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valade/Documents/GitHub/Wood-Carbon/rawData/"/>
    </mc:Choice>
  </mc:AlternateContent>
  <xr:revisionPtr revIDLastSave="0" documentId="13_ncr:1_{B8E213CC-CA3D-E14A-9673-145C4506DC17}" xr6:coauthVersionLast="47" xr6:coauthVersionMax="47" xr10:uidLastSave="{00000000-0000-0000-0000-000000000000}"/>
  <bookViews>
    <workbookView xWindow="-30940" yWindow="-2320" windowWidth="30940" windowHeight="17500" xr2:uid="{00000000-000D-0000-FFFF-FFFF00000000}"/>
  </bookViews>
  <sheets>
    <sheet name="Sheet1" sheetId="1" r:id="rId1"/>
    <sheet name="Sheet2" sheetId="2" r:id="rId2"/>
    <sheet name="Conversions" sheetId="3" r:id="rId3"/>
    <sheet name="Palette_in_use" sheetId="4" r:id="rId4"/>
    <sheet name="SL_Extractions_v5" sheetId="5" r:id="rId5"/>
    <sheet name="VB_Extractions_v5" sheetId="6" r:id="rId6"/>
    <sheet name="QC_Aude" sheetId="7" r:id="rId7"/>
    <sheet name="QC_indicators" sheetId="8" r:id="rId8"/>
    <sheet name="TO DO" sheetId="9" r:id="rId9"/>
  </sheets>
  <externalReferences>
    <externalReference r:id="rId10"/>
    <externalReference r:id="rId11"/>
    <externalReference r:id="rId12"/>
    <externalReference r:id="rId13"/>
    <externalReference r:id="rId14"/>
  </externalReferences>
  <definedNames>
    <definedName name="_xlnm._FilterDatabase" localSheetId="0" hidden="1">Sheet1!$A$7:$HT$1745</definedName>
    <definedName name="C_to_CO2">Conversions!$B$5</definedName>
    <definedName name="kg_to_m3">Conversions!$B$3</definedName>
    <definedName name="t_to_m3">Conversions!$B$2</definedName>
    <definedName name="tC_to_m3">Conversions!$B$4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BF16" i="1" l="1" a="1"/>
  <c r="BF16" i="1" s="1"/>
  <c r="BF477" i="1" a="1"/>
  <c r="BF477" i="1" s="1"/>
  <c r="BF478" i="1" a="1"/>
  <c r="BF478" i="1" s="1"/>
  <c r="BF496" i="1" a="1"/>
  <c r="BF496" i="1" s="1"/>
  <c r="BF492" i="1" a="1"/>
  <c r="BF492" i="1" s="1"/>
  <c r="BF493" i="1" a="1"/>
  <c r="BF493" i="1" s="1"/>
  <c r="BF490" i="1" a="1"/>
  <c r="BF490" i="1" s="1"/>
  <c r="BF500" i="1" a="1"/>
  <c r="BF500" i="1" s="1"/>
  <c r="BF502" i="1" a="1"/>
  <c r="BF502" i="1" s="1"/>
  <c r="BF503" i="1" a="1"/>
  <c r="BF503" i="1" s="1"/>
  <c r="BF510" i="1" a="1"/>
  <c r="BF510" i="1" s="1"/>
  <c r="BF463" i="1" a="1"/>
  <c r="BF463" i="1" s="1"/>
  <c r="BF435" i="1" a="1"/>
  <c r="BF435" i="1" s="1"/>
  <c r="BF488" i="1" a="1"/>
  <c r="BF488" i="1" s="1"/>
  <c r="BF506" i="1" a="1"/>
  <c r="BF506" i="1" s="1"/>
  <c r="BF465" i="1" a="1"/>
  <c r="BF465" i="1" s="1"/>
  <c r="BF476" i="1" a="1"/>
  <c r="BF476" i="1" s="1"/>
  <c r="BF473" i="1" a="1"/>
  <c r="BF473" i="1" s="1"/>
  <c r="BF433" i="1" a="1"/>
  <c r="BF433" i="1" s="1"/>
  <c r="BF467" i="1" a="1"/>
  <c r="BF467" i="1" s="1"/>
  <c r="BF424" i="1" a="1"/>
  <c r="BF424" i="1" s="1"/>
  <c r="BF466" i="1" a="1"/>
  <c r="BF466" i="1" s="1"/>
  <c r="BF422" i="1" a="1"/>
  <c r="BF422" i="1" s="1"/>
  <c r="BF388" i="1" a="1"/>
  <c r="BF388" i="1" s="1"/>
  <c r="BF486" i="1" a="1"/>
  <c r="BF486" i="1" s="1"/>
  <c r="BF414" i="1" a="1"/>
  <c r="BF414" i="1" s="1"/>
  <c r="BF489" i="1" a="1"/>
  <c r="BF489" i="1" s="1"/>
  <c r="BF474" i="1" a="1"/>
  <c r="BF474" i="1" s="1"/>
  <c r="BF461" i="1" a="1"/>
  <c r="BF461" i="1" s="1"/>
  <c r="BF495" i="1" a="1"/>
  <c r="BF495" i="1" s="1"/>
  <c r="BF460" i="1" a="1"/>
  <c r="BF460" i="1" s="1"/>
  <c r="BF487" i="1" a="1"/>
  <c r="BF487" i="1" s="1"/>
  <c r="BF497" i="1" a="1"/>
  <c r="BF497" i="1" s="1"/>
  <c r="BF406" i="1" a="1"/>
  <c r="BF406" i="1" s="1"/>
  <c r="BF514" i="1" a="1"/>
  <c r="BF514" i="1" s="1"/>
  <c r="BF471" i="1" a="1"/>
  <c r="BF471" i="1" s="1"/>
  <c r="BF410" i="1" a="1"/>
  <c r="BF410" i="1" s="1"/>
  <c r="BF515" i="1" a="1"/>
  <c r="BF515" i="1" s="1"/>
  <c r="BF480" i="1" a="1"/>
  <c r="BF480" i="1" s="1"/>
  <c r="BF469" i="1" a="1"/>
  <c r="BF469" i="1" s="1"/>
  <c r="BF479" i="1" a="1"/>
  <c r="BF479" i="1" s="1"/>
  <c r="BF440" i="1" a="1"/>
  <c r="BF440" i="1" s="1"/>
  <c r="BF407" i="1" a="1"/>
  <c r="BF407" i="1" s="1"/>
  <c r="BF470" i="1" a="1"/>
  <c r="BF470" i="1" s="1"/>
  <c r="BF509" i="1" a="1"/>
  <c r="BF509" i="1" s="1"/>
  <c r="BF483" i="1" a="1"/>
  <c r="BF483" i="1" s="1"/>
  <c r="BF511" i="1" a="1"/>
  <c r="BF511" i="1" s="1"/>
  <c r="BF409" i="1" a="1"/>
  <c r="BF409" i="1" s="1"/>
  <c r="BF512" i="1" a="1"/>
  <c r="BF512" i="1" s="1"/>
  <c r="BF408" i="1" a="1"/>
  <c r="BF408" i="1" s="1"/>
  <c r="BF505" i="1" a="1"/>
  <c r="BF505" i="1" s="1"/>
  <c r="BF485" i="1" a="1"/>
  <c r="BF485" i="1" s="1"/>
  <c r="BF484" i="1" a="1"/>
  <c r="BF484" i="1" s="1"/>
  <c r="BF459" i="1" a="1"/>
  <c r="BF459" i="1" s="1"/>
  <c r="BF401" i="1" a="1"/>
  <c r="BF401" i="1" s="1"/>
  <c r="BF389" i="1" a="1"/>
  <c r="BF389" i="1" s="1"/>
  <c r="BF507" i="1" a="1"/>
  <c r="BF507" i="1" s="1"/>
  <c r="BF501" i="1" a="1"/>
  <c r="BF501" i="1" s="1"/>
  <c r="BF462" i="1" a="1"/>
  <c r="BF462" i="1" s="1"/>
  <c r="BF404" i="1" a="1"/>
  <c r="BF404" i="1" s="1"/>
  <c r="BF411" i="1" a="1"/>
  <c r="BF411" i="1" s="1"/>
  <c r="BF417" i="1" a="1"/>
  <c r="BF417" i="1" s="1"/>
  <c r="BF482" i="1" a="1"/>
  <c r="BF482" i="1" s="1"/>
  <c r="BF475" i="1" a="1"/>
  <c r="BF475" i="1" s="1"/>
  <c r="BF504" i="1" a="1"/>
  <c r="BF504" i="1" s="1"/>
  <c r="BF498" i="1" a="1"/>
  <c r="BF498" i="1" s="1"/>
  <c r="BF491" i="1" a="1"/>
  <c r="BF491" i="1" s="1"/>
  <c r="BF508" i="1" a="1"/>
  <c r="BF508" i="1" s="1"/>
  <c r="BF499" i="1" a="1"/>
  <c r="BF499" i="1" s="1"/>
  <c r="BF371" i="1" a="1"/>
  <c r="BF371" i="1" s="1"/>
  <c r="BF464" i="1" a="1"/>
  <c r="BF464" i="1" s="1"/>
  <c r="BF387" i="1" a="1"/>
  <c r="BF387" i="1" s="1"/>
  <c r="BF386" i="1" a="1"/>
  <c r="BF386" i="1" s="1"/>
  <c r="BF379" i="1" a="1"/>
  <c r="BF379" i="1" s="1"/>
  <c r="BF468" i="1" a="1"/>
  <c r="BF468" i="1" s="1"/>
  <c r="BF372" i="1" a="1"/>
  <c r="BF372" i="1" s="1"/>
  <c r="BF481" i="1" a="1"/>
  <c r="BF481" i="1" s="1"/>
  <c r="BF472" i="1" a="1"/>
  <c r="BF472" i="1" s="1"/>
  <c r="BF375" i="1" a="1"/>
  <c r="BF375" i="1" s="1"/>
  <c r="BF381" i="1" a="1"/>
  <c r="BF381" i="1" s="1"/>
  <c r="BF378" i="1" a="1"/>
  <c r="BF378" i="1" s="1"/>
  <c r="BF384" i="1" a="1"/>
  <c r="BF384" i="1" s="1"/>
  <c r="BF380" i="1" a="1"/>
  <c r="BF380" i="1" s="1"/>
  <c r="BF868" i="1" a="1"/>
  <c r="BF868" i="1" s="1"/>
  <c r="EM1745" i="1"/>
  <c r="EL1745" i="1"/>
  <c r="EK1745" i="1"/>
  <c r="BY1745" i="1"/>
  <c r="EP1745" i="1" s="1"/>
  <c r="M1745" i="1"/>
  <c r="EM1744" i="1"/>
  <c r="EL1744" i="1"/>
  <c r="EK1744" i="1"/>
  <c r="BY1744" i="1"/>
  <c r="EP1744" i="1" s="1"/>
  <c r="M1744" i="1"/>
  <c r="EM1743" i="1"/>
  <c r="EL1743" i="1"/>
  <c r="EK1743" i="1"/>
  <c r="BY1743" i="1"/>
  <c r="EP1743" i="1" s="1"/>
  <c r="M1743" i="1"/>
  <c r="EM1742" i="1"/>
  <c r="EL1742" i="1"/>
  <c r="EK1742" i="1"/>
  <c r="BY1742" i="1"/>
  <c r="EP1742" i="1" s="1"/>
  <c r="M1742" i="1"/>
  <c r="EM1741" i="1"/>
  <c r="EL1741" i="1"/>
  <c r="EK1741" i="1"/>
  <c r="BY1741" i="1"/>
  <c r="EP1741" i="1" s="1"/>
  <c r="M1741" i="1"/>
  <c r="EM1740" i="1"/>
  <c r="EL1740" i="1"/>
  <c r="EK1740" i="1"/>
  <c r="BY1740" i="1"/>
  <c r="EP1740" i="1" s="1"/>
  <c r="M1740" i="1"/>
  <c r="EM1739" i="1"/>
  <c r="EL1739" i="1"/>
  <c r="EK1739" i="1"/>
  <c r="BY1739" i="1"/>
  <c r="EP1739" i="1" s="1"/>
  <c r="M1739" i="1"/>
  <c r="EM1738" i="1"/>
  <c r="EL1738" i="1"/>
  <c r="EK1738" i="1"/>
  <c r="DU1738" i="1"/>
  <c r="DN1738" i="1"/>
  <c r="DM1738" i="1"/>
  <c r="DL1738" i="1"/>
  <c r="DK1738" i="1"/>
  <c r="DI1738" i="1"/>
  <c r="DJ1738" i="1" s="1"/>
  <c r="CV1738" i="1"/>
  <c r="BY1738" i="1"/>
  <c r="EP1738" i="1" s="1"/>
  <c r="BM1738" i="1"/>
  <c r="AY1738" i="1"/>
  <c r="AX1738" i="1"/>
  <c r="M1738" i="1"/>
  <c r="EM1737" i="1"/>
  <c r="EL1737" i="1"/>
  <c r="EK1737" i="1"/>
  <c r="BY1737" i="1"/>
  <c r="EP1737" i="1" s="1"/>
  <c r="M1737" i="1"/>
  <c r="EM1736" i="1"/>
  <c r="EL1736" i="1"/>
  <c r="EK1736" i="1"/>
  <c r="BY1736" i="1"/>
  <c r="EP1736" i="1" s="1"/>
  <c r="M1736" i="1"/>
  <c r="EM1735" i="1"/>
  <c r="EL1735" i="1"/>
  <c r="EK1735" i="1"/>
  <c r="BY1735" i="1"/>
  <c r="EP1735" i="1" s="1"/>
  <c r="M1735" i="1"/>
  <c r="EM1734" i="1"/>
  <c r="EL1734" i="1"/>
  <c r="EK1734" i="1"/>
  <c r="BY1734" i="1"/>
  <c r="EP1734" i="1" s="1"/>
  <c r="M1734" i="1"/>
  <c r="EM1733" i="1"/>
  <c r="EL1733" i="1"/>
  <c r="EK1733" i="1"/>
  <c r="BY1733" i="1"/>
  <c r="EP1733" i="1" s="1"/>
  <c r="M1733" i="1"/>
  <c r="EM1732" i="1"/>
  <c r="EL1732" i="1"/>
  <c r="EK1732" i="1"/>
  <c r="BY1732" i="1"/>
  <c r="EP1732" i="1" s="1"/>
  <c r="AY1732" i="1"/>
  <c r="AX1732" i="1"/>
  <c r="M1732" i="1"/>
  <c r="EM1731" i="1"/>
  <c r="EL1731" i="1"/>
  <c r="EK1731" i="1"/>
  <c r="BY1731" i="1"/>
  <c r="EP1731" i="1" s="1"/>
  <c r="M1731" i="1"/>
  <c r="EM1730" i="1"/>
  <c r="EL1730" i="1"/>
  <c r="EK1730" i="1"/>
  <c r="BY1730" i="1"/>
  <c r="EP1730" i="1" s="1"/>
  <c r="M1730" i="1"/>
  <c r="EM1729" i="1"/>
  <c r="EL1729" i="1"/>
  <c r="EK1729" i="1"/>
  <c r="BY1729" i="1"/>
  <c r="EP1729" i="1" s="1"/>
  <c r="M1729" i="1"/>
  <c r="EM1728" i="1"/>
  <c r="EL1728" i="1"/>
  <c r="EK1728" i="1"/>
  <c r="BY1728" i="1"/>
  <c r="EP1728" i="1" s="1"/>
  <c r="M1728" i="1"/>
  <c r="EM1727" i="1"/>
  <c r="EL1727" i="1"/>
  <c r="EK1727" i="1"/>
  <c r="BY1727" i="1"/>
  <c r="EP1727" i="1" s="1"/>
  <c r="M1727" i="1"/>
  <c r="EM1726" i="1"/>
  <c r="EL1726" i="1"/>
  <c r="EK1726" i="1"/>
  <c r="BY1726" i="1"/>
  <c r="EP1726" i="1" s="1"/>
  <c r="M1726" i="1"/>
  <c r="EM1725" i="1"/>
  <c r="EL1725" i="1"/>
  <c r="EK1725" i="1"/>
  <c r="BY1725" i="1"/>
  <c r="EP1725" i="1" s="1"/>
  <c r="M1725" i="1"/>
  <c r="EM1724" i="1"/>
  <c r="EL1724" i="1"/>
  <c r="EK1724" i="1"/>
  <c r="BY1724" i="1"/>
  <c r="EP1724" i="1" s="1"/>
  <c r="M1724" i="1"/>
  <c r="EM1723" i="1"/>
  <c r="EL1723" i="1"/>
  <c r="EK1723" i="1"/>
  <c r="BY1723" i="1"/>
  <c r="EP1723" i="1" s="1"/>
  <c r="M1723" i="1"/>
  <c r="EM1722" i="1"/>
  <c r="EL1722" i="1"/>
  <c r="EK1722" i="1"/>
  <c r="BY1722" i="1"/>
  <c r="EP1722" i="1" s="1"/>
  <c r="M1722" i="1"/>
  <c r="EP1721" i="1"/>
  <c r="EM1721" i="1"/>
  <c r="EL1721" i="1"/>
  <c r="EK1721" i="1"/>
  <c r="BY1721" i="1"/>
  <c r="M1721" i="1"/>
  <c r="EM1720" i="1"/>
  <c r="EL1720" i="1"/>
  <c r="EK1720" i="1"/>
  <c r="BY1720" i="1"/>
  <c r="EP1720" i="1" s="1"/>
  <c r="M1720" i="1"/>
  <c r="EM1719" i="1"/>
  <c r="EL1719" i="1"/>
  <c r="EK1719" i="1"/>
  <c r="BY1719" i="1"/>
  <c r="EP1719" i="1" s="1"/>
  <c r="M1719" i="1"/>
  <c r="EP1718" i="1"/>
  <c r="EM1718" i="1"/>
  <c r="EL1718" i="1"/>
  <c r="EK1718" i="1"/>
  <c r="BY1718" i="1"/>
  <c r="M1718" i="1"/>
  <c r="EM1717" i="1"/>
  <c r="EL1717" i="1"/>
  <c r="EK1717" i="1"/>
  <c r="BY1717" i="1"/>
  <c r="EP1717" i="1" s="1"/>
  <c r="M1717" i="1"/>
  <c r="EM1716" i="1"/>
  <c r="EL1716" i="1"/>
  <c r="EK1716" i="1"/>
  <c r="BY1716" i="1"/>
  <c r="EP1716" i="1" s="1"/>
  <c r="M1716" i="1"/>
  <c r="EM1715" i="1"/>
  <c r="EL1715" i="1"/>
  <c r="EK1715" i="1"/>
  <c r="BY1715" i="1"/>
  <c r="EP1715" i="1" s="1"/>
  <c r="M1715" i="1"/>
  <c r="EM1714" i="1"/>
  <c r="EL1714" i="1"/>
  <c r="EK1714" i="1"/>
  <c r="BY1714" i="1"/>
  <c r="EP1714" i="1" s="1"/>
  <c r="M1714" i="1"/>
  <c r="EM1713" i="1"/>
  <c r="EL1713" i="1"/>
  <c r="EK1713" i="1"/>
  <c r="BY1713" i="1"/>
  <c r="EP1713" i="1" s="1"/>
  <c r="M1713" i="1"/>
  <c r="EM1712" i="1"/>
  <c r="EL1712" i="1"/>
  <c r="EK1712" i="1"/>
  <c r="BY1712" i="1"/>
  <c r="EP1712" i="1" s="1"/>
  <c r="M1712" i="1"/>
  <c r="EM1711" i="1"/>
  <c r="EL1711" i="1"/>
  <c r="EK1711" i="1"/>
  <c r="BY1711" i="1"/>
  <c r="EP1711" i="1" s="1"/>
  <c r="M1711" i="1"/>
  <c r="EM1710" i="1"/>
  <c r="EL1710" i="1"/>
  <c r="EK1710" i="1"/>
  <c r="BY1710" i="1"/>
  <c r="EP1710" i="1" s="1"/>
  <c r="M1710" i="1"/>
  <c r="EM1709" i="1"/>
  <c r="EL1709" i="1"/>
  <c r="EK1709" i="1"/>
  <c r="BY1709" i="1"/>
  <c r="EP1709" i="1" s="1"/>
  <c r="M1709" i="1"/>
  <c r="EM1708" i="1"/>
  <c r="EL1708" i="1"/>
  <c r="EK1708" i="1"/>
  <c r="BY1708" i="1"/>
  <c r="EP1708" i="1" s="1"/>
  <c r="M1708" i="1"/>
  <c r="EM1707" i="1"/>
  <c r="EL1707" i="1"/>
  <c r="EK1707" i="1"/>
  <c r="BY1707" i="1"/>
  <c r="EP1707" i="1" s="1"/>
  <c r="M1707" i="1"/>
  <c r="EM1706" i="1"/>
  <c r="EL1706" i="1"/>
  <c r="EK1706" i="1"/>
  <c r="BY1706" i="1"/>
  <c r="EP1706" i="1" s="1"/>
  <c r="M1706" i="1"/>
  <c r="EM1705" i="1"/>
  <c r="EL1705" i="1"/>
  <c r="EK1705" i="1"/>
  <c r="BY1705" i="1"/>
  <c r="EP1705" i="1" s="1"/>
  <c r="M1705" i="1"/>
  <c r="EM1704" i="1"/>
  <c r="EL1704" i="1"/>
  <c r="EK1704" i="1"/>
  <c r="BY1704" i="1"/>
  <c r="EP1704" i="1" s="1"/>
  <c r="M1704" i="1"/>
  <c r="EM1703" i="1"/>
  <c r="EL1703" i="1"/>
  <c r="EK1703" i="1"/>
  <c r="BY1703" i="1"/>
  <c r="EP1703" i="1" s="1"/>
  <c r="M1703" i="1"/>
  <c r="EM1702" i="1"/>
  <c r="EL1702" i="1"/>
  <c r="EK1702" i="1"/>
  <c r="BY1702" i="1"/>
  <c r="EP1702" i="1" s="1"/>
  <c r="M1702" i="1"/>
  <c r="EM1701" i="1"/>
  <c r="EL1701" i="1"/>
  <c r="EK1701" i="1"/>
  <c r="BY1701" i="1"/>
  <c r="EP1701" i="1" s="1"/>
  <c r="M1701" i="1"/>
  <c r="EM1700" i="1"/>
  <c r="EL1700" i="1"/>
  <c r="EK1700" i="1"/>
  <c r="BY1700" i="1"/>
  <c r="EP1700" i="1" s="1"/>
  <c r="M1700" i="1"/>
  <c r="EM1699" i="1"/>
  <c r="EL1699" i="1"/>
  <c r="EK1699" i="1"/>
  <c r="BY1699" i="1"/>
  <c r="EP1699" i="1" s="1"/>
  <c r="M1699" i="1"/>
  <c r="EM1698" i="1"/>
  <c r="EL1698" i="1"/>
  <c r="EK1698" i="1"/>
  <c r="BY1698" i="1"/>
  <c r="EP1698" i="1" s="1"/>
  <c r="M1698" i="1"/>
  <c r="EM1697" i="1"/>
  <c r="EL1697" i="1"/>
  <c r="EK1697" i="1"/>
  <c r="BY1697" i="1"/>
  <c r="EP1697" i="1" s="1"/>
  <c r="M1697" i="1"/>
  <c r="EM1696" i="1"/>
  <c r="EL1696" i="1"/>
  <c r="EK1696" i="1"/>
  <c r="BY1696" i="1"/>
  <c r="EP1696" i="1" s="1"/>
  <c r="M1696" i="1"/>
  <c r="EM1695" i="1"/>
  <c r="EL1695" i="1"/>
  <c r="EK1695" i="1"/>
  <c r="BY1695" i="1"/>
  <c r="EP1695" i="1" s="1"/>
  <c r="M1695" i="1"/>
  <c r="EM1694" i="1"/>
  <c r="EL1694" i="1"/>
  <c r="EK1694" i="1"/>
  <c r="BY1694" i="1"/>
  <c r="EP1694" i="1" s="1"/>
  <c r="M1694" i="1"/>
  <c r="EM1693" i="1"/>
  <c r="EL1693" i="1"/>
  <c r="EK1693" i="1"/>
  <c r="BY1693" i="1"/>
  <c r="EP1693" i="1" s="1"/>
  <c r="M1693" i="1"/>
  <c r="EM1692" i="1"/>
  <c r="EL1692" i="1"/>
  <c r="EK1692" i="1"/>
  <c r="BY1692" i="1"/>
  <c r="EP1692" i="1" s="1"/>
  <c r="M1692" i="1"/>
  <c r="EM1691" i="1"/>
  <c r="EL1691" i="1"/>
  <c r="EK1691" i="1"/>
  <c r="BY1691" i="1"/>
  <c r="EP1691" i="1" s="1"/>
  <c r="M1691" i="1"/>
  <c r="EM1690" i="1"/>
  <c r="EL1690" i="1"/>
  <c r="EK1690" i="1"/>
  <c r="BY1690" i="1"/>
  <c r="EP1690" i="1" s="1"/>
  <c r="M1690" i="1"/>
  <c r="EM1689" i="1"/>
  <c r="EL1689" i="1"/>
  <c r="EK1689" i="1"/>
  <c r="BY1689" i="1"/>
  <c r="EP1689" i="1" s="1"/>
  <c r="M1689" i="1"/>
  <c r="EM1688" i="1"/>
  <c r="EL1688" i="1"/>
  <c r="EK1688" i="1"/>
  <c r="BY1688" i="1"/>
  <c r="EP1688" i="1" s="1"/>
  <c r="M1688" i="1"/>
  <c r="EM1687" i="1"/>
  <c r="EL1687" i="1"/>
  <c r="EK1687" i="1"/>
  <c r="BY1687" i="1"/>
  <c r="EP1687" i="1" s="1"/>
  <c r="M1687" i="1"/>
  <c r="EM1686" i="1"/>
  <c r="EL1686" i="1"/>
  <c r="EK1686" i="1"/>
  <c r="BY1686" i="1"/>
  <c r="EP1686" i="1" s="1"/>
  <c r="AY1686" i="1"/>
  <c r="AX1686" i="1"/>
  <c r="M1686" i="1"/>
  <c r="EM1685" i="1"/>
  <c r="EL1685" i="1"/>
  <c r="EK1685" i="1"/>
  <c r="BY1685" i="1"/>
  <c r="EP1685" i="1" s="1"/>
  <c r="M1685" i="1"/>
  <c r="EP1684" i="1"/>
  <c r="EM1684" i="1"/>
  <c r="EL1684" i="1"/>
  <c r="EK1684" i="1"/>
  <c r="BY1684" i="1"/>
  <c r="AY1684" i="1"/>
  <c r="AX1684" i="1"/>
  <c r="M1684" i="1"/>
  <c r="EP1683" i="1"/>
  <c r="EM1683" i="1"/>
  <c r="EL1683" i="1"/>
  <c r="EK1683" i="1"/>
  <c r="BY1683" i="1"/>
  <c r="M1683" i="1"/>
  <c r="EM1682" i="1"/>
  <c r="EL1682" i="1"/>
  <c r="EK1682" i="1"/>
  <c r="BY1682" i="1"/>
  <c r="EP1682" i="1" s="1"/>
  <c r="M1682" i="1"/>
  <c r="EM1681" i="1"/>
  <c r="EL1681" i="1"/>
  <c r="EK1681" i="1"/>
  <c r="BY1681" i="1"/>
  <c r="EP1681" i="1" s="1"/>
  <c r="M1681" i="1"/>
  <c r="EP1680" i="1"/>
  <c r="EM1680" i="1"/>
  <c r="EL1680" i="1"/>
  <c r="EK1680" i="1"/>
  <c r="BY1680" i="1"/>
  <c r="M1680" i="1"/>
  <c r="EM1679" i="1"/>
  <c r="EL1679" i="1"/>
  <c r="EK1679" i="1"/>
  <c r="BY1679" i="1"/>
  <c r="EP1679" i="1" s="1"/>
  <c r="M1679" i="1"/>
  <c r="EM1678" i="1"/>
  <c r="EL1678" i="1"/>
  <c r="EK1678" i="1"/>
  <c r="BY1678" i="1"/>
  <c r="EP1678" i="1" s="1"/>
  <c r="M1678" i="1"/>
  <c r="EM1677" i="1"/>
  <c r="EL1677" i="1"/>
  <c r="EK1677" i="1"/>
  <c r="BY1677" i="1"/>
  <c r="EP1677" i="1" s="1"/>
  <c r="M1677" i="1"/>
  <c r="EM1676" i="1"/>
  <c r="EL1676" i="1"/>
  <c r="EK1676" i="1"/>
  <c r="BY1676" i="1"/>
  <c r="EP1676" i="1" s="1"/>
  <c r="AY1676" i="1"/>
  <c r="AX1676" i="1"/>
  <c r="M1676" i="1"/>
  <c r="EM1675" i="1"/>
  <c r="EL1675" i="1"/>
  <c r="EK1675" i="1"/>
  <c r="BY1675" i="1"/>
  <c r="EP1675" i="1" s="1"/>
  <c r="M1675" i="1"/>
  <c r="EM1674" i="1"/>
  <c r="EL1674" i="1"/>
  <c r="EK1674" i="1"/>
  <c r="DU1674" i="1"/>
  <c r="DT1674" i="1"/>
  <c r="DN1674" i="1"/>
  <c r="DM1674" i="1"/>
  <c r="DL1674" i="1"/>
  <c r="DK1674" i="1"/>
  <c r="DI1674" i="1"/>
  <c r="DJ1674" i="1" s="1"/>
  <c r="DC1674" i="1"/>
  <c r="CX1674" i="1"/>
  <c r="BY1674" i="1"/>
  <c r="EP1674" i="1" s="1"/>
  <c r="AY1674" i="1"/>
  <c r="AX1674" i="1"/>
  <c r="M1674" i="1"/>
  <c r="EM1673" i="1"/>
  <c r="EL1673" i="1"/>
  <c r="EK1673" i="1"/>
  <c r="DU1673" i="1"/>
  <c r="DT1673" i="1"/>
  <c r="DN1673" i="1"/>
  <c r="DM1673" i="1"/>
  <c r="DL1673" i="1"/>
  <c r="DK1673" i="1"/>
  <c r="DI1673" i="1"/>
  <c r="DJ1673" i="1" s="1"/>
  <c r="DC1673" i="1"/>
  <c r="CX1673" i="1"/>
  <c r="BY1673" i="1"/>
  <c r="EP1673" i="1" s="1"/>
  <c r="AY1673" i="1"/>
  <c r="AX1673" i="1"/>
  <c r="M1673" i="1"/>
  <c r="EM1672" i="1"/>
  <c r="EL1672" i="1"/>
  <c r="EK1672" i="1"/>
  <c r="BY1672" i="1"/>
  <c r="EP1672" i="1" s="1"/>
  <c r="M1672" i="1"/>
  <c r="EM1671" i="1"/>
  <c r="EL1671" i="1"/>
  <c r="EK1671" i="1"/>
  <c r="BY1671" i="1"/>
  <c r="EP1671" i="1" s="1"/>
  <c r="M1671" i="1"/>
  <c r="EM1670" i="1"/>
  <c r="EL1670" i="1"/>
  <c r="EK1670" i="1"/>
  <c r="BY1670" i="1"/>
  <c r="EP1670" i="1" s="1"/>
  <c r="M1670" i="1"/>
  <c r="EM1669" i="1"/>
  <c r="EL1669" i="1"/>
  <c r="EK1669" i="1"/>
  <c r="BY1669" i="1"/>
  <c r="EP1669" i="1" s="1"/>
  <c r="M1669" i="1"/>
  <c r="EM1668" i="1"/>
  <c r="EL1668" i="1"/>
  <c r="EK1668" i="1"/>
  <c r="CV1668" i="1"/>
  <c r="CN1668" i="1"/>
  <c r="BY1668" i="1"/>
  <c r="EP1668" i="1" s="1"/>
  <c r="M1668" i="1"/>
  <c r="EM1667" i="1"/>
  <c r="EL1667" i="1"/>
  <c r="EK1667" i="1"/>
  <c r="CV1667" i="1"/>
  <c r="CN1667" i="1"/>
  <c r="BY1667" i="1"/>
  <c r="EP1667" i="1" s="1"/>
  <c r="M1667" i="1"/>
  <c r="EM1666" i="1"/>
  <c r="EL1666" i="1"/>
  <c r="EK1666" i="1"/>
  <c r="CV1666" i="1"/>
  <c r="CN1666" i="1"/>
  <c r="BY1666" i="1"/>
  <c r="EP1666" i="1" s="1"/>
  <c r="M1666" i="1"/>
  <c r="EM1665" i="1"/>
  <c r="EL1665" i="1"/>
  <c r="EK1665" i="1"/>
  <c r="CV1665" i="1"/>
  <c r="CN1665" i="1"/>
  <c r="BY1665" i="1"/>
  <c r="EP1665" i="1" s="1"/>
  <c r="M1665" i="1"/>
  <c r="EM1664" i="1"/>
  <c r="EL1664" i="1"/>
  <c r="EK1664" i="1"/>
  <c r="CV1664" i="1"/>
  <c r="CN1664" i="1"/>
  <c r="BY1664" i="1"/>
  <c r="EP1664" i="1" s="1"/>
  <c r="M1664" i="1"/>
  <c r="EM1663" i="1"/>
  <c r="EL1663" i="1"/>
  <c r="EK1663" i="1"/>
  <c r="BY1663" i="1"/>
  <c r="EP1663" i="1" s="1"/>
  <c r="M1663" i="1"/>
  <c r="EM1662" i="1"/>
  <c r="EL1662" i="1"/>
  <c r="EK1662" i="1"/>
  <c r="BY1662" i="1"/>
  <c r="EP1662" i="1" s="1"/>
  <c r="M1662" i="1"/>
  <c r="EM1661" i="1"/>
  <c r="EL1661" i="1"/>
  <c r="EK1661" i="1"/>
  <c r="BY1661" i="1"/>
  <c r="EP1661" i="1" s="1"/>
  <c r="M1661" i="1"/>
  <c r="EM1660" i="1"/>
  <c r="EL1660" i="1"/>
  <c r="EK1660" i="1"/>
  <c r="BY1660" i="1"/>
  <c r="EP1660" i="1" s="1"/>
  <c r="M1660" i="1"/>
  <c r="EM1659" i="1"/>
  <c r="EL1659" i="1"/>
  <c r="EK1659" i="1"/>
  <c r="BY1659" i="1"/>
  <c r="EP1659" i="1" s="1"/>
  <c r="M1659" i="1"/>
  <c r="EM1658" i="1"/>
  <c r="EL1658" i="1"/>
  <c r="EK1658" i="1"/>
  <c r="BY1658" i="1"/>
  <c r="EP1658" i="1" s="1"/>
  <c r="M1658" i="1"/>
  <c r="EM1657" i="1"/>
  <c r="EL1657" i="1"/>
  <c r="EK1657" i="1"/>
  <c r="BY1657" i="1"/>
  <c r="EP1657" i="1" s="1"/>
  <c r="M1657" i="1"/>
  <c r="EM1656" i="1"/>
  <c r="EL1656" i="1"/>
  <c r="EK1656" i="1"/>
  <c r="BY1656" i="1"/>
  <c r="EP1656" i="1" s="1"/>
  <c r="M1656" i="1"/>
  <c r="EM1655" i="1"/>
  <c r="EL1655" i="1"/>
  <c r="EK1655" i="1"/>
  <c r="BY1655" i="1"/>
  <c r="EP1655" i="1" s="1"/>
  <c r="M1655" i="1"/>
  <c r="EM1654" i="1"/>
  <c r="EL1654" i="1"/>
  <c r="EK1654" i="1"/>
  <c r="BY1654" i="1"/>
  <c r="EP1654" i="1" s="1"/>
  <c r="M1654" i="1"/>
  <c r="EM1653" i="1"/>
  <c r="EL1653" i="1"/>
  <c r="EK1653" i="1"/>
  <c r="BY1653" i="1"/>
  <c r="EP1653" i="1" s="1"/>
  <c r="M1653" i="1"/>
  <c r="EM1652" i="1"/>
  <c r="EL1652" i="1"/>
  <c r="EK1652" i="1"/>
  <c r="BY1652" i="1"/>
  <c r="EP1652" i="1" s="1"/>
  <c r="M1652" i="1"/>
  <c r="EM1651" i="1"/>
  <c r="EL1651" i="1"/>
  <c r="EK1651" i="1"/>
  <c r="BY1651" i="1"/>
  <c r="EP1651" i="1" s="1"/>
  <c r="M1651" i="1"/>
  <c r="EM1650" i="1"/>
  <c r="EL1650" i="1"/>
  <c r="EK1650" i="1"/>
  <c r="BY1650" i="1"/>
  <c r="EP1650" i="1" s="1"/>
  <c r="M1650" i="1"/>
  <c r="EM1649" i="1"/>
  <c r="EL1649" i="1"/>
  <c r="EK1649" i="1"/>
  <c r="BY1649" i="1"/>
  <c r="EP1649" i="1" s="1"/>
  <c r="M1649" i="1"/>
  <c r="EM1648" i="1"/>
  <c r="EL1648" i="1"/>
  <c r="EK1648" i="1"/>
  <c r="BY1648" i="1"/>
  <c r="EP1648" i="1" s="1"/>
  <c r="M1648" i="1"/>
  <c r="EM1647" i="1"/>
  <c r="EL1647" i="1"/>
  <c r="EK1647" i="1"/>
  <c r="BY1647" i="1"/>
  <c r="EP1647" i="1" s="1"/>
  <c r="M1647" i="1"/>
  <c r="EM1646" i="1"/>
  <c r="EL1646" i="1"/>
  <c r="EK1646" i="1"/>
  <c r="BY1646" i="1"/>
  <c r="EP1646" i="1" s="1"/>
  <c r="M1646" i="1"/>
  <c r="EP1645" i="1"/>
  <c r="EM1645" i="1"/>
  <c r="EL1645" i="1"/>
  <c r="EK1645" i="1"/>
  <c r="BY1645" i="1"/>
  <c r="AY1645" i="1"/>
  <c r="AX1645" i="1"/>
  <c r="M1645" i="1"/>
  <c r="EP1644" i="1"/>
  <c r="EM1644" i="1"/>
  <c r="EL1644" i="1"/>
  <c r="EK1644" i="1"/>
  <c r="BY1644" i="1"/>
  <c r="M1644" i="1"/>
  <c r="EM1643" i="1"/>
  <c r="EL1643" i="1"/>
  <c r="EK1643" i="1"/>
  <c r="BY1643" i="1"/>
  <c r="EP1643" i="1" s="1"/>
  <c r="AY1643" i="1"/>
  <c r="AX1643" i="1"/>
  <c r="M1643" i="1"/>
  <c r="EM1642" i="1"/>
  <c r="EL1642" i="1"/>
  <c r="EK1642" i="1"/>
  <c r="BY1642" i="1"/>
  <c r="EP1642" i="1" s="1"/>
  <c r="M1642" i="1"/>
  <c r="EM1641" i="1"/>
  <c r="EL1641" i="1"/>
  <c r="EK1641" i="1"/>
  <c r="BY1641" i="1"/>
  <c r="EP1641" i="1" s="1"/>
  <c r="M1641" i="1"/>
  <c r="EM1640" i="1"/>
  <c r="EL1640" i="1"/>
  <c r="EK1640" i="1"/>
  <c r="BY1640" i="1"/>
  <c r="EP1640" i="1" s="1"/>
  <c r="M1640" i="1"/>
  <c r="EM1639" i="1"/>
  <c r="EL1639" i="1"/>
  <c r="EK1639" i="1"/>
  <c r="BY1639" i="1"/>
  <c r="EP1639" i="1" s="1"/>
  <c r="M1639" i="1"/>
  <c r="EM1638" i="1"/>
  <c r="EL1638" i="1"/>
  <c r="EK1638" i="1"/>
  <c r="BY1638" i="1"/>
  <c r="EP1638" i="1" s="1"/>
  <c r="M1638" i="1"/>
  <c r="EM1637" i="1"/>
  <c r="EL1637" i="1"/>
  <c r="EK1637" i="1"/>
  <c r="BY1637" i="1"/>
  <c r="EP1637" i="1" s="1"/>
  <c r="M1637" i="1"/>
  <c r="EM1636" i="1"/>
  <c r="EL1636" i="1"/>
  <c r="EK1636" i="1"/>
  <c r="BY1636" i="1"/>
  <c r="EP1636" i="1" s="1"/>
  <c r="M1636" i="1"/>
  <c r="EM1635" i="1"/>
  <c r="EL1635" i="1"/>
  <c r="EK1635" i="1"/>
  <c r="BY1635" i="1"/>
  <c r="EP1635" i="1" s="1"/>
  <c r="M1635" i="1"/>
  <c r="EM1634" i="1"/>
  <c r="EL1634" i="1"/>
  <c r="EK1634" i="1"/>
  <c r="BY1634" i="1"/>
  <c r="EP1634" i="1" s="1"/>
  <c r="M1634" i="1"/>
  <c r="EM1633" i="1"/>
  <c r="EL1633" i="1"/>
  <c r="EK1633" i="1"/>
  <c r="BY1633" i="1"/>
  <c r="EP1633" i="1" s="1"/>
  <c r="M1633" i="1"/>
  <c r="EM1632" i="1"/>
  <c r="EL1632" i="1"/>
  <c r="EK1632" i="1"/>
  <c r="BY1632" i="1"/>
  <c r="EP1632" i="1" s="1"/>
  <c r="M1632" i="1"/>
  <c r="EM1631" i="1"/>
  <c r="EL1631" i="1"/>
  <c r="EK1631" i="1"/>
  <c r="BY1631" i="1"/>
  <c r="EP1631" i="1" s="1"/>
  <c r="M1631" i="1"/>
  <c r="EM1630" i="1"/>
  <c r="EL1630" i="1"/>
  <c r="EK1630" i="1"/>
  <c r="BY1630" i="1"/>
  <c r="EP1630" i="1" s="1"/>
  <c r="M1630" i="1"/>
  <c r="EM1629" i="1"/>
  <c r="EL1629" i="1"/>
  <c r="EK1629" i="1"/>
  <c r="BY1629" i="1"/>
  <c r="EP1629" i="1" s="1"/>
  <c r="M1629" i="1"/>
  <c r="EM1628" i="1"/>
  <c r="EL1628" i="1"/>
  <c r="EK1628" i="1"/>
  <c r="BY1628" i="1"/>
  <c r="EP1628" i="1" s="1"/>
  <c r="M1628" i="1"/>
  <c r="EM1627" i="1"/>
  <c r="EL1627" i="1"/>
  <c r="EK1627" i="1"/>
  <c r="BY1627" i="1"/>
  <c r="EP1627" i="1" s="1"/>
  <c r="M1627" i="1"/>
  <c r="EM1626" i="1"/>
  <c r="EL1626" i="1"/>
  <c r="EK1626" i="1"/>
  <c r="BY1626" i="1"/>
  <c r="EP1626" i="1" s="1"/>
  <c r="M1626" i="1"/>
  <c r="EM1625" i="1"/>
  <c r="EL1625" i="1"/>
  <c r="EK1625" i="1"/>
  <c r="BY1625" i="1"/>
  <c r="EP1625" i="1" s="1"/>
  <c r="M1625" i="1"/>
  <c r="EM1624" i="1"/>
  <c r="EL1624" i="1"/>
  <c r="EK1624" i="1"/>
  <c r="BY1624" i="1"/>
  <c r="EP1624" i="1" s="1"/>
  <c r="M1624" i="1"/>
  <c r="EM1623" i="1"/>
  <c r="EL1623" i="1"/>
  <c r="EK1623" i="1"/>
  <c r="BY1623" i="1"/>
  <c r="EP1623" i="1" s="1"/>
  <c r="M1623" i="1"/>
  <c r="EM1622" i="1"/>
  <c r="EL1622" i="1"/>
  <c r="EK1622" i="1"/>
  <c r="BY1622" i="1"/>
  <c r="EP1622" i="1" s="1"/>
  <c r="M1622" i="1"/>
  <c r="EM1621" i="1"/>
  <c r="EL1621" i="1"/>
  <c r="EK1621" i="1"/>
  <c r="BY1621" i="1"/>
  <c r="EP1621" i="1" s="1"/>
  <c r="M1621" i="1"/>
  <c r="EM1620" i="1"/>
  <c r="EL1620" i="1"/>
  <c r="EK1620" i="1"/>
  <c r="BY1620" i="1"/>
  <c r="EP1620" i="1" s="1"/>
  <c r="M1620" i="1"/>
  <c r="EM1619" i="1"/>
  <c r="EL1619" i="1"/>
  <c r="EK1619" i="1"/>
  <c r="BY1619" i="1"/>
  <c r="EP1619" i="1" s="1"/>
  <c r="M1619" i="1"/>
  <c r="EM1618" i="1"/>
  <c r="EL1618" i="1"/>
  <c r="EK1618" i="1"/>
  <c r="BY1618" i="1"/>
  <c r="EP1618" i="1" s="1"/>
  <c r="M1618" i="1"/>
  <c r="EM1617" i="1"/>
  <c r="EL1617" i="1"/>
  <c r="EK1617" i="1"/>
  <c r="BY1617" i="1"/>
  <c r="EP1617" i="1" s="1"/>
  <c r="M1617" i="1"/>
  <c r="EM1616" i="1"/>
  <c r="EL1616" i="1"/>
  <c r="EK1616" i="1"/>
  <c r="BY1616" i="1"/>
  <c r="EP1616" i="1" s="1"/>
  <c r="M1616" i="1"/>
  <c r="EM1615" i="1"/>
  <c r="EL1615" i="1"/>
  <c r="EK1615" i="1"/>
  <c r="BY1615" i="1"/>
  <c r="EP1615" i="1" s="1"/>
  <c r="M1615" i="1"/>
  <c r="EM1614" i="1"/>
  <c r="EL1614" i="1"/>
  <c r="EK1614" i="1"/>
  <c r="BY1614" i="1"/>
  <c r="EP1614" i="1" s="1"/>
  <c r="M1614" i="1"/>
  <c r="EM1613" i="1"/>
  <c r="EL1613" i="1"/>
  <c r="EK1613" i="1"/>
  <c r="BY1613" i="1"/>
  <c r="EP1613" i="1" s="1"/>
  <c r="M1613" i="1"/>
  <c r="EM1612" i="1"/>
  <c r="EL1612" i="1"/>
  <c r="EK1612" i="1"/>
  <c r="DC1612" i="1"/>
  <c r="BY1612" i="1"/>
  <c r="EP1612" i="1" s="1"/>
  <c r="M1612" i="1"/>
  <c r="EM1611" i="1"/>
  <c r="EL1611" i="1"/>
  <c r="EK1611" i="1"/>
  <c r="BY1611" i="1"/>
  <c r="EP1611" i="1" s="1"/>
  <c r="M1611" i="1"/>
  <c r="EM1610" i="1"/>
  <c r="EL1610" i="1"/>
  <c r="EK1610" i="1"/>
  <c r="BY1610" i="1"/>
  <c r="EP1610" i="1" s="1"/>
  <c r="M1610" i="1"/>
  <c r="EM1607" i="1"/>
  <c r="EL1607" i="1"/>
  <c r="EK1607" i="1"/>
  <c r="DU1607" i="1"/>
  <c r="DT1607" i="1"/>
  <c r="DN1607" i="1"/>
  <c r="DM1607" i="1"/>
  <c r="DL1607" i="1"/>
  <c r="DK1607" i="1"/>
  <c r="DI1607" i="1"/>
  <c r="DJ1607" i="1" s="1"/>
  <c r="DB1607" i="1"/>
  <c r="DC1607" i="1" s="1"/>
  <c r="CX1607" i="1"/>
  <c r="CN1607" i="1"/>
  <c r="CR1607" i="1" s="1"/>
  <c r="BV1607" i="1"/>
  <c r="BX1607" i="1" s="1"/>
  <c r="BU1607" i="1"/>
  <c r="BD1607" i="1"/>
  <c r="BC1607" i="1"/>
  <c r="BB1607" i="1"/>
  <c r="BA1607" i="1"/>
  <c r="AZ1607" i="1"/>
  <c r="BF1607" i="1" s="1" a="1"/>
  <c r="BF1607" i="1" s="1"/>
  <c r="AY1607" i="1"/>
  <c r="AX1607" i="1"/>
  <c r="M1607" i="1"/>
  <c r="EM1606" i="1"/>
  <c r="EL1606" i="1"/>
  <c r="EK1606" i="1"/>
  <c r="DU1606" i="1"/>
  <c r="DT1606" i="1"/>
  <c r="DN1606" i="1"/>
  <c r="DM1606" i="1"/>
  <c r="DL1606" i="1"/>
  <c r="DK1606" i="1"/>
  <c r="DI1606" i="1"/>
  <c r="DJ1606" i="1" s="1"/>
  <c r="DB1606" i="1"/>
  <c r="DC1606" i="1" s="1"/>
  <c r="CX1606" i="1"/>
  <c r="CN1606" i="1"/>
  <c r="CR1606" i="1" s="1"/>
  <c r="BV1606" i="1"/>
  <c r="BX1606" i="1" s="1"/>
  <c r="BU1606" i="1"/>
  <c r="BD1606" i="1"/>
  <c r="BC1606" i="1"/>
  <c r="BB1606" i="1"/>
  <c r="BA1606" i="1"/>
  <c r="AZ1606" i="1"/>
  <c r="BF1606" i="1" s="1" a="1"/>
  <c r="BF1606" i="1" s="1"/>
  <c r="AY1606" i="1"/>
  <c r="AX1606" i="1"/>
  <c r="M1606" i="1"/>
  <c r="EM1605" i="1"/>
  <c r="EL1605" i="1"/>
  <c r="EK1605" i="1"/>
  <c r="DU1605" i="1"/>
  <c r="DT1605" i="1"/>
  <c r="DN1605" i="1"/>
  <c r="DM1605" i="1"/>
  <c r="DL1605" i="1"/>
  <c r="DK1605" i="1"/>
  <c r="DI1605" i="1"/>
  <c r="DJ1605" i="1" s="1"/>
  <c r="DB1605" i="1"/>
  <c r="DC1605" i="1" s="1"/>
  <c r="CX1605" i="1"/>
  <c r="CN1605" i="1"/>
  <c r="BV1605" i="1"/>
  <c r="BX1605" i="1" s="1"/>
  <c r="BY1605" i="1" s="1"/>
  <c r="BU1605" i="1"/>
  <c r="BD1605" i="1"/>
  <c r="BC1605" i="1"/>
  <c r="BB1605" i="1"/>
  <c r="BA1605" i="1"/>
  <c r="AZ1605" i="1"/>
  <c r="BF1605" i="1" s="1" a="1"/>
  <c r="BF1605" i="1" s="1"/>
  <c r="AY1605" i="1"/>
  <c r="BE1605" i="1" s="1" a="1"/>
  <c r="BE1605" i="1" s="1"/>
  <c r="AX1605" i="1"/>
  <c r="M1605" i="1"/>
  <c r="EM1604" i="1"/>
  <c r="EL1604" i="1"/>
  <c r="EK1604" i="1"/>
  <c r="DU1604" i="1"/>
  <c r="DT1604" i="1"/>
  <c r="DN1604" i="1"/>
  <c r="DM1604" i="1"/>
  <c r="DL1604" i="1"/>
  <c r="DK1604" i="1"/>
  <c r="DI1604" i="1"/>
  <c r="DJ1604" i="1" s="1"/>
  <c r="DB1604" i="1"/>
  <c r="DC1604" i="1" s="1"/>
  <c r="CX1604" i="1"/>
  <c r="CN1604" i="1"/>
  <c r="CR1604" i="1" s="1"/>
  <c r="BV1604" i="1"/>
  <c r="BX1604" i="1" s="1"/>
  <c r="BY1604" i="1" s="1"/>
  <c r="BU1604" i="1"/>
  <c r="BD1604" i="1"/>
  <c r="BC1604" i="1"/>
  <c r="BB1604" i="1"/>
  <c r="BA1604" i="1"/>
  <c r="AZ1604" i="1"/>
  <c r="BF1604" i="1" s="1" a="1"/>
  <c r="BF1604" i="1" s="1"/>
  <c r="AY1604" i="1"/>
  <c r="BE1604" i="1" s="1" a="1"/>
  <c r="BE1604" i="1" s="1"/>
  <c r="AX1604" i="1"/>
  <c r="M1604" i="1"/>
  <c r="EM1603" i="1"/>
  <c r="EL1603" i="1"/>
  <c r="EK1603" i="1"/>
  <c r="DU1603" i="1"/>
  <c r="DT1603" i="1"/>
  <c r="DN1603" i="1"/>
  <c r="DM1603" i="1"/>
  <c r="DL1603" i="1"/>
  <c r="DK1603" i="1"/>
  <c r="DI1603" i="1"/>
  <c r="DJ1603" i="1" s="1"/>
  <c r="DB1603" i="1"/>
  <c r="DC1603" i="1" s="1"/>
  <c r="CX1603" i="1"/>
  <c r="CN1603" i="1"/>
  <c r="CS1603" i="1" s="1"/>
  <c r="BV1603" i="1"/>
  <c r="BX1603" i="1" s="1"/>
  <c r="BY1603" i="1" s="1"/>
  <c r="BU1603" i="1"/>
  <c r="BD1603" i="1"/>
  <c r="BC1603" i="1"/>
  <c r="BB1603" i="1"/>
  <c r="BA1603" i="1"/>
  <c r="AZ1603" i="1"/>
  <c r="BF1603" i="1" s="1" a="1"/>
  <c r="BF1603" i="1" s="1"/>
  <c r="AY1603" i="1"/>
  <c r="BE1603" i="1" s="1" a="1"/>
  <c r="BE1603" i="1" s="1"/>
  <c r="AX1603" i="1"/>
  <c r="M1603" i="1"/>
  <c r="EM1602" i="1"/>
  <c r="EL1602" i="1"/>
  <c r="EK1602" i="1"/>
  <c r="DU1602" i="1"/>
  <c r="DT1602" i="1"/>
  <c r="DN1602" i="1"/>
  <c r="DM1602" i="1"/>
  <c r="DL1602" i="1"/>
  <c r="DK1602" i="1"/>
  <c r="DJ1602" i="1"/>
  <c r="DI1602" i="1"/>
  <c r="DB1602" i="1"/>
  <c r="DC1602" i="1" s="1"/>
  <c r="CX1602" i="1"/>
  <c r="CN1602" i="1"/>
  <c r="CS1602" i="1" s="1"/>
  <c r="BV1602" i="1"/>
  <c r="BX1602" i="1" s="1"/>
  <c r="BU1602" i="1"/>
  <c r="BD1602" i="1"/>
  <c r="BC1602" i="1"/>
  <c r="BB1602" i="1"/>
  <c r="BA1602" i="1"/>
  <c r="AZ1602" i="1"/>
  <c r="BF1602" i="1" s="1" a="1"/>
  <c r="BF1602" i="1" s="1"/>
  <c r="AY1602" i="1"/>
  <c r="BE1602" i="1" s="1" a="1"/>
  <c r="BE1602" i="1" s="1"/>
  <c r="AX1602" i="1"/>
  <c r="M1602" i="1"/>
  <c r="EM1601" i="1"/>
  <c r="EL1601" i="1"/>
  <c r="EK1601" i="1"/>
  <c r="DU1601" i="1"/>
  <c r="DT1601" i="1"/>
  <c r="DN1601" i="1"/>
  <c r="DM1601" i="1"/>
  <c r="DL1601" i="1"/>
  <c r="DK1601" i="1"/>
  <c r="DJ1601" i="1"/>
  <c r="DI1601" i="1"/>
  <c r="DB1601" i="1"/>
  <c r="DC1601" i="1" s="1"/>
  <c r="CX1601" i="1"/>
  <c r="CN1601" i="1"/>
  <c r="CS1601" i="1" s="1"/>
  <c r="BS1601" i="1"/>
  <c r="BD1601" i="1"/>
  <c r="BC1601" i="1"/>
  <c r="BB1601" i="1"/>
  <c r="BA1601" i="1"/>
  <c r="AZ1601" i="1"/>
  <c r="BF1601" i="1" s="1" a="1"/>
  <c r="BF1601" i="1" s="1"/>
  <c r="AY1601" i="1"/>
  <c r="BE1601" i="1" s="1" a="1"/>
  <c r="BE1601" i="1" s="1"/>
  <c r="AX1601" i="1"/>
  <c r="M1601" i="1"/>
  <c r="EM1600" i="1"/>
  <c r="EL1600" i="1"/>
  <c r="EK1600" i="1"/>
  <c r="DU1600" i="1"/>
  <c r="DT1600" i="1"/>
  <c r="DN1600" i="1"/>
  <c r="DM1600" i="1"/>
  <c r="DL1600" i="1"/>
  <c r="DK1600" i="1"/>
  <c r="DI1600" i="1"/>
  <c r="DJ1600" i="1" s="1"/>
  <c r="DB1600" i="1"/>
  <c r="DC1600" i="1" s="1"/>
  <c r="CX1600" i="1"/>
  <c r="CN1600" i="1"/>
  <c r="CS1600" i="1" s="1"/>
  <c r="BT1600" i="1"/>
  <c r="BS1600" i="1"/>
  <c r="BD1600" i="1"/>
  <c r="BC1600" i="1"/>
  <c r="BB1600" i="1"/>
  <c r="BA1600" i="1"/>
  <c r="AZ1600" i="1"/>
  <c r="BF1600" i="1" s="1" a="1"/>
  <c r="BF1600" i="1" s="1"/>
  <c r="AY1600" i="1"/>
  <c r="BE1600" i="1" s="1" a="1"/>
  <c r="BE1600" i="1" s="1"/>
  <c r="AX1600" i="1"/>
  <c r="M1600" i="1"/>
  <c r="EM1599" i="1"/>
  <c r="EL1599" i="1"/>
  <c r="EK1599" i="1"/>
  <c r="DU1599" i="1"/>
  <c r="DT1599" i="1"/>
  <c r="DN1599" i="1"/>
  <c r="DM1599" i="1"/>
  <c r="DL1599" i="1"/>
  <c r="DK1599" i="1"/>
  <c r="DI1599" i="1"/>
  <c r="DJ1599" i="1" s="1"/>
  <c r="DB1599" i="1"/>
  <c r="DC1599" i="1" s="1"/>
  <c r="CX1599" i="1"/>
  <c r="CN1599" i="1"/>
  <c r="CR1599" i="1" s="1"/>
  <c r="BV1599" i="1"/>
  <c r="BX1599" i="1" s="1"/>
  <c r="BY1599" i="1" s="1"/>
  <c r="BU1599" i="1"/>
  <c r="BS1599" i="1"/>
  <c r="BD1599" i="1"/>
  <c r="BC1599" i="1"/>
  <c r="BB1599" i="1"/>
  <c r="BA1599" i="1"/>
  <c r="AZ1599" i="1"/>
  <c r="BF1599" i="1" s="1" a="1"/>
  <c r="BF1599" i="1" s="1"/>
  <c r="AY1599" i="1"/>
  <c r="BE1599" i="1" s="1" a="1"/>
  <c r="BE1599" i="1" s="1"/>
  <c r="AX1599" i="1"/>
  <c r="M1599" i="1"/>
  <c r="EM1598" i="1"/>
  <c r="EL1598" i="1"/>
  <c r="EK1598" i="1"/>
  <c r="DU1598" i="1"/>
  <c r="DT1598" i="1"/>
  <c r="DN1598" i="1"/>
  <c r="DM1598" i="1"/>
  <c r="DL1598" i="1"/>
  <c r="DK1598" i="1"/>
  <c r="DI1598" i="1"/>
  <c r="DJ1598" i="1" s="1"/>
  <c r="DB1598" i="1"/>
  <c r="DC1598" i="1" s="1"/>
  <c r="CX1598" i="1"/>
  <c r="CN1598" i="1"/>
  <c r="CS1598" i="1" s="1"/>
  <c r="BS1598" i="1"/>
  <c r="BV1598" i="1" s="1"/>
  <c r="BX1598" i="1" s="1"/>
  <c r="BD1598" i="1"/>
  <c r="BC1598" i="1"/>
  <c r="BB1598" i="1"/>
  <c r="BA1598" i="1"/>
  <c r="AZ1598" i="1"/>
  <c r="BF1598" i="1" s="1" a="1"/>
  <c r="BF1598" i="1" s="1"/>
  <c r="AY1598" i="1"/>
  <c r="BE1598" i="1" s="1" a="1"/>
  <c r="BE1598" i="1" s="1"/>
  <c r="AX1598" i="1"/>
  <c r="M1598" i="1"/>
  <c r="EM1597" i="1"/>
  <c r="EL1597" i="1"/>
  <c r="EK1597" i="1"/>
  <c r="DU1597" i="1"/>
  <c r="DT1597" i="1"/>
  <c r="DN1597" i="1"/>
  <c r="DM1597" i="1"/>
  <c r="DL1597" i="1"/>
  <c r="DK1597" i="1"/>
  <c r="DI1597" i="1"/>
  <c r="DJ1597" i="1" s="1"/>
  <c r="DB1597" i="1"/>
  <c r="DC1597" i="1" s="1"/>
  <c r="CX1597" i="1"/>
  <c r="CN1597" i="1"/>
  <c r="CR1597" i="1" s="1"/>
  <c r="BV1597" i="1"/>
  <c r="BX1597" i="1" s="1"/>
  <c r="BU1597" i="1"/>
  <c r="BT1597" i="1"/>
  <c r="BS1597" i="1"/>
  <c r="BD1597" i="1"/>
  <c r="BC1597" i="1"/>
  <c r="BB1597" i="1"/>
  <c r="BA1597" i="1"/>
  <c r="AZ1597" i="1"/>
  <c r="BF1597" i="1" s="1" a="1"/>
  <c r="BF1597" i="1" s="1"/>
  <c r="AY1597" i="1"/>
  <c r="BE1597" i="1" s="1" a="1"/>
  <c r="BE1597" i="1" s="1"/>
  <c r="AX1597" i="1"/>
  <c r="M1597" i="1"/>
  <c r="EM1596" i="1"/>
  <c r="EL1596" i="1"/>
  <c r="EK1596" i="1"/>
  <c r="DU1596" i="1"/>
  <c r="DT1596" i="1"/>
  <c r="DN1596" i="1"/>
  <c r="DM1596" i="1"/>
  <c r="DL1596" i="1"/>
  <c r="DK1596" i="1"/>
  <c r="DI1596" i="1"/>
  <c r="DJ1596" i="1" s="1"/>
  <c r="DB1596" i="1"/>
  <c r="DC1596" i="1" s="1"/>
  <c r="CX1596" i="1"/>
  <c r="CN1596" i="1"/>
  <c r="BT1596" i="1"/>
  <c r="BV1596" i="1" s="1"/>
  <c r="BX1596" i="1" s="1"/>
  <c r="BY1596" i="1" s="1"/>
  <c r="BS1596" i="1"/>
  <c r="BD1596" i="1"/>
  <c r="BC1596" i="1"/>
  <c r="BB1596" i="1"/>
  <c r="BA1596" i="1"/>
  <c r="AZ1596" i="1"/>
  <c r="BF1596" i="1" s="1" a="1"/>
  <c r="BF1596" i="1" s="1"/>
  <c r="AY1596" i="1"/>
  <c r="BE1596" i="1" s="1" a="1"/>
  <c r="BE1596" i="1" s="1"/>
  <c r="AX1596" i="1"/>
  <c r="M1596" i="1"/>
  <c r="EM1595" i="1"/>
  <c r="EL1595" i="1"/>
  <c r="EK1595" i="1"/>
  <c r="DU1595" i="1"/>
  <c r="DT1595" i="1"/>
  <c r="DN1595" i="1"/>
  <c r="DM1595" i="1"/>
  <c r="DL1595" i="1"/>
  <c r="DK1595" i="1"/>
  <c r="DI1595" i="1"/>
  <c r="DJ1595" i="1" s="1"/>
  <c r="DB1595" i="1"/>
  <c r="DC1595" i="1" s="1"/>
  <c r="CX1595" i="1"/>
  <c r="CN1595" i="1"/>
  <c r="CO1595" i="1" s="1"/>
  <c r="BV1595" i="1"/>
  <c r="BX1595" i="1" s="1"/>
  <c r="BT1595" i="1"/>
  <c r="BS1595" i="1"/>
  <c r="BD1595" i="1"/>
  <c r="BC1595" i="1"/>
  <c r="BB1595" i="1"/>
  <c r="BA1595" i="1"/>
  <c r="AZ1595" i="1"/>
  <c r="BF1595" i="1" s="1" a="1"/>
  <c r="BF1595" i="1" s="1"/>
  <c r="AY1595" i="1"/>
  <c r="AX1595" i="1"/>
  <c r="M1595" i="1"/>
  <c r="EM1594" i="1"/>
  <c r="EL1594" i="1"/>
  <c r="EK1594" i="1"/>
  <c r="DU1594" i="1"/>
  <c r="DT1594" i="1"/>
  <c r="DN1594" i="1"/>
  <c r="DM1594" i="1"/>
  <c r="DL1594" i="1"/>
  <c r="DK1594" i="1"/>
  <c r="DI1594" i="1"/>
  <c r="DJ1594" i="1" s="1"/>
  <c r="DB1594" i="1"/>
  <c r="DC1594" i="1" s="1"/>
  <c r="CX1594" i="1"/>
  <c r="CN1594" i="1"/>
  <c r="CS1594" i="1" s="1"/>
  <c r="BT1594" i="1"/>
  <c r="BV1594" i="1" s="1"/>
  <c r="BX1594" i="1" s="1"/>
  <c r="BY1594" i="1" s="1"/>
  <c r="BS1594" i="1"/>
  <c r="BD1594" i="1"/>
  <c r="BC1594" i="1"/>
  <c r="BB1594" i="1"/>
  <c r="BA1594" i="1"/>
  <c r="AZ1594" i="1"/>
  <c r="BF1594" i="1" s="1" a="1"/>
  <c r="BF1594" i="1" s="1"/>
  <c r="AY1594" i="1"/>
  <c r="BE1594" i="1" s="1" a="1"/>
  <c r="BE1594" i="1" s="1"/>
  <c r="AX1594" i="1"/>
  <c r="M1594" i="1"/>
  <c r="EM1593" i="1"/>
  <c r="EL1593" i="1"/>
  <c r="EK1593" i="1"/>
  <c r="DU1593" i="1"/>
  <c r="DT1593" i="1"/>
  <c r="DN1593" i="1"/>
  <c r="DM1593" i="1"/>
  <c r="DL1593" i="1"/>
  <c r="DK1593" i="1"/>
  <c r="DI1593" i="1"/>
  <c r="DJ1593" i="1" s="1"/>
  <c r="DB1593" i="1"/>
  <c r="DC1593" i="1" s="1"/>
  <c r="CX1593" i="1"/>
  <c r="CN1593" i="1"/>
  <c r="CS1593" i="1" s="1"/>
  <c r="BT1593" i="1"/>
  <c r="BS1593" i="1"/>
  <c r="BD1593" i="1"/>
  <c r="BC1593" i="1"/>
  <c r="BB1593" i="1"/>
  <c r="BA1593" i="1"/>
  <c r="AZ1593" i="1"/>
  <c r="BF1593" i="1" s="1" a="1"/>
  <c r="BF1593" i="1" s="1"/>
  <c r="AY1593" i="1"/>
  <c r="BE1593" i="1" s="1" a="1"/>
  <c r="BE1593" i="1" s="1"/>
  <c r="AX1593" i="1"/>
  <c r="M1593" i="1"/>
  <c r="EM1592" i="1"/>
  <c r="EL1592" i="1"/>
  <c r="EK1592" i="1"/>
  <c r="DU1592" i="1"/>
  <c r="DT1592" i="1"/>
  <c r="DN1592" i="1"/>
  <c r="DM1592" i="1"/>
  <c r="DL1592" i="1"/>
  <c r="DK1592" i="1"/>
  <c r="DI1592" i="1"/>
  <c r="DJ1592" i="1" s="1"/>
  <c r="DB1592" i="1"/>
  <c r="DC1592" i="1" s="1"/>
  <c r="CX1592" i="1"/>
  <c r="CN1592" i="1"/>
  <c r="CR1592" i="1" s="1"/>
  <c r="BV1592" i="1"/>
  <c r="BX1592" i="1" s="1"/>
  <c r="BY1592" i="1" s="1"/>
  <c r="BU1592" i="1"/>
  <c r="BN1592" i="1"/>
  <c r="BO1592" i="1" s="1"/>
  <c r="BD1592" i="1"/>
  <c r="BC1592" i="1"/>
  <c r="BB1592" i="1"/>
  <c r="BA1592" i="1"/>
  <c r="AZ1592" i="1"/>
  <c r="BF1592" i="1" s="1" a="1"/>
  <c r="BF1592" i="1" s="1"/>
  <c r="AY1592" i="1"/>
  <c r="BE1592" i="1" s="1" a="1"/>
  <c r="BE1592" i="1" s="1"/>
  <c r="AX1592" i="1"/>
  <c r="M1592" i="1"/>
  <c r="EM1591" i="1"/>
  <c r="EL1591" i="1"/>
  <c r="EK1591" i="1"/>
  <c r="DU1591" i="1"/>
  <c r="DT1591" i="1"/>
  <c r="DN1591" i="1"/>
  <c r="DM1591" i="1"/>
  <c r="DL1591" i="1"/>
  <c r="DK1591" i="1"/>
  <c r="DI1591" i="1"/>
  <c r="DJ1591" i="1" s="1"/>
  <c r="DB1591" i="1"/>
  <c r="DC1591" i="1" s="1"/>
  <c r="CX1591" i="1"/>
  <c r="CN1591" i="1"/>
  <c r="BV1591" i="1"/>
  <c r="BX1591" i="1" s="1"/>
  <c r="BU1591" i="1"/>
  <c r="BN1591" i="1"/>
  <c r="BO1591" i="1" s="1"/>
  <c r="BD1591" i="1"/>
  <c r="BC1591" i="1"/>
  <c r="BB1591" i="1"/>
  <c r="BA1591" i="1"/>
  <c r="AZ1591" i="1"/>
  <c r="BF1591" i="1" s="1" a="1"/>
  <c r="BF1591" i="1" s="1"/>
  <c r="AY1591" i="1"/>
  <c r="BE1591" i="1" s="1" a="1"/>
  <c r="BE1591" i="1" s="1"/>
  <c r="AX1591" i="1"/>
  <c r="M1591" i="1"/>
  <c r="EM1590" i="1"/>
  <c r="EL1590" i="1"/>
  <c r="EK1590" i="1"/>
  <c r="DU1590" i="1"/>
  <c r="DT1590" i="1"/>
  <c r="DN1590" i="1"/>
  <c r="DM1590" i="1"/>
  <c r="DL1590" i="1"/>
  <c r="DK1590" i="1"/>
  <c r="DI1590" i="1"/>
  <c r="DJ1590" i="1" s="1"/>
  <c r="DB1590" i="1"/>
  <c r="DC1590" i="1" s="1"/>
  <c r="CX1590" i="1"/>
  <c r="CN1590" i="1"/>
  <c r="BV1590" i="1"/>
  <c r="BX1590" i="1" s="1"/>
  <c r="BU1590" i="1"/>
  <c r="BN1590" i="1"/>
  <c r="BO1590" i="1" s="1"/>
  <c r="BD1590" i="1"/>
  <c r="BC1590" i="1"/>
  <c r="BB1590" i="1"/>
  <c r="BA1590" i="1"/>
  <c r="AZ1590" i="1"/>
  <c r="BF1590" i="1" s="1" a="1"/>
  <c r="BF1590" i="1" s="1"/>
  <c r="AY1590" i="1"/>
  <c r="BE1590" i="1" s="1" a="1"/>
  <c r="BE1590" i="1" s="1"/>
  <c r="AX1590" i="1"/>
  <c r="M1590" i="1"/>
  <c r="EM1589" i="1"/>
  <c r="EL1589" i="1"/>
  <c r="EK1589" i="1"/>
  <c r="DU1589" i="1"/>
  <c r="DT1589" i="1"/>
  <c r="DN1589" i="1"/>
  <c r="DM1589" i="1"/>
  <c r="DL1589" i="1"/>
  <c r="DK1589" i="1"/>
  <c r="DI1589" i="1"/>
  <c r="DJ1589" i="1" s="1"/>
  <c r="DB1589" i="1"/>
  <c r="DC1589" i="1" s="1"/>
  <c r="CX1589" i="1"/>
  <c r="CN1589" i="1"/>
  <c r="CS1589" i="1" s="1"/>
  <c r="BV1589" i="1"/>
  <c r="BX1589" i="1" s="1"/>
  <c r="BU1589" i="1"/>
  <c r="BN1589" i="1"/>
  <c r="BO1589" i="1" s="1"/>
  <c r="BD1589" i="1"/>
  <c r="BC1589" i="1"/>
  <c r="BB1589" i="1"/>
  <c r="BA1589" i="1"/>
  <c r="AZ1589" i="1"/>
  <c r="BF1589" i="1" s="1" a="1"/>
  <c r="BF1589" i="1" s="1"/>
  <c r="AY1589" i="1"/>
  <c r="BE1589" i="1" s="1" a="1"/>
  <c r="BE1589" i="1" s="1"/>
  <c r="AX1589" i="1"/>
  <c r="M1589" i="1"/>
  <c r="EM1588" i="1"/>
  <c r="EL1588" i="1"/>
  <c r="EK1588" i="1"/>
  <c r="DU1588" i="1"/>
  <c r="DT1588" i="1"/>
  <c r="DN1588" i="1"/>
  <c r="DM1588" i="1"/>
  <c r="DL1588" i="1"/>
  <c r="DK1588" i="1"/>
  <c r="DI1588" i="1"/>
  <c r="DJ1588" i="1" s="1"/>
  <c r="DB1588" i="1"/>
  <c r="DC1588" i="1" s="1"/>
  <c r="CX1588" i="1"/>
  <c r="CN1588" i="1"/>
  <c r="CS1588" i="1" s="1"/>
  <c r="BV1588" i="1"/>
  <c r="BX1588" i="1" s="1"/>
  <c r="BU1588" i="1"/>
  <c r="BN1588" i="1"/>
  <c r="BO1588" i="1" s="1"/>
  <c r="BD1588" i="1"/>
  <c r="BC1588" i="1"/>
  <c r="BB1588" i="1"/>
  <c r="BA1588" i="1"/>
  <c r="AZ1588" i="1"/>
  <c r="BF1588" i="1" s="1" a="1"/>
  <c r="BF1588" i="1" s="1"/>
  <c r="AY1588" i="1"/>
  <c r="BE1588" i="1" s="1" a="1"/>
  <c r="BE1588" i="1" s="1"/>
  <c r="AX1588" i="1"/>
  <c r="M1588" i="1"/>
  <c r="EM1587" i="1"/>
  <c r="EL1587" i="1"/>
  <c r="EK1587" i="1"/>
  <c r="DU1587" i="1"/>
  <c r="DT1587" i="1"/>
  <c r="DN1587" i="1"/>
  <c r="DM1587" i="1"/>
  <c r="DL1587" i="1"/>
  <c r="DK1587" i="1"/>
  <c r="DI1587" i="1"/>
  <c r="DJ1587" i="1" s="1"/>
  <c r="DB1587" i="1"/>
  <c r="DC1587" i="1" s="1"/>
  <c r="CX1587" i="1"/>
  <c r="CN1587" i="1"/>
  <c r="CS1587" i="1" s="1"/>
  <c r="BV1587" i="1"/>
  <c r="BX1587" i="1" s="1"/>
  <c r="BU1587" i="1"/>
  <c r="BN1587" i="1"/>
  <c r="BO1587" i="1" s="1"/>
  <c r="BD1587" i="1"/>
  <c r="BC1587" i="1"/>
  <c r="BB1587" i="1"/>
  <c r="BA1587" i="1"/>
  <c r="AZ1587" i="1"/>
  <c r="BF1587" i="1" s="1" a="1"/>
  <c r="BF1587" i="1" s="1"/>
  <c r="AY1587" i="1"/>
  <c r="BE1587" i="1" s="1" a="1"/>
  <c r="BE1587" i="1" s="1"/>
  <c r="AX1587" i="1"/>
  <c r="M1587" i="1"/>
  <c r="EM1586" i="1"/>
  <c r="EL1586" i="1"/>
  <c r="EK1586" i="1"/>
  <c r="DU1586" i="1"/>
  <c r="DT1586" i="1"/>
  <c r="DN1586" i="1"/>
  <c r="DM1586" i="1"/>
  <c r="DL1586" i="1"/>
  <c r="DK1586" i="1"/>
  <c r="DJ1586" i="1"/>
  <c r="DI1586" i="1"/>
  <c r="DB1586" i="1"/>
  <c r="DC1586" i="1" s="1"/>
  <c r="CX1586" i="1"/>
  <c r="CN1586" i="1"/>
  <c r="BV1586" i="1"/>
  <c r="BX1586" i="1" s="1"/>
  <c r="BU1586" i="1"/>
  <c r="BN1586" i="1"/>
  <c r="BO1586" i="1" s="1"/>
  <c r="BD1586" i="1"/>
  <c r="BC1586" i="1"/>
  <c r="BB1586" i="1"/>
  <c r="BA1586" i="1"/>
  <c r="AZ1586" i="1"/>
  <c r="BF1586" i="1" s="1" a="1"/>
  <c r="BF1586" i="1" s="1"/>
  <c r="AY1586" i="1"/>
  <c r="BE1586" i="1" s="1" a="1"/>
  <c r="BE1586" i="1" s="1"/>
  <c r="AX1586" i="1"/>
  <c r="M1586" i="1"/>
  <c r="EM1585" i="1"/>
  <c r="EL1585" i="1"/>
  <c r="EK1585" i="1"/>
  <c r="DU1585" i="1"/>
  <c r="DT1585" i="1"/>
  <c r="DN1585" i="1"/>
  <c r="DM1585" i="1"/>
  <c r="DL1585" i="1"/>
  <c r="DK1585" i="1"/>
  <c r="DI1585" i="1"/>
  <c r="DJ1585" i="1" s="1"/>
  <c r="DB1585" i="1"/>
  <c r="DC1585" i="1" s="1"/>
  <c r="CX1585" i="1"/>
  <c r="CN1585" i="1"/>
  <c r="CR1585" i="1" s="1"/>
  <c r="BV1585" i="1"/>
  <c r="BX1585" i="1" s="1"/>
  <c r="BU1585" i="1"/>
  <c r="BN1585" i="1"/>
  <c r="BO1585" i="1" s="1"/>
  <c r="BD1585" i="1"/>
  <c r="BC1585" i="1"/>
  <c r="BB1585" i="1"/>
  <c r="BA1585" i="1"/>
  <c r="AZ1585" i="1"/>
  <c r="BF1585" i="1" s="1" a="1"/>
  <c r="BF1585" i="1" s="1"/>
  <c r="AY1585" i="1"/>
  <c r="BE1585" i="1" s="1" a="1"/>
  <c r="BE1585" i="1" s="1"/>
  <c r="AX1585" i="1"/>
  <c r="M1585" i="1"/>
  <c r="EM1584" i="1"/>
  <c r="EL1584" i="1"/>
  <c r="EK1584" i="1"/>
  <c r="DU1584" i="1"/>
  <c r="DT1584" i="1"/>
  <c r="DN1584" i="1"/>
  <c r="DM1584" i="1"/>
  <c r="DL1584" i="1"/>
  <c r="DK1584" i="1"/>
  <c r="DI1584" i="1"/>
  <c r="DJ1584" i="1" s="1"/>
  <c r="DB1584" i="1"/>
  <c r="DC1584" i="1" s="1"/>
  <c r="CX1584" i="1"/>
  <c r="CN1584" i="1"/>
  <c r="CR1584" i="1" s="1"/>
  <c r="BV1584" i="1"/>
  <c r="BX1584" i="1" s="1"/>
  <c r="BU1584" i="1"/>
  <c r="BN1584" i="1"/>
  <c r="BO1584" i="1" s="1"/>
  <c r="BD1584" i="1"/>
  <c r="BC1584" i="1"/>
  <c r="BB1584" i="1"/>
  <c r="BA1584" i="1"/>
  <c r="AZ1584" i="1"/>
  <c r="BF1584" i="1" s="1" a="1"/>
  <c r="BF1584" i="1" s="1"/>
  <c r="AY1584" i="1"/>
  <c r="BE1584" i="1" s="1" a="1"/>
  <c r="BE1584" i="1" s="1"/>
  <c r="AX1584" i="1"/>
  <c r="M1584" i="1"/>
  <c r="EM1583" i="1"/>
  <c r="EL1583" i="1"/>
  <c r="EK1583" i="1"/>
  <c r="DU1583" i="1"/>
  <c r="DT1583" i="1"/>
  <c r="DN1583" i="1"/>
  <c r="DM1583" i="1"/>
  <c r="DL1583" i="1"/>
  <c r="DK1583" i="1"/>
  <c r="DI1583" i="1"/>
  <c r="DJ1583" i="1" s="1"/>
  <c r="DB1583" i="1"/>
  <c r="DC1583" i="1" s="1"/>
  <c r="CX1583" i="1"/>
  <c r="CN1583" i="1"/>
  <c r="BV1583" i="1"/>
  <c r="BX1583" i="1" s="1"/>
  <c r="BU1583" i="1"/>
  <c r="BN1583" i="1"/>
  <c r="BO1583" i="1" s="1"/>
  <c r="BD1583" i="1"/>
  <c r="BC1583" i="1"/>
  <c r="BB1583" i="1"/>
  <c r="BA1583" i="1"/>
  <c r="AZ1583" i="1"/>
  <c r="BF1583" i="1" s="1" a="1"/>
  <c r="BF1583" i="1" s="1"/>
  <c r="AY1583" i="1"/>
  <c r="BE1583" i="1" s="1" a="1"/>
  <c r="BE1583" i="1" s="1"/>
  <c r="AX1583" i="1"/>
  <c r="M1583" i="1"/>
  <c r="EM1582" i="1"/>
  <c r="EL1582" i="1"/>
  <c r="EK1582" i="1"/>
  <c r="DU1582" i="1"/>
  <c r="DT1582" i="1"/>
  <c r="DN1582" i="1"/>
  <c r="DM1582" i="1"/>
  <c r="DL1582" i="1"/>
  <c r="DK1582" i="1"/>
  <c r="DI1582" i="1"/>
  <c r="DJ1582" i="1" s="1"/>
  <c r="DB1582" i="1"/>
  <c r="DC1582" i="1" s="1"/>
  <c r="CX1582" i="1"/>
  <c r="CN1582" i="1"/>
  <c r="CR1582" i="1" s="1"/>
  <c r="BV1582" i="1"/>
  <c r="BX1582" i="1" s="1"/>
  <c r="BU1582" i="1"/>
  <c r="BN1582" i="1"/>
  <c r="BO1582" i="1" s="1"/>
  <c r="BD1582" i="1"/>
  <c r="BC1582" i="1"/>
  <c r="BB1582" i="1"/>
  <c r="BA1582" i="1"/>
  <c r="AZ1582" i="1"/>
  <c r="BF1582" i="1" s="1" a="1"/>
  <c r="BF1582" i="1" s="1"/>
  <c r="AY1582" i="1"/>
  <c r="BE1582" i="1" s="1" a="1"/>
  <c r="BE1582" i="1" s="1"/>
  <c r="AX1582" i="1"/>
  <c r="M1582" i="1"/>
  <c r="EM1581" i="1"/>
  <c r="EL1581" i="1"/>
  <c r="EK1581" i="1"/>
  <c r="DU1581" i="1"/>
  <c r="DT1581" i="1"/>
  <c r="DN1581" i="1"/>
  <c r="DM1581" i="1"/>
  <c r="DL1581" i="1"/>
  <c r="DK1581" i="1"/>
  <c r="DI1581" i="1"/>
  <c r="DJ1581" i="1" s="1"/>
  <c r="DB1581" i="1"/>
  <c r="DC1581" i="1" s="1"/>
  <c r="CX1581" i="1"/>
  <c r="CN1581" i="1"/>
  <c r="BV1581" i="1"/>
  <c r="BX1581" i="1" s="1"/>
  <c r="BU1581" i="1"/>
  <c r="BN1581" i="1"/>
  <c r="BO1581" i="1" s="1"/>
  <c r="BD1581" i="1"/>
  <c r="BC1581" i="1"/>
  <c r="BB1581" i="1"/>
  <c r="BA1581" i="1"/>
  <c r="AZ1581" i="1"/>
  <c r="BF1581" i="1" s="1" a="1"/>
  <c r="BF1581" i="1" s="1"/>
  <c r="AY1581" i="1"/>
  <c r="BE1581" i="1" s="1" a="1"/>
  <c r="BE1581" i="1" s="1"/>
  <c r="AX1581" i="1"/>
  <c r="M1581" i="1"/>
  <c r="EM1580" i="1"/>
  <c r="EL1580" i="1"/>
  <c r="EK1580" i="1"/>
  <c r="DU1580" i="1"/>
  <c r="DT1580" i="1"/>
  <c r="DN1580" i="1"/>
  <c r="DM1580" i="1"/>
  <c r="DL1580" i="1"/>
  <c r="DK1580" i="1"/>
  <c r="DI1580" i="1"/>
  <c r="DJ1580" i="1" s="1"/>
  <c r="DB1580" i="1"/>
  <c r="DC1580" i="1" s="1"/>
  <c r="CX1580" i="1"/>
  <c r="CN1580" i="1"/>
  <c r="CR1580" i="1" s="1"/>
  <c r="BV1580" i="1"/>
  <c r="BX1580" i="1" s="1"/>
  <c r="BU1580" i="1"/>
  <c r="BN1580" i="1"/>
  <c r="BO1580" i="1" s="1"/>
  <c r="BD1580" i="1"/>
  <c r="BC1580" i="1"/>
  <c r="BB1580" i="1"/>
  <c r="BA1580" i="1"/>
  <c r="AZ1580" i="1"/>
  <c r="BF1580" i="1" s="1" a="1"/>
  <c r="BF1580" i="1" s="1"/>
  <c r="AY1580" i="1"/>
  <c r="BE1580" i="1" s="1" a="1"/>
  <c r="BE1580" i="1" s="1"/>
  <c r="AX1580" i="1"/>
  <c r="M1580" i="1"/>
  <c r="EM1579" i="1"/>
  <c r="EL1579" i="1"/>
  <c r="EK1579" i="1"/>
  <c r="DU1579" i="1"/>
  <c r="DT1579" i="1"/>
  <c r="DN1579" i="1"/>
  <c r="DM1579" i="1"/>
  <c r="DL1579" i="1"/>
  <c r="DK1579" i="1"/>
  <c r="DI1579" i="1"/>
  <c r="DJ1579" i="1" s="1"/>
  <c r="DB1579" i="1"/>
  <c r="DC1579" i="1" s="1"/>
  <c r="CX1579" i="1"/>
  <c r="CN1579" i="1"/>
  <c r="BV1579" i="1"/>
  <c r="BX1579" i="1" s="1"/>
  <c r="BU1579" i="1"/>
  <c r="BN1579" i="1"/>
  <c r="BO1579" i="1" s="1"/>
  <c r="BD1579" i="1"/>
  <c r="BC1579" i="1"/>
  <c r="BB1579" i="1"/>
  <c r="BA1579" i="1"/>
  <c r="AZ1579" i="1"/>
  <c r="BF1579" i="1" s="1" a="1"/>
  <c r="BF1579" i="1" s="1"/>
  <c r="AY1579" i="1"/>
  <c r="BE1579" i="1" s="1" a="1"/>
  <c r="BE1579" i="1" s="1"/>
  <c r="AX1579" i="1"/>
  <c r="M1579" i="1"/>
  <c r="EM1578" i="1"/>
  <c r="EL1578" i="1"/>
  <c r="EK1578" i="1"/>
  <c r="DU1578" i="1"/>
  <c r="DT1578" i="1"/>
  <c r="DN1578" i="1"/>
  <c r="DM1578" i="1"/>
  <c r="DL1578" i="1"/>
  <c r="DK1578" i="1"/>
  <c r="DI1578" i="1"/>
  <c r="DJ1578" i="1" s="1"/>
  <c r="DB1578" i="1"/>
  <c r="DC1578" i="1" s="1"/>
  <c r="CX1578" i="1"/>
  <c r="CN1578" i="1"/>
  <c r="CR1578" i="1" s="1"/>
  <c r="BV1578" i="1"/>
  <c r="BX1578" i="1" s="1"/>
  <c r="BU1578" i="1"/>
  <c r="BN1578" i="1"/>
  <c r="BO1578" i="1" s="1"/>
  <c r="BD1578" i="1"/>
  <c r="BC1578" i="1"/>
  <c r="BB1578" i="1"/>
  <c r="BA1578" i="1"/>
  <c r="AZ1578" i="1"/>
  <c r="BF1578" i="1" s="1" a="1"/>
  <c r="BF1578" i="1" s="1"/>
  <c r="AY1578" i="1"/>
  <c r="BE1578" i="1" s="1" a="1"/>
  <c r="BE1578" i="1" s="1"/>
  <c r="AX1578" i="1"/>
  <c r="M1578" i="1"/>
  <c r="EM1577" i="1"/>
  <c r="EL1577" i="1"/>
  <c r="EK1577" i="1"/>
  <c r="DU1577" i="1"/>
  <c r="DT1577" i="1"/>
  <c r="DN1577" i="1"/>
  <c r="DM1577" i="1"/>
  <c r="DL1577" i="1"/>
  <c r="DK1577" i="1"/>
  <c r="DI1577" i="1"/>
  <c r="DJ1577" i="1" s="1"/>
  <c r="DC1577" i="1"/>
  <c r="CX1577" i="1"/>
  <c r="CN1577" i="1"/>
  <c r="BV1577" i="1"/>
  <c r="BX1577" i="1" s="1"/>
  <c r="BU1577" i="1"/>
  <c r="BN1577" i="1"/>
  <c r="BO1577" i="1" s="1"/>
  <c r="BD1577" i="1"/>
  <c r="BC1577" i="1"/>
  <c r="BB1577" i="1"/>
  <c r="BA1577" i="1"/>
  <c r="AZ1577" i="1"/>
  <c r="BF1577" i="1" s="1" a="1"/>
  <c r="BF1577" i="1" s="1"/>
  <c r="AY1577" i="1"/>
  <c r="BE1577" i="1" s="1" a="1"/>
  <c r="BE1577" i="1" s="1"/>
  <c r="AX1577" i="1"/>
  <c r="M1577" i="1"/>
  <c r="EM1576" i="1"/>
  <c r="EL1576" i="1"/>
  <c r="EK1576" i="1"/>
  <c r="DU1576" i="1"/>
  <c r="DT1576" i="1"/>
  <c r="DN1576" i="1"/>
  <c r="DM1576" i="1"/>
  <c r="DL1576" i="1"/>
  <c r="DK1576" i="1"/>
  <c r="DI1576" i="1"/>
  <c r="DJ1576" i="1" s="1"/>
  <c r="DC1576" i="1"/>
  <c r="CX1576" i="1"/>
  <c r="CN1576" i="1"/>
  <c r="CO1576" i="1" s="1"/>
  <c r="BX1576" i="1"/>
  <c r="BV1576" i="1"/>
  <c r="BU1576" i="1"/>
  <c r="BN1576" i="1"/>
  <c r="BO1576" i="1" s="1"/>
  <c r="BE1576" i="1" a="1"/>
  <c r="BE1576" i="1" s="1"/>
  <c r="BD1576" i="1"/>
  <c r="BC1576" i="1"/>
  <c r="BB1576" i="1"/>
  <c r="BA1576" i="1"/>
  <c r="AZ1576" i="1"/>
  <c r="BF1576" i="1" s="1" a="1"/>
  <c r="BF1576" i="1" s="1"/>
  <c r="AY1576" i="1"/>
  <c r="AX1576" i="1"/>
  <c r="M1576" i="1"/>
  <c r="EM1575" i="1"/>
  <c r="EL1575" i="1"/>
  <c r="EK1575" i="1"/>
  <c r="DU1575" i="1"/>
  <c r="DT1575" i="1"/>
  <c r="DN1575" i="1"/>
  <c r="DM1575" i="1"/>
  <c r="DL1575" i="1"/>
  <c r="DK1575" i="1"/>
  <c r="DI1575" i="1"/>
  <c r="DJ1575" i="1" s="1"/>
  <c r="DC1575" i="1"/>
  <c r="CX1575" i="1"/>
  <c r="CN1575" i="1"/>
  <c r="CP1575" i="1" s="1"/>
  <c r="BV1575" i="1"/>
  <c r="BX1575" i="1" s="1"/>
  <c r="BU1575" i="1"/>
  <c r="BN1575" i="1"/>
  <c r="BO1575" i="1" s="1"/>
  <c r="BD1575" i="1"/>
  <c r="BC1575" i="1"/>
  <c r="BB1575" i="1"/>
  <c r="BA1575" i="1"/>
  <c r="AZ1575" i="1"/>
  <c r="BF1575" i="1" s="1" a="1"/>
  <c r="BF1575" i="1" s="1"/>
  <c r="AY1575" i="1"/>
  <c r="BE1575" i="1" s="1" a="1"/>
  <c r="BE1575" i="1" s="1"/>
  <c r="AX1575" i="1"/>
  <c r="M1575" i="1"/>
  <c r="EM1574" i="1"/>
  <c r="EL1574" i="1"/>
  <c r="EK1574" i="1"/>
  <c r="DU1574" i="1"/>
  <c r="DT1574" i="1"/>
  <c r="DN1574" i="1"/>
  <c r="DM1574" i="1"/>
  <c r="DL1574" i="1"/>
  <c r="DK1574" i="1"/>
  <c r="DI1574" i="1"/>
  <c r="DJ1574" i="1" s="1"/>
  <c r="DC1574" i="1"/>
  <c r="CX1574" i="1"/>
  <c r="CN1574" i="1"/>
  <c r="CP1574" i="1" s="1"/>
  <c r="BV1574" i="1"/>
  <c r="BX1574" i="1" s="1"/>
  <c r="BU1574" i="1"/>
  <c r="BN1574" i="1"/>
  <c r="BO1574" i="1" s="1"/>
  <c r="BD1574" i="1"/>
  <c r="BC1574" i="1"/>
  <c r="BB1574" i="1"/>
  <c r="BA1574" i="1"/>
  <c r="AZ1574" i="1"/>
  <c r="BF1574" i="1" s="1" a="1"/>
  <c r="BF1574" i="1" s="1"/>
  <c r="AY1574" i="1"/>
  <c r="BE1574" i="1" s="1" a="1"/>
  <c r="BE1574" i="1" s="1"/>
  <c r="AX1574" i="1"/>
  <c r="M1574" i="1"/>
  <c r="EM1573" i="1"/>
  <c r="EL1573" i="1"/>
  <c r="EK1573" i="1"/>
  <c r="DU1573" i="1"/>
  <c r="DT1573" i="1"/>
  <c r="DN1573" i="1"/>
  <c r="DM1573" i="1"/>
  <c r="DL1573" i="1"/>
  <c r="DK1573" i="1"/>
  <c r="DI1573" i="1"/>
  <c r="DJ1573" i="1" s="1"/>
  <c r="DB1573" i="1"/>
  <c r="DC1573" i="1" s="1"/>
  <c r="CX1573" i="1"/>
  <c r="CN1573" i="1"/>
  <c r="CT1573" i="1" s="1"/>
  <c r="CU1573" i="1" s="1"/>
  <c r="BY1573" i="1"/>
  <c r="BV1573" i="1"/>
  <c r="BU1573" i="1"/>
  <c r="BD1573" i="1"/>
  <c r="BC1573" i="1"/>
  <c r="BB1573" i="1"/>
  <c r="BA1573" i="1"/>
  <c r="AZ1573" i="1"/>
  <c r="BF1573" i="1" s="1" a="1"/>
  <c r="BF1573" i="1" s="1"/>
  <c r="AY1573" i="1"/>
  <c r="BE1573" i="1" s="1" a="1"/>
  <c r="BE1573" i="1" s="1"/>
  <c r="AX1573" i="1"/>
  <c r="M1573" i="1"/>
  <c r="EM1572" i="1"/>
  <c r="EL1572" i="1"/>
  <c r="EK1572" i="1"/>
  <c r="DU1572" i="1"/>
  <c r="DT1572" i="1"/>
  <c r="DN1572" i="1"/>
  <c r="DM1572" i="1"/>
  <c r="DL1572" i="1"/>
  <c r="DK1572" i="1"/>
  <c r="DI1572" i="1"/>
  <c r="DJ1572" i="1" s="1"/>
  <c r="DB1572" i="1"/>
  <c r="DC1572" i="1" s="1"/>
  <c r="CX1572" i="1"/>
  <c r="CN1572" i="1"/>
  <c r="CS1572" i="1" s="1"/>
  <c r="BY1572" i="1"/>
  <c r="BV1572" i="1"/>
  <c r="BU1572" i="1"/>
  <c r="BD1572" i="1"/>
  <c r="BC1572" i="1"/>
  <c r="BB1572" i="1"/>
  <c r="BA1572" i="1"/>
  <c r="AZ1572" i="1"/>
  <c r="BF1572" i="1" s="1" a="1"/>
  <c r="BF1572" i="1" s="1"/>
  <c r="AY1572" i="1"/>
  <c r="BE1572" i="1" s="1" a="1"/>
  <c r="BE1572" i="1" s="1"/>
  <c r="AX1572" i="1"/>
  <c r="M1572" i="1"/>
  <c r="EM1571" i="1"/>
  <c r="EL1571" i="1"/>
  <c r="EK1571" i="1"/>
  <c r="DU1571" i="1"/>
  <c r="DT1571" i="1"/>
  <c r="DN1571" i="1"/>
  <c r="DM1571" i="1"/>
  <c r="DL1571" i="1"/>
  <c r="DK1571" i="1"/>
  <c r="DI1571" i="1"/>
  <c r="DJ1571" i="1" s="1"/>
  <c r="DB1571" i="1"/>
  <c r="DC1571" i="1" s="1"/>
  <c r="CX1571" i="1"/>
  <c r="CN1571" i="1"/>
  <c r="CT1571" i="1" s="1"/>
  <c r="CU1571" i="1" s="1"/>
  <c r="BY1571" i="1"/>
  <c r="BV1571" i="1"/>
  <c r="BU1571" i="1"/>
  <c r="BD1571" i="1"/>
  <c r="BC1571" i="1"/>
  <c r="BB1571" i="1"/>
  <c r="BA1571" i="1"/>
  <c r="AZ1571" i="1"/>
  <c r="BF1571" i="1" s="1" a="1"/>
  <c r="BF1571" i="1" s="1"/>
  <c r="AY1571" i="1"/>
  <c r="BE1571" i="1" s="1" a="1"/>
  <c r="BE1571" i="1" s="1"/>
  <c r="AX1571" i="1"/>
  <c r="M1571" i="1"/>
  <c r="EM1570" i="1"/>
  <c r="EL1570" i="1"/>
  <c r="EK1570" i="1"/>
  <c r="DU1570" i="1"/>
  <c r="DT1570" i="1"/>
  <c r="DN1570" i="1"/>
  <c r="DM1570" i="1"/>
  <c r="DL1570" i="1"/>
  <c r="DK1570" i="1"/>
  <c r="DI1570" i="1"/>
  <c r="DJ1570" i="1" s="1"/>
  <c r="DC1570" i="1"/>
  <c r="DB1570" i="1"/>
  <c r="CX1570" i="1"/>
  <c r="CN1570" i="1"/>
  <c r="CS1570" i="1" s="1"/>
  <c r="BY1570" i="1"/>
  <c r="BV1570" i="1"/>
  <c r="BU1570" i="1"/>
  <c r="BD1570" i="1"/>
  <c r="BC1570" i="1"/>
  <c r="BB1570" i="1"/>
  <c r="BA1570" i="1"/>
  <c r="AZ1570" i="1"/>
  <c r="BF1570" i="1" s="1" a="1"/>
  <c r="BF1570" i="1" s="1"/>
  <c r="AY1570" i="1"/>
  <c r="BE1570" i="1" s="1" a="1"/>
  <c r="BE1570" i="1" s="1"/>
  <c r="AX1570" i="1"/>
  <c r="M1570" i="1"/>
  <c r="EM1569" i="1"/>
  <c r="EL1569" i="1"/>
  <c r="EK1569" i="1"/>
  <c r="DU1569" i="1"/>
  <c r="DT1569" i="1"/>
  <c r="DN1569" i="1"/>
  <c r="DM1569" i="1"/>
  <c r="DL1569" i="1"/>
  <c r="DK1569" i="1"/>
  <c r="DI1569" i="1"/>
  <c r="DJ1569" i="1" s="1"/>
  <c r="DB1569" i="1"/>
  <c r="DC1569" i="1" s="1"/>
  <c r="CX1569" i="1"/>
  <c r="CN1569" i="1"/>
  <c r="CT1569" i="1" s="1"/>
  <c r="CU1569" i="1" s="1"/>
  <c r="BY1569" i="1"/>
  <c r="BV1569" i="1"/>
  <c r="BU1569" i="1"/>
  <c r="BD1569" i="1"/>
  <c r="BC1569" i="1"/>
  <c r="BB1569" i="1"/>
  <c r="BA1569" i="1"/>
  <c r="AZ1569" i="1"/>
  <c r="BF1569" i="1" s="1" a="1"/>
  <c r="BF1569" i="1" s="1"/>
  <c r="AY1569" i="1"/>
  <c r="BE1569" i="1" s="1" a="1"/>
  <c r="BE1569" i="1" s="1"/>
  <c r="AX1569" i="1"/>
  <c r="M1569" i="1"/>
  <c r="EM1568" i="1"/>
  <c r="EL1568" i="1"/>
  <c r="EK1568" i="1"/>
  <c r="DU1568" i="1"/>
  <c r="DT1568" i="1"/>
  <c r="DN1568" i="1"/>
  <c r="DM1568" i="1"/>
  <c r="DL1568" i="1"/>
  <c r="DK1568" i="1"/>
  <c r="DI1568" i="1"/>
  <c r="DJ1568" i="1" s="1"/>
  <c r="DB1568" i="1"/>
  <c r="DC1568" i="1" s="1"/>
  <c r="CX1568" i="1"/>
  <c r="CN1568" i="1"/>
  <c r="CR1568" i="1" s="1"/>
  <c r="BY1568" i="1"/>
  <c r="BV1568" i="1"/>
  <c r="BU1568" i="1"/>
  <c r="BD1568" i="1"/>
  <c r="BC1568" i="1"/>
  <c r="BB1568" i="1"/>
  <c r="BA1568" i="1"/>
  <c r="AZ1568" i="1"/>
  <c r="BF1568" i="1" s="1" a="1"/>
  <c r="BF1568" i="1" s="1"/>
  <c r="AY1568" i="1"/>
  <c r="BE1568" i="1" s="1" a="1"/>
  <c r="BE1568" i="1" s="1"/>
  <c r="AX1568" i="1"/>
  <c r="M1568" i="1"/>
  <c r="EM1567" i="1"/>
  <c r="EL1567" i="1"/>
  <c r="EK1567" i="1"/>
  <c r="DU1567" i="1"/>
  <c r="DT1567" i="1"/>
  <c r="DN1567" i="1"/>
  <c r="DM1567" i="1"/>
  <c r="DL1567" i="1"/>
  <c r="DK1567" i="1"/>
  <c r="DI1567" i="1"/>
  <c r="DJ1567" i="1" s="1"/>
  <c r="DB1567" i="1"/>
  <c r="DC1567" i="1" s="1"/>
  <c r="CX1567" i="1"/>
  <c r="CN1567" i="1"/>
  <c r="BV1567" i="1"/>
  <c r="BX1567" i="1" s="1"/>
  <c r="BY1567" i="1" s="1"/>
  <c r="BU1567" i="1"/>
  <c r="BD1567" i="1"/>
  <c r="BC1567" i="1"/>
  <c r="BB1567" i="1"/>
  <c r="BA1567" i="1"/>
  <c r="AZ1567" i="1"/>
  <c r="BF1567" i="1" s="1" a="1"/>
  <c r="BF1567" i="1" s="1"/>
  <c r="AY1567" i="1"/>
  <c r="BE1567" i="1" s="1" a="1"/>
  <c r="BE1567" i="1" s="1"/>
  <c r="AX1567" i="1"/>
  <c r="M1567" i="1"/>
  <c r="EM1566" i="1"/>
  <c r="EL1566" i="1"/>
  <c r="EK1566" i="1"/>
  <c r="DU1566" i="1"/>
  <c r="DT1566" i="1"/>
  <c r="DN1566" i="1"/>
  <c r="DM1566" i="1"/>
  <c r="DL1566" i="1"/>
  <c r="DK1566" i="1"/>
  <c r="DI1566" i="1"/>
  <c r="DJ1566" i="1" s="1"/>
  <c r="DB1566" i="1"/>
  <c r="DC1566" i="1" s="1"/>
  <c r="CX1566" i="1"/>
  <c r="CS1566" i="1"/>
  <c r="CR1566" i="1"/>
  <c r="CN1566" i="1"/>
  <c r="BV1566" i="1"/>
  <c r="BX1566" i="1" s="1"/>
  <c r="BU1566" i="1"/>
  <c r="BD1566" i="1"/>
  <c r="BC1566" i="1"/>
  <c r="BB1566" i="1"/>
  <c r="BA1566" i="1"/>
  <c r="AZ1566" i="1"/>
  <c r="BF1566" i="1" s="1" a="1"/>
  <c r="BF1566" i="1" s="1"/>
  <c r="AY1566" i="1"/>
  <c r="BE1566" i="1" s="1" a="1"/>
  <c r="BE1566" i="1" s="1"/>
  <c r="AX1566" i="1"/>
  <c r="M1566" i="1"/>
  <c r="EM1565" i="1"/>
  <c r="EL1565" i="1"/>
  <c r="EK1565" i="1"/>
  <c r="DU1565" i="1"/>
  <c r="DT1565" i="1"/>
  <c r="DN1565" i="1"/>
  <c r="DM1565" i="1"/>
  <c r="DL1565" i="1"/>
  <c r="DK1565" i="1"/>
  <c r="DI1565" i="1"/>
  <c r="DJ1565" i="1" s="1"/>
  <c r="DB1565" i="1"/>
  <c r="DC1565" i="1" s="1"/>
  <c r="CX1565" i="1"/>
  <c r="CT1565" i="1"/>
  <c r="CU1565" i="1" s="1"/>
  <c r="CN1565" i="1"/>
  <c r="CS1565" i="1" s="1"/>
  <c r="BY1565" i="1"/>
  <c r="BV1565" i="1"/>
  <c r="BU1565" i="1"/>
  <c r="BD1565" i="1"/>
  <c r="BC1565" i="1"/>
  <c r="BB1565" i="1"/>
  <c r="BA1565" i="1"/>
  <c r="AZ1565" i="1"/>
  <c r="BF1565" i="1" s="1" a="1"/>
  <c r="BF1565" i="1" s="1"/>
  <c r="AY1565" i="1"/>
  <c r="BE1565" i="1" s="1" a="1"/>
  <c r="BE1565" i="1" s="1"/>
  <c r="AX1565" i="1"/>
  <c r="M1565" i="1"/>
  <c r="EM1564" i="1"/>
  <c r="EL1564" i="1"/>
  <c r="EK1564" i="1"/>
  <c r="DU1564" i="1"/>
  <c r="DT1564" i="1"/>
  <c r="DN1564" i="1"/>
  <c r="DM1564" i="1"/>
  <c r="DL1564" i="1"/>
  <c r="DK1564" i="1"/>
  <c r="DI1564" i="1"/>
  <c r="DJ1564" i="1" s="1"/>
  <c r="DC1564" i="1"/>
  <c r="DB1564" i="1"/>
  <c r="CX1564" i="1"/>
  <c r="CN1564" i="1"/>
  <c r="BY1564" i="1"/>
  <c r="BV1564" i="1"/>
  <c r="BU1564" i="1"/>
  <c r="BD1564" i="1"/>
  <c r="BC1564" i="1"/>
  <c r="BB1564" i="1"/>
  <c r="BA1564" i="1"/>
  <c r="AZ1564" i="1"/>
  <c r="BF1564" i="1" s="1" a="1"/>
  <c r="BF1564" i="1" s="1"/>
  <c r="AY1564" i="1"/>
  <c r="BE1564" i="1" s="1" a="1"/>
  <c r="BE1564" i="1" s="1"/>
  <c r="AX1564" i="1"/>
  <c r="M1564" i="1"/>
  <c r="EM1563" i="1"/>
  <c r="EL1563" i="1"/>
  <c r="EK1563" i="1"/>
  <c r="DU1563" i="1"/>
  <c r="DT1563" i="1"/>
  <c r="DN1563" i="1"/>
  <c r="DM1563" i="1"/>
  <c r="DL1563" i="1"/>
  <c r="DK1563" i="1"/>
  <c r="DI1563" i="1"/>
  <c r="DJ1563" i="1" s="1"/>
  <c r="DB1563" i="1"/>
  <c r="DC1563" i="1" s="1"/>
  <c r="CX1563" i="1"/>
  <c r="CN1563" i="1"/>
  <c r="CS1563" i="1" s="1"/>
  <c r="BY1563" i="1"/>
  <c r="BV1563" i="1"/>
  <c r="BU1563" i="1"/>
  <c r="BE1563" i="1" a="1"/>
  <c r="BE1563" i="1" s="1"/>
  <c r="BD1563" i="1"/>
  <c r="BC1563" i="1"/>
  <c r="BB1563" i="1"/>
  <c r="BA1563" i="1"/>
  <c r="AZ1563" i="1"/>
  <c r="BF1563" i="1" s="1" a="1"/>
  <c r="BF1563" i="1" s="1"/>
  <c r="AY1563" i="1"/>
  <c r="AX1563" i="1"/>
  <c r="M1563" i="1"/>
  <c r="EM1562" i="1"/>
  <c r="EL1562" i="1"/>
  <c r="EK1562" i="1"/>
  <c r="DU1562" i="1"/>
  <c r="DT1562" i="1"/>
  <c r="DN1562" i="1"/>
  <c r="DM1562" i="1"/>
  <c r="DL1562" i="1"/>
  <c r="DK1562" i="1"/>
  <c r="DI1562" i="1"/>
  <c r="DJ1562" i="1" s="1"/>
  <c r="DB1562" i="1"/>
  <c r="DC1562" i="1" s="1"/>
  <c r="CX1562" i="1"/>
  <c r="CN1562" i="1"/>
  <c r="BY1562" i="1"/>
  <c r="BV1562" i="1"/>
  <c r="BU1562" i="1"/>
  <c r="BD1562" i="1"/>
  <c r="BC1562" i="1"/>
  <c r="BB1562" i="1"/>
  <c r="BA1562" i="1"/>
  <c r="AZ1562" i="1"/>
  <c r="BF1562" i="1" s="1" a="1"/>
  <c r="BF1562" i="1" s="1"/>
  <c r="AY1562" i="1"/>
  <c r="BE1562" i="1" s="1" a="1"/>
  <c r="BE1562" i="1" s="1"/>
  <c r="AX1562" i="1"/>
  <c r="M1562" i="1"/>
  <c r="EM1561" i="1"/>
  <c r="EL1561" i="1"/>
  <c r="EK1561" i="1"/>
  <c r="DU1561" i="1"/>
  <c r="DT1561" i="1"/>
  <c r="DN1561" i="1"/>
  <c r="DM1561" i="1"/>
  <c r="DL1561" i="1"/>
  <c r="DK1561" i="1"/>
  <c r="DI1561" i="1"/>
  <c r="DJ1561" i="1" s="1"/>
  <c r="DB1561" i="1"/>
  <c r="DC1561" i="1" s="1"/>
  <c r="CX1561" i="1"/>
  <c r="CN1561" i="1"/>
  <c r="BY1561" i="1"/>
  <c r="BV1561" i="1"/>
  <c r="BU1561" i="1"/>
  <c r="BD1561" i="1"/>
  <c r="BC1561" i="1"/>
  <c r="BB1561" i="1"/>
  <c r="BA1561" i="1"/>
  <c r="AZ1561" i="1"/>
  <c r="BF1561" i="1" s="1" a="1"/>
  <c r="BF1561" i="1" s="1"/>
  <c r="AY1561" i="1"/>
  <c r="BE1561" i="1" s="1" a="1"/>
  <c r="BE1561" i="1" s="1"/>
  <c r="AX1561" i="1"/>
  <c r="M1561" i="1"/>
  <c r="EM1560" i="1"/>
  <c r="EL1560" i="1"/>
  <c r="EK1560" i="1"/>
  <c r="DU1560" i="1"/>
  <c r="DT1560" i="1"/>
  <c r="DN1560" i="1"/>
  <c r="DM1560" i="1"/>
  <c r="DL1560" i="1"/>
  <c r="DK1560" i="1"/>
  <c r="DI1560" i="1"/>
  <c r="DJ1560" i="1" s="1"/>
  <c r="DB1560" i="1"/>
  <c r="DC1560" i="1" s="1"/>
  <c r="CX1560" i="1"/>
  <c r="CN1560" i="1"/>
  <c r="CR1560" i="1" s="1"/>
  <c r="BV1560" i="1"/>
  <c r="BX1560" i="1" s="1"/>
  <c r="BY1560" i="1" s="1"/>
  <c r="BU1560" i="1"/>
  <c r="BD1560" i="1"/>
  <c r="BC1560" i="1"/>
  <c r="BB1560" i="1"/>
  <c r="BA1560" i="1"/>
  <c r="AZ1560" i="1"/>
  <c r="BF1560" i="1" s="1" a="1"/>
  <c r="BF1560" i="1" s="1"/>
  <c r="AY1560" i="1"/>
  <c r="BE1560" i="1" s="1" a="1"/>
  <c r="BE1560" i="1" s="1"/>
  <c r="AX1560" i="1"/>
  <c r="M1560" i="1"/>
  <c r="EM1559" i="1"/>
  <c r="EL1559" i="1"/>
  <c r="EK1559" i="1"/>
  <c r="DU1559" i="1"/>
  <c r="DT1559" i="1"/>
  <c r="DN1559" i="1"/>
  <c r="DM1559" i="1"/>
  <c r="DL1559" i="1"/>
  <c r="DK1559" i="1"/>
  <c r="DI1559" i="1"/>
  <c r="DJ1559" i="1" s="1"/>
  <c r="DB1559" i="1"/>
  <c r="DC1559" i="1" s="1"/>
  <c r="CX1559" i="1"/>
  <c r="CN1559" i="1"/>
  <c r="BV1559" i="1"/>
  <c r="BX1559" i="1" s="1"/>
  <c r="BY1559" i="1" s="1"/>
  <c r="BU1559" i="1"/>
  <c r="BD1559" i="1"/>
  <c r="BC1559" i="1"/>
  <c r="BB1559" i="1"/>
  <c r="BA1559" i="1"/>
  <c r="AZ1559" i="1"/>
  <c r="BF1559" i="1" s="1" a="1"/>
  <c r="BF1559" i="1" s="1"/>
  <c r="AY1559" i="1"/>
  <c r="BE1559" i="1" s="1" a="1"/>
  <c r="BE1559" i="1" s="1"/>
  <c r="AX1559" i="1"/>
  <c r="M1559" i="1"/>
  <c r="EM1558" i="1"/>
  <c r="EL1558" i="1"/>
  <c r="EK1558" i="1"/>
  <c r="DU1558" i="1"/>
  <c r="DT1558" i="1"/>
  <c r="DN1558" i="1"/>
  <c r="DM1558" i="1"/>
  <c r="DL1558" i="1"/>
  <c r="DK1558" i="1"/>
  <c r="DI1558" i="1"/>
  <c r="DJ1558" i="1" s="1"/>
  <c r="DB1558" i="1"/>
  <c r="DC1558" i="1" s="1"/>
  <c r="CX1558" i="1"/>
  <c r="CN1558" i="1"/>
  <c r="CS1558" i="1" s="1"/>
  <c r="BV1558" i="1"/>
  <c r="BX1558" i="1" s="1"/>
  <c r="BY1558" i="1" s="1"/>
  <c r="BU1558" i="1"/>
  <c r="BD1558" i="1"/>
  <c r="BC1558" i="1"/>
  <c r="BB1558" i="1"/>
  <c r="BA1558" i="1"/>
  <c r="AZ1558" i="1"/>
  <c r="BF1558" i="1" s="1" a="1"/>
  <c r="BF1558" i="1" s="1"/>
  <c r="AY1558" i="1"/>
  <c r="BE1558" i="1" s="1" a="1"/>
  <c r="BE1558" i="1" s="1"/>
  <c r="AX1558" i="1"/>
  <c r="M1558" i="1"/>
  <c r="EM1557" i="1"/>
  <c r="EL1557" i="1"/>
  <c r="EK1557" i="1"/>
  <c r="DU1557" i="1"/>
  <c r="DT1557" i="1"/>
  <c r="DN1557" i="1"/>
  <c r="DM1557" i="1"/>
  <c r="DL1557" i="1"/>
  <c r="DK1557" i="1"/>
  <c r="DI1557" i="1"/>
  <c r="DJ1557" i="1" s="1"/>
  <c r="DB1557" i="1"/>
  <c r="DC1557" i="1" s="1"/>
  <c r="CX1557" i="1"/>
  <c r="CN1557" i="1"/>
  <c r="CR1557" i="1" s="1"/>
  <c r="BV1557" i="1"/>
  <c r="BX1557" i="1" s="1"/>
  <c r="BY1557" i="1" s="1"/>
  <c r="BU1557" i="1"/>
  <c r="BD1557" i="1"/>
  <c r="BC1557" i="1"/>
  <c r="BB1557" i="1"/>
  <c r="BA1557" i="1"/>
  <c r="AZ1557" i="1"/>
  <c r="BF1557" i="1" s="1" a="1"/>
  <c r="BF1557" i="1" s="1"/>
  <c r="AY1557" i="1"/>
  <c r="BE1557" i="1" s="1" a="1"/>
  <c r="BE1557" i="1" s="1"/>
  <c r="AX1557" i="1"/>
  <c r="M1557" i="1"/>
  <c r="EM1556" i="1"/>
  <c r="EL1556" i="1"/>
  <c r="EK1556" i="1"/>
  <c r="DU1556" i="1"/>
  <c r="DT1556" i="1"/>
  <c r="DN1556" i="1"/>
  <c r="DM1556" i="1"/>
  <c r="DL1556" i="1"/>
  <c r="DK1556" i="1"/>
  <c r="DI1556" i="1"/>
  <c r="DJ1556" i="1" s="1"/>
  <c r="DB1556" i="1"/>
  <c r="DC1556" i="1" s="1"/>
  <c r="CX1556" i="1"/>
  <c r="CN1556" i="1"/>
  <c r="CS1556" i="1" s="1"/>
  <c r="BV1556" i="1"/>
  <c r="BX1556" i="1" s="1"/>
  <c r="BU1556" i="1"/>
  <c r="BD1556" i="1"/>
  <c r="BC1556" i="1"/>
  <c r="BB1556" i="1"/>
  <c r="BA1556" i="1"/>
  <c r="AZ1556" i="1"/>
  <c r="BF1556" i="1" s="1" a="1"/>
  <c r="BF1556" i="1" s="1"/>
  <c r="AY1556" i="1"/>
  <c r="BE1556" i="1" s="1" a="1"/>
  <c r="BE1556" i="1" s="1"/>
  <c r="AX1556" i="1"/>
  <c r="M1556" i="1"/>
  <c r="EM1555" i="1"/>
  <c r="EL1555" i="1"/>
  <c r="EK1555" i="1"/>
  <c r="DU1555" i="1"/>
  <c r="DT1555" i="1"/>
  <c r="DN1555" i="1"/>
  <c r="DM1555" i="1"/>
  <c r="DL1555" i="1"/>
  <c r="DK1555" i="1"/>
  <c r="DI1555" i="1"/>
  <c r="DJ1555" i="1" s="1"/>
  <c r="DB1555" i="1"/>
  <c r="DC1555" i="1" s="1"/>
  <c r="CX1555" i="1"/>
  <c r="CN1555" i="1"/>
  <c r="CR1555" i="1" s="1"/>
  <c r="BV1555" i="1"/>
  <c r="BX1555" i="1" s="1"/>
  <c r="BY1555" i="1" s="1"/>
  <c r="BU1555" i="1"/>
  <c r="BD1555" i="1"/>
  <c r="BC1555" i="1"/>
  <c r="BB1555" i="1"/>
  <c r="BA1555" i="1"/>
  <c r="AZ1555" i="1"/>
  <c r="BF1555" i="1" s="1" a="1"/>
  <c r="BF1555" i="1" s="1"/>
  <c r="AY1555" i="1"/>
  <c r="BE1555" i="1" s="1" a="1"/>
  <c r="BE1555" i="1" s="1"/>
  <c r="AX1555" i="1"/>
  <c r="M1555" i="1"/>
  <c r="EM1554" i="1"/>
  <c r="EL1554" i="1"/>
  <c r="EK1554" i="1"/>
  <c r="DU1554" i="1"/>
  <c r="DT1554" i="1"/>
  <c r="DN1554" i="1"/>
  <c r="DM1554" i="1"/>
  <c r="DL1554" i="1"/>
  <c r="DK1554" i="1"/>
  <c r="DI1554" i="1"/>
  <c r="DJ1554" i="1" s="1"/>
  <c r="DC1554" i="1"/>
  <c r="CX1554" i="1"/>
  <c r="CN1554" i="1"/>
  <c r="CQ1554" i="1" s="1"/>
  <c r="BY1554" i="1"/>
  <c r="EP1554" i="1" s="1"/>
  <c r="BD1554" i="1"/>
  <c r="BC1554" i="1"/>
  <c r="BB1554" i="1"/>
  <c r="BA1554" i="1"/>
  <c r="AZ1554" i="1"/>
  <c r="BF1554" i="1" s="1" a="1"/>
  <c r="BF1554" i="1" s="1"/>
  <c r="AY1554" i="1"/>
  <c r="BE1554" i="1" s="1" a="1"/>
  <c r="BE1554" i="1" s="1"/>
  <c r="AX1554" i="1"/>
  <c r="M1554" i="1"/>
  <c r="EM1553" i="1"/>
  <c r="EL1553" i="1"/>
  <c r="EK1553" i="1"/>
  <c r="DU1553" i="1"/>
  <c r="DT1553" i="1"/>
  <c r="DN1553" i="1"/>
  <c r="DM1553" i="1"/>
  <c r="DL1553" i="1"/>
  <c r="DK1553" i="1"/>
  <c r="DI1553" i="1"/>
  <c r="DJ1553" i="1" s="1"/>
  <c r="DC1553" i="1"/>
  <c r="CX1553" i="1"/>
  <c r="CN1553" i="1"/>
  <c r="BX1553" i="1"/>
  <c r="BY1553" i="1" s="1"/>
  <c r="EP1553" i="1" s="1"/>
  <c r="BD1553" i="1"/>
  <c r="BC1553" i="1"/>
  <c r="BB1553" i="1"/>
  <c r="BA1553" i="1"/>
  <c r="AZ1553" i="1"/>
  <c r="BF1553" i="1" s="1" a="1"/>
  <c r="BF1553" i="1" s="1"/>
  <c r="AY1553" i="1"/>
  <c r="BE1553" i="1" s="1" a="1"/>
  <c r="BE1553" i="1" s="1"/>
  <c r="AX1553" i="1"/>
  <c r="M1553" i="1"/>
  <c r="EM1552" i="1"/>
  <c r="EL1552" i="1"/>
  <c r="EK1552" i="1"/>
  <c r="DU1552" i="1"/>
  <c r="DT1552" i="1"/>
  <c r="DN1552" i="1"/>
  <c r="DM1552" i="1"/>
  <c r="DL1552" i="1"/>
  <c r="DK1552" i="1"/>
  <c r="DI1552" i="1"/>
  <c r="DJ1552" i="1" s="1"/>
  <c r="DC1552" i="1"/>
  <c r="CX1552" i="1"/>
  <c r="CN1552" i="1"/>
  <c r="CR1552" i="1" s="1"/>
  <c r="BX1552" i="1"/>
  <c r="BD1552" i="1"/>
  <c r="BC1552" i="1"/>
  <c r="BB1552" i="1"/>
  <c r="BA1552" i="1"/>
  <c r="AZ1552" i="1"/>
  <c r="BF1552" i="1" s="1" a="1"/>
  <c r="BF1552" i="1" s="1"/>
  <c r="AY1552" i="1"/>
  <c r="BE1552" i="1" s="1" a="1"/>
  <c r="BE1552" i="1" s="1"/>
  <c r="AX1552" i="1"/>
  <c r="M1552" i="1"/>
  <c r="EM1551" i="1"/>
  <c r="EL1551" i="1"/>
  <c r="EK1551" i="1"/>
  <c r="DU1551" i="1"/>
  <c r="DT1551" i="1"/>
  <c r="DN1551" i="1"/>
  <c r="DM1551" i="1"/>
  <c r="DL1551" i="1"/>
  <c r="DK1551" i="1"/>
  <c r="DI1551" i="1"/>
  <c r="DJ1551" i="1" s="1"/>
  <c r="DC1551" i="1"/>
  <c r="CX1551" i="1"/>
  <c r="CN1551" i="1"/>
  <c r="BX1551" i="1"/>
  <c r="BY1551" i="1" s="1"/>
  <c r="EP1551" i="1" s="1"/>
  <c r="BD1551" i="1"/>
  <c r="BC1551" i="1"/>
  <c r="BB1551" i="1"/>
  <c r="BA1551" i="1"/>
  <c r="AZ1551" i="1"/>
  <c r="BF1551" i="1" s="1" a="1"/>
  <c r="BF1551" i="1" s="1"/>
  <c r="AY1551" i="1"/>
  <c r="BE1551" i="1" s="1" a="1"/>
  <c r="BE1551" i="1" s="1"/>
  <c r="AX1551" i="1"/>
  <c r="M1551" i="1"/>
  <c r="EM1550" i="1"/>
  <c r="EL1550" i="1"/>
  <c r="EK1550" i="1"/>
  <c r="DU1550" i="1"/>
  <c r="DT1550" i="1"/>
  <c r="DN1550" i="1"/>
  <c r="DM1550" i="1"/>
  <c r="DL1550" i="1"/>
  <c r="DK1550" i="1"/>
  <c r="DI1550" i="1"/>
  <c r="DJ1550" i="1" s="1"/>
  <c r="DC1550" i="1"/>
  <c r="CX1550" i="1"/>
  <c r="CN1550" i="1"/>
  <c r="BX1550" i="1"/>
  <c r="BY1550" i="1" s="1"/>
  <c r="EP1550" i="1" s="1"/>
  <c r="BD1550" i="1"/>
  <c r="BC1550" i="1"/>
  <c r="BB1550" i="1"/>
  <c r="BA1550" i="1"/>
  <c r="AZ1550" i="1"/>
  <c r="BF1550" i="1" s="1" a="1"/>
  <c r="BF1550" i="1" s="1"/>
  <c r="AY1550" i="1"/>
  <c r="BE1550" i="1" s="1" a="1"/>
  <c r="BE1550" i="1" s="1"/>
  <c r="AX1550" i="1"/>
  <c r="M1550" i="1"/>
  <c r="EM1549" i="1"/>
  <c r="EL1549" i="1"/>
  <c r="EK1549" i="1"/>
  <c r="DU1549" i="1"/>
  <c r="DT1549" i="1"/>
  <c r="DN1549" i="1"/>
  <c r="DM1549" i="1"/>
  <c r="DL1549" i="1"/>
  <c r="DK1549" i="1"/>
  <c r="DI1549" i="1"/>
  <c r="DJ1549" i="1" s="1"/>
  <c r="DC1549" i="1"/>
  <c r="CX1549" i="1"/>
  <c r="CN1549" i="1"/>
  <c r="BX1549" i="1"/>
  <c r="BY1549" i="1" s="1"/>
  <c r="EP1549" i="1" s="1"/>
  <c r="BD1549" i="1"/>
  <c r="BC1549" i="1"/>
  <c r="BB1549" i="1"/>
  <c r="BA1549" i="1"/>
  <c r="AZ1549" i="1"/>
  <c r="BF1549" i="1" s="1" a="1"/>
  <c r="BF1549" i="1" s="1"/>
  <c r="AY1549" i="1"/>
  <c r="BE1549" i="1" s="1" a="1"/>
  <c r="BE1549" i="1" s="1"/>
  <c r="AX1549" i="1"/>
  <c r="M1549" i="1"/>
  <c r="EM1548" i="1"/>
  <c r="EL1548" i="1"/>
  <c r="EK1548" i="1"/>
  <c r="DU1548" i="1"/>
  <c r="DT1548" i="1"/>
  <c r="DN1548" i="1"/>
  <c r="DM1548" i="1"/>
  <c r="DL1548" i="1"/>
  <c r="DK1548" i="1"/>
  <c r="DI1548" i="1"/>
  <c r="DJ1548" i="1" s="1"/>
  <c r="DC1548" i="1"/>
  <c r="CX1548" i="1"/>
  <c r="CN1548" i="1"/>
  <c r="CR1548" i="1" s="1"/>
  <c r="BX1548" i="1"/>
  <c r="BY1548" i="1" s="1"/>
  <c r="EP1548" i="1" s="1"/>
  <c r="BD1548" i="1"/>
  <c r="BC1548" i="1"/>
  <c r="BB1548" i="1"/>
  <c r="BA1548" i="1"/>
  <c r="AZ1548" i="1"/>
  <c r="BF1548" i="1" s="1" a="1"/>
  <c r="BF1548" i="1" s="1"/>
  <c r="AY1548" i="1"/>
  <c r="BE1548" i="1" s="1" a="1"/>
  <c r="BE1548" i="1" s="1"/>
  <c r="AX1548" i="1"/>
  <c r="M1548" i="1"/>
  <c r="EM1547" i="1"/>
  <c r="EL1547" i="1"/>
  <c r="EK1547" i="1"/>
  <c r="DU1547" i="1"/>
  <c r="DT1547" i="1"/>
  <c r="DN1547" i="1"/>
  <c r="DM1547" i="1"/>
  <c r="DL1547" i="1"/>
  <c r="DK1547" i="1"/>
  <c r="DI1547" i="1"/>
  <c r="DJ1547" i="1" s="1"/>
  <c r="DC1547" i="1"/>
  <c r="CX1547" i="1"/>
  <c r="CN1547" i="1"/>
  <c r="BX1547" i="1"/>
  <c r="BY1547" i="1" s="1"/>
  <c r="EP1547" i="1" s="1"/>
  <c r="BD1547" i="1"/>
  <c r="BC1547" i="1"/>
  <c r="BB1547" i="1"/>
  <c r="BA1547" i="1"/>
  <c r="AZ1547" i="1"/>
  <c r="BF1547" i="1" s="1" a="1"/>
  <c r="BF1547" i="1" s="1"/>
  <c r="AY1547" i="1"/>
  <c r="BE1547" i="1" s="1" a="1"/>
  <c r="BE1547" i="1" s="1"/>
  <c r="AX1547" i="1"/>
  <c r="M1547" i="1"/>
  <c r="EM1546" i="1"/>
  <c r="EL1546" i="1"/>
  <c r="EK1546" i="1"/>
  <c r="DU1546" i="1"/>
  <c r="DT1546" i="1"/>
  <c r="DN1546" i="1"/>
  <c r="DM1546" i="1"/>
  <c r="DL1546" i="1"/>
  <c r="DK1546" i="1"/>
  <c r="DI1546" i="1"/>
  <c r="DJ1546" i="1" s="1"/>
  <c r="DC1546" i="1"/>
  <c r="CX1546" i="1"/>
  <c r="CN1546" i="1"/>
  <c r="BX1546" i="1"/>
  <c r="BY1546" i="1" s="1"/>
  <c r="EP1546" i="1" s="1"/>
  <c r="BD1546" i="1"/>
  <c r="BC1546" i="1"/>
  <c r="BB1546" i="1"/>
  <c r="BA1546" i="1"/>
  <c r="AZ1546" i="1"/>
  <c r="BF1546" i="1" s="1" a="1"/>
  <c r="BF1546" i="1" s="1"/>
  <c r="AY1546" i="1"/>
  <c r="BE1546" i="1" s="1" a="1"/>
  <c r="BE1546" i="1" s="1"/>
  <c r="AX1546" i="1"/>
  <c r="M1546" i="1"/>
  <c r="EM1545" i="1"/>
  <c r="EL1545" i="1"/>
  <c r="EK1545" i="1"/>
  <c r="DU1545" i="1"/>
  <c r="DT1545" i="1"/>
  <c r="DN1545" i="1"/>
  <c r="DM1545" i="1"/>
  <c r="DL1545" i="1"/>
  <c r="DK1545" i="1"/>
  <c r="DI1545" i="1"/>
  <c r="DJ1545" i="1" s="1"/>
  <c r="DC1545" i="1"/>
  <c r="CX1545" i="1"/>
  <c r="CN1545" i="1"/>
  <c r="BX1545" i="1"/>
  <c r="BY1545" i="1" s="1"/>
  <c r="EP1545" i="1" s="1"/>
  <c r="BD1545" i="1"/>
  <c r="BC1545" i="1"/>
  <c r="BB1545" i="1"/>
  <c r="BA1545" i="1"/>
  <c r="AZ1545" i="1"/>
  <c r="BF1545" i="1" s="1" a="1"/>
  <c r="BF1545" i="1" s="1"/>
  <c r="AY1545" i="1"/>
  <c r="BE1545" i="1" s="1" a="1"/>
  <c r="BE1545" i="1" s="1"/>
  <c r="AX1545" i="1"/>
  <c r="M1545" i="1"/>
  <c r="EP1544" i="1"/>
  <c r="EM1544" i="1"/>
  <c r="EL1544" i="1"/>
  <c r="EK1544" i="1"/>
  <c r="DU1544" i="1"/>
  <c r="DT1544" i="1"/>
  <c r="DN1544" i="1"/>
  <c r="DM1544" i="1"/>
  <c r="DL1544" i="1"/>
  <c r="DK1544" i="1"/>
  <c r="DI1544" i="1"/>
  <c r="DJ1544" i="1" s="1"/>
  <c r="DC1544" i="1"/>
  <c r="CX1544" i="1"/>
  <c r="CN1544" i="1"/>
  <c r="CS1544" i="1" s="1"/>
  <c r="BX1544" i="1"/>
  <c r="BY1544" i="1" s="1"/>
  <c r="BD1544" i="1"/>
  <c r="BC1544" i="1"/>
  <c r="BB1544" i="1"/>
  <c r="BA1544" i="1"/>
  <c r="AZ1544" i="1"/>
  <c r="BF1544" i="1" s="1" a="1"/>
  <c r="BF1544" i="1" s="1"/>
  <c r="AY1544" i="1"/>
  <c r="BE1544" i="1" s="1" a="1"/>
  <c r="BE1544" i="1" s="1"/>
  <c r="AX1544" i="1"/>
  <c r="M1544" i="1"/>
  <c r="EM1543" i="1"/>
  <c r="EL1543" i="1"/>
  <c r="EK1543" i="1"/>
  <c r="DU1543" i="1"/>
  <c r="DT1543" i="1"/>
  <c r="DN1543" i="1"/>
  <c r="DM1543" i="1"/>
  <c r="DL1543" i="1"/>
  <c r="DK1543" i="1"/>
  <c r="DI1543" i="1"/>
  <c r="DJ1543" i="1" s="1"/>
  <c r="DC1543" i="1"/>
  <c r="CX1543" i="1"/>
  <c r="CN1543" i="1"/>
  <c r="CS1543" i="1" s="1"/>
  <c r="BX1543" i="1"/>
  <c r="BY1543" i="1" s="1"/>
  <c r="EP1543" i="1" s="1"/>
  <c r="BD1543" i="1"/>
  <c r="BC1543" i="1"/>
  <c r="BB1543" i="1"/>
  <c r="BA1543" i="1"/>
  <c r="AZ1543" i="1"/>
  <c r="BF1543" i="1" s="1" a="1"/>
  <c r="BF1543" i="1" s="1"/>
  <c r="AY1543" i="1"/>
  <c r="AX1543" i="1"/>
  <c r="M1543" i="1"/>
  <c r="EM1542" i="1"/>
  <c r="EL1542" i="1"/>
  <c r="EK1542" i="1"/>
  <c r="DU1542" i="1"/>
  <c r="DN1542" i="1"/>
  <c r="DM1542" i="1"/>
  <c r="DL1542" i="1"/>
  <c r="DK1542" i="1"/>
  <c r="DI1542" i="1"/>
  <c r="DJ1542" i="1" s="1"/>
  <c r="DC1542" i="1"/>
  <c r="CX1542" i="1"/>
  <c r="CN1542" i="1"/>
  <c r="CR1542" i="1" s="1"/>
  <c r="BV1542" i="1"/>
  <c r="BX1542" i="1" s="1"/>
  <c r="BY1542" i="1" s="1"/>
  <c r="BU1542" i="1"/>
  <c r="BM1542" i="1"/>
  <c r="BD1542" i="1"/>
  <c r="BC1542" i="1"/>
  <c r="BB1542" i="1"/>
  <c r="BA1542" i="1"/>
  <c r="AZ1542" i="1"/>
  <c r="BF1542" i="1" s="1" a="1"/>
  <c r="BF1542" i="1" s="1"/>
  <c r="AY1542" i="1"/>
  <c r="BE1542" i="1" s="1" a="1"/>
  <c r="BE1542" i="1" s="1"/>
  <c r="AX1542" i="1"/>
  <c r="M1542" i="1"/>
  <c r="EM1541" i="1"/>
  <c r="EL1541" i="1"/>
  <c r="EK1541" i="1"/>
  <c r="DU1541" i="1"/>
  <c r="DN1541" i="1"/>
  <c r="DM1541" i="1"/>
  <c r="DL1541" i="1"/>
  <c r="DK1541" i="1"/>
  <c r="DI1541" i="1"/>
  <c r="DJ1541" i="1" s="1"/>
  <c r="DC1541" i="1"/>
  <c r="CX1541" i="1"/>
  <c r="CN1541" i="1"/>
  <c r="CR1541" i="1" s="1"/>
  <c r="BV1541" i="1"/>
  <c r="BX1541" i="1" s="1"/>
  <c r="BY1541" i="1" s="1"/>
  <c r="BU1541" i="1"/>
  <c r="BM1541" i="1"/>
  <c r="BD1541" i="1"/>
  <c r="BC1541" i="1"/>
  <c r="BB1541" i="1"/>
  <c r="BA1541" i="1"/>
  <c r="AZ1541" i="1"/>
  <c r="BF1541" i="1" s="1" a="1"/>
  <c r="BF1541" i="1" s="1"/>
  <c r="AY1541" i="1"/>
  <c r="BE1541" i="1" s="1" a="1"/>
  <c r="BE1541" i="1" s="1"/>
  <c r="AX1541" i="1"/>
  <c r="M1541" i="1"/>
  <c r="EM1540" i="1"/>
  <c r="EL1540" i="1"/>
  <c r="EK1540" i="1"/>
  <c r="DU1540" i="1"/>
  <c r="DN1540" i="1"/>
  <c r="DM1540" i="1"/>
  <c r="DL1540" i="1"/>
  <c r="DK1540" i="1"/>
  <c r="DI1540" i="1"/>
  <c r="DJ1540" i="1" s="1"/>
  <c r="DC1540" i="1"/>
  <c r="CX1540" i="1"/>
  <c r="CN1540" i="1"/>
  <c r="CS1540" i="1" s="1"/>
  <c r="BV1540" i="1"/>
  <c r="BX1540" i="1" s="1"/>
  <c r="BY1540" i="1" s="1"/>
  <c r="BU1540" i="1"/>
  <c r="BM1540" i="1"/>
  <c r="BD1540" i="1"/>
  <c r="BC1540" i="1"/>
  <c r="BB1540" i="1"/>
  <c r="BA1540" i="1"/>
  <c r="AZ1540" i="1"/>
  <c r="BF1540" i="1" s="1" a="1"/>
  <c r="BF1540" i="1" s="1"/>
  <c r="AY1540" i="1"/>
  <c r="BE1540" i="1" s="1" a="1"/>
  <c r="BE1540" i="1" s="1"/>
  <c r="AX1540" i="1"/>
  <c r="M1540" i="1"/>
  <c r="EM1539" i="1"/>
  <c r="EL1539" i="1"/>
  <c r="EK1539" i="1"/>
  <c r="DU1539" i="1"/>
  <c r="DN1539" i="1"/>
  <c r="DM1539" i="1"/>
  <c r="DL1539" i="1"/>
  <c r="DK1539" i="1"/>
  <c r="DI1539" i="1"/>
  <c r="DJ1539" i="1" s="1"/>
  <c r="DC1539" i="1"/>
  <c r="CX1539" i="1"/>
  <c r="CN1539" i="1"/>
  <c r="CS1539" i="1" s="1"/>
  <c r="BV1539" i="1"/>
  <c r="BX1539" i="1" s="1"/>
  <c r="BY1539" i="1" s="1"/>
  <c r="BU1539" i="1"/>
  <c r="BM1539" i="1"/>
  <c r="BD1539" i="1"/>
  <c r="BC1539" i="1"/>
  <c r="BB1539" i="1"/>
  <c r="BA1539" i="1"/>
  <c r="AZ1539" i="1"/>
  <c r="BF1539" i="1" s="1" a="1"/>
  <c r="BF1539" i="1" s="1"/>
  <c r="AY1539" i="1"/>
  <c r="BE1539" i="1" s="1" a="1"/>
  <c r="BE1539" i="1" s="1"/>
  <c r="AX1539" i="1"/>
  <c r="M1539" i="1"/>
  <c r="EM1538" i="1"/>
  <c r="EL1538" i="1"/>
  <c r="EK1538" i="1"/>
  <c r="DU1538" i="1"/>
  <c r="DN1538" i="1"/>
  <c r="DM1538" i="1"/>
  <c r="DL1538" i="1"/>
  <c r="DK1538" i="1"/>
  <c r="DI1538" i="1"/>
  <c r="DJ1538" i="1" s="1"/>
  <c r="DC1538" i="1"/>
  <c r="CX1538" i="1"/>
  <c r="CN1538" i="1"/>
  <c r="CS1538" i="1" s="1"/>
  <c r="BV1538" i="1"/>
  <c r="BX1538" i="1" s="1"/>
  <c r="BU1538" i="1"/>
  <c r="BM1538" i="1"/>
  <c r="BD1538" i="1"/>
  <c r="BC1538" i="1"/>
  <c r="BB1538" i="1"/>
  <c r="BA1538" i="1"/>
  <c r="AZ1538" i="1"/>
  <c r="BF1538" i="1" s="1" a="1"/>
  <c r="BF1538" i="1" s="1"/>
  <c r="AY1538" i="1"/>
  <c r="BE1538" i="1" s="1" a="1"/>
  <c r="BE1538" i="1" s="1"/>
  <c r="AX1538" i="1"/>
  <c r="M1538" i="1"/>
  <c r="EM1537" i="1"/>
  <c r="EL1537" i="1"/>
  <c r="EK1537" i="1"/>
  <c r="DU1537" i="1"/>
  <c r="DN1537" i="1"/>
  <c r="DM1537" i="1"/>
  <c r="DL1537" i="1"/>
  <c r="DK1537" i="1"/>
  <c r="DI1537" i="1"/>
  <c r="DJ1537" i="1" s="1"/>
  <c r="DC1537" i="1"/>
  <c r="CX1537" i="1"/>
  <c r="CN1537" i="1"/>
  <c r="BV1537" i="1"/>
  <c r="BX1537" i="1" s="1"/>
  <c r="BY1537" i="1" s="1"/>
  <c r="BU1537" i="1"/>
  <c r="BM1537" i="1"/>
  <c r="BD1537" i="1"/>
  <c r="BC1537" i="1"/>
  <c r="BB1537" i="1"/>
  <c r="BA1537" i="1"/>
  <c r="AZ1537" i="1"/>
  <c r="BF1537" i="1" s="1" a="1"/>
  <c r="BF1537" i="1" s="1"/>
  <c r="AY1537" i="1"/>
  <c r="BE1537" i="1" s="1" a="1"/>
  <c r="BE1537" i="1" s="1"/>
  <c r="AX1537" i="1"/>
  <c r="M1537" i="1"/>
  <c r="EM1536" i="1"/>
  <c r="EL1536" i="1"/>
  <c r="EK1536" i="1"/>
  <c r="DU1536" i="1"/>
  <c r="DN1536" i="1"/>
  <c r="DM1536" i="1"/>
  <c r="DL1536" i="1"/>
  <c r="DK1536" i="1"/>
  <c r="DI1536" i="1"/>
  <c r="DJ1536" i="1" s="1"/>
  <c r="DC1536" i="1"/>
  <c r="CX1536" i="1"/>
  <c r="CN1536" i="1"/>
  <c r="CR1536" i="1" s="1"/>
  <c r="BV1536" i="1"/>
  <c r="BX1536" i="1" s="1"/>
  <c r="BY1536" i="1" s="1"/>
  <c r="BU1536" i="1"/>
  <c r="BM1536" i="1"/>
  <c r="BD1536" i="1"/>
  <c r="BC1536" i="1"/>
  <c r="BB1536" i="1"/>
  <c r="BA1536" i="1"/>
  <c r="AZ1536" i="1"/>
  <c r="BF1536" i="1" s="1" a="1"/>
  <c r="BF1536" i="1" s="1"/>
  <c r="AY1536" i="1"/>
  <c r="BE1536" i="1" s="1" a="1"/>
  <c r="BE1536" i="1" s="1"/>
  <c r="AX1536" i="1"/>
  <c r="M1536" i="1"/>
  <c r="EM1535" i="1"/>
  <c r="EL1535" i="1"/>
  <c r="EK1535" i="1"/>
  <c r="DU1535" i="1"/>
  <c r="DT1535" i="1"/>
  <c r="DN1535" i="1"/>
  <c r="DM1535" i="1"/>
  <c r="DL1535" i="1"/>
  <c r="DK1535" i="1"/>
  <c r="DI1535" i="1"/>
  <c r="DJ1535" i="1" s="1"/>
  <c r="DB1535" i="1"/>
  <c r="DC1535" i="1" s="1"/>
  <c r="CX1535" i="1"/>
  <c r="CV1535" i="1"/>
  <c r="CN1535" i="1"/>
  <c r="CT1535" i="1" s="1"/>
  <c r="CU1535" i="1" s="1"/>
  <c r="BY1535" i="1"/>
  <c r="EP1535" i="1" s="1"/>
  <c r="BD1535" i="1"/>
  <c r="BC1535" i="1"/>
  <c r="BB1535" i="1"/>
  <c r="BA1535" i="1"/>
  <c r="AZ1535" i="1"/>
  <c r="BF1535" i="1" s="1" a="1"/>
  <c r="BF1535" i="1" s="1"/>
  <c r="AY1535" i="1"/>
  <c r="BE1535" i="1" s="1" a="1"/>
  <c r="BE1535" i="1" s="1"/>
  <c r="AX1535" i="1"/>
  <c r="M1535" i="1"/>
  <c r="EM1534" i="1"/>
  <c r="EL1534" i="1"/>
  <c r="EK1534" i="1"/>
  <c r="DU1534" i="1"/>
  <c r="DT1534" i="1"/>
  <c r="DN1534" i="1"/>
  <c r="DM1534" i="1"/>
  <c r="DL1534" i="1"/>
  <c r="DK1534" i="1"/>
  <c r="DI1534" i="1"/>
  <c r="DJ1534" i="1" s="1"/>
  <c r="DB1534" i="1"/>
  <c r="DC1534" i="1" s="1"/>
  <c r="CX1534" i="1"/>
  <c r="CV1534" i="1"/>
  <c r="CN1534" i="1"/>
  <c r="CT1534" i="1" s="1"/>
  <c r="CU1534" i="1" s="1"/>
  <c r="BY1534" i="1"/>
  <c r="EP1534" i="1" s="1"/>
  <c r="BD1534" i="1"/>
  <c r="BC1534" i="1"/>
  <c r="BB1534" i="1"/>
  <c r="BA1534" i="1"/>
  <c r="AZ1534" i="1"/>
  <c r="BF1534" i="1" s="1" a="1"/>
  <c r="BF1534" i="1" s="1"/>
  <c r="AY1534" i="1"/>
  <c r="BE1534" i="1" s="1" a="1"/>
  <c r="BE1534" i="1" s="1"/>
  <c r="AX1534" i="1"/>
  <c r="M1534" i="1"/>
  <c r="EM1533" i="1"/>
  <c r="EL1533" i="1"/>
  <c r="EK1533" i="1"/>
  <c r="DU1533" i="1"/>
  <c r="DT1533" i="1"/>
  <c r="DN1533" i="1"/>
  <c r="DM1533" i="1"/>
  <c r="DL1533" i="1"/>
  <c r="DK1533" i="1"/>
  <c r="DI1533" i="1"/>
  <c r="DJ1533" i="1" s="1"/>
  <c r="DB1533" i="1"/>
  <c r="DC1533" i="1" s="1"/>
  <c r="CX1533" i="1"/>
  <c r="CV1533" i="1"/>
  <c r="CN1533" i="1"/>
  <c r="CT1533" i="1" s="1"/>
  <c r="CU1533" i="1" s="1"/>
  <c r="BY1533" i="1"/>
  <c r="EP1533" i="1" s="1"/>
  <c r="BD1533" i="1"/>
  <c r="BC1533" i="1"/>
  <c r="BB1533" i="1"/>
  <c r="BA1533" i="1"/>
  <c r="AZ1533" i="1"/>
  <c r="BF1533" i="1" s="1" a="1"/>
  <c r="BF1533" i="1" s="1"/>
  <c r="AY1533" i="1"/>
  <c r="BE1533" i="1" s="1" a="1"/>
  <c r="BE1533" i="1" s="1"/>
  <c r="AX1533" i="1"/>
  <c r="M1533" i="1"/>
  <c r="EM1532" i="1"/>
  <c r="EL1532" i="1"/>
  <c r="EK1532" i="1"/>
  <c r="DU1532" i="1"/>
  <c r="DT1532" i="1"/>
  <c r="DN1532" i="1"/>
  <c r="DM1532" i="1"/>
  <c r="DL1532" i="1"/>
  <c r="DK1532" i="1"/>
  <c r="DI1532" i="1"/>
  <c r="DJ1532" i="1" s="1"/>
  <c r="DB1532" i="1"/>
  <c r="DC1532" i="1" s="1"/>
  <c r="CX1532" i="1"/>
  <c r="CV1532" i="1"/>
  <c r="CN1532" i="1"/>
  <c r="CT1532" i="1" s="1"/>
  <c r="CU1532" i="1" s="1"/>
  <c r="BY1532" i="1"/>
  <c r="EP1532" i="1" s="1"/>
  <c r="BD1532" i="1"/>
  <c r="BC1532" i="1"/>
  <c r="BB1532" i="1"/>
  <c r="BA1532" i="1"/>
  <c r="AZ1532" i="1"/>
  <c r="BF1532" i="1" s="1" a="1"/>
  <c r="BF1532" i="1" s="1"/>
  <c r="AY1532" i="1"/>
  <c r="BE1532" i="1" s="1" a="1"/>
  <c r="BE1532" i="1" s="1"/>
  <c r="AX1532" i="1"/>
  <c r="M1532" i="1"/>
  <c r="EM1531" i="1"/>
  <c r="EL1531" i="1"/>
  <c r="EK1531" i="1"/>
  <c r="DU1531" i="1"/>
  <c r="DT1531" i="1"/>
  <c r="DN1531" i="1"/>
  <c r="DM1531" i="1"/>
  <c r="DL1531" i="1"/>
  <c r="DK1531" i="1"/>
  <c r="DI1531" i="1"/>
  <c r="DJ1531" i="1" s="1"/>
  <c r="DB1531" i="1"/>
  <c r="DC1531" i="1" s="1"/>
  <c r="CX1531" i="1"/>
  <c r="CV1531" i="1"/>
  <c r="CN1531" i="1"/>
  <c r="CT1531" i="1" s="1"/>
  <c r="CU1531" i="1" s="1"/>
  <c r="BY1531" i="1"/>
  <c r="EP1531" i="1" s="1"/>
  <c r="BD1531" i="1"/>
  <c r="BC1531" i="1"/>
  <c r="BB1531" i="1"/>
  <c r="BA1531" i="1"/>
  <c r="AZ1531" i="1"/>
  <c r="BF1531" i="1" s="1" a="1"/>
  <c r="BF1531" i="1" s="1"/>
  <c r="AY1531" i="1"/>
  <c r="BE1531" i="1" s="1" a="1"/>
  <c r="BE1531" i="1" s="1"/>
  <c r="AX1531" i="1"/>
  <c r="M1531" i="1"/>
  <c r="EM1530" i="1"/>
  <c r="EL1530" i="1"/>
  <c r="EK1530" i="1"/>
  <c r="DU1530" i="1"/>
  <c r="DT1530" i="1"/>
  <c r="DN1530" i="1"/>
  <c r="DM1530" i="1"/>
  <c r="DL1530" i="1"/>
  <c r="DK1530" i="1"/>
  <c r="DI1530" i="1"/>
  <c r="DJ1530" i="1" s="1"/>
  <c r="DB1530" i="1"/>
  <c r="DC1530" i="1" s="1"/>
  <c r="CX1530" i="1"/>
  <c r="CV1530" i="1"/>
  <c r="CN1530" i="1"/>
  <c r="CT1530" i="1" s="1"/>
  <c r="CU1530" i="1" s="1"/>
  <c r="BY1530" i="1"/>
  <c r="EP1530" i="1" s="1"/>
  <c r="BD1530" i="1"/>
  <c r="BC1530" i="1"/>
  <c r="BB1530" i="1"/>
  <c r="BA1530" i="1"/>
  <c r="AZ1530" i="1"/>
  <c r="BF1530" i="1" s="1" a="1"/>
  <c r="BF1530" i="1" s="1"/>
  <c r="AY1530" i="1"/>
  <c r="BE1530" i="1" s="1" a="1"/>
  <c r="BE1530" i="1" s="1"/>
  <c r="AX1530" i="1"/>
  <c r="M1530" i="1"/>
  <c r="EM1529" i="1"/>
  <c r="EL1529" i="1"/>
  <c r="EK1529" i="1"/>
  <c r="DU1529" i="1"/>
  <c r="DT1529" i="1"/>
  <c r="DN1529" i="1"/>
  <c r="DM1529" i="1"/>
  <c r="DL1529" i="1"/>
  <c r="DK1529" i="1"/>
  <c r="DI1529" i="1"/>
  <c r="DJ1529" i="1" s="1"/>
  <c r="DB1529" i="1"/>
  <c r="DC1529" i="1" s="1"/>
  <c r="CX1529" i="1"/>
  <c r="CV1529" i="1"/>
  <c r="CN1529" i="1"/>
  <c r="CT1529" i="1" s="1"/>
  <c r="CU1529" i="1" s="1"/>
  <c r="BY1529" i="1"/>
  <c r="EP1529" i="1" s="1"/>
  <c r="BD1529" i="1"/>
  <c r="BC1529" i="1"/>
  <c r="BB1529" i="1"/>
  <c r="BA1529" i="1"/>
  <c r="AZ1529" i="1"/>
  <c r="BF1529" i="1" s="1" a="1"/>
  <c r="BF1529" i="1" s="1"/>
  <c r="AY1529" i="1"/>
  <c r="BE1529" i="1" s="1" a="1"/>
  <c r="BE1529" i="1" s="1"/>
  <c r="AX1529" i="1"/>
  <c r="M1529" i="1"/>
  <c r="EM1528" i="1"/>
  <c r="EL1528" i="1"/>
  <c r="EK1528" i="1"/>
  <c r="DU1528" i="1"/>
  <c r="DT1528" i="1"/>
  <c r="DN1528" i="1"/>
  <c r="DM1528" i="1"/>
  <c r="DL1528" i="1"/>
  <c r="DK1528" i="1"/>
  <c r="DI1528" i="1"/>
  <c r="DJ1528" i="1" s="1"/>
  <c r="DB1528" i="1"/>
  <c r="DC1528" i="1" s="1"/>
  <c r="CX1528" i="1"/>
  <c r="CV1528" i="1"/>
  <c r="CN1528" i="1"/>
  <c r="CT1528" i="1" s="1"/>
  <c r="CU1528" i="1" s="1"/>
  <c r="BY1528" i="1"/>
  <c r="EP1528" i="1" s="1"/>
  <c r="BD1528" i="1"/>
  <c r="BC1528" i="1"/>
  <c r="BB1528" i="1"/>
  <c r="BA1528" i="1"/>
  <c r="AZ1528" i="1"/>
  <c r="BF1528" i="1" s="1" a="1"/>
  <c r="BF1528" i="1" s="1"/>
  <c r="AY1528" i="1"/>
  <c r="BE1528" i="1" s="1" a="1"/>
  <c r="BE1528" i="1" s="1"/>
  <c r="AX1528" i="1"/>
  <c r="M1528" i="1"/>
  <c r="EM1527" i="1"/>
  <c r="EL1527" i="1"/>
  <c r="EK1527" i="1"/>
  <c r="DU1527" i="1"/>
  <c r="DT1527" i="1"/>
  <c r="DN1527" i="1"/>
  <c r="DM1527" i="1"/>
  <c r="DL1527" i="1"/>
  <c r="DK1527" i="1"/>
  <c r="DI1527" i="1"/>
  <c r="DJ1527" i="1" s="1"/>
  <c r="DB1527" i="1"/>
  <c r="DC1527" i="1" s="1"/>
  <c r="CX1527" i="1"/>
  <c r="CV1527" i="1"/>
  <c r="CN1527" i="1"/>
  <c r="CT1527" i="1" s="1"/>
  <c r="CU1527" i="1" s="1"/>
  <c r="BY1527" i="1"/>
  <c r="EP1527" i="1" s="1"/>
  <c r="BD1527" i="1"/>
  <c r="BC1527" i="1"/>
  <c r="BB1527" i="1"/>
  <c r="BA1527" i="1"/>
  <c r="AZ1527" i="1"/>
  <c r="BF1527" i="1" s="1" a="1"/>
  <c r="BF1527" i="1" s="1"/>
  <c r="AY1527" i="1"/>
  <c r="BE1527" i="1" s="1" a="1"/>
  <c r="BE1527" i="1" s="1"/>
  <c r="AX1527" i="1"/>
  <c r="M1527" i="1"/>
  <c r="EM1526" i="1"/>
  <c r="EL1526" i="1"/>
  <c r="EK1526" i="1"/>
  <c r="DU1526" i="1"/>
  <c r="DT1526" i="1"/>
  <c r="DN1526" i="1"/>
  <c r="DM1526" i="1"/>
  <c r="DL1526" i="1"/>
  <c r="DK1526" i="1"/>
  <c r="DI1526" i="1"/>
  <c r="DJ1526" i="1" s="1"/>
  <c r="DC1526" i="1"/>
  <c r="CX1526" i="1"/>
  <c r="CN1526" i="1"/>
  <c r="BV1526" i="1"/>
  <c r="BX1526" i="1" s="1"/>
  <c r="BY1526" i="1" s="1"/>
  <c r="BU1526" i="1"/>
  <c r="BD1526" i="1"/>
  <c r="BC1526" i="1"/>
  <c r="BB1526" i="1"/>
  <c r="BA1526" i="1"/>
  <c r="AZ1526" i="1"/>
  <c r="BF1526" i="1" s="1" a="1"/>
  <c r="BF1526" i="1" s="1"/>
  <c r="AY1526" i="1"/>
  <c r="AX1526" i="1"/>
  <c r="U1526" i="1"/>
  <c r="M1526" i="1"/>
  <c r="EM1525" i="1"/>
  <c r="EL1525" i="1"/>
  <c r="EK1525" i="1"/>
  <c r="DU1525" i="1"/>
  <c r="DT1525" i="1"/>
  <c r="DN1525" i="1"/>
  <c r="DM1525" i="1"/>
  <c r="DL1525" i="1"/>
  <c r="DK1525" i="1"/>
  <c r="DI1525" i="1"/>
  <c r="DJ1525" i="1" s="1"/>
  <c r="DC1525" i="1"/>
  <c r="CX1525" i="1"/>
  <c r="CN1525" i="1"/>
  <c r="CS1525" i="1" s="1"/>
  <c r="BV1525" i="1"/>
  <c r="BX1525" i="1" s="1"/>
  <c r="BY1525" i="1" s="1"/>
  <c r="BU1525" i="1"/>
  <c r="BD1525" i="1"/>
  <c r="BC1525" i="1"/>
  <c r="BB1525" i="1"/>
  <c r="BA1525" i="1"/>
  <c r="AZ1525" i="1"/>
  <c r="BF1525" i="1" s="1" a="1"/>
  <c r="BF1525" i="1" s="1"/>
  <c r="AY1525" i="1"/>
  <c r="AX1525" i="1"/>
  <c r="U1525" i="1"/>
  <c r="M1525" i="1"/>
  <c r="EM1524" i="1"/>
  <c r="EL1524" i="1"/>
  <c r="EK1524" i="1"/>
  <c r="DU1524" i="1"/>
  <c r="DT1524" i="1"/>
  <c r="DN1524" i="1"/>
  <c r="DM1524" i="1"/>
  <c r="DL1524" i="1"/>
  <c r="DK1524" i="1"/>
  <c r="DI1524" i="1"/>
  <c r="DJ1524" i="1" s="1"/>
  <c r="DC1524" i="1"/>
  <c r="CX1524" i="1"/>
  <c r="CN1524" i="1"/>
  <c r="CR1524" i="1" s="1"/>
  <c r="BV1524" i="1"/>
  <c r="BX1524" i="1" s="1"/>
  <c r="BY1524" i="1" s="1"/>
  <c r="BU1524" i="1"/>
  <c r="BD1524" i="1"/>
  <c r="BC1524" i="1"/>
  <c r="BB1524" i="1"/>
  <c r="BA1524" i="1"/>
  <c r="AZ1524" i="1"/>
  <c r="BF1524" i="1" s="1" a="1"/>
  <c r="BF1524" i="1" s="1"/>
  <c r="AY1524" i="1"/>
  <c r="AX1524" i="1"/>
  <c r="U1524" i="1"/>
  <c r="M1524" i="1"/>
  <c r="EM1523" i="1"/>
  <c r="EL1523" i="1"/>
  <c r="EK1523" i="1"/>
  <c r="DU1523" i="1"/>
  <c r="DT1523" i="1"/>
  <c r="DN1523" i="1"/>
  <c r="DM1523" i="1"/>
  <c r="DL1523" i="1"/>
  <c r="DK1523" i="1"/>
  <c r="DI1523" i="1"/>
  <c r="DJ1523" i="1" s="1"/>
  <c r="DC1523" i="1"/>
  <c r="CX1523" i="1"/>
  <c r="CN1523" i="1"/>
  <c r="CS1523" i="1" s="1"/>
  <c r="BV1523" i="1"/>
  <c r="BX1523" i="1" s="1"/>
  <c r="BY1523" i="1" s="1"/>
  <c r="BU1523" i="1"/>
  <c r="BD1523" i="1"/>
  <c r="BC1523" i="1"/>
  <c r="BB1523" i="1"/>
  <c r="BA1523" i="1"/>
  <c r="AZ1523" i="1"/>
  <c r="BF1523" i="1" s="1" a="1"/>
  <c r="BF1523" i="1" s="1"/>
  <c r="AY1523" i="1"/>
  <c r="AX1523" i="1"/>
  <c r="U1523" i="1"/>
  <c r="M1523" i="1"/>
  <c r="EM1522" i="1"/>
  <c r="EL1522" i="1"/>
  <c r="EK1522" i="1"/>
  <c r="DU1522" i="1"/>
  <c r="DT1522" i="1"/>
  <c r="DN1522" i="1"/>
  <c r="DM1522" i="1"/>
  <c r="DL1522" i="1"/>
  <c r="DK1522" i="1"/>
  <c r="DI1522" i="1"/>
  <c r="DJ1522" i="1" s="1"/>
  <c r="DC1522" i="1"/>
  <c r="CX1522" i="1"/>
  <c r="CN1522" i="1"/>
  <c r="BV1522" i="1"/>
  <c r="BX1522" i="1" s="1"/>
  <c r="BY1522" i="1" s="1"/>
  <c r="BU1522" i="1"/>
  <c r="BD1522" i="1"/>
  <c r="BC1522" i="1"/>
  <c r="BB1522" i="1"/>
  <c r="BA1522" i="1"/>
  <c r="AZ1522" i="1"/>
  <c r="BF1522" i="1" s="1" a="1"/>
  <c r="BF1522" i="1" s="1"/>
  <c r="AY1522" i="1"/>
  <c r="AX1522" i="1"/>
  <c r="U1522" i="1"/>
  <c r="M1522" i="1"/>
  <c r="EM1521" i="1"/>
  <c r="EL1521" i="1"/>
  <c r="EK1521" i="1"/>
  <c r="DU1521" i="1"/>
  <c r="DT1521" i="1"/>
  <c r="DN1521" i="1"/>
  <c r="DM1521" i="1"/>
  <c r="DL1521" i="1"/>
  <c r="DK1521" i="1"/>
  <c r="DI1521" i="1"/>
  <c r="DJ1521" i="1" s="1"/>
  <c r="DC1521" i="1"/>
  <c r="CX1521" i="1"/>
  <c r="CN1521" i="1"/>
  <c r="BX1521" i="1"/>
  <c r="BY1521" i="1" s="1"/>
  <c r="BD1521" i="1"/>
  <c r="BC1521" i="1"/>
  <c r="BB1521" i="1"/>
  <c r="BA1521" i="1"/>
  <c r="AZ1521" i="1"/>
  <c r="BF1521" i="1" s="1" a="1"/>
  <c r="BF1521" i="1" s="1"/>
  <c r="AY1521" i="1"/>
  <c r="BE1521" i="1" s="1" a="1"/>
  <c r="BE1521" i="1" s="1"/>
  <c r="AX1521" i="1"/>
  <c r="U1521" i="1"/>
  <c r="M1521" i="1"/>
  <c r="EM1520" i="1"/>
  <c r="EL1520" i="1"/>
  <c r="EK1520" i="1"/>
  <c r="DU1520" i="1"/>
  <c r="DT1520" i="1"/>
  <c r="DN1520" i="1"/>
  <c r="DM1520" i="1"/>
  <c r="DL1520" i="1"/>
  <c r="DK1520" i="1"/>
  <c r="DI1520" i="1"/>
  <c r="DJ1520" i="1" s="1"/>
  <c r="DC1520" i="1"/>
  <c r="CX1520" i="1"/>
  <c r="CN1520" i="1"/>
  <c r="BX1520" i="1"/>
  <c r="BY1520" i="1" s="1"/>
  <c r="BD1520" i="1"/>
  <c r="BC1520" i="1"/>
  <c r="BB1520" i="1"/>
  <c r="BA1520" i="1"/>
  <c r="AZ1520" i="1"/>
  <c r="BF1520" i="1" s="1" a="1"/>
  <c r="BF1520" i="1" s="1"/>
  <c r="AY1520" i="1"/>
  <c r="AX1520" i="1"/>
  <c r="U1520" i="1"/>
  <c r="M1520" i="1"/>
  <c r="EM1519" i="1"/>
  <c r="EL1519" i="1"/>
  <c r="EK1519" i="1"/>
  <c r="DU1519" i="1"/>
  <c r="DT1519" i="1"/>
  <c r="DN1519" i="1"/>
  <c r="DM1519" i="1"/>
  <c r="DL1519" i="1"/>
  <c r="DK1519" i="1"/>
  <c r="DI1519" i="1"/>
  <c r="DJ1519" i="1" s="1"/>
  <c r="DC1519" i="1"/>
  <c r="CX1519" i="1"/>
  <c r="CN1519" i="1"/>
  <c r="CR1519" i="1" s="1"/>
  <c r="BX1519" i="1"/>
  <c r="BY1519" i="1" s="1"/>
  <c r="BD1519" i="1"/>
  <c r="BC1519" i="1"/>
  <c r="BB1519" i="1"/>
  <c r="BA1519" i="1"/>
  <c r="AZ1519" i="1"/>
  <c r="BF1519" i="1" s="1" a="1"/>
  <c r="BF1519" i="1" s="1"/>
  <c r="AY1519" i="1"/>
  <c r="AX1519" i="1"/>
  <c r="U1519" i="1"/>
  <c r="M1519" i="1"/>
  <c r="EM1518" i="1"/>
  <c r="EL1518" i="1"/>
  <c r="EK1518" i="1"/>
  <c r="DU1518" i="1"/>
  <c r="DT1518" i="1"/>
  <c r="DN1518" i="1"/>
  <c r="DM1518" i="1"/>
  <c r="DL1518" i="1"/>
  <c r="DK1518" i="1"/>
  <c r="DI1518" i="1"/>
  <c r="DJ1518" i="1" s="1"/>
  <c r="DC1518" i="1"/>
  <c r="CX1518" i="1"/>
  <c r="CN1518" i="1"/>
  <c r="BX1518" i="1"/>
  <c r="BY1518" i="1" s="1"/>
  <c r="BD1518" i="1"/>
  <c r="BC1518" i="1"/>
  <c r="BB1518" i="1"/>
  <c r="BA1518" i="1"/>
  <c r="AZ1518" i="1"/>
  <c r="BF1518" i="1" s="1" a="1"/>
  <c r="BF1518" i="1" s="1"/>
  <c r="AY1518" i="1"/>
  <c r="AX1518" i="1"/>
  <c r="U1518" i="1"/>
  <c r="M1518" i="1"/>
  <c r="EM1517" i="1"/>
  <c r="EL1517" i="1"/>
  <c r="EK1517" i="1"/>
  <c r="DU1517" i="1"/>
  <c r="DT1517" i="1"/>
  <c r="DN1517" i="1"/>
  <c r="DM1517" i="1"/>
  <c r="DL1517" i="1"/>
  <c r="DK1517" i="1"/>
  <c r="DI1517" i="1"/>
  <c r="DJ1517" i="1" s="1"/>
  <c r="DC1517" i="1"/>
  <c r="CX1517" i="1"/>
  <c r="CN1517" i="1"/>
  <c r="BX1517" i="1"/>
  <c r="BY1517" i="1" s="1"/>
  <c r="BD1517" i="1"/>
  <c r="BC1517" i="1"/>
  <c r="BB1517" i="1"/>
  <c r="BA1517" i="1"/>
  <c r="AZ1517" i="1"/>
  <c r="BF1517" i="1" s="1" a="1"/>
  <c r="BF1517" i="1" s="1"/>
  <c r="AY1517" i="1"/>
  <c r="AX1517" i="1"/>
  <c r="U1517" i="1"/>
  <c r="M1517" i="1"/>
  <c r="EM1516" i="1"/>
  <c r="EL1516" i="1"/>
  <c r="EK1516" i="1"/>
  <c r="DU1516" i="1"/>
  <c r="DT1516" i="1"/>
  <c r="DN1516" i="1"/>
  <c r="DM1516" i="1"/>
  <c r="DL1516" i="1"/>
  <c r="DK1516" i="1"/>
  <c r="DI1516" i="1"/>
  <c r="DJ1516" i="1" s="1"/>
  <c r="DC1516" i="1"/>
  <c r="CX1516" i="1"/>
  <c r="CN1516" i="1"/>
  <c r="CS1516" i="1" s="1"/>
  <c r="BX1516" i="1"/>
  <c r="BY1516" i="1" s="1"/>
  <c r="BD1516" i="1"/>
  <c r="BC1516" i="1"/>
  <c r="BB1516" i="1"/>
  <c r="BA1516" i="1"/>
  <c r="AZ1516" i="1"/>
  <c r="BF1516" i="1" s="1" a="1"/>
  <c r="BF1516" i="1" s="1"/>
  <c r="AY1516" i="1"/>
  <c r="AX1516" i="1"/>
  <c r="U1516" i="1"/>
  <c r="M1516" i="1"/>
  <c r="EM1515" i="1"/>
  <c r="EL1515" i="1"/>
  <c r="EK1515" i="1"/>
  <c r="DU1515" i="1"/>
  <c r="DT1515" i="1"/>
  <c r="DN1515" i="1"/>
  <c r="DM1515" i="1"/>
  <c r="DL1515" i="1"/>
  <c r="DK1515" i="1"/>
  <c r="DI1515" i="1"/>
  <c r="DJ1515" i="1" s="1"/>
  <c r="DC1515" i="1"/>
  <c r="CX1515" i="1"/>
  <c r="CN1515" i="1"/>
  <c r="BX1515" i="1"/>
  <c r="BY1515" i="1" s="1"/>
  <c r="BD1515" i="1"/>
  <c r="BC1515" i="1"/>
  <c r="BB1515" i="1"/>
  <c r="BA1515" i="1"/>
  <c r="AZ1515" i="1"/>
  <c r="BF1515" i="1" s="1" a="1"/>
  <c r="BF1515" i="1" s="1"/>
  <c r="AY1515" i="1"/>
  <c r="AX1515" i="1"/>
  <c r="U1515" i="1"/>
  <c r="M1515" i="1"/>
  <c r="EM1514" i="1"/>
  <c r="EL1514" i="1"/>
  <c r="EK1514" i="1"/>
  <c r="DU1514" i="1"/>
  <c r="DT1514" i="1"/>
  <c r="DN1514" i="1"/>
  <c r="DM1514" i="1"/>
  <c r="DL1514" i="1"/>
  <c r="DK1514" i="1"/>
  <c r="DI1514" i="1"/>
  <c r="DJ1514" i="1" s="1"/>
  <c r="DC1514" i="1"/>
  <c r="CX1514" i="1"/>
  <c r="CN1514" i="1"/>
  <c r="BX1514" i="1"/>
  <c r="BY1514" i="1" s="1"/>
  <c r="BD1514" i="1"/>
  <c r="BC1514" i="1"/>
  <c r="BB1514" i="1"/>
  <c r="BA1514" i="1"/>
  <c r="AZ1514" i="1"/>
  <c r="BF1514" i="1" s="1" a="1"/>
  <c r="BF1514" i="1" s="1"/>
  <c r="AY1514" i="1"/>
  <c r="AX1514" i="1"/>
  <c r="U1514" i="1"/>
  <c r="M1514" i="1"/>
  <c r="EM1513" i="1"/>
  <c r="EL1513" i="1"/>
  <c r="EK1513" i="1"/>
  <c r="DU1513" i="1"/>
  <c r="DT1513" i="1"/>
  <c r="DN1513" i="1"/>
  <c r="DM1513" i="1"/>
  <c r="DL1513" i="1"/>
  <c r="DK1513" i="1"/>
  <c r="DI1513" i="1"/>
  <c r="DJ1513" i="1" s="1"/>
  <c r="DC1513" i="1"/>
  <c r="CX1513" i="1"/>
  <c r="CN1513" i="1"/>
  <c r="CS1513" i="1" s="1"/>
  <c r="BX1513" i="1"/>
  <c r="BY1513" i="1" s="1"/>
  <c r="BD1513" i="1"/>
  <c r="BC1513" i="1"/>
  <c r="BB1513" i="1"/>
  <c r="BA1513" i="1"/>
  <c r="AZ1513" i="1"/>
  <c r="BF1513" i="1" s="1" a="1"/>
  <c r="BF1513" i="1" s="1"/>
  <c r="AY1513" i="1"/>
  <c r="AX1513" i="1"/>
  <c r="U1513" i="1"/>
  <c r="M1513" i="1"/>
  <c r="EM1512" i="1"/>
  <c r="EL1512" i="1"/>
  <c r="EK1512" i="1"/>
  <c r="DU1512" i="1"/>
  <c r="DT1512" i="1"/>
  <c r="DN1512" i="1"/>
  <c r="DM1512" i="1"/>
  <c r="DL1512" i="1"/>
  <c r="DK1512" i="1"/>
  <c r="DI1512" i="1"/>
  <c r="DJ1512" i="1" s="1"/>
  <c r="DC1512" i="1"/>
  <c r="CX1512" i="1"/>
  <c r="CN1512" i="1"/>
  <c r="CT1512" i="1" s="1"/>
  <c r="CU1512" i="1" s="1"/>
  <c r="BY1512" i="1"/>
  <c r="BX1512" i="1"/>
  <c r="BD1512" i="1"/>
  <c r="BC1512" i="1"/>
  <c r="BB1512" i="1"/>
  <c r="BA1512" i="1"/>
  <c r="AZ1512" i="1"/>
  <c r="BF1512" i="1" s="1" a="1"/>
  <c r="BF1512" i="1" s="1"/>
  <c r="AY1512" i="1"/>
  <c r="AX1512" i="1"/>
  <c r="U1512" i="1"/>
  <c r="M1512" i="1"/>
  <c r="EM1511" i="1"/>
  <c r="EL1511" i="1"/>
  <c r="EK1511" i="1"/>
  <c r="DU1511" i="1"/>
  <c r="DT1511" i="1"/>
  <c r="DN1511" i="1"/>
  <c r="DM1511" i="1"/>
  <c r="DL1511" i="1"/>
  <c r="DK1511" i="1"/>
  <c r="DI1511" i="1"/>
  <c r="DJ1511" i="1" s="1"/>
  <c r="DC1511" i="1"/>
  <c r="CX1511" i="1"/>
  <c r="CN1511" i="1"/>
  <c r="BX1511" i="1"/>
  <c r="BY1511" i="1" s="1"/>
  <c r="BD1511" i="1"/>
  <c r="BC1511" i="1"/>
  <c r="BB1511" i="1"/>
  <c r="BA1511" i="1"/>
  <c r="AZ1511" i="1"/>
  <c r="BF1511" i="1" s="1" a="1"/>
  <c r="BF1511" i="1" s="1"/>
  <c r="AY1511" i="1"/>
  <c r="AX1511" i="1"/>
  <c r="U1511" i="1"/>
  <c r="M1511" i="1"/>
  <c r="EM1510" i="1"/>
  <c r="EL1510" i="1"/>
  <c r="EK1510" i="1"/>
  <c r="DU1510" i="1"/>
  <c r="DT1510" i="1"/>
  <c r="DN1510" i="1"/>
  <c r="DM1510" i="1"/>
  <c r="DL1510" i="1"/>
  <c r="DK1510" i="1"/>
  <c r="DI1510" i="1"/>
  <c r="DJ1510" i="1" s="1"/>
  <c r="DC1510" i="1"/>
  <c r="CX1510" i="1"/>
  <c r="CN1510" i="1"/>
  <c r="BX1510" i="1"/>
  <c r="BY1510" i="1" s="1"/>
  <c r="BD1510" i="1"/>
  <c r="BC1510" i="1"/>
  <c r="BB1510" i="1"/>
  <c r="BA1510" i="1"/>
  <c r="AZ1510" i="1"/>
  <c r="BF1510" i="1" s="1" a="1"/>
  <c r="BF1510" i="1" s="1"/>
  <c r="AY1510" i="1"/>
  <c r="AX1510" i="1"/>
  <c r="U1510" i="1"/>
  <c r="M1510" i="1"/>
  <c r="EM1509" i="1"/>
  <c r="EL1509" i="1"/>
  <c r="EK1509" i="1"/>
  <c r="DU1509" i="1"/>
  <c r="DT1509" i="1"/>
  <c r="DN1509" i="1"/>
  <c r="DM1509" i="1"/>
  <c r="DL1509" i="1"/>
  <c r="DK1509" i="1"/>
  <c r="DI1509" i="1"/>
  <c r="DJ1509" i="1" s="1"/>
  <c r="DC1509" i="1"/>
  <c r="CX1509" i="1"/>
  <c r="CN1509" i="1"/>
  <c r="BX1509" i="1"/>
  <c r="BY1509" i="1" s="1"/>
  <c r="BD1509" i="1"/>
  <c r="BC1509" i="1"/>
  <c r="BB1509" i="1"/>
  <c r="BA1509" i="1"/>
  <c r="AZ1509" i="1"/>
  <c r="BF1509" i="1" s="1" a="1"/>
  <c r="BF1509" i="1" s="1"/>
  <c r="AY1509" i="1"/>
  <c r="AX1509" i="1"/>
  <c r="U1509" i="1"/>
  <c r="M1509" i="1"/>
  <c r="EM1508" i="1"/>
  <c r="EL1508" i="1"/>
  <c r="EK1508" i="1"/>
  <c r="DU1508" i="1"/>
  <c r="DT1508" i="1"/>
  <c r="DN1508" i="1"/>
  <c r="DM1508" i="1"/>
  <c r="DL1508" i="1"/>
  <c r="DK1508" i="1"/>
  <c r="DI1508" i="1"/>
  <c r="DJ1508" i="1" s="1"/>
  <c r="DC1508" i="1"/>
  <c r="CX1508" i="1"/>
  <c r="CN1508" i="1"/>
  <c r="CS1508" i="1" s="1"/>
  <c r="BX1508" i="1"/>
  <c r="BD1508" i="1"/>
  <c r="BC1508" i="1"/>
  <c r="BB1508" i="1"/>
  <c r="BA1508" i="1"/>
  <c r="AZ1508" i="1"/>
  <c r="BF1508" i="1" s="1" a="1"/>
  <c r="BF1508" i="1" s="1"/>
  <c r="AY1508" i="1"/>
  <c r="AX1508" i="1"/>
  <c r="U1508" i="1"/>
  <c r="M1508" i="1"/>
  <c r="EM1507" i="1"/>
  <c r="EL1507" i="1"/>
  <c r="EK1507" i="1"/>
  <c r="DU1507" i="1"/>
  <c r="DT1507" i="1"/>
  <c r="DN1507" i="1"/>
  <c r="DM1507" i="1"/>
  <c r="DL1507" i="1"/>
  <c r="DK1507" i="1"/>
  <c r="DI1507" i="1"/>
  <c r="DJ1507" i="1" s="1"/>
  <c r="DC1507" i="1"/>
  <c r="CX1507" i="1"/>
  <c r="CN1507" i="1"/>
  <c r="CR1507" i="1" s="1"/>
  <c r="BX1507" i="1"/>
  <c r="BY1507" i="1" s="1"/>
  <c r="BD1507" i="1"/>
  <c r="BC1507" i="1"/>
  <c r="BB1507" i="1"/>
  <c r="BA1507" i="1"/>
  <c r="AZ1507" i="1"/>
  <c r="BF1507" i="1" s="1" a="1"/>
  <c r="BF1507" i="1" s="1"/>
  <c r="AY1507" i="1"/>
  <c r="AX1507" i="1"/>
  <c r="U1507" i="1"/>
  <c r="M1507" i="1"/>
  <c r="EM1506" i="1"/>
  <c r="EL1506" i="1"/>
  <c r="EK1506" i="1"/>
  <c r="DU1506" i="1"/>
  <c r="DT1506" i="1"/>
  <c r="DN1506" i="1"/>
  <c r="DM1506" i="1"/>
  <c r="DL1506" i="1"/>
  <c r="DK1506" i="1"/>
  <c r="DI1506" i="1"/>
  <c r="DJ1506" i="1" s="1"/>
  <c r="DC1506" i="1"/>
  <c r="CX1506" i="1"/>
  <c r="CN1506" i="1"/>
  <c r="BX1506" i="1"/>
  <c r="BY1506" i="1" s="1"/>
  <c r="BD1506" i="1"/>
  <c r="BC1506" i="1"/>
  <c r="BB1506" i="1"/>
  <c r="BA1506" i="1"/>
  <c r="AZ1506" i="1"/>
  <c r="BF1506" i="1" s="1" a="1"/>
  <c r="BF1506" i="1" s="1"/>
  <c r="AY1506" i="1"/>
  <c r="AX1506" i="1"/>
  <c r="U1506" i="1"/>
  <c r="M1506" i="1"/>
  <c r="EM1505" i="1"/>
  <c r="EL1505" i="1"/>
  <c r="EK1505" i="1"/>
  <c r="DU1505" i="1"/>
  <c r="DT1505" i="1"/>
  <c r="DN1505" i="1"/>
  <c r="DM1505" i="1"/>
  <c r="DL1505" i="1"/>
  <c r="DK1505" i="1"/>
  <c r="DI1505" i="1"/>
  <c r="DJ1505" i="1" s="1"/>
  <c r="DC1505" i="1"/>
  <c r="CX1505" i="1"/>
  <c r="CN1505" i="1"/>
  <c r="CS1505" i="1" s="1"/>
  <c r="BX1505" i="1"/>
  <c r="BY1505" i="1" s="1"/>
  <c r="BD1505" i="1"/>
  <c r="BC1505" i="1"/>
  <c r="BB1505" i="1"/>
  <c r="BA1505" i="1"/>
  <c r="AZ1505" i="1"/>
  <c r="BF1505" i="1" s="1" a="1"/>
  <c r="BF1505" i="1" s="1"/>
  <c r="AY1505" i="1"/>
  <c r="AX1505" i="1"/>
  <c r="U1505" i="1"/>
  <c r="M1505" i="1"/>
  <c r="EM1504" i="1"/>
  <c r="EL1504" i="1"/>
  <c r="EK1504" i="1"/>
  <c r="DU1504" i="1"/>
  <c r="DT1504" i="1"/>
  <c r="DN1504" i="1"/>
  <c r="DM1504" i="1"/>
  <c r="DL1504" i="1"/>
  <c r="DK1504" i="1"/>
  <c r="DI1504" i="1"/>
  <c r="DJ1504" i="1" s="1"/>
  <c r="DC1504" i="1"/>
  <c r="CX1504" i="1"/>
  <c r="CN1504" i="1"/>
  <c r="BX1504" i="1"/>
  <c r="BY1504" i="1" s="1"/>
  <c r="BD1504" i="1"/>
  <c r="BC1504" i="1"/>
  <c r="BB1504" i="1"/>
  <c r="BA1504" i="1"/>
  <c r="AZ1504" i="1"/>
  <c r="BF1504" i="1" s="1" a="1"/>
  <c r="BF1504" i="1" s="1"/>
  <c r="AY1504" i="1"/>
  <c r="AX1504" i="1"/>
  <c r="U1504" i="1"/>
  <c r="M1504" i="1"/>
  <c r="EM1503" i="1"/>
  <c r="EL1503" i="1"/>
  <c r="EK1503" i="1"/>
  <c r="DU1503" i="1"/>
  <c r="DT1503" i="1"/>
  <c r="DN1503" i="1"/>
  <c r="DM1503" i="1"/>
  <c r="DL1503" i="1"/>
  <c r="DK1503" i="1"/>
  <c r="DI1503" i="1"/>
  <c r="DJ1503" i="1" s="1"/>
  <c r="DC1503" i="1"/>
  <c r="CX1503" i="1"/>
  <c r="CN1503" i="1"/>
  <c r="CR1503" i="1" s="1"/>
  <c r="BX1503" i="1"/>
  <c r="BY1503" i="1" s="1"/>
  <c r="BD1503" i="1"/>
  <c r="BC1503" i="1"/>
  <c r="BB1503" i="1"/>
  <c r="BA1503" i="1"/>
  <c r="AZ1503" i="1"/>
  <c r="BF1503" i="1" s="1" a="1"/>
  <c r="BF1503" i="1" s="1"/>
  <c r="AY1503" i="1"/>
  <c r="AX1503" i="1"/>
  <c r="U1503" i="1"/>
  <c r="M1503" i="1"/>
  <c r="EM1502" i="1"/>
  <c r="EL1502" i="1"/>
  <c r="EK1502" i="1"/>
  <c r="DU1502" i="1"/>
  <c r="DT1502" i="1"/>
  <c r="DN1502" i="1"/>
  <c r="DM1502" i="1"/>
  <c r="DL1502" i="1"/>
  <c r="DK1502" i="1"/>
  <c r="DI1502" i="1"/>
  <c r="DJ1502" i="1" s="1"/>
  <c r="DC1502" i="1"/>
  <c r="CX1502" i="1"/>
  <c r="CN1502" i="1"/>
  <c r="BX1502" i="1"/>
  <c r="BD1502" i="1"/>
  <c r="BC1502" i="1"/>
  <c r="BB1502" i="1"/>
  <c r="BA1502" i="1"/>
  <c r="AZ1502" i="1"/>
  <c r="BF1502" i="1" s="1" a="1"/>
  <c r="BF1502" i="1" s="1"/>
  <c r="AY1502" i="1"/>
  <c r="AX1502" i="1"/>
  <c r="U1502" i="1"/>
  <c r="M1502" i="1"/>
  <c r="EM1501" i="1"/>
  <c r="EL1501" i="1"/>
  <c r="EK1501" i="1"/>
  <c r="DU1501" i="1"/>
  <c r="DT1501" i="1"/>
  <c r="DN1501" i="1"/>
  <c r="DM1501" i="1"/>
  <c r="DL1501" i="1"/>
  <c r="DK1501" i="1"/>
  <c r="DI1501" i="1"/>
  <c r="DJ1501" i="1" s="1"/>
  <c r="DC1501" i="1"/>
  <c r="CX1501" i="1"/>
  <c r="CN1501" i="1"/>
  <c r="CS1501" i="1" s="1"/>
  <c r="BX1501" i="1"/>
  <c r="BY1501" i="1" s="1"/>
  <c r="BD1501" i="1"/>
  <c r="BC1501" i="1"/>
  <c r="BB1501" i="1"/>
  <c r="BA1501" i="1"/>
  <c r="AZ1501" i="1"/>
  <c r="BF1501" i="1" s="1" a="1"/>
  <c r="BF1501" i="1" s="1"/>
  <c r="AY1501" i="1"/>
  <c r="AX1501" i="1"/>
  <c r="U1501" i="1"/>
  <c r="M1501" i="1"/>
  <c r="EM1500" i="1"/>
  <c r="EL1500" i="1"/>
  <c r="EK1500" i="1"/>
  <c r="DU1500" i="1"/>
  <c r="DT1500" i="1"/>
  <c r="DN1500" i="1"/>
  <c r="DM1500" i="1"/>
  <c r="DL1500" i="1"/>
  <c r="DK1500" i="1"/>
  <c r="DI1500" i="1"/>
  <c r="DJ1500" i="1" s="1"/>
  <c r="DC1500" i="1"/>
  <c r="CX1500" i="1"/>
  <c r="CN1500" i="1"/>
  <c r="CS1500" i="1" s="1"/>
  <c r="BX1500" i="1"/>
  <c r="BY1500" i="1" s="1"/>
  <c r="BD1500" i="1"/>
  <c r="BC1500" i="1"/>
  <c r="BB1500" i="1"/>
  <c r="BA1500" i="1"/>
  <c r="AZ1500" i="1"/>
  <c r="BF1500" i="1" s="1" a="1"/>
  <c r="BF1500" i="1" s="1"/>
  <c r="AY1500" i="1"/>
  <c r="AX1500" i="1"/>
  <c r="U1500" i="1"/>
  <c r="M1500" i="1"/>
  <c r="EM1499" i="1"/>
  <c r="EL1499" i="1"/>
  <c r="EK1499" i="1"/>
  <c r="DU1499" i="1"/>
  <c r="DT1499" i="1"/>
  <c r="DN1499" i="1"/>
  <c r="DM1499" i="1"/>
  <c r="DL1499" i="1"/>
  <c r="DK1499" i="1"/>
  <c r="DI1499" i="1"/>
  <c r="DJ1499" i="1" s="1"/>
  <c r="DC1499" i="1"/>
  <c r="CX1499" i="1"/>
  <c r="CN1499" i="1"/>
  <c r="CR1499" i="1" s="1"/>
  <c r="BX1499" i="1"/>
  <c r="BY1499" i="1" s="1"/>
  <c r="BD1499" i="1"/>
  <c r="BC1499" i="1"/>
  <c r="BB1499" i="1"/>
  <c r="BA1499" i="1"/>
  <c r="AZ1499" i="1"/>
  <c r="BF1499" i="1" s="1" a="1"/>
  <c r="BF1499" i="1" s="1"/>
  <c r="AY1499" i="1"/>
  <c r="AX1499" i="1"/>
  <c r="U1499" i="1"/>
  <c r="M1499" i="1"/>
  <c r="EM1498" i="1"/>
  <c r="EL1498" i="1"/>
  <c r="EK1498" i="1"/>
  <c r="DU1498" i="1"/>
  <c r="DT1498" i="1"/>
  <c r="DN1498" i="1"/>
  <c r="DM1498" i="1"/>
  <c r="DL1498" i="1"/>
  <c r="DK1498" i="1"/>
  <c r="DI1498" i="1"/>
  <c r="DJ1498" i="1" s="1"/>
  <c r="DC1498" i="1"/>
  <c r="CX1498" i="1"/>
  <c r="CN1498" i="1"/>
  <c r="CS1498" i="1" s="1"/>
  <c r="BX1498" i="1"/>
  <c r="BD1498" i="1"/>
  <c r="BC1498" i="1"/>
  <c r="BB1498" i="1"/>
  <c r="BA1498" i="1"/>
  <c r="AZ1498" i="1"/>
  <c r="BF1498" i="1" s="1" a="1"/>
  <c r="BF1498" i="1" s="1"/>
  <c r="AY1498" i="1"/>
  <c r="AX1498" i="1"/>
  <c r="U1498" i="1"/>
  <c r="M1498" i="1"/>
  <c r="EM1497" i="1"/>
  <c r="EL1497" i="1"/>
  <c r="EK1497" i="1"/>
  <c r="DU1497" i="1"/>
  <c r="DT1497" i="1"/>
  <c r="DN1497" i="1"/>
  <c r="DM1497" i="1"/>
  <c r="DL1497" i="1"/>
  <c r="DK1497" i="1"/>
  <c r="DI1497" i="1"/>
  <c r="DJ1497" i="1" s="1"/>
  <c r="DC1497" i="1"/>
  <c r="CX1497" i="1"/>
  <c r="CN1497" i="1"/>
  <c r="BX1497" i="1"/>
  <c r="BY1497" i="1" s="1"/>
  <c r="BD1497" i="1"/>
  <c r="BC1497" i="1"/>
  <c r="BB1497" i="1"/>
  <c r="BA1497" i="1"/>
  <c r="AZ1497" i="1"/>
  <c r="BF1497" i="1" s="1" a="1"/>
  <c r="BF1497" i="1" s="1"/>
  <c r="AY1497" i="1"/>
  <c r="AX1497" i="1"/>
  <c r="U1497" i="1"/>
  <c r="M1497" i="1"/>
  <c r="EM1496" i="1"/>
  <c r="EL1496" i="1"/>
  <c r="EK1496" i="1"/>
  <c r="DU1496" i="1"/>
  <c r="DT1496" i="1"/>
  <c r="DN1496" i="1"/>
  <c r="DM1496" i="1"/>
  <c r="DL1496" i="1"/>
  <c r="DK1496" i="1"/>
  <c r="DJ1496" i="1"/>
  <c r="DI1496" i="1"/>
  <c r="DC1496" i="1"/>
  <c r="CX1496" i="1"/>
  <c r="CN1496" i="1"/>
  <c r="BX1496" i="1"/>
  <c r="BY1496" i="1" s="1"/>
  <c r="BD1496" i="1"/>
  <c r="BC1496" i="1"/>
  <c r="BB1496" i="1"/>
  <c r="BA1496" i="1"/>
  <c r="AZ1496" i="1"/>
  <c r="BF1496" i="1" s="1" a="1"/>
  <c r="BF1496" i="1" s="1"/>
  <c r="AY1496" i="1"/>
  <c r="AX1496" i="1"/>
  <c r="U1496" i="1"/>
  <c r="M1496" i="1"/>
  <c r="EM1495" i="1"/>
  <c r="EL1495" i="1"/>
  <c r="EK1495" i="1"/>
  <c r="DU1495" i="1"/>
  <c r="DT1495" i="1"/>
  <c r="DN1495" i="1"/>
  <c r="DM1495" i="1"/>
  <c r="DL1495" i="1"/>
  <c r="DK1495" i="1"/>
  <c r="DI1495" i="1"/>
  <c r="DJ1495" i="1" s="1"/>
  <c r="DC1495" i="1"/>
  <c r="CX1495" i="1"/>
  <c r="CN1495" i="1"/>
  <c r="BX1495" i="1"/>
  <c r="BY1495" i="1" s="1"/>
  <c r="BD1495" i="1"/>
  <c r="BC1495" i="1"/>
  <c r="BB1495" i="1"/>
  <c r="BA1495" i="1"/>
  <c r="AZ1495" i="1"/>
  <c r="BF1495" i="1" s="1" a="1"/>
  <c r="BF1495" i="1" s="1"/>
  <c r="AY1495" i="1"/>
  <c r="AX1495" i="1"/>
  <c r="U1495" i="1"/>
  <c r="M1495" i="1"/>
  <c r="EM1494" i="1"/>
  <c r="EL1494" i="1"/>
  <c r="EK1494" i="1"/>
  <c r="DU1494" i="1"/>
  <c r="DT1494" i="1"/>
  <c r="DN1494" i="1"/>
  <c r="DM1494" i="1"/>
  <c r="DL1494" i="1"/>
  <c r="DK1494" i="1"/>
  <c r="DI1494" i="1"/>
  <c r="DJ1494" i="1" s="1"/>
  <c r="DC1494" i="1"/>
  <c r="CX1494" i="1"/>
  <c r="CN1494" i="1"/>
  <c r="BX1494" i="1"/>
  <c r="BY1494" i="1" s="1"/>
  <c r="BD1494" i="1"/>
  <c r="BC1494" i="1"/>
  <c r="BB1494" i="1"/>
  <c r="BA1494" i="1"/>
  <c r="AZ1494" i="1"/>
  <c r="BF1494" i="1" s="1" a="1"/>
  <c r="BF1494" i="1" s="1"/>
  <c r="AY1494" i="1"/>
  <c r="AX1494" i="1"/>
  <c r="U1494" i="1"/>
  <c r="M1494" i="1"/>
  <c r="EM1493" i="1"/>
  <c r="EL1493" i="1"/>
  <c r="EK1493" i="1"/>
  <c r="DU1493" i="1"/>
  <c r="DT1493" i="1"/>
  <c r="DN1493" i="1"/>
  <c r="DM1493" i="1"/>
  <c r="DL1493" i="1"/>
  <c r="DK1493" i="1"/>
  <c r="DI1493" i="1"/>
  <c r="DJ1493" i="1" s="1"/>
  <c r="DC1493" i="1"/>
  <c r="CX1493" i="1"/>
  <c r="CN1493" i="1"/>
  <c r="CR1493" i="1" s="1"/>
  <c r="BX1493" i="1"/>
  <c r="BY1493" i="1" s="1"/>
  <c r="BD1493" i="1"/>
  <c r="BC1493" i="1"/>
  <c r="BB1493" i="1"/>
  <c r="BA1493" i="1"/>
  <c r="AZ1493" i="1"/>
  <c r="BF1493" i="1" s="1" a="1"/>
  <c r="BF1493" i="1" s="1"/>
  <c r="AY1493" i="1"/>
  <c r="AX1493" i="1"/>
  <c r="U1493" i="1"/>
  <c r="M1493" i="1"/>
  <c r="EM1492" i="1"/>
  <c r="EL1492" i="1"/>
  <c r="EK1492" i="1"/>
  <c r="DU1492" i="1"/>
  <c r="DT1492" i="1"/>
  <c r="DN1492" i="1"/>
  <c r="DM1492" i="1"/>
  <c r="DL1492" i="1"/>
  <c r="DK1492" i="1"/>
  <c r="DI1492" i="1"/>
  <c r="DJ1492" i="1" s="1"/>
  <c r="DC1492" i="1"/>
  <c r="CX1492" i="1"/>
  <c r="CN1492" i="1"/>
  <c r="CS1492" i="1" s="1"/>
  <c r="BX1492" i="1"/>
  <c r="BD1492" i="1"/>
  <c r="BC1492" i="1"/>
  <c r="BB1492" i="1"/>
  <c r="BA1492" i="1"/>
  <c r="AZ1492" i="1"/>
  <c r="BF1492" i="1" s="1" a="1"/>
  <c r="BF1492" i="1" s="1"/>
  <c r="AY1492" i="1"/>
  <c r="AX1492" i="1"/>
  <c r="U1492" i="1"/>
  <c r="M1492" i="1"/>
  <c r="EM1491" i="1"/>
  <c r="EL1491" i="1"/>
  <c r="EK1491" i="1"/>
  <c r="DU1491" i="1"/>
  <c r="DT1491" i="1"/>
  <c r="DN1491" i="1"/>
  <c r="DM1491" i="1"/>
  <c r="DL1491" i="1"/>
  <c r="DK1491" i="1"/>
  <c r="DI1491" i="1"/>
  <c r="DJ1491" i="1" s="1"/>
  <c r="DC1491" i="1"/>
  <c r="CX1491" i="1"/>
  <c r="CN1491" i="1"/>
  <c r="BX1491" i="1"/>
  <c r="BY1491" i="1" s="1"/>
  <c r="BD1491" i="1"/>
  <c r="BC1491" i="1"/>
  <c r="BB1491" i="1"/>
  <c r="BA1491" i="1"/>
  <c r="AZ1491" i="1"/>
  <c r="BF1491" i="1" s="1" a="1"/>
  <c r="BF1491" i="1" s="1"/>
  <c r="AY1491" i="1"/>
  <c r="AX1491" i="1"/>
  <c r="U1491" i="1"/>
  <c r="M1491" i="1"/>
  <c r="EM1490" i="1"/>
  <c r="EL1490" i="1"/>
  <c r="EK1490" i="1"/>
  <c r="DU1490" i="1"/>
  <c r="DT1490" i="1"/>
  <c r="DN1490" i="1"/>
  <c r="DM1490" i="1"/>
  <c r="DL1490" i="1"/>
  <c r="DK1490" i="1"/>
  <c r="DI1490" i="1"/>
  <c r="DJ1490" i="1" s="1"/>
  <c r="DC1490" i="1"/>
  <c r="CX1490" i="1"/>
  <c r="CN1490" i="1"/>
  <c r="CS1490" i="1" s="1"/>
  <c r="BX1490" i="1"/>
  <c r="CT1490" i="1" s="1"/>
  <c r="CU1490" i="1" s="1"/>
  <c r="BD1490" i="1"/>
  <c r="BC1490" i="1"/>
  <c r="BB1490" i="1"/>
  <c r="BA1490" i="1"/>
  <c r="AZ1490" i="1"/>
  <c r="BF1490" i="1" s="1" a="1"/>
  <c r="BF1490" i="1" s="1"/>
  <c r="AY1490" i="1"/>
  <c r="AX1490" i="1"/>
  <c r="U1490" i="1"/>
  <c r="M1490" i="1"/>
  <c r="EM1489" i="1"/>
  <c r="EL1489" i="1"/>
  <c r="EK1489" i="1"/>
  <c r="DU1489" i="1"/>
  <c r="DT1489" i="1"/>
  <c r="DN1489" i="1"/>
  <c r="DM1489" i="1"/>
  <c r="DL1489" i="1"/>
  <c r="DK1489" i="1"/>
  <c r="DI1489" i="1"/>
  <c r="DJ1489" i="1" s="1"/>
  <c r="DC1489" i="1"/>
  <c r="CX1489" i="1"/>
  <c r="CN1489" i="1"/>
  <c r="BX1489" i="1"/>
  <c r="BY1489" i="1" s="1"/>
  <c r="BD1489" i="1"/>
  <c r="BC1489" i="1"/>
  <c r="BB1489" i="1"/>
  <c r="BA1489" i="1"/>
  <c r="AZ1489" i="1"/>
  <c r="BF1489" i="1" s="1" a="1"/>
  <c r="BF1489" i="1" s="1"/>
  <c r="AY1489" i="1"/>
  <c r="AX1489" i="1"/>
  <c r="U1489" i="1"/>
  <c r="M1489" i="1"/>
  <c r="EM1488" i="1"/>
  <c r="EL1488" i="1"/>
  <c r="EK1488" i="1"/>
  <c r="DU1488" i="1"/>
  <c r="DT1488" i="1"/>
  <c r="DN1488" i="1"/>
  <c r="DM1488" i="1"/>
  <c r="DL1488" i="1"/>
  <c r="DK1488" i="1"/>
  <c r="DI1488" i="1"/>
  <c r="DJ1488" i="1" s="1"/>
  <c r="DC1488" i="1"/>
  <c r="CX1488" i="1"/>
  <c r="CN1488" i="1"/>
  <c r="CR1488" i="1" s="1"/>
  <c r="BX1488" i="1"/>
  <c r="BY1488" i="1" s="1"/>
  <c r="BD1488" i="1"/>
  <c r="BC1488" i="1"/>
  <c r="BB1488" i="1"/>
  <c r="BA1488" i="1"/>
  <c r="AZ1488" i="1"/>
  <c r="BF1488" i="1" s="1" a="1"/>
  <c r="BF1488" i="1" s="1"/>
  <c r="AY1488" i="1"/>
  <c r="AX1488" i="1"/>
  <c r="U1488" i="1"/>
  <c r="M1488" i="1"/>
  <c r="EM1487" i="1"/>
  <c r="EL1487" i="1"/>
  <c r="EK1487" i="1"/>
  <c r="DU1487" i="1"/>
  <c r="DT1487" i="1"/>
  <c r="DN1487" i="1"/>
  <c r="DM1487" i="1"/>
  <c r="DL1487" i="1"/>
  <c r="DK1487" i="1"/>
  <c r="DI1487" i="1"/>
  <c r="DJ1487" i="1" s="1"/>
  <c r="DC1487" i="1"/>
  <c r="CX1487" i="1"/>
  <c r="CN1487" i="1"/>
  <c r="CR1487" i="1" s="1"/>
  <c r="BX1487" i="1"/>
  <c r="BY1487" i="1" s="1"/>
  <c r="BD1487" i="1"/>
  <c r="BC1487" i="1"/>
  <c r="BB1487" i="1"/>
  <c r="BA1487" i="1"/>
  <c r="AZ1487" i="1"/>
  <c r="BF1487" i="1" s="1" a="1"/>
  <c r="BF1487" i="1" s="1"/>
  <c r="AY1487" i="1"/>
  <c r="AX1487" i="1"/>
  <c r="U1487" i="1"/>
  <c r="M1487" i="1"/>
  <c r="EM1486" i="1"/>
  <c r="EL1486" i="1"/>
  <c r="EK1486" i="1"/>
  <c r="DU1486" i="1"/>
  <c r="DT1486" i="1"/>
  <c r="DN1486" i="1"/>
  <c r="DM1486" i="1"/>
  <c r="DL1486" i="1"/>
  <c r="DK1486" i="1"/>
  <c r="DI1486" i="1"/>
  <c r="DJ1486" i="1" s="1"/>
  <c r="DC1486" i="1"/>
  <c r="CX1486" i="1"/>
  <c r="CN1486" i="1"/>
  <c r="BX1486" i="1"/>
  <c r="BY1486" i="1" s="1"/>
  <c r="BD1486" i="1"/>
  <c r="BC1486" i="1"/>
  <c r="BB1486" i="1"/>
  <c r="BA1486" i="1"/>
  <c r="AZ1486" i="1"/>
  <c r="BF1486" i="1" s="1" a="1"/>
  <c r="BF1486" i="1" s="1"/>
  <c r="AY1486" i="1"/>
  <c r="AX1486" i="1"/>
  <c r="U1486" i="1"/>
  <c r="M1486" i="1"/>
  <c r="EM1485" i="1"/>
  <c r="EL1485" i="1"/>
  <c r="EK1485" i="1"/>
  <c r="DU1485" i="1"/>
  <c r="DT1485" i="1"/>
  <c r="DN1485" i="1"/>
  <c r="DM1485" i="1"/>
  <c r="DL1485" i="1"/>
  <c r="DK1485" i="1"/>
  <c r="DI1485" i="1"/>
  <c r="DJ1485" i="1" s="1"/>
  <c r="DC1485" i="1"/>
  <c r="CX1485" i="1"/>
  <c r="CN1485" i="1"/>
  <c r="CS1485" i="1" s="1"/>
  <c r="BX1485" i="1"/>
  <c r="BY1485" i="1" s="1"/>
  <c r="BD1485" i="1"/>
  <c r="BC1485" i="1"/>
  <c r="BB1485" i="1"/>
  <c r="BA1485" i="1"/>
  <c r="AZ1485" i="1"/>
  <c r="BF1485" i="1" s="1" a="1"/>
  <c r="BF1485" i="1" s="1"/>
  <c r="AY1485" i="1"/>
  <c r="AX1485" i="1"/>
  <c r="U1485" i="1"/>
  <c r="M1485" i="1"/>
  <c r="EM1484" i="1"/>
  <c r="EL1484" i="1"/>
  <c r="EK1484" i="1"/>
  <c r="DU1484" i="1"/>
  <c r="DT1484" i="1"/>
  <c r="DN1484" i="1"/>
  <c r="DM1484" i="1"/>
  <c r="DL1484" i="1"/>
  <c r="DK1484" i="1"/>
  <c r="DI1484" i="1"/>
  <c r="DJ1484" i="1" s="1"/>
  <c r="DC1484" i="1"/>
  <c r="CX1484" i="1"/>
  <c r="CN1484" i="1"/>
  <c r="CR1484" i="1" s="1"/>
  <c r="BX1484" i="1"/>
  <c r="BY1484" i="1" s="1"/>
  <c r="BD1484" i="1"/>
  <c r="BC1484" i="1"/>
  <c r="BB1484" i="1"/>
  <c r="BA1484" i="1"/>
  <c r="AZ1484" i="1"/>
  <c r="BF1484" i="1" s="1" a="1"/>
  <c r="BF1484" i="1" s="1"/>
  <c r="AY1484" i="1"/>
  <c r="AX1484" i="1"/>
  <c r="U1484" i="1"/>
  <c r="M1484" i="1"/>
  <c r="EM1483" i="1"/>
  <c r="EL1483" i="1"/>
  <c r="EK1483" i="1"/>
  <c r="DU1483" i="1"/>
  <c r="DT1483" i="1"/>
  <c r="DN1483" i="1"/>
  <c r="DM1483" i="1"/>
  <c r="DL1483" i="1"/>
  <c r="DK1483" i="1"/>
  <c r="DI1483" i="1"/>
  <c r="DJ1483" i="1" s="1"/>
  <c r="DC1483" i="1"/>
  <c r="CX1483" i="1"/>
  <c r="CN1483" i="1"/>
  <c r="BX1483" i="1"/>
  <c r="BY1483" i="1" s="1"/>
  <c r="BD1483" i="1"/>
  <c r="BC1483" i="1"/>
  <c r="BB1483" i="1"/>
  <c r="BA1483" i="1"/>
  <c r="AZ1483" i="1"/>
  <c r="BF1483" i="1" s="1" a="1"/>
  <c r="BF1483" i="1" s="1"/>
  <c r="AY1483" i="1"/>
  <c r="AX1483" i="1"/>
  <c r="U1483" i="1"/>
  <c r="M1483" i="1"/>
  <c r="EM1482" i="1"/>
  <c r="EL1482" i="1"/>
  <c r="EK1482" i="1"/>
  <c r="DU1482" i="1"/>
  <c r="DT1482" i="1"/>
  <c r="DN1482" i="1"/>
  <c r="DM1482" i="1"/>
  <c r="DL1482" i="1"/>
  <c r="DK1482" i="1"/>
  <c r="DI1482" i="1"/>
  <c r="DJ1482" i="1" s="1"/>
  <c r="DC1482" i="1"/>
  <c r="CX1482" i="1"/>
  <c r="CN1482" i="1"/>
  <c r="BX1482" i="1"/>
  <c r="BY1482" i="1" s="1"/>
  <c r="BD1482" i="1"/>
  <c r="BC1482" i="1"/>
  <c r="BB1482" i="1"/>
  <c r="BA1482" i="1"/>
  <c r="AZ1482" i="1"/>
  <c r="BF1482" i="1" s="1" a="1"/>
  <c r="BF1482" i="1" s="1"/>
  <c r="AY1482" i="1"/>
  <c r="AX1482" i="1"/>
  <c r="U1482" i="1"/>
  <c r="M1482" i="1"/>
  <c r="EM1481" i="1"/>
  <c r="EL1481" i="1"/>
  <c r="EK1481" i="1"/>
  <c r="DU1481" i="1"/>
  <c r="DT1481" i="1"/>
  <c r="DN1481" i="1"/>
  <c r="DM1481" i="1"/>
  <c r="DL1481" i="1"/>
  <c r="DK1481" i="1"/>
  <c r="DI1481" i="1"/>
  <c r="DJ1481" i="1" s="1"/>
  <c r="DC1481" i="1"/>
  <c r="CX1481" i="1"/>
  <c r="CR1481" i="1"/>
  <c r="CN1481" i="1"/>
  <c r="BX1481" i="1"/>
  <c r="BY1481" i="1" s="1"/>
  <c r="BD1481" i="1"/>
  <c r="BC1481" i="1"/>
  <c r="BB1481" i="1"/>
  <c r="BA1481" i="1"/>
  <c r="AZ1481" i="1"/>
  <c r="BF1481" i="1" s="1" a="1"/>
  <c r="BF1481" i="1" s="1"/>
  <c r="AY1481" i="1"/>
  <c r="AX1481" i="1"/>
  <c r="U1481" i="1"/>
  <c r="M1481" i="1"/>
  <c r="EM1480" i="1"/>
  <c r="EL1480" i="1"/>
  <c r="EK1480" i="1"/>
  <c r="DU1480" i="1"/>
  <c r="DT1480" i="1"/>
  <c r="DN1480" i="1"/>
  <c r="DM1480" i="1"/>
  <c r="DL1480" i="1"/>
  <c r="DK1480" i="1"/>
  <c r="DI1480" i="1"/>
  <c r="DJ1480" i="1" s="1"/>
  <c r="DC1480" i="1"/>
  <c r="CX1480" i="1"/>
  <c r="CR1480" i="1"/>
  <c r="CN1480" i="1"/>
  <c r="BX1480" i="1"/>
  <c r="BY1480" i="1" s="1"/>
  <c r="BD1480" i="1"/>
  <c r="BC1480" i="1"/>
  <c r="BB1480" i="1"/>
  <c r="BA1480" i="1"/>
  <c r="AZ1480" i="1"/>
  <c r="BF1480" i="1" s="1" a="1"/>
  <c r="BF1480" i="1" s="1"/>
  <c r="AY1480" i="1"/>
  <c r="AX1480" i="1"/>
  <c r="U1480" i="1"/>
  <c r="M1480" i="1"/>
  <c r="EM1479" i="1"/>
  <c r="EL1479" i="1"/>
  <c r="EK1479" i="1"/>
  <c r="DU1479" i="1"/>
  <c r="DT1479" i="1"/>
  <c r="DN1479" i="1"/>
  <c r="DM1479" i="1"/>
  <c r="DL1479" i="1"/>
  <c r="DK1479" i="1"/>
  <c r="DI1479" i="1"/>
  <c r="DJ1479" i="1" s="1"/>
  <c r="DC1479" i="1"/>
  <c r="CX1479" i="1"/>
  <c r="CN1479" i="1"/>
  <c r="BV1479" i="1"/>
  <c r="BX1479" i="1" s="1"/>
  <c r="BY1479" i="1" s="1"/>
  <c r="BU1479" i="1"/>
  <c r="BE1479" i="1" a="1"/>
  <c r="BE1479" i="1" s="1"/>
  <c r="BD1479" i="1"/>
  <c r="BC1479" i="1"/>
  <c r="BB1479" i="1"/>
  <c r="BA1479" i="1"/>
  <c r="AZ1479" i="1"/>
  <c r="BF1479" i="1" s="1" a="1"/>
  <c r="BF1479" i="1" s="1"/>
  <c r="AY1479" i="1"/>
  <c r="AX1479" i="1"/>
  <c r="U1479" i="1"/>
  <c r="M1479" i="1"/>
  <c r="EM1478" i="1"/>
  <c r="EL1478" i="1"/>
  <c r="EK1478" i="1"/>
  <c r="DU1478" i="1"/>
  <c r="DT1478" i="1"/>
  <c r="DN1478" i="1"/>
  <c r="DM1478" i="1"/>
  <c r="DL1478" i="1"/>
  <c r="DK1478" i="1"/>
  <c r="DI1478" i="1"/>
  <c r="DJ1478" i="1" s="1"/>
  <c r="DC1478" i="1"/>
  <c r="CX1478" i="1"/>
  <c r="CN1478" i="1"/>
  <c r="BV1478" i="1"/>
  <c r="BX1478" i="1" s="1"/>
  <c r="BY1478" i="1" s="1"/>
  <c r="BU1478" i="1"/>
  <c r="BD1478" i="1"/>
  <c r="BC1478" i="1"/>
  <c r="BB1478" i="1"/>
  <c r="BA1478" i="1"/>
  <c r="AZ1478" i="1"/>
  <c r="BF1478" i="1" s="1" a="1"/>
  <c r="BF1478" i="1" s="1"/>
  <c r="AY1478" i="1"/>
  <c r="BE1478" i="1" s="1" a="1"/>
  <c r="BE1478" i="1" s="1"/>
  <c r="AX1478" i="1"/>
  <c r="U1478" i="1"/>
  <c r="M1478" i="1"/>
  <c r="EM1477" i="1"/>
  <c r="EL1477" i="1"/>
  <c r="EK1477" i="1"/>
  <c r="DU1477" i="1"/>
  <c r="DT1477" i="1"/>
  <c r="DN1477" i="1"/>
  <c r="DM1477" i="1"/>
  <c r="DL1477" i="1"/>
  <c r="DK1477" i="1"/>
  <c r="DI1477" i="1"/>
  <c r="DJ1477" i="1" s="1"/>
  <c r="DC1477" i="1"/>
  <c r="CX1477" i="1"/>
  <c r="CN1477" i="1"/>
  <c r="BV1477" i="1"/>
  <c r="BX1477" i="1" s="1"/>
  <c r="BY1477" i="1" s="1"/>
  <c r="BU1477" i="1"/>
  <c r="BD1477" i="1"/>
  <c r="BC1477" i="1"/>
  <c r="BB1477" i="1"/>
  <c r="BA1477" i="1"/>
  <c r="AZ1477" i="1"/>
  <c r="BF1477" i="1" s="1" a="1"/>
  <c r="BF1477" i="1" s="1"/>
  <c r="AY1477" i="1"/>
  <c r="BE1477" i="1" s="1" a="1"/>
  <c r="BE1477" i="1" s="1"/>
  <c r="AX1477" i="1"/>
  <c r="U1477" i="1"/>
  <c r="M1477" i="1"/>
  <c r="EM1476" i="1"/>
  <c r="EL1476" i="1"/>
  <c r="EK1476" i="1"/>
  <c r="DU1476" i="1"/>
  <c r="DT1476" i="1"/>
  <c r="DN1476" i="1"/>
  <c r="DM1476" i="1"/>
  <c r="DL1476" i="1"/>
  <c r="DK1476" i="1"/>
  <c r="DI1476" i="1"/>
  <c r="DJ1476" i="1" s="1"/>
  <c r="DC1476" i="1"/>
  <c r="CX1476" i="1"/>
  <c r="CN1476" i="1"/>
  <c r="CR1476" i="1" s="1"/>
  <c r="BV1476" i="1"/>
  <c r="BX1476" i="1" s="1"/>
  <c r="BY1476" i="1" s="1"/>
  <c r="BU1476" i="1"/>
  <c r="BD1476" i="1"/>
  <c r="BC1476" i="1"/>
  <c r="BB1476" i="1"/>
  <c r="BA1476" i="1"/>
  <c r="AZ1476" i="1"/>
  <c r="BF1476" i="1" s="1" a="1"/>
  <c r="BF1476" i="1" s="1"/>
  <c r="AY1476" i="1"/>
  <c r="BE1476" i="1" s="1" a="1"/>
  <c r="BE1476" i="1" s="1"/>
  <c r="AX1476" i="1"/>
  <c r="U1476" i="1"/>
  <c r="M1476" i="1"/>
  <c r="EM1475" i="1"/>
  <c r="EL1475" i="1"/>
  <c r="EK1475" i="1"/>
  <c r="DU1475" i="1"/>
  <c r="DT1475" i="1"/>
  <c r="DN1475" i="1"/>
  <c r="DM1475" i="1"/>
  <c r="DL1475" i="1"/>
  <c r="DK1475" i="1"/>
  <c r="DI1475" i="1"/>
  <c r="DJ1475" i="1" s="1"/>
  <c r="DC1475" i="1"/>
  <c r="CX1475" i="1"/>
  <c r="CN1475" i="1"/>
  <c r="BV1475" i="1"/>
  <c r="BX1475" i="1" s="1"/>
  <c r="BY1475" i="1" s="1"/>
  <c r="EP1475" i="1" s="1"/>
  <c r="BU1475" i="1"/>
  <c r="BD1475" i="1"/>
  <c r="BC1475" i="1"/>
  <c r="BB1475" i="1"/>
  <c r="BA1475" i="1"/>
  <c r="AZ1475" i="1"/>
  <c r="BF1475" i="1" s="1" a="1"/>
  <c r="BF1475" i="1" s="1"/>
  <c r="AY1475" i="1"/>
  <c r="BE1475" i="1" s="1" a="1"/>
  <c r="BE1475" i="1" s="1"/>
  <c r="AX1475" i="1"/>
  <c r="U1475" i="1"/>
  <c r="M1475" i="1"/>
  <c r="EM1474" i="1"/>
  <c r="EL1474" i="1"/>
  <c r="EK1474" i="1"/>
  <c r="DU1474" i="1"/>
  <c r="DT1474" i="1"/>
  <c r="DN1474" i="1"/>
  <c r="DM1474" i="1"/>
  <c r="DL1474" i="1"/>
  <c r="DK1474" i="1"/>
  <c r="DI1474" i="1"/>
  <c r="DJ1474" i="1" s="1"/>
  <c r="DC1474" i="1"/>
  <c r="CX1474" i="1"/>
  <c r="CN1474" i="1"/>
  <c r="BV1474" i="1"/>
  <c r="BX1474" i="1" s="1"/>
  <c r="BY1474" i="1" s="1"/>
  <c r="BU1474" i="1"/>
  <c r="BD1474" i="1"/>
  <c r="BC1474" i="1"/>
  <c r="BB1474" i="1"/>
  <c r="BA1474" i="1"/>
  <c r="AZ1474" i="1"/>
  <c r="BF1474" i="1" s="1" a="1"/>
  <c r="BF1474" i="1" s="1"/>
  <c r="AY1474" i="1"/>
  <c r="BE1474" i="1" s="1" a="1"/>
  <c r="BE1474" i="1" s="1"/>
  <c r="AX1474" i="1"/>
  <c r="U1474" i="1"/>
  <c r="M1474" i="1"/>
  <c r="EM1473" i="1"/>
  <c r="EL1473" i="1"/>
  <c r="EK1473" i="1"/>
  <c r="DU1473" i="1"/>
  <c r="DT1473" i="1"/>
  <c r="DN1473" i="1"/>
  <c r="DM1473" i="1"/>
  <c r="DL1473" i="1"/>
  <c r="DK1473" i="1"/>
  <c r="DI1473" i="1"/>
  <c r="DJ1473" i="1" s="1"/>
  <c r="DC1473" i="1"/>
  <c r="CX1473" i="1"/>
  <c r="CN1473" i="1"/>
  <c r="CR1473" i="1" s="1"/>
  <c r="BX1473" i="1"/>
  <c r="BY1473" i="1" s="1"/>
  <c r="BV1473" i="1"/>
  <c r="BU1473" i="1"/>
  <c r="BD1473" i="1"/>
  <c r="BC1473" i="1"/>
  <c r="BB1473" i="1"/>
  <c r="BA1473" i="1"/>
  <c r="AZ1473" i="1"/>
  <c r="BF1473" i="1" s="1" a="1"/>
  <c r="BF1473" i="1" s="1"/>
  <c r="AY1473" i="1"/>
  <c r="BE1473" i="1" s="1" a="1"/>
  <c r="BE1473" i="1" s="1"/>
  <c r="AX1473" i="1"/>
  <c r="U1473" i="1"/>
  <c r="M1473" i="1"/>
  <c r="EM1472" i="1"/>
  <c r="EL1472" i="1"/>
  <c r="EK1472" i="1"/>
  <c r="DU1472" i="1"/>
  <c r="DT1472" i="1"/>
  <c r="DN1472" i="1"/>
  <c r="DM1472" i="1"/>
  <c r="DL1472" i="1"/>
  <c r="DK1472" i="1"/>
  <c r="DI1472" i="1"/>
  <c r="DJ1472" i="1" s="1"/>
  <c r="DC1472" i="1"/>
  <c r="CX1472" i="1"/>
  <c r="CN1472" i="1"/>
  <c r="BV1472" i="1"/>
  <c r="BX1472" i="1" s="1"/>
  <c r="BY1472" i="1" s="1"/>
  <c r="BU1472" i="1"/>
  <c r="BD1472" i="1"/>
  <c r="BC1472" i="1"/>
  <c r="BB1472" i="1"/>
  <c r="BA1472" i="1"/>
  <c r="AZ1472" i="1"/>
  <c r="BF1472" i="1" s="1" a="1"/>
  <c r="BF1472" i="1" s="1"/>
  <c r="AY1472" i="1"/>
  <c r="BE1472" i="1" s="1" a="1"/>
  <c r="BE1472" i="1" s="1"/>
  <c r="AX1472" i="1"/>
  <c r="U1472" i="1"/>
  <c r="M1472" i="1"/>
  <c r="EM1471" i="1"/>
  <c r="EL1471" i="1"/>
  <c r="EK1471" i="1"/>
  <c r="DU1471" i="1"/>
  <c r="DT1471" i="1"/>
  <c r="DN1471" i="1"/>
  <c r="DM1471" i="1"/>
  <c r="DL1471" i="1"/>
  <c r="DK1471" i="1"/>
  <c r="DI1471" i="1"/>
  <c r="DJ1471" i="1" s="1"/>
  <c r="DC1471" i="1"/>
  <c r="CX1471" i="1"/>
  <c r="CN1471" i="1"/>
  <c r="BV1471" i="1"/>
  <c r="BX1471" i="1" s="1"/>
  <c r="BU1471" i="1"/>
  <c r="BD1471" i="1"/>
  <c r="BC1471" i="1"/>
  <c r="BB1471" i="1"/>
  <c r="BA1471" i="1"/>
  <c r="AZ1471" i="1"/>
  <c r="BF1471" i="1" s="1" a="1"/>
  <c r="BF1471" i="1" s="1"/>
  <c r="AY1471" i="1"/>
  <c r="BE1471" i="1" s="1" a="1"/>
  <c r="BE1471" i="1" s="1"/>
  <c r="AX1471" i="1"/>
  <c r="U1471" i="1"/>
  <c r="M1471" i="1"/>
  <c r="EM1470" i="1"/>
  <c r="EL1470" i="1"/>
  <c r="EK1470" i="1"/>
  <c r="DU1470" i="1"/>
  <c r="DT1470" i="1"/>
  <c r="DN1470" i="1"/>
  <c r="DM1470" i="1"/>
  <c r="DL1470" i="1"/>
  <c r="DK1470" i="1"/>
  <c r="DI1470" i="1"/>
  <c r="DJ1470" i="1" s="1"/>
  <c r="DC1470" i="1"/>
  <c r="CX1470" i="1"/>
  <c r="CN1470" i="1"/>
  <c r="CR1470" i="1" s="1"/>
  <c r="BV1470" i="1"/>
  <c r="BX1470" i="1" s="1"/>
  <c r="BY1470" i="1" s="1"/>
  <c r="BU1470" i="1"/>
  <c r="BD1470" i="1"/>
  <c r="BC1470" i="1"/>
  <c r="BB1470" i="1"/>
  <c r="BA1470" i="1"/>
  <c r="AZ1470" i="1"/>
  <c r="BF1470" i="1" s="1" a="1"/>
  <c r="BF1470" i="1" s="1"/>
  <c r="AY1470" i="1"/>
  <c r="BE1470" i="1" s="1" a="1"/>
  <c r="BE1470" i="1" s="1"/>
  <c r="AX1470" i="1"/>
  <c r="M1470" i="1"/>
  <c r="EM1469" i="1"/>
  <c r="EL1469" i="1"/>
  <c r="EK1469" i="1"/>
  <c r="DU1469" i="1"/>
  <c r="DT1469" i="1"/>
  <c r="DN1469" i="1"/>
  <c r="DM1469" i="1"/>
  <c r="DL1469" i="1"/>
  <c r="DK1469" i="1"/>
  <c r="DI1469" i="1"/>
  <c r="DJ1469" i="1" s="1"/>
  <c r="DC1469" i="1"/>
  <c r="CX1469" i="1"/>
  <c r="CN1469" i="1"/>
  <c r="CS1469" i="1" s="1"/>
  <c r="BV1469" i="1"/>
  <c r="BX1469" i="1" s="1"/>
  <c r="BY1469" i="1" s="1"/>
  <c r="BU1469" i="1"/>
  <c r="EP1469" i="1" s="1"/>
  <c r="BD1469" i="1"/>
  <c r="BC1469" i="1"/>
  <c r="BB1469" i="1"/>
  <c r="BA1469" i="1"/>
  <c r="AZ1469" i="1"/>
  <c r="BF1469" i="1" s="1" a="1"/>
  <c r="BF1469" i="1" s="1"/>
  <c r="AY1469" i="1"/>
  <c r="BE1469" i="1" s="1" a="1"/>
  <c r="BE1469" i="1" s="1"/>
  <c r="AX1469" i="1"/>
  <c r="M1469" i="1"/>
  <c r="EM1468" i="1"/>
  <c r="EL1468" i="1"/>
  <c r="EK1468" i="1"/>
  <c r="DU1468" i="1"/>
  <c r="DT1468" i="1"/>
  <c r="DN1468" i="1"/>
  <c r="DM1468" i="1"/>
  <c r="DL1468" i="1"/>
  <c r="DK1468" i="1"/>
  <c r="DI1468" i="1"/>
  <c r="DJ1468" i="1" s="1"/>
  <c r="DC1468" i="1"/>
  <c r="CX1468" i="1"/>
  <c r="CN1468" i="1"/>
  <c r="BV1468" i="1"/>
  <c r="BX1468" i="1" s="1"/>
  <c r="BY1468" i="1" s="1"/>
  <c r="BU1468" i="1"/>
  <c r="BD1468" i="1"/>
  <c r="BC1468" i="1"/>
  <c r="BB1468" i="1"/>
  <c r="BA1468" i="1"/>
  <c r="AZ1468" i="1"/>
  <c r="BF1468" i="1" s="1" a="1"/>
  <c r="BF1468" i="1" s="1"/>
  <c r="AY1468" i="1"/>
  <c r="BE1468" i="1" s="1" a="1"/>
  <c r="BE1468" i="1" s="1"/>
  <c r="AX1468" i="1"/>
  <c r="M1468" i="1"/>
  <c r="EM1467" i="1"/>
  <c r="EL1467" i="1"/>
  <c r="EK1467" i="1"/>
  <c r="DU1467" i="1"/>
  <c r="DT1467" i="1"/>
  <c r="DN1467" i="1"/>
  <c r="DM1467" i="1"/>
  <c r="DL1467" i="1"/>
  <c r="DK1467" i="1"/>
  <c r="DI1467" i="1"/>
  <c r="DJ1467" i="1" s="1"/>
  <c r="DC1467" i="1"/>
  <c r="CX1467" i="1"/>
  <c r="CN1467" i="1"/>
  <c r="CR1467" i="1" s="1"/>
  <c r="BX1467" i="1"/>
  <c r="BY1467" i="1" s="1"/>
  <c r="BD1467" i="1"/>
  <c r="BC1467" i="1"/>
  <c r="BB1467" i="1"/>
  <c r="BA1467" i="1"/>
  <c r="AZ1467" i="1"/>
  <c r="BF1467" i="1" s="1" a="1"/>
  <c r="BF1467" i="1" s="1"/>
  <c r="AY1467" i="1"/>
  <c r="BE1467" i="1" s="1" a="1"/>
  <c r="BE1467" i="1" s="1"/>
  <c r="AX1467" i="1"/>
  <c r="M1467" i="1"/>
  <c r="EM1466" i="1"/>
  <c r="EL1466" i="1"/>
  <c r="EK1466" i="1"/>
  <c r="DU1466" i="1"/>
  <c r="DT1466" i="1"/>
  <c r="DN1466" i="1"/>
  <c r="DM1466" i="1"/>
  <c r="DL1466" i="1"/>
  <c r="DK1466" i="1"/>
  <c r="DI1466" i="1"/>
  <c r="DJ1466" i="1" s="1"/>
  <c r="DB1466" i="1"/>
  <c r="DC1466" i="1" s="1"/>
  <c r="CX1466" i="1"/>
  <c r="CN1466" i="1"/>
  <c r="BX1466" i="1"/>
  <c r="CT1466" i="1" s="1"/>
  <c r="CU1466" i="1" s="1"/>
  <c r="BD1466" i="1"/>
  <c r="BC1466" i="1"/>
  <c r="BB1466" i="1"/>
  <c r="BA1466" i="1"/>
  <c r="AZ1466" i="1"/>
  <c r="BF1466" i="1" s="1" a="1"/>
  <c r="BF1466" i="1" s="1"/>
  <c r="AY1466" i="1"/>
  <c r="BE1466" i="1" s="1" a="1"/>
  <c r="BE1466" i="1" s="1"/>
  <c r="AX1466" i="1"/>
  <c r="M1466" i="1"/>
  <c r="EM1465" i="1"/>
  <c r="EL1465" i="1"/>
  <c r="EK1465" i="1"/>
  <c r="DU1465" i="1"/>
  <c r="DT1465" i="1"/>
  <c r="DN1465" i="1"/>
  <c r="DM1465" i="1"/>
  <c r="DL1465" i="1"/>
  <c r="DK1465" i="1"/>
  <c r="DI1465" i="1"/>
  <c r="DJ1465" i="1" s="1"/>
  <c r="DB1465" i="1"/>
  <c r="DC1465" i="1" s="1"/>
  <c r="CX1465" i="1"/>
  <c r="CN1465" i="1"/>
  <c r="CS1465" i="1" s="1"/>
  <c r="BX1465" i="1"/>
  <c r="BY1465" i="1" s="1"/>
  <c r="BD1465" i="1"/>
  <c r="BC1465" i="1"/>
  <c r="BB1465" i="1"/>
  <c r="BA1465" i="1"/>
  <c r="AZ1465" i="1"/>
  <c r="BF1465" i="1" s="1" a="1"/>
  <c r="BF1465" i="1" s="1"/>
  <c r="AY1465" i="1"/>
  <c r="BE1465" i="1" s="1" a="1"/>
  <c r="BE1465" i="1" s="1"/>
  <c r="AX1465" i="1"/>
  <c r="M1465" i="1"/>
  <c r="EM1464" i="1"/>
  <c r="EL1464" i="1"/>
  <c r="EK1464" i="1"/>
  <c r="DU1464" i="1"/>
  <c r="DT1464" i="1"/>
  <c r="DN1464" i="1"/>
  <c r="DM1464" i="1"/>
  <c r="DL1464" i="1"/>
  <c r="DK1464" i="1"/>
  <c r="DI1464" i="1"/>
  <c r="DJ1464" i="1" s="1"/>
  <c r="DB1464" i="1"/>
  <c r="DC1464" i="1" s="1"/>
  <c r="CX1464" i="1"/>
  <c r="CN1464" i="1"/>
  <c r="BX1464" i="1"/>
  <c r="BY1464" i="1" s="1"/>
  <c r="BD1464" i="1"/>
  <c r="BC1464" i="1"/>
  <c r="BB1464" i="1"/>
  <c r="BA1464" i="1"/>
  <c r="AZ1464" i="1"/>
  <c r="BF1464" i="1" s="1" a="1"/>
  <c r="BF1464" i="1" s="1"/>
  <c r="AY1464" i="1"/>
  <c r="BE1464" i="1" s="1" a="1"/>
  <c r="BE1464" i="1" s="1"/>
  <c r="AX1464" i="1"/>
  <c r="M1464" i="1"/>
  <c r="EM1463" i="1"/>
  <c r="EL1463" i="1"/>
  <c r="EK1463" i="1"/>
  <c r="DU1463" i="1"/>
  <c r="DT1463" i="1"/>
  <c r="DN1463" i="1"/>
  <c r="DM1463" i="1"/>
  <c r="DL1463" i="1"/>
  <c r="DK1463" i="1"/>
  <c r="DI1463" i="1"/>
  <c r="DJ1463" i="1" s="1"/>
  <c r="DB1463" i="1"/>
  <c r="DC1463" i="1" s="1"/>
  <c r="CX1463" i="1"/>
  <c r="CN1463" i="1"/>
  <c r="CR1463" i="1" s="1"/>
  <c r="BX1463" i="1"/>
  <c r="BY1463" i="1" s="1"/>
  <c r="BD1463" i="1"/>
  <c r="BC1463" i="1"/>
  <c r="BB1463" i="1"/>
  <c r="BA1463" i="1"/>
  <c r="AZ1463" i="1"/>
  <c r="BF1463" i="1" s="1" a="1"/>
  <c r="BF1463" i="1" s="1"/>
  <c r="AY1463" i="1"/>
  <c r="BE1463" i="1" s="1" a="1"/>
  <c r="BE1463" i="1" s="1"/>
  <c r="AX1463" i="1"/>
  <c r="M1463" i="1"/>
  <c r="EM1462" i="1"/>
  <c r="EL1462" i="1"/>
  <c r="EK1462" i="1"/>
  <c r="DU1462" i="1"/>
  <c r="DT1462" i="1"/>
  <c r="DN1462" i="1"/>
  <c r="DM1462" i="1"/>
  <c r="DL1462" i="1"/>
  <c r="DK1462" i="1"/>
  <c r="DI1462" i="1"/>
  <c r="DJ1462" i="1" s="1"/>
  <c r="DB1462" i="1"/>
  <c r="DC1462" i="1" s="1"/>
  <c r="CX1462" i="1"/>
  <c r="CN1462" i="1"/>
  <c r="BX1462" i="1"/>
  <c r="BY1462" i="1" s="1"/>
  <c r="BD1462" i="1"/>
  <c r="BC1462" i="1"/>
  <c r="BB1462" i="1"/>
  <c r="BA1462" i="1"/>
  <c r="AZ1462" i="1"/>
  <c r="BF1462" i="1" s="1" a="1"/>
  <c r="BF1462" i="1" s="1"/>
  <c r="AY1462" i="1"/>
  <c r="BE1462" i="1" s="1" a="1"/>
  <c r="BE1462" i="1" s="1"/>
  <c r="AX1462" i="1"/>
  <c r="M1462" i="1"/>
  <c r="EM1461" i="1"/>
  <c r="EL1461" i="1"/>
  <c r="EK1461" i="1"/>
  <c r="DU1461" i="1"/>
  <c r="DT1461" i="1"/>
  <c r="DN1461" i="1"/>
  <c r="DM1461" i="1"/>
  <c r="DL1461" i="1"/>
  <c r="DK1461" i="1"/>
  <c r="DI1461" i="1"/>
  <c r="DJ1461" i="1" s="1"/>
  <c r="DB1461" i="1"/>
  <c r="DC1461" i="1" s="1"/>
  <c r="CX1461" i="1"/>
  <c r="CN1461" i="1"/>
  <c r="CR1461" i="1" s="1"/>
  <c r="BX1461" i="1"/>
  <c r="BY1461" i="1" s="1"/>
  <c r="BD1461" i="1"/>
  <c r="BC1461" i="1"/>
  <c r="BB1461" i="1"/>
  <c r="BA1461" i="1"/>
  <c r="AZ1461" i="1"/>
  <c r="BF1461" i="1" s="1" a="1"/>
  <c r="BF1461" i="1" s="1"/>
  <c r="AY1461" i="1"/>
  <c r="BE1461" i="1" s="1" a="1"/>
  <c r="BE1461" i="1" s="1"/>
  <c r="AX1461" i="1"/>
  <c r="M1461" i="1"/>
  <c r="EM1460" i="1"/>
  <c r="EL1460" i="1"/>
  <c r="EK1460" i="1"/>
  <c r="DU1460" i="1"/>
  <c r="DT1460" i="1"/>
  <c r="DN1460" i="1"/>
  <c r="DM1460" i="1"/>
  <c r="DL1460" i="1"/>
  <c r="DK1460" i="1"/>
  <c r="DI1460" i="1"/>
  <c r="DJ1460" i="1" s="1"/>
  <c r="DB1460" i="1"/>
  <c r="DC1460" i="1" s="1"/>
  <c r="CX1460" i="1"/>
  <c r="CN1460" i="1"/>
  <c r="CS1460" i="1" s="1"/>
  <c r="BX1460" i="1"/>
  <c r="BY1460" i="1" s="1"/>
  <c r="BD1460" i="1"/>
  <c r="BC1460" i="1"/>
  <c r="BB1460" i="1"/>
  <c r="BA1460" i="1"/>
  <c r="AZ1460" i="1"/>
  <c r="BF1460" i="1" s="1" a="1"/>
  <c r="BF1460" i="1" s="1"/>
  <c r="AY1460" i="1"/>
  <c r="BE1460" i="1" s="1" a="1"/>
  <c r="BE1460" i="1" s="1"/>
  <c r="AX1460" i="1"/>
  <c r="M1460" i="1"/>
  <c r="EM1459" i="1"/>
  <c r="EL1459" i="1"/>
  <c r="EK1459" i="1"/>
  <c r="DU1459" i="1"/>
  <c r="DT1459" i="1"/>
  <c r="DN1459" i="1"/>
  <c r="DM1459" i="1"/>
  <c r="DL1459" i="1"/>
  <c r="DK1459" i="1"/>
  <c r="DI1459" i="1"/>
  <c r="DJ1459" i="1" s="1"/>
  <c r="DB1459" i="1"/>
  <c r="DC1459" i="1" s="1"/>
  <c r="CX1459" i="1"/>
  <c r="CN1459" i="1"/>
  <c r="CR1459" i="1" s="1"/>
  <c r="BX1459" i="1"/>
  <c r="BY1459" i="1" s="1"/>
  <c r="BD1459" i="1"/>
  <c r="BC1459" i="1"/>
  <c r="BB1459" i="1"/>
  <c r="BA1459" i="1"/>
  <c r="AZ1459" i="1"/>
  <c r="BF1459" i="1" s="1" a="1"/>
  <c r="BF1459" i="1" s="1"/>
  <c r="AY1459" i="1"/>
  <c r="BE1459" i="1" s="1" a="1"/>
  <c r="BE1459" i="1" s="1"/>
  <c r="AX1459" i="1"/>
  <c r="M1459" i="1"/>
  <c r="EM1458" i="1"/>
  <c r="EL1458" i="1"/>
  <c r="EK1458" i="1"/>
  <c r="DU1458" i="1"/>
  <c r="DT1458" i="1"/>
  <c r="DN1458" i="1"/>
  <c r="DM1458" i="1"/>
  <c r="DL1458" i="1"/>
  <c r="DK1458" i="1"/>
  <c r="DI1458" i="1"/>
  <c r="DJ1458" i="1" s="1"/>
  <c r="DB1458" i="1"/>
  <c r="DC1458" i="1" s="1"/>
  <c r="CX1458" i="1"/>
  <c r="CN1458" i="1"/>
  <c r="CS1458" i="1" s="1"/>
  <c r="BX1458" i="1"/>
  <c r="BY1458" i="1" s="1"/>
  <c r="BD1458" i="1"/>
  <c r="BC1458" i="1"/>
  <c r="BB1458" i="1"/>
  <c r="BA1458" i="1"/>
  <c r="AZ1458" i="1"/>
  <c r="BF1458" i="1" s="1" a="1"/>
  <c r="BF1458" i="1" s="1"/>
  <c r="AY1458" i="1"/>
  <c r="BE1458" i="1" s="1" a="1"/>
  <c r="BE1458" i="1" s="1"/>
  <c r="AX1458" i="1"/>
  <c r="M1458" i="1"/>
  <c r="EM1457" i="1"/>
  <c r="EL1457" i="1"/>
  <c r="EK1457" i="1"/>
  <c r="DU1457" i="1"/>
  <c r="DT1457" i="1"/>
  <c r="DN1457" i="1"/>
  <c r="DM1457" i="1"/>
  <c r="DL1457" i="1"/>
  <c r="DK1457" i="1"/>
  <c r="DI1457" i="1"/>
  <c r="DJ1457" i="1" s="1"/>
  <c r="DB1457" i="1"/>
  <c r="DC1457" i="1" s="1"/>
  <c r="CX1457" i="1"/>
  <c r="CN1457" i="1"/>
  <c r="CS1457" i="1" s="1"/>
  <c r="BX1457" i="1"/>
  <c r="BD1457" i="1"/>
  <c r="BC1457" i="1"/>
  <c r="BB1457" i="1"/>
  <c r="BA1457" i="1"/>
  <c r="AZ1457" i="1"/>
  <c r="BF1457" i="1" s="1" a="1"/>
  <c r="BF1457" i="1" s="1"/>
  <c r="AY1457" i="1"/>
  <c r="BE1457" i="1" s="1" a="1"/>
  <c r="BE1457" i="1" s="1"/>
  <c r="AX1457" i="1"/>
  <c r="M1457" i="1"/>
  <c r="EM1456" i="1"/>
  <c r="EL1456" i="1"/>
  <c r="EK1456" i="1"/>
  <c r="DU1456" i="1"/>
  <c r="DT1456" i="1"/>
  <c r="DN1456" i="1"/>
  <c r="DM1456" i="1"/>
  <c r="DL1456" i="1"/>
  <c r="DK1456" i="1"/>
  <c r="DI1456" i="1"/>
  <c r="DJ1456" i="1" s="1"/>
  <c r="DB1456" i="1"/>
  <c r="DC1456" i="1" s="1"/>
  <c r="CX1456" i="1"/>
  <c r="CN1456" i="1"/>
  <c r="BX1456" i="1"/>
  <c r="BY1456" i="1" s="1"/>
  <c r="BD1456" i="1"/>
  <c r="BC1456" i="1"/>
  <c r="BB1456" i="1"/>
  <c r="BA1456" i="1"/>
  <c r="AZ1456" i="1"/>
  <c r="BF1456" i="1" s="1" a="1"/>
  <c r="BF1456" i="1" s="1"/>
  <c r="AY1456" i="1"/>
  <c r="BE1456" i="1" s="1" a="1"/>
  <c r="BE1456" i="1" s="1"/>
  <c r="AX1456" i="1"/>
  <c r="M1456" i="1"/>
  <c r="EM1455" i="1"/>
  <c r="EL1455" i="1"/>
  <c r="EK1455" i="1"/>
  <c r="DU1455" i="1"/>
  <c r="DT1455" i="1"/>
  <c r="DN1455" i="1"/>
  <c r="DM1455" i="1"/>
  <c r="DL1455" i="1"/>
  <c r="DK1455" i="1"/>
  <c r="DI1455" i="1"/>
  <c r="DJ1455" i="1" s="1"/>
  <c r="DC1455" i="1"/>
  <c r="CX1455" i="1"/>
  <c r="CN1455" i="1"/>
  <c r="BY1455" i="1"/>
  <c r="BV1455" i="1"/>
  <c r="BU1455" i="1"/>
  <c r="BM1455" i="1"/>
  <c r="BD1455" i="1"/>
  <c r="BC1455" i="1"/>
  <c r="BB1455" i="1"/>
  <c r="BA1455" i="1"/>
  <c r="AZ1455" i="1"/>
  <c r="BF1455" i="1" s="1" a="1"/>
  <c r="BF1455" i="1" s="1"/>
  <c r="AY1455" i="1"/>
  <c r="BE1455" i="1" s="1" a="1"/>
  <c r="BE1455" i="1" s="1"/>
  <c r="AX1455" i="1"/>
  <c r="M1455" i="1"/>
  <c r="EM1454" i="1"/>
  <c r="EL1454" i="1"/>
  <c r="EK1454" i="1"/>
  <c r="DU1454" i="1"/>
  <c r="DT1454" i="1"/>
  <c r="DN1454" i="1"/>
  <c r="DM1454" i="1"/>
  <c r="DL1454" i="1"/>
  <c r="DK1454" i="1"/>
  <c r="DI1454" i="1"/>
  <c r="DJ1454" i="1" s="1"/>
  <c r="DC1454" i="1"/>
  <c r="CX1454" i="1"/>
  <c r="CN1454" i="1"/>
  <c r="CR1454" i="1" s="1"/>
  <c r="BY1454" i="1"/>
  <c r="BV1454" i="1"/>
  <c r="BU1454" i="1"/>
  <c r="BM1454" i="1"/>
  <c r="BD1454" i="1"/>
  <c r="BC1454" i="1"/>
  <c r="BB1454" i="1"/>
  <c r="BA1454" i="1"/>
  <c r="AZ1454" i="1"/>
  <c r="BF1454" i="1" s="1" a="1"/>
  <c r="BF1454" i="1" s="1"/>
  <c r="AY1454" i="1"/>
  <c r="BE1454" i="1" s="1" a="1"/>
  <c r="BE1454" i="1" s="1"/>
  <c r="AX1454" i="1"/>
  <c r="M1454" i="1"/>
  <c r="EM1453" i="1"/>
  <c r="EL1453" i="1"/>
  <c r="EK1453" i="1"/>
  <c r="DU1453" i="1"/>
  <c r="DT1453" i="1"/>
  <c r="DN1453" i="1"/>
  <c r="DM1453" i="1"/>
  <c r="DL1453" i="1"/>
  <c r="DK1453" i="1"/>
  <c r="DI1453" i="1"/>
  <c r="DJ1453" i="1" s="1"/>
  <c r="DC1453" i="1"/>
  <c r="CX1453" i="1"/>
  <c r="CN1453" i="1"/>
  <c r="CS1453" i="1" s="1"/>
  <c r="BY1453" i="1"/>
  <c r="BV1453" i="1"/>
  <c r="BU1453" i="1"/>
  <c r="BM1453" i="1"/>
  <c r="BD1453" i="1"/>
  <c r="BC1453" i="1"/>
  <c r="BB1453" i="1"/>
  <c r="BA1453" i="1"/>
  <c r="AZ1453" i="1"/>
  <c r="BF1453" i="1" s="1" a="1"/>
  <c r="BF1453" i="1" s="1"/>
  <c r="AY1453" i="1"/>
  <c r="BE1453" i="1" s="1" a="1"/>
  <c r="BE1453" i="1" s="1"/>
  <c r="AX1453" i="1"/>
  <c r="M1453" i="1"/>
  <c r="EM1452" i="1"/>
  <c r="EL1452" i="1"/>
  <c r="EK1452" i="1"/>
  <c r="DU1452" i="1"/>
  <c r="DT1452" i="1"/>
  <c r="DN1452" i="1"/>
  <c r="DM1452" i="1"/>
  <c r="DL1452" i="1"/>
  <c r="DK1452" i="1"/>
  <c r="DI1452" i="1"/>
  <c r="DJ1452" i="1" s="1"/>
  <c r="DC1452" i="1"/>
  <c r="CX1452" i="1"/>
  <c r="CN1452" i="1"/>
  <c r="CR1452" i="1" s="1"/>
  <c r="BY1452" i="1"/>
  <c r="BV1452" i="1"/>
  <c r="BU1452" i="1"/>
  <c r="BM1452" i="1"/>
  <c r="BD1452" i="1"/>
  <c r="BC1452" i="1"/>
  <c r="BB1452" i="1"/>
  <c r="BA1452" i="1"/>
  <c r="AZ1452" i="1"/>
  <c r="BF1452" i="1" s="1" a="1"/>
  <c r="BF1452" i="1" s="1"/>
  <c r="AY1452" i="1"/>
  <c r="BE1452" i="1" s="1" a="1"/>
  <c r="BE1452" i="1" s="1"/>
  <c r="AX1452" i="1"/>
  <c r="M1452" i="1"/>
  <c r="EM1451" i="1"/>
  <c r="EL1451" i="1"/>
  <c r="EK1451" i="1"/>
  <c r="DU1451" i="1"/>
  <c r="DT1451" i="1"/>
  <c r="DN1451" i="1"/>
  <c r="DM1451" i="1"/>
  <c r="DL1451" i="1"/>
  <c r="DK1451" i="1"/>
  <c r="DI1451" i="1"/>
  <c r="DJ1451" i="1" s="1"/>
  <c r="DC1451" i="1"/>
  <c r="CX1451" i="1"/>
  <c r="CN1451" i="1"/>
  <c r="CR1451" i="1" s="1"/>
  <c r="BY1451" i="1"/>
  <c r="BV1451" i="1"/>
  <c r="BU1451" i="1"/>
  <c r="BM1451" i="1"/>
  <c r="BD1451" i="1"/>
  <c r="BC1451" i="1"/>
  <c r="BB1451" i="1"/>
  <c r="BA1451" i="1"/>
  <c r="AZ1451" i="1"/>
  <c r="BF1451" i="1" s="1" a="1"/>
  <c r="BF1451" i="1" s="1"/>
  <c r="AY1451" i="1"/>
  <c r="BE1451" i="1" s="1" a="1"/>
  <c r="BE1451" i="1" s="1"/>
  <c r="AX1451" i="1"/>
  <c r="M1451" i="1"/>
  <c r="EM1450" i="1"/>
  <c r="EL1450" i="1"/>
  <c r="EK1450" i="1"/>
  <c r="DU1450" i="1"/>
  <c r="DT1450" i="1"/>
  <c r="DN1450" i="1"/>
  <c r="DM1450" i="1"/>
  <c r="DL1450" i="1"/>
  <c r="DK1450" i="1"/>
  <c r="DI1450" i="1"/>
  <c r="DJ1450" i="1" s="1"/>
  <c r="DC1450" i="1"/>
  <c r="CX1450" i="1"/>
  <c r="CN1450" i="1"/>
  <c r="CR1450" i="1" s="1"/>
  <c r="BY1450" i="1"/>
  <c r="BV1450" i="1"/>
  <c r="BU1450" i="1"/>
  <c r="BM1450" i="1"/>
  <c r="BD1450" i="1"/>
  <c r="BC1450" i="1"/>
  <c r="BB1450" i="1"/>
  <c r="BA1450" i="1"/>
  <c r="AZ1450" i="1"/>
  <c r="BF1450" i="1" s="1" a="1"/>
  <c r="BF1450" i="1" s="1"/>
  <c r="AY1450" i="1"/>
  <c r="BE1450" i="1" s="1" a="1"/>
  <c r="BE1450" i="1" s="1"/>
  <c r="AX1450" i="1"/>
  <c r="M1450" i="1"/>
  <c r="EM1449" i="1"/>
  <c r="EL1449" i="1"/>
  <c r="EK1449" i="1"/>
  <c r="DU1449" i="1"/>
  <c r="DT1449" i="1"/>
  <c r="DN1449" i="1"/>
  <c r="DM1449" i="1"/>
  <c r="DL1449" i="1"/>
  <c r="DK1449" i="1"/>
  <c r="DI1449" i="1"/>
  <c r="DJ1449" i="1" s="1"/>
  <c r="DC1449" i="1"/>
  <c r="CX1449" i="1"/>
  <c r="CN1449" i="1"/>
  <c r="CS1449" i="1" s="1"/>
  <c r="BY1449" i="1"/>
  <c r="BV1449" i="1"/>
  <c r="BU1449" i="1"/>
  <c r="BM1449" i="1"/>
  <c r="BD1449" i="1"/>
  <c r="BC1449" i="1"/>
  <c r="BB1449" i="1"/>
  <c r="BA1449" i="1"/>
  <c r="AZ1449" i="1"/>
  <c r="BF1449" i="1" s="1" a="1"/>
  <c r="BF1449" i="1" s="1"/>
  <c r="AY1449" i="1"/>
  <c r="BE1449" i="1" s="1" a="1"/>
  <c r="BE1449" i="1" s="1"/>
  <c r="AX1449" i="1"/>
  <c r="M1449" i="1"/>
  <c r="EM1448" i="1"/>
  <c r="EL1448" i="1"/>
  <c r="EK1448" i="1"/>
  <c r="DU1448" i="1"/>
  <c r="DT1448" i="1"/>
  <c r="DN1448" i="1"/>
  <c r="DM1448" i="1"/>
  <c r="DL1448" i="1"/>
  <c r="DK1448" i="1"/>
  <c r="DI1448" i="1"/>
  <c r="DJ1448" i="1" s="1"/>
  <c r="DC1448" i="1"/>
  <c r="CX1448" i="1"/>
  <c r="CN1448" i="1"/>
  <c r="CR1448" i="1" s="1"/>
  <c r="BY1448" i="1"/>
  <c r="BV1448" i="1"/>
  <c r="BU1448" i="1"/>
  <c r="BM1448" i="1"/>
  <c r="BD1448" i="1"/>
  <c r="BC1448" i="1"/>
  <c r="BB1448" i="1"/>
  <c r="BA1448" i="1"/>
  <c r="AZ1448" i="1"/>
  <c r="BF1448" i="1" s="1" a="1"/>
  <c r="BF1448" i="1" s="1"/>
  <c r="AY1448" i="1"/>
  <c r="BE1448" i="1" s="1" a="1"/>
  <c r="BE1448" i="1" s="1"/>
  <c r="AX1448" i="1"/>
  <c r="M1448" i="1"/>
  <c r="EM1447" i="1"/>
  <c r="EL1447" i="1"/>
  <c r="EK1447" i="1"/>
  <c r="DU1447" i="1"/>
  <c r="DT1447" i="1"/>
  <c r="DN1447" i="1"/>
  <c r="DM1447" i="1"/>
  <c r="DL1447" i="1"/>
  <c r="DK1447" i="1"/>
  <c r="DI1447" i="1"/>
  <c r="DJ1447" i="1" s="1"/>
  <c r="DC1447" i="1"/>
  <c r="CX1447" i="1"/>
  <c r="CN1447" i="1"/>
  <c r="CR1447" i="1" s="1"/>
  <c r="BY1447" i="1"/>
  <c r="EP1447" i="1" s="1"/>
  <c r="BV1447" i="1"/>
  <c r="BM1447" i="1"/>
  <c r="BD1447" i="1"/>
  <c r="BC1447" i="1"/>
  <c r="BB1447" i="1"/>
  <c r="BA1447" i="1"/>
  <c r="AZ1447" i="1"/>
  <c r="BF1447" i="1" s="1" a="1"/>
  <c r="BF1447" i="1" s="1"/>
  <c r="AY1447" i="1"/>
  <c r="AX1447" i="1"/>
  <c r="M1447" i="1"/>
  <c r="EM1446" i="1"/>
  <c r="EL1446" i="1"/>
  <c r="EK1446" i="1"/>
  <c r="DU1446" i="1"/>
  <c r="DT1446" i="1"/>
  <c r="DN1446" i="1"/>
  <c r="DM1446" i="1"/>
  <c r="DL1446" i="1"/>
  <c r="DK1446" i="1"/>
  <c r="DI1446" i="1"/>
  <c r="DJ1446" i="1" s="1"/>
  <c r="DC1446" i="1"/>
  <c r="CX1446" i="1"/>
  <c r="CN1446" i="1"/>
  <c r="BX1446" i="1"/>
  <c r="BY1446" i="1" s="1"/>
  <c r="BD1446" i="1"/>
  <c r="BC1446" i="1"/>
  <c r="BB1446" i="1"/>
  <c r="BA1446" i="1"/>
  <c r="AZ1446" i="1"/>
  <c r="BF1446" i="1" s="1" a="1"/>
  <c r="BF1446" i="1" s="1"/>
  <c r="AY1446" i="1"/>
  <c r="AX1446" i="1"/>
  <c r="M1446" i="1"/>
  <c r="EM1445" i="1"/>
  <c r="EL1445" i="1"/>
  <c r="EK1445" i="1"/>
  <c r="DU1445" i="1"/>
  <c r="DT1445" i="1"/>
  <c r="DN1445" i="1"/>
  <c r="DM1445" i="1"/>
  <c r="DL1445" i="1"/>
  <c r="DK1445" i="1"/>
  <c r="DI1445" i="1"/>
  <c r="DJ1445" i="1" s="1"/>
  <c r="DC1445" i="1"/>
  <c r="CX1445" i="1"/>
  <c r="CN1445" i="1"/>
  <c r="CT1445" i="1" s="1"/>
  <c r="CU1445" i="1" s="1"/>
  <c r="BY1445" i="1"/>
  <c r="EP1445" i="1" s="1"/>
  <c r="BV1445" i="1"/>
  <c r="BD1445" i="1"/>
  <c r="BC1445" i="1"/>
  <c r="BB1445" i="1"/>
  <c r="BA1445" i="1"/>
  <c r="AZ1445" i="1"/>
  <c r="BF1445" i="1" s="1" a="1"/>
  <c r="BF1445" i="1" s="1"/>
  <c r="AY1445" i="1"/>
  <c r="BE1445" i="1" s="1" a="1"/>
  <c r="BE1445" i="1" s="1"/>
  <c r="AX1445" i="1"/>
  <c r="M1445" i="1"/>
  <c r="EM1444" i="1"/>
  <c r="EL1444" i="1"/>
  <c r="EK1444" i="1"/>
  <c r="DU1444" i="1"/>
  <c r="DT1444" i="1"/>
  <c r="DN1444" i="1"/>
  <c r="DM1444" i="1"/>
  <c r="DL1444" i="1"/>
  <c r="DK1444" i="1"/>
  <c r="DI1444" i="1"/>
  <c r="DJ1444" i="1" s="1"/>
  <c r="DC1444" i="1"/>
  <c r="CX1444" i="1"/>
  <c r="CN1444" i="1"/>
  <c r="CR1444" i="1" s="1"/>
  <c r="BY1444" i="1"/>
  <c r="EP1444" i="1" s="1"/>
  <c r="BV1444" i="1"/>
  <c r="BD1444" i="1"/>
  <c r="BC1444" i="1"/>
  <c r="BB1444" i="1"/>
  <c r="BA1444" i="1"/>
  <c r="AZ1444" i="1"/>
  <c r="BF1444" i="1" s="1" a="1"/>
  <c r="BF1444" i="1" s="1"/>
  <c r="AY1444" i="1"/>
  <c r="BE1444" i="1" s="1" a="1"/>
  <c r="BE1444" i="1" s="1"/>
  <c r="AX1444" i="1"/>
  <c r="M1444" i="1"/>
  <c r="EP1443" i="1"/>
  <c r="EM1443" i="1"/>
  <c r="EL1443" i="1"/>
  <c r="EK1443" i="1"/>
  <c r="DU1443" i="1"/>
  <c r="DT1443" i="1"/>
  <c r="DN1443" i="1"/>
  <c r="DM1443" i="1"/>
  <c r="DL1443" i="1"/>
  <c r="DK1443" i="1"/>
  <c r="DI1443" i="1"/>
  <c r="DJ1443" i="1" s="1"/>
  <c r="DC1443" i="1"/>
  <c r="CX1443" i="1"/>
  <c r="CN1443" i="1"/>
  <c r="CR1443" i="1" s="1"/>
  <c r="BY1443" i="1"/>
  <c r="BV1443" i="1"/>
  <c r="BE1443" i="1" a="1"/>
  <c r="BE1443" i="1" s="1"/>
  <c r="BD1443" i="1"/>
  <c r="BC1443" i="1"/>
  <c r="BB1443" i="1"/>
  <c r="BA1443" i="1"/>
  <c r="AZ1443" i="1"/>
  <c r="BF1443" i="1" s="1" a="1"/>
  <c r="BF1443" i="1" s="1"/>
  <c r="AY1443" i="1"/>
  <c r="AX1443" i="1"/>
  <c r="M1443" i="1"/>
  <c r="EM1442" i="1"/>
  <c r="EL1442" i="1"/>
  <c r="EK1442" i="1"/>
  <c r="DU1442" i="1"/>
  <c r="DT1442" i="1"/>
  <c r="DN1442" i="1"/>
  <c r="DM1442" i="1"/>
  <c r="DL1442" i="1"/>
  <c r="DK1442" i="1"/>
  <c r="DI1442" i="1"/>
  <c r="DJ1442" i="1" s="1"/>
  <c r="DC1442" i="1"/>
  <c r="CX1442" i="1"/>
  <c r="CN1442" i="1"/>
  <c r="CT1442" i="1" s="1"/>
  <c r="CU1442" i="1" s="1"/>
  <c r="BY1442" i="1"/>
  <c r="EP1442" i="1" s="1"/>
  <c r="BV1442" i="1"/>
  <c r="BD1442" i="1"/>
  <c r="BC1442" i="1"/>
  <c r="BB1442" i="1"/>
  <c r="BA1442" i="1"/>
  <c r="AZ1442" i="1"/>
  <c r="BF1442" i="1" s="1" a="1"/>
  <c r="BF1442" i="1" s="1"/>
  <c r="AY1442" i="1"/>
  <c r="BE1442" i="1" s="1" a="1"/>
  <c r="BE1442" i="1" s="1"/>
  <c r="AX1442" i="1"/>
  <c r="M1442" i="1"/>
  <c r="EM1441" i="1"/>
  <c r="EL1441" i="1"/>
  <c r="EK1441" i="1"/>
  <c r="DU1441" i="1"/>
  <c r="DT1441" i="1"/>
  <c r="DN1441" i="1"/>
  <c r="DM1441" i="1"/>
  <c r="DL1441" i="1"/>
  <c r="DK1441" i="1"/>
  <c r="DI1441" i="1"/>
  <c r="DJ1441" i="1" s="1"/>
  <c r="DC1441" i="1"/>
  <c r="CX1441" i="1"/>
  <c r="CN1441" i="1"/>
  <c r="CT1441" i="1" s="1"/>
  <c r="CU1441" i="1" s="1"/>
  <c r="BY1441" i="1"/>
  <c r="EP1441" i="1" s="1"/>
  <c r="BV1441" i="1"/>
  <c r="BM1441" i="1"/>
  <c r="BD1441" i="1"/>
  <c r="BC1441" i="1"/>
  <c r="BB1441" i="1"/>
  <c r="BA1441" i="1"/>
  <c r="AZ1441" i="1"/>
  <c r="BF1441" i="1" s="1" a="1"/>
  <c r="BF1441" i="1" s="1"/>
  <c r="AY1441" i="1"/>
  <c r="BE1441" i="1" s="1" a="1"/>
  <c r="BE1441" i="1" s="1"/>
  <c r="AX1441" i="1"/>
  <c r="M1441" i="1"/>
  <c r="EM1440" i="1"/>
  <c r="EL1440" i="1"/>
  <c r="EK1440" i="1"/>
  <c r="DU1440" i="1"/>
  <c r="DT1440" i="1"/>
  <c r="DN1440" i="1"/>
  <c r="DM1440" i="1"/>
  <c r="DL1440" i="1"/>
  <c r="DK1440" i="1"/>
  <c r="DI1440" i="1"/>
  <c r="DJ1440" i="1" s="1"/>
  <c r="DC1440" i="1"/>
  <c r="CX1440" i="1"/>
  <c r="CN1440" i="1"/>
  <c r="CT1440" i="1" s="1"/>
  <c r="CU1440" i="1" s="1"/>
  <c r="BY1440" i="1"/>
  <c r="EP1440" i="1" s="1"/>
  <c r="BV1440" i="1"/>
  <c r="BM1440" i="1"/>
  <c r="BD1440" i="1"/>
  <c r="BC1440" i="1"/>
  <c r="BB1440" i="1"/>
  <c r="BA1440" i="1"/>
  <c r="AZ1440" i="1"/>
  <c r="BF1440" i="1" s="1" a="1"/>
  <c r="BF1440" i="1" s="1"/>
  <c r="AY1440" i="1"/>
  <c r="BE1440" i="1" s="1" a="1"/>
  <c r="BE1440" i="1" s="1"/>
  <c r="AX1440" i="1"/>
  <c r="M1440" i="1"/>
  <c r="EM1439" i="1"/>
  <c r="EL1439" i="1"/>
  <c r="EK1439" i="1"/>
  <c r="DU1439" i="1"/>
  <c r="DT1439" i="1"/>
  <c r="DN1439" i="1"/>
  <c r="DM1439" i="1"/>
  <c r="DL1439" i="1"/>
  <c r="DK1439" i="1"/>
  <c r="DI1439" i="1"/>
  <c r="DJ1439" i="1" s="1"/>
  <c r="DC1439" i="1"/>
  <c r="CX1439" i="1"/>
  <c r="CN1439" i="1"/>
  <c r="CR1439" i="1" s="1"/>
  <c r="BY1439" i="1"/>
  <c r="EP1439" i="1" s="1"/>
  <c r="BV1439" i="1"/>
  <c r="BM1439" i="1"/>
  <c r="BD1439" i="1"/>
  <c r="BC1439" i="1"/>
  <c r="BB1439" i="1"/>
  <c r="BA1439" i="1"/>
  <c r="AZ1439" i="1"/>
  <c r="BF1439" i="1" s="1" a="1"/>
  <c r="BF1439" i="1" s="1"/>
  <c r="AY1439" i="1"/>
  <c r="AX1439" i="1"/>
  <c r="M1439" i="1"/>
  <c r="EM1438" i="1"/>
  <c r="EL1438" i="1"/>
  <c r="EK1438" i="1"/>
  <c r="DU1438" i="1"/>
  <c r="DT1438" i="1"/>
  <c r="DN1438" i="1"/>
  <c r="DM1438" i="1"/>
  <c r="DL1438" i="1"/>
  <c r="DK1438" i="1"/>
  <c r="DI1438" i="1"/>
  <c r="DJ1438" i="1" s="1"/>
  <c r="DC1438" i="1"/>
  <c r="CX1438" i="1"/>
  <c r="CN1438" i="1"/>
  <c r="CT1438" i="1" s="1"/>
  <c r="CU1438" i="1" s="1"/>
  <c r="BY1438" i="1"/>
  <c r="EP1438" i="1" s="1"/>
  <c r="BV1438" i="1"/>
  <c r="BD1438" i="1"/>
  <c r="BC1438" i="1"/>
  <c r="BB1438" i="1"/>
  <c r="BA1438" i="1"/>
  <c r="AZ1438" i="1"/>
  <c r="BF1438" i="1" s="1" a="1"/>
  <c r="BF1438" i="1" s="1"/>
  <c r="AY1438" i="1"/>
  <c r="AX1438" i="1"/>
  <c r="M1438" i="1"/>
  <c r="EM1437" i="1"/>
  <c r="EL1437" i="1"/>
  <c r="EK1437" i="1"/>
  <c r="DU1437" i="1"/>
  <c r="DT1437" i="1"/>
  <c r="DN1437" i="1"/>
  <c r="DM1437" i="1"/>
  <c r="DL1437" i="1"/>
  <c r="DK1437" i="1"/>
  <c r="DI1437" i="1"/>
  <c r="DJ1437" i="1" s="1"/>
  <c r="DC1437" i="1"/>
  <c r="CX1437" i="1"/>
  <c r="CN1437" i="1"/>
  <c r="BY1437" i="1"/>
  <c r="EP1437" i="1" s="1"/>
  <c r="BV1437" i="1"/>
  <c r="BD1437" i="1"/>
  <c r="BC1437" i="1"/>
  <c r="BB1437" i="1"/>
  <c r="BA1437" i="1"/>
  <c r="AZ1437" i="1"/>
  <c r="BF1437" i="1" s="1" a="1"/>
  <c r="BF1437" i="1" s="1"/>
  <c r="AY1437" i="1"/>
  <c r="AX1437" i="1"/>
  <c r="M1437" i="1"/>
  <c r="EM1436" i="1"/>
  <c r="EL1436" i="1"/>
  <c r="EK1436" i="1"/>
  <c r="DU1436" i="1"/>
  <c r="DT1436" i="1"/>
  <c r="DN1436" i="1"/>
  <c r="DM1436" i="1"/>
  <c r="DL1436" i="1"/>
  <c r="DK1436" i="1"/>
  <c r="DI1436" i="1"/>
  <c r="DJ1436" i="1" s="1"/>
  <c r="DC1436" i="1"/>
  <c r="CX1436" i="1"/>
  <c r="CN1436" i="1"/>
  <c r="CR1436" i="1" s="1"/>
  <c r="BY1436" i="1"/>
  <c r="EP1436" i="1" s="1"/>
  <c r="BV1436" i="1"/>
  <c r="BD1436" i="1"/>
  <c r="BC1436" i="1"/>
  <c r="BB1436" i="1"/>
  <c r="BA1436" i="1"/>
  <c r="AZ1436" i="1"/>
  <c r="BF1436" i="1" s="1" a="1"/>
  <c r="BF1436" i="1" s="1"/>
  <c r="AY1436" i="1"/>
  <c r="AX1436" i="1"/>
  <c r="M1436" i="1"/>
  <c r="EM1435" i="1"/>
  <c r="EL1435" i="1"/>
  <c r="EK1435" i="1"/>
  <c r="DU1435" i="1"/>
  <c r="DT1435" i="1"/>
  <c r="DN1435" i="1"/>
  <c r="DM1435" i="1"/>
  <c r="DL1435" i="1"/>
  <c r="DK1435" i="1"/>
  <c r="DI1435" i="1"/>
  <c r="DJ1435" i="1" s="1"/>
  <c r="DC1435" i="1"/>
  <c r="CX1435" i="1"/>
  <c r="CN1435" i="1"/>
  <c r="BY1435" i="1"/>
  <c r="EP1435" i="1" s="1"/>
  <c r="BV1435" i="1"/>
  <c r="BD1435" i="1"/>
  <c r="BC1435" i="1"/>
  <c r="BB1435" i="1"/>
  <c r="BA1435" i="1"/>
  <c r="AZ1435" i="1"/>
  <c r="BF1435" i="1" s="1" a="1"/>
  <c r="BF1435" i="1" s="1"/>
  <c r="AY1435" i="1"/>
  <c r="AX1435" i="1"/>
  <c r="M1435" i="1"/>
  <c r="EM1434" i="1"/>
  <c r="EL1434" i="1"/>
  <c r="EK1434" i="1"/>
  <c r="DU1434" i="1"/>
  <c r="DT1434" i="1"/>
  <c r="DN1434" i="1"/>
  <c r="DM1434" i="1"/>
  <c r="DL1434" i="1"/>
  <c r="DK1434" i="1"/>
  <c r="DI1434" i="1"/>
  <c r="DJ1434" i="1" s="1"/>
  <c r="DC1434" i="1"/>
  <c r="CX1434" i="1"/>
  <c r="CN1434" i="1"/>
  <c r="BY1434" i="1"/>
  <c r="EP1434" i="1" s="1"/>
  <c r="BV1434" i="1"/>
  <c r="BD1434" i="1"/>
  <c r="BC1434" i="1"/>
  <c r="BB1434" i="1"/>
  <c r="BA1434" i="1"/>
  <c r="AZ1434" i="1"/>
  <c r="BF1434" i="1" s="1" a="1"/>
  <c r="BF1434" i="1" s="1"/>
  <c r="AY1434" i="1"/>
  <c r="AX1434" i="1"/>
  <c r="M1434" i="1"/>
  <c r="EM1433" i="1"/>
  <c r="EL1433" i="1"/>
  <c r="EK1433" i="1"/>
  <c r="DU1433" i="1"/>
  <c r="DT1433" i="1"/>
  <c r="DN1433" i="1"/>
  <c r="DM1433" i="1"/>
  <c r="DL1433" i="1"/>
  <c r="DK1433" i="1"/>
  <c r="DI1433" i="1"/>
  <c r="DJ1433" i="1" s="1"/>
  <c r="DC1433" i="1"/>
  <c r="CX1433" i="1"/>
  <c r="CR1433" i="1"/>
  <c r="CN1433" i="1"/>
  <c r="CT1433" i="1" s="1"/>
  <c r="CU1433" i="1" s="1"/>
  <c r="BY1433" i="1"/>
  <c r="EP1433" i="1" s="1"/>
  <c r="BV1433" i="1"/>
  <c r="BD1433" i="1"/>
  <c r="BC1433" i="1"/>
  <c r="BB1433" i="1"/>
  <c r="BA1433" i="1"/>
  <c r="AZ1433" i="1"/>
  <c r="BF1433" i="1" s="1" a="1"/>
  <c r="BF1433" i="1" s="1"/>
  <c r="AY1433" i="1"/>
  <c r="AX1433" i="1"/>
  <c r="M1433" i="1"/>
  <c r="EM1432" i="1"/>
  <c r="EL1432" i="1"/>
  <c r="EK1432" i="1"/>
  <c r="DU1432" i="1"/>
  <c r="DT1432" i="1"/>
  <c r="DN1432" i="1"/>
  <c r="DM1432" i="1"/>
  <c r="DL1432" i="1"/>
  <c r="DK1432" i="1"/>
  <c r="DI1432" i="1"/>
  <c r="DJ1432" i="1" s="1"/>
  <c r="DC1432" i="1"/>
  <c r="CX1432" i="1"/>
  <c r="CR1432" i="1"/>
  <c r="CN1432" i="1"/>
  <c r="CT1432" i="1" s="1"/>
  <c r="CU1432" i="1" s="1"/>
  <c r="BY1432" i="1"/>
  <c r="EP1432" i="1" s="1"/>
  <c r="BV1432" i="1"/>
  <c r="BD1432" i="1"/>
  <c r="BC1432" i="1"/>
  <c r="BB1432" i="1"/>
  <c r="BA1432" i="1"/>
  <c r="AZ1432" i="1"/>
  <c r="BF1432" i="1" s="1" a="1"/>
  <c r="BF1432" i="1" s="1"/>
  <c r="AY1432" i="1"/>
  <c r="AX1432" i="1"/>
  <c r="M1432" i="1"/>
  <c r="EM1431" i="1"/>
  <c r="EL1431" i="1"/>
  <c r="EK1431" i="1"/>
  <c r="DU1431" i="1"/>
  <c r="DT1431" i="1"/>
  <c r="DN1431" i="1"/>
  <c r="DM1431" i="1"/>
  <c r="DL1431" i="1"/>
  <c r="DK1431" i="1"/>
  <c r="DI1431" i="1"/>
  <c r="DJ1431" i="1" s="1"/>
  <c r="DC1431" i="1"/>
  <c r="CX1431" i="1"/>
  <c r="CN1431" i="1"/>
  <c r="CS1431" i="1" s="1"/>
  <c r="BY1431" i="1"/>
  <c r="EP1431" i="1" s="1"/>
  <c r="BV1431" i="1"/>
  <c r="BM1431" i="1"/>
  <c r="BD1431" i="1"/>
  <c r="BC1431" i="1"/>
  <c r="BB1431" i="1"/>
  <c r="BA1431" i="1"/>
  <c r="AZ1431" i="1"/>
  <c r="BF1431" i="1" s="1" a="1"/>
  <c r="BF1431" i="1" s="1"/>
  <c r="AY1431" i="1"/>
  <c r="AX1431" i="1"/>
  <c r="M1431" i="1"/>
  <c r="EM1430" i="1"/>
  <c r="EL1430" i="1"/>
  <c r="EK1430" i="1"/>
  <c r="DU1430" i="1"/>
  <c r="DT1430" i="1"/>
  <c r="DN1430" i="1"/>
  <c r="DM1430" i="1"/>
  <c r="DL1430" i="1"/>
  <c r="DK1430" i="1"/>
  <c r="DI1430" i="1"/>
  <c r="DJ1430" i="1" s="1"/>
  <c r="DC1430" i="1"/>
  <c r="CX1430" i="1"/>
  <c r="CN1430" i="1"/>
  <c r="CS1430" i="1" s="1"/>
  <c r="BY1430" i="1"/>
  <c r="EP1430" i="1" s="1"/>
  <c r="BV1430" i="1"/>
  <c r="BM1430" i="1"/>
  <c r="BD1430" i="1"/>
  <c r="BC1430" i="1"/>
  <c r="BB1430" i="1"/>
  <c r="BA1430" i="1"/>
  <c r="AZ1430" i="1"/>
  <c r="BF1430" i="1" s="1" a="1"/>
  <c r="BF1430" i="1" s="1"/>
  <c r="AY1430" i="1"/>
  <c r="AX1430" i="1"/>
  <c r="M1430" i="1"/>
  <c r="EM1429" i="1"/>
  <c r="EL1429" i="1"/>
  <c r="EK1429" i="1"/>
  <c r="DU1429" i="1"/>
  <c r="DT1429" i="1"/>
  <c r="DN1429" i="1"/>
  <c r="DM1429" i="1"/>
  <c r="DL1429" i="1"/>
  <c r="DK1429" i="1"/>
  <c r="DI1429" i="1"/>
  <c r="DJ1429" i="1" s="1"/>
  <c r="DC1429" i="1"/>
  <c r="CX1429" i="1"/>
  <c r="CN1429" i="1"/>
  <c r="CS1429" i="1" s="1"/>
  <c r="BY1429" i="1"/>
  <c r="EP1429" i="1" s="1"/>
  <c r="BV1429" i="1"/>
  <c r="BM1429" i="1"/>
  <c r="BD1429" i="1"/>
  <c r="BC1429" i="1"/>
  <c r="BB1429" i="1"/>
  <c r="BA1429" i="1"/>
  <c r="AZ1429" i="1"/>
  <c r="BF1429" i="1" s="1" a="1"/>
  <c r="BF1429" i="1" s="1"/>
  <c r="AY1429" i="1"/>
  <c r="BE1429" i="1" s="1" a="1"/>
  <c r="BE1429" i="1" s="1"/>
  <c r="AX1429" i="1"/>
  <c r="M1429" i="1"/>
  <c r="EM1428" i="1"/>
  <c r="EL1428" i="1"/>
  <c r="EK1428" i="1"/>
  <c r="DU1428" i="1"/>
  <c r="DT1428" i="1"/>
  <c r="DN1428" i="1"/>
  <c r="DM1428" i="1"/>
  <c r="DL1428" i="1"/>
  <c r="DK1428" i="1"/>
  <c r="DI1428" i="1"/>
  <c r="DJ1428" i="1" s="1"/>
  <c r="DC1428" i="1"/>
  <c r="CX1428" i="1"/>
  <c r="CN1428" i="1"/>
  <c r="CT1428" i="1" s="1"/>
  <c r="CU1428" i="1" s="1"/>
  <c r="BY1428" i="1"/>
  <c r="EP1428" i="1" s="1"/>
  <c r="BV1428" i="1"/>
  <c r="BD1428" i="1"/>
  <c r="BC1428" i="1"/>
  <c r="BB1428" i="1"/>
  <c r="BA1428" i="1"/>
  <c r="AZ1428" i="1"/>
  <c r="BF1428" i="1" s="1" a="1"/>
  <c r="BF1428" i="1" s="1"/>
  <c r="AY1428" i="1"/>
  <c r="AX1428" i="1"/>
  <c r="M1428" i="1"/>
  <c r="EM1427" i="1"/>
  <c r="EL1427" i="1"/>
  <c r="EK1427" i="1"/>
  <c r="DU1427" i="1"/>
  <c r="DT1427" i="1"/>
  <c r="DN1427" i="1"/>
  <c r="DM1427" i="1"/>
  <c r="DL1427" i="1"/>
  <c r="DK1427" i="1"/>
  <c r="DI1427" i="1"/>
  <c r="DJ1427" i="1" s="1"/>
  <c r="DC1427" i="1"/>
  <c r="CX1427" i="1"/>
  <c r="CN1427" i="1"/>
  <c r="CT1427" i="1" s="1"/>
  <c r="CU1427" i="1" s="1"/>
  <c r="BY1427" i="1"/>
  <c r="EP1427" i="1" s="1"/>
  <c r="BV1427" i="1"/>
  <c r="BD1427" i="1"/>
  <c r="BC1427" i="1"/>
  <c r="BB1427" i="1"/>
  <c r="BA1427" i="1"/>
  <c r="AZ1427" i="1"/>
  <c r="BF1427" i="1" s="1" a="1"/>
  <c r="BF1427" i="1" s="1"/>
  <c r="AY1427" i="1"/>
  <c r="AX1427" i="1"/>
  <c r="M1427" i="1"/>
  <c r="EM1426" i="1"/>
  <c r="EL1426" i="1"/>
  <c r="EK1426" i="1"/>
  <c r="DT1426" i="1"/>
  <c r="DN1426" i="1"/>
  <c r="DM1426" i="1"/>
  <c r="DL1426" i="1"/>
  <c r="DK1426" i="1"/>
  <c r="DJ1426" i="1"/>
  <c r="DC1426" i="1"/>
  <c r="CX1426" i="1"/>
  <c r="CN1426" i="1"/>
  <c r="CT1426" i="1" s="1"/>
  <c r="CU1426" i="1" s="1"/>
  <c r="BY1426" i="1"/>
  <c r="EP1426" i="1" s="1"/>
  <c r="BV1426" i="1"/>
  <c r="BD1426" i="1"/>
  <c r="BC1426" i="1"/>
  <c r="BB1426" i="1"/>
  <c r="BA1426" i="1"/>
  <c r="AZ1426" i="1"/>
  <c r="BF1426" i="1" s="1" a="1"/>
  <c r="BF1426" i="1" s="1"/>
  <c r="AY1426" i="1"/>
  <c r="AX1426" i="1"/>
  <c r="M1426" i="1"/>
  <c r="EM1425" i="1"/>
  <c r="EL1425" i="1"/>
  <c r="EK1425" i="1"/>
  <c r="DT1425" i="1"/>
  <c r="DN1425" i="1"/>
  <c r="DM1425" i="1"/>
  <c r="DL1425" i="1"/>
  <c r="DK1425" i="1"/>
  <c r="DJ1425" i="1"/>
  <c r="DC1425" i="1"/>
  <c r="CX1425" i="1"/>
  <c r="CN1425" i="1"/>
  <c r="CS1425" i="1" s="1"/>
  <c r="BY1425" i="1"/>
  <c r="EP1425" i="1" s="1"/>
  <c r="BV1425" i="1"/>
  <c r="BD1425" i="1"/>
  <c r="BC1425" i="1"/>
  <c r="BB1425" i="1"/>
  <c r="BA1425" i="1"/>
  <c r="AZ1425" i="1"/>
  <c r="BF1425" i="1" s="1" a="1"/>
  <c r="BF1425" i="1" s="1"/>
  <c r="AY1425" i="1"/>
  <c r="AX1425" i="1"/>
  <c r="M1425" i="1"/>
  <c r="EM1424" i="1"/>
  <c r="EL1424" i="1"/>
  <c r="EK1424" i="1"/>
  <c r="DU1424" i="1"/>
  <c r="DT1424" i="1"/>
  <c r="DN1424" i="1"/>
  <c r="DM1424" i="1"/>
  <c r="DL1424" i="1"/>
  <c r="DK1424" i="1"/>
  <c r="DI1424" i="1"/>
  <c r="DJ1424" i="1" s="1"/>
  <c r="DC1424" i="1"/>
  <c r="CX1424" i="1"/>
  <c r="CN1424" i="1"/>
  <c r="BY1424" i="1"/>
  <c r="EP1424" i="1" s="1"/>
  <c r="BV1424" i="1"/>
  <c r="BD1424" i="1"/>
  <c r="BC1424" i="1"/>
  <c r="BB1424" i="1"/>
  <c r="BA1424" i="1"/>
  <c r="AZ1424" i="1"/>
  <c r="BF1424" i="1" s="1" a="1"/>
  <c r="BF1424" i="1" s="1"/>
  <c r="AY1424" i="1"/>
  <c r="AX1424" i="1"/>
  <c r="M1424" i="1"/>
  <c r="EM1423" i="1"/>
  <c r="EL1423" i="1"/>
  <c r="EK1423" i="1"/>
  <c r="DU1423" i="1"/>
  <c r="DT1423" i="1"/>
  <c r="DN1423" i="1"/>
  <c r="DM1423" i="1"/>
  <c r="DL1423" i="1"/>
  <c r="DK1423" i="1"/>
  <c r="DI1423" i="1"/>
  <c r="DJ1423" i="1" s="1"/>
  <c r="DC1423" i="1"/>
  <c r="CX1423" i="1"/>
  <c r="CN1423" i="1"/>
  <c r="CR1423" i="1" s="1"/>
  <c r="BY1423" i="1"/>
  <c r="EP1423" i="1" s="1"/>
  <c r="BV1423" i="1"/>
  <c r="BD1423" i="1"/>
  <c r="BC1423" i="1"/>
  <c r="BB1423" i="1"/>
  <c r="BA1423" i="1"/>
  <c r="AZ1423" i="1"/>
  <c r="BF1423" i="1" s="1" a="1"/>
  <c r="BF1423" i="1" s="1"/>
  <c r="AY1423" i="1"/>
  <c r="AX1423" i="1"/>
  <c r="M1423" i="1"/>
  <c r="EM1422" i="1"/>
  <c r="EL1422" i="1"/>
  <c r="EK1422" i="1"/>
  <c r="DU1422" i="1"/>
  <c r="DT1422" i="1"/>
  <c r="DN1422" i="1"/>
  <c r="DM1422" i="1"/>
  <c r="DL1422" i="1"/>
  <c r="DK1422" i="1"/>
  <c r="DI1422" i="1"/>
  <c r="DJ1422" i="1" s="1"/>
  <c r="DC1422" i="1"/>
  <c r="CX1422" i="1"/>
  <c r="CN1422" i="1"/>
  <c r="CT1422" i="1" s="1"/>
  <c r="CU1422" i="1" s="1"/>
  <c r="BY1422" i="1"/>
  <c r="EP1422" i="1" s="1"/>
  <c r="BV1422" i="1"/>
  <c r="BD1422" i="1"/>
  <c r="BC1422" i="1"/>
  <c r="BB1422" i="1"/>
  <c r="BA1422" i="1"/>
  <c r="AZ1422" i="1"/>
  <c r="BF1422" i="1" s="1" a="1"/>
  <c r="BF1422" i="1" s="1"/>
  <c r="AY1422" i="1"/>
  <c r="AX1422" i="1"/>
  <c r="M1422" i="1"/>
  <c r="EM1421" i="1"/>
  <c r="EL1421" i="1"/>
  <c r="EK1421" i="1"/>
  <c r="DU1421" i="1"/>
  <c r="DT1421" i="1"/>
  <c r="DN1421" i="1"/>
  <c r="DM1421" i="1"/>
  <c r="DL1421" i="1"/>
  <c r="DK1421" i="1"/>
  <c r="DI1421" i="1"/>
  <c r="DJ1421" i="1" s="1"/>
  <c r="DC1421" i="1"/>
  <c r="CX1421" i="1"/>
  <c r="CN1421" i="1"/>
  <c r="CR1421" i="1" s="1"/>
  <c r="BY1421" i="1"/>
  <c r="EP1421" i="1" s="1"/>
  <c r="BV1421" i="1"/>
  <c r="BD1421" i="1"/>
  <c r="BC1421" i="1"/>
  <c r="BB1421" i="1"/>
  <c r="BA1421" i="1"/>
  <c r="AZ1421" i="1"/>
  <c r="BF1421" i="1" s="1" a="1"/>
  <c r="BF1421" i="1" s="1"/>
  <c r="AY1421" i="1"/>
  <c r="AX1421" i="1"/>
  <c r="M1421" i="1"/>
  <c r="EM1420" i="1"/>
  <c r="EL1420" i="1"/>
  <c r="EK1420" i="1"/>
  <c r="DU1420" i="1"/>
  <c r="DT1420" i="1"/>
  <c r="DN1420" i="1"/>
  <c r="DM1420" i="1"/>
  <c r="DL1420" i="1"/>
  <c r="DK1420" i="1"/>
  <c r="DI1420" i="1"/>
  <c r="DJ1420" i="1" s="1"/>
  <c r="DC1420" i="1"/>
  <c r="CX1420" i="1"/>
  <c r="CN1420" i="1"/>
  <c r="CS1420" i="1" s="1"/>
  <c r="BY1420" i="1"/>
  <c r="EP1420" i="1" s="1"/>
  <c r="BV1420" i="1"/>
  <c r="BD1420" i="1"/>
  <c r="BC1420" i="1"/>
  <c r="BB1420" i="1"/>
  <c r="BA1420" i="1"/>
  <c r="AZ1420" i="1"/>
  <c r="BF1420" i="1" s="1" a="1"/>
  <c r="BF1420" i="1" s="1"/>
  <c r="AY1420" i="1"/>
  <c r="AX1420" i="1"/>
  <c r="M1420" i="1"/>
  <c r="EM1419" i="1"/>
  <c r="EL1419" i="1"/>
  <c r="EK1419" i="1"/>
  <c r="DU1419" i="1"/>
  <c r="DT1419" i="1"/>
  <c r="DN1419" i="1"/>
  <c r="DM1419" i="1"/>
  <c r="DL1419" i="1"/>
  <c r="DK1419" i="1"/>
  <c r="DI1419" i="1"/>
  <c r="DJ1419" i="1" s="1"/>
  <c r="DC1419" i="1"/>
  <c r="CX1419" i="1"/>
  <c r="CN1419" i="1"/>
  <c r="CT1419" i="1" s="1"/>
  <c r="CU1419" i="1" s="1"/>
  <c r="BY1419" i="1"/>
  <c r="EP1419" i="1" s="1"/>
  <c r="BV1419" i="1"/>
  <c r="BD1419" i="1"/>
  <c r="BC1419" i="1"/>
  <c r="BB1419" i="1"/>
  <c r="BA1419" i="1"/>
  <c r="AZ1419" i="1"/>
  <c r="BF1419" i="1" s="1" a="1"/>
  <c r="BF1419" i="1" s="1"/>
  <c r="AY1419" i="1"/>
  <c r="AX1419" i="1"/>
  <c r="M1419" i="1"/>
  <c r="EM1418" i="1"/>
  <c r="EL1418" i="1"/>
  <c r="EK1418" i="1"/>
  <c r="DU1418" i="1"/>
  <c r="DT1418" i="1"/>
  <c r="DN1418" i="1"/>
  <c r="DM1418" i="1"/>
  <c r="DL1418" i="1"/>
  <c r="DK1418" i="1"/>
  <c r="DI1418" i="1"/>
  <c r="DJ1418" i="1" s="1"/>
  <c r="DC1418" i="1"/>
  <c r="CX1418" i="1"/>
  <c r="CN1418" i="1"/>
  <c r="CS1418" i="1" s="1"/>
  <c r="BY1418" i="1"/>
  <c r="EP1418" i="1" s="1"/>
  <c r="BV1418" i="1"/>
  <c r="BM1418" i="1"/>
  <c r="BD1418" i="1"/>
  <c r="BC1418" i="1"/>
  <c r="BB1418" i="1"/>
  <c r="BA1418" i="1"/>
  <c r="AZ1418" i="1"/>
  <c r="BF1418" i="1" s="1" a="1"/>
  <c r="BF1418" i="1" s="1"/>
  <c r="AY1418" i="1"/>
  <c r="AX1418" i="1"/>
  <c r="M1418" i="1"/>
  <c r="EM1417" i="1"/>
  <c r="EL1417" i="1"/>
  <c r="EK1417" i="1"/>
  <c r="DU1417" i="1"/>
  <c r="DT1417" i="1"/>
  <c r="DN1417" i="1"/>
  <c r="DM1417" i="1"/>
  <c r="DL1417" i="1"/>
  <c r="DK1417" i="1"/>
  <c r="DI1417" i="1"/>
  <c r="DJ1417" i="1" s="1"/>
  <c r="DC1417" i="1"/>
  <c r="CX1417" i="1"/>
  <c r="CN1417" i="1"/>
  <c r="BY1417" i="1"/>
  <c r="EP1417" i="1" s="1"/>
  <c r="BV1417" i="1"/>
  <c r="BM1417" i="1"/>
  <c r="BD1417" i="1"/>
  <c r="BC1417" i="1"/>
  <c r="BB1417" i="1"/>
  <c r="BA1417" i="1"/>
  <c r="AZ1417" i="1"/>
  <c r="BF1417" i="1" s="1" a="1"/>
  <c r="BF1417" i="1" s="1"/>
  <c r="AY1417" i="1"/>
  <c r="AX1417" i="1"/>
  <c r="M1417" i="1"/>
  <c r="EM1416" i="1"/>
  <c r="EL1416" i="1"/>
  <c r="EK1416" i="1"/>
  <c r="DU1416" i="1"/>
  <c r="DT1416" i="1"/>
  <c r="DN1416" i="1"/>
  <c r="DM1416" i="1"/>
  <c r="DL1416" i="1"/>
  <c r="DK1416" i="1"/>
  <c r="DI1416" i="1"/>
  <c r="DJ1416" i="1" s="1"/>
  <c r="DC1416" i="1"/>
  <c r="CX1416" i="1"/>
  <c r="CN1416" i="1"/>
  <c r="CR1416" i="1" s="1"/>
  <c r="BY1416" i="1"/>
  <c r="EP1416" i="1" s="1"/>
  <c r="BV1416" i="1"/>
  <c r="BM1416" i="1"/>
  <c r="BD1416" i="1"/>
  <c r="BC1416" i="1"/>
  <c r="BB1416" i="1"/>
  <c r="BA1416" i="1"/>
  <c r="AZ1416" i="1"/>
  <c r="BF1416" i="1" s="1" a="1"/>
  <c r="BF1416" i="1" s="1"/>
  <c r="AY1416" i="1"/>
  <c r="AX1416" i="1"/>
  <c r="M1416" i="1"/>
  <c r="EM1415" i="1"/>
  <c r="EL1415" i="1"/>
  <c r="EK1415" i="1"/>
  <c r="DU1415" i="1"/>
  <c r="DT1415" i="1"/>
  <c r="DN1415" i="1"/>
  <c r="DM1415" i="1"/>
  <c r="DL1415" i="1"/>
  <c r="DK1415" i="1"/>
  <c r="DI1415" i="1"/>
  <c r="DJ1415" i="1" s="1"/>
  <c r="DC1415" i="1"/>
  <c r="CX1415" i="1"/>
  <c r="CN1415" i="1"/>
  <c r="CT1415" i="1" s="1"/>
  <c r="CU1415" i="1" s="1"/>
  <c r="BY1415" i="1"/>
  <c r="EP1415" i="1" s="1"/>
  <c r="BV1415" i="1"/>
  <c r="BM1415" i="1"/>
  <c r="BD1415" i="1"/>
  <c r="BC1415" i="1"/>
  <c r="BB1415" i="1"/>
  <c r="BA1415" i="1"/>
  <c r="AZ1415" i="1"/>
  <c r="BF1415" i="1" s="1" a="1"/>
  <c r="BF1415" i="1" s="1"/>
  <c r="AY1415" i="1"/>
  <c r="AX1415" i="1"/>
  <c r="M1415" i="1"/>
  <c r="EM1414" i="1"/>
  <c r="EL1414" i="1"/>
  <c r="EK1414" i="1"/>
  <c r="DU1414" i="1"/>
  <c r="DT1414" i="1"/>
  <c r="DN1414" i="1"/>
  <c r="DM1414" i="1"/>
  <c r="DL1414" i="1"/>
  <c r="DK1414" i="1"/>
  <c r="DI1414" i="1"/>
  <c r="DJ1414" i="1" s="1"/>
  <c r="DC1414" i="1"/>
  <c r="CX1414" i="1"/>
  <c r="CN1414" i="1"/>
  <c r="CS1414" i="1" s="1"/>
  <c r="BY1414" i="1"/>
  <c r="EP1414" i="1" s="1"/>
  <c r="BV1414" i="1"/>
  <c r="BD1414" i="1"/>
  <c r="BC1414" i="1"/>
  <c r="BB1414" i="1"/>
  <c r="BA1414" i="1"/>
  <c r="AZ1414" i="1"/>
  <c r="BF1414" i="1" s="1" a="1"/>
  <c r="BF1414" i="1" s="1"/>
  <c r="AY1414" i="1"/>
  <c r="BE1414" i="1" s="1" a="1"/>
  <c r="BE1414" i="1" s="1"/>
  <c r="AX1414" i="1"/>
  <c r="M1414" i="1"/>
  <c r="EM1413" i="1"/>
  <c r="EL1413" i="1"/>
  <c r="EK1413" i="1"/>
  <c r="DU1413" i="1"/>
  <c r="DT1413" i="1"/>
  <c r="DN1413" i="1"/>
  <c r="DM1413" i="1"/>
  <c r="DL1413" i="1"/>
  <c r="DK1413" i="1"/>
  <c r="DI1413" i="1"/>
  <c r="DJ1413" i="1" s="1"/>
  <c r="DC1413" i="1"/>
  <c r="CX1413" i="1"/>
  <c r="CN1413" i="1"/>
  <c r="CT1413" i="1" s="1"/>
  <c r="CU1413" i="1" s="1"/>
  <c r="BY1413" i="1"/>
  <c r="EP1413" i="1" s="1"/>
  <c r="BV1413" i="1"/>
  <c r="BM1413" i="1"/>
  <c r="BD1413" i="1"/>
  <c r="BC1413" i="1"/>
  <c r="BB1413" i="1"/>
  <c r="BA1413" i="1"/>
  <c r="AZ1413" i="1"/>
  <c r="BF1413" i="1" s="1" a="1"/>
  <c r="BF1413" i="1" s="1"/>
  <c r="AY1413" i="1"/>
  <c r="BE1413" i="1" s="1" a="1"/>
  <c r="BE1413" i="1" s="1"/>
  <c r="AX1413" i="1"/>
  <c r="M1413" i="1"/>
  <c r="EM1412" i="1"/>
  <c r="EL1412" i="1"/>
  <c r="EK1412" i="1"/>
  <c r="DU1412" i="1"/>
  <c r="DT1412" i="1"/>
  <c r="DN1412" i="1"/>
  <c r="DM1412" i="1"/>
  <c r="DL1412" i="1"/>
  <c r="DK1412" i="1"/>
  <c r="DI1412" i="1"/>
  <c r="DJ1412" i="1" s="1"/>
  <c r="DC1412" i="1"/>
  <c r="CX1412" i="1"/>
  <c r="CN1412" i="1"/>
  <c r="CR1412" i="1" s="1"/>
  <c r="BY1412" i="1"/>
  <c r="EP1412" i="1" s="1"/>
  <c r="BV1412" i="1"/>
  <c r="BE1412" i="1" a="1"/>
  <c r="BE1412" i="1" s="1"/>
  <c r="BD1412" i="1"/>
  <c r="BC1412" i="1"/>
  <c r="BB1412" i="1"/>
  <c r="BA1412" i="1"/>
  <c r="AZ1412" i="1"/>
  <c r="BF1412" i="1" s="1" a="1"/>
  <c r="BF1412" i="1" s="1"/>
  <c r="AY1412" i="1"/>
  <c r="AX1412" i="1"/>
  <c r="M1412" i="1"/>
  <c r="EM1411" i="1"/>
  <c r="EL1411" i="1"/>
  <c r="EK1411" i="1"/>
  <c r="DU1411" i="1"/>
  <c r="DT1411" i="1"/>
  <c r="DN1411" i="1"/>
  <c r="DM1411" i="1"/>
  <c r="DL1411" i="1"/>
  <c r="DK1411" i="1"/>
  <c r="DI1411" i="1"/>
  <c r="DJ1411" i="1" s="1"/>
  <c r="DC1411" i="1"/>
  <c r="CX1411" i="1"/>
  <c r="CN1411" i="1"/>
  <c r="BY1411" i="1"/>
  <c r="EP1411" i="1" s="1"/>
  <c r="BV1411" i="1"/>
  <c r="BE1411" i="1" a="1"/>
  <c r="BE1411" i="1" s="1"/>
  <c r="BD1411" i="1"/>
  <c r="BC1411" i="1"/>
  <c r="BB1411" i="1"/>
  <c r="BA1411" i="1"/>
  <c r="AZ1411" i="1"/>
  <c r="BF1411" i="1" s="1" a="1"/>
  <c r="BF1411" i="1" s="1"/>
  <c r="AY1411" i="1"/>
  <c r="AX1411" i="1"/>
  <c r="M1411" i="1"/>
  <c r="EM1410" i="1"/>
  <c r="EL1410" i="1"/>
  <c r="EK1410" i="1"/>
  <c r="DU1410" i="1"/>
  <c r="DT1410" i="1"/>
  <c r="DN1410" i="1"/>
  <c r="DM1410" i="1"/>
  <c r="DL1410" i="1"/>
  <c r="DK1410" i="1"/>
  <c r="DI1410" i="1"/>
  <c r="DJ1410" i="1" s="1"/>
  <c r="DC1410" i="1"/>
  <c r="CX1410" i="1"/>
  <c r="CN1410" i="1"/>
  <c r="CT1410" i="1" s="1"/>
  <c r="CU1410" i="1" s="1"/>
  <c r="BY1410" i="1"/>
  <c r="EP1410" i="1" s="1"/>
  <c r="BV1410" i="1"/>
  <c r="BD1410" i="1"/>
  <c r="BC1410" i="1"/>
  <c r="BB1410" i="1"/>
  <c r="BA1410" i="1"/>
  <c r="AZ1410" i="1"/>
  <c r="BF1410" i="1" s="1" a="1"/>
  <c r="BF1410" i="1" s="1"/>
  <c r="AY1410" i="1"/>
  <c r="BE1410" i="1" s="1" a="1"/>
  <c r="BE1410" i="1" s="1"/>
  <c r="AX1410" i="1"/>
  <c r="M1410" i="1"/>
  <c r="EM1409" i="1"/>
  <c r="EL1409" i="1"/>
  <c r="EK1409" i="1"/>
  <c r="DU1409" i="1"/>
  <c r="DT1409" i="1"/>
  <c r="DN1409" i="1"/>
  <c r="DM1409" i="1"/>
  <c r="DL1409" i="1"/>
  <c r="DK1409" i="1"/>
  <c r="DI1409" i="1"/>
  <c r="DJ1409" i="1" s="1"/>
  <c r="DC1409" i="1"/>
  <c r="CX1409" i="1"/>
  <c r="CN1409" i="1"/>
  <c r="BY1409" i="1"/>
  <c r="EP1409" i="1" s="1"/>
  <c r="BV1409" i="1"/>
  <c r="BD1409" i="1"/>
  <c r="BC1409" i="1"/>
  <c r="BB1409" i="1"/>
  <c r="BA1409" i="1"/>
  <c r="AZ1409" i="1"/>
  <c r="BF1409" i="1" s="1" a="1"/>
  <c r="BF1409" i="1" s="1"/>
  <c r="AY1409" i="1"/>
  <c r="BE1409" i="1" s="1" a="1"/>
  <c r="BE1409" i="1" s="1"/>
  <c r="AX1409" i="1"/>
  <c r="M1409" i="1"/>
  <c r="EM1408" i="1"/>
  <c r="EL1408" i="1"/>
  <c r="EK1408" i="1"/>
  <c r="DU1408" i="1"/>
  <c r="DT1408" i="1"/>
  <c r="DN1408" i="1"/>
  <c r="DM1408" i="1"/>
  <c r="DL1408" i="1"/>
  <c r="DK1408" i="1"/>
  <c r="DI1408" i="1"/>
  <c r="DJ1408" i="1" s="1"/>
  <c r="DC1408" i="1"/>
  <c r="CX1408" i="1"/>
  <c r="CN1408" i="1"/>
  <c r="CR1408" i="1" s="1"/>
  <c r="BY1408" i="1"/>
  <c r="EP1408" i="1" s="1"/>
  <c r="BV1408" i="1"/>
  <c r="BD1408" i="1"/>
  <c r="BC1408" i="1"/>
  <c r="BB1408" i="1"/>
  <c r="BA1408" i="1"/>
  <c r="AZ1408" i="1"/>
  <c r="BF1408" i="1" s="1" a="1"/>
  <c r="BF1408" i="1" s="1"/>
  <c r="AY1408" i="1"/>
  <c r="BE1408" i="1" s="1" a="1"/>
  <c r="BE1408" i="1" s="1"/>
  <c r="AX1408" i="1"/>
  <c r="M1408" i="1"/>
  <c r="EM1407" i="1"/>
  <c r="EL1407" i="1"/>
  <c r="EK1407" i="1"/>
  <c r="DU1407" i="1"/>
  <c r="DT1407" i="1"/>
  <c r="DN1407" i="1"/>
  <c r="DM1407" i="1"/>
  <c r="DL1407" i="1"/>
  <c r="DK1407" i="1"/>
  <c r="DI1407" i="1"/>
  <c r="DJ1407" i="1" s="1"/>
  <c r="DC1407" i="1"/>
  <c r="CX1407" i="1"/>
  <c r="CN1407" i="1"/>
  <c r="BY1407" i="1"/>
  <c r="EP1407" i="1" s="1"/>
  <c r="BV1407" i="1"/>
  <c r="BD1407" i="1"/>
  <c r="BC1407" i="1"/>
  <c r="BB1407" i="1"/>
  <c r="BA1407" i="1"/>
  <c r="AZ1407" i="1"/>
  <c r="BF1407" i="1" s="1" a="1"/>
  <c r="BF1407" i="1" s="1"/>
  <c r="AY1407" i="1"/>
  <c r="BE1407" i="1" s="1" a="1"/>
  <c r="BE1407" i="1" s="1"/>
  <c r="AX1407" i="1"/>
  <c r="M1407" i="1"/>
  <c r="EM1406" i="1"/>
  <c r="EL1406" i="1"/>
  <c r="EK1406" i="1"/>
  <c r="DU1406" i="1"/>
  <c r="DT1406" i="1"/>
  <c r="DN1406" i="1"/>
  <c r="DM1406" i="1"/>
  <c r="DL1406" i="1"/>
  <c r="DK1406" i="1"/>
  <c r="DI1406" i="1"/>
  <c r="DJ1406" i="1" s="1"/>
  <c r="DC1406" i="1"/>
  <c r="CX1406" i="1"/>
  <c r="CT1406" i="1"/>
  <c r="CU1406" i="1" s="1"/>
  <c r="CN1406" i="1"/>
  <c r="CS1406" i="1" s="1"/>
  <c r="BY1406" i="1"/>
  <c r="EP1406" i="1" s="1"/>
  <c r="BV1406" i="1"/>
  <c r="BD1406" i="1"/>
  <c r="BC1406" i="1"/>
  <c r="BB1406" i="1"/>
  <c r="BA1406" i="1"/>
  <c r="AZ1406" i="1"/>
  <c r="BF1406" i="1" s="1" a="1"/>
  <c r="BF1406" i="1" s="1"/>
  <c r="AY1406" i="1"/>
  <c r="BE1406" i="1" s="1" a="1"/>
  <c r="BE1406" i="1" s="1"/>
  <c r="AX1406" i="1"/>
  <c r="M1406" i="1"/>
  <c r="EM1405" i="1"/>
  <c r="EL1405" i="1"/>
  <c r="EK1405" i="1"/>
  <c r="DU1405" i="1"/>
  <c r="DT1405" i="1"/>
  <c r="DN1405" i="1"/>
  <c r="DM1405" i="1"/>
  <c r="DL1405" i="1"/>
  <c r="DK1405" i="1"/>
  <c r="DI1405" i="1"/>
  <c r="DJ1405" i="1" s="1"/>
  <c r="DC1405" i="1"/>
  <c r="CX1405" i="1"/>
  <c r="CN1405" i="1"/>
  <c r="CS1405" i="1" s="1"/>
  <c r="BY1405" i="1"/>
  <c r="EP1405" i="1" s="1"/>
  <c r="BV1405" i="1"/>
  <c r="BD1405" i="1"/>
  <c r="BC1405" i="1"/>
  <c r="BB1405" i="1"/>
  <c r="BA1405" i="1"/>
  <c r="AZ1405" i="1"/>
  <c r="BF1405" i="1" s="1" a="1"/>
  <c r="BF1405" i="1" s="1"/>
  <c r="AY1405" i="1"/>
  <c r="BE1405" i="1" s="1" a="1"/>
  <c r="BE1405" i="1" s="1"/>
  <c r="AX1405" i="1"/>
  <c r="M1405" i="1"/>
  <c r="EM1404" i="1"/>
  <c r="EL1404" i="1"/>
  <c r="EK1404" i="1"/>
  <c r="DU1404" i="1"/>
  <c r="DT1404" i="1"/>
  <c r="DN1404" i="1"/>
  <c r="DM1404" i="1"/>
  <c r="DL1404" i="1"/>
  <c r="DK1404" i="1"/>
  <c r="DI1404" i="1"/>
  <c r="DJ1404" i="1" s="1"/>
  <c r="DC1404" i="1"/>
  <c r="CX1404" i="1"/>
  <c r="CN1404" i="1"/>
  <c r="CT1404" i="1" s="1"/>
  <c r="CU1404" i="1" s="1"/>
  <c r="BY1404" i="1"/>
  <c r="EP1404" i="1" s="1"/>
  <c r="BV1404" i="1"/>
  <c r="BD1404" i="1"/>
  <c r="BC1404" i="1"/>
  <c r="BB1404" i="1"/>
  <c r="BA1404" i="1"/>
  <c r="AZ1404" i="1"/>
  <c r="BF1404" i="1" s="1" a="1"/>
  <c r="BF1404" i="1" s="1"/>
  <c r="AY1404" i="1"/>
  <c r="BE1404" i="1" s="1" a="1"/>
  <c r="BE1404" i="1" s="1"/>
  <c r="AX1404" i="1"/>
  <c r="M1404" i="1"/>
  <c r="EM1403" i="1"/>
  <c r="EL1403" i="1"/>
  <c r="EK1403" i="1"/>
  <c r="DU1403" i="1"/>
  <c r="DT1403" i="1"/>
  <c r="DN1403" i="1"/>
  <c r="DM1403" i="1"/>
  <c r="DL1403" i="1"/>
  <c r="DK1403" i="1"/>
  <c r="DI1403" i="1"/>
  <c r="DJ1403" i="1" s="1"/>
  <c r="DC1403" i="1"/>
  <c r="CX1403" i="1"/>
  <c r="CN1403" i="1"/>
  <c r="CT1403" i="1" s="1"/>
  <c r="CU1403" i="1" s="1"/>
  <c r="BY1403" i="1"/>
  <c r="EP1403" i="1" s="1"/>
  <c r="BV1403" i="1"/>
  <c r="BD1403" i="1"/>
  <c r="BC1403" i="1"/>
  <c r="BB1403" i="1"/>
  <c r="BA1403" i="1"/>
  <c r="AZ1403" i="1"/>
  <c r="BF1403" i="1" s="1" a="1"/>
  <c r="BF1403" i="1" s="1"/>
  <c r="AY1403" i="1"/>
  <c r="BE1403" i="1" s="1" a="1"/>
  <c r="BE1403" i="1" s="1"/>
  <c r="AX1403" i="1"/>
  <c r="M1403" i="1"/>
  <c r="EM1402" i="1"/>
  <c r="EL1402" i="1"/>
  <c r="EK1402" i="1"/>
  <c r="DU1402" i="1"/>
  <c r="DN1402" i="1"/>
  <c r="DM1402" i="1"/>
  <c r="DL1402" i="1"/>
  <c r="DK1402" i="1"/>
  <c r="DI1402" i="1"/>
  <c r="DJ1402" i="1" s="1"/>
  <c r="DC1402" i="1"/>
  <c r="CX1402" i="1"/>
  <c r="CN1402" i="1"/>
  <c r="BV1402" i="1"/>
  <c r="BX1402" i="1" s="1"/>
  <c r="BY1402" i="1" s="1"/>
  <c r="BU1402" i="1"/>
  <c r="BM1402" i="1"/>
  <c r="BD1402" i="1"/>
  <c r="BC1402" i="1"/>
  <c r="BB1402" i="1"/>
  <c r="BA1402" i="1"/>
  <c r="AZ1402" i="1"/>
  <c r="BF1402" i="1" s="1" a="1"/>
  <c r="BF1402" i="1" s="1"/>
  <c r="AY1402" i="1"/>
  <c r="BE1402" i="1" s="1" a="1"/>
  <c r="BE1402" i="1" s="1"/>
  <c r="AX1402" i="1"/>
  <c r="M1402" i="1"/>
  <c r="EM1401" i="1"/>
  <c r="EL1401" i="1"/>
  <c r="EK1401" i="1"/>
  <c r="DU1401" i="1"/>
  <c r="DN1401" i="1"/>
  <c r="DM1401" i="1"/>
  <c r="DL1401" i="1"/>
  <c r="DK1401" i="1"/>
  <c r="DI1401" i="1"/>
  <c r="DJ1401" i="1" s="1"/>
  <c r="DC1401" i="1"/>
  <c r="CX1401" i="1"/>
  <c r="CN1401" i="1"/>
  <c r="CS1401" i="1" s="1"/>
  <c r="BV1401" i="1"/>
  <c r="BX1401" i="1" s="1"/>
  <c r="BU1401" i="1"/>
  <c r="BM1401" i="1"/>
  <c r="BD1401" i="1"/>
  <c r="BC1401" i="1"/>
  <c r="BB1401" i="1"/>
  <c r="BA1401" i="1"/>
  <c r="AZ1401" i="1"/>
  <c r="BF1401" i="1" s="1" a="1"/>
  <c r="BF1401" i="1" s="1"/>
  <c r="AY1401" i="1"/>
  <c r="BE1401" i="1" s="1" a="1"/>
  <c r="BE1401" i="1" s="1"/>
  <c r="AX1401" i="1"/>
  <c r="M1401" i="1"/>
  <c r="EM1400" i="1"/>
  <c r="EL1400" i="1"/>
  <c r="EK1400" i="1"/>
  <c r="DU1400" i="1"/>
  <c r="DN1400" i="1"/>
  <c r="DM1400" i="1"/>
  <c r="DL1400" i="1"/>
  <c r="DK1400" i="1"/>
  <c r="DI1400" i="1"/>
  <c r="DJ1400" i="1" s="1"/>
  <c r="DC1400" i="1"/>
  <c r="CX1400" i="1"/>
  <c r="CN1400" i="1"/>
  <c r="BV1400" i="1"/>
  <c r="BX1400" i="1" s="1"/>
  <c r="CT1400" i="1" s="1"/>
  <c r="CU1400" i="1" s="1"/>
  <c r="BU1400" i="1"/>
  <c r="BM1400" i="1"/>
  <c r="BD1400" i="1"/>
  <c r="BC1400" i="1"/>
  <c r="BB1400" i="1"/>
  <c r="BA1400" i="1"/>
  <c r="AZ1400" i="1"/>
  <c r="BF1400" i="1" s="1" a="1"/>
  <c r="BF1400" i="1" s="1"/>
  <c r="AY1400" i="1"/>
  <c r="BE1400" i="1" s="1" a="1"/>
  <c r="BE1400" i="1" s="1"/>
  <c r="AX1400" i="1"/>
  <c r="M1400" i="1"/>
  <c r="EM1399" i="1"/>
  <c r="EL1399" i="1"/>
  <c r="EK1399" i="1"/>
  <c r="DU1399" i="1"/>
  <c r="DN1399" i="1"/>
  <c r="DM1399" i="1"/>
  <c r="DL1399" i="1"/>
  <c r="DK1399" i="1"/>
  <c r="DI1399" i="1"/>
  <c r="DJ1399" i="1" s="1"/>
  <c r="DC1399" i="1"/>
  <c r="CX1399" i="1"/>
  <c r="CN1399" i="1"/>
  <c r="CR1399" i="1" s="1"/>
  <c r="CV1399" i="1" s="1"/>
  <c r="BV1399" i="1"/>
  <c r="BX1399" i="1" s="1"/>
  <c r="BY1399" i="1" s="1"/>
  <c r="BU1399" i="1"/>
  <c r="BM1399" i="1"/>
  <c r="BD1399" i="1"/>
  <c r="BC1399" i="1"/>
  <c r="BB1399" i="1"/>
  <c r="BA1399" i="1"/>
  <c r="AZ1399" i="1"/>
  <c r="BF1399" i="1" s="1" a="1"/>
  <c r="BF1399" i="1" s="1"/>
  <c r="AY1399" i="1"/>
  <c r="BE1399" i="1" s="1" a="1"/>
  <c r="BE1399" i="1" s="1"/>
  <c r="AX1399" i="1"/>
  <c r="M1399" i="1"/>
  <c r="EM1398" i="1"/>
  <c r="EL1398" i="1"/>
  <c r="EK1398" i="1"/>
  <c r="DU1398" i="1"/>
  <c r="DN1398" i="1"/>
  <c r="DM1398" i="1"/>
  <c r="DL1398" i="1"/>
  <c r="DK1398" i="1"/>
  <c r="DI1398" i="1"/>
  <c r="DJ1398" i="1" s="1"/>
  <c r="DC1398" i="1"/>
  <c r="CX1398" i="1"/>
  <c r="CN1398" i="1"/>
  <c r="CS1398" i="1" s="1"/>
  <c r="BV1398" i="1"/>
  <c r="BX1398" i="1" s="1"/>
  <c r="BY1398" i="1" s="1"/>
  <c r="BU1398" i="1"/>
  <c r="BM1398" i="1"/>
  <c r="BD1398" i="1"/>
  <c r="BC1398" i="1"/>
  <c r="BB1398" i="1"/>
  <c r="BA1398" i="1"/>
  <c r="AZ1398" i="1"/>
  <c r="BF1398" i="1" s="1" a="1"/>
  <c r="BF1398" i="1" s="1"/>
  <c r="AY1398" i="1"/>
  <c r="BE1398" i="1" s="1" a="1"/>
  <c r="BE1398" i="1" s="1"/>
  <c r="AX1398" i="1"/>
  <c r="M1398" i="1"/>
  <c r="EM1397" i="1"/>
  <c r="EL1397" i="1"/>
  <c r="EK1397" i="1"/>
  <c r="DU1397" i="1"/>
  <c r="DN1397" i="1"/>
  <c r="DM1397" i="1"/>
  <c r="DL1397" i="1"/>
  <c r="DK1397" i="1"/>
  <c r="DI1397" i="1"/>
  <c r="DJ1397" i="1" s="1"/>
  <c r="DC1397" i="1"/>
  <c r="CX1397" i="1"/>
  <c r="CN1397" i="1"/>
  <c r="BV1397" i="1"/>
  <c r="BX1397" i="1" s="1"/>
  <c r="BY1397" i="1" s="1"/>
  <c r="BU1397" i="1"/>
  <c r="BM1397" i="1"/>
  <c r="BD1397" i="1"/>
  <c r="BC1397" i="1"/>
  <c r="BB1397" i="1"/>
  <c r="BA1397" i="1"/>
  <c r="AZ1397" i="1"/>
  <c r="BF1397" i="1" s="1" a="1"/>
  <c r="BF1397" i="1" s="1"/>
  <c r="AY1397" i="1"/>
  <c r="BE1397" i="1" s="1" a="1"/>
  <c r="BE1397" i="1" s="1"/>
  <c r="AX1397" i="1"/>
  <c r="M1397" i="1"/>
  <c r="EM1396" i="1"/>
  <c r="EL1396" i="1"/>
  <c r="EK1396" i="1"/>
  <c r="DU1396" i="1"/>
  <c r="DN1396" i="1"/>
  <c r="DM1396" i="1"/>
  <c r="DL1396" i="1"/>
  <c r="DK1396" i="1"/>
  <c r="DI1396" i="1"/>
  <c r="DJ1396" i="1" s="1"/>
  <c r="DC1396" i="1"/>
  <c r="CX1396" i="1"/>
  <c r="CN1396" i="1"/>
  <c r="CS1396" i="1" s="1"/>
  <c r="BV1396" i="1"/>
  <c r="BX1396" i="1" s="1"/>
  <c r="BY1396" i="1" s="1"/>
  <c r="BU1396" i="1"/>
  <c r="BM1396" i="1"/>
  <c r="BD1396" i="1"/>
  <c r="BC1396" i="1"/>
  <c r="BB1396" i="1"/>
  <c r="BA1396" i="1"/>
  <c r="AZ1396" i="1"/>
  <c r="BF1396" i="1" s="1" a="1"/>
  <c r="BF1396" i="1" s="1"/>
  <c r="AY1396" i="1"/>
  <c r="BE1396" i="1" s="1" a="1"/>
  <c r="BE1396" i="1" s="1"/>
  <c r="AX1396" i="1"/>
  <c r="M1396" i="1"/>
  <c r="EM1395" i="1"/>
  <c r="EL1395" i="1"/>
  <c r="EK1395" i="1"/>
  <c r="DU1395" i="1"/>
  <c r="DN1395" i="1"/>
  <c r="DM1395" i="1"/>
  <c r="DL1395" i="1"/>
  <c r="DK1395" i="1"/>
  <c r="DI1395" i="1"/>
  <c r="DJ1395" i="1" s="1"/>
  <c r="DC1395" i="1"/>
  <c r="CX1395" i="1"/>
  <c r="CN1395" i="1"/>
  <c r="CS1395" i="1" s="1"/>
  <c r="BV1395" i="1"/>
  <c r="BX1395" i="1" s="1"/>
  <c r="BU1395" i="1"/>
  <c r="BM1395" i="1"/>
  <c r="BD1395" i="1"/>
  <c r="BC1395" i="1"/>
  <c r="BB1395" i="1"/>
  <c r="BA1395" i="1"/>
  <c r="AZ1395" i="1"/>
  <c r="BF1395" i="1" s="1" a="1"/>
  <c r="BF1395" i="1" s="1"/>
  <c r="AY1395" i="1"/>
  <c r="BE1395" i="1" s="1" a="1"/>
  <c r="BE1395" i="1" s="1"/>
  <c r="AX1395" i="1"/>
  <c r="M1395" i="1"/>
  <c r="EM1394" i="1"/>
  <c r="EL1394" i="1"/>
  <c r="EK1394" i="1"/>
  <c r="DU1394" i="1"/>
  <c r="DN1394" i="1"/>
  <c r="DM1394" i="1"/>
  <c r="DL1394" i="1"/>
  <c r="DK1394" i="1"/>
  <c r="DI1394" i="1"/>
  <c r="DJ1394" i="1" s="1"/>
  <c r="DC1394" i="1"/>
  <c r="CX1394" i="1"/>
  <c r="CN1394" i="1"/>
  <c r="CR1394" i="1" s="1"/>
  <c r="BV1394" i="1"/>
  <c r="BX1394" i="1" s="1"/>
  <c r="BY1394" i="1" s="1"/>
  <c r="BU1394" i="1"/>
  <c r="BM1394" i="1"/>
  <c r="BD1394" i="1"/>
  <c r="BC1394" i="1"/>
  <c r="BB1394" i="1"/>
  <c r="BA1394" i="1"/>
  <c r="AZ1394" i="1"/>
  <c r="BF1394" i="1" s="1" a="1"/>
  <c r="BF1394" i="1" s="1"/>
  <c r="AY1394" i="1"/>
  <c r="AX1394" i="1"/>
  <c r="M1394" i="1"/>
  <c r="EM1393" i="1"/>
  <c r="EL1393" i="1"/>
  <c r="EK1393" i="1"/>
  <c r="DU1393" i="1"/>
  <c r="DN1393" i="1"/>
  <c r="DM1393" i="1"/>
  <c r="DL1393" i="1"/>
  <c r="DK1393" i="1"/>
  <c r="DI1393" i="1"/>
  <c r="DJ1393" i="1" s="1"/>
  <c r="DC1393" i="1"/>
  <c r="CX1393" i="1"/>
  <c r="CN1393" i="1"/>
  <c r="CR1393" i="1" s="1"/>
  <c r="CV1393" i="1" s="1"/>
  <c r="BV1393" i="1"/>
  <c r="BX1393" i="1" s="1"/>
  <c r="BU1393" i="1"/>
  <c r="BM1393" i="1"/>
  <c r="BD1393" i="1"/>
  <c r="BC1393" i="1"/>
  <c r="BB1393" i="1"/>
  <c r="BA1393" i="1"/>
  <c r="AZ1393" i="1"/>
  <c r="BF1393" i="1" s="1" a="1"/>
  <c r="BF1393" i="1" s="1"/>
  <c r="AY1393" i="1"/>
  <c r="AX1393" i="1"/>
  <c r="M1393" i="1"/>
  <c r="EM1392" i="1"/>
  <c r="EL1392" i="1"/>
  <c r="EK1392" i="1"/>
  <c r="DU1392" i="1"/>
  <c r="DN1392" i="1"/>
  <c r="DM1392" i="1"/>
  <c r="DL1392" i="1"/>
  <c r="DK1392" i="1"/>
  <c r="DI1392" i="1"/>
  <c r="DJ1392" i="1" s="1"/>
  <c r="DC1392" i="1"/>
  <c r="CX1392" i="1"/>
  <c r="CN1392" i="1"/>
  <c r="BV1392" i="1"/>
  <c r="BX1392" i="1" s="1"/>
  <c r="BY1392" i="1" s="1"/>
  <c r="BU1392" i="1"/>
  <c r="BM1392" i="1"/>
  <c r="BD1392" i="1"/>
  <c r="BC1392" i="1"/>
  <c r="BB1392" i="1"/>
  <c r="BA1392" i="1"/>
  <c r="AZ1392" i="1"/>
  <c r="BF1392" i="1" s="1" a="1"/>
  <c r="BF1392" i="1" s="1"/>
  <c r="AY1392" i="1"/>
  <c r="AX1392" i="1"/>
  <c r="M1392" i="1"/>
  <c r="EM1391" i="1"/>
  <c r="EL1391" i="1"/>
  <c r="EK1391" i="1"/>
  <c r="DU1391" i="1"/>
  <c r="DN1391" i="1"/>
  <c r="DM1391" i="1"/>
  <c r="DL1391" i="1"/>
  <c r="DK1391" i="1"/>
  <c r="DJ1391" i="1"/>
  <c r="DI1391" i="1"/>
  <c r="DC1391" i="1"/>
  <c r="CX1391" i="1"/>
  <c r="CN1391" i="1"/>
  <c r="BV1391" i="1"/>
  <c r="BX1391" i="1" s="1"/>
  <c r="BY1391" i="1" s="1"/>
  <c r="BU1391" i="1"/>
  <c r="BM1391" i="1"/>
  <c r="BD1391" i="1"/>
  <c r="BC1391" i="1"/>
  <c r="BB1391" i="1"/>
  <c r="BA1391" i="1"/>
  <c r="AZ1391" i="1"/>
  <c r="BF1391" i="1" s="1" a="1"/>
  <c r="BF1391" i="1" s="1"/>
  <c r="AY1391" i="1"/>
  <c r="AX1391" i="1"/>
  <c r="M1391" i="1"/>
  <c r="EM1390" i="1"/>
  <c r="EL1390" i="1"/>
  <c r="EK1390" i="1"/>
  <c r="DU1390" i="1"/>
  <c r="DN1390" i="1"/>
  <c r="DM1390" i="1"/>
  <c r="DL1390" i="1"/>
  <c r="DK1390" i="1"/>
  <c r="DJ1390" i="1"/>
  <c r="DI1390" i="1"/>
  <c r="DC1390" i="1"/>
  <c r="CX1390" i="1"/>
  <c r="CN1390" i="1"/>
  <c r="BV1390" i="1"/>
  <c r="BX1390" i="1" s="1"/>
  <c r="BY1390" i="1" s="1"/>
  <c r="BU1390" i="1"/>
  <c r="BM1390" i="1"/>
  <c r="BD1390" i="1"/>
  <c r="BC1390" i="1"/>
  <c r="BB1390" i="1"/>
  <c r="BA1390" i="1"/>
  <c r="AZ1390" i="1"/>
  <c r="BF1390" i="1" s="1" a="1"/>
  <c r="BF1390" i="1" s="1"/>
  <c r="AY1390" i="1"/>
  <c r="AX1390" i="1"/>
  <c r="M1390" i="1"/>
  <c r="EM1389" i="1"/>
  <c r="EL1389" i="1"/>
  <c r="EK1389" i="1"/>
  <c r="DU1389" i="1"/>
  <c r="DN1389" i="1"/>
  <c r="DM1389" i="1"/>
  <c r="DL1389" i="1"/>
  <c r="DK1389" i="1"/>
  <c r="DI1389" i="1"/>
  <c r="DJ1389" i="1" s="1"/>
  <c r="DC1389" i="1"/>
  <c r="CX1389" i="1"/>
  <c r="CN1389" i="1"/>
  <c r="CS1389" i="1" s="1"/>
  <c r="BV1389" i="1"/>
  <c r="BX1389" i="1" s="1"/>
  <c r="BY1389" i="1" s="1"/>
  <c r="BU1389" i="1"/>
  <c r="BM1389" i="1"/>
  <c r="BD1389" i="1"/>
  <c r="BC1389" i="1"/>
  <c r="BB1389" i="1"/>
  <c r="BA1389" i="1"/>
  <c r="AZ1389" i="1"/>
  <c r="BF1389" i="1" s="1" a="1"/>
  <c r="BF1389" i="1" s="1"/>
  <c r="AY1389" i="1"/>
  <c r="AX1389" i="1"/>
  <c r="M1389" i="1"/>
  <c r="EM1388" i="1"/>
  <c r="EL1388" i="1"/>
  <c r="EK1388" i="1"/>
  <c r="DU1388" i="1"/>
  <c r="DN1388" i="1"/>
  <c r="DM1388" i="1"/>
  <c r="DL1388" i="1"/>
  <c r="DK1388" i="1"/>
  <c r="DI1388" i="1"/>
  <c r="DJ1388" i="1" s="1"/>
  <c r="DC1388" i="1"/>
  <c r="CX1388" i="1"/>
  <c r="CN1388" i="1"/>
  <c r="CS1388" i="1" s="1"/>
  <c r="BV1388" i="1"/>
  <c r="BX1388" i="1" s="1"/>
  <c r="BY1388" i="1" s="1"/>
  <c r="BU1388" i="1"/>
  <c r="BM1388" i="1"/>
  <c r="BD1388" i="1"/>
  <c r="BC1388" i="1"/>
  <c r="BB1388" i="1"/>
  <c r="BA1388" i="1"/>
  <c r="AZ1388" i="1"/>
  <c r="BF1388" i="1" s="1" a="1"/>
  <c r="BF1388" i="1" s="1"/>
  <c r="AY1388" i="1"/>
  <c r="AX1388" i="1"/>
  <c r="M1388" i="1"/>
  <c r="EM1387" i="1"/>
  <c r="EL1387" i="1"/>
  <c r="EK1387" i="1"/>
  <c r="DU1387" i="1"/>
  <c r="DN1387" i="1"/>
  <c r="DM1387" i="1"/>
  <c r="DL1387" i="1"/>
  <c r="DK1387" i="1"/>
  <c r="DI1387" i="1"/>
  <c r="DJ1387" i="1" s="1"/>
  <c r="DC1387" i="1"/>
  <c r="CX1387" i="1"/>
  <c r="CN1387" i="1"/>
  <c r="CS1387" i="1" s="1"/>
  <c r="BV1387" i="1"/>
  <c r="BX1387" i="1" s="1"/>
  <c r="BY1387" i="1" s="1"/>
  <c r="BU1387" i="1"/>
  <c r="BM1387" i="1"/>
  <c r="BD1387" i="1"/>
  <c r="BC1387" i="1"/>
  <c r="BB1387" i="1"/>
  <c r="BA1387" i="1"/>
  <c r="AZ1387" i="1"/>
  <c r="BF1387" i="1" s="1" a="1"/>
  <c r="BF1387" i="1" s="1"/>
  <c r="AY1387" i="1"/>
  <c r="AX1387" i="1"/>
  <c r="M1387" i="1"/>
  <c r="EM1386" i="1"/>
  <c r="EL1386" i="1"/>
  <c r="EK1386" i="1"/>
  <c r="DT1386" i="1"/>
  <c r="DN1386" i="1"/>
  <c r="DM1386" i="1"/>
  <c r="DL1386" i="1"/>
  <c r="DK1386" i="1"/>
  <c r="DJ1386" i="1"/>
  <c r="DC1386" i="1"/>
  <c r="CN1386" i="1"/>
  <c r="CT1386" i="1" s="1"/>
  <c r="BN1386" i="1"/>
  <c r="BO1386" i="1" s="1"/>
  <c r="BY1386" i="1" s="1"/>
  <c r="BD1386" i="1"/>
  <c r="BC1386" i="1"/>
  <c r="BB1386" i="1"/>
  <c r="BA1386" i="1"/>
  <c r="AZ1386" i="1"/>
  <c r="BF1386" i="1" s="1" a="1"/>
  <c r="BF1386" i="1" s="1"/>
  <c r="AY1386" i="1"/>
  <c r="AX1386" i="1"/>
  <c r="M1386" i="1"/>
  <c r="EM1385" i="1"/>
  <c r="EL1385" i="1"/>
  <c r="EK1385" i="1"/>
  <c r="DT1385" i="1"/>
  <c r="DN1385" i="1"/>
  <c r="DM1385" i="1"/>
  <c r="DL1385" i="1"/>
  <c r="DK1385" i="1"/>
  <c r="DJ1385" i="1"/>
  <c r="DC1385" i="1"/>
  <c r="CN1385" i="1"/>
  <c r="BN1385" i="1"/>
  <c r="BO1385" i="1" s="1"/>
  <c r="BY1385" i="1" s="1"/>
  <c r="BD1385" i="1"/>
  <c r="BC1385" i="1"/>
  <c r="BB1385" i="1"/>
  <c r="BA1385" i="1"/>
  <c r="AZ1385" i="1"/>
  <c r="BF1385" i="1" s="1" a="1"/>
  <c r="BF1385" i="1" s="1"/>
  <c r="AY1385" i="1"/>
  <c r="AX1385" i="1"/>
  <c r="M1385" i="1"/>
  <c r="EM1384" i="1"/>
  <c r="EL1384" i="1"/>
  <c r="EK1384" i="1"/>
  <c r="DT1384" i="1"/>
  <c r="DN1384" i="1"/>
  <c r="DM1384" i="1"/>
  <c r="DL1384" i="1"/>
  <c r="DK1384" i="1"/>
  <c r="DJ1384" i="1"/>
  <c r="DC1384" i="1"/>
  <c r="CN1384" i="1"/>
  <c r="BN1384" i="1"/>
  <c r="BO1384" i="1" s="1"/>
  <c r="BD1384" i="1"/>
  <c r="BC1384" i="1"/>
  <c r="BB1384" i="1"/>
  <c r="BA1384" i="1"/>
  <c r="AZ1384" i="1"/>
  <c r="BF1384" i="1" s="1" a="1"/>
  <c r="BF1384" i="1" s="1"/>
  <c r="AY1384" i="1"/>
  <c r="AX1384" i="1"/>
  <c r="M1384" i="1"/>
  <c r="EM1383" i="1"/>
  <c r="EL1383" i="1"/>
  <c r="EK1383" i="1"/>
  <c r="DT1383" i="1"/>
  <c r="DN1383" i="1"/>
  <c r="DM1383" i="1"/>
  <c r="DL1383" i="1"/>
  <c r="DK1383" i="1"/>
  <c r="DJ1383" i="1"/>
  <c r="DC1383" i="1"/>
  <c r="CT1383" i="1"/>
  <c r="CN1383" i="1"/>
  <c r="CR1383" i="1" s="1"/>
  <c r="BN1383" i="1"/>
  <c r="BO1383" i="1" s="1"/>
  <c r="BY1383" i="1" s="1"/>
  <c r="BD1383" i="1"/>
  <c r="BC1383" i="1"/>
  <c r="BB1383" i="1"/>
  <c r="BA1383" i="1"/>
  <c r="AZ1383" i="1"/>
  <c r="BF1383" i="1" s="1" a="1"/>
  <c r="BF1383" i="1" s="1"/>
  <c r="AY1383" i="1"/>
  <c r="AX1383" i="1"/>
  <c r="M1383" i="1"/>
  <c r="EM1382" i="1"/>
  <c r="EL1382" i="1"/>
  <c r="EK1382" i="1"/>
  <c r="DT1382" i="1"/>
  <c r="DN1382" i="1"/>
  <c r="DM1382" i="1"/>
  <c r="DL1382" i="1"/>
  <c r="DK1382" i="1"/>
  <c r="DJ1382" i="1"/>
  <c r="DC1382" i="1"/>
  <c r="CX1382" i="1"/>
  <c r="CN1382" i="1"/>
  <c r="CO1382" i="1" s="1"/>
  <c r="BN1382" i="1"/>
  <c r="BO1382" i="1" s="1"/>
  <c r="BD1382" i="1"/>
  <c r="BC1382" i="1"/>
  <c r="BB1382" i="1"/>
  <c r="BA1382" i="1"/>
  <c r="AZ1382" i="1"/>
  <c r="BF1382" i="1" s="1" a="1"/>
  <c r="BF1382" i="1" s="1"/>
  <c r="AY1382" i="1"/>
  <c r="AX1382" i="1"/>
  <c r="M1382" i="1"/>
  <c r="EM1381" i="1"/>
  <c r="EL1381" i="1"/>
  <c r="EK1381" i="1"/>
  <c r="DT1381" i="1"/>
  <c r="DN1381" i="1"/>
  <c r="DM1381" i="1"/>
  <c r="DL1381" i="1"/>
  <c r="DK1381" i="1"/>
  <c r="DJ1381" i="1"/>
  <c r="DC1381" i="1"/>
  <c r="CX1381" i="1"/>
  <c r="CN1381" i="1"/>
  <c r="CP1381" i="1" s="1"/>
  <c r="BN1381" i="1"/>
  <c r="BO1381" i="1" s="1"/>
  <c r="BY1381" i="1" s="1"/>
  <c r="BD1381" i="1"/>
  <c r="BC1381" i="1"/>
  <c r="BB1381" i="1"/>
  <c r="BA1381" i="1"/>
  <c r="AZ1381" i="1"/>
  <c r="BF1381" i="1" s="1" a="1"/>
  <c r="BF1381" i="1" s="1"/>
  <c r="AY1381" i="1"/>
  <c r="AX1381" i="1"/>
  <c r="M1381" i="1"/>
  <c r="EM1380" i="1"/>
  <c r="EL1380" i="1"/>
  <c r="EK1380" i="1"/>
  <c r="DT1380" i="1"/>
  <c r="DN1380" i="1"/>
  <c r="DM1380" i="1"/>
  <c r="DL1380" i="1"/>
  <c r="DK1380" i="1"/>
  <c r="DJ1380" i="1"/>
  <c r="DC1380" i="1"/>
  <c r="CX1380" i="1"/>
  <c r="CN1380" i="1"/>
  <c r="CO1380" i="1" s="1"/>
  <c r="BN1380" i="1"/>
  <c r="BO1380" i="1" s="1"/>
  <c r="BD1380" i="1"/>
  <c r="BC1380" i="1"/>
  <c r="BB1380" i="1"/>
  <c r="BA1380" i="1"/>
  <c r="AZ1380" i="1"/>
  <c r="BF1380" i="1" s="1" a="1"/>
  <c r="BF1380" i="1" s="1"/>
  <c r="AY1380" i="1"/>
  <c r="BE1380" i="1" s="1" a="1"/>
  <c r="BE1380" i="1" s="1"/>
  <c r="AX1380" i="1"/>
  <c r="M1380" i="1"/>
  <c r="EM1379" i="1"/>
  <c r="EL1379" i="1"/>
  <c r="EK1379" i="1"/>
  <c r="DT1379" i="1"/>
  <c r="DN1379" i="1"/>
  <c r="DM1379" i="1"/>
  <c r="DL1379" i="1"/>
  <c r="DK1379" i="1"/>
  <c r="DJ1379" i="1"/>
  <c r="DC1379" i="1"/>
  <c r="CX1379" i="1"/>
  <c r="CN1379" i="1"/>
  <c r="CR1379" i="1" s="1"/>
  <c r="BN1379" i="1"/>
  <c r="BO1379" i="1" s="1"/>
  <c r="BY1379" i="1" s="1"/>
  <c r="BE1379" i="1" a="1"/>
  <c r="BE1379" i="1" s="1"/>
  <c r="BD1379" i="1"/>
  <c r="BC1379" i="1"/>
  <c r="BB1379" i="1"/>
  <c r="BA1379" i="1"/>
  <c r="AZ1379" i="1"/>
  <c r="BF1379" i="1" s="1" a="1"/>
  <c r="BF1379" i="1" s="1"/>
  <c r="AY1379" i="1"/>
  <c r="AX1379" i="1"/>
  <c r="M1379" i="1"/>
  <c r="EM1378" i="1"/>
  <c r="EL1378" i="1"/>
  <c r="EK1378" i="1"/>
  <c r="DT1378" i="1"/>
  <c r="DN1378" i="1"/>
  <c r="DM1378" i="1"/>
  <c r="DL1378" i="1"/>
  <c r="DK1378" i="1"/>
  <c r="DJ1378" i="1"/>
  <c r="DC1378" i="1"/>
  <c r="CX1378" i="1"/>
  <c r="CN1378" i="1"/>
  <c r="CS1378" i="1" s="1"/>
  <c r="BY1378" i="1"/>
  <c r="BD1378" i="1"/>
  <c r="BC1378" i="1"/>
  <c r="BB1378" i="1"/>
  <c r="BA1378" i="1"/>
  <c r="AZ1378" i="1"/>
  <c r="BF1378" i="1" s="1" a="1"/>
  <c r="BF1378" i="1" s="1"/>
  <c r="AY1378" i="1"/>
  <c r="BE1378" i="1" s="1" a="1"/>
  <c r="BE1378" i="1" s="1"/>
  <c r="AX1378" i="1"/>
  <c r="M1378" i="1"/>
  <c r="EM1377" i="1"/>
  <c r="EL1377" i="1"/>
  <c r="EK1377" i="1"/>
  <c r="DU1377" i="1"/>
  <c r="DT1377" i="1"/>
  <c r="DN1377" i="1"/>
  <c r="DM1377" i="1"/>
  <c r="DL1377" i="1"/>
  <c r="DK1377" i="1"/>
  <c r="DI1377" i="1"/>
  <c r="DJ1377" i="1" s="1"/>
  <c r="DB1377" i="1"/>
  <c r="DC1377" i="1" s="1"/>
  <c r="CX1377" i="1"/>
  <c r="CN1377" i="1"/>
  <c r="CS1377" i="1" s="1"/>
  <c r="BX1377" i="1"/>
  <c r="BY1377" i="1" s="1"/>
  <c r="BD1377" i="1"/>
  <c r="BC1377" i="1"/>
  <c r="BB1377" i="1"/>
  <c r="BA1377" i="1"/>
  <c r="AZ1377" i="1"/>
  <c r="BF1377" i="1" s="1" a="1"/>
  <c r="BF1377" i="1" s="1"/>
  <c r="AY1377" i="1"/>
  <c r="BE1377" i="1" s="1" a="1"/>
  <c r="BE1377" i="1" s="1"/>
  <c r="AX1377" i="1"/>
  <c r="M1377" i="1"/>
  <c r="EM1376" i="1"/>
  <c r="EL1376" i="1"/>
  <c r="EK1376" i="1"/>
  <c r="DU1376" i="1"/>
  <c r="DT1376" i="1"/>
  <c r="DN1376" i="1"/>
  <c r="DM1376" i="1"/>
  <c r="DL1376" i="1"/>
  <c r="DK1376" i="1"/>
  <c r="DI1376" i="1"/>
  <c r="DJ1376" i="1" s="1"/>
  <c r="DB1376" i="1"/>
  <c r="DC1376" i="1" s="1"/>
  <c r="CX1376" i="1"/>
  <c r="CN1376" i="1"/>
  <c r="CS1376" i="1" s="1"/>
  <c r="BX1376" i="1"/>
  <c r="BY1376" i="1" s="1"/>
  <c r="BD1376" i="1"/>
  <c r="BC1376" i="1"/>
  <c r="BB1376" i="1"/>
  <c r="BA1376" i="1"/>
  <c r="AZ1376" i="1"/>
  <c r="BF1376" i="1" s="1" a="1"/>
  <c r="BF1376" i="1" s="1"/>
  <c r="AY1376" i="1"/>
  <c r="BE1376" i="1" s="1" a="1"/>
  <c r="BE1376" i="1" s="1"/>
  <c r="AX1376" i="1"/>
  <c r="M1376" i="1"/>
  <c r="EM1375" i="1"/>
  <c r="EL1375" i="1"/>
  <c r="EK1375" i="1"/>
  <c r="DU1375" i="1"/>
  <c r="DT1375" i="1"/>
  <c r="DN1375" i="1"/>
  <c r="DM1375" i="1"/>
  <c r="DL1375" i="1"/>
  <c r="DK1375" i="1"/>
  <c r="DI1375" i="1"/>
  <c r="DJ1375" i="1" s="1"/>
  <c r="DB1375" i="1"/>
  <c r="DC1375" i="1" s="1"/>
  <c r="CX1375" i="1"/>
  <c r="CN1375" i="1"/>
  <c r="CS1375" i="1" s="1"/>
  <c r="BV1375" i="1"/>
  <c r="BX1375" i="1" s="1"/>
  <c r="BY1375" i="1" s="1"/>
  <c r="BU1375" i="1"/>
  <c r="BD1375" i="1"/>
  <c r="BC1375" i="1"/>
  <c r="BB1375" i="1"/>
  <c r="BA1375" i="1"/>
  <c r="AZ1375" i="1"/>
  <c r="BF1375" i="1" s="1" a="1"/>
  <c r="BF1375" i="1" s="1"/>
  <c r="AY1375" i="1"/>
  <c r="BE1375" i="1" s="1" a="1"/>
  <c r="BE1375" i="1" s="1"/>
  <c r="AX1375" i="1"/>
  <c r="M1375" i="1"/>
  <c r="EM1374" i="1"/>
  <c r="EL1374" i="1"/>
  <c r="EK1374" i="1"/>
  <c r="DU1374" i="1"/>
  <c r="DT1374" i="1"/>
  <c r="DN1374" i="1"/>
  <c r="DM1374" i="1"/>
  <c r="DL1374" i="1"/>
  <c r="DK1374" i="1"/>
  <c r="DI1374" i="1"/>
  <c r="DJ1374" i="1" s="1"/>
  <c r="DB1374" i="1"/>
  <c r="DC1374" i="1" s="1"/>
  <c r="CX1374" i="1"/>
  <c r="CN1374" i="1"/>
  <c r="BV1374" i="1"/>
  <c r="BX1374" i="1" s="1"/>
  <c r="BY1374" i="1" s="1"/>
  <c r="BU1374" i="1"/>
  <c r="BD1374" i="1"/>
  <c r="BC1374" i="1"/>
  <c r="BB1374" i="1"/>
  <c r="BA1374" i="1"/>
  <c r="AZ1374" i="1"/>
  <c r="BF1374" i="1" s="1" a="1"/>
  <c r="BF1374" i="1" s="1"/>
  <c r="AY1374" i="1"/>
  <c r="BE1374" i="1" s="1" a="1"/>
  <c r="BE1374" i="1" s="1"/>
  <c r="AX1374" i="1"/>
  <c r="M1374" i="1"/>
  <c r="EM1373" i="1"/>
  <c r="EL1373" i="1"/>
  <c r="EK1373" i="1"/>
  <c r="DU1373" i="1"/>
  <c r="DT1373" i="1"/>
  <c r="DN1373" i="1"/>
  <c r="DM1373" i="1"/>
  <c r="DL1373" i="1"/>
  <c r="DK1373" i="1"/>
  <c r="DI1373" i="1"/>
  <c r="DJ1373" i="1" s="1"/>
  <c r="DC1373" i="1"/>
  <c r="CX1373" i="1"/>
  <c r="CN1373" i="1"/>
  <c r="BY1373" i="1"/>
  <c r="BD1373" i="1"/>
  <c r="BC1373" i="1"/>
  <c r="BB1373" i="1"/>
  <c r="BA1373" i="1"/>
  <c r="AZ1373" i="1"/>
  <c r="BF1373" i="1" s="1" a="1"/>
  <c r="BF1373" i="1" s="1"/>
  <c r="AY1373" i="1"/>
  <c r="BE1373" i="1" s="1" a="1"/>
  <c r="BE1373" i="1" s="1"/>
  <c r="AX1373" i="1"/>
  <c r="M1373" i="1"/>
  <c r="EM1372" i="1"/>
  <c r="EL1372" i="1"/>
  <c r="EK1372" i="1"/>
  <c r="DU1372" i="1"/>
  <c r="DT1372" i="1"/>
  <c r="DN1372" i="1"/>
  <c r="DM1372" i="1"/>
  <c r="DL1372" i="1"/>
  <c r="DK1372" i="1"/>
  <c r="DI1372" i="1"/>
  <c r="DJ1372" i="1" s="1"/>
  <c r="DC1372" i="1"/>
  <c r="CX1372" i="1"/>
  <c r="CN1372" i="1"/>
  <c r="CS1372" i="1" s="1"/>
  <c r="BY1372" i="1"/>
  <c r="BE1372" i="1" a="1"/>
  <c r="BE1372" i="1" s="1"/>
  <c r="BD1372" i="1"/>
  <c r="BC1372" i="1"/>
  <c r="BB1372" i="1"/>
  <c r="BA1372" i="1"/>
  <c r="AZ1372" i="1"/>
  <c r="BF1372" i="1" s="1" a="1"/>
  <c r="BF1372" i="1" s="1"/>
  <c r="AY1372" i="1"/>
  <c r="AX1372" i="1"/>
  <c r="M1372" i="1"/>
  <c r="EM1371" i="1"/>
  <c r="EL1371" i="1"/>
  <c r="EK1371" i="1"/>
  <c r="DU1371" i="1"/>
  <c r="DT1371" i="1"/>
  <c r="DN1371" i="1"/>
  <c r="DM1371" i="1"/>
  <c r="DL1371" i="1"/>
  <c r="DK1371" i="1"/>
  <c r="DI1371" i="1"/>
  <c r="DJ1371" i="1" s="1"/>
  <c r="DC1371" i="1"/>
  <c r="CX1371" i="1"/>
  <c r="CN1371" i="1"/>
  <c r="BY1371" i="1"/>
  <c r="BD1371" i="1"/>
  <c r="BC1371" i="1"/>
  <c r="BB1371" i="1"/>
  <c r="BA1371" i="1"/>
  <c r="AZ1371" i="1"/>
  <c r="BF1371" i="1" s="1" a="1"/>
  <c r="BF1371" i="1" s="1"/>
  <c r="AY1371" i="1"/>
  <c r="BE1371" i="1" s="1" a="1"/>
  <c r="BE1371" i="1" s="1"/>
  <c r="AX1371" i="1"/>
  <c r="M1371" i="1"/>
  <c r="EM1370" i="1"/>
  <c r="EL1370" i="1"/>
  <c r="EK1370" i="1"/>
  <c r="DU1370" i="1"/>
  <c r="DT1370" i="1"/>
  <c r="DN1370" i="1"/>
  <c r="DM1370" i="1"/>
  <c r="DL1370" i="1"/>
  <c r="DK1370" i="1"/>
  <c r="DI1370" i="1"/>
  <c r="DJ1370" i="1" s="1"/>
  <c r="DC1370" i="1"/>
  <c r="CX1370" i="1"/>
  <c r="CN1370" i="1"/>
  <c r="CT1370" i="1" s="1"/>
  <c r="CU1370" i="1" s="1"/>
  <c r="BY1370" i="1"/>
  <c r="BD1370" i="1"/>
  <c r="BC1370" i="1"/>
  <c r="BB1370" i="1"/>
  <c r="BA1370" i="1"/>
  <c r="AZ1370" i="1"/>
  <c r="BF1370" i="1" s="1" a="1"/>
  <c r="BF1370" i="1" s="1"/>
  <c r="AY1370" i="1"/>
  <c r="BE1370" i="1" s="1" a="1"/>
  <c r="BE1370" i="1" s="1"/>
  <c r="AX1370" i="1"/>
  <c r="M1370" i="1"/>
  <c r="EM1369" i="1"/>
  <c r="EL1369" i="1"/>
  <c r="EK1369" i="1"/>
  <c r="DU1369" i="1"/>
  <c r="DT1369" i="1"/>
  <c r="DN1369" i="1"/>
  <c r="DM1369" i="1"/>
  <c r="DL1369" i="1"/>
  <c r="DK1369" i="1"/>
  <c r="DI1369" i="1"/>
  <c r="DJ1369" i="1" s="1"/>
  <c r="DC1369" i="1"/>
  <c r="CX1369" i="1"/>
  <c r="CN1369" i="1"/>
  <c r="CS1369" i="1" s="1"/>
  <c r="BY1369" i="1"/>
  <c r="BD1369" i="1"/>
  <c r="BC1369" i="1"/>
  <c r="BB1369" i="1"/>
  <c r="BA1369" i="1"/>
  <c r="AZ1369" i="1"/>
  <c r="BF1369" i="1" s="1" a="1"/>
  <c r="BF1369" i="1" s="1"/>
  <c r="AY1369" i="1"/>
  <c r="BE1369" i="1" s="1" a="1"/>
  <c r="BE1369" i="1" s="1"/>
  <c r="AX1369" i="1"/>
  <c r="M1369" i="1"/>
  <c r="EM1368" i="1"/>
  <c r="EL1368" i="1"/>
  <c r="EK1368" i="1"/>
  <c r="DU1368" i="1"/>
  <c r="DT1368" i="1"/>
  <c r="DN1368" i="1"/>
  <c r="DM1368" i="1"/>
  <c r="DL1368" i="1"/>
  <c r="DK1368" i="1"/>
  <c r="DI1368" i="1"/>
  <c r="DJ1368" i="1" s="1"/>
  <c r="DC1368" i="1"/>
  <c r="CX1368" i="1"/>
  <c r="CN1368" i="1"/>
  <c r="CR1368" i="1" s="1"/>
  <c r="BY1368" i="1"/>
  <c r="BD1368" i="1"/>
  <c r="BC1368" i="1"/>
  <c r="BB1368" i="1"/>
  <c r="BA1368" i="1"/>
  <c r="AZ1368" i="1"/>
  <c r="BF1368" i="1" s="1" a="1"/>
  <c r="BF1368" i="1" s="1"/>
  <c r="AY1368" i="1"/>
  <c r="BE1368" i="1" s="1" a="1"/>
  <c r="BE1368" i="1" s="1"/>
  <c r="AX1368" i="1"/>
  <c r="M1368" i="1"/>
  <c r="EM1367" i="1"/>
  <c r="EL1367" i="1"/>
  <c r="EK1367" i="1"/>
  <c r="DU1367" i="1"/>
  <c r="DT1367" i="1"/>
  <c r="DN1367" i="1"/>
  <c r="DM1367" i="1"/>
  <c r="DL1367" i="1"/>
  <c r="DK1367" i="1"/>
  <c r="DI1367" i="1"/>
  <c r="DJ1367" i="1" s="1"/>
  <c r="DC1367" i="1"/>
  <c r="CX1367" i="1"/>
  <c r="CN1367" i="1"/>
  <c r="CS1367" i="1" s="1"/>
  <c r="BY1367" i="1"/>
  <c r="BD1367" i="1"/>
  <c r="BC1367" i="1"/>
  <c r="BB1367" i="1"/>
  <c r="BA1367" i="1"/>
  <c r="AZ1367" i="1"/>
  <c r="BF1367" i="1" s="1" a="1"/>
  <c r="BF1367" i="1" s="1"/>
  <c r="AY1367" i="1"/>
  <c r="BE1367" i="1" s="1" a="1"/>
  <c r="BE1367" i="1" s="1"/>
  <c r="AX1367" i="1"/>
  <c r="M1367" i="1"/>
  <c r="EM1366" i="1"/>
  <c r="EL1366" i="1"/>
  <c r="EK1366" i="1"/>
  <c r="DU1366" i="1"/>
  <c r="DT1366" i="1"/>
  <c r="DN1366" i="1"/>
  <c r="DM1366" i="1"/>
  <c r="DL1366" i="1"/>
  <c r="DK1366" i="1"/>
  <c r="DI1366" i="1"/>
  <c r="DJ1366" i="1" s="1"/>
  <c r="DC1366" i="1"/>
  <c r="CX1366" i="1"/>
  <c r="CN1366" i="1"/>
  <c r="CS1366" i="1" s="1"/>
  <c r="BY1366" i="1"/>
  <c r="BD1366" i="1"/>
  <c r="BC1366" i="1"/>
  <c r="BB1366" i="1"/>
  <c r="BA1366" i="1"/>
  <c r="AZ1366" i="1"/>
  <c r="BF1366" i="1" s="1" a="1"/>
  <c r="BF1366" i="1" s="1"/>
  <c r="AY1366" i="1"/>
  <c r="BE1366" i="1" s="1" a="1"/>
  <c r="BE1366" i="1" s="1"/>
  <c r="AX1366" i="1"/>
  <c r="M1366" i="1"/>
  <c r="EM1365" i="1"/>
  <c r="EL1365" i="1"/>
  <c r="EK1365" i="1"/>
  <c r="DU1365" i="1"/>
  <c r="DT1365" i="1"/>
  <c r="DN1365" i="1"/>
  <c r="DM1365" i="1"/>
  <c r="DL1365" i="1"/>
  <c r="DK1365" i="1"/>
  <c r="DI1365" i="1"/>
  <c r="DJ1365" i="1" s="1"/>
  <c r="DC1365" i="1"/>
  <c r="CX1365" i="1"/>
  <c r="CN1365" i="1"/>
  <c r="CS1365" i="1" s="1"/>
  <c r="BV1365" i="1"/>
  <c r="BX1365" i="1" s="1"/>
  <c r="BY1365" i="1" s="1"/>
  <c r="BD1365" i="1"/>
  <c r="BC1365" i="1"/>
  <c r="BB1365" i="1"/>
  <c r="BA1365" i="1"/>
  <c r="AZ1365" i="1"/>
  <c r="BF1365" i="1" s="1" a="1"/>
  <c r="BF1365" i="1" s="1"/>
  <c r="AY1365" i="1"/>
  <c r="BE1365" i="1" s="1" a="1"/>
  <c r="BE1365" i="1" s="1"/>
  <c r="AX1365" i="1"/>
  <c r="M1365" i="1"/>
  <c r="EM1364" i="1"/>
  <c r="EL1364" i="1"/>
  <c r="EK1364" i="1"/>
  <c r="DU1364" i="1"/>
  <c r="DT1364" i="1"/>
  <c r="DN1364" i="1"/>
  <c r="DM1364" i="1"/>
  <c r="DL1364" i="1"/>
  <c r="DK1364" i="1"/>
  <c r="DI1364" i="1"/>
  <c r="DJ1364" i="1" s="1"/>
  <c r="DC1364" i="1"/>
  <c r="CX1364" i="1"/>
  <c r="CN1364" i="1"/>
  <c r="CS1364" i="1" s="1"/>
  <c r="BV1364" i="1"/>
  <c r="BX1364" i="1" s="1"/>
  <c r="BY1364" i="1" s="1"/>
  <c r="BD1364" i="1"/>
  <c r="BC1364" i="1"/>
  <c r="BB1364" i="1"/>
  <c r="BA1364" i="1"/>
  <c r="AZ1364" i="1"/>
  <c r="BF1364" i="1" s="1" a="1"/>
  <c r="BF1364" i="1" s="1"/>
  <c r="AY1364" i="1"/>
  <c r="BE1364" i="1" s="1" a="1"/>
  <c r="BE1364" i="1" s="1"/>
  <c r="AX1364" i="1"/>
  <c r="M1364" i="1"/>
  <c r="EM1363" i="1"/>
  <c r="EL1363" i="1"/>
  <c r="EK1363" i="1"/>
  <c r="DU1363" i="1"/>
  <c r="DN1363" i="1"/>
  <c r="DM1363" i="1"/>
  <c r="DL1363" i="1"/>
  <c r="DK1363" i="1"/>
  <c r="DI1363" i="1"/>
  <c r="DJ1363" i="1" s="1"/>
  <c r="DC1363" i="1"/>
  <c r="CX1363" i="1"/>
  <c r="CN1363" i="1"/>
  <c r="CR1363" i="1" s="1"/>
  <c r="BV1363" i="1"/>
  <c r="BX1363" i="1" s="1"/>
  <c r="BY1363" i="1" s="1"/>
  <c r="BU1363" i="1"/>
  <c r="BM1363" i="1"/>
  <c r="BD1363" i="1"/>
  <c r="BC1363" i="1"/>
  <c r="BB1363" i="1"/>
  <c r="BA1363" i="1"/>
  <c r="AZ1363" i="1"/>
  <c r="BF1363" i="1" s="1" a="1"/>
  <c r="BF1363" i="1" s="1"/>
  <c r="AY1363" i="1"/>
  <c r="BE1363" i="1" s="1" a="1"/>
  <c r="BE1363" i="1" s="1"/>
  <c r="AX1363" i="1"/>
  <c r="M1363" i="1"/>
  <c r="EM1362" i="1"/>
  <c r="EL1362" i="1"/>
  <c r="EK1362" i="1"/>
  <c r="DU1362" i="1"/>
  <c r="DN1362" i="1"/>
  <c r="DM1362" i="1"/>
  <c r="DL1362" i="1"/>
  <c r="DK1362" i="1"/>
  <c r="DI1362" i="1"/>
  <c r="DJ1362" i="1" s="1"/>
  <c r="DC1362" i="1"/>
  <c r="CX1362" i="1"/>
  <c r="CN1362" i="1"/>
  <c r="BV1362" i="1"/>
  <c r="BX1362" i="1" s="1"/>
  <c r="BU1362" i="1"/>
  <c r="BM1362" i="1"/>
  <c r="BD1362" i="1"/>
  <c r="BC1362" i="1"/>
  <c r="BB1362" i="1"/>
  <c r="BA1362" i="1"/>
  <c r="AZ1362" i="1"/>
  <c r="BF1362" i="1" s="1" a="1"/>
  <c r="BF1362" i="1" s="1"/>
  <c r="AY1362" i="1"/>
  <c r="BE1362" i="1" s="1" a="1"/>
  <c r="BE1362" i="1" s="1"/>
  <c r="AX1362" i="1"/>
  <c r="M1362" i="1"/>
  <c r="EM1361" i="1"/>
  <c r="EL1361" i="1"/>
  <c r="EK1361" i="1"/>
  <c r="DU1361" i="1"/>
  <c r="DN1361" i="1"/>
  <c r="DM1361" i="1"/>
  <c r="DL1361" i="1"/>
  <c r="DK1361" i="1"/>
  <c r="DI1361" i="1"/>
  <c r="DJ1361" i="1" s="1"/>
  <c r="DC1361" i="1"/>
  <c r="CX1361" i="1"/>
  <c r="CN1361" i="1"/>
  <c r="CR1361" i="1" s="1"/>
  <c r="BV1361" i="1"/>
  <c r="BX1361" i="1" s="1"/>
  <c r="BY1361" i="1" s="1"/>
  <c r="BU1361" i="1"/>
  <c r="BM1361" i="1"/>
  <c r="BD1361" i="1"/>
  <c r="BC1361" i="1"/>
  <c r="BB1361" i="1"/>
  <c r="BA1361" i="1"/>
  <c r="AZ1361" i="1"/>
  <c r="BF1361" i="1" s="1" a="1"/>
  <c r="BF1361" i="1" s="1"/>
  <c r="AY1361" i="1"/>
  <c r="BE1361" i="1" s="1" a="1"/>
  <c r="BE1361" i="1" s="1"/>
  <c r="AX1361" i="1"/>
  <c r="M1361" i="1"/>
  <c r="EM1360" i="1"/>
  <c r="EL1360" i="1"/>
  <c r="EK1360" i="1"/>
  <c r="DU1360" i="1"/>
  <c r="DT1360" i="1"/>
  <c r="DN1360" i="1"/>
  <c r="DM1360" i="1"/>
  <c r="DL1360" i="1"/>
  <c r="DK1360" i="1"/>
  <c r="DI1360" i="1"/>
  <c r="DJ1360" i="1" s="1"/>
  <c r="DC1360" i="1"/>
  <c r="CX1360" i="1"/>
  <c r="CN1360" i="1"/>
  <c r="BY1360" i="1"/>
  <c r="EP1360" i="1" s="1"/>
  <c r="BV1360" i="1"/>
  <c r="BD1360" i="1"/>
  <c r="BC1360" i="1"/>
  <c r="BB1360" i="1"/>
  <c r="BA1360" i="1"/>
  <c r="AZ1360" i="1"/>
  <c r="BF1360" i="1" s="1" a="1"/>
  <c r="BF1360" i="1" s="1"/>
  <c r="AY1360" i="1"/>
  <c r="AX1360" i="1"/>
  <c r="M1360" i="1"/>
  <c r="EM1359" i="1"/>
  <c r="EL1359" i="1"/>
  <c r="EK1359" i="1"/>
  <c r="DU1359" i="1"/>
  <c r="DT1359" i="1"/>
  <c r="DN1359" i="1"/>
  <c r="DM1359" i="1"/>
  <c r="DL1359" i="1"/>
  <c r="DK1359" i="1"/>
  <c r="DI1359" i="1"/>
  <c r="DJ1359" i="1" s="1"/>
  <c r="DC1359" i="1"/>
  <c r="CX1359" i="1"/>
  <c r="CN1359" i="1"/>
  <c r="CR1359" i="1" s="1"/>
  <c r="BY1359" i="1"/>
  <c r="EP1359" i="1" s="1"/>
  <c r="BV1359" i="1"/>
  <c r="BD1359" i="1"/>
  <c r="BC1359" i="1"/>
  <c r="BB1359" i="1"/>
  <c r="BA1359" i="1"/>
  <c r="AZ1359" i="1"/>
  <c r="BF1359" i="1" s="1" a="1"/>
  <c r="BF1359" i="1" s="1"/>
  <c r="AY1359" i="1"/>
  <c r="AX1359" i="1"/>
  <c r="M1359" i="1"/>
  <c r="EM1358" i="1"/>
  <c r="EL1358" i="1"/>
  <c r="EK1358" i="1"/>
  <c r="DU1358" i="1"/>
  <c r="DT1358" i="1"/>
  <c r="DN1358" i="1"/>
  <c r="DM1358" i="1"/>
  <c r="DL1358" i="1"/>
  <c r="DK1358" i="1"/>
  <c r="DI1358" i="1"/>
  <c r="DJ1358" i="1" s="1"/>
  <c r="DC1358" i="1"/>
  <c r="CX1358" i="1"/>
  <c r="CN1358" i="1"/>
  <c r="CR1358" i="1" s="1"/>
  <c r="BY1358" i="1"/>
  <c r="EP1358" i="1" s="1"/>
  <c r="BV1358" i="1"/>
  <c r="BM1358" i="1"/>
  <c r="BD1358" i="1"/>
  <c r="BC1358" i="1"/>
  <c r="BB1358" i="1"/>
  <c r="BA1358" i="1"/>
  <c r="AZ1358" i="1"/>
  <c r="BF1358" i="1" s="1" a="1"/>
  <c r="BF1358" i="1" s="1"/>
  <c r="AY1358" i="1"/>
  <c r="AX1358" i="1"/>
  <c r="M1358" i="1"/>
  <c r="EM1357" i="1"/>
  <c r="EL1357" i="1"/>
  <c r="EK1357" i="1"/>
  <c r="DU1357" i="1"/>
  <c r="DT1357" i="1"/>
  <c r="DN1357" i="1"/>
  <c r="DM1357" i="1"/>
  <c r="DL1357" i="1"/>
  <c r="DK1357" i="1"/>
  <c r="DI1357" i="1"/>
  <c r="DJ1357" i="1" s="1"/>
  <c r="DC1357" i="1"/>
  <c r="CX1357" i="1"/>
  <c r="CN1357" i="1"/>
  <c r="BX1357" i="1"/>
  <c r="BY1357" i="1" s="1"/>
  <c r="BD1357" i="1"/>
  <c r="BC1357" i="1"/>
  <c r="BB1357" i="1"/>
  <c r="BA1357" i="1"/>
  <c r="AZ1357" i="1"/>
  <c r="BF1357" i="1" s="1" a="1"/>
  <c r="BF1357" i="1" s="1"/>
  <c r="AY1357" i="1"/>
  <c r="BE1357" i="1" s="1" a="1"/>
  <c r="BE1357" i="1" s="1"/>
  <c r="AX1357" i="1"/>
  <c r="M1357" i="1"/>
  <c r="EM1356" i="1"/>
  <c r="EL1356" i="1"/>
  <c r="EK1356" i="1"/>
  <c r="DU1356" i="1"/>
  <c r="DT1356" i="1"/>
  <c r="DN1356" i="1"/>
  <c r="DM1356" i="1"/>
  <c r="DL1356" i="1"/>
  <c r="DK1356" i="1"/>
  <c r="DI1356" i="1"/>
  <c r="DJ1356" i="1" s="1"/>
  <c r="DC1356" i="1"/>
  <c r="CX1356" i="1"/>
  <c r="CN1356" i="1"/>
  <c r="CT1356" i="1" s="1"/>
  <c r="CU1356" i="1" s="1"/>
  <c r="BX1356" i="1"/>
  <c r="BY1356" i="1" s="1"/>
  <c r="BD1356" i="1"/>
  <c r="BC1356" i="1"/>
  <c r="BB1356" i="1"/>
  <c r="BA1356" i="1"/>
  <c r="AZ1356" i="1"/>
  <c r="BF1356" i="1" s="1" a="1"/>
  <c r="BF1356" i="1" s="1"/>
  <c r="AY1356" i="1"/>
  <c r="BE1356" i="1" s="1" a="1"/>
  <c r="BE1356" i="1" s="1"/>
  <c r="AX1356" i="1"/>
  <c r="M1356" i="1"/>
  <c r="EM1355" i="1"/>
  <c r="EL1355" i="1"/>
  <c r="EK1355" i="1"/>
  <c r="DU1355" i="1"/>
  <c r="DT1355" i="1"/>
  <c r="DN1355" i="1"/>
  <c r="DM1355" i="1"/>
  <c r="DL1355" i="1"/>
  <c r="DK1355" i="1"/>
  <c r="DI1355" i="1"/>
  <c r="DJ1355" i="1" s="1"/>
  <c r="DB1355" i="1"/>
  <c r="DC1355" i="1" s="1"/>
  <c r="CX1355" i="1"/>
  <c r="CN1355" i="1"/>
  <c r="CO1355" i="1" s="1"/>
  <c r="BV1355" i="1"/>
  <c r="BX1355" i="1" s="1"/>
  <c r="BY1355" i="1" s="1"/>
  <c r="BU1355" i="1"/>
  <c r="BD1355" i="1"/>
  <c r="BC1355" i="1"/>
  <c r="BB1355" i="1"/>
  <c r="BA1355" i="1"/>
  <c r="AZ1355" i="1"/>
  <c r="BF1355" i="1" s="1" a="1"/>
  <c r="BF1355" i="1" s="1"/>
  <c r="AY1355" i="1"/>
  <c r="BE1355" i="1" s="1" a="1"/>
  <c r="BE1355" i="1" s="1"/>
  <c r="AX1355" i="1"/>
  <c r="M1355" i="1"/>
  <c r="EM1354" i="1"/>
  <c r="EL1354" i="1"/>
  <c r="EK1354" i="1"/>
  <c r="DU1354" i="1"/>
  <c r="DT1354" i="1"/>
  <c r="DN1354" i="1"/>
  <c r="DM1354" i="1"/>
  <c r="DL1354" i="1"/>
  <c r="DK1354" i="1"/>
  <c r="DI1354" i="1"/>
  <c r="DJ1354" i="1" s="1"/>
  <c r="DC1354" i="1"/>
  <c r="CX1354" i="1"/>
  <c r="CN1354" i="1"/>
  <c r="BO1354" i="1"/>
  <c r="BY1354" i="1" s="1"/>
  <c r="EP1354" i="1" s="1"/>
  <c r="BN1354" i="1"/>
  <c r="BD1354" i="1"/>
  <c r="BC1354" i="1"/>
  <c r="BB1354" i="1"/>
  <c r="BA1354" i="1"/>
  <c r="AZ1354" i="1"/>
  <c r="BF1354" i="1" s="1" a="1"/>
  <c r="BF1354" i="1" s="1"/>
  <c r="AY1354" i="1"/>
  <c r="BE1354" i="1" s="1" a="1"/>
  <c r="BE1354" i="1" s="1"/>
  <c r="AX1354" i="1"/>
  <c r="M1354" i="1"/>
  <c r="EM1353" i="1"/>
  <c r="EL1353" i="1"/>
  <c r="EK1353" i="1"/>
  <c r="DU1353" i="1"/>
  <c r="DT1353" i="1"/>
  <c r="DN1353" i="1"/>
  <c r="DM1353" i="1"/>
  <c r="DL1353" i="1"/>
  <c r="DK1353" i="1"/>
  <c r="DI1353" i="1"/>
  <c r="DJ1353" i="1" s="1"/>
  <c r="DC1353" i="1"/>
  <c r="CX1353" i="1"/>
  <c r="CN1353" i="1"/>
  <c r="CT1353" i="1" s="1"/>
  <c r="BN1353" i="1"/>
  <c r="BO1353" i="1" s="1"/>
  <c r="BY1353" i="1" s="1"/>
  <c r="EP1353" i="1" s="1"/>
  <c r="BD1353" i="1"/>
  <c r="BC1353" i="1"/>
  <c r="BB1353" i="1"/>
  <c r="BA1353" i="1"/>
  <c r="AZ1353" i="1"/>
  <c r="BF1353" i="1" s="1" a="1"/>
  <c r="BF1353" i="1" s="1"/>
  <c r="AY1353" i="1"/>
  <c r="BE1353" i="1" s="1" a="1"/>
  <c r="BE1353" i="1" s="1"/>
  <c r="AX1353" i="1"/>
  <c r="M1353" i="1"/>
  <c r="EM1352" i="1"/>
  <c r="EL1352" i="1"/>
  <c r="EK1352" i="1"/>
  <c r="DU1352" i="1"/>
  <c r="DT1352" i="1"/>
  <c r="DN1352" i="1"/>
  <c r="DM1352" i="1"/>
  <c r="DL1352" i="1"/>
  <c r="DK1352" i="1"/>
  <c r="DI1352" i="1"/>
  <c r="DJ1352" i="1" s="1"/>
  <c r="DC1352" i="1"/>
  <c r="CX1352" i="1"/>
  <c r="CN1352" i="1"/>
  <c r="CO1352" i="1" s="1"/>
  <c r="BN1352" i="1"/>
  <c r="BO1352" i="1" s="1"/>
  <c r="BY1352" i="1" s="1"/>
  <c r="EP1352" i="1" s="1"/>
  <c r="BD1352" i="1"/>
  <c r="BC1352" i="1"/>
  <c r="BB1352" i="1"/>
  <c r="BA1352" i="1"/>
  <c r="AZ1352" i="1"/>
  <c r="BF1352" i="1" s="1" a="1"/>
  <c r="BF1352" i="1" s="1"/>
  <c r="AY1352" i="1"/>
  <c r="BE1352" i="1" s="1" a="1"/>
  <c r="BE1352" i="1" s="1"/>
  <c r="AX1352" i="1"/>
  <c r="M1352" i="1"/>
  <c r="EM1351" i="1"/>
  <c r="EL1351" i="1"/>
  <c r="EK1351" i="1"/>
  <c r="DU1351" i="1"/>
  <c r="DT1351" i="1"/>
  <c r="DN1351" i="1"/>
  <c r="DM1351" i="1"/>
  <c r="DL1351" i="1"/>
  <c r="DK1351" i="1"/>
  <c r="DI1351" i="1"/>
  <c r="DJ1351" i="1" s="1"/>
  <c r="DC1351" i="1"/>
  <c r="CX1351" i="1"/>
  <c r="CN1351" i="1"/>
  <c r="CT1351" i="1" s="1"/>
  <c r="BN1351" i="1"/>
  <c r="BO1351" i="1" s="1"/>
  <c r="BD1351" i="1"/>
  <c r="BC1351" i="1"/>
  <c r="BB1351" i="1"/>
  <c r="BA1351" i="1"/>
  <c r="AZ1351" i="1"/>
  <c r="BF1351" i="1" s="1" a="1"/>
  <c r="BF1351" i="1" s="1"/>
  <c r="AY1351" i="1"/>
  <c r="BE1351" i="1" s="1" a="1"/>
  <c r="BE1351" i="1" s="1"/>
  <c r="AX1351" i="1"/>
  <c r="M1351" i="1"/>
  <c r="EM1350" i="1"/>
  <c r="EL1350" i="1"/>
  <c r="EK1350" i="1"/>
  <c r="DU1350" i="1"/>
  <c r="DT1350" i="1"/>
  <c r="DN1350" i="1"/>
  <c r="DM1350" i="1"/>
  <c r="DL1350" i="1"/>
  <c r="DK1350" i="1"/>
  <c r="DI1350" i="1"/>
  <c r="DJ1350" i="1" s="1"/>
  <c r="DC1350" i="1"/>
  <c r="CX1350" i="1"/>
  <c r="CN1350" i="1"/>
  <c r="CS1350" i="1" s="1"/>
  <c r="BV1350" i="1"/>
  <c r="BX1350" i="1" s="1"/>
  <c r="BU1350" i="1"/>
  <c r="BD1350" i="1"/>
  <c r="BC1350" i="1"/>
  <c r="BB1350" i="1"/>
  <c r="BA1350" i="1"/>
  <c r="AZ1350" i="1"/>
  <c r="BF1350" i="1" s="1" a="1"/>
  <c r="BF1350" i="1" s="1"/>
  <c r="AY1350" i="1"/>
  <c r="BE1350" i="1" s="1" a="1"/>
  <c r="BE1350" i="1" s="1"/>
  <c r="AX1350" i="1"/>
  <c r="M1350" i="1"/>
  <c r="EM1349" i="1"/>
  <c r="EL1349" i="1"/>
  <c r="EK1349" i="1"/>
  <c r="DU1349" i="1"/>
  <c r="DT1349" i="1"/>
  <c r="DN1349" i="1"/>
  <c r="DM1349" i="1"/>
  <c r="DL1349" i="1"/>
  <c r="DK1349" i="1"/>
  <c r="DI1349" i="1"/>
  <c r="DJ1349" i="1" s="1"/>
  <c r="DC1349" i="1"/>
  <c r="CX1349" i="1"/>
  <c r="CN1349" i="1"/>
  <c r="BV1349" i="1"/>
  <c r="BX1349" i="1" s="1"/>
  <c r="BY1349" i="1" s="1"/>
  <c r="BU1349" i="1"/>
  <c r="BD1349" i="1"/>
  <c r="BC1349" i="1"/>
  <c r="BB1349" i="1"/>
  <c r="BA1349" i="1"/>
  <c r="AZ1349" i="1"/>
  <c r="BF1349" i="1" s="1" a="1"/>
  <c r="BF1349" i="1" s="1"/>
  <c r="AY1349" i="1"/>
  <c r="BE1349" i="1" s="1" a="1"/>
  <c r="BE1349" i="1" s="1"/>
  <c r="AX1349" i="1"/>
  <c r="M1349" i="1"/>
  <c r="EM1348" i="1"/>
  <c r="EL1348" i="1"/>
  <c r="EK1348" i="1"/>
  <c r="DU1348" i="1"/>
  <c r="DT1348" i="1"/>
  <c r="DN1348" i="1"/>
  <c r="DM1348" i="1"/>
  <c r="DL1348" i="1"/>
  <c r="DK1348" i="1"/>
  <c r="DI1348" i="1"/>
  <c r="DJ1348" i="1" s="1"/>
  <c r="DC1348" i="1"/>
  <c r="CX1348" i="1"/>
  <c r="CN1348" i="1"/>
  <c r="CS1348" i="1" s="1"/>
  <c r="BX1348" i="1"/>
  <c r="BU1348" i="1"/>
  <c r="BD1348" i="1"/>
  <c r="BC1348" i="1"/>
  <c r="BB1348" i="1"/>
  <c r="BA1348" i="1"/>
  <c r="AZ1348" i="1"/>
  <c r="BF1348" i="1" s="1" a="1"/>
  <c r="BF1348" i="1" s="1"/>
  <c r="AY1348" i="1"/>
  <c r="AX1348" i="1"/>
  <c r="M1348" i="1"/>
  <c r="EM1347" i="1"/>
  <c r="EL1347" i="1"/>
  <c r="EK1347" i="1"/>
  <c r="DU1347" i="1"/>
  <c r="DT1347" i="1"/>
  <c r="DN1347" i="1"/>
  <c r="DM1347" i="1"/>
  <c r="DL1347" i="1"/>
  <c r="DK1347" i="1"/>
  <c r="DI1347" i="1"/>
  <c r="DJ1347" i="1" s="1"/>
  <c r="DC1347" i="1"/>
  <c r="CX1347" i="1"/>
  <c r="CN1347" i="1"/>
  <c r="BX1347" i="1"/>
  <c r="BY1347" i="1" s="1"/>
  <c r="BU1347" i="1"/>
  <c r="BD1347" i="1"/>
  <c r="BC1347" i="1"/>
  <c r="BB1347" i="1"/>
  <c r="BA1347" i="1"/>
  <c r="AZ1347" i="1"/>
  <c r="BF1347" i="1" s="1" a="1"/>
  <c r="BF1347" i="1" s="1"/>
  <c r="AY1347" i="1"/>
  <c r="AX1347" i="1"/>
  <c r="M1347" i="1"/>
  <c r="EM1346" i="1"/>
  <c r="EL1346" i="1"/>
  <c r="EK1346" i="1"/>
  <c r="DU1346" i="1"/>
  <c r="DT1346" i="1"/>
  <c r="DN1346" i="1"/>
  <c r="DM1346" i="1"/>
  <c r="DL1346" i="1"/>
  <c r="DK1346" i="1"/>
  <c r="DI1346" i="1"/>
  <c r="DJ1346" i="1" s="1"/>
  <c r="DC1346" i="1"/>
  <c r="CX1346" i="1"/>
  <c r="CN1346" i="1"/>
  <c r="CR1346" i="1" s="1"/>
  <c r="BV1346" i="1"/>
  <c r="BX1346" i="1" s="1"/>
  <c r="BY1346" i="1" s="1"/>
  <c r="BU1346" i="1"/>
  <c r="BD1346" i="1"/>
  <c r="BC1346" i="1"/>
  <c r="BB1346" i="1"/>
  <c r="BA1346" i="1"/>
  <c r="AZ1346" i="1"/>
  <c r="BF1346" i="1" s="1" a="1"/>
  <c r="BF1346" i="1" s="1"/>
  <c r="AY1346" i="1"/>
  <c r="AX1346" i="1"/>
  <c r="M1346" i="1"/>
  <c r="EM1345" i="1"/>
  <c r="EL1345" i="1"/>
  <c r="EK1345" i="1"/>
  <c r="DU1345" i="1"/>
  <c r="DT1345" i="1"/>
  <c r="DN1345" i="1"/>
  <c r="DM1345" i="1"/>
  <c r="DL1345" i="1"/>
  <c r="DK1345" i="1"/>
  <c r="DI1345" i="1"/>
  <c r="DJ1345" i="1" s="1"/>
  <c r="DC1345" i="1"/>
  <c r="CX1345" i="1"/>
  <c r="CN1345" i="1"/>
  <c r="BV1345" i="1"/>
  <c r="BX1345" i="1" s="1"/>
  <c r="BY1345" i="1" s="1"/>
  <c r="BU1345" i="1"/>
  <c r="BD1345" i="1"/>
  <c r="BC1345" i="1"/>
  <c r="BB1345" i="1"/>
  <c r="BA1345" i="1"/>
  <c r="AZ1345" i="1"/>
  <c r="BF1345" i="1" s="1" a="1"/>
  <c r="BF1345" i="1" s="1"/>
  <c r="AY1345" i="1"/>
  <c r="AX1345" i="1"/>
  <c r="M1345" i="1"/>
  <c r="EM1344" i="1"/>
  <c r="EL1344" i="1"/>
  <c r="EK1344" i="1"/>
  <c r="DU1344" i="1"/>
  <c r="DT1344" i="1"/>
  <c r="DN1344" i="1"/>
  <c r="DM1344" i="1"/>
  <c r="DL1344" i="1"/>
  <c r="DK1344" i="1"/>
  <c r="DI1344" i="1"/>
  <c r="DJ1344" i="1" s="1"/>
  <c r="DC1344" i="1"/>
  <c r="CX1344" i="1"/>
  <c r="CN1344" i="1"/>
  <c r="CR1344" i="1" s="1"/>
  <c r="BV1344" i="1"/>
  <c r="BX1344" i="1" s="1"/>
  <c r="BY1344" i="1" s="1"/>
  <c r="BU1344" i="1"/>
  <c r="BD1344" i="1"/>
  <c r="BC1344" i="1"/>
  <c r="BB1344" i="1"/>
  <c r="BA1344" i="1"/>
  <c r="AZ1344" i="1"/>
  <c r="BF1344" i="1" s="1" a="1"/>
  <c r="BF1344" i="1" s="1"/>
  <c r="AY1344" i="1"/>
  <c r="AX1344" i="1"/>
  <c r="M1344" i="1"/>
  <c r="EM1343" i="1"/>
  <c r="EL1343" i="1"/>
  <c r="EK1343" i="1"/>
  <c r="DU1343" i="1"/>
  <c r="DT1343" i="1"/>
  <c r="DN1343" i="1"/>
  <c r="DM1343" i="1"/>
  <c r="DL1343" i="1"/>
  <c r="DK1343" i="1"/>
  <c r="DI1343" i="1"/>
  <c r="DJ1343" i="1" s="1"/>
  <c r="DC1343" i="1"/>
  <c r="CX1343" i="1"/>
  <c r="CN1343" i="1"/>
  <c r="BV1343" i="1"/>
  <c r="BX1343" i="1" s="1"/>
  <c r="BY1343" i="1" s="1"/>
  <c r="BU1343" i="1"/>
  <c r="BD1343" i="1"/>
  <c r="BC1343" i="1"/>
  <c r="BB1343" i="1"/>
  <c r="BA1343" i="1"/>
  <c r="AZ1343" i="1"/>
  <c r="BF1343" i="1" s="1" a="1"/>
  <c r="BF1343" i="1" s="1"/>
  <c r="AY1343" i="1"/>
  <c r="AX1343" i="1"/>
  <c r="M1343" i="1"/>
  <c r="EM1342" i="1"/>
  <c r="EL1342" i="1"/>
  <c r="EK1342" i="1"/>
  <c r="DU1342" i="1"/>
  <c r="DT1342" i="1"/>
  <c r="DN1342" i="1"/>
  <c r="DM1342" i="1"/>
  <c r="DL1342" i="1"/>
  <c r="DK1342" i="1"/>
  <c r="DI1342" i="1"/>
  <c r="DJ1342" i="1" s="1"/>
  <c r="DC1342" i="1"/>
  <c r="CX1342" i="1"/>
  <c r="CN1342" i="1"/>
  <c r="CP1342" i="1" s="1"/>
  <c r="BV1342" i="1"/>
  <c r="BX1342" i="1" s="1"/>
  <c r="BU1342" i="1"/>
  <c r="BN1342" i="1"/>
  <c r="BO1342" i="1" s="1"/>
  <c r="BM1342" i="1"/>
  <c r="BD1342" i="1"/>
  <c r="BC1342" i="1"/>
  <c r="BB1342" i="1"/>
  <c r="BA1342" i="1"/>
  <c r="AZ1342" i="1"/>
  <c r="BF1342" i="1" s="1" a="1"/>
  <c r="BF1342" i="1" s="1"/>
  <c r="AY1342" i="1"/>
  <c r="BE1342" i="1" s="1" a="1"/>
  <c r="BE1342" i="1" s="1"/>
  <c r="AX1342" i="1"/>
  <c r="M1342" i="1"/>
  <c r="EM1341" i="1"/>
  <c r="EL1341" i="1"/>
  <c r="EK1341" i="1"/>
  <c r="DU1341" i="1"/>
  <c r="DT1341" i="1"/>
  <c r="DN1341" i="1"/>
  <c r="DM1341" i="1"/>
  <c r="DL1341" i="1"/>
  <c r="DK1341" i="1"/>
  <c r="DI1341" i="1"/>
  <c r="DJ1341" i="1" s="1"/>
  <c r="DC1341" i="1"/>
  <c r="CX1341" i="1"/>
  <c r="CN1341" i="1"/>
  <c r="CS1341" i="1" s="1"/>
  <c r="BV1341" i="1"/>
  <c r="BX1341" i="1" s="1"/>
  <c r="BU1341" i="1"/>
  <c r="BD1341" i="1"/>
  <c r="BC1341" i="1"/>
  <c r="BB1341" i="1"/>
  <c r="BA1341" i="1"/>
  <c r="AZ1341" i="1"/>
  <c r="BF1341" i="1" s="1" a="1"/>
  <c r="BF1341" i="1" s="1"/>
  <c r="AY1341" i="1"/>
  <c r="BE1341" i="1" s="1" a="1"/>
  <c r="BE1341" i="1" s="1"/>
  <c r="AX1341" i="1"/>
  <c r="M1341" i="1"/>
  <c r="EM1340" i="1"/>
  <c r="EL1340" i="1"/>
  <c r="EK1340" i="1"/>
  <c r="DU1340" i="1"/>
  <c r="DT1340" i="1"/>
  <c r="DN1340" i="1"/>
  <c r="DM1340" i="1"/>
  <c r="DL1340" i="1"/>
  <c r="DK1340" i="1"/>
  <c r="DI1340" i="1"/>
  <c r="DJ1340" i="1" s="1"/>
  <c r="DC1340" i="1"/>
  <c r="CX1340" i="1"/>
  <c r="CN1340" i="1"/>
  <c r="BV1340" i="1"/>
  <c r="BX1340" i="1" s="1"/>
  <c r="BY1340" i="1" s="1"/>
  <c r="BU1340" i="1"/>
  <c r="BD1340" i="1"/>
  <c r="BC1340" i="1"/>
  <c r="BB1340" i="1"/>
  <c r="BA1340" i="1"/>
  <c r="AZ1340" i="1"/>
  <c r="BF1340" i="1" s="1" a="1"/>
  <c r="BF1340" i="1" s="1"/>
  <c r="AY1340" i="1"/>
  <c r="BE1340" i="1" s="1" a="1"/>
  <c r="BE1340" i="1" s="1"/>
  <c r="AX1340" i="1"/>
  <c r="M1340" i="1"/>
  <c r="EM1339" i="1"/>
  <c r="EL1339" i="1"/>
  <c r="EK1339" i="1"/>
  <c r="DU1339" i="1"/>
  <c r="DT1339" i="1"/>
  <c r="DN1339" i="1"/>
  <c r="DM1339" i="1"/>
  <c r="DL1339" i="1"/>
  <c r="DK1339" i="1"/>
  <c r="DI1339" i="1"/>
  <c r="DJ1339" i="1" s="1"/>
  <c r="DC1339" i="1"/>
  <c r="CX1339" i="1"/>
  <c r="CN1339" i="1"/>
  <c r="CS1339" i="1" s="1"/>
  <c r="BV1339" i="1"/>
  <c r="BX1339" i="1" s="1"/>
  <c r="BU1339" i="1"/>
  <c r="BD1339" i="1"/>
  <c r="BC1339" i="1"/>
  <c r="BB1339" i="1"/>
  <c r="BA1339" i="1"/>
  <c r="AZ1339" i="1"/>
  <c r="BF1339" i="1" s="1" a="1"/>
  <c r="BF1339" i="1" s="1"/>
  <c r="AY1339" i="1"/>
  <c r="BE1339" i="1" s="1" a="1"/>
  <c r="BE1339" i="1" s="1"/>
  <c r="AX1339" i="1"/>
  <c r="M1339" i="1"/>
  <c r="EM1338" i="1"/>
  <c r="EL1338" i="1"/>
  <c r="EK1338" i="1"/>
  <c r="DU1338" i="1"/>
  <c r="DT1338" i="1"/>
  <c r="DN1338" i="1"/>
  <c r="DM1338" i="1"/>
  <c r="DL1338" i="1"/>
  <c r="DK1338" i="1"/>
  <c r="DI1338" i="1"/>
  <c r="DJ1338" i="1" s="1"/>
  <c r="DC1338" i="1"/>
  <c r="CX1338" i="1"/>
  <c r="CN1338" i="1"/>
  <c r="BV1338" i="1"/>
  <c r="BX1338" i="1" s="1"/>
  <c r="BY1338" i="1" s="1"/>
  <c r="BU1338" i="1"/>
  <c r="BD1338" i="1"/>
  <c r="BC1338" i="1"/>
  <c r="BB1338" i="1"/>
  <c r="BA1338" i="1"/>
  <c r="AZ1338" i="1"/>
  <c r="BF1338" i="1" s="1" a="1"/>
  <c r="BF1338" i="1" s="1"/>
  <c r="AY1338" i="1"/>
  <c r="BE1338" i="1" s="1" a="1"/>
  <c r="BE1338" i="1" s="1"/>
  <c r="AX1338" i="1"/>
  <c r="M1338" i="1"/>
  <c r="EM1337" i="1"/>
  <c r="EL1337" i="1"/>
  <c r="EK1337" i="1"/>
  <c r="DU1337" i="1"/>
  <c r="DT1337" i="1"/>
  <c r="DN1337" i="1"/>
  <c r="DM1337" i="1"/>
  <c r="DL1337" i="1"/>
  <c r="DK1337" i="1"/>
  <c r="DI1337" i="1"/>
  <c r="DJ1337" i="1" s="1"/>
  <c r="DC1337" i="1"/>
  <c r="CX1337" i="1"/>
  <c r="CN1337" i="1"/>
  <c r="CS1337" i="1" s="1"/>
  <c r="BV1337" i="1"/>
  <c r="BX1337" i="1" s="1"/>
  <c r="BU1337" i="1"/>
  <c r="BD1337" i="1"/>
  <c r="BC1337" i="1"/>
  <c r="BB1337" i="1"/>
  <c r="BA1337" i="1"/>
  <c r="AZ1337" i="1"/>
  <c r="BF1337" i="1" s="1" a="1"/>
  <c r="BF1337" i="1" s="1"/>
  <c r="AY1337" i="1"/>
  <c r="BE1337" i="1" s="1" a="1"/>
  <c r="BE1337" i="1" s="1"/>
  <c r="AX1337" i="1"/>
  <c r="M1337" i="1"/>
  <c r="EM1336" i="1"/>
  <c r="EL1336" i="1"/>
  <c r="EK1336" i="1"/>
  <c r="DU1336" i="1"/>
  <c r="DT1336" i="1"/>
  <c r="DN1336" i="1"/>
  <c r="DM1336" i="1"/>
  <c r="DL1336" i="1"/>
  <c r="DK1336" i="1"/>
  <c r="DI1336" i="1"/>
  <c r="DJ1336" i="1" s="1"/>
  <c r="DC1336" i="1"/>
  <c r="CX1336" i="1"/>
  <c r="CN1336" i="1"/>
  <c r="BV1336" i="1"/>
  <c r="BX1336" i="1" s="1"/>
  <c r="BY1336" i="1" s="1"/>
  <c r="BU1336" i="1"/>
  <c r="BD1336" i="1"/>
  <c r="BC1336" i="1"/>
  <c r="BB1336" i="1"/>
  <c r="BA1336" i="1"/>
  <c r="AZ1336" i="1"/>
  <c r="BF1336" i="1" s="1" a="1"/>
  <c r="BF1336" i="1" s="1"/>
  <c r="AY1336" i="1"/>
  <c r="BE1336" i="1" s="1" a="1"/>
  <c r="BE1336" i="1" s="1"/>
  <c r="AX1336" i="1"/>
  <c r="M1336" i="1"/>
  <c r="EM1335" i="1"/>
  <c r="EL1335" i="1"/>
  <c r="EK1335" i="1"/>
  <c r="DU1335" i="1"/>
  <c r="DT1335" i="1"/>
  <c r="DN1335" i="1"/>
  <c r="DM1335" i="1"/>
  <c r="DL1335" i="1"/>
  <c r="DK1335" i="1"/>
  <c r="DI1335" i="1"/>
  <c r="DJ1335" i="1" s="1"/>
  <c r="DC1335" i="1"/>
  <c r="CX1335" i="1"/>
  <c r="CN1335" i="1"/>
  <c r="CS1335" i="1" s="1"/>
  <c r="BV1335" i="1"/>
  <c r="BX1335" i="1" s="1"/>
  <c r="BU1335" i="1"/>
  <c r="BD1335" i="1"/>
  <c r="BC1335" i="1"/>
  <c r="BB1335" i="1"/>
  <c r="BA1335" i="1"/>
  <c r="AZ1335" i="1"/>
  <c r="BF1335" i="1" s="1" a="1"/>
  <c r="BF1335" i="1" s="1"/>
  <c r="AY1335" i="1"/>
  <c r="BE1335" i="1" s="1" a="1"/>
  <c r="BE1335" i="1" s="1"/>
  <c r="AX1335" i="1"/>
  <c r="M1335" i="1"/>
  <c r="EM1334" i="1"/>
  <c r="EL1334" i="1"/>
  <c r="EK1334" i="1"/>
  <c r="DU1334" i="1"/>
  <c r="DT1334" i="1"/>
  <c r="DN1334" i="1"/>
  <c r="DM1334" i="1"/>
  <c r="DL1334" i="1"/>
  <c r="DK1334" i="1"/>
  <c r="DI1334" i="1"/>
  <c r="DJ1334" i="1" s="1"/>
  <c r="DC1334" i="1"/>
  <c r="CX1334" i="1"/>
  <c r="CN1334" i="1"/>
  <c r="CR1334" i="1" s="1"/>
  <c r="BV1334" i="1"/>
  <c r="BX1334" i="1" s="1"/>
  <c r="BY1334" i="1" s="1"/>
  <c r="BU1334" i="1"/>
  <c r="BD1334" i="1"/>
  <c r="BC1334" i="1"/>
  <c r="BB1334" i="1"/>
  <c r="BA1334" i="1"/>
  <c r="AZ1334" i="1"/>
  <c r="BF1334" i="1" s="1" a="1"/>
  <c r="BF1334" i="1" s="1"/>
  <c r="AY1334" i="1"/>
  <c r="BE1334" i="1" s="1" a="1"/>
  <c r="BE1334" i="1" s="1"/>
  <c r="AX1334" i="1"/>
  <c r="M1334" i="1"/>
  <c r="EM1333" i="1"/>
  <c r="EL1333" i="1"/>
  <c r="EK1333" i="1"/>
  <c r="DU1333" i="1"/>
  <c r="DT1333" i="1"/>
  <c r="DN1333" i="1"/>
  <c r="DM1333" i="1"/>
  <c r="DL1333" i="1"/>
  <c r="DK1333" i="1"/>
  <c r="DI1333" i="1"/>
  <c r="DJ1333" i="1" s="1"/>
  <c r="DC1333" i="1"/>
  <c r="CX1333" i="1"/>
  <c r="CN1333" i="1"/>
  <c r="BV1333" i="1"/>
  <c r="BX1333" i="1" s="1"/>
  <c r="BY1333" i="1" s="1"/>
  <c r="BU1333" i="1"/>
  <c r="BD1333" i="1"/>
  <c r="BC1333" i="1"/>
  <c r="BB1333" i="1"/>
  <c r="BA1333" i="1"/>
  <c r="AZ1333" i="1"/>
  <c r="BF1333" i="1" s="1" a="1"/>
  <c r="BF1333" i="1" s="1"/>
  <c r="AY1333" i="1"/>
  <c r="BE1333" i="1" s="1" a="1"/>
  <c r="BE1333" i="1" s="1"/>
  <c r="AX1333" i="1"/>
  <c r="M1333" i="1"/>
  <c r="EM1332" i="1"/>
  <c r="EL1332" i="1"/>
  <c r="EK1332" i="1"/>
  <c r="DU1332" i="1"/>
  <c r="DT1332" i="1"/>
  <c r="DN1332" i="1"/>
  <c r="DM1332" i="1"/>
  <c r="DL1332" i="1"/>
  <c r="DK1332" i="1"/>
  <c r="DI1332" i="1"/>
  <c r="DJ1332" i="1" s="1"/>
  <c r="DC1332" i="1"/>
  <c r="CX1332" i="1"/>
  <c r="CN1332" i="1"/>
  <c r="BV1332" i="1"/>
  <c r="BX1332" i="1" s="1"/>
  <c r="BY1332" i="1" s="1"/>
  <c r="BU1332" i="1"/>
  <c r="BE1332" i="1" a="1"/>
  <c r="BE1332" i="1" s="1"/>
  <c r="BD1332" i="1"/>
  <c r="BC1332" i="1"/>
  <c r="BB1332" i="1"/>
  <c r="BA1332" i="1"/>
  <c r="AZ1332" i="1"/>
  <c r="BF1332" i="1" s="1" a="1"/>
  <c r="BF1332" i="1" s="1"/>
  <c r="AY1332" i="1"/>
  <c r="AX1332" i="1"/>
  <c r="M1332" i="1"/>
  <c r="EM1331" i="1"/>
  <c r="EL1331" i="1"/>
  <c r="EK1331" i="1"/>
  <c r="DU1331" i="1"/>
  <c r="DT1331" i="1"/>
  <c r="DN1331" i="1"/>
  <c r="DM1331" i="1"/>
  <c r="DL1331" i="1"/>
  <c r="DK1331" i="1"/>
  <c r="DI1331" i="1"/>
  <c r="DJ1331" i="1" s="1"/>
  <c r="DC1331" i="1"/>
  <c r="CX1331" i="1"/>
  <c r="CN1331" i="1"/>
  <c r="BV1331" i="1"/>
  <c r="BX1331" i="1" s="1"/>
  <c r="BY1331" i="1" s="1"/>
  <c r="BU1331" i="1"/>
  <c r="BE1331" i="1" a="1"/>
  <c r="BE1331" i="1" s="1"/>
  <c r="BD1331" i="1"/>
  <c r="BC1331" i="1"/>
  <c r="BB1331" i="1"/>
  <c r="BA1331" i="1"/>
  <c r="AZ1331" i="1"/>
  <c r="BF1331" i="1" s="1" a="1"/>
  <c r="BF1331" i="1" s="1"/>
  <c r="AY1331" i="1"/>
  <c r="AX1331" i="1"/>
  <c r="M1331" i="1"/>
  <c r="EM1330" i="1"/>
  <c r="EL1330" i="1"/>
  <c r="EK1330" i="1"/>
  <c r="DU1330" i="1"/>
  <c r="DN1330" i="1"/>
  <c r="DM1330" i="1"/>
  <c r="DL1330" i="1"/>
  <c r="DK1330" i="1"/>
  <c r="DI1330" i="1"/>
  <c r="DJ1330" i="1" s="1"/>
  <c r="DC1330" i="1"/>
  <c r="CX1330" i="1"/>
  <c r="CN1330" i="1"/>
  <c r="BT1330" i="1"/>
  <c r="BS1330" i="1"/>
  <c r="BN1330" i="1"/>
  <c r="BO1330" i="1" s="1"/>
  <c r="BD1330" i="1"/>
  <c r="BC1330" i="1"/>
  <c r="BB1330" i="1"/>
  <c r="BA1330" i="1"/>
  <c r="AZ1330" i="1"/>
  <c r="BF1330" i="1" s="1" a="1"/>
  <c r="BF1330" i="1" s="1"/>
  <c r="AY1330" i="1"/>
  <c r="BE1330" i="1" s="1" a="1"/>
  <c r="BE1330" i="1" s="1"/>
  <c r="AX1330" i="1"/>
  <c r="M1330" i="1"/>
  <c r="EM1329" i="1"/>
  <c r="EL1329" i="1"/>
  <c r="EK1329" i="1"/>
  <c r="DU1329" i="1"/>
  <c r="DN1329" i="1"/>
  <c r="DM1329" i="1"/>
  <c r="DL1329" i="1"/>
  <c r="DK1329" i="1"/>
  <c r="DI1329" i="1"/>
  <c r="DJ1329" i="1" s="1"/>
  <c r="DC1329" i="1"/>
  <c r="CX1329" i="1"/>
  <c r="CN1329" i="1"/>
  <c r="BS1329" i="1"/>
  <c r="BV1329" i="1" s="1"/>
  <c r="BX1329" i="1" s="1"/>
  <c r="BN1329" i="1"/>
  <c r="BO1329" i="1" s="1"/>
  <c r="BD1329" i="1"/>
  <c r="BC1329" i="1"/>
  <c r="BB1329" i="1"/>
  <c r="BA1329" i="1"/>
  <c r="AZ1329" i="1"/>
  <c r="BF1329" i="1" s="1" a="1"/>
  <c r="BF1329" i="1" s="1"/>
  <c r="AY1329" i="1"/>
  <c r="BE1329" i="1" s="1" a="1"/>
  <c r="BE1329" i="1" s="1"/>
  <c r="AX1329" i="1"/>
  <c r="M1329" i="1"/>
  <c r="EM1328" i="1"/>
  <c r="EL1328" i="1"/>
  <c r="EK1328" i="1"/>
  <c r="DU1328" i="1"/>
  <c r="DN1328" i="1"/>
  <c r="DM1328" i="1"/>
  <c r="DL1328" i="1"/>
  <c r="DK1328" i="1"/>
  <c r="DI1328" i="1"/>
  <c r="DJ1328" i="1" s="1"/>
  <c r="DC1328" i="1"/>
  <c r="CX1328" i="1"/>
  <c r="CN1328" i="1"/>
  <c r="BS1328" i="1"/>
  <c r="BV1328" i="1" s="1"/>
  <c r="BX1328" i="1" s="1"/>
  <c r="BN1328" i="1"/>
  <c r="BO1328" i="1" s="1"/>
  <c r="BD1328" i="1"/>
  <c r="BC1328" i="1"/>
  <c r="BB1328" i="1"/>
  <c r="BA1328" i="1"/>
  <c r="AZ1328" i="1"/>
  <c r="BF1328" i="1" s="1" a="1"/>
  <c r="BF1328" i="1" s="1"/>
  <c r="AY1328" i="1"/>
  <c r="BE1328" i="1" s="1" a="1"/>
  <c r="BE1328" i="1" s="1"/>
  <c r="AX1328" i="1"/>
  <c r="M1328" i="1"/>
  <c r="EM1327" i="1"/>
  <c r="EL1327" i="1"/>
  <c r="EK1327" i="1"/>
  <c r="DU1327" i="1"/>
  <c r="DN1327" i="1"/>
  <c r="DM1327" i="1"/>
  <c r="DL1327" i="1"/>
  <c r="DK1327" i="1"/>
  <c r="DI1327" i="1"/>
  <c r="DJ1327" i="1" s="1"/>
  <c r="DC1327" i="1"/>
  <c r="CX1327" i="1"/>
  <c r="CN1327" i="1"/>
  <c r="BT1327" i="1"/>
  <c r="BS1327" i="1"/>
  <c r="BN1327" i="1"/>
  <c r="BO1327" i="1" s="1"/>
  <c r="BD1327" i="1"/>
  <c r="BC1327" i="1"/>
  <c r="BB1327" i="1"/>
  <c r="BA1327" i="1"/>
  <c r="AZ1327" i="1"/>
  <c r="BF1327" i="1" s="1" a="1"/>
  <c r="BF1327" i="1" s="1"/>
  <c r="AY1327" i="1"/>
  <c r="BE1327" i="1" s="1" a="1"/>
  <c r="BE1327" i="1" s="1"/>
  <c r="AX1327" i="1"/>
  <c r="M1327" i="1"/>
  <c r="EM1326" i="1"/>
  <c r="EL1326" i="1"/>
  <c r="EK1326" i="1"/>
  <c r="DU1326" i="1"/>
  <c r="DN1326" i="1"/>
  <c r="DM1326" i="1"/>
  <c r="DL1326" i="1"/>
  <c r="DK1326" i="1"/>
  <c r="DI1326" i="1"/>
  <c r="DJ1326" i="1" s="1"/>
  <c r="DC1326" i="1"/>
  <c r="CX1326" i="1"/>
  <c r="CN1326" i="1"/>
  <c r="BV1326" i="1"/>
  <c r="BX1326" i="1" s="1"/>
  <c r="BU1326" i="1"/>
  <c r="BN1326" i="1"/>
  <c r="BO1326" i="1" s="1"/>
  <c r="BD1326" i="1"/>
  <c r="BC1326" i="1"/>
  <c r="BB1326" i="1"/>
  <c r="BA1326" i="1"/>
  <c r="AZ1326" i="1"/>
  <c r="BF1326" i="1" s="1" a="1"/>
  <c r="BF1326" i="1" s="1"/>
  <c r="AY1326" i="1"/>
  <c r="BE1326" i="1" s="1" a="1"/>
  <c r="BE1326" i="1" s="1"/>
  <c r="AX1326" i="1"/>
  <c r="M1326" i="1"/>
  <c r="EM1325" i="1"/>
  <c r="EL1325" i="1"/>
  <c r="EK1325" i="1"/>
  <c r="DU1325" i="1"/>
  <c r="DN1325" i="1"/>
  <c r="DM1325" i="1"/>
  <c r="DL1325" i="1"/>
  <c r="DK1325" i="1"/>
  <c r="DI1325" i="1"/>
  <c r="DJ1325" i="1" s="1"/>
  <c r="DC1325" i="1"/>
  <c r="CX1325" i="1"/>
  <c r="CN1325" i="1"/>
  <c r="BV1325" i="1"/>
  <c r="BX1325" i="1" s="1"/>
  <c r="BT1325" i="1"/>
  <c r="BS1325" i="1"/>
  <c r="BN1325" i="1"/>
  <c r="BO1325" i="1" s="1"/>
  <c r="BD1325" i="1"/>
  <c r="BC1325" i="1"/>
  <c r="BB1325" i="1"/>
  <c r="BA1325" i="1"/>
  <c r="AZ1325" i="1"/>
  <c r="BF1325" i="1" s="1" a="1"/>
  <c r="BF1325" i="1" s="1"/>
  <c r="AY1325" i="1"/>
  <c r="BE1325" i="1" s="1" a="1"/>
  <c r="BE1325" i="1" s="1"/>
  <c r="AX1325" i="1"/>
  <c r="M1325" i="1"/>
  <c r="EM1324" i="1"/>
  <c r="EL1324" i="1"/>
  <c r="EK1324" i="1"/>
  <c r="DU1324" i="1"/>
  <c r="DN1324" i="1"/>
  <c r="DM1324" i="1"/>
  <c r="DL1324" i="1"/>
  <c r="DK1324" i="1"/>
  <c r="DI1324" i="1"/>
  <c r="DJ1324" i="1" s="1"/>
  <c r="DC1324" i="1"/>
  <c r="CX1324" i="1"/>
  <c r="CN1324" i="1"/>
  <c r="CS1324" i="1" s="1"/>
  <c r="BV1324" i="1"/>
  <c r="BX1324" i="1" s="1"/>
  <c r="BU1324" i="1"/>
  <c r="BN1324" i="1"/>
  <c r="BO1324" i="1" s="1"/>
  <c r="BD1324" i="1"/>
  <c r="BC1324" i="1"/>
  <c r="BB1324" i="1"/>
  <c r="BA1324" i="1"/>
  <c r="AZ1324" i="1"/>
  <c r="BF1324" i="1" s="1" a="1"/>
  <c r="BF1324" i="1" s="1"/>
  <c r="AY1324" i="1"/>
  <c r="BE1324" i="1" s="1" a="1"/>
  <c r="BE1324" i="1" s="1"/>
  <c r="AX1324" i="1"/>
  <c r="M1324" i="1"/>
  <c r="EM1323" i="1"/>
  <c r="EL1323" i="1"/>
  <c r="EK1323" i="1"/>
  <c r="DU1323" i="1"/>
  <c r="DT1323" i="1"/>
  <c r="DN1323" i="1"/>
  <c r="DM1323" i="1"/>
  <c r="DL1323" i="1"/>
  <c r="DK1323" i="1"/>
  <c r="DI1323" i="1"/>
  <c r="DJ1323" i="1" s="1"/>
  <c r="DB1323" i="1"/>
  <c r="DC1323" i="1" s="1"/>
  <c r="CX1323" i="1"/>
  <c r="CN1323" i="1"/>
  <c r="BS1323" i="1"/>
  <c r="BD1323" i="1"/>
  <c r="BC1323" i="1"/>
  <c r="BB1323" i="1"/>
  <c r="BA1323" i="1"/>
  <c r="AZ1323" i="1"/>
  <c r="BF1323" i="1" s="1" a="1"/>
  <c r="BF1323" i="1" s="1"/>
  <c r="AY1323" i="1"/>
  <c r="BE1323" i="1" s="1" a="1"/>
  <c r="BE1323" i="1" s="1"/>
  <c r="AX1323" i="1"/>
  <c r="M1323" i="1"/>
  <c r="EM1322" i="1"/>
  <c r="EL1322" i="1"/>
  <c r="EK1322" i="1"/>
  <c r="DU1322" i="1"/>
  <c r="DT1322" i="1"/>
  <c r="DN1322" i="1"/>
  <c r="DM1322" i="1"/>
  <c r="DL1322" i="1"/>
  <c r="DK1322" i="1"/>
  <c r="DI1322" i="1"/>
  <c r="DJ1322" i="1" s="1"/>
  <c r="DB1322" i="1"/>
  <c r="DC1322" i="1" s="1"/>
  <c r="CX1322" i="1"/>
  <c r="CN1322" i="1"/>
  <c r="CS1322" i="1" s="1"/>
  <c r="BS1322" i="1"/>
  <c r="BV1322" i="1" s="1"/>
  <c r="BX1322" i="1" s="1"/>
  <c r="BY1322" i="1" s="1"/>
  <c r="BD1322" i="1"/>
  <c r="BC1322" i="1"/>
  <c r="BB1322" i="1"/>
  <c r="BA1322" i="1"/>
  <c r="AZ1322" i="1"/>
  <c r="BF1322" i="1" s="1" a="1"/>
  <c r="BF1322" i="1" s="1"/>
  <c r="AY1322" i="1"/>
  <c r="BE1322" i="1" s="1" a="1"/>
  <c r="BE1322" i="1" s="1"/>
  <c r="AX1322" i="1"/>
  <c r="M1322" i="1"/>
  <c r="EM1321" i="1"/>
  <c r="EL1321" i="1"/>
  <c r="EK1321" i="1"/>
  <c r="DU1321" i="1"/>
  <c r="DT1321" i="1"/>
  <c r="DN1321" i="1"/>
  <c r="DM1321" i="1"/>
  <c r="DL1321" i="1"/>
  <c r="DK1321" i="1"/>
  <c r="DI1321" i="1"/>
  <c r="DJ1321" i="1" s="1"/>
  <c r="DB1321" i="1"/>
  <c r="DC1321" i="1" s="1"/>
  <c r="CX1321" i="1"/>
  <c r="CN1321" i="1"/>
  <c r="CS1321" i="1" s="1"/>
  <c r="BS1321" i="1"/>
  <c r="BV1321" i="1" s="1"/>
  <c r="BX1321" i="1" s="1"/>
  <c r="BM1321" i="1"/>
  <c r="BD1321" i="1"/>
  <c r="BC1321" i="1"/>
  <c r="BB1321" i="1"/>
  <c r="BA1321" i="1"/>
  <c r="AZ1321" i="1"/>
  <c r="BF1321" i="1" s="1" a="1"/>
  <c r="BF1321" i="1" s="1"/>
  <c r="AY1321" i="1"/>
  <c r="BE1321" i="1" s="1" a="1"/>
  <c r="BE1321" i="1" s="1"/>
  <c r="AX1321" i="1"/>
  <c r="M1321" i="1"/>
  <c r="EM1320" i="1"/>
  <c r="EL1320" i="1"/>
  <c r="EK1320" i="1"/>
  <c r="DU1320" i="1"/>
  <c r="DT1320" i="1"/>
  <c r="DN1320" i="1"/>
  <c r="DM1320" i="1"/>
  <c r="DL1320" i="1"/>
  <c r="DK1320" i="1"/>
  <c r="DI1320" i="1"/>
  <c r="DJ1320" i="1" s="1"/>
  <c r="DB1320" i="1"/>
  <c r="DC1320" i="1" s="1"/>
  <c r="CX1320" i="1"/>
  <c r="CN1320" i="1"/>
  <c r="BS1320" i="1"/>
  <c r="BM1320" i="1"/>
  <c r="BD1320" i="1"/>
  <c r="BC1320" i="1"/>
  <c r="BB1320" i="1"/>
  <c r="BA1320" i="1"/>
  <c r="AZ1320" i="1"/>
  <c r="BF1320" i="1" s="1" a="1"/>
  <c r="BF1320" i="1" s="1"/>
  <c r="AY1320" i="1"/>
  <c r="BE1320" i="1" s="1" a="1"/>
  <c r="BE1320" i="1" s="1"/>
  <c r="AX1320" i="1"/>
  <c r="M1320" i="1"/>
  <c r="EM1319" i="1"/>
  <c r="EL1319" i="1"/>
  <c r="EK1319" i="1"/>
  <c r="DU1319" i="1"/>
  <c r="DT1319" i="1"/>
  <c r="DN1319" i="1"/>
  <c r="DM1319" i="1"/>
  <c r="DL1319" i="1"/>
  <c r="DK1319" i="1"/>
  <c r="DI1319" i="1"/>
  <c r="DJ1319" i="1" s="1"/>
  <c r="DB1319" i="1"/>
  <c r="DC1319" i="1" s="1"/>
  <c r="CX1319" i="1"/>
  <c r="CN1319" i="1"/>
  <c r="BS1319" i="1"/>
  <c r="BV1319" i="1" s="1"/>
  <c r="BX1319" i="1" s="1"/>
  <c r="BY1319" i="1" s="1"/>
  <c r="BD1319" i="1"/>
  <c r="BC1319" i="1"/>
  <c r="BB1319" i="1"/>
  <c r="BA1319" i="1"/>
  <c r="AZ1319" i="1"/>
  <c r="BF1319" i="1" s="1" a="1"/>
  <c r="BF1319" i="1" s="1"/>
  <c r="AY1319" i="1"/>
  <c r="BE1319" i="1" s="1" a="1"/>
  <c r="BE1319" i="1" s="1"/>
  <c r="AX1319" i="1"/>
  <c r="M1319" i="1"/>
  <c r="EM1318" i="1"/>
  <c r="EL1318" i="1"/>
  <c r="EK1318" i="1"/>
  <c r="DU1318" i="1"/>
  <c r="DT1318" i="1"/>
  <c r="DN1318" i="1"/>
  <c r="DM1318" i="1"/>
  <c r="DL1318" i="1"/>
  <c r="DK1318" i="1"/>
  <c r="DI1318" i="1"/>
  <c r="DJ1318" i="1" s="1"/>
  <c r="DB1318" i="1"/>
  <c r="DC1318" i="1" s="1"/>
  <c r="CX1318" i="1"/>
  <c r="CN1318" i="1"/>
  <c r="CS1318" i="1" s="1"/>
  <c r="BS1318" i="1"/>
  <c r="CR1318" i="1" s="1"/>
  <c r="BD1318" i="1"/>
  <c r="BC1318" i="1"/>
  <c r="BB1318" i="1"/>
  <c r="BA1318" i="1"/>
  <c r="AZ1318" i="1"/>
  <c r="BF1318" i="1" s="1" a="1"/>
  <c r="BF1318" i="1" s="1"/>
  <c r="AY1318" i="1"/>
  <c r="BE1318" i="1" s="1" a="1"/>
  <c r="BE1318" i="1" s="1"/>
  <c r="AX1318" i="1"/>
  <c r="M1318" i="1"/>
  <c r="EM1317" i="1"/>
  <c r="EL1317" i="1"/>
  <c r="EK1317" i="1"/>
  <c r="DU1317" i="1"/>
  <c r="DT1317" i="1"/>
  <c r="DN1317" i="1"/>
  <c r="DM1317" i="1"/>
  <c r="DL1317" i="1"/>
  <c r="DK1317" i="1"/>
  <c r="DI1317" i="1"/>
  <c r="DJ1317" i="1" s="1"/>
  <c r="DB1317" i="1"/>
  <c r="DC1317" i="1" s="1"/>
  <c r="CX1317" i="1"/>
  <c r="CN1317" i="1"/>
  <c r="CS1317" i="1" s="1"/>
  <c r="BS1317" i="1"/>
  <c r="BU1317" i="1" s="1"/>
  <c r="BD1317" i="1"/>
  <c r="BC1317" i="1"/>
  <c r="BB1317" i="1"/>
  <c r="BA1317" i="1"/>
  <c r="AZ1317" i="1"/>
  <c r="BF1317" i="1" s="1" a="1"/>
  <c r="BF1317" i="1" s="1"/>
  <c r="AY1317" i="1"/>
  <c r="BE1317" i="1" s="1" a="1"/>
  <c r="BE1317" i="1" s="1"/>
  <c r="AX1317" i="1"/>
  <c r="M1317" i="1"/>
  <c r="EM1316" i="1"/>
  <c r="EL1316" i="1"/>
  <c r="EK1316" i="1"/>
  <c r="DU1316" i="1"/>
  <c r="DT1316" i="1"/>
  <c r="DN1316" i="1"/>
  <c r="DM1316" i="1"/>
  <c r="DL1316" i="1"/>
  <c r="DK1316" i="1"/>
  <c r="DI1316" i="1"/>
  <c r="DJ1316" i="1" s="1"/>
  <c r="DB1316" i="1"/>
  <c r="DC1316" i="1" s="1"/>
  <c r="CX1316" i="1"/>
  <c r="CN1316" i="1"/>
  <c r="CS1316" i="1" s="1"/>
  <c r="BS1316" i="1"/>
  <c r="BD1316" i="1"/>
  <c r="BC1316" i="1"/>
  <c r="BB1316" i="1"/>
  <c r="BA1316" i="1"/>
  <c r="AZ1316" i="1"/>
  <c r="BF1316" i="1" s="1" a="1"/>
  <c r="BF1316" i="1" s="1"/>
  <c r="AY1316" i="1"/>
  <c r="BE1316" i="1" s="1" a="1"/>
  <c r="BE1316" i="1" s="1"/>
  <c r="AX1316" i="1"/>
  <c r="M1316" i="1"/>
  <c r="EM1315" i="1"/>
  <c r="EL1315" i="1"/>
  <c r="EK1315" i="1"/>
  <c r="DU1315" i="1"/>
  <c r="DT1315" i="1"/>
  <c r="DN1315" i="1"/>
  <c r="DM1315" i="1"/>
  <c r="DL1315" i="1"/>
  <c r="DK1315" i="1"/>
  <c r="DI1315" i="1"/>
  <c r="DJ1315" i="1" s="1"/>
  <c r="DB1315" i="1"/>
  <c r="DC1315" i="1" s="1"/>
  <c r="CX1315" i="1"/>
  <c r="CN1315" i="1"/>
  <c r="BS1315" i="1"/>
  <c r="BV1315" i="1" s="1"/>
  <c r="BX1315" i="1" s="1"/>
  <c r="BY1315" i="1" s="1"/>
  <c r="BD1315" i="1"/>
  <c r="BC1315" i="1"/>
  <c r="BB1315" i="1"/>
  <c r="BA1315" i="1"/>
  <c r="AZ1315" i="1"/>
  <c r="BF1315" i="1" s="1" a="1"/>
  <c r="BF1315" i="1" s="1"/>
  <c r="AY1315" i="1"/>
  <c r="BE1315" i="1" s="1" a="1"/>
  <c r="BE1315" i="1" s="1"/>
  <c r="AX1315" i="1"/>
  <c r="M1315" i="1"/>
  <c r="EM1314" i="1"/>
  <c r="EL1314" i="1"/>
  <c r="EK1314" i="1"/>
  <c r="DU1314" i="1"/>
  <c r="DT1314" i="1"/>
  <c r="DN1314" i="1"/>
  <c r="DM1314" i="1"/>
  <c r="DL1314" i="1"/>
  <c r="DK1314" i="1"/>
  <c r="DI1314" i="1"/>
  <c r="DJ1314" i="1" s="1"/>
  <c r="DB1314" i="1"/>
  <c r="DC1314" i="1" s="1"/>
  <c r="CX1314" i="1"/>
  <c r="CN1314" i="1"/>
  <c r="CS1314" i="1" s="1"/>
  <c r="BS1314" i="1"/>
  <c r="CR1314" i="1" s="1"/>
  <c r="BD1314" i="1"/>
  <c r="BC1314" i="1"/>
  <c r="BB1314" i="1"/>
  <c r="BA1314" i="1"/>
  <c r="AZ1314" i="1"/>
  <c r="BF1314" i="1" s="1" a="1"/>
  <c r="BF1314" i="1" s="1"/>
  <c r="AY1314" i="1"/>
  <c r="BE1314" i="1" s="1" a="1"/>
  <c r="BE1314" i="1" s="1"/>
  <c r="AX1314" i="1"/>
  <c r="M1314" i="1"/>
  <c r="EM1313" i="1"/>
  <c r="EL1313" i="1"/>
  <c r="EK1313" i="1"/>
  <c r="DU1313" i="1"/>
  <c r="DT1313" i="1"/>
  <c r="DN1313" i="1"/>
  <c r="DM1313" i="1"/>
  <c r="DL1313" i="1"/>
  <c r="DK1313" i="1"/>
  <c r="DI1313" i="1"/>
  <c r="DJ1313" i="1" s="1"/>
  <c r="DB1313" i="1"/>
  <c r="DC1313" i="1" s="1"/>
  <c r="CX1313" i="1"/>
  <c r="CN1313" i="1"/>
  <c r="CS1313" i="1" s="1"/>
  <c r="BS1313" i="1"/>
  <c r="BV1313" i="1" s="1"/>
  <c r="BX1313" i="1" s="1"/>
  <c r="BD1313" i="1"/>
  <c r="BC1313" i="1"/>
  <c r="BB1313" i="1"/>
  <c r="BA1313" i="1"/>
  <c r="AZ1313" i="1"/>
  <c r="BF1313" i="1" s="1" a="1"/>
  <c r="BF1313" i="1" s="1"/>
  <c r="AY1313" i="1"/>
  <c r="BE1313" i="1" s="1" a="1"/>
  <c r="BE1313" i="1" s="1"/>
  <c r="AX1313" i="1"/>
  <c r="M1313" i="1"/>
  <c r="EM1312" i="1"/>
  <c r="EL1312" i="1"/>
  <c r="EK1312" i="1"/>
  <c r="DU1312" i="1"/>
  <c r="DT1312" i="1"/>
  <c r="DN1312" i="1"/>
  <c r="DM1312" i="1"/>
  <c r="DL1312" i="1"/>
  <c r="DK1312" i="1"/>
  <c r="DI1312" i="1"/>
  <c r="DJ1312" i="1" s="1"/>
  <c r="DC1312" i="1"/>
  <c r="DB1312" i="1"/>
  <c r="CX1312" i="1"/>
  <c r="CN1312" i="1"/>
  <c r="BS1312" i="1"/>
  <c r="BD1312" i="1"/>
  <c r="BC1312" i="1"/>
  <c r="BB1312" i="1"/>
  <c r="BA1312" i="1"/>
  <c r="AZ1312" i="1"/>
  <c r="BF1312" i="1" s="1" a="1"/>
  <c r="BF1312" i="1" s="1"/>
  <c r="AY1312" i="1"/>
  <c r="BE1312" i="1" s="1" a="1"/>
  <c r="BE1312" i="1" s="1"/>
  <c r="AX1312" i="1"/>
  <c r="M1312" i="1"/>
  <c r="EM1311" i="1"/>
  <c r="EL1311" i="1"/>
  <c r="EK1311" i="1"/>
  <c r="DU1311" i="1"/>
  <c r="DT1311" i="1"/>
  <c r="DN1311" i="1"/>
  <c r="DM1311" i="1"/>
  <c r="DL1311" i="1"/>
  <c r="DK1311" i="1"/>
  <c r="DI1311" i="1"/>
  <c r="DJ1311" i="1" s="1"/>
  <c r="DC1311" i="1"/>
  <c r="CX1311" i="1"/>
  <c r="CN1311" i="1"/>
  <c r="BY1311" i="1"/>
  <c r="EP1311" i="1" s="1"/>
  <c r="BD1311" i="1"/>
  <c r="BC1311" i="1"/>
  <c r="BB1311" i="1"/>
  <c r="BA1311" i="1"/>
  <c r="AZ1311" i="1"/>
  <c r="BF1311" i="1" s="1" a="1"/>
  <c r="BF1311" i="1" s="1"/>
  <c r="AY1311" i="1"/>
  <c r="BE1311" i="1" s="1" a="1"/>
  <c r="BE1311" i="1" s="1"/>
  <c r="AX1311" i="1"/>
  <c r="M1311" i="1"/>
  <c r="EM1310" i="1"/>
  <c r="EL1310" i="1"/>
  <c r="EK1310" i="1"/>
  <c r="DU1310" i="1"/>
  <c r="DT1310" i="1"/>
  <c r="DN1310" i="1"/>
  <c r="DM1310" i="1"/>
  <c r="DL1310" i="1"/>
  <c r="DK1310" i="1"/>
  <c r="DI1310" i="1"/>
  <c r="DJ1310" i="1" s="1"/>
  <c r="DC1310" i="1"/>
  <c r="CX1310" i="1"/>
  <c r="CN1310" i="1"/>
  <c r="BY1310" i="1"/>
  <c r="EP1310" i="1" s="1"/>
  <c r="BD1310" i="1"/>
  <c r="BC1310" i="1"/>
  <c r="BB1310" i="1"/>
  <c r="BA1310" i="1"/>
  <c r="AZ1310" i="1"/>
  <c r="BF1310" i="1" s="1" a="1"/>
  <c r="BF1310" i="1" s="1"/>
  <c r="AY1310" i="1"/>
  <c r="BE1310" i="1" s="1" a="1"/>
  <c r="BE1310" i="1" s="1"/>
  <c r="AX1310" i="1"/>
  <c r="M1310" i="1"/>
  <c r="EM1309" i="1"/>
  <c r="EL1309" i="1"/>
  <c r="EK1309" i="1"/>
  <c r="DU1309" i="1"/>
  <c r="DT1309" i="1"/>
  <c r="DN1309" i="1"/>
  <c r="DM1309" i="1"/>
  <c r="DL1309" i="1"/>
  <c r="DK1309" i="1"/>
  <c r="DI1309" i="1"/>
  <c r="DJ1309" i="1" s="1"/>
  <c r="DC1309" i="1"/>
  <c r="CX1309" i="1"/>
  <c r="CN1309" i="1"/>
  <c r="CR1309" i="1" s="1"/>
  <c r="BY1309" i="1"/>
  <c r="EP1309" i="1" s="1"/>
  <c r="BD1309" i="1"/>
  <c r="BC1309" i="1"/>
  <c r="BB1309" i="1"/>
  <c r="BA1309" i="1"/>
  <c r="AZ1309" i="1"/>
  <c r="BF1309" i="1" s="1" a="1"/>
  <c r="BF1309" i="1" s="1"/>
  <c r="AY1309" i="1"/>
  <c r="BE1309" i="1" s="1" a="1"/>
  <c r="BE1309" i="1" s="1"/>
  <c r="AX1309" i="1"/>
  <c r="M1309" i="1"/>
  <c r="EM1308" i="1"/>
  <c r="EL1308" i="1"/>
  <c r="EK1308" i="1"/>
  <c r="DU1308" i="1"/>
  <c r="DT1308" i="1"/>
  <c r="DN1308" i="1"/>
  <c r="DM1308" i="1"/>
  <c r="DL1308" i="1"/>
  <c r="DK1308" i="1"/>
  <c r="DI1308" i="1"/>
  <c r="DJ1308" i="1" s="1"/>
  <c r="DC1308" i="1"/>
  <c r="CX1308" i="1"/>
  <c r="CN1308" i="1"/>
  <c r="CT1308" i="1" s="1"/>
  <c r="CU1308" i="1" s="1"/>
  <c r="BY1308" i="1"/>
  <c r="EP1308" i="1" s="1"/>
  <c r="BD1308" i="1"/>
  <c r="BC1308" i="1"/>
  <c r="BB1308" i="1"/>
  <c r="BA1308" i="1"/>
  <c r="AZ1308" i="1"/>
  <c r="BF1308" i="1" s="1" a="1"/>
  <c r="BF1308" i="1" s="1"/>
  <c r="AY1308" i="1"/>
  <c r="BE1308" i="1" s="1" a="1"/>
  <c r="BE1308" i="1" s="1"/>
  <c r="AX1308" i="1"/>
  <c r="M1308" i="1"/>
  <c r="EM1307" i="1"/>
  <c r="EL1307" i="1"/>
  <c r="EK1307" i="1"/>
  <c r="DU1307" i="1"/>
  <c r="DT1307" i="1"/>
  <c r="DN1307" i="1"/>
  <c r="DM1307" i="1"/>
  <c r="DL1307" i="1"/>
  <c r="DK1307" i="1"/>
  <c r="DI1307" i="1"/>
  <c r="DJ1307" i="1" s="1"/>
  <c r="DC1307" i="1"/>
  <c r="CX1307" i="1"/>
  <c r="CN1307" i="1"/>
  <c r="CR1307" i="1" s="1"/>
  <c r="BY1307" i="1"/>
  <c r="EP1307" i="1" s="1"/>
  <c r="BE1307" i="1" a="1"/>
  <c r="BE1307" i="1" s="1"/>
  <c r="BD1307" i="1"/>
  <c r="BC1307" i="1"/>
  <c r="BB1307" i="1"/>
  <c r="BA1307" i="1"/>
  <c r="AZ1307" i="1"/>
  <c r="BF1307" i="1" s="1" a="1"/>
  <c r="BF1307" i="1" s="1"/>
  <c r="AY1307" i="1"/>
  <c r="AX1307" i="1"/>
  <c r="M1307" i="1"/>
  <c r="EM1306" i="1"/>
  <c r="EL1306" i="1"/>
  <c r="EK1306" i="1"/>
  <c r="DU1306" i="1"/>
  <c r="DT1306" i="1"/>
  <c r="DN1306" i="1"/>
  <c r="DM1306" i="1"/>
  <c r="DL1306" i="1"/>
  <c r="DK1306" i="1"/>
  <c r="DI1306" i="1"/>
  <c r="DJ1306" i="1" s="1"/>
  <c r="DC1306" i="1"/>
  <c r="CX1306" i="1"/>
  <c r="CN1306" i="1"/>
  <c r="CR1306" i="1" s="1"/>
  <c r="BY1306" i="1"/>
  <c r="EP1306" i="1" s="1"/>
  <c r="BD1306" i="1"/>
  <c r="BC1306" i="1"/>
  <c r="BB1306" i="1"/>
  <c r="BA1306" i="1"/>
  <c r="AZ1306" i="1"/>
  <c r="BF1306" i="1" s="1" a="1"/>
  <c r="BF1306" i="1" s="1"/>
  <c r="AY1306" i="1"/>
  <c r="BE1306" i="1" s="1" a="1"/>
  <c r="BE1306" i="1" s="1"/>
  <c r="AX1306" i="1"/>
  <c r="M1306" i="1"/>
  <c r="EM1305" i="1"/>
  <c r="EL1305" i="1"/>
  <c r="EK1305" i="1"/>
  <c r="DU1305" i="1"/>
  <c r="DT1305" i="1"/>
  <c r="DN1305" i="1"/>
  <c r="DM1305" i="1"/>
  <c r="DL1305" i="1"/>
  <c r="DK1305" i="1"/>
  <c r="DI1305" i="1"/>
  <c r="DJ1305" i="1" s="1"/>
  <c r="DC1305" i="1"/>
  <c r="CX1305" i="1"/>
  <c r="CN1305" i="1"/>
  <c r="CT1305" i="1" s="1"/>
  <c r="CU1305" i="1" s="1"/>
  <c r="BY1305" i="1"/>
  <c r="EP1305" i="1" s="1"/>
  <c r="BM1305" i="1"/>
  <c r="BD1305" i="1"/>
  <c r="BC1305" i="1"/>
  <c r="BB1305" i="1"/>
  <c r="BA1305" i="1"/>
  <c r="AZ1305" i="1"/>
  <c r="BF1305" i="1" s="1" a="1"/>
  <c r="BF1305" i="1" s="1"/>
  <c r="AY1305" i="1"/>
  <c r="BE1305" i="1" s="1" a="1"/>
  <c r="BE1305" i="1" s="1"/>
  <c r="AX1305" i="1"/>
  <c r="M1305" i="1"/>
  <c r="EM1304" i="1"/>
  <c r="EL1304" i="1"/>
  <c r="EK1304" i="1"/>
  <c r="DU1304" i="1"/>
  <c r="DT1304" i="1"/>
  <c r="DN1304" i="1"/>
  <c r="DM1304" i="1"/>
  <c r="DL1304" i="1"/>
  <c r="DK1304" i="1"/>
  <c r="DI1304" i="1"/>
  <c r="DJ1304" i="1" s="1"/>
  <c r="DC1304" i="1"/>
  <c r="CX1304" i="1"/>
  <c r="CN1304" i="1"/>
  <c r="BY1304" i="1"/>
  <c r="EP1304" i="1" s="1"/>
  <c r="BD1304" i="1"/>
  <c r="BC1304" i="1"/>
  <c r="BB1304" i="1"/>
  <c r="BA1304" i="1"/>
  <c r="AZ1304" i="1"/>
  <c r="BF1304" i="1" s="1" a="1"/>
  <c r="BF1304" i="1" s="1"/>
  <c r="AY1304" i="1"/>
  <c r="AX1304" i="1"/>
  <c r="M1304" i="1"/>
  <c r="EM1303" i="1"/>
  <c r="EL1303" i="1"/>
  <c r="EK1303" i="1"/>
  <c r="DU1303" i="1"/>
  <c r="DT1303" i="1"/>
  <c r="DN1303" i="1"/>
  <c r="DM1303" i="1"/>
  <c r="DL1303" i="1"/>
  <c r="DK1303" i="1"/>
  <c r="DI1303" i="1"/>
  <c r="DJ1303" i="1" s="1"/>
  <c r="DC1303" i="1"/>
  <c r="CX1303" i="1"/>
  <c r="CN1303" i="1"/>
  <c r="BY1303" i="1"/>
  <c r="EP1303" i="1" s="1"/>
  <c r="BM1303" i="1"/>
  <c r="BD1303" i="1"/>
  <c r="BC1303" i="1"/>
  <c r="BB1303" i="1"/>
  <c r="BA1303" i="1"/>
  <c r="AZ1303" i="1"/>
  <c r="BF1303" i="1" s="1" a="1"/>
  <c r="BF1303" i="1" s="1"/>
  <c r="AY1303" i="1"/>
  <c r="AX1303" i="1"/>
  <c r="M1303" i="1"/>
  <c r="EM1302" i="1"/>
  <c r="EL1302" i="1"/>
  <c r="EK1302" i="1"/>
  <c r="DU1302" i="1"/>
  <c r="DT1302" i="1"/>
  <c r="DN1302" i="1"/>
  <c r="DM1302" i="1"/>
  <c r="DL1302" i="1"/>
  <c r="DK1302" i="1"/>
  <c r="DI1302" i="1"/>
  <c r="DJ1302" i="1" s="1"/>
  <c r="DC1302" i="1"/>
  <c r="CX1302" i="1"/>
  <c r="CN1302" i="1"/>
  <c r="CS1302" i="1" s="1"/>
  <c r="BX1302" i="1"/>
  <c r="BY1302" i="1" s="1"/>
  <c r="BD1302" i="1"/>
  <c r="BC1302" i="1"/>
  <c r="BB1302" i="1"/>
  <c r="BA1302" i="1"/>
  <c r="AZ1302" i="1"/>
  <c r="BF1302" i="1" s="1" a="1"/>
  <c r="BF1302" i="1" s="1"/>
  <c r="AY1302" i="1"/>
  <c r="BE1302" i="1" s="1" a="1"/>
  <c r="BE1302" i="1" s="1"/>
  <c r="AX1302" i="1"/>
  <c r="M1302" i="1"/>
  <c r="EM1301" i="1"/>
  <c r="EL1301" i="1"/>
  <c r="EK1301" i="1"/>
  <c r="DU1301" i="1"/>
  <c r="DT1301" i="1"/>
  <c r="DN1301" i="1"/>
  <c r="DM1301" i="1"/>
  <c r="DL1301" i="1"/>
  <c r="DK1301" i="1"/>
  <c r="DI1301" i="1"/>
  <c r="DJ1301" i="1" s="1"/>
  <c r="DC1301" i="1"/>
  <c r="CX1301" i="1"/>
  <c r="CN1301" i="1"/>
  <c r="CR1301" i="1" s="1"/>
  <c r="BX1301" i="1"/>
  <c r="BY1301" i="1" s="1"/>
  <c r="BD1301" i="1"/>
  <c r="BC1301" i="1"/>
  <c r="BB1301" i="1"/>
  <c r="BA1301" i="1"/>
  <c r="AZ1301" i="1"/>
  <c r="BF1301" i="1" s="1" a="1"/>
  <c r="BF1301" i="1" s="1"/>
  <c r="AY1301" i="1"/>
  <c r="BE1301" i="1" s="1" a="1"/>
  <c r="BE1301" i="1" s="1"/>
  <c r="AX1301" i="1"/>
  <c r="M1301" i="1"/>
  <c r="EM1300" i="1"/>
  <c r="EL1300" i="1"/>
  <c r="EK1300" i="1"/>
  <c r="DU1300" i="1"/>
  <c r="DT1300" i="1"/>
  <c r="DN1300" i="1"/>
  <c r="DM1300" i="1"/>
  <c r="DL1300" i="1"/>
  <c r="DK1300" i="1"/>
  <c r="DI1300" i="1"/>
  <c r="DJ1300" i="1" s="1"/>
  <c r="DC1300" i="1"/>
  <c r="CX1300" i="1"/>
  <c r="CN1300" i="1"/>
  <c r="CS1300" i="1" s="1"/>
  <c r="BX1300" i="1"/>
  <c r="BY1300" i="1" s="1"/>
  <c r="BD1300" i="1"/>
  <c r="BC1300" i="1"/>
  <c r="BB1300" i="1"/>
  <c r="BA1300" i="1"/>
  <c r="AZ1300" i="1"/>
  <c r="BF1300" i="1" s="1" a="1"/>
  <c r="BF1300" i="1" s="1"/>
  <c r="AY1300" i="1"/>
  <c r="BE1300" i="1" s="1" a="1"/>
  <c r="BE1300" i="1" s="1"/>
  <c r="AX1300" i="1"/>
  <c r="M1300" i="1"/>
  <c r="EM1299" i="1"/>
  <c r="EL1299" i="1"/>
  <c r="EK1299" i="1"/>
  <c r="DU1299" i="1"/>
  <c r="DT1299" i="1"/>
  <c r="DN1299" i="1"/>
  <c r="DM1299" i="1"/>
  <c r="DL1299" i="1"/>
  <c r="DK1299" i="1"/>
  <c r="DI1299" i="1"/>
  <c r="DJ1299" i="1" s="1"/>
  <c r="DC1299" i="1"/>
  <c r="CX1299" i="1"/>
  <c r="CN1299" i="1"/>
  <c r="CR1299" i="1" s="1"/>
  <c r="BX1299" i="1"/>
  <c r="BY1299" i="1" s="1"/>
  <c r="BD1299" i="1"/>
  <c r="BC1299" i="1"/>
  <c r="BB1299" i="1"/>
  <c r="BA1299" i="1"/>
  <c r="AZ1299" i="1"/>
  <c r="BF1299" i="1" s="1" a="1"/>
  <c r="BF1299" i="1" s="1"/>
  <c r="AY1299" i="1"/>
  <c r="BE1299" i="1" s="1" a="1"/>
  <c r="BE1299" i="1" s="1"/>
  <c r="AX1299" i="1"/>
  <c r="M1299" i="1"/>
  <c r="EM1298" i="1"/>
  <c r="EL1298" i="1"/>
  <c r="EK1298" i="1"/>
  <c r="DU1298" i="1"/>
  <c r="DT1298" i="1"/>
  <c r="DN1298" i="1"/>
  <c r="DM1298" i="1"/>
  <c r="DL1298" i="1"/>
  <c r="DK1298" i="1"/>
  <c r="DI1298" i="1"/>
  <c r="DJ1298" i="1" s="1"/>
  <c r="DC1298" i="1"/>
  <c r="CX1298" i="1"/>
  <c r="CN1298" i="1"/>
  <c r="CS1298" i="1" s="1"/>
  <c r="BV1298" i="1"/>
  <c r="BX1298" i="1" s="1"/>
  <c r="BU1298" i="1"/>
  <c r="BN1298" i="1"/>
  <c r="BO1298" i="1" s="1"/>
  <c r="BM1298" i="1"/>
  <c r="BD1298" i="1"/>
  <c r="BC1298" i="1"/>
  <c r="BB1298" i="1"/>
  <c r="BA1298" i="1"/>
  <c r="AZ1298" i="1"/>
  <c r="BF1298" i="1" s="1" a="1"/>
  <c r="BF1298" i="1" s="1"/>
  <c r="AY1298" i="1"/>
  <c r="BE1298" i="1" s="1" a="1"/>
  <c r="BE1298" i="1" s="1"/>
  <c r="AX1298" i="1"/>
  <c r="M1298" i="1"/>
  <c r="EM1297" i="1"/>
  <c r="EL1297" i="1"/>
  <c r="EK1297" i="1"/>
  <c r="DU1297" i="1"/>
  <c r="DT1297" i="1"/>
  <c r="DN1297" i="1"/>
  <c r="DM1297" i="1"/>
  <c r="DL1297" i="1"/>
  <c r="DK1297" i="1"/>
  <c r="DI1297" i="1"/>
  <c r="DJ1297" i="1" s="1"/>
  <c r="DC1297" i="1"/>
  <c r="CX1297" i="1"/>
  <c r="CN1297" i="1"/>
  <c r="BV1297" i="1"/>
  <c r="BX1297" i="1" s="1"/>
  <c r="BU1297" i="1"/>
  <c r="BN1297" i="1"/>
  <c r="BO1297" i="1" s="1"/>
  <c r="BM1297" i="1"/>
  <c r="BD1297" i="1"/>
  <c r="BC1297" i="1"/>
  <c r="BB1297" i="1"/>
  <c r="BA1297" i="1"/>
  <c r="AZ1297" i="1"/>
  <c r="BF1297" i="1" s="1" a="1"/>
  <c r="BF1297" i="1" s="1"/>
  <c r="AY1297" i="1"/>
  <c r="BE1297" i="1" s="1" a="1"/>
  <c r="BE1297" i="1" s="1"/>
  <c r="AX1297" i="1"/>
  <c r="M1297" i="1"/>
  <c r="EM1296" i="1"/>
  <c r="EL1296" i="1"/>
  <c r="EK1296" i="1"/>
  <c r="DU1296" i="1"/>
  <c r="DT1296" i="1"/>
  <c r="DN1296" i="1"/>
  <c r="DM1296" i="1"/>
  <c r="DL1296" i="1"/>
  <c r="DK1296" i="1"/>
  <c r="DI1296" i="1"/>
  <c r="DJ1296" i="1" s="1"/>
  <c r="DC1296" i="1"/>
  <c r="CX1296" i="1"/>
  <c r="CN1296" i="1"/>
  <c r="CP1296" i="1" s="1"/>
  <c r="BV1296" i="1"/>
  <c r="BX1296" i="1" s="1"/>
  <c r="BU1296" i="1"/>
  <c r="BN1296" i="1"/>
  <c r="BO1296" i="1" s="1"/>
  <c r="BM1296" i="1"/>
  <c r="BD1296" i="1"/>
  <c r="BC1296" i="1"/>
  <c r="BB1296" i="1"/>
  <c r="BA1296" i="1"/>
  <c r="AZ1296" i="1"/>
  <c r="BF1296" i="1" s="1" a="1"/>
  <c r="BF1296" i="1" s="1"/>
  <c r="AY1296" i="1"/>
  <c r="BE1296" i="1" s="1" a="1"/>
  <c r="BE1296" i="1" s="1"/>
  <c r="AX1296" i="1"/>
  <c r="M1296" i="1"/>
  <c r="EM1295" i="1"/>
  <c r="EL1295" i="1"/>
  <c r="EK1295" i="1"/>
  <c r="DU1295" i="1"/>
  <c r="DT1295" i="1"/>
  <c r="DN1295" i="1"/>
  <c r="DM1295" i="1"/>
  <c r="DL1295" i="1"/>
  <c r="DK1295" i="1"/>
  <c r="DI1295" i="1"/>
  <c r="DJ1295" i="1" s="1"/>
  <c r="DB1295" i="1"/>
  <c r="DC1295" i="1" s="1"/>
  <c r="CX1295" i="1"/>
  <c r="CN1295" i="1"/>
  <c r="BX1295" i="1"/>
  <c r="BO1295" i="1"/>
  <c r="BD1295" i="1"/>
  <c r="BC1295" i="1"/>
  <c r="BB1295" i="1"/>
  <c r="BA1295" i="1"/>
  <c r="AZ1295" i="1"/>
  <c r="BF1295" i="1" s="1" a="1"/>
  <c r="BF1295" i="1" s="1"/>
  <c r="AY1295" i="1"/>
  <c r="BE1295" i="1" s="1" a="1"/>
  <c r="BE1295" i="1" s="1"/>
  <c r="AX1295" i="1"/>
  <c r="M1295" i="1"/>
  <c r="EM1294" i="1"/>
  <c r="EL1294" i="1"/>
  <c r="EK1294" i="1"/>
  <c r="DU1294" i="1"/>
  <c r="DT1294" i="1"/>
  <c r="DN1294" i="1"/>
  <c r="DM1294" i="1"/>
  <c r="DL1294" i="1"/>
  <c r="DK1294" i="1"/>
  <c r="DI1294" i="1"/>
  <c r="DJ1294" i="1" s="1"/>
  <c r="DB1294" i="1"/>
  <c r="DC1294" i="1" s="1"/>
  <c r="CX1294" i="1"/>
  <c r="CN1294" i="1"/>
  <c r="BX1294" i="1"/>
  <c r="BO1294" i="1"/>
  <c r="BD1294" i="1"/>
  <c r="BC1294" i="1"/>
  <c r="BB1294" i="1"/>
  <c r="BA1294" i="1"/>
  <c r="AZ1294" i="1"/>
  <c r="BF1294" i="1" s="1" a="1"/>
  <c r="BF1294" i="1" s="1"/>
  <c r="AY1294" i="1"/>
  <c r="BE1294" i="1" s="1" a="1"/>
  <c r="BE1294" i="1" s="1"/>
  <c r="AX1294" i="1"/>
  <c r="M1294" i="1"/>
  <c r="EM1293" i="1"/>
  <c r="EL1293" i="1"/>
  <c r="EK1293" i="1"/>
  <c r="DU1293" i="1"/>
  <c r="DT1293" i="1"/>
  <c r="DN1293" i="1"/>
  <c r="DM1293" i="1"/>
  <c r="DL1293" i="1"/>
  <c r="DK1293" i="1"/>
  <c r="DI1293" i="1"/>
  <c r="DJ1293" i="1" s="1"/>
  <c r="DB1293" i="1"/>
  <c r="DC1293" i="1" s="1"/>
  <c r="CX1293" i="1"/>
  <c r="CN1293" i="1"/>
  <c r="BX1293" i="1"/>
  <c r="BY1293" i="1" s="1"/>
  <c r="EP1293" i="1" s="1"/>
  <c r="BD1293" i="1"/>
  <c r="BC1293" i="1"/>
  <c r="BB1293" i="1"/>
  <c r="BA1293" i="1"/>
  <c r="AZ1293" i="1"/>
  <c r="BF1293" i="1" s="1" a="1"/>
  <c r="BF1293" i="1" s="1"/>
  <c r="AY1293" i="1"/>
  <c r="AX1293" i="1"/>
  <c r="M1293" i="1"/>
  <c r="EM1292" i="1"/>
  <c r="EL1292" i="1"/>
  <c r="EK1292" i="1"/>
  <c r="DU1292" i="1"/>
  <c r="DT1292" i="1"/>
  <c r="DN1292" i="1"/>
  <c r="DM1292" i="1"/>
  <c r="DL1292" i="1"/>
  <c r="DK1292" i="1"/>
  <c r="DI1292" i="1"/>
  <c r="DJ1292" i="1" s="1"/>
  <c r="DB1292" i="1"/>
  <c r="DC1292" i="1" s="1"/>
  <c r="CX1292" i="1"/>
  <c r="CN1292" i="1"/>
  <c r="CS1292" i="1" s="1"/>
  <c r="BX1292" i="1"/>
  <c r="BY1292" i="1" s="1"/>
  <c r="EP1292" i="1" s="1"/>
  <c r="BD1292" i="1"/>
  <c r="BC1292" i="1"/>
  <c r="BB1292" i="1"/>
  <c r="BA1292" i="1"/>
  <c r="AZ1292" i="1"/>
  <c r="BF1292" i="1" s="1" a="1"/>
  <c r="BF1292" i="1" s="1"/>
  <c r="AY1292" i="1"/>
  <c r="AX1292" i="1"/>
  <c r="M1292" i="1"/>
  <c r="EM1291" i="1"/>
  <c r="EL1291" i="1"/>
  <c r="EK1291" i="1"/>
  <c r="DU1291" i="1"/>
  <c r="DT1291" i="1"/>
  <c r="DN1291" i="1"/>
  <c r="DM1291" i="1"/>
  <c r="DL1291" i="1"/>
  <c r="DK1291" i="1"/>
  <c r="DI1291" i="1"/>
  <c r="DJ1291" i="1" s="1"/>
  <c r="DB1291" i="1"/>
  <c r="DC1291" i="1" s="1"/>
  <c r="CX1291" i="1"/>
  <c r="CN1291" i="1"/>
  <c r="BX1291" i="1"/>
  <c r="BY1291" i="1" s="1"/>
  <c r="EP1291" i="1" s="1"/>
  <c r="BD1291" i="1"/>
  <c r="BC1291" i="1"/>
  <c r="BB1291" i="1"/>
  <c r="BA1291" i="1"/>
  <c r="AZ1291" i="1"/>
  <c r="BF1291" i="1" s="1" a="1"/>
  <c r="BF1291" i="1" s="1"/>
  <c r="AY1291" i="1"/>
  <c r="AX1291" i="1"/>
  <c r="M1291" i="1"/>
  <c r="EM1290" i="1"/>
  <c r="EL1290" i="1"/>
  <c r="EK1290" i="1"/>
  <c r="DU1290" i="1"/>
  <c r="DT1290" i="1"/>
  <c r="DN1290" i="1"/>
  <c r="DM1290" i="1"/>
  <c r="DL1290" i="1"/>
  <c r="DK1290" i="1"/>
  <c r="DI1290" i="1"/>
  <c r="DJ1290" i="1" s="1"/>
  <c r="DB1290" i="1"/>
  <c r="DC1290" i="1" s="1"/>
  <c r="CX1290" i="1"/>
  <c r="CN1290" i="1"/>
  <c r="CS1290" i="1" s="1"/>
  <c r="BV1290" i="1"/>
  <c r="BX1290" i="1" s="1"/>
  <c r="BY1290" i="1" s="1"/>
  <c r="BU1290" i="1"/>
  <c r="BD1290" i="1"/>
  <c r="BC1290" i="1"/>
  <c r="BB1290" i="1"/>
  <c r="BA1290" i="1"/>
  <c r="AZ1290" i="1"/>
  <c r="BF1290" i="1" s="1" a="1"/>
  <c r="BF1290" i="1" s="1"/>
  <c r="AY1290" i="1"/>
  <c r="BE1290" i="1" s="1" a="1"/>
  <c r="BE1290" i="1" s="1"/>
  <c r="AX1290" i="1"/>
  <c r="M1290" i="1"/>
  <c r="EM1289" i="1"/>
  <c r="EL1289" i="1"/>
  <c r="EK1289" i="1"/>
  <c r="DU1289" i="1"/>
  <c r="DT1289" i="1"/>
  <c r="DN1289" i="1"/>
  <c r="DM1289" i="1"/>
  <c r="DL1289" i="1"/>
  <c r="DK1289" i="1"/>
  <c r="DI1289" i="1"/>
  <c r="DJ1289" i="1" s="1"/>
  <c r="DB1289" i="1"/>
  <c r="DC1289" i="1" s="1"/>
  <c r="CX1289" i="1"/>
  <c r="CN1289" i="1"/>
  <c r="BV1289" i="1"/>
  <c r="BX1289" i="1" s="1"/>
  <c r="BY1289" i="1" s="1"/>
  <c r="BU1289" i="1"/>
  <c r="BD1289" i="1"/>
  <c r="BC1289" i="1"/>
  <c r="BB1289" i="1"/>
  <c r="BA1289" i="1"/>
  <c r="AZ1289" i="1"/>
  <c r="BF1289" i="1" s="1" a="1"/>
  <c r="BF1289" i="1" s="1"/>
  <c r="AY1289" i="1"/>
  <c r="BE1289" i="1" s="1" a="1"/>
  <c r="BE1289" i="1" s="1"/>
  <c r="AX1289" i="1"/>
  <c r="M1289" i="1"/>
  <c r="EM1288" i="1"/>
  <c r="EL1288" i="1"/>
  <c r="EK1288" i="1"/>
  <c r="DU1288" i="1"/>
  <c r="DT1288" i="1"/>
  <c r="DN1288" i="1"/>
  <c r="DM1288" i="1"/>
  <c r="DL1288" i="1"/>
  <c r="DK1288" i="1"/>
  <c r="DI1288" i="1"/>
  <c r="DJ1288" i="1" s="1"/>
  <c r="DC1288" i="1"/>
  <c r="CX1288" i="1"/>
  <c r="CN1288" i="1"/>
  <c r="BX1288" i="1"/>
  <c r="BY1288" i="1" s="1"/>
  <c r="BD1288" i="1"/>
  <c r="BC1288" i="1"/>
  <c r="BB1288" i="1"/>
  <c r="BA1288" i="1"/>
  <c r="AZ1288" i="1"/>
  <c r="BF1288" i="1" s="1" a="1"/>
  <c r="BF1288" i="1" s="1"/>
  <c r="AY1288" i="1"/>
  <c r="BE1288" i="1" s="1" a="1"/>
  <c r="BE1288" i="1" s="1"/>
  <c r="AX1288" i="1"/>
  <c r="M1288" i="1"/>
  <c r="EM1287" i="1"/>
  <c r="EL1287" i="1"/>
  <c r="EK1287" i="1"/>
  <c r="DU1287" i="1"/>
  <c r="DT1287" i="1"/>
  <c r="DN1287" i="1"/>
  <c r="DM1287" i="1"/>
  <c r="DL1287" i="1"/>
  <c r="DK1287" i="1"/>
  <c r="DI1287" i="1"/>
  <c r="DJ1287" i="1" s="1"/>
  <c r="DC1287" i="1"/>
  <c r="CX1287" i="1"/>
  <c r="CN1287" i="1"/>
  <c r="BX1287" i="1"/>
  <c r="BY1287" i="1" s="1"/>
  <c r="BD1287" i="1"/>
  <c r="BC1287" i="1"/>
  <c r="BB1287" i="1"/>
  <c r="BA1287" i="1"/>
  <c r="AZ1287" i="1"/>
  <c r="BF1287" i="1" s="1" a="1"/>
  <c r="BF1287" i="1" s="1"/>
  <c r="AY1287" i="1"/>
  <c r="BE1287" i="1" s="1" a="1"/>
  <c r="BE1287" i="1" s="1"/>
  <c r="AX1287" i="1"/>
  <c r="M1287" i="1"/>
  <c r="EM1286" i="1"/>
  <c r="EL1286" i="1"/>
  <c r="EK1286" i="1"/>
  <c r="DU1286" i="1"/>
  <c r="DT1286" i="1"/>
  <c r="DN1286" i="1"/>
  <c r="DM1286" i="1"/>
  <c r="DL1286" i="1"/>
  <c r="DK1286" i="1"/>
  <c r="DI1286" i="1"/>
  <c r="DJ1286" i="1" s="1"/>
  <c r="DC1286" i="1"/>
  <c r="CX1286" i="1"/>
  <c r="CN1286" i="1"/>
  <c r="BX1286" i="1"/>
  <c r="BY1286" i="1" s="1"/>
  <c r="EP1286" i="1" s="1"/>
  <c r="BD1286" i="1"/>
  <c r="BC1286" i="1"/>
  <c r="BB1286" i="1"/>
  <c r="BA1286" i="1"/>
  <c r="AZ1286" i="1"/>
  <c r="BF1286" i="1" s="1" a="1"/>
  <c r="BF1286" i="1" s="1"/>
  <c r="AY1286" i="1"/>
  <c r="BE1286" i="1" s="1" a="1"/>
  <c r="BE1286" i="1" s="1"/>
  <c r="AX1286" i="1"/>
  <c r="M1286" i="1"/>
  <c r="EM1285" i="1"/>
  <c r="EL1285" i="1"/>
  <c r="EK1285" i="1"/>
  <c r="DU1285" i="1"/>
  <c r="DT1285" i="1"/>
  <c r="DN1285" i="1"/>
  <c r="DM1285" i="1"/>
  <c r="DL1285" i="1"/>
  <c r="DK1285" i="1"/>
  <c r="DI1285" i="1"/>
  <c r="DJ1285" i="1" s="1"/>
  <c r="DC1285" i="1"/>
  <c r="CX1285" i="1"/>
  <c r="CN1285" i="1"/>
  <c r="BX1285" i="1"/>
  <c r="BY1285" i="1" s="1"/>
  <c r="EP1285" i="1" s="1"/>
  <c r="BD1285" i="1"/>
  <c r="BC1285" i="1"/>
  <c r="BB1285" i="1"/>
  <c r="BA1285" i="1"/>
  <c r="AZ1285" i="1"/>
  <c r="BF1285" i="1" s="1" a="1"/>
  <c r="BF1285" i="1" s="1"/>
  <c r="AY1285" i="1"/>
  <c r="BE1285" i="1" s="1" a="1"/>
  <c r="BE1285" i="1" s="1"/>
  <c r="AX1285" i="1"/>
  <c r="M1285" i="1"/>
  <c r="EM1284" i="1"/>
  <c r="EL1284" i="1"/>
  <c r="EK1284" i="1"/>
  <c r="DU1284" i="1"/>
  <c r="DT1284" i="1"/>
  <c r="DN1284" i="1"/>
  <c r="DM1284" i="1"/>
  <c r="DL1284" i="1"/>
  <c r="DK1284" i="1"/>
  <c r="DI1284" i="1"/>
  <c r="DJ1284" i="1" s="1"/>
  <c r="DB1284" i="1"/>
  <c r="DC1284" i="1" s="1"/>
  <c r="CX1284" i="1"/>
  <c r="CN1284" i="1"/>
  <c r="BX1284" i="1"/>
  <c r="BY1284" i="1" s="1"/>
  <c r="BN1284" i="1"/>
  <c r="BD1284" i="1"/>
  <c r="BC1284" i="1"/>
  <c r="BB1284" i="1"/>
  <c r="BA1284" i="1"/>
  <c r="AZ1284" i="1"/>
  <c r="BF1284" i="1" s="1" a="1"/>
  <c r="BF1284" i="1" s="1"/>
  <c r="AY1284" i="1"/>
  <c r="BE1284" i="1" s="1" a="1"/>
  <c r="BE1284" i="1" s="1"/>
  <c r="AX1284" i="1"/>
  <c r="M1284" i="1"/>
  <c r="EM1283" i="1"/>
  <c r="EL1283" i="1"/>
  <c r="EK1283" i="1"/>
  <c r="DU1283" i="1"/>
  <c r="DT1283" i="1"/>
  <c r="DN1283" i="1"/>
  <c r="DM1283" i="1"/>
  <c r="DL1283" i="1"/>
  <c r="DK1283" i="1"/>
  <c r="DI1283" i="1"/>
  <c r="DJ1283" i="1" s="1"/>
  <c r="DB1283" i="1"/>
  <c r="DC1283" i="1" s="1"/>
  <c r="CX1283" i="1"/>
  <c r="CN1283" i="1"/>
  <c r="CO1283" i="1" s="1"/>
  <c r="BX1283" i="1"/>
  <c r="BY1283" i="1" s="1"/>
  <c r="BN1283" i="1"/>
  <c r="BD1283" i="1"/>
  <c r="BC1283" i="1"/>
  <c r="BB1283" i="1"/>
  <c r="BA1283" i="1"/>
  <c r="AZ1283" i="1"/>
  <c r="BF1283" i="1" s="1" a="1"/>
  <c r="BF1283" i="1" s="1"/>
  <c r="AY1283" i="1"/>
  <c r="BE1283" i="1" s="1" a="1"/>
  <c r="BE1283" i="1" s="1"/>
  <c r="AX1283" i="1"/>
  <c r="M1283" i="1"/>
  <c r="EM1282" i="1"/>
  <c r="EL1282" i="1"/>
  <c r="EK1282" i="1"/>
  <c r="DU1282" i="1"/>
  <c r="DT1282" i="1"/>
  <c r="DN1282" i="1"/>
  <c r="DM1282" i="1"/>
  <c r="DL1282" i="1"/>
  <c r="DK1282" i="1"/>
  <c r="DI1282" i="1"/>
  <c r="DJ1282" i="1" s="1"/>
  <c r="DB1282" i="1"/>
  <c r="DC1282" i="1" s="1"/>
  <c r="CX1282" i="1"/>
  <c r="CN1282" i="1"/>
  <c r="CS1282" i="1" s="1"/>
  <c r="BX1282" i="1"/>
  <c r="BY1282" i="1" s="1"/>
  <c r="BN1282" i="1"/>
  <c r="BD1282" i="1"/>
  <c r="BC1282" i="1"/>
  <c r="BB1282" i="1"/>
  <c r="BA1282" i="1"/>
  <c r="AZ1282" i="1"/>
  <c r="BF1282" i="1" s="1" a="1"/>
  <c r="BF1282" i="1" s="1"/>
  <c r="AY1282" i="1"/>
  <c r="BE1282" i="1" s="1" a="1"/>
  <c r="BE1282" i="1" s="1"/>
  <c r="AX1282" i="1"/>
  <c r="M1282" i="1"/>
  <c r="EM1281" i="1"/>
  <c r="EL1281" i="1"/>
  <c r="EK1281" i="1"/>
  <c r="DU1281" i="1"/>
  <c r="DT1281" i="1"/>
  <c r="DN1281" i="1"/>
  <c r="DM1281" i="1"/>
  <c r="DL1281" i="1"/>
  <c r="DK1281" i="1"/>
  <c r="DI1281" i="1"/>
  <c r="DJ1281" i="1" s="1"/>
  <c r="DB1281" i="1"/>
  <c r="DC1281" i="1" s="1"/>
  <c r="CX1281" i="1"/>
  <c r="CN1281" i="1"/>
  <c r="BX1281" i="1"/>
  <c r="BN1281" i="1"/>
  <c r="BO1281" i="1" s="1"/>
  <c r="BD1281" i="1"/>
  <c r="BC1281" i="1"/>
  <c r="BB1281" i="1"/>
  <c r="BA1281" i="1"/>
  <c r="AZ1281" i="1"/>
  <c r="BF1281" i="1" s="1" a="1"/>
  <c r="BF1281" i="1" s="1"/>
  <c r="AY1281" i="1"/>
  <c r="BE1281" i="1" s="1" a="1"/>
  <c r="BE1281" i="1" s="1"/>
  <c r="AX1281" i="1"/>
  <c r="M1281" i="1"/>
  <c r="EM1280" i="1"/>
  <c r="EL1280" i="1"/>
  <c r="EK1280" i="1"/>
  <c r="DU1280" i="1"/>
  <c r="DT1280" i="1"/>
  <c r="DN1280" i="1"/>
  <c r="DM1280" i="1"/>
  <c r="DL1280" i="1"/>
  <c r="DK1280" i="1"/>
  <c r="DI1280" i="1"/>
  <c r="DJ1280" i="1" s="1"/>
  <c r="DB1280" i="1"/>
  <c r="DC1280" i="1" s="1"/>
  <c r="CX1280" i="1"/>
  <c r="CN1280" i="1"/>
  <c r="CS1280" i="1" s="1"/>
  <c r="BX1280" i="1"/>
  <c r="BN1280" i="1"/>
  <c r="BO1280" i="1" s="1"/>
  <c r="BD1280" i="1"/>
  <c r="BC1280" i="1"/>
  <c r="BB1280" i="1"/>
  <c r="BA1280" i="1"/>
  <c r="AZ1280" i="1"/>
  <c r="BF1280" i="1" s="1" a="1"/>
  <c r="BF1280" i="1" s="1"/>
  <c r="AY1280" i="1"/>
  <c r="BE1280" i="1" s="1" a="1"/>
  <c r="BE1280" i="1" s="1"/>
  <c r="AX1280" i="1"/>
  <c r="M1280" i="1"/>
  <c r="EM1279" i="1"/>
  <c r="EL1279" i="1"/>
  <c r="EK1279" i="1"/>
  <c r="DU1279" i="1"/>
  <c r="DT1279" i="1"/>
  <c r="DN1279" i="1"/>
  <c r="DM1279" i="1"/>
  <c r="DL1279" i="1"/>
  <c r="DK1279" i="1"/>
  <c r="DI1279" i="1"/>
  <c r="DJ1279" i="1" s="1"/>
  <c r="DC1279" i="1"/>
  <c r="CX1279" i="1"/>
  <c r="CN1279" i="1"/>
  <c r="CO1279" i="1" s="1"/>
  <c r="BX1279" i="1"/>
  <c r="BN1279" i="1"/>
  <c r="BO1279" i="1" s="1"/>
  <c r="BY1279" i="1" s="1"/>
  <c r="BD1279" i="1"/>
  <c r="BC1279" i="1"/>
  <c r="BB1279" i="1"/>
  <c r="BA1279" i="1"/>
  <c r="AZ1279" i="1"/>
  <c r="BF1279" i="1" s="1" a="1"/>
  <c r="BF1279" i="1" s="1"/>
  <c r="AY1279" i="1"/>
  <c r="BE1279" i="1" s="1" a="1"/>
  <c r="BE1279" i="1" s="1"/>
  <c r="AX1279" i="1"/>
  <c r="M1279" i="1"/>
  <c r="EM1278" i="1"/>
  <c r="EL1278" i="1"/>
  <c r="EK1278" i="1"/>
  <c r="DU1278" i="1"/>
  <c r="DT1278" i="1"/>
  <c r="DN1278" i="1"/>
  <c r="DM1278" i="1"/>
  <c r="DL1278" i="1"/>
  <c r="DK1278" i="1"/>
  <c r="DI1278" i="1"/>
  <c r="DJ1278" i="1" s="1"/>
  <c r="DC1278" i="1"/>
  <c r="CX1278" i="1"/>
  <c r="CN1278" i="1"/>
  <c r="BX1278" i="1"/>
  <c r="BN1278" i="1"/>
  <c r="BO1278" i="1" s="1"/>
  <c r="BD1278" i="1"/>
  <c r="BC1278" i="1"/>
  <c r="BB1278" i="1"/>
  <c r="BA1278" i="1"/>
  <c r="AZ1278" i="1"/>
  <c r="BF1278" i="1" s="1" a="1"/>
  <c r="BF1278" i="1" s="1"/>
  <c r="AY1278" i="1"/>
  <c r="BE1278" i="1" s="1" a="1"/>
  <c r="BE1278" i="1" s="1"/>
  <c r="AX1278" i="1"/>
  <c r="M1278" i="1"/>
  <c r="EM1277" i="1"/>
  <c r="EL1277" i="1"/>
  <c r="EK1277" i="1"/>
  <c r="DU1277" i="1"/>
  <c r="DT1277" i="1"/>
  <c r="DN1277" i="1"/>
  <c r="DM1277" i="1"/>
  <c r="DL1277" i="1"/>
  <c r="DK1277" i="1"/>
  <c r="DI1277" i="1"/>
  <c r="DJ1277" i="1" s="1"/>
  <c r="DC1277" i="1"/>
  <c r="CX1277" i="1"/>
  <c r="CN1277" i="1"/>
  <c r="CR1277" i="1" s="1"/>
  <c r="BX1277" i="1"/>
  <c r="BY1277" i="1" s="1"/>
  <c r="BD1277" i="1"/>
  <c r="BC1277" i="1"/>
  <c r="BB1277" i="1"/>
  <c r="BA1277" i="1"/>
  <c r="AZ1277" i="1"/>
  <c r="BF1277" i="1" s="1" a="1"/>
  <c r="BF1277" i="1" s="1"/>
  <c r="AY1277" i="1"/>
  <c r="BE1277" i="1" s="1" a="1"/>
  <c r="BE1277" i="1" s="1"/>
  <c r="AX1277" i="1"/>
  <c r="M1277" i="1"/>
  <c r="EM1276" i="1"/>
  <c r="EL1276" i="1"/>
  <c r="EK1276" i="1"/>
  <c r="DU1276" i="1"/>
  <c r="DT1276" i="1"/>
  <c r="DN1276" i="1"/>
  <c r="DM1276" i="1"/>
  <c r="DL1276" i="1"/>
  <c r="DK1276" i="1"/>
  <c r="DI1276" i="1"/>
  <c r="DJ1276" i="1" s="1"/>
  <c r="DC1276" i="1"/>
  <c r="CX1276" i="1"/>
  <c r="CN1276" i="1"/>
  <c r="CR1276" i="1" s="1"/>
  <c r="BX1276" i="1"/>
  <c r="BY1276" i="1" s="1"/>
  <c r="BD1276" i="1"/>
  <c r="BC1276" i="1"/>
  <c r="BB1276" i="1"/>
  <c r="BA1276" i="1"/>
  <c r="AZ1276" i="1"/>
  <c r="BF1276" i="1" s="1" a="1"/>
  <c r="BF1276" i="1" s="1"/>
  <c r="AY1276" i="1"/>
  <c r="BE1276" i="1" s="1" a="1"/>
  <c r="BE1276" i="1" s="1"/>
  <c r="AX1276" i="1"/>
  <c r="M1276" i="1"/>
  <c r="EM1275" i="1"/>
  <c r="EL1275" i="1"/>
  <c r="EK1275" i="1"/>
  <c r="DU1275" i="1"/>
  <c r="DT1275" i="1"/>
  <c r="DN1275" i="1"/>
  <c r="DM1275" i="1"/>
  <c r="DL1275" i="1"/>
  <c r="DK1275" i="1"/>
  <c r="DI1275" i="1"/>
  <c r="DJ1275" i="1" s="1"/>
  <c r="DB1275" i="1"/>
  <c r="DC1275" i="1" s="1"/>
  <c r="CX1275" i="1"/>
  <c r="CN1275" i="1"/>
  <c r="CR1275" i="1" s="1"/>
  <c r="BV1275" i="1"/>
  <c r="BX1275" i="1" s="1"/>
  <c r="BY1275" i="1" s="1"/>
  <c r="BU1275" i="1"/>
  <c r="BD1275" i="1"/>
  <c r="BC1275" i="1"/>
  <c r="BB1275" i="1"/>
  <c r="BA1275" i="1"/>
  <c r="AZ1275" i="1"/>
  <c r="BF1275" i="1" s="1" a="1"/>
  <c r="BF1275" i="1" s="1"/>
  <c r="AY1275" i="1"/>
  <c r="BE1275" i="1" s="1" a="1"/>
  <c r="BE1275" i="1" s="1"/>
  <c r="AX1275" i="1"/>
  <c r="M1275" i="1"/>
  <c r="EM1274" i="1"/>
  <c r="EL1274" i="1"/>
  <c r="EK1274" i="1"/>
  <c r="DU1274" i="1"/>
  <c r="DT1274" i="1"/>
  <c r="DN1274" i="1"/>
  <c r="DM1274" i="1"/>
  <c r="DL1274" i="1"/>
  <c r="DK1274" i="1"/>
  <c r="DI1274" i="1"/>
  <c r="DJ1274" i="1" s="1"/>
  <c r="DB1274" i="1"/>
  <c r="DC1274" i="1" s="1"/>
  <c r="CX1274" i="1"/>
  <c r="CN1274" i="1"/>
  <c r="CR1274" i="1" s="1"/>
  <c r="BV1274" i="1"/>
  <c r="BX1274" i="1" s="1"/>
  <c r="BU1274" i="1"/>
  <c r="BD1274" i="1"/>
  <c r="BC1274" i="1"/>
  <c r="BB1274" i="1"/>
  <c r="BA1274" i="1"/>
  <c r="AZ1274" i="1"/>
  <c r="BF1274" i="1" s="1" a="1"/>
  <c r="BF1274" i="1" s="1"/>
  <c r="AY1274" i="1"/>
  <c r="BE1274" i="1" s="1" a="1"/>
  <c r="BE1274" i="1" s="1"/>
  <c r="AX1274" i="1"/>
  <c r="M1274" i="1"/>
  <c r="EM1273" i="1"/>
  <c r="EL1273" i="1"/>
  <c r="EK1273" i="1"/>
  <c r="DU1273" i="1"/>
  <c r="DT1273" i="1"/>
  <c r="DN1273" i="1"/>
  <c r="DM1273" i="1"/>
  <c r="DL1273" i="1"/>
  <c r="DK1273" i="1"/>
  <c r="DI1273" i="1"/>
  <c r="DJ1273" i="1" s="1"/>
  <c r="DB1273" i="1"/>
  <c r="DC1273" i="1" s="1"/>
  <c r="CX1273" i="1"/>
  <c r="CN1273" i="1"/>
  <c r="CR1273" i="1" s="1"/>
  <c r="BV1273" i="1"/>
  <c r="BX1273" i="1" s="1"/>
  <c r="CT1273" i="1" s="1"/>
  <c r="CU1273" i="1" s="1"/>
  <c r="BU1273" i="1"/>
  <c r="BD1273" i="1"/>
  <c r="BC1273" i="1"/>
  <c r="BB1273" i="1"/>
  <c r="BA1273" i="1"/>
  <c r="AZ1273" i="1"/>
  <c r="AY1273" i="1"/>
  <c r="BE1273" i="1" s="1" a="1"/>
  <c r="BE1273" i="1" s="1"/>
  <c r="AX1273" i="1"/>
  <c r="M1273" i="1"/>
  <c r="EM1272" i="1"/>
  <c r="EL1272" i="1"/>
  <c r="EK1272" i="1"/>
  <c r="DU1272" i="1"/>
  <c r="DT1272" i="1"/>
  <c r="DN1272" i="1"/>
  <c r="DM1272" i="1"/>
  <c r="DL1272" i="1"/>
  <c r="DK1272" i="1"/>
  <c r="DI1272" i="1"/>
  <c r="DJ1272" i="1" s="1"/>
  <c r="DB1272" i="1"/>
  <c r="DC1272" i="1" s="1"/>
  <c r="CX1272" i="1"/>
  <c r="CN1272" i="1"/>
  <c r="CS1272" i="1" s="1"/>
  <c r="BV1272" i="1"/>
  <c r="BX1272" i="1" s="1"/>
  <c r="BY1272" i="1" s="1"/>
  <c r="BU1272" i="1"/>
  <c r="BD1272" i="1"/>
  <c r="BC1272" i="1"/>
  <c r="BB1272" i="1"/>
  <c r="BA1272" i="1"/>
  <c r="AZ1272" i="1"/>
  <c r="BF1272" i="1" s="1" a="1"/>
  <c r="BF1272" i="1" s="1"/>
  <c r="AY1272" i="1"/>
  <c r="BE1272" i="1" s="1" a="1"/>
  <c r="BE1272" i="1" s="1"/>
  <c r="AX1272" i="1"/>
  <c r="M1272" i="1"/>
  <c r="EM1271" i="1"/>
  <c r="EL1271" i="1"/>
  <c r="EK1271" i="1"/>
  <c r="DU1271" i="1"/>
  <c r="DT1271" i="1"/>
  <c r="DN1271" i="1"/>
  <c r="DM1271" i="1"/>
  <c r="DL1271" i="1"/>
  <c r="DK1271" i="1"/>
  <c r="DI1271" i="1"/>
  <c r="DJ1271" i="1" s="1"/>
  <c r="DB1271" i="1"/>
  <c r="DC1271" i="1" s="1"/>
  <c r="CX1271" i="1"/>
  <c r="CN1271" i="1"/>
  <c r="CR1271" i="1" s="1"/>
  <c r="BV1271" i="1"/>
  <c r="BX1271" i="1" s="1"/>
  <c r="BU1271" i="1"/>
  <c r="BD1271" i="1"/>
  <c r="BC1271" i="1"/>
  <c r="BB1271" i="1"/>
  <c r="BA1271" i="1"/>
  <c r="AZ1271" i="1"/>
  <c r="BF1271" i="1" s="1" a="1"/>
  <c r="BF1271" i="1" s="1"/>
  <c r="AY1271" i="1"/>
  <c r="AX1271" i="1"/>
  <c r="M1271" i="1"/>
  <c r="EM1270" i="1"/>
  <c r="EL1270" i="1"/>
  <c r="EK1270" i="1"/>
  <c r="DU1270" i="1"/>
  <c r="DT1270" i="1"/>
  <c r="DN1270" i="1"/>
  <c r="DM1270" i="1"/>
  <c r="DL1270" i="1"/>
  <c r="DK1270" i="1"/>
  <c r="DI1270" i="1"/>
  <c r="DJ1270" i="1" s="1"/>
  <c r="DB1270" i="1"/>
  <c r="DC1270" i="1" s="1"/>
  <c r="CX1270" i="1"/>
  <c r="CN1270" i="1"/>
  <c r="CR1270" i="1" s="1"/>
  <c r="BV1270" i="1"/>
  <c r="BX1270" i="1" s="1"/>
  <c r="BY1270" i="1" s="1"/>
  <c r="BU1270" i="1"/>
  <c r="BD1270" i="1"/>
  <c r="BC1270" i="1"/>
  <c r="BB1270" i="1"/>
  <c r="BA1270" i="1"/>
  <c r="AZ1270" i="1"/>
  <c r="BF1270" i="1" s="1" a="1"/>
  <c r="BF1270" i="1" s="1"/>
  <c r="AY1270" i="1"/>
  <c r="AX1270" i="1"/>
  <c r="M1270" i="1"/>
  <c r="EM1269" i="1"/>
  <c r="EL1269" i="1"/>
  <c r="EK1269" i="1"/>
  <c r="DU1269" i="1"/>
  <c r="DT1269" i="1"/>
  <c r="DN1269" i="1"/>
  <c r="DM1269" i="1"/>
  <c r="DL1269" i="1"/>
  <c r="DK1269" i="1"/>
  <c r="DI1269" i="1"/>
  <c r="DJ1269" i="1" s="1"/>
  <c r="DB1269" i="1"/>
  <c r="DC1269" i="1" s="1"/>
  <c r="CX1269" i="1"/>
  <c r="CN1269" i="1"/>
  <c r="CR1269" i="1" s="1"/>
  <c r="BV1269" i="1"/>
  <c r="BX1269" i="1" s="1"/>
  <c r="BU1269" i="1"/>
  <c r="BD1269" i="1"/>
  <c r="BC1269" i="1"/>
  <c r="BB1269" i="1"/>
  <c r="BA1269" i="1"/>
  <c r="AZ1269" i="1"/>
  <c r="BF1269" i="1" s="1" a="1"/>
  <c r="BF1269" i="1" s="1"/>
  <c r="AY1269" i="1"/>
  <c r="AX1269" i="1"/>
  <c r="M1269" i="1"/>
  <c r="EM1268" i="1"/>
  <c r="EL1268" i="1"/>
  <c r="EK1268" i="1"/>
  <c r="DU1268" i="1"/>
  <c r="DT1268" i="1"/>
  <c r="DN1268" i="1"/>
  <c r="DM1268" i="1"/>
  <c r="DL1268" i="1"/>
  <c r="DK1268" i="1"/>
  <c r="DI1268" i="1"/>
  <c r="DJ1268" i="1" s="1"/>
  <c r="DB1268" i="1"/>
  <c r="DC1268" i="1" s="1"/>
  <c r="CX1268" i="1"/>
  <c r="CN1268" i="1"/>
  <c r="BV1268" i="1"/>
  <c r="BX1268" i="1" s="1"/>
  <c r="BY1268" i="1" s="1"/>
  <c r="BU1268" i="1"/>
  <c r="BD1268" i="1"/>
  <c r="BC1268" i="1"/>
  <c r="BB1268" i="1"/>
  <c r="BA1268" i="1"/>
  <c r="AZ1268" i="1"/>
  <c r="BF1268" i="1" s="1" a="1"/>
  <c r="BF1268" i="1" s="1"/>
  <c r="AY1268" i="1"/>
  <c r="AX1268" i="1"/>
  <c r="M1268" i="1"/>
  <c r="EM1267" i="1"/>
  <c r="EL1267" i="1"/>
  <c r="EK1267" i="1"/>
  <c r="DU1267" i="1"/>
  <c r="DT1267" i="1"/>
  <c r="DN1267" i="1"/>
  <c r="DM1267" i="1"/>
  <c r="DL1267" i="1"/>
  <c r="DK1267" i="1"/>
  <c r="DI1267" i="1"/>
  <c r="DJ1267" i="1" s="1"/>
  <c r="DB1267" i="1"/>
  <c r="DC1267" i="1" s="1"/>
  <c r="CX1267" i="1"/>
  <c r="CN1267" i="1"/>
  <c r="BV1267" i="1"/>
  <c r="BX1267" i="1" s="1"/>
  <c r="BY1267" i="1" s="1"/>
  <c r="BU1267" i="1"/>
  <c r="BD1267" i="1"/>
  <c r="BC1267" i="1"/>
  <c r="BB1267" i="1"/>
  <c r="BA1267" i="1"/>
  <c r="AZ1267" i="1"/>
  <c r="BF1267" i="1" s="1" a="1"/>
  <c r="BF1267" i="1" s="1"/>
  <c r="AY1267" i="1"/>
  <c r="AX1267" i="1"/>
  <c r="M1267" i="1"/>
  <c r="EM1266" i="1"/>
  <c r="EL1266" i="1"/>
  <c r="EK1266" i="1"/>
  <c r="DU1266" i="1"/>
  <c r="DT1266" i="1"/>
  <c r="DN1266" i="1"/>
  <c r="DM1266" i="1"/>
  <c r="DL1266" i="1"/>
  <c r="DK1266" i="1"/>
  <c r="DI1266" i="1"/>
  <c r="DJ1266" i="1" s="1"/>
  <c r="DB1266" i="1"/>
  <c r="DC1266" i="1" s="1"/>
  <c r="CX1266" i="1"/>
  <c r="CN1266" i="1"/>
  <c r="CS1266" i="1" s="1"/>
  <c r="BV1266" i="1"/>
  <c r="BX1266" i="1" s="1"/>
  <c r="BY1266" i="1" s="1"/>
  <c r="BU1266" i="1"/>
  <c r="BD1266" i="1"/>
  <c r="BC1266" i="1"/>
  <c r="BB1266" i="1"/>
  <c r="BA1266" i="1"/>
  <c r="AZ1266" i="1"/>
  <c r="BF1266" i="1" s="1" a="1"/>
  <c r="BF1266" i="1" s="1"/>
  <c r="AY1266" i="1"/>
  <c r="AX1266" i="1"/>
  <c r="M1266" i="1"/>
  <c r="EM1265" i="1"/>
  <c r="EL1265" i="1"/>
  <c r="EK1265" i="1"/>
  <c r="DU1265" i="1"/>
  <c r="DT1265" i="1"/>
  <c r="DN1265" i="1"/>
  <c r="DM1265" i="1"/>
  <c r="DL1265" i="1"/>
  <c r="DK1265" i="1"/>
  <c r="DI1265" i="1"/>
  <c r="DJ1265" i="1" s="1"/>
  <c r="DC1265" i="1"/>
  <c r="DB1265" i="1"/>
  <c r="CX1265" i="1"/>
  <c r="CN1265" i="1"/>
  <c r="CP1265" i="1" s="1"/>
  <c r="BT1265" i="1"/>
  <c r="BD1265" i="1"/>
  <c r="BC1265" i="1"/>
  <c r="BB1265" i="1"/>
  <c r="BA1265" i="1"/>
  <c r="AZ1265" i="1"/>
  <c r="BF1265" i="1" s="1" a="1"/>
  <c r="BF1265" i="1" s="1"/>
  <c r="AY1265" i="1"/>
  <c r="BE1265" i="1" s="1" a="1"/>
  <c r="BE1265" i="1" s="1"/>
  <c r="AX1265" i="1"/>
  <c r="M1265" i="1"/>
  <c r="EM1264" i="1"/>
  <c r="EL1264" i="1"/>
  <c r="EK1264" i="1"/>
  <c r="DU1264" i="1"/>
  <c r="DT1264" i="1"/>
  <c r="DN1264" i="1"/>
  <c r="DM1264" i="1"/>
  <c r="DL1264" i="1"/>
  <c r="DK1264" i="1"/>
  <c r="DI1264" i="1"/>
  <c r="DJ1264" i="1" s="1"/>
  <c r="DB1264" i="1"/>
  <c r="DC1264" i="1" s="1"/>
  <c r="CX1264" i="1"/>
  <c r="CN1264" i="1"/>
  <c r="CQ1264" i="1" s="1"/>
  <c r="BV1264" i="1"/>
  <c r="BX1264" i="1" s="1"/>
  <c r="BU1264" i="1"/>
  <c r="BD1264" i="1"/>
  <c r="BC1264" i="1"/>
  <c r="BB1264" i="1"/>
  <c r="BA1264" i="1"/>
  <c r="AZ1264" i="1"/>
  <c r="BF1264" i="1" s="1" a="1"/>
  <c r="BF1264" i="1" s="1"/>
  <c r="AY1264" i="1"/>
  <c r="BE1264" i="1" s="1" a="1"/>
  <c r="BE1264" i="1" s="1"/>
  <c r="AX1264" i="1"/>
  <c r="M1264" i="1"/>
  <c r="EM1263" i="1"/>
  <c r="EL1263" i="1"/>
  <c r="EK1263" i="1"/>
  <c r="DU1263" i="1"/>
  <c r="DT1263" i="1"/>
  <c r="DN1263" i="1"/>
  <c r="DM1263" i="1"/>
  <c r="DL1263" i="1"/>
  <c r="DK1263" i="1"/>
  <c r="DI1263" i="1"/>
  <c r="DJ1263" i="1" s="1"/>
  <c r="DB1263" i="1"/>
  <c r="DC1263" i="1" s="1"/>
  <c r="CX1263" i="1"/>
  <c r="CN1263" i="1"/>
  <c r="CS1263" i="1" s="1"/>
  <c r="BV1263" i="1"/>
  <c r="BX1263" i="1" s="1"/>
  <c r="BU1263" i="1"/>
  <c r="BD1263" i="1"/>
  <c r="BC1263" i="1"/>
  <c r="BB1263" i="1"/>
  <c r="BA1263" i="1"/>
  <c r="AZ1263" i="1"/>
  <c r="BF1263" i="1" s="1" a="1"/>
  <c r="BF1263" i="1" s="1"/>
  <c r="AY1263" i="1"/>
  <c r="BE1263" i="1" s="1" a="1"/>
  <c r="BE1263" i="1" s="1"/>
  <c r="AX1263" i="1"/>
  <c r="M1263" i="1"/>
  <c r="EM1262" i="1"/>
  <c r="EL1262" i="1"/>
  <c r="EK1262" i="1"/>
  <c r="DU1262" i="1"/>
  <c r="DT1262" i="1"/>
  <c r="DN1262" i="1"/>
  <c r="DM1262" i="1"/>
  <c r="DL1262" i="1"/>
  <c r="DK1262" i="1"/>
  <c r="DI1262" i="1"/>
  <c r="DJ1262" i="1" s="1"/>
  <c r="DB1262" i="1"/>
  <c r="DC1262" i="1" s="1"/>
  <c r="CX1262" i="1"/>
  <c r="CN1262" i="1"/>
  <c r="CR1262" i="1" s="1"/>
  <c r="BX1262" i="1"/>
  <c r="BY1262" i="1" s="1"/>
  <c r="BD1262" i="1"/>
  <c r="BC1262" i="1"/>
  <c r="BB1262" i="1"/>
  <c r="BA1262" i="1"/>
  <c r="AZ1262" i="1"/>
  <c r="BF1262" i="1" s="1" a="1"/>
  <c r="BF1262" i="1" s="1"/>
  <c r="AY1262" i="1"/>
  <c r="BE1262" i="1" s="1" a="1"/>
  <c r="BE1262" i="1" s="1"/>
  <c r="AX1262" i="1"/>
  <c r="M1262" i="1"/>
  <c r="EM1261" i="1"/>
  <c r="EL1261" i="1"/>
  <c r="EK1261" i="1"/>
  <c r="DU1261" i="1"/>
  <c r="DT1261" i="1"/>
  <c r="DN1261" i="1"/>
  <c r="DM1261" i="1"/>
  <c r="DL1261" i="1"/>
  <c r="DK1261" i="1"/>
  <c r="DI1261" i="1"/>
  <c r="DJ1261" i="1" s="1"/>
  <c r="DB1261" i="1"/>
  <c r="DC1261" i="1" s="1"/>
  <c r="CX1261" i="1"/>
  <c r="CN1261" i="1"/>
  <c r="CS1261" i="1" s="1"/>
  <c r="BX1261" i="1"/>
  <c r="BD1261" i="1"/>
  <c r="BC1261" i="1"/>
  <c r="BB1261" i="1"/>
  <c r="BA1261" i="1"/>
  <c r="AZ1261" i="1"/>
  <c r="BF1261" i="1" s="1" a="1"/>
  <c r="BF1261" i="1" s="1"/>
  <c r="AY1261" i="1"/>
  <c r="BE1261" i="1" s="1" a="1"/>
  <c r="BE1261" i="1" s="1"/>
  <c r="AX1261" i="1"/>
  <c r="M1261" i="1"/>
  <c r="EM1260" i="1"/>
  <c r="EL1260" i="1"/>
  <c r="EK1260" i="1"/>
  <c r="DU1260" i="1"/>
  <c r="DT1260" i="1"/>
  <c r="DN1260" i="1"/>
  <c r="DM1260" i="1"/>
  <c r="DL1260" i="1"/>
  <c r="DK1260" i="1"/>
  <c r="DI1260" i="1"/>
  <c r="DJ1260" i="1" s="1"/>
  <c r="DB1260" i="1"/>
  <c r="DC1260" i="1" s="1"/>
  <c r="CX1260" i="1"/>
  <c r="CN1260" i="1"/>
  <c r="CS1260" i="1" s="1"/>
  <c r="BX1260" i="1"/>
  <c r="BY1260" i="1" s="1"/>
  <c r="BD1260" i="1"/>
  <c r="BC1260" i="1"/>
  <c r="BB1260" i="1"/>
  <c r="BA1260" i="1"/>
  <c r="AZ1260" i="1"/>
  <c r="BF1260" i="1" s="1" a="1"/>
  <c r="BF1260" i="1" s="1"/>
  <c r="AY1260" i="1"/>
  <c r="BE1260" i="1" s="1" a="1"/>
  <c r="BE1260" i="1" s="1"/>
  <c r="AX1260" i="1"/>
  <c r="M1260" i="1"/>
  <c r="EM1259" i="1"/>
  <c r="EL1259" i="1"/>
  <c r="EK1259" i="1"/>
  <c r="DU1259" i="1"/>
  <c r="DT1259" i="1"/>
  <c r="DN1259" i="1"/>
  <c r="DM1259" i="1"/>
  <c r="DL1259" i="1"/>
  <c r="DK1259" i="1"/>
  <c r="DI1259" i="1"/>
  <c r="DJ1259" i="1" s="1"/>
  <c r="DB1259" i="1"/>
  <c r="DC1259" i="1" s="1"/>
  <c r="CX1259" i="1"/>
  <c r="CN1259" i="1"/>
  <c r="CR1259" i="1" s="1"/>
  <c r="BX1259" i="1"/>
  <c r="BY1259" i="1" s="1"/>
  <c r="BE1259" i="1" a="1"/>
  <c r="BE1259" i="1" s="1"/>
  <c r="BD1259" i="1"/>
  <c r="BC1259" i="1"/>
  <c r="BB1259" i="1"/>
  <c r="BA1259" i="1"/>
  <c r="AZ1259" i="1"/>
  <c r="BF1259" i="1" s="1" a="1"/>
  <c r="BF1259" i="1" s="1"/>
  <c r="AY1259" i="1"/>
  <c r="AX1259" i="1"/>
  <c r="M1259" i="1"/>
  <c r="EM1258" i="1"/>
  <c r="EL1258" i="1"/>
  <c r="EK1258" i="1"/>
  <c r="DU1258" i="1"/>
  <c r="DT1258" i="1"/>
  <c r="DN1258" i="1"/>
  <c r="DM1258" i="1"/>
  <c r="DL1258" i="1"/>
  <c r="DK1258" i="1"/>
  <c r="DI1258" i="1"/>
  <c r="DJ1258" i="1" s="1"/>
  <c r="DC1258" i="1"/>
  <c r="CX1258" i="1"/>
  <c r="CN1258" i="1"/>
  <c r="CS1258" i="1" s="1"/>
  <c r="BV1258" i="1"/>
  <c r="BX1258" i="1" s="1"/>
  <c r="BU1258" i="1"/>
  <c r="BD1258" i="1"/>
  <c r="BC1258" i="1"/>
  <c r="BB1258" i="1"/>
  <c r="BA1258" i="1"/>
  <c r="AZ1258" i="1"/>
  <c r="BF1258" i="1" s="1" a="1"/>
  <c r="BF1258" i="1" s="1"/>
  <c r="AY1258" i="1"/>
  <c r="BE1258" i="1" s="1" a="1"/>
  <c r="BE1258" i="1" s="1"/>
  <c r="AX1258" i="1"/>
  <c r="M1258" i="1"/>
  <c r="EM1257" i="1"/>
  <c r="EL1257" i="1"/>
  <c r="EK1257" i="1"/>
  <c r="DU1257" i="1"/>
  <c r="DT1257" i="1"/>
  <c r="DN1257" i="1"/>
  <c r="DM1257" i="1"/>
  <c r="DL1257" i="1"/>
  <c r="DK1257" i="1"/>
  <c r="DI1257" i="1"/>
  <c r="DJ1257" i="1" s="1"/>
  <c r="DC1257" i="1"/>
  <c r="CX1257" i="1"/>
  <c r="CN1257" i="1"/>
  <c r="BV1257" i="1"/>
  <c r="BX1257" i="1" s="1"/>
  <c r="BY1257" i="1" s="1"/>
  <c r="BU1257" i="1"/>
  <c r="BD1257" i="1"/>
  <c r="BC1257" i="1"/>
  <c r="BB1257" i="1"/>
  <c r="BA1257" i="1"/>
  <c r="AZ1257" i="1"/>
  <c r="AY1257" i="1"/>
  <c r="BE1257" i="1" s="1" a="1"/>
  <c r="BE1257" i="1" s="1"/>
  <c r="AX1257" i="1"/>
  <c r="M1257" i="1"/>
  <c r="EM1256" i="1"/>
  <c r="EL1256" i="1"/>
  <c r="EK1256" i="1"/>
  <c r="DU1256" i="1"/>
  <c r="DT1256" i="1"/>
  <c r="DN1256" i="1"/>
  <c r="DM1256" i="1"/>
  <c r="DL1256" i="1"/>
  <c r="DK1256" i="1"/>
  <c r="DI1256" i="1"/>
  <c r="DJ1256" i="1" s="1"/>
  <c r="DC1256" i="1"/>
  <c r="CX1256" i="1"/>
  <c r="CN1256" i="1"/>
  <c r="CR1256" i="1" s="1"/>
  <c r="BV1256" i="1"/>
  <c r="BX1256" i="1" s="1"/>
  <c r="BU1256" i="1"/>
  <c r="BD1256" i="1"/>
  <c r="BC1256" i="1"/>
  <c r="BB1256" i="1"/>
  <c r="BA1256" i="1"/>
  <c r="AZ1256" i="1"/>
  <c r="BF1256" i="1" s="1" a="1"/>
  <c r="BF1256" i="1" s="1"/>
  <c r="AY1256" i="1"/>
  <c r="BE1256" i="1" s="1" a="1"/>
  <c r="BE1256" i="1" s="1"/>
  <c r="AX1256" i="1"/>
  <c r="M1256" i="1"/>
  <c r="EM1255" i="1"/>
  <c r="EL1255" i="1"/>
  <c r="EK1255" i="1"/>
  <c r="DU1255" i="1"/>
  <c r="DT1255" i="1"/>
  <c r="DN1255" i="1"/>
  <c r="DM1255" i="1"/>
  <c r="DL1255" i="1"/>
  <c r="DK1255" i="1"/>
  <c r="DI1255" i="1"/>
  <c r="DJ1255" i="1" s="1"/>
  <c r="DC1255" i="1"/>
  <c r="CX1255" i="1"/>
  <c r="CN1255" i="1"/>
  <c r="BV1255" i="1"/>
  <c r="BX1255" i="1" s="1"/>
  <c r="BY1255" i="1" s="1"/>
  <c r="BU1255" i="1"/>
  <c r="BD1255" i="1"/>
  <c r="BC1255" i="1"/>
  <c r="BB1255" i="1"/>
  <c r="BA1255" i="1"/>
  <c r="AZ1255" i="1"/>
  <c r="BF1255" i="1" s="1" a="1"/>
  <c r="BF1255" i="1" s="1"/>
  <c r="AY1255" i="1"/>
  <c r="BE1255" i="1" s="1" a="1"/>
  <c r="BE1255" i="1" s="1"/>
  <c r="AX1255" i="1"/>
  <c r="M1255" i="1"/>
  <c r="EM1254" i="1"/>
  <c r="EL1254" i="1"/>
  <c r="EK1254" i="1"/>
  <c r="DU1254" i="1"/>
  <c r="DT1254" i="1"/>
  <c r="DN1254" i="1"/>
  <c r="DM1254" i="1"/>
  <c r="DL1254" i="1"/>
  <c r="DK1254" i="1"/>
  <c r="DI1254" i="1"/>
  <c r="DJ1254" i="1" s="1"/>
  <c r="DC1254" i="1"/>
  <c r="CX1254" i="1"/>
  <c r="CN1254" i="1"/>
  <c r="CS1254" i="1" s="1"/>
  <c r="BV1254" i="1"/>
  <c r="BX1254" i="1" s="1"/>
  <c r="BU1254" i="1"/>
  <c r="BD1254" i="1"/>
  <c r="BC1254" i="1"/>
  <c r="BB1254" i="1"/>
  <c r="BA1254" i="1"/>
  <c r="AZ1254" i="1"/>
  <c r="BF1254" i="1" s="1" a="1"/>
  <c r="BF1254" i="1" s="1"/>
  <c r="AY1254" i="1"/>
  <c r="BE1254" i="1" s="1" a="1"/>
  <c r="BE1254" i="1" s="1"/>
  <c r="AX1254" i="1"/>
  <c r="M1254" i="1"/>
  <c r="EM1253" i="1"/>
  <c r="EL1253" i="1"/>
  <c r="EK1253" i="1"/>
  <c r="DU1253" i="1"/>
  <c r="DT1253" i="1"/>
  <c r="DN1253" i="1"/>
  <c r="DM1253" i="1"/>
  <c r="DL1253" i="1"/>
  <c r="DK1253" i="1"/>
  <c r="DI1253" i="1"/>
  <c r="DJ1253" i="1" s="1"/>
  <c r="DC1253" i="1"/>
  <c r="CX1253" i="1"/>
  <c r="CN1253" i="1"/>
  <c r="BV1253" i="1"/>
  <c r="BX1253" i="1" s="1"/>
  <c r="BY1253" i="1" s="1"/>
  <c r="BU1253" i="1"/>
  <c r="BD1253" i="1"/>
  <c r="BC1253" i="1"/>
  <c r="BB1253" i="1"/>
  <c r="BA1253" i="1"/>
  <c r="AZ1253" i="1"/>
  <c r="BF1253" i="1" s="1" a="1"/>
  <c r="BF1253" i="1" s="1"/>
  <c r="AY1253" i="1"/>
  <c r="BE1253" i="1" s="1" a="1"/>
  <c r="BE1253" i="1" s="1"/>
  <c r="AX1253" i="1"/>
  <c r="M1253" i="1"/>
  <c r="EM1252" i="1"/>
  <c r="EL1252" i="1"/>
  <c r="EK1252" i="1"/>
  <c r="DU1252" i="1"/>
  <c r="DT1252" i="1"/>
  <c r="DN1252" i="1"/>
  <c r="DM1252" i="1"/>
  <c r="DL1252" i="1"/>
  <c r="DK1252" i="1"/>
  <c r="DI1252" i="1"/>
  <c r="DJ1252" i="1" s="1"/>
  <c r="DC1252" i="1"/>
  <c r="CX1252" i="1"/>
  <c r="CN1252" i="1"/>
  <c r="BX1252" i="1"/>
  <c r="BN1252" i="1"/>
  <c r="BO1252" i="1" s="1"/>
  <c r="BD1252" i="1"/>
  <c r="BC1252" i="1"/>
  <c r="BB1252" i="1"/>
  <c r="BA1252" i="1"/>
  <c r="AZ1252" i="1"/>
  <c r="AY1252" i="1"/>
  <c r="BE1252" i="1" s="1" a="1"/>
  <c r="BE1252" i="1" s="1"/>
  <c r="AX1252" i="1"/>
  <c r="M1252" i="1"/>
  <c r="EM1251" i="1"/>
  <c r="EL1251" i="1"/>
  <c r="EK1251" i="1"/>
  <c r="DU1251" i="1"/>
  <c r="DT1251" i="1"/>
  <c r="DN1251" i="1"/>
  <c r="DM1251" i="1"/>
  <c r="DL1251" i="1"/>
  <c r="DK1251" i="1"/>
  <c r="DI1251" i="1"/>
  <c r="DJ1251" i="1" s="1"/>
  <c r="DC1251" i="1"/>
  <c r="CX1251" i="1"/>
  <c r="CN1251" i="1"/>
  <c r="CS1251" i="1" s="1"/>
  <c r="BX1251" i="1"/>
  <c r="CT1251" i="1" s="1"/>
  <c r="BN1251" i="1"/>
  <c r="BO1251" i="1" s="1"/>
  <c r="BD1251" i="1"/>
  <c r="BC1251" i="1"/>
  <c r="BB1251" i="1"/>
  <c r="BA1251" i="1"/>
  <c r="AZ1251" i="1"/>
  <c r="BF1251" i="1" s="1" a="1"/>
  <c r="BF1251" i="1" s="1"/>
  <c r="AY1251" i="1"/>
  <c r="BE1251" i="1" s="1" a="1"/>
  <c r="BE1251" i="1" s="1"/>
  <c r="AX1251" i="1"/>
  <c r="M1251" i="1"/>
  <c r="EM1250" i="1"/>
  <c r="EL1250" i="1"/>
  <c r="EK1250" i="1"/>
  <c r="DU1250" i="1"/>
  <c r="DT1250" i="1"/>
  <c r="DN1250" i="1"/>
  <c r="DM1250" i="1"/>
  <c r="DL1250" i="1"/>
  <c r="DK1250" i="1"/>
  <c r="DI1250" i="1"/>
  <c r="DJ1250" i="1" s="1"/>
  <c r="DC1250" i="1"/>
  <c r="CX1250" i="1"/>
  <c r="CN1250" i="1"/>
  <c r="CR1250" i="1" s="1"/>
  <c r="BX1250" i="1"/>
  <c r="BN1250" i="1"/>
  <c r="BO1250" i="1" s="1"/>
  <c r="BE1250" i="1" a="1"/>
  <c r="BE1250" i="1" s="1"/>
  <c r="BD1250" i="1"/>
  <c r="BC1250" i="1"/>
  <c r="BB1250" i="1"/>
  <c r="BA1250" i="1"/>
  <c r="AZ1250" i="1"/>
  <c r="BF1250" i="1" s="1" a="1"/>
  <c r="BF1250" i="1" s="1"/>
  <c r="AY1250" i="1"/>
  <c r="AX1250" i="1"/>
  <c r="M1250" i="1"/>
  <c r="EM1249" i="1"/>
  <c r="EL1249" i="1"/>
  <c r="EK1249" i="1"/>
  <c r="DU1249" i="1"/>
  <c r="DT1249" i="1"/>
  <c r="DN1249" i="1"/>
  <c r="DM1249" i="1"/>
  <c r="DL1249" i="1"/>
  <c r="DK1249" i="1"/>
  <c r="DI1249" i="1"/>
  <c r="DJ1249" i="1" s="1"/>
  <c r="DC1249" i="1"/>
  <c r="CX1249" i="1"/>
  <c r="CN1249" i="1"/>
  <c r="CS1249" i="1" s="1"/>
  <c r="BX1249" i="1"/>
  <c r="BN1249" i="1"/>
  <c r="BO1249" i="1" s="1"/>
  <c r="BD1249" i="1"/>
  <c r="BC1249" i="1"/>
  <c r="BB1249" i="1"/>
  <c r="BA1249" i="1"/>
  <c r="AZ1249" i="1"/>
  <c r="BF1249" i="1" s="1" a="1"/>
  <c r="BF1249" i="1" s="1"/>
  <c r="AY1249" i="1"/>
  <c r="BE1249" i="1" s="1" a="1"/>
  <c r="BE1249" i="1" s="1"/>
  <c r="AX1249" i="1"/>
  <c r="M1249" i="1"/>
  <c r="EM1248" i="1"/>
  <c r="EL1248" i="1"/>
  <c r="EK1248" i="1"/>
  <c r="DU1248" i="1"/>
  <c r="DT1248" i="1"/>
  <c r="DN1248" i="1"/>
  <c r="DM1248" i="1"/>
  <c r="DL1248" i="1"/>
  <c r="DK1248" i="1"/>
  <c r="DI1248" i="1"/>
  <c r="DJ1248" i="1" s="1"/>
  <c r="DC1248" i="1"/>
  <c r="CX1248" i="1"/>
  <c r="CN1248" i="1"/>
  <c r="CP1248" i="1" s="1"/>
  <c r="BX1248" i="1"/>
  <c r="BN1248" i="1"/>
  <c r="BO1248" i="1" s="1"/>
  <c r="BD1248" i="1"/>
  <c r="BC1248" i="1"/>
  <c r="BB1248" i="1"/>
  <c r="BA1248" i="1"/>
  <c r="AZ1248" i="1"/>
  <c r="BF1248" i="1" s="1" a="1"/>
  <c r="BF1248" i="1" s="1"/>
  <c r="AY1248" i="1"/>
  <c r="BE1248" i="1" s="1" a="1"/>
  <c r="BE1248" i="1" s="1"/>
  <c r="AX1248" i="1"/>
  <c r="M1248" i="1"/>
  <c r="EM1247" i="1"/>
  <c r="EL1247" i="1"/>
  <c r="EK1247" i="1"/>
  <c r="DU1247" i="1"/>
  <c r="DT1247" i="1"/>
  <c r="DN1247" i="1"/>
  <c r="DM1247" i="1"/>
  <c r="DL1247" i="1"/>
  <c r="DK1247" i="1"/>
  <c r="DI1247" i="1"/>
  <c r="DJ1247" i="1" s="1"/>
  <c r="DC1247" i="1"/>
  <c r="CX1247" i="1"/>
  <c r="CN1247" i="1"/>
  <c r="CO1247" i="1" s="1"/>
  <c r="BX1247" i="1"/>
  <c r="BN1247" i="1"/>
  <c r="BO1247" i="1" s="1"/>
  <c r="BD1247" i="1"/>
  <c r="BC1247" i="1"/>
  <c r="BB1247" i="1"/>
  <c r="BA1247" i="1"/>
  <c r="AZ1247" i="1"/>
  <c r="AY1247" i="1"/>
  <c r="BE1247" i="1" s="1" a="1"/>
  <c r="BE1247" i="1" s="1"/>
  <c r="AX1247" i="1"/>
  <c r="M1247" i="1"/>
  <c r="EM1246" i="1"/>
  <c r="EL1246" i="1"/>
  <c r="EK1246" i="1"/>
  <c r="DU1246" i="1"/>
  <c r="DT1246" i="1"/>
  <c r="DN1246" i="1"/>
  <c r="DM1246" i="1"/>
  <c r="DL1246" i="1"/>
  <c r="DK1246" i="1"/>
  <c r="DI1246" i="1"/>
  <c r="DJ1246" i="1" s="1"/>
  <c r="DC1246" i="1"/>
  <c r="CX1246" i="1"/>
  <c r="CN1246" i="1"/>
  <c r="CS1246" i="1" s="1"/>
  <c r="BX1246" i="1"/>
  <c r="BN1246" i="1"/>
  <c r="BO1246" i="1" s="1"/>
  <c r="BD1246" i="1"/>
  <c r="BC1246" i="1"/>
  <c r="BB1246" i="1"/>
  <c r="BA1246" i="1"/>
  <c r="AZ1246" i="1"/>
  <c r="BF1246" i="1" s="1" a="1"/>
  <c r="BF1246" i="1" s="1"/>
  <c r="AY1246" i="1"/>
  <c r="BE1246" i="1" s="1" a="1"/>
  <c r="BE1246" i="1" s="1"/>
  <c r="AX1246" i="1"/>
  <c r="M1246" i="1"/>
  <c r="EM1245" i="1"/>
  <c r="EL1245" i="1"/>
  <c r="EK1245" i="1"/>
  <c r="DU1245" i="1"/>
  <c r="DT1245" i="1"/>
  <c r="DN1245" i="1"/>
  <c r="DM1245" i="1"/>
  <c r="DL1245" i="1"/>
  <c r="DK1245" i="1"/>
  <c r="DI1245" i="1"/>
  <c r="DJ1245" i="1" s="1"/>
  <c r="DC1245" i="1"/>
  <c r="CX1245" i="1"/>
  <c r="CN1245" i="1"/>
  <c r="BX1245" i="1"/>
  <c r="BN1245" i="1"/>
  <c r="BO1245" i="1" s="1"/>
  <c r="BD1245" i="1"/>
  <c r="BC1245" i="1"/>
  <c r="BB1245" i="1"/>
  <c r="BA1245" i="1"/>
  <c r="AZ1245" i="1"/>
  <c r="BF1245" i="1" s="1" a="1"/>
  <c r="BF1245" i="1" s="1"/>
  <c r="AY1245" i="1"/>
  <c r="BE1245" i="1" s="1" a="1"/>
  <c r="BE1245" i="1" s="1"/>
  <c r="AX1245" i="1"/>
  <c r="M1245" i="1"/>
  <c r="EM1244" i="1"/>
  <c r="EL1244" i="1"/>
  <c r="EK1244" i="1"/>
  <c r="DU1244" i="1"/>
  <c r="DT1244" i="1"/>
  <c r="DN1244" i="1"/>
  <c r="DM1244" i="1"/>
  <c r="DL1244" i="1"/>
  <c r="DK1244" i="1"/>
  <c r="DI1244" i="1"/>
  <c r="DJ1244" i="1" s="1"/>
  <c r="DC1244" i="1"/>
  <c r="CX1244" i="1"/>
  <c r="CN1244" i="1"/>
  <c r="BX1244" i="1"/>
  <c r="BN1244" i="1"/>
  <c r="BO1244" i="1" s="1"/>
  <c r="BD1244" i="1"/>
  <c r="BC1244" i="1"/>
  <c r="BB1244" i="1"/>
  <c r="BA1244" i="1"/>
  <c r="AZ1244" i="1"/>
  <c r="BF1244" i="1" s="1" a="1"/>
  <c r="BF1244" i="1" s="1"/>
  <c r="AY1244" i="1"/>
  <c r="BE1244" i="1" s="1" a="1"/>
  <c r="BE1244" i="1" s="1"/>
  <c r="AX1244" i="1"/>
  <c r="M1244" i="1"/>
  <c r="EM1243" i="1"/>
  <c r="EL1243" i="1"/>
  <c r="EK1243" i="1"/>
  <c r="DU1243" i="1"/>
  <c r="DT1243" i="1"/>
  <c r="DN1243" i="1"/>
  <c r="DM1243" i="1"/>
  <c r="DL1243" i="1"/>
  <c r="DK1243" i="1"/>
  <c r="DI1243" i="1"/>
  <c r="DJ1243" i="1" s="1"/>
  <c r="DC1243" i="1"/>
  <c r="CX1243" i="1"/>
  <c r="CN1243" i="1"/>
  <c r="CS1243" i="1" s="1"/>
  <c r="BX1243" i="1"/>
  <c r="BN1243" i="1"/>
  <c r="BO1243" i="1" s="1"/>
  <c r="BD1243" i="1"/>
  <c r="BC1243" i="1"/>
  <c r="BB1243" i="1"/>
  <c r="BA1243" i="1"/>
  <c r="AZ1243" i="1"/>
  <c r="AY1243" i="1"/>
  <c r="BE1243" i="1" s="1" a="1"/>
  <c r="BE1243" i="1" s="1"/>
  <c r="AX1243" i="1"/>
  <c r="M1243" i="1"/>
  <c r="EM1242" i="1"/>
  <c r="EL1242" i="1"/>
  <c r="EK1242" i="1"/>
  <c r="DU1242" i="1"/>
  <c r="DT1242" i="1"/>
  <c r="DN1242" i="1"/>
  <c r="DM1242" i="1"/>
  <c r="DL1242" i="1"/>
  <c r="DK1242" i="1"/>
  <c r="DI1242" i="1"/>
  <c r="DJ1242" i="1" s="1"/>
  <c r="DC1242" i="1"/>
  <c r="CX1242" i="1"/>
  <c r="CN1242" i="1"/>
  <c r="CR1242" i="1" s="1"/>
  <c r="BX1242" i="1"/>
  <c r="CT1242" i="1" s="1"/>
  <c r="BN1242" i="1"/>
  <c r="BO1242" i="1" s="1"/>
  <c r="BD1242" i="1"/>
  <c r="BC1242" i="1"/>
  <c r="BB1242" i="1"/>
  <c r="BA1242" i="1"/>
  <c r="AZ1242" i="1"/>
  <c r="BF1242" i="1" s="1" a="1"/>
  <c r="BF1242" i="1" s="1"/>
  <c r="AY1242" i="1"/>
  <c r="BE1242" i="1" s="1" a="1"/>
  <c r="BE1242" i="1" s="1"/>
  <c r="AX1242" i="1"/>
  <c r="M1242" i="1"/>
  <c r="EM1241" i="1"/>
  <c r="EL1241" i="1"/>
  <c r="EK1241" i="1"/>
  <c r="DU1241" i="1"/>
  <c r="DT1241" i="1"/>
  <c r="DN1241" i="1"/>
  <c r="DM1241" i="1"/>
  <c r="DL1241" i="1"/>
  <c r="DK1241" i="1"/>
  <c r="DI1241" i="1"/>
  <c r="DJ1241" i="1" s="1"/>
  <c r="DC1241" i="1"/>
  <c r="CX1241" i="1"/>
  <c r="CN1241" i="1"/>
  <c r="CR1241" i="1" s="1"/>
  <c r="BX1241" i="1"/>
  <c r="BN1241" i="1"/>
  <c r="BO1241" i="1" s="1"/>
  <c r="BD1241" i="1"/>
  <c r="BC1241" i="1"/>
  <c r="BB1241" i="1"/>
  <c r="BA1241" i="1"/>
  <c r="AZ1241" i="1"/>
  <c r="BF1241" i="1" s="1" a="1"/>
  <c r="BF1241" i="1" s="1"/>
  <c r="AY1241" i="1"/>
  <c r="BE1241" i="1" s="1" a="1"/>
  <c r="BE1241" i="1" s="1"/>
  <c r="AX1241" i="1"/>
  <c r="M1241" i="1"/>
  <c r="EM1240" i="1"/>
  <c r="EL1240" i="1"/>
  <c r="EK1240" i="1"/>
  <c r="DU1240" i="1"/>
  <c r="DT1240" i="1"/>
  <c r="DN1240" i="1"/>
  <c r="DM1240" i="1"/>
  <c r="DL1240" i="1"/>
  <c r="DK1240" i="1"/>
  <c r="DI1240" i="1"/>
  <c r="DJ1240" i="1" s="1"/>
  <c r="DC1240" i="1"/>
  <c r="CX1240" i="1"/>
  <c r="CN1240" i="1"/>
  <c r="CP1240" i="1" s="1"/>
  <c r="BX1240" i="1"/>
  <c r="BN1240" i="1"/>
  <c r="BO1240" i="1" s="1"/>
  <c r="BD1240" i="1"/>
  <c r="BC1240" i="1"/>
  <c r="BB1240" i="1"/>
  <c r="BA1240" i="1"/>
  <c r="AZ1240" i="1"/>
  <c r="BF1240" i="1" s="1" a="1"/>
  <c r="BF1240" i="1" s="1"/>
  <c r="AY1240" i="1"/>
  <c r="BE1240" i="1" s="1" a="1"/>
  <c r="BE1240" i="1" s="1"/>
  <c r="AX1240" i="1"/>
  <c r="M1240" i="1"/>
  <c r="CS1353" i="1" l="1"/>
  <c r="CT1511" i="1"/>
  <c r="CU1511" i="1" s="1"/>
  <c r="CS1548" i="1"/>
  <c r="CV1548" i="1" s="1"/>
  <c r="BF1243" i="1" a="1"/>
  <c r="BF1243" i="1" s="1"/>
  <c r="CT1250" i="1"/>
  <c r="BF1252" i="1" a="1"/>
  <c r="BF1252" i="1" s="1"/>
  <c r="BF1273" i="1" a="1"/>
  <c r="BF1273" i="1" s="1"/>
  <c r="EP1477" i="1"/>
  <c r="CT1556" i="1"/>
  <c r="CU1556" i="1" s="1"/>
  <c r="CT1469" i="1"/>
  <c r="CU1469" i="1" s="1"/>
  <c r="BF1257" i="1" a="1"/>
  <c r="BF1257" i="1" s="1"/>
  <c r="CQ1295" i="1"/>
  <c r="CT1324" i="1"/>
  <c r="CS1447" i="1"/>
  <c r="CS1568" i="1"/>
  <c r="CV1568" i="1" s="1"/>
  <c r="CT1402" i="1"/>
  <c r="CU1402" i="1" s="1"/>
  <c r="BF1247" i="1" a="1"/>
  <c r="BF1247" i="1" s="1"/>
  <c r="CR1572" i="1"/>
  <c r="CV1572" i="1" s="1"/>
  <c r="BE1383" i="1" a="1"/>
  <c r="BE1383" i="1" s="1"/>
  <c r="EP1476" i="1"/>
  <c r="CT1537" i="1"/>
  <c r="CU1537" i="1" s="1"/>
  <c r="CR1558" i="1"/>
  <c r="CS1560" i="1"/>
  <c r="CV1560" i="1" s="1"/>
  <c r="CP1249" i="1"/>
  <c r="CS1427" i="1"/>
  <c r="CR1465" i="1"/>
  <c r="CS1519" i="1"/>
  <c r="CV1519" i="1" s="1"/>
  <c r="CT1520" i="1"/>
  <c r="CU1520" i="1" s="1"/>
  <c r="CT1521" i="1"/>
  <c r="CU1521" i="1" s="1"/>
  <c r="CT1545" i="1"/>
  <c r="CU1545" i="1" s="1"/>
  <c r="CT1560" i="1"/>
  <c r="CU1560" i="1" s="1"/>
  <c r="CS1240" i="1"/>
  <c r="BV1314" i="1"/>
  <c r="BX1314" i="1" s="1"/>
  <c r="BY1314" i="1" s="1"/>
  <c r="CR1249" i="1"/>
  <c r="CS1296" i="1"/>
  <c r="CS1368" i="1"/>
  <c r="CR1395" i="1"/>
  <c r="CR1321" i="1"/>
  <c r="CT1368" i="1"/>
  <c r="CU1368" i="1" s="1"/>
  <c r="CS1386" i="1"/>
  <c r="BE1421" i="1" a="1"/>
  <c r="BE1421" i="1" s="1"/>
  <c r="CT1421" i="1"/>
  <c r="CU1421" i="1" s="1"/>
  <c r="CS1422" i="1"/>
  <c r="CT1429" i="1"/>
  <c r="CU1429" i="1" s="1"/>
  <c r="CS1487" i="1"/>
  <c r="CV1487" i="1" s="1"/>
  <c r="CT1517" i="1"/>
  <c r="CU1517" i="1" s="1"/>
  <c r="CT1519" i="1"/>
  <c r="CU1519" i="1" s="1"/>
  <c r="CR1545" i="1"/>
  <c r="CS1606" i="1"/>
  <c r="CR1240" i="1"/>
  <c r="BY1241" i="1"/>
  <c r="CP1246" i="1"/>
  <c r="CP1247" i="1"/>
  <c r="BY1400" i="1"/>
  <c r="BE1504" i="1" a="1"/>
  <c r="BE1504" i="1" s="1"/>
  <c r="CS1242" i="1"/>
  <c r="CV1242" i="1" s="1"/>
  <c r="CR1247" i="1"/>
  <c r="CR1315" i="1"/>
  <c r="CO1386" i="1"/>
  <c r="CR1389" i="1"/>
  <c r="CR1265" i="1"/>
  <c r="CT1284" i="1"/>
  <c r="CT1289" i="1"/>
  <c r="CU1289" i="1" s="1"/>
  <c r="BE1292" i="1" a="1"/>
  <c r="BE1292" i="1" s="1"/>
  <c r="CS1307" i="1"/>
  <c r="BV1318" i="1"/>
  <c r="BX1318" i="1" s="1"/>
  <c r="BY1318" i="1" s="1"/>
  <c r="CS1346" i="1"/>
  <c r="CR1378" i="1"/>
  <c r="CP1379" i="1"/>
  <c r="CT1463" i="1"/>
  <c r="CU1463" i="1" s="1"/>
  <c r="EP1472" i="1"/>
  <c r="BE1518" i="1" a="1"/>
  <c r="BE1518" i="1" s="1"/>
  <c r="CT1572" i="1"/>
  <c r="CU1572" i="1" s="1"/>
  <c r="BY1252" i="1"/>
  <c r="CO1351" i="1"/>
  <c r="CS1352" i="1"/>
  <c r="CR1426" i="1"/>
  <c r="CR1427" i="1"/>
  <c r="CT1570" i="1"/>
  <c r="CU1570" i="1" s="1"/>
  <c r="CS1426" i="1"/>
  <c r="CR1429" i="1"/>
  <c r="BE1433" i="1" a="1"/>
  <c r="BE1433" i="1" s="1"/>
  <c r="CS1573" i="1"/>
  <c r="CS1295" i="1"/>
  <c r="CS1578" i="1"/>
  <c r="CR1248" i="1"/>
  <c r="CP1351" i="1"/>
  <c r="CR1375" i="1"/>
  <c r="CT1240" i="1"/>
  <c r="CS1380" i="1"/>
  <c r="CT1397" i="1"/>
  <c r="CU1397" i="1" s="1"/>
  <c r="CS1421" i="1"/>
  <c r="CR1458" i="1"/>
  <c r="CR1292" i="1"/>
  <c r="CR1300" i="1"/>
  <c r="CQ1240" i="1"/>
  <c r="CQ1283" i="1"/>
  <c r="CT1307" i="1"/>
  <c r="CU1307" i="1" s="1"/>
  <c r="CT1378" i="1"/>
  <c r="CU1378" i="1" s="1"/>
  <c r="CQ1248" i="1"/>
  <c r="CQ1249" i="1"/>
  <c r="CQ1296" i="1"/>
  <c r="CP1382" i="1"/>
  <c r="CS1433" i="1"/>
  <c r="CV1433" i="1" s="1"/>
  <c r="CR1441" i="1"/>
  <c r="BE1447" i="1" a="1"/>
  <c r="BE1447" i="1" s="1"/>
  <c r="CT1447" i="1"/>
  <c r="CU1447" i="1" s="1"/>
  <c r="CR1469" i="1"/>
  <c r="EP1474" i="1"/>
  <c r="BE1526" i="1" a="1"/>
  <c r="BE1526" i="1" s="1"/>
  <c r="BY1582" i="1"/>
  <c r="BE1595" i="1" a="1"/>
  <c r="BE1595" i="1" s="1"/>
  <c r="CR1261" i="1"/>
  <c r="CV1261" i="1" s="1"/>
  <c r="CS1275" i="1"/>
  <c r="CS1276" i="1"/>
  <c r="CV1276" i="1" s="1"/>
  <c r="CP1279" i="1"/>
  <c r="CO1282" i="1"/>
  <c r="CT1287" i="1"/>
  <c r="CU1287" i="1" s="1"/>
  <c r="CV1300" i="1"/>
  <c r="CS1301" i="1"/>
  <c r="CV1301" i="1" s="1"/>
  <c r="CR1302" i="1"/>
  <c r="CV1302" i="1" s="1"/>
  <c r="CV1307" i="1"/>
  <c r="CR1312" i="1"/>
  <c r="CS1312" i="1"/>
  <c r="BE1344" i="1" a="1"/>
  <c r="BE1344" i="1" s="1"/>
  <c r="CT1481" i="1"/>
  <c r="CU1481" i="1" s="1"/>
  <c r="CS1481" i="1"/>
  <c r="CV1481" i="1" s="1"/>
  <c r="CR1495" i="1"/>
  <c r="CT1495" i="1"/>
  <c r="CU1495" i="1" s="1"/>
  <c r="CS1495" i="1"/>
  <c r="CV1495" i="1" s="1"/>
  <c r="BE1501" i="1" a="1"/>
  <c r="BE1501" i="1" s="1"/>
  <c r="CS1451" i="1"/>
  <c r="CP1241" i="1"/>
  <c r="BY1243" i="1"/>
  <c r="CR1258" i="1"/>
  <c r="CV1258" i="1" s="1"/>
  <c r="CS1259" i="1"/>
  <c r="CT1262" i="1"/>
  <c r="CU1262" i="1" s="1"/>
  <c r="CO1263" i="1"/>
  <c r="BE1270" i="1" a="1"/>
  <c r="BE1270" i="1" s="1"/>
  <c r="CP1282" i="1"/>
  <c r="BE1343" i="1" a="1"/>
  <c r="BE1343" i="1" s="1"/>
  <c r="CT1436" i="1"/>
  <c r="CU1436" i="1" s="1"/>
  <c r="CS1436" i="1"/>
  <c r="CV1436" i="1" s="1"/>
  <c r="CT1479" i="1"/>
  <c r="CU1479" i="1" s="1"/>
  <c r="BE1522" i="1" a="1"/>
  <c r="BE1522" i="1" s="1"/>
  <c r="CR1485" i="1"/>
  <c r="BY1246" i="1"/>
  <c r="CT1252" i="1"/>
  <c r="CS1256" i="1"/>
  <c r="CV1256" i="1" s="1"/>
  <c r="CS1241" i="1"/>
  <c r="CP1263" i="1"/>
  <c r="BE1268" i="1" a="1"/>
  <c r="BE1268" i="1" s="1"/>
  <c r="CT1268" i="1"/>
  <c r="CU1268" i="1" s="1"/>
  <c r="CR1282" i="1"/>
  <c r="BY1294" i="1"/>
  <c r="EP1294" i="1" s="1"/>
  <c r="BE1304" i="1" a="1"/>
  <c r="BE1304" i="1" s="1"/>
  <c r="BU1318" i="1"/>
  <c r="BV1320" i="1"/>
  <c r="BX1320" i="1" s="1"/>
  <c r="BY1320" i="1" s="1"/>
  <c r="BU1320" i="1"/>
  <c r="CQ1263" i="1"/>
  <c r="CO1328" i="1"/>
  <c r="CR1328" i="1"/>
  <c r="BE1415" i="1" a="1"/>
  <c r="BE1415" i="1" s="1"/>
  <c r="CV1465" i="1"/>
  <c r="CR1516" i="1"/>
  <c r="CV1516" i="1" s="1"/>
  <c r="CT1302" i="1"/>
  <c r="CU1302" i="1" s="1"/>
  <c r="CT1306" i="1"/>
  <c r="CU1306" i="1" s="1"/>
  <c r="CS1471" i="1"/>
  <c r="CR1471" i="1"/>
  <c r="CS1283" i="1"/>
  <c r="CR1353" i="1"/>
  <c r="CV1353" i="1" s="1"/>
  <c r="CP1353" i="1"/>
  <c r="CO1384" i="1"/>
  <c r="CT1384" i="1"/>
  <c r="CT1424" i="1"/>
  <c r="CU1424" i="1" s="1"/>
  <c r="CS1424" i="1"/>
  <c r="CR1424" i="1"/>
  <c r="CS1455" i="1"/>
  <c r="CT1455" i="1"/>
  <c r="CU1455" i="1" s="1"/>
  <c r="CS1456" i="1"/>
  <c r="CR1456" i="1"/>
  <c r="CS1477" i="1"/>
  <c r="CT1477" i="1"/>
  <c r="CU1477" i="1" s="1"/>
  <c r="CS1514" i="1"/>
  <c r="CT1514" i="1"/>
  <c r="CU1514" i="1" s="1"/>
  <c r="CS1342" i="1"/>
  <c r="CO1342" i="1"/>
  <c r="CS1274" i="1"/>
  <c r="CT1288" i="1"/>
  <c r="CU1288" i="1" s="1"/>
  <c r="CO1241" i="1"/>
  <c r="CS1248" i="1"/>
  <c r="CT1249" i="1"/>
  <c r="CU1249" i="1" s="1"/>
  <c r="CR1263" i="1"/>
  <c r="CS1264" i="1"/>
  <c r="CS1284" i="1"/>
  <c r="CO1327" i="1"/>
  <c r="CP1327" i="1"/>
  <c r="CT1248" i="1"/>
  <c r="CO1249" i="1"/>
  <c r="CT1261" i="1"/>
  <c r="CU1261" i="1" s="1"/>
  <c r="CT1291" i="1"/>
  <c r="CS1291" i="1"/>
  <c r="CT1309" i="1"/>
  <c r="CU1309" i="1" s="1"/>
  <c r="CS1309" i="1"/>
  <c r="CV1309" i="1" s="1"/>
  <c r="BU1314" i="1"/>
  <c r="CR1327" i="1"/>
  <c r="CT1344" i="1"/>
  <c r="CU1344" i="1" s="1"/>
  <c r="CP1352" i="1"/>
  <c r="CO1353" i="1"/>
  <c r="CT1373" i="1"/>
  <c r="CU1373" i="1" s="1"/>
  <c r="CS1373" i="1"/>
  <c r="CR1373" i="1"/>
  <c r="CP1384" i="1"/>
  <c r="CS1400" i="1"/>
  <c r="CR1400" i="1"/>
  <c r="CT1416" i="1"/>
  <c r="CU1416" i="1" s="1"/>
  <c r="CT1417" i="1"/>
  <c r="CU1417" i="1" s="1"/>
  <c r="CS1417" i="1"/>
  <c r="CR1417" i="1"/>
  <c r="BE1420" i="1" a="1"/>
  <c r="BE1420" i="1" s="1"/>
  <c r="CS1423" i="1"/>
  <c r="CV1423" i="1" s="1"/>
  <c r="CV1429" i="1"/>
  <c r="CR1455" i="1"/>
  <c r="CS1489" i="1"/>
  <c r="CR1489" i="1"/>
  <c r="CT1498" i="1"/>
  <c r="CU1498" i="1" s="1"/>
  <c r="BY1498" i="1"/>
  <c r="BE1525" i="1" a="1"/>
  <c r="BE1525" i="1" s="1"/>
  <c r="CT1574" i="1"/>
  <c r="CT1602" i="1"/>
  <c r="CU1602" i="1" s="1"/>
  <c r="BE1511" i="1" a="1"/>
  <c r="BE1511" i="1" s="1"/>
  <c r="CR1537" i="1"/>
  <c r="CS1545" i="1"/>
  <c r="CT1546" i="1"/>
  <c r="CU1546" i="1" s="1"/>
  <c r="CT1548" i="1"/>
  <c r="CU1548" i="1" s="1"/>
  <c r="CT1563" i="1"/>
  <c r="CU1563" i="1" s="1"/>
  <c r="BY1575" i="1"/>
  <c r="CS1592" i="1"/>
  <c r="CQ1327" i="1"/>
  <c r="EP1347" i="1"/>
  <c r="CV1375" i="1"/>
  <c r="BE1423" i="1" a="1"/>
  <c r="BE1423" i="1" s="1"/>
  <c r="BE1481" i="1" a="1"/>
  <c r="BE1481" i="1" s="1"/>
  <c r="BE1485" i="1" a="1"/>
  <c r="BE1485" i="1" s="1"/>
  <c r="BE1488" i="1" a="1"/>
  <c r="BE1488" i="1" s="1"/>
  <c r="CT1494" i="1"/>
  <c r="CU1494" i="1" s="1"/>
  <c r="CT1506" i="1"/>
  <c r="CU1506" i="1" s="1"/>
  <c r="BE1513" i="1" a="1"/>
  <c r="BE1513" i="1" s="1"/>
  <c r="BE1516" i="1" a="1"/>
  <c r="BE1516" i="1" s="1"/>
  <c r="BE1517" i="1" a="1"/>
  <c r="BE1517" i="1" s="1"/>
  <c r="CT1522" i="1"/>
  <c r="CU1522" i="1" s="1"/>
  <c r="CT1523" i="1"/>
  <c r="CU1523" i="1" s="1"/>
  <c r="CS1537" i="1"/>
  <c r="BE1543" i="1" a="1"/>
  <c r="BE1543" i="1" s="1"/>
  <c r="CS1546" i="1"/>
  <c r="CS1571" i="1"/>
  <c r="CR1603" i="1"/>
  <c r="CQ1328" i="1"/>
  <c r="BE1348" i="1" a="1"/>
  <c r="BE1348" i="1" s="1"/>
  <c r="CT1457" i="1"/>
  <c r="CU1457" i="1" s="1"/>
  <c r="BE1489" i="1" a="1"/>
  <c r="BE1489" i="1" s="1"/>
  <c r="BE1495" i="1" a="1"/>
  <c r="BE1495" i="1" s="1"/>
  <c r="CT1496" i="1"/>
  <c r="CU1496" i="1" s="1"/>
  <c r="BE1523" i="1" a="1"/>
  <c r="BE1523" i="1" s="1"/>
  <c r="CR1523" i="1"/>
  <c r="BE1606" i="1" a="1"/>
  <c r="BE1606" i="1" s="1"/>
  <c r="CV1523" i="1"/>
  <c r="CP1380" i="1"/>
  <c r="CT1391" i="1"/>
  <c r="CU1391" i="1" s="1"/>
  <c r="CT1408" i="1"/>
  <c r="CU1408" i="1" s="1"/>
  <c r="CS1412" i="1"/>
  <c r="CV1412" i="1" s="1"/>
  <c r="BE1426" i="1" a="1"/>
  <c r="BE1426" i="1" s="1"/>
  <c r="CV1426" i="1"/>
  <c r="CS1444" i="1"/>
  <c r="CS1454" i="1"/>
  <c r="CV1454" i="1" s="1"/>
  <c r="EP1479" i="1"/>
  <c r="BE1483" i="1" a="1"/>
  <c r="BE1483" i="1" s="1"/>
  <c r="CR1500" i="1"/>
  <c r="CT1558" i="1"/>
  <c r="CU1558" i="1" s="1"/>
  <c r="CQ1574" i="1"/>
  <c r="CR1364" i="1"/>
  <c r="CV1364" i="1" s="1"/>
  <c r="CR1366" i="1"/>
  <c r="CV1366" i="1" s="1"/>
  <c r="CS1370" i="1"/>
  <c r="CR1380" i="1"/>
  <c r="BE1390" i="1" a="1"/>
  <c r="BE1390" i="1" s="1"/>
  <c r="CT1394" i="1"/>
  <c r="CU1394" i="1" s="1"/>
  <c r="CT1444" i="1"/>
  <c r="CU1444" i="1" s="1"/>
  <c r="CS1450" i="1"/>
  <c r="CV1450" i="1" s="1"/>
  <c r="CT1454" i="1"/>
  <c r="CU1454" i="1" s="1"/>
  <c r="CS1463" i="1"/>
  <c r="CV1463" i="1" s="1"/>
  <c r="CT1467" i="1"/>
  <c r="CU1467" i="1" s="1"/>
  <c r="CT1500" i="1"/>
  <c r="CU1500" i="1" s="1"/>
  <c r="CT1568" i="1"/>
  <c r="CU1568" i="1" s="1"/>
  <c r="CR1576" i="1"/>
  <c r="CV1274" i="1"/>
  <c r="BY1297" i="1"/>
  <c r="CQ1241" i="1"/>
  <c r="CO1246" i="1"/>
  <c r="CV1248" i="1"/>
  <c r="CS1250" i="1"/>
  <c r="CS1262" i="1"/>
  <c r="CR1264" i="1"/>
  <c r="CQ1265" i="1"/>
  <c r="BE1269" i="1" a="1"/>
  <c r="BE1269" i="1" s="1"/>
  <c r="CS1269" i="1"/>
  <c r="CV1269" i="1" s="1"/>
  <c r="BE1271" i="1" a="1"/>
  <c r="BE1271" i="1" s="1"/>
  <c r="CS1273" i="1"/>
  <c r="CV1273" i="1" s="1"/>
  <c r="CT1277" i="1"/>
  <c r="CU1277" i="1" s="1"/>
  <c r="BY1281" i="1"/>
  <c r="CP1283" i="1"/>
  <c r="BE1291" i="1" a="1"/>
  <c r="BE1291" i="1" s="1"/>
  <c r="CR1295" i="1"/>
  <c r="CV1295" i="1" s="1"/>
  <c r="CS1306" i="1"/>
  <c r="CV1306" i="1" s="1"/>
  <c r="CS1308" i="1"/>
  <c r="CV1318" i="1"/>
  <c r="CQ1281" i="1"/>
  <c r="BV1323" i="1"/>
  <c r="BX1323" i="1" s="1"/>
  <c r="BY1323" i="1" s="1"/>
  <c r="BU1323" i="1"/>
  <c r="CV1240" i="1"/>
  <c r="BY1244" i="1"/>
  <c r="CR1246" i="1"/>
  <c r="CT1259" i="1"/>
  <c r="CU1259" i="1" s="1"/>
  <c r="BE1266" i="1" a="1"/>
  <c r="BE1266" i="1" s="1"/>
  <c r="CT1266" i="1"/>
  <c r="CU1266" i="1" s="1"/>
  <c r="CS1271" i="1"/>
  <c r="CV1282" i="1"/>
  <c r="CR1283" i="1"/>
  <c r="CV1283" i="1" s="1"/>
  <c r="CR1288" i="1"/>
  <c r="CO1298" i="1"/>
  <c r="BE1303" i="1" a="1"/>
  <c r="BE1303" i="1" s="1"/>
  <c r="CV1314" i="1"/>
  <c r="CS1323" i="1"/>
  <c r="CR1323" i="1"/>
  <c r="BE1267" i="1" a="1"/>
  <c r="BE1267" i="1" s="1"/>
  <c r="CT1267" i="1"/>
  <c r="CU1267" i="1" s="1"/>
  <c r="BY1280" i="1"/>
  <c r="CS1288" i="1"/>
  <c r="CV1288" i="1" s="1"/>
  <c r="CP1298" i="1"/>
  <c r="CR1298" i="1"/>
  <c r="CV1298" i="1" s="1"/>
  <c r="CQ1325" i="1"/>
  <c r="CS1325" i="1"/>
  <c r="CR1325" i="1"/>
  <c r="CP1325" i="1"/>
  <c r="CO1325" i="1"/>
  <c r="CQ1326" i="1"/>
  <c r="CS1326" i="1"/>
  <c r="CR1326" i="1"/>
  <c r="CP1326" i="1"/>
  <c r="CO1326" i="1"/>
  <c r="CO1329" i="1"/>
  <c r="CS1329" i="1"/>
  <c r="CQ1329" i="1"/>
  <c r="CP1329" i="1"/>
  <c r="CQ1330" i="1"/>
  <c r="CT1361" i="1"/>
  <c r="CU1361" i="1" s="1"/>
  <c r="CT1244" i="1"/>
  <c r="CR1254" i="1"/>
  <c r="CV1254" i="1" s="1"/>
  <c r="CQ1246" i="1"/>
  <c r="CS1247" i="1"/>
  <c r="CV1247" i="1" s="1"/>
  <c r="CO1264" i="1"/>
  <c r="CR1268" i="1"/>
  <c r="CP1280" i="1"/>
  <c r="CQ1282" i="1"/>
  <c r="CR1287" i="1"/>
  <c r="CT1292" i="1"/>
  <c r="BY1295" i="1"/>
  <c r="EP1295" i="1" s="1"/>
  <c r="CT1301" i="1"/>
  <c r="CU1301" i="1" s="1"/>
  <c r="CT1363" i="1"/>
  <c r="CU1363" i="1" s="1"/>
  <c r="BY1245" i="1"/>
  <c r="CP1264" i="1"/>
  <c r="CS1268" i="1"/>
  <c r="CV1268" i="1" s="1"/>
  <c r="CQ1280" i="1"/>
  <c r="CS1287" i="1"/>
  <c r="CT1297" i="1"/>
  <c r="CT1300" i="1"/>
  <c r="CU1300" i="1" s="1"/>
  <c r="CT1243" i="1"/>
  <c r="CV1246" i="1"/>
  <c r="CS1277" i="1"/>
  <c r="CV1277" i="1" s="1"/>
  <c r="BY1278" i="1"/>
  <c r="CT1282" i="1"/>
  <c r="CR1308" i="1"/>
  <c r="CS1461" i="1"/>
  <c r="CV1461" i="1" s="1"/>
  <c r="CR1472" i="1"/>
  <c r="CS1472" i="1"/>
  <c r="CT1606" i="1"/>
  <c r="CU1606" i="1" s="1"/>
  <c r="BY1606" i="1"/>
  <c r="CS1328" i="1"/>
  <c r="CV1328" i="1" s="1"/>
  <c r="CR1330" i="1"/>
  <c r="CS1344" i="1"/>
  <c r="CV1344" i="1" s="1"/>
  <c r="CS1361" i="1"/>
  <c r="CS1363" i="1"/>
  <c r="CR1365" i="1"/>
  <c r="CV1365" i="1" s="1"/>
  <c r="CT1377" i="1"/>
  <c r="CU1377" i="1" s="1"/>
  <c r="CT1380" i="1"/>
  <c r="BE1381" i="1" a="1"/>
  <c r="BE1381" i="1" s="1"/>
  <c r="CR1382" i="1"/>
  <c r="CP1386" i="1"/>
  <c r="CR1388" i="1"/>
  <c r="CV1388" i="1" s="1"/>
  <c r="BE1391" i="1" a="1"/>
  <c r="BE1391" i="1" s="1"/>
  <c r="CR1391" i="1"/>
  <c r="BE1392" i="1" a="1"/>
  <c r="BE1392" i="1" s="1"/>
  <c r="CS1394" i="1"/>
  <c r="CV1394" i="1" s="1"/>
  <c r="CR1397" i="1"/>
  <c r="CV1397" i="1" s="1"/>
  <c r="CV1400" i="1"/>
  <c r="CR1405" i="1"/>
  <c r="CV1405" i="1" s="1"/>
  <c r="CR1410" i="1"/>
  <c r="CT1412" i="1"/>
  <c r="CU1412" i="1" s="1"/>
  <c r="BE1416" i="1" a="1"/>
  <c r="BE1416" i="1" s="1"/>
  <c r="CR1428" i="1"/>
  <c r="CS1432" i="1"/>
  <c r="CV1432" i="1" s="1"/>
  <c r="BE1437" i="1" a="1"/>
  <c r="BE1437" i="1" s="1"/>
  <c r="CR1438" i="1"/>
  <c r="CS1441" i="1"/>
  <c r="CT1446" i="1"/>
  <c r="CT1451" i="1"/>
  <c r="CU1451" i="1" s="1"/>
  <c r="CS1466" i="1"/>
  <c r="CR1466" i="1"/>
  <c r="CS1330" i="1"/>
  <c r="CV1330" i="1" s="1"/>
  <c r="BE1347" i="1" a="1"/>
  <c r="BE1347" i="1" s="1"/>
  <c r="CT1372" i="1"/>
  <c r="CU1372" i="1" s="1"/>
  <c r="CS1382" i="1"/>
  <c r="CR1386" i="1"/>
  <c r="CV1386" i="1" s="1"/>
  <c r="CT1388" i="1"/>
  <c r="CU1388" i="1" s="1"/>
  <c r="CV1389" i="1"/>
  <c r="CS1391" i="1"/>
  <c r="CT1405" i="1"/>
  <c r="CU1405" i="1" s="1"/>
  <c r="CS1410" i="1"/>
  <c r="BE1417" i="1" a="1"/>
  <c r="BE1417" i="1" s="1"/>
  <c r="CS1428" i="1"/>
  <c r="BE1439" i="1" a="1"/>
  <c r="BE1439" i="1" s="1"/>
  <c r="CR1440" i="1"/>
  <c r="CP1446" i="1"/>
  <c r="CR1457" i="1"/>
  <c r="CV1457" i="1" s="1"/>
  <c r="CS1464" i="1"/>
  <c r="CV1464" i="1" s="1"/>
  <c r="CR1464" i="1"/>
  <c r="CT1589" i="1"/>
  <c r="CU1589" i="1" s="1"/>
  <c r="BY1589" i="1"/>
  <c r="CT1382" i="1"/>
  <c r="BE1385" i="1" a="1"/>
  <c r="BE1385" i="1" s="1"/>
  <c r="CV1395" i="1"/>
  <c r="BE1427" i="1" a="1"/>
  <c r="BE1427" i="1" s="1"/>
  <c r="CS1440" i="1"/>
  <c r="CS1446" i="1"/>
  <c r="BY1576" i="1"/>
  <c r="BY1584" i="1"/>
  <c r="CO1330" i="1"/>
  <c r="CR1342" i="1"/>
  <c r="CV1342" i="1" s="1"/>
  <c r="CQ1352" i="1"/>
  <c r="CT1366" i="1"/>
  <c r="CU1366" i="1" s="1"/>
  <c r="CS1379" i="1"/>
  <c r="CV1379" i="1" s="1"/>
  <c r="CP1383" i="1"/>
  <c r="BE1384" i="1" a="1"/>
  <c r="BE1384" i="1" s="1"/>
  <c r="CR1384" i="1"/>
  <c r="CT1387" i="1"/>
  <c r="CU1387" i="1" s="1"/>
  <c r="CT1389" i="1"/>
  <c r="CU1389" i="1" s="1"/>
  <c r="CR1406" i="1"/>
  <c r="CV1406" i="1" s="1"/>
  <c r="BE1419" i="1" a="1"/>
  <c r="BE1419" i="1" s="1"/>
  <c r="CT1423" i="1"/>
  <c r="CU1423" i="1" s="1"/>
  <c r="BE1425" i="1" a="1"/>
  <c r="BE1425" i="1" s="1"/>
  <c r="BE1430" i="1" a="1"/>
  <c r="BE1430" i="1" s="1"/>
  <c r="CS1448" i="1"/>
  <c r="CV1448" i="1" s="1"/>
  <c r="CT1450" i="1"/>
  <c r="CU1450" i="1" s="1"/>
  <c r="CR1460" i="1"/>
  <c r="CV1460" i="1" s="1"/>
  <c r="CT1471" i="1"/>
  <c r="CU1471" i="1" s="1"/>
  <c r="BY1471" i="1"/>
  <c r="EP1471" i="1" s="1"/>
  <c r="BY1590" i="1"/>
  <c r="CP1330" i="1"/>
  <c r="CT1331" i="1"/>
  <c r="CU1331" i="1" s="1"/>
  <c r="BE1345" i="1" a="1"/>
  <c r="BE1345" i="1" s="1"/>
  <c r="CR1352" i="1"/>
  <c r="CT1379" i="1"/>
  <c r="CS1383" i="1"/>
  <c r="CV1383" i="1" s="1"/>
  <c r="CS1384" i="1"/>
  <c r="CR1387" i="1"/>
  <c r="CV1387" i="1" s="1"/>
  <c r="CR1396" i="1"/>
  <c r="CV1396" i="1" s="1"/>
  <c r="CR1401" i="1"/>
  <c r="CV1401" i="1" s="1"/>
  <c r="CT1456" i="1"/>
  <c r="CU1456" i="1" s="1"/>
  <c r="CT1460" i="1"/>
  <c r="CU1460" i="1" s="1"/>
  <c r="CV1346" i="1"/>
  <c r="CT1398" i="1"/>
  <c r="CU1398" i="1" s="1"/>
  <c r="CR1462" i="1"/>
  <c r="CT1462" i="1"/>
  <c r="CU1462" i="1" s="1"/>
  <c r="CS1462" i="1"/>
  <c r="CP1328" i="1"/>
  <c r="BY1329" i="1"/>
  <c r="EP1329" i="1" s="1"/>
  <c r="CT1333" i="1"/>
  <c r="CU1333" i="1" s="1"/>
  <c r="CT1346" i="1"/>
  <c r="CU1346" i="1" s="1"/>
  <c r="CT1348" i="1"/>
  <c r="CU1348" i="1" s="1"/>
  <c r="CR1370" i="1"/>
  <c r="CV1370" i="1" s="1"/>
  <c r="BE1382" i="1" a="1"/>
  <c r="BE1382" i="1" s="1"/>
  <c r="CR1398" i="1"/>
  <c r="BE1422" i="1" a="1"/>
  <c r="BE1422" i="1" s="1"/>
  <c r="CR1422" i="1"/>
  <c r="CV1422" i="1" s="1"/>
  <c r="BE1424" i="1" a="1"/>
  <c r="BE1424" i="1" s="1"/>
  <c r="CR1431" i="1"/>
  <c r="CV1431" i="1" s="1"/>
  <c r="BE1436" i="1" a="1"/>
  <c r="BE1436" i="1" s="1"/>
  <c r="CR1449" i="1"/>
  <c r="CV1449" i="1" s="1"/>
  <c r="CV1456" i="1"/>
  <c r="CS1482" i="1"/>
  <c r="CR1482" i="1"/>
  <c r="CT1482" i="1"/>
  <c r="CU1482" i="1" s="1"/>
  <c r="CT1486" i="1"/>
  <c r="CU1486" i="1" s="1"/>
  <c r="CT1538" i="1"/>
  <c r="CU1538" i="1" s="1"/>
  <c r="BY1538" i="1"/>
  <c r="BE1482" i="1" a="1"/>
  <c r="BE1482" i="1" s="1"/>
  <c r="BE1484" i="1" a="1"/>
  <c r="BE1484" i="1" s="1"/>
  <c r="CS1493" i="1"/>
  <c r="CV1493" i="1" s="1"/>
  <c r="CR1498" i="1"/>
  <c r="CR1501" i="1"/>
  <c r="CV1501" i="1" s="1"/>
  <c r="CT1502" i="1"/>
  <c r="CU1502" i="1" s="1"/>
  <c r="CR1514" i="1"/>
  <c r="CT1539" i="1"/>
  <c r="CU1539" i="1" s="1"/>
  <c r="CS1541" i="1"/>
  <c r="CV1541" i="1" s="1"/>
  <c r="CT1555" i="1"/>
  <c r="CU1555" i="1" s="1"/>
  <c r="CR1563" i="1"/>
  <c r="CV1563" i="1" s="1"/>
  <c r="CR1565" i="1"/>
  <c r="CS1584" i="1"/>
  <c r="CR1588" i="1"/>
  <c r="CV1588" i="1" s="1"/>
  <c r="CR1593" i="1"/>
  <c r="CV1593" i="1" s="1"/>
  <c r="CP1595" i="1"/>
  <c r="CS1604" i="1"/>
  <c r="CV1604" i="1" s="1"/>
  <c r="BE1607" i="1" a="1"/>
  <c r="BE1607" i="1" s="1"/>
  <c r="CS1607" i="1"/>
  <c r="CV1607" i="1" s="1"/>
  <c r="CV1469" i="1"/>
  <c r="CT1476" i="1"/>
  <c r="CU1476" i="1" s="1"/>
  <c r="CT1485" i="1"/>
  <c r="CU1485" i="1" s="1"/>
  <c r="CT1489" i="1"/>
  <c r="CU1489" i="1" s="1"/>
  <c r="CT1493" i="1"/>
  <c r="CU1493" i="1" s="1"/>
  <c r="BE1498" i="1" a="1"/>
  <c r="BE1498" i="1" s="1"/>
  <c r="CT1505" i="1"/>
  <c r="CU1505" i="1" s="1"/>
  <c r="BE1519" i="1" a="1"/>
  <c r="BE1519" i="1" s="1"/>
  <c r="CT1541" i="1"/>
  <c r="CU1541" i="1" s="1"/>
  <c r="CT1584" i="1"/>
  <c r="CU1584" i="1" s="1"/>
  <c r="CQ1595" i="1"/>
  <c r="CT1501" i="1"/>
  <c r="CU1501" i="1" s="1"/>
  <c r="CV1578" i="1"/>
  <c r="BY1580" i="1"/>
  <c r="CR1595" i="1"/>
  <c r="CV1471" i="1"/>
  <c r="CV1485" i="1"/>
  <c r="CR1506" i="1"/>
  <c r="BE1509" i="1" a="1"/>
  <c r="BE1509" i="1" s="1"/>
  <c r="CR1512" i="1"/>
  <c r="CR1522" i="1"/>
  <c r="CR1539" i="1"/>
  <c r="CV1539" i="1" s="1"/>
  <c r="CT1549" i="1"/>
  <c r="CU1549" i="1" s="1"/>
  <c r="CS1552" i="1"/>
  <c r="CV1552" i="1" s="1"/>
  <c r="CT1553" i="1"/>
  <c r="CU1553" i="1" s="1"/>
  <c r="CV1566" i="1"/>
  <c r="CT1576" i="1"/>
  <c r="CQ1581" i="1"/>
  <c r="CR1587" i="1"/>
  <c r="CV1587" i="1" s="1"/>
  <c r="CS1595" i="1"/>
  <c r="CT1472" i="1"/>
  <c r="CU1472" i="1" s="1"/>
  <c r="CR1477" i="1"/>
  <c r="CV1477" i="1" s="1"/>
  <c r="BE1487" i="1" a="1"/>
  <c r="BE1487" i="1" s="1"/>
  <c r="CR1490" i="1"/>
  <c r="CS1494" i="1"/>
  <c r="CV1500" i="1"/>
  <c r="CS1506" i="1"/>
  <c r="CV1506" i="1" s="1"/>
  <c r="CS1512" i="1"/>
  <c r="CV1512" i="1" s="1"/>
  <c r="BE1515" i="1" a="1"/>
  <c r="BE1515" i="1" s="1"/>
  <c r="CR1556" i="1"/>
  <c r="CV1556" i="1" s="1"/>
  <c r="CR1570" i="1"/>
  <c r="CV1570" i="1" s="1"/>
  <c r="BY1586" i="1"/>
  <c r="CT1594" i="1"/>
  <c r="CU1594" i="1" s="1"/>
  <c r="CT1596" i="1"/>
  <c r="CU1596" i="1" s="1"/>
  <c r="BE1499" i="1" a="1"/>
  <c r="BE1499" i="1" s="1"/>
  <c r="BE1506" i="1" a="1"/>
  <c r="BE1506" i="1" s="1"/>
  <c r="BE1520" i="1" a="1"/>
  <c r="BE1520" i="1" s="1"/>
  <c r="BE1524" i="1" a="1"/>
  <c r="BE1524" i="1" s="1"/>
  <c r="BY1577" i="1"/>
  <c r="BY1581" i="1"/>
  <c r="CS1597" i="1"/>
  <c r="CV1597" i="1" s="1"/>
  <c r="CR1600" i="1"/>
  <c r="BE1491" i="1" a="1"/>
  <c r="BE1491" i="1" s="1"/>
  <c r="BE1514" i="1" a="1"/>
  <c r="BE1514" i="1" s="1"/>
  <c r="BY1579" i="1"/>
  <c r="CR1508" i="1"/>
  <c r="CV1508" i="1" s="1"/>
  <c r="CS1521" i="1"/>
  <c r="CT1540" i="1"/>
  <c r="CU1540" i="1" s="1"/>
  <c r="CV1545" i="1"/>
  <c r="CS1555" i="1"/>
  <c r="BU1265" i="1"/>
  <c r="CS1265" i="1"/>
  <c r="CV1265" i="1" s="1"/>
  <c r="BV1265" i="1"/>
  <c r="BX1265" i="1" s="1"/>
  <c r="CV1250" i="1"/>
  <c r="CV1262" i="1"/>
  <c r="BY1263" i="1"/>
  <c r="CT1263" i="1"/>
  <c r="CU1263" i="1" s="1"/>
  <c r="CT1269" i="1"/>
  <c r="CU1269" i="1" s="1"/>
  <c r="BY1269" i="1"/>
  <c r="CV1271" i="1"/>
  <c r="BY1313" i="1"/>
  <c r="CT1313" i="1"/>
  <c r="CU1313" i="1" s="1"/>
  <c r="BY1326" i="1"/>
  <c r="CT1326" i="1"/>
  <c r="CU1326" i="1" s="1"/>
  <c r="CV1263" i="1"/>
  <c r="CT1271" i="1"/>
  <c r="CU1271" i="1" s="1"/>
  <c r="BY1271" i="1"/>
  <c r="BY1298" i="1"/>
  <c r="CT1298" i="1"/>
  <c r="BY1240" i="1"/>
  <c r="BY1242" i="1"/>
  <c r="CU1248" i="1"/>
  <c r="CT1257" i="1"/>
  <c r="CU1257" i="1" s="1"/>
  <c r="CS1257" i="1"/>
  <c r="CR1257" i="1"/>
  <c r="BY1342" i="1"/>
  <c r="CT1342" i="1"/>
  <c r="CU1240" i="1"/>
  <c r="BY1249" i="1"/>
  <c r="BY1251" i="1"/>
  <c r="CV1259" i="1"/>
  <c r="CV1241" i="1"/>
  <c r="CT1256" i="1"/>
  <c r="CU1256" i="1" s="1"/>
  <c r="BY1256" i="1"/>
  <c r="CV1264" i="1"/>
  <c r="BY1325" i="1"/>
  <c r="EP1325" i="1" s="1"/>
  <c r="CT1325" i="1"/>
  <c r="CT1254" i="1"/>
  <c r="CU1254" i="1" s="1"/>
  <c r="BY1254" i="1"/>
  <c r="BY1247" i="1"/>
  <c r="CQ1247" i="1"/>
  <c r="CR1253" i="1"/>
  <c r="CT1253" i="1"/>
  <c r="CU1253" i="1" s="1"/>
  <c r="CS1253" i="1"/>
  <c r="CT1258" i="1"/>
  <c r="CU1258" i="1" s="1"/>
  <c r="BY1258" i="1"/>
  <c r="CT1245" i="1"/>
  <c r="CQ1245" i="1"/>
  <c r="CO1245" i="1"/>
  <c r="CS1245" i="1"/>
  <c r="CR1245" i="1"/>
  <c r="CP1245" i="1"/>
  <c r="BY1248" i="1"/>
  <c r="CV1249" i="1"/>
  <c r="CT1255" i="1"/>
  <c r="CU1255" i="1" s="1"/>
  <c r="CS1255" i="1"/>
  <c r="CR1255" i="1"/>
  <c r="CT1264" i="1"/>
  <c r="CU1264" i="1" s="1"/>
  <c r="BY1264" i="1"/>
  <c r="CT1274" i="1"/>
  <c r="CU1274" i="1" s="1"/>
  <c r="BY1274" i="1"/>
  <c r="BE1293" i="1" a="1"/>
  <c r="BE1293" i="1" s="1"/>
  <c r="CT1337" i="1"/>
  <c r="CU1337" i="1" s="1"/>
  <c r="BY1337" i="1"/>
  <c r="CT1362" i="1"/>
  <c r="CU1362" i="1" s="1"/>
  <c r="BY1362" i="1"/>
  <c r="BY1250" i="1"/>
  <c r="BY1273" i="1"/>
  <c r="CT1319" i="1"/>
  <c r="CU1319" i="1" s="1"/>
  <c r="CS1319" i="1"/>
  <c r="CR1319" i="1"/>
  <c r="CO1243" i="1"/>
  <c r="CP1244" i="1"/>
  <c r="CO1251" i="1"/>
  <c r="CS1270" i="1"/>
  <c r="CV1270" i="1" s="1"/>
  <c r="CP1281" i="1"/>
  <c r="CR1293" i="1"/>
  <c r="CQ1293" i="1"/>
  <c r="CT1294" i="1"/>
  <c r="CR1294" i="1"/>
  <c r="CO1297" i="1"/>
  <c r="CV1308" i="1"/>
  <c r="BU1313" i="1"/>
  <c r="BV1317" i="1"/>
  <c r="BX1317" i="1" s="1"/>
  <c r="BU1322" i="1"/>
  <c r="BY1324" i="1"/>
  <c r="CT1335" i="1"/>
  <c r="CU1335" i="1" s="1"/>
  <c r="BY1335" i="1"/>
  <c r="CV1352" i="1"/>
  <c r="CR1374" i="1"/>
  <c r="CT1374" i="1"/>
  <c r="CU1374" i="1" s="1"/>
  <c r="CT1385" i="1"/>
  <c r="CQ1385" i="1"/>
  <c r="CO1385" i="1"/>
  <c r="CS1385" i="1"/>
  <c r="CR1385" i="1"/>
  <c r="CP1385" i="1"/>
  <c r="CT1395" i="1"/>
  <c r="CU1395" i="1" s="1"/>
  <c r="BY1395" i="1"/>
  <c r="CT1349" i="1"/>
  <c r="CU1349" i="1" s="1"/>
  <c r="CS1349" i="1"/>
  <c r="CT1241" i="1"/>
  <c r="CU1241" i="1" s="1"/>
  <c r="CO1252" i="1"/>
  <c r="CR1260" i="1"/>
  <c r="CV1260" i="1" s="1"/>
  <c r="CR1369" i="1"/>
  <c r="CV1369" i="1" s="1"/>
  <c r="CT1369" i="1"/>
  <c r="CU1369" i="1" s="1"/>
  <c r="CR1267" i="1"/>
  <c r="CR1272" i="1"/>
  <c r="CV1272" i="1" s="1"/>
  <c r="CT1276" i="1"/>
  <c r="CU1276" i="1" s="1"/>
  <c r="CS1278" i="1"/>
  <c r="CR1278" i="1"/>
  <c r="CP1278" i="1"/>
  <c r="CO1242" i="1"/>
  <c r="CP1243" i="1"/>
  <c r="CQ1244" i="1"/>
  <c r="CU1244" i="1" s="1"/>
  <c r="CT1247" i="1"/>
  <c r="CO1250" i="1"/>
  <c r="CP1251" i="1"/>
  <c r="CQ1252" i="1"/>
  <c r="CU1252" i="1" s="1"/>
  <c r="CT1260" i="1"/>
  <c r="CU1260" i="1" s="1"/>
  <c r="CS1267" i="1"/>
  <c r="CT1270" i="1"/>
  <c r="CU1270" i="1" s="1"/>
  <c r="CT1272" i="1"/>
  <c r="CU1272" i="1" s="1"/>
  <c r="CT1275" i="1"/>
  <c r="CU1275" i="1" s="1"/>
  <c r="CO1278" i="1"/>
  <c r="CT1279" i="1"/>
  <c r="CS1279" i="1"/>
  <c r="CQ1279" i="1"/>
  <c r="CR1290" i="1"/>
  <c r="CV1290" i="1" s="1"/>
  <c r="CS1293" i="1"/>
  <c r="CV1293" i="1" s="1"/>
  <c r="CQ1294" i="1"/>
  <c r="CQ1297" i="1"/>
  <c r="CU1297" i="1" s="1"/>
  <c r="CT1315" i="1"/>
  <c r="CU1315" i="1" s="1"/>
  <c r="CS1315" i="1"/>
  <c r="CV1315" i="1" s="1"/>
  <c r="CR1317" i="1"/>
  <c r="CV1317" i="1" s="1"/>
  <c r="CR1322" i="1"/>
  <c r="CV1322" i="1" s="1"/>
  <c r="CT1323" i="1"/>
  <c r="CU1323" i="1" s="1"/>
  <c r="BY1328" i="1"/>
  <c r="EP1328" i="1" s="1"/>
  <c r="CR1329" i="1"/>
  <c r="CT1332" i="1"/>
  <c r="CU1332" i="1" s="1"/>
  <c r="CS1332" i="1"/>
  <c r="CT1340" i="1"/>
  <c r="CU1340" i="1" s="1"/>
  <c r="CS1340" i="1"/>
  <c r="BE1346" i="1" a="1"/>
  <c r="BE1346" i="1" s="1"/>
  <c r="CT1347" i="1"/>
  <c r="CU1347" i="1" s="1"/>
  <c r="CS1347" i="1"/>
  <c r="CR1347" i="1"/>
  <c r="BY1351" i="1"/>
  <c r="EP1351" i="1" s="1"/>
  <c r="CQ1351" i="1"/>
  <c r="CU1351" i="1" s="1"/>
  <c r="CQ1353" i="1"/>
  <c r="CU1353" i="1" s="1"/>
  <c r="CS1374" i="1"/>
  <c r="CS1286" i="1"/>
  <c r="CR1286" i="1"/>
  <c r="CT1303" i="1"/>
  <c r="CU1303" i="1" s="1"/>
  <c r="CS1303" i="1"/>
  <c r="CT1336" i="1"/>
  <c r="CU1336" i="1" s="1"/>
  <c r="CS1336" i="1"/>
  <c r="CT1281" i="1"/>
  <c r="CR1281" i="1"/>
  <c r="CR1303" i="1"/>
  <c r="CO1244" i="1"/>
  <c r="CV1321" i="1"/>
  <c r="CT1334" i="1"/>
  <c r="CU1334" i="1" s="1"/>
  <c r="CS1334" i="1"/>
  <c r="CV1334" i="1" s="1"/>
  <c r="CP1252" i="1"/>
  <c r="BY1261" i="1"/>
  <c r="CQ1243" i="1"/>
  <c r="CU1243" i="1" s="1"/>
  <c r="CP1250" i="1"/>
  <c r="CQ1251" i="1"/>
  <c r="CU1251" i="1" s="1"/>
  <c r="CR1252" i="1"/>
  <c r="CQ1278" i="1"/>
  <c r="CS1281" i="1"/>
  <c r="CP1284" i="1"/>
  <c r="CO1284" i="1"/>
  <c r="CT1285" i="1"/>
  <c r="CU1285" i="1" s="1"/>
  <c r="CR1285" i="1"/>
  <c r="CT1290" i="1"/>
  <c r="CU1290" i="1" s="1"/>
  <c r="CT1293" i="1"/>
  <c r="CS1294" i="1"/>
  <c r="BY1296" i="1"/>
  <c r="CR1313" i="1"/>
  <c r="CV1313" i="1" s="1"/>
  <c r="BV1316" i="1"/>
  <c r="BX1316" i="1" s="1"/>
  <c r="BU1316" i="1"/>
  <c r="CT1318" i="1"/>
  <c r="CU1318" i="1" s="1"/>
  <c r="CV1329" i="1"/>
  <c r="CR1332" i="1"/>
  <c r="CR1340" i="1"/>
  <c r="CT1341" i="1"/>
  <c r="CU1341" i="1" s="1"/>
  <c r="BY1341" i="1"/>
  <c r="CQ1342" i="1"/>
  <c r="CT1343" i="1"/>
  <c r="CU1343" i="1" s="1"/>
  <c r="CT1345" i="1"/>
  <c r="CU1345" i="1" s="1"/>
  <c r="CT1354" i="1"/>
  <c r="CS1354" i="1"/>
  <c r="CR1354" i="1"/>
  <c r="CQ1354" i="1"/>
  <c r="CP1354" i="1"/>
  <c r="CO1354" i="1"/>
  <c r="CS1327" i="1"/>
  <c r="CV1327" i="1" s="1"/>
  <c r="BV1327" i="1"/>
  <c r="BX1327" i="1" s="1"/>
  <c r="BY1327" i="1" s="1"/>
  <c r="CT1286" i="1"/>
  <c r="CU1286" i="1" s="1"/>
  <c r="CV1312" i="1"/>
  <c r="BU1327" i="1"/>
  <c r="CR1336" i="1"/>
  <c r="CS1407" i="1"/>
  <c r="CR1407" i="1"/>
  <c r="CT1407" i="1"/>
  <c r="CU1407" i="1" s="1"/>
  <c r="CS1297" i="1"/>
  <c r="CR1297" i="1"/>
  <c r="CP1297" i="1"/>
  <c r="BY1393" i="1"/>
  <c r="CT1393" i="1"/>
  <c r="CU1393" i="1" s="1"/>
  <c r="CT1246" i="1"/>
  <c r="CU1246" i="1" s="1"/>
  <c r="CO1240" i="1"/>
  <c r="CO1248" i="1"/>
  <c r="CQ1250" i="1"/>
  <c r="CU1250" i="1" s="1"/>
  <c r="CO1265" i="1"/>
  <c r="CR1266" i="1"/>
  <c r="CV1266" i="1" s="1"/>
  <c r="CV1275" i="1"/>
  <c r="CT1278" i="1"/>
  <c r="CT1280" i="1"/>
  <c r="CU1280" i="1" s="1"/>
  <c r="CR1280" i="1"/>
  <c r="CV1280" i="1" s="1"/>
  <c r="CQ1284" i="1"/>
  <c r="CU1284" i="1" s="1"/>
  <c r="CS1285" i="1"/>
  <c r="CV1292" i="1"/>
  <c r="CT1296" i="1"/>
  <c r="CU1296" i="1" s="1"/>
  <c r="CR1296" i="1"/>
  <c r="CV1296" i="1" s="1"/>
  <c r="CQ1298" i="1"/>
  <c r="CT1299" i="1"/>
  <c r="CS1299" i="1"/>
  <c r="CV1299" i="1" s="1"/>
  <c r="CT1310" i="1"/>
  <c r="CU1310" i="1" s="1"/>
  <c r="CS1310" i="1"/>
  <c r="BV1312" i="1"/>
  <c r="BX1312" i="1" s="1"/>
  <c r="BU1312" i="1"/>
  <c r="CT1320" i="1"/>
  <c r="CU1320" i="1" s="1"/>
  <c r="CS1320" i="1"/>
  <c r="CT1322" i="1"/>
  <c r="CU1322" i="1" s="1"/>
  <c r="CT1338" i="1"/>
  <c r="CU1338" i="1" s="1"/>
  <c r="CS1338" i="1"/>
  <c r="CT1304" i="1"/>
  <c r="CU1304" i="1" s="1"/>
  <c r="CS1304" i="1"/>
  <c r="CR1304" i="1"/>
  <c r="CR1349" i="1"/>
  <c r="CT1350" i="1"/>
  <c r="CU1350" i="1" s="1"/>
  <c r="BY1350" i="1"/>
  <c r="CT1355" i="1"/>
  <c r="CS1355" i="1"/>
  <c r="CR1355" i="1"/>
  <c r="CQ1355" i="1"/>
  <c r="CP1355" i="1"/>
  <c r="CO1281" i="1"/>
  <c r="CS1289" i="1"/>
  <c r="CR1289" i="1"/>
  <c r="CP1242" i="1"/>
  <c r="CR1244" i="1"/>
  <c r="CQ1242" i="1"/>
  <c r="CU1242" i="1" s="1"/>
  <c r="CR1243" i="1"/>
  <c r="CV1243" i="1" s="1"/>
  <c r="CS1244" i="1"/>
  <c r="CR1251" i="1"/>
  <c r="CV1251" i="1" s="1"/>
  <c r="CS1252" i="1"/>
  <c r="CR1279" i="1"/>
  <c r="CO1280" i="1"/>
  <c r="CR1284" i="1"/>
  <c r="CV1284" i="1" s="1"/>
  <c r="CR1291" i="1"/>
  <c r="CV1291" i="1" s="1"/>
  <c r="CQ1291" i="1"/>
  <c r="CU1291" i="1" s="1"/>
  <c r="CQ1292" i="1"/>
  <c r="CU1292" i="1" s="1"/>
  <c r="CT1295" i="1"/>
  <c r="CU1295" i="1" s="1"/>
  <c r="CO1296" i="1"/>
  <c r="CQ1299" i="1"/>
  <c r="CR1310" i="1"/>
  <c r="CT1311" i="1"/>
  <c r="CU1311" i="1" s="1"/>
  <c r="CS1311" i="1"/>
  <c r="CV1311" i="1" s="1"/>
  <c r="CR1311" i="1"/>
  <c r="CT1314" i="1"/>
  <c r="CU1314" i="1" s="1"/>
  <c r="CR1316" i="1"/>
  <c r="CV1316" i="1" s="1"/>
  <c r="CR1320" i="1"/>
  <c r="BY1321" i="1"/>
  <c r="CT1321" i="1"/>
  <c r="CU1321" i="1" s="1"/>
  <c r="CR1338" i="1"/>
  <c r="CT1339" i="1"/>
  <c r="CU1339" i="1" s="1"/>
  <c r="BY1339" i="1"/>
  <c r="CT1359" i="1"/>
  <c r="CU1359" i="1" s="1"/>
  <c r="CS1359" i="1"/>
  <c r="CV1359" i="1" s="1"/>
  <c r="CV1363" i="1"/>
  <c r="CQ1380" i="1"/>
  <c r="BY1380" i="1"/>
  <c r="CV1384" i="1"/>
  <c r="BE1388" i="1" a="1"/>
  <c r="BE1388" i="1" s="1"/>
  <c r="BE1394" i="1" a="1"/>
  <c r="BE1394" i="1" s="1"/>
  <c r="CT1283" i="1"/>
  <c r="CU1283" i="1" s="1"/>
  <c r="BU1321" i="1"/>
  <c r="CO1324" i="1"/>
  <c r="CT1327" i="1"/>
  <c r="CU1327" i="1" s="1"/>
  <c r="CT1328" i="1"/>
  <c r="CU1328" i="1" s="1"/>
  <c r="CT1329" i="1"/>
  <c r="CU1329" i="1" s="1"/>
  <c r="BV1330" i="1"/>
  <c r="BX1330" i="1" s="1"/>
  <c r="CR1343" i="1"/>
  <c r="CR1345" i="1"/>
  <c r="BY1348" i="1"/>
  <c r="EP1348" i="1" s="1"/>
  <c r="CR1351" i="1"/>
  <c r="CT1352" i="1"/>
  <c r="CU1352" i="1" s="1"/>
  <c r="CS1358" i="1"/>
  <c r="CV1358" i="1" s="1"/>
  <c r="CS1362" i="1"/>
  <c r="CR1362" i="1"/>
  <c r="CP1324" i="1"/>
  <c r="CS1343" i="1"/>
  <c r="CS1345" i="1"/>
  <c r="CS1351" i="1"/>
  <c r="CV1351" i="1" s="1"/>
  <c r="CS1357" i="1"/>
  <c r="CR1357" i="1"/>
  <c r="CT1358" i="1"/>
  <c r="CU1358" i="1" s="1"/>
  <c r="BE1360" i="1" a="1"/>
  <c r="BE1360" i="1" s="1"/>
  <c r="CT1365" i="1"/>
  <c r="CU1365" i="1" s="1"/>
  <c r="CV1368" i="1"/>
  <c r="CR1305" i="1"/>
  <c r="BU1315" i="1"/>
  <c r="BU1319" i="1"/>
  <c r="CQ1324" i="1"/>
  <c r="CU1324" i="1" s="1"/>
  <c r="CR1331" i="1"/>
  <c r="CR1333" i="1"/>
  <c r="CR1335" i="1"/>
  <c r="CV1335" i="1" s="1"/>
  <c r="CR1337" i="1"/>
  <c r="CV1337" i="1" s="1"/>
  <c r="CR1339" i="1"/>
  <c r="CV1339" i="1" s="1"/>
  <c r="CR1341" i="1"/>
  <c r="CV1341" i="1" s="1"/>
  <c r="CR1348" i="1"/>
  <c r="CV1348" i="1" s="1"/>
  <c r="CR1350" i="1"/>
  <c r="CV1350" i="1" s="1"/>
  <c r="CT1357" i="1"/>
  <c r="CU1357" i="1" s="1"/>
  <c r="CT1360" i="1"/>
  <c r="CU1360" i="1" s="1"/>
  <c r="CS1360" i="1"/>
  <c r="CT1364" i="1"/>
  <c r="CU1364" i="1" s="1"/>
  <c r="BE1387" i="1" a="1"/>
  <c r="BE1387" i="1" s="1"/>
  <c r="BY1401" i="1"/>
  <c r="CT1401" i="1"/>
  <c r="CU1401" i="1" s="1"/>
  <c r="CS1305" i="1"/>
  <c r="CR1324" i="1"/>
  <c r="CV1324" i="1" s="1"/>
  <c r="CS1331" i="1"/>
  <c r="CS1333" i="1"/>
  <c r="CR1356" i="1"/>
  <c r="BE1358" i="1" a="1"/>
  <c r="BE1358" i="1" s="1"/>
  <c r="CR1360" i="1"/>
  <c r="CV1361" i="1"/>
  <c r="CT1367" i="1"/>
  <c r="CU1367" i="1" s="1"/>
  <c r="CR1367" i="1"/>
  <c r="CV1367" i="1" s="1"/>
  <c r="CT1371" i="1"/>
  <c r="CU1371" i="1" s="1"/>
  <c r="CS1371" i="1"/>
  <c r="CR1371" i="1"/>
  <c r="CV1378" i="1"/>
  <c r="CQ1384" i="1"/>
  <c r="CU1384" i="1" s="1"/>
  <c r="BY1384" i="1"/>
  <c r="CS1390" i="1"/>
  <c r="CR1390" i="1"/>
  <c r="CT1390" i="1"/>
  <c r="CU1390" i="1" s="1"/>
  <c r="CS1356" i="1"/>
  <c r="BE1359" i="1" a="1"/>
  <c r="BE1359" i="1" s="1"/>
  <c r="CT1375" i="1"/>
  <c r="CU1375" i="1" s="1"/>
  <c r="CR1376" i="1"/>
  <c r="CV1376" i="1" s="1"/>
  <c r="CT1376" i="1"/>
  <c r="CU1376" i="1" s="1"/>
  <c r="CR1381" i="1"/>
  <c r="CO1381" i="1"/>
  <c r="CT1381" i="1"/>
  <c r="CS1381" i="1"/>
  <c r="CQ1381" i="1"/>
  <c r="BY1382" i="1"/>
  <c r="CQ1382" i="1"/>
  <c r="CU1382" i="1" s="1"/>
  <c r="BE1389" i="1" a="1"/>
  <c r="BE1389" i="1" s="1"/>
  <c r="CT1396" i="1"/>
  <c r="CU1396" i="1" s="1"/>
  <c r="CV1380" i="1"/>
  <c r="CV1398" i="1"/>
  <c r="CR1402" i="1"/>
  <c r="CV1402" i="1" s="1"/>
  <c r="CR1403" i="1"/>
  <c r="CR1404" i="1"/>
  <c r="CS1409" i="1"/>
  <c r="CR1409" i="1"/>
  <c r="CV1444" i="1"/>
  <c r="CR1372" i="1"/>
  <c r="CV1372" i="1" s="1"/>
  <c r="CR1377" i="1"/>
  <c r="CV1377" i="1" s="1"/>
  <c r="BE1386" i="1" a="1"/>
  <c r="BE1386" i="1" s="1"/>
  <c r="CT1392" i="1"/>
  <c r="CU1392" i="1" s="1"/>
  <c r="CT1399" i="1"/>
  <c r="CU1399" i="1" s="1"/>
  <c r="CS1403" i="1"/>
  <c r="CS1404" i="1"/>
  <c r="CT1409" i="1"/>
  <c r="CU1409" i="1" s="1"/>
  <c r="CR1413" i="1"/>
  <c r="CS1413" i="1"/>
  <c r="CS1415" i="1"/>
  <c r="CR1415" i="1"/>
  <c r="CT1420" i="1"/>
  <c r="CU1420" i="1" s="1"/>
  <c r="CR1420" i="1"/>
  <c r="CV1420" i="1" s="1"/>
  <c r="CV1424" i="1"/>
  <c r="CT1430" i="1"/>
  <c r="CU1430" i="1" s="1"/>
  <c r="CR1430" i="1"/>
  <c r="CV1430" i="1" s="1"/>
  <c r="CO1379" i="1"/>
  <c r="CO1383" i="1"/>
  <c r="CR1392" i="1"/>
  <c r="CV1392" i="1" s="1"/>
  <c r="CT1418" i="1"/>
  <c r="CU1418" i="1" s="1"/>
  <c r="CR1418" i="1"/>
  <c r="CV1418" i="1" s="1"/>
  <c r="CT1411" i="1"/>
  <c r="CU1411" i="1" s="1"/>
  <c r="CR1411" i="1"/>
  <c r="CR1434" i="1"/>
  <c r="CS1434" i="1"/>
  <c r="CQ1379" i="1"/>
  <c r="CU1379" i="1" s="1"/>
  <c r="CV1382" i="1"/>
  <c r="CQ1383" i="1"/>
  <c r="CU1383" i="1" s="1"/>
  <c r="CQ1386" i="1"/>
  <c r="CU1386" i="1" s="1"/>
  <c r="BE1393" i="1" a="1"/>
  <c r="BE1393" i="1" s="1"/>
  <c r="CS1408" i="1"/>
  <c r="CV1408" i="1" s="1"/>
  <c r="CS1411" i="1"/>
  <c r="CT1414" i="1"/>
  <c r="CU1414" i="1" s="1"/>
  <c r="CR1414" i="1"/>
  <c r="CV1414" i="1" s="1"/>
  <c r="CT1425" i="1"/>
  <c r="CU1425" i="1" s="1"/>
  <c r="CR1425" i="1"/>
  <c r="CV1425" i="1" s="1"/>
  <c r="BE1428" i="1" a="1"/>
  <c r="BE1428" i="1" s="1"/>
  <c r="BE1431" i="1" a="1"/>
  <c r="BE1431" i="1" s="1"/>
  <c r="CT1434" i="1"/>
  <c r="CU1434" i="1" s="1"/>
  <c r="CR1419" i="1"/>
  <c r="CS1419" i="1"/>
  <c r="BE1432" i="1" a="1"/>
  <c r="BE1432" i="1" s="1"/>
  <c r="CS1435" i="1"/>
  <c r="CR1435" i="1"/>
  <c r="CT1435" i="1"/>
  <c r="CU1435" i="1" s="1"/>
  <c r="CT1437" i="1"/>
  <c r="CU1437" i="1" s="1"/>
  <c r="CS1437" i="1"/>
  <c r="CR1437" i="1"/>
  <c r="BE1438" i="1" a="1"/>
  <c r="BE1438" i="1" s="1"/>
  <c r="CS1445" i="1"/>
  <c r="CT1452" i="1"/>
  <c r="CU1452" i="1" s="1"/>
  <c r="CT1453" i="1"/>
  <c r="CU1453" i="1" s="1"/>
  <c r="BY1457" i="1"/>
  <c r="CT1458" i="1"/>
  <c r="CU1458" i="1" s="1"/>
  <c r="CT1461" i="1"/>
  <c r="CU1461" i="1" s="1"/>
  <c r="CT1465" i="1"/>
  <c r="CU1465" i="1" s="1"/>
  <c r="CT1480" i="1"/>
  <c r="CU1480" i="1" s="1"/>
  <c r="CS1480" i="1"/>
  <c r="CV1480" i="1" s="1"/>
  <c r="CS1486" i="1"/>
  <c r="CR1486" i="1"/>
  <c r="CV1498" i="1"/>
  <c r="CT1525" i="1"/>
  <c r="CU1525" i="1" s="1"/>
  <c r="EP1473" i="1"/>
  <c r="BE1492" i="1" a="1"/>
  <c r="BE1492" i="1" s="1"/>
  <c r="CT1492" i="1"/>
  <c r="CU1492" i="1" s="1"/>
  <c r="BY1492" i="1"/>
  <c r="CT1598" i="1"/>
  <c r="CU1598" i="1" s="1"/>
  <c r="BY1598" i="1"/>
  <c r="CV1421" i="1"/>
  <c r="CS1443" i="1"/>
  <c r="CV1443" i="1" s="1"/>
  <c r="BE1446" i="1" a="1"/>
  <c r="BE1446" i="1" s="1"/>
  <c r="CV1447" i="1"/>
  <c r="CV1455" i="1"/>
  <c r="CV1458" i="1"/>
  <c r="EP1470" i="1"/>
  <c r="CS1475" i="1"/>
  <c r="CR1475" i="1"/>
  <c r="CT1475" i="1"/>
  <c r="CU1475" i="1" s="1"/>
  <c r="CT1478" i="1"/>
  <c r="CU1478" i="1" s="1"/>
  <c r="CS1478" i="1"/>
  <c r="CR1478" i="1"/>
  <c r="BE1480" i="1" a="1"/>
  <c r="BE1480" i="1" s="1"/>
  <c r="CV1489" i="1"/>
  <c r="BY1490" i="1"/>
  <c r="CR1496" i="1"/>
  <c r="CT1499" i="1"/>
  <c r="CU1499" i="1" s="1"/>
  <c r="CS1499" i="1"/>
  <c r="CV1499" i="1" s="1"/>
  <c r="CT1588" i="1"/>
  <c r="CU1588" i="1" s="1"/>
  <c r="BY1588" i="1"/>
  <c r="BE1435" i="1" a="1"/>
  <c r="BE1435" i="1" s="1"/>
  <c r="CT1443" i="1"/>
  <c r="CU1443" i="1" s="1"/>
  <c r="CT1468" i="1"/>
  <c r="CU1468" i="1" s="1"/>
  <c r="CS1468" i="1"/>
  <c r="CR1468" i="1"/>
  <c r="CS1474" i="1"/>
  <c r="CT1474" i="1"/>
  <c r="CU1474" i="1" s="1"/>
  <c r="CS1496" i="1"/>
  <c r="CS1510" i="1"/>
  <c r="CR1510" i="1"/>
  <c r="CR1526" i="1"/>
  <c r="CT1526" i="1"/>
  <c r="CU1526" i="1" s="1"/>
  <c r="CT1566" i="1"/>
  <c r="CU1566" i="1" s="1"/>
  <c r="BY1566" i="1"/>
  <c r="BE1418" i="1" a="1"/>
  <c r="BE1418" i="1" s="1"/>
  <c r="CT1431" i="1"/>
  <c r="CU1431" i="1" s="1"/>
  <c r="BE1434" i="1" a="1"/>
  <c r="BE1434" i="1" s="1"/>
  <c r="CS1438" i="1"/>
  <c r="CV1438" i="1" s="1"/>
  <c r="CS1439" i="1"/>
  <c r="CV1439" i="1" s="1"/>
  <c r="CR1442" i="1"/>
  <c r="CQ1446" i="1"/>
  <c r="CU1446" i="1" s="1"/>
  <c r="CR1446" i="1"/>
  <c r="CV1446" i="1" s="1"/>
  <c r="CT1448" i="1"/>
  <c r="CU1448" i="1" s="1"/>
  <c r="CT1449" i="1"/>
  <c r="CU1449" i="1" s="1"/>
  <c r="BY1466" i="1"/>
  <c r="CR1474" i="1"/>
  <c r="CS1476" i="1"/>
  <c r="CV1476" i="1" s="1"/>
  <c r="CR1479" i="1"/>
  <c r="CS1483" i="1"/>
  <c r="CR1483" i="1"/>
  <c r="CT1483" i="1"/>
  <c r="CU1483" i="1" s="1"/>
  <c r="CS1484" i="1"/>
  <c r="CV1484" i="1" s="1"/>
  <c r="CS1488" i="1"/>
  <c r="CV1488" i="1" s="1"/>
  <c r="BE1490" i="1" a="1"/>
  <c r="BE1490" i="1" s="1"/>
  <c r="BE1493" i="1" a="1"/>
  <c r="BE1493" i="1" s="1"/>
  <c r="CT1510" i="1"/>
  <c r="CU1510" i="1" s="1"/>
  <c r="CS1522" i="1"/>
  <c r="CS1526" i="1"/>
  <c r="CT1559" i="1"/>
  <c r="CU1559" i="1" s="1"/>
  <c r="CS1559" i="1"/>
  <c r="CR1559" i="1"/>
  <c r="CS1416" i="1"/>
  <c r="CV1416" i="1" s="1"/>
  <c r="CT1439" i="1"/>
  <c r="CU1439" i="1" s="1"/>
  <c r="CS1442" i="1"/>
  <c r="CO1446" i="1"/>
  <c r="CT1464" i="1"/>
  <c r="CU1464" i="1" s="1"/>
  <c r="CS1467" i="1"/>
  <c r="CV1467" i="1" s="1"/>
  <c r="CS1479" i="1"/>
  <c r="CT1484" i="1"/>
  <c r="CU1484" i="1" s="1"/>
  <c r="CT1488" i="1"/>
  <c r="CU1488" i="1" s="1"/>
  <c r="CV1490" i="1"/>
  <c r="CR1494" i="1"/>
  <c r="CV1494" i="1" s="1"/>
  <c r="BE1510" i="1" a="1"/>
  <c r="BE1510" i="1" s="1"/>
  <c r="CR1511" i="1"/>
  <c r="CS1511" i="1"/>
  <c r="CT1518" i="1"/>
  <c r="CU1518" i="1" s="1"/>
  <c r="CS1518" i="1"/>
  <c r="CR1518" i="1"/>
  <c r="CR1553" i="1"/>
  <c r="CT1557" i="1"/>
  <c r="CU1557" i="1" s="1"/>
  <c r="CS1557" i="1"/>
  <c r="CV1557" i="1" s="1"/>
  <c r="CV1451" i="1"/>
  <c r="CT1470" i="1"/>
  <c r="CU1470" i="1" s="1"/>
  <c r="CS1470" i="1"/>
  <c r="CV1470" i="1" s="1"/>
  <c r="EP1478" i="1"/>
  <c r="CT1487" i="1"/>
  <c r="CU1487" i="1" s="1"/>
  <c r="CT1504" i="1"/>
  <c r="CU1504" i="1" s="1"/>
  <c r="CS1504" i="1"/>
  <c r="CR1504" i="1"/>
  <c r="BE1505" i="1" a="1"/>
  <c r="BE1505" i="1" s="1"/>
  <c r="BE1508" i="1" a="1"/>
  <c r="BE1508" i="1" s="1"/>
  <c r="BY1508" i="1"/>
  <c r="CT1508" i="1"/>
  <c r="CU1508" i="1" s="1"/>
  <c r="CT1515" i="1"/>
  <c r="CU1515" i="1" s="1"/>
  <c r="CS1515" i="1"/>
  <c r="CS1553" i="1"/>
  <c r="CV1427" i="1"/>
  <c r="CV1441" i="1"/>
  <c r="CR1445" i="1"/>
  <c r="CS1452" i="1"/>
  <c r="CV1452" i="1" s="1"/>
  <c r="CR1453" i="1"/>
  <c r="CV1453" i="1" s="1"/>
  <c r="CS1459" i="1"/>
  <c r="CV1459" i="1" s="1"/>
  <c r="CT1459" i="1"/>
  <c r="CU1459" i="1" s="1"/>
  <c r="EP1468" i="1"/>
  <c r="BE1486" i="1" a="1"/>
  <c r="BE1486" i="1" s="1"/>
  <c r="CR1515" i="1"/>
  <c r="BY1556" i="1"/>
  <c r="CT1473" i="1"/>
  <c r="CU1473" i="1" s="1"/>
  <c r="CS1473" i="1"/>
  <c r="CV1473" i="1" s="1"/>
  <c r="CT1491" i="1"/>
  <c r="CU1491" i="1" s="1"/>
  <c r="CT1497" i="1"/>
  <c r="CU1497" i="1" s="1"/>
  <c r="CR1497" i="1"/>
  <c r="CS1497" i="1"/>
  <c r="CT1509" i="1"/>
  <c r="CU1509" i="1" s="1"/>
  <c r="CS1509" i="1"/>
  <c r="CR1509" i="1"/>
  <c r="BE1497" i="1" a="1"/>
  <c r="BE1497" i="1" s="1"/>
  <c r="BE1500" i="1" a="1"/>
  <c r="BE1500" i="1" s="1"/>
  <c r="BE1503" i="1" a="1"/>
  <c r="BE1503" i="1" s="1"/>
  <c r="CS1542" i="1"/>
  <c r="CV1542" i="1" s="1"/>
  <c r="CT1542" i="1"/>
  <c r="CU1542" i="1" s="1"/>
  <c r="CT1547" i="1"/>
  <c r="CU1547" i="1" s="1"/>
  <c r="CS1547" i="1"/>
  <c r="CR1547" i="1"/>
  <c r="CT1550" i="1"/>
  <c r="CU1550" i="1" s="1"/>
  <c r="CS1550" i="1"/>
  <c r="CV1555" i="1"/>
  <c r="CR1577" i="1"/>
  <c r="CP1577" i="1"/>
  <c r="CO1577" i="1"/>
  <c r="CT1577" i="1"/>
  <c r="CS1577" i="1"/>
  <c r="CQ1577" i="1"/>
  <c r="CT1587" i="1"/>
  <c r="CU1587" i="1" s="1"/>
  <c r="BY1587" i="1"/>
  <c r="CT1605" i="1"/>
  <c r="CU1605" i="1" s="1"/>
  <c r="CS1605" i="1"/>
  <c r="CR1605" i="1"/>
  <c r="CR1550" i="1"/>
  <c r="CV1558" i="1"/>
  <c r="CR1562" i="1"/>
  <c r="CT1562" i="1"/>
  <c r="CU1562" i="1" s="1"/>
  <c r="CS1564" i="1"/>
  <c r="CR1564" i="1"/>
  <c r="CT1578" i="1"/>
  <c r="CU1578" i="1" s="1"/>
  <c r="BY1578" i="1"/>
  <c r="CR1491" i="1"/>
  <c r="BE1502" i="1" a="1"/>
  <c r="BE1502" i="1" s="1"/>
  <c r="BY1502" i="1"/>
  <c r="CS1503" i="1"/>
  <c r="CV1503" i="1" s="1"/>
  <c r="CT1513" i="1"/>
  <c r="CU1513" i="1" s="1"/>
  <c r="CV1514" i="1"/>
  <c r="CR1517" i="1"/>
  <c r="CR1520" i="1"/>
  <c r="CV1537" i="1"/>
  <c r="BY1552" i="1"/>
  <c r="EP1552" i="1" s="1"/>
  <c r="CT1552" i="1"/>
  <c r="CU1552" i="1" s="1"/>
  <c r="CS1562" i="1"/>
  <c r="CT1564" i="1"/>
  <c r="CU1564" i="1" s="1"/>
  <c r="CS1491" i="1"/>
  <c r="CR1492" i="1"/>
  <c r="CV1492" i="1" s="1"/>
  <c r="BE1494" i="1" a="1"/>
  <c r="BE1494" i="1" s="1"/>
  <c r="CS1502" i="1"/>
  <c r="CR1502" i="1"/>
  <c r="CT1503" i="1"/>
  <c r="CU1503" i="1" s="1"/>
  <c r="BE1507" i="1" a="1"/>
  <c r="BE1507" i="1" s="1"/>
  <c r="BE1512" i="1" a="1"/>
  <c r="BE1512" i="1" s="1"/>
  <c r="CS1517" i="1"/>
  <c r="CS1520" i="1"/>
  <c r="CT1590" i="1"/>
  <c r="CU1590" i="1" s="1"/>
  <c r="CS1590" i="1"/>
  <c r="CR1590" i="1"/>
  <c r="BV1600" i="1"/>
  <c r="BX1600" i="1" s="1"/>
  <c r="BY1600" i="1" s="1"/>
  <c r="BE1496" i="1" a="1"/>
  <c r="BE1496" i="1" s="1"/>
  <c r="CT1507" i="1"/>
  <c r="CU1507" i="1" s="1"/>
  <c r="CS1507" i="1"/>
  <c r="CV1507" i="1" s="1"/>
  <c r="CT1516" i="1"/>
  <c r="CU1516" i="1" s="1"/>
  <c r="CT1524" i="1"/>
  <c r="CU1524" i="1" s="1"/>
  <c r="CS1524" i="1"/>
  <c r="CV1524" i="1" s="1"/>
  <c r="CS1536" i="1"/>
  <c r="CV1536" i="1" s="1"/>
  <c r="CT1536" i="1"/>
  <c r="CU1536" i="1" s="1"/>
  <c r="CR1544" i="1"/>
  <c r="CV1544" i="1" s="1"/>
  <c r="CT1544" i="1"/>
  <c r="CU1544" i="1" s="1"/>
  <c r="CT1567" i="1"/>
  <c r="CU1567" i="1" s="1"/>
  <c r="CS1567" i="1"/>
  <c r="CR1567" i="1"/>
  <c r="CU1574" i="1"/>
  <c r="CS1579" i="1"/>
  <c r="CR1579" i="1"/>
  <c r="CS1586" i="1"/>
  <c r="CR1586" i="1"/>
  <c r="BY1595" i="1"/>
  <c r="EP1595" i="1" s="1"/>
  <c r="CT1595" i="1"/>
  <c r="CU1595" i="1" s="1"/>
  <c r="BV1601" i="1"/>
  <c r="BX1601" i="1" s="1"/>
  <c r="BU1601" i="1"/>
  <c r="CR1505" i="1"/>
  <c r="CV1505" i="1" s="1"/>
  <c r="CR1513" i="1"/>
  <c r="CV1513" i="1" s="1"/>
  <c r="CR1521" i="1"/>
  <c r="CV1521" i="1" s="1"/>
  <c r="CR1525" i="1"/>
  <c r="CV1525" i="1" s="1"/>
  <c r="CR1538" i="1"/>
  <c r="CV1538" i="1" s="1"/>
  <c r="CT1543" i="1"/>
  <c r="CU1543" i="1" s="1"/>
  <c r="CR1543" i="1"/>
  <c r="CV1543" i="1" s="1"/>
  <c r="CR1549" i="1"/>
  <c r="CT1554" i="1"/>
  <c r="CU1554" i="1" s="1"/>
  <c r="CS1554" i="1"/>
  <c r="CR1554" i="1"/>
  <c r="CT1579" i="1"/>
  <c r="CU1579" i="1" s="1"/>
  <c r="BY1583" i="1"/>
  <c r="CT1586" i="1"/>
  <c r="CU1586" i="1" s="1"/>
  <c r="CT1604" i="1"/>
  <c r="CU1604" i="1" s="1"/>
  <c r="CS1549" i="1"/>
  <c r="CT1551" i="1"/>
  <c r="CU1551" i="1" s="1"/>
  <c r="CS1551" i="1"/>
  <c r="CR1551" i="1"/>
  <c r="CO1554" i="1"/>
  <c r="CT1561" i="1"/>
  <c r="CU1561" i="1" s="1"/>
  <c r="CS1561" i="1"/>
  <c r="CS1574" i="1"/>
  <c r="CR1574" i="1"/>
  <c r="CT1575" i="1"/>
  <c r="CR1575" i="1"/>
  <c r="CQ1575" i="1"/>
  <c r="CS1575" i="1"/>
  <c r="CT1583" i="1"/>
  <c r="CU1583" i="1" s="1"/>
  <c r="CS1583" i="1"/>
  <c r="CR1583" i="1"/>
  <c r="CV1603" i="1"/>
  <c r="CR1540" i="1"/>
  <c r="CV1540" i="1" s="1"/>
  <c r="CR1546" i="1"/>
  <c r="CV1546" i="1" s="1"/>
  <c r="CP1554" i="1"/>
  <c r="CR1561" i="1"/>
  <c r="CO1574" i="1"/>
  <c r="CO1575" i="1"/>
  <c r="BY1585" i="1"/>
  <c r="CQ1585" i="1"/>
  <c r="CT1585" i="1"/>
  <c r="CS1585" i="1"/>
  <c r="CV1585" i="1" s="1"/>
  <c r="BU1594" i="1"/>
  <c r="BY1602" i="1"/>
  <c r="CT1592" i="1"/>
  <c r="CU1592" i="1" s="1"/>
  <c r="CV1600" i="1"/>
  <c r="CV1565" i="1"/>
  <c r="CT1580" i="1"/>
  <c r="CU1580" i="1" s="1"/>
  <c r="CS1580" i="1"/>
  <c r="CV1580" i="1" s="1"/>
  <c r="CT1581" i="1"/>
  <c r="CU1581" i="1" s="1"/>
  <c r="CS1581" i="1"/>
  <c r="CR1581" i="1"/>
  <c r="CT1582" i="1"/>
  <c r="CU1582" i="1" s="1"/>
  <c r="CS1582" i="1"/>
  <c r="CV1582" i="1" s="1"/>
  <c r="BY1591" i="1"/>
  <c r="CT1597" i="1"/>
  <c r="CU1597" i="1" s="1"/>
  <c r="BY1597" i="1"/>
  <c r="CV1606" i="1"/>
  <c r="CR1569" i="1"/>
  <c r="CT1591" i="1"/>
  <c r="CU1591" i="1" s="1"/>
  <c r="CS1591" i="1"/>
  <c r="CV1592" i="1"/>
  <c r="BV1593" i="1"/>
  <c r="BX1593" i="1" s="1"/>
  <c r="BU1593" i="1"/>
  <c r="BU1596" i="1"/>
  <c r="CT1607" i="1"/>
  <c r="CU1607" i="1" s="1"/>
  <c r="BY1607" i="1"/>
  <c r="CS1569" i="1"/>
  <c r="CR1571" i="1"/>
  <c r="CV1571" i="1" s="1"/>
  <c r="CR1573" i="1"/>
  <c r="CV1573" i="1" s="1"/>
  <c r="BY1574" i="1"/>
  <c r="CS1576" i="1"/>
  <c r="CV1576" i="1" s="1"/>
  <c r="CQ1576" i="1"/>
  <c r="CP1576" i="1"/>
  <c r="CV1584" i="1"/>
  <c r="CR1591" i="1"/>
  <c r="CS1596" i="1"/>
  <c r="CT1599" i="1"/>
  <c r="CU1599" i="1" s="1"/>
  <c r="CS1599" i="1"/>
  <c r="CV1599" i="1" s="1"/>
  <c r="CT1603" i="1"/>
  <c r="CU1603" i="1" s="1"/>
  <c r="CR1589" i="1"/>
  <c r="CV1589" i="1" s="1"/>
  <c r="CR1598" i="1"/>
  <c r="CV1598" i="1" s="1"/>
  <c r="BU1600" i="1"/>
  <c r="CR1602" i="1"/>
  <c r="CV1602" i="1" s="1"/>
  <c r="CR1594" i="1"/>
  <c r="CV1594" i="1" s="1"/>
  <c r="CR1596" i="1"/>
  <c r="BU1598" i="1"/>
  <c r="CR1601" i="1"/>
  <c r="CV1601" i="1" s="1"/>
  <c r="CV1435" i="1" l="1"/>
  <c r="CV1479" i="1"/>
  <c r="CV1559" i="1"/>
  <c r="CV1583" i="1"/>
  <c r="CV1413" i="1"/>
  <c r="CU1282" i="1"/>
  <c r="CV1390" i="1"/>
  <c r="CV1596" i="1"/>
  <c r="CV1553" i="1"/>
  <c r="CV1357" i="1"/>
  <c r="CV1475" i="1"/>
  <c r="CV1340" i="1"/>
  <c r="CV1325" i="1"/>
  <c r="CV1253" i="1"/>
  <c r="CV1345" i="1"/>
  <c r="CV1391" i="1"/>
  <c r="CU1585" i="1"/>
  <c r="CV1562" i="1"/>
  <c r="CV1550" i="1"/>
  <c r="CU1576" i="1"/>
  <c r="CV1462" i="1"/>
  <c r="CU1247" i="1"/>
  <c r="CV1417" i="1"/>
  <c r="CV1373" i="1"/>
  <c r="CV1410" i="1"/>
  <c r="CV1287" i="1"/>
  <c r="CV1415" i="1"/>
  <c r="CV1551" i="1"/>
  <c r="CV1554" i="1"/>
  <c r="CV1526" i="1"/>
  <c r="CV1496" i="1"/>
  <c r="CV1520" i="1"/>
  <c r="CV1252" i="1"/>
  <c r="CV1289" i="1"/>
  <c r="CV1332" i="1"/>
  <c r="CV1491" i="1"/>
  <c r="CU1299" i="1"/>
  <c r="CV1440" i="1"/>
  <c r="CV1564" i="1"/>
  <c r="CV1244" i="1"/>
  <c r="CV1320" i="1"/>
  <c r="CU1278" i="1"/>
  <c r="CV1517" i="1"/>
  <c r="CV1510" i="1"/>
  <c r="CV1419" i="1"/>
  <c r="CV1303" i="1"/>
  <c r="CV1323" i="1"/>
  <c r="CV1326" i="1"/>
  <c r="CV1561" i="1"/>
  <c r="CU1380" i="1"/>
  <c r="CV1385" i="1"/>
  <c r="CU1325" i="1"/>
  <c r="CV1518" i="1"/>
  <c r="CV1522" i="1"/>
  <c r="CV1474" i="1"/>
  <c r="CU1279" i="1"/>
  <c r="CV1278" i="1"/>
  <c r="CV1245" i="1"/>
  <c r="CV1472" i="1"/>
  <c r="CV1575" i="1"/>
  <c r="CU1381" i="1"/>
  <c r="CV1331" i="1"/>
  <c r="CU1355" i="1"/>
  <c r="CV1281" i="1"/>
  <c r="CU1281" i="1"/>
  <c r="CV1374" i="1"/>
  <c r="CV1595" i="1"/>
  <c r="CV1466" i="1"/>
  <c r="CV1428" i="1"/>
  <c r="CV1586" i="1"/>
  <c r="CV1547" i="1"/>
  <c r="CV1509" i="1"/>
  <c r="CV1511" i="1"/>
  <c r="CV1411" i="1"/>
  <c r="CV1434" i="1"/>
  <c r="CV1360" i="1"/>
  <c r="CV1343" i="1"/>
  <c r="CV1482" i="1"/>
  <c r="CV1569" i="1"/>
  <c r="BY1601" i="1"/>
  <c r="CT1601" i="1"/>
  <c r="CU1601" i="1" s="1"/>
  <c r="CV1502" i="1"/>
  <c r="CV1504" i="1"/>
  <c r="CV1468" i="1"/>
  <c r="CV1437" i="1"/>
  <c r="CV1305" i="1"/>
  <c r="CV1349" i="1"/>
  <c r="CU1298" i="1"/>
  <c r="CV1591" i="1"/>
  <c r="CV1581" i="1"/>
  <c r="CT1600" i="1"/>
  <c r="CU1600" i="1" s="1"/>
  <c r="CV1577" i="1"/>
  <c r="CV1515" i="1"/>
  <c r="CV1486" i="1"/>
  <c r="CV1304" i="1"/>
  <c r="BY1312" i="1"/>
  <c r="CT1312" i="1"/>
  <c r="CU1312" i="1" s="1"/>
  <c r="CV1354" i="1"/>
  <c r="CV1347" i="1"/>
  <c r="CV1267" i="1"/>
  <c r="CU1385" i="1"/>
  <c r="CV1319" i="1"/>
  <c r="CU1245" i="1"/>
  <c r="CV1257" i="1"/>
  <c r="BY1593" i="1"/>
  <c r="CT1593" i="1"/>
  <c r="CU1593" i="1" s="1"/>
  <c r="CV1579" i="1"/>
  <c r="CV1483" i="1"/>
  <c r="CU1294" i="1"/>
  <c r="CU1575" i="1"/>
  <c r="CU1577" i="1"/>
  <c r="CV1404" i="1"/>
  <c r="CV1338" i="1"/>
  <c r="CV1310" i="1"/>
  <c r="CV1285" i="1"/>
  <c r="CV1297" i="1"/>
  <c r="CU1354" i="1"/>
  <c r="CV1294" i="1"/>
  <c r="CV1286" i="1"/>
  <c r="BY1317" i="1"/>
  <c r="CT1317" i="1"/>
  <c r="CU1317" i="1" s="1"/>
  <c r="CV1403" i="1"/>
  <c r="CV1381" i="1"/>
  <c r="CV1356" i="1"/>
  <c r="CV1355" i="1"/>
  <c r="CU1293" i="1"/>
  <c r="CV1279" i="1"/>
  <c r="CU1342" i="1"/>
  <c r="CV1574" i="1"/>
  <c r="CV1549" i="1"/>
  <c r="CV1567" i="1"/>
  <c r="CV1590" i="1"/>
  <c r="CV1605" i="1"/>
  <c r="CV1445" i="1"/>
  <c r="BY1330" i="1"/>
  <c r="EP1330" i="1" s="1"/>
  <c r="CT1330" i="1"/>
  <c r="CU1330" i="1" s="1"/>
  <c r="CV1336" i="1"/>
  <c r="BY1265" i="1"/>
  <c r="CT1265" i="1"/>
  <c r="CU1265" i="1" s="1"/>
  <c r="CV1478" i="1"/>
  <c r="BY1316" i="1"/>
  <c r="CT1316" i="1"/>
  <c r="CU1316" i="1" s="1"/>
  <c r="CV1255" i="1"/>
  <c r="CV1497" i="1"/>
  <c r="CV1442" i="1"/>
  <c r="CV1409" i="1"/>
  <c r="CV1371" i="1"/>
  <c r="CV1333" i="1"/>
  <c r="CV1362" i="1"/>
  <c r="CV1407" i="1"/>
  <c r="EP1576" i="1" l="1"/>
  <c r="EP1555" i="1"/>
  <c r="EP1519" i="1"/>
  <c r="EP1394" i="1"/>
  <c r="EP1259" i="1"/>
  <c r="EP1462" i="1"/>
  <c r="EP1367" i="1"/>
  <c r="EP1283" i="1"/>
  <c r="EP1366" i="1"/>
  <c r="EP1523" i="1"/>
  <c r="EP1514" i="1"/>
  <c r="EP1506" i="1"/>
  <c r="EP1500" i="1"/>
  <c r="EP1493" i="1"/>
  <c r="EP1402" i="1"/>
  <c r="EP1262" i="1"/>
  <c r="EP1590" i="1"/>
  <c r="EP1526" i="1"/>
  <c r="EP1481" i="1"/>
  <c r="EP1455" i="1"/>
  <c r="EP1369" i="1"/>
  <c r="EP1301" i="1"/>
  <c r="EP1496" i="1"/>
  <c r="EP1344" i="1"/>
  <c r="EP1511" i="1"/>
  <c r="EP1488" i="1"/>
  <c r="EP1456" i="1"/>
  <c r="EP1494" i="1"/>
  <c r="EP1572" i="1"/>
  <c r="EP1560" i="1"/>
  <c r="EP1558" i="1"/>
  <c r="EP1484" i="1"/>
  <c r="EP1460" i="1"/>
  <c r="EP1346" i="1"/>
  <c r="EP1570" i="1"/>
  <c r="EP1501" i="1"/>
  <c r="EP1482" i="1"/>
  <c r="EP1278" i="1"/>
  <c r="EP1282" i="1"/>
  <c r="EP1536" i="1"/>
  <c r="EP1451" i="1"/>
  <c r="EP1499" i="1"/>
  <c r="EP1599" i="1"/>
  <c r="EP1289" i="1"/>
  <c r="EP1510" i="1"/>
  <c r="EP1333" i="1"/>
  <c r="EP1365" i="1"/>
  <c r="EP1542" i="1"/>
  <c r="EP1480" i="1"/>
  <c r="EP1397" i="1"/>
  <c r="EP1518" i="1"/>
  <c r="EP1297" i="1"/>
  <c r="EP1364" i="1"/>
  <c r="EP1258" i="1"/>
  <c r="EP1270" i="1"/>
  <c r="EP1584" i="1"/>
  <c r="EP1588" i="1"/>
  <c r="EP1575" i="1"/>
  <c r="EP1522" i="1"/>
  <c r="EP1288" i="1"/>
  <c r="EP1538" i="1"/>
  <c r="EP1334" i="1"/>
  <c r="EP1503" i="1"/>
  <c r="EP1252" i="1"/>
  <c r="EP1336" i="1"/>
  <c r="EP1521" i="1"/>
  <c r="EP1513" i="1"/>
  <c r="EP1396" i="1"/>
  <c r="EP1562" i="1"/>
  <c r="EP1255" i="1"/>
  <c r="EP1453" i="1"/>
  <c r="EP1540" i="1"/>
  <c r="EP1299" i="1"/>
  <c r="EP1381" i="1"/>
  <c r="EP1263" i="1"/>
  <c r="EP1271" i="1"/>
  <c r="EP1254" i="1"/>
  <c r="EP1355" i="1"/>
  <c r="EP1390" i="1"/>
  <c r="EP1592" i="1"/>
  <c r="EP1589" i="1"/>
  <c r="EP1361" i="1"/>
  <c r="EP1371" i="1"/>
  <c r="EP1563" i="1"/>
  <c r="EP1376" i="1"/>
  <c r="EP1504" i="1"/>
  <c r="EP1507" i="1"/>
  <c r="EP1356" i="1"/>
  <c r="EP1568" i="1"/>
  <c r="EP1245" i="1"/>
  <c r="EP1448" i="1"/>
  <c r="EP1604" i="1"/>
  <c r="EP1277" i="1"/>
  <c r="EP1458" i="1"/>
  <c r="EP1559" i="1"/>
  <c r="EP1300" i="1"/>
  <c r="EP1386" i="1"/>
  <c r="EP1267" i="1"/>
  <c r="EP1337" i="1"/>
  <c r="EP1389" i="1"/>
  <c r="EP1400" i="1"/>
  <c r="EP1541" i="1"/>
  <c r="EP1539" i="1"/>
  <c r="EP1602" i="1"/>
  <c r="EP1557" i="1"/>
  <c r="EP1515" i="1"/>
  <c r="EP1379" i="1"/>
  <c r="EP1565" i="1"/>
  <c r="EP1383" i="1"/>
  <c r="EP1505" i="1"/>
  <c r="EP1244" i="1"/>
  <c r="EP1368" i="1"/>
  <c r="EP1573" i="1"/>
  <c r="EP1246" i="1"/>
  <c r="EP1454" i="1"/>
  <c r="EP1243" i="1"/>
  <c r="EP1314" i="1"/>
  <c r="EP1467" i="1"/>
  <c r="EP1561" i="1"/>
  <c r="EP1302" i="1"/>
  <c r="EP1398" i="1"/>
  <c r="EP1264" i="1"/>
  <c r="EP1401" i="1"/>
  <c r="EP1582" i="1"/>
  <c r="EP1605" i="1"/>
  <c r="EP1253" i="1"/>
  <c r="EP1452" i="1"/>
  <c r="EP1603" i="1"/>
  <c r="EP1385" i="1"/>
  <c r="EP1520" i="1"/>
  <c r="EP1332" i="1"/>
  <c r="EP1374" i="1"/>
  <c r="EP1577" i="1"/>
  <c r="EP1272" i="1"/>
  <c r="EP1461" i="1"/>
  <c r="EP1449" i="1"/>
  <c r="EP1357" i="1"/>
  <c r="EP1489" i="1"/>
  <c r="EP1241" i="1"/>
  <c r="EP1320" i="1"/>
  <c r="EP1486" i="1"/>
  <c r="EP1266" i="1"/>
  <c r="EP1290" i="1"/>
  <c r="EP1392" i="1"/>
  <c r="EP1583" i="1"/>
  <c r="EP1525" i="1"/>
  <c r="EP1524" i="1"/>
  <c r="EP1591" i="1"/>
  <c r="EP1257" i="1"/>
  <c r="EP1459" i="1"/>
  <c r="EP1487" i="1"/>
  <c r="EP1446" i="1"/>
  <c r="EP1569" i="1"/>
  <c r="EP1375" i="1"/>
  <c r="EP1450" i="1"/>
  <c r="EP1581" i="1"/>
  <c r="EP1287" i="1"/>
  <c r="EP1485" i="1"/>
  <c r="EP1281" i="1"/>
  <c r="EP1370" i="1"/>
  <c r="EP1497" i="1"/>
  <c r="EP1464" i="1"/>
  <c r="EP1331" i="1"/>
  <c r="EP1498" i="1"/>
  <c r="EP1323" i="1"/>
  <c r="EP1564" i="1"/>
  <c r="EP1260" i="1"/>
  <c r="EP1465" i="1"/>
  <c r="EP1343" i="1"/>
  <c r="EP1483" i="1"/>
  <c r="EP1571" i="1"/>
  <c r="EP1280" i="1"/>
  <c r="EP1463" i="1"/>
  <c r="EP1377" i="1"/>
  <c r="EP1338" i="1"/>
  <c r="EP1509" i="1"/>
  <c r="EP1373" i="1"/>
  <c r="EP1388" i="1"/>
  <c r="EP1512" i="1"/>
  <c r="EP1372" i="1"/>
  <c r="EP1340" i="1"/>
  <c r="EP1580" i="1"/>
  <c r="EP1318" i="1"/>
  <c r="EP1387" i="1"/>
  <c r="EP1399" i="1"/>
  <c r="EP1567" i="1"/>
  <c r="EP1276" i="1"/>
  <c r="EP1516" i="1"/>
  <c r="EP1363" i="1"/>
  <c r="EP1495" i="1"/>
  <c r="EP1586" i="1"/>
  <c r="EP1284" i="1"/>
  <c r="EP1491" i="1"/>
  <c r="EP1275" i="1"/>
  <c r="EP1349" i="1"/>
  <c r="EP1537" i="1"/>
  <c r="EP1378" i="1"/>
  <c r="EP1391" i="1"/>
  <c r="EP1517" i="1"/>
  <c r="EP1279" i="1"/>
  <c r="EP1345" i="1"/>
  <c r="EP1606" i="1"/>
  <c r="EP1268" i="1"/>
  <c r="EP1607" i="1"/>
  <c r="EP1579" i="1"/>
  <c r="EP1574" i="1"/>
  <c r="EP1380" i="1"/>
  <c r="EP1313" i="1"/>
  <c r="EP1341" i="1"/>
  <c r="EP1327" i="1"/>
  <c r="EP1384" i="1"/>
  <c r="EP1256" i="1"/>
  <c r="EP1596" i="1"/>
  <c r="EP1395" i="1"/>
  <c r="EP1508" i="1"/>
  <c r="EP1250" i="1"/>
  <c r="EP1261" i="1"/>
  <c r="EP1296" i="1"/>
  <c r="EP1587" i="1"/>
  <c r="EP1342" i="1"/>
  <c r="EP1566" i="1"/>
  <c r="EP1249" i="1"/>
  <c r="EP1335" i="1"/>
  <c r="EP1556" i="1"/>
  <c r="EP1466" i="1"/>
  <c r="EP1240" i="1"/>
  <c r="EP1273" i="1"/>
  <c r="EP1597" i="1"/>
  <c r="EP1362" i="1"/>
  <c r="EP1490" i="1"/>
  <c r="EP1593" i="1"/>
  <c r="EP1322" i="1"/>
  <c r="EP1326" i="1"/>
  <c r="EP1251" i="1"/>
  <c r="EP1594" i="1"/>
  <c r="EP1274" i="1"/>
  <c r="EP1382" i="1"/>
  <c r="EP1265" i="1"/>
  <c r="EP1248" i="1"/>
  <c r="EP1600" i="1"/>
  <c r="EP1298" i="1"/>
  <c r="EP1578" i="1"/>
  <c r="EP1247" i="1"/>
  <c r="EP1339" i="1"/>
  <c r="EP1242" i="1"/>
  <c r="EP1502" i="1"/>
  <c r="EP1457" i="1"/>
  <c r="EP1492" i="1"/>
  <c r="EP1269" i="1"/>
  <c r="EP1350" i="1"/>
  <c r="EP1598" i="1"/>
  <c r="EP1319" i="1"/>
  <c r="EP1315" i="1"/>
  <c r="EP1321" i="1"/>
  <c r="EP1393" i="1"/>
  <c r="EP1585" i="1"/>
  <c r="EP1324" i="1"/>
  <c r="EP1317" i="1"/>
  <c r="EP1316" i="1"/>
  <c r="EP1312" i="1"/>
  <c r="EP1601" i="1"/>
  <c r="EK80" i="1" l="1"/>
  <c r="EL80" i="1"/>
  <c r="EK81" i="1"/>
  <c r="EL81" i="1"/>
  <c r="EK85" i="1"/>
  <c r="EL85" i="1"/>
  <c r="EK425" i="1"/>
  <c r="EL425" i="1"/>
  <c r="EK423" i="1"/>
  <c r="EL423" i="1"/>
  <c r="EK421" i="1"/>
  <c r="EL421" i="1"/>
  <c r="EK454" i="1"/>
  <c r="EL454" i="1"/>
  <c r="EK136" i="1"/>
  <c r="EL136" i="1"/>
  <c r="EK846" i="1"/>
  <c r="EL846" i="1"/>
  <c r="EK842" i="1"/>
  <c r="EL842" i="1"/>
  <c r="EK894" i="1"/>
  <c r="EL894" i="1"/>
  <c r="EK124" i="1"/>
  <c r="EL124" i="1"/>
  <c r="EK97" i="1"/>
  <c r="EL97" i="1"/>
  <c r="EK54" i="1"/>
  <c r="EL54" i="1"/>
  <c r="EK168" i="1"/>
  <c r="EL168" i="1"/>
  <c r="EK169" i="1"/>
  <c r="EL169" i="1"/>
  <c r="EK196" i="1"/>
  <c r="EL196" i="1"/>
  <c r="EK197" i="1"/>
  <c r="EL197" i="1"/>
  <c r="EK142" i="1"/>
  <c r="EL142" i="1"/>
  <c r="EK143" i="1"/>
  <c r="EL143" i="1"/>
  <c r="EK31" i="1"/>
  <c r="EL31" i="1"/>
  <c r="EK190" i="1"/>
  <c r="EL190" i="1"/>
  <c r="EK843" i="1"/>
  <c r="EL843" i="1"/>
  <c r="EK1021" i="1"/>
  <c r="EL1021" i="1"/>
  <c r="EK34" i="1"/>
  <c r="EL34" i="1"/>
  <c r="EK1019" i="1"/>
  <c r="EL1019" i="1"/>
  <c r="EK643" i="1"/>
  <c r="EL643" i="1"/>
  <c r="EK825" i="1"/>
  <c r="EL825" i="1"/>
  <c r="EK965" i="1"/>
  <c r="EL965" i="1"/>
  <c r="EK1014" i="1"/>
  <c r="EL1014" i="1"/>
  <c r="EK441" i="1"/>
  <c r="EL441" i="1"/>
  <c r="EK950" i="1"/>
  <c r="EL950" i="1"/>
  <c r="EK905" i="1"/>
  <c r="EL905" i="1"/>
  <c r="EK918" i="1"/>
  <c r="EL918" i="1"/>
  <c r="EK934" i="1"/>
  <c r="EL934" i="1"/>
  <c r="EK351" i="1"/>
  <c r="EL351" i="1"/>
  <c r="EK357" i="1"/>
  <c r="EL357" i="1"/>
  <c r="EK360" i="1"/>
  <c r="EL360" i="1"/>
  <c r="EK361" i="1"/>
  <c r="EL361" i="1"/>
  <c r="EK362" i="1"/>
  <c r="EL362" i="1"/>
  <c r="EK364" i="1"/>
  <c r="EL364" i="1"/>
  <c r="EK532" i="1"/>
  <c r="EL532" i="1"/>
  <c r="EK542" i="1"/>
  <c r="EL542" i="1"/>
  <c r="EK543" i="1"/>
  <c r="EL543" i="1"/>
  <c r="EK545" i="1"/>
  <c r="EL545" i="1"/>
  <c r="EK555" i="1"/>
  <c r="EL555" i="1"/>
  <c r="EK550" i="1"/>
  <c r="EL550" i="1"/>
  <c r="EK554" i="1"/>
  <c r="EL554" i="1"/>
  <c r="EK325" i="1"/>
  <c r="EL325" i="1"/>
  <c r="EK320" i="1"/>
  <c r="EL320" i="1"/>
  <c r="EK318" i="1"/>
  <c r="EL318" i="1"/>
  <c r="EK936" i="1"/>
  <c r="EL936" i="1"/>
  <c r="EK940" i="1"/>
  <c r="EL940" i="1"/>
  <c r="EK477" i="1"/>
  <c r="EL477" i="1"/>
  <c r="EK478" i="1"/>
  <c r="EL478" i="1"/>
  <c r="EK496" i="1"/>
  <c r="EL496" i="1"/>
  <c r="EK492" i="1"/>
  <c r="EL492" i="1"/>
  <c r="EK493" i="1"/>
  <c r="EL493" i="1"/>
  <c r="EK490" i="1"/>
  <c r="EL490" i="1"/>
  <c r="EK500" i="1"/>
  <c r="EL500" i="1"/>
  <c r="EK502" i="1"/>
  <c r="EL502" i="1"/>
  <c r="EK503" i="1"/>
  <c r="EL503" i="1"/>
  <c r="EK510" i="1"/>
  <c r="EL510" i="1"/>
  <c r="EK1089" i="1"/>
  <c r="EL1089" i="1"/>
  <c r="EK1090" i="1"/>
  <c r="EL1090" i="1"/>
  <c r="EK1091" i="1"/>
  <c r="EL1091" i="1"/>
  <c r="EK1080" i="1"/>
  <c r="EL1080" i="1"/>
  <c r="EK1081" i="1"/>
  <c r="EL1081" i="1"/>
  <c r="EK1082" i="1"/>
  <c r="EL1082" i="1"/>
  <c r="EK1083" i="1"/>
  <c r="EL1083" i="1"/>
  <c r="EK74" i="1"/>
  <c r="EL74" i="1"/>
  <c r="EK902" i="1"/>
  <c r="EL902" i="1"/>
  <c r="EK992" i="1"/>
  <c r="EL992" i="1"/>
  <c r="EK29" i="1"/>
  <c r="EL29" i="1"/>
  <c r="EK75" i="1"/>
  <c r="EL75" i="1"/>
  <c r="EK132" i="1"/>
  <c r="EL132" i="1"/>
  <c r="EK888" i="1"/>
  <c r="EL888" i="1"/>
  <c r="EK1024" i="1"/>
  <c r="EL1024" i="1"/>
  <c r="EK442" i="1"/>
  <c r="EL442" i="1"/>
  <c r="EK660" i="1"/>
  <c r="EL660" i="1"/>
  <c r="EK267" i="1"/>
  <c r="EL267" i="1"/>
  <c r="EK299" i="1"/>
  <c r="EL299" i="1"/>
  <c r="EK309" i="1"/>
  <c r="EL309" i="1"/>
  <c r="EK575" i="1"/>
  <c r="EL575" i="1"/>
  <c r="EK303" i="1"/>
  <c r="EL303" i="1"/>
  <c r="EK304" i="1"/>
  <c r="EL304" i="1"/>
  <c r="EK570" i="1"/>
  <c r="EL570" i="1"/>
  <c r="EK630" i="1"/>
  <c r="EL630" i="1"/>
  <c r="EK540" i="1"/>
  <c r="EL540" i="1"/>
  <c r="EK620" i="1"/>
  <c r="EL620" i="1"/>
  <c r="EK1159" i="1"/>
  <c r="EL1159" i="1"/>
  <c r="EK1160" i="1"/>
  <c r="EL1160" i="1"/>
  <c r="EK1161" i="1"/>
  <c r="EL1161" i="1"/>
  <c r="EK801" i="1"/>
  <c r="EL801" i="1"/>
  <c r="EK689" i="1"/>
  <c r="EL689" i="1"/>
  <c r="EK702" i="1"/>
  <c r="EL702" i="1"/>
  <c r="EK636" i="1"/>
  <c r="EL636" i="1"/>
  <c r="EK621" i="1"/>
  <c r="EL621" i="1"/>
  <c r="EK729" i="1"/>
  <c r="EL729" i="1"/>
  <c r="EK300" i="1"/>
  <c r="EL300" i="1"/>
  <c r="EK606" i="1"/>
  <c r="EL606" i="1"/>
  <c r="EK294" i="1"/>
  <c r="EL294" i="1"/>
  <c r="EK317" i="1"/>
  <c r="EL317" i="1"/>
  <c r="EK628" i="1"/>
  <c r="EL628" i="1"/>
  <c r="EK302" i="1"/>
  <c r="EL302" i="1"/>
  <c r="EK564" i="1"/>
  <c r="EL564" i="1"/>
  <c r="EK1137" i="1"/>
  <c r="EL1137" i="1"/>
  <c r="EK1138" i="1"/>
  <c r="EL1138" i="1"/>
  <c r="EK1123" i="1"/>
  <c r="EL1123" i="1"/>
  <c r="EK1124" i="1"/>
  <c r="EL1124" i="1"/>
  <c r="EK1125" i="1"/>
  <c r="EL1125" i="1"/>
  <c r="EK1126" i="1"/>
  <c r="EL1126" i="1"/>
  <c r="EK889" i="1"/>
  <c r="EL889" i="1"/>
  <c r="EK895" i="1"/>
  <c r="EL895" i="1"/>
  <c r="EK903" i="1"/>
  <c r="EL903" i="1"/>
  <c r="EK907" i="1"/>
  <c r="EL907" i="1"/>
  <c r="EK1127" i="1"/>
  <c r="EL1127" i="1"/>
  <c r="EK1128" i="1"/>
  <c r="EL1128" i="1"/>
  <c r="EK1129" i="1"/>
  <c r="EL1129" i="1"/>
  <c r="EK1130" i="1"/>
  <c r="EL1130" i="1"/>
  <c r="EK230" i="1"/>
  <c r="EL230" i="1"/>
  <c r="EK259" i="1"/>
  <c r="EL259" i="1"/>
  <c r="EK272" i="1"/>
  <c r="EL272" i="1"/>
  <c r="EK830" i="1"/>
  <c r="EL830" i="1"/>
  <c r="EK1030" i="1"/>
  <c r="EL1030" i="1"/>
  <c r="EK1031" i="1"/>
  <c r="EL1031" i="1"/>
  <c r="EK1032" i="1"/>
  <c r="EL1032" i="1"/>
  <c r="EK1033" i="1"/>
  <c r="EL1033" i="1"/>
  <c r="EK1034" i="1"/>
  <c r="EL1034" i="1"/>
  <c r="EK193" i="1"/>
  <c r="EL193" i="1"/>
  <c r="EK216" i="1"/>
  <c r="EL216" i="1"/>
  <c r="EK208" i="1"/>
  <c r="EL208" i="1"/>
  <c r="EK229" i="1"/>
  <c r="EL229" i="1"/>
  <c r="EK258" i="1"/>
  <c r="EL258" i="1"/>
  <c r="EK286" i="1"/>
  <c r="EL286" i="1"/>
  <c r="EK290" i="1"/>
  <c r="EL290" i="1"/>
  <c r="EK671" i="1"/>
  <c r="EL671" i="1"/>
  <c r="EK725" i="1"/>
  <c r="EL725" i="1"/>
  <c r="EK745" i="1"/>
  <c r="EL745" i="1"/>
  <c r="EK810" i="1"/>
  <c r="EL810" i="1"/>
  <c r="EK914" i="1"/>
  <c r="EL914" i="1"/>
  <c r="EK954" i="1"/>
  <c r="EL954" i="1"/>
  <c r="EK980" i="1"/>
  <c r="EL980" i="1"/>
  <c r="EK1035" i="1"/>
  <c r="EL1035" i="1"/>
  <c r="EK228" i="1"/>
  <c r="EL228" i="1"/>
  <c r="EK172" i="1"/>
  <c r="EL172" i="1"/>
  <c r="EK224" i="1"/>
  <c r="EL224" i="1"/>
  <c r="EK237" i="1"/>
  <c r="EL237" i="1"/>
  <c r="EK183" i="1"/>
  <c r="EL183" i="1"/>
  <c r="EK1104" i="1"/>
  <c r="EL1104" i="1"/>
  <c r="EK1105" i="1"/>
  <c r="EL1105" i="1"/>
  <c r="EK283" i="1"/>
  <c r="EL283" i="1"/>
  <c r="EK582" i="1"/>
  <c r="EL582" i="1"/>
  <c r="EK807" i="1"/>
  <c r="EL807" i="1"/>
  <c r="EK774" i="1"/>
  <c r="EL774" i="1"/>
  <c r="EK989" i="1"/>
  <c r="EL989" i="1"/>
  <c r="EK990" i="1"/>
  <c r="EL990" i="1"/>
  <c r="EK1608" i="1"/>
  <c r="EL1608" i="1"/>
  <c r="EK1609" i="1"/>
  <c r="EL1609" i="1"/>
  <c r="EK1238" i="1"/>
  <c r="EL1238" i="1"/>
  <c r="EK1239" i="1"/>
  <c r="EL1239" i="1"/>
  <c r="EK202" i="1"/>
  <c r="EL202" i="1"/>
  <c r="EK153" i="1"/>
  <c r="EL153" i="1"/>
  <c r="EK796" i="1"/>
  <c r="EL796" i="1"/>
  <c r="EK250" i="1"/>
  <c r="EL250" i="1"/>
  <c r="EK322" i="1"/>
  <c r="EL322" i="1"/>
  <c r="EK716" i="1"/>
  <c r="EL716" i="1"/>
  <c r="EK777" i="1"/>
  <c r="EL777" i="1"/>
  <c r="EK802" i="1"/>
  <c r="EL802" i="1"/>
  <c r="EK789" i="1"/>
  <c r="EL789" i="1"/>
  <c r="EK746" i="1"/>
  <c r="EL746" i="1"/>
  <c r="EK728" i="1"/>
  <c r="EL728" i="1"/>
  <c r="EK724" i="1"/>
  <c r="EL724" i="1"/>
  <c r="EK718" i="1"/>
  <c r="EL718" i="1"/>
  <c r="EK615" i="1"/>
  <c r="EL615" i="1"/>
  <c r="EK613" i="1"/>
  <c r="EL613" i="1"/>
  <c r="EK607" i="1"/>
  <c r="EL607" i="1"/>
  <c r="EK819" i="1"/>
  <c r="EL819" i="1"/>
  <c r="EK690" i="1"/>
  <c r="EL690" i="1"/>
  <c r="EK591" i="1"/>
  <c r="EL591" i="1"/>
  <c r="EK608" i="1"/>
  <c r="EL608" i="1"/>
  <c r="EK781" i="1"/>
  <c r="EL781" i="1"/>
  <c r="EK787" i="1"/>
  <c r="EL787" i="1"/>
  <c r="EK688" i="1"/>
  <c r="EL688" i="1"/>
  <c r="EK627" i="1"/>
  <c r="EL627" i="1"/>
  <c r="EK644" i="1"/>
  <c r="EL644" i="1"/>
  <c r="EK748" i="1"/>
  <c r="EL748" i="1"/>
  <c r="EK62" i="1"/>
  <c r="EL62" i="1"/>
  <c r="EK73" i="1"/>
  <c r="EL73" i="1"/>
  <c r="EK104" i="1"/>
  <c r="EL104" i="1"/>
  <c r="EK120" i="1"/>
  <c r="EL120" i="1"/>
  <c r="EK189" i="1"/>
  <c r="EL189" i="1"/>
  <c r="EK191" i="1"/>
  <c r="EL191" i="1"/>
  <c r="EK219" i="1"/>
  <c r="EL219" i="1"/>
  <c r="EK222" i="1"/>
  <c r="EL222" i="1"/>
  <c r="EK234" i="1"/>
  <c r="EL234" i="1"/>
  <c r="EK238" i="1"/>
  <c r="EL238" i="1"/>
  <c r="EK111" i="1"/>
  <c r="EL111" i="1"/>
  <c r="EK110" i="1"/>
  <c r="EL110" i="1"/>
  <c r="EK988" i="1"/>
  <c r="EL988" i="1"/>
  <c r="EK1011" i="1"/>
  <c r="EL1011" i="1"/>
  <c r="EK129" i="1"/>
  <c r="EL129" i="1"/>
  <c r="EK133" i="1"/>
  <c r="EL133" i="1"/>
  <c r="EK993" i="1"/>
  <c r="EL993" i="1"/>
  <c r="EK40" i="1"/>
  <c r="EL40" i="1"/>
  <c r="EK24" i="1"/>
  <c r="EL24" i="1"/>
  <c r="EK1001" i="1"/>
  <c r="EL1001" i="1"/>
  <c r="EK1018" i="1"/>
  <c r="EL1018" i="1"/>
  <c r="EK23" i="1"/>
  <c r="EL23" i="1"/>
  <c r="EK1007" i="1"/>
  <c r="EL1007" i="1"/>
  <c r="EK1020" i="1"/>
  <c r="EL1020" i="1"/>
  <c r="EK301" i="1"/>
  <c r="EL301" i="1"/>
  <c r="EK285" i="1"/>
  <c r="EL285" i="1"/>
  <c r="EK1139" i="1"/>
  <c r="EL1139" i="1"/>
  <c r="EK1140" i="1"/>
  <c r="EL1140" i="1"/>
  <c r="EK1141" i="1"/>
  <c r="EL1141" i="1"/>
  <c r="EK1142" i="1"/>
  <c r="EL1142" i="1"/>
  <c r="EK1143" i="1"/>
  <c r="EL1143" i="1"/>
  <c r="EK1144" i="1"/>
  <c r="EL1144" i="1"/>
  <c r="EK137" i="1"/>
  <c r="EL137" i="1"/>
  <c r="EK200" i="1"/>
  <c r="EL200" i="1"/>
  <c r="EK211" i="1"/>
  <c r="EL211" i="1"/>
  <c r="EK155" i="1"/>
  <c r="EL155" i="1"/>
  <c r="EK212" i="1"/>
  <c r="EL212" i="1"/>
  <c r="EK231" i="1"/>
  <c r="EL231" i="1"/>
  <c r="EK249" i="1"/>
  <c r="EL249" i="1"/>
  <c r="EK973" i="1"/>
  <c r="EL973" i="1"/>
  <c r="EK984" i="1"/>
  <c r="EL984" i="1"/>
  <c r="EK899" i="1"/>
  <c r="EL899" i="1"/>
  <c r="EK923" i="1"/>
  <c r="EL923" i="1"/>
  <c r="EK960" i="1"/>
  <c r="EL960" i="1"/>
  <c r="EK232" i="1"/>
  <c r="EL232" i="1"/>
  <c r="EK260" i="1"/>
  <c r="EL260" i="1"/>
  <c r="EK262" i="1"/>
  <c r="EL262" i="1"/>
  <c r="EK838" i="1"/>
  <c r="EL838" i="1"/>
  <c r="EK1036" i="1"/>
  <c r="EL1036" i="1"/>
  <c r="EK1037" i="1"/>
  <c r="EL1037" i="1"/>
  <c r="EK1038" i="1"/>
  <c r="EL1038" i="1"/>
  <c r="EK1039" i="1"/>
  <c r="EL1039" i="1"/>
  <c r="EK1040" i="1"/>
  <c r="EL1040" i="1"/>
  <c r="EK122" i="1"/>
  <c r="EL122" i="1"/>
  <c r="EK215" i="1"/>
  <c r="EL215" i="1"/>
  <c r="EK45" i="1"/>
  <c r="EL45" i="1"/>
  <c r="EK245" i="1"/>
  <c r="EL245" i="1"/>
  <c r="EK257" i="1"/>
  <c r="EL257" i="1"/>
  <c r="EK275" i="1"/>
  <c r="EL275" i="1"/>
  <c r="EK281" i="1"/>
  <c r="EL281" i="1"/>
  <c r="EK284" i="1"/>
  <c r="EL284" i="1"/>
  <c r="EK662" i="1"/>
  <c r="EL662" i="1"/>
  <c r="EK773" i="1"/>
  <c r="EL773" i="1"/>
  <c r="EK792" i="1"/>
  <c r="EL792" i="1"/>
  <c r="EK897" i="1"/>
  <c r="EL897" i="1"/>
  <c r="EK931" i="1"/>
  <c r="EL931" i="1"/>
  <c r="EK961" i="1"/>
  <c r="EL961" i="1"/>
  <c r="EK1041" i="1"/>
  <c r="EL1041" i="1"/>
  <c r="EK1048" i="1"/>
  <c r="EL1048" i="1"/>
  <c r="EK1201" i="1"/>
  <c r="EL1201" i="1"/>
  <c r="EK1202" i="1"/>
  <c r="EL1202" i="1"/>
  <c r="EK1203" i="1"/>
  <c r="EL1203" i="1"/>
  <c r="EK1204" i="1"/>
  <c r="EL1204" i="1"/>
  <c r="EK709" i="1"/>
  <c r="EL709" i="1"/>
  <c r="EK86" i="1"/>
  <c r="EL86" i="1"/>
  <c r="EK166" i="1"/>
  <c r="EL166" i="1"/>
  <c r="EK127" i="1"/>
  <c r="EL127" i="1"/>
  <c r="EK108" i="1"/>
  <c r="EL108" i="1"/>
  <c r="EK552" i="1"/>
  <c r="EL552" i="1"/>
  <c r="EK35" i="1"/>
  <c r="EL35" i="1"/>
  <c r="EK141" i="1"/>
  <c r="EL141" i="1"/>
  <c r="EK98" i="1"/>
  <c r="EL98" i="1"/>
  <c r="EK87" i="1"/>
  <c r="EL87" i="1"/>
  <c r="EK641" i="1"/>
  <c r="EL641" i="1"/>
  <c r="EK163" i="1"/>
  <c r="EL163" i="1"/>
  <c r="EK296" i="1"/>
  <c r="EL296" i="1"/>
  <c r="EK560" i="1"/>
  <c r="EL560" i="1"/>
  <c r="EK602" i="1"/>
  <c r="EL602" i="1"/>
  <c r="EK734" i="1"/>
  <c r="EL734" i="1"/>
  <c r="EK735" i="1"/>
  <c r="EL735" i="1"/>
  <c r="EK911" i="1"/>
  <c r="EL911" i="1"/>
  <c r="EK939" i="1"/>
  <c r="EL939" i="1"/>
  <c r="EK1016" i="1"/>
  <c r="EL1016" i="1"/>
  <c r="EK446" i="1"/>
  <c r="EL446" i="1"/>
  <c r="EK780" i="1"/>
  <c r="EL780" i="1"/>
  <c r="EK815" i="1"/>
  <c r="EL815" i="1"/>
  <c r="EK861" i="1"/>
  <c r="EL861" i="1"/>
  <c r="EK916" i="1"/>
  <c r="EL916" i="1"/>
  <c r="EK933" i="1"/>
  <c r="EL933" i="1"/>
  <c r="EK1017" i="1"/>
  <c r="EL1017" i="1"/>
  <c r="EK857" i="1"/>
  <c r="EL857" i="1"/>
  <c r="EK57" i="1"/>
  <c r="EL57" i="1"/>
  <c r="EK59" i="1"/>
  <c r="EL59" i="1"/>
  <c r="EK65" i="1"/>
  <c r="EL65" i="1"/>
  <c r="EK71" i="1"/>
  <c r="EL71" i="1"/>
  <c r="EK72" i="1"/>
  <c r="EL72" i="1"/>
  <c r="EK983" i="1"/>
  <c r="EL983" i="1"/>
  <c r="EK985" i="1"/>
  <c r="EL985" i="1"/>
  <c r="EK654" i="1"/>
  <c r="EL654" i="1"/>
  <c r="EK805" i="1"/>
  <c r="EL805" i="1"/>
  <c r="EK308" i="1"/>
  <c r="EL308" i="1"/>
  <c r="EK455" i="1"/>
  <c r="EL455" i="1"/>
  <c r="EK699" i="1"/>
  <c r="EL699" i="1"/>
  <c r="EK845" i="1"/>
  <c r="EL845" i="1"/>
  <c r="EK41" i="1"/>
  <c r="EL41" i="1"/>
  <c r="EK39" i="1"/>
  <c r="EL39" i="1"/>
  <c r="EK1012" i="1"/>
  <c r="EL1012" i="1"/>
  <c r="EK50" i="1"/>
  <c r="EL50" i="1"/>
  <c r="EK52" i="1"/>
  <c r="EL52" i="1"/>
  <c r="EK53" i="1"/>
  <c r="EL53" i="1"/>
  <c r="EK69" i="1"/>
  <c r="EL69" i="1"/>
  <c r="EK78" i="1"/>
  <c r="EL78" i="1"/>
  <c r="EK785" i="1"/>
  <c r="EL785" i="1"/>
  <c r="EK944" i="1"/>
  <c r="EL944" i="1"/>
  <c r="EK47" i="1"/>
  <c r="EL47" i="1"/>
  <c r="EK48" i="1"/>
  <c r="EL48" i="1"/>
  <c r="EK49" i="1"/>
  <c r="EL49" i="1"/>
  <c r="EK51" i="1"/>
  <c r="EL51" i="1"/>
  <c r="EK63" i="1"/>
  <c r="EL63" i="1"/>
  <c r="EK66" i="1"/>
  <c r="EL66" i="1"/>
  <c r="EK999" i="1"/>
  <c r="EL999" i="1"/>
  <c r="EK879" i="1"/>
  <c r="EL879" i="1"/>
  <c r="EK46" i="1"/>
  <c r="EL46" i="1"/>
  <c r="EK206" i="1"/>
  <c r="EL206" i="1"/>
  <c r="EK177" i="1"/>
  <c r="EL177" i="1"/>
  <c r="EK146" i="1"/>
  <c r="EL146" i="1"/>
  <c r="EK92" i="1"/>
  <c r="EL92" i="1"/>
  <c r="EK149" i="1"/>
  <c r="EL149" i="1"/>
  <c r="EK150" i="1"/>
  <c r="EL150" i="1"/>
  <c r="EK151" i="1"/>
  <c r="EL151" i="1"/>
  <c r="EK105" i="1"/>
  <c r="EL105" i="1"/>
  <c r="EK187" i="1"/>
  <c r="EL187" i="1"/>
  <c r="EK199" i="1"/>
  <c r="EL199" i="1"/>
  <c r="EK1230" i="1"/>
  <c r="EL1230" i="1"/>
  <c r="EK1231" i="1"/>
  <c r="EL1231" i="1"/>
  <c r="EK1226" i="1"/>
  <c r="EL1226" i="1"/>
  <c r="EK1232" i="1"/>
  <c r="EL1232" i="1"/>
  <c r="EK1233" i="1"/>
  <c r="EL1233" i="1"/>
  <c r="EK1227" i="1"/>
  <c r="EL1227" i="1"/>
  <c r="EK1208" i="1"/>
  <c r="EL1208" i="1"/>
  <c r="EK1209" i="1"/>
  <c r="EL1209" i="1"/>
  <c r="EK1210" i="1"/>
  <c r="EL1210" i="1"/>
  <c r="EK1211" i="1"/>
  <c r="EL1211" i="1"/>
  <c r="EK1234" i="1"/>
  <c r="EL1234" i="1"/>
  <c r="EK1235" i="1"/>
  <c r="EL1235" i="1"/>
  <c r="EK1212" i="1"/>
  <c r="EL1212" i="1"/>
  <c r="EK1213" i="1"/>
  <c r="EL1213" i="1"/>
  <c r="EK1214" i="1"/>
  <c r="EL1214" i="1"/>
  <c r="EK1215" i="1"/>
  <c r="EL1215" i="1"/>
  <c r="EK1216" i="1"/>
  <c r="EL1216" i="1"/>
  <c r="EK1217" i="1"/>
  <c r="EL1217" i="1"/>
  <c r="EK1236" i="1"/>
  <c r="EL1236" i="1"/>
  <c r="EK1237" i="1"/>
  <c r="EL1237" i="1"/>
  <c r="EK1218" i="1"/>
  <c r="EL1218" i="1"/>
  <c r="EK1219" i="1"/>
  <c r="EL1219" i="1"/>
  <c r="EK1220" i="1"/>
  <c r="EL1220" i="1"/>
  <c r="EK1221" i="1"/>
  <c r="EL1221" i="1"/>
  <c r="EK1228" i="1"/>
  <c r="EL1228" i="1"/>
  <c r="EK1222" i="1"/>
  <c r="EL1222" i="1"/>
  <c r="EK1223" i="1"/>
  <c r="EL1223" i="1"/>
  <c r="EK1224" i="1"/>
  <c r="EL1224" i="1"/>
  <c r="EK1229" i="1"/>
  <c r="EL1229" i="1"/>
  <c r="EK1225" i="1"/>
  <c r="EL1225" i="1"/>
  <c r="EK945" i="1"/>
  <c r="EL945" i="1"/>
  <c r="EK904" i="1"/>
  <c r="EL904" i="1"/>
  <c r="EK182" i="1"/>
  <c r="EL182" i="1"/>
  <c r="EK128" i="1"/>
  <c r="EL128" i="1"/>
  <c r="EK180" i="1"/>
  <c r="EL180" i="1"/>
  <c r="EK161" i="1"/>
  <c r="EL161" i="1"/>
  <c r="EK754" i="1"/>
  <c r="EL754" i="1"/>
  <c r="EK263" i="1"/>
  <c r="EL263" i="1"/>
  <c r="EK70" i="1"/>
  <c r="EL70" i="1"/>
  <c r="EK125" i="1"/>
  <c r="EL125" i="1"/>
  <c r="EK139" i="1"/>
  <c r="EL139" i="1"/>
  <c r="EK147" i="1"/>
  <c r="EL147" i="1"/>
  <c r="EK84" i="1"/>
  <c r="EL84" i="1"/>
  <c r="EK179" i="1"/>
  <c r="EL179" i="1"/>
  <c r="EK209" i="1"/>
  <c r="EL209" i="1"/>
  <c r="EK226" i="1"/>
  <c r="EL226" i="1"/>
  <c r="EK431" i="1"/>
  <c r="EL431" i="1"/>
  <c r="EK456" i="1"/>
  <c r="EL456" i="1"/>
  <c r="EK458" i="1"/>
  <c r="EL458" i="1"/>
  <c r="EK436" i="1"/>
  <c r="EL436" i="1"/>
  <c r="EK434" i="1"/>
  <c r="EL434" i="1"/>
  <c r="EK457" i="1"/>
  <c r="EL457" i="1"/>
  <c r="EK242" i="1"/>
  <c r="EL242" i="1"/>
  <c r="EK896" i="1"/>
  <c r="EL896" i="1"/>
  <c r="EK622" i="1"/>
  <c r="EL622" i="1"/>
  <c r="EK426" i="1"/>
  <c r="EL426" i="1"/>
  <c r="EK416" i="1"/>
  <c r="EL416" i="1"/>
  <c r="EK420" i="1"/>
  <c r="EL420" i="1"/>
  <c r="EK430" i="1"/>
  <c r="EL430" i="1"/>
  <c r="EK418" i="1"/>
  <c r="EL418" i="1"/>
  <c r="EK437" i="1"/>
  <c r="EL437" i="1"/>
  <c r="EK428" i="1"/>
  <c r="EL428" i="1"/>
  <c r="EK427" i="1"/>
  <c r="EL427" i="1"/>
  <c r="EK412" i="1"/>
  <c r="EL412" i="1"/>
  <c r="EK432" i="1"/>
  <c r="EL432" i="1"/>
  <c r="EK415" i="1"/>
  <c r="EL415" i="1"/>
  <c r="EK429" i="1"/>
  <c r="EL429" i="1"/>
  <c r="EK413" i="1"/>
  <c r="EL413" i="1"/>
  <c r="EK438" i="1"/>
  <c r="EL438" i="1"/>
  <c r="EK419" i="1"/>
  <c r="EL419" i="1"/>
  <c r="EK836" i="1"/>
  <c r="EL836" i="1"/>
  <c r="EK832" i="1"/>
  <c r="EL832" i="1"/>
  <c r="EK1158" i="1"/>
  <c r="EL1158" i="1"/>
  <c r="EK316" i="1"/>
  <c r="EL316" i="1"/>
  <c r="EK323" i="1"/>
  <c r="EL323" i="1"/>
  <c r="EK292" i="1"/>
  <c r="EL292" i="1"/>
  <c r="EK341" i="1"/>
  <c r="EL341" i="1"/>
  <c r="EK797" i="1"/>
  <c r="EL797" i="1"/>
  <c r="EK786" i="1"/>
  <c r="EL786" i="1"/>
  <c r="EK741" i="1"/>
  <c r="EL741" i="1"/>
  <c r="EK723" i="1"/>
  <c r="EL723" i="1"/>
  <c r="EK722" i="1"/>
  <c r="EL722" i="1"/>
  <c r="EK715" i="1"/>
  <c r="EL715" i="1"/>
  <c r="EK609" i="1"/>
  <c r="EL609" i="1"/>
  <c r="EK610" i="1"/>
  <c r="EL610" i="1"/>
  <c r="EK604" i="1"/>
  <c r="EL604" i="1"/>
  <c r="EK841" i="1"/>
  <c r="EL841" i="1"/>
  <c r="EK711" i="1"/>
  <c r="EL711" i="1"/>
  <c r="EK596" i="1"/>
  <c r="EL596" i="1"/>
  <c r="EK612" i="1"/>
  <c r="EL612" i="1"/>
  <c r="EK798" i="1"/>
  <c r="EL798" i="1"/>
  <c r="EK811" i="1"/>
  <c r="EL811" i="1"/>
  <c r="EK707" i="1"/>
  <c r="EL707" i="1"/>
  <c r="EK639" i="1"/>
  <c r="EL639" i="1"/>
  <c r="EK651" i="1"/>
  <c r="EL651" i="1"/>
  <c r="EK768" i="1"/>
  <c r="EL768" i="1"/>
  <c r="EK737" i="1"/>
  <c r="EL737" i="1"/>
  <c r="EK102" i="1"/>
  <c r="EL102" i="1"/>
  <c r="EK157" i="1"/>
  <c r="EL157" i="1"/>
  <c r="EK162" i="1"/>
  <c r="EL162" i="1"/>
  <c r="EK64" i="1"/>
  <c r="EL64" i="1"/>
  <c r="EK103" i="1"/>
  <c r="EL103" i="1"/>
  <c r="EK112" i="1"/>
  <c r="EL112" i="1"/>
  <c r="EK113" i="1"/>
  <c r="EL113" i="1"/>
  <c r="EK181" i="1"/>
  <c r="EL181" i="1"/>
  <c r="EK158" i="1"/>
  <c r="EL158" i="1"/>
  <c r="EK783" i="1"/>
  <c r="EL783" i="1"/>
  <c r="EK1154" i="1"/>
  <c r="EL1154" i="1"/>
  <c r="EK1155" i="1"/>
  <c r="EL1155" i="1"/>
  <c r="EK1156" i="1"/>
  <c r="EL1156" i="1"/>
  <c r="EK1157" i="1"/>
  <c r="EL1157" i="1"/>
  <c r="EK21" i="1"/>
  <c r="EL21" i="1"/>
  <c r="EK20" i="1"/>
  <c r="EL20" i="1"/>
  <c r="EK10" i="1"/>
  <c r="EL10" i="1"/>
  <c r="EK9" i="1"/>
  <c r="EL9" i="1"/>
  <c r="EK19" i="1"/>
  <c r="EL19" i="1"/>
  <c r="EK12" i="1"/>
  <c r="EL12" i="1"/>
  <c r="EK8" i="1"/>
  <c r="EL8" i="1"/>
  <c r="EK1029" i="1"/>
  <c r="EL1029" i="1"/>
  <c r="EK15" i="1"/>
  <c r="EL15" i="1"/>
  <c r="EK14" i="1"/>
  <c r="EL14" i="1"/>
  <c r="EK18" i="1"/>
  <c r="EL18" i="1"/>
  <c r="EK17" i="1"/>
  <c r="EL17" i="1"/>
  <c r="EK13" i="1"/>
  <c r="EL13" i="1"/>
  <c r="EK1027" i="1"/>
  <c r="EL1027" i="1"/>
  <c r="EK16" i="1"/>
  <c r="EL16" i="1"/>
  <c r="EK1028" i="1"/>
  <c r="EL1028" i="1"/>
  <c r="EK22" i="1"/>
  <c r="EL22" i="1"/>
  <c r="EK11" i="1"/>
  <c r="EL11" i="1"/>
  <c r="EK523" i="1"/>
  <c r="EL523" i="1"/>
  <c r="EK376" i="1"/>
  <c r="EL376" i="1"/>
  <c r="EK373" i="1"/>
  <c r="EL373" i="1"/>
  <c r="EK991" i="1"/>
  <c r="EL991" i="1"/>
  <c r="EK1003" i="1"/>
  <c r="EL1003" i="1"/>
  <c r="EK225" i="1"/>
  <c r="EL225" i="1"/>
  <c r="EK239" i="1"/>
  <c r="EL239" i="1"/>
  <c r="EK291" i="1"/>
  <c r="EL291" i="1"/>
  <c r="EK824" i="1"/>
  <c r="EL824" i="1"/>
  <c r="EK1042" i="1"/>
  <c r="EL1042" i="1"/>
  <c r="EK1043" i="1"/>
  <c r="EL1043" i="1"/>
  <c r="EK1044" i="1"/>
  <c r="EL1044" i="1"/>
  <c r="EK1045" i="1"/>
  <c r="EL1045" i="1"/>
  <c r="EK1046" i="1"/>
  <c r="EL1046" i="1"/>
  <c r="EK253" i="1"/>
  <c r="EL253" i="1"/>
  <c r="EK254" i="1"/>
  <c r="EL254" i="1"/>
  <c r="EK89" i="1"/>
  <c r="EL89" i="1"/>
  <c r="EK188" i="1"/>
  <c r="EL188" i="1"/>
  <c r="EK205" i="1"/>
  <c r="EL205" i="1"/>
  <c r="EK264" i="1"/>
  <c r="EL264" i="1"/>
  <c r="EK329" i="1"/>
  <c r="EL329" i="1"/>
  <c r="EK574" i="1"/>
  <c r="EL574" i="1"/>
  <c r="EK668" i="1"/>
  <c r="EL668" i="1"/>
  <c r="EK677" i="1"/>
  <c r="EL677" i="1"/>
  <c r="EK730" i="1"/>
  <c r="EL730" i="1"/>
  <c r="EK757" i="1"/>
  <c r="EL757" i="1"/>
  <c r="EK826" i="1"/>
  <c r="EL826" i="1"/>
  <c r="EK956" i="1"/>
  <c r="EL956" i="1"/>
  <c r="EK976" i="1"/>
  <c r="EL976" i="1"/>
  <c r="EK1047" i="1"/>
  <c r="EL1047" i="1"/>
  <c r="EK274" i="1"/>
  <c r="EL274" i="1"/>
  <c r="EK261" i="1"/>
  <c r="EL261" i="1"/>
  <c r="EK295" i="1"/>
  <c r="EL295" i="1"/>
  <c r="EK1106" i="1"/>
  <c r="EL1106" i="1"/>
  <c r="EK1107" i="1"/>
  <c r="EL1107" i="1"/>
  <c r="EK270" i="1"/>
  <c r="EL270" i="1"/>
  <c r="EK684" i="1"/>
  <c r="EL684" i="1"/>
  <c r="EK175" i="1"/>
  <c r="EL175" i="1"/>
  <c r="EK624" i="1"/>
  <c r="EL624" i="1"/>
  <c r="EK658" i="1"/>
  <c r="EL658" i="1"/>
  <c r="EK1136" i="1"/>
  <c r="EL1136" i="1"/>
  <c r="EK784" i="1"/>
  <c r="EL784" i="1"/>
  <c r="EK770" i="1"/>
  <c r="EL770" i="1"/>
  <c r="EK736" i="1"/>
  <c r="EL736" i="1"/>
  <c r="EK721" i="1"/>
  <c r="EL721" i="1"/>
  <c r="EK720" i="1"/>
  <c r="EL720" i="1"/>
  <c r="EK713" i="1"/>
  <c r="EL713" i="1"/>
  <c r="EK638" i="1"/>
  <c r="EL638" i="1"/>
  <c r="EK634" i="1"/>
  <c r="EL634" i="1"/>
  <c r="EK626" i="1"/>
  <c r="EL626" i="1"/>
  <c r="EK767" i="1"/>
  <c r="EL767" i="1"/>
  <c r="EK679" i="1"/>
  <c r="EL679" i="1"/>
  <c r="EK589" i="1"/>
  <c r="EL589" i="1"/>
  <c r="EK605" i="1"/>
  <c r="EL605" i="1"/>
  <c r="EK772" i="1"/>
  <c r="EL772" i="1"/>
  <c r="EK733" i="1"/>
  <c r="EL733" i="1"/>
  <c r="EK678" i="1"/>
  <c r="EL678" i="1"/>
  <c r="EK623" i="1"/>
  <c r="EL623" i="1"/>
  <c r="EK635" i="1"/>
  <c r="EL635" i="1"/>
  <c r="EK739" i="1"/>
  <c r="EL739" i="1"/>
  <c r="EK910" i="1"/>
  <c r="EL910" i="1"/>
  <c r="EK171" i="1"/>
  <c r="EL171" i="1"/>
  <c r="EK210" i="1"/>
  <c r="EL210" i="1"/>
  <c r="EK255" i="1"/>
  <c r="EL255" i="1"/>
  <c r="EK265" i="1"/>
  <c r="EL265" i="1"/>
  <c r="EK160" i="1"/>
  <c r="EL160" i="1"/>
  <c r="EK186" i="1"/>
  <c r="EL186" i="1"/>
  <c r="EK1114" i="1"/>
  <c r="EL1114" i="1"/>
  <c r="EK930" i="1"/>
  <c r="EL930" i="1"/>
  <c r="EK951" i="1"/>
  <c r="EL951" i="1"/>
  <c r="EK1117" i="1"/>
  <c r="EL1117" i="1"/>
  <c r="EK558" i="1"/>
  <c r="EL558" i="1"/>
  <c r="EK619" i="1"/>
  <c r="EL619" i="1"/>
  <c r="EK1078" i="1"/>
  <c r="EL1078" i="1"/>
  <c r="EK313" i="1"/>
  <c r="EL313" i="1"/>
  <c r="EK590" i="1"/>
  <c r="EL590" i="1"/>
  <c r="EK67" i="1"/>
  <c r="EL67" i="1"/>
  <c r="EK44" i="1"/>
  <c r="EL44" i="1"/>
  <c r="EK1115" i="1"/>
  <c r="EL1115" i="1"/>
  <c r="EK583" i="1"/>
  <c r="EL583" i="1"/>
  <c r="EK614" i="1"/>
  <c r="EL614" i="1"/>
  <c r="EK655" i="1"/>
  <c r="EL655" i="1"/>
  <c r="EK584" i="1"/>
  <c r="EL584" i="1"/>
  <c r="EK594" i="1"/>
  <c r="EL594" i="1"/>
  <c r="EK632" i="1"/>
  <c r="EL632" i="1"/>
  <c r="EK1118" i="1"/>
  <c r="EL1118" i="1"/>
  <c r="EK804" i="1"/>
  <c r="EL804" i="1"/>
  <c r="EK835" i="1"/>
  <c r="EL835" i="1"/>
  <c r="EK1079" i="1"/>
  <c r="EL1079" i="1"/>
  <c r="EK144" i="1"/>
  <c r="EL144" i="1"/>
  <c r="EK167" i="1"/>
  <c r="EL167" i="1"/>
  <c r="EK1116" i="1"/>
  <c r="EL1116" i="1"/>
  <c r="EK1119" i="1"/>
  <c r="EL1119" i="1"/>
  <c r="EK731" i="1"/>
  <c r="EL731" i="1"/>
  <c r="EK828" i="1"/>
  <c r="EL828" i="1"/>
  <c r="EK925" i="1"/>
  <c r="EL925" i="1"/>
  <c r="EK928" i="1"/>
  <c r="EL928" i="1"/>
  <c r="EK617" i="1"/>
  <c r="EL617" i="1"/>
  <c r="EK663" i="1"/>
  <c r="EL663" i="1"/>
  <c r="EK682" i="1"/>
  <c r="EL682" i="1"/>
  <c r="EK693" i="1"/>
  <c r="EL693" i="1"/>
  <c r="EK695" i="1"/>
  <c r="EL695" i="1"/>
  <c r="EK705" i="1"/>
  <c r="EL705" i="1"/>
  <c r="EK740" i="1"/>
  <c r="EL740" i="1"/>
  <c r="EK758" i="1"/>
  <c r="EL758" i="1"/>
  <c r="EK795" i="1"/>
  <c r="EL795" i="1"/>
  <c r="EK837" i="1"/>
  <c r="EL837" i="1"/>
  <c r="EK866" i="1"/>
  <c r="EL866" i="1"/>
  <c r="EK877" i="1"/>
  <c r="EL877" i="1"/>
  <c r="EK878" i="1"/>
  <c r="EL878" i="1"/>
  <c r="EK887" i="1"/>
  <c r="EL887" i="1"/>
  <c r="EK909" i="1"/>
  <c r="EL909" i="1"/>
  <c r="EK919" i="1"/>
  <c r="EL919" i="1"/>
  <c r="EK975" i="1"/>
  <c r="EL975" i="1"/>
  <c r="EK765" i="1"/>
  <c r="EL765" i="1"/>
  <c r="EK821" i="1"/>
  <c r="EL821" i="1"/>
  <c r="EK941" i="1"/>
  <c r="EL941" i="1"/>
  <c r="EK957" i="1"/>
  <c r="EL957" i="1"/>
  <c r="EK968" i="1"/>
  <c r="EL968" i="1"/>
  <c r="EK891" i="1"/>
  <c r="EL891" i="1"/>
  <c r="EK873" i="1"/>
  <c r="EL873" i="1"/>
  <c r="EK519" i="1"/>
  <c r="EL519" i="1"/>
  <c r="EK517" i="1"/>
  <c r="EL517" i="1"/>
  <c r="EK516" i="1"/>
  <c r="EL516" i="1"/>
  <c r="EK525" i="1"/>
  <c r="EL525" i="1"/>
  <c r="EK521" i="1"/>
  <c r="EL521" i="1"/>
  <c r="EK522" i="1"/>
  <c r="EL522" i="1"/>
  <c r="EK744" i="1"/>
  <c r="EL744" i="1"/>
  <c r="EK814" i="1"/>
  <c r="EL814" i="1"/>
  <c r="EK848" i="1"/>
  <c r="EL848" i="1"/>
  <c r="EK876" i="1"/>
  <c r="EL876" i="1"/>
  <c r="EK1108" i="1"/>
  <c r="EL1108" i="1"/>
  <c r="EK955" i="1"/>
  <c r="EL955" i="1"/>
  <c r="EK943" i="1"/>
  <c r="EL943" i="1"/>
  <c r="EK952" i="1"/>
  <c r="EL952" i="1"/>
  <c r="EK184" i="1"/>
  <c r="EL184" i="1"/>
  <c r="EK123" i="1"/>
  <c r="EL123" i="1"/>
  <c r="EK121" i="1"/>
  <c r="EL121" i="1"/>
  <c r="EK173" i="1"/>
  <c r="EL173" i="1"/>
  <c r="EK100" i="1"/>
  <c r="EL100" i="1"/>
  <c r="EK109" i="1"/>
  <c r="EL109" i="1"/>
  <c r="EK159" i="1"/>
  <c r="EL159" i="1"/>
  <c r="EK174" i="1"/>
  <c r="EL174" i="1"/>
  <c r="EK134" i="1"/>
  <c r="EL134" i="1"/>
  <c r="EK165" i="1"/>
  <c r="EL165" i="1"/>
  <c r="EK314" i="1"/>
  <c r="EL314" i="1"/>
  <c r="EK227" i="1"/>
  <c r="EL227" i="1"/>
  <c r="EK277" i="1"/>
  <c r="EL277" i="1"/>
  <c r="EK1109" i="1"/>
  <c r="EL1109" i="1"/>
  <c r="EK114" i="1"/>
  <c r="EL114" i="1"/>
  <c r="EK119" i="1"/>
  <c r="EL119" i="1"/>
  <c r="EK91" i="1"/>
  <c r="EL91" i="1"/>
  <c r="EK99" i="1"/>
  <c r="EL99" i="1"/>
  <c r="EK463" i="1"/>
  <c r="EL463" i="1"/>
  <c r="EK435" i="1"/>
  <c r="EL435" i="1"/>
  <c r="EK488" i="1"/>
  <c r="EL488" i="1"/>
  <c r="EK506" i="1"/>
  <c r="EL506" i="1"/>
  <c r="EK465" i="1"/>
  <c r="EL465" i="1"/>
  <c r="EK476" i="1"/>
  <c r="EL476" i="1"/>
  <c r="EK473" i="1"/>
  <c r="EL473" i="1"/>
  <c r="EK433" i="1"/>
  <c r="EL433" i="1"/>
  <c r="EK467" i="1"/>
  <c r="EL467" i="1"/>
  <c r="EK424" i="1"/>
  <c r="EL424" i="1"/>
  <c r="EK466" i="1"/>
  <c r="EL466" i="1"/>
  <c r="EK422" i="1"/>
  <c r="EL422" i="1"/>
  <c r="EK388" i="1"/>
  <c r="EL388" i="1"/>
  <c r="EK486" i="1"/>
  <c r="EL486" i="1"/>
  <c r="EK414" i="1"/>
  <c r="EL414" i="1"/>
  <c r="EK489" i="1"/>
  <c r="EL489" i="1"/>
  <c r="EK474" i="1"/>
  <c r="EL474" i="1"/>
  <c r="EK461" i="1"/>
  <c r="EL461" i="1"/>
  <c r="EK495" i="1"/>
  <c r="EL495" i="1"/>
  <c r="EK460" i="1"/>
  <c r="EL460" i="1"/>
  <c r="EK487" i="1"/>
  <c r="EL487" i="1"/>
  <c r="EK497" i="1"/>
  <c r="EL497" i="1"/>
  <c r="EK406" i="1"/>
  <c r="EL406" i="1"/>
  <c r="EK514" i="1"/>
  <c r="EL514" i="1"/>
  <c r="EK471" i="1"/>
  <c r="EL471" i="1"/>
  <c r="EK410" i="1"/>
  <c r="EL410" i="1"/>
  <c r="EK515" i="1"/>
  <c r="EL515" i="1"/>
  <c r="EK480" i="1"/>
  <c r="EL480" i="1"/>
  <c r="EK469" i="1"/>
  <c r="EL469" i="1"/>
  <c r="EK479" i="1"/>
  <c r="EL479" i="1"/>
  <c r="EK440" i="1"/>
  <c r="EL440" i="1"/>
  <c r="EK407" i="1"/>
  <c r="EL407" i="1"/>
  <c r="EK470" i="1"/>
  <c r="EL470" i="1"/>
  <c r="EK509" i="1"/>
  <c r="EL509" i="1"/>
  <c r="EK483" i="1"/>
  <c r="EL483" i="1"/>
  <c r="EK511" i="1"/>
  <c r="EL511" i="1"/>
  <c r="EK409" i="1"/>
  <c r="EL409" i="1"/>
  <c r="EK512" i="1"/>
  <c r="EL512" i="1"/>
  <c r="EK408" i="1"/>
  <c r="EL408" i="1"/>
  <c r="EK505" i="1"/>
  <c r="EL505" i="1"/>
  <c r="EK485" i="1"/>
  <c r="EL485" i="1"/>
  <c r="EK484" i="1"/>
  <c r="EL484" i="1"/>
  <c r="EK459" i="1"/>
  <c r="EL459" i="1"/>
  <c r="EK401" i="1"/>
  <c r="EL401" i="1"/>
  <c r="EK389" i="1"/>
  <c r="EL389" i="1"/>
  <c r="EK507" i="1"/>
  <c r="EL507" i="1"/>
  <c r="EK501" i="1"/>
  <c r="EL501" i="1"/>
  <c r="EK462" i="1"/>
  <c r="EL462" i="1"/>
  <c r="EK404" i="1"/>
  <c r="EL404" i="1"/>
  <c r="EK411" i="1"/>
  <c r="EL411" i="1"/>
  <c r="EK417" i="1"/>
  <c r="EL417" i="1"/>
  <c r="EK482" i="1"/>
  <c r="EL482" i="1"/>
  <c r="EK475" i="1"/>
  <c r="EL475" i="1"/>
  <c r="EK504" i="1"/>
  <c r="EL504" i="1"/>
  <c r="EK498" i="1"/>
  <c r="EL498" i="1"/>
  <c r="EK491" i="1"/>
  <c r="EL491" i="1"/>
  <c r="EK508" i="1"/>
  <c r="EL508" i="1"/>
  <c r="EK499" i="1"/>
  <c r="EL499" i="1"/>
  <c r="EK371" i="1"/>
  <c r="EL371" i="1"/>
  <c r="EK464" i="1"/>
  <c r="EL464" i="1"/>
  <c r="EK387" i="1"/>
  <c r="EL387" i="1"/>
  <c r="EK386" i="1"/>
  <c r="EL386" i="1"/>
  <c r="EK379" i="1"/>
  <c r="EL379" i="1"/>
  <c r="EK468" i="1"/>
  <c r="EL468" i="1"/>
  <c r="EK372" i="1"/>
  <c r="EL372" i="1"/>
  <c r="EK481" i="1"/>
  <c r="EL481" i="1"/>
  <c r="EK472" i="1"/>
  <c r="EL472" i="1"/>
  <c r="EK375" i="1"/>
  <c r="EL375" i="1"/>
  <c r="EK381" i="1"/>
  <c r="EL381" i="1"/>
  <c r="EK378" i="1"/>
  <c r="EL378" i="1"/>
  <c r="EK384" i="1"/>
  <c r="EL384" i="1"/>
  <c r="EK380" i="1"/>
  <c r="EL380" i="1"/>
  <c r="EK850" i="1"/>
  <c r="EL850" i="1"/>
  <c r="EK88" i="1"/>
  <c r="EL88" i="1"/>
  <c r="EK90" i="1"/>
  <c r="EL90" i="1"/>
  <c r="EK131" i="1"/>
  <c r="EL131" i="1"/>
  <c r="EK145" i="1"/>
  <c r="EL145" i="1"/>
  <c r="EK884" i="1"/>
  <c r="EL884" i="1"/>
  <c r="EK844" i="1"/>
  <c r="EL844" i="1"/>
  <c r="EK929" i="1"/>
  <c r="EL929" i="1"/>
  <c r="EK1205" i="1"/>
  <c r="EL1205" i="1"/>
  <c r="EK1206" i="1"/>
  <c r="EL1206" i="1"/>
  <c r="EK648" i="1"/>
  <c r="EL648" i="1"/>
  <c r="EK833" i="1"/>
  <c r="EL833" i="1"/>
  <c r="EK865" i="1"/>
  <c r="EL865" i="1"/>
  <c r="EK374" i="1"/>
  <c r="EL374" i="1"/>
  <c r="EK377" i="1"/>
  <c r="EL377" i="1"/>
  <c r="EK513" i="1"/>
  <c r="EL513" i="1"/>
  <c r="EK520" i="1"/>
  <c r="EL520" i="1"/>
  <c r="EK518" i="1"/>
  <c r="EL518" i="1"/>
  <c r="EK524" i="1"/>
  <c r="EL524" i="1"/>
  <c r="EK526" i="1"/>
  <c r="EL526" i="1"/>
  <c r="EK527" i="1"/>
  <c r="EL527" i="1"/>
  <c r="EK534" i="1"/>
  <c r="EL534" i="1"/>
  <c r="EK537" i="1"/>
  <c r="EL537" i="1"/>
  <c r="EK533" i="1"/>
  <c r="EL533" i="1"/>
  <c r="EK536" i="1"/>
  <c r="EL536" i="1"/>
  <c r="EK996" i="1"/>
  <c r="EL996" i="1"/>
  <c r="EK1010" i="1"/>
  <c r="EL1010" i="1"/>
  <c r="EK278" i="1"/>
  <c r="EL278" i="1"/>
  <c r="EK870" i="1"/>
  <c r="EL870" i="1"/>
  <c r="EK871" i="1"/>
  <c r="EL871" i="1"/>
  <c r="EK233" i="1"/>
  <c r="EL233" i="1"/>
  <c r="EK293" i="1"/>
  <c r="EL293" i="1"/>
  <c r="EK701" i="1"/>
  <c r="EL701" i="1"/>
  <c r="EK708" i="1"/>
  <c r="EL708" i="1"/>
  <c r="EK68" i="1"/>
  <c r="EL68" i="1"/>
  <c r="EK901" i="1"/>
  <c r="EL901" i="1"/>
  <c r="EK778" i="1"/>
  <c r="EL778" i="1"/>
  <c r="EK218" i="1"/>
  <c r="EL218" i="1"/>
  <c r="EK118" i="1"/>
  <c r="EL118" i="1"/>
  <c r="EK117" i="1"/>
  <c r="EL117" i="1"/>
  <c r="EK178" i="1"/>
  <c r="EL178" i="1"/>
  <c r="EK185" i="1"/>
  <c r="EL185" i="1"/>
  <c r="EK138" i="1"/>
  <c r="EL138" i="1"/>
  <c r="EK176" i="1"/>
  <c r="EL176" i="1"/>
  <c r="EK243" i="1"/>
  <c r="EL243" i="1"/>
  <c r="EK565" i="1"/>
  <c r="EL565" i="1"/>
  <c r="EK60" i="1"/>
  <c r="EL60" i="1"/>
  <c r="EK82" i="1"/>
  <c r="EL82" i="1"/>
  <c r="EK203" i="1"/>
  <c r="EL203" i="1"/>
  <c r="EK244" i="1"/>
  <c r="EL244" i="1"/>
  <c r="EK1121" i="1"/>
  <c r="EL1121" i="1"/>
  <c r="EK1122" i="1"/>
  <c r="EL1122" i="1"/>
  <c r="EK195" i="1"/>
  <c r="EL195" i="1"/>
  <c r="EK213" i="1"/>
  <c r="EL213" i="1"/>
  <c r="EK273" i="1"/>
  <c r="EL273" i="1"/>
  <c r="EK96" i="1"/>
  <c r="EL96" i="1"/>
  <c r="EK94" i="1"/>
  <c r="EL94" i="1"/>
  <c r="EK107" i="1"/>
  <c r="EL107" i="1"/>
  <c r="EK130" i="1"/>
  <c r="EL130" i="1"/>
  <c r="EK140" i="1"/>
  <c r="EL140" i="1"/>
  <c r="EK164" i="1"/>
  <c r="EL164" i="1"/>
  <c r="EK198" i="1"/>
  <c r="EL198" i="1"/>
  <c r="EK223" i="1"/>
  <c r="EL223" i="1"/>
  <c r="EK252" i="1"/>
  <c r="EL252" i="1"/>
  <c r="EK800" i="1"/>
  <c r="EL800" i="1"/>
  <c r="EK1100" i="1"/>
  <c r="EL1100" i="1"/>
  <c r="EK1095" i="1"/>
  <c r="EL1095" i="1"/>
  <c r="EK1096" i="1"/>
  <c r="EL1096" i="1"/>
  <c r="EK1097" i="1"/>
  <c r="EL1097" i="1"/>
  <c r="EK1098" i="1"/>
  <c r="EL1098" i="1"/>
  <c r="EK1102" i="1"/>
  <c r="EL1102" i="1"/>
  <c r="EK1093" i="1"/>
  <c r="EL1093" i="1"/>
  <c r="EK1092" i="1"/>
  <c r="EL1092" i="1"/>
  <c r="EK1094" i="1"/>
  <c r="EL1094" i="1"/>
  <c r="EK1099" i="1"/>
  <c r="EL1099" i="1"/>
  <c r="EK1103" i="1"/>
  <c r="EL1103" i="1"/>
  <c r="EK1101" i="1"/>
  <c r="EL1101" i="1"/>
  <c r="EK1112" i="1"/>
  <c r="EL1112" i="1"/>
  <c r="EK1113" i="1"/>
  <c r="EL1113" i="1"/>
  <c r="EK26" i="1"/>
  <c r="EL26" i="1"/>
  <c r="EK38" i="1"/>
  <c r="EL38" i="1"/>
  <c r="EK328" i="1"/>
  <c r="EL328" i="1"/>
  <c r="EK321" i="1"/>
  <c r="EL321" i="1"/>
  <c r="EK315" i="1"/>
  <c r="EL315" i="1"/>
  <c r="EK312" i="1"/>
  <c r="EL312" i="1"/>
  <c r="EK235" i="1"/>
  <c r="EL235" i="1"/>
  <c r="EK246" i="1"/>
  <c r="EL246" i="1"/>
  <c r="EK247" i="1"/>
  <c r="EL247" i="1"/>
  <c r="EK248" i="1"/>
  <c r="EL248" i="1"/>
  <c r="EK712" i="1"/>
  <c r="EL712" i="1"/>
  <c r="EK756" i="1"/>
  <c r="EL756" i="1"/>
  <c r="EK704" i="1"/>
  <c r="EL704" i="1"/>
  <c r="EK829" i="1"/>
  <c r="EL829" i="1"/>
  <c r="EK840" i="1"/>
  <c r="EL840" i="1"/>
  <c r="EK883" i="1"/>
  <c r="EL883" i="1"/>
  <c r="EK892" i="1"/>
  <c r="EL892" i="1"/>
  <c r="EK56" i="1"/>
  <c r="EL56" i="1"/>
  <c r="EK924" i="1"/>
  <c r="EL924" i="1"/>
  <c r="EK849" i="1"/>
  <c r="EL849" i="1"/>
  <c r="EK762" i="1"/>
  <c r="EL762" i="1"/>
  <c r="EK927" i="1"/>
  <c r="EL927" i="1"/>
  <c r="EK937" i="1"/>
  <c r="EL937" i="1"/>
  <c r="EK938" i="1"/>
  <c r="EL938" i="1"/>
  <c r="EK947" i="1"/>
  <c r="EL947" i="1"/>
  <c r="EK572" i="1"/>
  <c r="EL572" i="1"/>
  <c r="EK563" i="1"/>
  <c r="EL563" i="1"/>
  <c r="EK559" i="1"/>
  <c r="EL559" i="1"/>
  <c r="EK363" i="1"/>
  <c r="EL363" i="1"/>
  <c r="EK338" i="1"/>
  <c r="EL338" i="1"/>
  <c r="EK603" i="1"/>
  <c r="EL603" i="1"/>
  <c r="EK148" i="1"/>
  <c r="EL148" i="1"/>
  <c r="EK864" i="1"/>
  <c r="EL864" i="1"/>
  <c r="EK820" i="1"/>
  <c r="EL820" i="1"/>
  <c r="EK633" i="1"/>
  <c r="EL633" i="1"/>
  <c r="EK236" i="1"/>
  <c r="EL236" i="1"/>
  <c r="EK858" i="1"/>
  <c r="EL858" i="1"/>
  <c r="EK856" i="1"/>
  <c r="EL856" i="1"/>
  <c r="EK893" i="1"/>
  <c r="EL893" i="1"/>
  <c r="EK1111" i="1"/>
  <c r="EL1111" i="1"/>
  <c r="EK1110" i="1"/>
  <c r="EL1110" i="1"/>
  <c r="EK935" i="1"/>
  <c r="EL935" i="1"/>
  <c r="EK958" i="1"/>
  <c r="EL958" i="1"/>
  <c r="EK959" i="1"/>
  <c r="EL959" i="1"/>
  <c r="EK994" i="1"/>
  <c r="EL994" i="1"/>
  <c r="EK1120" i="1"/>
  <c r="EL1120" i="1"/>
  <c r="EK974" i="1"/>
  <c r="EL974" i="1"/>
  <c r="EK967" i="1"/>
  <c r="EL967" i="1"/>
  <c r="EK966" i="1"/>
  <c r="EL966" i="1"/>
  <c r="EK964" i="1"/>
  <c r="EL964" i="1"/>
  <c r="EK977" i="1"/>
  <c r="EL977" i="1"/>
  <c r="EK847" i="1"/>
  <c r="EL847" i="1"/>
  <c r="EK953" i="1"/>
  <c r="EL953" i="1"/>
  <c r="EK1146" i="1"/>
  <c r="EL1146" i="1"/>
  <c r="EK1147" i="1"/>
  <c r="EL1147" i="1"/>
  <c r="EK1148" i="1"/>
  <c r="EL1148" i="1"/>
  <c r="EK1149" i="1"/>
  <c r="EL1149" i="1"/>
  <c r="EK1150" i="1"/>
  <c r="EL1150" i="1"/>
  <c r="EK1151" i="1"/>
  <c r="EL1151" i="1"/>
  <c r="EK1152" i="1"/>
  <c r="EL1152" i="1"/>
  <c r="EK1153" i="1"/>
  <c r="EL1153" i="1"/>
  <c r="EK279" i="1"/>
  <c r="EL279" i="1"/>
  <c r="EK289" i="1"/>
  <c r="EL289" i="1"/>
  <c r="EK631" i="1"/>
  <c r="EL631" i="1"/>
  <c r="EK649" i="1"/>
  <c r="EL649" i="1"/>
  <c r="EK669" i="1"/>
  <c r="EL669" i="1"/>
  <c r="EK742" i="1"/>
  <c r="EL742" i="1"/>
  <c r="EK747" i="1"/>
  <c r="EL747" i="1"/>
  <c r="EK761" i="1"/>
  <c r="EL761" i="1"/>
  <c r="EK776" i="1"/>
  <c r="EL776" i="1"/>
  <c r="EK822" i="1"/>
  <c r="EL822" i="1"/>
  <c r="EK823" i="1"/>
  <c r="EL823" i="1"/>
  <c r="EK827" i="1"/>
  <c r="EL827" i="1"/>
  <c r="EK310" i="1"/>
  <c r="EL310" i="1"/>
  <c r="EK280" i="1"/>
  <c r="EL280" i="1"/>
  <c r="EK276" i="1"/>
  <c r="EL276" i="1"/>
  <c r="EK271" i="1"/>
  <c r="EL271" i="1"/>
  <c r="EK535" i="1"/>
  <c r="EL535" i="1"/>
  <c r="EK541" i="1"/>
  <c r="EL541" i="1"/>
  <c r="EK568" i="1"/>
  <c r="EL568" i="1"/>
  <c r="EK588" i="1"/>
  <c r="EL588" i="1"/>
  <c r="EK629" i="1"/>
  <c r="EL629" i="1"/>
  <c r="EK645" i="1"/>
  <c r="EL645" i="1"/>
  <c r="EK646" i="1"/>
  <c r="EL646" i="1"/>
  <c r="EK665" i="1"/>
  <c r="EL665" i="1"/>
  <c r="EK694" i="1"/>
  <c r="EL694" i="1"/>
  <c r="EK700" i="1"/>
  <c r="EL700" i="1"/>
  <c r="EK727" i="1"/>
  <c r="EL727" i="1"/>
  <c r="EK743" i="1"/>
  <c r="EL743" i="1"/>
  <c r="EK751" i="1"/>
  <c r="EL751" i="1"/>
  <c r="EK771" i="1"/>
  <c r="EL771" i="1"/>
  <c r="EK779" i="1"/>
  <c r="EL779" i="1"/>
  <c r="EK790" i="1"/>
  <c r="EL790" i="1"/>
  <c r="EK803" i="1"/>
  <c r="EL803" i="1"/>
  <c r="EK809" i="1"/>
  <c r="EL809" i="1"/>
  <c r="EK1049" i="1"/>
  <c r="EL1049" i="1"/>
  <c r="EK1050" i="1"/>
  <c r="EL1050" i="1"/>
  <c r="EK1051" i="1"/>
  <c r="EL1051" i="1"/>
  <c r="EK1052" i="1"/>
  <c r="EL1052" i="1"/>
  <c r="EK1053" i="1"/>
  <c r="EL1053" i="1"/>
  <c r="EK1054" i="1"/>
  <c r="EL1054" i="1"/>
  <c r="EK1055" i="1"/>
  <c r="EL1055" i="1"/>
  <c r="EK1056" i="1"/>
  <c r="EL1056" i="1"/>
  <c r="EK1057" i="1"/>
  <c r="EL1057" i="1"/>
  <c r="EK1058" i="1"/>
  <c r="EL1058" i="1"/>
  <c r="EK1059" i="1"/>
  <c r="EL1059" i="1"/>
  <c r="EK1060" i="1"/>
  <c r="EL1060" i="1"/>
  <c r="EK1061" i="1"/>
  <c r="EL1061" i="1"/>
  <c r="EK1062" i="1"/>
  <c r="EL1062" i="1"/>
  <c r="EK1063" i="1"/>
  <c r="EL1063" i="1"/>
  <c r="EK1064" i="1"/>
  <c r="EL1064" i="1"/>
  <c r="EK1065" i="1"/>
  <c r="EL1065" i="1"/>
  <c r="EK1066" i="1"/>
  <c r="EL1066" i="1"/>
  <c r="EK642" i="1"/>
  <c r="EL642" i="1"/>
  <c r="EK640" i="1"/>
  <c r="EL640" i="1"/>
  <c r="EK691" i="1"/>
  <c r="EL691" i="1"/>
  <c r="EK681" i="1"/>
  <c r="EL681" i="1"/>
  <c r="EK788" i="1"/>
  <c r="EL788" i="1"/>
  <c r="EK782" i="1"/>
  <c r="EL782" i="1"/>
  <c r="EK986" i="1"/>
  <c r="EL986" i="1"/>
  <c r="EK872" i="1"/>
  <c r="EL872" i="1"/>
  <c r="EK657" i="1"/>
  <c r="EL657" i="1"/>
  <c r="EK659" i="1"/>
  <c r="EL659" i="1"/>
  <c r="EK324" i="1"/>
  <c r="EL324" i="1"/>
  <c r="EK579" i="1"/>
  <c r="EL579" i="1"/>
  <c r="EK595" i="1"/>
  <c r="EL595" i="1"/>
  <c r="EK686" i="1"/>
  <c r="EL686" i="1"/>
  <c r="EK126" i="1"/>
  <c r="EL126" i="1"/>
  <c r="EK1134" i="1"/>
  <c r="EL1134" i="1"/>
  <c r="EK1135" i="1"/>
  <c r="EL1135" i="1"/>
  <c r="EK1131" i="1"/>
  <c r="EL1131" i="1"/>
  <c r="EK1132" i="1"/>
  <c r="EL1132" i="1"/>
  <c r="EK1133" i="1"/>
  <c r="EL1133" i="1"/>
  <c r="EK855" i="1"/>
  <c r="EL855" i="1"/>
  <c r="EK869" i="1"/>
  <c r="EL869" i="1"/>
  <c r="EK885" i="1"/>
  <c r="EL885" i="1"/>
  <c r="EK890" i="1"/>
  <c r="EL890" i="1"/>
  <c r="EK900" i="1"/>
  <c r="EL900" i="1"/>
  <c r="EK77" i="1"/>
  <c r="EL77" i="1"/>
  <c r="EK799" i="1"/>
  <c r="EL799" i="1"/>
  <c r="EK874" i="1"/>
  <c r="EL874" i="1"/>
  <c r="EK251" i="1"/>
  <c r="EL251" i="1"/>
  <c r="EK282" i="1"/>
  <c r="EL282" i="1"/>
  <c r="EK675" i="1"/>
  <c r="EL675" i="1"/>
  <c r="EK593" i="1"/>
  <c r="EL593" i="1"/>
  <c r="EK653" i="1"/>
  <c r="EL653" i="1"/>
  <c r="EK637" i="1"/>
  <c r="EL637" i="1"/>
  <c r="EK794" i="1"/>
  <c r="EL794" i="1"/>
  <c r="EK656" i="1"/>
  <c r="EL656" i="1"/>
  <c r="EK719" i="1"/>
  <c r="EL719" i="1"/>
  <c r="EK962" i="1"/>
  <c r="EL962" i="1"/>
  <c r="EK920" i="1"/>
  <c r="EL920" i="1"/>
  <c r="EK881" i="1"/>
  <c r="EL881" i="1"/>
  <c r="EK1207" i="1"/>
  <c r="EL1207" i="1"/>
  <c r="EK269" i="1"/>
  <c r="EL269" i="1"/>
  <c r="EK580" i="1"/>
  <c r="EL580" i="1"/>
  <c r="EK683" i="1"/>
  <c r="EL683" i="1"/>
  <c r="EK611" i="1"/>
  <c r="EL611" i="1"/>
  <c r="EK625" i="1"/>
  <c r="EL625" i="1"/>
  <c r="EK587" i="1"/>
  <c r="EL587" i="1"/>
  <c r="EK714" i="1"/>
  <c r="EL714" i="1"/>
  <c r="EK1084" i="1"/>
  <c r="EL1084" i="1"/>
  <c r="EK1085" i="1"/>
  <c r="EL1085" i="1"/>
  <c r="EK1086" i="1"/>
  <c r="EL1086" i="1"/>
  <c r="EK27" i="1"/>
  <c r="EL27" i="1"/>
  <c r="EK28" i="1"/>
  <c r="EL28" i="1"/>
  <c r="EK30" i="1"/>
  <c r="EL30" i="1"/>
  <c r="EK33" i="1"/>
  <c r="EL33" i="1"/>
  <c r="EK36" i="1"/>
  <c r="EL36" i="1"/>
  <c r="EK37" i="1"/>
  <c r="EL37" i="1"/>
  <c r="EK1087" i="1"/>
  <c r="EL1087" i="1"/>
  <c r="EK697" i="1"/>
  <c r="EL697" i="1"/>
  <c r="EK710" i="1"/>
  <c r="EL710" i="1"/>
  <c r="EK738" i="1"/>
  <c r="EL738" i="1"/>
  <c r="EK750" i="1"/>
  <c r="EL750" i="1"/>
  <c r="EK752" i="1"/>
  <c r="EL752" i="1"/>
  <c r="EK755" i="1"/>
  <c r="EL755" i="1"/>
  <c r="EK759" i="1"/>
  <c r="EL759" i="1"/>
  <c r="EK764" i="1"/>
  <c r="EL764" i="1"/>
  <c r="EK766" i="1"/>
  <c r="EL766" i="1"/>
  <c r="EK443" i="1"/>
  <c r="EL443" i="1"/>
  <c r="EK444" i="1"/>
  <c r="EL444" i="1"/>
  <c r="EK445" i="1"/>
  <c r="EL445" i="1"/>
  <c r="EK447" i="1"/>
  <c r="EL447" i="1"/>
  <c r="EK241" i="1"/>
  <c r="EL241" i="1"/>
  <c r="EK201" i="1"/>
  <c r="EL201" i="1"/>
  <c r="EK93" i="1"/>
  <c r="EL93" i="1"/>
  <c r="EK706" i="1"/>
  <c r="EL706" i="1"/>
  <c r="EK448" i="1"/>
  <c r="EL448" i="1"/>
  <c r="EK585" i="1"/>
  <c r="EL585" i="1"/>
  <c r="EK298" i="1"/>
  <c r="EL298" i="1"/>
  <c r="EK1162" i="1"/>
  <c r="EL1162" i="1"/>
  <c r="EK1163" i="1"/>
  <c r="EL1163" i="1"/>
  <c r="EK1164" i="1"/>
  <c r="EL1164" i="1"/>
  <c r="EK1165" i="1"/>
  <c r="EL1165" i="1"/>
  <c r="EK1166" i="1"/>
  <c r="EL1166" i="1"/>
  <c r="EK1167" i="1"/>
  <c r="EL1167" i="1"/>
  <c r="EK1168" i="1"/>
  <c r="EL1168" i="1"/>
  <c r="EK1169" i="1"/>
  <c r="EL1169" i="1"/>
  <c r="EK1170" i="1"/>
  <c r="EL1170" i="1"/>
  <c r="EK1171" i="1"/>
  <c r="EL1171" i="1"/>
  <c r="EK1172" i="1"/>
  <c r="EL1172" i="1"/>
  <c r="EK1173" i="1"/>
  <c r="EL1173" i="1"/>
  <c r="EK1174" i="1"/>
  <c r="EL1174" i="1"/>
  <c r="EK1175" i="1"/>
  <c r="EL1175" i="1"/>
  <c r="EK1176" i="1"/>
  <c r="EL1176" i="1"/>
  <c r="EK1177" i="1"/>
  <c r="EL1177" i="1"/>
  <c r="EK1178" i="1"/>
  <c r="EL1178" i="1"/>
  <c r="EK1179" i="1"/>
  <c r="EL1179" i="1"/>
  <c r="EK839" i="1"/>
  <c r="EL839" i="1"/>
  <c r="EK969" i="1"/>
  <c r="EL969" i="1"/>
  <c r="EK995" i="1"/>
  <c r="EL995" i="1"/>
  <c r="EK998" i="1"/>
  <c r="EL998" i="1"/>
  <c r="EK1000" i="1"/>
  <c r="EL1000" i="1"/>
  <c r="EK1002" i="1"/>
  <c r="EL1002" i="1"/>
  <c r="EK1004" i="1"/>
  <c r="EL1004" i="1"/>
  <c r="EK1005" i="1"/>
  <c r="EL1005" i="1"/>
  <c r="EK1006" i="1"/>
  <c r="EL1006" i="1"/>
  <c r="EK1009" i="1"/>
  <c r="EL1009" i="1"/>
  <c r="EK997" i="1"/>
  <c r="EL997" i="1"/>
  <c r="EK661" i="1"/>
  <c r="EL661" i="1"/>
  <c r="EK1025" i="1"/>
  <c r="EL1025" i="1"/>
  <c r="EK95" i="1"/>
  <c r="EL95" i="1"/>
  <c r="EK1088" i="1"/>
  <c r="EL1088" i="1"/>
  <c r="EK42" i="1"/>
  <c r="EL42" i="1"/>
  <c r="EK43" i="1"/>
  <c r="EL43" i="1"/>
  <c r="EK61" i="1"/>
  <c r="EL61" i="1"/>
  <c r="EK83" i="1"/>
  <c r="EL83" i="1"/>
  <c r="EK1023" i="1"/>
  <c r="EL1023" i="1"/>
  <c r="EK1026" i="1"/>
  <c r="EL1026" i="1"/>
  <c r="EK860" i="1"/>
  <c r="EL860" i="1"/>
  <c r="EK915" i="1"/>
  <c r="EL915" i="1"/>
  <c r="EK25" i="1"/>
  <c r="EL25" i="1"/>
  <c r="EK698" i="1"/>
  <c r="EL698" i="1"/>
  <c r="EK439" i="1"/>
  <c r="EL439" i="1"/>
  <c r="EK76" i="1"/>
  <c r="EL76" i="1"/>
  <c r="EK170" i="1"/>
  <c r="EL170" i="1"/>
  <c r="EK566" i="1"/>
  <c r="EL566" i="1"/>
  <c r="EK561" i="1"/>
  <c r="EL561" i="1"/>
  <c r="EK319" i="1"/>
  <c r="EL319" i="1"/>
  <c r="EK288" i="1"/>
  <c r="EL288" i="1"/>
  <c r="EK816" i="1"/>
  <c r="EL816" i="1"/>
  <c r="EK882" i="1"/>
  <c r="EL882" i="1"/>
  <c r="EK549" i="1"/>
  <c r="EL549" i="1"/>
  <c r="EK546" i="1"/>
  <c r="EL546" i="1"/>
  <c r="EK562" i="1"/>
  <c r="EL562" i="1"/>
  <c r="EK618" i="1"/>
  <c r="EL618" i="1"/>
  <c r="EK547" i="1"/>
  <c r="EL547" i="1"/>
  <c r="EK544" i="1"/>
  <c r="EL544" i="1"/>
  <c r="EK599" i="1"/>
  <c r="EL599" i="1"/>
  <c r="EK652" i="1"/>
  <c r="EL652" i="1"/>
  <c r="EK726" i="1"/>
  <c r="EL726" i="1"/>
  <c r="EK749" i="1"/>
  <c r="EL749" i="1"/>
  <c r="EK760" i="1"/>
  <c r="EL760" i="1"/>
  <c r="EK769" i="1"/>
  <c r="EL769" i="1"/>
  <c r="EK808" i="1"/>
  <c r="EL808" i="1"/>
  <c r="EK926" i="1"/>
  <c r="EL926" i="1"/>
  <c r="EK831" i="1"/>
  <c r="EL831" i="1"/>
  <c r="EK672" i="1"/>
  <c r="EL672" i="1"/>
  <c r="EK449" i="1"/>
  <c r="EL449" i="1"/>
  <c r="EK450" i="1"/>
  <c r="EL450" i="1"/>
  <c r="EK451" i="1"/>
  <c r="EL451" i="1"/>
  <c r="EK311" i="1"/>
  <c r="EL311" i="1"/>
  <c r="EK452" i="1"/>
  <c r="EL452" i="1"/>
  <c r="EK453" i="1"/>
  <c r="EL453" i="1"/>
  <c r="EK912" i="1"/>
  <c r="EL912" i="1"/>
  <c r="EK946" i="1"/>
  <c r="EL946" i="1"/>
  <c r="EK556" i="1"/>
  <c r="EL556" i="1"/>
  <c r="EK573" i="1"/>
  <c r="EL573" i="1"/>
  <c r="EK214" i="1"/>
  <c r="EL214" i="1"/>
  <c r="EK307" i="1"/>
  <c r="EL307" i="1"/>
  <c r="EK696" i="1"/>
  <c r="EL696" i="1"/>
  <c r="EK753" i="1"/>
  <c r="EL753" i="1"/>
  <c r="EK793" i="1"/>
  <c r="EL793" i="1"/>
  <c r="EK352" i="1"/>
  <c r="EL352" i="1"/>
  <c r="EK266" i="1"/>
  <c r="EL266" i="1"/>
  <c r="EK732" i="1"/>
  <c r="EL732" i="1"/>
  <c r="EK834" i="1"/>
  <c r="EL834" i="1"/>
  <c r="EK868" i="1"/>
  <c r="EL868" i="1"/>
  <c r="EK717" i="1"/>
  <c r="EL717" i="1"/>
  <c r="EK1067" i="1"/>
  <c r="EL1067" i="1"/>
  <c r="EK1068" i="1"/>
  <c r="EL1068" i="1"/>
  <c r="EK1069" i="1"/>
  <c r="EL1069" i="1"/>
  <c r="EK217" i="1"/>
  <c r="EL217" i="1"/>
  <c r="EK576" i="1"/>
  <c r="EL576" i="1"/>
  <c r="EK670" i="1"/>
  <c r="EL670" i="1"/>
  <c r="EK106" i="1"/>
  <c r="EL106" i="1"/>
  <c r="EK592" i="1"/>
  <c r="EL592" i="1"/>
  <c r="EK577" i="1"/>
  <c r="EL577" i="1"/>
  <c r="EK567" i="1"/>
  <c r="EL567" i="1"/>
  <c r="EK333" i="1"/>
  <c r="EL333" i="1"/>
  <c r="EK913" i="1"/>
  <c r="EL913" i="1"/>
  <c r="EK917" i="1"/>
  <c r="EL917" i="1"/>
  <c r="EK982" i="1"/>
  <c r="EL982" i="1"/>
  <c r="EK557" i="1"/>
  <c r="EL557" i="1"/>
  <c r="EK548" i="1"/>
  <c r="EL548" i="1"/>
  <c r="EK647" i="1"/>
  <c r="EL647" i="1"/>
  <c r="EK692" i="1"/>
  <c r="EL692" i="1"/>
  <c r="EK553" i="1"/>
  <c r="EL553" i="1"/>
  <c r="EK297" i="1"/>
  <c r="EL297" i="1"/>
  <c r="EK859" i="1"/>
  <c r="EL859" i="1"/>
  <c r="EK863" i="1"/>
  <c r="EL863" i="1"/>
  <c r="EK32" i="1"/>
  <c r="EL32" i="1"/>
  <c r="EK58" i="1"/>
  <c r="EL58" i="1"/>
  <c r="EK116" i="1"/>
  <c r="EL116" i="1"/>
  <c r="EK813" i="1"/>
  <c r="EL813" i="1"/>
  <c r="EK981" i="1"/>
  <c r="EL981" i="1"/>
  <c r="EK886" i="1"/>
  <c r="EL886" i="1"/>
  <c r="EK875" i="1"/>
  <c r="EL875" i="1"/>
  <c r="EK676" i="1"/>
  <c r="EL676" i="1"/>
  <c r="EK673" i="1"/>
  <c r="EL673" i="1"/>
  <c r="EK529" i="1"/>
  <c r="EL529" i="1"/>
  <c r="EK220" i="1"/>
  <c r="EL220" i="1"/>
  <c r="EK1180" i="1"/>
  <c r="EL1180" i="1"/>
  <c r="EK1181" i="1"/>
  <c r="EL1181" i="1"/>
  <c r="EK1182" i="1"/>
  <c r="EL1182" i="1"/>
  <c r="EK1183" i="1"/>
  <c r="EL1183" i="1"/>
  <c r="EK1184" i="1"/>
  <c r="EL1184" i="1"/>
  <c r="EK1185" i="1"/>
  <c r="EL1185" i="1"/>
  <c r="EK1186" i="1"/>
  <c r="EL1186" i="1"/>
  <c r="EK1187" i="1"/>
  <c r="EL1187" i="1"/>
  <c r="EK1188" i="1"/>
  <c r="EL1188" i="1"/>
  <c r="EK1189" i="1"/>
  <c r="EL1189" i="1"/>
  <c r="EK1190" i="1"/>
  <c r="EL1190" i="1"/>
  <c r="EK1191" i="1"/>
  <c r="EL1191" i="1"/>
  <c r="EK1192" i="1"/>
  <c r="EL1192" i="1"/>
  <c r="EK1193" i="1"/>
  <c r="EL1193" i="1"/>
  <c r="EK1194" i="1"/>
  <c r="EL1194" i="1"/>
  <c r="EK1195" i="1"/>
  <c r="EL1195" i="1"/>
  <c r="EK1196" i="1"/>
  <c r="EL1196" i="1"/>
  <c r="EK1197" i="1"/>
  <c r="EL1197" i="1"/>
  <c r="EK494" i="1"/>
  <c r="EL494" i="1"/>
  <c r="EK853" i="1"/>
  <c r="EL853" i="1"/>
  <c r="EK685" i="1"/>
  <c r="EL685" i="1"/>
  <c r="EK680" i="1"/>
  <c r="EL680" i="1"/>
  <c r="EK667" i="1"/>
  <c r="EL667" i="1"/>
  <c r="EK650" i="1"/>
  <c r="EL650" i="1"/>
  <c r="EK332" i="1"/>
  <c r="EL332" i="1"/>
  <c r="EK194" i="1"/>
  <c r="EL194" i="1"/>
  <c r="EK192" i="1"/>
  <c r="EL192" i="1"/>
  <c r="EK154" i="1"/>
  <c r="EL154" i="1"/>
  <c r="EK152" i="1"/>
  <c r="EL152" i="1"/>
  <c r="EK156" i="1"/>
  <c r="EL156" i="1"/>
  <c r="EK135" i="1"/>
  <c r="EL135" i="1"/>
  <c r="EK115" i="1"/>
  <c r="EL115" i="1"/>
  <c r="EK101" i="1"/>
  <c r="EL101" i="1"/>
  <c r="EK1070" i="1"/>
  <c r="EL1070" i="1"/>
  <c r="EK1071" i="1"/>
  <c r="EL1071" i="1"/>
  <c r="EK1072" i="1"/>
  <c r="EL1072" i="1"/>
  <c r="EK1073" i="1"/>
  <c r="EL1073" i="1"/>
  <c r="EK880" i="1"/>
  <c r="EL880" i="1"/>
  <c r="EK528" i="1"/>
  <c r="EL528" i="1"/>
  <c r="EK1198" i="1"/>
  <c r="EL1198" i="1"/>
  <c r="EK1199" i="1"/>
  <c r="EL1199" i="1"/>
  <c r="EK1200" i="1"/>
  <c r="EL1200" i="1"/>
  <c r="EK763" i="1"/>
  <c r="EL763" i="1"/>
  <c r="EK664" i="1"/>
  <c r="EL664" i="1"/>
  <c r="EK221" i="1"/>
  <c r="EL221" i="1"/>
  <c r="EK1074" i="1"/>
  <c r="EL1074" i="1"/>
  <c r="EK1075" i="1"/>
  <c r="EL1075" i="1"/>
  <c r="EK1076" i="1"/>
  <c r="EL1076" i="1"/>
  <c r="EK1077" i="1"/>
  <c r="EL1077" i="1"/>
  <c r="EK569" i="1"/>
  <c r="EL569" i="1"/>
  <c r="EK326" i="1"/>
  <c r="EL326" i="1"/>
  <c r="EK327" i="1"/>
  <c r="EL327" i="1"/>
  <c r="EK330" i="1"/>
  <c r="EL330" i="1"/>
  <c r="EK331" i="1"/>
  <c r="EL331" i="1"/>
  <c r="EK337" i="1"/>
  <c r="EL337" i="1"/>
  <c r="EK339" i="1"/>
  <c r="EL339" i="1"/>
  <c r="EK340" i="1"/>
  <c r="EL340" i="1"/>
  <c r="EK342" i="1"/>
  <c r="EL342" i="1"/>
  <c r="EK343" i="1"/>
  <c r="EL343" i="1"/>
  <c r="EK344" i="1"/>
  <c r="EL344" i="1"/>
  <c r="EK382" i="1"/>
  <c r="EL382" i="1"/>
  <c r="EK394" i="1"/>
  <c r="EL394" i="1"/>
  <c r="EK395" i="1"/>
  <c r="EL395" i="1"/>
  <c r="EK396" i="1"/>
  <c r="EL396" i="1"/>
  <c r="EK399" i="1"/>
  <c r="EL399" i="1"/>
  <c r="EK335" i="1"/>
  <c r="EL335" i="1"/>
  <c r="EK336" i="1"/>
  <c r="EL336" i="1"/>
  <c r="EK345" i="1"/>
  <c r="EL345" i="1"/>
  <c r="EK346" i="1"/>
  <c r="EL346" i="1"/>
  <c r="EK347" i="1"/>
  <c r="EL347" i="1"/>
  <c r="EK348" i="1"/>
  <c r="EL348" i="1"/>
  <c r="EK349" i="1"/>
  <c r="EL349" i="1"/>
  <c r="EK350" i="1"/>
  <c r="EL350" i="1"/>
  <c r="EK353" i="1"/>
  <c r="EL353" i="1"/>
  <c r="EK354" i="1"/>
  <c r="EL354" i="1"/>
  <c r="EK355" i="1"/>
  <c r="EL355" i="1"/>
  <c r="EK356" i="1"/>
  <c r="EL356" i="1"/>
  <c r="EK358" i="1"/>
  <c r="EL358" i="1"/>
  <c r="EK359" i="1"/>
  <c r="EL359" i="1"/>
  <c r="EK365" i="1"/>
  <c r="EL365" i="1"/>
  <c r="EK366" i="1"/>
  <c r="EL366" i="1"/>
  <c r="EK367" i="1"/>
  <c r="EL367" i="1"/>
  <c r="EK368" i="1"/>
  <c r="EL368" i="1"/>
  <c r="EK369" i="1"/>
  <c r="EL369" i="1"/>
  <c r="EK370" i="1"/>
  <c r="EL370" i="1"/>
  <c r="EK383" i="1"/>
  <c r="EL383" i="1"/>
  <c r="EK385" i="1"/>
  <c r="EL385" i="1"/>
  <c r="EK390" i="1"/>
  <c r="EL390" i="1"/>
  <c r="EK391" i="1"/>
  <c r="EL391" i="1"/>
  <c r="EK392" i="1"/>
  <c r="EL392" i="1"/>
  <c r="EK393" i="1"/>
  <c r="EL393" i="1"/>
  <c r="EK397" i="1"/>
  <c r="EL397" i="1"/>
  <c r="EK398" i="1"/>
  <c r="EL398" i="1"/>
  <c r="EK400" i="1"/>
  <c r="EL400" i="1"/>
  <c r="EK402" i="1"/>
  <c r="EL402" i="1"/>
  <c r="EK403" i="1"/>
  <c r="EL403" i="1"/>
  <c r="EK405" i="1"/>
  <c r="EL405" i="1"/>
  <c r="EK530" i="1"/>
  <c r="EL530" i="1"/>
  <c r="EK531" i="1"/>
  <c r="EL531" i="1"/>
  <c r="EK538" i="1"/>
  <c r="EL538" i="1"/>
  <c r="EK539" i="1"/>
  <c r="EL539" i="1"/>
  <c r="EK687" i="1"/>
  <c r="EL687" i="1"/>
  <c r="EK305" i="1"/>
  <c r="EL305" i="1"/>
  <c r="EK601" i="1"/>
  <c r="EL601" i="1"/>
  <c r="EK666" i="1"/>
  <c r="EL666" i="1"/>
  <c r="EK852" i="1"/>
  <c r="EL852" i="1"/>
  <c r="EK921" i="1"/>
  <c r="EL921" i="1"/>
  <c r="EK922" i="1"/>
  <c r="EL922" i="1"/>
  <c r="EK942" i="1"/>
  <c r="EL942" i="1"/>
  <c r="EK948" i="1"/>
  <c r="EL948" i="1"/>
  <c r="EK949" i="1"/>
  <c r="EL949" i="1"/>
  <c r="EK963" i="1"/>
  <c r="EL963" i="1"/>
  <c r="EK971" i="1"/>
  <c r="EL971" i="1"/>
  <c r="EK978" i="1"/>
  <c r="EL978" i="1"/>
  <c r="EK979" i="1"/>
  <c r="EL979" i="1"/>
  <c r="EK987" i="1"/>
  <c r="EL987" i="1"/>
  <c r="EK1008" i="1"/>
  <c r="EL1008" i="1"/>
  <c r="EK1013" i="1"/>
  <c r="EL1013" i="1"/>
  <c r="EK551" i="1"/>
  <c r="EL551" i="1"/>
  <c r="EK674" i="1"/>
  <c r="EL674" i="1"/>
  <c r="EK818" i="1"/>
  <c r="EL818" i="1"/>
  <c r="EK851" i="1"/>
  <c r="EL851" i="1"/>
  <c r="EK932" i="1"/>
  <c r="EL932" i="1"/>
  <c r="EK972" i="1"/>
  <c r="EL972" i="1"/>
  <c r="EK600" i="1"/>
  <c r="EL600" i="1"/>
  <c r="EK597" i="1"/>
  <c r="EL597" i="1"/>
  <c r="EK586" i="1"/>
  <c r="EL586" i="1"/>
  <c r="EK581" i="1"/>
  <c r="EL581" i="1"/>
  <c r="EK578" i="1"/>
  <c r="EL578" i="1"/>
  <c r="EK571" i="1"/>
  <c r="EL571" i="1"/>
  <c r="EK817" i="1"/>
  <c r="EL817" i="1"/>
  <c r="EK775" i="1"/>
  <c r="EL775" i="1"/>
  <c r="EK616" i="1"/>
  <c r="EL616" i="1"/>
  <c r="EK867" i="1"/>
  <c r="EL867" i="1"/>
  <c r="EK240" i="1"/>
  <c r="EL240" i="1"/>
  <c r="EK256" i="1"/>
  <c r="EL256" i="1"/>
  <c r="EK287" i="1"/>
  <c r="EL287" i="1"/>
  <c r="EK703" i="1"/>
  <c r="EL703" i="1"/>
  <c r="EK862" i="1"/>
  <c r="EL862" i="1"/>
  <c r="EK970" i="1"/>
  <c r="EL970" i="1"/>
  <c r="EK306" i="1"/>
  <c r="EL306" i="1"/>
  <c r="EK854" i="1"/>
  <c r="EL854" i="1"/>
  <c r="EK908" i="1"/>
  <c r="EL908" i="1"/>
  <c r="EK1145" i="1"/>
  <c r="EL1145" i="1"/>
  <c r="EK334" i="1"/>
  <c r="EL334" i="1"/>
  <c r="EK806" i="1"/>
  <c r="EL806" i="1"/>
  <c r="EK1015" i="1"/>
  <c r="EL1015" i="1"/>
  <c r="EK55" i="1"/>
  <c r="EL55" i="1"/>
  <c r="EK204" i="1"/>
  <c r="EL204" i="1"/>
  <c r="EK207" i="1"/>
  <c r="EL207" i="1"/>
  <c r="EK268" i="1"/>
  <c r="EL268" i="1"/>
  <c r="EK906" i="1"/>
  <c r="EL906" i="1"/>
  <c r="EK898" i="1"/>
  <c r="EL898" i="1"/>
  <c r="EK791" i="1"/>
  <c r="EL791" i="1"/>
  <c r="EK812" i="1"/>
  <c r="EL812" i="1"/>
  <c r="EK598" i="1"/>
  <c r="EL598" i="1"/>
  <c r="EK1022" i="1"/>
  <c r="EL1022" i="1"/>
  <c r="EK79" i="1"/>
  <c r="EL79" i="1"/>
  <c r="BN962" i="1"/>
  <c r="BO962" i="1" s="1"/>
  <c r="BN920" i="1"/>
  <c r="BO920" i="1" s="1"/>
  <c r="BN675" i="1"/>
  <c r="BO675" i="1" s="1"/>
  <c r="BN593" i="1"/>
  <c r="BO593" i="1" s="1"/>
  <c r="BN653" i="1"/>
  <c r="BO653" i="1" s="1"/>
  <c r="BN637" i="1"/>
  <c r="BO637" i="1" s="1"/>
  <c r="BN794" i="1"/>
  <c r="BO794" i="1" s="1"/>
  <c r="BN656" i="1"/>
  <c r="BO656" i="1" s="1"/>
  <c r="BN719" i="1"/>
  <c r="BO719" i="1" s="1"/>
  <c r="BN881" i="1"/>
  <c r="BO881" i="1" s="1"/>
  <c r="BN1207" i="1"/>
  <c r="BO1207" i="1" s="1"/>
  <c r="BN269" i="1"/>
  <c r="BO269" i="1" s="1"/>
  <c r="BN580" i="1"/>
  <c r="BO580" i="1" s="1"/>
  <c r="BN683" i="1"/>
  <c r="BO683" i="1" s="1"/>
  <c r="BN611" i="1"/>
  <c r="BO611" i="1" s="1"/>
  <c r="BN625" i="1"/>
  <c r="BO625" i="1" s="1"/>
  <c r="BN587" i="1"/>
  <c r="BO587" i="1" s="1"/>
  <c r="BN714" i="1"/>
  <c r="BO714" i="1" s="1"/>
  <c r="EM251" i="1"/>
  <c r="DU251" i="1"/>
  <c r="DT251" i="1"/>
  <c r="DN251" i="1"/>
  <c r="DM251" i="1"/>
  <c r="DL251" i="1"/>
  <c r="DK251" i="1"/>
  <c r="DI251" i="1"/>
  <c r="DJ251" i="1" s="1"/>
  <c r="DB251" i="1"/>
  <c r="DC251" i="1" s="1"/>
  <c r="CX251" i="1"/>
  <c r="CN251" i="1"/>
  <c r="BV251" i="1"/>
  <c r="BX251" i="1" s="1"/>
  <c r="BN251" i="1"/>
  <c r="BO251" i="1" s="1"/>
  <c r="BM251" i="1"/>
  <c r="BD251" i="1"/>
  <c r="BC251" i="1"/>
  <c r="BB251" i="1"/>
  <c r="BA251" i="1"/>
  <c r="AZ251" i="1"/>
  <c r="BF251" i="1" s="1" a="1"/>
  <c r="BF251" i="1" s="1"/>
  <c r="AY251" i="1"/>
  <c r="AX251" i="1"/>
  <c r="M251" i="1"/>
  <c r="EM874" i="1"/>
  <c r="DU874" i="1"/>
  <c r="DT874" i="1"/>
  <c r="DN874" i="1"/>
  <c r="DM874" i="1"/>
  <c r="DL874" i="1"/>
  <c r="DK874" i="1"/>
  <c r="DI874" i="1"/>
  <c r="DJ874" i="1" s="1"/>
  <c r="DB874" i="1"/>
  <c r="DC874" i="1" s="1"/>
  <c r="CX874" i="1"/>
  <c r="CN874" i="1"/>
  <c r="CO874" i="1" s="1"/>
  <c r="BV874" i="1"/>
  <c r="BX874" i="1" s="1"/>
  <c r="BN874" i="1"/>
  <c r="BO874" i="1" s="1"/>
  <c r="BM874" i="1"/>
  <c r="BD874" i="1"/>
  <c r="BC874" i="1"/>
  <c r="BB874" i="1"/>
  <c r="BA874" i="1"/>
  <c r="AZ874" i="1"/>
  <c r="BF874" i="1" s="1" a="1"/>
  <c r="BF874" i="1" s="1"/>
  <c r="AY874" i="1"/>
  <c r="BE874" i="1" s="1" a="1"/>
  <c r="BE874" i="1" s="1"/>
  <c r="M874" i="1"/>
  <c r="EM799" i="1"/>
  <c r="DU799" i="1"/>
  <c r="DT799" i="1"/>
  <c r="DN799" i="1"/>
  <c r="DM799" i="1"/>
  <c r="DL799" i="1"/>
  <c r="DK799" i="1"/>
  <c r="DI799" i="1"/>
  <c r="DJ799" i="1" s="1"/>
  <c r="DB799" i="1"/>
  <c r="DC799" i="1" s="1"/>
  <c r="CX799" i="1"/>
  <c r="CN799" i="1"/>
  <c r="CP799" i="1" s="1"/>
  <c r="BV799" i="1"/>
  <c r="BX799" i="1" s="1"/>
  <c r="BN799" i="1"/>
  <c r="BO799" i="1" s="1"/>
  <c r="BM799" i="1"/>
  <c r="BD799" i="1"/>
  <c r="BC799" i="1"/>
  <c r="BB799" i="1"/>
  <c r="BA799" i="1"/>
  <c r="AZ799" i="1"/>
  <c r="AY799" i="1"/>
  <c r="BE799" i="1" s="1" a="1"/>
  <c r="BE799" i="1" s="1"/>
  <c r="AX799" i="1"/>
  <c r="M799" i="1"/>
  <c r="EM77" i="1"/>
  <c r="DU77" i="1"/>
  <c r="DT77" i="1"/>
  <c r="DN77" i="1"/>
  <c r="DM77" i="1"/>
  <c r="DL77" i="1"/>
  <c r="DK77" i="1"/>
  <c r="DI77" i="1"/>
  <c r="DJ77" i="1" s="1"/>
  <c r="DB77" i="1"/>
  <c r="DC77" i="1" s="1"/>
  <c r="CX77" i="1"/>
  <c r="CN77" i="1"/>
  <c r="CR77" i="1" s="1"/>
  <c r="BV77" i="1"/>
  <c r="BX77" i="1" s="1"/>
  <c r="BN77" i="1"/>
  <c r="BO77" i="1" s="1"/>
  <c r="BM77" i="1"/>
  <c r="BD77" i="1"/>
  <c r="BC77" i="1"/>
  <c r="BB77" i="1"/>
  <c r="BA77" i="1"/>
  <c r="AZ77" i="1"/>
  <c r="AY77" i="1"/>
  <c r="BE77" i="1" s="1" a="1"/>
  <c r="BE77" i="1" s="1"/>
  <c r="AX77" i="1"/>
  <c r="M77" i="1"/>
  <c r="BV126" i="1"/>
  <c r="BV1134" i="1"/>
  <c r="BV1135" i="1"/>
  <c r="BV1131" i="1"/>
  <c r="BV1132" i="1"/>
  <c r="BV1133" i="1"/>
  <c r="BF799" i="1" l="1" a="1"/>
  <c r="BF799" i="1" s="1"/>
  <c r="BF77" i="1" a="1"/>
  <c r="BF77" i="1" s="1"/>
  <c r="BE251" i="1" a="1"/>
  <c r="BE251" i="1" s="1"/>
  <c r="CS799" i="1"/>
  <c r="BY77" i="1"/>
  <c r="EP77" i="1" s="1"/>
  <c r="BY874" i="1"/>
  <c r="EP874" i="1" s="1"/>
  <c r="BY251" i="1"/>
  <c r="EP251" i="1" s="1"/>
  <c r="CQ799" i="1"/>
  <c r="CR799" i="1"/>
  <c r="CP874" i="1"/>
  <c r="CQ874" i="1"/>
  <c r="CS77" i="1"/>
  <c r="CV77" i="1" s="1"/>
  <c r="CT251" i="1"/>
  <c r="CR874" i="1"/>
  <c r="CS874" i="1"/>
  <c r="CT77" i="1"/>
  <c r="CT799" i="1"/>
  <c r="BY799" i="1"/>
  <c r="EP799" i="1" s="1"/>
  <c r="CO251" i="1"/>
  <c r="CO77" i="1"/>
  <c r="CT874" i="1"/>
  <c r="CP251" i="1"/>
  <c r="CQ251" i="1"/>
  <c r="CQ77" i="1"/>
  <c r="CR251" i="1"/>
  <c r="CP77" i="1"/>
  <c r="CO799" i="1"/>
  <c r="CS251" i="1"/>
  <c r="CV799" i="1" l="1"/>
  <c r="CU799" i="1"/>
  <c r="CU874" i="1"/>
  <c r="CV874" i="1"/>
  <c r="CU77" i="1"/>
  <c r="CU251" i="1"/>
  <c r="CV251" i="1"/>
  <c r="BL126" i="1" l="1"/>
  <c r="DC186" i="1" l="1"/>
  <c r="DC160" i="1"/>
  <c r="EM714" i="1" l="1"/>
  <c r="DU714" i="1"/>
  <c r="DT714" i="1"/>
  <c r="DN714" i="1"/>
  <c r="DM714" i="1"/>
  <c r="DL714" i="1"/>
  <c r="DK714" i="1"/>
  <c r="DI714" i="1"/>
  <c r="DJ714" i="1" s="1"/>
  <c r="DB714" i="1"/>
  <c r="DC714" i="1" s="1"/>
  <c r="CX714" i="1"/>
  <c r="CN714" i="1"/>
  <c r="BV714" i="1"/>
  <c r="BX714" i="1" s="1"/>
  <c r="BM714" i="1"/>
  <c r="BD714" i="1"/>
  <c r="BC714" i="1"/>
  <c r="BB714" i="1"/>
  <c r="BA714" i="1"/>
  <c r="AZ714" i="1"/>
  <c r="AY714" i="1"/>
  <c r="AX714" i="1"/>
  <c r="M714" i="1"/>
  <c r="EM587" i="1"/>
  <c r="DU587" i="1"/>
  <c r="DT587" i="1"/>
  <c r="DN587" i="1"/>
  <c r="DM587" i="1"/>
  <c r="DL587" i="1"/>
  <c r="DK587" i="1"/>
  <c r="DI587" i="1"/>
  <c r="DJ587" i="1" s="1"/>
  <c r="DB587" i="1"/>
  <c r="DC587" i="1" s="1"/>
  <c r="CX587" i="1"/>
  <c r="CN587" i="1"/>
  <c r="CO587" i="1" s="1"/>
  <c r="BV587" i="1"/>
  <c r="BX587" i="1" s="1"/>
  <c r="BM587" i="1"/>
  <c r="BD587" i="1"/>
  <c r="BC587" i="1"/>
  <c r="BB587" i="1"/>
  <c r="BA587" i="1"/>
  <c r="AZ587" i="1"/>
  <c r="BF587" i="1" s="1" a="1"/>
  <c r="BF587" i="1" s="1"/>
  <c r="AY587" i="1"/>
  <c r="AX587" i="1"/>
  <c r="M587" i="1"/>
  <c r="EM625" i="1"/>
  <c r="DU625" i="1"/>
  <c r="DT625" i="1"/>
  <c r="DN625" i="1"/>
  <c r="DM625" i="1"/>
  <c r="DL625" i="1"/>
  <c r="DK625" i="1"/>
  <c r="DI625" i="1"/>
  <c r="DJ625" i="1" s="1"/>
  <c r="DB625" i="1"/>
  <c r="DC625" i="1" s="1"/>
  <c r="CX625" i="1"/>
  <c r="CN625" i="1"/>
  <c r="CR625" i="1" s="1"/>
  <c r="BV625" i="1"/>
  <c r="BX625" i="1" s="1"/>
  <c r="BM625" i="1"/>
  <c r="BD625" i="1"/>
  <c r="BC625" i="1"/>
  <c r="BB625" i="1"/>
  <c r="BA625" i="1"/>
  <c r="AZ625" i="1"/>
  <c r="AY625" i="1"/>
  <c r="AX625" i="1"/>
  <c r="M625" i="1"/>
  <c r="EM611" i="1"/>
  <c r="DU611" i="1"/>
  <c r="DT611" i="1"/>
  <c r="DN611" i="1"/>
  <c r="DM611" i="1"/>
  <c r="DL611" i="1"/>
  <c r="DK611" i="1"/>
  <c r="DI611" i="1"/>
  <c r="DJ611" i="1" s="1"/>
  <c r="DB611" i="1"/>
  <c r="DC611" i="1" s="1"/>
  <c r="CX611" i="1"/>
  <c r="CN611" i="1"/>
  <c r="CS611" i="1" s="1"/>
  <c r="BV611" i="1"/>
  <c r="BX611" i="1" s="1"/>
  <c r="BM611" i="1"/>
  <c r="BD611" i="1"/>
  <c r="BC611" i="1"/>
  <c r="BB611" i="1"/>
  <c r="BA611" i="1"/>
  <c r="AZ611" i="1"/>
  <c r="AY611" i="1"/>
  <c r="AX611" i="1"/>
  <c r="M611" i="1"/>
  <c r="EM683" i="1"/>
  <c r="DU683" i="1"/>
  <c r="DT683" i="1"/>
  <c r="DN683" i="1"/>
  <c r="DM683" i="1"/>
  <c r="DL683" i="1"/>
  <c r="DK683" i="1"/>
  <c r="DI683" i="1"/>
  <c r="DJ683" i="1" s="1"/>
  <c r="DB683" i="1"/>
  <c r="DC683" i="1" s="1"/>
  <c r="CX683" i="1"/>
  <c r="CN683" i="1"/>
  <c r="BV683" i="1"/>
  <c r="BX683" i="1" s="1"/>
  <c r="BM683" i="1"/>
  <c r="BD683" i="1"/>
  <c r="BC683" i="1"/>
  <c r="BB683" i="1"/>
  <c r="BA683" i="1"/>
  <c r="AZ683" i="1"/>
  <c r="AY683" i="1"/>
  <c r="AX683" i="1"/>
  <c r="M683" i="1"/>
  <c r="EM580" i="1"/>
  <c r="DU580" i="1"/>
  <c r="DT580" i="1"/>
  <c r="DN580" i="1"/>
  <c r="DM580" i="1"/>
  <c r="DL580" i="1"/>
  <c r="DK580" i="1"/>
  <c r="DI580" i="1"/>
  <c r="DJ580" i="1" s="1"/>
  <c r="DB580" i="1"/>
  <c r="DC580" i="1" s="1"/>
  <c r="CX580" i="1"/>
  <c r="CN580" i="1"/>
  <c r="CO580" i="1" s="1"/>
  <c r="BV580" i="1"/>
  <c r="BX580" i="1" s="1"/>
  <c r="BM580" i="1"/>
  <c r="BD580" i="1"/>
  <c r="BC580" i="1"/>
  <c r="BB580" i="1"/>
  <c r="BA580" i="1"/>
  <c r="AZ580" i="1"/>
  <c r="BF580" i="1" s="1" a="1"/>
  <c r="BF580" i="1" s="1"/>
  <c r="AY580" i="1"/>
  <c r="AX580" i="1"/>
  <c r="M580" i="1"/>
  <c r="EM269" i="1"/>
  <c r="DU269" i="1"/>
  <c r="DT269" i="1"/>
  <c r="DN269" i="1"/>
  <c r="DM269" i="1"/>
  <c r="DL269" i="1"/>
  <c r="DK269" i="1"/>
  <c r="DI269" i="1"/>
  <c r="DJ269" i="1" s="1"/>
  <c r="DB269" i="1"/>
  <c r="DC269" i="1" s="1"/>
  <c r="CX269" i="1"/>
  <c r="CN269" i="1"/>
  <c r="CR269" i="1" s="1"/>
  <c r="BV269" i="1"/>
  <c r="BX269" i="1" s="1"/>
  <c r="BM269" i="1"/>
  <c r="BD269" i="1"/>
  <c r="BC269" i="1"/>
  <c r="BB269" i="1"/>
  <c r="BA269" i="1"/>
  <c r="AZ269" i="1"/>
  <c r="BF269" i="1" s="1" a="1"/>
  <c r="BF269" i="1" s="1"/>
  <c r="AY269" i="1"/>
  <c r="AX269" i="1"/>
  <c r="M269" i="1"/>
  <c r="EM1207" i="1"/>
  <c r="DU1207" i="1"/>
  <c r="DT1207" i="1"/>
  <c r="DN1207" i="1"/>
  <c r="DM1207" i="1"/>
  <c r="DL1207" i="1"/>
  <c r="DK1207" i="1"/>
  <c r="DI1207" i="1"/>
  <c r="DJ1207" i="1" s="1"/>
  <c r="DB1207" i="1"/>
  <c r="DC1207" i="1" s="1"/>
  <c r="CX1207" i="1"/>
  <c r="CN1207" i="1"/>
  <c r="CS1207" i="1" s="1"/>
  <c r="BV1207" i="1"/>
  <c r="BX1207" i="1" s="1"/>
  <c r="BM1207" i="1"/>
  <c r="BD1207" i="1"/>
  <c r="BC1207" i="1"/>
  <c r="BB1207" i="1"/>
  <c r="BA1207" i="1"/>
  <c r="AZ1207" i="1"/>
  <c r="AY1207" i="1"/>
  <c r="AX1207" i="1"/>
  <c r="M1207" i="1"/>
  <c r="EM881" i="1"/>
  <c r="DU881" i="1"/>
  <c r="DT881" i="1"/>
  <c r="DN881" i="1"/>
  <c r="DM881" i="1"/>
  <c r="DL881" i="1"/>
  <c r="DK881" i="1"/>
  <c r="DI881" i="1"/>
  <c r="DJ881" i="1" s="1"/>
  <c r="DB881" i="1"/>
  <c r="DC881" i="1" s="1"/>
  <c r="CX881" i="1"/>
  <c r="CN881" i="1"/>
  <c r="BV881" i="1"/>
  <c r="BX881" i="1" s="1"/>
  <c r="BM881" i="1"/>
  <c r="BD881" i="1"/>
  <c r="BC881" i="1"/>
  <c r="BB881" i="1"/>
  <c r="BA881" i="1"/>
  <c r="AZ881" i="1"/>
  <c r="AY881" i="1"/>
  <c r="BE881" i="1" s="1" a="1"/>
  <c r="BE881" i="1" s="1"/>
  <c r="AX881" i="1"/>
  <c r="M881" i="1"/>
  <c r="EM920" i="1"/>
  <c r="DU920" i="1"/>
  <c r="DT920" i="1"/>
  <c r="DN920" i="1"/>
  <c r="DM920" i="1"/>
  <c r="DL920" i="1"/>
  <c r="DK920" i="1"/>
  <c r="DI920" i="1"/>
  <c r="DJ920" i="1" s="1"/>
  <c r="DB920" i="1"/>
  <c r="DC920" i="1" s="1"/>
  <c r="CX920" i="1"/>
  <c r="CN920" i="1"/>
  <c r="CO920" i="1" s="1"/>
  <c r="BV920" i="1"/>
  <c r="BX920" i="1" s="1"/>
  <c r="BM920" i="1"/>
  <c r="BD920" i="1"/>
  <c r="BC920" i="1"/>
  <c r="BB920" i="1"/>
  <c r="BA920" i="1"/>
  <c r="AZ920" i="1"/>
  <c r="BF920" i="1" s="1" a="1"/>
  <c r="BF920" i="1" s="1"/>
  <c r="AY920" i="1"/>
  <c r="BE920" i="1" s="1" a="1"/>
  <c r="BE920" i="1" s="1"/>
  <c r="AX920" i="1"/>
  <c r="M920" i="1"/>
  <c r="EM962" i="1"/>
  <c r="DU962" i="1"/>
  <c r="DT962" i="1"/>
  <c r="DN962" i="1"/>
  <c r="DM962" i="1"/>
  <c r="DL962" i="1"/>
  <c r="DK962" i="1"/>
  <c r="DI962" i="1"/>
  <c r="DJ962" i="1" s="1"/>
  <c r="DB962" i="1"/>
  <c r="DC962" i="1" s="1"/>
  <c r="CX962" i="1"/>
  <c r="CN962" i="1"/>
  <c r="CR962" i="1" s="1"/>
  <c r="BV962" i="1"/>
  <c r="BX962" i="1" s="1"/>
  <c r="BM962" i="1"/>
  <c r="BD962" i="1"/>
  <c r="BC962" i="1"/>
  <c r="BB962" i="1"/>
  <c r="BA962" i="1"/>
  <c r="AZ962" i="1"/>
  <c r="AY962" i="1"/>
  <c r="BE962" i="1" s="1" a="1"/>
  <c r="BE962" i="1" s="1"/>
  <c r="AX962" i="1"/>
  <c r="M962" i="1"/>
  <c r="EM719" i="1"/>
  <c r="DU719" i="1"/>
  <c r="DT719" i="1"/>
  <c r="DN719" i="1"/>
  <c r="DM719" i="1"/>
  <c r="DL719" i="1"/>
  <c r="DK719" i="1"/>
  <c r="DI719" i="1"/>
  <c r="DJ719" i="1" s="1"/>
  <c r="DB719" i="1"/>
  <c r="DC719" i="1" s="1"/>
  <c r="CX719" i="1"/>
  <c r="CN719" i="1"/>
  <c r="CS719" i="1" s="1"/>
  <c r="BV719" i="1"/>
  <c r="BX719" i="1" s="1"/>
  <c r="BM719" i="1"/>
  <c r="BD719" i="1"/>
  <c r="BC719" i="1"/>
  <c r="BB719" i="1"/>
  <c r="BA719" i="1"/>
  <c r="AZ719" i="1"/>
  <c r="AY719" i="1"/>
  <c r="BE719" i="1" s="1" a="1"/>
  <c r="BE719" i="1" s="1"/>
  <c r="AX719" i="1"/>
  <c r="M719" i="1"/>
  <c r="EM656" i="1"/>
  <c r="DU656" i="1"/>
  <c r="DT656" i="1"/>
  <c r="DN656" i="1"/>
  <c r="DM656" i="1"/>
  <c r="DL656" i="1"/>
  <c r="DK656" i="1"/>
  <c r="DI656" i="1"/>
  <c r="DJ656" i="1" s="1"/>
  <c r="DB656" i="1"/>
  <c r="DC656" i="1" s="1"/>
  <c r="CX656" i="1"/>
  <c r="CN656" i="1"/>
  <c r="BV656" i="1"/>
  <c r="BX656" i="1" s="1"/>
  <c r="BM656" i="1"/>
  <c r="BD656" i="1"/>
  <c r="BC656" i="1"/>
  <c r="BB656" i="1"/>
  <c r="BA656" i="1"/>
  <c r="AZ656" i="1"/>
  <c r="AY656" i="1"/>
  <c r="BE656" i="1" s="1" a="1"/>
  <c r="BE656" i="1" s="1"/>
  <c r="AX656" i="1"/>
  <c r="M656" i="1"/>
  <c r="EM794" i="1"/>
  <c r="DU794" i="1"/>
  <c r="DT794" i="1"/>
  <c r="DN794" i="1"/>
  <c r="DM794" i="1"/>
  <c r="DL794" i="1"/>
  <c r="DK794" i="1"/>
  <c r="DI794" i="1"/>
  <c r="DJ794" i="1" s="1"/>
  <c r="DB794" i="1"/>
  <c r="DC794" i="1" s="1"/>
  <c r="CX794" i="1"/>
  <c r="CN794" i="1"/>
  <c r="CO794" i="1" s="1"/>
  <c r="BV794" i="1"/>
  <c r="BX794" i="1" s="1"/>
  <c r="BM794" i="1"/>
  <c r="BD794" i="1"/>
  <c r="BC794" i="1"/>
  <c r="BB794" i="1"/>
  <c r="BA794" i="1"/>
  <c r="AZ794" i="1"/>
  <c r="BF794" i="1" s="1" a="1"/>
  <c r="BF794" i="1" s="1"/>
  <c r="AY794" i="1"/>
  <c r="BE794" i="1" s="1" a="1"/>
  <c r="BE794" i="1" s="1"/>
  <c r="AX794" i="1"/>
  <c r="M794" i="1"/>
  <c r="EM637" i="1"/>
  <c r="DU637" i="1"/>
  <c r="DT637" i="1"/>
  <c r="DN637" i="1"/>
  <c r="DM637" i="1"/>
  <c r="DL637" i="1"/>
  <c r="DK637" i="1"/>
  <c r="DI637" i="1"/>
  <c r="DJ637" i="1" s="1"/>
  <c r="DB637" i="1"/>
  <c r="DC637" i="1" s="1"/>
  <c r="CX637" i="1"/>
  <c r="CN637" i="1"/>
  <c r="CR637" i="1" s="1"/>
  <c r="BV637" i="1"/>
  <c r="BX637" i="1" s="1"/>
  <c r="BM637" i="1"/>
  <c r="BD637" i="1"/>
  <c r="BC637" i="1"/>
  <c r="BB637" i="1"/>
  <c r="BA637" i="1"/>
  <c r="AZ637" i="1"/>
  <c r="BF637" i="1" s="1" a="1"/>
  <c r="BF637" i="1" s="1"/>
  <c r="AY637" i="1"/>
  <c r="BE637" i="1" s="1" a="1"/>
  <c r="BE637" i="1" s="1"/>
  <c r="AX637" i="1"/>
  <c r="M637" i="1"/>
  <c r="EM653" i="1"/>
  <c r="DU653" i="1"/>
  <c r="DT653" i="1"/>
  <c r="DN653" i="1"/>
  <c r="DM653" i="1"/>
  <c r="DL653" i="1"/>
  <c r="DK653" i="1"/>
  <c r="DI653" i="1"/>
  <c r="DJ653" i="1" s="1"/>
  <c r="DB653" i="1"/>
  <c r="DC653" i="1" s="1"/>
  <c r="CX653" i="1"/>
  <c r="CN653" i="1"/>
  <c r="CS653" i="1" s="1"/>
  <c r="BV653" i="1"/>
  <c r="BX653" i="1" s="1"/>
  <c r="BM653" i="1"/>
  <c r="BD653" i="1"/>
  <c r="BC653" i="1"/>
  <c r="BB653" i="1"/>
  <c r="BA653" i="1"/>
  <c r="AZ653" i="1"/>
  <c r="AY653" i="1"/>
  <c r="BE653" i="1" s="1" a="1"/>
  <c r="BE653" i="1" s="1"/>
  <c r="AX653" i="1"/>
  <c r="M653" i="1"/>
  <c r="EM593" i="1"/>
  <c r="DU593" i="1"/>
  <c r="DT593" i="1"/>
  <c r="DN593" i="1"/>
  <c r="DM593" i="1"/>
  <c r="DL593" i="1"/>
  <c r="DK593" i="1"/>
  <c r="DI593" i="1"/>
  <c r="DJ593" i="1" s="1"/>
  <c r="DB593" i="1"/>
  <c r="DC593" i="1" s="1"/>
  <c r="CX593" i="1"/>
  <c r="CN593" i="1"/>
  <c r="BV593" i="1"/>
  <c r="BX593" i="1" s="1"/>
  <c r="BM593" i="1"/>
  <c r="BD593" i="1"/>
  <c r="BC593" i="1"/>
  <c r="BB593" i="1"/>
  <c r="BA593" i="1"/>
  <c r="AZ593" i="1"/>
  <c r="AY593" i="1"/>
  <c r="BE593" i="1" s="1" a="1"/>
  <c r="BE593" i="1" s="1"/>
  <c r="AX593" i="1"/>
  <c r="M593" i="1"/>
  <c r="EM675" i="1"/>
  <c r="DU675" i="1"/>
  <c r="DT675" i="1"/>
  <c r="DN675" i="1"/>
  <c r="DM675" i="1"/>
  <c r="DL675" i="1"/>
  <c r="DK675" i="1"/>
  <c r="DI675" i="1"/>
  <c r="DJ675" i="1" s="1"/>
  <c r="DB675" i="1"/>
  <c r="DC675" i="1" s="1"/>
  <c r="CX675" i="1"/>
  <c r="CN675" i="1"/>
  <c r="CO675" i="1" s="1"/>
  <c r="BV675" i="1"/>
  <c r="BX675" i="1" s="1"/>
  <c r="BM675" i="1"/>
  <c r="BD675" i="1"/>
  <c r="BC675" i="1"/>
  <c r="BB675" i="1"/>
  <c r="BA675" i="1"/>
  <c r="AZ675" i="1"/>
  <c r="BF675" i="1" s="1" a="1"/>
  <c r="BF675" i="1" s="1"/>
  <c r="AY675" i="1"/>
  <c r="BE675" i="1" s="1" a="1"/>
  <c r="BE675" i="1" s="1"/>
  <c r="AX675" i="1"/>
  <c r="M675" i="1"/>
  <c r="EM282" i="1"/>
  <c r="DU282" i="1"/>
  <c r="DT282" i="1"/>
  <c r="DN282" i="1"/>
  <c r="DM282" i="1"/>
  <c r="DL282" i="1"/>
  <c r="DK282" i="1"/>
  <c r="DI282" i="1"/>
  <c r="DJ282" i="1" s="1"/>
  <c r="DB282" i="1"/>
  <c r="DC282" i="1" s="1"/>
  <c r="CX282" i="1"/>
  <c r="CN282" i="1"/>
  <c r="BV282" i="1"/>
  <c r="BX282" i="1" s="1"/>
  <c r="BN282" i="1"/>
  <c r="BO282" i="1" s="1"/>
  <c r="BM282" i="1"/>
  <c r="BD282" i="1"/>
  <c r="BC282" i="1"/>
  <c r="BB282" i="1"/>
  <c r="BA282" i="1"/>
  <c r="AZ282" i="1"/>
  <c r="AY282" i="1"/>
  <c r="BE282" i="1" s="1" a="1"/>
  <c r="BE282" i="1" s="1"/>
  <c r="AX282" i="1"/>
  <c r="M282" i="1"/>
  <c r="EM900" i="1"/>
  <c r="DU900" i="1"/>
  <c r="DT900" i="1"/>
  <c r="DN900" i="1"/>
  <c r="DM900" i="1"/>
  <c r="DL900" i="1"/>
  <c r="DK900" i="1"/>
  <c r="DI900" i="1"/>
  <c r="DJ900" i="1" s="1"/>
  <c r="DB900" i="1"/>
  <c r="DC900" i="1" s="1"/>
  <c r="CX900" i="1"/>
  <c r="CN900" i="1"/>
  <c r="CS900" i="1" s="1"/>
  <c r="BV900" i="1"/>
  <c r="BX900" i="1" s="1"/>
  <c r="BO900" i="1"/>
  <c r="BN900" i="1"/>
  <c r="BM900" i="1"/>
  <c r="BD900" i="1"/>
  <c r="BC900" i="1"/>
  <c r="BB900" i="1"/>
  <c r="BA900" i="1"/>
  <c r="AZ900" i="1"/>
  <c r="AY900" i="1"/>
  <c r="AX900" i="1"/>
  <c r="M900" i="1"/>
  <c r="EM890" i="1"/>
  <c r="DU890" i="1"/>
  <c r="DT890" i="1"/>
  <c r="DN890" i="1"/>
  <c r="DM890" i="1"/>
  <c r="DL890" i="1"/>
  <c r="DK890" i="1"/>
  <c r="DI890" i="1"/>
  <c r="DJ890" i="1" s="1"/>
  <c r="DB890" i="1"/>
  <c r="DC890" i="1" s="1"/>
  <c r="CX890" i="1"/>
  <c r="CN890" i="1"/>
  <c r="BV890" i="1"/>
  <c r="BX890" i="1" s="1"/>
  <c r="BO890" i="1"/>
  <c r="BN890" i="1"/>
  <c r="BM890" i="1"/>
  <c r="BD890" i="1"/>
  <c r="BC890" i="1"/>
  <c r="BB890" i="1"/>
  <c r="BA890" i="1"/>
  <c r="AZ890" i="1"/>
  <c r="BF890" i="1" s="1" a="1"/>
  <c r="BF890" i="1" s="1"/>
  <c r="AY890" i="1"/>
  <c r="BE890" i="1" s="1" a="1"/>
  <c r="BE890" i="1" s="1"/>
  <c r="AX890" i="1"/>
  <c r="M890" i="1"/>
  <c r="EM885" i="1"/>
  <c r="DU885" i="1"/>
  <c r="DT885" i="1"/>
  <c r="DN885" i="1"/>
  <c r="DM885" i="1"/>
  <c r="DL885" i="1"/>
  <c r="DK885" i="1"/>
  <c r="DI885" i="1"/>
  <c r="DJ885" i="1" s="1"/>
  <c r="DB885" i="1"/>
  <c r="DC885" i="1" s="1"/>
  <c r="CX885" i="1"/>
  <c r="CN885" i="1"/>
  <c r="CO885" i="1" s="1"/>
  <c r="BV885" i="1"/>
  <c r="BX885" i="1" s="1"/>
  <c r="BO885" i="1"/>
  <c r="BN885" i="1"/>
  <c r="BM885" i="1"/>
  <c r="BD885" i="1"/>
  <c r="BC885" i="1"/>
  <c r="BB885" i="1"/>
  <c r="BA885" i="1"/>
  <c r="AZ885" i="1"/>
  <c r="AY885" i="1"/>
  <c r="BE885" i="1" s="1" a="1"/>
  <c r="BE885" i="1" s="1"/>
  <c r="M885" i="1"/>
  <c r="EM869" i="1"/>
  <c r="DU869" i="1"/>
  <c r="DT869" i="1"/>
  <c r="DN869" i="1"/>
  <c r="DM869" i="1"/>
  <c r="DL869" i="1"/>
  <c r="DK869" i="1"/>
  <c r="DI869" i="1"/>
  <c r="DJ869" i="1" s="1"/>
  <c r="DB869" i="1"/>
  <c r="DC869" i="1" s="1"/>
  <c r="CX869" i="1"/>
  <c r="CN869" i="1"/>
  <c r="CP869" i="1" s="1"/>
  <c r="BV869" i="1"/>
  <c r="BX869" i="1" s="1"/>
  <c r="BO869" i="1"/>
  <c r="BN869" i="1"/>
  <c r="BM869" i="1"/>
  <c r="BD869" i="1"/>
  <c r="BC869" i="1"/>
  <c r="BB869" i="1"/>
  <c r="BA869" i="1"/>
  <c r="AZ869" i="1"/>
  <c r="BF869" i="1" s="1" a="1"/>
  <c r="BF869" i="1" s="1"/>
  <c r="AY869" i="1"/>
  <c r="BE869" i="1" s="1" a="1"/>
  <c r="BE869" i="1" s="1"/>
  <c r="AX869" i="1"/>
  <c r="M869" i="1"/>
  <c r="EM855" i="1"/>
  <c r="DU855" i="1"/>
  <c r="DT855" i="1"/>
  <c r="DN855" i="1"/>
  <c r="DM855" i="1"/>
  <c r="DL855" i="1"/>
  <c r="DK855" i="1"/>
  <c r="DI855" i="1"/>
  <c r="DJ855" i="1" s="1"/>
  <c r="DB855" i="1"/>
  <c r="DC855" i="1" s="1"/>
  <c r="CX855" i="1"/>
  <c r="CN855" i="1"/>
  <c r="CR855" i="1" s="1"/>
  <c r="BV855" i="1"/>
  <c r="BX855" i="1" s="1"/>
  <c r="BO855" i="1"/>
  <c r="BN855" i="1"/>
  <c r="BM855" i="1"/>
  <c r="BD855" i="1"/>
  <c r="BC855" i="1"/>
  <c r="BB855" i="1"/>
  <c r="BA855" i="1"/>
  <c r="AZ855" i="1"/>
  <c r="BF855" i="1" s="1" a="1"/>
  <c r="BF855" i="1" s="1"/>
  <c r="AY855" i="1"/>
  <c r="BE855" i="1" s="1" a="1"/>
  <c r="BE855" i="1" s="1"/>
  <c r="AX855" i="1"/>
  <c r="M855" i="1"/>
  <c r="EM1133" i="1"/>
  <c r="DU1133" i="1"/>
  <c r="DT1133" i="1"/>
  <c r="DN1133" i="1"/>
  <c r="DM1133" i="1"/>
  <c r="DL1133" i="1"/>
  <c r="DK1133" i="1"/>
  <c r="DI1133" i="1"/>
  <c r="DJ1133" i="1" s="1"/>
  <c r="DB1133" i="1"/>
  <c r="DC1133" i="1" s="1"/>
  <c r="CX1133" i="1"/>
  <c r="CN1133" i="1"/>
  <c r="BX1133" i="1"/>
  <c r="BD1133" i="1"/>
  <c r="BC1133" i="1"/>
  <c r="BB1133" i="1"/>
  <c r="BA1133" i="1"/>
  <c r="AZ1133" i="1"/>
  <c r="BF1133" i="1" s="1" a="1"/>
  <c r="BF1133" i="1" s="1"/>
  <c r="AY1133" i="1"/>
  <c r="BE1133" i="1" s="1" a="1"/>
  <c r="BE1133" i="1" s="1"/>
  <c r="AX1133" i="1"/>
  <c r="M1133" i="1"/>
  <c r="EM1132" i="1"/>
  <c r="DU1132" i="1"/>
  <c r="DT1132" i="1"/>
  <c r="DN1132" i="1"/>
  <c r="DM1132" i="1"/>
  <c r="DL1132" i="1"/>
  <c r="DK1132" i="1"/>
  <c r="DI1132" i="1"/>
  <c r="DJ1132" i="1" s="1"/>
  <c r="DB1132" i="1"/>
  <c r="DC1132" i="1" s="1"/>
  <c r="CX1132" i="1"/>
  <c r="CN1132" i="1"/>
  <c r="BX1132" i="1"/>
  <c r="BD1132" i="1"/>
  <c r="BC1132" i="1"/>
  <c r="BB1132" i="1"/>
  <c r="BA1132" i="1"/>
  <c r="AZ1132" i="1"/>
  <c r="BF1132" i="1" s="1" a="1"/>
  <c r="BF1132" i="1" s="1"/>
  <c r="AY1132" i="1"/>
  <c r="BE1132" i="1" s="1" a="1"/>
  <c r="BE1132" i="1" s="1"/>
  <c r="AX1132" i="1"/>
  <c r="M1132" i="1"/>
  <c r="EM1131" i="1"/>
  <c r="DU1131" i="1"/>
  <c r="DT1131" i="1"/>
  <c r="DN1131" i="1"/>
  <c r="DM1131" i="1"/>
  <c r="DL1131" i="1"/>
  <c r="DK1131" i="1"/>
  <c r="DI1131" i="1"/>
  <c r="DJ1131" i="1" s="1"/>
  <c r="DB1131" i="1"/>
  <c r="DC1131" i="1" s="1"/>
  <c r="CX1131" i="1"/>
  <c r="CN1131" i="1"/>
  <c r="BX1131" i="1"/>
  <c r="BD1131" i="1"/>
  <c r="BC1131" i="1"/>
  <c r="BB1131" i="1"/>
  <c r="BA1131" i="1"/>
  <c r="AZ1131" i="1"/>
  <c r="BF1131" i="1" s="1" a="1"/>
  <c r="BF1131" i="1" s="1"/>
  <c r="AY1131" i="1"/>
  <c r="BE1131" i="1" s="1" a="1"/>
  <c r="BE1131" i="1" s="1"/>
  <c r="AX1131" i="1"/>
  <c r="M1131" i="1"/>
  <c r="EM1135" i="1"/>
  <c r="DU1135" i="1"/>
  <c r="DT1135" i="1"/>
  <c r="DN1135" i="1"/>
  <c r="DM1135" i="1"/>
  <c r="DL1135" i="1"/>
  <c r="DK1135" i="1"/>
  <c r="DI1135" i="1"/>
  <c r="DJ1135" i="1" s="1"/>
  <c r="DB1135" i="1"/>
  <c r="DC1135" i="1" s="1"/>
  <c r="CX1135" i="1"/>
  <c r="CN1135" i="1"/>
  <c r="BX1135" i="1"/>
  <c r="BD1135" i="1"/>
  <c r="BC1135" i="1"/>
  <c r="BB1135" i="1"/>
  <c r="BA1135" i="1"/>
  <c r="AZ1135" i="1"/>
  <c r="BF1135" i="1" s="1" a="1"/>
  <c r="BF1135" i="1" s="1"/>
  <c r="AY1135" i="1"/>
  <c r="BE1135" i="1" s="1" a="1"/>
  <c r="BE1135" i="1" s="1"/>
  <c r="AX1135" i="1"/>
  <c r="M1135" i="1"/>
  <c r="EM1134" i="1"/>
  <c r="DU1134" i="1"/>
  <c r="DT1134" i="1"/>
  <c r="DN1134" i="1"/>
  <c r="DM1134" i="1"/>
  <c r="DL1134" i="1"/>
  <c r="DK1134" i="1"/>
  <c r="DI1134" i="1"/>
  <c r="DJ1134" i="1" s="1"/>
  <c r="DB1134" i="1"/>
  <c r="DC1134" i="1" s="1"/>
  <c r="CX1134" i="1"/>
  <c r="CN1134" i="1"/>
  <c r="BX1134" i="1"/>
  <c r="BD1134" i="1"/>
  <c r="BC1134" i="1"/>
  <c r="BB1134" i="1"/>
  <c r="BA1134" i="1"/>
  <c r="AZ1134" i="1"/>
  <c r="BF1134" i="1" s="1" a="1"/>
  <c r="BF1134" i="1" s="1"/>
  <c r="AY1134" i="1"/>
  <c r="BE1134" i="1" s="1" a="1"/>
  <c r="BE1134" i="1" s="1"/>
  <c r="AX1134" i="1"/>
  <c r="M1134" i="1"/>
  <c r="EM126" i="1"/>
  <c r="DU126" i="1"/>
  <c r="DT126" i="1"/>
  <c r="DN126" i="1"/>
  <c r="DM126" i="1"/>
  <c r="DL126" i="1"/>
  <c r="DK126" i="1"/>
  <c r="DI126" i="1"/>
  <c r="DJ126" i="1" s="1"/>
  <c r="DB126" i="1"/>
  <c r="DC126" i="1" s="1"/>
  <c r="CX126" i="1"/>
  <c r="BX126" i="1"/>
  <c r="BD126" i="1"/>
  <c r="BC126" i="1"/>
  <c r="BB126" i="1"/>
  <c r="BA126" i="1"/>
  <c r="AZ126" i="1"/>
  <c r="AY126" i="1"/>
  <c r="BE126" i="1" s="1" a="1"/>
  <c r="BE126" i="1" s="1"/>
  <c r="AX126" i="1"/>
  <c r="M126" i="1"/>
  <c r="EM686" i="1"/>
  <c r="DU686" i="1"/>
  <c r="DT686" i="1"/>
  <c r="DN686" i="1"/>
  <c r="DM686" i="1"/>
  <c r="DL686" i="1"/>
  <c r="DK686" i="1"/>
  <c r="DI686" i="1"/>
  <c r="DJ686" i="1" s="1"/>
  <c r="DC686" i="1"/>
  <c r="CX686" i="1"/>
  <c r="CN686" i="1"/>
  <c r="CS686" i="1" s="1"/>
  <c r="BV686" i="1"/>
  <c r="BX686" i="1" s="1"/>
  <c r="BU686" i="1"/>
  <c r="BN686" i="1"/>
  <c r="BO686" i="1" s="1"/>
  <c r="BM686" i="1"/>
  <c r="BD686" i="1"/>
  <c r="BC686" i="1"/>
  <c r="BB686" i="1"/>
  <c r="BA686" i="1"/>
  <c r="AZ686" i="1"/>
  <c r="AY686" i="1"/>
  <c r="BE686" i="1" s="1" a="1"/>
  <c r="BE686" i="1" s="1"/>
  <c r="AX686" i="1"/>
  <c r="M686" i="1"/>
  <c r="EM595" i="1"/>
  <c r="DU595" i="1"/>
  <c r="DT595" i="1"/>
  <c r="DN595" i="1"/>
  <c r="DM595" i="1"/>
  <c r="DL595" i="1"/>
  <c r="DK595" i="1"/>
  <c r="DI595" i="1"/>
  <c r="DJ595" i="1" s="1"/>
  <c r="DC595" i="1"/>
  <c r="CX595" i="1"/>
  <c r="CN595" i="1"/>
  <c r="BV595" i="1"/>
  <c r="BX595" i="1" s="1"/>
  <c r="BU595" i="1"/>
  <c r="BN595" i="1"/>
  <c r="BO595" i="1" s="1"/>
  <c r="BM595" i="1"/>
  <c r="BD595" i="1"/>
  <c r="BC595" i="1"/>
  <c r="BB595" i="1"/>
  <c r="BA595" i="1"/>
  <c r="AZ595" i="1"/>
  <c r="AY595" i="1"/>
  <c r="BE595" i="1" s="1" a="1"/>
  <c r="BE595" i="1" s="1"/>
  <c r="AX595" i="1"/>
  <c r="M595" i="1"/>
  <c r="EM579" i="1"/>
  <c r="DU579" i="1"/>
  <c r="DT579" i="1"/>
  <c r="DN579" i="1"/>
  <c r="DM579" i="1"/>
  <c r="DL579" i="1"/>
  <c r="DK579" i="1"/>
  <c r="DI579" i="1"/>
  <c r="DJ579" i="1" s="1"/>
  <c r="DC579" i="1"/>
  <c r="CX579" i="1"/>
  <c r="CN579" i="1"/>
  <c r="CO579" i="1" s="1"/>
  <c r="BV579" i="1"/>
  <c r="BX579" i="1" s="1"/>
  <c r="BU579" i="1"/>
  <c r="BN579" i="1"/>
  <c r="BO579" i="1" s="1"/>
  <c r="BM579" i="1"/>
  <c r="BD579" i="1"/>
  <c r="BC579" i="1"/>
  <c r="BB579" i="1"/>
  <c r="BA579" i="1"/>
  <c r="AZ579" i="1"/>
  <c r="BF579" i="1" s="1" a="1"/>
  <c r="BF579" i="1" s="1"/>
  <c r="AY579" i="1"/>
  <c r="BE579" i="1" s="1" a="1"/>
  <c r="BE579" i="1" s="1"/>
  <c r="AX579" i="1"/>
  <c r="M579" i="1"/>
  <c r="EM324" i="1"/>
  <c r="DU324" i="1"/>
  <c r="DT324" i="1"/>
  <c r="DN324" i="1"/>
  <c r="DM324" i="1"/>
  <c r="DL324" i="1"/>
  <c r="DK324" i="1"/>
  <c r="DI324" i="1"/>
  <c r="DJ324" i="1" s="1"/>
  <c r="DC324" i="1"/>
  <c r="CX324" i="1"/>
  <c r="CN324" i="1"/>
  <c r="BV324" i="1"/>
  <c r="BX324" i="1" s="1"/>
  <c r="BU324" i="1"/>
  <c r="BN324" i="1"/>
  <c r="BO324" i="1" s="1"/>
  <c r="BM324" i="1"/>
  <c r="BD324" i="1"/>
  <c r="BC324" i="1"/>
  <c r="BB324" i="1"/>
  <c r="BA324" i="1"/>
  <c r="AZ324" i="1"/>
  <c r="AY324" i="1"/>
  <c r="BE324" i="1" s="1" a="1"/>
  <c r="BE324" i="1" s="1"/>
  <c r="AX324" i="1"/>
  <c r="M324" i="1"/>
  <c r="EM659" i="1"/>
  <c r="DU659" i="1"/>
  <c r="DT659" i="1"/>
  <c r="DN659" i="1"/>
  <c r="DM659" i="1"/>
  <c r="DL659" i="1"/>
  <c r="DK659" i="1"/>
  <c r="DI659" i="1"/>
  <c r="DJ659" i="1" s="1"/>
  <c r="DC659" i="1"/>
  <c r="CX659" i="1"/>
  <c r="CN659" i="1"/>
  <c r="BV659" i="1"/>
  <c r="BX659" i="1" s="1"/>
  <c r="BU659" i="1"/>
  <c r="BN659" i="1"/>
  <c r="BO659" i="1" s="1"/>
  <c r="BM659" i="1"/>
  <c r="BD659" i="1"/>
  <c r="BC659" i="1"/>
  <c r="BB659" i="1"/>
  <c r="BA659" i="1"/>
  <c r="AZ659" i="1"/>
  <c r="AY659" i="1"/>
  <c r="BE659" i="1" s="1" a="1"/>
  <c r="BE659" i="1" s="1"/>
  <c r="AX659" i="1"/>
  <c r="M659" i="1"/>
  <c r="EM657" i="1"/>
  <c r="DU657" i="1"/>
  <c r="DT657" i="1"/>
  <c r="DN657" i="1"/>
  <c r="DM657" i="1"/>
  <c r="DL657" i="1"/>
  <c r="DK657" i="1"/>
  <c r="DI657" i="1"/>
  <c r="DJ657" i="1" s="1"/>
  <c r="DC657" i="1"/>
  <c r="CX657" i="1"/>
  <c r="CN657" i="1"/>
  <c r="BV657" i="1"/>
  <c r="BX657" i="1" s="1"/>
  <c r="BU657" i="1"/>
  <c r="BN657" i="1"/>
  <c r="BO657" i="1" s="1"/>
  <c r="BM657" i="1"/>
  <c r="BD657" i="1"/>
  <c r="BC657" i="1"/>
  <c r="BB657" i="1"/>
  <c r="BA657" i="1"/>
  <c r="AZ657" i="1"/>
  <c r="BF657" i="1" s="1" a="1"/>
  <c r="BF657" i="1" s="1"/>
  <c r="AY657" i="1"/>
  <c r="BE657" i="1" s="1" a="1"/>
  <c r="BE657" i="1" s="1"/>
  <c r="AX657" i="1"/>
  <c r="M657" i="1"/>
  <c r="EM872" i="1"/>
  <c r="DU872" i="1"/>
  <c r="DT872" i="1"/>
  <c r="DN872" i="1"/>
  <c r="DM872" i="1"/>
  <c r="DL872" i="1"/>
  <c r="DK872" i="1"/>
  <c r="DI872" i="1"/>
  <c r="DJ872" i="1" s="1"/>
  <c r="DC872" i="1"/>
  <c r="CX872" i="1"/>
  <c r="BV872" i="1"/>
  <c r="BX872" i="1" s="1"/>
  <c r="BU872" i="1"/>
  <c r="BL872" i="1"/>
  <c r="CN872" i="1" s="1"/>
  <c r="BD872" i="1"/>
  <c r="BC872" i="1"/>
  <c r="BB872" i="1"/>
  <c r="BA872" i="1"/>
  <c r="AZ872" i="1"/>
  <c r="AY872" i="1"/>
  <c r="BE872" i="1" s="1" a="1"/>
  <c r="BE872" i="1" s="1"/>
  <c r="AX872" i="1"/>
  <c r="M872" i="1"/>
  <c r="EP477" i="1"/>
  <c r="EP463" i="1"/>
  <c r="EP435" i="1"/>
  <c r="EP488" i="1"/>
  <c r="EP506" i="1"/>
  <c r="EP478" i="1"/>
  <c r="EP465" i="1"/>
  <c r="EP476" i="1"/>
  <c r="EP473" i="1"/>
  <c r="EP433" i="1"/>
  <c r="EP467" i="1"/>
  <c r="EP496" i="1"/>
  <c r="EP424" i="1"/>
  <c r="EP466" i="1"/>
  <c r="EP422" i="1"/>
  <c r="EP388" i="1"/>
  <c r="EP486" i="1"/>
  <c r="EP414" i="1"/>
  <c r="EP492" i="1"/>
  <c r="EP489" i="1"/>
  <c r="EP474" i="1"/>
  <c r="EP461" i="1"/>
  <c r="EP493" i="1"/>
  <c r="EP490" i="1"/>
  <c r="EP495" i="1"/>
  <c r="EP500" i="1"/>
  <c r="EP460" i="1"/>
  <c r="EP502" i="1"/>
  <c r="EP487" i="1"/>
  <c r="EP497" i="1"/>
  <c r="EP406" i="1"/>
  <c r="EP514" i="1"/>
  <c r="EP471" i="1"/>
  <c r="EP410" i="1"/>
  <c r="EP515" i="1"/>
  <c r="EP480" i="1"/>
  <c r="EP469" i="1"/>
  <c r="EP479" i="1"/>
  <c r="EP440" i="1"/>
  <c r="EP407" i="1"/>
  <c r="EP503" i="1"/>
  <c r="EP470" i="1"/>
  <c r="EP509" i="1"/>
  <c r="EP483" i="1"/>
  <c r="EP511" i="1"/>
  <c r="EP409" i="1"/>
  <c r="EP512" i="1"/>
  <c r="EP408" i="1"/>
  <c r="EP505" i="1"/>
  <c r="EP485" i="1"/>
  <c r="EP484" i="1"/>
  <c r="EP459" i="1"/>
  <c r="EP401" i="1"/>
  <c r="EP389" i="1"/>
  <c r="EP510" i="1"/>
  <c r="EP507" i="1"/>
  <c r="EP501" i="1"/>
  <c r="EP462" i="1"/>
  <c r="EP404" i="1"/>
  <c r="EP411" i="1"/>
  <c r="EP417" i="1"/>
  <c r="EP482" i="1"/>
  <c r="EP475" i="1"/>
  <c r="EP504" i="1"/>
  <c r="EP498" i="1"/>
  <c r="EP491" i="1"/>
  <c r="EP508" i="1"/>
  <c r="EP499" i="1"/>
  <c r="EP371" i="1"/>
  <c r="EP464" i="1"/>
  <c r="EP387" i="1"/>
  <c r="EP386" i="1"/>
  <c r="EP379" i="1"/>
  <c r="EP468" i="1"/>
  <c r="EP372" i="1"/>
  <c r="EP481" i="1"/>
  <c r="EP472" i="1"/>
  <c r="EP375" i="1"/>
  <c r="EP381" i="1"/>
  <c r="EP378" i="1"/>
  <c r="EP384" i="1"/>
  <c r="EP380" i="1"/>
  <c r="EM240" i="1"/>
  <c r="DU240" i="1"/>
  <c r="DT240" i="1"/>
  <c r="DN240" i="1"/>
  <c r="DM240" i="1"/>
  <c r="DL240" i="1"/>
  <c r="DK240" i="1"/>
  <c r="DI240" i="1"/>
  <c r="DJ240" i="1" s="1"/>
  <c r="DC240" i="1"/>
  <c r="CX240" i="1"/>
  <c r="BV240" i="1"/>
  <c r="BX240" i="1" s="1"/>
  <c r="BL240" i="1"/>
  <c r="CN240" i="1" s="1"/>
  <c r="BK240" i="1"/>
  <c r="BD240" i="1"/>
  <c r="BC240" i="1"/>
  <c r="BB240" i="1"/>
  <c r="BA240" i="1"/>
  <c r="AZ240" i="1"/>
  <c r="AY240" i="1"/>
  <c r="BE240" i="1" s="1" a="1"/>
  <c r="BE240" i="1" s="1"/>
  <c r="AX240" i="1"/>
  <c r="M240" i="1"/>
  <c r="EM867" i="1"/>
  <c r="DU867" i="1"/>
  <c r="DT867" i="1"/>
  <c r="DN867" i="1"/>
  <c r="DM867" i="1"/>
  <c r="DL867" i="1"/>
  <c r="DK867" i="1"/>
  <c r="DI867" i="1"/>
  <c r="DJ867" i="1" s="1"/>
  <c r="DC867" i="1"/>
  <c r="CX867" i="1"/>
  <c r="BV867" i="1"/>
  <c r="BX867" i="1" s="1"/>
  <c r="BL867" i="1"/>
  <c r="BK867" i="1"/>
  <c r="BD867" i="1"/>
  <c r="BC867" i="1"/>
  <c r="BB867" i="1"/>
  <c r="BA867" i="1"/>
  <c r="AZ867" i="1"/>
  <c r="AY867" i="1"/>
  <c r="BE867" i="1" s="1" a="1"/>
  <c r="BE867" i="1" s="1"/>
  <c r="AX867" i="1"/>
  <c r="M867" i="1"/>
  <c r="EM766" i="1"/>
  <c r="DU766" i="1"/>
  <c r="DT766" i="1"/>
  <c r="DN766" i="1"/>
  <c r="DM766" i="1"/>
  <c r="DL766" i="1"/>
  <c r="DK766" i="1"/>
  <c r="DI766" i="1"/>
  <c r="DJ766" i="1" s="1"/>
  <c r="DC766" i="1"/>
  <c r="CX766" i="1"/>
  <c r="CN766" i="1"/>
  <c r="CP766" i="1" s="1"/>
  <c r="BX766" i="1"/>
  <c r="BN766" i="1"/>
  <c r="BO766" i="1" s="1"/>
  <c r="BD766" i="1"/>
  <c r="BC766" i="1"/>
  <c r="BB766" i="1"/>
  <c r="BA766" i="1"/>
  <c r="AZ766" i="1"/>
  <c r="AY766" i="1"/>
  <c r="AX766" i="1"/>
  <c r="U766" i="1"/>
  <c r="M766" i="1"/>
  <c r="EM764" i="1"/>
  <c r="DU764" i="1"/>
  <c r="DT764" i="1"/>
  <c r="DN764" i="1"/>
  <c r="DM764" i="1"/>
  <c r="DL764" i="1"/>
  <c r="DK764" i="1"/>
  <c r="DI764" i="1"/>
  <c r="DJ764" i="1" s="1"/>
  <c r="DC764" i="1"/>
  <c r="CX764" i="1"/>
  <c r="CN764" i="1"/>
  <c r="CP764" i="1" s="1"/>
  <c r="BX764" i="1"/>
  <c r="BN764" i="1"/>
  <c r="BO764" i="1" s="1"/>
  <c r="BD764" i="1"/>
  <c r="BC764" i="1"/>
  <c r="BB764" i="1"/>
  <c r="BA764" i="1"/>
  <c r="AZ764" i="1"/>
  <c r="AY764" i="1"/>
  <c r="AX764" i="1"/>
  <c r="U764" i="1"/>
  <c r="M764" i="1"/>
  <c r="EM759" i="1"/>
  <c r="DU759" i="1"/>
  <c r="DT759" i="1"/>
  <c r="DN759" i="1"/>
  <c r="DM759" i="1"/>
  <c r="DL759" i="1"/>
  <c r="DK759" i="1"/>
  <c r="DI759" i="1"/>
  <c r="DJ759" i="1" s="1"/>
  <c r="DC759" i="1"/>
  <c r="CX759" i="1"/>
  <c r="CN759" i="1"/>
  <c r="CP759" i="1" s="1"/>
  <c r="BX759" i="1"/>
  <c r="BN759" i="1"/>
  <c r="BO759" i="1" s="1"/>
  <c r="BD759" i="1"/>
  <c r="BC759" i="1"/>
  <c r="BB759" i="1"/>
  <c r="BA759" i="1"/>
  <c r="AZ759" i="1"/>
  <c r="AY759" i="1"/>
  <c r="AX759" i="1"/>
  <c r="U759" i="1"/>
  <c r="M759" i="1"/>
  <c r="EM755" i="1"/>
  <c r="DU755" i="1"/>
  <c r="DT755" i="1"/>
  <c r="DN755" i="1"/>
  <c r="DM755" i="1"/>
  <c r="DL755" i="1"/>
  <c r="DK755" i="1"/>
  <c r="DI755" i="1"/>
  <c r="DJ755" i="1" s="1"/>
  <c r="DC755" i="1"/>
  <c r="CX755" i="1"/>
  <c r="CN755" i="1"/>
  <c r="CO755" i="1" s="1"/>
  <c r="BX755" i="1"/>
  <c r="BN755" i="1"/>
  <c r="BO755" i="1" s="1"/>
  <c r="BD755" i="1"/>
  <c r="BC755" i="1"/>
  <c r="BB755" i="1"/>
  <c r="BA755" i="1"/>
  <c r="AZ755" i="1"/>
  <c r="BF755" i="1" s="1" a="1"/>
  <c r="BF755" i="1" s="1"/>
  <c r="AY755" i="1"/>
  <c r="AX755" i="1"/>
  <c r="U755" i="1"/>
  <c r="M755" i="1"/>
  <c r="EM752" i="1"/>
  <c r="DU752" i="1"/>
  <c r="DT752" i="1"/>
  <c r="DN752" i="1"/>
  <c r="DM752" i="1"/>
  <c r="DL752" i="1"/>
  <c r="DK752" i="1"/>
  <c r="DI752" i="1"/>
  <c r="DJ752" i="1" s="1"/>
  <c r="DC752" i="1"/>
  <c r="CX752" i="1"/>
  <c r="CN752" i="1"/>
  <c r="CS752" i="1" s="1"/>
  <c r="BX752" i="1"/>
  <c r="BN752" i="1"/>
  <c r="BO752" i="1" s="1"/>
  <c r="BD752" i="1"/>
  <c r="BC752" i="1"/>
  <c r="BB752" i="1"/>
  <c r="BA752" i="1"/>
  <c r="AZ752" i="1"/>
  <c r="AY752" i="1"/>
  <c r="AX752" i="1"/>
  <c r="U752" i="1"/>
  <c r="M752" i="1"/>
  <c r="EM750" i="1"/>
  <c r="DU750" i="1"/>
  <c r="DT750" i="1"/>
  <c r="DN750" i="1"/>
  <c r="DM750" i="1"/>
  <c r="DL750" i="1"/>
  <c r="DK750" i="1"/>
  <c r="DI750" i="1"/>
  <c r="DJ750" i="1" s="1"/>
  <c r="DC750" i="1"/>
  <c r="CX750" i="1"/>
  <c r="CN750" i="1"/>
  <c r="CR750" i="1" s="1"/>
  <c r="BX750" i="1"/>
  <c r="BN750" i="1"/>
  <c r="BO750" i="1" s="1"/>
  <c r="BD750" i="1"/>
  <c r="BC750" i="1"/>
  <c r="BB750" i="1"/>
  <c r="BA750" i="1"/>
  <c r="AZ750" i="1"/>
  <c r="AY750" i="1"/>
  <c r="AX750" i="1"/>
  <c r="U750" i="1"/>
  <c r="M750" i="1"/>
  <c r="EM738" i="1"/>
  <c r="DU738" i="1"/>
  <c r="DT738" i="1"/>
  <c r="DN738" i="1"/>
  <c r="DM738" i="1"/>
  <c r="DL738" i="1"/>
  <c r="DK738" i="1"/>
  <c r="DI738" i="1"/>
  <c r="DJ738" i="1" s="1"/>
  <c r="DC738" i="1"/>
  <c r="CX738" i="1"/>
  <c r="CN738" i="1"/>
  <c r="CS738" i="1" s="1"/>
  <c r="BX738" i="1"/>
  <c r="BN738" i="1"/>
  <c r="BO738" i="1" s="1"/>
  <c r="BD738" i="1"/>
  <c r="BC738" i="1"/>
  <c r="BB738" i="1"/>
  <c r="BA738" i="1"/>
  <c r="AZ738" i="1"/>
  <c r="AY738" i="1"/>
  <c r="AX738" i="1"/>
  <c r="U738" i="1"/>
  <c r="M738" i="1"/>
  <c r="EM710" i="1"/>
  <c r="DU710" i="1"/>
  <c r="DT710" i="1"/>
  <c r="DN710" i="1"/>
  <c r="DM710" i="1"/>
  <c r="DL710" i="1"/>
  <c r="DK710" i="1"/>
  <c r="DI710" i="1"/>
  <c r="DJ710" i="1" s="1"/>
  <c r="DC710" i="1"/>
  <c r="CX710" i="1"/>
  <c r="CN710" i="1"/>
  <c r="CS710" i="1" s="1"/>
  <c r="BX710" i="1"/>
  <c r="BN710" i="1"/>
  <c r="BO710" i="1" s="1"/>
  <c r="BD710" i="1"/>
  <c r="BC710" i="1"/>
  <c r="BB710" i="1"/>
  <c r="BA710" i="1"/>
  <c r="AZ710" i="1"/>
  <c r="BF710" i="1" s="1" a="1"/>
  <c r="BF710" i="1" s="1"/>
  <c r="AY710" i="1"/>
  <c r="AX710" i="1"/>
  <c r="U710" i="1"/>
  <c r="M710" i="1"/>
  <c r="EM697" i="1"/>
  <c r="DU697" i="1"/>
  <c r="DT697" i="1"/>
  <c r="DN697" i="1"/>
  <c r="DM697" i="1"/>
  <c r="DL697" i="1"/>
  <c r="DK697" i="1"/>
  <c r="DI697" i="1"/>
  <c r="DJ697" i="1" s="1"/>
  <c r="DC697" i="1"/>
  <c r="CX697" i="1"/>
  <c r="CN697" i="1"/>
  <c r="CP697" i="1" s="1"/>
  <c r="BX697" i="1"/>
  <c r="BN697" i="1"/>
  <c r="BO697" i="1" s="1"/>
  <c r="BD697" i="1"/>
  <c r="BC697" i="1"/>
  <c r="BB697" i="1"/>
  <c r="BA697" i="1"/>
  <c r="AZ697" i="1"/>
  <c r="AY697" i="1"/>
  <c r="AX697" i="1"/>
  <c r="U697" i="1"/>
  <c r="M697" i="1"/>
  <c r="EM555" i="1"/>
  <c r="DU555" i="1"/>
  <c r="DT555" i="1"/>
  <c r="DN555" i="1"/>
  <c r="DM555" i="1"/>
  <c r="DL555" i="1"/>
  <c r="DK555" i="1"/>
  <c r="DI555" i="1"/>
  <c r="DJ555" i="1" s="1"/>
  <c r="DC555" i="1"/>
  <c r="CX555" i="1"/>
  <c r="CN555" i="1"/>
  <c r="CS555" i="1" s="1"/>
  <c r="BX555" i="1"/>
  <c r="BN555" i="1"/>
  <c r="BO555" i="1" s="1"/>
  <c r="BD555" i="1"/>
  <c r="BC555" i="1"/>
  <c r="BB555" i="1"/>
  <c r="BA555" i="1"/>
  <c r="AZ555" i="1"/>
  <c r="AY555" i="1"/>
  <c r="AX555" i="1"/>
  <c r="U555" i="1"/>
  <c r="M555" i="1"/>
  <c r="EM545" i="1"/>
  <c r="DU545" i="1"/>
  <c r="DT545" i="1"/>
  <c r="DN545" i="1"/>
  <c r="DM545" i="1"/>
  <c r="DL545" i="1"/>
  <c r="DK545" i="1"/>
  <c r="DI545" i="1"/>
  <c r="DJ545" i="1" s="1"/>
  <c r="DC545" i="1"/>
  <c r="CX545" i="1"/>
  <c r="CN545" i="1"/>
  <c r="CR545" i="1" s="1"/>
  <c r="BX545" i="1"/>
  <c r="BN545" i="1"/>
  <c r="BO545" i="1" s="1"/>
  <c r="BD545" i="1"/>
  <c r="BC545" i="1"/>
  <c r="BB545" i="1"/>
  <c r="BA545" i="1"/>
  <c r="AZ545" i="1"/>
  <c r="AY545" i="1"/>
  <c r="AX545" i="1"/>
  <c r="U545" i="1"/>
  <c r="M545" i="1"/>
  <c r="EM543" i="1"/>
  <c r="DU543" i="1"/>
  <c r="DT543" i="1"/>
  <c r="DN543" i="1"/>
  <c r="DM543" i="1"/>
  <c r="DL543" i="1"/>
  <c r="DK543" i="1"/>
  <c r="DI543" i="1"/>
  <c r="DJ543" i="1" s="1"/>
  <c r="DC543" i="1"/>
  <c r="CX543" i="1"/>
  <c r="CN543" i="1"/>
  <c r="CO543" i="1" s="1"/>
  <c r="BX543" i="1"/>
  <c r="BN543" i="1"/>
  <c r="BO543" i="1" s="1"/>
  <c r="BD543" i="1"/>
  <c r="BC543" i="1"/>
  <c r="BB543" i="1"/>
  <c r="BA543" i="1"/>
  <c r="AZ543" i="1"/>
  <c r="BF543" i="1" s="1" a="1"/>
  <c r="BF543" i="1" s="1"/>
  <c r="AY543" i="1"/>
  <c r="AX543" i="1"/>
  <c r="U543" i="1"/>
  <c r="M543" i="1"/>
  <c r="EM542" i="1"/>
  <c r="DU542" i="1"/>
  <c r="DT542" i="1"/>
  <c r="DN542" i="1"/>
  <c r="DM542" i="1"/>
  <c r="DL542" i="1"/>
  <c r="DK542" i="1"/>
  <c r="DI542" i="1"/>
  <c r="DJ542" i="1" s="1"/>
  <c r="DC542" i="1"/>
  <c r="CX542" i="1"/>
  <c r="CN542" i="1"/>
  <c r="CS542" i="1" s="1"/>
  <c r="BX542" i="1"/>
  <c r="BN542" i="1"/>
  <c r="BO542" i="1" s="1"/>
  <c r="BD542" i="1"/>
  <c r="BC542" i="1"/>
  <c r="BB542" i="1"/>
  <c r="BA542" i="1"/>
  <c r="AZ542" i="1"/>
  <c r="AY542" i="1"/>
  <c r="AX542" i="1"/>
  <c r="U542" i="1"/>
  <c r="M542" i="1"/>
  <c r="EM532" i="1"/>
  <c r="DU532" i="1"/>
  <c r="DT532" i="1"/>
  <c r="DN532" i="1"/>
  <c r="DM532" i="1"/>
  <c r="DL532" i="1"/>
  <c r="DK532" i="1"/>
  <c r="DI532" i="1"/>
  <c r="DJ532" i="1" s="1"/>
  <c r="DC532" i="1"/>
  <c r="CX532" i="1"/>
  <c r="CN532" i="1"/>
  <c r="CR532" i="1" s="1"/>
  <c r="BX532" i="1"/>
  <c r="BN532" i="1"/>
  <c r="BO532" i="1" s="1"/>
  <c r="BD532" i="1"/>
  <c r="BC532" i="1"/>
  <c r="BB532" i="1"/>
  <c r="BA532" i="1"/>
  <c r="AZ532" i="1"/>
  <c r="AY532" i="1"/>
  <c r="AX532" i="1"/>
  <c r="U532" i="1"/>
  <c r="M532" i="1"/>
  <c r="EM364" i="1"/>
  <c r="DU364" i="1"/>
  <c r="DT364" i="1"/>
  <c r="DN364" i="1"/>
  <c r="DM364" i="1"/>
  <c r="DL364" i="1"/>
  <c r="DK364" i="1"/>
  <c r="DI364" i="1"/>
  <c r="DJ364" i="1" s="1"/>
  <c r="DC364" i="1"/>
  <c r="CX364" i="1"/>
  <c r="CN364" i="1"/>
  <c r="CO364" i="1" s="1"/>
  <c r="BV364" i="1"/>
  <c r="BX364" i="1" s="1"/>
  <c r="BU364" i="1"/>
  <c r="BN364" i="1"/>
  <c r="BO364" i="1" s="1"/>
  <c r="BM364" i="1"/>
  <c r="BD364" i="1"/>
  <c r="BC364" i="1"/>
  <c r="BB364" i="1"/>
  <c r="BA364" i="1"/>
  <c r="AZ364" i="1"/>
  <c r="AY364" i="1"/>
  <c r="AX364" i="1"/>
  <c r="T364" i="1"/>
  <c r="M364" i="1"/>
  <c r="EM362" i="1"/>
  <c r="DU362" i="1"/>
  <c r="DT362" i="1"/>
  <c r="DN362" i="1"/>
  <c r="DM362" i="1"/>
  <c r="DL362" i="1"/>
  <c r="DK362" i="1"/>
  <c r="DI362" i="1"/>
  <c r="DJ362" i="1" s="1"/>
  <c r="DC362" i="1"/>
  <c r="CX362" i="1"/>
  <c r="CN362" i="1"/>
  <c r="CS362" i="1" s="1"/>
  <c r="BV362" i="1"/>
  <c r="BX362" i="1" s="1"/>
  <c r="BU362" i="1"/>
  <c r="BN362" i="1"/>
  <c r="BO362" i="1" s="1"/>
  <c r="BM362" i="1"/>
  <c r="BD362" i="1"/>
  <c r="BC362" i="1"/>
  <c r="BB362" i="1"/>
  <c r="BA362" i="1"/>
  <c r="AZ362" i="1"/>
  <c r="AY362" i="1"/>
  <c r="AX362" i="1"/>
  <c r="T362" i="1"/>
  <c r="M362" i="1"/>
  <c r="EM361" i="1"/>
  <c r="DU361" i="1"/>
  <c r="DT361" i="1"/>
  <c r="DN361" i="1"/>
  <c r="DM361" i="1"/>
  <c r="DL361" i="1"/>
  <c r="DK361" i="1"/>
  <c r="DI361" i="1"/>
  <c r="DJ361" i="1" s="1"/>
  <c r="DC361" i="1"/>
  <c r="CX361" i="1"/>
  <c r="CN361" i="1"/>
  <c r="BV361" i="1"/>
  <c r="BX361" i="1" s="1"/>
  <c r="BU361" i="1"/>
  <c r="BN361" i="1"/>
  <c r="BO361" i="1" s="1"/>
  <c r="BM361" i="1"/>
  <c r="BD361" i="1"/>
  <c r="BC361" i="1"/>
  <c r="BB361" i="1"/>
  <c r="BA361" i="1"/>
  <c r="AZ361" i="1"/>
  <c r="AY361" i="1"/>
  <c r="AX361" i="1"/>
  <c r="T361" i="1"/>
  <c r="M361" i="1"/>
  <c r="EM360" i="1"/>
  <c r="DU360" i="1"/>
  <c r="DT360" i="1"/>
  <c r="DN360" i="1"/>
  <c r="DM360" i="1"/>
  <c r="DL360" i="1"/>
  <c r="DK360" i="1"/>
  <c r="DI360" i="1"/>
  <c r="DJ360" i="1" s="1"/>
  <c r="DC360" i="1"/>
  <c r="CX360" i="1"/>
  <c r="CN360" i="1"/>
  <c r="CS360" i="1" s="1"/>
  <c r="BV360" i="1"/>
  <c r="BX360" i="1" s="1"/>
  <c r="BU360" i="1"/>
  <c r="BN360" i="1"/>
  <c r="BO360" i="1" s="1"/>
  <c r="BM360" i="1"/>
  <c r="BD360" i="1"/>
  <c r="BC360" i="1"/>
  <c r="BB360" i="1"/>
  <c r="BA360" i="1"/>
  <c r="AZ360" i="1"/>
  <c r="AY360" i="1"/>
  <c r="AX360" i="1"/>
  <c r="T360" i="1"/>
  <c r="M360" i="1"/>
  <c r="EM357" i="1"/>
  <c r="DU357" i="1"/>
  <c r="DT357" i="1"/>
  <c r="DN357" i="1"/>
  <c r="DM357" i="1"/>
  <c r="DL357" i="1"/>
  <c r="DK357" i="1"/>
  <c r="DI357" i="1"/>
  <c r="DJ357" i="1" s="1"/>
  <c r="DC357" i="1"/>
  <c r="CX357" i="1"/>
  <c r="CN357" i="1"/>
  <c r="BV357" i="1"/>
  <c r="BX357" i="1" s="1"/>
  <c r="BU357" i="1"/>
  <c r="BN357" i="1"/>
  <c r="BO357" i="1" s="1"/>
  <c r="BM357" i="1"/>
  <c r="BD357" i="1"/>
  <c r="BC357" i="1"/>
  <c r="BB357" i="1"/>
  <c r="BA357" i="1"/>
  <c r="AZ357" i="1"/>
  <c r="BF357" i="1" s="1" a="1"/>
  <c r="BF357" i="1" s="1"/>
  <c r="AY357" i="1"/>
  <c r="AX357" i="1"/>
  <c r="T357" i="1"/>
  <c r="M357" i="1"/>
  <c r="EM351" i="1"/>
  <c r="DU351" i="1"/>
  <c r="DT351" i="1"/>
  <c r="DN351" i="1"/>
  <c r="DM351" i="1"/>
  <c r="DL351" i="1"/>
  <c r="DK351" i="1"/>
  <c r="DI351" i="1"/>
  <c r="DJ351" i="1" s="1"/>
  <c r="DC351" i="1"/>
  <c r="CX351" i="1"/>
  <c r="CN351" i="1"/>
  <c r="CO351" i="1" s="1"/>
  <c r="BV351" i="1"/>
  <c r="BX351" i="1" s="1"/>
  <c r="BU351" i="1"/>
  <c r="BN351" i="1"/>
  <c r="BO351" i="1" s="1"/>
  <c r="BM351" i="1"/>
  <c r="BD351" i="1"/>
  <c r="BC351" i="1"/>
  <c r="BB351" i="1"/>
  <c r="BA351" i="1"/>
  <c r="AZ351" i="1"/>
  <c r="BF351" i="1" s="1" a="1"/>
  <c r="BF351" i="1" s="1"/>
  <c r="AY351" i="1"/>
  <c r="AX351" i="1"/>
  <c r="T351" i="1"/>
  <c r="M351" i="1"/>
  <c r="EM221" i="1"/>
  <c r="DU221" i="1"/>
  <c r="DT221" i="1"/>
  <c r="DN221" i="1"/>
  <c r="DM221" i="1"/>
  <c r="DL221" i="1"/>
  <c r="DK221" i="1"/>
  <c r="DI221" i="1"/>
  <c r="DJ221" i="1" s="1"/>
  <c r="DC221" i="1"/>
  <c r="CX221" i="1"/>
  <c r="BV221" i="1"/>
  <c r="BX221" i="1" s="1"/>
  <c r="BU221" i="1"/>
  <c r="BL221" i="1"/>
  <c r="BO221" i="1" s="1"/>
  <c r="BK221" i="1"/>
  <c r="BD221" i="1"/>
  <c r="BC221" i="1"/>
  <c r="BB221" i="1"/>
  <c r="BA221" i="1"/>
  <c r="AZ221" i="1"/>
  <c r="BF221" i="1" s="1" a="1"/>
  <c r="BF221" i="1" s="1"/>
  <c r="AY221" i="1"/>
  <c r="BE221" i="1" s="1" a="1"/>
  <c r="BE221" i="1" s="1"/>
  <c r="AX221" i="1"/>
  <c r="M221" i="1"/>
  <c r="EM616" i="1"/>
  <c r="DU616" i="1"/>
  <c r="DT616" i="1"/>
  <c r="DN616" i="1"/>
  <c r="DM616" i="1"/>
  <c r="DL616" i="1"/>
  <c r="DK616" i="1"/>
  <c r="DI616" i="1"/>
  <c r="DJ616" i="1" s="1"/>
  <c r="DC616" i="1"/>
  <c r="CX616" i="1"/>
  <c r="BT616" i="1"/>
  <c r="BS616" i="1"/>
  <c r="BL616" i="1"/>
  <c r="BK616" i="1"/>
  <c r="BD616" i="1"/>
  <c r="BC616" i="1"/>
  <c r="BB616" i="1"/>
  <c r="BA616" i="1"/>
  <c r="AZ616" i="1"/>
  <c r="AY616" i="1"/>
  <c r="BE616" i="1" s="1" a="1"/>
  <c r="BE616" i="1" s="1"/>
  <c r="AX616" i="1"/>
  <c r="M616" i="1"/>
  <c r="EM664" i="1"/>
  <c r="DU664" i="1"/>
  <c r="DT664" i="1"/>
  <c r="DN664" i="1"/>
  <c r="DM664" i="1"/>
  <c r="DL664" i="1"/>
  <c r="DK664" i="1"/>
  <c r="DI664" i="1"/>
  <c r="DJ664" i="1" s="1"/>
  <c r="DC664" i="1"/>
  <c r="CX664" i="1"/>
  <c r="BV664" i="1"/>
  <c r="BX664" i="1" s="1"/>
  <c r="BU664" i="1"/>
  <c r="BL664" i="1"/>
  <c r="BK664" i="1"/>
  <c r="BD664" i="1"/>
  <c r="BC664" i="1"/>
  <c r="BB664" i="1"/>
  <c r="BA664" i="1"/>
  <c r="AZ664" i="1"/>
  <c r="BF664" i="1" s="1" a="1"/>
  <c r="BF664" i="1" s="1"/>
  <c r="AY664" i="1"/>
  <c r="BE664" i="1" s="1" a="1"/>
  <c r="BE664" i="1" s="1"/>
  <c r="AX664" i="1"/>
  <c r="M664" i="1"/>
  <c r="EM763" i="1"/>
  <c r="DU763" i="1"/>
  <c r="DT763" i="1"/>
  <c r="DN763" i="1"/>
  <c r="DM763" i="1"/>
  <c r="DL763" i="1"/>
  <c r="DK763" i="1"/>
  <c r="DI763" i="1"/>
  <c r="DJ763" i="1" s="1"/>
  <c r="DC763" i="1"/>
  <c r="CX763" i="1"/>
  <c r="BV763" i="1"/>
  <c r="BX763" i="1" s="1"/>
  <c r="BU763" i="1"/>
  <c r="BL763" i="1"/>
  <c r="CN763" i="1" s="1"/>
  <c r="BK763" i="1"/>
  <c r="BD763" i="1"/>
  <c r="BC763" i="1"/>
  <c r="BB763" i="1"/>
  <c r="BA763" i="1"/>
  <c r="AZ763" i="1"/>
  <c r="AY763" i="1"/>
  <c r="BE763" i="1" s="1" a="1"/>
  <c r="BE763" i="1" s="1"/>
  <c r="AX763" i="1"/>
  <c r="M763" i="1"/>
  <c r="EM775" i="1"/>
  <c r="DU775" i="1"/>
  <c r="DT775" i="1"/>
  <c r="DN775" i="1"/>
  <c r="DM775" i="1"/>
  <c r="DL775" i="1"/>
  <c r="DK775" i="1"/>
  <c r="DI775" i="1"/>
  <c r="DJ775" i="1" s="1"/>
  <c r="DC775" i="1"/>
  <c r="CX775" i="1"/>
  <c r="BV775" i="1"/>
  <c r="BX775" i="1" s="1"/>
  <c r="BU775" i="1"/>
  <c r="BL775" i="1"/>
  <c r="BK775" i="1"/>
  <c r="BD775" i="1"/>
  <c r="BC775" i="1"/>
  <c r="BB775" i="1"/>
  <c r="BA775" i="1"/>
  <c r="AZ775" i="1"/>
  <c r="BF775" i="1" s="1" a="1"/>
  <c r="BF775" i="1" s="1"/>
  <c r="AY775" i="1"/>
  <c r="BE775" i="1" s="1" a="1"/>
  <c r="BE775" i="1" s="1"/>
  <c r="AX775" i="1"/>
  <c r="M775" i="1"/>
  <c r="EM817" i="1"/>
  <c r="DU817" i="1"/>
  <c r="DT817" i="1"/>
  <c r="DN817" i="1"/>
  <c r="DM817" i="1"/>
  <c r="DL817" i="1"/>
  <c r="DK817" i="1"/>
  <c r="DI817" i="1"/>
  <c r="DJ817" i="1" s="1"/>
  <c r="DC817" i="1"/>
  <c r="CX817" i="1"/>
  <c r="BT817" i="1"/>
  <c r="BS817" i="1"/>
  <c r="BL817" i="1"/>
  <c r="BK817" i="1"/>
  <c r="BD817" i="1"/>
  <c r="BC817" i="1"/>
  <c r="BB817" i="1"/>
  <c r="BA817" i="1"/>
  <c r="AZ817" i="1"/>
  <c r="AY817" i="1"/>
  <c r="BE817" i="1" s="1" a="1"/>
  <c r="BE817" i="1" s="1"/>
  <c r="AX817" i="1"/>
  <c r="M817" i="1"/>
  <c r="EM1200" i="1"/>
  <c r="DU1200" i="1"/>
  <c r="DT1200" i="1"/>
  <c r="DN1200" i="1"/>
  <c r="DM1200" i="1"/>
  <c r="DL1200" i="1"/>
  <c r="DK1200" i="1"/>
  <c r="DI1200" i="1"/>
  <c r="DJ1200" i="1" s="1"/>
  <c r="DC1200" i="1"/>
  <c r="CX1200" i="1"/>
  <c r="BT1200" i="1"/>
  <c r="BS1200" i="1"/>
  <c r="BL1200" i="1"/>
  <c r="BK1200" i="1"/>
  <c r="BD1200" i="1"/>
  <c r="BC1200" i="1"/>
  <c r="BB1200" i="1"/>
  <c r="BA1200" i="1"/>
  <c r="AZ1200" i="1"/>
  <c r="BF1200" i="1" s="1" a="1"/>
  <c r="BF1200" i="1" s="1"/>
  <c r="AY1200" i="1"/>
  <c r="BE1200" i="1" s="1" a="1"/>
  <c r="BE1200" i="1" s="1"/>
  <c r="AX1200" i="1"/>
  <c r="M1200" i="1"/>
  <c r="EM1199" i="1"/>
  <c r="DU1199" i="1"/>
  <c r="DT1199" i="1"/>
  <c r="DN1199" i="1"/>
  <c r="DM1199" i="1"/>
  <c r="DL1199" i="1"/>
  <c r="DK1199" i="1"/>
  <c r="DI1199" i="1"/>
  <c r="DJ1199" i="1" s="1"/>
  <c r="DC1199" i="1"/>
  <c r="CX1199" i="1"/>
  <c r="BT1199" i="1"/>
  <c r="BS1199" i="1"/>
  <c r="BU1199" i="1" s="1"/>
  <c r="BL1199" i="1"/>
  <c r="BK1199" i="1"/>
  <c r="BD1199" i="1"/>
  <c r="BC1199" i="1"/>
  <c r="BB1199" i="1"/>
  <c r="BA1199" i="1"/>
  <c r="AZ1199" i="1"/>
  <c r="AY1199" i="1"/>
  <c r="BE1199" i="1" s="1" a="1"/>
  <c r="BE1199" i="1" s="1"/>
  <c r="AX1199" i="1"/>
  <c r="M1199" i="1"/>
  <c r="EM1198" i="1"/>
  <c r="DU1198" i="1"/>
  <c r="DT1198" i="1"/>
  <c r="DN1198" i="1"/>
  <c r="DM1198" i="1"/>
  <c r="DL1198" i="1"/>
  <c r="DK1198" i="1"/>
  <c r="DI1198" i="1"/>
  <c r="DJ1198" i="1" s="1"/>
  <c r="DC1198" i="1"/>
  <c r="CX1198" i="1"/>
  <c r="BU1198" i="1"/>
  <c r="BT1198" i="1"/>
  <c r="BV1198" i="1" s="1"/>
  <c r="BX1198" i="1" s="1"/>
  <c r="BL1198" i="1"/>
  <c r="BO1198" i="1" s="1"/>
  <c r="BK1198" i="1"/>
  <c r="BD1198" i="1"/>
  <c r="BC1198" i="1"/>
  <c r="BB1198" i="1"/>
  <c r="BA1198" i="1"/>
  <c r="AZ1198" i="1"/>
  <c r="BF1198" i="1" s="1" a="1"/>
  <c r="BF1198" i="1" s="1"/>
  <c r="AY1198" i="1"/>
  <c r="BE1198" i="1" s="1" a="1"/>
  <c r="BE1198" i="1" s="1"/>
  <c r="AX1198" i="1"/>
  <c r="M1198" i="1"/>
  <c r="EM554" i="1"/>
  <c r="DU554" i="1"/>
  <c r="DT554" i="1"/>
  <c r="DN554" i="1"/>
  <c r="DM554" i="1"/>
  <c r="DL554" i="1"/>
  <c r="DK554" i="1"/>
  <c r="DI554" i="1"/>
  <c r="DJ554" i="1" s="1"/>
  <c r="DC554" i="1"/>
  <c r="CX554" i="1"/>
  <c r="CN554" i="1"/>
  <c r="CS554" i="1" s="1"/>
  <c r="BV554" i="1"/>
  <c r="BX554" i="1" s="1"/>
  <c r="BU554" i="1"/>
  <c r="BN554" i="1"/>
  <c r="BO554" i="1" s="1"/>
  <c r="BD554" i="1"/>
  <c r="BC554" i="1"/>
  <c r="BB554" i="1"/>
  <c r="BA554" i="1"/>
  <c r="AZ554" i="1"/>
  <c r="AY554" i="1"/>
  <c r="AX554" i="1"/>
  <c r="M554" i="1"/>
  <c r="EM550" i="1"/>
  <c r="DU550" i="1"/>
  <c r="DT550" i="1"/>
  <c r="DN550" i="1"/>
  <c r="DM550" i="1"/>
  <c r="DL550" i="1"/>
  <c r="DK550" i="1"/>
  <c r="DI550" i="1"/>
  <c r="DJ550" i="1" s="1"/>
  <c r="DC550" i="1"/>
  <c r="CX550" i="1"/>
  <c r="CN550" i="1"/>
  <c r="CO550" i="1" s="1"/>
  <c r="BV550" i="1"/>
  <c r="BX550" i="1" s="1"/>
  <c r="BU550" i="1"/>
  <c r="BN550" i="1"/>
  <c r="BO550" i="1" s="1"/>
  <c r="BD550" i="1"/>
  <c r="BC550" i="1"/>
  <c r="BB550" i="1"/>
  <c r="BA550" i="1"/>
  <c r="AZ550" i="1"/>
  <c r="BF550" i="1" s="1" a="1"/>
  <c r="BF550" i="1" s="1"/>
  <c r="AY550" i="1"/>
  <c r="AX550" i="1"/>
  <c r="M550" i="1"/>
  <c r="EM926" i="1"/>
  <c r="DU926" i="1"/>
  <c r="DT926" i="1"/>
  <c r="DN926" i="1"/>
  <c r="DM926" i="1"/>
  <c r="DL926" i="1"/>
  <c r="DK926" i="1"/>
  <c r="DI926" i="1"/>
  <c r="DJ926" i="1" s="1"/>
  <c r="DC926" i="1"/>
  <c r="CX926" i="1"/>
  <c r="CN926" i="1"/>
  <c r="CP926" i="1" s="1"/>
  <c r="BV926" i="1"/>
  <c r="BX926" i="1" s="1"/>
  <c r="BN926" i="1"/>
  <c r="BO926" i="1" s="1"/>
  <c r="BM926" i="1"/>
  <c r="BD926" i="1"/>
  <c r="BC926" i="1"/>
  <c r="BB926" i="1"/>
  <c r="BA926" i="1"/>
  <c r="AZ926" i="1"/>
  <c r="AY926" i="1"/>
  <c r="BE926" i="1" s="1" a="1"/>
  <c r="BE926" i="1" s="1"/>
  <c r="AX926" i="1"/>
  <c r="M926" i="1"/>
  <c r="EM808" i="1"/>
  <c r="DU808" i="1"/>
  <c r="DT808" i="1"/>
  <c r="DN808" i="1"/>
  <c r="DM808" i="1"/>
  <c r="DL808" i="1"/>
  <c r="DK808" i="1"/>
  <c r="DI808" i="1"/>
  <c r="DJ808" i="1" s="1"/>
  <c r="DC808" i="1"/>
  <c r="CX808" i="1"/>
  <c r="CN808" i="1"/>
  <c r="BV808" i="1"/>
  <c r="BX808" i="1" s="1"/>
  <c r="BN808" i="1"/>
  <c r="BO808" i="1" s="1"/>
  <c r="BM808" i="1"/>
  <c r="BD808" i="1"/>
  <c r="BC808" i="1"/>
  <c r="BB808" i="1"/>
  <c r="BA808" i="1"/>
  <c r="AZ808" i="1"/>
  <c r="BF808" i="1" s="1" a="1"/>
  <c r="BF808" i="1" s="1"/>
  <c r="AY808" i="1"/>
  <c r="BE808" i="1" s="1" a="1"/>
  <c r="BE808" i="1" s="1"/>
  <c r="AX808" i="1"/>
  <c r="M808" i="1"/>
  <c r="EM769" i="1"/>
  <c r="DU769" i="1"/>
  <c r="DT769" i="1"/>
  <c r="DN769" i="1"/>
  <c r="DM769" i="1"/>
  <c r="DL769" i="1"/>
  <c r="DK769" i="1"/>
  <c r="DI769" i="1"/>
  <c r="DJ769" i="1" s="1"/>
  <c r="DC769" i="1"/>
  <c r="CX769" i="1"/>
  <c r="CN769" i="1"/>
  <c r="CO769" i="1" s="1"/>
  <c r="BV769" i="1"/>
  <c r="BX769" i="1" s="1"/>
  <c r="BN769" i="1"/>
  <c r="BO769" i="1" s="1"/>
  <c r="BM769" i="1"/>
  <c r="BD769" i="1"/>
  <c r="BC769" i="1"/>
  <c r="BB769" i="1"/>
  <c r="BA769" i="1"/>
  <c r="AZ769" i="1"/>
  <c r="AY769" i="1"/>
  <c r="BE769" i="1" s="1" a="1"/>
  <c r="BE769" i="1" s="1"/>
  <c r="AX769" i="1"/>
  <c r="M769" i="1"/>
  <c r="EM760" i="1"/>
  <c r="DU760" i="1"/>
  <c r="DT760" i="1"/>
  <c r="DN760" i="1"/>
  <c r="DM760" i="1"/>
  <c r="DL760" i="1"/>
  <c r="DK760" i="1"/>
  <c r="DI760" i="1"/>
  <c r="DJ760" i="1" s="1"/>
  <c r="DC760" i="1"/>
  <c r="CX760" i="1"/>
  <c r="CN760" i="1"/>
  <c r="CS760" i="1" s="1"/>
  <c r="BV760" i="1"/>
  <c r="BX760" i="1" s="1"/>
  <c r="BN760" i="1"/>
  <c r="BO760" i="1" s="1"/>
  <c r="BM760" i="1"/>
  <c r="BD760" i="1"/>
  <c r="BC760" i="1"/>
  <c r="BB760" i="1"/>
  <c r="BA760" i="1"/>
  <c r="AZ760" i="1"/>
  <c r="BF760" i="1" s="1" a="1"/>
  <c r="BF760" i="1" s="1"/>
  <c r="AY760" i="1"/>
  <c r="BE760" i="1" s="1" a="1"/>
  <c r="BE760" i="1" s="1"/>
  <c r="AX760" i="1"/>
  <c r="M760" i="1"/>
  <c r="EM749" i="1"/>
  <c r="DU749" i="1"/>
  <c r="DT749" i="1"/>
  <c r="DN749" i="1"/>
  <c r="DM749" i="1"/>
  <c r="DL749" i="1"/>
  <c r="DK749" i="1"/>
  <c r="DI749" i="1"/>
  <c r="DJ749" i="1" s="1"/>
  <c r="DC749" i="1"/>
  <c r="CX749" i="1"/>
  <c r="CN749" i="1"/>
  <c r="BV749" i="1"/>
  <c r="BX749" i="1" s="1"/>
  <c r="BN749" i="1"/>
  <c r="BO749" i="1" s="1"/>
  <c r="BM749" i="1"/>
  <c r="BD749" i="1"/>
  <c r="BC749" i="1"/>
  <c r="BB749" i="1"/>
  <c r="BA749" i="1"/>
  <c r="AZ749" i="1"/>
  <c r="AY749" i="1"/>
  <c r="BE749" i="1" s="1" a="1"/>
  <c r="BE749" i="1" s="1"/>
  <c r="AX749" i="1"/>
  <c r="M749" i="1"/>
  <c r="EM726" i="1"/>
  <c r="DU726" i="1"/>
  <c r="DT726" i="1"/>
  <c r="DN726" i="1"/>
  <c r="DM726" i="1"/>
  <c r="DL726" i="1"/>
  <c r="DK726" i="1"/>
  <c r="DI726" i="1"/>
  <c r="DJ726" i="1" s="1"/>
  <c r="DC726" i="1"/>
  <c r="CX726" i="1"/>
  <c r="CN726" i="1"/>
  <c r="CP726" i="1" s="1"/>
  <c r="BV726" i="1"/>
  <c r="BX726" i="1" s="1"/>
  <c r="BN726" i="1"/>
  <c r="BO726" i="1" s="1"/>
  <c r="BM726" i="1"/>
  <c r="BD726" i="1"/>
  <c r="BC726" i="1"/>
  <c r="BB726" i="1"/>
  <c r="BA726" i="1"/>
  <c r="AZ726" i="1"/>
  <c r="BF726" i="1" s="1" a="1"/>
  <c r="BF726" i="1" s="1"/>
  <c r="AY726" i="1"/>
  <c r="BE726" i="1" s="1" a="1"/>
  <c r="BE726" i="1" s="1"/>
  <c r="AX726" i="1"/>
  <c r="M726" i="1"/>
  <c r="EM875" i="1"/>
  <c r="DU875" i="1"/>
  <c r="DT875" i="1"/>
  <c r="DN875" i="1"/>
  <c r="DM875" i="1"/>
  <c r="DL875" i="1"/>
  <c r="DK875" i="1"/>
  <c r="DI875" i="1"/>
  <c r="DJ875" i="1" s="1"/>
  <c r="DC875" i="1"/>
  <c r="CX875" i="1"/>
  <c r="CN875" i="1"/>
  <c r="CS875" i="1" s="1"/>
  <c r="BV875" i="1"/>
  <c r="BX875" i="1" s="1"/>
  <c r="BN875" i="1"/>
  <c r="BO875" i="1" s="1"/>
  <c r="BM875" i="1"/>
  <c r="BD875" i="1"/>
  <c r="BC875" i="1"/>
  <c r="BB875" i="1"/>
  <c r="BA875" i="1"/>
  <c r="AZ875" i="1"/>
  <c r="AY875" i="1"/>
  <c r="BE875" i="1" s="1" a="1"/>
  <c r="BE875" i="1" s="1"/>
  <c r="AX875" i="1"/>
  <c r="M875" i="1"/>
  <c r="EM886" i="1"/>
  <c r="DU886" i="1"/>
  <c r="DT886" i="1"/>
  <c r="DN886" i="1"/>
  <c r="DM886" i="1"/>
  <c r="DL886" i="1"/>
  <c r="DK886" i="1"/>
  <c r="DI886" i="1"/>
  <c r="DJ886" i="1" s="1"/>
  <c r="DC886" i="1"/>
  <c r="CX886" i="1"/>
  <c r="CN886" i="1"/>
  <c r="BV886" i="1"/>
  <c r="BX886" i="1" s="1"/>
  <c r="BN886" i="1"/>
  <c r="BO886" i="1" s="1"/>
  <c r="BM886" i="1"/>
  <c r="BD886" i="1"/>
  <c r="BC886" i="1"/>
  <c r="BB886" i="1"/>
  <c r="BA886" i="1"/>
  <c r="AZ886" i="1"/>
  <c r="BF886" i="1" s="1" a="1"/>
  <c r="BF886" i="1" s="1"/>
  <c r="AY886" i="1"/>
  <c r="BE886" i="1" s="1" a="1"/>
  <c r="BE886" i="1" s="1"/>
  <c r="AX886" i="1"/>
  <c r="M886" i="1"/>
  <c r="EM981" i="1"/>
  <c r="DU981" i="1"/>
  <c r="DT981" i="1"/>
  <c r="DN981" i="1"/>
  <c r="DM981" i="1"/>
  <c r="DL981" i="1"/>
  <c r="DK981" i="1"/>
  <c r="DI981" i="1"/>
  <c r="DJ981" i="1" s="1"/>
  <c r="DC981" i="1"/>
  <c r="CX981" i="1"/>
  <c r="CN981" i="1"/>
  <c r="BV981" i="1"/>
  <c r="BX981" i="1" s="1"/>
  <c r="BN981" i="1"/>
  <c r="BO981" i="1" s="1"/>
  <c r="BM981" i="1"/>
  <c r="BD981" i="1"/>
  <c r="BC981" i="1"/>
  <c r="BB981" i="1"/>
  <c r="BA981" i="1"/>
  <c r="AZ981" i="1"/>
  <c r="AY981" i="1"/>
  <c r="BE981" i="1" s="1" a="1"/>
  <c r="BE981" i="1" s="1"/>
  <c r="AX981" i="1"/>
  <c r="M981" i="1"/>
  <c r="EM813" i="1"/>
  <c r="DU813" i="1"/>
  <c r="DT813" i="1"/>
  <c r="DN813" i="1"/>
  <c r="DM813" i="1"/>
  <c r="DL813" i="1"/>
  <c r="DK813" i="1"/>
  <c r="DI813" i="1"/>
  <c r="DJ813" i="1" s="1"/>
  <c r="DC813" i="1"/>
  <c r="CX813" i="1"/>
  <c r="CN813" i="1"/>
  <c r="BV813" i="1"/>
  <c r="BX813" i="1" s="1"/>
  <c r="BN813" i="1"/>
  <c r="BO813" i="1" s="1"/>
  <c r="BM813" i="1"/>
  <c r="BD813" i="1"/>
  <c r="BC813" i="1"/>
  <c r="BB813" i="1"/>
  <c r="BA813" i="1"/>
  <c r="AZ813" i="1"/>
  <c r="BF813" i="1" s="1" a="1"/>
  <c r="BF813" i="1" s="1"/>
  <c r="AY813" i="1"/>
  <c r="BE813" i="1" s="1" a="1"/>
  <c r="BE813" i="1" s="1"/>
  <c r="AX813" i="1"/>
  <c r="M813" i="1"/>
  <c r="EM116" i="1"/>
  <c r="DU116" i="1"/>
  <c r="DT116" i="1"/>
  <c r="DN116" i="1"/>
  <c r="DM116" i="1"/>
  <c r="DL116" i="1"/>
  <c r="DK116" i="1"/>
  <c r="DI116" i="1"/>
  <c r="DJ116" i="1" s="1"/>
  <c r="DC116" i="1"/>
  <c r="CX116" i="1"/>
  <c r="CN116" i="1"/>
  <c r="CP116" i="1" s="1"/>
  <c r="BV116" i="1"/>
  <c r="BX116" i="1" s="1"/>
  <c r="BN116" i="1"/>
  <c r="BO116" i="1" s="1"/>
  <c r="BM116" i="1"/>
  <c r="BD116" i="1"/>
  <c r="BC116" i="1"/>
  <c r="BB116" i="1"/>
  <c r="BA116" i="1"/>
  <c r="AZ116" i="1"/>
  <c r="AY116" i="1"/>
  <c r="BE116" i="1" s="1" a="1"/>
  <c r="BE116" i="1" s="1"/>
  <c r="AX116" i="1"/>
  <c r="M116" i="1"/>
  <c r="EM58" i="1"/>
  <c r="DU58" i="1"/>
  <c r="DT58" i="1"/>
  <c r="DN58" i="1"/>
  <c r="DM58" i="1"/>
  <c r="DL58" i="1"/>
  <c r="DK58" i="1"/>
  <c r="DI58" i="1"/>
  <c r="DJ58" i="1" s="1"/>
  <c r="DC58" i="1"/>
  <c r="CX58" i="1"/>
  <c r="CN58" i="1"/>
  <c r="BV58" i="1"/>
  <c r="BX58" i="1" s="1"/>
  <c r="BN58" i="1"/>
  <c r="BO58" i="1" s="1"/>
  <c r="BM58" i="1"/>
  <c r="BD58" i="1"/>
  <c r="BC58" i="1"/>
  <c r="BB58" i="1"/>
  <c r="BA58" i="1"/>
  <c r="AZ58" i="1"/>
  <c r="BF58" i="1" s="1" a="1"/>
  <c r="BF58" i="1" s="1"/>
  <c r="AY58" i="1"/>
  <c r="BE58" i="1" s="1" a="1"/>
  <c r="BE58" i="1" s="1"/>
  <c r="AX58" i="1"/>
  <c r="M58" i="1"/>
  <c r="EM32" i="1"/>
  <c r="DU32" i="1"/>
  <c r="DT32" i="1"/>
  <c r="DN32" i="1"/>
  <c r="DM32" i="1"/>
  <c r="DL32" i="1"/>
  <c r="DK32" i="1"/>
  <c r="DI32" i="1"/>
  <c r="DJ32" i="1" s="1"/>
  <c r="DC32" i="1"/>
  <c r="CX32" i="1"/>
  <c r="CN32" i="1"/>
  <c r="CR32" i="1" s="1"/>
  <c r="BV32" i="1"/>
  <c r="BX32" i="1" s="1"/>
  <c r="BN32" i="1"/>
  <c r="BO32" i="1" s="1"/>
  <c r="BM32" i="1"/>
  <c r="BD32" i="1"/>
  <c r="BC32" i="1"/>
  <c r="BB32" i="1"/>
  <c r="BA32" i="1"/>
  <c r="AZ32" i="1"/>
  <c r="AY32" i="1"/>
  <c r="BE32" i="1" s="1" a="1"/>
  <c r="BE32" i="1" s="1"/>
  <c r="AX32" i="1"/>
  <c r="M32" i="1"/>
  <c r="EM1197" i="1"/>
  <c r="DU1197" i="1"/>
  <c r="DT1197" i="1"/>
  <c r="DN1197" i="1"/>
  <c r="DM1197" i="1"/>
  <c r="DL1197" i="1"/>
  <c r="DK1197" i="1"/>
  <c r="DI1197" i="1"/>
  <c r="DJ1197" i="1" s="1"/>
  <c r="DC1197" i="1"/>
  <c r="CX1197" i="1"/>
  <c r="CN1197" i="1"/>
  <c r="BX1197" i="1"/>
  <c r="BY1197" i="1" s="1"/>
  <c r="BD1197" i="1"/>
  <c r="BC1197" i="1"/>
  <c r="BB1197" i="1"/>
  <c r="BA1197" i="1"/>
  <c r="AZ1197" i="1"/>
  <c r="AY1197" i="1"/>
  <c r="BE1197" i="1" s="1" a="1"/>
  <c r="BE1197" i="1" s="1"/>
  <c r="AX1197" i="1"/>
  <c r="M1197" i="1"/>
  <c r="EM1196" i="1"/>
  <c r="DU1196" i="1"/>
  <c r="DT1196" i="1"/>
  <c r="DN1196" i="1"/>
  <c r="DM1196" i="1"/>
  <c r="DL1196" i="1"/>
  <c r="DK1196" i="1"/>
  <c r="DI1196" i="1"/>
  <c r="DJ1196" i="1" s="1"/>
  <c r="DC1196" i="1"/>
  <c r="CX1196" i="1"/>
  <c r="CN1196" i="1"/>
  <c r="BX1196" i="1"/>
  <c r="BY1196" i="1" s="1"/>
  <c r="BD1196" i="1"/>
  <c r="BC1196" i="1"/>
  <c r="BB1196" i="1"/>
  <c r="BA1196" i="1"/>
  <c r="AZ1196" i="1"/>
  <c r="AY1196" i="1"/>
  <c r="BE1196" i="1" s="1" a="1"/>
  <c r="BE1196" i="1" s="1"/>
  <c r="AX1196" i="1"/>
  <c r="M1196" i="1"/>
  <c r="EM1195" i="1"/>
  <c r="DU1195" i="1"/>
  <c r="DT1195" i="1"/>
  <c r="DN1195" i="1"/>
  <c r="DM1195" i="1"/>
  <c r="DL1195" i="1"/>
  <c r="DK1195" i="1"/>
  <c r="DI1195" i="1"/>
  <c r="DJ1195" i="1" s="1"/>
  <c r="DC1195" i="1"/>
  <c r="CX1195" i="1"/>
  <c r="CN1195" i="1"/>
  <c r="CS1195" i="1" s="1"/>
  <c r="BX1195" i="1"/>
  <c r="BD1195" i="1"/>
  <c r="BC1195" i="1"/>
  <c r="BB1195" i="1"/>
  <c r="BA1195" i="1"/>
  <c r="AZ1195" i="1"/>
  <c r="AY1195" i="1"/>
  <c r="BE1195" i="1" s="1" a="1"/>
  <c r="BE1195" i="1" s="1"/>
  <c r="AX1195" i="1"/>
  <c r="M1195" i="1"/>
  <c r="EM1194" i="1"/>
  <c r="DU1194" i="1"/>
  <c r="DT1194" i="1"/>
  <c r="DN1194" i="1"/>
  <c r="DM1194" i="1"/>
  <c r="DL1194" i="1"/>
  <c r="DK1194" i="1"/>
  <c r="DI1194" i="1"/>
  <c r="DJ1194" i="1" s="1"/>
  <c r="DC1194" i="1"/>
  <c r="CX1194" i="1"/>
  <c r="CN1194" i="1"/>
  <c r="CR1194" i="1" s="1"/>
  <c r="BX1194" i="1"/>
  <c r="BD1194" i="1"/>
  <c r="BC1194" i="1"/>
  <c r="BB1194" i="1"/>
  <c r="BA1194" i="1"/>
  <c r="AZ1194" i="1"/>
  <c r="AY1194" i="1"/>
  <c r="BE1194" i="1" s="1" a="1"/>
  <c r="BE1194" i="1" s="1"/>
  <c r="AX1194" i="1"/>
  <c r="M1194" i="1"/>
  <c r="EM1193" i="1"/>
  <c r="DU1193" i="1"/>
  <c r="DT1193" i="1"/>
  <c r="DN1193" i="1"/>
  <c r="DM1193" i="1"/>
  <c r="DL1193" i="1"/>
  <c r="DK1193" i="1"/>
  <c r="DI1193" i="1"/>
  <c r="DJ1193" i="1" s="1"/>
  <c r="DC1193" i="1"/>
  <c r="CX1193" i="1"/>
  <c r="CN1193" i="1"/>
  <c r="CS1193" i="1" s="1"/>
  <c r="BX1193" i="1"/>
  <c r="BY1193" i="1" s="1"/>
  <c r="BD1193" i="1"/>
  <c r="BC1193" i="1"/>
  <c r="BB1193" i="1"/>
  <c r="BA1193" i="1"/>
  <c r="AZ1193" i="1"/>
  <c r="AY1193" i="1"/>
  <c r="BE1193" i="1" s="1" a="1"/>
  <c r="BE1193" i="1" s="1"/>
  <c r="AX1193" i="1"/>
  <c r="M1193" i="1"/>
  <c r="EM1192" i="1"/>
  <c r="DU1192" i="1"/>
  <c r="DT1192" i="1"/>
  <c r="DN1192" i="1"/>
  <c r="DM1192" i="1"/>
  <c r="DL1192" i="1"/>
  <c r="DK1192" i="1"/>
  <c r="DI1192" i="1"/>
  <c r="DJ1192" i="1" s="1"/>
  <c r="DC1192" i="1"/>
  <c r="CX1192" i="1"/>
  <c r="CN1192" i="1"/>
  <c r="CS1192" i="1" s="1"/>
  <c r="BX1192" i="1"/>
  <c r="BY1192" i="1" s="1"/>
  <c r="BD1192" i="1"/>
  <c r="BC1192" i="1"/>
  <c r="BB1192" i="1"/>
  <c r="BA1192" i="1"/>
  <c r="AZ1192" i="1"/>
  <c r="AY1192" i="1"/>
  <c r="BE1192" i="1" s="1" a="1"/>
  <c r="BE1192" i="1" s="1"/>
  <c r="AX1192" i="1"/>
  <c r="M1192" i="1"/>
  <c r="EM1191" i="1"/>
  <c r="DU1191" i="1"/>
  <c r="DT1191" i="1"/>
  <c r="DN1191" i="1"/>
  <c r="DM1191" i="1"/>
  <c r="DL1191" i="1"/>
  <c r="DK1191" i="1"/>
  <c r="DI1191" i="1"/>
  <c r="DJ1191" i="1" s="1"/>
  <c r="DC1191" i="1"/>
  <c r="CX1191" i="1"/>
  <c r="CN1191" i="1"/>
  <c r="CS1191" i="1" s="1"/>
  <c r="BX1191" i="1"/>
  <c r="BD1191" i="1"/>
  <c r="BC1191" i="1"/>
  <c r="BB1191" i="1"/>
  <c r="BA1191" i="1"/>
  <c r="AZ1191" i="1"/>
  <c r="AY1191" i="1"/>
  <c r="BE1191" i="1" s="1" a="1"/>
  <c r="BE1191" i="1" s="1"/>
  <c r="AX1191" i="1"/>
  <c r="M1191" i="1"/>
  <c r="EM1190" i="1"/>
  <c r="DU1190" i="1"/>
  <c r="DT1190" i="1"/>
  <c r="DN1190" i="1"/>
  <c r="DM1190" i="1"/>
  <c r="DL1190" i="1"/>
  <c r="DK1190" i="1"/>
  <c r="DI1190" i="1"/>
  <c r="DJ1190" i="1" s="1"/>
  <c r="DC1190" i="1"/>
  <c r="CX1190" i="1"/>
  <c r="CN1190" i="1"/>
  <c r="CR1190" i="1" s="1"/>
  <c r="BX1190" i="1"/>
  <c r="BD1190" i="1"/>
  <c r="BC1190" i="1"/>
  <c r="BB1190" i="1"/>
  <c r="BA1190" i="1"/>
  <c r="AZ1190" i="1"/>
  <c r="AY1190" i="1"/>
  <c r="BE1190" i="1" s="1" a="1"/>
  <c r="BE1190" i="1" s="1"/>
  <c r="AX1190" i="1"/>
  <c r="M1190" i="1"/>
  <c r="EM1189" i="1"/>
  <c r="DU1189" i="1"/>
  <c r="DT1189" i="1"/>
  <c r="DN1189" i="1"/>
  <c r="DM1189" i="1"/>
  <c r="DL1189" i="1"/>
  <c r="DK1189" i="1"/>
  <c r="DI1189" i="1"/>
  <c r="DJ1189" i="1" s="1"/>
  <c r="DC1189" i="1"/>
  <c r="CX1189" i="1"/>
  <c r="CN1189" i="1"/>
  <c r="CS1189" i="1" s="1"/>
  <c r="BX1189" i="1"/>
  <c r="BY1189" i="1" s="1"/>
  <c r="BD1189" i="1"/>
  <c r="BC1189" i="1"/>
  <c r="BB1189" i="1"/>
  <c r="BA1189" i="1"/>
  <c r="AZ1189" i="1"/>
  <c r="AY1189" i="1"/>
  <c r="BE1189" i="1" s="1" a="1"/>
  <c r="BE1189" i="1" s="1"/>
  <c r="AX1189" i="1"/>
  <c r="M1189" i="1"/>
  <c r="EM1188" i="1"/>
  <c r="DU1188" i="1"/>
  <c r="DT1188" i="1"/>
  <c r="DN1188" i="1"/>
  <c r="DM1188" i="1"/>
  <c r="DL1188" i="1"/>
  <c r="DK1188" i="1"/>
  <c r="DI1188" i="1"/>
  <c r="DJ1188" i="1" s="1"/>
  <c r="DC1188" i="1"/>
  <c r="CX1188" i="1"/>
  <c r="CN1188" i="1"/>
  <c r="CS1188" i="1" s="1"/>
  <c r="BX1188" i="1"/>
  <c r="BY1188" i="1" s="1"/>
  <c r="BD1188" i="1"/>
  <c r="BC1188" i="1"/>
  <c r="BB1188" i="1"/>
  <c r="BA1188" i="1"/>
  <c r="AZ1188" i="1"/>
  <c r="AY1188" i="1"/>
  <c r="BE1188" i="1" s="1" a="1"/>
  <c r="BE1188" i="1" s="1"/>
  <c r="AX1188" i="1"/>
  <c r="M1188" i="1"/>
  <c r="EM1187" i="1"/>
  <c r="DU1187" i="1"/>
  <c r="DT1187" i="1"/>
  <c r="DN1187" i="1"/>
  <c r="DM1187" i="1"/>
  <c r="DL1187" i="1"/>
  <c r="DK1187" i="1"/>
  <c r="DI1187" i="1"/>
  <c r="DJ1187" i="1" s="1"/>
  <c r="DC1187" i="1"/>
  <c r="CX1187" i="1"/>
  <c r="CN1187" i="1"/>
  <c r="CS1187" i="1" s="1"/>
  <c r="BX1187" i="1"/>
  <c r="BY1187" i="1" s="1"/>
  <c r="BD1187" i="1"/>
  <c r="BC1187" i="1"/>
  <c r="BB1187" i="1"/>
  <c r="BA1187" i="1"/>
  <c r="AZ1187" i="1"/>
  <c r="AY1187" i="1"/>
  <c r="BE1187" i="1" s="1" a="1"/>
  <c r="BE1187" i="1" s="1"/>
  <c r="AX1187" i="1"/>
  <c r="M1187" i="1"/>
  <c r="EM1186" i="1"/>
  <c r="DU1186" i="1"/>
  <c r="DT1186" i="1"/>
  <c r="DN1186" i="1"/>
  <c r="DM1186" i="1"/>
  <c r="DL1186" i="1"/>
  <c r="DK1186" i="1"/>
  <c r="DI1186" i="1"/>
  <c r="DJ1186" i="1" s="1"/>
  <c r="DC1186" i="1"/>
  <c r="CX1186" i="1"/>
  <c r="CN1186" i="1"/>
  <c r="CR1186" i="1" s="1"/>
  <c r="BX1186" i="1"/>
  <c r="BY1186" i="1" s="1"/>
  <c r="BD1186" i="1"/>
  <c r="BC1186" i="1"/>
  <c r="BB1186" i="1"/>
  <c r="BA1186" i="1"/>
  <c r="AZ1186" i="1"/>
  <c r="AY1186" i="1"/>
  <c r="BE1186" i="1" s="1" a="1"/>
  <c r="BE1186" i="1" s="1"/>
  <c r="AX1186" i="1"/>
  <c r="M1186" i="1"/>
  <c r="EM1185" i="1"/>
  <c r="DU1185" i="1"/>
  <c r="DT1185" i="1"/>
  <c r="DN1185" i="1"/>
  <c r="DM1185" i="1"/>
  <c r="DL1185" i="1"/>
  <c r="DK1185" i="1"/>
  <c r="DI1185" i="1"/>
  <c r="DJ1185" i="1" s="1"/>
  <c r="DC1185" i="1"/>
  <c r="CX1185" i="1"/>
  <c r="CN1185" i="1"/>
  <c r="BX1185" i="1"/>
  <c r="BY1185" i="1" s="1"/>
  <c r="BD1185" i="1"/>
  <c r="BC1185" i="1"/>
  <c r="BB1185" i="1"/>
  <c r="BA1185" i="1"/>
  <c r="AZ1185" i="1"/>
  <c r="AY1185" i="1"/>
  <c r="BE1185" i="1" s="1" a="1"/>
  <c r="BE1185" i="1" s="1"/>
  <c r="AX1185" i="1"/>
  <c r="M1185" i="1"/>
  <c r="EM1184" i="1"/>
  <c r="DU1184" i="1"/>
  <c r="DT1184" i="1"/>
  <c r="DN1184" i="1"/>
  <c r="DM1184" i="1"/>
  <c r="DL1184" i="1"/>
  <c r="DK1184" i="1"/>
  <c r="DI1184" i="1"/>
  <c r="DJ1184" i="1" s="1"/>
  <c r="DC1184" i="1"/>
  <c r="CX1184" i="1"/>
  <c r="CN1184" i="1"/>
  <c r="CS1184" i="1" s="1"/>
  <c r="BX1184" i="1"/>
  <c r="BY1184" i="1" s="1"/>
  <c r="BD1184" i="1"/>
  <c r="BC1184" i="1"/>
  <c r="BB1184" i="1"/>
  <c r="BA1184" i="1"/>
  <c r="AZ1184" i="1"/>
  <c r="AY1184" i="1"/>
  <c r="BE1184" i="1" s="1" a="1"/>
  <c r="BE1184" i="1" s="1"/>
  <c r="AX1184" i="1"/>
  <c r="M1184" i="1"/>
  <c r="EM1183" i="1"/>
  <c r="DU1183" i="1"/>
  <c r="DT1183" i="1"/>
  <c r="DN1183" i="1"/>
  <c r="DM1183" i="1"/>
  <c r="DL1183" i="1"/>
  <c r="DK1183" i="1"/>
  <c r="DI1183" i="1"/>
  <c r="DJ1183" i="1" s="1"/>
  <c r="DC1183" i="1"/>
  <c r="CX1183" i="1"/>
  <c r="CN1183" i="1"/>
  <c r="CS1183" i="1" s="1"/>
  <c r="BX1183" i="1"/>
  <c r="BY1183" i="1" s="1"/>
  <c r="BD1183" i="1"/>
  <c r="BC1183" i="1"/>
  <c r="BB1183" i="1"/>
  <c r="BA1183" i="1"/>
  <c r="AZ1183" i="1"/>
  <c r="AY1183" i="1"/>
  <c r="BE1183" i="1" s="1" a="1"/>
  <c r="BE1183" i="1" s="1"/>
  <c r="AX1183" i="1"/>
  <c r="M1183" i="1"/>
  <c r="EM1182" i="1"/>
  <c r="DU1182" i="1"/>
  <c r="DT1182" i="1"/>
  <c r="DN1182" i="1"/>
  <c r="DM1182" i="1"/>
  <c r="DL1182" i="1"/>
  <c r="DK1182" i="1"/>
  <c r="DI1182" i="1"/>
  <c r="DJ1182" i="1" s="1"/>
  <c r="DC1182" i="1"/>
  <c r="CX1182" i="1"/>
  <c r="CN1182" i="1"/>
  <c r="BX1182" i="1"/>
  <c r="BY1182" i="1" s="1"/>
  <c r="BD1182" i="1"/>
  <c r="BC1182" i="1"/>
  <c r="BB1182" i="1"/>
  <c r="BA1182" i="1"/>
  <c r="AZ1182" i="1"/>
  <c r="AY1182" i="1"/>
  <c r="BE1182" i="1" s="1" a="1"/>
  <c r="BE1182" i="1" s="1"/>
  <c r="AX1182" i="1"/>
  <c r="M1182" i="1"/>
  <c r="EM1181" i="1"/>
  <c r="DU1181" i="1"/>
  <c r="DT1181" i="1"/>
  <c r="DN1181" i="1"/>
  <c r="DM1181" i="1"/>
  <c r="DL1181" i="1"/>
  <c r="DK1181" i="1"/>
  <c r="DI1181" i="1"/>
  <c r="DJ1181" i="1" s="1"/>
  <c r="DC1181" i="1"/>
  <c r="CX1181" i="1"/>
  <c r="CN1181" i="1"/>
  <c r="CS1181" i="1" s="1"/>
  <c r="BX1181" i="1"/>
  <c r="BY1181" i="1" s="1"/>
  <c r="BD1181" i="1"/>
  <c r="BC1181" i="1"/>
  <c r="BB1181" i="1"/>
  <c r="BA1181" i="1"/>
  <c r="AZ1181" i="1"/>
  <c r="AY1181" i="1"/>
  <c r="BE1181" i="1" s="1" a="1"/>
  <c r="BE1181" i="1" s="1"/>
  <c r="AX1181" i="1"/>
  <c r="M1181" i="1"/>
  <c r="EM1180" i="1"/>
  <c r="DU1180" i="1"/>
  <c r="DT1180" i="1"/>
  <c r="DN1180" i="1"/>
  <c r="DM1180" i="1"/>
  <c r="DL1180" i="1"/>
  <c r="DK1180" i="1"/>
  <c r="DI1180" i="1"/>
  <c r="DJ1180" i="1" s="1"/>
  <c r="DC1180" i="1"/>
  <c r="CX1180" i="1"/>
  <c r="CN1180" i="1"/>
  <c r="BX1180" i="1"/>
  <c r="BY1180" i="1" s="1"/>
  <c r="BD1180" i="1"/>
  <c r="BC1180" i="1"/>
  <c r="BB1180" i="1"/>
  <c r="BA1180" i="1"/>
  <c r="AZ1180" i="1"/>
  <c r="AY1180" i="1"/>
  <c r="BE1180" i="1" s="1" a="1"/>
  <c r="BE1180" i="1" s="1"/>
  <c r="AX1180" i="1"/>
  <c r="M1180" i="1"/>
  <c r="EM1179" i="1"/>
  <c r="DU1179" i="1"/>
  <c r="DT1179" i="1"/>
  <c r="DN1179" i="1"/>
  <c r="DM1179" i="1"/>
  <c r="DL1179" i="1"/>
  <c r="DK1179" i="1"/>
  <c r="DI1179" i="1"/>
  <c r="DJ1179" i="1" s="1"/>
  <c r="DC1179" i="1"/>
  <c r="CX1179" i="1"/>
  <c r="CN1179" i="1"/>
  <c r="BX1179" i="1"/>
  <c r="BY1179" i="1" s="1"/>
  <c r="BD1179" i="1"/>
  <c r="BC1179" i="1"/>
  <c r="BB1179" i="1"/>
  <c r="BA1179" i="1"/>
  <c r="AZ1179" i="1"/>
  <c r="AY1179" i="1"/>
  <c r="BE1179" i="1" s="1" a="1"/>
  <c r="BE1179" i="1" s="1"/>
  <c r="AX1179" i="1"/>
  <c r="M1179" i="1"/>
  <c r="EM1178" i="1"/>
  <c r="DU1178" i="1"/>
  <c r="DT1178" i="1"/>
  <c r="DN1178" i="1"/>
  <c r="DM1178" i="1"/>
  <c r="DL1178" i="1"/>
  <c r="DK1178" i="1"/>
  <c r="DI1178" i="1"/>
  <c r="DJ1178" i="1" s="1"/>
  <c r="DC1178" i="1"/>
  <c r="CX1178" i="1"/>
  <c r="CN1178" i="1"/>
  <c r="BX1178" i="1"/>
  <c r="BY1178" i="1" s="1"/>
  <c r="BD1178" i="1"/>
  <c r="BC1178" i="1"/>
  <c r="BB1178" i="1"/>
  <c r="BA1178" i="1"/>
  <c r="AZ1178" i="1"/>
  <c r="AY1178" i="1"/>
  <c r="BE1178" i="1" s="1" a="1"/>
  <c r="BE1178" i="1" s="1"/>
  <c r="AX1178" i="1"/>
  <c r="M1178" i="1"/>
  <c r="EM1177" i="1"/>
  <c r="DU1177" i="1"/>
  <c r="DT1177" i="1"/>
  <c r="DN1177" i="1"/>
  <c r="DM1177" i="1"/>
  <c r="DL1177" i="1"/>
  <c r="DK1177" i="1"/>
  <c r="DI1177" i="1"/>
  <c r="DJ1177" i="1" s="1"/>
  <c r="DC1177" i="1"/>
  <c r="CX1177" i="1"/>
  <c r="CN1177" i="1"/>
  <c r="BX1177" i="1"/>
  <c r="BY1177" i="1" s="1"/>
  <c r="BD1177" i="1"/>
  <c r="BC1177" i="1"/>
  <c r="BB1177" i="1"/>
  <c r="BA1177" i="1"/>
  <c r="AZ1177" i="1"/>
  <c r="AY1177" i="1"/>
  <c r="BE1177" i="1" s="1" a="1"/>
  <c r="BE1177" i="1" s="1"/>
  <c r="AX1177" i="1"/>
  <c r="M1177" i="1"/>
  <c r="EM1176" i="1"/>
  <c r="DU1176" i="1"/>
  <c r="DT1176" i="1"/>
  <c r="DN1176" i="1"/>
  <c r="DM1176" i="1"/>
  <c r="DL1176" i="1"/>
  <c r="DK1176" i="1"/>
  <c r="DI1176" i="1"/>
  <c r="DJ1176" i="1" s="1"/>
  <c r="DC1176" i="1"/>
  <c r="CX1176" i="1"/>
  <c r="CN1176" i="1"/>
  <c r="CR1176" i="1" s="1"/>
  <c r="BX1176" i="1"/>
  <c r="BY1176" i="1" s="1"/>
  <c r="BD1176" i="1"/>
  <c r="BC1176" i="1"/>
  <c r="BB1176" i="1"/>
  <c r="BA1176" i="1"/>
  <c r="AZ1176" i="1"/>
  <c r="AY1176" i="1"/>
  <c r="BE1176" i="1" s="1" a="1"/>
  <c r="BE1176" i="1" s="1"/>
  <c r="AX1176" i="1"/>
  <c r="M1176" i="1"/>
  <c r="EM1175" i="1"/>
  <c r="DU1175" i="1"/>
  <c r="DT1175" i="1"/>
  <c r="DN1175" i="1"/>
  <c r="DM1175" i="1"/>
  <c r="DL1175" i="1"/>
  <c r="DK1175" i="1"/>
  <c r="DI1175" i="1"/>
  <c r="DJ1175" i="1" s="1"/>
  <c r="DC1175" i="1"/>
  <c r="CX1175" i="1"/>
  <c r="CN1175" i="1"/>
  <c r="BX1175" i="1"/>
  <c r="BY1175" i="1" s="1"/>
  <c r="BD1175" i="1"/>
  <c r="BC1175" i="1"/>
  <c r="BB1175" i="1"/>
  <c r="BA1175" i="1"/>
  <c r="AZ1175" i="1"/>
  <c r="AY1175" i="1"/>
  <c r="BE1175" i="1" s="1" a="1"/>
  <c r="BE1175" i="1" s="1"/>
  <c r="AX1175" i="1"/>
  <c r="M1175" i="1"/>
  <c r="EM1174" i="1"/>
  <c r="DU1174" i="1"/>
  <c r="DT1174" i="1"/>
  <c r="DN1174" i="1"/>
  <c r="DM1174" i="1"/>
  <c r="DL1174" i="1"/>
  <c r="DK1174" i="1"/>
  <c r="DI1174" i="1"/>
  <c r="DJ1174" i="1" s="1"/>
  <c r="DC1174" i="1"/>
  <c r="CX1174" i="1"/>
  <c r="CN1174" i="1"/>
  <c r="CS1174" i="1" s="1"/>
  <c r="BX1174" i="1"/>
  <c r="BY1174" i="1" s="1"/>
  <c r="BD1174" i="1"/>
  <c r="BC1174" i="1"/>
  <c r="BB1174" i="1"/>
  <c r="BA1174" i="1"/>
  <c r="AZ1174" i="1"/>
  <c r="AY1174" i="1"/>
  <c r="BE1174" i="1" s="1" a="1"/>
  <c r="BE1174" i="1" s="1"/>
  <c r="AX1174" i="1"/>
  <c r="M1174" i="1"/>
  <c r="EM1173" i="1"/>
  <c r="DU1173" i="1"/>
  <c r="DT1173" i="1"/>
  <c r="DN1173" i="1"/>
  <c r="DM1173" i="1"/>
  <c r="DL1173" i="1"/>
  <c r="DK1173" i="1"/>
  <c r="DI1173" i="1"/>
  <c r="DJ1173" i="1" s="1"/>
  <c r="DC1173" i="1"/>
  <c r="CX1173" i="1"/>
  <c r="CN1173" i="1"/>
  <c r="CS1173" i="1" s="1"/>
  <c r="BX1173" i="1"/>
  <c r="BY1173" i="1" s="1"/>
  <c r="BD1173" i="1"/>
  <c r="BC1173" i="1"/>
  <c r="BB1173" i="1"/>
  <c r="BA1173" i="1"/>
  <c r="AZ1173" i="1"/>
  <c r="AY1173" i="1"/>
  <c r="BE1173" i="1" s="1" a="1"/>
  <c r="BE1173" i="1" s="1"/>
  <c r="AX1173" i="1"/>
  <c r="M1173" i="1"/>
  <c r="EM1172" i="1"/>
  <c r="DU1172" i="1"/>
  <c r="DT1172" i="1"/>
  <c r="DN1172" i="1"/>
  <c r="DM1172" i="1"/>
  <c r="DL1172" i="1"/>
  <c r="DK1172" i="1"/>
  <c r="DI1172" i="1"/>
  <c r="DJ1172" i="1" s="1"/>
  <c r="DC1172" i="1"/>
  <c r="CX1172" i="1"/>
  <c r="CN1172" i="1"/>
  <c r="BX1172" i="1"/>
  <c r="BY1172" i="1" s="1"/>
  <c r="BD1172" i="1"/>
  <c r="BC1172" i="1"/>
  <c r="BB1172" i="1"/>
  <c r="BA1172" i="1"/>
  <c r="AZ1172" i="1"/>
  <c r="AY1172" i="1"/>
  <c r="BE1172" i="1" s="1" a="1"/>
  <c r="BE1172" i="1" s="1"/>
  <c r="AX1172" i="1"/>
  <c r="M1172" i="1"/>
  <c r="EM1171" i="1"/>
  <c r="DU1171" i="1"/>
  <c r="DT1171" i="1"/>
  <c r="DN1171" i="1"/>
  <c r="DM1171" i="1"/>
  <c r="DL1171" i="1"/>
  <c r="DK1171" i="1"/>
  <c r="DI1171" i="1"/>
  <c r="DJ1171" i="1" s="1"/>
  <c r="DC1171" i="1"/>
  <c r="CX1171" i="1"/>
  <c r="CN1171" i="1"/>
  <c r="BX1171" i="1"/>
  <c r="BY1171" i="1" s="1"/>
  <c r="BD1171" i="1"/>
  <c r="BC1171" i="1"/>
  <c r="BB1171" i="1"/>
  <c r="BA1171" i="1"/>
  <c r="AZ1171" i="1"/>
  <c r="AY1171" i="1"/>
  <c r="BE1171" i="1" s="1" a="1"/>
  <c r="BE1171" i="1" s="1"/>
  <c r="AX1171" i="1"/>
  <c r="M1171" i="1"/>
  <c r="EM1170" i="1"/>
  <c r="DU1170" i="1"/>
  <c r="DT1170" i="1"/>
  <c r="DN1170" i="1"/>
  <c r="DM1170" i="1"/>
  <c r="DL1170" i="1"/>
  <c r="DK1170" i="1"/>
  <c r="DI1170" i="1"/>
  <c r="DJ1170" i="1" s="1"/>
  <c r="DC1170" i="1"/>
  <c r="CX1170" i="1"/>
  <c r="CN1170" i="1"/>
  <c r="CS1170" i="1" s="1"/>
  <c r="BX1170" i="1"/>
  <c r="BY1170" i="1" s="1"/>
  <c r="BD1170" i="1"/>
  <c r="BC1170" i="1"/>
  <c r="BB1170" i="1"/>
  <c r="BA1170" i="1"/>
  <c r="AZ1170" i="1"/>
  <c r="AY1170" i="1"/>
  <c r="BE1170" i="1" s="1" a="1"/>
  <c r="BE1170" i="1" s="1"/>
  <c r="AX1170" i="1"/>
  <c r="M1170" i="1"/>
  <c r="EM1169" i="1"/>
  <c r="DU1169" i="1"/>
  <c r="DT1169" i="1"/>
  <c r="DN1169" i="1"/>
  <c r="DM1169" i="1"/>
  <c r="DL1169" i="1"/>
  <c r="DK1169" i="1"/>
  <c r="DI1169" i="1"/>
  <c r="DJ1169" i="1" s="1"/>
  <c r="DC1169" i="1"/>
  <c r="CX1169" i="1"/>
  <c r="CN1169" i="1"/>
  <c r="CS1169" i="1" s="1"/>
  <c r="BX1169" i="1"/>
  <c r="BY1169" i="1" s="1"/>
  <c r="BD1169" i="1"/>
  <c r="BC1169" i="1"/>
  <c r="BB1169" i="1"/>
  <c r="BA1169" i="1"/>
  <c r="AZ1169" i="1"/>
  <c r="AY1169" i="1"/>
  <c r="BE1169" i="1" s="1" a="1"/>
  <c r="BE1169" i="1" s="1"/>
  <c r="AX1169" i="1"/>
  <c r="M1169" i="1"/>
  <c r="EM1168" i="1"/>
  <c r="DU1168" i="1"/>
  <c r="DT1168" i="1"/>
  <c r="DN1168" i="1"/>
  <c r="DM1168" i="1"/>
  <c r="DL1168" i="1"/>
  <c r="DK1168" i="1"/>
  <c r="DI1168" i="1"/>
  <c r="DJ1168" i="1" s="1"/>
  <c r="DC1168" i="1"/>
  <c r="CX1168" i="1"/>
  <c r="CN1168" i="1"/>
  <c r="CR1168" i="1" s="1"/>
  <c r="BX1168" i="1"/>
  <c r="BD1168" i="1"/>
  <c r="BC1168" i="1"/>
  <c r="BB1168" i="1"/>
  <c r="BA1168" i="1"/>
  <c r="AZ1168" i="1"/>
  <c r="AY1168" i="1"/>
  <c r="BE1168" i="1" s="1" a="1"/>
  <c r="BE1168" i="1" s="1"/>
  <c r="AX1168" i="1"/>
  <c r="M1168" i="1"/>
  <c r="EM1167" i="1"/>
  <c r="DU1167" i="1"/>
  <c r="DT1167" i="1"/>
  <c r="DN1167" i="1"/>
  <c r="DM1167" i="1"/>
  <c r="DL1167" i="1"/>
  <c r="DK1167" i="1"/>
  <c r="DI1167" i="1"/>
  <c r="DJ1167" i="1" s="1"/>
  <c r="DC1167" i="1"/>
  <c r="CX1167" i="1"/>
  <c r="CN1167" i="1"/>
  <c r="CR1167" i="1" s="1"/>
  <c r="BX1167" i="1"/>
  <c r="BY1167" i="1" s="1"/>
  <c r="BD1167" i="1"/>
  <c r="BC1167" i="1"/>
  <c r="BB1167" i="1"/>
  <c r="BA1167" i="1"/>
  <c r="AZ1167" i="1"/>
  <c r="AY1167" i="1"/>
  <c r="BE1167" i="1" s="1" a="1"/>
  <c r="BE1167" i="1" s="1"/>
  <c r="AX1167" i="1"/>
  <c r="M1167" i="1"/>
  <c r="EM1166" i="1"/>
  <c r="DU1166" i="1"/>
  <c r="DT1166" i="1"/>
  <c r="DN1166" i="1"/>
  <c r="DM1166" i="1"/>
  <c r="DL1166" i="1"/>
  <c r="DK1166" i="1"/>
  <c r="DI1166" i="1"/>
  <c r="DJ1166" i="1" s="1"/>
  <c r="DC1166" i="1"/>
  <c r="CX1166" i="1"/>
  <c r="CN1166" i="1"/>
  <c r="CS1166" i="1" s="1"/>
  <c r="BX1166" i="1"/>
  <c r="BY1166" i="1" s="1"/>
  <c r="BD1166" i="1"/>
  <c r="BC1166" i="1"/>
  <c r="BB1166" i="1"/>
  <c r="BA1166" i="1"/>
  <c r="AZ1166" i="1"/>
  <c r="AY1166" i="1"/>
  <c r="BE1166" i="1" s="1" a="1"/>
  <c r="BE1166" i="1" s="1"/>
  <c r="AX1166" i="1"/>
  <c r="M1166" i="1"/>
  <c r="EM1165" i="1"/>
  <c r="DU1165" i="1"/>
  <c r="DT1165" i="1"/>
  <c r="DN1165" i="1"/>
  <c r="DM1165" i="1"/>
  <c r="DL1165" i="1"/>
  <c r="DK1165" i="1"/>
  <c r="DI1165" i="1"/>
  <c r="DJ1165" i="1" s="1"/>
  <c r="DC1165" i="1"/>
  <c r="CX1165" i="1"/>
  <c r="CN1165" i="1"/>
  <c r="CS1165" i="1" s="1"/>
  <c r="BX1165" i="1"/>
  <c r="BY1165" i="1" s="1"/>
  <c r="BD1165" i="1"/>
  <c r="BC1165" i="1"/>
  <c r="BB1165" i="1"/>
  <c r="BA1165" i="1"/>
  <c r="AZ1165" i="1"/>
  <c r="AY1165" i="1"/>
  <c r="BE1165" i="1" s="1" a="1"/>
  <c r="BE1165" i="1" s="1"/>
  <c r="AX1165" i="1"/>
  <c r="M1165" i="1"/>
  <c r="EM1164" i="1"/>
  <c r="DU1164" i="1"/>
  <c r="DT1164" i="1"/>
  <c r="DN1164" i="1"/>
  <c r="DM1164" i="1"/>
  <c r="DL1164" i="1"/>
  <c r="DK1164" i="1"/>
  <c r="DI1164" i="1"/>
  <c r="DJ1164" i="1" s="1"/>
  <c r="DC1164" i="1"/>
  <c r="CX1164" i="1"/>
  <c r="CN1164" i="1"/>
  <c r="CS1164" i="1" s="1"/>
  <c r="BX1164" i="1"/>
  <c r="BY1164" i="1" s="1"/>
  <c r="BD1164" i="1"/>
  <c r="BC1164" i="1"/>
  <c r="BB1164" i="1"/>
  <c r="BA1164" i="1"/>
  <c r="AZ1164" i="1"/>
  <c r="AY1164" i="1"/>
  <c r="BE1164" i="1" s="1" a="1"/>
  <c r="BE1164" i="1" s="1"/>
  <c r="AX1164" i="1"/>
  <c r="M1164" i="1"/>
  <c r="EM1163" i="1"/>
  <c r="DU1163" i="1"/>
  <c r="DT1163" i="1"/>
  <c r="DN1163" i="1"/>
  <c r="DM1163" i="1"/>
  <c r="DL1163" i="1"/>
  <c r="DK1163" i="1"/>
  <c r="DI1163" i="1"/>
  <c r="DJ1163" i="1" s="1"/>
  <c r="DC1163" i="1"/>
  <c r="CX1163" i="1"/>
  <c r="CN1163" i="1"/>
  <c r="BX1163" i="1"/>
  <c r="BY1163" i="1" s="1"/>
  <c r="BD1163" i="1"/>
  <c r="BC1163" i="1"/>
  <c r="BB1163" i="1"/>
  <c r="BA1163" i="1"/>
  <c r="AZ1163" i="1"/>
  <c r="AY1163" i="1"/>
  <c r="BE1163" i="1" s="1" a="1"/>
  <c r="BE1163" i="1" s="1"/>
  <c r="AX1163" i="1"/>
  <c r="M1163" i="1"/>
  <c r="EM1162" i="1"/>
  <c r="DU1162" i="1"/>
  <c r="DT1162" i="1"/>
  <c r="DN1162" i="1"/>
  <c r="DM1162" i="1"/>
  <c r="DL1162" i="1"/>
  <c r="DK1162" i="1"/>
  <c r="DI1162" i="1"/>
  <c r="DJ1162" i="1" s="1"/>
  <c r="DC1162" i="1"/>
  <c r="CX1162" i="1"/>
  <c r="CN1162" i="1"/>
  <c r="CS1162" i="1" s="1"/>
  <c r="BX1162" i="1"/>
  <c r="BD1162" i="1"/>
  <c r="BC1162" i="1"/>
  <c r="BB1162" i="1"/>
  <c r="BA1162" i="1"/>
  <c r="AZ1162" i="1"/>
  <c r="AY1162" i="1"/>
  <c r="BE1162" i="1" s="1" a="1"/>
  <c r="BE1162" i="1" s="1"/>
  <c r="AX1162" i="1"/>
  <c r="M1162" i="1"/>
  <c r="EM863" i="1"/>
  <c r="DU863" i="1"/>
  <c r="DT863" i="1"/>
  <c r="DN863" i="1"/>
  <c r="DM863" i="1"/>
  <c r="DL863" i="1"/>
  <c r="DK863" i="1"/>
  <c r="DI863" i="1"/>
  <c r="DJ863" i="1" s="1"/>
  <c r="DC863" i="1"/>
  <c r="CX863" i="1"/>
  <c r="CN863" i="1"/>
  <c r="BT863" i="1"/>
  <c r="BS863" i="1"/>
  <c r="BN863" i="1"/>
  <c r="BO863" i="1" s="1"/>
  <c r="BD863" i="1"/>
  <c r="BC863" i="1"/>
  <c r="BB863" i="1"/>
  <c r="BA863" i="1"/>
  <c r="AZ863" i="1"/>
  <c r="BF863" i="1" s="1" a="1"/>
  <c r="BF863" i="1" s="1"/>
  <c r="AY863" i="1"/>
  <c r="BE863" i="1" s="1" a="1"/>
  <c r="BE863" i="1" s="1"/>
  <c r="AX863" i="1"/>
  <c r="M863" i="1"/>
  <c r="EM859" i="1"/>
  <c r="DU859" i="1"/>
  <c r="DT859" i="1"/>
  <c r="DN859" i="1"/>
  <c r="DM859" i="1"/>
  <c r="DL859" i="1"/>
  <c r="DK859" i="1"/>
  <c r="DI859" i="1"/>
  <c r="DJ859" i="1" s="1"/>
  <c r="DC859" i="1"/>
  <c r="CX859" i="1"/>
  <c r="CN859" i="1"/>
  <c r="CP859" i="1" s="1"/>
  <c r="BT859" i="1"/>
  <c r="BV859" i="1" s="1"/>
  <c r="BX859" i="1" s="1"/>
  <c r="BS859" i="1"/>
  <c r="BN859" i="1"/>
  <c r="BO859" i="1" s="1"/>
  <c r="BD859" i="1"/>
  <c r="BC859" i="1"/>
  <c r="BB859" i="1"/>
  <c r="BA859" i="1"/>
  <c r="AZ859" i="1"/>
  <c r="AY859" i="1"/>
  <c r="BE859" i="1" s="1" a="1"/>
  <c r="BE859" i="1" s="1"/>
  <c r="AX859" i="1"/>
  <c r="M859" i="1"/>
  <c r="EM652" i="1"/>
  <c r="DU652" i="1"/>
  <c r="DT652" i="1"/>
  <c r="DN652" i="1"/>
  <c r="DM652" i="1"/>
  <c r="DL652" i="1"/>
  <c r="DK652" i="1"/>
  <c r="DI652" i="1"/>
  <c r="DJ652" i="1" s="1"/>
  <c r="DC652" i="1"/>
  <c r="CX652" i="1"/>
  <c r="CN652" i="1"/>
  <c r="CP652" i="1" s="1"/>
  <c r="BV652" i="1"/>
  <c r="BX652" i="1" s="1"/>
  <c r="BT652" i="1"/>
  <c r="BS652" i="1"/>
  <c r="BN652" i="1"/>
  <c r="BO652" i="1" s="1"/>
  <c r="BD652" i="1"/>
  <c r="BC652" i="1"/>
  <c r="BB652" i="1"/>
  <c r="BA652" i="1"/>
  <c r="AZ652" i="1"/>
  <c r="BF652" i="1" s="1" a="1"/>
  <c r="BF652" i="1" s="1"/>
  <c r="AY652" i="1"/>
  <c r="BE652" i="1" s="1" a="1"/>
  <c r="BE652" i="1" s="1"/>
  <c r="AX652" i="1"/>
  <c r="M652" i="1"/>
  <c r="EM599" i="1"/>
  <c r="DU599" i="1"/>
  <c r="DT599" i="1"/>
  <c r="DN599" i="1"/>
  <c r="DM599" i="1"/>
  <c r="DL599" i="1"/>
  <c r="DK599" i="1"/>
  <c r="DI599" i="1"/>
  <c r="DJ599" i="1" s="1"/>
  <c r="DC599" i="1"/>
  <c r="CX599" i="1"/>
  <c r="CN599" i="1"/>
  <c r="CR599" i="1" s="1"/>
  <c r="BT599" i="1"/>
  <c r="BS599" i="1"/>
  <c r="BN599" i="1"/>
  <c r="BO599" i="1" s="1"/>
  <c r="BD599" i="1"/>
  <c r="BC599" i="1"/>
  <c r="BB599" i="1"/>
  <c r="BA599" i="1"/>
  <c r="AZ599" i="1"/>
  <c r="BF599" i="1" s="1" a="1"/>
  <c r="BF599" i="1" s="1"/>
  <c r="AY599" i="1"/>
  <c r="BE599" i="1" s="1" a="1"/>
  <c r="BE599" i="1" s="1"/>
  <c r="AX599" i="1"/>
  <c r="M599" i="1"/>
  <c r="EM297" i="1"/>
  <c r="DU297" i="1"/>
  <c r="DT297" i="1"/>
  <c r="DN297" i="1"/>
  <c r="DM297" i="1"/>
  <c r="DL297" i="1"/>
  <c r="DK297" i="1"/>
  <c r="DI297" i="1"/>
  <c r="DJ297" i="1" s="1"/>
  <c r="DC297" i="1"/>
  <c r="CX297" i="1"/>
  <c r="CN297" i="1"/>
  <c r="BT297" i="1"/>
  <c r="BS297" i="1"/>
  <c r="BN297" i="1"/>
  <c r="BO297" i="1" s="1"/>
  <c r="BD297" i="1"/>
  <c r="BC297" i="1"/>
  <c r="BB297" i="1"/>
  <c r="BA297" i="1"/>
  <c r="AZ297" i="1"/>
  <c r="BF297" i="1" s="1" a="1"/>
  <c r="BF297" i="1" s="1"/>
  <c r="AY297" i="1"/>
  <c r="BE297" i="1" s="1" a="1"/>
  <c r="BE297" i="1" s="1"/>
  <c r="AX297" i="1"/>
  <c r="M297" i="1"/>
  <c r="EM298" i="1"/>
  <c r="DU298" i="1"/>
  <c r="DT298" i="1"/>
  <c r="DN298" i="1"/>
  <c r="DM298" i="1"/>
  <c r="DL298" i="1"/>
  <c r="DK298" i="1"/>
  <c r="DI298" i="1"/>
  <c r="DJ298" i="1" s="1"/>
  <c r="DC298" i="1"/>
  <c r="CX298" i="1"/>
  <c r="CN298" i="1"/>
  <c r="CR298" i="1" s="1"/>
  <c r="BV298" i="1"/>
  <c r="BX298" i="1" s="1"/>
  <c r="BN298" i="1"/>
  <c r="BO298" i="1" s="1"/>
  <c r="BD298" i="1"/>
  <c r="BC298" i="1"/>
  <c r="BB298" i="1"/>
  <c r="BA298" i="1"/>
  <c r="AZ298" i="1"/>
  <c r="AY298" i="1"/>
  <c r="BE298" i="1" s="1" a="1"/>
  <c r="BE298" i="1" s="1"/>
  <c r="AX298" i="1"/>
  <c r="M298" i="1"/>
  <c r="EM453" i="1"/>
  <c r="DU453" i="1"/>
  <c r="DT453" i="1"/>
  <c r="DN453" i="1"/>
  <c r="DM453" i="1"/>
  <c r="DL453" i="1"/>
  <c r="DK453" i="1"/>
  <c r="DI453" i="1"/>
  <c r="DJ453" i="1" s="1"/>
  <c r="DC453" i="1"/>
  <c r="CX453" i="1"/>
  <c r="CN453" i="1"/>
  <c r="BV453" i="1"/>
  <c r="BX453" i="1" s="1"/>
  <c r="BN453" i="1"/>
  <c r="BO453" i="1" s="1"/>
  <c r="BD453" i="1"/>
  <c r="BC453" i="1"/>
  <c r="BB453" i="1"/>
  <c r="BA453" i="1"/>
  <c r="AZ453" i="1"/>
  <c r="BF453" i="1" s="1" a="1"/>
  <c r="BF453" i="1" s="1"/>
  <c r="AY453" i="1"/>
  <c r="BE453" i="1" s="1" a="1"/>
  <c r="BE453" i="1" s="1"/>
  <c r="AX453" i="1"/>
  <c r="M453" i="1"/>
  <c r="EM452" i="1"/>
  <c r="DU452" i="1"/>
  <c r="DT452" i="1"/>
  <c r="DN452" i="1"/>
  <c r="DM452" i="1"/>
  <c r="DL452" i="1"/>
  <c r="DK452" i="1"/>
  <c r="DI452" i="1"/>
  <c r="DJ452" i="1" s="1"/>
  <c r="DC452" i="1"/>
  <c r="CX452" i="1"/>
  <c r="CN452" i="1"/>
  <c r="BV452" i="1"/>
  <c r="BX452" i="1" s="1"/>
  <c r="BN452" i="1"/>
  <c r="BO452" i="1" s="1"/>
  <c r="BD452" i="1"/>
  <c r="BC452" i="1"/>
  <c r="BB452" i="1"/>
  <c r="BA452" i="1"/>
  <c r="AZ452" i="1"/>
  <c r="BF452" i="1" s="1" a="1"/>
  <c r="BF452" i="1" s="1"/>
  <c r="AY452" i="1"/>
  <c r="BE452" i="1" s="1" a="1"/>
  <c r="BE452" i="1" s="1"/>
  <c r="AX452" i="1"/>
  <c r="M452" i="1"/>
  <c r="EM544" i="1"/>
  <c r="DU544" i="1"/>
  <c r="DT544" i="1"/>
  <c r="DN544" i="1"/>
  <c r="DM544" i="1"/>
  <c r="DL544" i="1"/>
  <c r="DK544" i="1"/>
  <c r="DI544" i="1"/>
  <c r="DJ544" i="1" s="1"/>
  <c r="DC544" i="1"/>
  <c r="CX544" i="1"/>
  <c r="CN544" i="1"/>
  <c r="CO544" i="1" s="1"/>
  <c r="BT544" i="1"/>
  <c r="BS544" i="1"/>
  <c r="BN544" i="1"/>
  <c r="BO544" i="1" s="1"/>
  <c r="BD544" i="1"/>
  <c r="BC544" i="1"/>
  <c r="BB544" i="1"/>
  <c r="BA544" i="1"/>
  <c r="AZ544" i="1"/>
  <c r="AY544" i="1"/>
  <c r="BE544" i="1" s="1" a="1"/>
  <c r="BE544" i="1" s="1"/>
  <c r="AX544" i="1"/>
  <c r="M544" i="1"/>
  <c r="EM547" i="1"/>
  <c r="DU547" i="1"/>
  <c r="DT547" i="1"/>
  <c r="DN547" i="1"/>
  <c r="DM547" i="1"/>
  <c r="DL547" i="1"/>
  <c r="DK547" i="1"/>
  <c r="DI547" i="1"/>
  <c r="DJ547" i="1" s="1"/>
  <c r="DC547" i="1"/>
  <c r="CX547" i="1"/>
  <c r="CN547" i="1"/>
  <c r="CP547" i="1" s="1"/>
  <c r="BT547" i="1"/>
  <c r="BS547" i="1"/>
  <c r="BN547" i="1"/>
  <c r="BO547" i="1" s="1"/>
  <c r="BD547" i="1"/>
  <c r="BC547" i="1"/>
  <c r="BB547" i="1"/>
  <c r="BA547" i="1"/>
  <c r="AZ547" i="1"/>
  <c r="BF547" i="1" s="1" a="1"/>
  <c r="BF547" i="1" s="1"/>
  <c r="AY547" i="1"/>
  <c r="BE547" i="1" s="1" a="1"/>
  <c r="BE547" i="1" s="1"/>
  <c r="AX547" i="1"/>
  <c r="M547" i="1"/>
  <c r="EM553" i="1"/>
  <c r="DU553" i="1"/>
  <c r="DT553" i="1"/>
  <c r="DN553" i="1"/>
  <c r="DM553" i="1"/>
  <c r="DL553" i="1"/>
  <c r="DK553" i="1"/>
  <c r="DI553" i="1"/>
  <c r="DJ553" i="1" s="1"/>
  <c r="DC553" i="1"/>
  <c r="CX553" i="1"/>
  <c r="CN553" i="1"/>
  <c r="BT553" i="1"/>
  <c r="BS553" i="1"/>
  <c r="BN553" i="1"/>
  <c r="BO553" i="1" s="1"/>
  <c r="BD553" i="1"/>
  <c r="BC553" i="1"/>
  <c r="BB553" i="1"/>
  <c r="BA553" i="1"/>
  <c r="AZ553" i="1"/>
  <c r="AY553" i="1"/>
  <c r="BE553" i="1" s="1" a="1"/>
  <c r="BE553" i="1" s="1"/>
  <c r="AX553" i="1"/>
  <c r="M553" i="1"/>
  <c r="EM585" i="1"/>
  <c r="DU585" i="1"/>
  <c r="DT585" i="1"/>
  <c r="DN585" i="1"/>
  <c r="DM585" i="1"/>
  <c r="DL585" i="1"/>
  <c r="DK585" i="1"/>
  <c r="DI585" i="1"/>
  <c r="DJ585" i="1" s="1"/>
  <c r="DC585" i="1"/>
  <c r="CX585" i="1"/>
  <c r="CN585" i="1"/>
  <c r="CS585" i="1" s="1"/>
  <c r="BV585" i="1"/>
  <c r="BX585" i="1" s="1"/>
  <c r="BN585" i="1"/>
  <c r="BO585" i="1" s="1"/>
  <c r="BD585" i="1"/>
  <c r="BC585" i="1"/>
  <c r="BB585" i="1"/>
  <c r="BA585" i="1"/>
  <c r="AZ585" i="1"/>
  <c r="AY585" i="1"/>
  <c r="BE585" i="1" s="1" a="1"/>
  <c r="BE585" i="1" s="1"/>
  <c r="AX585" i="1"/>
  <c r="M585" i="1"/>
  <c r="EM311" i="1"/>
  <c r="DU311" i="1"/>
  <c r="DT311" i="1"/>
  <c r="DN311" i="1"/>
  <c r="DM311" i="1"/>
  <c r="DL311" i="1"/>
  <c r="DK311" i="1"/>
  <c r="DI311" i="1"/>
  <c r="DJ311" i="1" s="1"/>
  <c r="DC311" i="1"/>
  <c r="CX311" i="1"/>
  <c r="CN311" i="1"/>
  <c r="CS311" i="1" s="1"/>
  <c r="BV311" i="1"/>
  <c r="BX311" i="1" s="1"/>
  <c r="BN311" i="1"/>
  <c r="BO311" i="1" s="1"/>
  <c r="BD311" i="1"/>
  <c r="BC311" i="1"/>
  <c r="BB311" i="1"/>
  <c r="BA311" i="1"/>
  <c r="AZ311" i="1"/>
  <c r="BF311" i="1" s="1" a="1"/>
  <c r="BF311" i="1" s="1"/>
  <c r="AY311" i="1"/>
  <c r="BE311" i="1" s="1" a="1"/>
  <c r="BE311" i="1" s="1"/>
  <c r="AX311" i="1"/>
  <c r="M311" i="1"/>
  <c r="EM692" i="1"/>
  <c r="DU692" i="1"/>
  <c r="DT692" i="1"/>
  <c r="DN692" i="1"/>
  <c r="DM692" i="1"/>
  <c r="DL692" i="1"/>
  <c r="DK692" i="1"/>
  <c r="DI692" i="1"/>
  <c r="DJ692" i="1" s="1"/>
  <c r="DC692" i="1"/>
  <c r="CX692" i="1"/>
  <c r="CN692" i="1"/>
  <c r="BT692" i="1"/>
  <c r="BS692" i="1"/>
  <c r="BN692" i="1"/>
  <c r="BO692" i="1" s="1"/>
  <c r="BD692" i="1"/>
  <c r="BC692" i="1"/>
  <c r="BB692" i="1"/>
  <c r="BA692" i="1"/>
  <c r="AZ692" i="1"/>
  <c r="AY692" i="1"/>
  <c r="BE692" i="1" s="1" a="1"/>
  <c r="BE692" i="1" s="1"/>
  <c r="AX692" i="1"/>
  <c r="M692" i="1"/>
  <c r="EM647" i="1"/>
  <c r="DU647" i="1"/>
  <c r="DT647" i="1"/>
  <c r="DN647" i="1"/>
  <c r="DM647" i="1"/>
  <c r="DL647" i="1"/>
  <c r="DK647" i="1"/>
  <c r="DI647" i="1"/>
  <c r="DJ647" i="1" s="1"/>
  <c r="DC647" i="1"/>
  <c r="CX647" i="1"/>
  <c r="CN647" i="1"/>
  <c r="BT647" i="1"/>
  <c r="BS647" i="1"/>
  <c r="BN647" i="1"/>
  <c r="BO647" i="1" s="1"/>
  <c r="BD647" i="1"/>
  <c r="BC647" i="1"/>
  <c r="BB647" i="1"/>
  <c r="BA647" i="1"/>
  <c r="AZ647" i="1"/>
  <c r="BF647" i="1" s="1" a="1"/>
  <c r="BF647" i="1" s="1"/>
  <c r="AY647" i="1"/>
  <c r="BE647" i="1" s="1" a="1"/>
  <c r="BE647" i="1" s="1"/>
  <c r="AX647" i="1"/>
  <c r="M647" i="1"/>
  <c r="EM618" i="1"/>
  <c r="DU618" i="1"/>
  <c r="DT618" i="1"/>
  <c r="DN618" i="1"/>
  <c r="DM618" i="1"/>
  <c r="DL618" i="1"/>
  <c r="DK618" i="1"/>
  <c r="DI618" i="1"/>
  <c r="DJ618" i="1" s="1"/>
  <c r="DC618" i="1"/>
  <c r="CX618" i="1"/>
  <c r="CN618" i="1"/>
  <c r="CO618" i="1" s="1"/>
  <c r="BT618" i="1"/>
  <c r="BS618" i="1"/>
  <c r="BN618" i="1"/>
  <c r="BO618" i="1" s="1"/>
  <c r="BD618" i="1"/>
  <c r="BC618" i="1"/>
  <c r="BB618" i="1"/>
  <c r="BA618" i="1"/>
  <c r="AZ618" i="1"/>
  <c r="AY618" i="1"/>
  <c r="BE618" i="1" s="1" a="1"/>
  <c r="BE618" i="1" s="1"/>
  <c r="AX618" i="1"/>
  <c r="M618" i="1"/>
  <c r="EM562" i="1"/>
  <c r="DU562" i="1"/>
  <c r="DT562" i="1"/>
  <c r="DN562" i="1"/>
  <c r="DM562" i="1"/>
  <c r="DL562" i="1"/>
  <c r="DK562" i="1"/>
  <c r="DI562" i="1"/>
  <c r="DJ562" i="1" s="1"/>
  <c r="DC562" i="1"/>
  <c r="CX562" i="1"/>
  <c r="CN562" i="1"/>
  <c r="BT562" i="1"/>
  <c r="BS562" i="1"/>
  <c r="BN562" i="1"/>
  <c r="BO562" i="1" s="1"/>
  <c r="BD562" i="1"/>
  <c r="BC562" i="1"/>
  <c r="BB562" i="1"/>
  <c r="BA562" i="1"/>
  <c r="AZ562" i="1"/>
  <c r="BF562" i="1" s="1" a="1"/>
  <c r="BF562" i="1" s="1"/>
  <c r="AY562" i="1"/>
  <c r="BE562" i="1" s="1" a="1"/>
  <c r="BE562" i="1" s="1"/>
  <c r="AX562" i="1"/>
  <c r="M562" i="1"/>
  <c r="EM451" i="1"/>
  <c r="DU451" i="1"/>
  <c r="DT451" i="1"/>
  <c r="DN451" i="1"/>
  <c r="DM451" i="1"/>
  <c r="DL451" i="1"/>
  <c r="DK451" i="1"/>
  <c r="DI451" i="1"/>
  <c r="DJ451" i="1" s="1"/>
  <c r="DC451" i="1"/>
  <c r="CX451" i="1"/>
  <c r="CN451" i="1"/>
  <c r="CR451" i="1" s="1"/>
  <c r="BV451" i="1"/>
  <c r="BX451" i="1" s="1"/>
  <c r="BN451" i="1"/>
  <c r="BO451" i="1" s="1"/>
  <c r="BD451" i="1"/>
  <c r="BC451" i="1"/>
  <c r="BB451" i="1"/>
  <c r="BA451" i="1"/>
  <c r="AZ451" i="1"/>
  <c r="BF451" i="1" s="1" a="1"/>
  <c r="BF451" i="1" s="1"/>
  <c r="AY451" i="1"/>
  <c r="BE451" i="1" s="1" a="1"/>
  <c r="BE451" i="1" s="1"/>
  <c r="AX451" i="1"/>
  <c r="M451" i="1"/>
  <c r="EM448" i="1"/>
  <c r="DU448" i="1"/>
  <c r="DT448" i="1"/>
  <c r="DN448" i="1"/>
  <c r="DM448" i="1"/>
  <c r="DL448" i="1"/>
  <c r="DK448" i="1"/>
  <c r="DI448" i="1"/>
  <c r="DJ448" i="1" s="1"/>
  <c r="DC448" i="1"/>
  <c r="CX448" i="1"/>
  <c r="CN448" i="1"/>
  <c r="CR448" i="1" s="1"/>
  <c r="BV448" i="1"/>
  <c r="BX448" i="1" s="1"/>
  <c r="BN448" i="1"/>
  <c r="BO448" i="1" s="1"/>
  <c r="BD448" i="1"/>
  <c r="BC448" i="1"/>
  <c r="BB448" i="1"/>
  <c r="BA448" i="1"/>
  <c r="AZ448" i="1"/>
  <c r="AY448" i="1"/>
  <c r="BE448" i="1" s="1" a="1"/>
  <c r="BE448" i="1" s="1"/>
  <c r="AX448" i="1"/>
  <c r="M448" i="1"/>
  <c r="EM546" i="1"/>
  <c r="DU546" i="1"/>
  <c r="DT546" i="1"/>
  <c r="DN546" i="1"/>
  <c r="DM546" i="1"/>
  <c r="DL546" i="1"/>
  <c r="DK546" i="1"/>
  <c r="DI546" i="1"/>
  <c r="DJ546" i="1" s="1"/>
  <c r="DC546" i="1"/>
  <c r="CX546" i="1"/>
  <c r="CN546" i="1"/>
  <c r="BT546" i="1"/>
  <c r="BV546" i="1" s="1"/>
  <c r="BX546" i="1" s="1"/>
  <c r="BS546" i="1"/>
  <c r="BN546" i="1"/>
  <c r="BO546" i="1" s="1"/>
  <c r="BD546" i="1"/>
  <c r="BC546" i="1"/>
  <c r="BB546" i="1"/>
  <c r="BA546" i="1"/>
  <c r="AZ546" i="1"/>
  <c r="BF546" i="1" s="1" a="1"/>
  <c r="BF546" i="1" s="1"/>
  <c r="AY546" i="1"/>
  <c r="BE546" i="1" s="1" a="1"/>
  <c r="BE546" i="1" s="1"/>
  <c r="AX546" i="1"/>
  <c r="M546" i="1"/>
  <c r="EM548" i="1"/>
  <c r="DU548" i="1"/>
  <c r="DT548" i="1"/>
  <c r="DN548" i="1"/>
  <c r="DM548" i="1"/>
  <c r="DL548" i="1"/>
  <c r="DK548" i="1"/>
  <c r="DI548" i="1"/>
  <c r="DJ548" i="1" s="1"/>
  <c r="DC548" i="1"/>
  <c r="CX548" i="1"/>
  <c r="CN548" i="1"/>
  <c r="BT548" i="1"/>
  <c r="BS548" i="1"/>
  <c r="BN548" i="1"/>
  <c r="BO548" i="1" s="1"/>
  <c r="BD548" i="1"/>
  <c r="BC548" i="1"/>
  <c r="BB548" i="1"/>
  <c r="BA548" i="1"/>
  <c r="AZ548" i="1"/>
  <c r="AY548" i="1"/>
  <c r="BE548" i="1" s="1" a="1"/>
  <c r="BE548" i="1" s="1"/>
  <c r="AX548" i="1"/>
  <c r="M548" i="1"/>
  <c r="EM549" i="1"/>
  <c r="DU549" i="1"/>
  <c r="DT549" i="1"/>
  <c r="DN549" i="1"/>
  <c r="DM549" i="1"/>
  <c r="DL549" i="1"/>
  <c r="DK549" i="1"/>
  <c r="DI549" i="1"/>
  <c r="DJ549" i="1" s="1"/>
  <c r="DC549" i="1"/>
  <c r="CX549" i="1"/>
  <c r="CN549" i="1"/>
  <c r="CP549" i="1" s="1"/>
  <c r="BT549" i="1"/>
  <c r="BV549" i="1" s="1"/>
  <c r="BX549" i="1" s="1"/>
  <c r="BS549" i="1"/>
  <c r="BN549" i="1"/>
  <c r="BO549" i="1" s="1"/>
  <c r="BD549" i="1"/>
  <c r="BC549" i="1"/>
  <c r="BB549" i="1"/>
  <c r="BA549" i="1"/>
  <c r="AZ549" i="1"/>
  <c r="BF549" i="1" s="1" a="1"/>
  <c r="BF549" i="1" s="1"/>
  <c r="AY549" i="1"/>
  <c r="BE549" i="1" s="1" a="1"/>
  <c r="BE549" i="1" s="1"/>
  <c r="AX549" i="1"/>
  <c r="M549" i="1"/>
  <c r="EM557" i="1"/>
  <c r="DU557" i="1"/>
  <c r="DT557" i="1"/>
  <c r="DN557" i="1"/>
  <c r="DM557" i="1"/>
  <c r="DL557" i="1"/>
  <c r="DK557" i="1"/>
  <c r="DI557" i="1"/>
  <c r="DJ557" i="1" s="1"/>
  <c r="DC557" i="1"/>
  <c r="CX557" i="1"/>
  <c r="CN557" i="1"/>
  <c r="CO557" i="1" s="1"/>
  <c r="BT557" i="1"/>
  <c r="BS557" i="1"/>
  <c r="BN557" i="1"/>
  <c r="BO557" i="1" s="1"/>
  <c r="BD557" i="1"/>
  <c r="BC557" i="1"/>
  <c r="BB557" i="1"/>
  <c r="BA557" i="1"/>
  <c r="AZ557" i="1"/>
  <c r="AY557" i="1"/>
  <c r="BE557" i="1" s="1" a="1"/>
  <c r="BE557" i="1" s="1"/>
  <c r="AX557" i="1"/>
  <c r="M557" i="1"/>
  <c r="EM706" i="1"/>
  <c r="DU706" i="1"/>
  <c r="DT706" i="1"/>
  <c r="DN706" i="1"/>
  <c r="DM706" i="1"/>
  <c r="DL706" i="1"/>
  <c r="DK706" i="1"/>
  <c r="DI706" i="1"/>
  <c r="DJ706" i="1" s="1"/>
  <c r="DC706" i="1"/>
  <c r="CX706" i="1"/>
  <c r="CN706" i="1"/>
  <c r="CR706" i="1" s="1"/>
  <c r="BV706" i="1"/>
  <c r="BX706" i="1" s="1"/>
  <c r="BN706" i="1"/>
  <c r="BO706" i="1" s="1"/>
  <c r="BD706" i="1"/>
  <c r="BC706" i="1"/>
  <c r="BB706" i="1"/>
  <c r="BA706" i="1"/>
  <c r="AZ706" i="1"/>
  <c r="BF706" i="1" s="1" a="1"/>
  <c r="BF706" i="1" s="1"/>
  <c r="AY706" i="1"/>
  <c r="BE706" i="1" s="1" a="1"/>
  <c r="BE706" i="1" s="1"/>
  <c r="AX706" i="1"/>
  <c r="M706" i="1"/>
  <c r="EM982" i="1"/>
  <c r="DU982" i="1"/>
  <c r="DT982" i="1"/>
  <c r="DN982" i="1"/>
  <c r="DM982" i="1"/>
  <c r="DL982" i="1"/>
  <c r="DK982" i="1"/>
  <c r="DI982" i="1"/>
  <c r="DJ982" i="1" s="1"/>
  <c r="DC982" i="1"/>
  <c r="CX982" i="1"/>
  <c r="CN982" i="1"/>
  <c r="BT982" i="1"/>
  <c r="BS982" i="1"/>
  <c r="BN982" i="1"/>
  <c r="BO982" i="1" s="1"/>
  <c r="BD982" i="1"/>
  <c r="BC982" i="1"/>
  <c r="BB982" i="1"/>
  <c r="BA982" i="1"/>
  <c r="AZ982" i="1"/>
  <c r="BF982" i="1" s="1" a="1"/>
  <c r="BF982" i="1" s="1"/>
  <c r="AY982" i="1"/>
  <c r="BE982" i="1" s="1" a="1"/>
  <c r="BE982" i="1" s="1"/>
  <c r="AX982" i="1"/>
  <c r="M982" i="1"/>
  <c r="EM93" i="1"/>
  <c r="DU93" i="1"/>
  <c r="DT93" i="1"/>
  <c r="DN93" i="1"/>
  <c r="DM93" i="1"/>
  <c r="DL93" i="1"/>
  <c r="DK93" i="1"/>
  <c r="DI93" i="1"/>
  <c r="DJ93" i="1" s="1"/>
  <c r="DC93" i="1"/>
  <c r="CX93" i="1"/>
  <c r="CN93" i="1"/>
  <c r="BV93" i="1"/>
  <c r="BX93" i="1" s="1"/>
  <c r="BN93" i="1"/>
  <c r="BO93" i="1" s="1"/>
  <c r="BD93" i="1"/>
  <c r="BC93" i="1"/>
  <c r="BB93" i="1"/>
  <c r="BA93" i="1"/>
  <c r="AZ93" i="1"/>
  <c r="AY93" i="1"/>
  <c r="BE93" i="1" s="1" a="1"/>
  <c r="BE93" i="1" s="1"/>
  <c r="AX93" i="1"/>
  <c r="M93" i="1"/>
  <c r="EM917" i="1"/>
  <c r="DU917" i="1"/>
  <c r="DT917" i="1"/>
  <c r="DN917" i="1"/>
  <c r="DM917" i="1"/>
  <c r="DL917" i="1"/>
  <c r="DK917" i="1"/>
  <c r="DI917" i="1"/>
  <c r="DJ917" i="1" s="1"/>
  <c r="DC917" i="1"/>
  <c r="CX917" i="1"/>
  <c r="CN917" i="1"/>
  <c r="CO917" i="1" s="1"/>
  <c r="BT917" i="1"/>
  <c r="BS917" i="1"/>
  <c r="BN917" i="1"/>
  <c r="BO917" i="1" s="1"/>
  <c r="BD917" i="1"/>
  <c r="BC917" i="1"/>
  <c r="BB917" i="1"/>
  <c r="BA917" i="1"/>
  <c r="AZ917" i="1"/>
  <c r="BF917" i="1" s="1" a="1"/>
  <c r="BF917" i="1" s="1"/>
  <c r="AY917" i="1"/>
  <c r="BE917" i="1" s="1" a="1"/>
  <c r="BE917" i="1" s="1"/>
  <c r="AX917" i="1"/>
  <c r="M917" i="1"/>
  <c r="EM913" i="1"/>
  <c r="DU913" i="1"/>
  <c r="DT913" i="1"/>
  <c r="DN913" i="1"/>
  <c r="DM913" i="1"/>
  <c r="DL913" i="1"/>
  <c r="DK913" i="1"/>
  <c r="DI913" i="1"/>
  <c r="DJ913" i="1" s="1"/>
  <c r="DC913" i="1"/>
  <c r="CX913" i="1"/>
  <c r="CN913" i="1"/>
  <c r="CP913" i="1" s="1"/>
  <c r="BT913" i="1"/>
  <c r="BS913" i="1"/>
  <c r="BN913" i="1"/>
  <c r="BO913" i="1" s="1"/>
  <c r="BD913" i="1"/>
  <c r="BC913" i="1"/>
  <c r="BB913" i="1"/>
  <c r="BA913" i="1"/>
  <c r="AZ913" i="1"/>
  <c r="AY913" i="1"/>
  <c r="BE913" i="1" s="1" a="1"/>
  <c r="BE913" i="1" s="1"/>
  <c r="AX913" i="1"/>
  <c r="M913" i="1"/>
  <c r="EM882" i="1"/>
  <c r="DU882" i="1"/>
  <c r="DT882" i="1"/>
  <c r="DN882" i="1"/>
  <c r="DM882" i="1"/>
  <c r="DL882" i="1"/>
  <c r="DK882" i="1"/>
  <c r="DI882" i="1"/>
  <c r="DJ882" i="1" s="1"/>
  <c r="DC882" i="1"/>
  <c r="CX882" i="1"/>
  <c r="CN882" i="1"/>
  <c r="BT882" i="1"/>
  <c r="BS882" i="1"/>
  <c r="BN882" i="1"/>
  <c r="BO882" i="1" s="1"/>
  <c r="BD882" i="1"/>
  <c r="BC882" i="1"/>
  <c r="BB882" i="1"/>
  <c r="BA882" i="1"/>
  <c r="AZ882" i="1"/>
  <c r="BF882" i="1" s="1" a="1"/>
  <c r="BF882" i="1" s="1"/>
  <c r="AY882" i="1"/>
  <c r="BE882" i="1" s="1" a="1"/>
  <c r="BE882" i="1" s="1"/>
  <c r="AX882" i="1"/>
  <c r="M882" i="1"/>
  <c r="EM201" i="1"/>
  <c r="DU201" i="1"/>
  <c r="DT201" i="1"/>
  <c r="DN201" i="1"/>
  <c r="DM201" i="1"/>
  <c r="DL201" i="1"/>
  <c r="DK201" i="1"/>
  <c r="DI201" i="1"/>
  <c r="DJ201" i="1" s="1"/>
  <c r="DC201" i="1"/>
  <c r="CX201" i="1"/>
  <c r="CN201" i="1"/>
  <c r="CO201" i="1" s="1"/>
  <c r="BV201" i="1"/>
  <c r="BX201" i="1" s="1"/>
  <c r="BN201" i="1"/>
  <c r="BO201" i="1" s="1"/>
  <c r="BD201" i="1"/>
  <c r="BC201" i="1"/>
  <c r="BB201" i="1"/>
  <c r="BA201" i="1"/>
  <c r="AZ201" i="1"/>
  <c r="BF201" i="1" s="1" a="1"/>
  <c r="BF201" i="1" s="1"/>
  <c r="AY201" i="1"/>
  <c r="BE201" i="1" s="1" a="1"/>
  <c r="BE201" i="1" s="1"/>
  <c r="AX201" i="1"/>
  <c r="M201" i="1"/>
  <c r="EM816" i="1"/>
  <c r="DU816" i="1"/>
  <c r="DT816" i="1"/>
  <c r="DN816" i="1"/>
  <c r="DM816" i="1"/>
  <c r="DL816" i="1"/>
  <c r="DK816" i="1"/>
  <c r="DI816" i="1"/>
  <c r="DJ816" i="1" s="1"/>
  <c r="DC816" i="1"/>
  <c r="CX816" i="1"/>
  <c r="CN816" i="1"/>
  <c r="BT816" i="1"/>
  <c r="BS816" i="1"/>
  <c r="BN816" i="1"/>
  <c r="BO816" i="1" s="1"/>
  <c r="BD816" i="1"/>
  <c r="BC816" i="1"/>
  <c r="BB816" i="1"/>
  <c r="BA816" i="1"/>
  <c r="AZ816" i="1"/>
  <c r="BF816" i="1" s="1" a="1"/>
  <c r="BF816" i="1" s="1"/>
  <c r="AY816" i="1"/>
  <c r="BE816" i="1" s="1" a="1"/>
  <c r="BE816" i="1" s="1"/>
  <c r="AX816" i="1"/>
  <c r="M816" i="1"/>
  <c r="EM241" i="1"/>
  <c r="DU241" i="1"/>
  <c r="DT241" i="1"/>
  <c r="DN241" i="1"/>
  <c r="DM241" i="1"/>
  <c r="DL241" i="1"/>
  <c r="DK241" i="1"/>
  <c r="DI241" i="1"/>
  <c r="DJ241" i="1" s="1"/>
  <c r="DC241" i="1"/>
  <c r="CX241" i="1"/>
  <c r="CN241" i="1"/>
  <c r="BV241" i="1"/>
  <c r="BX241" i="1" s="1"/>
  <c r="BN241" i="1"/>
  <c r="BO241" i="1" s="1"/>
  <c r="BD241" i="1"/>
  <c r="BC241" i="1"/>
  <c r="BB241" i="1"/>
  <c r="BA241" i="1"/>
  <c r="AZ241" i="1"/>
  <c r="BF241" i="1" s="1" a="1"/>
  <c r="BF241" i="1" s="1"/>
  <c r="AY241" i="1"/>
  <c r="BE241" i="1" s="1" a="1"/>
  <c r="BE241" i="1" s="1"/>
  <c r="AX241" i="1"/>
  <c r="M241" i="1"/>
  <c r="EM288" i="1"/>
  <c r="DU288" i="1"/>
  <c r="DT288" i="1"/>
  <c r="DN288" i="1"/>
  <c r="DM288" i="1"/>
  <c r="DL288" i="1"/>
  <c r="DK288" i="1"/>
  <c r="DI288" i="1"/>
  <c r="DJ288" i="1" s="1"/>
  <c r="DC288" i="1"/>
  <c r="CX288" i="1"/>
  <c r="CN288" i="1"/>
  <c r="CO288" i="1" s="1"/>
  <c r="BT288" i="1"/>
  <c r="BS288" i="1"/>
  <c r="BN288" i="1"/>
  <c r="BO288" i="1" s="1"/>
  <c r="BD288" i="1"/>
  <c r="BC288" i="1"/>
  <c r="BB288" i="1"/>
  <c r="BA288" i="1"/>
  <c r="AZ288" i="1"/>
  <c r="AY288" i="1"/>
  <c r="BE288" i="1" s="1" a="1"/>
  <c r="BE288" i="1" s="1"/>
  <c r="AX288" i="1"/>
  <c r="M288" i="1"/>
  <c r="EM319" i="1"/>
  <c r="DU319" i="1"/>
  <c r="DT319" i="1"/>
  <c r="DN319" i="1"/>
  <c r="DM319" i="1"/>
  <c r="DL319" i="1"/>
  <c r="DK319" i="1"/>
  <c r="DI319" i="1"/>
  <c r="DJ319" i="1" s="1"/>
  <c r="DC319" i="1"/>
  <c r="CX319" i="1"/>
  <c r="CN319" i="1"/>
  <c r="BT319" i="1"/>
  <c r="BS319" i="1"/>
  <c r="BN319" i="1"/>
  <c r="BO319" i="1" s="1"/>
  <c r="BD319" i="1"/>
  <c r="BC319" i="1"/>
  <c r="BB319" i="1"/>
  <c r="BA319" i="1"/>
  <c r="AZ319" i="1"/>
  <c r="BF319" i="1" s="1" a="1"/>
  <c r="BF319" i="1" s="1"/>
  <c r="AY319" i="1"/>
  <c r="BE319" i="1" s="1" a="1"/>
  <c r="BE319" i="1" s="1"/>
  <c r="AX319" i="1"/>
  <c r="M319" i="1"/>
  <c r="EM333" i="1"/>
  <c r="DU333" i="1"/>
  <c r="DT333" i="1"/>
  <c r="DN333" i="1"/>
  <c r="DM333" i="1"/>
  <c r="DL333" i="1"/>
  <c r="DK333" i="1"/>
  <c r="DI333" i="1"/>
  <c r="DJ333" i="1" s="1"/>
  <c r="DC333" i="1"/>
  <c r="CX333" i="1"/>
  <c r="CN333" i="1"/>
  <c r="BT333" i="1"/>
  <c r="BS333" i="1"/>
  <c r="BN333" i="1"/>
  <c r="BO333" i="1" s="1"/>
  <c r="BD333" i="1"/>
  <c r="BC333" i="1"/>
  <c r="BB333" i="1"/>
  <c r="BA333" i="1"/>
  <c r="AZ333" i="1"/>
  <c r="AY333" i="1"/>
  <c r="BE333" i="1" s="1" a="1"/>
  <c r="BE333" i="1" s="1"/>
  <c r="AX333" i="1"/>
  <c r="M333" i="1"/>
  <c r="EM450" i="1"/>
  <c r="DU450" i="1"/>
  <c r="DT450" i="1"/>
  <c r="DN450" i="1"/>
  <c r="DM450" i="1"/>
  <c r="DL450" i="1"/>
  <c r="DK450" i="1"/>
  <c r="DI450" i="1"/>
  <c r="DJ450" i="1" s="1"/>
  <c r="DC450" i="1"/>
  <c r="CX450" i="1"/>
  <c r="CN450" i="1"/>
  <c r="CR450" i="1" s="1"/>
  <c r="BV450" i="1"/>
  <c r="BX450" i="1" s="1"/>
  <c r="BN450" i="1"/>
  <c r="BO450" i="1" s="1"/>
  <c r="BD450" i="1"/>
  <c r="BC450" i="1"/>
  <c r="BB450" i="1"/>
  <c r="BA450" i="1"/>
  <c r="AZ450" i="1"/>
  <c r="AY450" i="1"/>
  <c r="BE450" i="1" s="1" a="1"/>
  <c r="BE450" i="1" s="1"/>
  <c r="AX450" i="1"/>
  <c r="M450" i="1"/>
  <c r="EM449" i="1"/>
  <c r="DU449" i="1"/>
  <c r="DT449" i="1"/>
  <c r="DN449" i="1"/>
  <c r="DM449" i="1"/>
  <c r="DL449" i="1"/>
  <c r="DK449" i="1"/>
  <c r="DI449" i="1"/>
  <c r="DJ449" i="1" s="1"/>
  <c r="DC449" i="1"/>
  <c r="CX449" i="1"/>
  <c r="CN449" i="1"/>
  <c r="BV449" i="1"/>
  <c r="BX449" i="1" s="1"/>
  <c r="BN449" i="1"/>
  <c r="BO449" i="1" s="1"/>
  <c r="BD449" i="1"/>
  <c r="BC449" i="1"/>
  <c r="BB449" i="1"/>
  <c r="BA449" i="1"/>
  <c r="AZ449" i="1"/>
  <c r="BF449" i="1" s="1" a="1"/>
  <c r="BF449" i="1" s="1"/>
  <c r="AY449" i="1"/>
  <c r="BE449" i="1" s="1" a="1"/>
  <c r="BE449" i="1" s="1"/>
  <c r="AX449" i="1"/>
  <c r="M449" i="1"/>
  <c r="EM447" i="1"/>
  <c r="DU447" i="1"/>
  <c r="DT447" i="1"/>
  <c r="DN447" i="1"/>
  <c r="DM447" i="1"/>
  <c r="DL447" i="1"/>
  <c r="DK447" i="1"/>
  <c r="DI447" i="1"/>
  <c r="DJ447" i="1" s="1"/>
  <c r="DC447" i="1"/>
  <c r="CX447" i="1"/>
  <c r="CN447" i="1"/>
  <c r="BV447" i="1"/>
  <c r="BX447" i="1" s="1"/>
  <c r="BN447" i="1"/>
  <c r="BO447" i="1" s="1"/>
  <c r="BD447" i="1"/>
  <c r="BC447" i="1"/>
  <c r="BB447" i="1"/>
  <c r="BA447" i="1"/>
  <c r="AZ447" i="1"/>
  <c r="BF447" i="1" s="1" a="1"/>
  <c r="BF447" i="1" s="1"/>
  <c r="AY447" i="1"/>
  <c r="BE447" i="1" s="1" a="1"/>
  <c r="BE447" i="1" s="1"/>
  <c r="AX447" i="1"/>
  <c r="M447" i="1"/>
  <c r="EM561" i="1"/>
  <c r="DU561" i="1"/>
  <c r="DT561" i="1"/>
  <c r="DN561" i="1"/>
  <c r="DM561" i="1"/>
  <c r="DL561" i="1"/>
  <c r="DK561" i="1"/>
  <c r="DI561" i="1"/>
  <c r="DJ561" i="1" s="1"/>
  <c r="DC561" i="1"/>
  <c r="CX561" i="1"/>
  <c r="CN561" i="1"/>
  <c r="BT561" i="1"/>
  <c r="BS561" i="1"/>
  <c r="BN561" i="1"/>
  <c r="BO561" i="1" s="1"/>
  <c r="BD561" i="1"/>
  <c r="BC561" i="1"/>
  <c r="BB561" i="1"/>
  <c r="BA561" i="1"/>
  <c r="AZ561" i="1"/>
  <c r="AY561" i="1"/>
  <c r="BE561" i="1" s="1" a="1"/>
  <c r="BE561" i="1" s="1"/>
  <c r="AX561" i="1"/>
  <c r="M561" i="1"/>
  <c r="EM566" i="1"/>
  <c r="DU566" i="1"/>
  <c r="DT566" i="1"/>
  <c r="DN566" i="1"/>
  <c r="DM566" i="1"/>
  <c r="DL566" i="1"/>
  <c r="DK566" i="1"/>
  <c r="DI566" i="1"/>
  <c r="DJ566" i="1" s="1"/>
  <c r="DC566" i="1"/>
  <c r="CX566" i="1"/>
  <c r="CN566" i="1"/>
  <c r="CO566" i="1" s="1"/>
  <c r="BT566" i="1"/>
  <c r="BS566" i="1"/>
  <c r="BN566" i="1"/>
  <c r="BO566" i="1" s="1"/>
  <c r="BD566" i="1"/>
  <c r="BC566" i="1"/>
  <c r="BB566" i="1"/>
  <c r="BA566" i="1"/>
  <c r="AZ566" i="1"/>
  <c r="BF566" i="1" s="1" a="1"/>
  <c r="BF566" i="1" s="1"/>
  <c r="AY566" i="1"/>
  <c r="BE566" i="1" s="1" a="1"/>
  <c r="BE566" i="1" s="1"/>
  <c r="AX566" i="1"/>
  <c r="M566" i="1"/>
  <c r="EM567" i="1"/>
  <c r="DU567" i="1"/>
  <c r="DT567" i="1"/>
  <c r="DN567" i="1"/>
  <c r="DM567" i="1"/>
  <c r="DL567" i="1"/>
  <c r="DK567" i="1"/>
  <c r="DI567" i="1"/>
  <c r="DJ567" i="1" s="1"/>
  <c r="DC567" i="1"/>
  <c r="CX567" i="1"/>
  <c r="CN567" i="1"/>
  <c r="BT567" i="1"/>
  <c r="BV567" i="1" s="1"/>
  <c r="BX567" i="1" s="1"/>
  <c r="BS567" i="1"/>
  <c r="BN567" i="1"/>
  <c r="BO567" i="1" s="1"/>
  <c r="BD567" i="1"/>
  <c r="BC567" i="1"/>
  <c r="BB567" i="1"/>
  <c r="BA567" i="1"/>
  <c r="AZ567" i="1"/>
  <c r="BF567" i="1" s="1" a="1"/>
  <c r="BF567" i="1" s="1"/>
  <c r="AY567" i="1"/>
  <c r="BE567" i="1" s="1" a="1"/>
  <c r="BE567" i="1" s="1"/>
  <c r="AX567" i="1"/>
  <c r="M567" i="1"/>
  <c r="EM577" i="1"/>
  <c r="DU577" i="1"/>
  <c r="DT577" i="1"/>
  <c r="DN577" i="1"/>
  <c r="DM577" i="1"/>
  <c r="DL577" i="1"/>
  <c r="DK577" i="1"/>
  <c r="DI577" i="1"/>
  <c r="DJ577" i="1" s="1"/>
  <c r="DC577" i="1"/>
  <c r="CX577" i="1"/>
  <c r="CN577" i="1"/>
  <c r="CO577" i="1" s="1"/>
  <c r="BT577" i="1"/>
  <c r="BV577" i="1" s="1"/>
  <c r="BX577" i="1" s="1"/>
  <c r="BS577" i="1"/>
  <c r="BN577" i="1"/>
  <c r="BO577" i="1" s="1"/>
  <c r="BD577" i="1"/>
  <c r="BC577" i="1"/>
  <c r="BB577" i="1"/>
  <c r="BA577" i="1"/>
  <c r="AZ577" i="1"/>
  <c r="BF577" i="1" s="1" a="1"/>
  <c r="BF577" i="1" s="1"/>
  <c r="AY577" i="1"/>
  <c r="BE577" i="1" s="1" a="1"/>
  <c r="BE577" i="1" s="1"/>
  <c r="AX577" i="1"/>
  <c r="M577" i="1"/>
  <c r="EM592" i="1"/>
  <c r="DU592" i="1"/>
  <c r="DT592" i="1"/>
  <c r="DN592" i="1"/>
  <c r="DM592" i="1"/>
  <c r="DL592" i="1"/>
  <c r="DK592" i="1"/>
  <c r="DI592" i="1"/>
  <c r="DJ592" i="1" s="1"/>
  <c r="DC592" i="1"/>
  <c r="CX592" i="1"/>
  <c r="CN592" i="1"/>
  <c r="BT592" i="1"/>
  <c r="BS592" i="1"/>
  <c r="BN592" i="1"/>
  <c r="BO592" i="1" s="1"/>
  <c r="BD592" i="1"/>
  <c r="BC592" i="1"/>
  <c r="BB592" i="1"/>
  <c r="BA592" i="1"/>
  <c r="AZ592" i="1"/>
  <c r="AY592" i="1"/>
  <c r="BE592" i="1" s="1" a="1"/>
  <c r="BE592" i="1" s="1"/>
  <c r="AX592" i="1"/>
  <c r="M592" i="1"/>
  <c r="EM672" i="1"/>
  <c r="DU672" i="1"/>
  <c r="DT672" i="1"/>
  <c r="DN672" i="1"/>
  <c r="DM672" i="1"/>
  <c r="DL672" i="1"/>
  <c r="DK672" i="1"/>
  <c r="DI672" i="1"/>
  <c r="DJ672" i="1" s="1"/>
  <c r="DC672" i="1"/>
  <c r="CX672" i="1"/>
  <c r="CN672" i="1"/>
  <c r="BV672" i="1"/>
  <c r="BX672" i="1" s="1"/>
  <c r="BN672" i="1"/>
  <c r="BO672" i="1" s="1"/>
  <c r="BD672" i="1"/>
  <c r="BC672" i="1"/>
  <c r="BB672" i="1"/>
  <c r="BA672" i="1"/>
  <c r="AZ672" i="1"/>
  <c r="BF672" i="1" s="1" a="1"/>
  <c r="BF672" i="1" s="1"/>
  <c r="AY672" i="1"/>
  <c r="BE672" i="1" s="1" a="1"/>
  <c r="BE672" i="1" s="1"/>
  <c r="AX672" i="1"/>
  <c r="M672" i="1"/>
  <c r="EM831" i="1"/>
  <c r="DU831" i="1"/>
  <c r="DT831" i="1"/>
  <c r="DN831" i="1"/>
  <c r="DM831" i="1"/>
  <c r="DL831" i="1"/>
  <c r="DK831" i="1"/>
  <c r="DI831" i="1"/>
  <c r="DJ831" i="1" s="1"/>
  <c r="DC831" i="1"/>
  <c r="CX831" i="1"/>
  <c r="CN831" i="1"/>
  <c r="CO831" i="1" s="1"/>
  <c r="BV831" i="1"/>
  <c r="BX831" i="1" s="1"/>
  <c r="BN831" i="1"/>
  <c r="BO831" i="1" s="1"/>
  <c r="BD831" i="1"/>
  <c r="BC831" i="1"/>
  <c r="BB831" i="1"/>
  <c r="BA831" i="1"/>
  <c r="AZ831" i="1"/>
  <c r="BF831" i="1" s="1" a="1"/>
  <c r="BF831" i="1" s="1"/>
  <c r="AY831" i="1"/>
  <c r="BE831" i="1" s="1" a="1"/>
  <c r="BE831" i="1" s="1"/>
  <c r="AX831" i="1"/>
  <c r="M831" i="1"/>
  <c r="EM170" i="1"/>
  <c r="DU170" i="1"/>
  <c r="DT170" i="1"/>
  <c r="DN170" i="1"/>
  <c r="DM170" i="1"/>
  <c r="DL170" i="1"/>
  <c r="DK170" i="1"/>
  <c r="DI170" i="1"/>
  <c r="DJ170" i="1" s="1"/>
  <c r="DC170" i="1"/>
  <c r="CX170" i="1"/>
  <c r="CN170" i="1"/>
  <c r="BT170" i="1"/>
  <c r="BS170" i="1"/>
  <c r="BN170" i="1"/>
  <c r="BO170" i="1" s="1"/>
  <c r="BD170" i="1"/>
  <c r="BC170" i="1"/>
  <c r="BB170" i="1"/>
  <c r="BA170" i="1"/>
  <c r="AZ170" i="1"/>
  <c r="AY170" i="1"/>
  <c r="BE170" i="1" s="1" a="1"/>
  <c r="BE170" i="1" s="1"/>
  <c r="AX170" i="1"/>
  <c r="M170" i="1"/>
  <c r="EM106" i="1"/>
  <c r="DU106" i="1"/>
  <c r="DT106" i="1"/>
  <c r="DN106" i="1"/>
  <c r="DM106" i="1"/>
  <c r="DL106" i="1"/>
  <c r="DK106" i="1"/>
  <c r="DI106" i="1"/>
  <c r="DJ106" i="1" s="1"/>
  <c r="DC106" i="1"/>
  <c r="CX106" i="1"/>
  <c r="CN106" i="1"/>
  <c r="BT106" i="1"/>
  <c r="BS106" i="1"/>
  <c r="BN106" i="1"/>
  <c r="BO106" i="1" s="1"/>
  <c r="BD106" i="1"/>
  <c r="BC106" i="1"/>
  <c r="BB106" i="1"/>
  <c r="BA106" i="1"/>
  <c r="AZ106" i="1"/>
  <c r="BF106" i="1" s="1" a="1"/>
  <c r="BF106" i="1" s="1"/>
  <c r="AY106" i="1"/>
  <c r="BE106" i="1" s="1" a="1"/>
  <c r="BE106" i="1" s="1"/>
  <c r="AX106" i="1"/>
  <c r="M106" i="1"/>
  <c r="EM76" i="1"/>
  <c r="DU76" i="1"/>
  <c r="DT76" i="1"/>
  <c r="DN76" i="1"/>
  <c r="DM76" i="1"/>
  <c r="DL76" i="1"/>
  <c r="DK76" i="1"/>
  <c r="DI76" i="1"/>
  <c r="DJ76" i="1" s="1"/>
  <c r="DC76" i="1"/>
  <c r="CX76" i="1"/>
  <c r="CN76" i="1"/>
  <c r="CP76" i="1" s="1"/>
  <c r="BT76" i="1"/>
  <c r="BS76" i="1"/>
  <c r="BV76" i="1" s="1"/>
  <c r="BX76" i="1" s="1"/>
  <c r="BN76" i="1"/>
  <c r="BO76" i="1" s="1"/>
  <c r="BD76" i="1"/>
  <c r="BC76" i="1"/>
  <c r="BB76" i="1"/>
  <c r="BA76" i="1"/>
  <c r="AZ76" i="1"/>
  <c r="BF76" i="1" s="1" a="1"/>
  <c r="BF76" i="1" s="1"/>
  <c r="AY76" i="1"/>
  <c r="BE76" i="1" s="1" a="1"/>
  <c r="BE76" i="1" s="1"/>
  <c r="AX76" i="1"/>
  <c r="M76" i="1"/>
  <c r="EM868" i="1"/>
  <c r="DU868" i="1"/>
  <c r="DT868" i="1"/>
  <c r="DN868" i="1"/>
  <c r="DM868" i="1"/>
  <c r="DL868" i="1"/>
  <c r="DK868" i="1"/>
  <c r="DI868" i="1"/>
  <c r="DJ868" i="1" s="1"/>
  <c r="DC868" i="1"/>
  <c r="CX868" i="1"/>
  <c r="CN868" i="1"/>
  <c r="BX868" i="1"/>
  <c r="BY868" i="1" s="1"/>
  <c r="BN868" i="1"/>
  <c r="BM868" i="1"/>
  <c r="BD868" i="1"/>
  <c r="BC868" i="1"/>
  <c r="BB868" i="1"/>
  <c r="BA868" i="1"/>
  <c r="AZ868" i="1"/>
  <c r="AY868" i="1"/>
  <c r="BE868" i="1" s="1" a="1"/>
  <c r="BE868" i="1" s="1"/>
  <c r="AX868" i="1"/>
  <c r="M868" i="1"/>
  <c r="EM834" i="1"/>
  <c r="DU834" i="1"/>
  <c r="DT834" i="1"/>
  <c r="DN834" i="1"/>
  <c r="DM834" i="1"/>
  <c r="DL834" i="1"/>
  <c r="DK834" i="1"/>
  <c r="DI834" i="1"/>
  <c r="DJ834" i="1" s="1"/>
  <c r="DC834" i="1"/>
  <c r="CX834" i="1"/>
  <c r="CN834" i="1"/>
  <c r="BX834" i="1"/>
  <c r="BY834" i="1" s="1"/>
  <c r="BN834" i="1"/>
  <c r="BM834" i="1"/>
  <c r="BD834" i="1"/>
  <c r="BC834" i="1"/>
  <c r="BB834" i="1"/>
  <c r="BA834" i="1"/>
  <c r="AZ834" i="1"/>
  <c r="AY834" i="1"/>
  <c r="BE834" i="1" s="1" a="1"/>
  <c r="BE834" i="1" s="1"/>
  <c r="AX834" i="1"/>
  <c r="M834" i="1"/>
  <c r="EM732" i="1"/>
  <c r="DU732" i="1"/>
  <c r="DT732" i="1"/>
  <c r="DN732" i="1"/>
  <c r="DM732" i="1"/>
  <c r="DL732" i="1"/>
  <c r="DK732" i="1"/>
  <c r="DI732" i="1"/>
  <c r="DJ732" i="1" s="1"/>
  <c r="DC732" i="1"/>
  <c r="CX732" i="1"/>
  <c r="CN732" i="1"/>
  <c r="BX732" i="1"/>
  <c r="BY732" i="1" s="1"/>
  <c r="BN732" i="1"/>
  <c r="BM732" i="1"/>
  <c r="BD732" i="1"/>
  <c r="BC732" i="1"/>
  <c r="BB732" i="1"/>
  <c r="BA732" i="1"/>
  <c r="AZ732" i="1"/>
  <c r="BF732" i="1" s="1" a="1"/>
  <c r="BF732" i="1" s="1"/>
  <c r="AY732" i="1"/>
  <c r="BE732" i="1" s="1" a="1"/>
  <c r="BE732" i="1" s="1"/>
  <c r="AX732" i="1"/>
  <c r="M732" i="1"/>
  <c r="EM661" i="1"/>
  <c r="DU661" i="1"/>
  <c r="DT661" i="1"/>
  <c r="DN661" i="1"/>
  <c r="DM661" i="1"/>
  <c r="DL661" i="1"/>
  <c r="DK661" i="1"/>
  <c r="DI661" i="1"/>
  <c r="DJ661" i="1" s="1"/>
  <c r="DC661" i="1"/>
  <c r="CX661" i="1"/>
  <c r="CN661" i="1"/>
  <c r="CR661" i="1" s="1"/>
  <c r="BX661" i="1"/>
  <c r="BY661" i="1" s="1"/>
  <c r="BN661" i="1"/>
  <c r="BM661" i="1"/>
  <c r="BD661" i="1"/>
  <c r="BC661" i="1"/>
  <c r="BB661" i="1"/>
  <c r="BA661" i="1"/>
  <c r="AZ661" i="1"/>
  <c r="BF661" i="1" s="1" a="1"/>
  <c r="BF661" i="1" s="1"/>
  <c r="AY661" i="1"/>
  <c r="BE661" i="1" s="1" a="1"/>
  <c r="BE661" i="1" s="1"/>
  <c r="AX661" i="1"/>
  <c r="M661" i="1"/>
  <c r="EM266" i="1"/>
  <c r="DU266" i="1"/>
  <c r="DT266" i="1"/>
  <c r="DN266" i="1"/>
  <c r="DM266" i="1"/>
  <c r="DL266" i="1"/>
  <c r="DK266" i="1"/>
  <c r="DI266" i="1"/>
  <c r="DJ266" i="1" s="1"/>
  <c r="DC266" i="1"/>
  <c r="CX266" i="1"/>
  <c r="CN266" i="1"/>
  <c r="BV266" i="1"/>
  <c r="BX266" i="1" s="1"/>
  <c r="BY266" i="1" s="1"/>
  <c r="BN266" i="1"/>
  <c r="BM266" i="1"/>
  <c r="BD266" i="1"/>
  <c r="BC266" i="1"/>
  <c r="BB266" i="1"/>
  <c r="BA266" i="1"/>
  <c r="AZ266" i="1"/>
  <c r="BF266" i="1" s="1" a="1"/>
  <c r="BF266" i="1" s="1"/>
  <c r="AY266" i="1"/>
  <c r="BE266" i="1" s="1" a="1"/>
  <c r="BE266" i="1" s="1"/>
  <c r="AX266" i="1"/>
  <c r="M266" i="1"/>
  <c r="EM352" i="1"/>
  <c r="DU352" i="1"/>
  <c r="DT352" i="1"/>
  <c r="DN352" i="1"/>
  <c r="DM352" i="1"/>
  <c r="DL352" i="1"/>
  <c r="DK352" i="1"/>
  <c r="DI352" i="1"/>
  <c r="DJ352" i="1" s="1"/>
  <c r="DC352" i="1"/>
  <c r="CX352" i="1"/>
  <c r="CN352" i="1"/>
  <c r="CO352" i="1" s="1"/>
  <c r="BV352" i="1"/>
  <c r="BX352" i="1" s="1"/>
  <c r="BY352" i="1" s="1"/>
  <c r="BN352" i="1"/>
  <c r="BM352" i="1"/>
  <c r="BD352" i="1"/>
  <c r="BC352" i="1"/>
  <c r="BB352" i="1"/>
  <c r="BA352" i="1"/>
  <c r="AZ352" i="1"/>
  <c r="AY352" i="1"/>
  <c r="BE352" i="1" s="1" a="1"/>
  <c r="BE352" i="1" s="1"/>
  <c r="AX352" i="1"/>
  <c r="M352" i="1"/>
  <c r="EM793" i="1"/>
  <c r="DU793" i="1"/>
  <c r="DT793" i="1"/>
  <c r="DN793" i="1"/>
  <c r="DM793" i="1"/>
  <c r="DL793" i="1"/>
  <c r="DK793" i="1"/>
  <c r="DI793" i="1"/>
  <c r="DJ793" i="1" s="1"/>
  <c r="DC793" i="1"/>
  <c r="CX793" i="1"/>
  <c r="CN793" i="1"/>
  <c r="BX793" i="1"/>
  <c r="BY793" i="1" s="1"/>
  <c r="BN793" i="1"/>
  <c r="BM793" i="1"/>
  <c r="BD793" i="1"/>
  <c r="BC793" i="1"/>
  <c r="BB793" i="1"/>
  <c r="BA793" i="1"/>
  <c r="AZ793" i="1"/>
  <c r="BF793" i="1" s="1" a="1"/>
  <c r="BF793" i="1" s="1"/>
  <c r="AY793" i="1"/>
  <c r="BE793" i="1" s="1" a="1"/>
  <c r="BE793" i="1" s="1"/>
  <c r="AX793" i="1"/>
  <c r="M793" i="1"/>
  <c r="EM753" i="1"/>
  <c r="DU753" i="1"/>
  <c r="DT753" i="1"/>
  <c r="DN753" i="1"/>
  <c r="DM753" i="1"/>
  <c r="DL753" i="1"/>
  <c r="DK753" i="1"/>
  <c r="DI753" i="1"/>
  <c r="DJ753" i="1" s="1"/>
  <c r="DC753" i="1"/>
  <c r="CX753" i="1"/>
  <c r="CN753" i="1"/>
  <c r="CO753" i="1" s="1"/>
  <c r="BX753" i="1"/>
  <c r="BY753" i="1" s="1"/>
  <c r="BN753" i="1"/>
  <c r="BM753" i="1"/>
  <c r="BD753" i="1"/>
  <c r="BC753" i="1"/>
  <c r="BB753" i="1"/>
  <c r="BA753" i="1"/>
  <c r="AZ753" i="1"/>
  <c r="BF753" i="1" s="1" a="1"/>
  <c r="BF753" i="1" s="1"/>
  <c r="AY753" i="1"/>
  <c r="BE753" i="1" s="1" a="1"/>
  <c r="BE753" i="1" s="1"/>
  <c r="AX753" i="1"/>
  <c r="M753" i="1"/>
  <c r="EM696" i="1"/>
  <c r="DU696" i="1"/>
  <c r="DT696" i="1"/>
  <c r="DN696" i="1"/>
  <c r="DM696" i="1"/>
  <c r="DL696" i="1"/>
  <c r="DK696" i="1"/>
  <c r="DI696" i="1"/>
  <c r="DJ696" i="1" s="1"/>
  <c r="DC696" i="1"/>
  <c r="CX696" i="1"/>
  <c r="CN696" i="1"/>
  <c r="BX696" i="1"/>
  <c r="BY696" i="1" s="1"/>
  <c r="BN696" i="1"/>
  <c r="BM696" i="1"/>
  <c r="BD696" i="1"/>
  <c r="BC696" i="1"/>
  <c r="BB696" i="1"/>
  <c r="BA696" i="1"/>
  <c r="AZ696" i="1"/>
  <c r="BF696" i="1" s="1" a="1"/>
  <c r="BF696" i="1" s="1"/>
  <c r="AY696" i="1"/>
  <c r="BE696" i="1" s="1" a="1"/>
  <c r="BE696" i="1" s="1"/>
  <c r="AX696" i="1"/>
  <c r="M696" i="1"/>
  <c r="EM307" i="1"/>
  <c r="DU307" i="1"/>
  <c r="DT307" i="1"/>
  <c r="DN307" i="1"/>
  <c r="DM307" i="1"/>
  <c r="DL307" i="1"/>
  <c r="DK307" i="1"/>
  <c r="DI307" i="1"/>
  <c r="DJ307" i="1" s="1"/>
  <c r="DC307" i="1"/>
  <c r="CX307" i="1"/>
  <c r="CN307" i="1"/>
  <c r="BX307" i="1"/>
  <c r="BY307" i="1" s="1"/>
  <c r="BN307" i="1"/>
  <c r="BM307" i="1"/>
  <c r="BD307" i="1"/>
  <c r="BC307" i="1"/>
  <c r="BB307" i="1"/>
  <c r="BA307" i="1"/>
  <c r="AZ307" i="1"/>
  <c r="AY307" i="1"/>
  <c r="BE307" i="1" s="1" a="1"/>
  <c r="BE307" i="1" s="1"/>
  <c r="AX307" i="1"/>
  <c r="M307" i="1"/>
  <c r="EM214" i="1"/>
  <c r="DU214" i="1"/>
  <c r="DT214" i="1"/>
  <c r="DN214" i="1"/>
  <c r="DM214" i="1"/>
  <c r="DL214" i="1"/>
  <c r="DK214" i="1"/>
  <c r="DI214" i="1"/>
  <c r="DJ214" i="1" s="1"/>
  <c r="DC214" i="1"/>
  <c r="CX214" i="1"/>
  <c r="CN214" i="1"/>
  <c r="BX214" i="1"/>
  <c r="BY214" i="1" s="1"/>
  <c r="BN214" i="1"/>
  <c r="BM214" i="1"/>
  <c r="BD214" i="1"/>
  <c r="BC214" i="1"/>
  <c r="BB214" i="1"/>
  <c r="BA214" i="1"/>
  <c r="AZ214" i="1"/>
  <c r="BF214" i="1" s="1" a="1"/>
  <c r="BF214" i="1" s="1"/>
  <c r="AY214" i="1"/>
  <c r="BE214" i="1" s="1" a="1"/>
  <c r="BE214" i="1" s="1"/>
  <c r="AX214" i="1"/>
  <c r="M214" i="1"/>
  <c r="EM573" i="1"/>
  <c r="DU573" i="1"/>
  <c r="DT573" i="1"/>
  <c r="DN573" i="1"/>
  <c r="DM573" i="1"/>
  <c r="DL573" i="1"/>
  <c r="DK573" i="1"/>
  <c r="DI573" i="1"/>
  <c r="DJ573" i="1" s="1"/>
  <c r="DC573" i="1"/>
  <c r="CX573" i="1"/>
  <c r="CN573" i="1"/>
  <c r="BV573" i="1"/>
  <c r="BX573" i="1" s="1"/>
  <c r="BN573" i="1"/>
  <c r="BM573" i="1"/>
  <c r="BD573" i="1"/>
  <c r="BC573" i="1"/>
  <c r="BB573" i="1"/>
  <c r="BA573" i="1"/>
  <c r="AZ573" i="1"/>
  <c r="BF573" i="1" s="1" a="1"/>
  <c r="BF573" i="1" s="1"/>
  <c r="AY573" i="1"/>
  <c r="BE573" i="1" s="1" a="1"/>
  <c r="BE573" i="1" s="1"/>
  <c r="AX573" i="1"/>
  <c r="M573" i="1"/>
  <c r="EM556" i="1"/>
  <c r="DU556" i="1"/>
  <c r="DT556" i="1"/>
  <c r="DN556" i="1"/>
  <c r="DM556" i="1"/>
  <c r="DL556" i="1"/>
  <c r="DK556" i="1"/>
  <c r="DI556" i="1"/>
  <c r="DJ556" i="1" s="1"/>
  <c r="DC556" i="1"/>
  <c r="CX556" i="1"/>
  <c r="CN556" i="1"/>
  <c r="CS556" i="1" s="1"/>
  <c r="BV556" i="1"/>
  <c r="BX556" i="1" s="1"/>
  <c r="BN556" i="1"/>
  <c r="BM556" i="1"/>
  <c r="BD556" i="1"/>
  <c r="BC556" i="1"/>
  <c r="BB556" i="1"/>
  <c r="BA556" i="1"/>
  <c r="AZ556" i="1"/>
  <c r="BF556" i="1" s="1" a="1"/>
  <c r="BF556" i="1" s="1"/>
  <c r="AY556" i="1"/>
  <c r="BE556" i="1" s="1" a="1"/>
  <c r="BE556" i="1" s="1"/>
  <c r="AX556" i="1"/>
  <c r="M556" i="1"/>
  <c r="EM332" i="1"/>
  <c r="DU332" i="1"/>
  <c r="DN332" i="1"/>
  <c r="DM332" i="1"/>
  <c r="DL332" i="1"/>
  <c r="DK332" i="1"/>
  <c r="DI332" i="1"/>
  <c r="DJ332" i="1" s="1"/>
  <c r="DC332" i="1"/>
  <c r="CX332" i="1"/>
  <c r="CN332" i="1"/>
  <c r="CO332" i="1" s="1"/>
  <c r="BV332" i="1"/>
  <c r="BX332" i="1" s="1"/>
  <c r="BM332" i="1"/>
  <c r="BL332" i="1"/>
  <c r="BK332" i="1"/>
  <c r="BD332" i="1"/>
  <c r="BC332" i="1"/>
  <c r="BB332" i="1"/>
  <c r="BA332" i="1"/>
  <c r="AZ332" i="1"/>
  <c r="AY332" i="1"/>
  <c r="BE332" i="1" s="1" a="1"/>
  <c r="BE332" i="1" s="1"/>
  <c r="AX332" i="1"/>
  <c r="M332" i="1"/>
  <c r="EM55" i="1"/>
  <c r="DU55" i="1"/>
  <c r="DN55" i="1"/>
  <c r="DM55" i="1"/>
  <c r="DL55" i="1"/>
  <c r="DK55" i="1"/>
  <c r="DI55" i="1"/>
  <c r="DJ55" i="1" s="1"/>
  <c r="DC55" i="1"/>
  <c r="CX55" i="1"/>
  <c r="CN55" i="1"/>
  <c r="CR55" i="1" s="1"/>
  <c r="BV55" i="1"/>
  <c r="BX55" i="1" s="1"/>
  <c r="BU55" i="1"/>
  <c r="BN55" i="1"/>
  <c r="BO55" i="1" s="1"/>
  <c r="BM55" i="1"/>
  <c r="BD55" i="1"/>
  <c r="BC55" i="1"/>
  <c r="BB55" i="1"/>
  <c r="BA55" i="1"/>
  <c r="AZ55" i="1"/>
  <c r="BF55" i="1" s="1" a="1"/>
  <c r="BF55" i="1" s="1"/>
  <c r="AY55" i="1"/>
  <c r="BE55" i="1" s="1" a="1"/>
  <c r="BE55" i="1" s="1"/>
  <c r="AX55" i="1"/>
  <c r="M55" i="1"/>
  <c r="EM1145" i="1"/>
  <c r="DU1145" i="1"/>
  <c r="DT1145" i="1"/>
  <c r="DN1145" i="1"/>
  <c r="DM1145" i="1"/>
  <c r="DL1145" i="1"/>
  <c r="DK1145" i="1"/>
  <c r="DI1145" i="1"/>
  <c r="DJ1145" i="1" s="1"/>
  <c r="DC1145" i="1"/>
  <c r="CX1145" i="1"/>
  <c r="CN1145" i="1"/>
  <c r="BX1145" i="1"/>
  <c r="BN1145" i="1"/>
  <c r="BO1145" i="1" s="1"/>
  <c r="BM1145" i="1"/>
  <c r="BD1145" i="1"/>
  <c r="BC1145" i="1"/>
  <c r="BB1145" i="1"/>
  <c r="BA1145" i="1"/>
  <c r="AZ1145" i="1"/>
  <c r="BF1145" i="1" s="1" a="1"/>
  <c r="BF1145" i="1" s="1"/>
  <c r="AY1145" i="1"/>
  <c r="BE1145" i="1" s="1" a="1"/>
  <c r="BE1145" i="1" s="1"/>
  <c r="AX1145" i="1"/>
  <c r="M1145" i="1"/>
  <c r="EM908" i="1"/>
  <c r="DU908" i="1"/>
  <c r="DT908" i="1"/>
  <c r="DN908" i="1"/>
  <c r="DM908" i="1"/>
  <c r="DL908" i="1"/>
  <c r="DK908" i="1"/>
  <c r="DI908" i="1"/>
  <c r="DJ908" i="1" s="1"/>
  <c r="DC908" i="1"/>
  <c r="CX908" i="1"/>
  <c r="CN908" i="1"/>
  <c r="CO908" i="1" s="1"/>
  <c r="BX908" i="1"/>
  <c r="BN908" i="1"/>
  <c r="BO908" i="1" s="1"/>
  <c r="BM908" i="1"/>
  <c r="BD908" i="1"/>
  <c r="BC908" i="1"/>
  <c r="BB908" i="1"/>
  <c r="BA908" i="1"/>
  <c r="AZ908" i="1"/>
  <c r="BF908" i="1" s="1" a="1"/>
  <c r="BF908" i="1" s="1"/>
  <c r="AY908" i="1"/>
  <c r="BE908" i="1" s="1" a="1"/>
  <c r="BE908" i="1" s="1"/>
  <c r="AX908" i="1"/>
  <c r="M908" i="1"/>
  <c r="EM854" i="1"/>
  <c r="DU854" i="1"/>
  <c r="DT854" i="1"/>
  <c r="DN854" i="1"/>
  <c r="DM854" i="1"/>
  <c r="DL854" i="1"/>
  <c r="DK854" i="1"/>
  <c r="DI854" i="1"/>
  <c r="DJ854" i="1" s="1"/>
  <c r="DC854" i="1"/>
  <c r="CX854" i="1"/>
  <c r="CN854" i="1"/>
  <c r="BX854" i="1"/>
  <c r="BN854" i="1"/>
  <c r="BO854" i="1" s="1"/>
  <c r="BM854" i="1"/>
  <c r="BD854" i="1"/>
  <c r="BC854" i="1"/>
  <c r="BB854" i="1"/>
  <c r="BA854" i="1"/>
  <c r="AZ854" i="1"/>
  <c r="AY854" i="1"/>
  <c r="BE854" i="1" s="1" a="1"/>
  <c r="BE854" i="1" s="1"/>
  <c r="AX854" i="1"/>
  <c r="M854" i="1"/>
  <c r="EM306" i="1"/>
  <c r="DU306" i="1"/>
  <c r="DT306" i="1"/>
  <c r="DN306" i="1"/>
  <c r="DM306" i="1"/>
  <c r="DL306" i="1"/>
  <c r="DK306" i="1"/>
  <c r="DI306" i="1"/>
  <c r="DJ306" i="1" s="1"/>
  <c r="DC306" i="1"/>
  <c r="CX306" i="1"/>
  <c r="CN306" i="1"/>
  <c r="CO306" i="1" s="1"/>
  <c r="BX306" i="1"/>
  <c r="BN306" i="1"/>
  <c r="BO306" i="1" s="1"/>
  <c r="BM306" i="1"/>
  <c r="BD306" i="1"/>
  <c r="BC306" i="1"/>
  <c r="BB306" i="1"/>
  <c r="BA306" i="1"/>
  <c r="AZ306" i="1"/>
  <c r="BF306" i="1" s="1" a="1"/>
  <c r="BF306" i="1" s="1"/>
  <c r="AY306" i="1"/>
  <c r="BE306" i="1" s="1" a="1"/>
  <c r="BE306" i="1" s="1"/>
  <c r="AX306" i="1"/>
  <c r="M306" i="1"/>
  <c r="EM445" i="1"/>
  <c r="DU445" i="1"/>
  <c r="DT445" i="1"/>
  <c r="DN445" i="1"/>
  <c r="DM445" i="1"/>
  <c r="DL445" i="1"/>
  <c r="DK445" i="1"/>
  <c r="DI445" i="1"/>
  <c r="DJ445" i="1" s="1"/>
  <c r="DB445" i="1"/>
  <c r="DC445" i="1" s="1"/>
  <c r="CX445" i="1"/>
  <c r="CN445" i="1"/>
  <c r="BV445" i="1"/>
  <c r="BU445" i="1"/>
  <c r="BN445" i="1"/>
  <c r="BO445" i="1" s="1"/>
  <c r="BY445" i="1" s="1"/>
  <c r="BM445" i="1"/>
  <c r="BD445" i="1"/>
  <c r="BC445" i="1"/>
  <c r="BB445" i="1"/>
  <c r="BA445" i="1"/>
  <c r="AZ445" i="1"/>
  <c r="BF445" i="1" s="1" a="1"/>
  <c r="BF445" i="1" s="1"/>
  <c r="AY445" i="1"/>
  <c r="BE445" i="1" s="1" a="1"/>
  <c r="BE445" i="1" s="1"/>
  <c r="AX445" i="1"/>
  <c r="M445" i="1"/>
  <c r="EM444" i="1"/>
  <c r="DU444" i="1"/>
  <c r="DT444" i="1"/>
  <c r="DN444" i="1"/>
  <c r="DM444" i="1"/>
  <c r="DL444" i="1"/>
  <c r="DK444" i="1"/>
  <c r="DI444" i="1"/>
  <c r="DJ444" i="1" s="1"/>
  <c r="DB444" i="1"/>
  <c r="DC444" i="1" s="1"/>
  <c r="CX444" i="1"/>
  <c r="CN444" i="1"/>
  <c r="CP444" i="1" s="1"/>
  <c r="BV444" i="1"/>
  <c r="BU444" i="1"/>
  <c r="BN444" i="1"/>
  <c r="BO444" i="1" s="1"/>
  <c r="BM444" i="1"/>
  <c r="BD444" i="1"/>
  <c r="BC444" i="1"/>
  <c r="BB444" i="1"/>
  <c r="BA444" i="1"/>
  <c r="AZ444" i="1"/>
  <c r="BF444" i="1" s="1" a="1"/>
  <c r="BF444" i="1" s="1"/>
  <c r="AY444" i="1"/>
  <c r="BE444" i="1" s="1" a="1"/>
  <c r="BE444" i="1" s="1"/>
  <c r="AX444" i="1"/>
  <c r="M444" i="1"/>
  <c r="EM443" i="1"/>
  <c r="DU443" i="1"/>
  <c r="DT443" i="1"/>
  <c r="DN443" i="1"/>
  <c r="DM443" i="1"/>
  <c r="DL443" i="1"/>
  <c r="DK443" i="1"/>
  <c r="DI443" i="1"/>
  <c r="DJ443" i="1" s="1"/>
  <c r="DB443" i="1"/>
  <c r="DC443" i="1" s="1"/>
  <c r="CX443" i="1"/>
  <c r="CN443" i="1"/>
  <c r="CR443" i="1" s="1"/>
  <c r="BV443" i="1"/>
  <c r="BU443" i="1"/>
  <c r="BN443" i="1"/>
  <c r="BO443" i="1" s="1"/>
  <c r="BM443" i="1"/>
  <c r="BD443" i="1"/>
  <c r="BC443" i="1"/>
  <c r="BB443" i="1"/>
  <c r="BA443" i="1"/>
  <c r="AZ443" i="1"/>
  <c r="AY443" i="1"/>
  <c r="BE443" i="1" s="1" a="1"/>
  <c r="BE443" i="1" s="1"/>
  <c r="AX443" i="1"/>
  <c r="M443" i="1"/>
  <c r="EM946" i="1"/>
  <c r="DU946" i="1"/>
  <c r="DT946" i="1"/>
  <c r="DN946" i="1"/>
  <c r="DM946" i="1"/>
  <c r="DL946" i="1"/>
  <c r="DK946" i="1"/>
  <c r="DI946" i="1"/>
  <c r="DJ946" i="1" s="1"/>
  <c r="DC946" i="1"/>
  <c r="CX946" i="1"/>
  <c r="CN946" i="1"/>
  <c r="CR946" i="1" s="1"/>
  <c r="BV946" i="1"/>
  <c r="BX946" i="1" s="1"/>
  <c r="BN946" i="1"/>
  <c r="BO946" i="1" s="1"/>
  <c r="BD946" i="1"/>
  <c r="BC946" i="1"/>
  <c r="BB946" i="1"/>
  <c r="BA946" i="1"/>
  <c r="AZ946" i="1"/>
  <c r="AY946" i="1"/>
  <c r="BE946" i="1" s="1" a="1"/>
  <c r="BE946" i="1" s="1"/>
  <c r="AX946" i="1"/>
  <c r="M946" i="1"/>
  <c r="EM912" i="1"/>
  <c r="DU912" i="1"/>
  <c r="DT912" i="1"/>
  <c r="DN912" i="1"/>
  <c r="DM912" i="1"/>
  <c r="DL912" i="1"/>
  <c r="DK912" i="1"/>
  <c r="DI912" i="1"/>
  <c r="DJ912" i="1" s="1"/>
  <c r="DC912" i="1"/>
  <c r="CX912" i="1"/>
  <c r="CN912" i="1"/>
  <c r="CS912" i="1" s="1"/>
  <c r="BV912" i="1"/>
  <c r="BX912" i="1" s="1"/>
  <c r="BN912" i="1"/>
  <c r="BO912" i="1" s="1"/>
  <c r="BD912" i="1"/>
  <c r="BC912" i="1"/>
  <c r="BB912" i="1"/>
  <c r="BA912" i="1"/>
  <c r="AZ912" i="1"/>
  <c r="BF912" i="1" s="1" a="1"/>
  <c r="BF912" i="1" s="1"/>
  <c r="AY912" i="1"/>
  <c r="BE912" i="1" s="1" a="1"/>
  <c r="BE912" i="1" s="1"/>
  <c r="AX912" i="1"/>
  <c r="M912" i="1"/>
  <c r="EM1138" i="1"/>
  <c r="DU1138" i="1"/>
  <c r="DT1138" i="1"/>
  <c r="DN1138" i="1"/>
  <c r="DM1138" i="1"/>
  <c r="DL1138" i="1"/>
  <c r="DK1138" i="1"/>
  <c r="DI1138" i="1"/>
  <c r="DJ1138" i="1" s="1"/>
  <c r="DC1138" i="1"/>
  <c r="CX1138" i="1"/>
  <c r="CN1138" i="1"/>
  <c r="BV1138" i="1"/>
  <c r="BX1138" i="1" s="1"/>
  <c r="BN1138" i="1"/>
  <c r="BO1138" i="1" s="1"/>
  <c r="BD1138" i="1"/>
  <c r="BC1138" i="1"/>
  <c r="BB1138" i="1"/>
  <c r="BA1138" i="1"/>
  <c r="AZ1138" i="1"/>
  <c r="BF1138" i="1" s="1" a="1"/>
  <c r="BF1138" i="1" s="1"/>
  <c r="AY1138" i="1"/>
  <c r="BE1138" i="1" s="1" a="1"/>
  <c r="BE1138" i="1" s="1"/>
  <c r="AX1138" i="1"/>
  <c r="M1138" i="1"/>
  <c r="EM1137" i="1"/>
  <c r="DU1137" i="1"/>
  <c r="DT1137" i="1"/>
  <c r="DN1137" i="1"/>
  <c r="DM1137" i="1"/>
  <c r="DL1137" i="1"/>
  <c r="DK1137" i="1"/>
  <c r="DI1137" i="1"/>
  <c r="DJ1137" i="1" s="1"/>
  <c r="DC1137" i="1"/>
  <c r="CX1137" i="1"/>
  <c r="CN1137" i="1"/>
  <c r="CR1137" i="1" s="1"/>
  <c r="BV1137" i="1"/>
  <c r="BX1137" i="1" s="1"/>
  <c r="BN1137" i="1"/>
  <c r="BO1137" i="1" s="1"/>
  <c r="BD1137" i="1"/>
  <c r="BC1137" i="1"/>
  <c r="BB1137" i="1"/>
  <c r="BA1137" i="1"/>
  <c r="AZ1137" i="1"/>
  <c r="AY1137" i="1"/>
  <c r="BE1137" i="1" s="1" a="1"/>
  <c r="BE1137" i="1" s="1"/>
  <c r="AX1137" i="1"/>
  <c r="M1137" i="1"/>
  <c r="EM528" i="1"/>
  <c r="DU528" i="1"/>
  <c r="DT528" i="1"/>
  <c r="DN528" i="1"/>
  <c r="DM528" i="1"/>
  <c r="DL528" i="1"/>
  <c r="DK528" i="1"/>
  <c r="DI528" i="1"/>
  <c r="DJ528" i="1" s="1"/>
  <c r="DC528" i="1"/>
  <c r="CX528" i="1"/>
  <c r="BV528" i="1"/>
  <c r="BX528" i="1" s="1"/>
  <c r="BL528" i="1"/>
  <c r="BN528" i="1" s="1"/>
  <c r="BO528" i="1" s="1"/>
  <c r="BD528" i="1"/>
  <c r="BC528" i="1"/>
  <c r="BB528" i="1"/>
  <c r="BA528" i="1"/>
  <c r="AZ528" i="1"/>
  <c r="AY528" i="1"/>
  <c r="BE528" i="1" s="1" a="1"/>
  <c r="BE528" i="1" s="1"/>
  <c r="AX528" i="1"/>
  <c r="M528" i="1"/>
  <c r="EM25" i="1"/>
  <c r="DU25" i="1"/>
  <c r="DT25" i="1"/>
  <c r="DN25" i="1"/>
  <c r="DM25" i="1"/>
  <c r="DL25" i="1"/>
  <c r="DK25" i="1"/>
  <c r="DI25" i="1"/>
  <c r="DJ25" i="1" s="1"/>
  <c r="DC25" i="1"/>
  <c r="CX25" i="1"/>
  <c r="CN25" i="1"/>
  <c r="CO25" i="1" s="1"/>
  <c r="BX25" i="1"/>
  <c r="BN25" i="1"/>
  <c r="BO25" i="1" s="1"/>
  <c r="BD25" i="1"/>
  <c r="BC25" i="1"/>
  <c r="BB25" i="1"/>
  <c r="BA25" i="1"/>
  <c r="AZ25" i="1"/>
  <c r="AY25" i="1"/>
  <c r="BE25" i="1" s="1" a="1"/>
  <c r="BE25" i="1" s="1"/>
  <c r="AX25" i="1"/>
  <c r="M25" i="1"/>
  <c r="EM888" i="1"/>
  <c r="DU888" i="1"/>
  <c r="DT888" i="1"/>
  <c r="DN888" i="1"/>
  <c r="DM888" i="1"/>
  <c r="DL888" i="1"/>
  <c r="DK888" i="1"/>
  <c r="DI888" i="1"/>
  <c r="DJ888" i="1" s="1"/>
  <c r="DC888" i="1"/>
  <c r="CX888" i="1"/>
  <c r="CN888" i="1"/>
  <c r="CR888" i="1" s="1"/>
  <c r="BV888" i="1"/>
  <c r="BX888" i="1" s="1"/>
  <c r="BU888" i="1"/>
  <c r="BN888" i="1"/>
  <c r="BO888" i="1" s="1"/>
  <c r="BM888" i="1"/>
  <c r="BD888" i="1"/>
  <c r="BC888" i="1"/>
  <c r="BB888" i="1"/>
  <c r="BA888" i="1"/>
  <c r="AZ888" i="1"/>
  <c r="AY888" i="1"/>
  <c r="BE888" i="1" s="1" a="1"/>
  <c r="BE888" i="1" s="1"/>
  <c r="AX888" i="1"/>
  <c r="M888" i="1"/>
  <c r="EM132" i="1"/>
  <c r="DU132" i="1"/>
  <c r="DT132" i="1"/>
  <c r="DN132" i="1"/>
  <c r="DM132" i="1"/>
  <c r="DL132" i="1"/>
  <c r="DK132" i="1"/>
  <c r="DI132" i="1"/>
  <c r="DJ132" i="1" s="1"/>
  <c r="DC132" i="1"/>
  <c r="CX132" i="1"/>
  <c r="CN132" i="1"/>
  <c r="BV132" i="1"/>
  <c r="BX132" i="1" s="1"/>
  <c r="BU132" i="1"/>
  <c r="BN132" i="1"/>
  <c r="BO132" i="1" s="1"/>
  <c r="BM132" i="1"/>
  <c r="BD132" i="1"/>
  <c r="BC132" i="1"/>
  <c r="BB132" i="1"/>
  <c r="BA132" i="1"/>
  <c r="AZ132" i="1"/>
  <c r="BF132" i="1" s="1" a="1"/>
  <c r="BF132" i="1" s="1"/>
  <c r="AY132" i="1"/>
  <c r="BE132" i="1" s="1" a="1"/>
  <c r="BE132" i="1" s="1"/>
  <c r="AX132" i="1"/>
  <c r="M132" i="1"/>
  <c r="EM75" i="1"/>
  <c r="DU75" i="1"/>
  <c r="DT75" i="1"/>
  <c r="DN75" i="1"/>
  <c r="DM75" i="1"/>
  <c r="DL75" i="1"/>
  <c r="DK75" i="1"/>
  <c r="DI75" i="1"/>
  <c r="DJ75" i="1" s="1"/>
  <c r="DC75" i="1"/>
  <c r="CX75" i="1"/>
  <c r="CN75" i="1"/>
  <c r="CR75" i="1" s="1"/>
  <c r="BV75" i="1"/>
  <c r="BX75" i="1" s="1"/>
  <c r="BU75" i="1"/>
  <c r="BN75" i="1"/>
  <c r="BO75" i="1" s="1"/>
  <c r="BM75" i="1"/>
  <c r="BD75" i="1"/>
  <c r="BC75" i="1"/>
  <c r="BB75" i="1"/>
  <c r="BA75" i="1"/>
  <c r="AZ75" i="1"/>
  <c r="BF75" i="1" s="1" a="1"/>
  <c r="BF75" i="1" s="1"/>
  <c r="AY75" i="1"/>
  <c r="BE75" i="1" s="1" a="1"/>
  <c r="BE75" i="1" s="1"/>
  <c r="AX75" i="1"/>
  <c r="M75" i="1"/>
  <c r="EM29" i="1"/>
  <c r="DU29" i="1"/>
  <c r="DT29" i="1"/>
  <c r="DN29" i="1"/>
  <c r="DM29" i="1"/>
  <c r="DL29" i="1"/>
  <c r="DK29" i="1"/>
  <c r="DI29" i="1"/>
  <c r="DJ29" i="1" s="1"/>
  <c r="DC29" i="1"/>
  <c r="CX29" i="1"/>
  <c r="CN29" i="1"/>
  <c r="CS29" i="1" s="1"/>
  <c r="BV29" i="1"/>
  <c r="BX29" i="1" s="1"/>
  <c r="BU29" i="1"/>
  <c r="BN29" i="1"/>
  <c r="BO29" i="1" s="1"/>
  <c r="BM29" i="1"/>
  <c r="BD29" i="1"/>
  <c r="BC29" i="1"/>
  <c r="BB29" i="1"/>
  <c r="BA29" i="1"/>
  <c r="AZ29" i="1"/>
  <c r="BF29" i="1" s="1" a="1"/>
  <c r="BF29" i="1" s="1"/>
  <c r="AY29" i="1"/>
  <c r="BE29" i="1" s="1" a="1"/>
  <c r="BE29" i="1" s="1"/>
  <c r="AX29" i="1"/>
  <c r="M29" i="1"/>
  <c r="EM997" i="1"/>
  <c r="DU997" i="1"/>
  <c r="DT997" i="1"/>
  <c r="DN997" i="1"/>
  <c r="DM997" i="1"/>
  <c r="DL997" i="1"/>
  <c r="DK997" i="1"/>
  <c r="DI997" i="1"/>
  <c r="DJ997" i="1" s="1"/>
  <c r="DC997" i="1"/>
  <c r="CX997" i="1"/>
  <c r="CN997" i="1"/>
  <c r="CS997" i="1" s="1"/>
  <c r="BV997" i="1"/>
  <c r="BX997" i="1" s="1"/>
  <c r="BU997" i="1"/>
  <c r="BN997" i="1"/>
  <c r="BO997" i="1" s="1"/>
  <c r="BM997" i="1"/>
  <c r="BD997" i="1"/>
  <c r="BC997" i="1"/>
  <c r="BB997" i="1"/>
  <c r="BA997" i="1"/>
  <c r="AZ997" i="1"/>
  <c r="AY997" i="1"/>
  <c r="BE997" i="1" s="1" a="1"/>
  <c r="BE997" i="1" s="1"/>
  <c r="AX997" i="1"/>
  <c r="M997" i="1"/>
  <c r="EM1009" i="1"/>
  <c r="DU1009" i="1"/>
  <c r="DT1009" i="1"/>
  <c r="DN1009" i="1"/>
  <c r="DM1009" i="1"/>
  <c r="DL1009" i="1"/>
  <c r="DK1009" i="1"/>
  <c r="DI1009" i="1"/>
  <c r="DJ1009" i="1" s="1"/>
  <c r="DC1009" i="1"/>
  <c r="CX1009" i="1"/>
  <c r="CN1009" i="1"/>
  <c r="BV1009" i="1"/>
  <c r="BX1009" i="1" s="1"/>
  <c r="BU1009" i="1"/>
  <c r="BN1009" i="1"/>
  <c r="BO1009" i="1" s="1"/>
  <c r="BM1009" i="1"/>
  <c r="BD1009" i="1"/>
  <c r="BC1009" i="1"/>
  <c r="BB1009" i="1"/>
  <c r="BA1009" i="1"/>
  <c r="AZ1009" i="1"/>
  <c r="BF1009" i="1" s="1" a="1"/>
  <c r="BF1009" i="1" s="1"/>
  <c r="AY1009" i="1"/>
  <c r="BE1009" i="1" s="1" a="1"/>
  <c r="BE1009" i="1" s="1"/>
  <c r="AX1009" i="1"/>
  <c r="M1009" i="1"/>
  <c r="EM1006" i="1"/>
  <c r="DU1006" i="1"/>
  <c r="DT1006" i="1"/>
  <c r="DN1006" i="1"/>
  <c r="DM1006" i="1"/>
  <c r="DL1006" i="1"/>
  <c r="DK1006" i="1"/>
  <c r="DI1006" i="1"/>
  <c r="DJ1006" i="1" s="1"/>
  <c r="DC1006" i="1"/>
  <c r="CX1006" i="1"/>
  <c r="CN1006" i="1"/>
  <c r="CS1006" i="1" s="1"/>
  <c r="BV1006" i="1"/>
  <c r="BX1006" i="1" s="1"/>
  <c r="BU1006" i="1"/>
  <c r="BN1006" i="1"/>
  <c r="BO1006" i="1" s="1"/>
  <c r="BM1006" i="1"/>
  <c r="BD1006" i="1"/>
  <c r="BC1006" i="1"/>
  <c r="BB1006" i="1"/>
  <c r="BA1006" i="1"/>
  <c r="AZ1006" i="1"/>
  <c r="BF1006" i="1" s="1" a="1"/>
  <c r="BF1006" i="1" s="1"/>
  <c r="AY1006" i="1"/>
  <c r="BE1006" i="1" s="1" a="1"/>
  <c r="BE1006" i="1" s="1"/>
  <c r="AX1006" i="1"/>
  <c r="M1006" i="1"/>
  <c r="EM1005" i="1"/>
  <c r="DU1005" i="1"/>
  <c r="DT1005" i="1"/>
  <c r="DN1005" i="1"/>
  <c r="DM1005" i="1"/>
  <c r="DL1005" i="1"/>
  <c r="DK1005" i="1"/>
  <c r="DI1005" i="1"/>
  <c r="DJ1005" i="1" s="1"/>
  <c r="DC1005" i="1"/>
  <c r="CX1005" i="1"/>
  <c r="CN1005" i="1"/>
  <c r="CO1005" i="1" s="1"/>
  <c r="BV1005" i="1"/>
  <c r="BX1005" i="1" s="1"/>
  <c r="BU1005" i="1"/>
  <c r="BN1005" i="1"/>
  <c r="BO1005" i="1" s="1"/>
  <c r="BM1005" i="1"/>
  <c r="BD1005" i="1"/>
  <c r="BC1005" i="1"/>
  <c r="BB1005" i="1"/>
  <c r="BA1005" i="1"/>
  <c r="AZ1005" i="1"/>
  <c r="AY1005" i="1"/>
  <c r="BE1005" i="1" s="1" a="1"/>
  <c r="BE1005" i="1" s="1"/>
  <c r="AX1005" i="1"/>
  <c r="M1005" i="1"/>
  <c r="EM1004" i="1"/>
  <c r="DU1004" i="1"/>
  <c r="DT1004" i="1"/>
  <c r="DN1004" i="1"/>
  <c r="DM1004" i="1"/>
  <c r="DL1004" i="1"/>
  <c r="DK1004" i="1"/>
  <c r="DI1004" i="1"/>
  <c r="DJ1004" i="1" s="1"/>
  <c r="DC1004" i="1"/>
  <c r="CX1004" i="1"/>
  <c r="CN1004" i="1"/>
  <c r="BV1004" i="1"/>
  <c r="BX1004" i="1" s="1"/>
  <c r="BU1004" i="1"/>
  <c r="BN1004" i="1"/>
  <c r="BO1004" i="1" s="1"/>
  <c r="BM1004" i="1"/>
  <c r="BD1004" i="1"/>
  <c r="BC1004" i="1"/>
  <c r="BB1004" i="1"/>
  <c r="BA1004" i="1"/>
  <c r="AZ1004" i="1"/>
  <c r="AY1004" i="1"/>
  <c r="BE1004" i="1" s="1" a="1"/>
  <c r="BE1004" i="1" s="1"/>
  <c r="AX1004" i="1"/>
  <c r="M1004" i="1"/>
  <c r="EM1002" i="1"/>
  <c r="DU1002" i="1"/>
  <c r="DT1002" i="1"/>
  <c r="DN1002" i="1"/>
  <c r="DM1002" i="1"/>
  <c r="DL1002" i="1"/>
  <c r="DK1002" i="1"/>
  <c r="DI1002" i="1"/>
  <c r="DJ1002" i="1" s="1"/>
  <c r="DC1002" i="1"/>
  <c r="CX1002" i="1"/>
  <c r="CN1002" i="1"/>
  <c r="CP1002" i="1" s="1"/>
  <c r="BV1002" i="1"/>
  <c r="BX1002" i="1" s="1"/>
  <c r="BU1002" i="1"/>
  <c r="BN1002" i="1"/>
  <c r="BO1002" i="1" s="1"/>
  <c r="BM1002" i="1"/>
  <c r="BD1002" i="1"/>
  <c r="BC1002" i="1"/>
  <c r="BB1002" i="1"/>
  <c r="BA1002" i="1"/>
  <c r="AZ1002" i="1"/>
  <c r="BF1002" i="1" s="1" a="1"/>
  <c r="BF1002" i="1" s="1"/>
  <c r="AY1002" i="1"/>
  <c r="BE1002" i="1" s="1" a="1"/>
  <c r="BE1002" i="1" s="1"/>
  <c r="AX1002" i="1"/>
  <c r="M1002" i="1"/>
  <c r="EM1000" i="1"/>
  <c r="DU1000" i="1"/>
  <c r="DT1000" i="1"/>
  <c r="DN1000" i="1"/>
  <c r="DM1000" i="1"/>
  <c r="DL1000" i="1"/>
  <c r="DK1000" i="1"/>
  <c r="DI1000" i="1"/>
  <c r="DJ1000" i="1" s="1"/>
  <c r="DC1000" i="1"/>
  <c r="CX1000" i="1"/>
  <c r="CN1000" i="1"/>
  <c r="CO1000" i="1" s="1"/>
  <c r="BV1000" i="1"/>
  <c r="BX1000" i="1" s="1"/>
  <c r="BU1000" i="1"/>
  <c r="BN1000" i="1"/>
  <c r="BO1000" i="1" s="1"/>
  <c r="BM1000" i="1"/>
  <c r="BD1000" i="1"/>
  <c r="BC1000" i="1"/>
  <c r="BB1000" i="1"/>
  <c r="BA1000" i="1"/>
  <c r="AZ1000" i="1"/>
  <c r="BF1000" i="1" s="1" a="1"/>
  <c r="BF1000" i="1" s="1"/>
  <c r="AY1000" i="1"/>
  <c r="BE1000" i="1" s="1" a="1"/>
  <c r="BE1000" i="1" s="1"/>
  <c r="AX1000" i="1"/>
  <c r="M1000" i="1"/>
  <c r="EM998" i="1"/>
  <c r="DU998" i="1"/>
  <c r="DT998" i="1"/>
  <c r="DN998" i="1"/>
  <c r="DM998" i="1"/>
  <c r="DL998" i="1"/>
  <c r="DK998" i="1"/>
  <c r="DI998" i="1"/>
  <c r="DJ998" i="1" s="1"/>
  <c r="DC998" i="1"/>
  <c r="CX998" i="1"/>
  <c r="CN998" i="1"/>
  <c r="CP998" i="1" s="1"/>
  <c r="BV998" i="1"/>
  <c r="BX998" i="1" s="1"/>
  <c r="BU998" i="1"/>
  <c r="BN998" i="1"/>
  <c r="BO998" i="1" s="1"/>
  <c r="BM998" i="1"/>
  <c r="BD998" i="1"/>
  <c r="BC998" i="1"/>
  <c r="BB998" i="1"/>
  <c r="BA998" i="1"/>
  <c r="AZ998" i="1"/>
  <c r="BF998" i="1" s="1" a="1"/>
  <c r="BF998" i="1" s="1"/>
  <c r="AY998" i="1"/>
  <c r="BE998" i="1" s="1" a="1"/>
  <c r="BE998" i="1" s="1"/>
  <c r="AX998" i="1"/>
  <c r="M998" i="1"/>
  <c r="EM995" i="1"/>
  <c r="DU995" i="1"/>
  <c r="DT995" i="1"/>
  <c r="DN995" i="1"/>
  <c r="DM995" i="1"/>
  <c r="DL995" i="1"/>
  <c r="DK995" i="1"/>
  <c r="DI995" i="1"/>
  <c r="DJ995" i="1" s="1"/>
  <c r="DC995" i="1"/>
  <c r="CX995" i="1"/>
  <c r="CN995" i="1"/>
  <c r="CS995" i="1" s="1"/>
  <c r="BV995" i="1"/>
  <c r="BX995" i="1" s="1"/>
  <c r="BU995" i="1"/>
  <c r="BN995" i="1"/>
  <c r="BO995" i="1" s="1"/>
  <c r="BM995" i="1"/>
  <c r="BD995" i="1"/>
  <c r="BC995" i="1"/>
  <c r="BB995" i="1"/>
  <c r="BA995" i="1"/>
  <c r="AZ995" i="1"/>
  <c r="AY995" i="1"/>
  <c r="BE995" i="1" s="1" a="1"/>
  <c r="BE995" i="1" s="1"/>
  <c r="AX995" i="1"/>
  <c r="M995" i="1"/>
  <c r="EM439" i="1"/>
  <c r="DU439" i="1"/>
  <c r="DT439" i="1"/>
  <c r="DN439" i="1"/>
  <c r="DM439" i="1"/>
  <c r="DL439" i="1"/>
  <c r="DK439" i="1"/>
  <c r="DI439" i="1"/>
  <c r="DJ439" i="1" s="1"/>
  <c r="DC439" i="1"/>
  <c r="CX439" i="1"/>
  <c r="CN439" i="1"/>
  <c r="BX439" i="1"/>
  <c r="BO439" i="1"/>
  <c r="BD439" i="1"/>
  <c r="BC439" i="1"/>
  <c r="BB439" i="1"/>
  <c r="BA439" i="1"/>
  <c r="AZ439" i="1"/>
  <c r="AY439" i="1"/>
  <c r="BE439" i="1" s="1" a="1"/>
  <c r="BE439" i="1" s="1"/>
  <c r="AX439" i="1"/>
  <c r="M439" i="1"/>
  <c r="EM571" i="1"/>
  <c r="DT571" i="1"/>
  <c r="DN571" i="1"/>
  <c r="DM571" i="1"/>
  <c r="DL571" i="1"/>
  <c r="DK571" i="1"/>
  <c r="DJ571" i="1"/>
  <c r="DC571" i="1"/>
  <c r="CX571" i="1"/>
  <c r="CN571" i="1"/>
  <c r="BV571" i="1"/>
  <c r="BX571" i="1" s="1"/>
  <c r="BN571" i="1"/>
  <c r="BO571" i="1" s="1"/>
  <c r="BD571" i="1"/>
  <c r="BC571" i="1"/>
  <c r="BB571" i="1"/>
  <c r="BA571" i="1"/>
  <c r="AZ571" i="1"/>
  <c r="BF571" i="1" s="1" a="1"/>
  <c r="BF571" i="1" s="1"/>
  <c r="AY571" i="1"/>
  <c r="BE571" i="1" s="1" a="1"/>
  <c r="BE571" i="1" s="1"/>
  <c r="AX571" i="1"/>
  <c r="M571" i="1"/>
  <c r="EM578" i="1"/>
  <c r="DT578" i="1"/>
  <c r="DN578" i="1"/>
  <c r="DM578" i="1"/>
  <c r="DL578" i="1"/>
  <c r="DK578" i="1"/>
  <c r="DJ578" i="1"/>
  <c r="DC578" i="1"/>
  <c r="CX578" i="1"/>
  <c r="CN578" i="1"/>
  <c r="BV578" i="1"/>
  <c r="BX578" i="1" s="1"/>
  <c r="BN578" i="1"/>
  <c r="BO578" i="1" s="1"/>
  <c r="BD578" i="1"/>
  <c r="BC578" i="1"/>
  <c r="BB578" i="1"/>
  <c r="BA578" i="1"/>
  <c r="AZ578" i="1"/>
  <c r="AY578" i="1"/>
  <c r="BE578" i="1" s="1" a="1"/>
  <c r="BE578" i="1" s="1"/>
  <c r="AX578" i="1"/>
  <c r="M578" i="1"/>
  <c r="EM581" i="1"/>
  <c r="DT581" i="1"/>
  <c r="DN581" i="1"/>
  <c r="DM581" i="1"/>
  <c r="DL581" i="1"/>
  <c r="DK581" i="1"/>
  <c r="DJ581" i="1"/>
  <c r="DC581" i="1"/>
  <c r="CX581" i="1"/>
  <c r="CN581" i="1"/>
  <c r="CS581" i="1" s="1"/>
  <c r="BV581" i="1"/>
  <c r="BX581" i="1" s="1"/>
  <c r="BN581" i="1"/>
  <c r="BO581" i="1" s="1"/>
  <c r="BD581" i="1"/>
  <c r="BC581" i="1"/>
  <c r="BB581" i="1"/>
  <c r="BA581" i="1"/>
  <c r="AZ581" i="1"/>
  <c r="BF581" i="1" s="1" a="1"/>
  <c r="BF581" i="1" s="1"/>
  <c r="AY581" i="1"/>
  <c r="BE581" i="1" s="1" a="1"/>
  <c r="BE581" i="1" s="1"/>
  <c r="AX581" i="1"/>
  <c r="M581" i="1"/>
  <c r="EM586" i="1"/>
  <c r="DT586" i="1"/>
  <c r="DN586" i="1"/>
  <c r="DM586" i="1"/>
  <c r="DL586" i="1"/>
  <c r="DK586" i="1"/>
  <c r="DJ586" i="1"/>
  <c r="DC586" i="1"/>
  <c r="CX586" i="1"/>
  <c r="CN586" i="1"/>
  <c r="BV586" i="1"/>
  <c r="BX586" i="1" s="1"/>
  <c r="BN586" i="1"/>
  <c r="BO586" i="1" s="1"/>
  <c r="BD586" i="1"/>
  <c r="BC586" i="1"/>
  <c r="BB586" i="1"/>
  <c r="BA586" i="1"/>
  <c r="AZ586" i="1"/>
  <c r="AY586" i="1"/>
  <c r="BE586" i="1" s="1" a="1"/>
  <c r="BE586" i="1" s="1"/>
  <c r="AX586" i="1"/>
  <c r="M586" i="1"/>
  <c r="EM597" i="1"/>
  <c r="DT597" i="1"/>
  <c r="DN597" i="1"/>
  <c r="DM597" i="1"/>
  <c r="DL597" i="1"/>
  <c r="DK597" i="1"/>
  <c r="DJ597" i="1"/>
  <c r="DC597" i="1"/>
  <c r="CX597" i="1"/>
  <c r="CN597" i="1"/>
  <c r="CO597" i="1" s="1"/>
  <c r="BV597" i="1"/>
  <c r="BX597" i="1" s="1"/>
  <c r="BN597" i="1"/>
  <c r="BO597" i="1" s="1"/>
  <c r="BD597" i="1"/>
  <c r="BC597" i="1"/>
  <c r="BB597" i="1"/>
  <c r="BA597" i="1"/>
  <c r="AZ597" i="1"/>
  <c r="BF597" i="1" s="1" a="1"/>
  <c r="BF597" i="1" s="1"/>
  <c r="AY597" i="1"/>
  <c r="BE597" i="1" s="1" a="1"/>
  <c r="BE597" i="1" s="1"/>
  <c r="AX597" i="1"/>
  <c r="M597" i="1"/>
  <c r="EM600" i="1"/>
  <c r="DT600" i="1"/>
  <c r="DN600" i="1"/>
  <c r="DM600" i="1"/>
  <c r="DL600" i="1"/>
  <c r="DK600" i="1"/>
  <c r="DJ600" i="1"/>
  <c r="DC600" i="1"/>
  <c r="CX600" i="1"/>
  <c r="CN600" i="1"/>
  <c r="BV600" i="1"/>
  <c r="BX600" i="1" s="1"/>
  <c r="BN600" i="1"/>
  <c r="BO600" i="1" s="1"/>
  <c r="BD600" i="1"/>
  <c r="BC600" i="1"/>
  <c r="BB600" i="1"/>
  <c r="BA600" i="1"/>
  <c r="AZ600" i="1"/>
  <c r="AY600" i="1"/>
  <c r="BE600" i="1" s="1" a="1"/>
  <c r="BE600" i="1" s="1"/>
  <c r="AX600" i="1"/>
  <c r="M600" i="1"/>
  <c r="EM972" i="1"/>
  <c r="DU972" i="1"/>
  <c r="DT972" i="1"/>
  <c r="DN972" i="1"/>
  <c r="DM972" i="1"/>
  <c r="DL972" i="1"/>
  <c r="DK972" i="1"/>
  <c r="DI972" i="1"/>
  <c r="DJ972" i="1" s="1"/>
  <c r="DC972" i="1"/>
  <c r="CX972" i="1"/>
  <c r="CN972" i="1"/>
  <c r="CS972" i="1" s="1"/>
  <c r="BV972" i="1"/>
  <c r="BX972" i="1" s="1"/>
  <c r="BN972" i="1"/>
  <c r="BO972" i="1" s="1"/>
  <c r="BD972" i="1"/>
  <c r="BC972" i="1"/>
  <c r="BB972" i="1"/>
  <c r="BA972" i="1"/>
  <c r="AZ972" i="1"/>
  <c r="BF972" i="1" s="1" a="1"/>
  <c r="BF972" i="1" s="1"/>
  <c r="AY972" i="1"/>
  <c r="BE972" i="1" s="1" a="1"/>
  <c r="BE972" i="1" s="1"/>
  <c r="AX972" i="1"/>
  <c r="M972" i="1"/>
  <c r="EM970" i="1"/>
  <c r="DU970" i="1"/>
  <c r="DT970" i="1"/>
  <c r="DN970" i="1"/>
  <c r="DM970" i="1"/>
  <c r="DL970" i="1"/>
  <c r="DK970" i="1"/>
  <c r="DI970" i="1"/>
  <c r="DJ970" i="1" s="1"/>
  <c r="DC970" i="1"/>
  <c r="CX970" i="1"/>
  <c r="CN970" i="1"/>
  <c r="BT970" i="1"/>
  <c r="BS970" i="1"/>
  <c r="BN970" i="1"/>
  <c r="BO970" i="1" s="1"/>
  <c r="BD970" i="1"/>
  <c r="BC970" i="1"/>
  <c r="BB970" i="1"/>
  <c r="BA970" i="1"/>
  <c r="AZ970" i="1"/>
  <c r="AY970" i="1"/>
  <c r="BE970" i="1" s="1" a="1"/>
  <c r="BE970" i="1" s="1"/>
  <c r="AX970" i="1"/>
  <c r="M970" i="1"/>
  <c r="EM969" i="1"/>
  <c r="DU969" i="1"/>
  <c r="DT969" i="1"/>
  <c r="DN969" i="1"/>
  <c r="DM969" i="1"/>
  <c r="DL969" i="1"/>
  <c r="DK969" i="1"/>
  <c r="DI969" i="1"/>
  <c r="DJ969" i="1" s="1"/>
  <c r="DC969" i="1"/>
  <c r="CX969" i="1"/>
  <c r="CN969" i="1"/>
  <c r="CO969" i="1" s="1"/>
  <c r="BV969" i="1"/>
  <c r="BX969" i="1" s="1"/>
  <c r="BN969" i="1"/>
  <c r="BO969" i="1" s="1"/>
  <c r="BD969" i="1"/>
  <c r="BC969" i="1"/>
  <c r="BB969" i="1"/>
  <c r="BA969" i="1"/>
  <c r="AZ969" i="1"/>
  <c r="AY969" i="1"/>
  <c r="BE969" i="1" s="1" a="1"/>
  <c r="BE969" i="1" s="1"/>
  <c r="AX969" i="1"/>
  <c r="M969" i="1"/>
  <c r="EM932" i="1"/>
  <c r="DU932" i="1"/>
  <c r="DT932" i="1"/>
  <c r="DN932" i="1"/>
  <c r="DM932" i="1"/>
  <c r="DL932" i="1"/>
  <c r="DK932" i="1"/>
  <c r="DI932" i="1"/>
  <c r="DJ932" i="1" s="1"/>
  <c r="DC932" i="1"/>
  <c r="CX932" i="1"/>
  <c r="CN932" i="1"/>
  <c r="CO932" i="1" s="1"/>
  <c r="BT932" i="1"/>
  <c r="BS932" i="1"/>
  <c r="BN932" i="1"/>
  <c r="BO932" i="1" s="1"/>
  <c r="BD932" i="1"/>
  <c r="BC932" i="1"/>
  <c r="BB932" i="1"/>
  <c r="BA932" i="1"/>
  <c r="AZ932" i="1"/>
  <c r="BF932" i="1" s="1" a="1"/>
  <c r="BF932" i="1" s="1"/>
  <c r="AY932" i="1"/>
  <c r="BE932" i="1" s="1" a="1"/>
  <c r="BE932" i="1" s="1"/>
  <c r="AX932" i="1"/>
  <c r="M932" i="1"/>
  <c r="EM915" i="1"/>
  <c r="DU915" i="1"/>
  <c r="DT915" i="1"/>
  <c r="DN915" i="1"/>
  <c r="DM915" i="1"/>
  <c r="DL915" i="1"/>
  <c r="DK915" i="1"/>
  <c r="DI915" i="1"/>
  <c r="DJ915" i="1" s="1"/>
  <c r="DC915" i="1"/>
  <c r="CX915" i="1"/>
  <c r="CN915" i="1"/>
  <c r="BV915" i="1"/>
  <c r="BX915" i="1" s="1"/>
  <c r="BN915" i="1"/>
  <c r="BO915" i="1" s="1"/>
  <c r="BD915" i="1"/>
  <c r="BC915" i="1"/>
  <c r="BB915" i="1"/>
  <c r="BA915" i="1"/>
  <c r="AZ915" i="1"/>
  <c r="AY915" i="1"/>
  <c r="BE915" i="1" s="1" a="1"/>
  <c r="BE915" i="1" s="1"/>
  <c r="AX915" i="1"/>
  <c r="M915" i="1"/>
  <c r="EM862" i="1"/>
  <c r="DU862" i="1"/>
  <c r="DT862" i="1"/>
  <c r="DN862" i="1"/>
  <c r="DM862" i="1"/>
  <c r="DL862" i="1"/>
  <c r="DK862" i="1"/>
  <c r="DI862" i="1"/>
  <c r="DJ862" i="1" s="1"/>
  <c r="DC862" i="1"/>
  <c r="CX862" i="1"/>
  <c r="CN862" i="1"/>
  <c r="BT862" i="1"/>
  <c r="BS862" i="1"/>
  <c r="BN862" i="1"/>
  <c r="BO862" i="1" s="1"/>
  <c r="BD862" i="1"/>
  <c r="BC862" i="1"/>
  <c r="BB862" i="1"/>
  <c r="BA862" i="1"/>
  <c r="AZ862" i="1"/>
  <c r="BF862" i="1" s="1" a="1"/>
  <c r="BF862" i="1" s="1"/>
  <c r="AY862" i="1"/>
  <c r="BE862" i="1" s="1" a="1"/>
  <c r="BE862" i="1" s="1"/>
  <c r="AX862" i="1"/>
  <c r="M862" i="1"/>
  <c r="EM860" i="1"/>
  <c r="DU860" i="1"/>
  <c r="DT860" i="1"/>
  <c r="DN860" i="1"/>
  <c r="DM860" i="1"/>
  <c r="DL860" i="1"/>
  <c r="DK860" i="1"/>
  <c r="DI860" i="1"/>
  <c r="DJ860" i="1" s="1"/>
  <c r="DC860" i="1"/>
  <c r="CX860" i="1"/>
  <c r="CN860" i="1"/>
  <c r="CO860" i="1" s="1"/>
  <c r="BV860" i="1"/>
  <c r="BX860" i="1" s="1"/>
  <c r="BN860" i="1"/>
  <c r="BO860" i="1" s="1"/>
  <c r="BD860" i="1"/>
  <c r="BC860" i="1"/>
  <c r="BB860" i="1"/>
  <c r="BA860" i="1"/>
  <c r="AZ860" i="1"/>
  <c r="BF860" i="1" s="1" a="1"/>
  <c r="BF860" i="1" s="1"/>
  <c r="AY860" i="1"/>
  <c r="BE860" i="1" s="1" a="1"/>
  <c r="BE860" i="1" s="1"/>
  <c r="AX860" i="1"/>
  <c r="M860" i="1"/>
  <c r="EM851" i="1"/>
  <c r="DU851" i="1"/>
  <c r="DT851" i="1"/>
  <c r="DN851" i="1"/>
  <c r="DM851" i="1"/>
  <c r="DL851" i="1"/>
  <c r="DK851" i="1"/>
  <c r="DI851" i="1"/>
  <c r="DJ851" i="1" s="1"/>
  <c r="DC851" i="1"/>
  <c r="CX851" i="1"/>
  <c r="CN851" i="1"/>
  <c r="BV851" i="1"/>
  <c r="BX851" i="1" s="1"/>
  <c r="BN851" i="1"/>
  <c r="BO851" i="1" s="1"/>
  <c r="BD851" i="1"/>
  <c r="BC851" i="1"/>
  <c r="BB851" i="1"/>
  <c r="BA851" i="1"/>
  <c r="AZ851" i="1"/>
  <c r="AY851" i="1"/>
  <c r="BE851" i="1" s="1" a="1"/>
  <c r="BE851" i="1" s="1"/>
  <c r="AX851" i="1"/>
  <c r="M851" i="1"/>
  <c r="EM839" i="1"/>
  <c r="DU839" i="1"/>
  <c r="DT839" i="1"/>
  <c r="DN839" i="1"/>
  <c r="DM839" i="1"/>
  <c r="DL839" i="1"/>
  <c r="DK839" i="1"/>
  <c r="DI839" i="1"/>
  <c r="DJ839" i="1" s="1"/>
  <c r="DC839" i="1"/>
  <c r="CX839" i="1"/>
  <c r="CN839" i="1"/>
  <c r="CP839" i="1" s="1"/>
  <c r="BV839" i="1"/>
  <c r="BX839" i="1" s="1"/>
  <c r="BN839" i="1"/>
  <c r="BO839" i="1" s="1"/>
  <c r="BD839" i="1"/>
  <c r="BC839" i="1"/>
  <c r="BB839" i="1"/>
  <c r="BA839" i="1"/>
  <c r="AZ839" i="1"/>
  <c r="AY839" i="1"/>
  <c r="BE839" i="1" s="1" a="1"/>
  <c r="BE839" i="1" s="1"/>
  <c r="AX839" i="1"/>
  <c r="M839" i="1"/>
  <c r="EM818" i="1"/>
  <c r="DU818" i="1"/>
  <c r="DT818" i="1"/>
  <c r="DN818" i="1"/>
  <c r="DM818" i="1"/>
  <c r="DL818" i="1"/>
  <c r="DK818" i="1"/>
  <c r="DI818" i="1"/>
  <c r="DJ818" i="1" s="1"/>
  <c r="DC818" i="1"/>
  <c r="CX818" i="1"/>
  <c r="CN818" i="1"/>
  <c r="BV818" i="1"/>
  <c r="BX818" i="1" s="1"/>
  <c r="BN818" i="1"/>
  <c r="BO818" i="1" s="1"/>
  <c r="BD818" i="1"/>
  <c r="BC818" i="1"/>
  <c r="BB818" i="1"/>
  <c r="BA818" i="1"/>
  <c r="AZ818" i="1"/>
  <c r="BF818" i="1" s="1" a="1"/>
  <c r="BF818" i="1" s="1"/>
  <c r="AY818" i="1"/>
  <c r="BE818" i="1" s="1" a="1"/>
  <c r="BE818" i="1" s="1"/>
  <c r="AX818" i="1"/>
  <c r="M818" i="1"/>
  <c r="EM703" i="1"/>
  <c r="DU703" i="1"/>
  <c r="DT703" i="1"/>
  <c r="DN703" i="1"/>
  <c r="DM703" i="1"/>
  <c r="DL703" i="1"/>
  <c r="DK703" i="1"/>
  <c r="DI703" i="1"/>
  <c r="DJ703" i="1" s="1"/>
  <c r="DC703" i="1"/>
  <c r="CX703" i="1"/>
  <c r="CN703" i="1"/>
  <c r="BV703" i="1"/>
  <c r="BX703" i="1" s="1"/>
  <c r="BN703" i="1"/>
  <c r="BO703" i="1" s="1"/>
  <c r="BD703" i="1"/>
  <c r="BC703" i="1"/>
  <c r="BB703" i="1"/>
  <c r="BA703" i="1"/>
  <c r="AZ703" i="1"/>
  <c r="AY703" i="1"/>
  <c r="BE703" i="1" s="1" a="1"/>
  <c r="BE703" i="1" s="1"/>
  <c r="AX703" i="1"/>
  <c r="M703" i="1"/>
  <c r="EM674" i="1"/>
  <c r="DU674" i="1"/>
  <c r="DT674" i="1"/>
  <c r="DN674" i="1"/>
  <c r="DM674" i="1"/>
  <c r="DL674" i="1"/>
  <c r="DK674" i="1"/>
  <c r="DI674" i="1"/>
  <c r="DJ674" i="1" s="1"/>
  <c r="DC674" i="1"/>
  <c r="CX674" i="1"/>
  <c r="CN674" i="1"/>
  <c r="BV674" i="1"/>
  <c r="BX674" i="1" s="1"/>
  <c r="BN674" i="1"/>
  <c r="BO674" i="1" s="1"/>
  <c r="BD674" i="1"/>
  <c r="BC674" i="1"/>
  <c r="BB674" i="1"/>
  <c r="BA674" i="1"/>
  <c r="AZ674" i="1"/>
  <c r="AY674" i="1"/>
  <c r="BE674" i="1" s="1" a="1"/>
  <c r="BE674" i="1" s="1"/>
  <c r="AX674" i="1"/>
  <c r="M674" i="1"/>
  <c r="EM551" i="1"/>
  <c r="DU551" i="1"/>
  <c r="DT551" i="1"/>
  <c r="DN551" i="1"/>
  <c r="DM551" i="1"/>
  <c r="DL551" i="1"/>
  <c r="DK551" i="1"/>
  <c r="DI551" i="1"/>
  <c r="DJ551" i="1" s="1"/>
  <c r="DC551" i="1"/>
  <c r="CX551" i="1"/>
  <c r="CN551" i="1"/>
  <c r="CP551" i="1" s="1"/>
  <c r="BT551" i="1"/>
  <c r="BV551" i="1" s="1"/>
  <c r="BX551" i="1" s="1"/>
  <c r="BS551" i="1"/>
  <c r="BN551" i="1"/>
  <c r="BO551" i="1" s="1"/>
  <c r="BD551" i="1"/>
  <c r="BC551" i="1"/>
  <c r="BB551" i="1"/>
  <c r="BA551" i="1"/>
  <c r="AZ551" i="1"/>
  <c r="BF551" i="1" s="1" a="1"/>
  <c r="BF551" i="1" s="1"/>
  <c r="AY551" i="1"/>
  <c r="BE551" i="1" s="1" a="1"/>
  <c r="BE551" i="1" s="1"/>
  <c r="AX551" i="1"/>
  <c r="M551" i="1"/>
  <c r="EM287" i="1"/>
  <c r="DU287" i="1"/>
  <c r="DT287" i="1"/>
  <c r="DN287" i="1"/>
  <c r="DM287" i="1"/>
  <c r="DL287" i="1"/>
  <c r="DK287" i="1"/>
  <c r="DI287" i="1"/>
  <c r="DJ287" i="1" s="1"/>
  <c r="DC287" i="1"/>
  <c r="CX287" i="1"/>
  <c r="CN287" i="1"/>
  <c r="BV287" i="1"/>
  <c r="BX287" i="1" s="1"/>
  <c r="BN287" i="1"/>
  <c r="BO287" i="1" s="1"/>
  <c r="BD287" i="1"/>
  <c r="BC287" i="1"/>
  <c r="BB287" i="1"/>
  <c r="BA287" i="1"/>
  <c r="AZ287" i="1"/>
  <c r="AY287" i="1"/>
  <c r="BE287" i="1" s="1" a="1"/>
  <c r="BE287" i="1" s="1"/>
  <c r="AX287" i="1"/>
  <c r="M287" i="1"/>
  <c r="EM256" i="1"/>
  <c r="DU256" i="1"/>
  <c r="DT256" i="1"/>
  <c r="DN256" i="1"/>
  <c r="DM256" i="1"/>
  <c r="DL256" i="1"/>
  <c r="DK256" i="1"/>
  <c r="DI256" i="1"/>
  <c r="DJ256" i="1" s="1"/>
  <c r="DC256" i="1"/>
  <c r="CX256" i="1"/>
  <c r="CN256" i="1"/>
  <c r="BV256" i="1"/>
  <c r="BX256" i="1" s="1"/>
  <c r="BN256" i="1"/>
  <c r="BO256" i="1" s="1"/>
  <c r="BD256" i="1"/>
  <c r="BC256" i="1"/>
  <c r="BB256" i="1"/>
  <c r="BA256" i="1"/>
  <c r="AZ256" i="1"/>
  <c r="AY256" i="1"/>
  <c r="BE256" i="1" s="1" a="1"/>
  <c r="BE256" i="1" s="1"/>
  <c r="AX256" i="1"/>
  <c r="M256" i="1"/>
  <c r="EM1022" i="1"/>
  <c r="DU1022" i="1"/>
  <c r="DT1022" i="1"/>
  <c r="DN1022" i="1"/>
  <c r="DM1022" i="1"/>
  <c r="DL1022" i="1"/>
  <c r="DK1022" i="1"/>
  <c r="DI1022" i="1"/>
  <c r="DJ1022" i="1" s="1"/>
  <c r="DB1022" i="1"/>
  <c r="DC1022" i="1" s="1"/>
  <c r="CX1022" i="1"/>
  <c r="BT1022" i="1"/>
  <c r="BS1022" i="1"/>
  <c r="BO1022" i="1"/>
  <c r="BL1022" i="1"/>
  <c r="BK1022" i="1"/>
  <c r="BN1022" i="1" s="1"/>
  <c r="BD1022" i="1"/>
  <c r="BC1022" i="1"/>
  <c r="BB1022" i="1"/>
  <c r="BA1022" i="1"/>
  <c r="AZ1022" i="1"/>
  <c r="BF1022" i="1" s="1" a="1"/>
  <c r="BF1022" i="1" s="1"/>
  <c r="AY1022" i="1"/>
  <c r="BE1022" i="1" s="1" a="1"/>
  <c r="BE1022" i="1" s="1"/>
  <c r="AX1022" i="1"/>
  <c r="M1022" i="1"/>
  <c r="EM1015" i="1"/>
  <c r="DU1015" i="1"/>
  <c r="DT1015" i="1"/>
  <c r="DN1015" i="1"/>
  <c r="DM1015" i="1"/>
  <c r="DL1015" i="1"/>
  <c r="DK1015" i="1"/>
  <c r="DI1015" i="1"/>
  <c r="DJ1015" i="1" s="1"/>
  <c r="DB1015" i="1"/>
  <c r="DC1015" i="1" s="1"/>
  <c r="CX1015" i="1"/>
  <c r="BT1015" i="1"/>
  <c r="BV1015" i="1" s="1"/>
  <c r="BX1015" i="1" s="1"/>
  <c r="BS1015" i="1"/>
  <c r="BL1015" i="1"/>
  <c r="BK1015" i="1"/>
  <c r="CN1015" i="1" s="1"/>
  <c r="CO1015" i="1" s="1"/>
  <c r="BD1015" i="1"/>
  <c r="BC1015" i="1"/>
  <c r="BB1015" i="1"/>
  <c r="BA1015" i="1"/>
  <c r="AZ1015" i="1"/>
  <c r="BF1015" i="1" s="1" a="1"/>
  <c r="BF1015" i="1" s="1"/>
  <c r="AY1015" i="1"/>
  <c r="BE1015" i="1" s="1" a="1"/>
  <c r="BE1015" i="1" s="1"/>
  <c r="AX1015" i="1"/>
  <c r="M1015" i="1"/>
  <c r="EM806" i="1"/>
  <c r="DU806" i="1"/>
  <c r="DT806" i="1"/>
  <c r="DN806" i="1"/>
  <c r="DM806" i="1"/>
  <c r="DL806" i="1"/>
  <c r="DK806" i="1"/>
  <c r="DI806" i="1"/>
  <c r="DJ806" i="1" s="1"/>
  <c r="DB806" i="1"/>
  <c r="DC806" i="1" s="1"/>
  <c r="CX806" i="1"/>
  <c r="BT806" i="1"/>
  <c r="BS806" i="1"/>
  <c r="BL806" i="1"/>
  <c r="BK806" i="1"/>
  <c r="BD806" i="1"/>
  <c r="BC806" i="1"/>
  <c r="BB806" i="1"/>
  <c r="BA806" i="1"/>
  <c r="AZ806" i="1"/>
  <c r="AY806" i="1"/>
  <c r="BE806" i="1" s="1" a="1"/>
  <c r="BE806" i="1" s="1"/>
  <c r="AX806" i="1"/>
  <c r="M806" i="1"/>
  <c r="EM598" i="1"/>
  <c r="DU598" i="1"/>
  <c r="DT598" i="1"/>
  <c r="DN598" i="1"/>
  <c r="DM598" i="1"/>
  <c r="DL598" i="1"/>
  <c r="DK598" i="1"/>
  <c r="DI598" i="1"/>
  <c r="DJ598" i="1" s="1"/>
  <c r="DB598" i="1"/>
  <c r="DC598" i="1" s="1"/>
  <c r="CX598" i="1"/>
  <c r="BT598" i="1"/>
  <c r="BS598" i="1"/>
  <c r="BL598" i="1"/>
  <c r="BK598" i="1"/>
  <c r="BD598" i="1"/>
  <c r="BC598" i="1"/>
  <c r="BB598" i="1"/>
  <c r="BA598" i="1"/>
  <c r="AZ598" i="1"/>
  <c r="AY598" i="1"/>
  <c r="BE598" i="1" s="1" a="1"/>
  <c r="BE598" i="1" s="1"/>
  <c r="AX598" i="1"/>
  <c r="M598" i="1"/>
  <c r="EM660" i="1"/>
  <c r="DU660" i="1"/>
  <c r="DT660" i="1"/>
  <c r="DN660" i="1"/>
  <c r="DM660" i="1"/>
  <c r="DL660" i="1"/>
  <c r="DK660" i="1"/>
  <c r="DI660" i="1"/>
  <c r="DJ660" i="1" s="1"/>
  <c r="DB660" i="1"/>
  <c r="DC660" i="1" s="1"/>
  <c r="CX660" i="1"/>
  <c r="BT660" i="1"/>
  <c r="BV660" i="1" s="1"/>
  <c r="BX660" i="1" s="1"/>
  <c r="BS660" i="1"/>
  <c r="BL660" i="1"/>
  <c r="BK660" i="1"/>
  <c r="BD660" i="1"/>
  <c r="BC660" i="1"/>
  <c r="BB660" i="1"/>
  <c r="BA660" i="1"/>
  <c r="AZ660" i="1"/>
  <c r="BF660" i="1" s="1" a="1"/>
  <c r="BF660" i="1" s="1"/>
  <c r="AY660" i="1"/>
  <c r="AX660" i="1"/>
  <c r="M660" i="1"/>
  <c r="EM442" i="1"/>
  <c r="DU442" i="1"/>
  <c r="DT442" i="1"/>
  <c r="DN442" i="1"/>
  <c r="DM442" i="1"/>
  <c r="DL442" i="1"/>
  <c r="DK442" i="1"/>
  <c r="DI442" i="1"/>
  <c r="DJ442" i="1" s="1"/>
  <c r="DB442" i="1"/>
  <c r="DC442" i="1" s="1"/>
  <c r="CX442" i="1"/>
  <c r="BT442" i="1"/>
  <c r="BS442" i="1"/>
  <c r="BL442" i="1"/>
  <c r="BK442" i="1"/>
  <c r="BO442" i="1" s="1"/>
  <c r="BD442" i="1"/>
  <c r="BC442" i="1"/>
  <c r="BB442" i="1"/>
  <c r="BA442" i="1"/>
  <c r="AZ442" i="1"/>
  <c r="BF442" i="1" s="1" a="1"/>
  <c r="BF442" i="1" s="1"/>
  <c r="AY442" i="1"/>
  <c r="AX442" i="1"/>
  <c r="M442" i="1"/>
  <c r="EM299" i="1"/>
  <c r="DU299" i="1"/>
  <c r="DT299" i="1"/>
  <c r="DN299" i="1"/>
  <c r="DM299" i="1"/>
  <c r="DL299" i="1"/>
  <c r="DK299" i="1"/>
  <c r="DI299" i="1"/>
  <c r="DJ299" i="1" s="1"/>
  <c r="DB299" i="1"/>
  <c r="DC299" i="1" s="1"/>
  <c r="CX299" i="1"/>
  <c r="BT299" i="1"/>
  <c r="BV299" i="1" s="1"/>
  <c r="BX299" i="1" s="1"/>
  <c r="BS299" i="1"/>
  <c r="BL299" i="1"/>
  <c r="BK299" i="1"/>
  <c r="BD299" i="1"/>
  <c r="BC299" i="1"/>
  <c r="BB299" i="1"/>
  <c r="BA299" i="1"/>
  <c r="AZ299" i="1"/>
  <c r="AY299" i="1"/>
  <c r="AX299" i="1"/>
  <c r="M299" i="1"/>
  <c r="EM267" i="1"/>
  <c r="DU267" i="1"/>
  <c r="DT267" i="1"/>
  <c r="DN267" i="1"/>
  <c r="DM267" i="1"/>
  <c r="DL267" i="1"/>
  <c r="DK267" i="1"/>
  <c r="DI267" i="1"/>
  <c r="DJ267" i="1" s="1"/>
  <c r="DB267" i="1"/>
  <c r="DC267" i="1" s="1"/>
  <c r="CX267" i="1"/>
  <c r="BT267" i="1"/>
  <c r="BV267" i="1" s="1"/>
  <c r="BX267" i="1" s="1"/>
  <c r="BS267" i="1"/>
  <c r="BL267" i="1"/>
  <c r="BK267" i="1"/>
  <c r="BD267" i="1"/>
  <c r="BC267" i="1"/>
  <c r="BB267" i="1"/>
  <c r="BA267" i="1"/>
  <c r="AZ267" i="1"/>
  <c r="AY267" i="1"/>
  <c r="AX267" i="1"/>
  <c r="M267" i="1"/>
  <c r="EM698" i="1"/>
  <c r="DU698" i="1"/>
  <c r="DT698" i="1"/>
  <c r="DN698" i="1"/>
  <c r="DM698" i="1"/>
  <c r="DL698" i="1"/>
  <c r="DK698" i="1"/>
  <c r="DI698" i="1"/>
  <c r="DJ698" i="1" s="1"/>
  <c r="DB698" i="1"/>
  <c r="DC698" i="1" s="1"/>
  <c r="CX698" i="1"/>
  <c r="BT698" i="1"/>
  <c r="BV698" i="1" s="1"/>
  <c r="BX698" i="1" s="1"/>
  <c r="BS698" i="1"/>
  <c r="BL698" i="1"/>
  <c r="BK698" i="1"/>
  <c r="BD698" i="1"/>
  <c r="BC698" i="1"/>
  <c r="BB698" i="1"/>
  <c r="BA698" i="1"/>
  <c r="AZ698" i="1"/>
  <c r="BF698" i="1" s="1" a="1"/>
  <c r="BF698" i="1" s="1"/>
  <c r="AY698" i="1"/>
  <c r="BE698" i="1" s="1" a="1"/>
  <c r="BE698" i="1" s="1"/>
  <c r="AX698" i="1"/>
  <c r="M698" i="1"/>
  <c r="EM334" i="1"/>
  <c r="DU334" i="1"/>
  <c r="DT334" i="1"/>
  <c r="DN334" i="1"/>
  <c r="DM334" i="1"/>
  <c r="DL334" i="1"/>
  <c r="DK334" i="1"/>
  <c r="DI334" i="1"/>
  <c r="DJ334" i="1" s="1"/>
  <c r="DB334" i="1"/>
  <c r="DC334" i="1" s="1"/>
  <c r="CX334" i="1"/>
  <c r="BT334" i="1"/>
  <c r="BS334" i="1"/>
  <c r="BL334" i="1"/>
  <c r="BK334" i="1"/>
  <c r="BD334" i="1"/>
  <c r="BC334" i="1"/>
  <c r="BB334" i="1"/>
  <c r="BA334" i="1"/>
  <c r="AZ334" i="1"/>
  <c r="BF334" i="1" s="1" a="1"/>
  <c r="BF334" i="1" s="1"/>
  <c r="AY334" i="1"/>
  <c r="BE334" i="1" s="1" a="1"/>
  <c r="BE334" i="1" s="1"/>
  <c r="AX334" i="1"/>
  <c r="M334" i="1"/>
  <c r="EM717" i="1"/>
  <c r="DU717" i="1"/>
  <c r="DT717" i="1"/>
  <c r="DN717" i="1"/>
  <c r="DM717" i="1"/>
  <c r="DL717" i="1"/>
  <c r="DK717" i="1"/>
  <c r="DI717" i="1"/>
  <c r="DJ717" i="1" s="1"/>
  <c r="DC717" i="1"/>
  <c r="DA717" i="1"/>
  <c r="CX717" i="1"/>
  <c r="CN717" i="1"/>
  <c r="BU717" i="1"/>
  <c r="BO717" i="1"/>
  <c r="BD717" i="1"/>
  <c r="BC717" i="1"/>
  <c r="BB717" i="1"/>
  <c r="BA717" i="1"/>
  <c r="AZ717" i="1"/>
  <c r="BF717" i="1" s="1" a="1"/>
  <c r="BF717" i="1" s="1"/>
  <c r="AY717" i="1"/>
  <c r="BE717" i="1" s="1" a="1"/>
  <c r="BE717" i="1" s="1"/>
  <c r="AX717" i="1"/>
  <c r="M717" i="1"/>
  <c r="EM1013" i="1"/>
  <c r="DU1013" i="1"/>
  <c r="DT1013" i="1"/>
  <c r="DN1013" i="1"/>
  <c r="DM1013" i="1"/>
  <c r="DL1013" i="1"/>
  <c r="DK1013" i="1"/>
  <c r="DI1013" i="1"/>
  <c r="DJ1013" i="1" s="1"/>
  <c r="DC1013" i="1"/>
  <c r="CX1013" i="1"/>
  <c r="CN1013" i="1"/>
  <c r="BX1013" i="1"/>
  <c r="BU1013" i="1"/>
  <c r="BN1013" i="1"/>
  <c r="BO1013" i="1" s="1"/>
  <c r="BM1013" i="1"/>
  <c r="BD1013" i="1"/>
  <c r="BC1013" i="1"/>
  <c r="BB1013" i="1"/>
  <c r="BA1013" i="1"/>
  <c r="AZ1013" i="1"/>
  <c r="BF1013" i="1" s="1" a="1"/>
  <c r="BF1013" i="1" s="1"/>
  <c r="AY1013" i="1"/>
  <c r="BE1013" i="1" s="1" a="1"/>
  <c r="BE1013" i="1" s="1"/>
  <c r="AX1013" i="1"/>
  <c r="M1013" i="1"/>
  <c r="EM1008" i="1"/>
  <c r="DU1008" i="1"/>
  <c r="DT1008" i="1"/>
  <c r="DN1008" i="1"/>
  <c r="DM1008" i="1"/>
  <c r="DL1008" i="1"/>
  <c r="DK1008" i="1"/>
  <c r="DI1008" i="1"/>
  <c r="DJ1008" i="1" s="1"/>
  <c r="DC1008" i="1"/>
  <c r="CX1008" i="1"/>
  <c r="CN1008" i="1"/>
  <c r="BX1008" i="1"/>
  <c r="BU1008" i="1"/>
  <c r="BN1008" i="1"/>
  <c r="BO1008" i="1" s="1"/>
  <c r="BM1008" i="1"/>
  <c r="BD1008" i="1"/>
  <c r="BC1008" i="1"/>
  <c r="BB1008" i="1"/>
  <c r="BA1008" i="1"/>
  <c r="AZ1008" i="1"/>
  <c r="AY1008" i="1"/>
  <c r="BE1008" i="1" s="1" a="1"/>
  <c r="BE1008" i="1" s="1"/>
  <c r="AX1008" i="1"/>
  <c r="M1008" i="1"/>
  <c r="EM987" i="1"/>
  <c r="DU987" i="1"/>
  <c r="DT987" i="1"/>
  <c r="DN987" i="1"/>
  <c r="DM987" i="1"/>
  <c r="DL987" i="1"/>
  <c r="DK987" i="1"/>
  <c r="DI987" i="1"/>
  <c r="DJ987" i="1" s="1"/>
  <c r="DC987" i="1"/>
  <c r="CX987" i="1"/>
  <c r="CN987" i="1"/>
  <c r="CR987" i="1" s="1"/>
  <c r="BX987" i="1"/>
  <c r="BU987" i="1"/>
  <c r="BN987" i="1"/>
  <c r="BO987" i="1" s="1"/>
  <c r="BM987" i="1"/>
  <c r="BD987" i="1"/>
  <c r="BC987" i="1"/>
  <c r="BB987" i="1"/>
  <c r="BA987" i="1"/>
  <c r="AZ987" i="1"/>
  <c r="AY987" i="1"/>
  <c r="BE987" i="1" s="1" a="1"/>
  <c r="BE987" i="1" s="1"/>
  <c r="AX987" i="1"/>
  <c r="M987" i="1"/>
  <c r="EM979" i="1"/>
  <c r="DU979" i="1"/>
  <c r="DT979" i="1"/>
  <c r="DN979" i="1"/>
  <c r="DM979" i="1"/>
  <c r="DL979" i="1"/>
  <c r="DK979" i="1"/>
  <c r="DI979" i="1"/>
  <c r="DJ979" i="1" s="1"/>
  <c r="DC979" i="1"/>
  <c r="CX979" i="1"/>
  <c r="CN979" i="1"/>
  <c r="BX979" i="1"/>
  <c r="BU979" i="1"/>
  <c r="BN979" i="1"/>
  <c r="BO979" i="1" s="1"/>
  <c r="BM979" i="1"/>
  <c r="BD979" i="1"/>
  <c r="BC979" i="1"/>
  <c r="BB979" i="1"/>
  <c r="BA979" i="1"/>
  <c r="AZ979" i="1"/>
  <c r="BF979" i="1" s="1" a="1"/>
  <c r="BF979" i="1" s="1"/>
  <c r="AY979" i="1"/>
  <c r="BE979" i="1" s="1" a="1"/>
  <c r="BE979" i="1" s="1"/>
  <c r="AX979" i="1"/>
  <c r="M979" i="1"/>
  <c r="EM978" i="1"/>
  <c r="DU978" i="1"/>
  <c r="DT978" i="1"/>
  <c r="DN978" i="1"/>
  <c r="DM978" i="1"/>
  <c r="DL978" i="1"/>
  <c r="DK978" i="1"/>
  <c r="DI978" i="1"/>
  <c r="DJ978" i="1" s="1"/>
  <c r="DC978" i="1"/>
  <c r="CX978" i="1"/>
  <c r="CN978" i="1"/>
  <c r="CP978" i="1" s="1"/>
  <c r="BX978" i="1"/>
  <c r="BU978" i="1"/>
  <c r="BN978" i="1"/>
  <c r="BO978" i="1" s="1"/>
  <c r="BM978" i="1"/>
  <c r="BD978" i="1"/>
  <c r="BC978" i="1"/>
  <c r="BB978" i="1"/>
  <c r="BA978" i="1"/>
  <c r="AZ978" i="1"/>
  <c r="BF978" i="1" s="1" a="1"/>
  <c r="BF978" i="1" s="1"/>
  <c r="AY978" i="1"/>
  <c r="BE978" i="1" s="1" a="1"/>
  <c r="BE978" i="1" s="1"/>
  <c r="AX978" i="1"/>
  <c r="M978" i="1"/>
  <c r="EM971" i="1"/>
  <c r="DU971" i="1"/>
  <c r="DT971" i="1"/>
  <c r="DN971" i="1"/>
  <c r="DM971" i="1"/>
  <c r="DL971" i="1"/>
  <c r="DK971" i="1"/>
  <c r="DI971" i="1"/>
  <c r="DJ971" i="1" s="1"/>
  <c r="DC971" i="1"/>
  <c r="CX971" i="1"/>
  <c r="CN971" i="1"/>
  <c r="BX971" i="1"/>
  <c r="BU971" i="1"/>
  <c r="BN971" i="1"/>
  <c r="BO971" i="1" s="1"/>
  <c r="BM971" i="1"/>
  <c r="BD971" i="1"/>
  <c r="BC971" i="1"/>
  <c r="BB971" i="1"/>
  <c r="BA971" i="1"/>
  <c r="AZ971" i="1"/>
  <c r="BF971" i="1" s="1" a="1"/>
  <c r="BF971" i="1" s="1"/>
  <c r="AY971" i="1"/>
  <c r="BE971" i="1" s="1" a="1"/>
  <c r="BE971" i="1" s="1"/>
  <c r="AX971" i="1"/>
  <c r="M971" i="1"/>
  <c r="EM963" i="1"/>
  <c r="DU963" i="1"/>
  <c r="DT963" i="1"/>
  <c r="DN963" i="1"/>
  <c r="DM963" i="1"/>
  <c r="DL963" i="1"/>
  <c r="DK963" i="1"/>
  <c r="DI963" i="1"/>
  <c r="DJ963" i="1" s="1"/>
  <c r="DC963" i="1"/>
  <c r="CX963" i="1"/>
  <c r="CN963" i="1"/>
  <c r="BX963" i="1"/>
  <c r="BU963" i="1"/>
  <c r="BN963" i="1"/>
  <c r="BO963" i="1" s="1"/>
  <c r="BM963" i="1"/>
  <c r="BD963" i="1"/>
  <c r="BC963" i="1"/>
  <c r="BB963" i="1"/>
  <c r="BA963" i="1"/>
  <c r="AZ963" i="1"/>
  <c r="AY963" i="1"/>
  <c r="BE963" i="1" s="1" a="1"/>
  <c r="BE963" i="1" s="1"/>
  <c r="AX963" i="1"/>
  <c r="M963" i="1"/>
  <c r="EM949" i="1"/>
  <c r="DU949" i="1"/>
  <c r="DT949" i="1"/>
  <c r="DN949" i="1"/>
  <c r="DM949" i="1"/>
  <c r="DL949" i="1"/>
  <c r="DK949" i="1"/>
  <c r="DI949" i="1"/>
  <c r="DJ949" i="1" s="1"/>
  <c r="DC949" i="1"/>
  <c r="CX949" i="1"/>
  <c r="CN949" i="1"/>
  <c r="CS949" i="1" s="1"/>
  <c r="BX949" i="1"/>
  <c r="BU949" i="1"/>
  <c r="BN949" i="1"/>
  <c r="BO949" i="1" s="1"/>
  <c r="BM949" i="1"/>
  <c r="BD949" i="1"/>
  <c r="BC949" i="1"/>
  <c r="BB949" i="1"/>
  <c r="BA949" i="1"/>
  <c r="AZ949" i="1"/>
  <c r="BF949" i="1" s="1" a="1"/>
  <c r="BF949" i="1" s="1"/>
  <c r="AY949" i="1"/>
  <c r="BE949" i="1" s="1" a="1"/>
  <c r="BE949" i="1" s="1"/>
  <c r="AX949" i="1"/>
  <c r="M949" i="1"/>
  <c r="EM948" i="1"/>
  <c r="DU948" i="1"/>
  <c r="DT948" i="1"/>
  <c r="DN948" i="1"/>
  <c r="DM948" i="1"/>
  <c r="DL948" i="1"/>
  <c r="DK948" i="1"/>
  <c r="DI948" i="1"/>
  <c r="DJ948" i="1" s="1"/>
  <c r="DC948" i="1"/>
  <c r="CX948" i="1"/>
  <c r="CN948" i="1"/>
  <c r="CP948" i="1" s="1"/>
  <c r="BX948" i="1"/>
  <c r="BU948" i="1"/>
  <c r="BN948" i="1"/>
  <c r="BO948" i="1" s="1"/>
  <c r="BM948" i="1"/>
  <c r="BD948" i="1"/>
  <c r="BC948" i="1"/>
  <c r="BB948" i="1"/>
  <c r="BA948" i="1"/>
  <c r="AZ948" i="1"/>
  <c r="BF948" i="1" s="1" a="1"/>
  <c r="BF948" i="1" s="1"/>
  <c r="AY948" i="1"/>
  <c r="BE948" i="1" s="1" a="1"/>
  <c r="BE948" i="1" s="1"/>
  <c r="AX948" i="1"/>
  <c r="M948" i="1"/>
  <c r="EM942" i="1"/>
  <c r="DU942" i="1"/>
  <c r="DT942" i="1"/>
  <c r="DN942" i="1"/>
  <c r="DM942" i="1"/>
  <c r="DL942" i="1"/>
  <c r="DK942" i="1"/>
  <c r="DI942" i="1"/>
  <c r="DJ942" i="1" s="1"/>
  <c r="DC942" i="1"/>
  <c r="CX942" i="1"/>
  <c r="CN942" i="1"/>
  <c r="BX942" i="1"/>
  <c r="BU942" i="1"/>
  <c r="BN942" i="1"/>
  <c r="BO942" i="1" s="1"/>
  <c r="BM942" i="1"/>
  <c r="BD942" i="1"/>
  <c r="BC942" i="1"/>
  <c r="BB942" i="1"/>
  <c r="BA942" i="1"/>
  <c r="AZ942" i="1"/>
  <c r="AY942" i="1"/>
  <c r="BE942" i="1" s="1" a="1"/>
  <c r="BE942" i="1" s="1"/>
  <c r="AX942" i="1"/>
  <c r="M942" i="1"/>
  <c r="EM922" i="1"/>
  <c r="DU922" i="1"/>
  <c r="DT922" i="1"/>
  <c r="DN922" i="1"/>
  <c r="DM922" i="1"/>
  <c r="DL922" i="1"/>
  <c r="DK922" i="1"/>
  <c r="DI922" i="1"/>
  <c r="DJ922" i="1" s="1"/>
  <c r="DC922" i="1"/>
  <c r="CX922" i="1"/>
  <c r="CN922" i="1"/>
  <c r="BX922" i="1"/>
  <c r="BU922" i="1"/>
  <c r="BN922" i="1"/>
  <c r="BO922" i="1" s="1"/>
  <c r="BM922" i="1"/>
  <c r="BD922" i="1"/>
  <c r="BC922" i="1"/>
  <c r="BB922" i="1"/>
  <c r="BA922" i="1"/>
  <c r="AZ922" i="1"/>
  <c r="AY922" i="1"/>
  <c r="BE922" i="1" s="1" a="1"/>
  <c r="BE922" i="1" s="1"/>
  <c r="AX922" i="1"/>
  <c r="M922" i="1"/>
  <c r="EM921" i="1"/>
  <c r="DU921" i="1"/>
  <c r="DT921" i="1"/>
  <c r="DN921" i="1"/>
  <c r="DM921" i="1"/>
  <c r="DL921" i="1"/>
  <c r="DK921" i="1"/>
  <c r="DI921" i="1"/>
  <c r="DJ921" i="1" s="1"/>
  <c r="DC921" i="1"/>
  <c r="CX921" i="1"/>
  <c r="CN921" i="1"/>
  <c r="CS921" i="1" s="1"/>
  <c r="BX921" i="1"/>
  <c r="BU921" i="1"/>
  <c r="BN921" i="1"/>
  <c r="BO921" i="1" s="1"/>
  <c r="BM921" i="1"/>
  <c r="BD921" i="1"/>
  <c r="BC921" i="1"/>
  <c r="BB921" i="1"/>
  <c r="BA921" i="1"/>
  <c r="AZ921" i="1"/>
  <c r="BF921" i="1" s="1" a="1"/>
  <c r="BF921" i="1" s="1"/>
  <c r="AY921" i="1"/>
  <c r="BE921" i="1" s="1" a="1"/>
  <c r="BE921" i="1" s="1"/>
  <c r="AX921" i="1"/>
  <c r="M921" i="1"/>
  <c r="EM852" i="1"/>
  <c r="DU852" i="1"/>
  <c r="DT852" i="1"/>
  <c r="DN852" i="1"/>
  <c r="DM852" i="1"/>
  <c r="DL852" i="1"/>
  <c r="DK852" i="1"/>
  <c r="DI852" i="1"/>
  <c r="DJ852" i="1" s="1"/>
  <c r="DC852" i="1"/>
  <c r="CX852" i="1"/>
  <c r="CN852" i="1"/>
  <c r="CR852" i="1" s="1"/>
  <c r="BX852" i="1"/>
  <c r="BU852" i="1"/>
  <c r="BN852" i="1"/>
  <c r="BO852" i="1" s="1"/>
  <c r="BM852" i="1"/>
  <c r="BD852" i="1"/>
  <c r="BC852" i="1"/>
  <c r="BB852" i="1"/>
  <c r="BA852" i="1"/>
  <c r="AZ852" i="1"/>
  <c r="BF852" i="1" s="1" a="1"/>
  <c r="BF852" i="1" s="1"/>
  <c r="AY852" i="1"/>
  <c r="BE852" i="1" s="1" a="1"/>
  <c r="BE852" i="1" s="1"/>
  <c r="AX852" i="1"/>
  <c r="M852" i="1"/>
  <c r="EM666" i="1"/>
  <c r="DU666" i="1"/>
  <c r="DT666" i="1"/>
  <c r="DN666" i="1"/>
  <c r="DM666" i="1"/>
  <c r="DL666" i="1"/>
  <c r="DK666" i="1"/>
  <c r="DI666" i="1"/>
  <c r="DJ666" i="1" s="1"/>
  <c r="DC666" i="1"/>
  <c r="CX666" i="1"/>
  <c r="CN666" i="1"/>
  <c r="BX666" i="1"/>
  <c r="BU666" i="1"/>
  <c r="BN666" i="1"/>
  <c r="BO666" i="1" s="1"/>
  <c r="BM666" i="1"/>
  <c r="BD666" i="1"/>
  <c r="BC666" i="1"/>
  <c r="BB666" i="1"/>
  <c r="BA666" i="1"/>
  <c r="AZ666" i="1"/>
  <c r="BF666" i="1" s="1" a="1"/>
  <c r="BF666" i="1" s="1"/>
  <c r="AY666" i="1"/>
  <c r="BE666" i="1" s="1" a="1"/>
  <c r="BE666" i="1" s="1"/>
  <c r="AX666" i="1"/>
  <c r="M666" i="1"/>
  <c r="EM601" i="1"/>
  <c r="DU601" i="1"/>
  <c r="DT601" i="1"/>
  <c r="DN601" i="1"/>
  <c r="DM601" i="1"/>
  <c r="DL601" i="1"/>
  <c r="DK601" i="1"/>
  <c r="DI601" i="1"/>
  <c r="DJ601" i="1" s="1"/>
  <c r="DC601" i="1"/>
  <c r="CX601" i="1"/>
  <c r="CN601" i="1"/>
  <c r="BX601" i="1"/>
  <c r="BU601" i="1"/>
  <c r="BN601" i="1"/>
  <c r="BO601" i="1" s="1"/>
  <c r="BM601" i="1"/>
  <c r="BD601" i="1"/>
  <c r="BC601" i="1"/>
  <c r="BB601" i="1"/>
  <c r="BA601" i="1"/>
  <c r="AZ601" i="1"/>
  <c r="AY601" i="1"/>
  <c r="BE601" i="1" s="1" a="1"/>
  <c r="BE601" i="1" s="1"/>
  <c r="AX601" i="1"/>
  <c r="M601" i="1"/>
  <c r="EM305" i="1"/>
  <c r="DU305" i="1"/>
  <c r="DT305" i="1"/>
  <c r="DN305" i="1"/>
  <c r="DM305" i="1"/>
  <c r="DL305" i="1"/>
  <c r="DK305" i="1"/>
  <c r="DI305" i="1"/>
  <c r="DJ305" i="1" s="1"/>
  <c r="DC305" i="1"/>
  <c r="CX305" i="1"/>
  <c r="CN305" i="1"/>
  <c r="CO305" i="1" s="1"/>
  <c r="BX305" i="1"/>
  <c r="BU305" i="1"/>
  <c r="BN305" i="1"/>
  <c r="BO305" i="1" s="1"/>
  <c r="BD305" i="1"/>
  <c r="BC305" i="1"/>
  <c r="BB305" i="1"/>
  <c r="BA305" i="1"/>
  <c r="AZ305" i="1"/>
  <c r="BF305" i="1" s="1" a="1"/>
  <c r="BF305" i="1" s="1"/>
  <c r="AY305" i="1"/>
  <c r="BE305" i="1" s="1" a="1"/>
  <c r="BE305" i="1" s="1"/>
  <c r="AX305" i="1"/>
  <c r="M305" i="1"/>
  <c r="EM687" i="1"/>
  <c r="DU687" i="1"/>
  <c r="DT687" i="1"/>
  <c r="DN687" i="1"/>
  <c r="DM687" i="1"/>
  <c r="DL687" i="1"/>
  <c r="DK687" i="1"/>
  <c r="DI687" i="1"/>
  <c r="DJ687" i="1" s="1"/>
  <c r="DC687" i="1"/>
  <c r="CX687" i="1"/>
  <c r="BT687" i="1"/>
  <c r="BS687" i="1"/>
  <c r="BL687" i="1"/>
  <c r="BD687" i="1"/>
  <c r="BC687" i="1"/>
  <c r="BB687" i="1"/>
  <c r="BA687" i="1"/>
  <c r="AZ687" i="1"/>
  <c r="BF687" i="1" s="1" a="1"/>
  <c r="BF687" i="1" s="1"/>
  <c r="AY687" i="1"/>
  <c r="BE687" i="1" s="1" a="1"/>
  <c r="BE687" i="1" s="1"/>
  <c r="AX687" i="1"/>
  <c r="M687" i="1"/>
  <c r="EM812" i="1"/>
  <c r="DU812" i="1"/>
  <c r="DT812" i="1"/>
  <c r="DN812" i="1"/>
  <c r="DM812" i="1"/>
  <c r="DL812" i="1"/>
  <c r="DK812" i="1"/>
  <c r="DI812" i="1"/>
  <c r="DJ812" i="1" s="1"/>
  <c r="DC812" i="1"/>
  <c r="CX812" i="1"/>
  <c r="CN812" i="1"/>
  <c r="CO812" i="1" s="1"/>
  <c r="BV812" i="1"/>
  <c r="BX812" i="1" s="1"/>
  <c r="BU812" i="1"/>
  <c r="BN812" i="1"/>
  <c r="BO812" i="1" s="1"/>
  <c r="BM812" i="1"/>
  <c r="BD812" i="1"/>
  <c r="BC812" i="1"/>
  <c r="BB812" i="1"/>
  <c r="BA812" i="1"/>
  <c r="AZ812" i="1"/>
  <c r="BF812" i="1" s="1" a="1"/>
  <c r="BF812" i="1" s="1"/>
  <c r="AY812" i="1"/>
  <c r="BE812" i="1" s="1" a="1"/>
  <c r="BE812" i="1" s="1"/>
  <c r="AX812" i="1"/>
  <c r="M812" i="1"/>
  <c r="EM791" i="1"/>
  <c r="DU791" i="1"/>
  <c r="DT791" i="1"/>
  <c r="DN791" i="1"/>
  <c r="DM791" i="1"/>
  <c r="DL791" i="1"/>
  <c r="DK791" i="1"/>
  <c r="DI791" i="1"/>
  <c r="DJ791" i="1" s="1"/>
  <c r="DC791" i="1"/>
  <c r="CX791" i="1"/>
  <c r="CN791" i="1"/>
  <c r="CS791" i="1" s="1"/>
  <c r="BV791" i="1"/>
  <c r="BX791" i="1" s="1"/>
  <c r="BU791" i="1"/>
  <c r="BN791" i="1"/>
  <c r="BO791" i="1" s="1"/>
  <c r="BM791" i="1"/>
  <c r="BD791" i="1"/>
  <c r="BC791" i="1"/>
  <c r="BB791" i="1"/>
  <c r="BA791" i="1"/>
  <c r="AZ791" i="1"/>
  <c r="BF791" i="1" s="1" a="1"/>
  <c r="BF791" i="1" s="1"/>
  <c r="AY791" i="1"/>
  <c r="BE791" i="1" s="1" a="1"/>
  <c r="BE791" i="1" s="1"/>
  <c r="AX791" i="1"/>
  <c r="M791" i="1"/>
  <c r="EM898" i="1"/>
  <c r="DU898" i="1"/>
  <c r="DT898" i="1"/>
  <c r="DN898" i="1"/>
  <c r="DM898" i="1"/>
  <c r="DL898" i="1"/>
  <c r="DK898" i="1"/>
  <c r="DI898" i="1"/>
  <c r="DJ898" i="1" s="1"/>
  <c r="DC898" i="1"/>
  <c r="CX898" i="1"/>
  <c r="CN898" i="1"/>
  <c r="BV898" i="1"/>
  <c r="BX898" i="1" s="1"/>
  <c r="BU898" i="1"/>
  <c r="BN898" i="1"/>
  <c r="BO898" i="1" s="1"/>
  <c r="BM898" i="1"/>
  <c r="BD898" i="1"/>
  <c r="BC898" i="1"/>
  <c r="BB898" i="1"/>
  <c r="BA898" i="1"/>
  <c r="AZ898" i="1"/>
  <c r="AY898" i="1"/>
  <c r="BE898" i="1" s="1" a="1"/>
  <c r="BE898" i="1" s="1"/>
  <c r="AX898" i="1"/>
  <c r="M898" i="1"/>
  <c r="EM906" i="1"/>
  <c r="DU906" i="1"/>
  <c r="DT906" i="1"/>
  <c r="DN906" i="1"/>
  <c r="DM906" i="1"/>
  <c r="DL906" i="1"/>
  <c r="DK906" i="1"/>
  <c r="DI906" i="1"/>
  <c r="DJ906" i="1" s="1"/>
  <c r="DC906" i="1"/>
  <c r="CX906" i="1"/>
  <c r="CN906" i="1"/>
  <c r="CO906" i="1" s="1"/>
  <c r="BV906" i="1"/>
  <c r="BX906" i="1" s="1"/>
  <c r="BU906" i="1"/>
  <c r="BN906" i="1"/>
  <c r="BO906" i="1" s="1"/>
  <c r="BM906" i="1"/>
  <c r="BD906" i="1"/>
  <c r="BC906" i="1"/>
  <c r="BB906" i="1"/>
  <c r="BA906" i="1"/>
  <c r="AZ906" i="1"/>
  <c r="AY906" i="1"/>
  <c r="BE906" i="1" s="1" a="1"/>
  <c r="BE906" i="1" s="1"/>
  <c r="AX906" i="1"/>
  <c r="M906" i="1"/>
  <c r="EM539" i="1"/>
  <c r="DU539" i="1"/>
  <c r="DT539" i="1"/>
  <c r="DN539" i="1"/>
  <c r="DM539" i="1"/>
  <c r="DL539" i="1"/>
  <c r="DK539" i="1"/>
  <c r="DI539" i="1"/>
  <c r="DJ539" i="1" s="1"/>
  <c r="DC539" i="1"/>
  <c r="CX539" i="1"/>
  <c r="CN539" i="1"/>
  <c r="CO539" i="1" s="1"/>
  <c r="BV539" i="1"/>
  <c r="BX539" i="1" s="1"/>
  <c r="BU539" i="1"/>
  <c r="BN539" i="1"/>
  <c r="BO539" i="1" s="1"/>
  <c r="BM539" i="1"/>
  <c r="BD539" i="1"/>
  <c r="BC539" i="1"/>
  <c r="BB539" i="1"/>
  <c r="BA539" i="1"/>
  <c r="AZ539" i="1"/>
  <c r="BF539" i="1" s="1" a="1"/>
  <c r="BF539" i="1" s="1"/>
  <c r="AY539" i="1"/>
  <c r="AX539" i="1"/>
  <c r="M539" i="1"/>
  <c r="EM538" i="1"/>
  <c r="DU538" i="1"/>
  <c r="DT538" i="1"/>
  <c r="DN538" i="1"/>
  <c r="DM538" i="1"/>
  <c r="DL538" i="1"/>
  <c r="DK538" i="1"/>
  <c r="DI538" i="1"/>
  <c r="DJ538" i="1" s="1"/>
  <c r="DC538" i="1"/>
  <c r="CX538" i="1"/>
  <c r="CN538" i="1"/>
  <c r="CS538" i="1" s="1"/>
  <c r="BV538" i="1"/>
  <c r="BX538" i="1" s="1"/>
  <c r="BU538" i="1"/>
  <c r="BN538" i="1"/>
  <c r="BO538" i="1" s="1"/>
  <c r="BM538" i="1"/>
  <c r="BD538" i="1"/>
  <c r="BC538" i="1"/>
  <c r="BB538" i="1"/>
  <c r="BA538" i="1"/>
  <c r="AZ538" i="1"/>
  <c r="AY538" i="1"/>
  <c r="AX538" i="1"/>
  <c r="M538" i="1"/>
  <c r="EM531" i="1"/>
  <c r="DU531" i="1"/>
  <c r="DT531" i="1"/>
  <c r="DN531" i="1"/>
  <c r="DM531" i="1"/>
  <c r="DL531" i="1"/>
  <c r="DK531" i="1"/>
  <c r="DI531" i="1"/>
  <c r="DJ531" i="1" s="1"/>
  <c r="DC531" i="1"/>
  <c r="CX531" i="1"/>
  <c r="CN531" i="1"/>
  <c r="BV531" i="1"/>
  <c r="BX531" i="1" s="1"/>
  <c r="BU531" i="1"/>
  <c r="BN531" i="1"/>
  <c r="BO531" i="1" s="1"/>
  <c r="BM531" i="1"/>
  <c r="BD531" i="1"/>
  <c r="BC531" i="1"/>
  <c r="BB531" i="1"/>
  <c r="BA531" i="1"/>
  <c r="AZ531" i="1"/>
  <c r="AY531" i="1"/>
  <c r="AX531" i="1"/>
  <c r="M531" i="1"/>
  <c r="EM530" i="1"/>
  <c r="DU530" i="1"/>
  <c r="DT530" i="1"/>
  <c r="DN530" i="1"/>
  <c r="DM530" i="1"/>
  <c r="DL530" i="1"/>
  <c r="DK530" i="1"/>
  <c r="DI530" i="1"/>
  <c r="DJ530" i="1" s="1"/>
  <c r="DC530" i="1"/>
  <c r="CX530" i="1"/>
  <c r="CN530" i="1"/>
  <c r="BV530" i="1"/>
  <c r="BX530" i="1" s="1"/>
  <c r="BU530" i="1"/>
  <c r="BN530" i="1"/>
  <c r="BO530" i="1" s="1"/>
  <c r="BM530" i="1"/>
  <c r="BD530" i="1"/>
  <c r="BC530" i="1"/>
  <c r="BB530" i="1"/>
  <c r="BA530" i="1"/>
  <c r="AZ530" i="1"/>
  <c r="BF530" i="1" s="1" a="1"/>
  <c r="BF530" i="1" s="1"/>
  <c r="AY530" i="1"/>
  <c r="AX530" i="1"/>
  <c r="M530" i="1"/>
  <c r="EM405" i="1"/>
  <c r="DU405" i="1"/>
  <c r="DT405" i="1"/>
  <c r="DN405" i="1"/>
  <c r="DM405" i="1"/>
  <c r="DL405" i="1"/>
  <c r="DK405" i="1"/>
  <c r="DI405" i="1"/>
  <c r="DJ405" i="1" s="1"/>
  <c r="DC405" i="1"/>
  <c r="CX405" i="1"/>
  <c r="CN405" i="1"/>
  <c r="CO405" i="1" s="1"/>
  <c r="BV405" i="1"/>
  <c r="BX405" i="1" s="1"/>
  <c r="BU405" i="1"/>
  <c r="BN405" i="1"/>
  <c r="BO405" i="1" s="1"/>
  <c r="BM405" i="1"/>
  <c r="BD405" i="1"/>
  <c r="BC405" i="1"/>
  <c r="BB405" i="1"/>
  <c r="BA405" i="1"/>
  <c r="AZ405" i="1"/>
  <c r="BF405" i="1" s="1" a="1"/>
  <c r="BF405" i="1" s="1"/>
  <c r="AY405" i="1"/>
  <c r="AX405" i="1"/>
  <c r="M405" i="1"/>
  <c r="EM403" i="1"/>
  <c r="DU403" i="1"/>
  <c r="DT403" i="1"/>
  <c r="DN403" i="1"/>
  <c r="DM403" i="1"/>
  <c r="DL403" i="1"/>
  <c r="DK403" i="1"/>
  <c r="DI403" i="1"/>
  <c r="DJ403" i="1" s="1"/>
  <c r="DC403" i="1"/>
  <c r="CX403" i="1"/>
  <c r="CN403" i="1"/>
  <c r="CS403" i="1" s="1"/>
  <c r="BV403" i="1"/>
  <c r="BX403" i="1" s="1"/>
  <c r="BU403" i="1"/>
  <c r="BN403" i="1"/>
  <c r="BO403" i="1" s="1"/>
  <c r="BM403" i="1"/>
  <c r="BD403" i="1"/>
  <c r="BC403" i="1"/>
  <c r="BB403" i="1"/>
  <c r="BA403" i="1"/>
  <c r="AZ403" i="1"/>
  <c r="BF403" i="1" s="1" a="1"/>
  <c r="BF403" i="1" s="1"/>
  <c r="AY403" i="1"/>
  <c r="AX403" i="1"/>
  <c r="M403" i="1"/>
  <c r="EM402" i="1"/>
  <c r="DU402" i="1"/>
  <c r="DT402" i="1"/>
  <c r="DN402" i="1"/>
  <c r="DM402" i="1"/>
  <c r="DL402" i="1"/>
  <c r="DK402" i="1"/>
  <c r="DI402" i="1"/>
  <c r="DJ402" i="1" s="1"/>
  <c r="DC402" i="1"/>
  <c r="CX402" i="1"/>
  <c r="CN402" i="1"/>
  <c r="CS402" i="1" s="1"/>
  <c r="BV402" i="1"/>
  <c r="BX402" i="1" s="1"/>
  <c r="BU402" i="1"/>
  <c r="BN402" i="1"/>
  <c r="BO402" i="1" s="1"/>
  <c r="BM402" i="1"/>
  <c r="BD402" i="1"/>
  <c r="BC402" i="1"/>
  <c r="BB402" i="1"/>
  <c r="BA402" i="1"/>
  <c r="AZ402" i="1"/>
  <c r="AY402" i="1"/>
  <c r="AX402" i="1"/>
  <c r="M402" i="1"/>
  <c r="EM400" i="1"/>
  <c r="DU400" i="1"/>
  <c r="DT400" i="1"/>
  <c r="DN400" i="1"/>
  <c r="DM400" i="1"/>
  <c r="DL400" i="1"/>
  <c r="DK400" i="1"/>
  <c r="DI400" i="1"/>
  <c r="DJ400" i="1" s="1"/>
  <c r="DC400" i="1"/>
  <c r="CX400" i="1"/>
  <c r="CN400" i="1"/>
  <c r="BV400" i="1"/>
  <c r="BX400" i="1" s="1"/>
  <c r="BU400" i="1"/>
  <c r="BN400" i="1"/>
  <c r="BO400" i="1" s="1"/>
  <c r="BM400" i="1"/>
  <c r="BD400" i="1"/>
  <c r="BC400" i="1"/>
  <c r="BB400" i="1"/>
  <c r="BA400" i="1"/>
  <c r="AZ400" i="1"/>
  <c r="BF400" i="1" s="1" a="1"/>
  <c r="BF400" i="1" s="1"/>
  <c r="AY400" i="1"/>
  <c r="AX400" i="1"/>
  <c r="M400" i="1"/>
  <c r="EM398" i="1"/>
  <c r="DU398" i="1"/>
  <c r="DT398" i="1"/>
  <c r="DN398" i="1"/>
  <c r="DM398" i="1"/>
  <c r="DL398" i="1"/>
  <c r="DK398" i="1"/>
  <c r="DI398" i="1"/>
  <c r="DJ398" i="1" s="1"/>
  <c r="DC398" i="1"/>
  <c r="CX398" i="1"/>
  <c r="CN398" i="1"/>
  <c r="CO398" i="1" s="1"/>
  <c r="BV398" i="1"/>
  <c r="BX398" i="1" s="1"/>
  <c r="BU398" i="1"/>
  <c r="BN398" i="1"/>
  <c r="BO398" i="1" s="1"/>
  <c r="BM398" i="1"/>
  <c r="BD398" i="1"/>
  <c r="BC398" i="1"/>
  <c r="BB398" i="1"/>
  <c r="BA398" i="1"/>
  <c r="AZ398" i="1"/>
  <c r="BF398" i="1" s="1" a="1"/>
  <c r="BF398" i="1" s="1"/>
  <c r="AY398" i="1"/>
  <c r="AX398" i="1"/>
  <c r="M398" i="1"/>
  <c r="EM397" i="1"/>
  <c r="DU397" i="1"/>
  <c r="DT397" i="1"/>
  <c r="DN397" i="1"/>
  <c r="DM397" i="1"/>
  <c r="DL397" i="1"/>
  <c r="DK397" i="1"/>
  <c r="DI397" i="1"/>
  <c r="DJ397" i="1" s="1"/>
  <c r="DC397" i="1"/>
  <c r="CX397" i="1"/>
  <c r="CN397" i="1"/>
  <c r="BV397" i="1"/>
  <c r="BX397" i="1" s="1"/>
  <c r="BU397" i="1"/>
  <c r="BN397" i="1"/>
  <c r="BO397" i="1" s="1"/>
  <c r="BM397" i="1"/>
  <c r="BD397" i="1"/>
  <c r="BC397" i="1"/>
  <c r="BB397" i="1"/>
  <c r="BA397" i="1"/>
  <c r="AZ397" i="1"/>
  <c r="AY397" i="1"/>
  <c r="AX397" i="1"/>
  <c r="M397" i="1"/>
  <c r="EM393" i="1"/>
  <c r="DU393" i="1"/>
  <c r="DT393" i="1"/>
  <c r="DN393" i="1"/>
  <c r="DM393" i="1"/>
  <c r="DL393" i="1"/>
  <c r="DK393" i="1"/>
  <c r="DI393" i="1"/>
  <c r="DJ393" i="1" s="1"/>
  <c r="DC393" i="1"/>
  <c r="CX393" i="1"/>
  <c r="CN393" i="1"/>
  <c r="CS393" i="1" s="1"/>
  <c r="BV393" i="1"/>
  <c r="BX393" i="1" s="1"/>
  <c r="BU393" i="1"/>
  <c r="BN393" i="1"/>
  <c r="BO393" i="1" s="1"/>
  <c r="BM393" i="1"/>
  <c r="BD393" i="1"/>
  <c r="BC393" i="1"/>
  <c r="BB393" i="1"/>
  <c r="BA393" i="1"/>
  <c r="AZ393" i="1"/>
  <c r="AY393" i="1"/>
  <c r="AX393" i="1"/>
  <c r="M393" i="1"/>
  <c r="EM392" i="1"/>
  <c r="DU392" i="1"/>
  <c r="DT392" i="1"/>
  <c r="DN392" i="1"/>
  <c r="DM392" i="1"/>
  <c r="DL392" i="1"/>
  <c r="DK392" i="1"/>
  <c r="DI392" i="1"/>
  <c r="DJ392" i="1" s="1"/>
  <c r="DC392" i="1"/>
  <c r="CX392" i="1"/>
  <c r="CN392" i="1"/>
  <c r="CO392" i="1" s="1"/>
  <c r="BV392" i="1"/>
  <c r="BX392" i="1" s="1"/>
  <c r="BU392" i="1"/>
  <c r="BN392" i="1"/>
  <c r="BO392" i="1" s="1"/>
  <c r="BM392" i="1"/>
  <c r="BD392" i="1"/>
  <c r="BC392" i="1"/>
  <c r="BB392" i="1"/>
  <c r="BA392" i="1"/>
  <c r="AZ392" i="1"/>
  <c r="BF392" i="1" s="1" a="1"/>
  <c r="BF392" i="1" s="1"/>
  <c r="AY392" i="1"/>
  <c r="AX392" i="1"/>
  <c r="M392" i="1"/>
  <c r="EM391" i="1"/>
  <c r="DU391" i="1"/>
  <c r="DT391" i="1"/>
  <c r="DN391" i="1"/>
  <c r="DM391" i="1"/>
  <c r="DL391" i="1"/>
  <c r="DK391" i="1"/>
  <c r="DI391" i="1"/>
  <c r="DJ391" i="1" s="1"/>
  <c r="DC391" i="1"/>
  <c r="CX391" i="1"/>
  <c r="CN391" i="1"/>
  <c r="CO391" i="1" s="1"/>
  <c r="BV391" i="1"/>
  <c r="BX391" i="1" s="1"/>
  <c r="BU391" i="1"/>
  <c r="BN391" i="1"/>
  <c r="BO391" i="1" s="1"/>
  <c r="BM391" i="1"/>
  <c r="BD391" i="1"/>
  <c r="BC391" i="1"/>
  <c r="BB391" i="1"/>
  <c r="BA391" i="1"/>
  <c r="AZ391" i="1"/>
  <c r="BF391" i="1" s="1" a="1"/>
  <c r="BF391" i="1" s="1"/>
  <c r="AY391" i="1"/>
  <c r="AX391" i="1"/>
  <c r="M391" i="1"/>
  <c r="EM390" i="1"/>
  <c r="DU390" i="1"/>
  <c r="DT390" i="1"/>
  <c r="DN390" i="1"/>
  <c r="DM390" i="1"/>
  <c r="DL390" i="1"/>
  <c r="DK390" i="1"/>
  <c r="DI390" i="1"/>
  <c r="DJ390" i="1" s="1"/>
  <c r="DC390" i="1"/>
  <c r="CX390" i="1"/>
  <c r="CN390" i="1"/>
  <c r="BV390" i="1"/>
  <c r="BX390" i="1" s="1"/>
  <c r="BU390" i="1"/>
  <c r="BN390" i="1"/>
  <c r="BO390" i="1" s="1"/>
  <c r="BM390" i="1"/>
  <c r="BD390" i="1"/>
  <c r="BC390" i="1"/>
  <c r="BB390" i="1"/>
  <c r="BA390" i="1"/>
  <c r="AZ390" i="1"/>
  <c r="BF390" i="1" s="1" a="1"/>
  <c r="BF390" i="1" s="1"/>
  <c r="AY390" i="1"/>
  <c r="AX390" i="1"/>
  <c r="M390" i="1"/>
  <c r="EM385" i="1"/>
  <c r="DU385" i="1"/>
  <c r="DT385" i="1"/>
  <c r="DN385" i="1"/>
  <c r="DM385" i="1"/>
  <c r="DL385" i="1"/>
  <c r="DK385" i="1"/>
  <c r="DI385" i="1"/>
  <c r="DJ385" i="1" s="1"/>
  <c r="DC385" i="1"/>
  <c r="CX385" i="1"/>
  <c r="CN385" i="1"/>
  <c r="BV385" i="1"/>
  <c r="BX385" i="1" s="1"/>
  <c r="BU385" i="1"/>
  <c r="BN385" i="1"/>
  <c r="BO385" i="1" s="1"/>
  <c r="BM385" i="1"/>
  <c r="BD385" i="1"/>
  <c r="BC385" i="1"/>
  <c r="BB385" i="1"/>
  <c r="BA385" i="1"/>
  <c r="AZ385" i="1"/>
  <c r="AY385" i="1"/>
  <c r="AX385" i="1"/>
  <c r="M385" i="1"/>
  <c r="EM383" i="1"/>
  <c r="DU383" i="1"/>
  <c r="DT383" i="1"/>
  <c r="DN383" i="1"/>
  <c r="DM383" i="1"/>
  <c r="DL383" i="1"/>
  <c r="DK383" i="1"/>
  <c r="DI383" i="1"/>
  <c r="DJ383" i="1" s="1"/>
  <c r="DC383" i="1"/>
  <c r="CX383" i="1"/>
  <c r="CN383" i="1"/>
  <c r="BV383" i="1"/>
  <c r="BX383" i="1" s="1"/>
  <c r="BU383" i="1"/>
  <c r="BN383" i="1"/>
  <c r="BO383" i="1" s="1"/>
  <c r="BM383" i="1"/>
  <c r="BD383" i="1"/>
  <c r="BC383" i="1"/>
  <c r="BB383" i="1"/>
  <c r="BA383" i="1"/>
  <c r="AZ383" i="1"/>
  <c r="BF383" i="1" s="1" a="1"/>
  <c r="BF383" i="1" s="1"/>
  <c r="AY383" i="1"/>
  <c r="AX383" i="1"/>
  <c r="M383" i="1"/>
  <c r="EM370" i="1"/>
  <c r="DU370" i="1"/>
  <c r="DT370" i="1"/>
  <c r="DN370" i="1"/>
  <c r="DM370" i="1"/>
  <c r="DL370" i="1"/>
  <c r="DK370" i="1"/>
  <c r="DI370" i="1"/>
  <c r="DJ370" i="1" s="1"/>
  <c r="DC370" i="1"/>
  <c r="CX370" i="1"/>
  <c r="CN370" i="1"/>
  <c r="CO370" i="1" s="1"/>
  <c r="BV370" i="1"/>
  <c r="BX370" i="1" s="1"/>
  <c r="BU370" i="1"/>
  <c r="BN370" i="1"/>
  <c r="BO370" i="1" s="1"/>
  <c r="BM370" i="1"/>
  <c r="BD370" i="1"/>
  <c r="BC370" i="1"/>
  <c r="BB370" i="1"/>
  <c r="BA370" i="1"/>
  <c r="AZ370" i="1"/>
  <c r="BF370" i="1" s="1" a="1"/>
  <c r="BF370" i="1" s="1"/>
  <c r="AY370" i="1"/>
  <c r="AX370" i="1"/>
  <c r="M370" i="1"/>
  <c r="EM369" i="1"/>
  <c r="DU369" i="1"/>
  <c r="DT369" i="1"/>
  <c r="DN369" i="1"/>
  <c r="DM369" i="1"/>
  <c r="DL369" i="1"/>
  <c r="DK369" i="1"/>
  <c r="DI369" i="1"/>
  <c r="DJ369" i="1" s="1"/>
  <c r="DC369" i="1"/>
  <c r="CX369" i="1"/>
  <c r="CN369" i="1"/>
  <c r="BV369" i="1"/>
  <c r="BX369" i="1" s="1"/>
  <c r="BU369" i="1"/>
  <c r="BN369" i="1"/>
  <c r="BO369" i="1" s="1"/>
  <c r="BM369" i="1"/>
  <c r="BD369" i="1"/>
  <c r="BC369" i="1"/>
  <c r="BB369" i="1"/>
  <c r="BA369" i="1"/>
  <c r="AZ369" i="1"/>
  <c r="AY369" i="1"/>
  <c r="AX369" i="1"/>
  <c r="M369" i="1"/>
  <c r="EM368" i="1"/>
  <c r="DU368" i="1"/>
  <c r="DT368" i="1"/>
  <c r="DN368" i="1"/>
  <c r="DM368" i="1"/>
  <c r="DL368" i="1"/>
  <c r="DK368" i="1"/>
  <c r="DI368" i="1"/>
  <c r="DJ368" i="1" s="1"/>
  <c r="DC368" i="1"/>
  <c r="CX368" i="1"/>
  <c r="CN368" i="1"/>
  <c r="CS368" i="1" s="1"/>
  <c r="BV368" i="1"/>
  <c r="BX368" i="1" s="1"/>
  <c r="BU368" i="1"/>
  <c r="BN368" i="1"/>
  <c r="BO368" i="1" s="1"/>
  <c r="BM368" i="1"/>
  <c r="BD368" i="1"/>
  <c r="BC368" i="1"/>
  <c r="BB368" i="1"/>
  <c r="BA368" i="1"/>
  <c r="AZ368" i="1"/>
  <c r="AY368" i="1"/>
  <c r="AX368" i="1"/>
  <c r="M368" i="1"/>
  <c r="EM367" i="1"/>
  <c r="DU367" i="1"/>
  <c r="DT367" i="1"/>
  <c r="DN367" i="1"/>
  <c r="DM367" i="1"/>
  <c r="DL367" i="1"/>
  <c r="DK367" i="1"/>
  <c r="DI367" i="1"/>
  <c r="DJ367" i="1" s="1"/>
  <c r="DC367" i="1"/>
  <c r="CX367" i="1"/>
  <c r="CN367" i="1"/>
  <c r="BV367" i="1"/>
  <c r="BX367" i="1" s="1"/>
  <c r="BU367" i="1"/>
  <c r="BN367" i="1"/>
  <c r="BO367" i="1" s="1"/>
  <c r="BM367" i="1"/>
  <c r="BD367" i="1"/>
  <c r="BC367" i="1"/>
  <c r="BB367" i="1"/>
  <c r="BA367" i="1"/>
  <c r="AZ367" i="1"/>
  <c r="BF367" i="1" s="1" a="1"/>
  <c r="BF367" i="1" s="1"/>
  <c r="AY367" i="1"/>
  <c r="AX367" i="1"/>
  <c r="M367" i="1"/>
  <c r="EM366" i="1"/>
  <c r="DU366" i="1"/>
  <c r="DT366" i="1"/>
  <c r="DN366" i="1"/>
  <c r="DM366" i="1"/>
  <c r="DL366" i="1"/>
  <c r="DK366" i="1"/>
  <c r="DI366" i="1"/>
  <c r="DJ366" i="1" s="1"/>
  <c r="DC366" i="1"/>
  <c r="CX366" i="1"/>
  <c r="CN366" i="1"/>
  <c r="CP366" i="1" s="1"/>
  <c r="BV366" i="1"/>
  <c r="BX366" i="1" s="1"/>
  <c r="BU366" i="1"/>
  <c r="BN366" i="1"/>
  <c r="BO366" i="1" s="1"/>
  <c r="BM366" i="1"/>
  <c r="BD366" i="1"/>
  <c r="BC366" i="1"/>
  <c r="BB366" i="1"/>
  <c r="BA366" i="1"/>
  <c r="AZ366" i="1"/>
  <c r="BF366" i="1" s="1" a="1"/>
  <c r="BF366" i="1" s="1"/>
  <c r="AY366" i="1"/>
  <c r="AX366" i="1"/>
  <c r="M366" i="1"/>
  <c r="EM365" i="1"/>
  <c r="DU365" i="1"/>
  <c r="DT365" i="1"/>
  <c r="DN365" i="1"/>
  <c r="DM365" i="1"/>
  <c r="DL365" i="1"/>
  <c r="DK365" i="1"/>
  <c r="DI365" i="1"/>
  <c r="DJ365" i="1" s="1"/>
  <c r="DC365" i="1"/>
  <c r="CX365" i="1"/>
  <c r="CN365" i="1"/>
  <c r="BV365" i="1"/>
  <c r="BX365" i="1" s="1"/>
  <c r="BU365" i="1"/>
  <c r="BN365" i="1"/>
  <c r="BO365" i="1" s="1"/>
  <c r="BM365" i="1"/>
  <c r="BD365" i="1"/>
  <c r="BC365" i="1"/>
  <c r="BB365" i="1"/>
  <c r="BA365" i="1"/>
  <c r="AZ365" i="1"/>
  <c r="BF365" i="1" s="1" a="1"/>
  <c r="BF365" i="1" s="1"/>
  <c r="AY365" i="1"/>
  <c r="AX365" i="1"/>
  <c r="M365" i="1"/>
  <c r="EM359" i="1"/>
  <c r="DU359" i="1"/>
  <c r="DT359" i="1"/>
  <c r="DN359" i="1"/>
  <c r="DM359" i="1"/>
  <c r="DL359" i="1"/>
  <c r="DK359" i="1"/>
  <c r="DI359" i="1"/>
  <c r="DJ359" i="1" s="1"/>
  <c r="DC359" i="1"/>
  <c r="CX359" i="1"/>
  <c r="CN359" i="1"/>
  <c r="BV359" i="1"/>
  <c r="BX359" i="1" s="1"/>
  <c r="BU359" i="1"/>
  <c r="BN359" i="1"/>
  <c r="BO359" i="1" s="1"/>
  <c r="BM359" i="1"/>
  <c r="BD359" i="1"/>
  <c r="BC359" i="1"/>
  <c r="BB359" i="1"/>
  <c r="BA359" i="1"/>
  <c r="AZ359" i="1"/>
  <c r="AY359" i="1"/>
  <c r="AX359" i="1"/>
  <c r="M359" i="1"/>
  <c r="EM358" i="1"/>
  <c r="DU358" i="1"/>
  <c r="DT358" i="1"/>
  <c r="DN358" i="1"/>
  <c r="DM358" i="1"/>
  <c r="DL358" i="1"/>
  <c r="DK358" i="1"/>
  <c r="DI358" i="1"/>
  <c r="DJ358" i="1" s="1"/>
  <c r="DC358" i="1"/>
  <c r="CX358" i="1"/>
  <c r="CN358" i="1"/>
  <c r="CO358" i="1" s="1"/>
  <c r="BV358" i="1"/>
  <c r="BX358" i="1" s="1"/>
  <c r="BU358" i="1"/>
  <c r="BN358" i="1"/>
  <c r="BO358" i="1" s="1"/>
  <c r="BM358" i="1"/>
  <c r="BD358" i="1"/>
  <c r="BC358" i="1"/>
  <c r="BB358" i="1"/>
  <c r="BA358" i="1"/>
  <c r="AZ358" i="1"/>
  <c r="BF358" i="1" s="1" a="1"/>
  <c r="BF358" i="1" s="1"/>
  <c r="AY358" i="1"/>
  <c r="AX358" i="1"/>
  <c r="M358" i="1"/>
  <c r="EM356" i="1"/>
  <c r="DU356" i="1"/>
  <c r="DT356" i="1"/>
  <c r="DN356" i="1"/>
  <c r="DM356" i="1"/>
  <c r="DL356" i="1"/>
  <c r="DK356" i="1"/>
  <c r="DI356" i="1"/>
  <c r="DJ356" i="1" s="1"/>
  <c r="DC356" i="1"/>
  <c r="CX356" i="1"/>
  <c r="CN356" i="1"/>
  <c r="CR356" i="1" s="1"/>
  <c r="BV356" i="1"/>
  <c r="BX356" i="1" s="1"/>
  <c r="BU356" i="1"/>
  <c r="BN356" i="1"/>
  <c r="BO356" i="1" s="1"/>
  <c r="BM356" i="1"/>
  <c r="BD356" i="1"/>
  <c r="BC356" i="1"/>
  <c r="BB356" i="1"/>
  <c r="BA356" i="1"/>
  <c r="AZ356" i="1"/>
  <c r="BF356" i="1" s="1" a="1"/>
  <c r="BF356" i="1" s="1"/>
  <c r="AY356" i="1"/>
  <c r="AX356" i="1"/>
  <c r="M356" i="1"/>
  <c r="EM355" i="1"/>
  <c r="DU355" i="1"/>
  <c r="DT355" i="1"/>
  <c r="DN355" i="1"/>
  <c r="DM355" i="1"/>
  <c r="DL355" i="1"/>
  <c r="DK355" i="1"/>
  <c r="DI355" i="1"/>
  <c r="DJ355" i="1" s="1"/>
  <c r="DC355" i="1"/>
  <c r="CX355" i="1"/>
  <c r="CN355" i="1"/>
  <c r="CS355" i="1" s="1"/>
  <c r="BV355" i="1"/>
  <c r="BX355" i="1" s="1"/>
  <c r="BU355" i="1"/>
  <c r="BN355" i="1"/>
  <c r="BO355" i="1" s="1"/>
  <c r="BM355" i="1"/>
  <c r="BD355" i="1"/>
  <c r="BC355" i="1"/>
  <c r="BB355" i="1"/>
  <c r="BA355" i="1"/>
  <c r="AZ355" i="1"/>
  <c r="AY355" i="1"/>
  <c r="AX355" i="1"/>
  <c r="M355" i="1"/>
  <c r="EM354" i="1"/>
  <c r="DU354" i="1"/>
  <c r="DT354" i="1"/>
  <c r="DN354" i="1"/>
  <c r="DM354" i="1"/>
  <c r="DL354" i="1"/>
  <c r="DK354" i="1"/>
  <c r="DI354" i="1"/>
  <c r="DJ354" i="1" s="1"/>
  <c r="DC354" i="1"/>
  <c r="CX354" i="1"/>
  <c r="CN354" i="1"/>
  <c r="CS354" i="1" s="1"/>
  <c r="BV354" i="1"/>
  <c r="BX354" i="1" s="1"/>
  <c r="BU354" i="1"/>
  <c r="BN354" i="1"/>
  <c r="BO354" i="1" s="1"/>
  <c r="BM354" i="1"/>
  <c r="BD354" i="1"/>
  <c r="BC354" i="1"/>
  <c r="BB354" i="1"/>
  <c r="BA354" i="1"/>
  <c r="AZ354" i="1"/>
  <c r="AY354" i="1"/>
  <c r="AX354" i="1"/>
  <c r="M354" i="1"/>
  <c r="EM353" i="1"/>
  <c r="DU353" i="1"/>
  <c r="DT353" i="1"/>
  <c r="DN353" i="1"/>
  <c r="DM353" i="1"/>
  <c r="DL353" i="1"/>
  <c r="DK353" i="1"/>
  <c r="DI353" i="1"/>
  <c r="DJ353" i="1" s="1"/>
  <c r="DC353" i="1"/>
  <c r="CX353" i="1"/>
  <c r="CN353" i="1"/>
  <c r="CO353" i="1" s="1"/>
  <c r="BV353" i="1"/>
  <c r="BX353" i="1" s="1"/>
  <c r="BU353" i="1"/>
  <c r="BN353" i="1"/>
  <c r="BO353" i="1" s="1"/>
  <c r="BM353" i="1"/>
  <c r="BD353" i="1"/>
  <c r="BC353" i="1"/>
  <c r="BB353" i="1"/>
  <c r="BA353" i="1"/>
  <c r="AZ353" i="1"/>
  <c r="BF353" i="1" s="1" a="1"/>
  <c r="BF353" i="1" s="1"/>
  <c r="AY353" i="1"/>
  <c r="AX353" i="1"/>
  <c r="M353" i="1"/>
  <c r="EM350" i="1"/>
  <c r="DU350" i="1"/>
  <c r="DT350" i="1"/>
  <c r="DN350" i="1"/>
  <c r="DM350" i="1"/>
  <c r="DL350" i="1"/>
  <c r="DK350" i="1"/>
  <c r="DI350" i="1"/>
  <c r="DJ350" i="1" s="1"/>
  <c r="DC350" i="1"/>
  <c r="CX350" i="1"/>
  <c r="CN350" i="1"/>
  <c r="CO350" i="1" s="1"/>
  <c r="BV350" i="1"/>
  <c r="BX350" i="1" s="1"/>
  <c r="BU350" i="1"/>
  <c r="BN350" i="1"/>
  <c r="BO350" i="1" s="1"/>
  <c r="BM350" i="1"/>
  <c r="BD350" i="1"/>
  <c r="BC350" i="1"/>
  <c r="BB350" i="1"/>
  <c r="BA350" i="1"/>
  <c r="AZ350" i="1"/>
  <c r="BF350" i="1" s="1" a="1"/>
  <c r="BF350" i="1" s="1"/>
  <c r="AY350" i="1"/>
  <c r="AX350" i="1"/>
  <c r="M350" i="1"/>
  <c r="EM349" i="1"/>
  <c r="DU349" i="1"/>
  <c r="DT349" i="1"/>
  <c r="DN349" i="1"/>
  <c r="DM349" i="1"/>
  <c r="DL349" i="1"/>
  <c r="DK349" i="1"/>
  <c r="DI349" i="1"/>
  <c r="DJ349" i="1" s="1"/>
  <c r="DC349" i="1"/>
  <c r="CX349" i="1"/>
  <c r="CN349" i="1"/>
  <c r="CS349" i="1" s="1"/>
  <c r="BV349" i="1"/>
  <c r="BX349" i="1" s="1"/>
  <c r="BU349" i="1"/>
  <c r="BN349" i="1"/>
  <c r="BO349" i="1" s="1"/>
  <c r="BM349" i="1"/>
  <c r="BD349" i="1"/>
  <c r="BC349" i="1"/>
  <c r="BB349" i="1"/>
  <c r="BA349" i="1"/>
  <c r="AZ349" i="1"/>
  <c r="BF349" i="1" s="1" a="1"/>
  <c r="BF349" i="1" s="1"/>
  <c r="AY349" i="1"/>
  <c r="AX349" i="1"/>
  <c r="M349" i="1"/>
  <c r="EM348" i="1"/>
  <c r="DU348" i="1"/>
  <c r="DT348" i="1"/>
  <c r="DN348" i="1"/>
  <c r="DM348" i="1"/>
  <c r="DL348" i="1"/>
  <c r="DK348" i="1"/>
  <c r="DI348" i="1"/>
  <c r="DJ348" i="1" s="1"/>
  <c r="DC348" i="1"/>
  <c r="CX348" i="1"/>
  <c r="CN348" i="1"/>
  <c r="BV348" i="1"/>
  <c r="BX348" i="1" s="1"/>
  <c r="BU348" i="1"/>
  <c r="BN348" i="1"/>
  <c r="BO348" i="1" s="1"/>
  <c r="BM348" i="1"/>
  <c r="BD348" i="1"/>
  <c r="BC348" i="1"/>
  <c r="BB348" i="1"/>
  <c r="BA348" i="1"/>
  <c r="AZ348" i="1"/>
  <c r="AY348" i="1"/>
  <c r="AX348" i="1"/>
  <c r="M348" i="1"/>
  <c r="EM347" i="1"/>
  <c r="DU347" i="1"/>
  <c r="DT347" i="1"/>
  <c r="DN347" i="1"/>
  <c r="DM347" i="1"/>
  <c r="DL347" i="1"/>
  <c r="DK347" i="1"/>
  <c r="DI347" i="1"/>
  <c r="DJ347" i="1" s="1"/>
  <c r="DC347" i="1"/>
  <c r="CX347" i="1"/>
  <c r="CN347" i="1"/>
  <c r="BV347" i="1"/>
  <c r="BX347" i="1" s="1"/>
  <c r="BU347" i="1"/>
  <c r="BN347" i="1"/>
  <c r="BO347" i="1" s="1"/>
  <c r="BM347" i="1"/>
  <c r="BD347" i="1"/>
  <c r="BC347" i="1"/>
  <c r="BB347" i="1"/>
  <c r="BA347" i="1"/>
  <c r="AZ347" i="1"/>
  <c r="BF347" i="1" s="1" a="1"/>
  <c r="BF347" i="1" s="1"/>
  <c r="AY347" i="1"/>
  <c r="AX347" i="1"/>
  <c r="M347" i="1"/>
  <c r="EM346" i="1"/>
  <c r="DU346" i="1"/>
  <c r="DT346" i="1"/>
  <c r="DN346" i="1"/>
  <c r="DM346" i="1"/>
  <c r="DL346" i="1"/>
  <c r="DK346" i="1"/>
  <c r="DI346" i="1"/>
  <c r="DJ346" i="1" s="1"/>
  <c r="DC346" i="1"/>
  <c r="CX346" i="1"/>
  <c r="CN346" i="1"/>
  <c r="CP346" i="1" s="1"/>
  <c r="BV346" i="1"/>
  <c r="BX346" i="1" s="1"/>
  <c r="BU346" i="1"/>
  <c r="BN346" i="1"/>
  <c r="BO346" i="1" s="1"/>
  <c r="BM346" i="1"/>
  <c r="BD346" i="1"/>
  <c r="BC346" i="1"/>
  <c r="BB346" i="1"/>
  <c r="BA346" i="1"/>
  <c r="AZ346" i="1"/>
  <c r="BF346" i="1" s="1" a="1"/>
  <c r="BF346" i="1" s="1"/>
  <c r="AY346" i="1"/>
  <c r="AX346" i="1"/>
  <c r="M346" i="1"/>
  <c r="EM345" i="1"/>
  <c r="DU345" i="1"/>
  <c r="DT345" i="1"/>
  <c r="DN345" i="1"/>
  <c r="DM345" i="1"/>
  <c r="DL345" i="1"/>
  <c r="DK345" i="1"/>
  <c r="DI345" i="1"/>
  <c r="DJ345" i="1" s="1"/>
  <c r="DC345" i="1"/>
  <c r="CX345" i="1"/>
  <c r="CN345" i="1"/>
  <c r="CR345" i="1" s="1"/>
  <c r="BV345" i="1"/>
  <c r="BX345" i="1" s="1"/>
  <c r="BU345" i="1"/>
  <c r="BN345" i="1"/>
  <c r="BO345" i="1" s="1"/>
  <c r="BM345" i="1"/>
  <c r="BD345" i="1"/>
  <c r="BC345" i="1"/>
  <c r="BB345" i="1"/>
  <c r="BA345" i="1"/>
  <c r="AZ345" i="1"/>
  <c r="AY345" i="1"/>
  <c r="AX345" i="1"/>
  <c r="M345" i="1"/>
  <c r="EM336" i="1"/>
  <c r="DU336" i="1"/>
  <c r="DT336" i="1"/>
  <c r="DN336" i="1"/>
  <c r="DM336" i="1"/>
  <c r="DL336" i="1"/>
  <c r="DK336" i="1"/>
  <c r="DI336" i="1"/>
  <c r="DJ336" i="1" s="1"/>
  <c r="DC336" i="1"/>
  <c r="CX336" i="1"/>
  <c r="CN336" i="1"/>
  <c r="BV336" i="1"/>
  <c r="BX336" i="1" s="1"/>
  <c r="BU336" i="1"/>
  <c r="BN336" i="1"/>
  <c r="BO336" i="1" s="1"/>
  <c r="BM336" i="1"/>
  <c r="BD336" i="1"/>
  <c r="BC336" i="1"/>
  <c r="BB336" i="1"/>
  <c r="BA336" i="1"/>
  <c r="AZ336" i="1"/>
  <c r="AY336" i="1"/>
  <c r="AX336" i="1"/>
  <c r="M336" i="1"/>
  <c r="EM335" i="1"/>
  <c r="DU335" i="1"/>
  <c r="DT335" i="1"/>
  <c r="DN335" i="1"/>
  <c r="DM335" i="1"/>
  <c r="DL335" i="1"/>
  <c r="DK335" i="1"/>
  <c r="DI335" i="1"/>
  <c r="DJ335" i="1" s="1"/>
  <c r="DC335" i="1"/>
  <c r="CX335" i="1"/>
  <c r="CN335" i="1"/>
  <c r="BV335" i="1"/>
  <c r="BX335" i="1" s="1"/>
  <c r="BU335" i="1"/>
  <c r="BN335" i="1"/>
  <c r="BO335" i="1" s="1"/>
  <c r="BM335" i="1"/>
  <c r="BD335" i="1"/>
  <c r="BC335" i="1"/>
  <c r="BB335" i="1"/>
  <c r="BA335" i="1"/>
  <c r="AZ335" i="1"/>
  <c r="BF335" i="1" s="1" a="1"/>
  <c r="BF335" i="1" s="1"/>
  <c r="AY335" i="1"/>
  <c r="AX335" i="1"/>
  <c r="M335" i="1"/>
  <c r="EM399" i="1"/>
  <c r="DU399" i="1"/>
  <c r="DT399" i="1"/>
  <c r="DN399" i="1"/>
  <c r="DM399" i="1"/>
  <c r="DL399" i="1"/>
  <c r="DK399" i="1"/>
  <c r="DI399" i="1"/>
  <c r="DJ399" i="1" s="1"/>
  <c r="DC399" i="1"/>
  <c r="CX399" i="1"/>
  <c r="CN399" i="1"/>
  <c r="BV399" i="1"/>
  <c r="BX399" i="1" s="1"/>
  <c r="BU399" i="1"/>
  <c r="BN399" i="1"/>
  <c r="BO399" i="1" s="1"/>
  <c r="BM399" i="1"/>
  <c r="BD399" i="1"/>
  <c r="BC399" i="1"/>
  <c r="BB399" i="1"/>
  <c r="BA399" i="1"/>
  <c r="AZ399" i="1"/>
  <c r="BF399" i="1" s="1" a="1"/>
  <c r="BF399" i="1" s="1"/>
  <c r="AY399" i="1"/>
  <c r="BE399" i="1" s="1" a="1"/>
  <c r="BE399" i="1" s="1"/>
  <c r="AX399" i="1"/>
  <c r="M399" i="1"/>
  <c r="EM396" i="1"/>
  <c r="DU396" i="1"/>
  <c r="DT396" i="1"/>
  <c r="DN396" i="1"/>
  <c r="DM396" i="1"/>
  <c r="DL396" i="1"/>
  <c r="DK396" i="1"/>
  <c r="DI396" i="1"/>
  <c r="DJ396" i="1" s="1"/>
  <c r="DC396" i="1"/>
  <c r="CX396" i="1"/>
  <c r="CN396" i="1"/>
  <c r="CS396" i="1" s="1"/>
  <c r="BV396" i="1"/>
  <c r="BX396" i="1" s="1"/>
  <c r="BU396" i="1"/>
  <c r="BN396" i="1"/>
  <c r="BO396" i="1" s="1"/>
  <c r="BM396" i="1"/>
  <c r="BD396" i="1"/>
  <c r="BC396" i="1"/>
  <c r="BB396" i="1"/>
  <c r="BA396" i="1"/>
  <c r="AZ396" i="1"/>
  <c r="BF396" i="1" s="1" a="1"/>
  <c r="BF396" i="1" s="1"/>
  <c r="AY396" i="1"/>
  <c r="BE396" i="1" s="1" a="1"/>
  <c r="BE396" i="1" s="1"/>
  <c r="AX396" i="1"/>
  <c r="M396" i="1"/>
  <c r="EM395" i="1"/>
  <c r="DU395" i="1"/>
  <c r="DT395" i="1"/>
  <c r="DN395" i="1"/>
  <c r="DM395" i="1"/>
  <c r="DL395" i="1"/>
  <c r="DK395" i="1"/>
  <c r="DI395" i="1"/>
  <c r="DJ395" i="1" s="1"/>
  <c r="DC395" i="1"/>
  <c r="CX395" i="1"/>
  <c r="CN395" i="1"/>
  <c r="BV395" i="1"/>
  <c r="BX395" i="1" s="1"/>
  <c r="BU395" i="1"/>
  <c r="BN395" i="1"/>
  <c r="BO395" i="1" s="1"/>
  <c r="BM395" i="1"/>
  <c r="BD395" i="1"/>
  <c r="BC395" i="1"/>
  <c r="BB395" i="1"/>
  <c r="BA395" i="1"/>
  <c r="AZ395" i="1"/>
  <c r="AY395" i="1"/>
  <c r="BE395" i="1" s="1" a="1"/>
  <c r="BE395" i="1" s="1"/>
  <c r="AX395" i="1"/>
  <c r="M395" i="1"/>
  <c r="EM394" i="1"/>
  <c r="DU394" i="1"/>
  <c r="DT394" i="1"/>
  <c r="DN394" i="1"/>
  <c r="DM394" i="1"/>
  <c r="DL394" i="1"/>
  <c r="DK394" i="1"/>
  <c r="DI394" i="1"/>
  <c r="DJ394" i="1" s="1"/>
  <c r="DC394" i="1"/>
  <c r="CX394" i="1"/>
  <c r="CN394" i="1"/>
  <c r="CS394" i="1" s="1"/>
  <c r="BV394" i="1"/>
  <c r="BX394" i="1" s="1"/>
  <c r="BU394" i="1"/>
  <c r="BN394" i="1"/>
  <c r="BO394" i="1" s="1"/>
  <c r="BM394" i="1"/>
  <c r="BD394" i="1"/>
  <c r="BC394" i="1"/>
  <c r="BB394" i="1"/>
  <c r="BA394" i="1"/>
  <c r="AZ394" i="1"/>
  <c r="BF394" i="1" s="1" a="1"/>
  <c r="BF394" i="1" s="1"/>
  <c r="AY394" i="1"/>
  <c r="BE394" i="1" s="1" a="1"/>
  <c r="BE394" i="1" s="1"/>
  <c r="AX394" i="1"/>
  <c r="M394" i="1"/>
  <c r="EM382" i="1"/>
  <c r="DU382" i="1"/>
  <c r="DT382" i="1"/>
  <c r="DN382" i="1"/>
  <c r="DM382" i="1"/>
  <c r="DL382" i="1"/>
  <c r="DK382" i="1"/>
  <c r="DI382" i="1"/>
  <c r="DJ382" i="1" s="1"/>
  <c r="DC382" i="1"/>
  <c r="CX382" i="1"/>
  <c r="CN382" i="1"/>
  <c r="CO382" i="1" s="1"/>
  <c r="BV382" i="1"/>
  <c r="BX382" i="1" s="1"/>
  <c r="BU382" i="1"/>
  <c r="BN382" i="1"/>
  <c r="BO382" i="1" s="1"/>
  <c r="BM382" i="1"/>
  <c r="BD382" i="1"/>
  <c r="BC382" i="1"/>
  <c r="BB382" i="1"/>
  <c r="BA382" i="1"/>
  <c r="AZ382" i="1"/>
  <c r="BF382" i="1" s="1" a="1"/>
  <c r="BF382" i="1" s="1"/>
  <c r="AY382" i="1"/>
  <c r="BE382" i="1" s="1" a="1"/>
  <c r="BE382" i="1" s="1"/>
  <c r="AX382" i="1"/>
  <c r="M382" i="1"/>
  <c r="EM344" i="1"/>
  <c r="DU344" i="1"/>
  <c r="DT344" i="1"/>
  <c r="DN344" i="1"/>
  <c r="DM344" i="1"/>
  <c r="DL344" i="1"/>
  <c r="DK344" i="1"/>
  <c r="DI344" i="1"/>
  <c r="DJ344" i="1" s="1"/>
  <c r="DC344" i="1"/>
  <c r="CX344" i="1"/>
  <c r="CN344" i="1"/>
  <c r="CR344" i="1" s="1"/>
  <c r="BV344" i="1"/>
  <c r="BX344" i="1" s="1"/>
  <c r="BU344" i="1"/>
  <c r="BN344" i="1"/>
  <c r="BO344" i="1" s="1"/>
  <c r="BM344" i="1"/>
  <c r="BD344" i="1"/>
  <c r="BC344" i="1"/>
  <c r="BB344" i="1"/>
  <c r="BA344" i="1"/>
  <c r="AZ344" i="1"/>
  <c r="AY344" i="1"/>
  <c r="BE344" i="1" s="1" a="1"/>
  <c r="BE344" i="1" s="1"/>
  <c r="AX344" i="1"/>
  <c r="M344" i="1"/>
  <c r="EM343" i="1"/>
  <c r="DU343" i="1"/>
  <c r="DT343" i="1"/>
  <c r="DN343" i="1"/>
  <c r="DM343" i="1"/>
  <c r="DL343" i="1"/>
  <c r="DK343" i="1"/>
  <c r="DI343" i="1"/>
  <c r="DJ343" i="1" s="1"/>
  <c r="DC343" i="1"/>
  <c r="CX343" i="1"/>
  <c r="CN343" i="1"/>
  <c r="BV343" i="1"/>
  <c r="BX343" i="1" s="1"/>
  <c r="BU343" i="1"/>
  <c r="BN343" i="1"/>
  <c r="BO343" i="1" s="1"/>
  <c r="BM343" i="1"/>
  <c r="BD343" i="1"/>
  <c r="BC343" i="1"/>
  <c r="BB343" i="1"/>
  <c r="BA343" i="1"/>
  <c r="AZ343" i="1"/>
  <c r="AY343" i="1"/>
  <c r="BE343" i="1" s="1" a="1"/>
  <c r="BE343" i="1" s="1"/>
  <c r="AX343" i="1"/>
  <c r="M343" i="1"/>
  <c r="EM342" i="1"/>
  <c r="DU342" i="1"/>
  <c r="DT342" i="1"/>
  <c r="DN342" i="1"/>
  <c r="DM342" i="1"/>
  <c r="DL342" i="1"/>
  <c r="DK342" i="1"/>
  <c r="DI342" i="1"/>
  <c r="DJ342" i="1" s="1"/>
  <c r="DC342" i="1"/>
  <c r="CX342" i="1"/>
  <c r="CN342" i="1"/>
  <c r="BV342" i="1"/>
  <c r="BX342" i="1" s="1"/>
  <c r="BU342" i="1"/>
  <c r="BN342" i="1"/>
  <c r="BO342" i="1" s="1"/>
  <c r="BM342" i="1"/>
  <c r="BD342" i="1"/>
  <c r="BC342" i="1"/>
  <c r="BB342" i="1"/>
  <c r="BA342" i="1"/>
  <c r="AZ342" i="1"/>
  <c r="BF342" i="1" s="1" a="1"/>
  <c r="BF342" i="1" s="1"/>
  <c r="AY342" i="1"/>
  <c r="BE342" i="1" s="1" a="1"/>
  <c r="BE342" i="1" s="1"/>
  <c r="AX342" i="1"/>
  <c r="M342" i="1"/>
  <c r="EM340" i="1"/>
  <c r="DU340" i="1"/>
  <c r="DT340" i="1"/>
  <c r="DN340" i="1"/>
  <c r="DM340" i="1"/>
  <c r="DL340" i="1"/>
  <c r="DK340" i="1"/>
  <c r="DI340" i="1"/>
  <c r="DJ340" i="1" s="1"/>
  <c r="DC340" i="1"/>
  <c r="CX340" i="1"/>
  <c r="CN340" i="1"/>
  <c r="CO340" i="1" s="1"/>
  <c r="BV340" i="1"/>
  <c r="BX340" i="1" s="1"/>
  <c r="BU340" i="1"/>
  <c r="BN340" i="1"/>
  <c r="BO340" i="1" s="1"/>
  <c r="BM340" i="1"/>
  <c r="BD340" i="1"/>
  <c r="BC340" i="1"/>
  <c r="BB340" i="1"/>
  <c r="BA340" i="1"/>
  <c r="AZ340" i="1"/>
  <c r="BF340" i="1" s="1" a="1"/>
  <c r="BF340" i="1" s="1"/>
  <c r="AY340" i="1"/>
  <c r="BE340" i="1" s="1" a="1"/>
  <c r="BE340" i="1" s="1"/>
  <c r="AX340" i="1"/>
  <c r="M340" i="1"/>
  <c r="EM339" i="1"/>
  <c r="DU339" i="1"/>
  <c r="DT339" i="1"/>
  <c r="DN339" i="1"/>
  <c r="DM339" i="1"/>
  <c r="DL339" i="1"/>
  <c r="DK339" i="1"/>
  <c r="DI339" i="1"/>
  <c r="DJ339" i="1" s="1"/>
  <c r="DC339" i="1"/>
  <c r="CX339" i="1"/>
  <c r="CN339" i="1"/>
  <c r="CS339" i="1" s="1"/>
  <c r="BV339" i="1"/>
  <c r="BX339" i="1" s="1"/>
  <c r="BU339" i="1"/>
  <c r="BN339" i="1"/>
  <c r="BO339" i="1" s="1"/>
  <c r="BM339" i="1"/>
  <c r="BD339" i="1"/>
  <c r="BC339" i="1"/>
  <c r="BB339" i="1"/>
  <c r="BA339" i="1"/>
  <c r="AZ339" i="1"/>
  <c r="BF339" i="1" s="1" a="1"/>
  <c r="BF339" i="1" s="1"/>
  <c r="AY339" i="1"/>
  <c r="BE339" i="1" s="1" a="1"/>
  <c r="BE339" i="1" s="1"/>
  <c r="AX339" i="1"/>
  <c r="M339" i="1"/>
  <c r="EM337" i="1"/>
  <c r="DU337" i="1"/>
  <c r="DT337" i="1"/>
  <c r="DN337" i="1"/>
  <c r="DM337" i="1"/>
  <c r="DL337" i="1"/>
  <c r="DK337" i="1"/>
  <c r="DI337" i="1"/>
  <c r="DJ337" i="1" s="1"/>
  <c r="DC337" i="1"/>
  <c r="CX337" i="1"/>
  <c r="CN337" i="1"/>
  <c r="BV337" i="1"/>
  <c r="BX337" i="1" s="1"/>
  <c r="BU337" i="1"/>
  <c r="BN337" i="1"/>
  <c r="BO337" i="1" s="1"/>
  <c r="BM337" i="1"/>
  <c r="BD337" i="1"/>
  <c r="BC337" i="1"/>
  <c r="BB337" i="1"/>
  <c r="BA337" i="1"/>
  <c r="AZ337" i="1"/>
  <c r="AY337" i="1"/>
  <c r="BE337" i="1" s="1" a="1"/>
  <c r="BE337" i="1" s="1"/>
  <c r="AX337" i="1"/>
  <c r="M337" i="1"/>
  <c r="EM331" i="1"/>
  <c r="DU331" i="1"/>
  <c r="DT331" i="1"/>
  <c r="DN331" i="1"/>
  <c r="DM331" i="1"/>
  <c r="DL331" i="1"/>
  <c r="DK331" i="1"/>
  <c r="DI331" i="1"/>
  <c r="DJ331" i="1" s="1"/>
  <c r="DC331" i="1"/>
  <c r="CX331" i="1"/>
  <c r="CN331" i="1"/>
  <c r="BV331" i="1"/>
  <c r="BX331" i="1" s="1"/>
  <c r="BU331" i="1"/>
  <c r="BN331" i="1"/>
  <c r="BO331" i="1" s="1"/>
  <c r="BM331" i="1"/>
  <c r="BD331" i="1"/>
  <c r="BC331" i="1"/>
  <c r="BB331" i="1"/>
  <c r="BA331" i="1"/>
  <c r="AZ331" i="1"/>
  <c r="BF331" i="1" s="1" a="1"/>
  <c r="BF331" i="1" s="1"/>
  <c r="AY331" i="1"/>
  <c r="BE331" i="1" s="1" a="1"/>
  <c r="BE331" i="1" s="1"/>
  <c r="AX331" i="1"/>
  <c r="M331" i="1"/>
  <c r="EM330" i="1"/>
  <c r="DU330" i="1"/>
  <c r="DT330" i="1"/>
  <c r="DN330" i="1"/>
  <c r="DM330" i="1"/>
  <c r="DL330" i="1"/>
  <c r="DK330" i="1"/>
  <c r="DI330" i="1"/>
  <c r="DJ330" i="1" s="1"/>
  <c r="DC330" i="1"/>
  <c r="CX330" i="1"/>
  <c r="CN330" i="1"/>
  <c r="CS330" i="1" s="1"/>
  <c r="BV330" i="1"/>
  <c r="BX330" i="1" s="1"/>
  <c r="BU330" i="1"/>
  <c r="BN330" i="1"/>
  <c r="BO330" i="1" s="1"/>
  <c r="BM330" i="1"/>
  <c r="BD330" i="1"/>
  <c r="BC330" i="1"/>
  <c r="BB330" i="1"/>
  <c r="BA330" i="1"/>
  <c r="AZ330" i="1"/>
  <c r="BF330" i="1" s="1" a="1"/>
  <c r="BF330" i="1" s="1"/>
  <c r="AY330" i="1"/>
  <c r="BE330" i="1" s="1" a="1"/>
  <c r="BE330" i="1" s="1"/>
  <c r="AX330" i="1"/>
  <c r="M330" i="1"/>
  <c r="EM327" i="1"/>
  <c r="DU327" i="1"/>
  <c r="DT327" i="1"/>
  <c r="DN327" i="1"/>
  <c r="DM327" i="1"/>
  <c r="DL327" i="1"/>
  <c r="DK327" i="1"/>
  <c r="DI327" i="1"/>
  <c r="DJ327" i="1" s="1"/>
  <c r="DC327" i="1"/>
  <c r="CX327" i="1"/>
  <c r="CN327" i="1"/>
  <c r="BV327" i="1"/>
  <c r="BX327" i="1" s="1"/>
  <c r="BU327" i="1"/>
  <c r="BN327" i="1"/>
  <c r="BO327" i="1" s="1"/>
  <c r="BM327" i="1"/>
  <c r="BD327" i="1"/>
  <c r="BC327" i="1"/>
  <c r="BB327" i="1"/>
  <c r="BA327" i="1"/>
  <c r="AZ327" i="1"/>
  <c r="AY327" i="1"/>
  <c r="BE327" i="1" s="1" a="1"/>
  <c r="BE327" i="1" s="1"/>
  <c r="AX327" i="1"/>
  <c r="M327" i="1"/>
  <c r="EM326" i="1"/>
  <c r="DU326" i="1"/>
  <c r="DT326" i="1"/>
  <c r="DN326" i="1"/>
  <c r="DM326" i="1"/>
  <c r="DL326" i="1"/>
  <c r="DK326" i="1"/>
  <c r="DI326" i="1"/>
  <c r="DJ326" i="1" s="1"/>
  <c r="DC326" i="1"/>
  <c r="CX326" i="1"/>
  <c r="CN326" i="1"/>
  <c r="CP326" i="1" s="1"/>
  <c r="BV326" i="1"/>
  <c r="BX326" i="1" s="1"/>
  <c r="BU326" i="1"/>
  <c r="BN326" i="1"/>
  <c r="BO326" i="1" s="1"/>
  <c r="BM326" i="1"/>
  <c r="BD326" i="1"/>
  <c r="BC326" i="1"/>
  <c r="BB326" i="1"/>
  <c r="BA326" i="1"/>
  <c r="AZ326" i="1"/>
  <c r="AY326" i="1"/>
  <c r="BE326" i="1" s="1" a="1"/>
  <c r="BE326" i="1" s="1"/>
  <c r="AX326" i="1"/>
  <c r="M326" i="1"/>
  <c r="EM268" i="1"/>
  <c r="DU268" i="1"/>
  <c r="DT268" i="1"/>
  <c r="DN268" i="1"/>
  <c r="DM268" i="1"/>
  <c r="DL268" i="1"/>
  <c r="DK268" i="1"/>
  <c r="DI268" i="1"/>
  <c r="DJ268" i="1" s="1"/>
  <c r="DC268" i="1"/>
  <c r="CX268" i="1"/>
  <c r="CN268" i="1"/>
  <c r="CP268" i="1" s="1"/>
  <c r="BV268" i="1"/>
  <c r="BX268" i="1" s="1"/>
  <c r="BU268" i="1"/>
  <c r="BN268" i="1"/>
  <c r="BO268" i="1" s="1"/>
  <c r="BD268" i="1"/>
  <c r="BC268" i="1"/>
  <c r="BB268" i="1"/>
  <c r="BA268" i="1"/>
  <c r="AZ268" i="1"/>
  <c r="BF268" i="1" s="1" a="1"/>
  <c r="BF268" i="1" s="1"/>
  <c r="AY268" i="1"/>
  <c r="AX268" i="1"/>
  <c r="M268" i="1"/>
  <c r="EM207" i="1"/>
  <c r="DU207" i="1"/>
  <c r="DT207" i="1"/>
  <c r="DN207" i="1"/>
  <c r="DM207" i="1"/>
  <c r="DL207" i="1"/>
  <c r="DK207" i="1"/>
  <c r="DI207" i="1"/>
  <c r="DJ207" i="1" s="1"/>
  <c r="DC207" i="1"/>
  <c r="CX207" i="1"/>
  <c r="CN207" i="1"/>
  <c r="CS207" i="1" s="1"/>
  <c r="BV207" i="1"/>
  <c r="BX207" i="1" s="1"/>
  <c r="BU207" i="1"/>
  <c r="BN207" i="1"/>
  <c r="BO207" i="1" s="1"/>
  <c r="BD207" i="1"/>
  <c r="BC207" i="1"/>
  <c r="BB207" i="1"/>
  <c r="BA207" i="1"/>
  <c r="AZ207" i="1"/>
  <c r="BF207" i="1" s="1" a="1"/>
  <c r="BF207" i="1" s="1"/>
  <c r="AY207" i="1"/>
  <c r="AX207" i="1"/>
  <c r="M207" i="1"/>
  <c r="EM204" i="1"/>
  <c r="DU204" i="1"/>
  <c r="DT204" i="1"/>
  <c r="DN204" i="1"/>
  <c r="DM204" i="1"/>
  <c r="DL204" i="1"/>
  <c r="DK204" i="1"/>
  <c r="DI204" i="1"/>
  <c r="DJ204" i="1" s="1"/>
  <c r="DC204" i="1"/>
  <c r="CX204" i="1"/>
  <c r="CN204" i="1"/>
  <c r="CS204" i="1" s="1"/>
  <c r="BV204" i="1"/>
  <c r="BX204" i="1" s="1"/>
  <c r="BU204" i="1"/>
  <c r="BN204" i="1"/>
  <c r="BO204" i="1" s="1"/>
  <c r="BD204" i="1"/>
  <c r="BC204" i="1"/>
  <c r="BB204" i="1"/>
  <c r="BA204" i="1"/>
  <c r="AZ204" i="1"/>
  <c r="BF204" i="1" s="1" a="1"/>
  <c r="BF204" i="1" s="1"/>
  <c r="AY204" i="1"/>
  <c r="AX204" i="1"/>
  <c r="M204" i="1"/>
  <c r="EM1026" i="1"/>
  <c r="DU1026" i="1"/>
  <c r="DT1026" i="1"/>
  <c r="DN1026" i="1"/>
  <c r="DM1026" i="1"/>
  <c r="DL1026" i="1"/>
  <c r="DK1026" i="1"/>
  <c r="DI1026" i="1"/>
  <c r="DJ1026" i="1" s="1"/>
  <c r="DB1026" i="1"/>
  <c r="DC1026" i="1" s="1"/>
  <c r="CX1026" i="1"/>
  <c r="BT1026" i="1"/>
  <c r="BV1026" i="1" s="1"/>
  <c r="BX1026" i="1" s="1"/>
  <c r="BL1026" i="1"/>
  <c r="BN1026" i="1" s="1"/>
  <c r="BO1026" i="1" s="1"/>
  <c r="BD1026" i="1"/>
  <c r="BC1026" i="1"/>
  <c r="BB1026" i="1"/>
  <c r="BA1026" i="1"/>
  <c r="AZ1026" i="1"/>
  <c r="BF1026" i="1" s="1" a="1"/>
  <c r="BF1026" i="1" s="1"/>
  <c r="AY1026" i="1"/>
  <c r="BE1026" i="1" s="1" a="1"/>
  <c r="BE1026" i="1" s="1"/>
  <c r="AX1026" i="1"/>
  <c r="M1026" i="1"/>
  <c r="EM1023" i="1"/>
  <c r="DU1023" i="1"/>
  <c r="DT1023" i="1"/>
  <c r="DN1023" i="1"/>
  <c r="DM1023" i="1"/>
  <c r="DL1023" i="1"/>
  <c r="DK1023" i="1"/>
  <c r="DI1023" i="1"/>
  <c r="DJ1023" i="1" s="1"/>
  <c r="DB1023" i="1"/>
  <c r="DC1023" i="1" s="1"/>
  <c r="CX1023" i="1"/>
  <c r="BS1023" i="1"/>
  <c r="BK1023" i="1"/>
  <c r="BM1023" i="1" s="1"/>
  <c r="BD1023" i="1"/>
  <c r="BC1023" i="1"/>
  <c r="BB1023" i="1"/>
  <c r="BA1023" i="1"/>
  <c r="AZ1023" i="1"/>
  <c r="BF1023" i="1" s="1" a="1"/>
  <c r="BF1023" i="1" s="1"/>
  <c r="AY1023" i="1"/>
  <c r="BE1023" i="1" s="1" a="1"/>
  <c r="BE1023" i="1" s="1"/>
  <c r="AX1023" i="1"/>
  <c r="M1023" i="1"/>
  <c r="EM83" i="1"/>
  <c r="DU83" i="1"/>
  <c r="DT83" i="1"/>
  <c r="DN83" i="1"/>
  <c r="DM83" i="1"/>
  <c r="DL83" i="1"/>
  <c r="DK83" i="1"/>
  <c r="DI83" i="1"/>
  <c r="DJ83" i="1" s="1"/>
  <c r="DB83" i="1"/>
  <c r="DC83" i="1" s="1"/>
  <c r="CX83" i="1"/>
  <c r="BS83" i="1"/>
  <c r="BK83" i="1"/>
  <c r="CN83" i="1" s="1"/>
  <c r="CO83" i="1" s="1"/>
  <c r="BD83" i="1"/>
  <c r="BC83" i="1"/>
  <c r="BB83" i="1"/>
  <c r="BA83" i="1"/>
  <c r="AZ83" i="1"/>
  <c r="BF83" i="1" s="1" a="1"/>
  <c r="BF83" i="1" s="1"/>
  <c r="AY83" i="1"/>
  <c r="BE83" i="1" s="1" a="1"/>
  <c r="BE83" i="1" s="1"/>
  <c r="AX83" i="1"/>
  <c r="M83" i="1"/>
  <c r="EM61" i="1"/>
  <c r="DU61" i="1"/>
  <c r="DT61" i="1"/>
  <c r="DN61" i="1"/>
  <c r="DM61" i="1"/>
  <c r="DL61" i="1"/>
  <c r="DK61" i="1"/>
  <c r="DI61" i="1"/>
  <c r="DJ61" i="1" s="1"/>
  <c r="DB61" i="1"/>
  <c r="DC61" i="1" s="1"/>
  <c r="CX61" i="1"/>
  <c r="CN61" i="1"/>
  <c r="BT61" i="1"/>
  <c r="BV61" i="1" s="1"/>
  <c r="BX61" i="1" s="1"/>
  <c r="BN61" i="1"/>
  <c r="BO61" i="1" s="1"/>
  <c r="BM61" i="1"/>
  <c r="BD61" i="1"/>
  <c r="BC61" i="1"/>
  <c r="BB61" i="1"/>
  <c r="BA61" i="1"/>
  <c r="AZ61" i="1"/>
  <c r="BF61" i="1" s="1" a="1"/>
  <c r="BF61" i="1" s="1"/>
  <c r="AY61" i="1"/>
  <c r="BE61" i="1" s="1" a="1"/>
  <c r="BE61" i="1" s="1"/>
  <c r="AX61" i="1"/>
  <c r="M61" i="1"/>
  <c r="EM43" i="1"/>
  <c r="DU43" i="1"/>
  <c r="DT43" i="1"/>
  <c r="DN43" i="1"/>
  <c r="DM43" i="1"/>
  <c r="DL43" i="1"/>
  <c r="DK43" i="1"/>
  <c r="DI43" i="1"/>
  <c r="DJ43" i="1" s="1"/>
  <c r="DB43" i="1"/>
  <c r="DC43" i="1" s="1"/>
  <c r="CX43" i="1"/>
  <c r="CN43" i="1"/>
  <c r="BT43" i="1"/>
  <c r="BV43" i="1" s="1"/>
  <c r="BX43" i="1" s="1"/>
  <c r="BN43" i="1"/>
  <c r="BO43" i="1" s="1"/>
  <c r="BM43" i="1"/>
  <c r="BD43" i="1"/>
  <c r="BC43" i="1"/>
  <c r="BB43" i="1"/>
  <c r="BA43" i="1"/>
  <c r="AZ43" i="1"/>
  <c r="BF43" i="1" s="1" a="1"/>
  <c r="BF43" i="1" s="1"/>
  <c r="AY43" i="1"/>
  <c r="BE43" i="1" s="1" a="1"/>
  <c r="BE43" i="1" s="1"/>
  <c r="AX43" i="1"/>
  <c r="M43" i="1"/>
  <c r="EM42" i="1"/>
  <c r="DU42" i="1"/>
  <c r="DT42" i="1"/>
  <c r="DN42" i="1"/>
  <c r="DM42" i="1"/>
  <c r="DL42" i="1"/>
  <c r="DK42" i="1"/>
  <c r="DI42" i="1"/>
  <c r="DJ42" i="1" s="1"/>
  <c r="DB42" i="1"/>
  <c r="DC42" i="1" s="1"/>
  <c r="CX42" i="1"/>
  <c r="CN42" i="1"/>
  <c r="BV42" i="1"/>
  <c r="BX42" i="1" s="1"/>
  <c r="BU42" i="1"/>
  <c r="BN42" i="1"/>
  <c r="BO42" i="1" s="1"/>
  <c r="BM42" i="1"/>
  <c r="BD42" i="1"/>
  <c r="BC42" i="1"/>
  <c r="BB42" i="1"/>
  <c r="BA42" i="1"/>
  <c r="AZ42" i="1"/>
  <c r="AY42" i="1"/>
  <c r="BE42" i="1" s="1" a="1"/>
  <c r="BE42" i="1" s="1"/>
  <c r="AX42" i="1"/>
  <c r="M42" i="1"/>
  <c r="EM1024" i="1"/>
  <c r="DU1024" i="1"/>
  <c r="DT1024" i="1"/>
  <c r="DN1024" i="1"/>
  <c r="DM1024" i="1"/>
  <c r="DL1024" i="1"/>
  <c r="DK1024" i="1"/>
  <c r="DI1024" i="1"/>
  <c r="DJ1024" i="1" s="1"/>
  <c r="DB1024" i="1"/>
  <c r="DC1024" i="1" s="1"/>
  <c r="CX1024" i="1"/>
  <c r="BS1024" i="1"/>
  <c r="BK1024" i="1"/>
  <c r="BN1024" i="1" s="1"/>
  <c r="BO1024" i="1" s="1"/>
  <c r="BD1024" i="1"/>
  <c r="BC1024" i="1"/>
  <c r="BB1024" i="1"/>
  <c r="BA1024" i="1"/>
  <c r="AZ1024" i="1"/>
  <c r="BF1024" i="1" s="1" a="1"/>
  <c r="BF1024" i="1" s="1"/>
  <c r="AY1024" i="1"/>
  <c r="BE1024" i="1" s="1" a="1"/>
  <c r="BE1024" i="1" s="1"/>
  <c r="AX1024" i="1"/>
  <c r="M1024" i="1"/>
  <c r="EM1088" i="1"/>
  <c r="DU1088" i="1"/>
  <c r="DT1088" i="1"/>
  <c r="DN1088" i="1"/>
  <c r="DM1088" i="1"/>
  <c r="DL1088" i="1"/>
  <c r="DK1088" i="1"/>
  <c r="DI1088" i="1"/>
  <c r="DJ1088" i="1" s="1"/>
  <c r="DB1088" i="1"/>
  <c r="DC1088" i="1" s="1"/>
  <c r="CX1088" i="1"/>
  <c r="BT1088" i="1"/>
  <c r="BL1088" i="1"/>
  <c r="BN1088" i="1" s="1"/>
  <c r="BO1088" i="1" s="1"/>
  <c r="BD1088" i="1"/>
  <c r="BC1088" i="1"/>
  <c r="BB1088" i="1"/>
  <c r="BA1088" i="1"/>
  <c r="AZ1088" i="1"/>
  <c r="AY1088" i="1"/>
  <c r="BE1088" i="1" s="1" a="1"/>
  <c r="BE1088" i="1" s="1"/>
  <c r="AX1088" i="1"/>
  <c r="M1088" i="1"/>
  <c r="EM95" i="1"/>
  <c r="DU95" i="1"/>
  <c r="DT95" i="1"/>
  <c r="DN95" i="1"/>
  <c r="DM95" i="1"/>
  <c r="DL95" i="1"/>
  <c r="DK95" i="1"/>
  <c r="DI95" i="1"/>
  <c r="DJ95" i="1" s="1"/>
  <c r="DB95" i="1"/>
  <c r="DC95" i="1" s="1"/>
  <c r="CX95" i="1"/>
  <c r="BS95" i="1"/>
  <c r="BK95" i="1"/>
  <c r="BN95" i="1" s="1"/>
  <c r="BO95" i="1" s="1"/>
  <c r="BD95" i="1"/>
  <c r="BC95" i="1"/>
  <c r="BB95" i="1"/>
  <c r="BA95" i="1"/>
  <c r="AZ95" i="1"/>
  <c r="BF95" i="1" s="1" a="1"/>
  <c r="BF95" i="1" s="1"/>
  <c r="AY95" i="1"/>
  <c r="BE95" i="1" s="1" a="1"/>
  <c r="BE95" i="1" s="1"/>
  <c r="AX95" i="1"/>
  <c r="M95" i="1"/>
  <c r="EM1025" i="1"/>
  <c r="DU1025" i="1"/>
  <c r="DT1025" i="1"/>
  <c r="DN1025" i="1"/>
  <c r="DM1025" i="1"/>
  <c r="DL1025" i="1"/>
  <c r="DK1025" i="1"/>
  <c r="DI1025" i="1"/>
  <c r="DJ1025" i="1" s="1"/>
  <c r="DB1025" i="1"/>
  <c r="DC1025" i="1" s="1"/>
  <c r="CX1025" i="1"/>
  <c r="BT1025" i="1"/>
  <c r="BU1025" i="1" s="1"/>
  <c r="BL1025" i="1"/>
  <c r="BM1025" i="1" s="1"/>
  <c r="BD1025" i="1"/>
  <c r="BC1025" i="1"/>
  <c r="BB1025" i="1"/>
  <c r="BA1025" i="1"/>
  <c r="AZ1025" i="1"/>
  <c r="AY1025" i="1"/>
  <c r="BE1025" i="1" s="1" a="1"/>
  <c r="BE1025" i="1" s="1"/>
  <c r="AX1025" i="1"/>
  <c r="M1025" i="1"/>
  <c r="EM853" i="1"/>
  <c r="DU853" i="1"/>
  <c r="DT853" i="1"/>
  <c r="DN853" i="1"/>
  <c r="DM853" i="1"/>
  <c r="DL853" i="1"/>
  <c r="DK853" i="1"/>
  <c r="DI853" i="1"/>
  <c r="DJ853" i="1" s="1"/>
  <c r="DB853" i="1"/>
  <c r="DC853" i="1" s="1"/>
  <c r="CX853" i="1"/>
  <c r="CN853" i="1"/>
  <c r="CO853" i="1" s="1"/>
  <c r="BX853" i="1"/>
  <c r="BN853" i="1"/>
  <c r="BO853" i="1" s="1"/>
  <c r="BD853" i="1"/>
  <c r="BC853" i="1"/>
  <c r="BB853" i="1"/>
  <c r="BA853" i="1"/>
  <c r="AZ853" i="1"/>
  <c r="BF853" i="1" s="1" a="1"/>
  <c r="BF853" i="1" s="1"/>
  <c r="AY853" i="1"/>
  <c r="BE853" i="1" s="1" a="1"/>
  <c r="BE853" i="1" s="1"/>
  <c r="AX853" i="1"/>
  <c r="M853" i="1"/>
  <c r="EM1087" i="1"/>
  <c r="DU1087" i="1"/>
  <c r="DT1087" i="1"/>
  <c r="DN1087" i="1"/>
  <c r="DM1087" i="1"/>
  <c r="DL1087" i="1"/>
  <c r="DK1087" i="1"/>
  <c r="DI1087" i="1"/>
  <c r="DJ1087" i="1" s="1"/>
  <c r="DC1087" i="1"/>
  <c r="CX1087" i="1"/>
  <c r="CU1087" i="1"/>
  <c r="BL1087" i="1"/>
  <c r="BK1087" i="1"/>
  <c r="BD1087" i="1"/>
  <c r="BC1087" i="1"/>
  <c r="BB1087" i="1"/>
  <c r="BA1087" i="1"/>
  <c r="AZ1087" i="1"/>
  <c r="BF1087" i="1" s="1" a="1"/>
  <c r="BF1087" i="1" s="1"/>
  <c r="AY1087" i="1"/>
  <c r="BE1087" i="1" s="1" a="1"/>
  <c r="BE1087" i="1" s="1"/>
  <c r="AX1087" i="1"/>
  <c r="M1087" i="1"/>
  <c r="EM37" i="1"/>
  <c r="DU37" i="1"/>
  <c r="DT37" i="1"/>
  <c r="DN37" i="1"/>
  <c r="DM37" i="1"/>
  <c r="DL37" i="1"/>
  <c r="DK37" i="1"/>
  <c r="DI37" i="1"/>
  <c r="DJ37" i="1" s="1"/>
  <c r="DC37" i="1"/>
  <c r="CX37" i="1"/>
  <c r="BX37" i="1"/>
  <c r="BL37" i="1"/>
  <c r="BN37" i="1" s="1"/>
  <c r="BO37" i="1" s="1"/>
  <c r="BD37" i="1"/>
  <c r="BC37" i="1"/>
  <c r="BB37" i="1"/>
  <c r="BA37" i="1"/>
  <c r="AZ37" i="1"/>
  <c r="BF37" i="1" s="1" a="1"/>
  <c r="BF37" i="1" s="1"/>
  <c r="AY37" i="1"/>
  <c r="BE37" i="1" s="1" a="1"/>
  <c r="BE37" i="1" s="1"/>
  <c r="AX37" i="1"/>
  <c r="M37" i="1"/>
  <c r="EM36" i="1"/>
  <c r="DU36" i="1"/>
  <c r="DT36" i="1"/>
  <c r="DN36" i="1"/>
  <c r="DM36" i="1"/>
  <c r="DL36" i="1"/>
  <c r="DK36" i="1"/>
  <c r="DI36" i="1"/>
  <c r="DJ36" i="1" s="1"/>
  <c r="DC36" i="1"/>
  <c r="CX36" i="1"/>
  <c r="BX36" i="1"/>
  <c r="BL36" i="1"/>
  <c r="CN36" i="1" s="1"/>
  <c r="BD36" i="1"/>
  <c r="BC36" i="1"/>
  <c r="BB36" i="1"/>
  <c r="BA36" i="1"/>
  <c r="AZ36" i="1"/>
  <c r="BF36" i="1" s="1" a="1"/>
  <c r="BF36" i="1" s="1"/>
  <c r="AY36" i="1"/>
  <c r="BE36" i="1" s="1" a="1"/>
  <c r="BE36" i="1" s="1"/>
  <c r="AX36" i="1"/>
  <c r="M36" i="1"/>
  <c r="EM33" i="1"/>
  <c r="DU33" i="1"/>
  <c r="DT33" i="1"/>
  <c r="DN33" i="1"/>
  <c r="DM33" i="1"/>
  <c r="DL33" i="1"/>
  <c r="DK33" i="1"/>
  <c r="DI33" i="1"/>
  <c r="DJ33" i="1" s="1"/>
  <c r="DC33" i="1"/>
  <c r="CX33" i="1"/>
  <c r="BX33" i="1"/>
  <c r="BL33" i="1"/>
  <c r="BN33" i="1" s="1"/>
  <c r="BO33" i="1" s="1"/>
  <c r="BD33" i="1"/>
  <c r="BC33" i="1"/>
  <c r="BB33" i="1"/>
  <c r="BA33" i="1"/>
  <c r="AZ33" i="1"/>
  <c r="BF33" i="1" s="1" a="1"/>
  <c r="BF33" i="1" s="1"/>
  <c r="AY33" i="1"/>
  <c r="BE33" i="1" s="1" a="1"/>
  <c r="BE33" i="1" s="1"/>
  <c r="AX33" i="1"/>
  <c r="M33" i="1"/>
  <c r="EM30" i="1"/>
  <c r="DU30" i="1"/>
  <c r="DT30" i="1"/>
  <c r="DN30" i="1"/>
  <c r="DM30" i="1"/>
  <c r="DL30" i="1"/>
  <c r="DK30" i="1"/>
  <c r="DI30" i="1"/>
  <c r="DJ30" i="1" s="1"/>
  <c r="DC30" i="1"/>
  <c r="CX30" i="1"/>
  <c r="BX30" i="1"/>
  <c r="BL30" i="1"/>
  <c r="CN30" i="1" s="1"/>
  <c r="CP30" i="1" s="1"/>
  <c r="BD30" i="1"/>
  <c r="BC30" i="1"/>
  <c r="BB30" i="1"/>
  <c r="BA30" i="1"/>
  <c r="AZ30" i="1"/>
  <c r="BF30" i="1" s="1" a="1"/>
  <c r="BF30" i="1" s="1"/>
  <c r="AY30" i="1"/>
  <c r="BE30" i="1" s="1" a="1"/>
  <c r="BE30" i="1" s="1"/>
  <c r="AX30" i="1"/>
  <c r="M30" i="1"/>
  <c r="EM28" i="1"/>
  <c r="DU28" i="1"/>
  <c r="DT28" i="1"/>
  <c r="DN28" i="1"/>
  <c r="DM28" i="1"/>
  <c r="DL28" i="1"/>
  <c r="DK28" i="1"/>
  <c r="DI28" i="1"/>
  <c r="DJ28" i="1" s="1"/>
  <c r="DC28" i="1"/>
  <c r="CX28" i="1"/>
  <c r="BX28" i="1"/>
  <c r="BL28" i="1"/>
  <c r="CN28" i="1" s="1"/>
  <c r="CS28" i="1" s="1"/>
  <c r="BD28" i="1"/>
  <c r="BC28" i="1"/>
  <c r="BB28" i="1"/>
  <c r="BA28" i="1"/>
  <c r="AZ28" i="1"/>
  <c r="BF28" i="1" s="1" a="1"/>
  <c r="BF28" i="1" s="1"/>
  <c r="AY28" i="1"/>
  <c r="BE28" i="1" s="1" a="1"/>
  <c r="BE28" i="1" s="1"/>
  <c r="AX28" i="1"/>
  <c r="M28" i="1"/>
  <c r="EM27" i="1"/>
  <c r="DU27" i="1"/>
  <c r="DT27" i="1"/>
  <c r="DN27" i="1"/>
  <c r="DM27" i="1"/>
  <c r="DL27" i="1"/>
  <c r="DK27" i="1"/>
  <c r="DI27" i="1"/>
  <c r="DJ27" i="1" s="1"/>
  <c r="DC27" i="1"/>
  <c r="CX27" i="1"/>
  <c r="BX27" i="1"/>
  <c r="BL27" i="1"/>
  <c r="BN27" i="1" s="1"/>
  <c r="BO27" i="1" s="1"/>
  <c r="BD27" i="1"/>
  <c r="BC27" i="1"/>
  <c r="BB27" i="1"/>
  <c r="BA27" i="1"/>
  <c r="AZ27" i="1"/>
  <c r="BF27" i="1" s="1" a="1"/>
  <c r="BF27" i="1" s="1"/>
  <c r="AY27" i="1"/>
  <c r="BE27" i="1" s="1" a="1"/>
  <c r="BE27" i="1" s="1"/>
  <c r="AX27" i="1"/>
  <c r="M27" i="1"/>
  <c r="EM1086" i="1"/>
  <c r="DU1086" i="1"/>
  <c r="DT1086" i="1"/>
  <c r="DN1086" i="1"/>
  <c r="DM1086" i="1"/>
  <c r="DL1086" i="1"/>
  <c r="DK1086" i="1"/>
  <c r="DI1086" i="1"/>
  <c r="DJ1086" i="1" s="1"/>
  <c r="DC1086" i="1"/>
  <c r="CX1086" i="1"/>
  <c r="BX1086" i="1"/>
  <c r="BL1086" i="1"/>
  <c r="BK1086" i="1"/>
  <c r="BD1086" i="1"/>
  <c r="BC1086" i="1"/>
  <c r="BB1086" i="1"/>
  <c r="BA1086" i="1"/>
  <c r="AZ1086" i="1"/>
  <c r="AY1086" i="1"/>
  <c r="BE1086" i="1" s="1" a="1"/>
  <c r="BE1086" i="1" s="1"/>
  <c r="AX1086" i="1"/>
  <c r="M1086" i="1"/>
  <c r="EM1085" i="1"/>
  <c r="DU1085" i="1"/>
  <c r="DT1085" i="1"/>
  <c r="DN1085" i="1"/>
  <c r="DM1085" i="1"/>
  <c r="DL1085" i="1"/>
  <c r="DK1085" i="1"/>
  <c r="DI1085" i="1"/>
  <c r="DJ1085" i="1" s="1"/>
  <c r="DC1085" i="1"/>
  <c r="CX1085" i="1"/>
  <c r="BX1085" i="1"/>
  <c r="BL1085" i="1"/>
  <c r="BN1085" i="1" s="1"/>
  <c r="BO1085" i="1" s="1"/>
  <c r="BK1085" i="1"/>
  <c r="BD1085" i="1"/>
  <c r="BC1085" i="1"/>
  <c r="BB1085" i="1"/>
  <c r="BA1085" i="1"/>
  <c r="AZ1085" i="1"/>
  <c r="BF1085" i="1" s="1" a="1"/>
  <c r="BF1085" i="1" s="1"/>
  <c r="AY1085" i="1"/>
  <c r="BE1085" i="1" s="1" a="1"/>
  <c r="BE1085" i="1" s="1"/>
  <c r="AX1085" i="1"/>
  <c r="M1085" i="1"/>
  <c r="EM1084" i="1"/>
  <c r="DU1084" i="1"/>
  <c r="DT1084" i="1"/>
  <c r="DN1084" i="1"/>
  <c r="DM1084" i="1"/>
  <c r="DL1084" i="1"/>
  <c r="DK1084" i="1"/>
  <c r="DI1084" i="1"/>
  <c r="DJ1084" i="1" s="1"/>
  <c r="DC1084" i="1"/>
  <c r="CX1084" i="1"/>
  <c r="BX1084" i="1"/>
  <c r="BL1084" i="1"/>
  <c r="BK1084" i="1"/>
  <c r="BD1084" i="1"/>
  <c r="BC1084" i="1"/>
  <c r="BB1084" i="1"/>
  <c r="BA1084" i="1"/>
  <c r="AZ1084" i="1"/>
  <c r="BF1084" i="1" s="1" a="1"/>
  <c r="BF1084" i="1" s="1"/>
  <c r="AY1084" i="1"/>
  <c r="BE1084" i="1" s="1" a="1"/>
  <c r="BE1084" i="1" s="1"/>
  <c r="AX1084" i="1"/>
  <c r="M1084" i="1"/>
  <c r="EM880" i="1"/>
  <c r="DU880" i="1"/>
  <c r="DT880" i="1"/>
  <c r="DN880" i="1"/>
  <c r="DM880" i="1"/>
  <c r="DL880" i="1"/>
  <c r="DK880" i="1"/>
  <c r="DI880" i="1"/>
  <c r="DJ880" i="1" s="1"/>
  <c r="DB880" i="1"/>
  <c r="DC880" i="1" s="1"/>
  <c r="CX880" i="1"/>
  <c r="CN880" i="1"/>
  <c r="BX880" i="1"/>
  <c r="BN880" i="1"/>
  <c r="BO880" i="1" s="1"/>
  <c r="BD880" i="1"/>
  <c r="BC880" i="1"/>
  <c r="BB880" i="1"/>
  <c r="BA880" i="1"/>
  <c r="AZ880" i="1"/>
  <c r="BF880" i="1" s="1" a="1"/>
  <c r="BF880" i="1" s="1"/>
  <c r="AY880" i="1"/>
  <c r="BE880" i="1" s="1" a="1"/>
  <c r="BE880" i="1" s="1"/>
  <c r="AX880" i="1"/>
  <c r="M880" i="1"/>
  <c r="EM569" i="1"/>
  <c r="DU569" i="1"/>
  <c r="DT569" i="1"/>
  <c r="DN569" i="1"/>
  <c r="DM569" i="1"/>
  <c r="DL569" i="1"/>
  <c r="DK569" i="1"/>
  <c r="DI569" i="1"/>
  <c r="DJ569" i="1" s="1"/>
  <c r="DB569" i="1"/>
  <c r="DC569" i="1" s="1"/>
  <c r="CX569" i="1"/>
  <c r="CN569" i="1"/>
  <c r="CO569" i="1" s="1"/>
  <c r="BX569" i="1"/>
  <c r="BN569" i="1"/>
  <c r="BO569" i="1" s="1"/>
  <c r="BD569" i="1"/>
  <c r="BC569" i="1"/>
  <c r="BB569" i="1"/>
  <c r="BA569" i="1"/>
  <c r="AZ569" i="1"/>
  <c r="BF569" i="1" s="1" a="1"/>
  <c r="BF569" i="1" s="1"/>
  <c r="AY569" i="1"/>
  <c r="BE569" i="1" s="1" a="1"/>
  <c r="BE569" i="1" s="1"/>
  <c r="AX569" i="1"/>
  <c r="M569" i="1"/>
  <c r="EM1077" i="1"/>
  <c r="DU1077" i="1"/>
  <c r="DT1077" i="1"/>
  <c r="DN1077" i="1"/>
  <c r="DM1077" i="1"/>
  <c r="DL1077" i="1"/>
  <c r="DK1077" i="1"/>
  <c r="DI1077" i="1"/>
  <c r="DJ1077" i="1" s="1"/>
  <c r="DB1077" i="1"/>
  <c r="DC1077" i="1" s="1"/>
  <c r="CX1077" i="1"/>
  <c r="CN1077" i="1"/>
  <c r="CO1077" i="1" s="1"/>
  <c r="BX1077" i="1"/>
  <c r="BN1077" i="1"/>
  <c r="BO1077" i="1" s="1"/>
  <c r="BD1077" i="1"/>
  <c r="BC1077" i="1"/>
  <c r="BB1077" i="1"/>
  <c r="BA1077" i="1"/>
  <c r="AZ1077" i="1"/>
  <c r="AY1077" i="1"/>
  <c r="BE1077" i="1" s="1" a="1"/>
  <c r="BE1077" i="1" s="1"/>
  <c r="AX1077" i="1"/>
  <c r="M1077" i="1"/>
  <c r="EM1073" i="1"/>
  <c r="DU1073" i="1"/>
  <c r="DT1073" i="1"/>
  <c r="DN1073" i="1"/>
  <c r="DM1073" i="1"/>
  <c r="DL1073" i="1"/>
  <c r="DK1073" i="1"/>
  <c r="DI1073" i="1"/>
  <c r="DJ1073" i="1" s="1"/>
  <c r="DB1073" i="1"/>
  <c r="DC1073" i="1" s="1"/>
  <c r="CX1073" i="1"/>
  <c r="CN1073" i="1"/>
  <c r="CO1073" i="1" s="1"/>
  <c r="BX1073" i="1"/>
  <c r="BN1073" i="1"/>
  <c r="BO1073" i="1" s="1"/>
  <c r="BD1073" i="1"/>
  <c r="BC1073" i="1"/>
  <c r="BB1073" i="1"/>
  <c r="BA1073" i="1"/>
  <c r="AZ1073" i="1"/>
  <c r="BF1073" i="1" s="1" a="1"/>
  <c r="BF1073" i="1" s="1"/>
  <c r="AY1073" i="1"/>
  <c r="BE1073" i="1" s="1" a="1"/>
  <c r="BE1073" i="1" s="1"/>
  <c r="AX1073" i="1"/>
  <c r="M1073" i="1"/>
  <c r="EM1076" i="1"/>
  <c r="DU1076" i="1"/>
  <c r="DT1076" i="1"/>
  <c r="DN1076" i="1"/>
  <c r="DM1076" i="1"/>
  <c r="DL1076" i="1"/>
  <c r="DK1076" i="1"/>
  <c r="DI1076" i="1"/>
  <c r="DJ1076" i="1" s="1"/>
  <c r="DB1076" i="1"/>
  <c r="DC1076" i="1" s="1"/>
  <c r="CX1076" i="1"/>
  <c r="CN1076" i="1"/>
  <c r="CO1076" i="1" s="1"/>
  <c r="BX1076" i="1"/>
  <c r="BN1076" i="1"/>
  <c r="BO1076" i="1" s="1"/>
  <c r="BD1076" i="1"/>
  <c r="BC1076" i="1"/>
  <c r="BB1076" i="1"/>
  <c r="BA1076" i="1"/>
  <c r="AZ1076" i="1"/>
  <c r="BF1076" i="1" s="1" a="1"/>
  <c r="BF1076" i="1" s="1"/>
  <c r="AY1076" i="1"/>
  <c r="BE1076" i="1" s="1" a="1"/>
  <c r="BE1076" i="1" s="1"/>
  <c r="AX1076" i="1"/>
  <c r="M1076" i="1"/>
  <c r="EM1072" i="1"/>
  <c r="DU1072" i="1"/>
  <c r="DT1072" i="1"/>
  <c r="DN1072" i="1"/>
  <c r="DM1072" i="1"/>
  <c r="DL1072" i="1"/>
  <c r="DK1072" i="1"/>
  <c r="DI1072" i="1"/>
  <c r="DJ1072" i="1" s="1"/>
  <c r="DB1072" i="1"/>
  <c r="DC1072" i="1" s="1"/>
  <c r="CX1072" i="1"/>
  <c r="CN1072" i="1"/>
  <c r="CO1072" i="1" s="1"/>
  <c r="BX1072" i="1"/>
  <c r="BN1072" i="1"/>
  <c r="BO1072" i="1" s="1"/>
  <c r="BD1072" i="1"/>
  <c r="BC1072" i="1"/>
  <c r="BB1072" i="1"/>
  <c r="BA1072" i="1"/>
  <c r="AZ1072" i="1"/>
  <c r="AY1072" i="1"/>
  <c r="BE1072" i="1" s="1" a="1"/>
  <c r="BE1072" i="1" s="1"/>
  <c r="AX1072" i="1"/>
  <c r="M1072" i="1"/>
  <c r="EM1075" i="1"/>
  <c r="DU1075" i="1"/>
  <c r="DT1075" i="1"/>
  <c r="DN1075" i="1"/>
  <c r="DM1075" i="1"/>
  <c r="DL1075" i="1"/>
  <c r="DK1075" i="1"/>
  <c r="DI1075" i="1"/>
  <c r="DJ1075" i="1" s="1"/>
  <c r="DB1075" i="1"/>
  <c r="DC1075" i="1" s="1"/>
  <c r="CX1075" i="1"/>
  <c r="CN1075" i="1"/>
  <c r="CO1075" i="1" s="1"/>
  <c r="BX1075" i="1"/>
  <c r="BN1075" i="1"/>
  <c r="BO1075" i="1" s="1"/>
  <c r="BD1075" i="1"/>
  <c r="BC1075" i="1"/>
  <c r="BB1075" i="1"/>
  <c r="BA1075" i="1"/>
  <c r="AZ1075" i="1"/>
  <c r="BF1075" i="1" s="1" a="1"/>
  <c r="BF1075" i="1" s="1"/>
  <c r="AY1075" i="1"/>
  <c r="BE1075" i="1" s="1" a="1"/>
  <c r="BE1075" i="1" s="1"/>
  <c r="AX1075" i="1"/>
  <c r="M1075" i="1"/>
  <c r="EM1074" i="1"/>
  <c r="DU1074" i="1"/>
  <c r="DT1074" i="1"/>
  <c r="DN1074" i="1"/>
  <c r="DM1074" i="1"/>
  <c r="DL1074" i="1"/>
  <c r="DK1074" i="1"/>
  <c r="DI1074" i="1"/>
  <c r="DJ1074" i="1" s="1"/>
  <c r="DB1074" i="1"/>
  <c r="DC1074" i="1" s="1"/>
  <c r="CX1074" i="1"/>
  <c r="CN1074" i="1"/>
  <c r="CO1074" i="1" s="1"/>
  <c r="BX1074" i="1"/>
  <c r="BN1074" i="1"/>
  <c r="BO1074" i="1" s="1"/>
  <c r="BD1074" i="1"/>
  <c r="BC1074" i="1"/>
  <c r="BB1074" i="1"/>
  <c r="BA1074" i="1"/>
  <c r="AZ1074" i="1"/>
  <c r="BF1074" i="1" s="1" a="1"/>
  <c r="BF1074" i="1" s="1"/>
  <c r="AY1074" i="1"/>
  <c r="BE1074" i="1" s="1" a="1"/>
  <c r="BE1074" i="1" s="1"/>
  <c r="AX1074" i="1"/>
  <c r="M1074" i="1"/>
  <c r="EM1071" i="1"/>
  <c r="DU1071" i="1"/>
  <c r="DT1071" i="1"/>
  <c r="DN1071" i="1"/>
  <c r="DM1071" i="1"/>
  <c r="DL1071" i="1"/>
  <c r="DK1071" i="1"/>
  <c r="DI1071" i="1"/>
  <c r="DJ1071" i="1" s="1"/>
  <c r="DB1071" i="1"/>
  <c r="DC1071" i="1" s="1"/>
  <c r="CX1071" i="1"/>
  <c r="CN1071" i="1"/>
  <c r="CS1071" i="1" s="1"/>
  <c r="BX1071" i="1"/>
  <c r="BN1071" i="1"/>
  <c r="BO1071" i="1" s="1"/>
  <c r="BD1071" i="1"/>
  <c r="BC1071" i="1"/>
  <c r="BB1071" i="1"/>
  <c r="BA1071" i="1"/>
  <c r="AZ1071" i="1"/>
  <c r="BF1071" i="1" s="1" a="1"/>
  <c r="BF1071" i="1" s="1"/>
  <c r="AY1071" i="1"/>
  <c r="BE1071" i="1" s="1" a="1"/>
  <c r="BE1071" i="1" s="1"/>
  <c r="AX1071" i="1"/>
  <c r="M1071" i="1"/>
  <c r="EM1070" i="1"/>
  <c r="DU1070" i="1"/>
  <c r="DT1070" i="1"/>
  <c r="DN1070" i="1"/>
  <c r="DM1070" i="1"/>
  <c r="DL1070" i="1"/>
  <c r="DK1070" i="1"/>
  <c r="DI1070" i="1"/>
  <c r="DJ1070" i="1" s="1"/>
  <c r="DB1070" i="1"/>
  <c r="DC1070" i="1" s="1"/>
  <c r="CX1070" i="1"/>
  <c r="CN1070" i="1"/>
  <c r="CS1070" i="1" s="1"/>
  <c r="BX1070" i="1"/>
  <c r="BN1070" i="1"/>
  <c r="BO1070" i="1" s="1"/>
  <c r="BD1070" i="1"/>
  <c r="BC1070" i="1"/>
  <c r="BB1070" i="1"/>
  <c r="BA1070" i="1"/>
  <c r="AZ1070" i="1"/>
  <c r="BF1070" i="1" s="1" a="1"/>
  <c r="BF1070" i="1" s="1"/>
  <c r="AY1070" i="1"/>
  <c r="BE1070" i="1" s="1" a="1"/>
  <c r="BE1070" i="1" s="1"/>
  <c r="AX1070" i="1"/>
  <c r="M1070" i="1"/>
  <c r="EM670" i="1"/>
  <c r="DU670" i="1"/>
  <c r="DT670" i="1"/>
  <c r="DN670" i="1"/>
  <c r="DM670" i="1"/>
  <c r="DL670" i="1"/>
  <c r="DK670" i="1"/>
  <c r="DI670" i="1"/>
  <c r="DJ670" i="1" s="1"/>
  <c r="DB670" i="1"/>
  <c r="DC670" i="1" s="1"/>
  <c r="CX670" i="1"/>
  <c r="CN670" i="1"/>
  <c r="CO670" i="1" s="1"/>
  <c r="BX670" i="1"/>
  <c r="BO670" i="1"/>
  <c r="BN670" i="1"/>
  <c r="BD670" i="1"/>
  <c r="BC670" i="1"/>
  <c r="BB670" i="1"/>
  <c r="BA670" i="1"/>
  <c r="AZ670" i="1"/>
  <c r="BF670" i="1" s="1" a="1"/>
  <c r="BF670" i="1" s="1"/>
  <c r="AY670" i="1"/>
  <c r="BE670" i="1" s="1" a="1"/>
  <c r="BE670" i="1" s="1"/>
  <c r="AX670" i="1"/>
  <c r="M670" i="1"/>
  <c r="EM576" i="1"/>
  <c r="DU576" i="1"/>
  <c r="DT576" i="1"/>
  <c r="DN576" i="1"/>
  <c r="DM576" i="1"/>
  <c r="DL576" i="1"/>
  <c r="DK576" i="1"/>
  <c r="DI576" i="1"/>
  <c r="DJ576" i="1" s="1"/>
  <c r="DB576" i="1"/>
  <c r="DC576" i="1" s="1"/>
  <c r="CX576" i="1"/>
  <c r="CN576" i="1"/>
  <c r="CO576" i="1" s="1"/>
  <c r="BX576" i="1"/>
  <c r="BO576" i="1"/>
  <c r="BN576" i="1"/>
  <c r="BD576" i="1"/>
  <c r="BC576" i="1"/>
  <c r="BB576" i="1"/>
  <c r="BA576" i="1"/>
  <c r="AZ576" i="1"/>
  <c r="AY576" i="1"/>
  <c r="BE576" i="1" s="1" a="1"/>
  <c r="BE576" i="1" s="1"/>
  <c r="AX576" i="1"/>
  <c r="M576" i="1"/>
  <c r="EM217" i="1"/>
  <c r="DU217" i="1"/>
  <c r="DT217" i="1"/>
  <c r="DN217" i="1"/>
  <c r="DM217" i="1"/>
  <c r="DL217" i="1"/>
  <c r="DK217" i="1"/>
  <c r="DI217" i="1"/>
  <c r="DJ217" i="1" s="1"/>
  <c r="DB217" i="1"/>
  <c r="DC217" i="1" s="1"/>
  <c r="CX217" i="1"/>
  <c r="CN217" i="1"/>
  <c r="CO217" i="1" s="1"/>
  <c r="BX217" i="1"/>
  <c r="BO217" i="1"/>
  <c r="BN217" i="1"/>
  <c r="BD217" i="1"/>
  <c r="BC217" i="1"/>
  <c r="BB217" i="1"/>
  <c r="BA217" i="1"/>
  <c r="AZ217" i="1"/>
  <c r="BF217" i="1" s="1" a="1"/>
  <c r="BF217" i="1" s="1"/>
  <c r="AY217" i="1"/>
  <c r="BE217" i="1" s="1" a="1"/>
  <c r="BE217" i="1" s="1"/>
  <c r="AX217" i="1"/>
  <c r="M217" i="1"/>
  <c r="EM1069" i="1"/>
  <c r="DU1069" i="1"/>
  <c r="DT1069" i="1"/>
  <c r="DN1069" i="1"/>
  <c r="DM1069" i="1"/>
  <c r="DL1069" i="1"/>
  <c r="DK1069" i="1"/>
  <c r="DI1069" i="1"/>
  <c r="DJ1069" i="1" s="1"/>
  <c r="DB1069" i="1"/>
  <c r="DC1069" i="1" s="1"/>
  <c r="CX1069" i="1"/>
  <c r="CN1069" i="1"/>
  <c r="CO1069" i="1" s="1"/>
  <c r="BX1069" i="1"/>
  <c r="BO1069" i="1"/>
  <c r="BN1069" i="1"/>
  <c r="BD1069" i="1"/>
  <c r="BC1069" i="1"/>
  <c r="BB1069" i="1"/>
  <c r="BA1069" i="1"/>
  <c r="AZ1069" i="1"/>
  <c r="BF1069" i="1" s="1" a="1"/>
  <c r="BF1069" i="1" s="1"/>
  <c r="AY1069" i="1"/>
  <c r="BE1069" i="1" s="1" a="1"/>
  <c r="BE1069" i="1" s="1"/>
  <c r="AX1069" i="1"/>
  <c r="M1069" i="1"/>
  <c r="EM1068" i="1"/>
  <c r="DU1068" i="1"/>
  <c r="DT1068" i="1"/>
  <c r="DN1068" i="1"/>
  <c r="DM1068" i="1"/>
  <c r="DL1068" i="1"/>
  <c r="DK1068" i="1"/>
  <c r="DI1068" i="1"/>
  <c r="DJ1068" i="1" s="1"/>
  <c r="DB1068" i="1"/>
  <c r="DC1068" i="1" s="1"/>
  <c r="CX1068" i="1"/>
  <c r="CN1068" i="1"/>
  <c r="CO1068" i="1" s="1"/>
  <c r="BX1068" i="1"/>
  <c r="BO1068" i="1"/>
  <c r="BN1068" i="1"/>
  <c r="BD1068" i="1"/>
  <c r="BC1068" i="1"/>
  <c r="BB1068" i="1"/>
  <c r="BA1068" i="1"/>
  <c r="AZ1068" i="1"/>
  <c r="BF1068" i="1" s="1" a="1"/>
  <c r="BF1068" i="1" s="1"/>
  <c r="AY1068" i="1"/>
  <c r="BE1068" i="1" s="1" a="1"/>
  <c r="BE1068" i="1" s="1"/>
  <c r="AX1068" i="1"/>
  <c r="M1068" i="1"/>
  <c r="EM1067" i="1"/>
  <c r="DU1067" i="1"/>
  <c r="DT1067" i="1"/>
  <c r="DN1067" i="1"/>
  <c r="DM1067" i="1"/>
  <c r="DL1067" i="1"/>
  <c r="DK1067" i="1"/>
  <c r="DI1067" i="1"/>
  <c r="DJ1067" i="1" s="1"/>
  <c r="DB1067" i="1"/>
  <c r="DC1067" i="1" s="1"/>
  <c r="CX1067" i="1"/>
  <c r="CN1067" i="1"/>
  <c r="CO1067" i="1" s="1"/>
  <c r="BX1067" i="1"/>
  <c r="BO1067" i="1"/>
  <c r="BN1067" i="1"/>
  <c r="BD1067" i="1"/>
  <c r="BC1067" i="1"/>
  <c r="BB1067" i="1"/>
  <c r="BA1067" i="1"/>
  <c r="AZ1067" i="1"/>
  <c r="AY1067" i="1"/>
  <c r="BE1067" i="1" s="1" a="1"/>
  <c r="BE1067" i="1" s="1"/>
  <c r="AX1067" i="1"/>
  <c r="M1067" i="1"/>
  <c r="EM494" i="1"/>
  <c r="DU494" i="1"/>
  <c r="DT494" i="1"/>
  <c r="DN494" i="1"/>
  <c r="DM494" i="1"/>
  <c r="DL494" i="1"/>
  <c r="DK494" i="1"/>
  <c r="DI494" i="1"/>
  <c r="DJ494" i="1" s="1"/>
  <c r="DC494" i="1"/>
  <c r="CX494" i="1"/>
  <c r="CN494" i="1"/>
  <c r="CR494" i="1" s="1"/>
  <c r="BV494" i="1"/>
  <c r="BX494" i="1" s="1"/>
  <c r="BU494" i="1"/>
  <c r="BN494" i="1"/>
  <c r="BO494" i="1" s="1"/>
  <c r="BD494" i="1"/>
  <c r="BC494" i="1"/>
  <c r="BB494" i="1"/>
  <c r="BA494" i="1"/>
  <c r="AZ494" i="1"/>
  <c r="BF494" i="1" s="1" a="1"/>
  <c r="BF494" i="1" s="1"/>
  <c r="AY494" i="1"/>
  <c r="BE494" i="1" s="1" a="1"/>
  <c r="BE494" i="1" s="1"/>
  <c r="AX494" i="1"/>
  <c r="M494" i="1"/>
  <c r="EM101" i="1"/>
  <c r="DU101" i="1"/>
  <c r="DT101" i="1"/>
  <c r="DN101" i="1"/>
  <c r="DM101" i="1"/>
  <c r="DL101" i="1"/>
  <c r="DK101" i="1"/>
  <c r="DI101" i="1"/>
  <c r="DJ101" i="1" s="1"/>
  <c r="DC101" i="1"/>
  <c r="CX101" i="1"/>
  <c r="CN101" i="1"/>
  <c r="CS101" i="1" s="1"/>
  <c r="BX101" i="1"/>
  <c r="BU101" i="1"/>
  <c r="BN101" i="1"/>
  <c r="BO101" i="1" s="1"/>
  <c r="BM101" i="1"/>
  <c r="BD101" i="1"/>
  <c r="BC101" i="1"/>
  <c r="BB101" i="1"/>
  <c r="BA101" i="1"/>
  <c r="AZ101" i="1"/>
  <c r="BF101" i="1" s="1" a="1"/>
  <c r="BF101" i="1" s="1"/>
  <c r="AY101" i="1"/>
  <c r="BE101" i="1" s="1" a="1"/>
  <c r="BE101" i="1" s="1"/>
  <c r="AX101" i="1"/>
  <c r="M101" i="1"/>
  <c r="EM115" i="1"/>
  <c r="DU115" i="1"/>
  <c r="DT115" i="1"/>
  <c r="DN115" i="1"/>
  <c r="DM115" i="1"/>
  <c r="DL115" i="1"/>
  <c r="DK115" i="1"/>
  <c r="DI115" i="1"/>
  <c r="DJ115" i="1" s="1"/>
  <c r="DC115" i="1"/>
  <c r="CX115" i="1"/>
  <c r="CN115" i="1"/>
  <c r="BX115" i="1"/>
  <c r="BU115" i="1"/>
  <c r="BN115" i="1"/>
  <c r="BO115" i="1" s="1"/>
  <c r="BM115" i="1"/>
  <c r="BD115" i="1"/>
  <c r="BC115" i="1"/>
  <c r="BB115" i="1"/>
  <c r="BA115" i="1"/>
  <c r="AZ115" i="1"/>
  <c r="BF115" i="1" s="1" a="1"/>
  <c r="BF115" i="1" s="1"/>
  <c r="AY115" i="1"/>
  <c r="BE115" i="1" s="1" a="1"/>
  <c r="BE115" i="1" s="1"/>
  <c r="AX115" i="1"/>
  <c r="M115" i="1"/>
  <c r="EM135" i="1"/>
  <c r="DU135" i="1"/>
  <c r="DT135" i="1"/>
  <c r="DN135" i="1"/>
  <c r="DM135" i="1"/>
  <c r="DL135" i="1"/>
  <c r="DK135" i="1"/>
  <c r="DI135" i="1"/>
  <c r="DJ135" i="1" s="1"/>
  <c r="DC135" i="1"/>
  <c r="CX135" i="1"/>
  <c r="CN135" i="1"/>
  <c r="CO135" i="1" s="1"/>
  <c r="BX135" i="1"/>
  <c r="BN135" i="1"/>
  <c r="BO135" i="1" s="1"/>
  <c r="BM135" i="1"/>
  <c r="BD135" i="1"/>
  <c r="BC135" i="1"/>
  <c r="BB135" i="1"/>
  <c r="BA135" i="1"/>
  <c r="AZ135" i="1"/>
  <c r="BF135" i="1" s="1" a="1"/>
  <c r="BF135" i="1" s="1"/>
  <c r="AY135" i="1"/>
  <c r="BE135" i="1" s="1" a="1"/>
  <c r="BE135" i="1" s="1"/>
  <c r="AX135" i="1"/>
  <c r="M135" i="1"/>
  <c r="EM156" i="1"/>
  <c r="DU156" i="1"/>
  <c r="DT156" i="1"/>
  <c r="DN156" i="1"/>
  <c r="DM156" i="1"/>
  <c r="DL156" i="1"/>
  <c r="DK156" i="1"/>
  <c r="DI156" i="1"/>
  <c r="DJ156" i="1" s="1"/>
  <c r="DC156" i="1"/>
  <c r="CX156" i="1"/>
  <c r="CN156" i="1"/>
  <c r="CR156" i="1" s="1"/>
  <c r="BX156" i="1"/>
  <c r="BN156" i="1"/>
  <c r="BO156" i="1" s="1"/>
  <c r="BM156" i="1"/>
  <c r="BD156" i="1"/>
  <c r="BC156" i="1"/>
  <c r="BB156" i="1"/>
  <c r="BA156" i="1"/>
  <c r="AZ156" i="1"/>
  <c r="AY156" i="1"/>
  <c r="BE156" i="1" s="1" a="1"/>
  <c r="BE156" i="1" s="1"/>
  <c r="AX156" i="1"/>
  <c r="M156" i="1"/>
  <c r="EM220" i="1"/>
  <c r="DU220" i="1"/>
  <c r="DT220" i="1"/>
  <c r="DN220" i="1"/>
  <c r="DM220" i="1"/>
  <c r="DL220" i="1"/>
  <c r="DK220" i="1"/>
  <c r="DI220" i="1"/>
  <c r="DJ220" i="1" s="1"/>
  <c r="DC220" i="1"/>
  <c r="CX220" i="1"/>
  <c r="CN220" i="1"/>
  <c r="CO220" i="1" s="1"/>
  <c r="BX220" i="1"/>
  <c r="BU220" i="1"/>
  <c r="BN220" i="1"/>
  <c r="BO220" i="1" s="1"/>
  <c r="BM220" i="1"/>
  <c r="BD220" i="1"/>
  <c r="BC220" i="1"/>
  <c r="BB220" i="1"/>
  <c r="BA220" i="1"/>
  <c r="AZ220" i="1"/>
  <c r="BF220" i="1" s="1" a="1"/>
  <c r="BF220" i="1" s="1"/>
  <c r="AY220" i="1"/>
  <c r="BE220" i="1" s="1" a="1"/>
  <c r="BE220" i="1" s="1"/>
  <c r="AX220" i="1"/>
  <c r="M220" i="1"/>
  <c r="EM529" i="1"/>
  <c r="DU529" i="1"/>
  <c r="DT529" i="1"/>
  <c r="DN529" i="1"/>
  <c r="DM529" i="1"/>
  <c r="DL529" i="1"/>
  <c r="DK529" i="1"/>
  <c r="DI529" i="1"/>
  <c r="DJ529" i="1" s="1"/>
  <c r="DC529" i="1"/>
  <c r="CX529" i="1"/>
  <c r="CN529" i="1"/>
  <c r="CO529" i="1" s="1"/>
  <c r="BX529" i="1"/>
  <c r="BN529" i="1"/>
  <c r="BO529" i="1" s="1"/>
  <c r="BM529" i="1"/>
  <c r="BD529" i="1"/>
  <c r="BC529" i="1"/>
  <c r="BB529" i="1"/>
  <c r="BA529" i="1"/>
  <c r="AZ529" i="1"/>
  <c r="BF529" i="1" s="1" a="1"/>
  <c r="BF529" i="1" s="1"/>
  <c r="AY529" i="1"/>
  <c r="BE529" i="1" s="1" a="1"/>
  <c r="BE529" i="1" s="1"/>
  <c r="AX529" i="1"/>
  <c r="M529" i="1"/>
  <c r="EM650" i="1"/>
  <c r="DU650" i="1"/>
  <c r="DT650" i="1"/>
  <c r="DN650" i="1"/>
  <c r="DM650" i="1"/>
  <c r="DL650" i="1"/>
  <c r="DK650" i="1"/>
  <c r="DI650" i="1"/>
  <c r="DJ650" i="1" s="1"/>
  <c r="DC650" i="1"/>
  <c r="CX650" i="1"/>
  <c r="CN650" i="1"/>
  <c r="CP650" i="1" s="1"/>
  <c r="BX650" i="1"/>
  <c r="BU650" i="1"/>
  <c r="BN650" i="1"/>
  <c r="BO650" i="1" s="1"/>
  <c r="BM650" i="1"/>
  <c r="BD650" i="1"/>
  <c r="BC650" i="1"/>
  <c r="BB650" i="1"/>
  <c r="BA650" i="1"/>
  <c r="AZ650" i="1"/>
  <c r="BF650" i="1" s="1" a="1"/>
  <c r="BF650" i="1" s="1"/>
  <c r="AY650" i="1"/>
  <c r="BE650" i="1" s="1" a="1"/>
  <c r="BE650" i="1" s="1"/>
  <c r="AX650" i="1"/>
  <c r="M650" i="1"/>
  <c r="EM667" i="1"/>
  <c r="DU667" i="1"/>
  <c r="DT667" i="1"/>
  <c r="DN667" i="1"/>
  <c r="DM667" i="1"/>
  <c r="DL667" i="1"/>
  <c r="DK667" i="1"/>
  <c r="DI667" i="1"/>
  <c r="DJ667" i="1" s="1"/>
  <c r="DC667" i="1"/>
  <c r="CX667" i="1"/>
  <c r="CN667" i="1"/>
  <c r="BX667" i="1"/>
  <c r="BN667" i="1"/>
  <c r="BO667" i="1" s="1"/>
  <c r="BM667" i="1"/>
  <c r="BD667" i="1"/>
  <c r="BC667" i="1"/>
  <c r="BB667" i="1"/>
  <c r="BA667" i="1"/>
  <c r="AZ667" i="1"/>
  <c r="BF667" i="1" s="1" a="1"/>
  <c r="BF667" i="1" s="1"/>
  <c r="AY667" i="1"/>
  <c r="BE667" i="1" s="1" a="1"/>
  <c r="BE667" i="1" s="1"/>
  <c r="AX667" i="1"/>
  <c r="M667" i="1"/>
  <c r="EM152" i="1"/>
  <c r="DU152" i="1"/>
  <c r="DT152" i="1"/>
  <c r="DN152" i="1"/>
  <c r="DM152" i="1"/>
  <c r="DL152" i="1"/>
  <c r="DK152" i="1"/>
  <c r="DI152" i="1"/>
  <c r="DJ152" i="1" s="1"/>
  <c r="DC152" i="1"/>
  <c r="CX152" i="1"/>
  <c r="CN152" i="1"/>
  <c r="BX152" i="1"/>
  <c r="BU152" i="1"/>
  <c r="BN152" i="1"/>
  <c r="BO152" i="1" s="1"/>
  <c r="BM152" i="1"/>
  <c r="BD152" i="1"/>
  <c r="BC152" i="1"/>
  <c r="BB152" i="1"/>
  <c r="BA152" i="1"/>
  <c r="AZ152" i="1"/>
  <c r="AY152" i="1"/>
  <c r="BE152" i="1" s="1" a="1"/>
  <c r="BE152" i="1" s="1"/>
  <c r="AX152" i="1"/>
  <c r="M152" i="1"/>
  <c r="EM154" i="1"/>
  <c r="DU154" i="1"/>
  <c r="DT154" i="1"/>
  <c r="DN154" i="1"/>
  <c r="DM154" i="1"/>
  <c r="DL154" i="1"/>
  <c r="DK154" i="1"/>
  <c r="DI154" i="1"/>
  <c r="DJ154" i="1" s="1"/>
  <c r="DC154" i="1"/>
  <c r="CX154" i="1"/>
  <c r="CN154" i="1"/>
  <c r="CR154" i="1" s="1"/>
  <c r="BX154" i="1"/>
  <c r="BU154" i="1"/>
  <c r="BN154" i="1"/>
  <c r="BO154" i="1" s="1"/>
  <c r="BM154" i="1"/>
  <c r="BD154" i="1"/>
  <c r="BC154" i="1"/>
  <c r="BB154" i="1"/>
  <c r="BA154" i="1"/>
  <c r="AZ154" i="1"/>
  <c r="AY154" i="1"/>
  <c r="BE154" i="1" s="1" a="1"/>
  <c r="BE154" i="1" s="1"/>
  <c r="AX154" i="1"/>
  <c r="M154" i="1"/>
  <c r="EM192" i="1"/>
  <c r="DU192" i="1"/>
  <c r="DT192" i="1"/>
  <c r="DN192" i="1"/>
  <c r="DM192" i="1"/>
  <c r="DL192" i="1"/>
  <c r="DK192" i="1"/>
  <c r="DI192" i="1"/>
  <c r="DJ192" i="1" s="1"/>
  <c r="DC192" i="1"/>
  <c r="CX192" i="1"/>
  <c r="CN192" i="1"/>
  <c r="BX192" i="1"/>
  <c r="BU192" i="1"/>
  <c r="BN192" i="1"/>
  <c r="BO192" i="1" s="1"/>
  <c r="BM192" i="1"/>
  <c r="BD192" i="1"/>
  <c r="BC192" i="1"/>
  <c r="BB192" i="1"/>
  <c r="BA192" i="1"/>
  <c r="AZ192" i="1"/>
  <c r="BF192" i="1" s="1" a="1"/>
  <c r="BF192" i="1" s="1"/>
  <c r="AY192" i="1"/>
  <c r="BE192" i="1" s="1" a="1"/>
  <c r="BE192" i="1" s="1"/>
  <c r="AX192" i="1"/>
  <c r="M192" i="1"/>
  <c r="EM194" i="1"/>
  <c r="DU194" i="1"/>
  <c r="DT194" i="1"/>
  <c r="DN194" i="1"/>
  <c r="DM194" i="1"/>
  <c r="DL194" i="1"/>
  <c r="DK194" i="1"/>
  <c r="DI194" i="1"/>
  <c r="DJ194" i="1" s="1"/>
  <c r="DC194" i="1"/>
  <c r="CX194" i="1"/>
  <c r="CN194" i="1"/>
  <c r="CR194" i="1" s="1"/>
  <c r="BX194" i="1"/>
  <c r="BU194" i="1"/>
  <c r="BN194" i="1"/>
  <c r="BO194" i="1" s="1"/>
  <c r="BM194" i="1"/>
  <c r="BD194" i="1"/>
  <c r="BC194" i="1"/>
  <c r="BB194" i="1"/>
  <c r="BA194" i="1"/>
  <c r="AZ194" i="1"/>
  <c r="BF194" i="1" s="1" a="1"/>
  <c r="BF194" i="1" s="1"/>
  <c r="AY194" i="1"/>
  <c r="BE194" i="1" s="1" a="1"/>
  <c r="BE194" i="1" s="1"/>
  <c r="AX194" i="1"/>
  <c r="M194" i="1"/>
  <c r="EM673" i="1"/>
  <c r="DU673" i="1"/>
  <c r="DT673" i="1"/>
  <c r="DN673" i="1"/>
  <c r="DM673" i="1"/>
  <c r="DL673" i="1"/>
  <c r="DK673" i="1"/>
  <c r="DI673" i="1"/>
  <c r="DJ673" i="1" s="1"/>
  <c r="DC673" i="1"/>
  <c r="CX673" i="1"/>
  <c r="CN673" i="1"/>
  <c r="CO673" i="1" s="1"/>
  <c r="BX673" i="1"/>
  <c r="BU673" i="1"/>
  <c r="BN673" i="1"/>
  <c r="BO673" i="1" s="1"/>
  <c r="BM673" i="1"/>
  <c r="BD673" i="1"/>
  <c r="BC673" i="1"/>
  <c r="BB673" i="1"/>
  <c r="BA673" i="1"/>
  <c r="AZ673" i="1"/>
  <c r="BF673" i="1" s="1" a="1"/>
  <c r="BF673" i="1" s="1"/>
  <c r="AY673" i="1"/>
  <c r="BE673" i="1" s="1" a="1"/>
  <c r="BE673" i="1" s="1"/>
  <c r="AX673" i="1"/>
  <c r="M673" i="1"/>
  <c r="EM676" i="1"/>
  <c r="DU676" i="1"/>
  <c r="DT676" i="1"/>
  <c r="DN676" i="1"/>
  <c r="DM676" i="1"/>
  <c r="DL676" i="1"/>
  <c r="DK676" i="1"/>
  <c r="DI676" i="1"/>
  <c r="DJ676" i="1" s="1"/>
  <c r="DC676" i="1"/>
  <c r="CX676" i="1"/>
  <c r="CN676" i="1"/>
  <c r="CP676" i="1" s="1"/>
  <c r="BX676" i="1"/>
  <c r="BU676" i="1"/>
  <c r="BN676" i="1"/>
  <c r="BO676" i="1" s="1"/>
  <c r="BM676" i="1"/>
  <c r="BD676" i="1"/>
  <c r="BC676" i="1"/>
  <c r="BB676" i="1"/>
  <c r="BA676" i="1"/>
  <c r="AZ676" i="1"/>
  <c r="BF676" i="1" s="1" a="1"/>
  <c r="BF676" i="1" s="1"/>
  <c r="AY676" i="1"/>
  <c r="BE676" i="1" s="1" a="1"/>
  <c r="BE676" i="1" s="1"/>
  <c r="AX676" i="1"/>
  <c r="M676" i="1"/>
  <c r="EM680" i="1"/>
  <c r="DU680" i="1"/>
  <c r="DT680" i="1"/>
  <c r="DN680" i="1"/>
  <c r="DM680" i="1"/>
  <c r="DL680" i="1"/>
  <c r="DK680" i="1"/>
  <c r="DI680" i="1"/>
  <c r="DJ680" i="1" s="1"/>
  <c r="DC680" i="1"/>
  <c r="CX680" i="1"/>
  <c r="CN680" i="1"/>
  <c r="CS680" i="1" s="1"/>
  <c r="BX680" i="1"/>
  <c r="BU680" i="1"/>
  <c r="BN680" i="1"/>
  <c r="BO680" i="1" s="1"/>
  <c r="BM680" i="1"/>
  <c r="BD680" i="1"/>
  <c r="BC680" i="1"/>
  <c r="BB680" i="1"/>
  <c r="BA680" i="1"/>
  <c r="AZ680" i="1"/>
  <c r="BF680" i="1" s="1" a="1"/>
  <c r="BF680" i="1" s="1"/>
  <c r="AY680" i="1"/>
  <c r="BE680" i="1" s="1" a="1"/>
  <c r="BE680" i="1" s="1"/>
  <c r="AX680" i="1"/>
  <c r="M680" i="1"/>
  <c r="EM685" i="1"/>
  <c r="DU685" i="1"/>
  <c r="DT685" i="1"/>
  <c r="DN685" i="1"/>
  <c r="DM685" i="1"/>
  <c r="DL685" i="1"/>
  <c r="DK685" i="1"/>
  <c r="DI685" i="1"/>
  <c r="DJ685" i="1" s="1"/>
  <c r="DC685" i="1"/>
  <c r="CX685" i="1"/>
  <c r="CN685" i="1"/>
  <c r="CO685" i="1" s="1"/>
  <c r="BX685" i="1"/>
  <c r="BU685" i="1"/>
  <c r="BN685" i="1"/>
  <c r="BO685" i="1" s="1"/>
  <c r="BM685" i="1"/>
  <c r="BD685" i="1"/>
  <c r="BC685" i="1"/>
  <c r="BB685" i="1"/>
  <c r="BA685" i="1"/>
  <c r="AZ685" i="1"/>
  <c r="BF685" i="1" s="1" a="1"/>
  <c r="BF685" i="1" s="1"/>
  <c r="AY685" i="1"/>
  <c r="BE685" i="1" s="1" a="1"/>
  <c r="BE685" i="1" s="1"/>
  <c r="AX685" i="1"/>
  <c r="M685" i="1"/>
  <c r="BF542" i="1" l="1" a="1"/>
  <c r="BF542" i="1" s="1"/>
  <c r="BE542" i="1" s="1" a="1"/>
  <c r="BE542" i="1" s="1"/>
  <c r="BF697" i="1" a="1"/>
  <c r="BF697" i="1" s="1"/>
  <c r="BF752" i="1" a="1"/>
  <c r="BF752" i="1" s="1"/>
  <c r="BF766" i="1" a="1"/>
  <c r="BF766" i="1" s="1"/>
  <c r="BF126" i="1" a="1"/>
  <c r="BF126" i="1" s="1"/>
  <c r="BF656" i="1" a="1"/>
  <c r="BF656" i="1" s="1"/>
  <c r="BF683" i="1" a="1"/>
  <c r="BF683" i="1" s="1"/>
  <c r="BF337" i="1" a="1"/>
  <c r="BF337" i="1" s="1"/>
  <c r="BF395" i="1" a="1"/>
  <c r="BF395" i="1" s="1"/>
  <c r="BF348" i="1" a="1"/>
  <c r="BF348" i="1" s="1"/>
  <c r="BF359" i="1" a="1"/>
  <c r="BF359" i="1" s="1"/>
  <c r="BF385" i="1" a="1"/>
  <c r="BF385" i="1" s="1"/>
  <c r="BF402" i="1" a="1"/>
  <c r="BF402" i="1" s="1"/>
  <c r="BF898" i="1" a="1"/>
  <c r="BF898" i="1" s="1"/>
  <c r="BF601" i="1" a="1"/>
  <c r="BF601" i="1" s="1"/>
  <c r="BF963" i="1" a="1"/>
  <c r="BF963" i="1" s="1"/>
  <c r="BF851" i="1" a="1"/>
  <c r="BF851" i="1" s="1"/>
  <c r="BF915" i="1" a="1"/>
  <c r="BF915" i="1" s="1"/>
  <c r="BF970" i="1" a="1"/>
  <c r="BF970" i="1" s="1"/>
  <c r="BF995" i="1" a="1"/>
  <c r="BF995" i="1" s="1"/>
  <c r="BF997" i="1" a="1"/>
  <c r="BF997" i="1" s="1"/>
  <c r="BF528" i="1" a="1"/>
  <c r="BF528" i="1" s="1"/>
  <c r="BF443" i="1" a="1"/>
  <c r="BF443" i="1" s="1"/>
  <c r="BF333" i="1" a="1"/>
  <c r="BF333" i="1" s="1"/>
  <c r="BF913" i="1" a="1"/>
  <c r="BF913" i="1" s="1"/>
  <c r="BF548" i="1" a="1"/>
  <c r="BF548" i="1" s="1"/>
  <c r="BF692" i="1" a="1"/>
  <c r="BF692" i="1" s="1"/>
  <c r="BF553" i="1" a="1"/>
  <c r="BF553" i="1" s="1"/>
  <c r="BF1162" i="1" a="1"/>
  <c r="BF1162" i="1" s="1"/>
  <c r="BF1164" i="1" a="1"/>
  <c r="BF1164" i="1" s="1"/>
  <c r="BF1166" i="1" a="1"/>
  <c r="BF1166" i="1" s="1"/>
  <c r="BF1168" i="1" a="1"/>
  <c r="BF1168" i="1" s="1"/>
  <c r="BF1170" i="1" a="1"/>
  <c r="BF1170" i="1" s="1"/>
  <c r="BF1172" i="1" a="1"/>
  <c r="BF1172" i="1" s="1"/>
  <c r="BF1174" i="1" a="1"/>
  <c r="BF1174" i="1" s="1"/>
  <c r="BF1176" i="1" a="1"/>
  <c r="BF1176" i="1" s="1"/>
  <c r="BF1178" i="1" a="1"/>
  <c r="BF1178" i="1" s="1"/>
  <c r="BF1180" i="1" a="1"/>
  <c r="BF1180" i="1" s="1"/>
  <c r="BF1182" i="1" a="1"/>
  <c r="BF1182" i="1" s="1"/>
  <c r="BF1184" i="1" a="1"/>
  <c r="BF1184" i="1" s="1"/>
  <c r="BF1186" i="1" a="1"/>
  <c r="BF1186" i="1" s="1"/>
  <c r="BF1188" i="1" a="1"/>
  <c r="BF1188" i="1" s="1"/>
  <c r="BF1190" i="1" a="1"/>
  <c r="BF1190" i="1" s="1"/>
  <c r="BF1192" i="1" a="1"/>
  <c r="BF1192" i="1" s="1"/>
  <c r="BF1194" i="1" a="1"/>
  <c r="BF1194" i="1" s="1"/>
  <c r="BF1196" i="1" a="1"/>
  <c r="BF1196" i="1" s="1"/>
  <c r="BF32" i="1" a="1"/>
  <c r="BF32" i="1" s="1"/>
  <c r="BF981" i="1" a="1"/>
  <c r="BF981" i="1" s="1"/>
  <c r="BF749" i="1" a="1"/>
  <c r="BF749" i="1" s="1"/>
  <c r="BF926" i="1" a="1"/>
  <c r="BF926" i="1" s="1"/>
  <c r="BF1199" i="1" a="1"/>
  <c r="BF1199" i="1" s="1"/>
  <c r="BF763" i="1" a="1"/>
  <c r="BF763" i="1" s="1"/>
  <c r="BF872" i="1" a="1"/>
  <c r="BF872" i="1" s="1"/>
  <c r="BF686" i="1" a="1"/>
  <c r="BF686" i="1" s="1"/>
  <c r="BF282" i="1" a="1"/>
  <c r="BF282" i="1" s="1"/>
  <c r="BF653" i="1" a="1"/>
  <c r="BF653" i="1" s="1"/>
  <c r="BF1207" i="1" a="1"/>
  <c r="BF1207" i="1" s="1"/>
  <c r="BF906" i="1" a="1"/>
  <c r="BF906" i="1" s="1"/>
  <c r="BF299" i="1" a="1"/>
  <c r="BF299" i="1" s="1"/>
  <c r="BF806" i="1" a="1"/>
  <c r="BF806" i="1" s="1"/>
  <c r="BF287" i="1" a="1"/>
  <c r="BF287" i="1" s="1"/>
  <c r="BF703" i="1" a="1"/>
  <c r="BF703" i="1" s="1"/>
  <c r="BF360" i="1" a="1"/>
  <c r="BF360" i="1" s="1"/>
  <c r="BE360" i="1" s="1" a="1"/>
  <c r="BE360" i="1" s="1"/>
  <c r="BF361" i="1" a="1"/>
  <c r="BF361" i="1" s="1"/>
  <c r="BE361" i="1" s="1" a="1"/>
  <c r="BE361" i="1" s="1"/>
  <c r="BF362" i="1" a="1"/>
  <c r="BF362" i="1" s="1"/>
  <c r="BE362" i="1" s="1" a="1"/>
  <c r="BE362" i="1" s="1"/>
  <c r="BF364" i="1" a="1"/>
  <c r="BF364" i="1" s="1"/>
  <c r="BF532" i="1" a="1"/>
  <c r="BF532" i="1" s="1"/>
  <c r="BF555" i="1" a="1"/>
  <c r="BF555" i="1" s="1"/>
  <c r="BF750" i="1" a="1"/>
  <c r="BF750" i="1" s="1"/>
  <c r="BF764" i="1" a="1"/>
  <c r="BF764" i="1" s="1"/>
  <c r="BF240" i="1" a="1"/>
  <c r="BF240" i="1" s="1"/>
  <c r="BF595" i="1" a="1"/>
  <c r="BF595" i="1" s="1"/>
  <c r="BF900" i="1" a="1"/>
  <c r="BF900" i="1" s="1"/>
  <c r="BF962" i="1" a="1"/>
  <c r="BF962" i="1" s="1"/>
  <c r="BF625" i="1" a="1"/>
  <c r="BF625" i="1" s="1"/>
  <c r="BF152" i="1" a="1"/>
  <c r="BF152" i="1" s="1"/>
  <c r="BF1077" i="1" a="1"/>
  <c r="BF1077" i="1" s="1"/>
  <c r="BF1025" i="1" a="1"/>
  <c r="BF1025" i="1" s="1"/>
  <c r="BF1088" i="1" a="1"/>
  <c r="BF1088" i="1" s="1"/>
  <c r="BF42" i="1" a="1"/>
  <c r="BF42" i="1" s="1"/>
  <c r="BF327" i="1" a="1"/>
  <c r="BF327" i="1" s="1"/>
  <c r="BF344" i="1" a="1"/>
  <c r="BF344" i="1" s="1"/>
  <c r="BF345" i="1" a="1"/>
  <c r="BF345" i="1" s="1"/>
  <c r="BE345" i="1" s="1" a="1"/>
  <c r="BE345" i="1" s="1"/>
  <c r="BF355" i="1" a="1"/>
  <c r="BF355" i="1" s="1"/>
  <c r="BF369" i="1" a="1"/>
  <c r="BF369" i="1" s="1"/>
  <c r="BF397" i="1" a="1"/>
  <c r="BF397" i="1" s="1"/>
  <c r="BE397" i="1" s="1" a="1"/>
  <c r="BE397" i="1" s="1"/>
  <c r="BF538" i="1" a="1"/>
  <c r="BF538" i="1" s="1"/>
  <c r="BE538" i="1" s="1" a="1"/>
  <c r="BE538" i="1" s="1"/>
  <c r="BF942" i="1" a="1"/>
  <c r="BF942" i="1" s="1"/>
  <c r="BF1008" i="1" a="1"/>
  <c r="BF1008" i="1" s="1"/>
  <c r="BF267" i="1" a="1"/>
  <c r="BF267" i="1" s="1"/>
  <c r="BF598" i="1" a="1"/>
  <c r="BF598" i="1" s="1"/>
  <c r="BF839" i="1" a="1"/>
  <c r="BF839" i="1" s="1"/>
  <c r="BF969" i="1" a="1"/>
  <c r="BF969" i="1" s="1"/>
  <c r="BF600" i="1" a="1"/>
  <c r="BF600" i="1" s="1"/>
  <c r="BF586" i="1" a="1"/>
  <c r="BF586" i="1" s="1"/>
  <c r="BF578" i="1" a="1"/>
  <c r="BF578" i="1" s="1"/>
  <c r="BF439" i="1" a="1"/>
  <c r="BF439" i="1" s="1"/>
  <c r="BF1005" i="1" a="1"/>
  <c r="BF1005" i="1" s="1"/>
  <c r="BF25" i="1" a="1"/>
  <c r="BF25" i="1" s="1"/>
  <c r="BF946" i="1" a="1"/>
  <c r="BF946" i="1" s="1"/>
  <c r="BF854" i="1" a="1"/>
  <c r="BF854" i="1" s="1"/>
  <c r="BF332" i="1" a="1"/>
  <c r="BF332" i="1" s="1"/>
  <c r="BF307" i="1" a="1"/>
  <c r="BF307" i="1" s="1"/>
  <c r="BF352" i="1" a="1"/>
  <c r="BF352" i="1" s="1"/>
  <c r="BF834" i="1" a="1"/>
  <c r="BF834" i="1" s="1"/>
  <c r="BF170" i="1" a="1"/>
  <c r="BF170" i="1" s="1"/>
  <c r="BF592" i="1" a="1"/>
  <c r="BF592" i="1" s="1"/>
  <c r="BF561" i="1" a="1"/>
  <c r="BF561" i="1" s="1"/>
  <c r="BF450" i="1" a="1"/>
  <c r="BF450" i="1" s="1"/>
  <c r="BF585" i="1" a="1"/>
  <c r="BF585" i="1" s="1"/>
  <c r="BF545" i="1" a="1"/>
  <c r="BF545" i="1" s="1"/>
  <c r="BE545" i="1" s="1" a="1"/>
  <c r="BE545" i="1" s="1"/>
  <c r="BF738" i="1" a="1"/>
  <c r="BF738" i="1" s="1"/>
  <c r="BE738" i="1" s="1" a="1"/>
  <c r="BE738" i="1" s="1"/>
  <c r="BF759" i="1" a="1"/>
  <c r="BF759" i="1" s="1"/>
  <c r="BE759" i="1" s="1" a="1"/>
  <c r="BE759" i="1" s="1"/>
  <c r="BF324" i="1" a="1"/>
  <c r="BF324" i="1" s="1"/>
  <c r="BF885" i="1" a="1"/>
  <c r="BF885" i="1" s="1"/>
  <c r="BF593" i="1" a="1"/>
  <c r="BF593" i="1" s="1"/>
  <c r="BF881" i="1" a="1"/>
  <c r="BF881" i="1" s="1"/>
  <c r="BF714" i="1" a="1"/>
  <c r="BF714" i="1" s="1"/>
  <c r="BF154" i="1" a="1"/>
  <c r="BF154" i="1" s="1"/>
  <c r="BF156" i="1" a="1"/>
  <c r="BF156" i="1" s="1"/>
  <c r="BF1067" i="1" a="1"/>
  <c r="BF1067" i="1" s="1"/>
  <c r="BF576" i="1" a="1"/>
  <c r="BF576" i="1" s="1"/>
  <c r="BF1072" i="1" a="1"/>
  <c r="BF1072" i="1" s="1"/>
  <c r="BF1086" i="1" a="1"/>
  <c r="BF1086" i="1" s="1"/>
  <c r="BF326" i="1" a="1"/>
  <c r="BF326" i="1" s="1"/>
  <c r="BF343" i="1" a="1"/>
  <c r="BF343" i="1" s="1"/>
  <c r="BF336" i="1" a="1"/>
  <c r="BF336" i="1" s="1"/>
  <c r="BE336" i="1" s="1" a="1"/>
  <c r="BE336" i="1" s="1"/>
  <c r="BF354" i="1" a="1"/>
  <c r="BF354" i="1" s="1"/>
  <c r="BE354" i="1" s="1" a="1"/>
  <c r="BE354" i="1" s="1"/>
  <c r="BF368" i="1" a="1"/>
  <c r="BF368" i="1" s="1"/>
  <c r="BE368" i="1" s="1" a="1"/>
  <c r="BE368" i="1" s="1"/>
  <c r="BF393" i="1" a="1"/>
  <c r="BF393" i="1" s="1"/>
  <c r="BE393" i="1" s="1" a="1"/>
  <c r="BE393" i="1" s="1"/>
  <c r="BF531" i="1" a="1"/>
  <c r="BF531" i="1" s="1"/>
  <c r="BE531" i="1" s="1" a="1"/>
  <c r="BE531" i="1" s="1"/>
  <c r="BF922" i="1" a="1"/>
  <c r="BF922" i="1" s="1"/>
  <c r="BF987" i="1" a="1"/>
  <c r="BF987" i="1" s="1"/>
  <c r="BF256" i="1" a="1"/>
  <c r="BF256" i="1" s="1"/>
  <c r="BF674" i="1" a="1"/>
  <c r="BF674" i="1" s="1"/>
  <c r="BF1004" i="1" a="1"/>
  <c r="BF1004" i="1" s="1"/>
  <c r="BF888" i="1" a="1"/>
  <c r="BF888" i="1" s="1"/>
  <c r="BF1137" i="1" a="1"/>
  <c r="BF1137" i="1" s="1"/>
  <c r="BF288" i="1" a="1"/>
  <c r="BF288" i="1" s="1"/>
  <c r="BF93" i="1" a="1"/>
  <c r="BF93" i="1" s="1"/>
  <c r="BF557" i="1" a="1"/>
  <c r="BF557" i="1" s="1"/>
  <c r="BF448" i="1" a="1"/>
  <c r="BF448" i="1" s="1"/>
  <c r="BF618" i="1" a="1"/>
  <c r="BF618" i="1" s="1"/>
  <c r="BF544" i="1" a="1"/>
  <c r="BF544" i="1" s="1"/>
  <c r="BF298" i="1" a="1"/>
  <c r="BF298" i="1" s="1"/>
  <c r="BF859" i="1" a="1"/>
  <c r="BF859" i="1" s="1"/>
  <c r="BF1163" i="1" a="1"/>
  <c r="BF1163" i="1" s="1"/>
  <c r="BF1165" i="1" a="1"/>
  <c r="BF1165" i="1" s="1"/>
  <c r="BF1167" i="1" a="1"/>
  <c r="BF1167" i="1" s="1"/>
  <c r="BF1169" i="1" a="1"/>
  <c r="BF1169" i="1" s="1"/>
  <c r="BF1171" i="1" a="1"/>
  <c r="BF1171" i="1" s="1"/>
  <c r="BF1173" i="1" a="1"/>
  <c r="BF1173" i="1" s="1"/>
  <c r="BF1175" i="1" a="1"/>
  <c r="BF1175" i="1" s="1"/>
  <c r="BF1177" i="1" a="1"/>
  <c r="BF1177" i="1" s="1"/>
  <c r="BF1179" i="1" a="1"/>
  <c r="BF1179" i="1" s="1"/>
  <c r="BF1181" i="1" a="1"/>
  <c r="BF1181" i="1" s="1"/>
  <c r="BF1183" i="1" a="1"/>
  <c r="BF1183" i="1" s="1"/>
  <c r="BF1185" i="1" a="1"/>
  <c r="BF1185" i="1" s="1"/>
  <c r="BF1187" i="1" a="1"/>
  <c r="BF1187" i="1" s="1"/>
  <c r="BF1189" i="1" a="1"/>
  <c r="BF1189" i="1" s="1"/>
  <c r="BF1191" i="1" a="1"/>
  <c r="BF1191" i="1" s="1"/>
  <c r="BF1193" i="1" a="1"/>
  <c r="BF1193" i="1" s="1"/>
  <c r="BF1195" i="1" a="1"/>
  <c r="BF1195" i="1" s="1"/>
  <c r="BF1197" i="1" a="1"/>
  <c r="BF1197" i="1" s="1"/>
  <c r="BF116" i="1" a="1"/>
  <c r="BF116" i="1" s="1"/>
  <c r="BF875" i="1" a="1"/>
  <c r="BF875" i="1" s="1"/>
  <c r="BF769" i="1" a="1"/>
  <c r="BF769" i="1" s="1"/>
  <c r="BF554" i="1" a="1"/>
  <c r="BF554" i="1" s="1"/>
  <c r="BE554" i="1" s="1" a="1"/>
  <c r="BE554" i="1" s="1"/>
  <c r="BF817" i="1" a="1"/>
  <c r="BF817" i="1" s="1"/>
  <c r="BF616" i="1" a="1"/>
  <c r="BF616" i="1" s="1"/>
  <c r="BF867" i="1" a="1"/>
  <c r="BF867" i="1" s="1"/>
  <c r="BF659" i="1" a="1"/>
  <c r="BF659" i="1" s="1"/>
  <c r="BF719" i="1" a="1"/>
  <c r="BF719" i="1" s="1"/>
  <c r="BF611" i="1" a="1"/>
  <c r="BF611" i="1" s="1"/>
  <c r="BE268" i="1" a="1"/>
  <c r="BE268" i="1" s="1"/>
  <c r="BE207" i="1" a="1"/>
  <c r="BE207" i="1" s="1"/>
  <c r="BE204" i="1" a="1"/>
  <c r="BE204" i="1" s="1"/>
  <c r="BV816" i="1"/>
  <c r="BX816" i="1" s="1"/>
  <c r="CT816" i="1" s="1"/>
  <c r="BV817" i="1"/>
  <c r="BX817" i="1" s="1"/>
  <c r="BO334" i="1"/>
  <c r="BN299" i="1"/>
  <c r="CN806" i="1"/>
  <c r="CO806" i="1" s="1"/>
  <c r="BO1015" i="1"/>
  <c r="CQ1015" i="1" s="1"/>
  <c r="CN1022" i="1"/>
  <c r="CP1022" i="1" s="1"/>
  <c r="BN332" i="1"/>
  <c r="BO332" i="1" s="1"/>
  <c r="CQ332" i="1" s="1"/>
  <c r="BN616" i="1"/>
  <c r="BV106" i="1"/>
  <c r="BX106" i="1" s="1"/>
  <c r="CT106" i="1" s="1"/>
  <c r="BV599" i="1"/>
  <c r="BX599" i="1" s="1"/>
  <c r="BY599" i="1" s="1"/>
  <c r="BV932" i="1"/>
  <c r="BX932" i="1" s="1"/>
  <c r="CT932" i="1" s="1"/>
  <c r="BV319" i="1"/>
  <c r="BX319" i="1" s="1"/>
  <c r="CT319" i="1" s="1"/>
  <c r="BN1198" i="1"/>
  <c r="BO1199" i="1"/>
  <c r="BO775" i="1"/>
  <c r="BY775" i="1" s="1"/>
  <c r="BN872" i="1"/>
  <c r="BO872" i="1" s="1"/>
  <c r="BY872" i="1" s="1"/>
  <c r="BV592" i="1"/>
  <c r="BX592" i="1" s="1"/>
  <c r="CT592" i="1" s="1"/>
  <c r="BO664" i="1"/>
  <c r="BY664" i="1" s="1"/>
  <c r="CN616" i="1"/>
  <c r="CS616" i="1" s="1"/>
  <c r="BV618" i="1"/>
  <c r="BX618" i="1" s="1"/>
  <c r="CT618" i="1" s="1"/>
  <c r="BV647" i="1"/>
  <c r="BX647" i="1" s="1"/>
  <c r="CT647" i="1" s="1"/>
  <c r="BV692" i="1"/>
  <c r="BX692" i="1" s="1"/>
  <c r="CT692" i="1" s="1"/>
  <c r="CR647" i="1"/>
  <c r="CN528" i="1"/>
  <c r="CP528" i="1" s="1"/>
  <c r="CS106" i="1"/>
  <c r="BV982" i="1"/>
  <c r="BX982" i="1" s="1"/>
  <c r="CT982" i="1" s="1"/>
  <c r="CR548" i="1"/>
  <c r="BV616" i="1"/>
  <c r="BX616" i="1" s="1"/>
  <c r="BV598" i="1"/>
  <c r="BX598" i="1" s="1"/>
  <c r="BE385" i="1" a="1"/>
  <c r="BE385" i="1" s="1"/>
  <c r="BY920" i="1"/>
  <c r="CT194" i="1"/>
  <c r="BV970" i="1"/>
  <c r="BX970" i="1" s="1"/>
  <c r="CT970" i="1" s="1"/>
  <c r="CN1199" i="1"/>
  <c r="CO1199" i="1" s="1"/>
  <c r="BV687" i="1"/>
  <c r="BX687" i="1" s="1"/>
  <c r="BO660" i="1"/>
  <c r="BY660" i="1" s="1"/>
  <c r="BV1022" i="1"/>
  <c r="BX1022" i="1" s="1"/>
  <c r="CS970" i="1"/>
  <c r="BV547" i="1"/>
  <c r="BX547" i="1" s="1"/>
  <c r="BY547" i="1" s="1"/>
  <c r="CR863" i="1"/>
  <c r="BO616" i="1"/>
  <c r="CN299" i="1"/>
  <c r="CR299" i="1" s="1"/>
  <c r="CN27" i="1"/>
  <c r="CO27" i="1" s="1"/>
  <c r="CN37" i="1"/>
  <c r="CP37" i="1" s="1"/>
  <c r="CN334" i="1"/>
  <c r="CR862" i="1"/>
  <c r="BN1199" i="1"/>
  <c r="BV913" i="1"/>
  <c r="BX913" i="1" s="1"/>
  <c r="CT913" i="1" s="1"/>
  <c r="BV806" i="1"/>
  <c r="BX806" i="1" s="1"/>
  <c r="BN1015" i="1"/>
  <c r="BU616" i="1"/>
  <c r="CN33" i="1"/>
  <c r="CQ33" i="1" s="1"/>
  <c r="BV1199" i="1"/>
  <c r="BX1199" i="1" s="1"/>
  <c r="BN775" i="1"/>
  <c r="BN240" i="1"/>
  <c r="BO240" i="1" s="1"/>
  <c r="BY240" i="1" s="1"/>
  <c r="BN1134" i="1"/>
  <c r="BO1134" i="1" s="1"/>
  <c r="BY1134" i="1" s="1"/>
  <c r="BN1135" i="1"/>
  <c r="BO1135" i="1" s="1"/>
  <c r="BY1135" i="1" s="1"/>
  <c r="BN1131" i="1"/>
  <c r="BO1131" i="1" s="1"/>
  <c r="CQ1131" i="1" s="1"/>
  <c r="BN1132" i="1"/>
  <c r="BO1132" i="1" s="1"/>
  <c r="BY1132" i="1" s="1"/>
  <c r="BN1133" i="1"/>
  <c r="BO1133" i="1" s="1"/>
  <c r="BY1133" i="1" s="1"/>
  <c r="BE714" i="1" a="1"/>
  <c r="BE714" i="1" s="1"/>
  <c r="BN1087" i="1"/>
  <c r="BO1087" i="1" s="1"/>
  <c r="BY1087" i="1" s="1"/>
  <c r="CT494" i="1"/>
  <c r="CT1068" i="1"/>
  <c r="BU817" i="1"/>
  <c r="BY593" i="1"/>
  <c r="CQ201" i="1"/>
  <c r="CQ340" i="1"/>
  <c r="BY601" i="1"/>
  <c r="CP647" i="1"/>
  <c r="CS755" i="1"/>
  <c r="CQ346" i="1"/>
  <c r="BY860" i="1"/>
  <c r="CP755" i="1"/>
  <c r="BY885" i="1"/>
  <c r="CO298" i="1"/>
  <c r="CT818" i="1"/>
  <c r="CT361" i="1"/>
  <c r="CQ676" i="1"/>
  <c r="CT1015" i="1"/>
  <c r="CQ972" i="1"/>
  <c r="BY1138" i="1"/>
  <c r="CT875" i="1"/>
  <c r="CO538" i="1"/>
  <c r="BY659" i="1"/>
  <c r="BY900" i="1"/>
  <c r="BY656" i="1"/>
  <c r="CO354" i="1"/>
  <c r="CT676" i="1"/>
  <c r="CP354" i="1"/>
  <c r="CP539" i="1"/>
  <c r="CQ969" i="1"/>
  <c r="CS448" i="1"/>
  <c r="CV448" i="1" s="1"/>
  <c r="CT1168" i="1"/>
  <c r="CU1168" i="1" s="1"/>
  <c r="CS364" i="1"/>
  <c r="CR676" i="1"/>
  <c r="BY680" i="1"/>
  <c r="CQ1069" i="1"/>
  <c r="BY359" i="1"/>
  <c r="CS370" i="1"/>
  <c r="BY995" i="1"/>
  <c r="BY58" i="1"/>
  <c r="CS361" i="1"/>
  <c r="CT686" i="1"/>
  <c r="CQ917" i="1"/>
  <c r="CP298" i="1"/>
  <c r="CT362" i="1"/>
  <c r="CR755" i="1"/>
  <c r="CT764" i="1"/>
  <c r="BY794" i="1"/>
  <c r="CQ851" i="1"/>
  <c r="CO862" i="1"/>
  <c r="CS298" i="1"/>
  <c r="CV298" i="1" s="1"/>
  <c r="CS587" i="1"/>
  <c r="CT135" i="1"/>
  <c r="CQ853" i="1"/>
  <c r="CQ812" i="1"/>
  <c r="CO921" i="1"/>
  <c r="CQ818" i="1"/>
  <c r="CR29" i="1"/>
  <c r="CV29" i="1" s="1"/>
  <c r="BY1145" i="1"/>
  <c r="CS344" i="1"/>
  <c r="CV344" i="1" s="1"/>
  <c r="BY327" i="1"/>
  <c r="BE367" i="1" a="1"/>
  <c r="BE367" i="1" s="1"/>
  <c r="CR921" i="1"/>
  <c r="CV921" i="1" s="1"/>
  <c r="CO987" i="1"/>
  <c r="CQ578" i="1"/>
  <c r="BY132" i="1"/>
  <c r="BY55" i="1"/>
  <c r="CP201" i="1"/>
  <c r="CS1073" i="1"/>
  <c r="CQ667" i="1"/>
  <c r="BE349" i="1" a="1"/>
  <c r="BE349" i="1" s="1"/>
  <c r="BE355" i="1" a="1"/>
  <c r="BE355" i="1" s="1"/>
  <c r="CQ356" i="1"/>
  <c r="CQ370" i="1"/>
  <c r="CP398" i="1"/>
  <c r="CQ539" i="1"/>
  <c r="CO791" i="1"/>
  <c r="CS987" i="1"/>
  <c r="CV987" i="1" s="1"/>
  <c r="CP969" i="1"/>
  <c r="CQ298" i="1"/>
  <c r="CQ875" i="1"/>
  <c r="CP364" i="1"/>
  <c r="CT738" i="1"/>
  <c r="CO686" i="1"/>
  <c r="BY1026" i="1"/>
  <c r="CP204" i="1"/>
  <c r="CQ1077" i="1"/>
  <c r="CU1077" i="1" s="1"/>
  <c r="CQ749" i="1"/>
  <c r="CQ1076" i="1"/>
  <c r="CO349" i="1"/>
  <c r="CO355" i="1"/>
  <c r="BE403" i="1" a="1"/>
  <c r="BE403" i="1" s="1"/>
  <c r="CR538" i="1"/>
  <c r="CV538" i="1" s="1"/>
  <c r="CQ29" i="1"/>
  <c r="BE625" i="1" a="1"/>
  <c r="BE625" i="1" s="1"/>
  <c r="BY915" i="1"/>
  <c r="CP391" i="1"/>
  <c r="BE405" i="1" a="1"/>
  <c r="BE405" i="1" s="1"/>
  <c r="CP405" i="1"/>
  <c r="CT674" i="1"/>
  <c r="BY672" i="1"/>
  <c r="CP451" i="1"/>
  <c r="CO859" i="1"/>
  <c r="CT1166" i="1"/>
  <c r="CU1166" i="1" s="1"/>
  <c r="CS545" i="1"/>
  <c r="CV545" i="1" s="1"/>
  <c r="CS855" i="1"/>
  <c r="CV855" i="1" s="1"/>
  <c r="CP900" i="1"/>
  <c r="BY653" i="1"/>
  <c r="BY637" i="1"/>
  <c r="BY719" i="1"/>
  <c r="CR920" i="1"/>
  <c r="CO611" i="1"/>
  <c r="BY625" i="1"/>
  <c r="BY714" i="1"/>
  <c r="BN1025" i="1"/>
  <c r="BO1025" i="1" s="1"/>
  <c r="CP667" i="1"/>
  <c r="BY1073" i="1"/>
  <c r="CR339" i="1"/>
  <c r="CV339" i="1" s="1"/>
  <c r="BY344" i="1"/>
  <c r="CO396" i="1"/>
  <c r="BY355" i="1"/>
  <c r="BE365" i="1" a="1"/>
  <c r="BE365" i="1" s="1"/>
  <c r="BY365" i="1"/>
  <c r="BY385" i="1"/>
  <c r="CR391" i="1"/>
  <c r="CQ402" i="1"/>
  <c r="CR405" i="1"/>
  <c r="CO551" i="1"/>
  <c r="CO674" i="1"/>
  <c r="CO818" i="1"/>
  <c r="CT851" i="1"/>
  <c r="CP1005" i="1"/>
  <c r="CO997" i="1"/>
  <c r="BY926" i="1"/>
  <c r="CT1135" i="1"/>
  <c r="CS920" i="1"/>
  <c r="CP611" i="1"/>
  <c r="CP194" i="1"/>
  <c r="CO494" i="1"/>
  <c r="CT1072" i="1"/>
  <c r="CP853" i="1"/>
  <c r="CT340" i="1"/>
  <c r="BE390" i="1" a="1"/>
  <c r="BE390" i="1" s="1"/>
  <c r="BY390" i="1"/>
  <c r="CS391" i="1"/>
  <c r="CS405" i="1"/>
  <c r="CP818" i="1"/>
  <c r="BY839" i="1"/>
  <c r="BY586" i="1"/>
  <c r="CR997" i="1"/>
  <c r="CV997" i="1" s="1"/>
  <c r="CQ297" i="1"/>
  <c r="CO697" i="1"/>
  <c r="CO869" i="1"/>
  <c r="CQ282" i="1"/>
  <c r="CO719" i="1"/>
  <c r="CO194" i="1"/>
  <c r="CQ395" i="1"/>
  <c r="CQ390" i="1"/>
  <c r="CO851" i="1"/>
  <c r="CR969" i="1"/>
  <c r="BY1137" i="1"/>
  <c r="CT1175" i="1"/>
  <c r="CU1175" i="1" s="1"/>
  <c r="CO32" i="1"/>
  <c r="CP554" i="1"/>
  <c r="CO362" i="1"/>
  <c r="CO542" i="1"/>
  <c r="CR697" i="1"/>
  <c r="CO764" i="1"/>
  <c r="CQ869" i="1"/>
  <c r="CP719" i="1"/>
  <c r="CO667" i="1"/>
  <c r="CS676" i="1"/>
  <c r="CR204" i="1"/>
  <c r="CV204" i="1" s="1"/>
  <c r="CP340" i="1"/>
  <c r="CQ347" i="1"/>
  <c r="CR355" i="1"/>
  <c r="CV355" i="1" s="1"/>
  <c r="CQ358" i="1"/>
  <c r="BE366" i="1" a="1"/>
  <c r="BE366" i="1" s="1"/>
  <c r="CO390" i="1"/>
  <c r="CQ391" i="1"/>
  <c r="CQ405" i="1"/>
  <c r="CR539" i="1"/>
  <c r="CR791" i="1"/>
  <c r="CV791" i="1" s="1"/>
  <c r="CS852" i="1"/>
  <c r="CV852" i="1" s="1"/>
  <c r="CP851" i="1"/>
  <c r="CS969" i="1"/>
  <c r="BY439" i="1"/>
  <c r="CO444" i="1"/>
  <c r="CR549" i="1"/>
  <c r="CR859" i="1"/>
  <c r="CR554" i="1"/>
  <c r="CV554" i="1" s="1"/>
  <c r="CP543" i="1"/>
  <c r="CS697" i="1"/>
  <c r="CS766" i="1"/>
  <c r="CR869" i="1"/>
  <c r="CP580" i="1"/>
  <c r="CP494" i="1"/>
  <c r="CS494" i="1"/>
  <c r="CV494" i="1" s="1"/>
  <c r="BY43" i="1"/>
  <c r="CR340" i="1"/>
  <c r="CQ368" i="1"/>
  <c r="CP370" i="1"/>
  <c r="CR390" i="1"/>
  <c r="CS539" i="1"/>
  <c r="CQ971" i="1"/>
  <c r="CO972" i="1"/>
  <c r="CQ445" i="1"/>
  <c r="CS859" i="1"/>
  <c r="CT1163" i="1"/>
  <c r="CU1163" i="1" s="1"/>
  <c r="CR1173" i="1"/>
  <c r="CV1173" i="1" s="1"/>
  <c r="CT364" i="1"/>
  <c r="CR543" i="1"/>
  <c r="CO738" i="1"/>
  <c r="CQ750" i="1"/>
  <c r="CP675" i="1"/>
  <c r="BY1207" i="1"/>
  <c r="BY683" i="1"/>
  <c r="CS194" i="1"/>
  <c r="CV194" i="1" s="1"/>
  <c r="CR220" i="1"/>
  <c r="CT156" i="1"/>
  <c r="CS1072" i="1"/>
  <c r="CS156" i="1"/>
  <c r="CV156" i="1" s="1"/>
  <c r="CQ494" i="1"/>
  <c r="CR1069" i="1"/>
  <c r="CT1071" i="1"/>
  <c r="CS340" i="1"/>
  <c r="CR370" i="1"/>
  <c r="CS390" i="1"/>
  <c r="BY1013" i="1"/>
  <c r="BE299" i="1" a="1"/>
  <c r="BE299" i="1" s="1"/>
  <c r="CR882" i="1"/>
  <c r="CQ553" i="1"/>
  <c r="CT1162" i="1"/>
  <c r="CU1162" i="1" s="1"/>
  <c r="CS543" i="1"/>
  <c r="CT324" i="1"/>
  <c r="BE900" i="1" a="1"/>
  <c r="BE900" i="1" s="1"/>
  <c r="CS675" i="1"/>
  <c r="BE683" i="1" a="1"/>
  <c r="BE683" i="1" s="1"/>
  <c r="BY611" i="1"/>
  <c r="CR587" i="1"/>
  <c r="BY531" i="1"/>
  <c r="CT531" i="1"/>
  <c r="CP673" i="1"/>
  <c r="CT650" i="1"/>
  <c r="BY529" i="1"/>
  <c r="CQ101" i="1"/>
  <c r="CT1067" i="1"/>
  <c r="CQ576" i="1"/>
  <c r="CQ1071" i="1"/>
  <c r="CP1074" i="1"/>
  <c r="CO207" i="1"/>
  <c r="CT343" i="1"/>
  <c r="CP382" i="1"/>
  <c r="BY396" i="1"/>
  <c r="BY345" i="1"/>
  <c r="BY349" i="1"/>
  <c r="CO368" i="1"/>
  <c r="CQ393" i="1"/>
  <c r="CO402" i="1"/>
  <c r="BE530" i="1" a="1"/>
  <c r="BE530" i="1" s="1"/>
  <c r="CQ666" i="1"/>
  <c r="CT948" i="1"/>
  <c r="CQ949" i="1"/>
  <c r="CP987" i="1"/>
  <c r="CP674" i="1"/>
  <c r="CQ839" i="1"/>
  <c r="BY972" i="1"/>
  <c r="CO1006" i="1"/>
  <c r="CT1137" i="1"/>
  <c r="CS1137" i="1"/>
  <c r="CV1137" i="1" s="1"/>
  <c r="CQ661" i="1"/>
  <c r="CS93" i="1"/>
  <c r="CR93" i="1"/>
  <c r="CT869" i="1"/>
  <c r="BY869" i="1"/>
  <c r="CR576" i="1"/>
  <c r="CR1074" i="1"/>
  <c r="CP207" i="1"/>
  <c r="CR382" i="1"/>
  <c r="CP368" i="1"/>
  <c r="BY369" i="1"/>
  <c r="BY392" i="1"/>
  <c r="CP1006" i="1"/>
  <c r="BY1009" i="1"/>
  <c r="CO732" i="1"/>
  <c r="CT732" i="1"/>
  <c r="CQ732" i="1"/>
  <c r="CS576" i="1"/>
  <c r="CR207" i="1"/>
  <c r="CV207" i="1" s="1"/>
  <c r="BY898" i="1"/>
  <c r="BY581" i="1"/>
  <c r="CP834" i="1"/>
  <c r="CS834" i="1"/>
  <c r="CS1074" i="1"/>
  <c r="CO1071" i="1"/>
  <c r="CR28" i="1"/>
  <c r="CV28" i="1" s="1"/>
  <c r="CN95" i="1"/>
  <c r="CS95" i="1" s="1"/>
  <c r="CQ326" i="1"/>
  <c r="CR396" i="1"/>
  <c r="CV396" i="1" s="1"/>
  <c r="CR398" i="1"/>
  <c r="CP812" i="1"/>
  <c r="CP972" i="1"/>
  <c r="CO1002" i="1"/>
  <c r="CR1005" i="1"/>
  <c r="CP445" i="1"/>
  <c r="CT657" i="1"/>
  <c r="CR673" i="1"/>
  <c r="CQ1067" i="1"/>
  <c r="CR1067" i="1"/>
  <c r="CT670" i="1"/>
  <c r="CR1077" i="1"/>
  <c r="CR569" i="1"/>
  <c r="CR853" i="1"/>
  <c r="BN1023" i="1"/>
  <c r="BO1023" i="1" s="1"/>
  <c r="CO394" i="1"/>
  <c r="CQ673" i="1"/>
  <c r="CT152" i="1"/>
  <c r="BY667" i="1"/>
  <c r="CS1067" i="1"/>
  <c r="CP1071" i="1"/>
  <c r="CS569" i="1"/>
  <c r="CS853" i="1"/>
  <c r="BU1026" i="1"/>
  <c r="CQ207" i="1"/>
  <c r="CO344" i="1"/>
  <c r="CQ382" i="1"/>
  <c r="CQ336" i="1"/>
  <c r="CQ359" i="1"/>
  <c r="CO393" i="1"/>
  <c r="CS398" i="1"/>
  <c r="CR812" i="1"/>
  <c r="CT852" i="1"/>
  <c r="CR949" i="1"/>
  <c r="CV949" i="1" s="1"/>
  <c r="CQ674" i="1"/>
  <c r="CO839" i="1"/>
  <c r="CR972" i="1"/>
  <c r="CV972" i="1" s="1"/>
  <c r="CS946" i="1"/>
  <c r="CV946" i="1" s="1"/>
  <c r="CS650" i="1"/>
  <c r="CR1071" i="1"/>
  <c r="CV1071" i="1" s="1"/>
  <c r="CN1023" i="1"/>
  <c r="CS1023" i="1" s="1"/>
  <c r="CT326" i="1"/>
  <c r="BE350" i="1" a="1"/>
  <c r="BE350" i="1" s="1"/>
  <c r="CQ354" i="1"/>
  <c r="CP393" i="1"/>
  <c r="BE402" i="1" a="1"/>
  <c r="BE402" i="1" s="1"/>
  <c r="CS812" i="1"/>
  <c r="BY921" i="1"/>
  <c r="BY948" i="1"/>
  <c r="CT987" i="1"/>
  <c r="CT576" i="1"/>
  <c r="CT1074" i="1"/>
  <c r="CT207" i="1"/>
  <c r="CT382" i="1"/>
  <c r="CT395" i="1"/>
  <c r="BE359" i="1" a="1"/>
  <c r="BE359" i="1" s="1"/>
  <c r="CT368" i="1"/>
  <c r="CQ398" i="1"/>
  <c r="CT942" i="1"/>
  <c r="CO29" i="1"/>
  <c r="CP29" i="1"/>
  <c r="BE580" i="1" a="1"/>
  <c r="BE580" i="1" s="1"/>
  <c r="BY580" i="1"/>
  <c r="BY706" i="1"/>
  <c r="CO760" i="1"/>
  <c r="CR360" i="1"/>
  <c r="CV360" i="1" s="1"/>
  <c r="CT532" i="1"/>
  <c r="BY545" i="1"/>
  <c r="CT759" i="1"/>
  <c r="CT659" i="1"/>
  <c r="CQ595" i="1"/>
  <c r="CT1132" i="1"/>
  <c r="CP885" i="1"/>
  <c r="CO653" i="1"/>
  <c r="CO1207" i="1"/>
  <c r="BE611" i="1" a="1"/>
  <c r="BE611" i="1" s="1"/>
  <c r="CQ625" i="1"/>
  <c r="BY453" i="1"/>
  <c r="CR297" i="1"/>
  <c r="CR1170" i="1"/>
  <c r="CV1170" i="1" s="1"/>
  <c r="CR760" i="1"/>
  <c r="CV760" i="1" s="1"/>
  <c r="CP579" i="1"/>
  <c r="CR885" i="1"/>
  <c r="CR282" i="1"/>
  <c r="CP653" i="1"/>
  <c r="CP794" i="1"/>
  <c r="CP1207" i="1"/>
  <c r="CT997" i="1"/>
  <c r="BY908" i="1"/>
  <c r="CQ831" i="1"/>
  <c r="BY567" i="1"/>
  <c r="CO319" i="1"/>
  <c r="BY241" i="1"/>
  <c r="CS706" i="1"/>
  <c r="CV706" i="1" s="1"/>
  <c r="BY546" i="1"/>
  <c r="CQ859" i="1"/>
  <c r="BY1168" i="1"/>
  <c r="CO116" i="1"/>
  <c r="CO875" i="1"/>
  <c r="CQ769" i="1"/>
  <c r="BY808" i="1"/>
  <c r="CQ926" i="1"/>
  <c r="CQ554" i="1"/>
  <c r="CP351" i="1"/>
  <c r="BY357" i="1"/>
  <c r="CR362" i="1"/>
  <c r="CV362" i="1" s="1"/>
  <c r="CO532" i="1"/>
  <c r="CP738" i="1"/>
  <c r="BY750" i="1"/>
  <c r="CO759" i="1"/>
  <c r="CP657" i="1"/>
  <c r="CR579" i="1"/>
  <c r="CT1133" i="1"/>
  <c r="CS869" i="1"/>
  <c r="CS885" i="1"/>
  <c r="CR794" i="1"/>
  <c r="CT1207" i="1"/>
  <c r="BY269" i="1"/>
  <c r="CR580" i="1"/>
  <c r="BE587" i="1" a="1"/>
  <c r="BE587" i="1" s="1"/>
  <c r="CS549" i="1"/>
  <c r="CT453" i="1"/>
  <c r="CT1196" i="1"/>
  <c r="CU1196" i="1" s="1"/>
  <c r="CS116" i="1"/>
  <c r="BY981" i="1"/>
  <c r="CR875" i="1"/>
  <c r="CV875" i="1" s="1"/>
  <c r="CS351" i="1"/>
  <c r="CS532" i="1"/>
  <c r="CV532" i="1" s="1"/>
  <c r="CT542" i="1"/>
  <c r="CT697" i="1"/>
  <c r="CR738" i="1"/>
  <c r="CV738" i="1" s="1"/>
  <c r="BY752" i="1"/>
  <c r="CS759" i="1"/>
  <c r="CR657" i="1"/>
  <c r="CS579" i="1"/>
  <c r="CT885" i="1"/>
  <c r="BY675" i="1"/>
  <c r="CS794" i="1"/>
  <c r="BY881" i="1"/>
  <c r="CS580" i="1"/>
  <c r="CP587" i="1"/>
  <c r="CS1196" i="1"/>
  <c r="CT116" i="1"/>
  <c r="BE357" i="1" a="1"/>
  <c r="BE357" i="1" s="1"/>
  <c r="BE364" i="1" a="1"/>
  <c r="BE364" i="1" s="1"/>
  <c r="BY543" i="1"/>
  <c r="CT755" i="1"/>
  <c r="CT766" i="1"/>
  <c r="BY855" i="1"/>
  <c r="CO900" i="1"/>
  <c r="CP831" i="1"/>
  <c r="CO450" i="1"/>
  <c r="CR913" i="1"/>
  <c r="CQ351" i="1"/>
  <c r="BE764" i="1" a="1"/>
  <c r="BE764" i="1" s="1"/>
  <c r="CQ657" i="1"/>
  <c r="BY282" i="1"/>
  <c r="BE1207" i="1" a="1"/>
  <c r="BE1207" i="1" s="1"/>
  <c r="CT831" i="1"/>
  <c r="CR566" i="1"/>
  <c r="CQ882" i="1"/>
  <c r="CO549" i="1"/>
  <c r="CT311" i="1"/>
  <c r="CT1170" i="1"/>
  <c r="CU1170" i="1" s="1"/>
  <c r="CT1173" i="1"/>
  <c r="CU1173" i="1" s="1"/>
  <c r="CT1174" i="1"/>
  <c r="CU1174" i="1" s="1"/>
  <c r="CO554" i="1"/>
  <c r="CQ542" i="1"/>
  <c r="CQ697" i="1"/>
  <c r="BY710" i="1"/>
  <c r="CO766" i="1"/>
  <c r="CP686" i="1"/>
  <c r="CT1131" i="1"/>
  <c r="CO855" i="1"/>
  <c r="CR675" i="1"/>
  <c r="CT719" i="1"/>
  <c r="BY962" i="1"/>
  <c r="CP920" i="1"/>
  <c r="BY579" i="1"/>
  <c r="CT579" i="1"/>
  <c r="CO659" i="1"/>
  <c r="CR595" i="1"/>
  <c r="CT656" i="1"/>
  <c r="CS656" i="1"/>
  <c r="CR656" i="1"/>
  <c r="CQ656" i="1"/>
  <c r="CP656" i="1"/>
  <c r="CO656" i="1"/>
  <c r="CT881" i="1"/>
  <c r="CS881" i="1"/>
  <c r="CR881" i="1"/>
  <c r="CQ881" i="1"/>
  <c r="CP881" i="1"/>
  <c r="CO881" i="1"/>
  <c r="CT714" i="1"/>
  <c r="CS714" i="1"/>
  <c r="CR714" i="1"/>
  <c r="CQ714" i="1"/>
  <c r="CP714" i="1"/>
  <c r="CO714" i="1"/>
  <c r="CP659" i="1"/>
  <c r="CQ269" i="1"/>
  <c r="BY587" i="1"/>
  <c r="CT587" i="1"/>
  <c r="CR872" i="1"/>
  <c r="BY324" i="1"/>
  <c r="BY890" i="1"/>
  <c r="CT593" i="1"/>
  <c r="CS593" i="1"/>
  <c r="CR593" i="1"/>
  <c r="CQ593" i="1"/>
  <c r="CP593" i="1"/>
  <c r="CO593" i="1"/>
  <c r="CT653" i="1"/>
  <c r="CS872" i="1"/>
  <c r="BY657" i="1"/>
  <c r="CQ324" i="1"/>
  <c r="CP324" i="1"/>
  <c r="CO324" i="1"/>
  <c r="CS324" i="1"/>
  <c r="CT890" i="1"/>
  <c r="CS890" i="1"/>
  <c r="CQ890" i="1"/>
  <c r="CP890" i="1"/>
  <c r="CO890" i="1"/>
  <c r="CQ962" i="1"/>
  <c r="CT683" i="1"/>
  <c r="CS683" i="1"/>
  <c r="CR683" i="1"/>
  <c r="CQ683" i="1"/>
  <c r="CP683" i="1"/>
  <c r="CO683" i="1"/>
  <c r="CT611" i="1"/>
  <c r="CT595" i="1"/>
  <c r="CS595" i="1"/>
  <c r="CP595" i="1"/>
  <c r="CO595" i="1"/>
  <c r="CT872" i="1"/>
  <c r="CS657" i="1"/>
  <c r="CO657" i="1"/>
  <c r="CR324" i="1"/>
  <c r="BY686" i="1"/>
  <c r="CT1134" i="1"/>
  <c r="CS1134" i="1"/>
  <c r="CR1134" i="1"/>
  <c r="CR890" i="1"/>
  <c r="CT900" i="1"/>
  <c r="CS659" i="1"/>
  <c r="CR659" i="1"/>
  <c r="CQ659" i="1"/>
  <c r="BY595" i="1"/>
  <c r="CQ637" i="1"/>
  <c r="BE269" i="1" a="1"/>
  <c r="BE269" i="1" s="1"/>
  <c r="CQ579" i="1"/>
  <c r="CT855" i="1"/>
  <c r="CQ885" i="1"/>
  <c r="CS282" i="1"/>
  <c r="CQ675" i="1"/>
  <c r="CS637" i="1"/>
  <c r="CV637" i="1" s="1"/>
  <c r="CQ794" i="1"/>
  <c r="CS962" i="1"/>
  <c r="CV962" i="1" s="1"/>
  <c r="CQ920" i="1"/>
  <c r="CS269" i="1"/>
  <c r="CV269" i="1" s="1"/>
  <c r="CQ580" i="1"/>
  <c r="CS625" i="1"/>
  <c r="CV625" i="1" s="1"/>
  <c r="CQ587" i="1"/>
  <c r="CT282" i="1"/>
  <c r="CT637" i="1"/>
  <c r="CT962" i="1"/>
  <c r="CT269" i="1"/>
  <c r="CT625" i="1"/>
  <c r="CT675" i="1"/>
  <c r="CT794" i="1"/>
  <c r="CT920" i="1"/>
  <c r="CT580" i="1"/>
  <c r="CQ686" i="1"/>
  <c r="BK126" i="1"/>
  <c r="CN126" i="1" s="1"/>
  <c r="CR1135" i="1"/>
  <c r="CR1131" i="1"/>
  <c r="CR1132" i="1"/>
  <c r="CR1133" i="1"/>
  <c r="CP855" i="1"/>
  <c r="CQ900" i="1"/>
  <c r="CO282" i="1"/>
  <c r="CQ653" i="1"/>
  <c r="CO637" i="1"/>
  <c r="CQ719" i="1"/>
  <c r="CO962" i="1"/>
  <c r="CQ1207" i="1"/>
  <c r="CO269" i="1"/>
  <c r="CQ611" i="1"/>
  <c r="CO625" i="1"/>
  <c r="CR686" i="1"/>
  <c r="CV686" i="1" s="1"/>
  <c r="CS1135" i="1"/>
  <c r="CV1135" i="1" s="1"/>
  <c r="CS1131" i="1"/>
  <c r="CS1132" i="1"/>
  <c r="CS1133" i="1"/>
  <c r="CQ855" i="1"/>
  <c r="CR900" i="1"/>
  <c r="CV900" i="1" s="1"/>
  <c r="CP282" i="1"/>
  <c r="CR653" i="1"/>
  <c r="CV653" i="1" s="1"/>
  <c r="CP637" i="1"/>
  <c r="CR719" i="1"/>
  <c r="CV719" i="1" s="1"/>
  <c r="CP962" i="1"/>
  <c r="CR1207" i="1"/>
  <c r="CV1207" i="1" s="1"/>
  <c r="CP269" i="1"/>
  <c r="CR611" i="1"/>
  <c r="CV611" i="1" s="1"/>
  <c r="CP625" i="1"/>
  <c r="BY348" i="1"/>
  <c r="CT348" i="1"/>
  <c r="BY354" i="1"/>
  <c r="CT354" i="1"/>
  <c r="BY220" i="1"/>
  <c r="BY42" i="1"/>
  <c r="CS337" i="1"/>
  <c r="CO337" i="1"/>
  <c r="CS343" i="1"/>
  <c r="CO343" i="1"/>
  <c r="BY336" i="1"/>
  <c r="CR397" i="1"/>
  <c r="CO397" i="1"/>
  <c r="BY969" i="1"/>
  <c r="CT969" i="1"/>
  <c r="CO672" i="1"/>
  <c r="CT672" i="1"/>
  <c r="CS672" i="1"/>
  <c r="CR672" i="1"/>
  <c r="BY1069" i="1"/>
  <c r="CP217" i="1"/>
  <c r="CP337" i="1"/>
  <c r="CP343" i="1"/>
  <c r="BY395" i="1"/>
  <c r="CS336" i="1"/>
  <c r="CP336" i="1"/>
  <c r="BE348" i="1" a="1"/>
  <c r="BE348" i="1" s="1"/>
  <c r="CQ350" i="1"/>
  <c r="CQ365" i="1"/>
  <c r="CR365" i="1"/>
  <c r="CS385" i="1"/>
  <c r="CP385" i="1"/>
  <c r="CS397" i="1"/>
  <c r="CO942" i="1"/>
  <c r="CS942" i="1"/>
  <c r="CQ942" i="1"/>
  <c r="CP942" i="1"/>
  <c r="CP1008" i="1"/>
  <c r="CT1008" i="1"/>
  <c r="CP932" i="1"/>
  <c r="BY571" i="1"/>
  <c r="BY306" i="1"/>
  <c r="CO101" i="1"/>
  <c r="CP1076" i="1"/>
  <c r="CP101" i="1"/>
  <c r="CQ1068" i="1"/>
  <c r="CR217" i="1"/>
  <c r="CQ670" i="1"/>
  <c r="CO1070" i="1"/>
  <c r="CP1075" i="1"/>
  <c r="CR1076" i="1"/>
  <c r="CQ1073" i="1"/>
  <c r="BY880" i="1"/>
  <c r="CO30" i="1"/>
  <c r="CS395" i="1"/>
  <c r="CP395" i="1"/>
  <c r="CO336" i="1"/>
  <c r="BE346" i="1" a="1"/>
  <c r="BE346" i="1" s="1"/>
  <c r="CS348" i="1"/>
  <c r="CO348" i="1"/>
  <c r="CO365" i="1"/>
  <c r="CQ369" i="1"/>
  <c r="CR369" i="1"/>
  <c r="CO385" i="1"/>
  <c r="BY393" i="1"/>
  <c r="CS898" i="1"/>
  <c r="CP898" i="1"/>
  <c r="CO898" i="1"/>
  <c r="CQ922" i="1"/>
  <c r="CR942" i="1"/>
  <c r="CR963" i="1"/>
  <c r="CS963" i="1"/>
  <c r="CO963" i="1"/>
  <c r="BY25" i="1"/>
  <c r="CP573" i="1"/>
  <c r="CS573" i="1"/>
  <c r="CR573" i="1"/>
  <c r="CQ573" i="1"/>
  <c r="BY156" i="1"/>
  <c r="CR680" i="1"/>
  <c r="CV680" i="1" s="1"/>
  <c r="BY194" i="1"/>
  <c r="CO156" i="1"/>
  <c r="BY115" i="1"/>
  <c r="CR101" i="1"/>
  <c r="CV101" i="1" s="1"/>
  <c r="CP1069" i="1"/>
  <c r="CS217" i="1"/>
  <c r="CP1070" i="1"/>
  <c r="CQ1074" i="1"/>
  <c r="CR1075" i="1"/>
  <c r="CQ1072" i="1"/>
  <c r="CS1076" i="1"/>
  <c r="CT1073" i="1"/>
  <c r="CP1077" i="1"/>
  <c r="BV1025" i="1"/>
  <c r="BX1025" i="1" s="1"/>
  <c r="CN1088" i="1"/>
  <c r="CS1088" i="1" s="1"/>
  <c r="CO204" i="1"/>
  <c r="BY331" i="1"/>
  <c r="CO339" i="1"/>
  <c r="CQ394" i="1"/>
  <c r="CO395" i="1"/>
  <c r="CT336" i="1"/>
  <c r="CO346" i="1"/>
  <c r="CR346" i="1"/>
  <c r="CP348" i="1"/>
  <c r="CQ353" i="1"/>
  <c r="CO356" i="1"/>
  <c r="CS356" i="1"/>
  <c r="CV356" i="1" s="1"/>
  <c r="CS365" i="1"/>
  <c r="CO369" i="1"/>
  <c r="BE391" i="1" a="1"/>
  <c r="BE391" i="1" s="1"/>
  <c r="CT898" i="1"/>
  <c r="CS666" i="1"/>
  <c r="CT666" i="1"/>
  <c r="CP666" i="1"/>
  <c r="CO666" i="1"/>
  <c r="CT963" i="1"/>
  <c r="CT600" i="1"/>
  <c r="CS600" i="1"/>
  <c r="CR600" i="1"/>
  <c r="CP600" i="1"/>
  <c r="CR1070" i="1"/>
  <c r="CV1070" i="1" s="1"/>
  <c r="CQ337" i="1"/>
  <c r="CQ343" i="1"/>
  <c r="CO399" i="1"/>
  <c r="CR399" i="1"/>
  <c r="BE356" i="1" a="1"/>
  <c r="BE356" i="1" s="1"/>
  <c r="CP356" i="1"/>
  <c r="CO366" i="1"/>
  <c r="CR366" i="1"/>
  <c r="CS369" i="1"/>
  <c r="CQ385" i="1"/>
  <c r="CS531" i="1"/>
  <c r="CP531" i="1"/>
  <c r="CO531" i="1"/>
  <c r="CO600" i="1"/>
  <c r="CO998" i="1"/>
  <c r="CS998" i="1"/>
  <c r="CR998" i="1"/>
  <c r="CQ998" i="1"/>
  <c r="CQ75" i="1"/>
  <c r="CT696" i="1"/>
  <c r="CT217" i="1"/>
  <c r="BY685" i="1"/>
  <c r="CP670" i="1"/>
  <c r="BY1074" i="1"/>
  <c r="CT1075" i="1"/>
  <c r="BY569" i="1"/>
  <c r="BM95" i="1"/>
  <c r="CO268" i="1"/>
  <c r="CO330" i="1"/>
  <c r="CR330" i="1"/>
  <c r="CV330" i="1" s="1"/>
  <c r="CP399" i="1"/>
  <c r="CP350" i="1"/>
  <c r="CS359" i="1"/>
  <c r="CO359" i="1"/>
  <c r="CP922" i="1"/>
  <c r="CR922" i="1"/>
  <c r="CQ948" i="1"/>
  <c r="CT717" i="1"/>
  <c r="CS717" i="1"/>
  <c r="CR717" i="1"/>
  <c r="CT680" i="1"/>
  <c r="CS1075" i="1"/>
  <c r="CP154" i="1"/>
  <c r="BY1067" i="1"/>
  <c r="CP1068" i="1"/>
  <c r="BY576" i="1"/>
  <c r="CQ194" i="1"/>
  <c r="CQ152" i="1"/>
  <c r="CR1068" i="1"/>
  <c r="CS1069" i="1"/>
  <c r="CQ217" i="1"/>
  <c r="CR670" i="1"/>
  <c r="BY1071" i="1"/>
  <c r="CP1072" i="1"/>
  <c r="CP1073" i="1"/>
  <c r="CS1077" i="1"/>
  <c r="BY27" i="1"/>
  <c r="BY853" i="1"/>
  <c r="CN1024" i="1"/>
  <c r="CP1024" i="1" s="1"/>
  <c r="BU43" i="1"/>
  <c r="BU1023" i="1"/>
  <c r="BM1026" i="1"/>
  <c r="CP330" i="1"/>
  <c r="CS399" i="1"/>
  <c r="BE335" i="1" a="1"/>
  <c r="BE335" i="1" s="1"/>
  <c r="CO345" i="1"/>
  <c r="CS346" i="1"/>
  <c r="CQ348" i="1"/>
  <c r="CR350" i="1"/>
  <c r="CP359" i="1"/>
  <c r="CS366" i="1"/>
  <c r="CT393" i="1"/>
  <c r="CQ898" i="1"/>
  <c r="CO970" i="1"/>
  <c r="CT1004" i="1"/>
  <c r="CR1004" i="1"/>
  <c r="CT1076" i="1"/>
  <c r="CS673" i="1"/>
  <c r="CT673" i="1"/>
  <c r="CP1067" i="1"/>
  <c r="CS1068" i="1"/>
  <c r="CT1069" i="1"/>
  <c r="CP576" i="1"/>
  <c r="CS670" i="1"/>
  <c r="CQ1070" i="1"/>
  <c r="CQ1075" i="1"/>
  <c r="CR1072" i="1"/>
  <c r="CR1073" i="1"/>
  <c r="BY61" i="1"/>
  <c r="BV1023" i="1"/>
  <c r="BX1023" i="1" s="1"/>
  <c r="CQ204" i="1"/>
  <c r="CQ330" i="1"/>
  <c r="CT337" i="1"/>
  <c r="BY339" i="1"/>
  <c r="CS345" i="1"/>
  <c r="CV345" i="1" s="1"/>
  <c r="CQ349" i="1"/>
  <c r="CR349" i="1"/>
  <c r="CV349" i="1" s="1"/>
  <c r="CS350" i="1"/>
  <c r="BE353" i="1" a="1"/>
  <c r="BE353" i="1" s="1"/>
  <c r="CT359" i="1"/>
  <c r="BE369" i="1" a="1"/>
  <c r="BE369" i="1" s="1"/>
  <c r="CR403" i="1"/>
  <c r="CV403" i="1" s="1"/>
  <c r="CO403" i="1"/>
  <c r="CQ531" i="1"/>
  <c r="BY703" i="1"/>
  <c r="CO1004" i="1"/>
  <c r="CT399" i="1"/>
  <c r="CQ355" i="1"/>
  <c r="BE358" i="1" a="1"/>
  <c r="BE358" i="1" s="1"/>
  <c r="BY383" i="1"/>
  <c r="BE398" i="1" a="1"/>
  <c r="BE398" i="1" s="1"/>
  <c r="CR948" i="1"/>
  <c r="BE442" i="1" a="1"/>
  <c r="BE442" i="1" s="1"/>
  <c r="CT839" i="1"/>
  <c r="CS1005" i="1"/>
  <c r="CS444" i="1"/>
  <c r="CR444" i="1"/>
  <c r="CO76" i="1"/>
  <c r="CT76" i="1"/>
  <c r="CR76" i="1"/>
  <c r="CQ76" i="1"/>
  <c r="BY530" i="1"/>
  <c r="BY906" i="1"/>
  <c r="BY666" i="1"/>
  <c r="BY922" i="1"/>
  <c r="CS948" i="1"/>
  <c r="BE267" i="1" a="1"/>
  <c r="BE267" i="1" s="1"/>
  <c r="BE660" i="1" a="1"/>
  <c r="BE660" i="1" s="1"/>
  <c r="CT860" i="1"/>
  <c r="CT597" i="1"/>
  <c r="CQ1005" i="1"/>
  <c r="CO449" i="1"/>
  <c r="CS449" i="1"/>
  <c r="CR449" i="1"/>
  <c r="CQ449" i="1"/>
  <c r="CP449" i="1"/>
  <c r="CQ647" i="1"/>
  <c r="CQ932" i="1"/>
  <c r="CQ1009" i="1"/>
  <c r="CR170" i="1"/>
  <c r="CQ170" i="1"/>
  <c r="CS382" i="1"/>
  <c r="CQ396" i="1"/>
  <c r="CQ366" i="1"/>
  <c r="BY367" i="1"/>
  <c r="BE400" i="1" a="1"/>
  <c r="BE400" i="1" s="1"/>
  <c r="CP402" i="1"/>
  <c r="BE539" i="1" a="1"/>
  <c r="BE539" i="1" s="1"/>
  <c r="CP860" i="1"/>
  <c r="CR932" i="1"/>
  <c r="CP597" i="1"/>
  <c r="CT995" i="1"/>
  <c r="BY1006" i="1"/>
  <c r="CO75" i="1"/>
  <c r="CT444" i="1"/>
  <c r="CP332" i="1"/>
  <c r="BE370" i="1" a="1"/>
  <c r="BE370" i="1" s="1"/>
  <c r="CT385" i="1"/>
  <c r="BE392" i="1" a="1"/>
  <c r="BE392" i="1" s="1"/>
  <c r="BY400" i="1"/>
  <c r="BY538" i="1"/>
  <c r="BY942" i="1"/>
  <c r="BY963" i="1"/>
  <c r="CQ860" i="1"/>
  <c r="CS932" i="1"/>
  <c r="BY970" i="1"/>
  <c r="CQ600" i="1"/>
  <c r="CR597" i="1"/>
  <c r="CT1005" i="1"/>
  <c r="CP75" i="1"/>
  <c r="BY912" i="1"/>
  <c r="CP443" i="1"/>
  <c r="CT443" i="1"/>
  <c r="CS443" i="1"/>
  <c r="CV443" i="1" s="1"/>
  <c r="CR332" i="1"/>
  <c r="CT868" i="1"/>
  <c r="CS868" i="1"/>
  <c r="CR868" i="1"/>
  <c r="CQ538" i="1"/>
  <c r="CS597" i="1"/>
  <c r="BY578" i="1"/>
  <c r="BY998" i="1"/>
  <c r="CS332" i="1"/>
  <c r="CP556" i="1"/>
  <c r="CR556" i="1"/>
  <c r="CV556" i="1" s="1"/>
  <c r="CQ556" i="1"/>
  <c r="CP661" i="1"/>
  <c r="CO661" i="1"/>
  <c r="CS661" i="1"/>
  <c r="CV661" i="1" s="1"/>
  <c r="CR1175" i="1"/>
  <c r="CS450" i="1"/>
  <c r="CV450" i="1" s="1"/>
  <c r="CS917" i="1"/>
  <c r="CP544" i="1"/>
  <c r="CO599" i="1"/>
  <c r="CP863" i="1"/>
  <c r="CT1164" i="1"/>
  <c r="CU1164" i="1" s="1"/>
  <c r="CT1167" i="1"/>
  <c r="CU1167" i="1" s="1"/>
  <c r="CS1175" i="1"/>
  <c r="CO726" i="1"/>
  <c r="CP550" i="1"/>
  <c r="CQ361" i="1"/>
  <c r="CR364" i="1"/>
  <c r="BY532" i="1"/>
  <c r="CO555" i="1"/>
  <c r="CT710" i="1"/>
  <c r="CS750" i="1"/>
  <c r="CV750" i="1" s="1"/>
  <c r="CT752" i="1"/>
  <c r="CQ834" i="1"/>
  <c r="CR561" i="1"/>
  <c r="CT450" i="1"/>
  <c r="CQ547" i="1"/>
  <c r="CQ544" i="1"/>
  <c r="CP599" i="1"/>
  <c r="CQ863" i="1"/>
  <c r="CR1162" i="1"/>
  <c r="CV1162" i="1" s="1"/>
  <c r="BY116" i="1"/>
  <c r="BY813" i="1"/>
  <c r="CR726" i="1"/>
  <c r="CQ550" i="1"/>
  <c r="BY364" i="1"/>
  <c r="CP555" i="1"/>
  <c r="CP732" i="1"/>
  <c r="CR834" i="1"/>
  <c r="CS561" i="1"/>
  <c r="CS288" i="1"/>
  <c r="CP917" i="1"/>
  <c r="CQ618" i="1"/>
  <c r="CO547" i="1"/>
  <c r="CS1167" i="1"/>
  <c r="CV1167" i="1" s="1"/>
  <c r="CR1174" i="1"/>
  <c r="CV1174" i="1" s="1"/>
  <c r="CT1176" i="1"/>
  <c r="CU1176" i="1" s="1"/>
  <c r="CT1186" i="1"/>
  <c r="CU1186" i="1" s="1"/>
  <c r="CT1187" i="1"/>
  <c r="CU1187" i="1" s="1"/>
  <c r="CP875" i="1"/>
  <c r="CS726" i="1"/>
  <c r="CP760" i="1"/>
  <c r="CO926" i="1"/>
  <c r="CS550" i="1"/>
  <c r="CP542" i="1"/>
  <c r="CT545" i="1"/>
  <c r="CR555" i="1"/>
  <c r="CV555" i="1" s="1"/>
  <c r="BY697" i="1"/>
  <c r="BE710" i="1" a="1"/>
  <c r="BE710" i="1" s="1"/>
  <c r="CO710" i="1"/>
  <c r="CT750" i="1"/>
  <c r="BE752" i="1" a="1"/>
  <c r="BE752" i="1" s="1"/>
  <c r="CO752" i="1"/>
  <c r="BY759" i="1"/>
  <c r="CQ764" i="1"/>
  <c r="BY766" i="1"/>
  <c r="CR926" i="1"/>
  <c r="BY1198" i="1"/>
  <c r="BY221" i="1"/>
  <c r="CP710" i="1"/>
  <c r="CP752" i="1"/>
  <c r="CR764" i="1"/>
  <c r="BY946" i="1"/>
  <c r="BY854" i="1"/>
  <c r="CR732" i="1"/>
  <c r="CT834" i="1"/>
  <c r="CS76" i="1"/>
  <c r="CR106" i="1"/>
  <c r="CR831" i="1"/>
  <c r="CR201" i="1"/>
  <c r="BY93" i="1"/>
  <c r="CT706" i="1"/>
  <c r="CQ451" i="1"/>
  <c r="CP618" i="1"/>
  <c r="CP585" i="1"/>
  <c r="CR547" i="1"/>
  <c r="CP297" i="1"/>
  <c r="CR1163" i="1"/>
  <c r="CR1166" i="1"/>
  <c r="CV1166" i="1" s="1"/>
  <c r="CR1195" i="1"/>
  <c r="CV1195" i="1" s="1"/>
  <c r="BY886" i="1"/>
  <c r="CT760" i="1"/>
  <c r="CT926" i="1"/>
  <c r="BE351" i="1" a="1"/>
  <c r="BE351" i="1" s="1"/>
  <c r="CO361" i="1"/>
  <c r="CP532" i="1"/>
  <c r="CR542" i="1"/>
  <c r="CV542" i="1" s="1"/>
  <c r="CT543" i="1"/>
  <c r="CO545" i="1"/>
  <c r="CQ710" i="1"/>
  <c r="BY738" i="1"/>
  <c r="CO750" i="1"/>
  <c r="CQ752" i="1"/>
  <c r="BY755" i="1"/>
  <c r="CS764" i="1"/>
  <c r="CS732" i="1"/>
  <c r="BY76" i="1"/>
  <c r="CS831" i="1"/>
  <c r="CS201" i="1"/>
  <c r="CS451" i="1"/>
  <c r="CV451" i="1" s="1"/>
  <c r="CR618" i="1"/>
  <c r="CS547" i="1"/>
  <c r="CR544" i="1"/>
  <c r="BY652" i="1"/>
  <c r="CS1163" i="1"/>
  <c r="CT1171" i="1"/>
  <c r="CU1171" i="1" s="1"/>
  <c r="BY32" i="1"/>
  <c r="CQ726" i="1"/>
  <c r="CP361" i="1"/>
  <c r="CQ532" i="1"/>
  <c r="CP545" i="1"/>
  <c r="BE697" i="1" a="1"/>
  <c r="BE697" i="1" s="1"/>
  <c r="CR710" i="1"/>
  <c r="CV710" i="1" s="1"/>
  <c r="CP750" i="1"/>
  <c r="CR752" i="1"/>
  <c r="CV752" i="1" s="1"/>
  <c r="CR361" i="1"/>
  <c r="CP362" i="1"/>
  <c r="BY542" i="1"/>
  <c r="CT555" i="1"/>
  <c r="CR759" i="1"/>
  <c r="BY764" i="1"/>
  <c r="CR766" i="1"/>
  <c r="CQ399" i="1"/>
  <c r="BY399" i="1"/>
  <c r="BY154" i="1"/>
  <c r="CQ154" i="1"/>
  <c r="BY1085" i="1"/>
  <c r="BY330" i="1"/>
  <c r="CT330" i="1"/>
  <c r="BY356" i="1"/>
  <c r="CT356" i="1"/>
  <c r="BY978" i="1"/>
  <c r="CT978" i="1"/>
  <c r="BO267" i="1"/>
  <c r="BY267" i="1" s="1"/>
  <c r="CN267" i="1"/>
  <c r="CS862" i="1"/>
  <c r="BV862" i="1"/>
  <c r="BX862" i="1" s="1"/>
  <c r="CQ443" i="1"/>
  <c r="BY443" i="1"/>
  <c r="BY1076" i="1"/>
  <c r="CN1086" i="1"/>
  <c r="BN1086" i="1"/>
  <c r="BO1086" i="1" s="1"/>
  <c r="BY1086" i="1" s="1"/>
  <c r="BY33" i="1"/>
  <c r="CT36" i="1"/>
  <c r="CP36" i="1"/>
  <c r="CO36" i="1"/>
  <c r="BU1088" i="1"/>
  <c r="BV1024" i="1"/>
  <c r="BX1024" i="1" s="1"/>
  <c r="BU1024" i="1"/>
  <c r="CT331" i="1"/>
  <c r="CR331" i="1"/>
  <c r="CP331" i="1"/>
  <c r="CS331" i="1"/>
  <c r="CQ331" i="1"/>
  <c r="CT367" i="1"/>
  <c r="CS367" i="1"/>
  <c r="CR367" i="1"/>
  <c r="CP367" i="1"/>
  <c r="CQ367" i="1"/>
  <c r="CT383" i="1"/>
  <c r="CS383" i="1"/>
  <c r="CR383" i="1"/>
  <c r="CQ383" i="1"/>
  <c r="CP383" i="1"/>
  <c r="CO383" i="1"/>
  <c r="BY676" i="1"/>
  <c r="BY192" i="1"/>
  <c r="BY135" i="1"/>
  <c r="BY101" i="1"/>
  <c r="BY1070" i="1"/>
  <c r="BY1072" i="1"/>
  <c r="BN36" i="1"/>
  <c r="BO36" i="1" s="1"/>
  <c r="CQ36" i="1" s="1"/>
  <c r="BV1088" i="1"/>
  <c r="BX1088" i="1" s="1"/>
  <c r="CO331" i="1"/>
  <c r="BY343" i="1"/>
  <c r="BY366" i="1"/>
  <c r="CT366" i="1"/>
  <c r="CO367" i="1"/>
  <c r="CP806" i="1"/>
  <c r="BY217" i="1"/>
  <c r="BV95" i="1"/>
  <c r="BX95" i="1" s="1"/>
  <c r="BY95" i="1" s="1"/>
  <c r="BU95" i="1"/>
  <c r="CP61" i="1"/>
  <c r="CO61" i="1"/>
  <c r="CT61" i="1"/>
  <c r="CS61" i="1"/>
  <c r="CR61" i="1"/>
  <c r="CQ61" i="1"/>
  <c r="BY326" i="1"/>
  <c r="CT342" i="1"/>
  <c r="CR342" i="1"/>
  <c r="CP342" i="1"/>
  <c r="CS342" i="1"/>
  <c r="BY370" i="1"/>
  <c r="CT370" i="1"/>
  <c r="CT402" i="1"/>
  <c r="BY402" i="1"/>
  <c r="CT192" i="1"/>
  <c r="CS192" i="1"/>
  <c r="BY1068" i="1"/>
  <c r="BY1075" i="1"/>
  <c r="BY673" i="1"/>
  <c r="CO192" i="1"/>
  <c r="BY152" i="1"/>
  <c r="CQ220" i="1"/>
  <c r="CP220" i="1"/>
  <c r="CT220" i="1"/>
  <c r="CS220" i="1"/>
  <c r="CT30" i="1"/>
  <c r="CS30" i="1"/>
  <c r="CR30" i="1"/>
  <c r="BN83" i="1"/>
  <c r="BO83" i="1" s="1"/>
  <c r="CQ83" i="1" s="1"/>
  <c r="BM83" i="1"/>
  <c r="CO342" i="1"/>
  <c r="CT305" i="1"/>
  <c r="CS305" i="1"/>
  <c r="CR305" i="1"/>
  <c r="CQ305" i="1"/>
  <c r="CP305" i="1"/>
  <c r="BY971" i="1"/>
  <c r="CT971" i="1"/>
  <c r="CR685" i="1"/>
  <c r="CQ685" i="1"/>
  <c r="CP685" i="1"/>
  <c r="CS685" i="1"/>
  <c r="CP192" i="1"/>
  <c r="CT154" i="1"/>
  <c r="CS154" i="1"/>
  <c r="CV154" i="1" s="1"/>
  <c r="BY650" i="1"/>
  <c r="CP115" i="1"/>
  <c r="CO115" i="1"/>
  <c r="CS115" i="1"/>
  <c r="CR115" i="1"/>
  <c r="CT115" i="1"/>
  <c r="CQ880" i="1"/>
  <c r="CP880" i="1"/>
  <c r="CT880" i="1"/>
  <c r="CS880" i="1"/>
  <c r="CR880" i="1"/>
  <c r="CO880" i="1"/>
  <c r="CR36" i="1"/>
  <c r="CT42" i="1"/>
  <c r="CT43" i="1"/>
  <c r="CS43" i="1"/>
  <c r="CR43" i="1"/>
  <c r="CQ43" i="1"/>
  <c r="CP43" i="1"/>
  <c r="CO43" i="1"/>
  <c r="CT268" i="1"/>
  <c r="CS268" i="1"/>
  <c r="CR268" i="1"/>
  <c r="CQ268" i="1"/>
  <c r="CQ327" i="1"/>
  <c r="CP327" i="1"/>
  <c r="CT327" i="1"/>
  <c r="CS327" i="1"/>
  <c r="CR327" i="1"/>
  <c r="CO327" i="1"/>
  <c r="CQ342" i="1"/>
  <c r="CO979" i="1"/>
  <c r="CT979" i="1"/>
  <c r="CS979" i="1"/>
  <c r="CR979" i="1"/>
  <c r="CQ979" i="1"/>
  <c r="CP979" i="1"/>
  <c r="BY987" i="1"/>
  <c r="CQ987" i="1"/>
  <c r="CN598" i="1"/>
  <c r="BO598" i="1"/>
  <c r="BN598" i="1"/>
  <c r="CR529" i="1"/>
  <c r="CQ529" i="1"/>
  <c r="CT529" i="1"/>
  <c r="CS529" i="1"/>
  <c r="CP529" i="1"/>
  <c r="BY494" i="1"/>
  <c r="BY670" i="1"/>
  <c r="CT685" i="1"/>
  <c r="CQ192" i="1"/>
  <c r="CO154" i="1"/>
  <c r="CQ115" i="1"/>
  <c r="CT28" i="1"/>
  <c r="CP28" i="1"/>
  <c r="CO28" i="1"/>
  <c r="CS36" i="1"/>
  <c r="CT530" i="1"/>
  <c r="CS530" i="1"/>
  <c r="CR530" i="1"/>
  <c r="CQ530" i="1"/>
  <c r="CP530" i="1"/>
  <c r="CQ680" i="1"/>
  <c r="CO680" i="1"/>
  <c r="CP680" i="1"/>
  <c r="CR192" i="1"/>
  <c r="CS667" i="1"/>
  <c r="CR667" i="1"/>
  <c r="CT667" i="1"/>
  <c r="BY1077" i="1"/>
  <c r="CQ569" i="1"/>
  <c r="CP569" i="1"/>
  <c r="CT569" i="1"/>
  <c r="CN1084" i="1"/>
  <c r="BN1084" i="1"/>
  <c r="BO1084" i="1" s="1"/>
  <c r="BY1084" i="1" s="1"/>
  <c r="BN28" i="1"/>
  <c r="BO28" i="1" s="1"/>
  <c r="CQ28" i="1" s="1"/>
  <c r="CS83" i="1"/>
  <c r="CR83" i="1"/>
  <c r="CP83" i="1"/>
  <c r="BY204" i="1"/>
  <c r="CT204" i="1"/>
  <c r="BY337" i="1"/>
  <c r="CT358" i="1"/>
  <c r="CS358" i="1"/>
  <c r="CR358" i="1"/>
  <c r="CP358" i="1"/>
  <c r="BY368" i="1"/>
  <c r="BY405" i="1"/>
  <c r="CT405" i="1"/>
  <c r="CO530" i="1"/>
  <c r="CN687" i="1"/>
  <c r="BN687" i="1"/>
  <c r="BO687" i="1" s="1"/>
  <c r="CT853" i="1"/>
  <c r="CN1026" i="1"/>
  <c r="BE347" i="1" a="1"/>
  <c r="BE347" i="1" s="1"/>
  <c r="BY403" i="1"/>
  <c r="CQ921" i="1"/>
  <c r="BY717" i="1"/>
  <c r="CQ717" i="1"/>
  <c r="BN442" i="1"/>
  <c r="CT256" i="1"/>
  <c r="CS256" i="1"/>
  <c r="CR256" i="1"/>
  <c r="CQ256" i="1"/>
  <c r="CP256" i="1"/>
  <c r="BY674" i="1"/>
  <c r="CP42" i="1"/>
  <c r="CO42" i="1"/>
  <c r="BY207" i="1"/>
  <c r="CQ344" i="1"/>
  <c r="BY335" i="1"/>
  <c r="BY398" i="1"/>
  <c r="CT398" i="1"/>
  <c r="CT400" i="1"/>
  <c r="CS400" i="1"/>
  <c r="CR400" i="1"/>
  <c r="CQ400" i="1"/>
  <c r="CP400" i="1"/>
  <c r="CQ403" i="1"/>
  <c r="CT1013" i="1"/>
  <c r="CQ1013" i="1"/>
  <c r="CS1013" i="1"/>
  <c r="CR1013" i="1"/>
  <c r="CP1013" i="1"/>
  <c r="CO1013" i="1"/>
  <c r="CO256" i="1"/>
  <c r="CS703" i="1"/>
  <c r="CR703" i="1"/>
  <c r="CT703" i="1"/>
  <c r="CQ703" i="1"/>
  <c r="CP703" i="1"/>
  <c r="CO703" i="1"/>
  <c r="CT101" i="1"/>
  <c r="CT1070" i="1"/>
  <c r="CQ42" i="1"/>
  <c r="CQ339" i="1"/>
  <c r="BY382" i="1"/>
  <c r="CT335" i="1"/>
  <c r="CS335" i="1"/>
  <c r="CR335" i="1"/>
  <c r="CP335" i="1"/>
  <c r="BY347" i="1"/>
  <c r="CO400" i="1"/>
  <c r="BY812" i="1"/>
  <c r="CT812" i="1"/>
  <c r="BY852" i="1"/>
  <c r="BY949" i="1"/>
  <c r="BO698" i="1"/>
  <c r="BY698" i="1" s="1"/>
  <c r="BN698" i="1"/>
  <c r="BY551" i="1"/>
  <c r="CQ551" i="1"/>
  <c r="CQ135" i="1"/>
  <c r="CP135" i="1"/>
  <c r="CR650" i="1"/>
  <c r="CQ650" i="1"/>
  <c r="CN1025" i="1"/>
  <c r="BM1024" i="1"/>
  <c r="CR42" i="1"/>
  <c r="BU61" i="1"/>
  <c r="BV83" i="1"/>
  <c r="BX83" i="1" s="1"/>
  <c r="BU83" i="1"/>
  <c r="CS326" i="1"/>
  <c r="CR326" i="1"/>
  <c r="BY340" i="1"/>
  <c r="BY394" i="1"/>
  <c r="CO335" i="1"/>
  <c r="BY346" i="1"/>
  <c r="CT346" i="1"/>
  <c r="CT347" i="1"/>
  <c r="CS347" i="1"/>
  <c r="CR347" i="1"/>
  <c r="CP347" i="1"/>
  <c r="BY353" i="1"/>
  <c r="BY397" i="1"/>
  <c r="BY539" i="1"/>
  <c r="CT539" i="1"/>
  <c r="BY791" i="1"/>
  <c r="BN30" i="1"/>
  <c r="BO30" i="1" s="1"/>
  <c r="CQ30" i="1" s="1"/>
  <c r="CS152" i="1"/>
  <c r="CR152" i="1"/>
  <c r="CO676" i="1"/>
  <c r="CO152" i="1"/>
  <c r="CR135" i="1"/>
  <c r="CP152" i="1"/>
  <c r="CO650" i="1"/>
  <c r="CQ156" i="1"/>
  <c r="CP156" i="1"/>
  <c r="CS135" i="1"/>
  <c r="CN1085" i="1"/>
  <c r="BY37" i="1"/>
  <c r="BM1088" i="1"/>
  <c r="CS42" i="1"/>
  <c r="BY268" i="1"/>
  <c r="CO326" i="1"/>
  <c r="BY342" i="1"/>
  <c r="CT394" i="1"/>
  <c r="CR394" i="1"/>
  <c r="CV394" i="1" s="1"/>
  <c r="CP394" i="1"/>
  <c r="CQ335" i="1"/>
  <c r="CQ345" i="1"/>
  <c r="CO347" i="1"/>
  <c r="BY350" i="1"/>
  <c r="CT350" i="1"/>
  <c r="CT353" i="1"/>
  <c r="CS353" i="1"/>
  <c r="CR353" i="1"/>
  <c r="CP353" i="1"/>
  <c r="BY358" i="1"/>
  <c r="BE383" i="1" a="1"/>
  <c r="BE383" i="1" s="1"/>
  <c r="BY391" i="1"/>
  <c r="CT391" i="1"/>
  <c r="CT392" i="1"/>
  <c r="CS392" i="1"/>
  <c r="CR392" i="1"/>
  <c r="CQ392" i="1"/>
  <c r="CP392" i="1"/>
  <c r="CQ397" i="1"/>
  <c r="CT906" i="1"/>
  <c r="CS906" i="1"/>
  <c r="CR906" i="1"/>
  <c r="CQ906" i="1"/>
  <c r="CP906" i="1"/>
  <c r="CQ791" i="1"/>
  <c r="BY305" i="1"/>
  <c r="CT601" i="1"/>
  <c r="CS601" i="1"/>
  <c r="CR601" i="1"/>
  <c r="CQ601" i="1"/>
  <c r="CP601" i="1"/>
  <c r="CO601" i="1"/>
  <c r="BY979" i="1"/>
  <c r="CT339" i="1"/>
  <c r="CT344" i="1"/>
  <c r="CT396" i="1"/>
  <c r="CT345" i="1"/>
  <c r="CT349" i="1"/>
  <c r="CT355" i="1"/>
  <c r="CT365" i="1"/>
  <c r="CT369" i="1"/>
  <c r="CT390" i="1"/>
  <c r="CT397" i="1"/>
  <c r="CT403" i="1"/>
  <c r="CT538" i="1"/>
  <c r="CT791" i="1"/>
  <c r="CT921" i="1"/>
  <c r="CS922" i="1"/>
  <c r="CT949" i="1"/>
  <c r="BY1008" i="1"/>
  <c r="CN698" i="1"/>
  <c r="BN267" i="1"/>
  <c r="CQ586" i="1"/>
  <c r="CP586" i="1"/>
  <c r="CT586" i="1"/>
  <c r="CS586" i="1"/>
  <c r="CR586" i="1"/>
  <c r="CO586" i="1"/>
  <c r="CT922" i="1"/>
  <c r="CN660" i="1"/>
  <c r="CQ915" i="1"/>
  <c r="CP915" i="1"/>
  <c r="CS915" i="1"/>
  <c r="CR915" i="1"/>
  <c r="CO915" i="1"/>
  <c r="BY597" i="1"/>
  <c r="CQ597" i="1"/>
  <c r="CO852" i="1"/>
  <c r="CO971" i="1"/>
  <c r="CO978" i="1"/>
  <c r="CO1008" i="1"/>
  <c r="BN334" i="1"/>
  <c r="BO299" i="1"/>
  <c r="BV442" i="1"/>
  <c r="BX442" i="1" s="1"/>
  <c r="BY442" i="1" s="1"/>
  <c r="BN660" i="1"/>
  <c r="BO806" i="1"/>
  <c r="BN806" i="1"/>
  <c r="CS1015" i="1"/>
  <c r="CR1015" i="1"/>
  <c r="BY287" i="1"/>
  <c r="BY851" i="1"/>
  <c r="CT915" i="1"/>
  <c r="CP852" i="1"/>
  <c r="CP971" i="1"/>
  <c r="CQ978" i="1"/>
  <c r="CQ1008" i="1"/>
  <c r="CT287" i="1"/>
  <c r="CQ287" i="1"/>
  <c r="CP287" i="1"/>
  <c r="CO287" i="1"/>
  <c r="CR337" i="1"/>
  <c r="CP339" i="1"/>
  <c r="CR343" i="1"/>
  <c r="CP344" i="1"/>
  <c r="CR395" i="1"/>
  <c r="CP396" i="1"/>
  <c r="CR336" i="1"/>
  <c r="CP345" i="1"/>
  <c r="CR348" i="1"/>
  <c r="CP349" i="1"/>
  <c r="CR354" i="1"/>
  <c r="CV354" i="1" s="1"/>
  <c r="CP355" i="1"/>
  <c r="CR359" i="1"/>
  <c r="CP365" i="1"/>
  <c r="CR368" i="1"/>
  <c r="CV368" i="1" s="1"/>
  <c r="CP369" i="1"/>
  <c r="CR385" i="1"/>
  <c r="CP390" i="1"/>
  <c r="CR393" i="1"/>
  <c r="CV393" i="1" s="1"/>
  <c r="CP397" i="1"/>
  <c r="CR402" i="1"/>
  <c r="CV402" i="1" s="1"/>
  <c r="CP403" i="1"/>
  <c r="CR531" i="1"/>
  <c r="CP538" i="1"/>
  <c r="CR898" i="1"/>
  <c r="CP791" i="1"/>
  <c r="BU687" i="1"/>
  <c r="CR666" i="1"/>
  <c r="CQ852" i="1"/>
  <c r="CP921" i="1"/>
  <c r="CO922" i="1"/>
  <c r="CO949" i="1"/>
  <c r="CP963" i="1"/>
  <c r="CR971" i="1"/>
  <c r="CR978" i="1"/>
  <c r="CR1008" i="1"/>
  <c r="CP1015" i="1"/>
  <c r="CR287" i="1"/>
  <c r="BY818" i="1"/>
  <c r="BY1002" i="1"/>
  <c r="BY528" i="1"/>
  <c r="CO948" i="1"/>
  <c r="CP949" i="1"/>
  <c r="CQ963" i="1"/>
  <c r="CS971" i="1"/>
  <c r="CS978" i="1"/>
  <c r="CS1008" i="1"/>
  <c r="BV334" i="1"/>
  <c r="BX334" i="1" s="1"/>
  <c r="BY256" i="1"/>
  <c r="CS287" i="1"/>
  <c r="CS551" i="1"/>
  <c r="CR551" i="1"/>
  <c r="CT551" i="1"/>
  <c r="BY29" i="1"/>
  <c r="CT29" i="1"/>
  <c r="CT1000" i="1"/>
  <c r="CQ1000" i="1"/>
  <c r="CP1000" i="1"/>
  <c r="CS132" i="1"/>
  <c r="CR132" i="1"/>
  <c r="CQ132" i="1"/>
  <c r="CT132" i="1"/>
  <c r="CP132" i="1"/>
  <c r="CO132" i="1"/>
  <c r="CT332" i="1"/>
  <c r="BY573" i="1"/>
  <c r="CT573" i="1"/>
  <c r="CT753" i="1"/>
  <c r="CS753" i="1"/>
  <c r="CR753" i="1"/>
  <c r="CQ753" i="1"/>
  <c r="CP753" i="1"/>
  <c r="CT571" i="1"/>
  <c r="CP571" i="1"/>
  <c r="CO571" i="1"/>
  <c r="BY585" i="1"/>
  <c r="CT585" i="1"/>
  <c r="CS674" i="1"/>
  <c r="CR674" i="1"/>
  <c r="CS818" i="1"/>
  <c r="CR818" i="1"/>
  <c r="CS851" i="1"/>
  <c r="CR851" i="1"/>
  <c r="CP970" i="1"/>
  <c r="CT972" i="1"/>
  <c r="CQ571" i="1"/>
  <c r="CR1000" i="1"/>
  <c r="BY1004" i="1"/>
  <c r="CT1006" i="1"/>
  <c r="CR1006" i="1"/>
  <c r="CV1006" i="1" s="1"/>
  <c r="CQ1006" i="1"/>
  <c r="BY577" i="1"/>
  <c r="CQ567" i="1"/>
  <c r="CR567" i="1"/>
  <c r="CP567" i="1"/>
  <c r="CO567" i="1"/>
  <c r="CT567" i="1"/>
  <c r="CS567" i="1"/>
  <c r="BV548" i="1"/>
  <c r="BX548" i="1" s="1"/>
  <c r="BY548" i="1" s="1"/>
  <c r="CS548" i="1"/>
  <c r="CQ970" i="1"/>
  <c r="BY600" i="1"/>
  <c r="CR571" i="1"/>
  <c r="CT998" i="1"/>
  <c r="CS1000" i="1"/>
  <c r="CS1002" i="1"/>
  <c r="CR1002" i="1"/>
  <c r="CT1002" i="1"/>
  <c r="CQ1004" i="1"/>
  <c r="CP1004" i="1"/>
  <c r="BY997" i="1"/>
  <c r="BY888" i="1"/>
  <c r="CR25" i="1"/>
  <c r="CQ25" i="1"/>
  <c r="CP25" i="1"/>
  <c r="CT25" i="1"/>
  <c r="CS25" i="1"/>
  <c r="CQ946" i="1"/>
  <c r="CP946" i="1"/>
  <c r="CO946" i="1"/>
  <c r="CT946" i="1"/>
  <c r="CS306" i="1"/>
  <c r="CR306" i="1"/>
  <c r="CQ306" i="1"/>
  <c r="CT306" i="1"/>
  <c r="CP306" i="1"/>
  <c r="BY556" i="1"/>
  <c r="CT556" i="1"/>
  <c r="BV917" i="1"/>
  <c r="BX917" i="1" s="1"/>
  <c r="CR917" i="1"/>
  <c r="CQ862" i="1"/>
  <c r="CP862" i="1"/>
  <c r="CR970" i="1"/>
  <c r="CS578" i="1"/>
  <c r="CR578" i="1"/>
  <c r="CP578" i="1"/>
  <c r="CO578" i="1"/>
  <c r="CS571" i="1"/>
  <c r="CQ888" i="1"/>
  <c r="CP888" i="1"/>
  <c r="CO888" i="1"/>
  <c r="CT912" i="1"/>
  <c r="CS908" i="1"/>
  <c r="CR908" i="1"/>
  <c r="CQ908" i="1"/>
  <c r="CP908" i="1"/>
  <c r="CQ55" i="1"/>
  <c r="CP55" i="1"/>
  <c r="CO55" i="1"/>
  <c r="CT55" i="1"/>
  <c r="CS55" i="1"/>
  <c r="CV55" i="1" s="1"/>
  <c r="CT793" i="1"/>
  <c r="CS793" i="1"/>
  <c r="CR793" i="1"/>
  <c r="CQ793" i="1"/>
  <c r="CP793" i="1"/>
  <c r="CO793" i="1"/>
  <c r="CS333" i="1"/>
  <c r="CR333" i="1"/>
  <c r="CQ333" i="1"/>
  <c r="CP333" i="1"/>
  <c r="CO333" i="1"/>
  <c r="CQ581" i="1"/>
  <c r="CP581" i="1"/>
  <c r="CT581" i="1"/>
  <c r="CQ995" i="1"/>
  <c r="CP995" i="1"/>
  <c r="BY1005" i="1"/>
  <c r="CS1009" i="1"/>
  <c r="CR1009" i="1"/>
  <c r="CT1009" i="1"/>
  <c r="CS566" i="1"/>
  <c r="BV566" i="1"/>
  <c r="BX566" i="1" s="1"/>
  <c r="CS816" i="1"/>
  <c r="CR816" i="1"/>
  <c r="CQ816" i="1"/>
  <c r="CP816" i="1"/>
  <c r="CO816" i="1"/>
  <c r="BY448" i="1"/>
  <c r="CT448" i="1"/>
  <c r="CS839" i="1"/>
  <c r="CR839" i="1"/>
  <c r="CS860" i="1"/>
  <c r="CR860" i="1"/>
  <c r="CO581" i="1"/>
  <c r="CT578" i="1"/>
  <c r="CS439" i="1"/>
  <c r="CR439" i="1"/>
  <c r="CT439" i="1"/>
  <c r="CQ439" i="1"/>
  <c r="CO995" i="1"/>
  <c r="CQ1002" i="1"/>
  <c r="CS1004" i="1"/>
  <c r="CO1009" i="1"/>
  <c r="CS888" i="1"/>
  <c r="CV888" i="1" s="1"/>
  <c r="CQ1137" i="1"/>
  <c r="CP1137" i="1"/>
  <c r="CO1137" i="1"/>
  <c r="CQ1138" i="1"/>
  <c r="CP1138" i="1"/>
  <c r="CO1138" i="1"/>
  <c r="CT1138" i="1"/>
  <c r="CS1138" i="1"/>
  <c r="CR1138" i="1"/>
  <c r="CT908" i="1"/>
  <c r="BV288" i="1"/>
  <c r="BX288" i="1" s="1"/>
  <c r="CR546" i="1"/>
  <c r="CT546" i="1"/>
  <c r="CS546" i="1"/>
  <c r="CQ546" i="1"/>
  <c r="CP546" i="1"/>
  <c r="CO546" i="1"/>
  <c r="BV544" i="1"/>
  <c r="BX544" i="1" s="1"/>
  <c r="BY544" i="1" s="1"/>
  <c r="CR581" i="1"/>
  <c r="CV581" i="1" s="1"/>
  <c r="CR995" i="1"/>
  <c r="CV995" i="1" s="1"/>
  <c r="BY1000" i="1"/>
  <c r="CP1009" i="1"/>
  <c r="CT888" i="1"/>
  <c r="BY444" i="1"/>
  <c r="CQ444" i="1"/>
  <c r="CT854" i="1"/>
  <c r="CQ214" i="1"/>
  <c r="CP214" i="1"/>
  <c r="CO214" i="1"/>
  <c r="CT214" i="1"/>
  <c r="CS214" i="1"/>
  <c r="CR214" i="1"/>
  <c r="CT352" i="1"/>
  <c r="CS352" i="1"/>
  <c r="CO241" i="1"/>
  <c r="CT241" i="1"/>
  <c r="CS241" i="1"/>
  <c r="CR241" i="1"/>
  <c r="CQ241" i="1"/>
  <c r="CP241" i="1"/>
  <c r="BY549" i="1"/>
  <c r="CT549" i="1"/>
  <c r="CT1188" i="1"/>
  <c r="CU1188" i="1" s="1"/>
  <c r="BY1190" i="1"/>
  <c r="CT1190" i="1"/>
  <c r="CU1190" i="1" s="1"/>
  <c r="CS1145" i="1"/>
  <c r="CR1145" i="1"/>
  <c r="CQ1145" i="1"/>
  <c r="CR307" i="1"/>
  <c r="CQ307" i="1"/>
  <c r="CP307" i="1"/>
  <c r="CT266" i="1"/>
  <c r="CS266" i="1"/>
  <c r="CQ592" i="1"/>
  <c r="CP592" i="1"/>
  <c r="CO592" i="1"/>
  <c r="BY447" i="1"/>
  <c r="BV882" i="1"/>
  <c r="BX882" i="1" s="1"/>
  <c r="CO1145" i="1"/>
  <c r="CO307" i="1"/>
  <c r="CP352" i="1"/>
  <c r="CO266" i="1"/>
  <c r="BV170" i="1"/>
  <c r="BX170" i="1" s="1"/>
  <c r="BY170" i="1" s="1"/>
  <c r="CR592" i="1"/>
  <c r="BV561" i="1"/>
  <c r="BX561" i="1" s="1"/>
  <c r="CT447" i="1"/>
  <c r="CS447" i="1"/>
  <c r="CR447" i="1"/>
  <c r="CQ447" i="1"/>
  <c r="CP447" i="1"/>
  <c r="BY201" i="1"/>
  <c r="CT201" i="1"/>
  <c r="CS854" i="1"/>
  <c r="CR854" i="1"/>
  <c r="CQ854" i="1"/>
  <c r="CP1145" i="1"/>
  <c r="CS307" i="1"/>
  <c r="CS696" i="1"/>
  <c r="CR696" i="1"/>
  <c r="CQ696" i="1"/>
  <c r="CQ352" i="1"/>
  <c r="CP266" i="1"/>
  <c r="CQ106" i="1"/>
  <c r="BY831" i="1"/>
  <c r="CS592" i="1"/>
  <c r="CS577" i="1"/>
  <c r="CR577" i="1"/>
  <c r="CQ577" i="1"/>
  <c r="CP577" i="1"/>
  <c r="CQ561" i="1"/>
  <c r="CO447" i="1"/>
  <c r="CS557" i="1"/>
  <c r="CP557" i="1"/>
  <c r="CR557" i="1"/>
  <c r="BY451" i="1"/>
  <c r="CT451" i="1"/>
  <c r="BY452" i="1"/>
  <c r="BY1162" i="1"/>
  <c r="CN442" i="1"/>
  <c r="BY75" i="1"/>
  <c r="CQ912" i="1"/>
  <c r="CP912" i="1"/>
  <c r="CO912" i="1"/>
  <c r="CT445" i="1"/>
  <c r="CS445" i="1"/>
  <c r="CR445" i="1"/>
  <c r="CO854" i="1"/>
  <c r="CT1145" i="1"/>
  <c r="CT307" i="1"/>
  <c r="CO696" i="1"/>
  <c r="CR352" i="1"/>
  <c r="CQ266" i="1"/>
  <c r="CO106" i="1"/>
  <c r="CO170" i="1"/>
  <c r="CS170" i="1"/>
  <c r="BY450" i="1"/>
  <c r="CR982" i="1"/>
  <c r="CS982" i="1"/>
  <c r="CQ982" i="1"/>
  <c r="CP982" i="1"/>
  <c r="CO982" i="1"/>
  <c r="CS562" i="1"/>
  <c r="CP562" i="1"/>
  <c r="CR562" i="1"/>
  <c r="CQ562" i="1"/>
  <c r="CO562" i="1"/>
  <c r="CP452" i="1"/>
  <c r="CO452" i="1"/>
  <c r="CT452" i="1"/>
  <c r="CS452" i="1"/>
  <c r="CR452" i="1"/>
  <c r="CQ452" i="1"/>
  <c r="CS453" i="1"/>
  <c r="CR453" i="1"/>
  <c r="CP453" i="1"/>
  <c r="CO453" i="1"/>
  <c r="BY859" i="1"/>
  <c r="CT859" i="1"/>
  <c r="CQ997" i="1"/>
  <c r="CP997" i="1"/>
  <c r="CT75" i="1"/>
  <c r="CS75" i="1"/>
  <c r="CV75" i="1" s="1"/>
  <c r="CR912" i="1"/>
  <c r="CV912" i="1" s="1"/>
  <c r="CO445" i="1"/>
  <c r="CP854" i="1"/>
  <c r="CP696" i="1"/>
  <c r="CR266" i="1"/>
  <c r="CQ868" i="1"/>
  <c r="CP868" i="1"/>
  <c r="CO868" i="1"/>
  <c r="CP106" i="1"/>
  <c r="CP170" i="1"/>
  <c r="CT577" i="1"/>
  <c r="BY449" i="1"/>
  <c r="CT449" i="1"/>
  <c r="CS913" i="1"/>
  <c r="CQ557" i="1"/>
  <c r="BY692" i="1"/>
  <c r="CS553" i="1"/>
  <c r="CR553" i="1"/>
  <c r="CP553" i="1"/>
  <c r="CO553" i="1"/>
  <c r="CQ453" i="1"/>
  <c r="CQ319" i="1"/>
  <c r="CS647" i="1"/>
  <c r="CO652" i="1"/>
  <c r="CT652" i="1"/>
  <c r="CS652" i="1"/>
  <c r="CR652" i="1"/>
  <c r="CR692" i="1"/>
  <c r="CQ692" i="1"/>
  <c r="BY311" i="1"/>
  <c r="CR1172" i="1"/>
  <c r="CT1172" i="1"/>
  <c r="CU1172" i="1" s="1"/>
  <c r="CS1172" i="1"/>
  <c r="CT661" i="1"/>
  <c r="CO561" i="1"/>
  <c r="CP450" i="1"/>
  <c r="CP319" i="1"/>
  <c r="CP288" i="1"/>
  <c r="CS882" i="1"/>
  <c r="CO93" i="1"/>
  <c r="CT93" i="1"/>
  <c r="CO706" i="1"/>
  <c r="BV557" i="1"/>
  <c r="BX557" i="1" s="1"/>
  <c r="BY557" i="1" s="1"/>
  <c r="CO548" i="1"/>
  <c r="CO448" i="1"/>
  <c r="CS618" i="1"/>
  <c r="CO692" i="1"/>
  <c r="CR311" i="1"/>
  <c r="CV311" i="1" s="1"/>
  <c r="CQ311" i="1"/>
  <c r="BV553" i="1"/>
  <c r="BX553" i="1" s="1"/>
  <c r="BY298" i="1"/>
  <c r="CT298" i="1"/>
  <c r="CQ652" i="1"/>
  <c r="CR1178" i="1"/>
  <c r="CS1178" i="1"/>
  <c r="CO443" i="1"/>
  <c r="CO556" i="1"/>
  <c r="CO573" i="1"/>
  <c r="CO834" i="1"/>
  <c r="CP672" i="1"/>
  <c r="CP566" i="1"/>
  <c r="CP561" i="1"/>
  <c r="CQ450" i="1"/>
  <c r="CR319" i="1"/>
  <c r="CQ288" i="1"/>
  <c r="CO882" i="1"/>
  <c r="CQ913" i="1"/>
  <c r="CP93" i="1"/>
  <c r="CP706" i="1"/>
  <c r="CP548" i="1"/>
  <c r="CP448" i="1"/>
  <c r="CP692" i="1"/>
  <c r="CO311" i="1"/>
  <c r="CR585" i="1"/>
  <c r="CV585" i="1" s="1"/>
  <c r="CQ585" i="1"/>
  <c r="CT1178" i="1"/>
  <c r="CU1178" i="1" s="1"/>
  <c r="CQ672" i="1"/>
  <c r="CQ566" i="1"/>
  <c r="BV333" i="1"/>
  <c r="BX333" i="1" s="1"/>
  <c r="BY333" i="1" s="1"/>
  <c r="CS319" i="1"/>
  <c r="CR288" i="1"/>
  <c r="CP882" i="1"/>
  <c r="CO913" i="1"/>
  <c r="CQ93" i="1"/>
  <c r="CQ706" i="1"/>
  <c r="CQ549" i="1"/>
  <c r="CQ548" i="1"/>
  <c r="CQ448" i="1"/>
  <c r="CO451" i="1"/>
  <c r="BV562" i="1"/>
  <c r="BX562" i="1" s="1"/>
  <c r="BY562" i="1" s="1"/>
  <c r="CO647" i="1"/>
  <c r="CS692" i="1"/>
  <c r="CP311" i="1"/>
  <c r="CO585" i="1"/>
  <c r="CS1179" i="1"/>
  <c r="CT1179" i="1"/>
  <c r="CU1179" i="1" s="1"/>
  <c r="CR1179" i="1"/>
  <c r="CT1181" i="1"/>
  <c r="CU1181" i="1" s="1"/>
  <c r="CR1181" i="1"/>
  <c r="CV1181" i="1" s="1"/>
  <c r="CT1184" i="1"/>
  <c r="CU1184" i="1" s="1"/>
  <c r="CR1184" i="1"/>
  <c r="CV1184" i="1" s="1"/>
  <c r="CS544" i="1"/>
  <c r="BV297" i="1"/>
  <c r="BX297" i="1" s="1"/>
  <c r="CS599" i="1"/>
  <c r="CV599" i="1" s="1"/>
  <c r="BV863" i="1"/>
  <c r="BX863" i="1" s="1"/>
  <c r="CT1177" i="1"/>
  <c r="CU1177" i="1" s="1"/>
  <c r="CR1177" i="1"/>
  <c r="BY1191" i="1"/>
  <c r="CT1191" i="1"/>
  <c r="CU1191" i="1" s="1"/>
  <c r="CT1192" i="1"/>
  <c r="CU1192" i="1" s="1"/>
  <c r="CT1194" i="1"/>
  <c r="CU1194" i="1" s="1"/>
  <c r="BY1194" i="1"/>
  <c r="BY1195" i="1"/>
  <c r="CT1195" i="1"/>
  <c r="CU1195" i="1" s="1"/>
  <c r="CS58" i="1"/>
  <c r="CR58" i="1"/>
  <c r="CT58" i="1"/>
  <c r="CQ58" i="1"/>
  <c r="CP58" i="1"/>
  <c r="CO58" i="1"/>
  <c r="BV1200" i="1"/>
  <c r="BX1200" i="1" s="1"/>
  <c r="BU1200" i="1"/>
  <c r="CR1169" i="1"/>
  <c r="CV1169" i="1" s="1"/>
  <c r="CR1171" i="1"/>
  <c r="CS1177" i="1"/>
  <c r="CR1182" i="1"/>
  <c r="CS1182" i="1"/>
  <c r="CT1185" i="1"/>
  <c r="CU1185" i="1" s="1"/>
  <c r="CR1185" i="1"/>
  <c r="CT1169" i="1"/>
  <c r="CU1169" i="1" s="1"/>
  <c r="CS1171" i="1"/>
  <c r="CT1182" i="1"/>
  <c r="CU1182" i="1" s="1"/>
  <c r="CS1185" i="1"/>
  <c r="CS297" i="1"/>
  <c r="CS863" i="1"/>
  <c r="CR1164" i="1"/>
  <c r="CV1164" i="1" s="1"/>
  <c r="CR1165" i="1"/>
  <c r="CV1165" i="1" s="1"/>
  <c r="CT1180" i="1"/>
  <c r="CU1180" i="1" s="1"/>
  <c r="CR1180" i="1"/>
  <c r="CR1183" i="1"/>
  <c r="CV1183" i="1" s="1"/>
  <c r="CO297" i="1"/>
  <c r="CQ599" i="1"/>
  <c r="CO863" i="1"/>
  <c r="CT1165" i="1"/>
  <c r="CU1165" i="1" s="1"/>
  <c r="CS1168" i="1"/>
  <c r="CV1168" i="1" s="1"/>
  <c r="CS1176" i="1"/>
  <c r="CV1176" i="1" s="1"/>
  <c r="CS1180" i="1"/>
  <c r="CT1183" i="1"/>
  <c r="CU1183" i="1" s="1"/>
  <c r="CT1197" i="1"/>
  <c r="CU1197" i="1" s="1"/>
  <c r="CO886" i="1"/>
  <c r="CR886" i="1"/>
  <c r="CQ886" i="1"/>
  <c r="CP886" i="1"/>
  <c r="BY769" i="1"/>
  <c r="CT769" i="1"/>
  <c r="CR1187" i="1"/>
  <c r="CV1187" i="1" s="1"/>
  <c r="CT1189" i="1"/>
  <c r="CU1189" i="1" s="1"/>
  <c r="CR1191" i="1"/>
  <c r="CV1191" i="1" s="1"/>
  <c r="CT1193" i="1"/>
  <c r="CU1193" i="1" s="1"/>
  <c r="CR1197" i="1"/>
  <c r="CP981" i="1"/>
  <c r="CS981" i="1"/>
  <c r="CT981" i="1"/>
  <c r="CS886" i="1"/>
  <c r="BY726" i="1"/>
  <c r="CT726" i="1"/>
  <c r="CS1186" i="1"/>
  <c r="CV1186" i="1" s="1"/>
  <c r="CR1188" i="1"/>
  <c r="CV1188" i="1" s="1"/>
  <c r="CR1189" i="1"/>
  <c r="CV1189" i="1" s="1"/>
  <c r="CS1190" i="1"/>
  <c r="CV1190" i="1" s="1"/>
  <c r="CR1192" i="1"/>
  <c r="CV1192" i="1" s="1"/>
  <c r="CR1193" i="1"/>
  <c r="CV1193" i="1" s="1"/>
  <c r="CS1194" i="1"/>
  <c r="CV1194" i="1" s="1"/>
  <c r="CR1196" i="1"/>
  <c r="CS1197" i="1"/>
  <c r="CT32" i="1"/>
  <c r="CS32" i="1"/>
  <c r="CV32" i="1" s="1"/>
  <c r="CQ813" i="1"/>
  <c r="CT813" i="1"/>
  <c r="CS813" i="1"/>
  <c r="CP813" i="1"/>
  <c r="CO981" i="1"/>
  <c r="CT886" i="1"/>
  <c r="BY875" i="1"/>
  <c r="BY749" i="1"/>
  <c r="BY550" i="1"/>
  <c r="CT550" i="1"/>
  <c r="CO813" i="1"/>
  <c r="CQ981" i="1"/>
  <c r="CT749" i="1"/>
  <c r="CR749" i="1"/>
  <c r="CO749" i="1"/>
  <c r="CS749" i="1"/>
  <c r="CP749" i="1"/>
  <c r="CP32" i="1"/>
  <c r="CR813" i="1"/>
  <c r="CR981" i="1"/>
  <c r="BY555" i="1"/>
  <c r="CQ555" i="1"/>
  <c r="CQ32" i="1"/>
  <c r="CR116" i="1"/>
  <c r="CQ116" i="1"/>
  <c r="CQ760" i="1"/>
  <c r="BY760" i="1"/>
  <c r="CR769" i="1"/>
  <c r="CP769" i="1"/>
  <c r="CQ766" i="1"/>
  <c r="CT240" i="1"/>
  <c r="CS240" i="1"/>
  <c r="CR240" i="1"/>
  <c r="CP240" i="1"/>
  <c r="CO240" i="1"/>
  <c r="CT763" i="1"/>
  <c r="CS763" i="1"/>
  <c r="CR763" i="1"/>
  <c r="CP763" i="1"/>
  <c r="BY360" i="1"/>
  <c r="BY362" i="1"/>
  <c r="CQ364" i="1"/>
  <c r="BE555" i="1" a="1"/>
  <c r="BE555" i="1" s="1"/>
  <c r="CQ738" i="1"/>
  <c r="CQ808" i="1"/>
  <c r="CO808" i="1"/>
  <c r="CT808" i="1"/>
  <c r="CO763" i="1"/>
  <c r="CQ360" i="1"/>
  <c r="CN867" i="1"/>
  <c r="BN867" i="1"/>
  <c r="BO867" i="1" s="1"/>
  <c r="BY867" i="1" s="1"/>
  <c r="CS769" i="1"/>
  <c r="CP808" i="1"/>
  <c r="BY351" i="1"/>
  <c r="BE543" i="1" a="1"/>
  <c r="BE543" i="1" s="1"/>
  <c r="BE755" i="1" a="1"/>
  <c r="BE755" i="1" s="1"/>
  <c r="CR808" i="1"/>
  <c r="BO817" i="1"/>
  <c r="CN817" i="1"/>
  <c r="BN817" i="1"/>
  <c r="CQ759" i="1"/>
  <c r="CS808" i="1"/>
  <c r="BY554" i="1"/>
  <c r="CT554" i="1"/>
  <c r="BO1200" i="1"/>
  <c r="CN1200" i="1"/>
  <c r="BN1200" i="1"/>
  <c r="BO763" i="1"/>
  <c r="BY763" i="1" s="1"/>
  <c r="BN763" i="1"/>
  <c r="CT357" i="1"/>
  <c r="CS357" i="1"/>
  <c r="CR357" i="1"/>
  <c r="CQ357" i="1"/>
  <c r="CP357" i="1"/>
  <c r="CO357" i="1"/>
  <c r="BE532" i="1" a="1"/>
  <c r="BE532" i="1" s="1"/>
  <c r="CQ545" i="1"/>
  <c r="BE750" i="1" a="1"/>
  <c r="BE750" i="1" s="1"/>
  <c r="BE550" i="1" a="1"/>
  <c r="BE550" i="1" s="1"/>
  <c r="BY361" i="1"/>
  <c r="CQ543" i="1"/>
  <c r="CQ755" i="1"/>
  <c r="BE766" i="1" a="1"/>
  <c r="BE766" i="1" s="1"/>
  <c r="CS926" i="1"/>
  <c r="CR550" i="1"/>
  <c r="CR351" i="1"/>
  <c r="CT360" i="1"/>
  <c r="CN1198" i="1"/>
  <c r="CN664" i="1"/>
  <c r="CN221" i="1"/>
  <c r="CT351" i="1"/>
  <c r="CN775" i="1"/>
  <c r="BN664" i="1"/>
  <c r="BN221" i="1"/>
  <c r="CO360" i="1"/>
  <c r="CQ362" i="1"/>
  <c r="CP360" i="1"/>
  <c r="BY616" i="1" l="1"/>
  <c r="CQ528" i="1"/>
  <c r="BY932" i="1"/>
  <c r="CT616" i="1"/>
  <c r="BY1015" i="1"/>
  <c r="CO616" i="1"/>
  <c r="CP616" i="1"/>
  <c r="BY592" i="1"/>
  <c r="BY817" i="1"/>
  <c r="CQ616" i="1"/>
  <c r="BY687" i="1"/>
  <c r="CS37" i="1"/>
  <c r="CR806" i="1"/>
  <c r="BY319" i="1"/>
  <c r="CR616" i="1"/>
  <c r="CV616" i="1" s="1"/>
  <c r="CU201" i="1"/>
  <c r="BY618" i="1"/>
  <c r="CS806" i="1"/>
  <c r="CQ1135" i="1"/>
  <c r="CU1135" i="1" s="1"/>
  <c r="CV548" i="1"/>
  <c r="CP27" i="1"/>
  <c r="CU969" i="1"/>
  <c r="CT806" i="1"/>
  <c r="CV106" i="1"/>
  <c r="BY106" i="1"/>
  <c r="BY806" i="1"/>
  <c r="CV370" i="1"/>
  <c r="CT599" i="1"/>
  <c r="CU599" i="1" s="1"/>
  <c r="BY334" i="1"/>
  <c r="CQ334" i="1"/>
  <c r="CS1199" i="1"/>
  <c r="BY982" i="1"/>
  <c r="CQ299" i="1"/>
  <c r="CQ872" i="1"/>
  <c r="CU872" i="1" s="1"/>
  <c r="BY913" i="1"/>
  <c r="CV869" i="1"/>
  <c r="CT528" i="1"/>
  <c r="CU528" i="1" s="1"/>
  <c r="BY816" i="1"/>
  <c r="CS528" i="1"/>
  <c r="CV863" i="1"/>
  <c r="CV647" i="1"/>
  <c r="CO528" i="1"/>
  <c r="CV390" i="1"/>
  <c r="CU194" i="1"/>
  <c r="CR528" i="1"/>
  <c r="CU1068" i="1"/>
  <c r="CS1022" i="1"/>
  <c r="BY1199" i="1"/>
  <c r="CT1022" i="1"/>
  <c r="CT547" i="1"/>
  <c r="CU494" i="1"/>
  <c r="CU812" i="1"/>
  <c r="BY647" i="1"/>
  <c r="CV1171" i="1"/>
  <c r="BY332" i="1"/>
  <c r="BY598" i="1"/>
  <c r="CO1022" i="1"/>
  <c r="CQ240" i="1"/>
  <c r="CU240" i="1" s="1"/>
  <c r="CR1022" i="1"/>
  <c r="CU444" i="1"/>
  <c r="CU364" i="1"/>
  <c r="CQ1022" i="1"/>
  <c r="CU368" i="1"/>
  <c r="CP1199" i="1"/>
  <c r="CQ1199" i="1"/>
  <c r="CU997" i="1"/>
  <c r="CU759" i="1"/>
  <c r="BY1131" i="1"/>
  <c r="CT299" i="1"/>
  <c r="CV449" i="1"/>
  <c r="CV1131" i="1"/>
  <c r="CV1133" i="1"/>
  <c r="CV1132" i="1"/>
  <c r="CV351" i="1"/>
  <c r="CU453" i="1"/>
  <c r="CU545" i="1"/>
  <c r="CV297" i="1"/>
  <c r="CV759" i="1"/>
  <c r="CU1074" i="1"/>
  <c r="CU346" i="1"/>
  <c r="CR27" i="1"/>
  <c r="CS33" i="1"/>
  <c r="CQ27" i="1"/>
  <c r="CU362" i="1"/>
  <c r="CR1199" i="1"/>
  <c r="CS27" i="1"/>
  <c r="CQ1132" i="1"/>
  <c r="CU1132" i="1" s="1"/>
  <c r="CP299" i="1"/>
  <c r="CT27" i="1"/>
  <c r="CU667" i="1"/>
  <c r="CU738" i="1"/>
  <c r="CS299" i="1"/>
  <c r="CV299" i="1" s="1"/>
  <c r="CO299" i="1"/>
  <c r="CQ1133" i="1"/>
  <c r="CU1133" i="1" s="1"/>
  <c r="CR334" i="1"/>
  <c r="CS334" i="1"/>
  <c r="CT37" i="1"/>
  <c r="CP33" i="1"/>
  <c r="CR33" i="1"/>
  <c r="CV859" i="1"/>
  <c r="CU697" i="1"/>
  <c r="CU852" i="1"/>
  <c r="CU1071" i="1"/>
  <c r="CU361" i="1"/>
  <c r="CU543" i="1"/>
  <c r="CU554" i="1"/>
  <c r="CU356" i="1"/>
  <c r="CV882" i="1"/>
  <c r="CU1009" i="1"/>
  <c r="CT33" i="1"/>
  <c r="CU33" i="1" s="1"/>
  <c r="CV834" i="1"/>
  <c r="CU1131" i="1"/>
  <c r="CV1004" i="1"/>
  <c r="CV862" i="1"/>
  <c r="CO334" i="1"/>
  <c r="CU282" i="1"/>
  <c r="BY1022" i="1"/>
  <c r="CT1199" i="1"/>
  <c r="CV970" i="1"/>
  <c r="CP334" i="1"/>
  <c r="CQ37" i="1"/>
  <c r="CO33" i="1"/>
  <c r="CR37" i="1"/>
  <c r="CO37" i="1"/>
  <c r="CV1067" i="1"/>
  <c r="CU340" i="1"/>
  <c r="CV576" i="1"/>
  <c r="CU657" i="1"/>
  <c r="CV1068" i="1"/>
  <c r="CV913" i="1"/>
  <c r="CV831" i="1"/>
  <c r="CU666" i="1"/>
  <c r="CQ1134" i="1"/>
  <c r="CU1134" i="1" s="1"/>
  <c r="CV217" i="1"/>
  <c r="CU402" i="1"/>
  <c r="CU766" i="1"/>
  <c r="CV1196" i="1"/>
  <c r="CU547" i="1"/>
  <c r="CU395" i="1"/>
  <c r="CU851" i="1"/>
  <c r="CV366" i="1"/>
  <c r="CU972" i="1"/>
  <c r="CV650" i="1"/>
  <c r="CU1076" i="1"/>
  <c r="CU1072" i="1"/>
  <c r="CU394" i="1"/>
  <c r="CU539" i="1"/>
  <c r="CU685" i="1"/>
  <c r="CU531" i="1"/>
  <c r="CU971" i="1"/>
  <c r="CV539" i="1"/>
  <c r="CV920" i="1"/>
  <c r="CV755" i="1"/>
  <c r="CV343" i="1"/>
  <c r="CU576" i="1"/>
  <c r="CV697" i="1"/>
  <c r="CV405" i="1"/>
  <c r="CU875" i="1"/>
  <c r="CU319" i="1"/>
  <c r="CU573" i="1"/>
  <c r="CU1015" i="1"/>
  <c r="CU898" i="1"/>
  <c r="CU324" i="1"/>
  <c r="CU347" i="1"/>
  <c r="CU405" i="1"/>
  <c r="CU749" i="1"/>
  <c r="CU439" i="1"/>
  <c r="CU29" i="1"/>
  <c r="CV673" i="1"/>
  <c r="CV1069" i="1"/>
  <c r="CV369" i="1"/>
  <c r="BY1025" i="1"/>
  <c r="CV676" i="1"/>
  <c r="CV337" i="1"/>
  <c r="CU752" i="1"/>
  <c r="CV220" i="1"/>
  <c r="CU445" i="1"/>
  <c r="CV361" i="1"/>
  <c r="CU578" i="1"/>
  <c r="CT95" i="1"/>
  <c r="CV675" i="1"/>
  <c r="CU542" i="1"/>
  <c r="CV549" i="1"/>
  <c r="CU207" i="1"/>
  <c r="CU674" i="1"/>
  <c r="CU326" i="1"/>
  <c r="CV543" i="1"/>
  <c r="CU676" i="1"/>
  <c r="CV116" i="1"/>
  <c r="CU661" i="1"/>
  <c r="CU1008" i="1"/>
  <c r="CV926" i="1"/>
  <c r="CU769" i="1"/>
  <c r="CU592" i="1"/>
  <c r="CU214" i="1"/>
  <c r="CU692" i="1"/>
  <c r="CV587" i="1"/>
  <c r="CV566" i="1"/>
  <c r="CV794" i="1"/>
  <c r="CU672" i="1"/>
  <c r="CU755" i="1"/>
  <c r="CU101" i="1"/>
  <c r="CU135" i="1"/>
  <c r="CU764" i="1"/>
  <c r="CU600" i="1"/>
  <c r="CO1023" i="1"/>
  <c r="CU1207" i="1"/>
  <c r="CU686" i="1"/>
  <c r="CU532" i="1"/>
  <c r="CV332" i="1"/>
  <c r="CU922" i="1"/>
  <c r="CV170" i="1"/>
  <c r="CV336" i="1"/>
  <c r="CU298" i="1"/>
  <c r="CU1069" i="1"/>
  <c r="CV398" i="1"/>
  <c r="CV340" i="1"/>
  <c r="CV969" i="1"/>
  <c r="CU818" i="1"/>
  <c r="CU859" i="1"/>
  <c r="CV201" i="1"/>
  <c r="CU760" i="1"/>
  <c r="CU868" i="1"/>
  <c r="CV395" i="1"/>
  <c r="CU156" i="1"/>
  <c r="CU625" i="1"/>
  <c r="CU152" i="1"/>
  <c r="CV569" i="1"/>
  <c r="CU369" i="1"/>
  <c r="CV364" i="1"/>
  <c r="CU1075" i="1"/>
  <c r="CV657" i="1"/>
  <c r="CV580" i="1"/>
  <c r="CV352" i="1"/>
  <c r="CU962" i="1"/>
  <c r="CV1072" i="1"/>
  <c r="CV391" i="1"/>
  <c r="CU75" i="1"/>
  <c r="CU390" i="1"/>
  <c r="CU115" i="1"/>
  <c r="CU116" i="1"/>
  <c r="CV766" i="1"/>
  <c r="CV732" i="1"/>
  <c r="CV365" i="1"/>
  <c r="CV808" i="1"/>
  <c r="CV839" i="1"/>
  <c r="CU391" i="1"/>
  <c r="CU656" i="1"/>
  <c r="CU1137" i="1"/>
  <c r="CV1073" i="1"/>
  <c r="CO95" i="1"/>
  <c r="CU449" i="1"/>
  <c r="CU538" i="1"/>
  <c r="CR95" i="1"/>
  <c r="CV95" i="1" s="1"/>
  <c r="CU710" i="1"/>
  <c r="CU750" i="1"/>
  <c r="CV1076" i="1"/>
  <c r="CU354" i="1"/>
  <c r="CU595" i="1"/>
  <c r="CU550" i="1"/>
  <c r="CV1180" i="1"/>
  <c r="CV241" i="1"/>
  <c r="CU358" i="1"/>
  <c r="CU370" i="1"/>
  <c r="CV597" i="1"/>
  <c r="CU1004" i="1"/>
  <c r="CU853" i="1"/>
  <c r="CU451" i="1"/>
  <c r="CV917" i="1"/>
  <c r="CV359" i="1"/>
  <c r="CU680" i="1"/>
  <c r="CU331" i="1"/>
  <c r="CV764" i="1"/>
  <c r="BY1023" i="1"/>
  <c r="CU269" i="1"/>
  <c r="CV749" i="1"/>
  <c r="CV998" i="1"/>
  <c r="CU586" i="1"/>
  <c r="CU839" i="1"/>
  <c r="CV544" i="1"/>
  <c r="CU597" i="1"/>
  <c r="CU398" i="1"/>
  <c r="CU696" i="1"/>
  <c r="CV546" i="1"/>
  <c r="CU365" i="1"/>
  <c r="CP95" i="1"/>
  <c r="CV444" i="1"/>
  <c r="CV726" i="1"/>
  <c r="CU350" i="1"/>
  <c r="CO1024" i="1"/>
  <c r="CU569" i="1"/>
  <c r="CU393" i="1"/>
  <c r="CV399" i="1"/>
  <c r="CV1075" i="1"/>
  <c r="CU343" i="1"/>
  <c r="CV579" i="1"/>
  <c r="BY1200" i="1"/>
  <c r="CV932" i="1"/>
  <c r="CV714" i="1"/>
  <c r="CV1074" i="1"/>
  <c r="CU816" i="1"/>
  <c r="CU382" i="1"/>
  <c r="CU987" i="1"/>
  <c r="CV853" i="1"/>
  <c r="CU886" i="1"/>
  <c r="CV358" i="1"/>
  <c r="CV382" i="1"/>
  <c r="CV385" i="1"/>
  <c r="CU580" i="1"/>
  <c r="CU942" i="1"/>
  <c r="CU673" i="1"/>
  <c r="CV1005" i="1"/>
  <c r="CV288" i="1"/>
  <c r="CU1145" i="1"/>
  <c r="CU556" i="1"/>
  <c r="CU397" i="1"/>
  <c r="CV36" i="1"/>
  <c r="CU932" i="1"/>
  <c r="CV963" i="1"/>
  <c r="CU659" i="1"/>
  <c r="CU831" i="1"/>
  <c r="CU869" i="1"/>
  <c r="CV42" i="1"/>
  <c r="CU311" i="1"/>
  <c r="CV692" i="1"/>
  <c r="CV898" i="1"/>
  <c r="CV348" i="1"/>
  <c r="CV922" i="1"/>
  <c r="CT1023" i="1"/>
  <c r="CU926" i="1"/>
  <c r="CR1023" i="1"/>
  <c r="CV1023" i="1" s="1"/>
  <c r="CV885" i="1"/>
  <c r="CV333" i="1"/>
  <c r="CV652" i="1"/>
  <c r="CU998" i="1"/>
  <c r="CU551" i="1"/>
  <c r="CU355" i="1"/>
  <c r="CV335" i="1"/>
  <c r="CV115" i="1"/>
  <c r="CQ1023" i="1"/>
  <c r="CP1023" i="1"/>
  <c r="CU670" i="1"/>
  <c r="CU881" i="1"/>
  <c r="CU349" i="1"/>
  <c r="CV561" i="1"/>
  <c r="CU336" i="1"/>
  <c r="CU920" i="1"/>
  <c r="CU732" i="1"/>
  <c r="CV1197" i="1"/>
  <c r="CU392" i="1"/>
  <c r="CV618" i="1"/>
  <c r="CV880" i="1"/>
  <c r="CU385" i="1"/>
  <c r="CU359" i="1"/>
  <c r="CV282" i="1"/>
  <c r="CU1067" i="1"/>
  <c r="CU93" i="1"/>
  <c r="CV1179" i="1"/>
  <c r="CV531" i="1"/>
  <c r="CU353" i="1"/>
  <c r="CV550" i="1"/>
  <c r="CU906" i="1"/>
  <c r="CU650" i="1"/>
  <c r="CU808" i="1"/>
  <c r="CU555" i="1"/>
  <c r="CU726" i="1"/>
  <c r="CV860" i="1"/>
  <c r="CV851" i="1"/>
  <c r="CU396" i="1"/>
  <c r="CU601" i="1"/>
  <c r="CV400" i="1"/>
  <c r="CV529" i="1"/>
  <c r="CU366" i="1"/>
  <c r="CV331" i="1"/>
  <c r="CU443" i="1"/>
  <c r="CV76" i="1"/>
  <c r="CV868" i="1"/>
  <c r="CU860" i="1"/>
  <c r="CV948" i="1"/>
  <c r="CV670" i="1"/>
  <c r="CU885" i="1"/>
  <c r="CV595" i="1"/>
  <c r="CV683" i="1"/>
  <c r="CU890" i="1"/>
  <c r="CV593" i="1"/>
  <c r="CV93" i="1"/>
  <c r="CU571" i="1"/>
  <c r="CU450" i="1"/>
  <c r="CU949" i="1"/>
  <c r="CU706" i="1"/>
  <c r="CU256" i="1"/>
  <c r="CU351" i="1"/>
  <c r="CV319" i="1"/>
  <c r="CT548" i="1"/>
  <c r="CU548" i="1" s="1"/>
  <c r="CU307" i="1"/>
  <c r="CV266" i="1"/>
  <c r="CU618" i="1"/>
  <c r="CU25" i="1"/>
  <c r="CU1002" i="1"/>
  <c r="CV666" i="1"/>
  <c r="CU344" i="1"/>
  <c r="CU383" i="1"/>
  <c r="CU330" i="1"/>
  <c r="CV547" i="1"/>
  <c r="CU834" i="1"/>
  <c r="CV1175" i="1"/>
  <c r="CU1005" i="1"/>
  <c r="CV350" i="1"/>
  <c r="CU948" i="1"/>
  <c r="CV397" i="1"/>
  <c r="CU719" i="1"/>
  <c r="CU855" i="1"/>
  <c r="CV812" i="1"/>
  <c r="CQ95" i="1"/>
  <c r="CV659" i="1"/>
  <c r="CU587" i="1"/>
  <c r="CV881" i="1"/>
  <c r="CV656" i="1"/>
  <c r="CT126" i="1"/>
  <c r="CS126" i="1"/>
  <c r="CR126" i="1"/>
  <c r="CU900" i="1"/>
  <c r="CV890" i="1"/>
  <c r="CU579" i="1"/>
  <c r="CU637" i="1"/>
  <c r="CV872" i="1"/>
  <c r="CU683" i="1"/>
  <c r="CU593" i="1"/>
  <c r="CU714" i="1"/>
  <c r="CV324" i="1"/>
  <c r="BN126" i="1"/>
  <c r="BO126" i="1" s="1"/>
  <c r="BY126" i="1" s="1"/>
  <c r="CU794" i="1"/>
  <c r="CV1134" i="1"/>
  <c r="CU611" i="1"/>
  <c r="CU653" i="1"/>
  <c r="CU675" i="1"/>
  <c r="CU58" i="1"/>
  <c r="CV1009" i="1"/>
  <c r="CO1088" i="1"/>
  <c r="CU703" i="1"/>
  <c r="CV1013" i="1"/>
  <c r="CV256" i="1"/>
  <c r="CU204" i="1"/>
  <c r="CU342" i="1"/>
  <c r="CV672" i="1"/>
  <c r="CT544" i="1"/>
  <c r="CU544" i="1" s="1"/>
  <c r="CT170" i="1"/>
  <c r="CU170" i="1" s="1"/>
  <c r="CQ1088" i="1"/>
  <c r="CP1088" i="1"/>
  <c r="CU529" i="1"/>
  <c r="CQ763" i="1"/>
  <c r="CU763" i="1" s="1"/>
  <c r="CU577" i="1"/>
  <c r="CV577" i="1"/>
  <c r="CV214" i="1"/>
  <c r="CU888" i="1"/>
  <c r="CV978" i="1"/>
  <c r="CV586" i="1"/>
  <c r="CV703" i="1"/>
  <c r="CU1013" i="1"/>
  <c r="CR1024" i="1"/>
  <c r="CU30" i="1"/>
  <c r="CV1185" i="1"/>
  <c r="CV445" i="1"/>
  <c r="CV447" i="1"/>
  <c r="CU995" i="1"/>
  <c r="CV908" i="1"/>
  <c r="CV818" i="1"/>
  <c r="CV971" i="1"/>
  <c r="BY83" i="1"/>
  <c r="CU1070" i="1"/>
  <c r="CS1024" i="1"/>
  <c r="CU717" i="1"/>
  <c r="CV268" i="1"/>
  <c r="CV43" i="1"/>
  <c r="CV1163" i="1"/>
  <c r="CU1073" i="1"/>
  <c r="CV696" i="1"/>
  <c r="CU1138" i="1"/>
  <c r="CU963" i="1"/>
  <c r="CQ1024" i="1"/>
  <c r="CT83" i="1"/>
  <c r="CU83" i="1" s="1"/>
  <c r="CU268" i="1"/>
  <c r="CU43" i="1"/>
  <c r="BY299" i="1"/>
  <c r="CU360" i="1"/>
  <c r="CV452" i="1"/>
  <c r="CU946" i="1"/>
  <c r="CV1000" i="1"/>
  <c r="CU567" i="1"/>
  <c r="CV674" i="1"/>
  <c r="CR1088" i="1"/>
  <c r="CV1088" i="1" s="1"/>
  <c r="CV530" i="1"/>
  <c r="CV979" i="1"/>
  <c r="CU220" i="1"/>
  <c r="CU76" i="1"/>
  <c r="CU337" i="1"/>
  <c r="CV600" i="1"/>
  <c r="CV942" i="1"/>
  <c r="CU348" i="1"/>
  <c r="CV240" i="1"/>
  <c r="CU647" i="1"/>
  <c r="CU452" i="1"/>
  <c r="CU106" i="1"/>
  <c r="CU1006" i="1"/>
  <c r="CU332" i="1"/>
  <c r="CV132" i="1"/>
  <c r="CU915" i="1"/>
  <c r="CU921" i="1"/>
  <c r="CV135" i="1"/>
  <c r="CV347" i="1"/>
  <c r="CU979" i="1"/>
  <c r="CU327" i="1"/>
  <c r="CV685" i="1"/>
  <c r="CU399" i="1"/>
  <c r="CV346" i="1"/>
  <c r="CV717" i="1"/>
  <c r="CU217" i="1"/>
  <c r="CV573" i="1"/>
  <c r="CO1084" i="1"/>
  <c r="CT1084" i="1"/>
  <c r="CS1084" i="1"/>
  <c r="CR1084" i="1"/>
  <c r="CQ1084" i="1"/>
  <c r="CP1084" i="1"/>
  <c r="CT867" i="1"/>
  <c r="CS867" i="1"/>
  <c r="CR867" i="1"/>
  <c r="CQ867" i="1"/>
  <c r="CP867" i="1"/>
  <c r="CO867" i="1"/>
  <c r="CV1177" i="1"/>
  <c r="CV1008" i="1"/>
  <c r="CV553" i="1"/>
  <c r="CV453" i="1"/>
  <c r="CV439" i="1"/>
  <c r="CV793" i="1"/>
  <c r="CU42" i="1"/>
  <c r="CR221" i="1"/>
  <c r="CQ221" i="1"/>
  <c r="CP221" i="1"/>
  <c r="CO221" i="1"/>
  <c r="CS221" i="1"/>
  <c r="CT221" i="1"/>
  <c r="CU357" i="1"/>
  <c r="CV763" i="1"/>
  <c r="BY863" i="1"/>
  <c r="CT863" i="1"/>
  <c r="CU863" i="1" s="1"/>
  <c r="BY553" i="1"/>
  <c r="CT553" i="1"/>
  <c r="CU553" i="1" s="1"/>
  <c r="CV982" i="1"/>
  <c r="CT557" i="1"/>
  <c r="CU557" i="1" s="1"/>
  <c r="CV854" i="1"/>
  <c r="CV1145" i="1"/>
  <c r="CU352" i="1"/>
  <c r="CU546" i="1"/>
  <c r="CU793" i="1"/>
  <c r="CV571" i="1"/>
  <c r="CU753" i="1"/>
  <c r="CU132" i="1"/>
  <c r="CU970" i="1"/>
  <c r="CV551" i="1"/>
  <c r="CV915" i="1"/>
  <c r="CR660" i="1"/>
  <c r="CQ660" i="1"/>
  <c r="CT660" i="1"/>
  <c r="CS660" i="1"/>
  <c r="CP660" i="1"/>
  <c r="CO660" i="1"/>
  <c r="CV353" i="1"/>
  <c r="CS1085" i="1"/>
  <c r="CP1085" i="1"/>
  <c r="CR1085" i="1"/>
  <c r="CQ1085" i="1"/>
  <c r="CT1085" i="1"/>
  <c r="CO1085" i="1"/>
  <c r="BY30" i="1"/>
  <c r="BY28" i="1"/>
  <c r="CV83" i="1"/>
  <c r="BY862" i="1"/>
  <c r="CT862" i="1"/>
  <c r="CU862" i="1" s="1"/>
  <c r="BY561" i="1"/>
  <c r="CT561" i="1"/>
  <c r="CU561" i="1" s="1"/>
  <c r="BY917" i="1"/>
  <c r="CT917" i="1"/>
  <c r="CU917" i="1" s="1"/>
  <c r="CR698" i="1"/>
  <c r="CT698" i="1"/>
  <c r="CS698" i="1"/>
  <c r="CQ698" i="1"/>
  <c r="CP698" i="1"/>
  <c r="CO698" i="1"/>
  <c r="CV1138" i="1"/>
  <c r="CU339" i="1"/>
  <c r="CT598" i="1"/>
  <c r="CP598" i="1"/>
  <c r="CO598" i="1"/>
  <c r="CS598" i="1"/>
  <c r="CR598" i="1"/>
  <c r="CQ598" i="1"/>
  <c r="CU287" i="1"/>
  <c r="BY36" i="1"/>
  <c r="CR1025" i="1"/>
  <c r="CQ1025" i="1"/>
  <c r="CO1025" i="1"/>
  <c r="CT1025" i="1"/>
  <c r="CS1025" i="1"/>
  <c r="CP1025" i="1"/>
  <c r="CV667" i="1"/>
  <c r="CR664" i="1"/>
  <c r="CQ664" i="1"/>
  <c r="CP664" i="1"/>
  <c r="CO664" i="1"/>
  <c r="CT664" i="1"/>
  <c r="CS664" i="1"/>
  <c r="CS817" i="1"/>
  <c r="CR817" i="1"/>
  <c r="CQ817" i="1"/>
  <c r="CO817" i="1"/>
  <c r="CT817" i="1"/>
  <c r="CP817" i="1"/>
  <c r="CV813" i="1"/>
  <c r="CV1178" i="1"/>
  <c r="CU982" i="1"/>
  <c r="CO442" i="1"/>
  <c r="CQ442" i="1"/>
  <c r="CP442" i="1"/>
  <c r="CT442" i="1"/>
  <c r="CS442" i="1"/>
  <c r="CR442" i="1"/>
  <c r="CU913" i="1"/>
  <c r="CU581" i="1"/>
  <c r="CT333" i="1"/>
  <c r="CU333" i="1" s="1"/>
  <c r="CU306" i="1"/>
  <c r="CV25" i="1"/>
  <c r="CU585" i="1"/>
  <c r="CV287" i="1"/>
  <c r="CV192" i="1"/>
  <c r="CV367" i="1"/>
  <c r="CU32" i="1"/>
  <c r="CU154" i="1"/>
  <c r="CU1000" i="1"/>
  <c r="CR1198" i="1"/>
  <c r="CQ1198" i="1"/>
  <c r="CP1198" i="1"/>
  <c r="CT1198" i="1"/>
  <c r="CS1198" i="1"/>
  <c r="CO1198" i="1"/>
  <c r="CU813" i="1"/>
  <c r="CV886" i="1"/>
  <c r="BY297" i="1"/>
  <c r="CT297" i="1"/>
  <c r="CU297" i="1" s="1"/>
  <c r="CT562" i="1"/>
  <c r="CU562" i="1" s="1"/>
  <c r="CV557" i="1"/>
  <c r="CV592" i="1"/>
  <c r="CU266" i="1"/>
  <c r="CU241" i="1"/>
  <c r="CU854" i="1"/>
  <c r="BY288" i="1"/>
  <c r="CT288" i="1"/>
  <c r="CU288" i="1" s="1"/>
  <c r="CU55" i="1"/>
  <c r="CU912" i="1"/>
  <c r="CU791" i="1"/>
  <c r="CU335" i="1"/>
  <c r="CU530" i="1"/>
  <c r="CU28" i="1"/>
  <c r="CV305" i="1"/>
  <c r="CU192" i="1"/>
  <c r="CV61" i="1"/>
  <c r="CU367" i="1"/>
  <c r="CT1086" i="1"/>
  <c r="CO1086" i="1"/>
  <c r="CS1086" i="1"/>
  <c r="CR1086" i="1"/>
  <c r="CQ1086" i="1"/>
  <c r="CP1086" i="1"/>
  <c r="CQ267" i="1"/>
  <c r="CO267" i="1"/>
  <c r="CT267" i="1"/>
  <c r="CS267" i="1"/>
  <c r="CR267" i="1"/>
  <c r="CP267" i="1"/>
  <c r="CQ1026" i="1"/>
  <c r="CP1026" i="1"/>
  <c r="CT1026" i="1"/>
  <c r="CS1026" i="1"/>
  <c r="CR1026" i="1"/>
  <c r="CO1026" i="1"/>
  <c r="CV152" i="1"/>
  <c r="CT566" i="1"/>
  <c r="CU566" i="1" s="1"/>
  <c r="BY566" i="1"/>
  <c r="CU36" i="1"/>
  <c r="CV769" i="1"/>
  <c r="CU981" i="1"/>
  <c r="BY882" i="1"/>
  <c r="CT882" i="1"/>
  <c r="CU882" i="1" s="1"/>
  <c r="CU345" i="1"/>
  <c r="CT334" i="1"/>
  <c r="CU334" i="1" s="1"/>
  <c r="CT687" i="1"/>
  <c r="CS687" i="1"/>
  <c r="CR687" i="1"/>
  <c r="CQ687" i="1"/>
  <c r="CU305" i="1"/>
  <c r="CV342" i="1"/>
  <c r="CU61" i="1"/>
  <c r="CQ806" i="1"/>
  <c r="CU806" i="1" s="1"/>
  <c r="BY1024" i="1"/>
  <c r="CT1024" i="1"/>
  <c r="CP1200" i="1"/>
  <c r="CO1200" i="1"/>
  <c r="CT1200" i="1"/>
  <c r="CS1200" i="1"/>
  <c r="CR1200" i="1"/>
  <c r="CQ1200" i="1"/>
  <c r="CP775" i="1"/>
  <c r="CO775" i="1"/>
  <c r="CT775" i="1"/>
  <c r="CS775" i="1"/>
  <c r="CR775" i="1"/>
  <c r="CQ775" i="1"/>
  <c r="CU448" i="1"/>
  <c r="CV392" i="1"/>
  <c r="CV357" i="1"/>
  <c r="CV753" i="1"/>
  <c r="CV327" i="1"/>
  <c r="CV981" i="1"/>
  <c r="CV1182" i="1"/>
  <c r="CV58" i="1"/>
  <c r="CV1172" i="1"/>
  <c r="CU652" i="1"/>
  <c r="CV562" i="1"/>
  <c r="CV307" i="1"/>
  <c r="CU447" i="1"/>
  <c r="CU549" i="1"/>
  <c r="CU908" i="1"/>
  <c r="CV816" i="1"/>
  <c r="CV578" i="1"/>
  <c r="CV306" i="1"/>
  <c r="CV1002" i="1"/>
  <c r="CV567" i="1"/>
  <c r="CV1015" i="1"/>
  <c r="CU403" i="1"/>
  <c r="CV601" i="1"/>
  <c r="CV906" i="1"/>
  <c r="CV326" i="1"/>
  <c r="CU400" i="1"/>
  <c r="CU880" i="1"/>
  <c r="CV30" i="1"/>
  <c r="BY1088" i="1"/>
  <c r="CT1088" i="1"/>
  <c r="CV383" i="1"/>
  <c r="CU978" i="1"/>
  <c r="CU616" i="1" l="1"/>
  <c r="CV1022" i="1"/>
  <c r="CV806" i="1"/>
  <c r="CU37" i="1"/>
  <c r="CV37" i="1"/>
  <c r="CV528" i="1"/>
  <c r="CV1199" i="1"/>
  <c r="CU299" i="1"/>
  <c r="CU1199" i="1"/>
  <c r="CU1022" i="1"/>
  <c r="CV27" i="1"/>
  <c r="CU27" i="1"/>
  <c r="CV33" i="1"/>
  <c r="CU95" i="1"/>
  <c r="CV334" i="1"/>
  <c r="CV126" i="1"/>
  <c r="CU1088" i="1"/>
  <c r="CU598" i="1"/>
  <c r="CU1085" i="1"/>
  <c r="CU1023" i="1"/>
  <c r="CU1026" i="1"/>
  <c r="CU1198" i="1"/>
  <c r="CU867" i="1"/>
  <c r="CV1024" i="1"/>
  <c r="CQ126" i="1"/>
  <c r="CU126" i="1" s="1"/>
  <c r="CU698" i="1"/>
  <c r="CU1024" i="1"/>
  <c r="CV267" i="1"/>
  <c r="CU1086" i="1"/>
  <c r="CU267" i="1"/>
  <c r="CV1198" i="1"/>
  <c r="CV1200" i="1"/>
  <c r="CV598" i="1"/>
  <c r="CV775" i="1"/>
  <c r="CV698" i="1"/>
  <c r="CV867" i="1"/>
  <c r="CV687" i="1"/>
  <c r="CV1026" i="1"/>
  <c r="CV1085" i="1"/>
  <c r="CU687" i="1"/>
  <c r="CV817" i="1"/>
  <c r="CV664" i="1"/>
  <c r="CV1025" i="1"/>
  <c r="CU1200" i="1"/>
  <c r="CV442" i="1"/>
  <c r="CU664" i="1"/>
  <c r="CU1025" i="1"/>
  <c r="CV1084" i="1"/>
  <c r="CU442" i="1"/>
  <c r="CV660" i="1"/>
  <c r="CU221" i="1"/>
  <c r="CU1084" i="1"/>
  <c r="CU775" i="1"/>
  <c r="CV1086" i="1"/>
  <c r="CU817" i="1"/>
  <c r="CU660" i="1"/>
  <c r="CV221" i="1"/>
  <c r="EM541" i="1" l="1"/>
  <c r="DU541" i="1"/>
  <c r="DT541" i="1"/>
  <c r="DN541" i="1"/>
  <c r="DM541" i="1"/>
  <c r="DL541" i="1"/>
  <c r="DK541" i="1"/>
  <c r="DI541" i="1"/>
  <c r="DJ541" i="1" s="1"/>
  <c r="DB541" i="1"/>
  <c r="DC541" i="1" s="1"/>
  <c r="CX541" i="1"/>
  <c r="CN541" i="1"/>
  <c r="CO541" i="1" s="1"/>
  <c r="BV541" i="1"/>
  <c r="BX541" i="1" s="1"/>
  <c r="BU541" i="1"/>
  <c r="BN541" i="1"/>
  <c r="BO541" i="1" s="1"/>
  <c r="BM541" i="1"/>
  <c r="BD541" i="1"/>
  <c r="BC541" i="1"/>
  <c r="BB541" i="1"/>
  <c r="BA541" i="1"/>
  <c r="AZ541" i="1"/>
  <c r="BF541" i="1" s="1" a="1"/>
  <c r="BF541" i="1" s="1"/>
  <c r="AY541" i="1"/>
  <c r="BE541" i="1" s="1" a="1"/>
  <c r="BE541" i="1" s="1"/>
  <c r="AX541" i="1"/>
  <c r="M541" i="1"/>
  <c r="EM535" i="1"/>
  <c r="DU535" i="1"/>
  <c r="DT535" i="1"/>
  <c r="DN535" i="1"/>
  <c r="DM535" i="1"/>
  <c r="DL535" i="1"/>
  <c r="DK535" i="1"/>
  <c r="DI535" i="1"/>
  <c r="DJ535" i="1" s="1"/>
  <c r="DB535" i="1"/>
  <c r="DC535" i="1" s="1"/>
  <c r="CX535" i="1"/>
  <c r="BV535" i="1"/>
  <c r="BX535" i="1" s="1"/>
  <c r="BU535" i="1"/>
  <c r="BK535" i="1"/>
  <c r="BN535" i="1" s="1"/>
  <c r="BO535" i="1" s="1"/>
  <c r="BD535" i="1"/>
  <c r="BC535" i="1"/>
  <c r="BB535" i="1"/>
  <c r="BA535" i="1"/>
  <c r="AZ535" i="1"/>
  <c r="AY535" i="1"/>
  <c r="BE535" i="1" s="1" a="1"/>
  <c r="BE535" i="1" s="1"/>
  <c r="AX535" i="1"/>
  <c r="M535" i="1"/>
  <c r="EM565" i="1"/>
  <c r="DU565" i="1"/>
  <c r="DT565" i="1"/>
  <c r="DN565" i="1"/>
  <c r="DM565" i="1"/>
  <c r="DL565" i="1"/>
  <c r="DK565" i="1"/>
  <c r="DI565" i="1"/>
  <c r="DJ565" i="1" s="1"/>
  <c r="DB565" i="1"/>
  <c r="DC565" i="1" s="1"/>
  <c r="CX565" i="1"/>
  <c r="CN565" i="1"/>
  <c r="BV565" i="1"/>
  <c r="BX565" i="1" s="1"/>
  <c r="BU565" i="1"/>
  <c r="BN565" i="1"/>
  <c r="BO565" i="1" s="1"/>
  <c r="BM565" i="1"/>
  <c r="BD565" i="1"/>
  <c r="BC565" i="1"/>
  <c r="BB565" i="1"/>
  <c r="BA565" i="1"/>
  <c r="AZ565" i="1"/>
  <c r="BF565" i="1" s="1" a="1"/>
  <c r="BF565" i="1" s="1"/>
  <c r="AY565" i="1"/>
  <c r="BE565" i="1" s="1" a="1"/>
  <c r="BE565" i="1" s="1"/>
  <c r="AX565" i="1"/>
  <c r="M565" i="1"/>
  <c r="EM243" i="1"/>
  <c r="DU243" i="1"/>
  <c r="DT243" i="1"/>
  <c r="DN243" i="1"/>
  <c r="DM243" i="1"/>
  <c r="DL243" i="1"/>
  <c r="DK243" i="1"/>
  <c r="DI243" i="1"/>
  <c r="DJ243" i="1" s="1"/>
  <c r="DB243" i="1"/>
  <c r="DC243" i="1" s="1"/>
  <c r="CX243" i="1"/>
  <c r="CN243" i="1"/>
  <c r="CO243" i="1" s="1"/>
  <c r="BV243" i="1"/>
  <c r="BX243" i="1" s="1"/>
  <c r="BU243" i="1"/>
  <c r="BN243" i="1"/>
  <c r="BO243" i="1" s="1"/>
  <c r="BM243" i="1"/>
  <c r="BD243" i="1"/>
  <c r="BC243" i="1"/>
  <c r="BB243" i="1"/>
  <c r="BA243" i="1"/>
  <c r="AZ243" i="1"/>
  <c r="BF243" i="1" s="1" a="1"/>
  <c r="BF243" i="1" s="1"/>
  <c r="AY243" i="1"/>
  <c r="BE243" i="1" s="1" a="1"/>
  <c r="BE243" i="1" s="1"/>
  <c r="AX243" i="1"/>
  <c r="M243" i="1"/>
  <c r="EM176" i="1"/>
  <c r="DU176" i="1"/>
  <c r="DT176" i="1"/>
  <c r="DN176" i="1"/>
  <c r="DM176" i="1"/>
  <c r="DL176" i="1"/>
  <c r="DK176" i="1"/>
  <c r="DI176" i="1"/>
  <c r="DJ176" i="1" s="1"/>
  <c r="DB176" i="1"/>
  <c r="DC176" i="1" s="1"/>
  <c r="CX176" i="1"/>
  <c r="CN176" i="1"/>
  <c r="BV176" i="1"/>
  <c r="BX176" i="1" s="1"/>
  <c r="BU176" i="1"/>
  <c r="BN176" i="1"/>
  <c r="BO176" i="1" s="1"/>
  <c r="BM176" i="1"/>
  <c r="BD176" i="1"/>
  <c r="BC176" i="1"/>
  <c r="BB176" i="1"/>
  <c r="BA176" i="1"/>
  <c r="AZ176" i="1"/>
  <c r="BF176" i="1" s="1" a="1"/>
  <c r="BF176" i="1" s="1"/>
  <c r="AY176" i="1"/>
  <c r="BE176" i="1" s="1" a="1"/>
  <c r="BE176" i="1" s="1"/>
  <c r="AX176" i="1"/>
  <c r="M176" i="1"/>
  <c r="EM138" i="1"/>
  <c r="DU138" i="1"/>
  <c r="DT138" i="1"/>
  <c r="DN138" i="1"/>
  <c r="DM138" i="1"/>
  <c r="DL138" i="1"/>
  <c r="DK138" i="1"/>
  <c r="DI138" i="1"/>
  <c r="DJ138" i="1" s="1"/>
  <c r="DB138" i="1"/>
  <c r="DC138" i="1" s="1"/>
  <c r="CX138" i="1"/>
  <c r="CN138" i="1"/>
  <c r="BV138" i="1"/>
  <c r="BX138" i="1" s="1"/>
  <c r="BU138" i="1"/>
  <c r="BN138" i="1"/>
  <c r="BO138" i="1" s="1"/>
  <c r="BM138" i="1"/>
  <c r="BD138" i="1"/>
  <c r="BC138" i="1"/>
  <c r="BB138" i="1"/>
  <c r="BA138" i="1"/>
  <c r="AZ138" i="1"/>
  <c r="AY138" i="1"/>
  <c r="BE138" i="1" s="1" a="1"/>
  <c r="BE138" i="1" s="1"/>
  <c r="AX138" i="1"/>
  <c r="M138" i="1"/>
  <c r="EM185" i="1"/>
  <c r="DU185" i="1"/>
  <c r="DT185" i="1"/>
  <c r="DN185" i="1"/>
  <c r="DM185" i="1"/>
  <c r="DL185" i="1"/>
  <c r="DK185" i="1"/>
  <c r="DI185" i="1"/>
  <c r="DJ185" i="1" s="1"/>
  <c r="DB185" i="1"/>
  <c r="DC185" i="1" s="1"/>
  <c r="CX185" i="1"/>
  <c r="CN185" i="1"/>
  <c r="CP185" i="1" s="1"/>
  <c r="BV185" i="1"/>
  <c r="BX185" i="1" s="1"/>
  <c r="BU185" i="1"/>
  <c r="BN185" i="1"/>
  <c r="BO185" i="1" s="1"/>
  <c r="BM185" i="1"/>
  <c r="BD185" i="1"/>
  <c r="BC185" i="1"/>
  <c r="BB185" i="1"/>
  <c r="BA185" i="1"/>
  <c r="AZ185" i="1"/>
  <c r="BF185" i="1" s="1" a="1"/>
  <c r="BF185" i="1" s="1"/>
  <c r="AY185" i="1"/>
  <c r="BE185" i="1" s="1" a="1"/>
  <c r="BE185" i="1" s="1"/>
  <c r="AX185" i="1"/>
  <c r="M185" i="1"/>
  <c r="EM178" i="1"/>
  <c r="DU178" i="1"/>
  <c r="DT178" i="1"/>
  <c r="DN178" i="1"/>
  <c r="DM178" i="1"/>
  <c r="DL178" i="1"/>
  <c r="DK178" i="1"/>
  <c r="DI178" i="1"/>
  <c r="DJ178" i="1" s="1"/>
  <c r="DB178" i="1"/>
  <c r="DC178" i="1" s="1"/>
  <c r="CX178" i="1"/>
  <c r="CN178" i="1"/>
  <c r="CO178" i="1" s="1"/>
  <c r="BV178" i="1"/>
  <c r="BX178" i="1" s="1"/>
  <c r="BU178" i="1"/>
  <c r="BN178" i="1"/>
  <c r="BO178" i="1" s="1"/>
  <c r="BM178" i="1"/>
  <c r="BD178" i="1"/>
  <c r="BC178" i="1"/>
  <c r="BB178" i="1"/>
  <c r="BA178" i="1"/>
  <c r="AZ178" i="1"/>
  <c r="AY178" i="1"/>
  <c r="BE178" i="1" s="1" a="1"/>
  <c r="BE178" i="1" s="1"/>
  <c r="AX178" i="1"/>
  <c r="M178" i="1"/>
  <c r="EM117" i="1"/>
  <c r="DU117" i="1"/>
  <c r="DT117" i="1"/>
  <c r="DN117" i="1"/>
  <c r="DM117" i="1"/>
  <c r="DL117" i="1"/>
  <c r="DK117" i="1"/>
  <c r="DI117" i="1"/>
  <c r="DJ117" i="1" s="1"/>
  <c r="DB117" i="1"/>
  <c r="DC117" i="1" s="1"/>
  <c r="CX117" i="1"/>
  <c r="CN117" i="1"/>
  <c r="CS117" i="1" s="1"/>
  <c r="BV117" i="1"/>
  <c r="BX117" i="1" s="1"/>
  <c r="BU117" i="1"/>
  <c r="BN117" i="1"/>
  <c r="BO117" i="1" s="1"/>
  <c r="BM117" i="1"/>
  <c r="BD117" i="1"/>
  <c r="BC117" i="1"/>
  <c r="BB117" i="1"/>
  <c r="BA117" i="1"/>
  <c r="AZ117" i="1"/>
  <c r="AY117" i="1"/>
  <c r="BE117" i="1" s="1" a="1"/>
  <c r="BE117" i="1" s="1"/>
  <c r="AX117" i="1"/>
  <c r="M117" i="1"/>
  <c r="EM118" i="1"/>
  <c r="DU118" i="1"/>
  <c r="DT118" i="1"/>
  <c r="DN118" i="1"/>
  <c r="DM118" i="1"/>
  <c r="DL118" i="1"/>
  <c r="DK118" i="1"/>
  <c r="DI118" i="1"/>
  <c r="DJ118" i="1" s="1"/>
  <c r="DB118" i="1"/>
  <c r="DC118" i="1" s="1"/>
  <c r="CX118" i="1"/>
  <c r="CN118" i="1"/>
  <c r="CO118" i="1" s="1"/>
  <c r="BV118" i="1"/>
  <c r="BX118" i="1" s="1"/>
  <c r="BU118" i="1"/>
  <c r="BN118" i="1"/>
  <c r="BO118" i="1" s="1"/>
  <c r="BM118" i="1"/>
  <c r="BD118" i="1"/>
  <c r="BC118" i="1"/>
  <c r="BB118" i="1"/>
  <c r="BA118" i="1"/>
  <c r="AZ118" i="1"/>
  <c r="AY118" i="1"/>
  <c r="BE118" i="1" s="1" a="1"/>
  <c r="BE118" i="1" s="1"/>
  <c r="AX118" i="1"/>
  <c r="M118" i="1"/>
  <c r="EM218" i="1"/>
  <c r="DU218" i="1"/>
  <c r="DT218" i="1"/>
  <c r="DN218" i="1"/>
  <c r="DM218" i="1"/>
  <c r="DL218" i="1"/>
  <c r="DK218" i="1"/>
  <c r="DI218" i="1"/>
  <c r="DJ218" i="1" s="1"/>
  <c r="DB218" i="1"/>
  <c r="DC218" i="1" s="1"/>
  <c r="CX218" i="1"/>
  <c r="CN218" i="1"/>
  <c r="CO218" i="1" s="1"/>
  <c r="BV218" i="1"/>
  <c r="BX218" i="1" s="1"/>
  <c r="BU218" i="1"/>
  <c r="BN218" i="1"/>
  <c r="BO218" i="1" s="1"/>
  <c r="BM218" i="1"/>
  <c r="BD218" i="1"/>
  <c r="BC218" i="1"/>
  <c r="BB218" i="1"/>
  <c r="BA218" i="1"/>
  <c r="AZ218" i="1"/>
  <c r="BF218" i="1" s="1" a="1"/>
  <c r="BF218" i="1" s="1"/>
  <c r="AY218" i="1"/>
  <c r="BE218" i="1" s="1" a="1"/>
  <c r="BE218" i="1" s="1"/>
  <c r="AX218" i="1"/>
  <c r="M218" i="1"/>
  <c r="EM130" i="1"/>
  <c r="DU130" i="1"/>
  <c r="DT130" i="1"/>
  <c r="DN130" i="1"/>
  <c r="DM130" i="1"/>
  <c r="DL130" i="1"/>
  <c r="DK130" i="1"/>
  <c r="DI130" i="1"/>
  <c r="DJ130" i="1" s="1"/>
  <c r="DB130" i="1"/>
  <c r="DC130" i="1" s="1"/>
  <c r="CX130" i="1"/>
  <c r="CN130" i="1"/>
  <c r="CO130" i="1" s="1"/>
  <c r="BV130" i="1"/>
  <c r="BX130" i="1" s="1"/>
  <c r="BU130" i="1"/>
  <c r="BN130" i="1"/>
  <c r="BO130" i="1" s="1"/>
  <c r="BM130" i="1"/>
  <c r="BD130" i="1"/>
  <c r="BC130" i="1"/>
  <c r="BB130" i="1"/>
  <c r="BA130" i="1"/>
  <c r="AZ130" i="1"/>
  <c r="BF130" i="1" s="1" a="1"/>
  <c r="BF130" i="1" s="1"/>
  <c r="AY130" i="1"/>
  <c r="BE130" i="1" s="1" a="1"/>
  <c r="BE130" i="1" s="1"/>
  <c r="AX130" i="1"/>
  <c r="M130" i="1"/>
  <c r="EM107" i="1"/>
  <c r="DU107" i="1"/>
  <c r="DT107" i="1"/>
  <c r="DN107" i="1"/>
  <c r="DM107" i="1"/>
  <c r="DL107" i="1"/>
  <c r="DK107" i="1"/>
  <c r="DI107" i="1"/>
  <c r="DJ107" i="1" s="1"/>
  <c r="DB107" i="1"/>
  <c r="DC107" i="1" s="1"/>
  <c r="CX107" i="1"/>
  <c r="CN107" i="1"/>
  <c r="CS107" i="1" s="1"/>
  <c r="BV107" i="1"/>
  <c r="BX107" i="1" s="1"/>
  <c r="BU107" i="1"/>
  <c r="BN107" i="1"/>
  <c r="BO107" i="1" s="1"/>
  <c r="BM107" i="1"/>
  <c r="BD107" i="1"/>
  <c r="BC107" i="1"/>
  <c r="BB107" i="1"/>
  <c r="BA107" i="1"/>
  <c r="AZ107" i="1"/>
  <c r="BF107" i="1" s="1" a="1"/>
  <c r="BF107" i="1" s="1"/>
  <c r="AY107" i="1"/>
  <c r="BE107" i="1" s="1" a="1"/>
  <c r="BE107" i="1" s="1"/>
  <c r="AX107" i="1"/>
  <c r="M107" i="1"/>
  <c r="EM94" i="1"/>
  <c r="DU94" i="1"/>
  <c r="DT94" i="1"/>
  <c r="DN94" i="1"/>
  <c r="DM94" i="1"/>
  <c r="DL94" i="1"/>
  <c r="DK94" i="1"/>
  <c r="DI94" i="1"/>
  <c r="DJ94" i="1" s="1"/>
  <c r="DB94" i="1"/>
  <c r="DC94" i="1" s="1"/>
  <c r="CX94" i="1"/>
  <c r="CN94" i="1"/>
  <c r="CO94" i="1" s="1"/>
  <c r="BV94" i="1"/>
  <c r="BX94" i="1" s="1"/>
  <c r="BU94" i="1"/>
  <c r="BN94" i="1"/>
  <c r="BO94" i="1" s="1"/>
  <c r="BM94" i="1"/>
  <c r="BD94" i="1"/>
  <c r="BC94" i="1"/>
  <c r="BB94" i="1"/>
  <c r="BA94" i="1"/>
  <c r="AZ94" i="1"/>
  <c r="AY94" i="1"/>
  <c r="BE94" i="1" s="1" a="1"/>
  <c r="BE94" i="1" s="1"/>
  <c r="AX94" i="1"/>
  <c r="M94" i="1"/>
  <c r="EM96" i="1"/>
  <c r="DU96" i="1"/>
  <c r="DT96" i="1"/>
  <c r="DN96" i="1"/>
  <c r="DM96" i="1"/>
  <c r="DL96" i="1"/>
  <c r="DK96" i="1"/>
  <c r="DI96" i="1"/>
  <c r="DJ96" i="1" s="1"/>
  <c r="DB96" i="1"/>
  <c r="DC96" i="1" s="1"/>
  <c r="CX96" i="1"/>
  <c r="CN96" i="1"/>
  <c r="CP96" i="1" s="1"/>
  <c r="BV96" i="1"/>
  <c r="BX96" i="1" s="1"/>
  <c r="BU96" i="1"/>
  <c r="BN96" i="1"/>
  <c r="BO96" i="1" s="1"/>
  <c r="BM96" i="1"/>
  <c r="BD96" i="1"/>
  <c r="BC96" i="1"/>
  <c r="BB96" i="1"/>
  <c r="BA96" i="1"/>
  <c r="AZ96" i="1"/>
  <c r="BF96" i="1" s="1" a="1"/>
  <c r="BF96" i="1" s="1"/>
  <c r="AY96" i="1"/>
  <c r="BE96" i="1" s="1" a="1"/>
  <c r="BE96" i="1" s="1"/>
  <c r="AX96" i="1"/>
  <c r="M96" i="1"/>
  <c r="EM197" i="1"/>
  <c r="DU197" i="1"/>
  <c r="DT197" i="1"/>
  <c r="DN197" i="1"/>
  <c r="DM197" i="1"/>
  <c r="DL197" i="1"/>
  <c r="DK197" i="1"/>
  <c r="DI197" i="1"/>
  <c r="DJ197" i="1" s="1"/>
  <c r="DB197" i="1"/>
  <c r="DC197" i="1" s="1"/>
  <c r="CX197" i="1"/>
  <c r="CN197" i="1"/>
  <c r="CO197" i="1" s="1"/>
  <c r="BV197" i="1"/>
  <c r="BX197" i="1" s="1"/>
  <c r="BU197" i="1"/>
  <c r="BN197" i="1"/>
  <c r="BO197" i="1" s="1"/>
  <c r="BM197" i="1"/>
  <c r="BD197" i="1"/>
  <c r="BC197" i="1"/>
  <c r="BB197" i="1"/>
  <c r="BA197" i="1"/>
  <c r="AZ197" i="1"/>
  <c r="AY197" i="1"/>
  <c r="AX197" i="1"/>
  <c r="M197" i="1"/>
  <c r="EM196" i="1"/>
  <c r="DU196" i="1"/>
  <c r="DT196" i="1"/>
  <c r="DN196" i="1"/>
  <c r="DM196" i="1"/>
  <c r="DL196" i="1"/>
  <c r="DK196" i="1"/>
  <c r="DI196" i="1"/>
  <c r="DJ196" i="1" s="1"/>
  <c r="DB196" i="1"/>
  <c r="DC196" i="1" s="1"/>
  <c r="CX196" i="1"/>
  <c r="CN196" i="1"/>
  <c r="CO196" i="1" s="1"/>
  <c r="BV196" i="1"/>
  <c r="BX196" i="1" s="1"/>
  <c r="BU196" i="1"/>
  <c r="BN196" i="1"/>
  <c r="BO196" i="1" s="1"/>
  <c r="BM196" i="1"/>
  <c r="BD196" i="1"/>
  <c r="BC196" i="1"/>
  <c r="BB196" i="1"/>
  <c r="BA196" i="1"/>
  <c r="AZ196" i="1"/>
  <c r="AY196" i="1"/>
  <c r="BE196" i="1" s="1" a="1"/>
  <c r="BE196" i="1" s="1"/>
  <c r="AX196" i="1"/>
  <c r="M196" i="1"/>
  <c r="EM169" i="1"/>
  <c r="DU169" i="1"/>
  <c r="DT169" i="1"/>
  <c r="DN169" i="1"/>
  <c r="DM169" i="1"/>
  <c r="DL169" i="1"/>
  <c r="DK169" i="1"/>
  <c r="DI169" i="1"/>
  <c r="DJ169" i="1" s="1"/>
  <c r="DB169" i="1"/>
  <c r="DC169" i="1" s="1"/>
  <c r="CX169" i="1"/>
  <c r="CN169" i="1"/>
  <c r="CS169" i="1" s="1"/>
  <c r="BV169" i="1"/>
  <c r="BX169" i="1" s="1"/>
  <c r="BU169" i="1"/>
  <c r="BN169" i="1"/>
  <c r="BO169" i="1" s="1"/>
  <c r="BM169" i="1"/>
  <c r="BD169" i="1"/>
  <c r="BC169" i="1"/>
  <c r="BB169" i="1"/>
  <c r="BA169" i="1"/>
  <c r="AZ169" i="1"/>
  <c r="AY169" i="1"/>
  <c r="AX169" i="1"/>
  <c r="M169" i="1"/>
  <c r="EM168" i="1"/>
  <c r="DU168" i="1"/>
  <c r="DT168" i="1"/>
  <c r="DN168" i="1"/>
  <c r="DM168" i="1"/>
  <c r="DL168" i="1"/>
  <c r="DK168" i="1"/>
  <c r="DI168" i="1"/>
  <c r="DJ168" i="1" s="1"/>
  <c r="DB168" i="1"/>
  <c r="DC168" i="1" s="1"/>
  <c r="CX168" i="1"/>
  <c r="CN168" i="1"/>
  <c r="CR168" i="1" s="1"/>
  <c r="BV168" i="1"/>
  <c r="BX168" i="1" s="1"/>
  <c r="BU168" i="1"/>
  <c r="BN168" i="1"/>
  <c r="BO168" i="1" s="1"/>
  <c r="BM168" i="1"/>
  <c r="BD168" i="1"/>
  <c r="BC168" i="1"/>
  <c r="BB168" i="1"/>
  <c r="BA168" i="1"/>
  <c r="AZ168" i="1"/>
  <c r="BF168" i="1" s="1" a="1"/>
  <c r="BF168" i="1" s="1"/>
  <c r="AY168" i="1"/>
  <c r="BE168" i="1" s="1" a="1"/>
  <c r="BE168" i="1" s="1"/>
  <c r="AX168" i="1"/>
  <c r="M168" i="1"/>
  <c r="EM143" i="1"/>
  <c r="DU143" i="1"/>
  <c r="DT143" i="1"/>
  <c r="DN143" i="1"/>
  <c r="DM143" i="1"/>
  <c r="DL143" i="1"/>
  <c r="DK143" i="1"/>
  <c r="DI143" i="1"/>
  <c r="DJ143" i="1" s="1"/>
  <c r="DB143" i="1"/>
  <c r="DC143" i="1" s="1"/>
  <c r="CX143" i="1"/>
  <c r="CN143" i="1"/>
  <c r="CO143" i="1" s="1"/>
  <c r="BV143" i="1"/>
  <c r="BX143" i="1" s="1"/>
  <c r="BU143" i="1"/>
  <c r="BN143" i="1"/>
  <c r="BO143" i="1" s="1"/>
  <c r="BM143" i="1"/>
  <c r="BD143" i="1"/>
  <c r="BC143" i="1"/>
  <c r="BB143" i="1"/>
  <c r="BA143" i="1"/>
  <c r="AZ143" i="1"/>
  <c r="BF143" i="1" s="1" a="1"/>
  <c r="BF143" i="1" s="1"/>
  <c r="AY143" i="1"/>
  <c r="AX143" i="1"/>
  <c r="M143" i="1"/>
  <c r="EM142" i="1"/>
  <c r="DU142" i="1"/>
  <c r="DT142" i="1"/>
  <c r="DN142" i="1"/>
  <c r="DM142" i="1"/>
  <c r="DL142" i="1"/>
  <c r="DK142" i="1"/>
  <c r="DI142" i="1"/>
  <c r="DJ142" i="1" s="1"/>
  <c r="DB142" i="1"/>
  <c r="DC142" i="1" s="1"/>
  <c r="CX142" i="1"/>
  <c r="CN142" i="1"/>
  <c r="BV142" i="1"/>
  <c r="BX142" i="1" s="1"/>
  <c r="BU142" i="1"/>
  <c r="BN142" i="1"/>
  <c r="BO142" i="1" s="1"/>
  <c r="BM142" i="1"/>
  <c r="BD142" i="1"/>
  <c r="BC142" i="1"/>
  <c r="BB142" i="1"/>
  <c r="BA142" i="1"/>
  <c r="AZ142" i="1"/>
  <c r="BF142" i="1" s="1" a="1"/>
  <c r="BF142" i="1" s="1"/>
  <c r="AY142" i="1"/>
  <c r="BE142" i="1" s="1" a="1"/>
  <c r="BE142" i="1" s="1"/>
  <c r="AX142" i="1"/>
  <c r="M142" i="1"/>
  <c r="EM82" i="1"/>
  <c r="DU82" i="1"/>
  <c r="DT82" i="1"/>
  <c r="DN82" i="1"/>
  <c r="DM82" i="1"/>
  <c r="DL82" i="1"/>
  <c r="DK82" i="1"/>
  <c r="DI82" i="1"/>
  <c r="DJ82" i="1" s="1"/>
  <c r="DB82" i="1"/>
  <c r="DC82" i="1" s="1"/>
  <c r="CX82" i="1"/>
  <c r="CN82" i="1"/>
  <c r="BX82" i="1"/>
  <c r="BO82" i="1"/>
  <c r="BD82" i="1"/>
  <c r="BC82" i="1"/>
  <c r="BB82" i="1"/>
  <c r="BA82" i="1"/>
  <c r="AZ82" i="1"/>
  <c r="AY82" i="1"/>
  <c r="AX82" i="1"/>
  <c r="M82" i="1"/>
  <c r="EM60" i="1"/>
  <c r="DU60" i="1"/>
  <c r="DT60" i="1"/>
  <c r="DN60" i="1"/>
  <c r="DM60" i="1"/>
  <c r="DL60" i="1"/>
  <c r="DK60" i="1"/>
  <c r="DI60" i="1"/>
  <c r="DJ60" i="1" s="1"/>
  <c r="DB60" i="1"/>
  <c r="DC60" i="1" s="1"/>
  <c r="CX60" i="1"/>
  <c r="CN60" i="1"/>
  <c r="BX60" i="1"/>
  <c r="BO60" i="1"/>
  <c r="BD60" i="1"/>
  <c r="BC60" i="1"/>
  <c r="BB60" i="1"/>
  <c r="BA60" i="1"/>
  <c r="AZ60" i="1"/>
  <c r="BF60" i="1" s="1" a="1"/>
  <c r="BF60" i="1" s="1"/>
  <c r="AY60" i="1"/>
  <c r="AX60" i="1"/>
  <c r="M60" i="1"/>
  <c r="EM865" i="1"/>
  <c r="DU865" i="1"/>
  <c r="DT865" i="1"/>
  <c r="DN865" i="1"/>
  <c r="DM865" i="1"/>
  <c r="DL865" i="1"/>
  <c r="DK865" i="1"/>
  <c r="DI865" i="1"/>
  <c r="DJ865" i="1" s="1"/>
  <c r="DC865" i="1"/>
  <c r="CX865" i="1"/>
  <c r="BX865" i="1"/>
  <c r="BL865" i="1"/>
  <c r="BM865" i="1" s="1"/>
  <c r="BD865" i="1"/>
  <c r="BC865" i="1"/>
  <c r="BB865" i="1"/>
  <c r="BA865" i="1"/>
  <c r="AZ865" i="1"/>
  <c r="BF865" i="1" s="1" a="1"/>
  <c r="BF865" i="1" s="1"/>
  <c r="AY865" i="1"/>
  <c r="BE865" i="1" s="1" a="1"/>
  <c r="BE865" i="1" s="1"/>
  <c r="AX865" i="1"/>
  <c r="M865" i="1"/>
  <c r="EM833" i="1"/>
  <c r="DU833" i="1"/>
  <c r="DT833" i="1"/>
  <c r="DN833" i="1"/>
  <c r="DM833" i="1"/>
  <c r="DL833" i="1"/>
  <c r="DK833" i="1"/>
  <c r="DI833" i="1"/>
  <c r="DJ833" i="1" s="1"/>
  <c r="DC833" i="1"/>
  <c r="CX833" i="1"/>
  <c r="BX833" i="1"/>
  <c r="BL833" i="1"/>
  <c r="CN833" i="1" s="1"/>
  <c r="BD833" i="1"/>
  <c r="BC833" i="1"/>
  <c r="BB833" i="1"/>
  <c r="BA833" i="1"/>
  <c r="AZ833" i="1"/>
  <c r="BF833" i="1" s="1" a="1"/>
  <c r="BF833" i="1" s="1"/>
  <c r="AY833" i="1"/>
  <c r="BE833" i="1" s="1" a="1"/>
  <c r="BE833" i="1" s="1"/>
  <c r="AX833" i="1"/>
  <c r="M833" i="1"/>
  <c r="EM648" i="1"/>
  <c r="DU648" i="1"/>
  <c r="DT648" i="1"/>
  <c r="DN648" i="1"/>
  <c r="DM648" i="1"/>
  <c r="DL648" i="1"/>
  <c r="DK648" i="1"/>
  <c r="DI648" i="1"/>
  <c r="DJ648" i="1" s="1"/>
  <c r="DC648" i="1"/>
  <c r="CX648" i="1"/>
  <c r="CN648" i="1"/>
  <c r="BX648" i="1"/>
  <c r="BN648" i="1"/>
  <c r="BO648" i="1" s="1"/>
  <c r="BM648" i="1"/>
  <c r="BD648" i="1"/>
  <c r="BC648" i="1"/>
  <c r="BB648" i="1"/>
  <c r="BA648" i="1"/>
  <c r="AZ648" i="1"/>
  <c r="BF648" i="1" s="1" a="1"/>
  <c r="BF648" i="1" s="1"/>
  <c r="AY648" i="1"/>
  <c r="BE648" i="1" s="1" a="1"/>
  <c r="BE648" i="1" s="1"/>
  <c r="AX648" i="1"/>
  <c r="M648" i="1"/>
  <c r="EM1206" i="1"/>
  <c r="DU1206" i="1"/>
  <c r="DT1206" i="1"/>
  <c r="DN1206" i="1"/>
  <c r="DM1206" i="1"/>
  <c r="DL1206" i="1"/>
  <c r="DK1206" i="1"/>
  <c r="DI1206" i="1"/>
  <c r="DJ1206" i="1" s="1"/>
  <c r="DC1206" i="1"/>
  <c r="CX1206" i="1"/>
  <c r="CN1206" i="1"/>
  <c r="CR1206" i="1" s="1"/>
  <c r="BX1206" i="1"/>
  <c r="BN1206" i="1"/>
  <c r="BO1206" i="1" s="1"/>
  <c r="BM1206" i="1"/>
  <c r="BD1206" i="1"/>
  <c r="BC1206" i="1"/>
  <c r="BB1206" i="1"/>
  <c r="BA1206" i="1"/>
  <c r="AZ1206" i="1"/>
  <c r="BF1206" i="1" s="1" a="1"/>
  <c r="BF1206" i="1" s="1"/>
  <c r="AY1206" i="1"/>
  <c r="AX1206" i="1"/>
  <c r="M1206" i="1"/>
  <c r="EM1205" i="1"/>
  <c r="DU1205" i="1"/>
  <c r="DT1205" i="1"/>
  <c r="DN1205" i="1"/>
  <c r="DM1205" i="1"/>
  <c r="DL1205" i="1"/>
  <c r="DK1205" i="1"/>
  <c r="DI1205" i="1"/>
  <c r="DJ1205" i="1" s="1"/>
  <c r="DC1205" i="1"/>
  <c r="CX1205" i="1"/>
  <c r="CN1205" i="1"/>
  <c r="BX1205" i="1"/>
  <c r="BN1205" i="1"/>
  <c r="BO1205" i="1" s="1"/>
  <c r="BM1205" i="1"/>
  <c r="BD1205" i="1"/>
  <c r="BC1205" i="1"/>
  <c r="BB1205" i="1"/>
  <c r="BA1205" i="1"/>
  <c r="AZ1205" i="1"/>
  <c r="AY1205" i="1"/>
  <c r="AX1205" i="1"/>
  <c r="M1205" i="1"/>
  <c r="EM929" i="1"/>
  <c r="DU929" i="1"/>
  <c r="DT929" i="1"/>
  <c r="DN929" i="1"/>
  <c r="DM929" i="1"/>
  <c r="DL929" i="1"/>
  <c r="DK929" i="1"/>
  <c r="DI929" i="1"/>
  <c r="DJ929" i="1" s="1"/>
  <c r="DC929" i="1"/>
  <c r="CX929" i="1"/>
  <c r="BX929" i="1"/>
  <c r="BL929" i="1"/>
  <c r="BD929" i="1"/>
  <c r="BC929" i="1"/>
  <c r="BB929" i="1"/>
  <c r="BA929" i="1"/>
  <c r="AZ929" i="1"/>
  <c r="BF929" i="1" s="1" a="1"/>
  <c r="BF929" i="1" s="1"/>
  <c r="AY929" i="1"/>
  <c r="AX929" i="1"/>
  <c r="M929" i="1"/>
  <c r="EM844" i="1"/>
  <c r="DU844" i="1"/>
  <c r="DT844" i="1"/>
  <c r="DN844" i="1"/>
  <c r="DM844" i="1"/>
  <c r="DL844" i="1"/>
  <c r="DK844" i="1"/>
  <c r="DI844" i="1"/>
  <c r="DJ844" i="1" s="1"/>
  <c r="DC844" i="1"/>
  <c r="CX844" i="1"/>
  <c r="BX844" i="1"/>
  <c r="BL844" i="1"/>
  <c r="BN844" i="1" s="1"/>
  <c r="BO844" i="1" s="1"/>
  <c r="BD844" i="1"/>
  <c r="BC844" i="1"/>
  <c r="BB844" i="1"/>
  <c r="BA844" i="1"/>
  <c r="AZ844" i="1"/>
  <c r="AY844" i="1"/>
  <c r="AX844" i="1"/>
  <c r="M844" i="1"/>
  <c r="EM884" i="1"/>
  <c r="DU884" i="1"/>
  <c r="DT884" i="1"/>
  <c r="DN884" i="1"/>
  <c r="DM884" i="1"/>
  <c r="DL884" i="1"/>
  <c r="DK884" i="1"/>
  <c r="DI884" i="1"/>
  <c r="DJ884" i="1" s="1"/>
  <c r="DC884" i="1"/>
  <c r="CX884" i="1"/>
  <c r="CN884" i="1"/>
  <c r="CS884" i="1" s="1"/>
  <c r="BX884" i="1"/>
  <c r="BN884" i="1"/>
  <c r="BO884" i="1" s="1"/>
  <c r="BM884" i="1"/>
  <c r="BD884" i="1"/>
  <c r="BC884" i="1"/>
  <c r="BB884" i="1"/>
  <c r="BA884" i="1"/>
  <c r="AZ884" i="1"/>
  <c r="BF884" i="1" s="1" a="1"/>
  <c r="BF884" i="1" s="1"/>
  <c r="AY884" i="1"/>
  <c r="BE884" i="1" s="1" a="1"/>
  <c r="BE884" i="1" s="1"/>
  <c r="AX884" i="1"/>
  <c r="M884" i="1"/>
  <c r="EM145" i="1"/>
  <c r="DU145" i="1"/>
  <c r="DT145" i="1"/>
  <c r="DN145" i="1"/>
  <c r="DM145" i="1"/>
  <c r="DL145" i="1"/>
  <c r="DK145" i="1"/>
  <c r="DI145" i="1"/>
  <c r="DJ145" i="1" s="1"/>
  <c r="DC145" i="1"/>
  <c r="CX145" i="1"/>
  <c r="CN145" i="1"/>
  <c r="CR145" i="1" s="1"/>
  <c r="BX145" i="1"/>
  <c r="BN145" i="1"/>
  <c r="BO145" i="1" s="1"/>
  <c r="BM145" i="1"/>
  <c r="BD145" i="1"/>
  <c r="BC145" i="1"/>
  <c r="BB145" i="1"/>
  <c r="BA145" i="1"/>
  <c r="AZ145" i="1"/>
  <c r="BF145" i="1" s="1" a="1"/>
  <c r="BF145" i="1" s="1"/>
  <c r="AY145" i="1"/>
  <c r="BE145" i="1" s="1" a="1"/>
  <c r="BE145" i="1" s="1"/>
  <c r="AX145" i="1"/>
  <c r="M145" i="1"/>
  <c r="EM131" i="1"/>
  <c r="DU131" i="1"/>
  <c r="DT131" i="1"/>
  <c r="DN131" i="1"/>
  <c r="DM131" i="1"/>
  <c r="DL131" i="1"/>
  <c r="DK131" i="1"/>
  <c r="DI131" i="1"/>
  <c r="DJ131" i="1" s="1"/>
  <c r="DC131" i="1"/>
  <c r="CX131" i="1"/>
  <c r="CN131" i="1"/>
  <c r="CS131" i="1" s="1"/>
  <c r="BX131" i="1"/>
  <c r="BN131" i="1"/>
  <c r="BO131" i="1" s="1"/>
  <c r="BM131" i="1"/>
  <c r="BD131" i="1"/>
  <c r="BC131" i="1"/>
  <c r="BB131" i="1"/>
  <c r="BA131" i="1"/>
  <c r="AZ131" i="1"/>
  <c r="BF131" i="1" s="1" a="1"/>
  <c r="BF131" i="1" s="1"/>
  <c r="AY131" i="1"/>
  <c r="BE131" i="1" s="1" a="1"/>
  <c r="BE131" i="1" s="1"/>
  <c r="AX131" i="1"/>
  <c r="M131" i="1"/>
  <c r="EM90" i="1"/>
  <c r="DU90" i="1"/>
  <c r="DT90" i="1"/>
  <c r="DN90" i="1"/>
  <c r="DM90" i="1"/>
  <c r="DL90" i="1"/>
  <c r="DK90" i="1"/>
  <c r="DI90" i="1"/>
  <c r="DJ90" i="1" s="1"/>
  <c r="DC90" i="1"/>
  <c r="CX90" i="1"/>
  <c r="CN90" i="1"/>
  <c r="BX90" i="1"/>
  <c r="BN90" i="1"/>
  <c r="BO90" i="1" s="1"/>
  <c r="BM90" i="1"/>
  <c r="BD90" i="1"/>
  <c r="BC90" i="1"/>
  <c r="BB90" i="1"/>
  <c r="BA90" i="1"/>
  <c r="AZ90" i="1"/>
  <c r="AY90" i="1"/>
  <c r="BE90" i="1" s="1" a="1"/>
  <c r="BE90" i="1" s="1"/>
  <c r="AX90" i="1"/>
  <c r="M90" i="1"/>
  <c r="EM88" i="1"/>
  <c r="DU88" i="1"/>
  <c r="DT88" i="1"/>
  <c r="DN88" i="1"/>
  <c r="DM88" i="1"/>
  <c r="DL88" i="1"/>
  <c r="DK88" i="1"/>
  <c r="DI88" i="1"/>
  <c r="DJ88" i="1" s="1"/>
  <c r="DC88" i="1"/>
  <c r="CX88" i="1"/>
  <c r="CN88" i="1"/>
  <c r="CS88" i="1" s="1"/>
  <c r="BX88" i="1"/>
  <c r="BN88" i="1"/>
  <c r="BO88" i="1" s="1"/>
  <c r="BM88" i="1"/>
  <c r="BD88" i="1"/>
  <c r="BC88" i="1"/>
  <c r="BB88" i="1"/>
  <c r="BA88" i="1"/>
  <c r="AZ88" i="1"/>
  <c r="BF88" i="1" s="1" a="1"/>
  <c r="BF88" i="1" s="1"/>
  <c r="AY88" i="1"/>
  <c r="BE88" i="1" s="1" a="1"/>
  <c r="BE88" i="1" s="1"/>
  <c r="AX88" i="1"/>
  <c r="M88" i="1"/>
  <c r="EM778" i="1"/>
  <c r="DU778" i="1"/>
  <c r="DN778" i="1"/>
  <c r="DM778" i="1"/>
  <c r="DL778" i="1"/>
  <c r="DK778" i="1"/>
  <c r="DI778" i="1"/>
  <c r="DJ778" i="1" s="1"/>
  <c r="DB778" i="1"/>
  <c r="DC778" i="1" s="1"/>
  <c r="CX778" i="1"/>
  <c r="CN778" i="1"/>
  <c r="CR778" i="1" s="1"/>
  <c r="BV778" i="1"/>
  <c r="BX778" i="1" s="1"/>
  <c r="BN778" i="1"/>
  <c r="BO778" i="1" s="1"/>
  <c r="BM778" i="1"/>
  <c r="BD778" i="1"/>
  <c r="BC778" i="1"/>
  <c r="BB778" i="1"/>
  <c r="BA778" i="1"/>
  <c r="AZ778" i="1"/>
  <c r="AY778" i="1"/>
  <c r="BE778" i="1" s="1" a="1"/>
  <c r="BE778" i="1" s="1"/>
  <c r="AX778" i="1"/>
  <c r="M778" i="1"/>
  <c r="EM849" i="1"/>
  <c r="DU849" i="1"/>
  <c r="DN849" i="1"/>
  <c r="DM849" i="1"/>
  <c r="DL849" i="1"/>
  <c r="DK849" i="1"/>
  <c r="DI849" i="1"/>
  <c r="DJ849" i="1" s="1"/>
  <c r="DB849" i="1"/>
  <c r="DC849" i="1" s="1"/>
  <c r="CX849" i="1"/>
  <c r="CN849" i="1"/>
  <c r="CS849" i="1" s="1"/>
  <c r="BV849" i="1"/>
  <c r="BX849" i="1" s="1"/>
  <c r="BN849" i="1"/>
  <c r="BO849" i="1" s="1"/>
  <c r="BM849" i="1"/>
  <c r="BD849" i="1"/>
  <c r="BC849" i="1"/>
  <c r="BB849" i="1"/>
  <c r="BA849" i="1"/>
  <c r="AZ849" i="1"/>
  <c r="AY849" i="1"/>
  <c r="BE849" i="1" s="1" a="1"/>
  <c r="BE849" i="1" s="1"/>
  <c r="AX849" i="1"/>
  <c r="M849" i="1"/>
  <c r="EM901" i="1"/>
  <c r="DU901" i="1"/>
  <c r="DN901" i="1"/>
  <c r="DM901" i="1"/>
  <c r="DL901" i="1"/>
  <c r="DK901" i="1"/>
  <c r="DI901" i="1"/>
  <c r="DJ901" i="1" s="1"/>
  <c r="DB901" i="1"/>
  <c r="DC901" i="1" s="1"/>
  <c r="CX901" i="1"/>
  <c r="CN901" i="1"/>
  <c r="BV901" i="1"/>
  <c r="BX901" i="1" s="1"/>
  <c r="BN901" i="1"/>
  <c r="BO901" i="1" s="1"/>
  <c r="BM901" i="1"/>
  <c r="BD901" i="1"/>
  <c r="BC901" i="1"/>
  <c r="BB901" i="1"/>
  <c r="BA901" i="1"/>
  <c r="AZ901" i="1"/>
  <c r="AY901" i="1"/>
  <c r="BE901" i="1" s="1" a="1"/>
  <c r="BE901" i="1" s="1"/>
  <c r="AX901" i="1"/>
  <c r="M901" i="1"/>
  <c r="EM924" i="1"/>
  <c r="DU924" i="1"/>
  <c r="DN924" i="1"/>
  <c r="DM924" i="1"/>
  <c r="DL924" i="1"/>
  <c r="DK924" i="1"/>
  <c r="DI924" i="1"/>
  <c r="DJ924" i="1" s="1"/>
  <c r="DB924" i="1"/>
  <c r="DC924" i="1" s="1"/>
  <c r="CX924" i="1"/>
  <c r="CN924" i="1"/>
  <c r="CR924" i="1" s="1"/>
  <c r="BV924" i="1"/>
  <c r="BX924" i="1" s="1"/>
  <c r="BN924" i="1"/>
  <c r="BO924" i="1" s="1"/>
  <c r="BM924" i="1"/>
  <c r="BD924" i="1"/>
  <c r="BC924" i="1"/>
  <c r="BB924" i="1"/>
  <c r="BA924" i="1"/>
  <c r="AZ924" i="1"/>
  <c r="BF924" i="1" s="1" a="1"/>
  <c r="BF924" i="1" s="1"/>
  <c r="AY924" i="1"/>
  <c r="BE924" i="1" s="1" a="1"/>
  <c r="BE924" i="1" s="1"/>
  <c r="AX924" i="1"/>
  <c r="M924" i="1"/>
  <c r="EM68" i="1"/>
  <c r="DU68" i="1"/>
  <c r="DN68" i="1"/>
  <c r="DM68" i="1"/>
  <c r="DL68" i="1"/>
  <c r="DK68" i="1"/>
  <c r="DI68" i="1"/>
  <c r="DJ68" i="1" s="1"/>
  <c r="DB68" i="1"/>
  <c r="DC68" i="1" s="1"/>
  <c r="CX68" i="1"/>
  <c r="CN68" i="1"/>
  <c r="CS68" i="1" s="1"/>
  <c r="BV68" i="1"/>
  <c r="BX68" i="1" s="1"/>
  <c r="BN68" i="1"/>
  <c r="BO68" i="1" s="1"/>
  <c r="BM68" i="1"/>
  <c r="BD68" i="1"/>
  <c r="BC68" i="1"/>
  <c r="BB68" i="1"/>
  <c r="BA68" i="1"/>
  <c r="AZ68" i="1"/>
  <c r="AY68" i="1"/>
  <c r="BE68" i="1" s="1" a="1"/>
  <c r="BE68" i="1" s="1"/>
  <c r="AX68" i="1"/>
  <c r="M68" i="1"/>
  <c r="EM56" i="1"/>
  <c r="DU56" i="1"/>
  <c r="DN56" i="1"/>
  <c r="DM56" i="1"/>
  <c r="DL56" i="1"/>
  <c r="DK56" i="1"/>
  <c r="DI56" i="1"/>
  <c r="DJ56" i="1" s="1"/>
  <c r="DB56" i="1"/>
  <c r="DC56" i="1" s="1"/>
  <c r="CX56" i="1"/>
  <c r="CN56" i="1"/>
  <c r="CR56" i="1" s="1"/>
  <c r="BV56" i="1"/>
  <c r="BX56" i="1" s="1"/>
  <c r="BN56" i="1"/>
  <c r="BO56" i="1" s="1"/>
  <c r="BM56" i="1"/>
  <c r="BD56" i="1"/>
  <c r="BC56" i="1"/>
  <c r="BB56" i="1"/>
  <c r="BA56" i="1"/>
  <c r="AZ56" i="1"/>
  <c r="BF56" i="1" s="1" a="1"/>
  <c r="BF56" i="1" s="1"/>
  <c r="AY56" i="1"/>
  <c r="BE56" i="1" s="1" a="1"/>
  <c r="BE56" i="1" s="1"/>
  <c r="AX56" i="1"/>
  <c r="M56" i="1"/>
  <c r="EM271" i="1"/>
  <c r="DT271" i="1"/>
  <c r="DN271" i="1"/>
  <c r="DM271" i="1"/>
  <c r="DL271" i="1"/>
  <c r="DK271" i="1"/>
  <c r="DJ271" i="1"/>
  <c r="DC271" i="1"/>
  <c r="CX271" i="1"/>
  <c r="CN271" i="1"/>
  <c r="BX271" i="1"/>
  <c r="BT271" i="1"/>
  <c r="BS271" i="1"/>
  <c r="BN271" i="1"/>
  <c r="BO271" i="1" s="1"/>
  <c r="BD271" i="1"/>
  <c r="BC271" i="1"/>
  <c r="BB271" i="1"/>
  <c r="BA271" i="1"/>
  <c r="AZ271" i="1"/>
  <c r="BF271" i="1" s="1" a="1"/>
  <c r="BF271" i="1" s="1"/>
  <c r="AY271" i="1"/>
  <c r="BE271" i="1" s="1" a="1"/>
  <c r="BE271" i="1" s="1"/>
  <c r="AX271" i="1"/>
  <c r="M271" i="1"/>
  <c r="EM276" i="1"/>
  <c r="DT276" i="1"/>
  <c r="DN276" i="1"/>
  <c r="DM276" i="1"/>
  <c r="DL276" i="1"/>
  <c r="DK276" i="1"/>
  <c r="DJ276" i="1"/>
  <c r="DC276" i="1"/>
  <c r="CX276" i="1"/>
  <c r="CN276" i="1"/>
  <c r="CS276" i="1" s="1"/>
  <c r="BX276" i="1"/>
  <c r="BT276" i="1"/>
  <c r="BS276" i="1"/>
  <c r="BN276" i="1"/>
  <c r="BO276" i="1" s="1"/>
  <c r="BD276" i="1"/>
  <c r="BC276" i="1"/>
  <c r="BB276" i="1"/>
  <c r="BA276" i="1"/>
  <c r="AZ276" i="1"/>
  <c r="AY276" i="1"/>
  <c r="BE276" i="1" s="1" a="1"/>
  <c r="BE276" i="1" s="1"/>
  <c r="AX276" i="1"/>
  <c r="M276" i="1"/>
  <c r="EM280" i="1"/>
  <c r="DT280" i="1"/>
  <c r="DN280" i="1"/>
  <c r="DM280" i="1"/>
  <c r="DL280" i="1"/>
  <c r="DK280" i="1"/>
  <c r="DJ280" i="1"/>
  <c r="DC280" i="1"/>
  <c r="CX280" i="1"/>
  <c r="CN280" i="1"/>
  <c r="BX280" i="1"/>
  <c r="BT280" i="1"/>
  <c r="BS280" i="1"/>
  <c r="BN280" i="1"/>
  <c r="BO280" i="1" s="1"/>
  <c r="BD280" i="1"/>
  <c r="BC280" i="1"/>
  <c r="BB280" i="1"/>
  <c r="BA280" i="1"/>
  <c r="AZ280" i="1"/>
  <c r="BF280" i="1" s="1" a="1"/>
  <c r="BF280" i="1" s="1"/>
  <c r="AY280" i="1"/>
  <c r="BE280" i="1" s="1" a="1"/>
  <c r="BE280" i="1" s="1"/>
  <c r="AX280" i="1"/>
  <c r="M280" i="1"/>
  <c r="EM310" i="1"/>
  <c r="DT310" i="1"/>
  <c r="DN310" i="1"/>
  <c r="DM310" i="1"/>
  <c r="DL310" i="1"/>
  <c r="DK310" i="1"/>
  <c r="DJ310" i="1"/>
  <c r="DC310" i="1"/>
  <c r="CX310" i="1"/>
  <c r="CN310" i="1"/>
  <c r="CO310" i="1" s="1"/>
  <c r="BX310" i="1"/>
  <c r="BT310" i="1"/>
  <c r="BS310" i="1"/>
  <c r="BN310" i="1"/>
  <c r="BO310" i="1" s="1"/>
  <c r="BD310" i="1"/>
  <c r="BC310" i="1"/>
  <c r="BB310" i="1"/>
  <c r="BA310" i="1"/>
  <c r="AZ310" i="1"/>
  <c r="BF310" i="1" s="1" a="1"/>
  <c r="BF310" i="1" s="1"/>
  <c r="AY310" i="1"/>
  <c r="BE310" i="1" s="1" a="1"/>
  <c r="BE310" i="1" s="1"/>
  <c r="AX310" i="1"/>
  <c r="M310" i="1"/>
  <c r="EM827" i="1"/>
  <c r="DU827" i="1"/>
  <c r="DT827" i="1"/>
  <c r="DN827" i="1"/>
  <c r="DM827" i="1"/>
  <c r="DL827" i="1"/>
  <c r="DK827" i="1"/>
  <c r="DI827" i="1"/>
  <c r="DJ827" i="1" s="1"/>
  <c r="DC827" i="1"/>
  <c r="CX827" i="1"/>
  <c r="CN827" i="1"/>
  <c r="CS827" i="1" s="1"/>
  <c r="BV827" i="1"/>
  <c r="BX827" i="1" s="1"/>
  <c r="BU827" i="1"/>
  <c r="BN827" i="1"/>
  <c r="BO827" i="1" s="1"/>
  <c r="BD827" i="1"/>
  <c r="BC827" i="1"/>
  <c r="BB827" i="1"/>
  <c r="BA827" i="1"/>
  <c r="AZ827" i="1"/>
  <c r="BF827" i="1" s="1" a="1"/>
  <c r="BF827" i="1" s="1"/>
  <c r="AY827" i="1"/>
  <c r="BE827" i="1" s="1" a="1"/>
  <c r="BE827" i="1" s="1"/>
  <c r="AX827" i="1"/>
  <c r="M827" i="1"/>
  <c r="EM823" i="1"/>
  <c r="DU823" i="1"/>
  <c r="DT823" i="1"/>
  <c r="DN823" i="1"/>
  <c r="DM823" i="1"/>
  <c r="DL823" i="1"/>
  <c r="DK823" i="1"/>
  <c r="DI823" i="1"/>
  <c r="DJ823" i="1" s="1"/>
  <c r="DC823" i="1"/>
  <c r="CX823" i="1"/>
  <c r="CN823" i="1"/>
  <c r="BV823" i="1"/>
  <c r="BX823" i="1" s="1"/>
  <c r="BU823" i="1"/>
  <c r="BN823" i="1"/>
  <c r="BO823" i="1" s="1"/>
  <c r="BD823" i="1"/>
  <c r="BC823" i="1"/>
  <c r="BB823" i="1"/>
  <c r="BA823" i="1"/>
  <c r="AZ823" i="1"/>
  <c r="AY823" i="1"/>
  <c r="BE823" i="1" s="1" a="1"/>
  <c r="BE823" i="1" s="1"/>
  <c r="AX823" i="1"/>
  <c r="M823" i="1"/>
  <c r="EM822" i="1"/>
  <c r="DU822" i="1"/>
  <c r="DT822" i="1"/>
  <c r="DN822" i="1"/>
  <c r="DM822" i="1"/>
  <c r="DL822" i="1"/>
  <c r="DK822" i="1"/>
  <c r="DI822" i="1"/>
  <c r="DJ822" i="1" s="1"/>
  <c r="DC822" i="1"/>
  <c r="CX822" i="1"/>
  <c r="CN822" i="1"/>
  <c r="CS822" i="1" s="1"/>
  <c r="BV822" i="1"/>
  <c r="BX822" i="1" s="1"/>
  <c r="BU822" i="1"/>
  <c r="BN822" i="1"/>
  <c r="BO822" i="1" s="1"/>
  <c r="BD822" i="1"/>
  <c r="BC822" i="1"/>
  <c r="BB822" i="1"/>
  <c r="BA822" i="1"/>
  <c r="AZ822" i="1"/>
  <c r="BF822" i="1" s="1" a="1"/>
  <c r="BF822" i="1" s="1"/>
  <c r="AY822" i="1"/>
  <c r="BE822" i="1" s="1" a="1"/>
  <c r="BE822" i="1" s="1"/>
  <c r="AX822" i="1"/>
  <c r="M822" i="1"/>
  <c r="EM776" i="1"/>
  <c r="DU776" i="1"/>
  <c r="DT776" i="1"/>
  <c r="DN776" i="1"/>
  <c r="DM776" i="1"/>
  <c r="DL776" i="1"/>
  <c r="DK776" i="1"/>
  <c r="DI776" i="1"/>
  <c r="DJ776" i="1" s="1"/>
  <c r="DC776" i="1"/>
  <c r="CX776" i="1"/>
  <c r="CN776" i="1"/>
  <c r="CS776" i="1" s="1"/>
  <c r="BV776" i="1"/>
  <c r="BX776" i="1" s="1"/>
  <c r="BU776" i="1"/>
  <c r="BN776" i="1"/>
  <c r="BO776" i="1" s="1"/>
  <c r="BD776" i="1"/>
  <c r="BC776" i="1"/>
  <c r="BB776" i="1"/>
  <c r="BA776" i="1"/>
  <c r="AZ776" i="1"/>
  <c r="BF776" i="1" s="1" a="1"/>
  <c r="BF776" i="1" s="1"/>
  <c r="AY776" i="1"/>
  <c r="BE776" i="1" s="1" a="1"/>
  <c r="BE776" i="1" s="1"/>
  <c r="AX776" i="1"/>
  <c r="M776" i="1"/>
  <c r="EM761" i="1"/>
  <c r="DU761" i="1"/>
  <c r="DT761" i="1"/>
  <c r="DN761" i="1"/>
  <c r="DM761" i="1"/>
  <c r="DL761" i="1"/>
  <c r="DK761" i="1"/>
  <c r="DI761" i="1"/>
  <c r="DJ761" i="1" s="1"/>
  <c r="DC761" i="1"/>
  <c r="CX761" i="1"/>
  <c r="CN761" i="1"/>
  <c r="BV761" i="1"/>
  <c r="BX761" i="1" s="1"/>
  <c r="BU761" i="1"/>
  <c r="BN761" i="1"/>
  <c r="BO761" i="1" s="1"/>
  <c r="BD761" i="1"/>
  <c r="BC761" i="1"/>
  <c r="BB761" i="1"/>
  <c r="BA761" i="1"/>
  <c r="AZ761" i="1"/>
  <c r="BF761" i="1" s="1" a="1"/>
  <c r="BF761" i="1" s="1"/>
  <c r="AY761" i="1"/>
  <c r="BE761" i="1" s="1" a="1"/>
  <c r="BE761" i="1" s="1"/>
  <c r="AX761" i="1"/>
  <c r="M761" i="1"/>
  <c r="EM747" i="1"/>
  <c r="DU747" i="1"/>
  <c r="DT747" i="1"/>
  <c r="DN747" i="1"/>
  <c r="DM747" i="1"/>
  <c r="DL747" i="1"/>
  <c r="DK747" i="1"/>
  <c r="DI747" i="1"/>
  <c r="DJ747" i="1" s="1"/>
  <c r="DC747" i="1"/>
  <c r="CX747" i="1"/>
  <c r="CN747" i="1"/>
  <c r="BV747" i="1"/>
  <c r="BX747" i="1" s="1"/>
  <c r="BU747" i="1"/>
  <c r="BN747" i="1"/>
  <c r="BO747" i="1" s="1"/>
  <c r="BD747" i="1"/>
  <c r="BC747" i="1"/>
  <c r="BB747" i="1"/>
  <c r="BA747" i="1"/>
  <c r="AZ747" i="1"/>
  <c r="AY747" i="1"/>
  <c r="BE747" i="1" s="1" a="1"/>
  <c r="BE747" i="1" s="1"/>
  <c r="AX747" i="1"/>
  <c r="M747" i="1"/>
  <c r="EM742" i="1"/>
  <c r="DU742" i="1"/>
  <c r="DT742" i="1"/>
  <c r="DN742" i="1"/>
  <c r="DM742" i="1"/>
  <c r="DL742" i="1"/>
  <c r="DK742" i="1"/>
  <c r="DI742" i="1"/>
  <c r="DJ742" i="1" s="1"/>
  <c r="DC742" i="1"/>
  <c r="CX742" i="1"/>
  <c r="CN742" i="1"/>
  <c r="BV742" i="1"/>
  <c r="BX742" i="1" s="1"/>
  <c r="BU742" i="1"/>
  <c r="BN742" i="1"/>
  <c r="BO742" i="1" s="1"/>
  <c r="BD742" i="1"/>
  <c r="BC742" i="1"/>
  <c r="BB742" i="1"/>
  <c r="BA742" i="1"/>
  <c r="AZ742" i="1"/>
  <c r="BF742" i="1" s="1" a="1"/>
  <c r="BF742" i="1" s="1"/>
  <c r="AY742" i="1"/>
  <c r="BE742" i="1" s="1" a="1"/>
  <c r="BE742" i="1" s="1"/>
  <c r="AX742" i="1"/>
  <c r="M742" i="1"/>
  <c r="EM669" i="1"/>
  <c r="DU669" i="1"/>
  <c r="DT669" i="1"/>
  <c r="DN669" i="1"/>
  <c r="DM669" i="1"/>
  <c r="DL669" i="1"/>
  <c r="DK669" i="1"/>
  <c r="DI669" i="1"/>
  <c r="DJ669" i="1" s="1"/>
  <c r="DC669" i="1"/>
  <c r="CX669" i="1"/>
  <c r="CN669" i="1"/>
  <c r="CS669" i="1" s="1"/>
  <c r="BV669" i="1"/>
  <c r="BX669" i="1" s="1"/>
  <c r="BU669" i="1"/>
  <c r="BN669" i="1"/>
  <c r="BO669" i="1" s="1"/>
  <c r="BD669" i="1"/>
  <c r="BC669" i="1"/>
  <c r="BB669" i="1"/>
  <c r="BA669" i="1"/>
  <c r="AZ669" i="1"/>
  <c r="BF669" i="1" s="1" a="1"/>
  <c r="BF669" i="1" s="1"/>
  <c r="AY669" i="1"/>
  <c r="BE669" i="1" s="1" a="1"/>
  <c r="BE669" i="1" s="1"/>
  <c r="AX669" i="1"/>
  <c r="M669" i="1"/>
  <c r="EM649" i="1"/>
  <c r="DU649" i="1"/>
  <c r="DT649" i="1"/>
  <c r="DN649" i="1"/>
  <c r="DM649" i="1"/>
  <c r="DL649" i="1"/>
  <c r="DK649" i="1"/>
  <c r="DI649" i="1"/>
  <c r="DJ649" i="1" s="1"/>
  <c r="DC649" i="1"/>
  <c r="CX649" i="1"/>
  <c r="CN649" i="1"/>
  <c r="CP649" i="1" s="1"/>
  <c r="BV649" i="1"/>
  <c r="BX649" i="1" s="1"/>
  <c r="BU649" i="1"/>
  <c r="BN649" i="1"/>
  <c r="BO649" i="1" s="1"/>
  <c r="BD649" i="1"/>
  <c r="BC649" i="1"/>
  <c r="BB649" i="1"/>
  <c r="BA649" i="1"/>
  <c r="AZ649" i="1"/>
  <c r="BF649" i="1" s="1" a="1"/>
  <c r="BF649" i="1" s="1"/>
  <c r="AY649" i="1"/>
  <c r="BE649" i="1" s="1" a="1"/>
  <c r="BE649" i="1" s="1"/>
  <c r="AX649" i="1"/>
  <c r="M649" i="1"/>
  <c r="EM631" i="1"/>
  <c r="DU631" i="1"/>
  <c r="DT631" i="1"/>
  <c r="DN631" i="1"/>
  <c r="DM631" i="1"/>
  <c r="DL631" i="1"/>
  <c r="DK631" i="1"/>
  <c r="DI631" i="1"/>
  <c r="DJ631" i="1" s="1"/>
  <c r="DC631" i="1"/>
  <c r="CX631" i="1"/>
  <c r="CN631" i="1"/>
  <c r="CR631" i="1" s="1"/>
  <c r="BV631" i="1"/>
  <c r="BX631" i="1" s="1"/>
  <c r="BU631" i="1"/>
  <c r="BN631" i="1"/>
  <c r="BO631" i="1" s="1"/>
  <c r="BD631" i="1"/>
  <c r="BC631" i="1"/>
  <c r="BB631" i="1"/>
  <c r="BA631" i="1"/>
  <c r="AZ631" i="1"/>
  <c r="AY631" i="1"/>
  <c r="BE631" i="1" s="1" a="1"/>
  <c r="BE631" i="1" s="1"/>
  <c r="AX631" i="1"/>
  <c r="M631" i="1"/>
  <c r="EM289" i="1"/>
  <c r="DU289" i="1"/>
  <c r="DT289" i="1"/>
  <c r="DN289" i="1"/>
  <c r="DM289" i="1"/>
  <c r="DL289" i="1"/>
  <c r="DK289" i="1"/>
  <c r="DI289" i="1"/>
  <c r="DJ289" i="1" s="1"/>
  <c r="DC289" i="1"/>
  <c r="CX289" i="1"/>
  <c r="CN289" i="1"/>
  <c r="CR289" i="1" s="1"/>
  <c r="BV289" i="1"/>
  <c r="BX289" i="1" s="1"/>
  <c r="BU289" i="1"/>
  <c r="BN289" i="1"/>
  <c r="BO289" i="1" s="1"/>
  <c r="BD289" i="1"/>
  <c r="BC289" i="1"/>
  <c r="BB289" i="1"/>
  <c r="BA289" i="1"/>
  <c r="AZ289" i="1"/>
  <c r="BF289" i="1" s="1" a="1"/>
  <c r="BF289" i="1" s="1"/>
  <c r="AY289" i="1"/>
  <c r="BE289" i="1" s="1" a="1"/>
  <c r="BE289" i="1" s="1"/>
  <c r="AX289" i="1"/>
  <c r="M289" i="1"/>
  <c r="EM279" i="1"/>
  <c r="DU279" i="1"/>
  <c r="DT279" i="1"/>
  <c r="DN279" i="1"/>
  <c r="DM279" i="1"/>
  <c r="DL279" i="1"/>
  <c r="DK279" i="1"/>
  <c r="DI279" i="1"/>
  <c r="DJ279" i="1" s="1"/>
  <c r="DC279" i="1"/>
  <c r="CX279" i="1"/>
  <c r="CN279" i="1"/>
  <c r="BV279" i="1"/>
  <c r="BX279" i="1" s="1"/>
  <c r="BU279" i="1"/>
  <c r="BN279" i="1"/>
  <c r="BO279" i="1" s="1"/>
  <c r="BD279" i="1"/>
  <c r="BC279" i="1"/>
  <c r="BB279" i="1"/>
  <c r="BA279" i="1"/>
  <c r="AZ279" i="1"/>
  <c r="BF279" i="1" s="1" a="1"/>
  <c r="BF279" i="1" s="1"/>
  <c r="AY279" i="1"/>
  <c r="BE279" i="1" s="1" a="1"/>
  <c r="BE279" i="1" s="1"/>
  <c r="AX279" i="1"/>
  <c r="M279" i="1"/>
  <c r="EM1153" i="1"/>
  <c r="DU1153" i="1"/>
  <c r="DT1153" i="1"/>
  <c r="DN1153" i="1"/>
  <c r="DM1153" i="1"/>
  <c r="DL1153" i="1"/>
  <c r="DK1153" i="1"/>
  <c r="DI1153" i="1"/>
  <c r="DJ1153" i="1" s="1"/>
  <c r="DC1153" i="1"/>
  <c r="CX1153" i="1"/>
  <c r="CN1153" i="1"/>
  <c r="CO1153" i="1" s="1"/>
  <c r="BV1153" i="1"/>
  <c r="BX1153" i="1" s="1"/>
  <c r="BU1153" i="1"/>
  <c r="BN1153" i="1"/>
  <c r="BO1153" i="1" s="1"/>
  <c r="BD1153" i="1"/>
  <c r="BC1153" i="1"/>
  <c r="BB1153" i="1"/>
  <c r="BA1153" i="1"/>
  <c r="AZ1153" i="1"/>
  <c r="BF1153" i="1" s="1" a="1"/>
  <c r="BF1153" i="1" s="1"/>
  <c r="AY1153" i="1"/>
  <c r="BE1153" i="1" s="1" a="1"/>
  <c r="BE1153" i="1" s="1"/>
  <c r="AX1153" i="1"/>
  <c r="M1153" i="1"/>
  <c r="EM1152" i="1"/>
  <c r="DU1152" i="1"/>
  <c r="DT1152" i="1"/>
  <c r="DN1152" i="1"/>
  <c r="DM1152" i="1"/>
  <c r="DL1152" i="1"/>
  <c r="DK1152" i="1"/>
  <c r="DI1152" i="1"/>
  <c r="DJ1152" i="1" s="1"/>
  <c r="DC1152" i="1"/>
  <c r="CX1152" i="1"/>
  <c r="CN1152" i="1"/>
  <c r="BV1152" i="1"/>
  <c r="BX1152" i="1" s="1"/>
  <c r="BU1152" i="1"/>
  <c r="BN1152" i="1"/>
  <c r="BO1152" i="1" s="1"/>
  <c r="BD1152" i="1"/>
  <c r="BC1152" i="1"/>
  <c r="BB1152" i="1"/>
  <c r="BA1152" i="1"/>
  <c r="AZ1152" i="1"/>
  <c r="AY1152" i="1"/>
  <c r="BE1152" i="1" s="1" a="1"/>
  <c r="BE1152" i="1" s="1"/>
  <c r="AX1152" i="1"/>
  <c r="M1152" i="1"/>
  <c r="EM1151" i="1"/>
  <c r="DU1151" i="1"/>
  <c r="DT1151" i="1"/>
  <c r="DN1151" i="1"/>
  <c r="DM1151" i="1"/>
  <c r="DL1151" i="1"/>
  <c r="DK1151" i="1"/>
  <c r="DI1151" i="1"/>
  <c r="DJ1151" i="1" s="1"/>
  <c r="DC1151" i="1"/>
  <c r="CX1151" i="1"/>
  <c r="CN1151" i="1"/>
  <c r="CO1151" i="1" s="1"/>
  <c r="BV1151" i="1"/>
  <c r="BX1151" i="1" s="1"/>
  <c r="BU1151" i="1"/>
  <c r="BN1151" i="1"/>
  <c r="BO1151" i="1" s="1"/>
  <c r="BD1151" i="1"/>
  <c r="BC1151" i="1"/>
  <c r="BB1151" i="1"/>
  <c r="BA1151" i="1"/>
  <c r="AZ1151" i="1"/>
  <c r="BF1151" i="1" s="1" a="1"/>
  <c r="BF1151" i="1" s="1"/>
  <c r="AY1151" i="1"/>
  <c r="BE1151" i="1" s="1" a="1"/>
  <c r="BE1151" i="1" s="1"/>
  <c r="AX1151" i="1"/>
  <c r="M1151" i="1"/>
  <c r="EM1150" i="1"/>
  <c r="DU1150" i="1"/>
  <c r="DT1150" i="1"/>
  <c r="DN1150" i="1"/>
  <c r="DM1150" i="1"/>
  <c r="DL1150" i="1"/>
  <c r="DK1150" i="1"/>
  <c r="DI1150" i="1"/>
  <c r="DJ1150" i="1" s="1"/>
  <c r="DC1150" i="1"/>
  <c r="CX1150" i="1"/>
  <c r="CN1150" i="1"/>
  <c r="CO1150" i="1" s="1"/>
  <c r="BV1150" i="1"/>
  <c r="BX1150" i="1" s="1"/>
  <c r="BU1150" i="1"/>
  <c r="BN1150" i="1"/>
  <c r="BO1150" i="1" s="1"/>
  <c r="BD1150" i="1"/>
  <c r="BC1150" i="1"/>
  <c r="BB1150" i="1"/>
  <c r="BA1150" i="1"/>
  <c r="AZ1150" i="1"/>
  <c r="BF1150" i="1" s="1" a="1"/>
  <c r="BF1150" i="1" s="1"/>
  <c r="AY1150" i="1"/>
  <c r="BE1150" i="1" s="1" a="1"/>
  <c r="BE1150" i="1" s="1"/>
  <c r="AX1150" i="1"/>
  <c r="M1150" i="1"/>
  <c r="EM1149" i="1"/>
  <c r="DU1149" i="1"/>
  <c r="DT1149" i="1"/>
  <c r="DN1149" i="1"/>
  <c r="DM1149" i="1"/>
  <c r="DL1149" i="1"/>
  <c r="DK1149" i="1"/>
  <c r="DI1149" i="1"/>
  <c r="DJ1149" i="1" s="1"/>
  <c r="DC1149" i="1"/>
  <c r="CX1149" i="1"/>
  <c r="CN1149" i="1"/>
  <c r="CP1149" i="1" s="1"/>
  <c r="BV1149" i="1"/>
  <c r="BX1149" i="1" s="1"/>
  <c r="BU1149" i="1"/>
  <c r="BN1149" i="1"/>
  <c r="BO1149" i="1" s="1"/>
  <c r="BD1149" i="1"/>
  <c r="BC1149" i="1"/>
  <c r="BB1149" i="1"/>
  <c r="BA1149" i="1"/>
  <c r="AZ1149" i="1"/>
  <c r="BF1149" i="1" s="1" a="1"/>
  <c r="BF1149" i="1" s="1"/>
  <c r="AY1149" i="1"/>
  <c r="BE1149" i="1" s="1" a="1"/>
  <c r="BE1149" i="1" s="1"/>
  <c r="AX1149" i="1"/>
  <c r="M1149" i="1"/>
  <c r="EM1148" i="1"/>
  <c r="DU1148" i="1"/>
  <c r="DT1148" i="1"/>
  <c r="DN1148" i="1"/>
  <c r="DM1148" i="1"/>
  <c r="DL1148" i="1"/>
  <c r="DK1148" i="1"/>
  <c r="DI1148" i="1"/>
  <c r="DJ1148" i="1" s="1"/>
  <c r="DC1148" i="1"/>
  <c r="CX1148" i="1"/>
  <c r="CN1148" i="1"/>
  <c r="BV1148" i="1"/>
  <c r="BX1148" i="1" s="1"/>
  <c r="BU1148" i="1"/>
  <c r="BN1148" i="1"/>
  <c r="BO1148" i="1" s="1"/>
  <c r="BD1148" i="1"/>
  <c r="BC1148" i="1"/>
  <c r="BB1148" i="1"/>
  <c r="BA1148" i="1"/>
  <c r="AZ1148" i="1"/>
  <c r="AY1148" i="1"/>
  <c r="BE1148" i="1" s="1" a="1"/>
  <c r="BE1148" i="1" s="1"/>
  <c r="AX1148" i="1"/>
  <c r="M1148" i="1"/>
  <c r="EM1147" i="1"/>
  <c r="DU1147" i="1"/>
  <c r="DT1147" i="1"/>
  <c r="DN1147" i="1"/>
  <c r="DM1147" i="1"/>
  <c r="DL1147" i="1"/>
  <c r="DK1147" i="1"/>
  <c r="DI1147" i="1"/>
  <c r="DJ1147" i="1" s="1"/>
  <c r="DC1147" i="1"/>
  <c r="CX1147" i="1"/>
  <c r="CN1147" i="1"/>
  <c r="CR1147" i="1" s="1"/>
  <c r="BV1147" i="1"/>
  <c r="BX1147" i="1" s="1"/>
  <c r="BU1147" i="1"/>
  <c r="BN1147" i="1"/>
  <c r="BO1147" i="1" s="1"/>
  <c r="BD1147" i="1"/>
  <c r="BC1147" i="1"/>
  <c r="BB1147" i="1"/>
  <c r="BA1147" i="1"/>
  <c r="AZ1147" i="1"/>
  <c r="BF1147" i="1" s="1" a="1"/>
  <c r="BF1147" i="1" s="1"/>
  <c r="AY1147" i="1"/>
  <c r="BE1147" i="1" s="1" a="1"/>
  <c r="BE1147" i="1" s="1"/>
  <c r="AX1147" i="1"/>
  <c r="M1147" i="1"/>
  <c r="EM1146" i="1"/>
  <c r="DU1146" i="1"/>
  <c r="DT1146" i="1"/>
  <c r="DN1146" i="1"/>
  <c r="DM1146" i="1"/>
  <c r="DL1146" i="1"/>
  <c r="DK1146" i="1"/>
  <c r="DI1146" i="1"/>
  <c r="DJ1146" i="1" s="1"/>
  <c r="DC1146" i="1"/>
  <c r="CX1146" i="1"/>
  <c r="CN1146" i="1"/>
  <c r="BV1146" i="1"/>
  <c r="BX1146" i="1" s="1"/>
  <c r="BU1146" i="1"/>
  <c r="BN1146" i="1"/>
  <c r="BO1146" i="1" s="1"/>
  <c r="BD1146" i="1"/>
  <c r="BC1146" i="1"/>
  <c r="BB1146" i="1"/>
  <c r="BA1146" i="1"/>
  <c r="AZ1146" i="1"/>
  <c r="BF1146" i="1" s="1" a="1"/>
  <c r="BF1146" i="1" s="1"/>
  <c r="AY1146" i="1"/>
  <c r="BE1146" i="1" s="1" a="1"/>
  <c r="BE1146" i="1" s="1"/>
  <c r="AX1146" i="1"/>
  <c r="M1146" i="1"/>
  <c r="EM953" i="1"/>
  <c r="DU953" i="1"/>
  <c r="DT953" i="1"/>
  <c r="DN953" i="1"/>
  <c r="DM953" i="1"/>
  <c r="DL953" i="1"/>
  <c r="DK953" i="1"/>
  <c r="DI953" i="1"/>
  <c r="DJ953" i="1" s="1"/>
  <c r="DC953" i="1"/>
  <c r="CX953" i="1"/>
  <c r="CN953" i="1"/>
  <c r="BV953" i="1"/>
  <c r="BX953" i="1" s="1"/>
  <c r="BU953" i="1"/>
  <c r="BN953" i="1"/>
  <c r="BO953" i="1" s="1"/>
  <c r="BM953" i="1"/>
  <c r="BD953" i="1"/>
  <c r="BC953" i="1"/>
  <c r="BB953" i="1"/>
  <c r="BA953" i="1"/>
  <c r="AZ953" i="1"/>
  <c r="BF953" i="1" s="1" a="1"/>
  <c r="BF953" i="1" s="1"/>
  <c r="AY953" i="1"/>
  <c r="BE953" i="1" s="1" a="1"/>
  <c r="BE953" i="1" s="1"/>
  <c r="AX953" i="1"/>
  <c r="M953" i="1"/>
  <c r="EM847" i="1"/>
  <c r="DU847" i="1"/>
  <c r="DT847" i="1"/>
  <c r="DN847" i="1"/>
  <c r="DM847" i="1"/>
  <c r="DL847" i="1"/>
  <c r="DK847" i="1"/>
  <c r="DI847" i="1"/>
  <c r="DJ847" i="1" s="1"/>
  <c r="DC847" i="1"/>
  <c r="CX847" i="1"/>
  <c r="CN847" i="1"/>
  <c r="CS847" i="1" s="1"/>
  <c r="BV847" i="1"/>
  <c r="BX847" i="1" s="1"/>
  <c r="BU847" i="1"/>
  <c r="BN847" i="1"/>
  <c r="BO847" i="1" s="1"/>
  <c r="BM847" i="1"/>
  <c r="BD847" i="1"/>
  <c r="BC847" i="1"/>
  <c r="BB847" i="1"/>
  <c r="BA847" i="1"/>
  <c r="AZ847" i="1"/>
  <c r="BF847" i="1" s="1" a="1"/>
  <c r="BF847" i="1" s="1"/>
  <c r="AY847" i="1"/>
  <c r="BE847" i="1" s="1" a="1"/>
  <c r="BE847" i="1" s="1"/>
  <c r="AX847" i="1"/>
  <c r="M847" i="1"/>
  <c r="EM977" i="1"/>
  <c r="DU977" i="1"/>
  <c r="DT977" i="1"/>
  <c r="DN977" i="1"/>
  <c r="DM977" i="1"/>
  <c r="DL977" i="1"/>
  <c r="DK977" i="1"/>
  <c r="DI977" i="1"/>
  <c r="DJ977" i="1" s="1"/>
  <c r="DC977" i="1"/>
  <c r="CX977" i="1"/>
  <c r="CN977" i="1"/>
  <c r="CP977" i="1" s="1"/>
  <c r="BV977" i="1"/>
  <c r="BX977" i="1" s="1"/>
  <c r="BU977" i="1"/>
  <c r="BN977" i="1"/>
  <c r="BO977" i="1" s="1"/>
  <c r="BD977" i="1"/>
  <c r="BC977" i="1"/>
  <c r="BB977" i="1"/>
  <c r="BA977" i="1"/>
  <c r="AZ977" i="1"/>
  <c r="AY977" i="1"/>
  <c r="BE977" i="1" s="1" a="1"/>
  <c r="BE977" i="1" s="1"/>
  <c r="AX977" i="1"/>
  <c r="M977" i="1"/>
  <c r="EM992" i="1"/>
  <c r="DU992" i="1"/>
  <c r="DT992" i="1"/>
  <c r="DN992" i="1"/>
  <c r="DM992" i="1"/>
  <c r="DL992" i="1"/>
  <c r="DK992" i="1"/>
  <c r="DI992" i="1"/>
  <c r="DJ992" i="1" s="1"/>
  <c r="DC992" i="1"/>
  <c r="CX992" i="1"/>
  <c r="CN992" i="1"/>
  <c r="BV992" i="1"/>
  <c r="BX992" i="1" s="1"/>
  <c r="BU992" i="1"/>
  <c r="BN992" i="1"/>
  <c r="BO992" i="1" s="1"/>
  <c r="BM992" i="1"/>
  <c r="BD992" i="1"/>
  <c r="BC992" i="1"/>
  <c r="BB992" i="1"/>
  <c r="BA992" i="1"/>
  <c r="AZ992" i="1"/>
  <c r="AY992" i="1"/>
  <c r="BE992" i="1" s="1" a="1"/>
  <c r="BE992" i="1" s="1"/>
  <c r="AX992" i="1"/>
  <c r="M992" i="1"/>
  <c r="EM902" i="1"/>
  <c r="DU902" i="1"/>
  <c r="DT902" i="1"/>
  <c r="DN902" i="1"/>
  <c r="DM902" i="1"/>
  <c r="DL902" i="1"/>
  <c r="DK902" i="1"/>
  <c r="DI902" i="1"/>
  <c r="DJ902" i="1" s="1"/>
  <c r="DC902" i="1"/>
  <c r="CX902" i="1"/>
  <c r="CN902" i="1"/>
  <c r="CP902" i="1" s="1"/>
  <c r="BV902" i="1"/>
  <c r="BX902" i="1" s="1"/>
  <c r="BU902" i="1"/>
  <c r="BN902" i="1"/>
  <c r="BO902" i="1" s="1"/>
  <c r="BM902" i="1"/>
  <c r="BD902" i="1"/>
  <c r="BC902" i="1"/>
  <c r="BB902" i="1"/>
  <c r="BA902" i="1"/>
  <c r="AZ902" i="1"/>
  <c r="BF902" i="1" s="1" a="1"/>
  <c r="BF902" i="1" s="1"/>
  <c r="AY902" i="1"/>
  <c r="BE902" i="1" s="1" a="1"/>
  <c r="BE902" i="1" s="1"/>
  <c r="AX902" i="1"/>
  <c r="M902" i="1"/>
  <c r="EM74" i="1"/>
  <c r="DU74" i="1"/>
  <c r="DT74" i="1"/>
  <c r="DN74" i="1"/>
  <c r="DM74" i="1"/>
  <c r="DL74" i="1"/>
  <c r="DK74" i="1"/>
  <c r="DI74" i="1"/>
  <c r="DJ74" i="1" s="1"/>
  <c r="DC74" i="1"/>
  <c r="CX74" i="1"/>
  <c r="CN74" i="1"/>
  <c r="CR74" i="1" s="1"/>
  <c r="BV74" i="1"/>
  <c r="BX74" i="1" s="1"/>
  <c r="BU74" i="1"/>
  <c r="BN74" i="1"/>
  <c r="BO74" i="1" s="1"/>
  <c r="BM74" i="1"/>
  <c r="BD74" i="1"/>
  <c r="BC74" i="1"/>
  <c r="BB74" i="1"/>
  <c r="BA74" i="1"/>
  <c r="AZ74" i="1"/>
  <c r="AY74" i="1"/>
  <c r="BE74" i="1" s="1" a="1"/>
  <c r="BE74" i="1" s="1"/>
  <c r="AX74" i="1"/>
  <c r="M74" i="1"/>
  <c r="EM986" i="1"/>
  <c r="DU986" i="1"/>
  <c r="DT986" i="1"/>
  <c r="DN986" i="1"/>
  <c r="DM986" i="1"/>
  <c r="DL986" i="1"/>
  <c r="DK986" i="1"/>
  <c r="DI986" i="1"/>
  <c r="DJ986" i="1" s="1"/>
  <c r="DC986" i="1"/>
  <c r="CX986" i="1"/>
  <c r="CN986" i="1"/>
  <c r="CO986" i="1" s="1"/>
  <c r="BV986" i="1"/>
  <c r="BX986" i="1" s="1"/>
  <c r="BU986" i="1"/>
  <c r="BN986" i="1"/>
  <c r="BO986" i="1" s="1"/>
  <c r="BD986" i="1"/>
  <c r="BC986" i="1"/>
  <c r="BB986" i="1"/>
  <c r="BA986" i="1"/>
  <c r="AZ986" i="1"/>
  <c r="BF986" i="1" s="1" a="1"/>
  <c r="BF986" i="1" s="1"/>
  <c r="AY986" i="1"/>
  <c r="BE986" i="1" s="1" a="1"/>
  <c r="BE986" i="1" s="1"/>
  <c r="AX986" i="1"/>
  <c r="M986" i="1"/>
  <c r="EM165" i="1"/>
  <c r="DU165" i="1"/>
  <c r="DT165" i="1"/>
  <c r="DN165" i="1"/>
  <c r="DM165" i="1"/>
  <c r="DL165" i="1"/>
  <c r="DK165" i="1"/>
  <c r="DI165" i="1"/>
  <c r="DJ165" i="1" s="1"/>
  <c r="DC165" i="1"/>
  <c r="CX165" i="1"/>
  <c r="BV165" i="1"/>
  <c r="BX165" i="1" s="1"/>
  <c r="BU165" i="1"/>
  <c r="BK165" i="1"/>
  <c r="BN165" i="1" s="1"/>
  <c r="BO165" i="1" s="1"/>
  <c r="BD165" i="1"/>
  <c r="BC165" i="1"/>
  <c r="BB165" i="1"/>
  <c r="BA165" i="1"/>
  <c r="AZ165" i="1"/>
  <c r="AY165" i="1"/>
  <c r="BE165" i="1" s="1" a="1"/>
  <c r="BE165" i="1" s="1"/>
  <c r="AX165" i="1"/>
  <c r="M165" i="1"/>
  <c r="EM134" i="1"/>
  <c r="DU134" i="1"/>
  <c r="DT134" i="1"/>
  <c r="DN134" i="1"/>
  <c r="DM134" i="1"/>
  <c r="DL134" i="1"/>
  <c r="DK134" i="1"/>
  <c r="DI134" i="1"/>
  <c r="DJ134" i="1" s="1"/>
  <c r="DC134" i="1"/>
  <c r="CX134" i="1"/>
  <c r="BV134" i="1"/>
  <c r="BX134" i="1" s="1"/>
  <c r="BU134" i="1"/>
  <c r="BK134" i="1"/>
  <c r="BM134" i="1" s="1"/>
  <c r="BD134" i="1"/>
  <c r="BC134" i="1"/>
  <c r="BB134" i="1"/>
  <c r="BA134" i="1"/>
  <c r="AZ134" i="1"/>
  <c r="AY134" i="1"/>
  <c r="BE134" i="1" s="1" a="1"/>
  <c r="BE134" i="1" s="1"/>
  <c r="AX134" i="1"/>
  <c r="M134" i="1"/>
  <c r="EM708" i="1"/>
  <c r="DU708" i="1"/>
  <c r="DT708" i="1"/>
  <c r="DN708" i="1"/>
  <c r="DM708" i="1"/>
  <c r="DL708" i="1"/>
  <c r="DK708" i="1"/>
  <c r="DI708" i="1"/>
  <c r="DJ708" i="1" s="1"/>
  <c r="DC708" i="1"/>
  <c r="CX708" i="1"/>
  <c r="CN708" i="1"/>
  <c r="CS708" i="1" s="1"/>
  <c r="BX708" i="1"/>
  <c r="BU708" i="1"/>
  <c r="BN708" i="1"/>
  <c r="BO708" i="1" s="1"/>
  <c r="BD708" i="1"/>
  <c r="BC708" i="1"/>
  <c r="BB708" i="1"/>
  <c r="BA708" i="1"/>
  <c r="AZ708" i="1"/>
  <c r="BF708" i="1" s="1" a="1"/>
  <c r="BF708" i="1" s="1"/>
  <c r="AY708" i="1"/>
  <c r="BE708" i="1" s="1" a="1"/>
  <c r="BE708" i="1" s="1"/>
  <c r="AX708" i="1"/>
  <c r="M708" i="1"/>
  <c r="EM701" i="1"/>
  <c r="DU701" i="1"/>
  <c r="DT701" i="1"/>
  <c r="DN701" i="1"/>
  <c r="DM701" i="1"/>
  <c r="DL701" i="1"/>
  <c r="DK701" i="1"/>
  <c r="DI701" i="1"/>
  <c r="DJ701" i="1" s="1"/>
  <c r="DC701" i="1"/>
  <c r="CX701" i="1"/>
  <c r="CN701" i="1"/>
  <c r="CS701" i="1" s="1"/>
  <c r="BX701" i="1"/>
  <c r="BU701" i="1"/>
  <c r="BN701" i="1"/>
  <c r="BO701" i="1" s="1"/>
  <c r="BD701" i="1"/>
  <c r="BC701" i="1"/>
  <c r="BB701" i="1"/>
  <c r="BA701" i="1"/>
  <c r="AZ701" i="1"/>
  <c r="AY701" i="1"/>
  <c r="BE701" i="1" s="1" a="1"/>
  <c r="BE701" i="1" s="1"/>
  <c r="AX701" i="1"/>
  <c r="M701" i="1"/>
  <c r="EM293" i="1"/>
  <c r="DU293" i="1"/>
  <c r="DT293" i="1"/>
  <c r="DN293" i="1"/>
  <c r="DM293" i="1"/>
  <c r="DL293" i="1"/>
  <c r="DK293" i="1"/>
  <c r="DI293" i="1"/>
  <c r="DJ293" i="1" s="1"/>
  <c r="DC293" i="1"/>
  <c r="CX293" i="1"/>
  <c r="CN293" i="1"/>
  <c r="CR293" i="1" s="1"/>
  <c r="BX293" i="1"/>
  <c r="BU293" i="1"/>
  <c r="BN293" i="1"/>
  <c r="BO293" i="1" s="1"/>
  <c r="BD293" i="1"/>
  <c r="BC293" i="1"/>
  <c r="BB293" i="1"/>
  <c r="BA293" i="1"/>
  <c r="AZ293" i="1"/>
  <c r="AY293" i="1"/>
  <c r="BE293" i="1" s="1" a="1"/>
  <c r="BE293" i="1" s="1"/>
  <c r="AX293" i="1"/>
  <c r="M293" i="1"/>
  <c r="EM273" i="1"/>
  <c r="DU273" i="1"/>
  <c r="DT273" i="1"/>
  <c r="DN273" i="1"/>
  <c r="DM273" i="1"/>
  <c r="DL273" i="1"/>
  <c r="DK273" i="1"/>
  <c r="DI273" i="1"/>
  <c r="DJ273" i="1" s="1"/>
  <c r="DC273" i="1"/>
  <c r="CX273" i="1"/>
  <c r="CN273" i="1"/>
  <c r="CR273" i="1" s="1"/>
  <c r="BX273" i="1"/>
  <c r="BU273" i="1"/>
  <c r="BN273" i="1"/>
  <c r="BO273" i="1" s="1"/>
  <c r="BD273" i="1"/>
  <c r="BC273" i="1"/>
  <c r="BB273" i="1"/>
  <c r="BA273" i="1"/>
  <c r="AZ273" i="1"/>
  <c r="AY273" i="1"/>
  <c r="BE273" i="1" s="1" a="1"/>
  <c r="BE273" i="1" s="1"/>
  <c r="AX273" i="1"/>
  <c r="M273" i="1"/>
  <c r="EM233" i="1"/>
  <c r="DU233" i="1"/>
  <c r="DT233" i="1"/>
  <c r="DN233" i="1"/>
  <c r="DM233" i="1"/>
  <c r="DL233" i="1"/>
  <c r="DK233" i="1"/>
  <c r="DI233" i="1"/>
  <c r="DJ233" i="1" s="1"/>
  <c r="DC233" i="1"/>
  <c r="CX233" i="1"/>
  <c r="CN233" i="1"/>
  <c r="CR233" i="1" s="1"/>
  <c r="BX233" i="1"/>
  <c r="BU233" i="1"/>
  <c r="BN233" i="1"/>
  <c r="BO233" i="1" s="1"/>
  <c r="BD233" i="1"/>
  <c r="BC233" i="1"/>
  <c r="BB233" i="1"/>
  <c r="BA233" i="1"/>
  <c r="AZ233" i="1"/>
  <c r="BF233" i="1" s="1" a="1"/>
  <c r="BF233" i="1" s="1"/>
  <c r="AY233" i="1"/>
  <c r="BE233" i="1" s="1" a="1"/>
  <c r="BE233" i="1" s="1"/>
  <c r="AX233" i="1"/>
  <c r="M233" i="1"/>
  <c r="EM213" i="1"/>
  <c r="DU213" i="1"/>
  <c r="DT213" i="1"/>
  <c r="DN213" i="1"/>
  <c r="DM213" i="1"/>
  <c r="DL213" i="1"/>
  <c r="DK213" i="1"/>
  <c r="DI213" i="1"/>
  <c r="DJ213" i="1" s="1"/>
  <c r="DC213" i="1"/>
  <c r="CX213" i="1"/>
  <c r="CN213" i="1"/>
  <c r="CR213" i="1" s="1"/>
  <c r="BX213" i="1"/>
  <c r="BU213" i="1"/>
  <c r="BN213" i="1"/>
  <c r="BO213" i="1" s="1"/>
  <c r="BD213" i="1"/>
  <c r="BC213" i="1"/>
  <c r="BB213" i="1"/>
  <c r="BA213" i="1"/>
  <c r="AZ213" i="1"/>
  <c r="AY213" i="1"/>
  <c r="BE213" i="1" s="1" a="1"/>
  <c r="BE213" i="1" s="1"/>
  <c r="AX213" i="1"/>
  <c r="M213" i="1"/>
  <c r="EM195" i="1"/>
  <c r="DU195" i="1"/>
  <c r="DT195" i="1"/>
  <c r="DN195" i="1"/>
  <c r="DM195" i="1"/>
  <c r="DL195" i="1"/>
  <c r="DK195" i="1"/>
  <c r="DI195" i="1"/>
  <c r="DJ195" i="1" s="1"/>
  <c r="DC195" i="1"/>
  <c r="CX195" i="1"/>
  <c r="CN195" i="1"/>
  <c r="CR195" i="1" s="1"/>
  <c r="BX195" i="1"/>
  <c r="BU195" i="1"/>
  <c r="BN195" i="1"/>
  <c r="BO195" i="1" s="1"/>
  <c r="BD195" i="1"/>
  <c r="BC195" i="1"/>
  <c r="BB195" i="1"/>
  <c r="BA195" i="1"/>
  <c r="AZ195" i="1"/>
  <c r="AY195" i="1"/>
  <c r="BE195" i="1" s="1" a="1"/>
  <c r="BE195" i="1" s="1"/>
  <c r="AX195" i="1"/>
  <c r="M195" i="1"/>
  <c r="EM1122" i="1"/>
  <c r="DU1122" i="1"/>
  <c r="DT1122" i="1"/>
  <c r="DN1122" i="1"/>
  <c r="DM1122" i="1"/>
  <c r="DL1122" i="1"/>
  <c r="DK1122" i="1"/>
  <c r="DI1122" i="1"/>
  <c r="DJ1122" i="1" s="1"/>
  <c r="DC1122" i="1"/>
  <c r="CX1122" i="1"/>
  <c r="CN1122" i="1"/>
  <c r="CS1122" i="1" s="1"/>
  <c r="BX1122" i="1"/>
  <c r="BU1122" i="1"/>
  <c r="BN1122" i="1"/>
  <c r="BO1122" i="1" s="1"/>
  <c r="BD1122" i="1"/>
  <c r="BC1122" i="1"/>
  <c r="BB1122" i="1"/>
  <c r="BA1122" i="1"/>
  <c r="AZ1122" i="1"/>
  <c r="AY1122" i="1"/>
  <c r="BE1122" i="1" s="1" a="1"/>
  <c r="BE1122" i="1" s="1"/>
  <c r="AX1122" i="1"/>
  <c r="M1122" i="1"/>
  <c r="EM871" i="1"/>
  <c r="DU871" i="1"/>
  <c r="DT871" i="1"/>
  <c r="DN871" i="1"/>
  <c r="DM871" i="1"/>
  <c r="DL871" i="1"/>
  <c r="DK871" i="1"/>
  <c r="DI871" i="1"/>
  <c r="DJ871" i="1" s="1"/>
  <c r="DC871" i="1"/>
  <c r="CX871" i="1"/>
  <c r="CN871" i="1"/>
  <c r="CS871" i="1" s="1"/>
  <c r="BX871" i="1"/>
  <c r="BN871" i="1"/>
  <c r="BO871" i="1" s="1"/>
  <c r="BM871" i="1"/>
  <c r="BD871" i="1"/>
  <c r="BC871" i="1"/>
  <c r="BB871" i="1"/>
  <c r="BA871" i="1"/>
  <c r="AZ871" i="1"/>
  <c r="BF871" i="1" s="1" a="1"/>
  <c r="BF871" i="1" s="1"/>
  <c r="AY871" i="1"/>
  <c r="BE871" i="1" s="1" a="1"/>
  <c r="BE871" i="1" s="1"/>
  <c r="AX871" i="1"/>
  <c r="M871" i="1"/>
  <c r="EM870" i="1"/>
  <c r="DU870" i="1"/>
  <c r="DT870" i="1"/>
  <c r="DN870" i="1"/>
  <c r="DM870" i="1"/>
  <c r="DL870" i="1"/>
  <c r="DK870" i="1"/>
  <c r="DI870" i="1"/>
  <c r="DJ870" i="1" s="1"/>
  <c r="DC870" i="1"/>
  <c r="CX870" i="1"/>
  <c r="CN870" i="1"/>
  <c r="CR870" i="1" s="1"/>
  <c r="BX870" i="1"/>
  <c r="BN870" i="1"/>
  <c r="BO870" i="1" s="1"/>
  <c r="BM870" i="1"/>
  <c r="BD870" i="1"/>
  <c r="BC870" i="1"/>
  <c r="BB870" i="1"/>
  <c r="BA870" i="1"/>
  <c r="AZ870" i="1"/>
  <c r="AY870" i="1"/>
  <c r="BE870" i="1" s="1" a="1"/>
  <c r="BE870" i="1" s="1"/>
  <c r="AX870" i="1"/>
  <c r="M870" i="1"/>
  <c r="EM1121" i="1"/>
  <c r="DU1121" i="1"/>
  <c r="DT1121" i="1"/>
  <c r="DN1121" i="1"/>
  <c r="DM1121" i="1"/>
  <c r="DL1121" i="1"/>
  <c r="DK1121" i="1"/>
  <c r="DI1121" i="1"/>
  <c r="DJ1121" i="1" s="1"/>
  <c r="DC1121" i="1"/>
  <c r="CX1121" i="1"/>
  <c r="CN1121" i="1"/>
  <c r="CS1121" i="1" s="1"/>
  <c r="BX1121" i="1"/>
  <c r="BN1121" i="1"/>
  <c r="BO1121" i="1" s="1"/>
  <c r="BD1121" i="1"/>
  <c r="BC1121" i="1"/>
  <c r="BB1121" i="1"/>
  <c r="BA1121" i="1"/>
  <c r="AZ1121" i="1"/>
  <c r="BF1121" i="1" s="1" a="1"/>
  <c r="BF1121" i="1" s="1"/>
  <c r="AY1121" i="1"/>
  <c r="BE1121" i="1" s="1" a="1"/>
  <c r="BE1121" i="1" s="1"/>
  <c r="AX1121" i="1"/>
  <c r="M1121" i="1"/>
  <c r="EM244" i="1"/>
  <c r="DU244" i="1"/>
  <c r="DT244" i="1"/>
  <c r="DN244" i="1"/>
  <c r="DM244" i="1"/>
  <c r="DL244" i="1"/>
  <c r="DK244" i="1"/>
  <c r="DI244" i="1"/>
  <c r="DJ244" i="1" s="1"/>
  <c r="DC244" i="1"/>
  <c r="CX244" i="1"/>
  <c r="CN244" i="1"/>
  <c r="BX244" i="1"/>
  <c r="BU244" i="1"/>
  <c r="BN244" i="1"/>
  <c r="BO244" i="1" s="1"/>
  <c r="BD244" i="1"/>
  <c r="BC244" i="1"/>
  <c r="BB244" i="1"/>
  <c r="BA244" i="1"/>
  <c r="AZ244" i="1"/>
  <c r="BF244" i="1" s="1" a="1"/>
  <c r="BF244" i="1" s="1"/>
  <c r="AY244" i="1"/>
  <c r="BE244" i="1" s="1" a="1"/>
  <c r="BE244" i="1" s="1"/>
  <c r="AX244" i="1"/>
  <c r="M244" i="1"/>
  <c r="EM203" i="1"/>
  <c r="DU203" i="1"/>
  <c r="DT203" i="1"/>
  <c r="DN203" i="1"/>
  <c r="DM203" i="1"/>
  <c r="DL203" i="1"/>
  <c r="DK203" i="1"/>
  <c r="DI203" i="1"/>
  <c r="DJ203" i="1" s="1"/>
  <c r="DC203" i="1"/>
  <c r="CX203" i="1"/>
  <c r="CN203" i="1"/>
  <c r="CO203" i="1" s="1"/>
  <c r="BX203" i="1"/>
  <c r="BN203" i="1"/>
  <c r="BO203" i="1" s="1"/>
  <c r="BD203" i="1"/>
  <c r="BC203" i="1"/>
  <c r="BB203" i="1"/>
  <c r="BA203" i="1"/>
  <c r="AZ203" i="1"/>
  <c r="AY203" i="1"/>
  <c r="BE203" i="1" s="1" a="1"/>
  <c r="BE203" i="1" s="1"/>
  <c r="AX203" i="1"/>
  <c r="M203" i="1"/>
  <c r="EM278" i="1"/>
  <c r="DU278" i="1"/>
  <c r="DT278" i="1"/>
  <c r="DN278" i="1"/>
  <c r="DM278" i="1"/>
  <c r="DL278" i="1"/>
  <c r="DK278" i="1"/>
  <c r="DI278" i="1"/>
  <c r="DJ278" i="1" s="1"/>
  <c r="DC278" i="1"/>
  <c r="CX278" i="1"/>
  <c r="CN278" i="1"/>
  <c r="CO278" i="1" s="1"/>
  <c r="BX278" i="1"/>
  <c r="BN278" i="1"/>
  <c r="BO278" i="1" s="1"/>
  <c r="BM278" i="1"/>
  <c r="BD278" i="1"/>
  <c r="BC278" i="1"/>
  <c r="BB278" i="1"/>
  <c r="BA278" i="1"/>
  <c r="AZ278" i="1"/>
  <c r="AY278" i="1"/>
  <c r="BE278" i="1" s="1" a="1"/>
  <c r="BE278" i="1" s="1"/>
  <c r="AX278" i="1"/>
  <c r="M278" i="1"/>
  <c r="EM1010" i="1"/>
  <c r="DU1010" i="1"/>
  <c r="DT1010" i="1"/>
  <c r="DN1010" i="1"/>
  <c r="DM1010" i="1"/>
  <c r="DL1010" i="1"/>
  <c r="DK1010" i="1"/>
  <c r="DI1010" i="1"/>
  <c r="DJ1010" i="1" s="1"/>
  <c r="DC1010" i="1"/>
  <c r="CX1010" i="1"/>
  <c r="BV1010" i="1"/>
  <c r="BX1010" i="1" s="1"/>
  <c r="BU1010" i="1"/>
  <c r="BK1010" i="1"/>
  <c r="BM1010" i="1" s="1"/>
  <c r="BD1010" i="1"/>
  <c r="BC1010" i="1"/>
  <c r="BB1010" i="1"/>
  <c r="BA1010" i="1"/>
  <c r="AZ1010" i="1"/>
  <c r="BF1010" i="1" s="1" a="1"/>
  <c r="BF1010" i="1" s="1"/>
  <c r="AY1010" i="1"/>
  <c r="BE1010" i="1" s="1" a="1"/>
  <c r="BE1010" i="1" s="1"/>
  <c r="AX1010" i="1"/>
  <c r="M1010" i="1"/>
  <c r="EM996" i="1"/>
  <c r="DU996" i="1"/>
  <c r="DT996" i="1"/>
  <c r="DN996" i="1"/>
  <c r="DM996" i="1"/>
  <c r="DL996" i="1"/>
  <c r="DK996" i="1"/>
  <c r="DI996" i="1"/>
  <c r="DJ996" i="1" s="1"/>
  <c r="DC996" i="1"/>
  <c r="CX996" i="1"/>
  <c r="BV996" i="1"/>
  <c r="BX996" i="1" s="1"/>
  <c r="BU996" i="1"/>
  <c r="BK996" i="1"/>
  <c r="BM996" i="1" s="1"/>
  <c r="BD996" i="1"/>
  <c r="BC996" i="1"/>
  <c r="BB996" i="1"/>
  <c r="BA996" i="1"/>
  <c r="AZ996" i="1"/>
  <c r="AY996" i="1"/>
  <c r="BE996" i="1" s="1" a="1"/>
  <c r="BE996" i="1" s="1"/>
  <c r="AX996" i="1"/>
  <c r="M996" i="1"/>
  <c r="EM964" i="1"/>
  <c r="DU964" i="1"/>
  <c r="DT964" i="1"/>
  <c r="DN964" i="1"/>
  <c r="DM964" i="1"/>
  <c r="DL964" i="1"/>
  <c r="DK964" i="1"/>
  <c r="DI964" i="1"/>
  <c r="DJ964" i="1" s="1"/>
  <c r="DC964" i="1"/>
  <c r="CX964" i="1"/>
  <c r="BT964" i="1"/>
  <c r="BS964" i="1"/>
  <c r="BL964" i="1"/>
  <c r="CN964" i="1" s="1"/>
  <c r="BD964" i="1"/>
  <c r="BC964" i="1"/>
  <c r="BB964" i="1"/>
  <c r="BA964" i="1"/>
  <c r="AZ964" i="1"/>
  <c r="BF964" i="1" s="1" a="1"/>
  <c r="BF964" i="1" s="1"/>
  <c r="AY964" i="1"/>
  <c r="BE964" i="1" s="1" a="1"/>
  <c r="BE964" i="1" s="1"/>
  <c r="AX964" i="1"/>
  <c r="M964" i="1"/>
  <c r="EM966" i="1"/>
  <c r="DU966" i="1"/>
  <c r="DT966" i="1"/>
  <c r="DN966" i="1"/>
  <c r="DM966" i="1"/>
  <c r="DL966" i="1"/>
  <c r="DK966" i="1"/>
  <c r="DI966" i="1"/>
  <c r="DJ966" i="1" s="1"/>
  <c r="DC966" i="1"/>
  <c r="CX966" i="1"/>
  <c r="CN966" i="1"/>
  <c r="BT966" i="1"/>
  <c r="BS966" i="1"/>
  <c r="BN966" i="1"/>
  <c r="BO966" i="1" s="1"/>
  <c r="BD966" i="1"/>
  <c r="BC966" i="1"/>
  <c r="BB966" i="1"/>
  <c r="BA966" i="1"/>
  <c r="AZ966" i="1"/>
  <c r="BF966" i="1" s="1" a="1"/>
  <c r="BF966" i="1" s="1"/>
  <c r="AY966" i="1"/>
  <c r="BE966" i="1" s="1" a="1"/>
  <c r="BE966" i="1" s="1"/>
  <c r="AX966" i="1"/>
  <c r="M966" i="1"/>
  <c r="EM967" i="1"/>
  <c r="DU967" i="1"/>
  <c r="DT967" i="1"/>
  <c r="DN967" i="1"/>
  <c r="DM967" i="1"/>
  <c r="DL967" i="1"/>
  <c r="DK967" i="1"/>
  <c r="DI967" i="1"/>
  <c r="DJ967" i="1" s="1"/>
  <c r="DC967" i="1"/>
  <c r="CX967" i="1"/>
  <c r="BT967" i="1"/>
  <c r="BS967" i="1"/>
  <c r="BL967" i="1"/>
  <c r="CN967" i="1" s="1"/>
  <c r="CP967" i="1" s="1"/>
  <c r="BD967" i="1"/>
  <c r="BC967" i="1"/>
  <c r="BB967" i="1"/>
  <c r="BA967" i="1"/>
  <c r="AZ967" i="1"/>
  <c r="AY967" i="1"/>
  <c r="BE967" i="1" s="1" a="1"/>
  <c r="BE967" i="1" s="1"/>
  <c r="AX967" i="1"/>
  <c r="M967" i="1"/>
  <c r="EM974" i="1"/>
  <c r="DU974" i="1"/>
  <c r="DT974" i="1"/>
  <c r="DN974" i="1"/>
  <c r="DM974" i="1"/>
  <c r="DL974" i="1"/>
  <c r="DK974" i="1"/>
  <c r="DI974" i="1"/>
  <c r="DJ974" i="1" s="1"/>
  <c r="DC974" i="1"/>
  <c r="CX974" i="1"/>
  <c r="CN974" i="1"/>
  <c r="CR974" i="1" s="1"/>
  <c r="BV974" i="1"/>
  <c r="BX974" i="1" s="1"/>
  <c r="BU974" i="1"/>
  <c r="BN974" i="1"/>
  <c r="BO974" i="1" s="1"/>
  <c r="BD974" i="1"/>
  <c r="BC974" i="1"/>
  <c r="BB974" i="1"/>
  <c r="BA974" i="1"/>
  <c r="AZ974" i="1"/>
  <c r="AY974" i="1"/>
  <c r="BE974" i="1" s="1" a="1"/>
  <c r="BE974" i="1" s="1"/>
  <c r="AX974" i="1"/>
  <c r="M974" i="1"/>
  <c r="EM1120" i="1"/>
  <c r="DU1120" i="1"/>
  <c r="DT1120" i="1"/>
  <c r="DN1120" i="1"/>
  <c r="DM1120" i="1"/>
  <c r="DL1120" i="1"/>
  <c r="DK1120" i="1"/>
  <c r="DI1120" i="1"/>
  <c r="DJ1120" i="1" s="1"/>
  <c r="DC1120" i="1"/>
  <c r="CX1120" i="1"/>
  <c r="BT1120" i="1"/>
  <c r="BS1120" i="1"/>
  <c r="BL1120" i="1"/>
  <c r="BK1120" i="1"/>
  <c r="BD1120" i="1"/>
  <c r="BC1120" i="1"/>
  <c r="BB1120" i="1"/>
  <c r="BA1120" i="1"/>
  <c r="AZ1120" i="1"/>
  <c r="AY1120" i="1"/>
  <c r="BE1120" i="1" s="1" a="1"/>
  <c r="BE1120" i="1" s="1"/>
  <c r="AX1120" i="1"/>
  <c r="M1120" i="1"/>
  <c r="EM38" i="1"/>
  <c r="DU38" i="1"/>
  <c r="DT38" i="1"/>
  <c r="DN38" i="1"/>
  <c r="DM38" i="1"/>
  <c r="DL38" i="1"/>
  <c r="DK38" i="1"/>
  <c r="DI38" i="1"/>
  <c r="DJ38" i="1" s="1"/>
  <c r="DC38" i="1"/>
  <c r="CX38" i="1"/>
  <c r="BV38" i="1"/>
  <c r="BX38" i="1" s="1"/>
  <c r="BU38" i="1"/>
  <c r="BO38" i="1"/>
  <c r="BK38" i="1"/>
  <c r="BD38" i="1"/>
  <c r="BC38" i="1"/>
  <c r="BB38" i="1"/>
  <c r="BA38" i="1"/>
  <c r="AZ38" i="1"/>
  <c r="AY38" i="1"/>
  <c r="AX38" i="1"/>
  <c r="M38" i="1"/>
  <c r="EM26" i="1"/>
  <c r="DU26" i="1"/>
  <c r="DT26" i="1"/>
  <c r="DN26" i="1"/>
  <c r="DM26" i="1"/>
  <c r="DL26" i="1"/>
  <c r="DK26" i="1"/>
  <c r="DI26" i="1"/>
  <c r="DJ26" i="1" s="1"/>
  <c r="DC26" i="1"/>
  <c r="CX26" i="1"/>
  <c r="BV26" i="1"/>
  <c r="BX26" i="1" s="1"/>
  <c r="BU26" i="1"/>
  <c r="BO26" i="1"/>
  <c r="BK26" i="1"/>
  <c r="CN26" i="1" s="1"/>
  <c r="BD26" i="1"/>
  <c r="BC26" i="1"/>
  <c r="BB26" i="1"/>
  <c r="BA26" i="1"/>
  <c r="AZ26" i="1"/>
  <c r="AY26" i="1"/>
  <c r="AX26" i="1"/>
  <c r="M26" i="1"/>
  <c r="EM1113" i="1"/>
  <c r="DU1113" i="1"/>
  <c r="DT1113" i="1"/>
  <c r="DN1113" i="1"/>
  <c r="DM1113" i="1"/>
  <c r="DL1113" i="1"/>
  <c r="DK1113" i="1"/>
  <c r="DI1113" i="1"/>
  <c r="DJ1113" i="1" s="1"/>
  <c r="DC1113" i="1"/>
  <c r="CX1113" i="1"/>
  <c r="CN1113" i="1"/>
  <c r="CO1113" i="1" s="1"/>
  <c r="BX1113" i="1"/>
  <c r="BU1113" i="1"/>
  <c r="BN1113" i="1"/>
  <c r="BO1113" i="1" s="1"/>
  <c r="BM1113" i="1"/>
  <c r="BD1113" i="1"/>
  <c r="BC1113" i="1"/>
  <c r="BB1113" i="1"/>
  <c r="BA1113" i="1"/>
  <c r="AZ1113" i="1"/>
  <c r="AY1113" i="1"/>
  <c r="AX1113" i="1"/>
  <c r="M1113" i="1"/>
  <c r="EM1112" i="1"/>
  <c r="DU1112" i="1"/>
  <c r="DT1112" i="1"/>
  <c r="DN1112" i="1"/>
  <c r="DM1112" i="1"/>
  <c r="DL1112" i="1"/>
  <c r="DK1112" i="1"/>
  <c r="DI1112" i="1"/>
  <c r="DJ1112" i="1" s="1"/>
  <c r="DC1112" i="1"/>
  <c r="CX1112" i="1"/>
  <c r="CN1112" i="1"/>
  <c r="CP1112" i="1" s="1"/>
  <c r="BX1112" i="1"/>
  <c r="BU1112" i="1"/>
  <c r="BN1112" i="1"/>
  <c r="BO1112" i="1" s="1"/>
  <c r="BM1112" i="1"/>
  <c r="BD1112" i="1"/>
  <c r="BC1112" i="1"/>
  <c r="BB1112" i="1"/>
  <c r="BA1112" i="1"/>
  <c r="AZ1112" i="1"/>
  <c r="AY1112" i="1"/>
  <c r="AX1112" i="1"/>
  <c r="M1112" i="1"/>
  <c r="EM850" i="1"/>
  <c r="DU850" i="1"/>
  <c r="DT850" i="1"/>
  <c r="DN850" i="1"/>
  <c r="DM850" i="1"/>
  <c r="DL850" i="1"/>
  <c r="DK850" i="1"/>
  <c r="DI850" i="1"/>
  <c r="DJ850" i="1" s="1"/>
  <c r="DC850" i="1"/>
  <c r="CX850" i="1"/>
  <c r="CN850" i="1"/>
  <c r="BX850" i="1"/>
  <c r="BN850" i="1"/>
  <c r="BO850" i="1" s="1"/>
  <c r="BM850" i="1"/>
  <c r="BD850" i="1"/>
  <c r="BC850" i="1"/>
  <c r="BB850" i="1"/>
  <c r="BA850" i="1"/>
  <c r="AZ850" i="1"/>
  <c r="AY850" i="1"/>
  <c r="BE850" i="1" s="1" a="1"/>
  <c r="BE850" i="1" s="1"/>
  <c r="AX850" i="1"/>
  <c r="M850" i="1"/>
  <c r="EM994" i="1"/>
  <c r="DU994" i="1"/>
  <c r="DT994" i="1"/>
  <c r="DN994" i="1"/>
  <c r="DM994" i="1"/>
  <c r="DL994" i="1"/>
  <c r="DK994" i="1"/>
  <c r="DI994" i="1"/>
  <c r="DJ994" i="1" s="1"/>
  <c r="DC994" i="1"/>
  <c r="CX994" i="1"/>
  <c r="CN994" i="1"/>
  <c r="CS994" i="1" s="1"/>
  <c r="BV994" i="1"/>
  <c r="BX994" i="1" s="1"/>
  <c r="BN994" i="1"/>
  <c r="BO994" i="1" s="1"/>
  <c r="BM994" i="1"/>
  <c r="BD994" i="1"/>
  <c r="BC994" i="1"/>
  <c r="BB994" i="1"/>
  <c r="BA994" i="1"/>
  <c r="AZ994" i="1"/>
  <c r="AY994" i="1"/>
  <c r="BE994" i="1" s="1" a="1"/>
  <c r="BE994" i="1" s="1"/>
  <c r="AX994" i="1"/>
  <c r="M994" i="1"/>
  <c r="EM959" i="1"/>
  <c r="DU959" i="1"/>
  <c r="DT959" i="1"/>
  <c r="DN959" i="1"/>
  <c r="DM959" i="1"/>
  <c r="DL959" i="1"/>
  <c r="DK959" i="1"/>
  <c r="DI959" i="1"/>
  <c r="DJ959" i="1" s="1"/>
  <c r="DC959" i="1"/>
  <c r="CX959" i="1"/>
  <c r="CN959" i="1"/>
  <c r="BV959" i="1"/>
  <c r="BX959" i="1" s="1"/>
  <c r="BN959" i="1"/>
  <c r="BO959" i="1" s="1"/>
  <c r="BM959" i="1"/>
  <c r="BD959" i="1"/>
  <c r="BC959" i="1"/>
  <c r="BB959" i="1"/>
  <c r="BA959" i="1"/>
  <c r="AZ959" i="1"/>
  <c r="AY959" i="1"/>
  <c r="BE959" i="1" s="1" a="1"/>
  <c r="BE959" i="1" s="1"/>
  <c r="AX959" i="1"/>
  <c r="M959" i="1"/>
  <c r="EM958" i="1"/>
  <c r="DU958" i="1"/>
  <c r="DT958" i="1"/>
  <c r="DN958" i="1"/>
  <c r="DM958" i="1"/>
  <c r="DL958" i="1"/>
  <c r="DK958" i="1"/>
  <c r="DI958" i="1"/>
  <c r="DJ958" i="1" s="1"/>
  <c r="DC958" i="1"/>
  <c r="CX958" i="1"/>
  <c r="CN958" i="1"/>
  <c r="CO958" i="1" s="1"/>
  <c r="BX958" i="1"/>
  <c r="BN958" i="1"/>
  <c r="BO958" i="1" s="1"/>
  <c r="BM958" i="1"/>
  <c r="BD958" i="1"/>
  <c r="BC958" i="1"/>
  <c r="BB958" i="1"/>
  <c r="BA958" i="1"/>
  <c r="AZ958" i="1"/>
  <c r="AY958" i="1"/>
  <c r="BE958" i="1" s="1" a="1"/>
  <c r="BE958" i="1" s="1"/>
  <c r="AX958" i="1"/>
  <c r="M958" i="1"/>
  <c r="EM935" i="1"/>
  <c r="DU935" i="1"/>
  <c r="DT935" i="1"/>
  <c r="DN935" i="1"/>
  <c r="DM935" i="1"/>
  <c r="DL935" i="1"/>
  <c r="DK935" i="1"/>
  <c r="DI935" i="1"/>
  <c r="DJ935" i="1" s="1"/>
  <c r="DC935" i="1"/>
  <c r="CX935" i="1"/>
  <c r="CN935" i="1"/>
  <c r="CS935" i="1" s="1"/>
  <c r="BV935" i="1"/>
  <c r="BX935" i="1" s="1"/>
  <c r="BN935" i="1"/>
  <c r="BO935" i="1" s="1"/>
  <c r="BM935" i="1"/>
  <c r="BD935" i="1"/>
  <c r="BC935" i="1"/>
  <c r="BB935" i="1"/>
  <c r="BA935" i="1"/>
  <c r="AZ935" i="1"/>
  <c r="AY935" i="1"/>
  <c r="BE935" i="1" s="1" a="1"/>
  <c r="BE935" i="1" s="1"/>
  <c r="AX935" i="1"/>
  <c r="M935" i="1"/>
  <c r="EM1110" i="1"/>
  <c r="DU1110" i="1"/>
  <c r="DT1110" i="1"/>
  <c r="DN1110" i="1"/>
  <c r="DM1110" i="1"/>
  <c r="DL1110" i="1"/>
  <c r="DK1110" i="1"/>
  <c r="DI1110" i="1"/>
  <c r="DJ1110" i="1" s="1"/>
  <c r="DC1110" i="1"/>
  <c r="CX1110" i="1"/>
  <c r="CN1110" i="1"/>
  <c r="CO1110" i="1" s="1"/>
  <c r="BX1110" i="1"/>
  <c r="BN1110" i="1"/>
  <c r="BO1110" i="1" s="1"/>
  <c r="BM1110" i="1"/>
  <c r="BD1110" i="1"/>
  <c r="BC1110" i="1"/>
  <c r="BB1110" i="1"/>
  <c r="BA1110" i="1"/>
  <c r="AZ1110" i="1"/>
  <c r="AY1110" i="1"/>
  <c r="BE1110" i="1" s="1" a="1"/>
  <c r="BE1110" i="1" s="1"/>
  <c r="AX1110" i="1"/>
  <c r="M1110" i="1"/>
  <c r="EM1111" i="1"/>
  <c r="DU1111" i="1"/>
  <c r="DT1111" i="1"/>
  <c r="DN1111" i="1"/>
  <c r="DM1111" i="1"/>
  <c r="DL1111" i="1"/>
  <c r="DK1111" i="1"/>
  <c r="DI1111" i="1"/>
  <c r="DJ1111" i="1" s="1"/>
  <c r="DC1111" i="1"/>
  <c r="CX1111" i="1"/>
  <c r="CN1111" i="1"/>
  <c r="CR1111" i="1" s="1"/>
  <c r="BX1111" i="1"/>
  <c r="BN1111" i="1"/>
  <c r="BO1111" i="1" s="1"/>
  <c r="BM1111" i="1"/>
  <c r="BD1111" i="1"/>
  <c r="BC1111" i="1"/>
  <c r="BB1111" i="1"/>
  <c r="BA1111" i="1"/>
  <c r="AZ1111" i="1"/>
  <c r="AY1111" i="1"/>
  <c r="BE1111" i="1" s="1" a="1"/>
  <c r="BE1111" i="1" s="1"/>
  <c r="AX1111" i="1"/>
  <c r="M1111" i="1"/>
  <c r="EM893" i="1"/>
  <c r="DU893" i="1"/>
  <c r="DT893" i="1"/>
  <c r="DN893" i="1"/>
  <c r="DM893" i="1"/>
  <c r="DL893" i="1"/>
  <c r="DK893" i="1"/>
  <c r="DI893" i="1"/>
  <c r="DJ893" i="1" s="1"/>
  <c r="DC893" i="1"/>
  <c r="CX893" i="1"/>
  <c r="BX893" i="1"/>
  <c r="BK893" i="1"/>
  <c r="BD893" i="1"/>
  <c r="BC893" i="1"/>
  <c r="BB893" i="1"/>
  <c r="BA893" i="1"/>
  <c r="AZ893" i="1"/>
  <c r="AY893" i="1"/>
  <c r="BE893" i="1" s="1" a="1"/>
  <c r="BE893" i="1" s="1"/>
  <c r="AX893" i="1"/>
  <c r="M893" i="1"/>
  <c r="EM856" i="1"/>
  <c r="DU856" i="1"/>
  <c r="DT856" i="1"/>
  <c r="DN856" i="1"/>
  <c r="DM856" i="1"/>
  <c r="DL856" i="1"/>
  <c r="DK856" i="1"/>
  <c r="DI856" i="1"/>
  <c r="DJ856" i="1" s="1"/>
  <c r="DC856" i="1"/>
  <c r="CX856" i="1"/>
  <c r="BX856" i="1"/>
  <c r="BK856" i="1"/>
  <c r="BM856" i="1" s="1"/>
  <c r="BD856" i="1"/>
  <c r="BC856" i="1"/>
  <c r="BB856" i="1"/>
  <c r="BA856" i="1"/>
  <c r="AZ856" i="1"/>
  <c r="AY856" i="1"/>
  <c r="BE856" i="1" s="1" a="1"/>
  <c r="BE856" i="1" s="1"/>
  <c r="AX856" i="1"/>
  <c r="M856" i="1"/>
  <c r="EM858" i="1"/>
  <c r="DU858" i="1"/>
  <c r="DT858" i="1"/>
  <c r="DN858" i="1"/>
  <c r="DM858" i="1"/>
  <c r="DL858" i="1"/>
  <c r="DK858" i="1"/>
  <c r="DI858" i="1"/>
  <c r="DJ858" i="1" s="1"/>
  <c r="DC858" i="1"/>
  <c r="CX858" i="1"/>
  <c r="CN858" i="1"/>
  <c r="CS858" i="1" s="1"/>
  <c r="BX858" i="1"/>
  <c r="BN858" i="1"/>
  <c r="BO858" i="1" s="1"/>
  <c r="BM858" i="1"/>
  <c r="BD858" i="1"/>
  <c r="BC858" i="1"/>
  <c r="BB858" i="1"/>
  <c r="BA858" i="1"/>
  <c r="AZ858" i="1"/>
  <c r="AY858" i="1"/>
  <c r="BE858" i="1" s="1" a="1"/>
  <c r="BE858" i="1" s="1"/>
  <c r="AX858" i="1"/>
  <c r="M858" i="1"/>
  <c r="EM952" i="1"/>
  <c r="DU952" i="1"/>
  <c r="DT952" i="1"/>
  <c r="DN952" i="1"/>
  <c r="DM952" i="1"/>
  <c r="DL952" i="1"/>
  <c r="DK952" i="1"/>
  <c r="DI952" i="1"/>
  <c r="DJ952" i="1" s="1"/>
  <c r="DC952" i="1"/>
  <c r="CX952" i="1"/>
  <c r="BT952" i="1"/>
  <c r="BU952" i="1" s="1"/>
  <c r="BL952" i="1"/>
  <c r="BD952" i="1"/>
  <c r="BC952" i="1"/>
  <c r="BB952" i="1"/>
  <c r="BA952" i="1"/>
  <c r="AZ952" i="1"/>
  <c r="AY952" i="1"/>
  <c r="BE952" i="1" s="1" a="1"/>
  <c r="BE952" i="1" s="1"/>
  <c r="AX952" i="1"/>
  <c r="M952" i="1"/>
  <c r="EM943" i="1"/>
  <c r="DU943" i="1"/>
  <c r="DT943" i="1"/>
  <c r="DN943" i="1"/>
  <c r="DM943" i="1"/>
  <c r="DL943" i="1"/>
  <c r="DK943" i="1"/>
  <c r="DI943" i="1"/>
  <c r="DJ943" i="1" s="1"/>
  <c r="DC943" i="1"/>
  <c r="CX943" i="1"/>
  <c r="BT943" i="1"/>
  <c r="BV943" i="1" s="1"/>
  <c r="BX943" i="1" s="1"/>
  <c r="BL943" i="1"/>
  <c r="CN943" i="1" s="1"/>
  <c r="BD943" i="1"/>
  <c r="BC943" i="1"/>
  <c r="BB943" i="1"/>
  <c r="BA943" i="1"/>
  <c r="AZ943" i="1"/>
  <c r="AY943" i="1"/>
  <c r="BE943" i="1" s="1" a="1"/>
  <c r="BE943" i="1" s="1"/>
  <c r="AX943" i="1"/>
  <c r="M943" i="1"/>
  <c r="EM955" i="1"/>
  <c r="DU955" i="1"/>
  <c r="DT955" i="1"/>
  <c r="DN955" i="1"/>
  <c r="DM955" i="1"/>
  <c r="DL955" i="1"/>
  <c r="DK955" i="1"/>
  <c r="DI955" i="1"/>
  <c r="DJ955" i="1" s="1"/>
  <c r="DC955" i="1"/>
  <c r="CX955" i="1"/>
  <c r="BT955" i="1"/>
  <c r="BV955" i="1" s="1"/>
  <c r="BX955" i="1" s="1"/>
  <c r="BN955" i="1"/>
  <c r="BO955" i="1" s="1"/>
  <c r="BL955" i="1"/>
  <c r="CN955" i="1" s="1"/>
  <c r="CR955" i="1" s="1"/>
  <c r="BD955" i="1"/>
  <c r="BC955" i="1"/>
  <c r="BB955" i="1"/>
  <c r="BA955" i="1"/>
  <c r="AZ955" i="1"/>
  <c r="BF955" i="1" s="1" a="1"/>
  <c r="BF955" i="1" s="1"/>
  <c r="AY955" i="1"/>
  <c r="BE955" i="1" s="1" a="1"/>
  <c r="BE955" i="1" s="1"/>
  <c r="AX955" i="1"/>
  <c r="M955" i="1"/>
  <c r="EM1109" i="1"/>
  <c r="DU1109" i="1"/>
  <c r="DT1109" i="1"/>
  <c r="DN1109" i="1"/>
  <c r="DM1109" i="1"/>
  <c r="DL1109" i="1"/>
  <c r="DK1109" i="1"/>
  <c r="DI1109" i="1"/>
  <c r="DJ1109" i="1" s="1"/>
  <c r="DC1109" i="1"/>
  <c r="CX1109" i="1"/>
  <c r="BV1109" i="1"/>
  <c r="BX1109" i="1" s="1"/>
  <c r="BY1109" i="1" s="1"/>
  <c r="BU1109" i="1"/>
  <c r="BL1109" i="1"/>
  <c r="BK1109" i="1"/>
  <c r="BD1109" i="1"/>
  <c r="BC1109" i="1"/>
  <c r="BB1109" i="1"/>
  <c r="BA1109" i="1"/>
  <c r="AZ1109" i="1"/>
  <c r="BF1109" i="1" s="1" a="1"/>
  <c r="BF1109" i="1" s="1"/>
  <c r="AY1109" i="1"/>
  <c r="BE1109" i="1" s="1" a="1"/>
  <c r="BE1109" i="1" s="1"/>
  <c r="AX1109" i="1"/>
  <c r="M1109" i="1"/>
  <c r="EM1108" i="1"/>
  <c r="DU1108" i="1"/>
  <c r="DT1108" i="1"/>
  <c r="DN1108" i="1"/>
  <c r="DM1108" i="1"/>
  <c r="DL1108" i="1"/>
  <c r="DK1108" i="1"/>
  <c r="DI1108" i="1"/>
  <c r="DJ1108" i="1" s="1"/>
  <c r="DC1108" i="1"/>
  <c r="CX1108" i="1"/>
  <c r="BT1108" i="1"/>
  <c r="BU1108" i="1" s="1"/>
  <c r="BS1108" i="1"/>
  <c r="BL1108" i="1"/>
  <c r="BK1108" i="1"/>
  <c r="BD1108" i="1"/>
  <c r="BC1108" i="1"/>
  <c r="BB1108" i="1"/>
  <c r="BA1108" i="1"/>
  <c r="AZ1108" i="1"/>
  <c r="AY1108" i="1"/>
  <c r="BE1108" i="1" s="1" a="1"/>
  <c r="BE1108" i="1" s="1"/>
  <c r="AX1108" i="1"/>
  <c r="M1108" i="1"/>
  <c r="EM940" i="1"/>
  <c r="DU940" i="1"/>
  <c r="DT940" i="1"/>
  <c r="DN940" i="1"/>
  <c r="DM940" i="1"/>
  <c r="DL940" i="1"/>
  <c r="DK940" i="1"/>
  <c r="DI940" i="1"/>
  <c r="DJ940" i="1" s="1"/>
  <c r="DC940" i="1"/>
  <c r="CX940" i="1"/>
  <c r="BT940" i="1"/>
  <c r="BS940" i="1"/>
  <c r="BL940" i="1"/>
  <c r="BK940" i="1"/>
  <c r="BD940" i="1"/>
  <c r="BC940" i="1"/>
  <c r="BB940" i="1"/>
  <c r="BA940" i="1"/>
  <c r="AZ940" i="1"/>
  <c r="BF940" i="1" s="1" a="1"/>
  <c r="BF940" i="1" s="1"/>
  <c r="AY940" i="1"/>
  <c r="BE940" i="1" s="1" a="1"/>
  <c r="BE940" i="1" s="1"/>
  <c r="AX940" i="1"/>
  <c r="M940" i="1"/>
  <c r="EM936" i="1"/>
  <c r="DU936" i="1"/>
  <c r="DT936" i="1"/>
  <c r="DN936" i="1"/>
  <c r="DM936" i="1"/>
  <c r="DL936" i="1"/>
  <c r="DK936" i="1"/>
  <c r="DI936" i="1"/>
  <c r="DJ936" i="1" s="1"/>
  <c r="DC936" i="1"/>
  <c r="CX936" i="1"/>
  <c r="BT936" i="1"/>
  <c r="BS936" i="1"/>
  <c r="BL936" i="1"/>
  <c r="BK936" i="1"/>
  <c r="BD936" i="1"/>
  <c r="BC936" i="1"/>
  <c r="BB936" i="1"/>
  <c r="BA936" i="1"/>
  <c r="AZ936" i="1"/>
  <c r="BF936" i="1" s="1" a="1"/>
  <c r="BF936" i="1" s="1"/>
  <c r="AY936" i="1"/>
  <c r="BE936" i="1" s="1" a="1"/>
  <c r="BE936" i="1" s="1"/>
  <c r="AX936" i="1"/>
  <c r="M936" i="1"/>
  <c r="EM1101" i="1"/>
  <c r="DU1101" i="1"/>
  <c r="DT1101" i="1"/>
  <c r="DN1101" i="1"/>
  <c r="DM1101" i="1"/>
  <c r="DL1101" i="1"/>
  <c r="DK1101" i="1"/>
  <c r="DI1101" i="1"/>
  <c r="DJ1101" i="1" s="1"/>
  <c r="DC1101" i="1"/>
  <c r="CX1101" i="1"/>
  <c r="BX1101" i="1"/>
  <c r="BL1101" i="1"/>
  <c r="BK1101" i="1"/>
  <c r="BD1101" i="1"/>
  <c r="BC1101" i="1"/>
  <c r="BB1101" i="1"/>
  <c r="BA1101" i="1"/>
  <c r="AZ1101" i="1"/>
  <c r="AY1101" i="1"/>
  <c r="BE1101" i="1" s="1" a="1"/>
  <c r="BE1101" i="1" s="1"/>
  <c r="AX1101" i="1"/>
  <c r="M1101" i="1"/>
  <c r="EM1103" i="1"/>
  <c r="DU1103" i="1"/>
  <c r="DT1103" i="1"/>
  <c r="DN1103" i="1"/>
  <c r="DM1103" i="1"/>
  <c r="DL1103" i="1"/>
  <c r="DK1103" i="1"/>
  <c r="DI1103" i="1"/>
  <c r="DJ1103" i="1" s="1"/>
  <c r="DC1103" i="1"/>
  <c r="CX1103" i="1"/>
  <c r="BX1103" i="1"/>
  <c r="BL1103" i="1"/>
  <c r="BK1103" i="1"/>
  <c r="BD1103" i="1"/>
  <c r="BC1103" i="1"/>
  <c r="BB1103" i="1"/>
  <c r="BA1103" i="1"/>
  <c r="AZ1103" i="1"/>
  <c r="BF1103" i="1" s="1" a="1"/>
  <c r="BF1103" i="1" s="1"/>
  <c r="AY1103" i="1"/>
  <c r="BE1103" i="1" s="1" a="1"/>
  <c r="BE1103" i="1" s="1"/>
  <c r="AX1103" i="1"/>
  <c r="M1103" i="1"/>
  <c r="EM1099" i="1"/>
  <c r="DU1099" i="1"/>
  <c r="DT1099" i="1"/>
  <c r="DN1099" i="1"/>
  <c r="DM1099" i="1"/>
  <c r="DL1099" i="1"/>
  <c r="DK1099" i="1"/>
  <c r="DI1099" i="1"/>
  <c r="DJ1099" i="1" s="1"/>
  <c r="DC1099" i="1"/>
  <c r="CX1099" i="1"/>
  <c r="BX1099" i="1"/>
  <c r="BL1099" i="1"/>
  <c r="CN1099" i="1" s="1"/>
  <c r="BK1099" i="1"/>
  <c r="BD1099" i="1"/>
  <c r="BC1099" i="1"/>
  <c r="BB1099" i="1"/>
  <c r="BA1099" i="1"/>
  <c r="AZ1099" i="1"/>
  <c r="AY1099" i="1"/>
  <c r="BE1099" i="1" s="1" a="1"/>
  <c r="BE1099" i="1" s="1"/>
  <c r="AX1099" i="1"/>
  <c r="M1099" i="1"/>
  <c r="EM1094" i="1"/>
  <c r="DU1094" i="1"/>
  <c r="DT1094" i="1"/>
  <c r="DN1094" i="1"/>
  <c r="DM1094" i="1"/>
  <c r="DL1094" i="1"/>
  <c r="DK1094" i="1"/>
  <c r="DI1094" i="1"/>
  <c r="DJ1094" i="1" s="1"/>
  <c r="DC1094" i="1"/>
  <c r="CX1094" i="1"/>
  <c r="CN1094" i="1"/>
  <c r="BX1094" i="1"/>
  <c r="BN1094" i="1"/>
  <c r="BO1094" i="1" s="1"/>
  <c r="BD1094" i="1"/>
  <c r="BC1094" i="1"/>
  <c r="BB1094" i="1"/>
  <c r="BA1094" i="1"/>
  <c r="AZ1094" i="1"/>
  <c r="AY1094" i="1"/>
  <c r="BE1094" i="1" s="1" a="1"/>
  <c r="BE1094" i="1" s="1"/>
  <c r="AX1094" i="1"/>
  <c r="M1094" i="1"/>
  <c r="EM1092" i="1"/>
  <c r="DU1092" i="1"/>
  <c r="DT1092" i="1"/>
  <c r="DN1092" i="1"/>
  <c r="DM1092" i="1"/>
  <c r="DL1092" i="1"/>
  <c r="DK1092" i="1"/>
  <c r="DI1092" i="1"/>
  <c r="DJ1092" i="1" s="1"/>
  <c r="DC1092" i="1"/>
  <c r="CX1092" i="1"/>
  <c r="CN1092" i="1"/>
  <c r="BX1092" i="1"/>
  <c r="BN1092" i="1"/>
  <c r="BO1092" i="1" s="1"/>
  <c r="BD1092" i="1"/>
  <c r="BC1092" i="1"/>
  <c r="BB1092" i="1"/>
  <c r="BA1092" i="1"/>
  <c r="AZ1092" i="1"/>
  <c r="AY1092" i="1"/>
  <c r="BE1092" i="1" s="1" a="1"/>
  <c r="BE1092" i="1" s="1"/>
  <c r="AX1092" i="1"/>
  <c r="M1092" i="1"/>
  <c r="EM1093" i="1"/>
  <c r="DU1093" i="1"/>
  <c r="DT1093" i="1"/>
  <c r="DN1093" i="1"/>
  <c r="DM1093" i="1"/>
  <c r="DL1093" i="1"/>
  <c r="DK1093" i="1"/>
  <c r="DI1093" i="1"/>
  <c r="DJ1093" i="1" s="1"/>
  <c r="DC1093" i="1"/>
  <c r="CX1093" i="1"/>
  <c r="CN1093" i="1"/>
  <c r="BX1093" i="1"/>
  <c r="BN1093" i="1"/>
  <c r="BO1093" i="1" s="1"/>
  <c r="BD1093" i="1"/>
  <c r="BC1093" i="1"/>
  <c r="BB1093" i="1"/>
  <c r="BA1093" i="1"/>
  <c r="AZ1093" i="1"/>
  <c r="BF1093" i="1" s="1" a="1"/>
  <c r="BF1093" i="1" s="1"/>
  <c r="AY1093" i="1"/>
  <c r="BE1093" i="1" s="1" a="1"/>
  <c r="BE1093" i="1" s="1"/>
  <c r="AX1093" i="1"/>
  <c r="M1093" i="1"/>
  <c r="EM1102" i="1"/>
  <c r="DU1102" i="1"/>
  <c r="DT1102" i="1"/>
  <c r="DN1102" i="1"/>
  <c r="DM1102" i="1"/>
  <c r="DL1102" i="1"/>
  <c r="DK1102" i="1"/>
  <c r="DI1102" i="1"/>
  <c r="DJ1102" i="1" s="1"/>
  <c r="DC1102" i="1"/>
  <c r="CX1102" i="1"/>
  <c r="CN1102" i="1"/>
  <c r="CS1102" i="1" s="1"/>
  <c r="BX1102" i="1"/>
  <c r="BN1102" i="1"/>
  <c r="BO1102" i="1" s="1"/>
  <c r="BD1102" i="1"/>
  <c r="BC1102" i="1"/>
  <c r="BB1102" i="1"/>
  <c r="BA1102" i="1"/>
  <c r="AZ1102" i="1"/>
  <c r="AY1102" i="1"/>
  <c r="BE1102" i="1" s="1" a="1"/>
  <c r="BE1102" i="1" s="1"/>
  <c r="AX1102" i="1"/>
  <c r="M1102" i="1"/>
  <c r="EM1098" i="1"/>
  <c r="DU1098" i="1"/>
  <c r="DT1098" i="1"/>
  <c r="DN1098" i="1"/>
  <c r="DM1098" i="1"/>
  <c r="DL1098" i="1"/>
  <c r="DK1098" i="1"/>
  <c r="DI1098" i="1"/>
  <c r="DJ1098" i="1" s="1"/>
  <c r="DC1098" i="1"/>
  <c r="CX1098" i="1"/>
  <c r="CN1098" i="1"/>
  <c r="BX1098" i="1"/>
  <c r="BN1098" i="1"/>
  <c r="BO1098" i="1" s="1"/>
  <c r="BD1098" i="1"/>
  <c r="BC1098" i="1"/>
  <c r="BB1098" i="1"/>
  <c r="BA1098" i="1"/>
  <c r="AZ1098" i="1"/>
  <c r="BF1098" i="1" s="1" a="1"/>
  <c r="BF1098" i="1" s="1"/>
  <c r="AY1098" i="1"/>
  <c r="BE1098" i="1" s="1" a="1"/>
  <c r="BE1098" i="1" s="1"/>
  <c r="AX1098" i="1"/>
  <c r="M1098" i="1"/>
  <c r="EM1097" i="1"/>
  <c r="DU1097" i="1"/>
  <c r="DT1097" i="1"/>
  <c r="DN1097" i="1"/>
  <c r="DM1097" i="1"/>
  <c r="DL1097" i="1"/>
  <c r="DK1097" i="1"/>
  <c r="DI1097" i="1"/>
  <c r="DJ1097" i="1" s="1"/>
  <c r="DC1097" i="1"/>
  <c r="CX1097" i="1"/>
  <c r="CN1097" i="1"/>
  <c r="BX1097" i="1"/>
  <c r="BN1097" i="1"/>
  <c r="BO1097" i="1" s="1"/>
  <c r="BD1097" i="1"/>
  <c r="BC1097" i="1"/>
  <c r="BB1097" i="1"/>
  <c r="BA1097" i="1"/>
  <c r="AZ1097" i="1"/>
  <c r="AY1097" i="1"/>
  <c r="BE1097" i="1" s="1" a="1"/>
  <c r="BE1097" i="1" s="1"/>
  <c r="AX1097" i="1"/>
  <c r="M1097" i="1"/>
  <c r="EM1096" i="1"/>
  <c r="DU1096" i="1"/>
  <c r="DT1096" i="1"/>
  <c r="DN1096" i="1"/>
  <c r="DM1096" i="1"/>
  <c r="DL1096" i="1"/>
  <c r="DK1096" i="1"/>
  <c r="DI1096" i="1"/>
  <c r="DJ1096" i="1" s="1"/>
  <c r="DC1096" i="1"/>
  <c r="CX1096" i="1"/>
  <c r="CN1096" i="1"/>
  <c r="CS1096" i="1" s="1"/>
  <c r="BX1096" i="1"/>
  <c r="BN1096" i="1"/>
  <c r="BO1096" i="1" s="1"/>
  <c r="BD1096" i="1"/>
  <c r="BC1096" i="1"/>
  <c r="BB1096" i="1"/>
  <c r="BA1096" i="1"/>
  <c r="AZ1096" i="1"/>
  <c r="BF1096" i="1" s="1" a="1"/>
  <c r="BF1096" i="1" s="1"/>
  <c r="AY1096" i="1"/>
  <c r="BE1096" i="1" s="1" a="1"/>
  <c r="BE1096" i="1" s="1"/>
  <c r="AX1096" i="1"/>
  <c r="M1096" i="1"/>
  <c r="EM1095" i="1"/>
  <c r="DU1095" i="1"/>
  <c r="DT1095" i="1"/>
  <c r="DN1095" i="1"/>
  <c r="DM1095" i="1"/>
  <c r="DL1095" i="1"/>
  <c r="DK1095" i="1"/>
  <c r="DI1095" i="1"/>
  <c r="DJ1095" i="1" s="1"/>
  <c r="DC1095" i="1"/>
  <c r="CX1095" i="1"/>
  <c r="CN1095" i="1"/>
  <c r="CS1095" i="1" s="1"/>
  <c r="BX1095" i="1"/>
  <c r="BN1095" i="1"/>
  <c r="BO1095" i="1" s="1"/>
  <c r="BD1095" i="1"/>
  <c r="BC1095" i="1"/>
  <c r="BB1095" i="1"/>
  <c r="BA1095" i="1"/>
  <c r="AZ1095" i="1"/>
  <c r="AY1095" i="1"/>
  <c r="BE1095" i="1" s="1" a="1"/>
  <c r="BE1095" i="1" s="1"/>
  <c r="AX1095" i="1"/>
  <c r="M1095" i="1"/>
  <c r="EM1100" i="1"/>
  <c r="DU1100" i="1"/>
  <c r="DT1100" i="1"/>
  <c r="DN1100" i="1"/>
  <c r="DM1100" i="1"/>
  <c r="DL1100" i="1"/>
  <c r="DK1100" i="1"/>
  <c r="DI1100" i="1"/>
  <c r="DJ1100" i="1" s="1"/>
  <c r="DC1100" i="1"/>
  <c r="CX1100" i="1"/>
  <c r="CN1100" i="1"/>
  <c r="CS1100" i="1" s="1"/>
  <c r="BX1100" i="1"/>
  <c r="BN1100" i="1"/>
  <c r="BO1100" i="1" s="1"/>
  <c r="BD1100" i="1"/>
  <c r="BC1100" i="1"/>
  <c r="BB1100" i="1"/>
  <c r="BA1100" i="1"/>
  <c r="AZ1100" i="1"/>
  <c r="AY1100" i="1"/>
  <c r="BE1100" i="1" s="1" a="1"/>
  <c r="BE1100" i="1" s="1"/>
  <c r="AX1100" i="1"/>
  <c r="M1100" i="1"/>
  <c r="EM1091" i="1"/>
  <c r="DU1091" i="1"/>
  <c r="DT1091" i="1"/>
  <c r="DN1091" i="1"/>
  <c r="DM1091" i="1"/>
  <c r="DL1091" i="1"/>
  <c r="DK1091" i="1"/>
  <c r="DI1091" i="1"/>
  <c r="DJ1091" i="1" s="1"/>
  <c r="DC1091" i="1"/>
  <c r="CX1091" i="1"/>
  <c r="BX1091" i="1"/>
  <c r="BY1091" i="1" s="1"/>
  <c r="EP1091" i="1" s="1"/>
  <c r="BL1091" i="1"/>
  <c r="BN1091" i="1" s="1"/>
  <c r="BD1091" i="1"/>
  <c r="BC1091" i="1"/>
  <c r="BB1091" i="1"/>
  <c r="BA1091" i="1"/>
  <c r="AZ1091" i="1"/>
  <c r="BF1091" i="1" s="1" a="1"/>
  <c r="BF1091" i="1" s="1"/>
  <c r="AY1091" i="1"/>
  <c r="BE1091" i="1" s="1" a="1"/>
  <c r="BE1091" i="1" s="1"/>
  <c r="AX1091" i="1"/>
  <c r="M1091" i="1"/>
  <c r="EM1090" i="1"/>
  <c r="DU1090" i="1"/>
  <c r="DT1090" i="1"/>
  <c r="DN1090" i="1"/>
  <c r="DM1090" i="1"/>
  <c r="DL1090" i="1"/>
  <c r="DK1090" i="1"/>
  <c r="DI1090" i="1"/>
  <c r="DJ1090" i="1" s="1"/>
  <c r="DC1090" i="1"/>
  <c r="CX1090" i="1"/>
  <c r="BX1090" i="1"/>
  <c r="BY1090" i="1" s="1"/>
  <c r="EP1090" i="1" s="1"/>
  <c r="BL1090" i="1"/>
  <c r="BD1090" i="1"/>
  <c r="BC1090" i="1"/>
  <c r="BB1090" i="1"/>
  <c r="BA1090" i="1"/>
  <c r="AZ1090" i="1"/>
  <c r="AY1090" i="1"/>
  <c r="BE1090" i="1" s="1" a="1"/>
  <c r="BE1090" i="1" s="1"/>
  <c r="AX1090" i="1"/>
  <c r="M1090" i="1"/>
  <c r="EM1089" i="1"/>
  <c r="DU1089" i="1"/>
  <c r="DT1089" i="1"/>
  <c r="DN1089" i="1"/>
  <c r="DM1089" i="1"/>
  <c r="DL1089" i="1"/>
  <c r="DK1089" i="1"/>
  <c r="DI1089" i="1"/>
  <c r="DJ1089" i="1" s="1"/>
  <c r="DC1089" i="1"/>
  <c r="CX1089" i="1"/>
  <c r="BX1089" i="1"/>
  <c r="BY1089" i="1" s="1"/>
  <c r="EP1089" i="1" s="1"/>
  <c r="BL1089" i="1"/>
  <c r="BN1089" i="1" s="1"/>
  <c r="BD1089" i="1"/>
  <c r="BC1089" i="1"/>
  <c r="BB1089" i="1"/>
  <c r="BA1089" i="1"/>
  <c r="AZ1089" i="1"/>
  <c r="BF1089" i="1" s="1" a="1"/>
  <c r="BF1089" i="1" s="1"/>
  <c r="AY1089" i="1"/>
  <c r="BE1089" i="1" s="1" a="1"/>
  <c r="BE1089" i="1" s="1"/>
  <c r="AX1089" i="1"/>
  <c r="M1089" i="1"/>
  <c r="EM800" i="1"/>
  <c r="DU800" i="1"/>
  <c r="DT800" i="1"/>
  <c r="DN800" i="1"/>
  <c r="DM800" i="1"/>
  <c r="DL800" i="1"/>
  <c r="DK800" i="1"/>
  <c r="DI800" i="1"/>
  <c r="DJ800" i="1" s="1"/>
  <c r="DC800" i="1"/>
  <c r="CX800" i="1"/>
  <c r="BX800" i="1"/>
  <c r="BK800" i="1"/>
  <c r="BN800" i="1" s="1"/>
  <c r="BO800" i="1" s="1"/>
  <c r="BD800" i="1"/>
  <c r="BC800" i="1"/>
  <c r="BB800" i="1"/>
  <c r="BA800" i="1"/>
  <c r="AZ800" i="1"/>
  <c r="AY800" i="1"/>
  <c r="BE800" i="1" s="1" a="1"/>
  <c r="BE800" i="1" s="1"/>
  <c r="AX800" i="1"/>
  <c r="M800" i="1"/>
  <c r="EM252" i="1"/>
  <c r="DU252" i="1"/>
  <c r="DT252" i="1"/>
  <c r="DN252" i="1"/>
  <c r="DM252" i="1"/>
  <c r="DL252" i="1"/>
  <c r="DK252" i="1"/>
  <c r="DI252" i="1"/>
  <c r="DJ252" i="1" s="1"/>
  <c r="DC252" i="1"/>
  <c r="CX252" i="1"/>
  <c r="BX252" i="1"/>
  <c r="BL252" i="1"/>
  <c r="BN252" i="1" s="1"/>
  <c r="BO252" i="1" s="1"/>
  <c r="BD252" i="1"/>
  <c r="BC252" i="1"/>
  <c r="BB252" i="1"/>
  <c r="BA252" i="1"/>
  <c r="AZ252" i="1"/>
  <c r="BF252" i="1" s="1" a="1"/>
  <c r="BF252" i="1" s="1"/>
  <c r="AY252" i="1"/>
  <c r="BE252" i="1" s="1" a="1"/>
  <c r="BE252" i="1" s="1"/>
  <c r="AX252" i="1"/>
  <c r="M252" i="1"/>
  <c r="EM223" i="1"/>
  <c r="DU223" i="1"/>
  <c r="DT223" i="1"/>
  <c r="DN223" i="1"/>
  <c r="DM223" i="1"/>
  <c r="DL223" i="1"/>
  <c r="DK223" i="1"/>
  <c r="DI223" i="1"/>
  <c r="DJ223" i="1" s="1"/>
  <c r="DC223" i="1"/>
  <c r="CX223" i="1"/>
  <c r="BX223" i="1"/>
  <c r="BL223" i="1"/>
  <c r="BN223" i="1" s="1"/>
  <c r="BO223" i="1" s="1"/>
  <c r="BD223" i="1"/>
  <c r="BC223" i="1"/>
  <c r="BB223" i="1"/>
  <c r="BA223" i="1"/>
  <c r="AZ223" i="1"/>
  <c r="AY223" i="1"/>
  <c r="BE223" i="1" s="1" a="1"/>
  <c r="BE223" i="1" s="1"/>
  <c r="AX223" i="1"/>
  <c r="M223" i="1"/>
  <c r="EM198" i="1"/>
  <c r="DU198" i="1"/>
  <c r="DT198" i="1"/>
  <c r="DN198" i="1"/>
  <c r="DM198" i="1"/>
  <c r="DL198" i="1"/>
  <c r="DK198" i="1"/>
  <c r="DI198" i="1"/>
  <c r="DJ198" i="1" s="1"/>
  <c r="DC198" i="1"/>
  <c r="CX198" i="1"/>
  <c r="BX198" i="1"/>
  <c r="BK198" i="1"/>
  <c r="CN198" i="1" s="1"/>
  <c r="BD198" i="1"/>
  <c r="BC198" i="1"/>
  <c r="BB198" i="1"/>
  <c r="BA198" i="1"/>
  <c r="AZ198" i="1"/>
  <c r="BF198" i="1" s="1" a="1"/>
  <c r="BF198" i="1" s="1"/>
  <c r="AY198" i="1"/>
  <c r="BE198" i="1" s="1" a="1"/>
  <c r="BE198" i="1" s="1"/>
  <c r="AX198" i="1"/>
  <c r="M198" i="1"/>
  <c r="EM164" i="1"/>
  <c r="DU164" i="1"/>
  <c r="DT164" i="1"/>
  <c r="DN164" i="1"/>
  <c r="DM164" i="1"/>
  <c r="DL164" i="1"/>
  <c r="DK164" i="1"/>
  <c r="DI164" i="1"/>
  <c r="DJ164" i="1" s="1"/>
  <c r="DC164" i="1"/>
  <c r="CX164" i="1"/>
  <c r="BX164" i="1"/>
  <c r="BL164" i="1"/>
  <c r="CN164" i="1" s="1"/>
  <c r="BD164" i="1"/>
  <c r="BC164" i="1"/>
  <c r="BB164" i="1"/>
  <c r="BA164" i="1"/>
  <c r="AZ164" i="1"/>
  <c r="AY164" i="1"/>
  <c r="BE164" i="1" s="1" a="1"/>
  <c r="BE164" i="1" s="1"/>
  <c r="AX164" i="1"/>
  <c r="M164" i="1"/>
  <c r="EM140" i="1"/>
  <c r="DU140" i="1"/>
  <c r="DT140" i="1"/>
  <c r="DN140" i="1"/>
  <c r="DM140" i="1"/>
  <c r="DL140" i="1"/>
  <c r="DK140" i="1"/>
  <c r="DI140" i="1"/>
  <c r="DJ140" i="1" s="1"/>
  <c r="DC140" i="1"/>
  <c r="CX140" i="1"/>
  <c r="BX140" i="1"/>
  <c r="BK140" i="1"/>
  <c r="BD140" i="1"/>
  <c r="BC140" i="1"/>
  <c r="BB140" i="1"/>
  <c r="BA140" i="1"/>
  <c r="AZ140" i="1"/>
  <c r="BF140" i="1" s="1" a="1"/>
  <c r="BF140" i="1" s="1"/>
  <c r="AY140" i="1"/>
  <c r="BE140" i="1" s="1" a="1"/>
  <c r="BE140" i="1" s="1"/>
  <c r="AX140" i="1"/>
  <c r="M140" i="1"/>
  <c r="EM934" i="1"/>
  <c r="DU934" i="1"/>
  <c r="DT934" i="1"/>
  <c r="DN934" i="1"/>
  <c r="DM934" i="1"/>
  <c r="DL934" i="1"/>
  <c r="DK934" i="1"/>
  <c r="DI934" i="1"/>
  <c r="DJ934" i="1" s="1"/>
  <c r="DC934" i="1"/>
  <c r="CX934" i="1"/>
  <c r="BX934" i="1"/>
  <c r="BL934" i="1"/>
  <c r="BN934" i="1" s="1"/>
  <c r="BO934" i="1" s="1"/>
  <c r="BD934" i="1"/>
  <c r="BC934" i="1"/>
  <c r="BB934" i="1"/>
  <c r="BA934" i="1"/>
  <c r="AZ934" i="1"/>
  <c r="AY934" i="1"/>
  <c r="AX934" i="1"/>
  <c r="M934" i="1"/>
  <c r="EM918" i="1"/>
  <c r="DU918" i="1"/>
  <c r="DT918" i="1"/>
  <c r="DN918" i="1"/>
  <c r="DM918" i="1"/>
  <c r="DL918" i="1"/>
  <c r="DK918" i="1"/>
  <c r="DI918" i="1"/>
  <c r="DJ918" i="1" s="1"/>
  <c r="DC918" i="1"/>
  <c r="CX918" i="1"/>
  <c r="BX918" i="1"/>
  <c r="BL918" i="1"/>
  <c r="BD918" i="1"/>
  <c r="BC918" i="1"/>
  <c r="BB918" i="1"/>
  <c r="BA918" i="1"/>
  <c r="AZ918" i="1"/>
  <c r="BF918" i="1" s="1" a="1"/>
  <c r="BF918" i="1" s="1"/>
  <c r="AY918" i="1"/>
  <c r="AX918" i="1"/>
  <c r="M918" i="1"/>
  <c r="EM905" i="1"/>
  <c r="DU905" i="1"/>
  <c r="DT905" i="1"/>
  <c r="DN905" i="1"/>
  <c r="DM905" i="1"/>
  <c r="DL905" i="1"/>
  <c r="DK905" i="1"/>
  <c r="DI905" i="1"/>
  <c r="DJ905" i="1" s="1"/>
  <c r="DC905" i="1"/>
  <c r="CX905" i="1"/>
  <c r="BX905" i="1"/>
  <c r="BL905" i="1"/>
  <c r="BN905" i="1" s="1"/>
  <c r="BO905" i="1" s="1"/>
  <c r="BD905" i="1"/>
  <c r="BC905" i="1"/>
  <c r="BB905" i="1"/>
  <c r="BA905" i="1"/>
  <c r="AZ905" i="1"/>
  <c r="AY905" i="1"/>
  <c r="AX905" i="1"/>
  <c r="M905" i="1"/>
  <c r="EM236" i="1"/>
  <c r="DU236" i="1"/>
  <c r="DT236" i="1"/>
  <c r="DN236" i="1"/>
  <c r="DM236" i="1"/>
  <c r="DL236" i="1"/>
  <c r="DK236" i="1"/>
  <c r="DI236" i="1"/>
  <c r="DJ236" i="1" s="1"/>
  <c r="DC236" i="1"/>
  <c r="CX236" i="1"/>
  <c r="BT236" i="1"/>
  <c r="BS236" i="1"/>
  <c r="BV236" i="1" s="1"/>
  <c r="BX236" i="1" s="1"/>
  <c r="BL236" i="1"/>
  <c r="BK236" i="1"/>
  <c r="BD236" i="1"/>
  <c r="BC236" i="1"/>
  <c r="BB236" i="1"/>
  <c r="BA236" i="1"/>
  <c r="AZ236" i="1"/>
  <c r="BF236" i="1" s="1" a="1"/>
  <c r="BF236" i="1" s="1"/>
  <c r="AY236" i="1"/>
  <c r="BE236" i="1" s="1" a="1"/>
  <c r="BE236" i="1" s="1"/>
  <c r="AX236" i="1"/>
  <c r="M236" i="1"/>
  <c r="EM633" i="1"/>
  <c r="DU633" i="1"/>
  <c r="DT633" i="1"/>
  <c r="DN633" i="1"/>
  <c r="DM633" i="1"/>
  <c r="DL633" i="1"/>
  <c r="DK633" i="1"/>
  <c r="DI633" i="1"/>
  <c r="DJ633" i="1" s="1"/>
  <c r="DC633" i="1"/>
  <c r="CX633" i="1"/>
  <c r="BT633" i="1"/>
  <c r="BS633" i="1"/>
  <c r="BL633" i="1"/>
  <c r="BK633" i="1"/>
  <c r="BD633" i="1"/>
  <c r="BC633" i="1"/>
  <c r="BB633" i="1"/>
  <c r="BA633" i="1"/>
  <c r="AZ633" i="1"/>
  <c r="BF633" i="1" s="1" a="1"/>
  <c r="BF633" i="1" s="1"/>
  <c r="AY633" i="1"/>
  <c r="BE633" i="1" s="1" a="1"/>
  <c r="BE633" i="1" s="1"/>
  <c r="AX633" i="1"/>
  <c r="M633" i="1"/>
  <c r="EM820" i="1"/>
  <c r="DU820" i="1"/>
  <c r="DT820" i="1"/>
  <c r="DN820" i="1"/>
  <c r="DM820" i="1"/>
  <c r="DL820" i="1"/>
  <c r="DK820" i="1"/>
  <c r="DI820" i="1"/>
  <c r="DJ820" i="1" s="1"/>
  <c r="DC820" i="1"/>
  <c r="CX820" i="1"/>
  <c r="BT820" i="1"/>
  <c r="BS820" i="1"/>
  <c r="BL820" i="1"/>
  <c r="BK820" i="1"/>
  <c r="BN820" i="1" s="1"/>
  <c r="BO820" i="1" s="1"/>
  <c r="BD820" i="1"/>
  <c r="BC820" i="1"/>
  <c r="BB820" i="1"/>
  <c r="BA820" i="1"/>
  <c r="AZ820" i="1"/>
  <c r="AY820" i="1"/>
  <c r="BE820" i="1" s="1" a="1"/>
  <c r="BE820" i="1" s="1"/>
  <c r="AX820" i="1"/>
  <c r="M820" i="1"/>
  <c r="EM864" i="1"/>
  <c r="DU864" i="1"/>
  <c r="DT864" i="1"/>
  <c r="DN864" i="1"/>
  <c r="DM864" i="1"/>
  <c r="DL864" i="1"/>
  <c r="DK864" i="1"/>
  <c r="DI864" i="1"/>
  <c r="DJ864" i="1" s="1"/>
  <c r="DC864" i="1"/>
  <c r="CX864" i="1"/>
  <c r="BT864" i="1"/>
  <c r="BS864" i="1"/>
  <c r="BL864" i="1"/>
  <c r="BK864" i="1"/>
  <c r="BD864" i="1"/>
  <c r="BC864" i="1"/>
  <c r="BB864" i="1"/>
  <c r="BA864" i="1"/>
  <c r="AZ864" i="1"/>
  <c r="AY864" i="1"/>
  <c r="BE864" i="1" s="1" a="1"/>
  <c r="BE864" i="1" s="1"/>
  <c r="AX864" i="1"/>
  <c r="M864" i="1"/>
  <c r="EM277" i="1"/>
  <c r="DU277" i="1"/>
  <c r="DT277" i="1"/>
  <c r="DN277" i="1"/>
  <c r="DM277" i="1"/>
  <c r="DL277" i="1"/>
  <c r="DK277" i="1"/>
  <c r="DI277" i="1"/>
  <c r="DJ277" i="1" s="1"/>
  <c r="DC277" i="1"/>
  <c r="CX277" i="1"/>
  <c r="CN277" i="1"/>
  <c r="CP277" i="1" s="1"/>
  <c r="BT277" i="1"/>
  <c r="BS277" i="1"/>
  <c r="BN277" i="1"/>
  <c r="BO277" i="1" s="1"/>
  <c r="BD277" i="1"/>
  <c r="BC277" i="1"/>
  <c r="BB277" i="1"/>
  <c r="BA277" i="1"/>
  <c r="AZ277" i="1"/>
  <c r="BF277" i="1" s="1" a="1"/>
  <c r="BF277" i="1" s="1"/>
  <c r="AY277" i="1"/>
  <c r="BE277" i="1" s="1" a="1"/>
  <c r="BE277" i="1" s="1"/>
  <c r="AX277" i="1"/>
  <c r="M277" i="1"/>
  <c r="EM227" i="1"/>
  <c r="DU227" i="1"/>
  <c r="DT227" i="1"/>
  <c r="DN227" i="1"/>
  <c r="DM227" i="1"/>
  <c r="DL227" i="1"/>
  <c r="DK227" i="1"/>
  <c r="DI227" i="1"/>
  <c r="DJ227" i="1" s="1"/>
  <c r="DC227" i="1"/>
  <c r="CX227" i="1"/>
  <c r="CN227" i="1"/>
  <c r="BT227" i="1"/>
  <c r="BS227" i="1"/>
  <c r="BN227" i="1"/>
  <c r="BO227" i="1" s="1"/>
  <c r="BD227" i="1"/>
  <c r="BC227" i="1"/>
  <c r="BB227" i="1"/>
  <c r="BA227" i="1"/>
  <c r="AZ227" i="1"/>
  <c r="BF227" i="1" s="1" a="1"/>
  <c r="BF227" i="1" s="1"/>
  <c r="AY227" i="1"/>
  <c r="BE227" i="1" s="1" a="1"/>
  <c r="BE227" i="1" s="1"/>
  <c r="AX227" i="1"/>
  <c r="M227" i="1"/>
  <c r="EM314" i="1"/>
  <c r="DU314" i="1"/>
  <c r="DT314" i="1"/>
  <c r="DN314" i="1"/>
  <c r="DM314" i="1"/>
  <c r="DL314" i="1"/>
  <c r="DK314" i="1"/>
  <c r="DI314" i="1"/>
  <c r="DJ314" i="1" s="1"/>
  <c r="DC314" i="1"/>
  <c r="CX314" i="1"/>
  <c r="CN314" i="1"/>
  <c r="BT314" i="1"/>
  <c r="BS314" i="1"/>
  <c r="BN314" i="1"/>
  <c r="BO314" i="1" s="1"/>
  <c r="BD314" i="1"/>
  <c r="BC314" i="1"/>
  <c r="BB314" i="1"/>
  <c r="BA314" i="1"/>
  <c r="AZ314" i="1"/>
  <c r="AY314" i="1"/>
  <c r="BE314" i="1" s="1" a="1"/>
  <c r="BE314" i="1" s="1"/>
  <c r="AX314" i="1"/>
  <c r="M314" i="1"/>
  <c r="EM536" i="1"/>
  <c r="DU536" i="1"/>
  <c r="DT536" i="1"/>
  <c r="DN536" i="1"/>
  <c r="DM536" i="1"/>
  <c r="DL536" i="1"/>
  <c r="DK536" i="1"/>
  <c r="DI536" i="1"/>
  <c r="DJ536" i="1" s="1"/>
  <c r="DC536" i="1"/>
  <c r="CX536" i="1"/>
  <c r="BX536" i="1"/>
  <c r="BK536" i="1"/>
  <c r="CN536" i="1" s="1"/>
  <c r="CO536" i="1" s="1"/>
  <c r="BD536" i="1"/>
  <c r="BC536" i="1"/>
  <c r="BB536" i="1"/>
  <c r="BA536" i="1"/>
  <c r="AZ536" i="1"/>
  <c r="BF536" i="1" s="1" a="1"/>
  <c r="BF536" i="1" s="1"/>
  <c r="AY536" i="1"/>
  <c r="BE536" i="1" s="1" a="1"/>
  <c r="BE536" i="1" s="1"/>
  <c r="AX536" i="1"/>
  <c r="M536" i="1"/>
  <c r="EM533" i="1"/>
  <c r="DU533" i="1"/>
  <c r="DT533" i="1"/>
  <c r="DN533" i="1"/>
  <c r="DM533" i="1"/>
  <c r="DL533" i="1"/>
  <c r="DK533" i="1"/>
  <c r="DI533" i="1"/>
  <c r="DJ533" i="1" s="1"/>
  <c r="DC533" i="1"/>
  <c r="CX533" i="1"/>
  <c r="BX533" i="1"/>
  <c r="BK533" i="1"/>
  <c r="CN533" i="1" s="1"/>
  <c r="BD533" i="1"/>
  <c r="BC533" i="1"/>
  <c r="BB533" i="1"/>
  <c r="BA533" i="1"/>
  <c r="AZ533" i="1"/>
  <c r="AY533" i="1"/>
  <c r="BE533" i="1" s="1" a="1"/>
  <c r="BE533" i="1" s="1"/>
  <c r="AX533" i="1"/>
  <c r="M533" i="1"/>
  <c r="EM537" i="1"/>
  <c r="DU537" i="1"/>
  <c r="DT537" i="1"/>
  <c r="DN537" i="1"/>
  <c r="DM537" i="1"/>
  <c r="DL537" i="1"/>
  <c r="DK537" i="1"/>
  <c r="DI537" i="1"/>
  <c r="DJ537" i="1" s="1"/>
  <c r="DC537" i="1"/>
  <c r="CX537" i="1"/>
  <c r="BX537" i="1"/>
  <c r="BK537" i="1"/>
  <c r="BN537" i="1" s="1"/>
  <c r="BO537" i="1" s="1"/>
  <c r="BD537" i="1"/>
  <c r="BC537" i="1"/>
  <c r="BB537" i="1"/>
  <c r="BA537" i="1"/>
  <c r="AZ537" i="1"/>
  <c r="BF537" i="1" s="1" a="1"/>
  <c r="BF537" i="1" s="1"/>
  <c r="AY537" i="1"/>
  <c r="BE537" i="1" s="1" a="1"/>
  <c r="BE537" i="1" s="1"/>
  <c r="AX537" i="1"/>
  <c r="M537" i="1"/>
  <c r="EM534" i="1"/>
  <c r="DU534" i="1"/>
  <c r="DT534" i="1"/>
  <c r="DN534" i="1"/>
  <c r="DM534" i="1"/>
  <c r="DL534" i="1"/>
  <c r="DK534" i="1"/>
  <c r="DI534" i="1"/>
  <c r="DJ534" i="1" s="1"/>
  <c r="DC534" i="1"/>
  <c r="CX534" i="1"/>
  <c r="BX534" i="1"/>
  <c r="BK534" i="1"/>
  <c r="BN534" i="1" s="1"/>
  <c r="BO534" i="1" s="1"/>
  <c r="BD534" i="1"/>
  <c r="BC534" i="1"/>
  <c r="BB534" i="1"/>
  <c r="BA534" i="1"/>
  <c r="AZ534" i="1"/>
  <c r="AY534" i="1"/>
  <c r="BE534" i="1" s="1" a="1"/>
  <c r="BE534" i="1" s="1"/>
  <c r="AX534" i="1"/>
  <c r="M534" i="1"/>
  <c r="EM527" i="1"/>
  <c r="DU527" i="1"/>
  <c r="DT527" i="1"/>
  <c r="DN527" i="1"/>
  <c r="DM527" i="1"/>
  <c r="DL527" i="1"/>
  <c r="DK527" i="1"/>
  <c r="DI527" i="1"/>
  <c r="DJ527" i="1" s="1"/>
  <c r="DC527" i="1"/>
  <c r="CX527" i="1"/>
  <c r="BX527" i="1"/>
  <c r="BK527" i="1"/>
  <c r="CN527" i="1" s="1"/>
  <c r="CR527" i="1" s="1"/>
  <c r="BD527" i="1"/>
  <c r="BC527" i="1"/>
  <c r="BB527" i="1"/>
  <c r="BA527" i="1"/>
  <c r="AZ527" i="1"/>
  <c r="BF527" i="1" s="1" a="1"/>
  <c r="BF527" i="1" s="1"/>
  <c r="AY527" i="1"/>
  <c r="BE527" i="1" s="1" a="1"/>
  <c r="BE527" i="1" s="1"/>
  <c r="AX527" i="1"/>
  <c r="M527" i="1"/>
  <c r="EM526" i="1"/>
  <c r="DU526" i="1"/>
  <c r="DT526" i="1"/>
  <c r="DN526" i="1"/>
  <c r="DM526" i="1"/>
  <c r="DL526" i="1"/>
  <c r="DK526" i="1"/>
  <c r="DI526" i="1"/>
  <c r="DJ526" i="1" s="1"/>
  <c r="DC526" i="1"/>
  <c r="CX526" i="1"/>
  <c r="BX526" i="1"/>
  <c r="BK526" i="1"/>
  <c r="BN526" i="1" s="1"/>
  <c r="BO526" i="1" s="1"/>
  <c r="BD526" i="1"/>
  <c r="BC526" i="1"/>
  <c r="BB526" i="1"/>
  <c r="BA526" i="1"/>
  <c r="AZ526" i="1"/>
  <c r="AY526" i="1"/>
  <c r="BE526" i="1" s="1" a="1"/>
  <c r="BE526" i="1" s="1"/>
  <c r="AX526" i="1"/>
  <c r="M526" i="1"/>
  <c r="EM524" i="1"/>
  <c r="DU524" i="1"/>
  <c r="DT524" i="1"/>
  <c r="DN524" i="1"/>
  <c r="DM524" i="1"/>
  <c r="DL524" i="1"/>
  <c r="DK524" i="1"/>
  <c r="DI524" i="1"/>
  <c r="DJ524" i="1" s="1"/>
  <c r="DC524" i="1"/>
  <c r="CX524" i="1"/>
  <c r="BX524" i="1"/>
  <c r="BK524" i="1"/>
  <c r="BN524" i="1" s="1"/>
  <c r="BO524" i="1" s="1"/>
  <c r="BD524" i="1"/>
  <c r="BC524" i="1"/>
  <c r="BB524" i="1"/>
  <c r="BA524" i="1"/>
  <c r="AZ524" i="1"/>
  <c r="BF524" i="1" s="1" a="1"/>
  <c r="BF524" i="1" s="1"/>
  <c r="AY524" i="1"/>
  <c r="BE524" i="1" s="1" a="1"/>
  <c r="BE524" i="1" s="1"/>
  <c r="AX524" i="1"/>
  <c r="M524" i="1"/>
  <c r="EM518" i="1"/>
  <c r="DU518" i="1"/>
  <c r="DT518" i="1"/>
  <c r="DN518" i="1"/>
  <c r="DM518" i="1"/>
  <c r="DL518" i="1"/>
  <c r="DK518" i="1"/>
  <c r="DI518" i="1"/>
  <c r="DJ518" i="1" s="1"/>
  <c r="DC518" i="1"/>
  <c r="CX518" i="1"/>
  <c r="BX518" i="1"/>
  <c r="BK518" i="1"/>
  <c r="CN518" i="1" s="1"/>
  <c r="BD518" i="1"/>
  <c r="BC518" i="1"/>
  <c r="BB518" i="1"/>
  <c r="BA518" i="1"/>
  <c r="AZ518" i="1"/>
  <c r="AY518" i="1"/>
  <c r="BE518" i="1" s="1" a="1"/>
  <c r="BE518" i="1" s="1"/>
  <c r="AX518" i="1"/>
  <c r="M518" i="1"/>
  <c r="EM520" i="1"/>
  <c r="DU520" i="1"/>
  <c r="DT520" i="1"/>
  <c r="DN520" i="1"/>
  <c r="DM520" i="1"/>
  <c r="DL520" i="1"/>
  <c r="DK520" i="1"/>
  <c r="DI520" i="1"/>
  <c r="DJ520" i="1" s="1"/>
  <c r="DC520" i="1"/>
  <c r="CX520" i="1"/>
  <c r="BX520" i="1"/>
  <c r="BK520" i="1"/>
  <c r="CN520" i="1" s="1"/>
  <c r="CS520" i="1" s="1"/>
  <c r="BD520" i="1"/>
  <c r="BC520" i="1"/>
  <c r="BB520" i="1"/>
  <c r="BA520" i="1"/>
  <c r="AZ520" i="1"/>
  <c r="BF520" i="1" s="1" a="1"/>
  <c r="BF520" i="1" s="1"/>
  <c r="AY520" i="1"/>
  <c r="BE520" i="1" s="1" a="1"/>
  <c r="BE520" i="1" s="1"/>
  <c r="AX520" i="1"/>
  <c r="M520" i="1"/>
  <c r="EM513" i="1"/>
  <c r="DU513" i="1"/>
  <c r="DT513" i="1"/>
  <c r="DN513" i="1"/>
  <c r="DM513" i="1"/>
  <c r="DL513" i="1"/>
  <c r="DK513" i="1"/>
  <c r="DI513" i="1"/>
  <c r="DJ513" i="1" s="1"/>
  <c r="DC513" i="1"/>
  <c r="CX513" i="1"/>
  <c r="BX513" i="1"/>
  <c r="BK513" i="1"/>
  <c r="CN513" i="1" s="1"/>
  <c r="BD513" i="1"/>
  <c r="BC513" i="1"/>
  <c r="BB513" i="1"/>
  <c r="BA513" i="1"/>
  <c r="AZ513" i="1"/>
  <c r="AY513" i="1"/>
  <c r="BE513" i="1" s="1" a="1"/>
  <c r="BE513" i="1" s="1"/>
  <c r="AX513" i="1"/>
  <c r="M513" i="1"/>
  <c r="EM377" i="1"/>
  <c r="DU377" i="1"/>
  <c r="DT377" i="1"/>
  <c r="DN377" i="1"/>
  <c r="DM377" i="1"/>
  <c r="DL377" i="1"/>
  <c r="DK377" i="1"/>
  <c r="DI377" i="1"/>
  <c r="DJ377" i="1" s="1"/>
  <c r="DC377" i="1"/>
  <c r="CX377" i="1"/>
  <c r="BX377" i="1"/>
  <c r="BK377" i="1"/>
  <c r="BN377" i="1" s="1"/>
  <c r="BO377" i="1" s="1"/>
  <c r="BD377" i="1"/>
  <c r="BC377" i="1"/>
  <c r="BB377" i="1"/>
  <c r="BA377" i="1"/>
  <c r="AZ377" i="1"/>
  <c r="BF377" i="1" s="1" a="1"/>
  <c r="BF377" i="1" s="1"/>
  <c r="AY377" i="1"/>
  <c r="BE377" i="1" s="1" a="1"/>
  <c r="BE377" i="1" s="1"/>
  <c r="AX377" i="1"/>
  <c r="M377" i="1"/>
  <c r="EM374" i="1"/>
  <c r="DU374" i="1"/>
  <c r="DT374" i="1"/>
  <c r="DN374" i="1"/>
  <c r="DM374" i="1"/>
  <c r="DL374" i="1"/>
  <c r="DK374" i="1"/>
  <c r="DI374" i="1"/>
  <c r="DJ374" i="1" s="1"/>
  <c r="DC374" i="1"/>
  <c r="CX374" i="1"/>
  <c r="BX374" i="1"/>
  <c r="BK374" i="1"/>
  <c r="BN374" i="1" s="1"/>
  <c r="BO374" i="1" s="1"/>
  <c r="BD374" i="1"/>
  <c r="BC374" i="1"/>
  <c r="BB374" i="1"/>
  <c r="BA374" i="1"/>
  <c r="AZ374" i="1"/>
  <c r="AY374" i="1"/>
  <c r="BE374" i="1" s="1" a="1"/>
  <c r="BE374" i="1" s="1"/>
  <c r="AX374" i="1"/>
  <c r="M374" i="1"/>
  <c r="EM148" i="1"/>
  <c r="DU148" i="1"/>
  <c r="DT148" i="1"/>
  <c r="DN148" i="1"/>
  <c r="DM148" i="1"/>
  <c r="DL148" i="1"/>
  <c r="DK148" i="1"/>
  <c r="DI148" i="1"/>
  <c r="DJ148" i="1" s="1"/>
  <c r="DC148" i="1"/>
  <c r="CX148" i="1"/>
  <c r="BV148" i="1"/>
  <c r="BX148" i="1" s="1"/>
  <c r="BU148" i="1"/>
  <c r="BL148" i="1"/>
  <c r="BK148" i="1"/>
  <c r="BN148" i="1" s="1"/>
  <c r="BO148" i="1" s="1"/>
  <c r="BD148" i="1"/>
  <c r="BC148" i="1"/>
  <c r="BB148" i="1"/>
  <c r="BA148" i="1"/>
  <c r="AZ148" i="1"/>
  <c r="AY148" i="1"/>
  <c r="BE148" i="1" s="1" a="1"/>
  <c r="BE148" i="1" s="1"/>
  <c r="AX148" i="1"/>
  <c r="M148" i="1"/>
  <c r="EM603" i="1"/>
  <c r="DU603" i="1"/>
  <c r="DT603" i="1"/>
  <c r="DN603" i="1"/>
  <c r="DM603" i="1"/>
  <c r="DL603" i="1"/>
  <c r="DK603" i="1"/>
  <c r="DI603" i="1"/>
  <c r="DJ603" i="1" s="1"/>
  <c r="DC603" i="1"/>
  <c r="CX603" i="1"/>
  <c r="BV603" i="1"/>
  <c r="BX603" i="1" s="1"/>
  <c r="BU603" i="1"/>
  <c r="BL603" i="1"/>
  <c r="BK603" i="1"/>
  <c r="BD603" i="1"/>
  <c r="BC603" i="1"/>
  <c r="BB603" i="1"/>
  <c r="BA603" i="1"/>
  <c r="AZ603" i="1"/>
  <c r="BF603" i="1" s="1" a="1"/>
  <c r="BF603" i="1" s="1"/>
  <c r="AY603" i="1"/>
  <c r="BE603" i="1" s="1" a="1"/>
  <c r="BE603" i="1" s="1"/>
  <c r="AX603" i="1"/>
  <c r="M603" i="1"/>
  <c r="EM338" i="1"/>
  <c r="DU338" i="1"/>
  <c r="DT338" i="1"/>
  <c r="DN338" i="1"/>
  <c r="DM338" i="1"/>
  <c r="DL338" i="1"/>
  <c r="DK338" i="1"/>
  <c r="DI338" i="1"/>
  <c r="DJ338" i="1" s="1"/>
  <c r="DC338" i="1"/>
  <c r="CX338" i="1"/>
  <c r="BT338" i="1"/>
  <c r="BS338" i="1"/>
  <c r="BL338" i="1"/>
  <c r="BK338" i="1"/>
  <c r="BD338" i="1"/>
  <c r="BC338" i="1"/>
  <c r="BB338" i="1"/>
  <c r="BA338" i="1"/>
  <c r="AZ338" i="1"/>
  <c r="BF338" i="1" s="1" a="1"/>
  <c r="BF338" i="1" s="1"/>
  <c r="AY338" i="1"/>
  <c r="BE338" i="1" s="1" a="1"/>
  <c r="BE338" i="1" s="1"/>
  <c r="AX338" i="1"/>
  <c r="M338" i="1"/>
  <c r="EM363" i="1"/>
  <c r="DU363" i="1"/>
  <c r="DT363" i="1"/>
  <c r="DN363" i="1"/>
  <c r="DM363" i="1"/>
  <c r="DL363" i="1"/>
  <c r="DK363" i="1"/>
  <c r="DI363" i="1"/>
  <c r="DJ363" i="1" s="1"/>
  <c r="DC363" i="1"/>
  <c r="CX363" i="1"/>
  <c r="BT363" i="1"/>
  <c r="BS363" i="1"/>
  <c r="BL363" i="1"/>
  <c r="CN363" i="1" s="1"/>
  <c r="BK363" i="1"/>
  <c r="BD363" i="1"/>
  <c r="BC363" i="1"/>
  <c r="BB363" i="1"/>
  <c r="BA363" i="1"/>
  <c r="AZ363" i="1"/>
  <c r="AY363" i="1"/>
  <c r="BE363" i="1" s="1" a="1"/>
  <c r="BE363" i="1" s="1"/>
  <c r="AX363" i="1"/>
  <c r="M363" i="1"/>
  <c r="EM559" i="1"/>
  <c r="DU559" i="1"/>
  <c r="DT559" i="1"/>
  <c r="DN559" i="1"/>
  <c r="DM559" i="1"/>
  <c r="DL559" i="1"/>
  <c r="DK559" i="1"/>
  <c r="DI559" i="1"/>
  <c r="DJ559" i="1" s="1"/>
  <c r="DC559" i="1"/>
  <c r="CX559" i="1"/>
  <c r="BT559" i="1"/>
  <c r="BS559" i="1"/>
  <c r="BN559" i="1"/>
  <c r="BO559" i="1" s="1"/>
  <c r="BL559" i="1"/>
  <c r="BK559" i="1"/>
  <c r="BD559" i="1"/>
  <c r="BC559" i="1"/>
  <c r="BB559" i="1"/>
  <c r="BA559" i="1"/>
  <c r="AZ559" i="1"/>
  <c r="BF559" i="1" s="1" a="1"/>
  <c r="BF559" i="1" s="1"/>
  <c r="AY559" i="1"/>
  <c r="BE559" i="1" s="1" a="1"/>
  <c r="BE559" i="1" s="1"/>
  <c r="AX559" i="1"/>
  <c r="M559" i="1"/>
  <c r="EM563" i="1"/>
  <c r="DU563" i="1"/>
  <c r="DT563" i="1"/>
  <c r="DN563" i="1"/>
  <c r="DM563" i="1"/>
  <c r="DL563" i="1"/>
  <c r="DK563" i="1"/>
  <c r="DI563" i="1"/>
  <c r="DJ563" i="1" s="1"/>
  <c r="DC563" i="1"/>
  <c r="CX563" i="1"/>
  <c r="BT563" i="1"/>
  <c r="BS563" i="1"/>
  <c r="BL563" i="1"/>
  <c r="BK563" i="1"/>
  <c r="BD563" i="1"/>
  <c r="BC563" i="1"/>
  <c r="BB563" i="1"/>
  <c r="BA563" i="1"/>
  <c r="AZ563" i="1"/>
  <c r="AY563" i="1"/>
  <c r="BE563" i="1" s="1" a="1"/>
  <c r="BE563" i="1" s="1"/>
  <c r="AX563" i="1"/>
  <c r="M563" i="1"/>
  <c r="EM572" i="1"/>
  <c r="DU572" i="1"/>
  <c r="DT572" i="1"/>
  <c r="DN572" i="1"/>
  <c r="DM572" i="1"/>
  <c r="DL572" i="1"/>
  <c r="DK572" i="1"/>
  <c r="DI572" i="1"/>
  <c r="DJ572" i="1" s="1"/>
  <c r="DC572" i="1"/>
  <c r="CX572" i="1"/>
  <c r="BT572" i="1"/>
  <c r="BS572" i="1"/>
  <c r="BL572" i="1"/>
  <c r="BK572" i="1"/>
  <c r="CN572" i="1" s="1"/>
  <c r="BD572" i="1"/>
  <c r="BC572" i="1"/>
  <c r="BB572" i="1"/>
  <c r="BA572" i="1"/>
  <c r="AZ572" i="1"/>
  <c r="BF572" i="1" s="1" a="1"/>
  <c r="BF572" i="1" s="1"/>
  <c r="AY572" i="1"/>
  <c r="BE572" i="1" s="1" a="1"/>
  <c r="BE572" i="1" s="1"/>
  <c r="AX572" i="1"/>
  <c r="M572" i="1"/>
  <c r="EM947" i="1"/>
  <c r="DU947" i="1"/>
  <c r="DT947" i="1"/>
  <c r="DN947" i="1"/>
  <c r="DM947" i="1"/>
  <c r="DL947" i="1"/>
  <c r="DK947" i="1"/>
  <c r="DI947" i="1"/>
  <c r="DJ947" i="1" s="1"/>
  <c r="DC947" i="1"/>
  <c r="CX947" i="1"/>
  <c r="CN947" i="1"/>
  <c r="CS947" i="1" s="1"/>
  <c r="BX947" i="1"/>
  <c r="BN947" i="1"/>
  <c r="BO947" i="1" s="1"/>
  <c r="BD947" i="1"/>
  <c r="BC947" i="1"/>
  <c r="BB947" i="1"/>
  <c r="BA947" i="1"/>
  <c r="AZ947" i="1"/>
  <c r="AY947" i="1"/>
  <c r="BE947" i="1" s="1" a="1"/>
  <c r="BE947" i="1" s="1"/>
  <c r="AX947" i="1"/>
  <c r="M947" i="1"/>
  <c r="EM938" i="1"/>
  <c r="DU938" i="1"/>
  <c r="DT938" i="1"/>
  <c r="DN938" i="1"/>
  <c r="DM938" i="1"/>
  <c r="DL938" i="1"/>
  <c r="DK938" i="1"/>
  <c r="DI938" i="1"/>
  <c r="DJ938" i="1" s="1"/>
  <c r="DC938" i="1"/>
  <c r="CX938" i="1"/>
  <c r="CN938" i="1"/>
  <c r="CO938" i="1" s="1"/>
  <c r="BX938" i="1"/>
  <c r="BN938" i="1"/>
  <c r="BO938" i="1" s="1"/>
  <c r="BD938" i="1"/>
  <c r="BC938" i="1"/>
  <c r="BB938" i="1"/>
  <c r="BA938" i="1"/>
  <c r="AZ938" i="1"/>
  <c r="AY938" i="1"/>
  <c r="BE938" i="1" s="1" a="1"/>
  <c r="BE938" i="1" s="1"/>
  <c r="AX938" i="1"/>
  <c r="M938" i="1"/>
  <c r="EM937" i="1"/>
  <c r="DU937" i="1"/>
  <c r="DT937" i="1"/>
  <c r="DN937" i="1"/>
  <c r="DM937" i="1"/>
  <c r="DL937" i="1"/>
  <c r="DK937" i="1"/>
  <c r="DI937" i="1"/>
  <c r="DJ937" i="1" s="1"/>
  <c r="DC937" i="1"/>
  <c r="CX937" i="1"/>
  <c r="CN937" i="1"/>
  <c r="CP937" i="1" s="1"/>
  <c r="BX937" i="1"/>
  <c r="BN937" i="1"/>
  <c r="BO937" i="1" s="1"/>
  <c r="BD937" i="1"/>
  <c r="BC937" i="1"/>
  <c r="BB937" i="1"/>
  <c r="BA937" i="1"/>
  <c r="AZ937" i="1"/>
  <c r="BF937" i="1" s="1" a="1"/>
  <c r="BF937" i="1" s="1"/>
  <c r="AY937" i="1"/>
  <c r="BE937" i="1" s="1" a="1"/>
  <c r="BE937" i="1" s="1"/>
  <c r="AX937" i="1"/>
  <c r="M937" i="1"/>
  <c r="EM927" i="1"/>
  <c r="DU927" i="1"/>
  <c r="DT927" i="1"/>
  <c r="DN927" i="1"/>
  <c r="DM927" i="1"/>
  <c r="DL927" i="1"/>
  <c r="DK927" i="1"/>
  <c r="DI927" i="1"/>
  <c r="DJ927" i="1" s="1"/>
  <c r="DC927" i="1"/>
  <c r="CX927" i="1"/>
  <c r="CN927" i="1"/>
  <c r="CS927" i="1" s="1"/>
  <c r="BX927" i="1"/>
  <c r="BN927" i="1"/>
  <c r="BO927" i="1" s="1"/>
  <c r="BD927" i="1"/>
  <c r="BC927" i="1"/>
  <c r="BB927" i="1"/>
  <c r="BA927" i="1"/>
  <c r="AZ927" i="1"/>
  <c r="BF927" i="1" s="1" a="1"/>
  <c r="BF927" i="1" s="1"/>
  <c r="AY927" i="1"/>
  <c r="BE927" i="1" s="1" a="1"/>
  <c r="BE927" i="1" s="1"/>
  <c r="AX927" i="1"/>
  <c r="M927" i="1"/>
  <c r="EM892" i="1"/>
  <c r="DU892" i="1"/>
  <c r="DT892" i="1"/>
  <c r="DN892" i="1"/>
  <c r="DM892" i="1"/>
  <c r="DL892" i="1"/>
  <c r="DK892" i="1"/>
  <c r="DI892" i="1"/>
  <c r="DJ892" i="1" s="1"/>
  <c r="DC892" i="1"/>
  <c r="CX892" i="1"/>
  <c r="CN892" i="1"/>
  <c r="CO892" i="1" s="1"/>
  <c r="BX892" i="1"/>
  <c r="BN892" i="1"/>
  <c r="BO892" i="1" s="1"/>
  <c r="BD892" i="1"/>
  <c r="BC892" i="1"/>
  <c r="BB892" i="1"/>
  <c r="BA892" i="1"/>
  <c r="AZ892" i="1"/>
  <c r="BF892" i="1" s="1" a="1"/>
  <c r="BF892" i="1" s="1"/>
  <c r="AY892" i="1"/>
  <c r="BE892" i="1" s="1" a="1"/>
  <c r="BE892" i="1" s="1"/>
  <c r="AX892" i="1"/>
  <c r="M892" i="1"/>
  <c r="EM883" i="1"/>
  <c r="DU883" i="1"/>
  <c r="DT883" i="1"/>
  <c r="DN883" i="1"/>
  <c r="DM883" i="1"/>
  <c r="DL883" i="1"/>
  <c r="DK883" i="1"/>
  <c r="DI883" i="1"/>
  <c r="DJ883" i="1" s="1"/>
  <c r="DC883" i="1"/>
  <c r="CX883" i="1"/>
  <c r="CN883" i="1"/>
  <c r="CO883" i="1" s="1"/>
  <c r="BX883" i="1"/>
  <c r="BN883" i="1"/>
  <c r="BO883" i="1" s="1"/>
  <c r="BD883" i="1"/>
  <c r="BC883" i="1"/>
  <c r="BB883" i="1"/>
  <c r="BA883" i="1"/>
  <c r="AZ883" i="1"/>
  <c r="BF883" i="1" s="1" a="1"/>
  <c r="BF883" i="1" s="1"/>
  <c r="AY883" i="1"/>
  <c r="BE883" i="1" s="1" a="1"/>
  <c r="BE883" i="1" s="1"/>
  <c r="AX883" i="1"/>
  <c r="M883" i="1"/>
  <c r="EM840" i="1"/>
  <c r="DU840" i="1"/>
  <c r="DT840" i="1"/>
  <c r="DN840" i="1"/>
  <c r="DM840" i="1"/>
  <c r="DL840" i="1"/>
  <c r="DK840" i="1"/>
  <c r="DI840" i="1"/>
  <c r="DJ840" i="1" s="1"/>
  <c r="DC840" i="1"/>
  <c r="CX840" i="1"/>
  <c r="CN840" i="1"/>
  <c r="CP840" i="1" s="1"/>
  <c r="BX840" i="1"/>
  <c r="BN840" i="1"/>
  <c r="BO840" i="1" s="1"/>
  <c r="BD840" i="1"/>
  <c r="BC840" i="1"/>
  <c r="BB840" i="1"/>
  <c r="BA840" i="1"/>
  <c r="AZ840" i="1"/>
  <c r="AY840" i="1"/>
  <c r="BE840" i="1" s="1" a="1"/>
  <c r="BE840" i="1" s="1"/>
  <c r="AX840" i="1"/>
  <c r="M840" i="1"/>
  <c r="EM829" i="1"/>
  <c r="DU829" i="1"/>
  <c r="DT829" i="1"/>
  <c r="DN829" i="1"/>
  <c r="DM829" i="1"/>
  <c r="DL829" i="1"/>
  <c r="DK829" i="1"/>
  <c r="DI829" i="1"/>
  <c r="DJ829" i="1" s="1"/>
  <c r="DC829" i="1"/>
  <c r="CX829" i="1"/>
  <c r="CN829" i="1"/>
  <c r="BX829" i="1"/>
  <c r="BN829" i="1"/>
  <c r="BO829" i="1" s="1"/>
  <c r="BD829" i="1"/>
  <c r="BC829" i="1"/>
  <c r="BB829" i="1"/>
  <c r="BA829" i="1"/>
  <c r="AZ829" i="1"/>
  <c r="BF829" i="1" s="1" a="1"/>
  <c r="BF829" i="1" s="1"/>
  <c r="AY829" i="1"/>
  <c r="BE829" i="1" s="1" a="1"/>
  <c r="BE829" i="1" s="1"/>
  <c r="AX829" i="1"/>
  <c r="M829" i="1"/>
  <c r="EM1083" i="1"/>
  <c r="DU1083" i="1"/>
  <c r="DT1083" i="1"/>
  <c r="DN1083" i="1"/>
  <c r="DM1083" i="1"/>
  <c r="DL1083" i="1"/>
  <c r="DK1083" i="1"/>
  <c r="DI1083" i="1"/>
  <c r="DJ1083" i="1" s="1"/>
  <c r="DC1083" i="1"/>
  <c r="CX1083" i="1"/>
  <c r="CN1083" i="1"/>
  <c r="CP1083" i="1" s="1"/>
  <c r="BX1083" i="1"/>
  <c r="BN1083" i="1"/>
  <c r="BO1083" i="1" s="1"/>
  <c r="BD1083" i="1"/>
  <c r="BC1083" i="1"/>
  <c r="BB1083" i="1"/>
  <c r="BA1083" i="1"/>
  <c r="AZ1083" i="1"/>
  <c r="AY1083" i="1"/>
  <c r="BE1083" i="1" s="1" a="1"/>
  <c r="BE1083" i="1" s="1"/>
  <c r="AX1083" i="1"/>
  <c r="M1083" i="1"/>
  <c r="EM1082" i="1"/>
  <c r="DU1082" i="1"/>
  <c r="DT1082" i="1"/>
  <c r="DN1082" i="1"/>
  <c r="DM1082" i="1"/>
  <c r="DL1082" i="1"/>
  <c r="DK1082" i="1"/>
  <c r="DI1082" i="1"/>
  <c r="DJ1082" i="1" s="1"/>
  <c r="DC1082" i="1"/>
  <c r="CX1082" i="1"/>
  <c r="CN1082" i="1"/>
  <c r="BX1082" i="1"/>
  <c r="BN1082" i="1"/>
  <c r="BO1082" i="1" s="1"/>
  <c r="BD1082" i="1"/>
  <c r="BC1082" i="1"/>
  <c r="BB1082" i="1"/>
  <c r="BA1082" i="1"/>
  <c r="AZ1082" i="1"/>
  <c r="AY1082" i="1"/>
  <c r="BE1082" i="1" s="1" a="1"/>
  <c r="BE1082" i="1" s="1"/>
  <c r="AX1082" i="1"/>
  <c r="M1082" i="1"/>
  <c r="EM1081" i="1"/>
  <c r="DU1081" i="1"/>
  <c r="DT1081" i="1"/>
  <c r="DN1081" i="1"/>
  <c r="DM1081" i="1"/>
  <c r="DL1081" i="1"/>
  <c r="DK1081" i="1"/>
  <c r="DI1081" i="1"/>
  <c r="DJ1081" i="1" s="1"/>
  <c r="DC1081" i="1"/>
  <c r="CX1081" i="1"/>
  <c r="CN1081" i="1"/>
  <c r="CP1081" i="1" s="1"/>
  <c r="BX1081" i="1"/>
  <c r="BN1081" i="1"/>
  <c r="BO1081" i="1" s="1"/>
  <c r="BD1081" i="1"/>
  <c r="BC1081" i="1"/>
  <c r="BB1081" i="1"/>
  <c r="BA1081" i="1"/>
  <c r="AZ1081" i="1"/>
  <c r="BF1081" i="1" s="1" a="1"/>
  <c r="BF1081" i="1" s="1"/>
  <c r="AY1081" i="1"/>
  <c r="BE1081" i="1" s="1" a="1"/>
  <c r="BE1081" i="1" s="1"/>
  <c r="AX1081" i="1"/>
  <c r="M1081" i="1"/>
  <c r="EM1080" i="1"/>
  <c r="DU1080" i="1"/>
  <c r="DT1080" i="1"/>
  <c r="DN1080" i="1"/>
  <c r="DM1080" i="1"/>
  <c r="DL1080" i="1"/>
  <c r="DK1080" i="1"/>
  <c r="DI1080" i="1"/>
  <c r="DJ1080" i="1" s="1"/>
  <c r="DC1080" i="1"/>
  <c r="CX1080" i="1"/>
  <c r="CN1080" i="1"/>
  <c r="CP1080" i="1" s="1"/>
  <c r="BX1080" i="1"/>
  <c r="BN1080" i="1"/>
  <c r="BO1080" i="1" s="1"/>
  <c r="BD1080" i="1"/>
  <c r="BC1080" i="1"/>
  <c r="BB1080" i="1"/>
  <c r="BA1080" i="1"/>
  <c r="AZ1080" i="1"/>
  <c r="BF1080" i="1" s="1" a="1"/>
  <c r="BF1080" i="1" s="1"/>
  <c r="AY1080" i="1"/>
  <c r="BE1080" i="1" s="1" a="1"/>
  <c r="BE1080" i="1" s="1"/>
  <c r="AX1080" i="1"/>
  <c r="M1080" i="1"/>
  <c r="EM762" i="1"/>
  <c r="DU762" i="1"/>
  <c r="DT762" i="1"/>
  <c r="DN762" i="1"/>
  <c r="DM762" i="1"/>
  <c r="DL762" i="1"/>
  <c r="DK762" i="1"/>
  <c r="DI762" i="1"/>
  <c r="DJ762" i="1" s="1"/>
  <c r="DC762" i="1"/>
  <c r="CX762" i="1"/>
  <c r="CN762" i="1"/>
  <c r="CO762" i="1" s="1"/>
  <c r="BX762" i="1"/>
  <c r="BN762" i="1"/>
  <c r="BO762" i="1" s="1"/>
  <c r="BD762" i="1"/>
  <c r="BC762" i="1"/>
  <c r="BB762" i="1"/>
  <c r="BA762" i="1"/>
  <c r="AZ762" i="1"/>
  <c r="BF762" i="1" s="1" a="1"/>
  <c r="BF762" i="1" s="1"/>
  <c r="AY762" i="1"/>
  <c r="BE762" i="1" s="1" a="1"/>
  <c r="BE762" i="1" s="1"/>
  <c r="AX762" i="1"/>
  <c r="M762" i="1"/>
  <c r="EM704" i="1"/>
  <c r="DU704" i="1"/>
  <c r="DT704" i="1"/>
  <c r="DN704" i="1"/>
  <c r="DM704" i="1"/>
  <c r="DL704" i="1"/>
  <c r="DK704" i="1"/>
  <c r="DI704" i="1"/>
  <c r="DJ704" i="1" s="1"/>
  <c r="DC704" i="1"/>
  <c r="CX704" i="1"/>
  <c r="CN704" i="1"/>
  <c r="BX704" i="1"/>
  <c r="BN704" i="1"/>
  <c r="BO704" i="1" s="1"/>
  <c r="BD704" i="1"/>
  <c r="BC704" i="1"/>
  <c r="BB704" i="1"/>
  <c r="BA704" i="1"/>
  <c r="AZ704" i="1"/>
  <c r="BF704" i="1" s="1" a="1"/>
  <c r="BF704" i="1" s="1"/>
  <c r="AY704" i="1"/>
  <c r="BE704" i="1" s="1" a="1"/>
  <c r="BE704" i="1" s="1"/>
  <c r="AX704" i="1"/>
  <c r="M704" i="1"/>
  <c r="EM756" i="1"/>
  <c r="DU756" i="1"/>
  <c r="DT756" i="1"/>
  <c r="DN756" i="1"/>
  <c r="DM756" i="1"/>
  <c r="DL756" i="1"/>
  <c r="DK756" i="1"/>
  <c r="DI756" i="1"/>
  <c r="DJ756" i="1" s="1"/>
  <c r="DC756" i="1"/>
  <c r="CX756" i="1"/>
  <c r="CN756" i="1"/>
  <c r="CS756" i="1" s="1"/>
  <c r="BX756" i="1"/>
  <c r="BN756" i="1"/>
  <c r="BO756" i="1" s="1"/>
  <c r="BD756" i="1"/>
  <c r="BC756" i="1"/>
  <c r="BB756" i="1"/>
  <c r="BA756" i="1"/>
  <c r="AZ756" i="1"/>
  <c r="AY756" i="1"/>
  <c r="BE756" i="1" s="1" a="1"/>
  <c r="BE756" i="1" s="1"/>
  <c r="AX756" i="1"/>
  <c r="M756" i="1"/>
  <c r="EM712" i="1"/>
  <c r="DU712" i="1"/>
  <c r="DT712" i="1"/>
  <c r="DN712" i="1"/>
  <c r="DM712" i="1"/>
  <c r="DL712" i="1"/>
  <c r="DK712" i="1"/>
  <c r="DI712" i="1"/>
  <c r="DJ712" i="1" s="1"/>
  <c r="DC712" i="1"/>
  <c r="CX712" i="1"/>
  <c r="CN712" i="1"/>
  <c r="CP712" i="1" s="1"/>
  <c r="BX712" i="1"/>
  <c r="BN712" i="1"/>
  <c r="BO712" i="1" s="1"/>
  <c r="BD712" i="1"/>
  <c r="BC712" i="1"/>
  <c r="BB712" i="1"/>
  <c r="BA712" i="1"/>
  <c r="AZ712" i="1"/>
  <c r="BF712" i="1" s="1" a="1"/>
  <c r="BF712" i="1" s="1"/>
  <c r="AY712" i="1"/>
  <c r="BE712" i="1" s="1" a="1"/>
  <c r="BE712" i="1" s="1"/>
  <c r="AX712" i="1"/>
  <c r="M712" i="1"/>
  <c r="EM248" i="1"/>
  <c r="DU248" i="1"/>
  <c r="DT248" i="1"/>
  <c r="DN248" i="1"/>
  <c r="DM248" i="1"/>
  <c r="DL248" i="1"/>
  <c r="DK248" i="1"/>
  <c r="DI248" i="1"/>
  <c r="DJ248" i="1" s="1"/>
  <c r="DC248" i="1"/>
  <c r="CX248" i="1"/>
  <c r="CN248" i="1"/>
  <c r="CS248" i="1" s="1"/>
  <c r="BX248" i="1"/>
  <c r="BN248" i="1"/>
  <c r="BO248" i="1" s="1"/>
  <c r="BD248" i="1"/>
  <c r="BC248" i="1"/>
  <c r="BB248" i="1"/>
  <c r="BA248" i="1"/>
  <c r="AZ248" i="1"/>
  <c r="AY248" i="1"/>
  <c r="BE248" i="1" s="1" a="1"/>
  <c r="BE248" i="1" s="1"/>
  <c r="AX248" i="1"/>
  <c r="M248" i="1"/>
  <c r="EM247" i="1"/>
  <c r="DU247" i="1"/>
  <c r="DT247" i="1"/>
  <c r="DN247" i="1"/>
  <c r="DM247" i="1"/>
  <c r="DL247" i="1"/>
  <c r="DK247" i="1"/>
  <c r="DI247" i="1"/>
  <c r="DJ247" i="1" s="1"/>
  <c r="DC247" i="1"/>
  <c r="CX247" i="1"/>
  <c r="CN247" i="1"/>
  <c r="CS247" i="1" s="1"/>
  <c r="BX247" i="1"/>
  <c r="BN247" i="1"/>
  <c r="BO247" i="1" s="1"/>
  <c r="BD247" i="1"/>
  <c r="BC247" i="1"/>
  <c r="BB247" i="1"/>
  <c r="BA247" i="1"/>
  <c r="AZ247" i="1"/>
  <c r="AY247" i="1"/>
  <c r="BE247" i="1" s="1" a="1"/>
  <c r="BE247" i="1" s="1"/>
  <c r="AX247" i="1"/>
  <c r="M247" i="1"/>
  <c r="EM246" i="1"/>
  <c r="DU246" i="1"/>
  <c r="DT246" i="1"/>
  <c r="DN246" i="1"/>
  <c r="DM246" i="1"/>
  <c r="DL246" i="1"/>
  <c r="DK246" i="1"/>
  <c r="DI246" i="1"/>
  <c r="DJ246" i="1" s="1"/>
  <c r="DC246" i="1"/>
  <c r="CX246" i="1"/>
  <c r="CN246" i="1"/>
  <c r="BX246" i="1"/>
  <c r="BN246" i="1"/>
  <c r="BO246" i="1" s="1"/>
  <c r="BD246" i="1"/>
  <c r="BC246" i="1"/>
  <c r="BB246" i="1"/>
  <c r="BA246" i="1"/>
  <c r="AZ246" i="1"/>
  <c r="BF246" i="1" s="1" a="1"/>
  <c r="BF246" i="1" s="1"/>
  <c r="AY246" i="1"/>
  <c r="BE246" i="1" s="1" a="1"/>
  <c r="BE246" i="1" s="1"/>
  <c r="AX246" i="1"/>
  <c r="M246" i="1"/>
  <c r="EM235" i="1"/>
  <c r="DU235" i="1"/>
  <c r="DT235" i="1"/>
  <c r="DN235" i="1"/>
  <c r="DM235" i="1"/>
  <c r="DL235" i="1"/>
  <c r="DK235" i="1"/>
  <c r="DI235" i="1"/>
  <c r="DJ235" i="1" s="1"/>
  <c r="DC235" i="1"/>
  <c r="CX235" i="1"/>
  <c r="CN235" i="1"/>
  <c r="CP235" i="1" s="1"/>
  <c r="BX235" i="1"/>
  <c r="BN235" i="1"/>
  <c r="BO235" i="1" s="1"/>
  <c r="BD235" i="1"/>
  <c r="BC235" i="1"/>
  <c r="BB235" i="1"/>
  <c r="BA235" i="1"/>
  <c r="AZ235" i="1"/>
  <c r="BF235" i="1" s="1" a="1"/>
  <c r="BF235" i="1" s="1"/>
  <c r="AY235" i="1"/>
  <c r="BE235" i="1" s="1" a="1"/>
  <c r="BE235" i="1" s="1"/>
  <c r="AX235" i="1"/>
  <c r="M235" i="1"/>
  <c r="EM174" i="1"/>
  <c r="DU174" i="1"/>
  <c r="DT174" i="1"/>
  <c r="DN174" i="1"/>
  <c r="DM174" i="1"/>
  <c r="DL174" i="1"/>
  <c r="DK174" i="1"/>
  <c r="DI174" i="1"/>
  <c r="DJ174" i="1" s="1"/>
  <c r="DB174" i="1"/>
  <c r="DC174" i="1" s="1"/>
  <c r="CX174" i="1"/>
  <c r="CN174" i="1"/>
  <c r="CO174" i="1" s="1"/>
  <c r="BV174" i="1"/>
  <c r="BX174" i="1" s="1"/>
  <c r="BU174" i="1"/>
  <c r="BN174" i="1"/>
  <c r="BO174" i="1" s="1"/>
  <c r="BM174" i="1"/>
  <c r="BD174" i="1"/>
  <c r="BC174" i="1"/>
  <c r="BB174" i="1"/>
  <c r="BA174" i="1"/>
  <c r="AZ174" i="1"/>
  <c r="AY174" i="1"/>
  <c r="BE174" i="1" s="1" a="1"/>
  <c r="BE174" i="1" s="1"/>
  <c r="AX174" i="1"/>
  <c r="M174" i="1"/>
  <c r="EM159" i="1"/>
  <c r="DU159" i="1"/>
  <c r="DT159" i="1"/>
  <c r="DN159" i="1"/>
  <c r="DM159" i="1"/>
  <c r="DL159" i="1"/>
  <c r="DK159" i="1"/>
  <c r="DI159" i="1"/>
  <c r="DJ159" i="1" s="1"/>
  <c r="DB159" i="1"/>
  <c r="DC159" i="1" s="1"/>
  <c r="CX159" i="1"/>
  <c r="CN159" i="1"/>
  <c r="BV159" i="1"/>
  <c r="BX159" i="1" s="1"/>
  <c r="BU159" i="1"/>
  <c r="BN159" i="1"/>
  <c r="BO159" i="1" s="1"/>
  <c r="BM159" i="1"/>
  <c r="BD159" i="1"/>
  <c r="BC159" i="1"/>
  <c r="BB159" i="1"/>
  <c r="BA159" i="1"/>
  <c r="AZ159" i="1"/>
  <c r="AY159" i="1"/>
  <c r="BE159" i="1" s="1" a="1"/>
  <c r="BE159" i="1" s="1"/>
  <c r="AX159" i="1"/>
  <c r="M159" i="1"/>
  <c r="EM109" i="1"/>
  <c r="DU109" i="1"/>
  <c r="DT109" i="1"/>
  <c r="DN109" i="1"/>
  <c r="DM109" i="1"/>
  <c r="DL109" i="1"/>
  <c r="DK109" i="1"/>
  <c r="DI109" i="1"/>
  <c r="DJ109" i="1" s="1"/>
  <c r="DB109" i="1"/>
  <c r="DC109" i="1" s="1"/>
  <c r="CX109" i="1"/>
  <c r="CN109" i="1"/>
  <c r="CR109" i="1" s="1"/>
  <c r="BV109" i="1"/>
  <c r="BX109" i="1" s="1"/>
  <c r="BU109" i="1"/>
  <c r="BN109" i="1"/>
  <c r="BO109" i="1" s="1"/>
  <c r="BM109" i="1"/>
  <c r="BD109" i="1"/>
  <c r="BC109" i="1"/>
  <c r="BB109" i="1"/>
  <c r="BA109" i="1"/>
  <c r="AZ109" i="1"/>
  <c r="BF109" i="1" s="1" a="1"/>
  <c r="BF109" i="1" s="1"/>
  <c r="AY109" i="1"/>
  <c r="BE109" i="1" s="1" a="1"/>
  <c r="BE109" i="1" s="1"/>
  <c r="AX109" i="1"/>
  <c r="M109" i="1"/>
  <c r="EM100" i="1"/>
  <c r="DU100" i="1"/>
  <c r="DT100" i="1"/>
  <c r="DN100" i="1"/>
  <c r="DM100" i="1"/>
  <c r="DL100" i="1"/>
  <c r="DK100" i="1"/>
  <c r="DI100" i="1"/>
  <c r="DJ100" i="1" s="1"/>
  <c r="DB100" i="1"/>
  <c r="DC100" i="1" s="1"/>
  <c r="CX100" i="1"/>
  <c r="CN100" i="1"/>
  <c r="CP100" i="1" s="1"/>
  <c r="BV100" i="1"/>
  <c r="BX100" i="1" s="1"/>
  <c r="BU100" i="1"/>
  <c r="BN100" i="1"/>
  <c r="BO100" i="1" s="1"/>
  <c r="BM100" i="1"/>
  <c r="BD100" i="1"/>
  <c r="BC100" i="1"/>
  <c r="BB100" i="1"/>
  <c r="BA100" i="1"/>
  <c r="AZ100" i="1"/>
  <c r="BF100" i="1" s="1" a="1"/>
  <c r="BF100" i="1" s="1"/>
  <c r="AY100" i="1"/>
  <c r="BE100" i="1" s="1" a="1"/>
  <c r="BE100" i="1" s="1"/>
  <c r="AX100" i="1"/>
  <c r="M100" i="1"/>
  <c r="EM99" i="1"/>
  <c r="DU99" i="1"/>
  <c r="DT99" i="1"/>
  <c r="DN99" i="1"/>
  <c r="DM99" i="1"/>
  <c r="DL99" i="1"/>
  <c r="DK99" i="1"/>
  <c r="DI99" i="1"/>
  <c r="DJ99" i="1" s="1"/>
  <c r="DB99" i="1"/>
  <c r="DC99" i="1" s="1"/>
  <c r="CX99" i="1"/>
  <c r="CN99" i="1"/>
  <c r="CP99" i="1" s="1"/>
  <c r="BV99" i="1"/>
  <c r="BX99" i="1" s="1"/>
  <c r="BU99" i="1"/>
  <c r="BN99" i="1"/>
  <c r="BO99" i="1" s="1"/>
  <c r="BM99" i="1"/>
  <c r="BD99" i="1"/>
  <c r="BC99" i="1"/>
  <c r="BB99" i="1"/>
  <c r="BA99" i="1"/>
  <c r="AZ99" i="1"/>
  <c r="BF99" i="1" s="1" a="1"/>
  <c r="BF99" i="1" s="1"/>
  <c r="AY99" i="1"/>
  <c r="BE99" i="1" s="1" a="1"/>
  <c r="BE99" i="1" s="1"/>
  <c r="AX99" i="1"/>
  <c r="M99" i="1"/>
  <c r="EM91" i="1"/>
  <c r="DU91" i="1"/>
  <c r="DT91" i="1"/>
  <c r="DN91" i="1"/>
  <c r="DM91" i="1"/>
  <c r="DL91" i="1"/>
  <c r="DK91" i="1"/>
  <c r="DI91" i="1"/>
  <c r="DJ91" i="1" s="1"/>
  <c r="DB91" i="1"/>
  <c r="DC91" i="1" s="1"/>
  <c r="CX91" i="1"/>
  <c r="CN91" i="1"/>
  <c r="CO91" i="1" s="1"/>
  <c r="BV91" i="1"/>
  <c r="BX91" i="1" s="1"/>
  <c r="BU91" i="1"/>
  <c r="BN91" i="1"/>
  <c r="BO91" i="1" s="1"/>
  <c r="BM91" i="1"/>
  <c r="BD91" i="1"/>
  <c r="BC91" i="1"/>
  <c r="BB91" i="1"/>
  <c r="BA91" i="1"/>
  <c r="AZ91" i="1"/>
  <c r="BF91" i="1" s="1" a="1"/>
  <c r="BF91" i="1" s="1"/>
  <c r="AY91" i="1"/>
  <c r="BE91" i="1" s="1" a="1"/>
  <c r="BE91" i="1" s="1"/>
  <c r="AX91" i="1"/>
  <c r="M91" i="1"/>
  <c r="EM173" i="1"/>
  <c r="DU173" i="1"/>
  <c r="DT173" i="1"/>
  <c r="DN173" i="1"/>
  <c r="DM173" i="1"/>
  <c r="DL173" i="1"/>
  <c r="DK173" i="1"/>
  <c r="DI173" i="1"/>
  <c r="DJ173" i="1" s="1"/>
  <c r="DB173" i="1"/>
  <c r="DC173" i="1" s="1"/>
  <c r="CX173" i="1"/>
  <c r="CN173" i="1"/>
  <c r="BV173" i="1"/>
  <c r="BX173" i="1" s="1"/>
  <c r="BU173" i="1"/>
  <c r="BN173" i="1"/>
  <c r="BO173" i="1" s="1"/>
  <c r="BM173" i="1"/>
  <c r="BD173" i="1"/>
  <c r="BC173" i="1"/>
  <c r="BB173" i="1"/>
  <c r="BA173" i="1"/>
  <c r="AZ173" i="1"/>
  <c r="AY173" i="1"/>
  <c r="AX173" i="1"/>
  <c r="M173" i="1"/>
  <c r="EM121" i="1"/>
  <c r="DU121" i="1"/>
  <c r="DT121" i="1"/>
  <c r="DN121" i="1"/>
  <c r="DM121" i="1"/>
  <c r="DL121" i="1"/>
  <c r="DK121" i="1"/>
  <c r="DI121" i="1"/>
  <c r="DJ121" i="1" s="1"/>
  <c r="DB121" i="1"/>
  <c r="DC121" i="1" s="1"/>
  <c r="CX121" i="1"/>
  <c r="CN121" i="1"/>
  <c r="CO121" i="1" s="1"/>
  <c r="BV121" i="1"/>
  <c r="BX121" i="1" s="1"/>
  <c r="BU121" i="1"/>
  <c r="BN121" i="1"/>
  <c r="BO121" i="1" s="1"/>
  <c r="BM121" i="1"/>
  <c r="BD121" i="1"/>
  <c r="BC121" i="1"/>
  <c r="BB121" i="1"/>
  <c r="BA121" i="1"/>
  <c r="AZ121" i="1"/>
  <c r="BF121" i="1" s="1" a="1"/>
  <c r="BF121" i="1" s="1"/>
  <c r="AY121" i="1"/>
  <c r="AX121" i="1"/>
  <c r="M121" i="1"/>
  <c r="EM119" i="1"/>
  <c r="DU119" i="1"/>
  <c r="DT119" i="1"/>
  <c r="DN119" i="1"/>
  <c r="DM119" i="1"/>
  <c r="DL119" i="1"/>
  <c r="DK119" i="1"/>
  <c r="DI119" i="1"/>
  <c r="DJ119" i="1" s="1"/>
  <c r="DB119" i="1"/>
  <c r="DC119" i="1" s="1"/>
  <c r="CX119" i="1"/>
  <c r="CN119" i="1"/>
  <c r="CS119" i="1" s="1"/>
  <c r="BV119" i="1"/>
  <c r="BX119" i="1" s="1"/>
  <c r="BU119" i="1"/>
  <c r="BN119" i="1"/>
  <c r="BO119" i="1" s="1"/>
  <c r="BM119" i="1"/>
  <c r="BD119" i="1"/>
  <c r="BC119" i="1"/>
  <c r="BB119" i="1"/>
  <c r="BA119" i="1"/>
  <c r="AZ119" i="1"/>
  <c r="AY119" i="1"/>
  <c r="AX119" i="1"/>
  <c r="M119" i="1"/>
  <c r="EM123" i="1"/>
  <c r="DU123" i="1"/>
  <c r="DT123" i="1"/>
  <c r="DN123" i="1"/>
  <c r="DM123" i="1"/>
  <c r="DL123" i="1"/>
  <c r="DK123" i="1"/>
  <c r="DI123" i="1"/>
  <c r="DJ123" i="1" s="1"/>
  <c r="DB123" i="1"/>
  <c r="DC123" i="1" s="1"/>
  <c r="CX123" i="1"/>
  <c r="CN123" i="1"/>
  <c r="CR123" i="1" s="1"/>
  <c r="BV123" i="1"/>
  <c r="BX123" i="1" s="1"/>
  <c r="BU123" i="1"/>
  <c r="BN123" i="1"/>
  <c r="BO123" i="1" s="1"/>
  <c r="BM123" i="1"/>
  <c r="BD123" i="1"/>
  <c r="BC123" i="1"/>
  <c r="BB123" i="1"/>
  <c r="BA123" i="1"/>
  <c r="AZ123" i="1"/>
  <c r="AY123" i="1"/>
  <c r="BE123" i="1" s="1" a="1"/>
  <c r="BE123" i="1" s="1"/>
  <c r="AX123" i="1"/>
  <c r="M123" i="1"/>
  <c r="EM114" i="1"/>
  <c r="DU114" i="1"/>
  <c r="DT114" i="1"/>
  <c r="DN114" i="1"/>
  <c r="DM114" i="1"/>
  <c r="DL114" i="1"/>
  <c r="DK114" i="1"/>
  <c r="DI114" i="1"/>
  <c r="DJ114" i="1" s="1"/>
  <c r="DB114" i="1"/>
  <c r="DC114" i="1" s="1"/>
  <c r="CX114" i="1"/>
  <c r="CN114" i="1"/>
  <c r="CP114" i="1" s="1"/>
  <c r="BV114" i="1"/>
  <c r="BX114" i="1" s="1"/>
  <c r="BU114" i="1"/>
  <c r="BN114" i="1"/>
  <c r="BO114" i="1" s="1"/>
  <c r="BM114" i="1"/>
  <c r="BD114" i="1"/>
  <c r="BC114" i="1"/>
  <c r="BB114" i="1"/>
  <c r="BA114" i="1"/>
  <c r="AZ114" i="1"/>
  <c r="BF114" i="1" s="1" a="1"/>
  <c r="BF114" i="1" s="1"/>
  <c r="AY114" i="1"/>
  <c r="BE114" i="1" s="1" a="1"/>
  <c r="BE114" i="1" s="1"/>
  <c r="AX114" i="1"/>
  <c r="M114" i="1"/>
  <c r="EM184" i="1"/>
  <c r="DU184" i="1"/>
  <c r="DT184" i="1"/>
  <c r="DN184" i="1"/>
  <c r="DM184" i="1"/>
  <c r="DL184" i="1"/>
  <c r="DK184" i="1"/>
  <c r="DI184" i="1"/>
  <c r="DJ184" i="1" s="1"/>
  <c r="DB184" i="1"/>
  <c r="DC184" i="1" s="1"/>
  <c r="CX184" i="1"/>
  <c r="CN184" i="1"/>
  <c r="BV184" i="1"/>
  <c r="BX184" i="1" s="1"/>
  <c r="BU184" i="1"/>
  <c r="BN184" i="1"/>
  <c r="BO184" i="1" s="1"/>
  <c r="BM184" i="1"/>
  <c r="BD184" i="1"/>
  <c r="BC184" i="1"/>
  <c r="BB184" i="1"/>
  <c r="BA184" i="1"/>
  <c r="AZ184" i="1"/>
  <c r="BF184" i="1" s="1" a="1"/>
  <c r="BF184" i="1" s="1"/>
  <c r="AY184" i="1"/>
  <c r="BE184" i="1" s="1" a="1"/>
  <c r="BE184" i="1" s="1"/>
  <c r="AX184" i="1"/>
  <c r="M184" i="1"/>
  <c r="EM782" i="1"/>
  <c r="DU782" i="1"/>
  <c r="DT782" i="1"/>
  <c r="DN782" i="1"/>
  <c r="DM782" i="1"/>
  <c r="DL782" i="1"/>
  <c r="DK782" i="1"/>
  <c r="DI782" i="1"/>
  <c r="DJ782" i="1" s="1"/>
  <c r="DC782" i="1"/>
  <c r="CX782" i="1"/>
  <c r="CN782" i="1"/>
  <c r="CP782" i="1" s="1"/>
  <c r="BV782" i="1"/>
  <c r="BX782" i="1" s="1"/>
  <c r="BU782" i="1"/>
  <c r="BN782" i="1"/>
  <c r="BO782" i="1" s="1"/>
  <c r="BD782" i="1"/>
  <c r="BC782" i="1"/>
  <c r="BB782" i="1"/>
  <c r="BA782" i="1"/>
  <c r="AZ782" i="1"/>
  <c r="BF782" i="1" s="1" a="1"/>
  <c r="BF782" i="1" s="1"/>
  <c r="AY782" i="1"/>
  <c r="BE782" i="1" s="1" a="1"/>
  <c r="BE782" i="1" s="1"/>
  <c r="AX782" i="1"/>
  <c r="M782" i="1"/>
  <c r="EM788" i="1"/>
  <c r="DU788" i="1"/>
  <c r="DT788" i="1"/>
  <c r="DN788" i="1"/>
  <c r="DM788" i="1"/>
  <c r="DL788" i="1"/>
  <c r="DK788" i="1"/>
  <c r="DI788" i="1"/>
  <c r="DJ788" i="1" s="1"/>
  <c r="DC788" i="1"/>
  <c r="CX788" i="1"/>
  <c r="CN788" i="1"/>
  <c r="CR788" i="1" s="1"/>
  <c r="BV788" i="1"/>
  <c r="BX788" i="1" s="1"/>
  <c r="BU788" i="1"/>
  <c r="BN788" i="1"/>
  <c r="BO788" i="1" s="1"/>
  <c r="BD788" i="1"/>
  <c r="BC788" i="1"/>
  <c r="BB788" i="1"/>
  <c r="BA788" i="1"/>
  <c r="AZ788" i="1"/>
  <c r="BF788" i="1" s="1" a="1"/>
  <c r="BF788" i="1" s="1"/>
  <c r="AY788" i="1"/>
  <c r="BE788" i="1" s="1" a="1"/>
  <c r="BE788" i="1" s="1"/>
  <c r="AX788" i="1"/>
  <c r="M788" i="1"/>
  <c r="EM681" i="1"/>
  <c r="DU681" i="1"/>
  <c r="DT681" i="1"/>
  <c r="DN681" i="1"/>
  <c r="DM681" i="1"/>
  <c r="DL681" i="1"/>
  <c r="DK681" i="1"/>
  <c r="DI681" i="1"/>
  <c r="DJ681" i="1" s="1"/>
  <c r="DC681" i="1"/>
  <c r="CX681" i="1"/>
  <c r="CN681" i="1"/>
  <c r="CP681" i="1" s="1"/>
  <c r="BV681" i="1"/>
  <c r="BX681" i="1" s="1"/>
  <c r="BU681" i="1"/>
  <c r="BN681" i="1"/>
  <c r="BO681" i="1" s="1"/>
  <c r="BD681" i="1"/>
  <c r="BC681" i="1"/>
  <c r="BB681" i="1"/>
  <c r="BA681" i="1"/>
  <c r="AZ681" i="1"/>
  <c r="AY681" i="1"/>
  <c r="BE681" i="1" s="1" a="1"/>
  <c r="BE681" i="1" s="1"/>
  <c r="AX681" i="1"/>
  <c r="M681" i="1"/>
  <c r="EM691" i="1"/>
  <c r="DU691" i="1"/>
  <c r="DT691" i="1"/>
  <c r="DN691" i="1"/>
  <c r="DM691" i="1"/>
  <c r="DL691" i="1"/>
  <c r="DK691" i="1"/>
  <c r="DI691" i="1"/>
  <c r="DJ691" i="1" s="1"/>
  <c r="DC691" i="1"/>
  <c r="CX691" i="1"/>
  <c r="CN691" i="1"/>
  <c r="CR691" i="1" s="1"/>
  <c r="BV691" i="1"/>
  <c r="BX691" i="1" s="1"/>
  <c r="BU691" i="1"/>
  <c r="BN691" i="1"/>
  <c r="BO691" i="1" s="1"/>
  <c r="BD691" i="1"/>
  <c r="BC691" i="1"/>
  <c r="BB691" i="1"/>
  <c r="BA691" i="1"/>
  <c r="AZ691" i="1"/>
  <c r="BF691" i="1" s="1" a="1"/>
  <c r="BF691" i="1" s="1"/>
  <c r="AY691" i="1"/>
  <c r="BE691" i="1" s="1" a="1"/>
  <c r="BE691" i="1" s="1"/>
  <c r="AX691" i="1"/>
  <c r="M691" i="1"/>
  <c r="EM640" i="1"/>
  <c r="DU640" i="1"/>
  <c r="DT640" i="1"/>
  <c r="DN640" i="1"/>
  <c r="DM640" i="1"/>
  <c r="DL640" i="1"/>
  <c r="DK640" i="1"/>
  <c r="DI640" i="1"/>
  <c r="DJ640" i="1" s="1"/>
  <c r="DC640" i="1"/>
  <c r="CX640" i="1"/>
  <c r="CN640" i="1"/>
  <c r="CO640" i="1" s="1"/>
  <c r="BV640" i="1"/>
  <c r="BX640" i="1" s="1"/>
  <c r="BU640" i="1"/>
  <c r="BN640" i="1"/>
  <c r="BO640" i="1" s="1"/>
  <c r="BD640" i="1"/>
  <c r="BC640" i="1"/>
  <c r="BB640" i="1"/>
  <c r="BA640" i="1"/>
  <c r="AZ640" i="1"/>
  <c r="BF640" i="1" s="1" a="1"/>
  <c r="BF640" i="1" s="1"/>
  <c r="AY640" i="1"/>
  <c r="BE640" i="1" s="1" a="1"/>
  <c r="BE640" i="1" s="1"/>
  <c r="AX640" i="1"/>
  <c r="M640" i="1"/>
  <c r="EM642" i="1"/>
  <c r="DU642" i="1"/>
  <c r="DT642" i="1"/>
  <c r="DN642" i="1"/>
  <c r="DM642" i="1"/>
  <c r="DL642" i="1"/>
  <c r="DK642" i="1"/>
  <c r="DI642" i="1"/>
  <c r="DJ642" i="1" s="1"/>
  <c r="DC642" i="1"/>
  <c r="CX642" i="1"/>
  <c r="CN642" i="1"/>
  <c r="CO642" i="1" s="1"/>
  <c r="BV642" i="1"/>
  <c r="BX642" i="1" s="1"/>
  <c r="BU642" i="1"/>
  <c r="BN642" i="1"/>
  <c r="BO642" i="1" s="1"/>
  <c r="BD642" i="1"/>
  <c r="BC642" i="1"/>
  <c r="BB642" i="1"/>
  <c r="BA642" i="1"/>
  <c r="AZ642" i="1"/>
  <c r="BF642" i="1" s="1" a="1"/>
  <c r="BF642" i="1" s="1"/>
  <c r="AY642" i="1"/>
  <c r="BE642" i="1" s="1" a="1"/>
  <c r="BE642" i="1" s="1"/>
  <c r="AX642" i="1"/>
  <c r="M642" i="1"/>
  <c r="EM1066" i="1"/>
  <c r="DU1066" i="1"/>
  <c r="DT1066" i="1"/>
  <c r="DN1066" i="1"/>
  <c r="DM1066" i="1"/>
  <c r="DL1066" i="1"/>
  <c r="DK1066" i="1"/>
  <c r="DI1066" i="1"/>
  <c r="DJ1066" i="1" s="1"/>
  <c r="DC1066" i="1"/>
  <c r="CX1066" i="1"/>
  <c r="BV1066" i="1"/>
  <c r="BX1066" i="1" s="1"/>
  <c r="BY1066" i="1" s="1"/>
  <c r="BU1066" i="1"/>
  <c r="BL1066" i="1"/>
  <c r="BK1066" i="1"/>
  <c r="BD1066" i="1"/>
  <c r="BC1066" i="1"/>
  <c r="BB1066" i="1"/>
  <c r="BA1066" i="1"/>
  <c r="AZ1066" i="1"/>
  <c r="AY1066" i="1"/>
  <c r="BE1066" i="1" s="1" a="1"/>
  <c r="BE1066" i="1" s="1"/>
  <c r="AX1066" i="1"/>
  <c r="M1066" i="1"/>
  <c r="EM1065" i="1"/>
  <c r="DU1065" i="1"/>
  <c r="DT1065" i="1"/>
  <c r="DN1065" i="1"/>
  <c r="DM1065" i="1"/>
  <c r="DL1065" i="1"/>
  <c r="DK1065" i="1"/>
  <c r="DI1065" i="1"/>
  <c r="DJ1065" i="1" s="1"/>
  <c r="DC1065" i="1"/>
  <c r="CX1065" i="1"/>
  <c r="BV1065" i="1"/>
  <c r="BX1065" i="1" s="1"/>
  <c r="BY1065" i="1" s="1"/>
  <c r="BU1065" i="1"/>
  <c r="BL1065" i="1"/>
  <c r="BK1065" i="1"/>
  <c r="BD1065" i="1"/>
  <c r="BC1065" i="1"/>
  <c r="BB1065" i="1"/>
  <c r="BA1065" i="1"/>
  <c r="AZ1065" i="1"/>
  <c r="BF1065" i="1" s="1" a="1"/>
  <c r="BF1065" i="1" s="1"/>
  <c r="AY1065" i="1"/>
  <c r="BE1065" i="1" s="1" a="1"/>
  <c r="BE1065" i="1" s="1"/>
  <c r="AX1065" i="1"/>
  <c r="M1065" i="1"/>
  <c r="EM1064" i="1"/>
  <c r="DU1064" i="1"/>
  <c r="DT1064" i="1"/>
  <c r="DN1064" i="1"/>
  <c r="DM1064" i="1"/>
  <c r="DL1064" i="1"/>
  <c r="DK1064" i="1"/>
  <c r="DI1064" i="1"/>
  <c r="DJ1064" i="1" s="1"/>
  <c r="DC1064" i="1"/>
  <c r="CX1064" i="1"/>
  <c r="BV1064" i="1"/>
  <c r="BX1064" i="1" s="1"/>
  <c r="BY1064" i="1" s="1"/>
  <c r="BU1064" i="1"/>
  <c r="BL1064" i="1"/>
  <c r="BK1064" i="1"/>
  <c r="BD1064" i="1"/>
  <c r="BC1064" i="1"/>
  <c r="BB1064" i="1"/>
  <c r="BA1064" i="1"/>
  <c r="AZ1064" i="1"/>
  <c r="BF1064" i="1" s="1" a="1"/>
  <c r="BF1064" i="1" s="1"/>
  <c r="AY1064" i="1"/>
  <c r="BE1064" i="1" s="1" a="1"/>
  <c r="BE1064" i="1" s="1"/>
  <c r="AX1064" i="1"/>
  <c r="M1064" i="1"/>
  <c r="EM1063" i="1"/>
  <c r="DU1063" i="1"/>
  <c r="DT1063" i="1"/>
  <c r="DN1063" i="1"/>
  <c r="DM1063" i="1"/>
  <c r="DL1063" i="1"/>
  <c r="DK1063" i="1"/>
  <c r="DI1063" i="1"/>
  <c r="DJ1063" i="1" s="1"/>
  <c r="DC1063" i="1"/>
  <c r="CX1063" i="1"/>
  <c r="BV1063" i="1"/>
  <c r="BX1063" i="1" s="1"/>
  <c r="BY1063" i="1" s="1"/>
  <c r="BU1063" i="1"/>
  <c r="EP1063" i="1" s="1"/>
  <c r="BL1063" i="1"/>
  <c r="BK1063" i="1"/>
  <c r="BD1063" i="1"/>
  <c r="BC1063" i="1"/>
  <c r="BB1063" i="1"/>
  <c r="BA1063" i="1"/>
  <c r="AZ1063" i="1"/>
  <c r="BF1063" i="1" s="1" a="1"/>
  <c r="BF1063" i="1" s="1"/>
  <c r="AY1063" i="1"/>
  <c r="BE1063" i="1" s="1" a="1"/>
  <c r="BE1063" i="1" s="1"/>
  <c r="AX1063" i="1"/>
  <c r="M1063" i="1"/>
  <c r="EM1062" i="1"/>
  <c r="DU1062" i="1"/>
  <c r="DT1062" i="1"/>
  <c r="DN1062" i="1"/>
  <c r="DM1062" i="1"/>
  <c r="DL1062" i="1"/>
  <c r="DK1062" i="1"/>
  <c r="DI1062" i="1"/>
  <c r="DJ1062" i="1" s="1"/>
  <c r="DC1062" i="1"/>
  <c r="CX1062" i="1"/>
  <c r="BV1062" i="1"/>
  <c r="BX1062" i="1" s="1"/>
  <c r="BY1062" i="1" s="1"/>
  <c r="BU1062" i="1"/>
  <c r="BL1062" i="1"/>
  <c r="BK1062" i="1"/>
  <c r="BD1062" i="1"/>
  <c r="BC1062" i="1"/>
  <c r="BB1062" i="1"/>
  <c r="BA1062" i="1"/>
  <c r="AZ1062" i="1"/>
  <c r="AY1062" i="1"/>
  <c r="BE1062" i="1" s="1" a="1"/>
  <c r="BE1062" i="1" s="1"/>
  <c r="AX1062" i="1"/>
  <c r="M1062" i="1"/>
  <c r="EM1061" i="1"/>
  <c r="DU1061" i="1"/>
  <c r="DT1061" i="1"/>
  <c r="DN1061" i="1"/>
  <c r="DM1061" i="1"/>
  <c r="DL1061" i="1"/>
  <c r="DK1061" i="1"/>
  <c r="DI1061" i="1"/>
  <c r="DJ1061" i="1" s="1"/>
  <c r="DC1061" i="1"/>
  <c r="CX1061" i="1"/>
  <c r="BV1061" i="1"/>
  <c r="BX1061" i="1" s="1"/>
  <c r="BY1061" i="1" s="1"/>
  <c r="BU1061" i="1"/>
  <c r="EP1061" i="1" s="1"/>
  <c r="BL1061" i="1"/>
  <c r="BK1061" i="1"/>
  <c r="BM1061" i="1" s="1"/>
  <c r="BD1061" i="1"/>
  <c r="BC1061" i="1"/>
  <c r="BB1061" i="1"/>
  <c r="BA1061" i="1"/>
  <c r="AZ1061" i="1"/>
  <c r="BF1061" i="1" s="1" a="1"/>
  <c r="BF1061" i="1" s="1"/>
  <c r="AY1061" i="1"/>
  <c r="BE1061" i="1" s="1" a="1"/>
  <c r="BE1061" i="1" s="1"/>
  <c r="AX1061" i="1"/>
  <c r="M1061" i="1"/>
  <c r="EM1060" i="1"/>
  <c r="DU1060" i="1"/>
  <c r="DT1060" i="1"/>
  <c r="DN1060" i="1"/>
  <c r="DM1060" i="1"/>
  <c r="DL1060" i="1"/>
  <c r="DK1060" i="1"/>
  <c r="DI1060" i="1"/>
  <c r="DJ1060" i="1" s="1"/>
  <c r="DC1060" i="1"/>
  <c r="CX1060" i="1"/>
  <c r="BV1060" i="1"/>
  <c r="BX1060" i="1" s="1"/>
  <c r="BY1060" i="1" s="1"/>
  <c r="BU1060" i="1"/>
  <c r="BL1060" i="1"/>
  <c r="BK1060" i="1"/>
  <c r="BM1060" i="1" s="1"/>
  <c r="BD1060" i="1"/>
  <c r="BC1060" i="1"/>
  <c r="BB1060" i="1"/>
  <c r="BA1060" i="1"/>
  <c r="AZ1060" i="1"/>
  <c r="BF1060" i="1" s="1" a="1"/>
  <c r="BF1060" i="1" s="1"/>
  <c r="AY1060" i="1"/>
  <c r="BE1060" i="1" s="1" a="1"/>
  <c r="BE1060" i="1" s="1"/>
  <c r="AX1060" i="1"/>
  <c r="M1060" i="1"/>
  <c r="EM1059" i="1"/>
  <c r="DU1059" i="1"/>
  <c r="DT1059" i="1"/>
  <c r="DN1059" i="1"/>
  <c r="DM1059" i="1"/>
  <c r="DL1059" i="1"/>
  <c r="DK1059" i="1"/>
  <c r="DI1059" i="1"/>
  <c r="DJ1059" i="1" s="1"/>
  <c r="DC1059" i="1"/>
  <c r="CX1059" i="1"/>
  <c r="BV1059" i="1"/>
  <c r="BX1059" i="1" s="1"/>
  <c r="BY1059" i="1" s="1"/>
  <c r="BU1059" i="1"/>
  <c r="EP1059" i="1" s="1"/>
  <c r="BL1059" i="1"/>
  <c r="BK1059" i="1"/>
  <c r="BM1059" i="1" s="1"/>
  <c r="BD1059" i="1"/>
  <c r="BC1059" i="1"/>
  <c r="BB1059" i="1"/>
  <c r="BA1059" i="1"/>
  <c r="AZ1059" i="1"/>
  <c r="BF1059" i="1" s="1" a="1"/>
  <c r="BF1059" i="1" s="1"/>
  <c r="AY1059" i="1"/>
  <c r="BE1059" i="1" s="1" a="1"/>
  <c r="BE1059" i="1" s="1"/>
  <c r="AX1059" i="1"/>
  <c r="M1059" i="1"/>
  <c r="EM1058" i="1"/>
  <c r="DU1058" i="1"/>
  <c r="DT1058" i="1"/>
  <c r="DN1058" i="1"/>
  <c r="DM1058" i="1"/>
  <c r="DL1058" i="1"/>
  <c r="DK1058" i="1"/>
  <c r="DI1058" i="1"/>
  <c r="DJ1058" i="1" s="1"/>
  <c r="DC1058" i="1"/>
  <c r="CX1058" i="1"/>
  <c r="BV1058" i="1"/>
  <c r="BX1058" i="1" s="1"/>
  <c r="BY1058" i="1" s="1"/>
  <c r="BU1058" i="1"/>
  <c r="BL1058" i="1"/>
  <c r="BK1058" i="1"/>
  <c r="BN1058" i="1" s="1"/>
  <c r="BD1058" i="1"/>
  <c r="BC1058" i="1"/>
  <c r="BB1058" i="1"/>
  <c r="BA1058" i="1"/>
  <c r="AZ1058" i="1"/>
  <c r="AY1058" i="1"/>
  <c r="BE1058" i="1" s="1" a="1"/>
  <c r="BE1058" i="1" s="1"/>
  <c r="AX1058" i="1"/>
  <c r="M1058" i="1"/>
  <c r="EM1057" i="1"/>
  <c r="DU1057" i="1"/>
  <c r="DT1057" i="1"/>
  <c r="DN1057" i="1"/>
  <c r="DM1057" i="1"/>
  <c r="DL1057" i="1"/>
  <c r="DK1057" i="1"/>
  <c r="DI1057" i="1"/>
  <c r="DJ1057" i="1" s="1"/>
  <c r="DC1057" i="1"/>
  <c r="CX1057" i="1"/>
  <c r="BV1057" i="1"/>
  <c r="BX1057" i="1" s="1"/>
  <c r="BY1057" i="1" s="1"/>
  <c r="BU1057" i="1"/>
  <c r="EP1057" i="1" s="1"/>
  <c r="BL1057" i="1"/>
  <c r="BK1057" i="1"/>
  <c r="BD1057" i="1"/>
  <c r="BC1057" i="1"/>
  <c r="BB1057" i="1"/>
  <c r="BA1057" i="1"/>
  <c r="AZ1057" i="1"/>
  <c r="BF1057" i="1" s="1" a="1"/>
  <c r="BF1057" i="1" s="1"/>
  <c r="AY1057" i="1"/>
  <c r="BE1057" i="1" s="1" a="1"/>
  <c r="BE1057" i="1" s="1"/>
  <c r="AX1057" i="1"/>
  <c r="M1057" i="1"/>
  <c r="EM1056" i="1"/>
  <c r="DU1056" i="1"/>
  <c r="DT1056" i="1"/>
  <c r="DN1056" i="1"/>
  <c r="DM1056" i="1"/>
  <c r="DL1056" i="1"/>
  <c r="DK1056" i="1"/>
  <c r="DI1056" i="1"/>
  <c r="DJ1056" i="1" s="1"/>
  <c r="DC1056" i="1"/>
  <c r="CX1056" i="1"/>
  <c r="BV1056" i="1"/>
  <c r="BX1056" i="1" s="1"/>
  <c r="BY1056" i="1" s="1"/>
  <c r="BU1056" i="1"/>
  <c r="BL1056" i="1"/>
  <c r="BK1056" i="1"/>
  <c r="BD1056" i="1"/>
  <c r="BC1056" i="1"/>
  <c r="BB1056" i="1"/>
  <c r="BA1056" i="1"/>
  <c r="AZ1056" i="1"/>
  <c r="BF1056" i="1" s="1" a="1"/>
  <c r="BF1056" i="1" s="1"/>
  <c r="AY1056" i="1"/>
  <c r="BE1056" i="1" s="1" a="1"/>
  <c r="BE1056" i="1" s="1"/>
  <c r="AX1056" i="1"/>
  <c r="M1056" i="1"/>
  <c r="EM1055" i="1"/>
  <c r="DU1055" i="1"/>
  <c r="DT1055" i="1"/>
  <c r="DN1055" i="1"/>
  <c r="DM1055" i="1"/>
  <c r="DL1055" i="1"/>
  <c r="DK1055" i="1"/>
  <c r="DI1055" i="1"/>
  <c r="DJ1055" i="1" s="1"/>
  <c r="DC1055" i="1"/>
  <c r="CX1055" i="1"/>
  <c r="BV1055" i="1"/>
  <c r="BX1055" i="1" s="1"/>
  <c r="BY1055" i="1" s="1"/>
  <c r="BU1055" i="1"/>
  <c r="EP1055" i="1" s="1"/>
  <c r="BL1055" i="1"/>
  <c r="BK1055" i="1"/>
  <c r="BM1055" i="1" s="1"/>
  <c r="BD1055" i="1"/>
  <c r="BC1055" i="1"/>
  <c r="BB1055" i="1"/>
  <c r="BA1055" i="1"/>
  <c r="AZ1055" i="1"/>
  <c r="BF1055" i="1" s="1" a="1"/>
  <c r="BF1055" i="1" s="1"/>
  <c r="AY1055" i="1"/>
  <c r="BE1055" i="1" s="1" a="1"/>
  <c r="BE1055" i="1" s="1"/>
  <c r="AX1055" i="1"/>
  <c r="M1055" i="1"/>
  <c r="EM1054" i="1"/>
  <c r="DU1054" i="1"/>
  <c r="DT1054" i="1"/>
  <c r="DN1054" i="1"/>
  <c r="DM1054" i="1"/>
  <c r="DL1054" i="1"/>
  <c r="DK1054" i="1"/>
  <c r="DI1054" i="1"/>
  <c r="DJ1054" i="1" s="1"/>
  <c r="DC1054" i="1"/>
  <c r="CX1054" i="1"/>
  <c r="BV1054" i="1"/>
  <c r="BX1054" i="1" s="1"/>
  <c r="BY1054" i="1" s="1"/>
  <c r="BU1054" i="1"/>
  <c r="EP1054" i="1" s="1"/>
  <c r="BL1054" i="1"/>
  <c r="BK1054" i="1"/>
  <c r="BM1054" i="1" s="1"/>
  <c r="BD1054" i="1"/>
  <c r="BC1054" i="1"/>
  <c r="BB1054" i="1"/>
  <c r="BA1054" i="1"/>
  <c r="AZ1054" i="1"/>
  <c r="AY1054" i="1"/>
  <c r="BE1054" i="1" s="1" a="1"/>
  <c r="BE1054" i="1" s="1"/>
  <c r="AX1054" i="1"/>
  <c r="M1054" i="1"/>
  <c r="EM1053" i="1"/>
  <c r="DU1053" i="1"/>
  <c r="DT1053" i="1"/>
  <c r="DN1053" i="1"/>
  <c r="DM1053" i="1"/>
  <c r="DL1053" i="1"/>
  <c r="DK1053" i="1"/>
  <c r="DI1053" i="1"/>
  <c r="DJ1053" i="1" s="1"/>
  <c r="DC1053" i="1"/>
  <c r="CX1053" i="1"/>
  <c r="CN1053" i="1"/>
  <c r="CR1053" i="1" s="1"/>
  <c r="BV1053" i="1"/>
  <c r="BX1053" i="1" s="1"/>
  <c r="BY1053" i="1" s="1"/>
  <c r="BU1053" i="1"/>
  <c r="BN1053" i="1"/>
  <c r="BM1053" i="1"/>
  <c r="BD1053" i="1"/>
  <c r="BC1053" i="1"/>
  <c r="BB1053" i="1"/>
  <c r="BA1053" i="1"/>
  <c r="AZ1053" i="1"/>
  <c r="BF1053" i="1" s="1" a="1"/>
  <c r="BF1053" i="1" s="1"/>
  <c r="AY1053" i="1"/>
  <c r="BE1053" i="1" s="1" a="1"/>
  <c r="BE1053" i="1" s="1"/>
  <c r="AX1053" i="1"/>
  <c r="M1053" i="1"/>
  <c r="EM1052" i="1"/>
  <c r="DU1052" i="1"/>
  <c r="DT1052" i="1"/>
  <c r="DN1052" i="1"/>
  <c r="DM1052" i="1"/>
  <c r="DL1052" i="1"/>
  <c r="DK1052" i="1"/>
  <c r="DI1052" i="1"/>
  <c r="DJ1052" i="1" s="1"/>
  <c r="DC1052" i="1"/>
  <c r="CX1052" i="1"/>
  <c r="CN1052" i="1"/>
  <c r="CO1052" i="1" s="1"/>
  <c r="BV1052" i="1"/>
  <c r="BX1052" i="1" s="1"/>
  <c r="BU1052" i="1"/>
  <c r="BN1052" i="1"/>
  <c r="BO1052" i="1" s="1"/>
  <c r="BM1052" i="1"/>
  <c r="BD1052" i="1"/>
  <c r="BC1052" i="1"/>
  <c r="BB1052" i="1"/>
  <c r="BA1052" i="1"/>
  <c r="AZ1052" i="1"/>
  <c r="BF1052" i="1" s="1" a="1"/>
  <c r="BF1052" i="1" s="1"/>
  <c r="AY1052" i="1"/>
  <c r="BE1052" i="1" s="1" a="1"/>
  <c r="BE1052" i="1" s="1"/>
  <c r="AX1052" i="1"/>
  <c r="M1052" i="1"/>
  <c r="EM1051" i="1"/>
  <c r="DU1051" i="1"/>
  <c r="DT1051" i="1"/>
  <c r="DN1051" i="1"/>
  <c r="DM1051" i="1"/>
  <c r="DL1051" i="1"/>
  <c r="DK1051" i="1"/>
  <c r="DI1051" i="1"/>
  <c r="DJ1051" i="1" s="1"/>
  <c r="DC1051" i="1"/>
  <c r="CX1051" i="1"/>
  <c r="CN1051" i="1"/>
  <c r="CO1051" i="1" s="1"/>
  <c r="BV1051" i="1"/>
  <c r="BX1051" i="1" s="1"/>
  <c r="BU1051" i="1"/>
  <c r="BN1051" i="1"/>
  <c r="BO1051" i="1" s="1"/>
  <c r="BM1051" i="1"/>
  <c r="BD1051" i="1"/>
  <c r="BC1051" i="1"/>
  <c r="BB1051" i="1"/>
  <c r="BA1051" i="1"/>
  <c r="AZ1051" i="1"/>
  <c r="BF1051" i="1" s="1" a="1"/>
  <c r="BF1051" i="1" s="1"/>
  <c r="AY1051" i="1"/>
  <c r="BE1051" i="1" s="1" a="1"/>
  <c r="BE1051" i="1" s="1"/>
  <c r="AX1051" i="1"/>
  <c r="M1051" i="1"/>
  <c r="EM1050" i="1"/>
  <c r="DU1050" i="1"/>
  <c r="DT1050" i="1"/>
  <c r="DN1050" i="1"/>
  <c r="DM1050" i="1"/>
  <c r="DL1050" i="1"/>
  <c r="DK1050" i="1"/>
  <c r="DI1050" i="1"/>
  <c r="DJ1050" i="1" s="1"/>
  <c r="DC1050" i="1"/>
  <c r="CX1050" i="1"/>
  <c r="CN1050" i="1"/>
  <c r="BV1050" i="1"/>
  <c r="BX1050" i="1" s="1"/>
  <c r="BU1050" i="1"/>
  <c r="BN1050" i="1"/>
  <c r="BO1050" i="1" s="1"/>
  <c r="BM1050" i="1"/>
  <c r="BD1050" i="1"/>
  <c r="BC1050" i="1"/>
  <c r="BB1050" i="1"/>
  <c r="BA1050" i="1"/>
  <c r="AZ1050" i="1"/>
  <c r="BF1050" i="1" s="1" a="1"/>
  <c r="BF1050" i="1" s="1"/>
  <c r="AY1050" i="1"/>
  <c r="BE1050" i="1" s="1" a="1"/>
  <c r="BE1050" i="1" s="1"/>
  <c r="AX1050" i="1"/>
  <c r="M1050" i="1"/>
  <c r="EM1049" i="1"/>
  <c r="DU1049" i="1"/>
  <c r="DT1049" i="1"/>
  <c r="DN1049" i="1"/>
  <c r="DM1049" i="1"/>
  <c r="DL1049" i="1"/>
  <c r="DK1049" i="1"/>
  <c r="DI1049" i="1"/>
  <c r="DJ1049" i="1" s="1"/>
  <c r="DC1049" i="1"/>
  <c r="CX1049" i="1"/>
  <c r="CN1049" i="1"/>
  <c r="CR1049" i="1" s="1"/>
  <c r="BV1049" i="1"/>
  <c r="BX1049" i="1" s="1"/>
  <c r="BU1049" i="1"/>
  <c r="BN1049" i="1"/>
  <c r="BO1049" i="1" s="1"/>
  <c r="BM1049" i="1"/>
  <c r="BD1049" i="1"/>
  <c r="BC1049" i="1"/>
  <c r="BB1049" i="1"/>
  <c r="BA1049" i="1"/>
  <c r="AZ1049" i="1"/>
  <c r="BF1049" i="1" s="1" a="1"/>
  <c r="BF1049" i="1" s="1"/>
  <c r="AY1049" i="1"/>
  <c r="BE1049" i="1" s="1" a="1"/>
  <c r="BE1049" i="1" s="1"/>
  <c r="AX1049" i="1"/>
  <c r="M1049" i="1"/>
  <c r="EM876" i="1"/>
  <c r="DU876" i="1"/>
  <c r="DT876" i="1"/>
  <c r="DN876" i="1"/>
  <c r="DM876" i="1"/>
  <c r="DL876" i="1"/>
  <c r="DK876" i="1"/>
  <c r="DI876" i="1"/>
  <c r="DJ876" i="1" s="1"/>
  <c r="DC876" i="1"/>
  <c r="CX876" i="1"/>
  <c r="CN876" i="1"/>
  <c r="BV876" i="1"/>
  <c r="BX876" i="1" s="1"/>
  <c r="BU876" i="1"/>
  <c r="BN876" i="1"/>
  <c r="BO876" i="1" s="1"/>
  <c r="BD876" i="1"/>
  <c r="BC876" i="1"/>
  <c r="BB876" i="1"/>
  <c r="BA876" i="1"/>
  <c r="AZ876" i="1"/>
  <c r="AY876" i="1"/>
  <c r="BE876" i="1" s="1" a="1"/>
  <c r="BE876" i="1" s="1"/>
  <c r="AX876" i="1"/>
  <c r="M876" i="1"/>
  <c r="EM848" i="1"/>
  <c r="DU848" i="1"/>
  <c r="DT848" i="1"/>
  <c r="DN848" i="1"/>
  <c r="DM848" i="1"/>
  <c r="DL848" i="1"/>
  <c r="DK848" i="1"/>
  <c r="DI848" i="1"/>
  <c r="DJ848" i="1" s="1"/>
  <c r="DC848" i="1"/>
  <c r="CX848" i="1"/>
  <c r="CN848" i="1"/>
  <c r="CO848" i="1" s="1"/>
  <c r="BV848" i="1"/>
  <c r="BX848" i="1" s="1"/>
  <c r="BU848" i="1"/>
  <c r="BN848" i="1"/>
  <c r="BO848" i="1" s="1"/>
  <c r="BD848" i="1"/>
  <c r="BC848" i="1"/>
  <c r="BB848" i="1"/>
  <c r="BA848" i="1"/>
  <c r="AZ848" i="1"/>
  <c r="BF848" i="1" s="1" a="1"/>
  <c r="BF848" i="1" s="1"/>
  <c r="AY848" i="1"/>
  <c r="BE848" i="1" s="1" a="1"/>
  <c r="BE848" i="1" s="1"/>
  <c r="AX848" i="1"/>
  <c r="M848" i="1"/>
  <c r="EM814" i="1"/>
  <c r="DU814" i="1"/>
  <c r="DT814" i="1"/>
  <c r="DN814" i="1"/>
  <c r="DM814" i="1"/>
  <c r="DL814" i="1"/>
  <c r="DK814" i="1"/>
  <c r="DI814" i="1"/>
  <c r="DJ814" i="1" s="1"/>
  <c r="DC814" i="1"/>
  <c r="CX814" i="1"/>
  <c r="CN814" i="1"/>
  <c r="CR814" i="1" s="1"/>
  <c r="BV814" i="1"/>
  <c r="BX814" i="1" s="1"/>
  <c r="BU814" i="1"/>
  <c r="BN814" i="1"/>
  <c r="BO814" i="1" s="1"/>
  <c r="BD814" i="1"/>
  <c r="BC814" i="1"/>
  <c r="BB814" i="1"/>
  <c r="BA814" i="1"/>
  <c r="AZ814" i="1"/>
  <c r="BF814" i="1" s="1" a="1"/>
  <c r="BF814" i="1" s="1"/>
  <c r="AY814" i="1"/>
  <c r="BE814" i="1" s="1" a="1"/>
  <c r="BE814" i="1" s="1"/>
  <c r="AX814" i="1"/>
  <c r="M814" i="1"/>
  <c r="EM809" i="1"/>
  <c r="DU809" i="1"/>
  <c r="DT809" i="1"/>
  <c r="DN809" i="1"/>
  <c r="DM809" i="1"/>
  <c r="DL809" i="1"/>
  <c r="DK809" i="1"/>
  <c r="DI809" i="1"/>
  <c r="DJ809" i="1" s="1"/>
  <c r="DC809" i="1"/>
  <c r="CX809" i="1"/>
  <c r="BV809" i="1"/>
  <c r="BX809" i="1" s="1"/>
  <c r="BU809" i="1"/>
  <c r="EP809" i="1" s="1"/>
  <c r="BL809" i="1"/>
  <c r="BN809" i="1" s="1"/>
  <c r="BO809" i="1" s="1"/>
  <c r="BD809" i="1"/>
  <c r="BC809" i="1"/>
  <c r="BB809" i="1"/>
  <c r="BA809" i="1"/>
  <c r="AZ809" i="1"/>
  <c r="BF809" i="1" s="1" a="1"/>
  <c r="BF809" i="1" s="1"/>
  <c r="AY809" i="1"/>
  <c r="BE809" i="1" s="1" a="1"/>
  <c r="BE809" i="1" s="1"/>
  <c r="AX809" i="1"/>
  <c r="M809" i="1"/>
  <c r="EM803" i="1"/>
  <c r="DU803" i="1"/>
  <c r="DT803" i="1"/>
  <c r="DN803" i="1"/>
  <c r="DM803" i="1"/>
  <c r="DL803" i="1"/>
  <c r="DK803" i="1"/>
  <c r="DI803" i="1"/>
  <c r="DJ803" i="1" s="1"/>
  <c r="DC803" i="1"/>
  <c r="CX803" i="1"/>
  <c r="BV803" i="1"/>
  <c r="BX803" i="1" s="1"/>
  <c r="BU803" i="1"/>
  <c r="BL803" i="1"/>
  <c r="CN803" i="1" s="1"/>
  <c r="CR803" i="1" s="1"/>
  <c r="BD803" i="1"/>
  <c r="BC803" i="1"/>
  <c r="BB803" i="1"/>
  <c r="BA803" i="1"/>
  <c r="AZ803" i="1"/>
  <c r="BF803" i="1" s="1" a="1"/>
  <c r="BF803" i="1" s="1"/>
  <c r="AY803" i="1"/>
  <c r="BE803" i="1" s="1" a="1"/>
  <c r="BE803" i="1" s="1"/>
  <c r="AX803" i="1"/>
  <c r="M803" i="1"/>
  <c r="EM790" i="1"/>
  <c r="DU790" i="1"/>
  <c r="DT790" i="1"/>
  <c r="DN790" i="1"/>
  <c r="DM790" i="1"/>
  <c r="DL790" i="1"/>
  <c r="DK790" i="1"/>
  <c r="DI790" i="1"/>
  <c r="DJ790" i="1" s="1"/>
  <c r="DC790" i="1"/>
  <c r="CX790" i="1"/>
  <c r="BV790" i="1"/>
  <c r="BX790" i="1" s="1"/>
  <c r="BU790" i="1"/>
  <c r="EP790" i="1" s="1"/>
  <c r="BL790" i="1"/>
  <c r="CN790" i="1" s="1"/>
  <c r="CO790" i="1" s="1"/>
  <c r="BD790" i="1"/>
  <c r="BC790" i="1"/>
  <c r="BB790" i="1"/>
  <c r="BA790" i="1"/>
  <c r="AZ790" i="1"/>
  <c r="BF790" i="1" s="1" a="1"/>
  <c r="BF790" i="1" s="1"/>
  <c r="AY790" i="1"/>
  <c r="BE790" i="1" s="1" a="1"/>
  <c r="BE790" i="1" s="1"/>
  <c r="AX790" i="1"/>
  <c r="M790" i="1"/>
  <c r="EM779" i="1"/>
  <c r="DU779" i="1"/>
  <c r="DT779" i="1"/>
  <c r="DN779" i="1"/>
  <c r="DM779" i="1"/>
  <c r="DL779" i="1"/>
  <c r="DK779" i="1"/>
  <c r="DI779" i="1"/>
  <c r="DJ779" i="1" s="1"/>
  <c r="DC779" i="1"/>
  <c r="CX779" i="1"/>
  <c r="BV779" i="1"/>
  <c r="BX779" i="1" s="1"/>
  <c r="BU779" i="1"/>
  <c r="BL779" i="1"/>
  <c r="CN779" i="1" s="1"/>
  <c r="CO779" i="1" s="1"/>
  <c r="BD779" i="1"/>
  <c r="BC779" i="1"/>
  <c r="BB779" i="1"/>
  <c r="BA779" i="1"/>
  <c r="AZ779" i="1"/>
  <c r="AY779" i="1"/>
  <c r="BE779" i="1" s="1" a="1"/>
  <c r="BE779" i="1" s="1"/>
  <c r="AX779" i="1"/>
  <c r="M779" i="1"/>
  <c r="EM771" i="1"/>
  <c r="DU771" i="1"/>
  <c r="DT771" i="1"/>
  <c r="DN771" i="1"/>
  <c r="DM771" i="1"/>
  <c r="DL771" i="1"/>
  <c r="DK771" i="1"/>
  <c r="DI771" i="1"/>
  <c r="DJ771" i="1" s="1"/>
  <c r="DC771" i="1"/>
  <c r="CX771" i="1"/>
  <c r="BV771" i="1"/>
  <c r="BX771" i="1" s="1"/>
  <c r="BU771" i="1"/>
  <c r="BL771" i="1"/>
  <c r="CN771" i="1" s="1"/>
  <c r="BD771" i="1"/>
  <c r="BC771" i="1"/>
  <c r="BB771" i="1"/>
  <c r="BA771" i="1"/>
  <c r="AZ771" i="1"/>
  <c r="BF771" i="1" s="1" a="1"/>
  <c r="BF771" i="1" s="1"/>
  <c r="AY771" i="1"/>
  <c r="BE771" i="1" s="1" a="1"/>
  <c r="BE771" i="1" s="1"/>
  <c r="AX771" i="1"/>
  <c r="M771" i="1"/>
  <c r="EM751" i="1"/>
  <c r="DU751" i="1"/>
  <c r="DT751" i="1"/>
  <c r="DN751" i="1"/>
  <c r="DM751" i="1"/>
  <c r="DL751" i="1"/>
  <c r="DK751" i="1"/>
  <c r="DI751" i="1"/>
  <c r="DJ751" i="1" s="1"/>
  <c r="DC751" i="1"/>
  <c r="CX751" i="1"/>
  <c r="BV751" i="1"/>
  <c r="BX751" i="1" s="1"/>
  <c r="BU751" i="1"/>
  <c r="BL751" i="1"/>
  <c r="BN751" i="1" s="1"/>
  <c r="BO751" i="1" s="1"/>
  <c r="BD751" i="1"/>
  <c r="BC751" i="1"/>
  <c r="BB751" i="1"/>
  <c r="BA751" i="1"/>
  <c r="AZ751" i="1"/>
  <c r="BF751" i="1" s="1" a="1"/>
  <c r="BF751" i="1" s="1"/>
  <c r="AY751" i="1"/>
  <c r="BE751" i="1" s="1" a="1"/>
  <c r="BE751" i="1" s="1"/>
  <c r="AX751" i="1"/>
  <c r="M751" i="1"/>
  <c r="EM744" i="1"/>
  <c r="DU744" i="1"/>
  <c r="DT744" i="1"/>
  <c r="DN744" i="1"/>
  <c r="DM744" i="1"/>
  <c r="DL744" i="1"/>
  <c r="DK744" i="1"/>
  <c r="DI744" i="1"/>
  <c r="DJ744" i="1" s="1"/>
  <c r="DC744" i="1"/>
  <c r="CX744" i="1"/>
  <c r="CN744" i="1"/>
  <c r="BV744" i="1"/>
  <c r="BX744" i="1" s="1"/>
  <c r="BU744" i="1"/>
  <c r="BN744" i="1"/>
  <c r="BO744" i="1" s="1"/>
  <c r="BD744" i="1"/>
  <c r="BC744" i="1"/>
  <c r="BB744" i="1"/>
  <c r="BA744" i="1"/>
  <c r="AZ744" i="1"/>
  <c r="AY744" i="1"/>
  <c r="BE744" i="1" s="1" a="1"/>
  <c r="BE744" i="1" s="1"/>
  <c r="AX744" i="1"/>
  <c r="M744" i="1"/>
  <c r="EM743" i="1"/>
  <c r="DU743" i="1"/>
  <c r="DT743" i="1"/>
  <c r="DN743" i="1"/>
  <c r="DM743" i="1"/>
  <c r="DL743" i="1"/>
  <c r="DK743" i="1"/>
  <c r="DI743" i="1"/>
  <c r="DJ743" i="1" s="1"/>
  <c r="DC743" i="1"/>
  <c r="CX743" i="1"/>
  <c r="BV743" i="1"/>
  <c r="BX743" i="1" s="1"/>
  <c r="BU743" i="1"/>
  <c r="BL743" i="1"/>
  <c r="CN743" i="1" s="1"/>
  <c r="CR743" i="1" s="1"/>
  <c r="BD743" i="1"/>
  <c r="BC743" i="1"/>
  <c r="BB743" i="1"/>
  <c r="BA743" i="1"/>
  <c r="AZ743" i="1"/>
  <c r="BF743" i="1" s="1" a="1"/>
  <c r="BF743" i="1" s="1"/>
  <c r="AY743" i="1"/>
  <c r="BE743" i="1" s="1" a="1"/>
  <c r="BE743" i="1" s="1"/>
  <c r="AX743" i="1"/>
  <c r="M743" i="1"/>
  <c r="EM727" i="1"/>
  <c r="DU727" i="1"/>
  <c r="DT727" i="1"/>
  <c r="DN727" i="1"/>
  <c r="DM727" i="1"/>
  <c r="DL727" i="1"/>
  <c r="DK727" i="1"/>
  <c r="DI727" i="1"/>
  <c r="DJ727" i="1" s="1"/>
  <c r="DC727" i="1"/>
  <c r="CX727" i="1"/>
  <c r="BV727" i="1"/>
  <c r="BX727" i="1" s="1"/>
  <c r="BU727" i="1"/>
  <c r="BL727" i="1"/>
  <c r="BN727" i="1" s="1"/>
  <c r="BO727" i="1" s="1"/>
  <c r="BD727" i="1"/>
  <c r="BC727" i="1"/>
  <c r="BB727" i="1"/>
  <c r="BA727" i="1"/>
  <c r="AZ727" i="1"/>
  <c r="BF727" i="1" s="1" a="1"/>
  <c r="BF727" i="1" s="1"/>
  <c r="AY727" i="1"/>
  <c r="BE727" i="1" s="1" a="1"/>
  <c r="BE727" i="1" s="1"/>
  <c r="AX727" i="1"/>
  <c r="M727" i="1"/>
  <c r="EM700" i="1"/>
  <c r="DU700" i="1"/>
  <c r="DT700" i="1"/>
  <c r="DN700" i="1"/>
  <c r="DM700" i="1"/>
  <c r="DL700" i="1"/>
  <c r="DK700" i="1"/>
  <c r="DI700" i="1"/>
  <c r="DJ700" i="1" s="1"/>
  <c r="DC700" i="1"/>
  <c r="CX700" i="1"/>
  <c r="BV700" i="1"/>
  <c r="BX700" i="1" s="1"/>
  <c r="BU700" i="1"/>
  <c r="BL700" i="1"/>
  <c r="CN700" i="1" s="1"/>
  <c r="CO700" i="1" s="1"/>
  <c r="BD700" i="1"/>
  <c r="BC700" i="1"/>
  <c r="BB700" i="1"/>
  <c r="BA700" i="1"/>
  <c r="AZ700" i="1"/>
  <c r="AY700" i="1"/>
  <c r="BE700" i="1" s="1" a="1"/>
  <c r="BE700" i="1" s="1"/>
  <c r="AX700" i="1"/>
  <c r="M700" i="1"/>
  <c r="EM694" i="1"/>
  <c r="DU694" i="1"/>
  <c r="DT694" i="1"/>
  <c r="DN694" i="1"/>
  <c r="DM694" i="1"/>
  <c r="DL694" i="1"/>
  <c r="DK694" i="1"/>
  <c r="DI694" i="1"/>
  <c r="DJ694" i="1" s="1"/>
  <c r="DC694" i="1"/>
  <c r="CX694" i="1"/>
  <c r="BV694" i="1"/>
  <c r="BX694" i="1" s="1"/>
  <c r="BU694" i="1"/>
  <c r="BL694" i="1"/>
  <c r="BN694" i="1" s="1"/>
  <c r="BO694" i="1" s="1"/>
  <c r="BD694" i="1"/>
  <c r="BC694" i="1"/>
  <c r="BB694" i="1"/>
  <c r="BA694" i="1"/>
  <c r="AZ694" i="1"/>
  <c r="BF694" i="1" s="1" a="1"/>
  <c r="BF694" i="1" s="1"/>
  <c r="AY694" i="1"/>
  <c r="BE694" i="1" s="1" a="1"/>
  <c r="BE694" i="1" s="1"/>
  <c r="AX694" i="1"/>
  <c r="M694" i="1"/>
  <c r="EM665" i="1"/>
  <c r="DU665" i="1"/>
  <c r="DT665" i="1"/>
  <c r="DN665" i="1"/>
  <c r="DM665" i="1"/>
  <c r="DL665" i="1"/>
  <c r="DK665" i="1"/>
  <c r="DI665" i="1"/>
  <c r="DJ665" i="1" s="1"/>
  <c r="DC665" i="1"/>
  <c r="CX665" i="1"/>
  <c r="BV665" i="1"/>
  <c r="BX665" i="1" s="1"/>
  <c r="BU665" i="1"/>
  <c r="BL665" i="1"/>
  <c r="BM665" i="1" s="1"/>
  <c r="BD665" i="1"/>
  <c r="BC665" i="1"/>
  <c r="BB665" i="1"/>
  <c r="BA665" i="1"/>
  <c r="AZ665" i="1"/>
  <c r="AY665" i="1"/>
  <c r="BE665" i="1" s="1" a="1"/>
  <c r="BE665" i="1" s="1"/>
  <c r="AX665" i="1"/>
  <c r="M665" i="1"/>
  <c r="EM646" i="1"/>
  <c r="DU646" i="1"/>
  <c r="DT646" i="1"/>
  <c r="DN646" i="1"/>
  <c r="DM646" i="1"/>
  <c r="DL646" i="1"/>
  <c r="DK646" i="1"/>
  <c r="DI646" i="1"/>
  <c r="DJ646" i="1" s="1"/>
  <c r="DC646" i="1"/>
  <c r="CX646" i="1"/>
  <c r="BV646" i="1"/>
  <c r="BX646" i="1" s="1"/>
  <c r="BU646" i="1"/>
  <c r="BL646" i="1"/>
  <c r="BM646" i="1" s="1"/>
  <c r="BD646" i="1"/>
  <c r="BC646" i="1"/>
  <c r="BB646" i="1"/>
  <c r="BA646" i="1"/>
  <c r="AZ646" i="1"/>
  <c r="BF646" i="1" s="1" a="1"/>
  <c r="BF646" i="1" s="1"/>
  <c r="AY646" i="1"/>
  <c r="BE646" i="1" s="1" a="1"/>
  <c r="BE646" i="1" s="1"/>
  <c r="AX646" i="1"/>
  <c r="M646" i="1"/>
  <c r="EM645" i="1"/>
  <c r="DU645" i="1"/>
  <c r="DT645" i="1"/>
  <c r="DN645" i="1"/>
  <c r="DM645" i="1"/>
  <c r="DL645" i="1"/>
  <c r="DK645" i="1"/>
  <c r="DI645" i="1"/>
  <c r="DJ645" i="1" s="1"/>
  <c r="DC645" i="1"/>
  <c r="CX645" i="1"/>
  <c r="BV645" i="1"/>
  <c r="BX645" i="1" s="1"/>
  <c r="BU645" i="1"/>
  <c r="BL645" i="1"/>
  <c r="CN645" i="1" s="1"/>
  <c r="CS645" i="1" s="1"/>
  <c r="BD645" i="1"/>
  <c r="BC645" i="1"/>
  <c r="BB645" i="1"/>
  <c r="BA645" i="1"/>
  <c r="AZ645" i="1"/>
  <c r="BF645" i="1" s="1" a="1"/>
  <c r="BF645" i="1" s="1"/>
  <c r="AY645" i="1"/>
  <c r="BE645" i="1" s="1" a="1"/>
  <c r="BE645" i="1" s="1"/>
  <c r="AX645" i="1"/>
  <c r="M645" i="1"/>
  <c r="EM629" i="1"/>
  <c r="DU629" i="1"/>
  <c r="DT629" i="1"/>
  <c r="DN629" i="1"/>
  <c r="DM629" i="1"/>
  <c r="DL629" i="1"/>
  <c r="DK629" i="1"/>
  <c r="DI629" i="1"/>
  <c r="DJ629" i="1" s="1"/>
  <c r="DC629" i="1"/>
  <c r="CX629" i="1"/>
  <c r="BV629" i="1"/>
  <c r="BX629" i="1" s="1"/>
  <c r="BU629" i="1"/>
  <c r="BL629" i="1"/>
  <c r="BN629" i="1" s="1"/>
  <c r="BO629" i="1" s="1"/>
  <c r="BD629" i="1"/>
  <c r="BC629" i="1"/>
  <c r="BB629" i="1"/>
  <c r="BA629" i="1"/>
  <c r="AZ629" i="1"/>
  <c r="AY629" i="1"/>
  <c r="BE629" i="1" s="1" a="1"/>
  <c r="BE629" i="1" s="1"/>
  <c r="AX629" i="1"/>
  <c r="M629" i="1"/>
  <c r="EM588" i="1"/>
  <c r="DU588" i="1"/>
  <c r="DT588" i="1"/>
  <c r="DN588" i="1"/>
  <c r="DM588" i="1"/>
  <c r="DL588" i="1"/>
  <c r="DK588" i="1"/>
  <c r="DI588" i="1"/>
  <c r="DJ588" i="1" s="1"/>
  <c r="DC588" i="1"/>
  <c r="CX588" i="1"/>
  <c r="BV588" i="1"/>
  <c r="BX588" i="1" s="1"/>
  <c r="BU588" i="1"/>
  <c r="BL588" i="1"/>
  <c r="BN588" i="1" s="1"/>
  <c r="BO588" i="1" s="1"/>
  <c r="BD588" i="1"/>
  <c r="BC588" i="1"/>
  <c r="BB588" i="1"/>
  <c r="BA588" i="1"/>
  <c r="AZ588" i="1"/>
  <c r="BF588" i="1" s="1" a="1"/>
  <c r="BF588" i="1" s="1"/>
  <c r="AY588" i="1"/>
  <c r="BE588" i="1" s="1" a="1"/>
  <c r="BE588" i="1" s="1"/>
  <c r="AX588" i="1"/>
  <c r="M588" i="1"/>
  <c r="EM568" i="1"/>
  <c r="DU568" i="1"/>
  <c r="DT568" i="1"/>
  <c r="DN568" i="1"/>
  <c r="DM568" i="1"/>
  <c r="DL568" i="1"/>
  <c r="DK568" i="1"/>
  <c r="DI568" i="1"/>
  <c r="DJ568" i="1" s="1"/>
  <c r="DC568" i="1"/>
  <c r="CX568" i="1"/>
  <c r="BV568" i="1"/>
  <c r="BX568" i="1" s="1"/>
  <c r="BU568" i="1"/>
  <c r="BL568" i="1"/>
  <c r="BN568" i="1" s="1"/>
  <c r="BO568" i="1" s="1"/>
  <c r="BD568" i="1"/>
  <c r="BC568" i="1"/>
  <c r="BB568" i="1"/>
  <c r="BA568" i="1"/>
  <c r="AZ568" i="1"/>
  <c r="BF568" i="1" s="1" a="1"/>
  <c r="BF568" i="1" s="1"/>
  <c r="AY568" i="1"/>
  <c r="BE568" i="1" s="1" a="1"/>
  <c r="BE568" i="1" s="1"/>
  <c r="AX568" i="1"/>
  <c r="M568" i="1"/>
  <c r="EM312" i="1"/>
  <c r="DU312" i="1"/>
  <c r="DT312" i="1"/>
  <c r="DN312" i="1"/>
  <c r="DM312" i="1"/>
  <c r="DL312" i="1"/>
  <c r="DK312" i="1"/>
  <c r="DI312" i="1"/>
  <c r="DJ312" i="1" s="1"/>
  <c r="DC312" i="1"/>
  <c r="CX312" i="1"/>
  <c r="CN312" i="1"/>
  <c r="BT312" i="1"/>
  <c r="BS312" i="1"/>
  <c r="BN312" i="1"/>
  <c r="BO312" i="1" s="1"/>
  <c r="BD312" i="1"/>
  <c r="BC312" i="1"/>
  <c r="BB312" i="1"/>
  <c r="BA312" i="1"/>
  <c r="AZ312" i="1"/>
  <c r="AY312" i="1"/>
  <c r="BE312" i="1" s="1" a="1"/>
  <c r="BE312" i="1" s="1"/>
  <c r="AX312" i="1"/>
  <c r="M312" i="1"/>
  <c r="EM315" i="1"/>
  <c r="DU315" i="1"/>
  <c r="DT315" i="1"/>
  <c r="DN315" i="1"/>
  <c r="DM315" i="1"/>
  <c r="DL315" i="1"/>
  <c r="DK315" i="1"/>
  <c r="DI315" i="1"/>
  <c r="DJ315" i="1" s="1"/>
  <c r="DC315" i="1"/>
  <c r="CX315" i="1"/>
  <c r="CN315" i="1"/>
  <c r="BT315" i="1"/>
  <c r="BS315" i="1"/>
  <c r="BN315" i="1"/>
  <c r="BO315" i="1" s="1"/>
  <c r="BD315" i="1"/>
  <c r="BC315" i="1"/>
  <c r="BB315" i="1"/>
  <c r="BA315" i="1"/>
  <c r="AZ315" i="1"/>
  <c r="BF315" i="1" s="1" a="1"/>
  <c r="BF315" i="1" s="1"/>
  <c r="AY315" i="1"/>
  <c r="BE315" i="1" s="1" a="1"/>
  <c r="BE315" i="1" s="1"/>
  <c r="AX315" i="1"/>
  <c r="M315" i="1"/>
  <c r="EM321" i="1"/>
  <c r="DU321" i="1"/>
  <c r="DT321" i="1"/>
  <c r="DN321" i="1"/>
  <c r="DM321" i="1"/>
  <c r="DL321" i="1"/>
  <c r="DK321" i="1"/>
  <c r="DI321" i="1"/>
  <c r="DJ321" i="1" s="1"/>
  <c r="DC321" i="1"/>
  <c r="CX321" i="1"/>
  <c r="CN321" i="1"/>
  <c r="BT321" i="1"/>
  <c r="BS321" i="1"/>
  <c r="BN321" i="1"/>
  <c r="BO321" i="1" s="1"/>
  <c r="BD321" i="1"/>
  <c r="BC321" i="1"/>
  <c r="BB321" i="1"/>
  <c r="BA321" i="1"/>
  <c r="AZ321" i="1"/>
  <c r="BF321" i="1" s="1" a="1"/>
  <c r="BF321" i="1" s="1"/>
  <c r="AY321" i="1"/>
  <c r="BE321" i="1" s="1" a="1"/>
  <c r="BE321" i="1" s="1"/>
  <c r="AX321" i="1"/>
  <c r="M321" i="1"/>
  <c r="EM328" i="1"/>
  <c r="DU328" i="1"/>
  <c r="DT328" i="1"/>
  <c r="DN328" i="1"/>
  <c r="DM328" i="1"/>
  <c r="DL328" i="1"/>
  <c r="DK328" i="1"/>
  <c r="DI328" i="1"/>
  <c r="DJ328" i="1" s="1"/>
  <c r="DC328" i="1"/>
  <c r="CX328" i="1"/>
  <c r="CN328" i="1"/>
  <c r="BT328" i="1"/>
  <c r="BS328" i="1"/>
  <c r="BN328" i="1"/>
  <c r="BO328" i="1" s="1"/>
  <c r="BD328" i="1"/>
  <c r="BC328" i="1"/>
  <c r="BB328" i="1"/>
  <c r="BA328" i="1"/>
  <c r="AZ328" i="1"/>
  <c r="BF328" i="1" s="1" a="1"/>
  <c r="BF328" i="1" s="1"/>
  <c r="AY328" i="1"/>
  <c r="BE328" i="1" s="1" a="1"/>
  <c r="BE328" i="1" s="1"/>
  <c r="AX328" i="1"/>
  <c r="M328" i="1"/>
  <c r="BF1092" i="1" l="1" a="1"/>
  <c r="BF1092" i="1" s="1"/>
  <c r="BF893" i="1" a="1"/>
  <c r="BF893" i="1" s="1"/>
  <c r="BF935" i="1" a="1"/>
  <c r="BF935" i="1" s="1"/>
  <c r="BF850" i="1" a="1"/>
  <c r="BF850" i="1" s="1"/>
  <c r="BF1120" i="1" a="1"/>
  <c r="BF1120" i="1" s="1"/>
  <c r="BF1122" i="1" a="1"/>
  <c r="BF1122" i="1" s="1"/>
  <c r="BF273" i="1" a="1"/>
  <c r="BF273" i="1" s="1"/>
  <c r="BF134" i="1" a="1"/>
  <c r="BF134" i="1" s="1"/>
  <c r="BF74" i="1" a="1"/>
  <c r="BF74" i="1" s="1"/>
  <c r="BF901" i="1" a="1"/>
  <c r="BF901" i="1" s="1"/>
  <c r="BF1095" i="1" a="1"/>
  <c r="BF1095" i="1" s="1"/>
  <c r="BF1099" i="1" a="1"/>
  <c r="BF1099" i="1" s="1"/>
  <c r="BF952" i="1" a="1"/>
  <c r="BF952" i="1" s="1"/>
  <c r="BF1110" i="1" a="1"/>
  <c r="BF1110" i="1" s="1"/>
  <c r="BF994" i="1" a="1"/>
  <c r="BF994" i="1" s="1"/>
  <c r="BF38" i="1" a="1"/>
  <c r="BF38" i="1" s="1"/>
  <c r="BF778" i="1" a="1"/>
  <c r="BF778" i="1" s="1"/>
  <c r="BF94" i="1" a="1"/>
  <c r="BF94" i="1" s="1"/>
  <c r="BF138" i="1" a="1"/>
  <c r="BF138" i="1" s="1"/>
  <c r="BF173" i="1" a="1"/>
  <c r="BF173" i="1" s="1"/>
  <c r="BE173" i="1" s="1" a="1"/>
  <c r="BE173" i="1" s="1"/>
  <c r="BF248" i="1" a="1"/>
  <c r="BF248" i="1" s="1"/>
  <c r="BF1083" i="1" a="1"/>
  <c r="BF1083" i="1" s="1"/>
  <c r="BF947" i="1" a="1"/>
  <c r="BF947" i="1" s="1"/>
  <c r="BF363" i="1" a="1"/>
  <c r="BF363" i="1" s="1"/>
  <c r="BF374" i="1" a="1"/>
  <c r="BF374" i="1" s="1"/>
  <c r="BF513" i="1" a="1"/>
  <c r="BF513" i="1" s="1"/>
  <c r="BF518" i="1" a="1"/>
  <c r="BF518" i="1" s="1"/>
  <c r="BF526" i="1" a="1"/>
  <c r="BF526" i="1" s="1"/>
  <c r="BF534" i="1" a="1"/>
  <c r="BF534" i="1" s="1"/>
  <c r="BF533" i="1" a="1"/>
  <c r="BF533" i="1" s="1"/>
  <c r="BF314" i="1" a="1"/>
  <c r="BF314" i="1" s="1"/>
  <c r="BF820" i="1" a="1"/>
  <c r="BF820" i="1" s="1"/>
  <c r="BF1097" i="1" a="1"/>
  <c r="BF1097" i="1" s="1"/>
  <c r="BF1101" i="1" a="1"/>
  <c r="BF1101" i="1" s="1"/>
  <c r="BF856" i="1" a="1"/>
  <c r="BF856" i="1" s="1"/>
  <c r="BF1111" i="1" a="1"/>
  <c r="BF1111" i="1" s="1"/>
  <c r="BF959" i="1" a="1"/>
  <c r="BF959" i="1" s="1"/>
  <c r="BF26" i="1" a="1"/>
  <c r="BF26" i="1" s="1"/>
  <c r="BE26" i="1" s="1" a="1"/>
  <c r="BE26" i="1" s="1"/>
  <c r="BF967" i="1" a="1"/>
  <c r="BF967" i="1" s="1"/>
  <c r="BF996" i="1" a="1"/>
  <c r="BF996" i="1" s="1"/>
  <c r="BF203" i="1" a="1"/>
  <c r="BF203" i="1" s="1"/>
  <c r="BF870" i="1" a="1"/>
  <c r="BF870" i="1" s="1"/>
  <c r="BF213" i="1" a="1"/>
  <c r="BF213" i="1" s="1"/>
  <c r="BF701" i="1" a="1"/>
  <c r="BF701" i="1" s="1"/>
  <c r="BF82" i="1" a="1"/>
  <c r="BF82" i="1" s="1"/>
  <c r="BF197" i="1" a="1"/>
  <c r="BF197" i="1" s="1"/>
  <c r="BF178" i="1" a="1"/>
  <c r="BF178" i="1" s="1"/>
  <c r="BF665" i="1" a="1"/>
  <c r="BF665" i="1" s="1"/>
  <c r="BF312" i="1" a="1"/>
  <c r="BF312" i="1" s="1"/>
  <c r="BF629" i="1" a="1"/>
  <c r="BF629" i="1" s="1"/>
  <c r="BF744" i="1" a="1"/>
  <c r="BF744" i="1" s="1"/>
  <c r="BF779" i="1" a="1"/>
  <c r="BF779" i="1" s="1"/>
  <c r="BF876" i="1" a="1"/>
  <c r="BF876" i="1" s="1"/>
  <c r="BF119" i="1" a="1"/>
  <c r="BF119" i="1" s="1"/>
  <c r="BF174" i="1" a="1"/>
  <c r="BF174" i="1" s="1"/>
  <c r="BF756" i="1" a="1"/>
  <c r="BF756" i="1" s="1"/>
  <c r="BF840" i="1" a="1"/>
  <c r="BF840" i="1" s="1"/>
  <c r="BF148" i="1" a="1"/>
  <c r="BF148" i="1" s="1"/>
  <c r="BF864" i="1" a="1"/>
  <c r="BF864" i="1" s="1"/>
  <c r="BF905" i="1" a="1"/>
  <c r="BF905" i="1" s="1"/>
  <c r="BE905" i="1" s="1" a="1"/>
  <c r="BE905" i="1" s="1"/>
  <c r="BF934" i="1" a="1"/>
  <c r="BF934" i="1" s="1"/>
  <c r="BF164" i="1" a="1"/>
  <c r="BF164" i="1" s="1"/>
  <c r="BF223" i="1" a="1"/>
  <c r="BF223" i="1" s="1"/>
  <c r="BF800" i="1" a="1"/>
  <c r="BF800" i="1" s="1"/>
  <c r="BF1090" i="1" a="1"/>
  <c r="BF1090" i="1" s="1"/>
  <c r="BF1100" i="1" a="1"/>
  <c r="BF1100" i="1" s="1"/>
  <c r="BF1094" i="1" a="1"/>
  <c r="BF1094" i="1" s="1"/>
  <c r="BF1108" i="1" a="1"/>
  <c r="BF1108" i="1" s="1"/>
  <c r="BF1113" i="1" a="1"/>
  <c r="BF1113" i="1" s="1"/>
  <c r="BE1113" i="1" s="1" a="1"/>
  <c r="BE1113" i="1" s="1"/>
  <c r="BF165" i="1" a="1"/>
  <c r="BF165" i="1" s="1"/>
  <c r="BF977" i="1" a="1"/>
  <c r="BF977" i="1" s="1"/>
  <c r="BF1148" i="1" a="1"/>
  <c r="BF1148" i="1" s="1"/>
  <c r="BF1152" i="1" a="1"/>
  <c r="BF1152" i="1" s="1"/>
  <c r="BF631" i="1" a="1"/>
  <c r="BF631" i="1" s="1"/>
  <c r="BF747" i="1" a="1"/>
  <c r="BF747" i="1" s="1"/>
  <c r="BF823" i="1" a="1"/>
  <c r="BF823" i="1" s="1"/>
  <c r="BF276" i="1" a="1"/>
  <c r="BF276" i="1" s="1"/>
  <c r="BF849" i="1" a="1"/>
  <c r="BF849" i="1" s="1"/>
  <c r="BF90" i="1" a="1"/>
  <c r="BF90" i="1" s="1"/>
  <c r="BF844" i="1" a="1"/>
  <c r="BF844" i="1" s="1"/>
  <c r="BE844" i="1" s="1" a="1"/>
  <c r="BE844" i="1" s="1"/>
  <c r="BF1205" i="1" a="1"/>
  <c r="BF1205" i="1" s="1"/>
  <c r="BF196" i="1" a="1"/>
  <c r="BF196" i="1" s="1"/>
  <c r="BF117" i="1" a="1"/>
  <c r="BF117" i="1" s="1"/>
  <c r="BF700" i="1" a="1"/>
  <c r="BF700" i="1" s="1"/>
  <c r="BF1054" i="1" a="1"/>
  <c r="BF1054" i="1" s="1"/>
  <c r="BF1058" i="1" a="1"/>
  <c r="BF1058" i="1" s="1"/>
  <c r="BF1062" i="1" a="1"/>
  <c r="BF1062" i="1" s="1"/>
  <c r="BF1066" i="1" a="1"/>
  <c r="BF1066" i="1" s="1"/>
  <c r="BF681" i="1" a="1"/>
  <c r="BF681" i="1" s="1"/>
  <c r="BF123" i="1" a="1"/>
  <c r="BF123" i="1" s="1"/>
  <c r="BF159" i="1" a="1"/>
  <c r="BF159" i="1" s="1"/>
  <c r="BF247" i="1" a="1"/>
  <c r="BF247" i="1" s="1"/>
  <c r="BF1082" i="1" a="1"/>
  <c r="BF1082" i="1" s="1"/>
  <c r="BF938" i="1" a="1"/>
  <c r="BF938" i="1" s="1"/>
  <c r="BF563" i="1" a="1"/>
  <c r="BF563" i="1" s="1"/>
  <c r="BF1102" i="1" a="1"/>
  <c r="BF1102" i="1" s="1"/>
  <c r="BF943" i="1" a="1"/>
  <c r="BF943" i="1" s="1"/>
  <c r="BF858" i="1" a="1"/>
  <c r="BF858" i="1" s="1"/>
  <c r="BF958" i="1" a="1"/>
  <c r="BF958" i="1" s="1"/>
  <c r="BF1112" i="1" a="1"/>
  <c r="BF1112" i="1" s="1"/>
  <c r="BE1112" i="1" s="1" a="1"/>
  <c r="BE1112" i="1" s="1"/>
  <c r="BF974" i="1" a="1"/>
  <c r="BF974" i="1" s="1"/>
  <c r="BF278" i="1" a="1"/>
  <c r="BF278" i="1" s="1"/>
  <c r="BF195" i="1" a="1"/>
  <c r="BF195" i="1" s="1"/>
  <c r="BF293" i="1" a="1"/>
  <c r="BF293" i="1" s="1"/>
  <c r="BF992" i="1" a="1"/>
  <c r="BF992" i="1" s="1"/>
  <c r="BF68" i="1" a="1"/>
  <c r="BF68" i="1" s="1"/>
  <c r="BF169" i="1" a="1"/>
  <c r="BF169" i="1" s="1"/>
  <c r="BF118" i="1" a="1"/>
  <c r="BF118" i="1" s="1"/>
  <c r="BF535" i="1" a="1"/>
  <c r="BF535" i="1" s="1"/>
  <c r="BE918" i="1" a="1"/>
  <c r="BE918" i="1" s="1"/>
  <c r="BE934" i="1" a="1"/>
  <c r="BE934" i="1" s="1"/>
  <c r="BE38" i="1" a="1"/>
  <c r="BE38" i="1" s="1"/>
  <c r="BE1206" i="1" a="1"/>
  <c r="BE1206" i="1" s="1"/>
  <c r="BE1205" i="1" a="1"/>
  <c r="BE1205" i="1" s="1"/>
  <c r="CQ541" i="1"/>
  <c r="BV277" i="1"/>
  <c r="BX277" i="1" s="1"/>
  <c r="CT277" i="1" s="1"/>
  <c r="BN134" i="1"/>
  <c r="BO134" i="1" s="1"/>
  <c r="BY134" i="1" s="1"/>
  <c r="EP134" i="1" s="1"/>
  <c r="CN820" i="1"/>
  <c r="CR820" i="1" s="1"/>
  <c r="BN864" i="1"/>
  <c r="BO864" i="1" s="1"/>
  <c r="BN943" i="1"/>
  <c r="BO943" i="1" s="1"/>
  <c r="CQ943" i="1" s="1"/>
  <c r="BV952" i="1"/>
  <c r="BX952" i="1" s="1"/>
  <c r="CN633" i="1"/>
  <c r="BV314" i="1"/>
  <c r="BX314" i="1" s="1"/>
  <c r="CT314" i="1" s="1"/>
  <c r="BV936" i="1"/>
  <c r="BX936" i="1" s="1"/>
  <c r="BV940" i="1"/>
  <c r="BX940" i="1" s="1"/>
  <c r="BV559" i="1"/>
  <c r="BX559" i="1" s="1"/>
  <c r="BY559" i="1" s="1"/>
  <c r="BV328" i="1"/>
  <c r="BX328" i="1" s="1"/>
  <c r="BY328" i="1" s="1"/>
  <c r="CN629" i="1"/>
  <c r="CO629" i="1" s="1"/>
  <c r="CN646" i="1"/>
  <c r="CO646" i="1" s="1"/>
  <c r="BN1062" i="1"/>
  <c r="BM1063" i="1"/>
  <c r="BN1064" i="1"/>
  <c r="CN1108" i="1"/>
  <c r="CR1108" i="1" s="1"/>
  <c r="BU1120" i="1"/>
  <c r="BM1062" i="1"/>
  <c r="CN1063" i="1"/>
  <c r="CS1063" i="1" s="1"/>
  <c r="BU940" i="1"/>
  <c r="BN1108" i="1"/>
  <c r="BV1120" i="1"/>
  <c r="BX1120" i="1" s="1"/>
  <c r="CN1059" i="1"/>
  <c r="CS1059" i="1" s="1"/>
  <c r="BV820" i="1"/>
  <c r="BX820" i="1" s="1"/>
  <c r="BM1064" i="1"/>
  <c r="BM629" i="1"/>
  <c r="BN803" i="1"/>
  <c r="BO803" i="1" s="1"/>
  <c r="BY803" i="1" s="1"/>
  <c r="EP803" i="1" s="1"/>
  <c r="CN559" i="1"/>
  <c r="CQ559" i="1" s="1"/>
  <c r="BU955" i="1"/>
  <c r="CN1058" i="1"/>
  <c r="CO1058" i="1" s="1"/>
  <c r="BM803" i="1"/>
  <c r="BM700" i="1"/>
  <c r="CN588" i="1"/>
  <c r="CP588" i="1" s="1"/>
  <c r="BN665" i="1"/>
  <c r="BO665" i="1" s="1"/>
  <c r="BY665" i="1" s="1"/>
  <c r="EP665" i="1" s="1"/>
  <c r="BN700" i="1"/>
  <c r="BO700" i="1" s="1"/>
  <c r="CQ700" i="1" s="1"/>
  <c r="BN603" i="1"/>
  <c r="BO603" i="1" s="1"/>
  <c r="BY603" i="1" s="1"/>
  <c r="EP603" i="1" s="1"/>
  <c r="BN1101" i="1"/>
  <c r="BO1101" i="1" s="1"/>
  <c r="BY1101" i="1" s="1"/>
  <c r="EP1101" i="1" s="1"/>
  <c r="BU966" i="1"/>
  <c r="BY565" i="1"/>
  <c r="EP565" i="1" s="1"/>
  <c r="BN513" i="1"/>
  <c r="BO513" i="1" s="1"/>
  <c r="BY513" i="1" s="1"/>
  <c r="EP513" i="1" s="1"/>
  <c r="BN520" i="1"/>
  <c r="BO520" i="1" s="1"/>
  <c r="BY520" i="1" s="1"/>
  <c r="EP520" i="1" s="1"/>
  <c r="BN518" i="1"/>
  <c r="BO518" i="1" s="1"/>
  <c r="BY518" i="1" s="1"/>
  <c r="EP518" i="1" s="1"/>
  <c r="BN527" i="1"/>
  <c r="BO527" i="1" s="1"/>
  <c r="BY527" i="1" s="1"/>
  <c r="EP527" i="1" s="1"/>
  <c r="BN533" i="1"/>
  <c r="BO533" i="1" s="1"/>
  <c r="BY533" i="1" s="1"/>
  <c r="EP533" i="1" s="1"/>
  <c r="BN536" i="1"/>
  <c r="BO536" i="1" s="1"/>
  <c r="BY536" i="1" s="1"/>
  <c r="EP536" i="1" s="1"/>
  <c r="CN236" i="1"/>
  <c r="CS236" i="1" s="1"/>
  <c r="BN236" i="1"/>
  <c r="BO236" i="1" s="1"/>
  <c r="BY236" i="1" s="1"/>
  <c r="CN665" i="1"/>
  <c r="CO665" i="1" s="1"/>
  <c r="BN743" i="1"/>
  <c r="BO743" i="1" s="1"/>
  <c r="BY743" i="1" s="1"/>
  <c r="EP743" i="1" s="1"/>
  <c r="BM751" i="1"/>
  <c r="BN1060" i="1"/>
  <c r="CN1062" i="1"/>
  <c r="CR1062" i="1" s="1"/>
  <c r="CN603" i="1"/>
  <c r="CS603" i="1" s="1"/>
  <c r="CN374" i="1"/>
  <c r="CS374" i="1" s="1"/>
  <c r="CN377" i="1"/>
  <c r="CQ377" i="1" s="1"/>
  <c r="CN524" i="1"/>
  <c r="CS524" i="1" s="1"/>
  <c r="CN526" i="1"/>
  <c r="CO526" i="1" s="1"/>
  <c r="CN534" i="1"/>
  <c r="CQ534" i="1" s="1"/>
  <c r="CN537" i="1"/>
  <c r="CQ537" i="1" s="1"/>
  <c r="BV227" i="1"/>
  <c r="BX227" i="1" s="1"/>
  <c r="CT227" i="1" s="1"/>
  <c r="BU936" i="1"/>
  <c r="BN964" i="1"/>
  <c r="BO964" i="1" s="1"/>
  <c r="CQ964" i="1" s="1"/>
  <c r="CN134" i="1"/>
  <c r="CO134" i="1" s="1"/>
  <c r="BN1099" i="1"/>
  <c r="BO1099" i="1" s="1"/>
  <c r="BY1099" i="1" s="1"/>
  <c r="EP1099" i="1" s="1"/>
  <c r="BN1103" i="1"/>
  <c r="BO1103" i="1" s="1"/>
  <c r="BY1103" i="1" s="1"/>
  <c r="EP1103" i="1" s="1"/>
  <c r="BU328" i="1"/>
  <c r="CN727" i="1"/>
  <c r="CQ727" i="1" s="1"/>
  <c r="BN1061" i="1"/>
  <c r="BN563" i="1"/>
  <c r="BO563" i="1" s="1"/>
  <c r="CS314" i="1"/>
  <c r="BU227" i="1"/>
  <c r="BU277" i="1"/>
  <c r="CN864" i="1"/>
  <c r="CR864" i="1" s="1"/>
  <c r="CN1103" i="1"/>
  <c r="CR1103" i="1" s="1"/>
  <c r="CR966" i="1"/>
  <c r="BM727" i="1"/>
  <c r="CN1065" i="1"/>
  <c r="CQ1065" i="1" s="1"/>
  <c r="CN568" i="1"/>
  <c r="CQ568" i="1" s="1"/>
  <c r="BN646" i="1"/>
  <c r="BO646" i="1" s="1"/>
  <c r="BY646" i="1" s="1"/>
  <c r="EP646" i="1" s="1"/>
  <c r="BV572" i="1"/>
  <c r="BX572" i="1" s="1"/>
  <c r="CT572" i="1" s="1"/>
  <c r="BU563" i="1"/>
  <c r="BU820" i="1"/>
  <c r="BM743" i="1"/>
  <c r="BN1059" i="1"/>
  <c r="BM1065" i="1"/>
  <c r="BM1066" i="1"/>
  <c r="CN1066" i="1"/>
  <c r="CO1066" i="1" s="1"/>
  <c r="CR328" i="1"/>
  <c r="CN751" i="1"/>
  <c r="CR751" i="1" s="1"/>
  <c r="CN1064" i="1"/>
  <c r="CR1064" i="1" s="1"/>
  <c r="CN563" i="1"/>
  <c r="CR563" i="1" s="1"/>
  <c r="BN363" i="1"/>
  <c r="BO363" i="1" s="1"/>
  <c r="CQ363" i="1" s="1"/>
  <c r="BV864" i="1"/>
  <c r="BX864" i="1" s="1"/>
  <c r="BN633" i="1"/>
  <c r="BO633" i="1" s="1"/>
  <c r="BV1108" i="1"/>
  <c r="BX1108" i="1" s="1"/>
  <c r="BY1108" i="1" s="1"/>
  <c r="EP1108" i="1" s="1"/>
  <c r="CR669" i="1"/>
  <c r="CV669" i="1" s="1"/>
  <c r="CT1092" i="1"/>
  <c r="BY1050" i="1"/>
  <c r="EP1050" i="1" s="1"/>
  <c r="BY169" i="1"/>
  <c r="EP169" i="1" s="1"/>
  <c r="BY377" i="1"/>
  <c r="EP377" i="1" s="1"/>
  <c r="CT1094" i="1"/>
  <c r="CQ847" i="1"/>
  <c r="BY82" i="1"/>
  <c r="EP82" i="1" s="1"/>
  <c r="CS243" i="1"/>
  <c r="BY38" i="1"/>
  <c r="EP38" i="1" s="1"/>
  <c r="BY1152" i="1"/>
  <c r="CT1097" i="1"/>
  <c r="BY876" i="1"/>
  <c r="EP876" i="1" s="1"/>
  <c r="CT248" i="1"/>
  <c r="BY742" i="1"/>
  <c r="EP742" i="1" s="1"/>
  <c r="CQ640" i="1"/>
  <c r="CT892" i="1"/>
  <c r="BY145" i="1"/>
  <c r="EP145" i="1" s="1"/>
  <c r="BY218" i="1"/>
  <c r="EP218" i="1" s="1"/>
  <c r="CQ243" i="1"/>
  <c r="CP1111" i="1"/>
  <c r="BY959" i="1"/>
  <c r="EP959" i="1" s="1"/>
  <c r="CS1147" i="1"/>
  <c r="CV1147" i="1" s="1"/>
  <c r="CS681" i="1"/>
  <c r="CT518" i="1"/>
  <c r="CT858" i="1"/>
  <c r="CR1151" i="1"/>
  <c r="EP1053" i="1"/>
  <c r="CQ1081" i="1"/>
  <c r="CT56" i="1"/>
  <c r="CR185" i="1"/>
  <c r="CO56" i="1"/>
  <c r="CS185" i="1"/>
  <c r="CS1049" i="1"/>
  <c r="CV1049" i="1" s="1"/>
  <c r="BY756" i="1"/>
  <c r="EP756" i="1" s="1"/>
  <c r="CT762" i="1"/>
  <c r="BY1082" i="1"/>
  <c r="EP1082" i="1" s="1"/>
  <c r="CO994" i="1"/>
  <c r="CT850" i="1"/>
  <c r="BM26" i="1"/>
  <c r="BY992" i="1"/>
  <c r="EP992" i="1" s="1"/>
  <c r="CT289" i="1"/>
  <c r="BY848" i="1"/>
  <c r="EP848" i="1" s="1"/>
  <c r="CP762" i="1"/>
  <c r="BY1080" i="1"/>
  <c r="EP1080" i="1" s="1"/>
  <c r="CT536" i="1"/>
  <c r="CQ1149" i="1"/>
  <c r="BY276" i="1"/>
  <c r="EP276" i="1" s="1"/>
  <c r="CQ185" i="1"/>
  <c r="CP1053" i="1"/>
  <c r="CR640" i="1"/>
  <c r="CS123" i="1"/>
  <c r="CV123" i="1" s="1"/>
  <c r="CT712" i="1"/>
  <c r="CO756" i="1"/>
  <c r="CR762" i="1"/>
  <c r="CQ74" i="1"/>
  <c r="BY1049" i="1"/>
  <c r="EP1049" i="1" s="1"/>
  <c r="CS691" i="1"/>
  <c r="CV691" i="1" s="1"/>
  <c r="CS762" i="1"/>
  <c r="CS536" i="1"/>
  <c r="BY1097" i="1"/>
  <c r="EP1097" i="1" s="1"/>
  <c r="CO1121" i="1"/>
  <c r="CR827" i="1"/>
  <c r="CV827" i="1" s="1"/>
  <c r="CN844" i="1"/>
  <c r="CT844" i="1" s="1"/>
  <c r="BY751" i="1"/>
  <c r="EP751" i="1" s="1"/>
  <c r="CQ196" i="1"/>
  <c r="CR642" i="1"/>
  <c r="CO937" i="1"/>
  <c r="CR1102" i="1"/>
  <c r="CV1102" i="1" s="1"/>
  <c r="CQ871" i="1"/>
  <c r="CO74" i="1"/>
  <c r="CR1149" i="1"/>
  <c r="CS642" i="1"/>
  <c r="BY173" i="1"/>
  <c r="EP173" i="1" s="1"/>
  <c r="CR937" i="1"/>
  <c r="BY537" i="1"/>
  <c r="EP537" i="1" s="1"/>
  <c r="CT955" i="1"/>
  <c r="CR858" i="1"/>
  <c r="CV858" i="1" s="1"/>
  <c r="CS213" i="1"/>
  <c r="CV213" i="1" s="1"/>
  <c r="CR1150" i="1"/>
  <c r="CS631" i="1"/>
  <c r="CV631" i="1" s="1"/>
  <c r="CR849" i="1"/>
  <c r="CV849" i="1" s="1"/>
  <c r="CO778" i="1"/>
  <c r="BY90" i="1"/>
  <c r="EP90" i="1" s="1"/>
  <c r="BY168" i="1"/>
  <c r="EP168" i="1" s="1"/>
  <c r="CR196" i="1"/>
  <c r="CO117" i="1"/>
  <c r="EP1060" i="1"/>
  <c r="CQ829" i="1"/>
  <c r="CS937" i="1"/>
  <c r="BY374" i="1"/>
  <c r="EP374" i="1" s="1"/>
  <c r="CQ1100" i="1"/>
  <c r="CS1150" i="1"/>
  <c r="BY747" i="1"/>
  <c r="EP747" i="1" s="1"/>
  <c r="CP778" i="1"/>
  <c r="CS196" i="1"/>
  <c r="CP117" i="1"/>
  <c r="CS328" i="1"/>
  <c r="CR700" i="1"/>
  <c r="BY727" i="1"/>
  <c r="EP727" i="1" s="1"/>
  <c r="CP640" i="1"/>
  <c r="CQ681" i="1"/>
  <c r="CQ248" i="1"/>
  <c r="CS938" i="1"/>
  <c r="BY148" i="1"/>
  <c r="EP148" i="1" s="1"/>
  <c r="CS273" i="1"/>
  <c r="CV273" i="1" s="1"/>
  <c r="CP1151" i="1"/>
  <c r="CS778" i="1"/>
  <c r="CV778" i="1" s="1"/>
  <c r="BY1083" i="1"/>
  <c r="EP1083" i="1" s="1"/>
  <c r="CT743" i="1"/>
  <c r="CS640" i="1"/>
  <c r="CQ937" i="1"/>
  <c r="CS518" i="1"/>
  <c r="CR1100" i="1"/>
  <c r="CV1100" i="1" s="1"/>
  <c r="BY1146" i="1"/>
  <c r="EP1146" i="1" s="1"/>
  <c r="CS1151" i="1"/>
  <c r="CQ143" i="1"/>
  <c r="BY1051" i="1"/>
  <c r="EP1051" i="1" s="1"/>
  <c r="BY121" i="1"/>
  <c r="EP121" i="1" s="1"/>
  <c r="CT937" i="1"/>
  <c r="CQ1095" i="1"/>
  <c r="CR203" i="1"/>
  <c r="BY289" i="1"/>
  <c r="EP289" i="1" s="1"/>
  <c r="BY901" i="1"/>
  <c r="EP901" i="1" s="1"/>
  <c r="CR243" i="1"/>
  <c r="BY902" i="1"/>
  <c r="EP902" i="1" s="1"/>
  <c r="CT902" i="1"/>
  <c r="CN1089" i="1"/>
  <c r="CR1089" i="1" s="1"/>
  <c r="CN1091" i="1"/>
  <c r="CR1091" i="1" s="1"/>
  <c r="BY1096" i="1"/>
  <c r="EP1096" i="1" s="1"/>
  <c r="CQ26" i="1"/>
  <c r="CS233" i="1"/>
  <c r="CV233" i="1" s="1"/>
  <c r="BY1206" i="1"/>
  <c r="EP1206" i="1" s="1"/>
  <c r="BE60" i="1" a="1"/>
  <c r="BE60" i="1" s="1"/>
  <c r="BE82" i="1" a="1"/>
  <c r="BE82" i="1" s="1"/>
  <c r="CS782" i="1"/>
  <c r="CP119" i="1"/>
  <c r="CO109" i="1"/>
  <c r="CO247" i="1"/>
  <c r="CR1081" i="1"/>
  <c r="CO947" i="1"/>
  <c r="CO520" i="1"/>
  <c r="CO314" i="1"/>
  <c r="CS850" i="1"/>
  <c r="CO966" i="1"/>
  <c r="BN1010" i="1"/>
  <c r="BO1010" i="1" s="1"/>
  <c r="BY1010" i="1" s="1"/>
  <c r="EP1010" i="1" s="1"/>
  <c r="CS195" i="1"/>
  <c r="CV195" i="1" s="1"/>
  <c r="CQ1205" i="1"/>
  <c r="CO1049" i="1"/>
  <c r="EP1058" i="1"/>
  <c r="CQ119" i="1"/>
  <c r="CP247" i="1"/>
  <c r="CS1081" i="1"/>
  <c r="CQ1083" i="1"/>
  <c r="CS883" i="1"/>
  <c r="CP520" i="1"/>
  <c r="CP314" i="1"/>
  <c r="BN164" i="1"/>
  <c r="BO164" i="1" s="1"/>
  <c r="BY164" i="1" s="1"/>
  <c r="EP164" i="1" s="1"/>
  <c r="BN198" i="1"/>
  <c r="BO198" i="1" s="1"/>
  <c r="BY198" i="1" s="1"/>
  <c r="EP198" i="1" s="1"/>
  <c r="CR1095" i="1"/>
  <c r="CV1095" i="1" s="1"/>
  <c r="CS1092" i="1"/>
  <c r="CO935" i="1"/>
  <c r="CP966" i="1"/>
  <c r="CS870" i="1"/>
  <c r="CV870" i="1" s="1"/>
  <c r="CO213" i="1"/>
  <c r="CQ233" i="1"/>
  <c r="CQ293" i="1"/>
  <c r="CP708" i="1"/>
  <c r="CS1149" i="1"/>
  <c r="CR649" i="1"/>
  <c r="CP776" i="1"/>
  <c r="CP56" i="1"/>
  <c r="BY88" i="1"/>
  <c r="EP88" i="1" s="1"/>
  <c r="CR1205" i="1"/>
  <c r="CP130" i="1"/>
  <c r="CR118" i="1"/>
  <c r="BY568" i="1"/>
  <c r="EP568" i="1" s="1"/>
  <c r="CS743" i="1"/>
  <c r="CV743" i="1" s="1"/>
  <c r="CP1049" i="1"/>
  <c r="CP642" i="1"/>
  <c r="CO123" i="1"/>
  <c r="BY91" i="1"/>
  <c r="EP91" i="1" s="1"/>
  <c r="CR247" i="1"/>
  <c r="CV247" i="1" s="1"/>
  <c r="CS1083" i="1"/>
  <c r="CR892" i="1"/>
  <c r="CR927" i="1"/>
  <c r="CV927" i="1" s="1"/>
  <c r="CR520" i="1"/>
  <c r="CV520" i="1" s="1"/>
  <c r="CP536" i="1"/>
  <c r="CR1096" i="1"/>
  <c r="CV1096" i="1" s="1"/>
  <c r="CO858" i="1"/>
  <c r="CP935" i="1"/>
  <c r="CQ958" i="1"/>
  <c r="CT1112" i="1"/>
  <c r="CO871" i="1"/>
  <c r="CP213" i="1"/>
  <c r="CP273" i="1"/>
  <c r="CR708" i="1"/>
  <c r="CV708" i="1" s="1"/>
  <c r="CQ1151" i="1"/>
  <c r="CS649" i="1"/>
  <c r="CT669" i="1"/>
  <c r="CR776" i="1"/>
  <c r="CV776" i="1" s="1"/>
  <c r="CQ827" i="1"/>
  <c r="CP310" i="1"/>
  <c r="CT280" i="1"/>
  <c r="CS56" i="1"/>
  <c r="CV56" i="1" s="1"/>
  <c r="CO924" i="1"/>
  <c r="CQ131" i="1"/>
  <c r="CS1206" i="1"/>
  <c r="CV1206" i="1" s="1"/>
  <c r="CO169" i="1"/>
  <c r="BE197" i="1" a="1"/>
  <c r="BE197" i="1" s="1"/>
  <c r="CR130" i="1"/>
  <c r="CS118" i="1"/>
  <c r="CP541" i="1"/>
  <c r="CP700" i="1"/>
  <c r="CT788" i="1"/>
  <c r="CP123" i="1"/>
  <c r="CQ91" i="1"/>
  <c r="CR536" i="1"/>
  <c r="CV536" i="1" s="1"/>
  <c r="CQ314" i="1"/>
  <c r="BY934" i="1"/>
  <c r="EP934" i="1" s="1"/>
  <c r="CT1096" i="1"/>
  <c r="CP858" i="1"/>
  <c r="BY1110" i="1"/>
  <c r="EP1110" i="1" s="1"/>
  <c r="CQ966" i="1"/>
  <c r="CN1010" i="1"/>
  <c r="CS1010" i="1" s="1"/>
  <c r="CP871" i="1"/>
  <c r="CT233" i="1"/>
  <c r="CQ273" i="1"/>
  <c r="CO847" i="1"/>
  <c r="CP924" i="1"/>
  <c r="CT131" i="1"/>
  <c r="CT169" i="1"/>
  <c r="CQ96" i="1"/>
  <c r="CS130" i="1"/>
  <c r="BY953" i="1"/>
  <c r="EP953" i="1" s="1"/>
  <c r="CQ823" i="1"/>
  <c r="CT328" i="1"/>
  <c r="CQ1049" i="1"/>
  <c r="CQ1053" i="1"/>
  <c r="CP788" i="1"/>
  <c r="CS121" i="1"/>
  <c r="CS91" i="1"/>
  <c r="BY246" i="1"/>
  <c r="EP246" i="1" s="1"/>
  <c r="CP756" i="1"/>
  <c r="CT938" i="1"/>
  <c r="CP518" i="1"/>
  <c r="BY534" i="1"/>
  <c r="EP534" i="1" s="1"/>
  <c r="BY800" i="1"/>
  <c r="EP800" i="1" s="1"/>
  <c r="CT1100" i="1"/>
  <c r="CQ935" i="1"/>
  <c r="CS1113" i="1"/>
  <c r="CR871" i="1"/>
  <c r="CV871" i="1" s="1"/>
  <c r="CQ213" i="1"/>
  <c r="CO233" i="1"/>
  <c r="CO293" i="1"/>
  <c r="CQ708" i="1"/>
  <c r="CT1146" i="1"/>
  <c r="CQ649" i="1"/>
  <c r="CQ276" i="1"/>
  <c r="CO849" i="1"/>
  <c r="CR131" i="1"/>
  <c r="CV131" i="1" s="1"/>
  <c r="BY142" i="1"/>
  <c r="EP142" i="1" s="1"/>
  <c r="CQ130" i="1"/>
  <c r="CQ642" i="1"/>
  <c r="CQ123" i="1"/>
  <c r="BE119" i="1" a="1"/>
  <c r="BE119" i="1" s="1"/>
  <c r="CT247" i="1"/>
  <c r="CR518" i="1"/>
  <c r="CT1095" i="1"/>
  <c r="CQ1112" i="1"/>
  <c r="BY26" i="1"/>
  <c r="EP26" i="1" s="1"/>
  <c r="BY1122" i="1"/>
  <c r="EP1122" i="1" s="1"/>
  <c r="CP233" i="1"/>
  <c r="CS293" i="1"/>
  <c r="CV293" i="1" s="1"/>
  <c r="CO1147" i="1"/>
  <c r="BY1148" i="1"/>
  <c r="EP1148" i="1" s="1"/>
  <c r="CS289" i="1"/>
  <c r="CV289" i="1" s="1"/>
  <c r="CO827" i="1"/>
  <c r="CR310" i="1"/>
  <c r="CR276" i="1"/>
  <c r="CV276" i="1" s="1"/>
  <c r="CP849" i="1"/>
  <c r="CR117" i="1"/>
  <c r="CV117" i="1" s="1"/>
  <c r="BY1052" i="1"/>
  <c r="EP1052" i="1" s="1"/>
  <c r="BY691" i="1"/>
  <c r="EP691" i="1" s="1"/>
  <c r="CT691" i="1"/>
  <c r="BY1098" i="1"/>
  <c r="EP1098" i="1" s="1"/>
  <c r="CS814" i="1"/>
  <c r="CV814" i="1" s="1"/>
  <c r="EP1056" i="1"/>
  <c r="EP1064" i="1"/>
  <c r="CR681" i="1"/>
  <c r="CR121" i="1"/>
  <c r="CR91" i="1"/>
  <c r="BY100" i="1"/>
  <c r="EP100" i="1" s="1"/>
  <c r="CS109" i="1"/>
  <c r="CV109" i="1" s="1"/>
  <c r="CT174" i="1"/>
  <c r="CR712" i="1"/>
  <c r="CQ762" i="1"/>
  <c r="CO1081" i="1"/>
  <c r="CS840" i="1"/>
  <c r="CP892" i="1"/>
  <c r="CP938" i="1"/>
  <c r="CR363" i="1"/>
  <c r="CR314" i="1"/>
  <c r="CN800" i="1"/>
  <c r="CQ800" i="1" s="1"/>
  <c r="CQ1096" i="1"/>
  <c r="CR1092" i="1"/>
  <c r="CQ1092" i="1"/>
  <c r="BY782" i="1"/>
  <c r="EP782" i="1" s="1"/>
  <c r="CQ321" i="1"/>
  <c r="CS321" i="1"/>
  <c r="CS803" i="1"/>
  <c r="CV803" i="1" s="1"/>
  <c r="CO100" i="1"/>
  <c r="CP174" i="1"/>
  <c r="CP883" i="1"/>
  <c r="CS892" i="1"/>
  <c r="CR277" i="1"/>
  <c r="BY1095" i="1"/>
  <c r="EP1095" i="1" s="1"/>
  <c r="BY1102" i="1"/>
  <c r="EP1102" i="1" s="1"/>
  <c r="CS1094" i="1"/>
  <c r="CR1094" i="1"/>
  <c r="CQ100" i="1"/>
  <c r="CR174" i="1"/>
  <c r="BY712" i="1"/>
  <c r="EP712" i="1" s="1"/>
  <c r="CT756" i="1"/>
  <c r="BY840" i="1"/>
  <c r="EP840" i="1" s="1"/>
  <c r="CQ883" i="1"/>
  <c r="BY947" i="1"/>
  <c r="EP947" i="1" s="1"/>
  <c r="CN223" i="1"/>
  <c r="CR223" i="1" s="1"/>
  <c r="BY958" i="1"/>
  <c r="EP958" i="1" s="1"/>
  <c r="CT958" i="1"/>
  <c r="BY809" i="1"/>
  <c r="BY681" i="1"/>
  <c r="EP681" i="1" s="1"/>
  <c r="BY114" i="1"/>
  <c r="EP114" i="1" s="1"/>
  <c r="CS100" i="1"/>
  <c r="CS174" i="1"/>
  <c r="CR883" i="1"/>
  <c r="BY938" i="1"/>
  <c r="EP938" i="1" s="1"/>
  <c r="BY905" i="1"/>
  <c r="EP905" i="1" s="1"/>
  <c r="CN252" i="1"/>
  <c r="CS252" i="1" s="1"/>
  <c r="BM38" i="1"/>
  <c r="CN38" i="1"/>
  <c r="CR38" i="1" s="1"/>
  <c r="EP1065" i="1"/>
  <c r="CT100" i="1"/>
  <c r="BY159" i="1"/>
  <c r="EP159" i="1" s="1"/>
  <c r="CO943" i="1"/>
  <c r="CR943" i="1"/>
  <c r="CO681" i="1"/>
  <c r="BY119" i="1"/>
  <c r="EP119" i="1" s="1"/>
  <c r="BE121" i="1" a="1"/>
  <c r="BE121" i="1" s="1"/>
  <c r="CP91" i="1"/>
  <c r="CP109" i="1"/>
  <c r="BY235" i="1"/>
  <c r="EP235" i="1" s="1"/>
  <c r="CO712" i="1"/>
  <c r="CQ756" i="1"/>
  <c r="CO840" i="1"/>
  <c r="CQ947" i="1"/>
  <c r="BY1100" i="1"/>
  <c r="EP1100" i="1" s="1"/>
  <c r="BY178" i="1"/>
  <c r="EP178" i="1" s="1"/>
  <c r="CT178" i="1"/>
  <c r="CQ328" i="1"/>
  <c r="BY694" i="1"/>
  <c r="EP694" i="1" s="1"/>
  <c r="CQ691" i="1"/>
  <c r="CT123" i="1"/>
  <c r="CR756" i="1"/>
  <c r="CV756" i="1" s="1"/>
  <c r="BY937" i="1"/>
  <c r="EP937" i="1" s="1"/>
  <c r="CT520" i="1"/>
  <c r="BY1092" i="1"/>
  <c r="EP1092" i="1" s="1"/>
  <c r="BY955" i="1"/>
  <c r="CT935" i="1"/>
  <c r="BY935" i="1"/>
  <c r="EP935" i="1" s="1"/>
  <c r="CS833" i="1"/>
  <c r="CT1111" i="1"/>
  <c r="CR935" i="1"/>
  <c r="CV935" i="1" s="1"/>
  <c r="CO850" i="1"/>
  <c r="CO1112" i="1"/>
  <c r="CT1113" i="1"/>
  <c r="CO967" i="1"/>
  <c r="CS203" i="1"/>
  <c r="CQ1121" i="1"/>
  <c r="CO870" i="1"/>
  <c r="CQ1122" i="1"/>
  <c r="CO195" i="1"/>
  <c r="CP293" i="1"/>
  <c r="CQ701" i="1"/>
  <c r="CT631" i="1"/>
  <c r="CO822" i="1"/>
  <c r="CR884" i="1"/>
  <c r="CV884" i="1" s="1"/>
  <c r="CS1205" i="1"/>
  <c r="BN865" i="1"/>
  <c r="BO865" i="1" s="1"/>
  <c r="BY865" i="1" s="1"/>
  <c r="EP865" i="1" s="1"/>
  <c r="BY60" i="1"/>
  <c r="EP60" i="1" s="1"/>
  <c r="CR169" i="1"/>
  <c r="CV169" i="1" s="1"/>
  <c r="CP196" i="1"/>
  <c r="CR96" i="1"/>
  <c r="CO1111" i="1"/>
  <c r="CP850" i="1"/>
  <c r="CR1112" i="1"/>
  <c r="CT203" i="1"/>
  <c r="CT1121" i="1"/>
  <c r="CP870" i="1"/>
  <c r="CP195" i="1"/>
  <c r="CO273" i="1"/>
  <c r="CO708" i="1"/>
  <c r="BY165" i="1"/>
  <c r="EP165" i="1" s="1"/>
  <c r="CP1150" i="1"/>
  <c r="CO289" i="1"/>
  <c r="CO776" i="1"/>
  <c r="CR822" i="1"/>
  <c r="CV822" i="1" s="1"/>
  <c r="CS280" i="1"/>
  <c r="BY68" i="1"/>
  <c r="EP68" i="1" s="1"/>
  <c r="CS924" i="1"/>
  <c r="CV924" i="1" s="1"/>
  <c r="BY849" i="1"/>
  <c r="EP849" i="1" s="1"/>
  <c r="CT88" i="1"/>
  <c r="BY844" i="1"/>
  <c r="EP844" i="1" s="1"/>
  <c r="BE143" i="1" a="1"/>
  <c r="BE143" i="1" s="1"/>
  <c r="CT143" i="1"/>
  <c r="CS96" i="1"/>
  <c r="CR850" i="1"/>
  <c r="CS1112" i="1"/>
  <c r="BY278" i="1"/>
  <c r="EP278" i="1" s="1"/>
  <c r="CT977" i="1"/>
  <c r="BY1153" i="1"/>
  <c r="EP1153" i="1" s="1"/>
  <c r="CQ1206" i="1"/>
  <c r="BY143" i="1"/>
  <c r="EP143" i="1" s="1"/>
  <c r="BY213" i="1"/>
  <c r="EP213" i="1" s="1"/>
  <c r="BY56" i="1"/>
  <c r="EP56" i="1" s="1"/>
  <c r="CP994" i="1"/>
  <c r="BY974" i="1"/>
  <c r="EP974" i="1" s="1"/>
  <c r="CS966" i="1"/>
  <c r="CP1121" i="1"/>
  <c r="CO1122" i="1"/>
  <c r="CQ195" i="1"/>
  <c r="CO701" i="1"/>
  <c r="CP986" i="1"/>
  <c r="CP74" i="1"/>
  <c r="CQ977" i="1"/>
  <c r="CP847" i="1"/>
  <c r="CQ1150" i="1"/>
  <c r="BY631" i="1"/>
  <c r="EP631" i="1" s="1"/>
  <c r="BY823" i="1"/>
  <c r="EP823" i="1" s="1"/>
  <c r="CP827" i="1"/>
  <c r="CQ310" i="1"/>
  <c r="CO280" i="1"/>
  <c r="CQ778" i="1"/>
  <c r="CS145" i="1"/>
  <c r="CV145" i="1" s="1"/>
  <c r="BE929" i="1" a="1"/>
  <c r="BE929" i="1" s="1"/>
  <c r="BM833" i="1"/>
  <c r="CP143" i="1"/>
  <c r="BE169" i="1" a="1"/>
  <c r="BE169" i="1" s="1"/>
  <c r="BY94" i="1"/>
  <c r="EP94" i="1" s="1"/>
  <c r="CQ117" i="1"/>
  <c r="CR994" i="1"/>
  <c r="CV994" i="1" s="1"/>
  <c r="CR1121" i="1"/>
  <c r="CV1121" i="1" s="1"/>
  <c r="CQ870" i="1"/>
  <c r="CP1122" i="1"/>
  <c r="CP701" i="1"/>
  <c r="CQ986" i="1"/>
  <c r="CR977" i="1"/>
  <c r="CR847" i="1"/>
  <c r="CV847" i="1" s="1"/>
  <c r="CP280" i="1"/>
  <c r="CQ884" i="1"/>
  <c r="BN833" i="1"/>
  <c r="BO833" i="1" s="1"/>
  <c r="BY833" i="1" s="1"/>
  <c r="EP833" i="1" s="1"/>
  <c r="CR143" i="1"/>
  <c r="BY96" i="1"/>
  <c r="EP96" i="1" s="1"/>
  <c r="EP1109" i="1"/>
  <c r="CR1113" i="1"/>
  <c r="BY870" i="1"/>
  <c r="EP870" i="1" s="1"/>
  <c r="CR1122" i="1"/>
  <c r="CV1122" i="1" s="1"/>
  <c r="CT195" i="1"/>
  <c r="CR701" i="1"/>
  <c r="CV701" i="1" s="1"/>
  <c r="CR986" i="1"/>
  <c r="CS977" i="1"/>
  <c r="BY761" i="1"/>
  <c r="EP761" i="1" s="1"/>
  <c r="CS310" i="1"/>
  <c r="CR280" i="1"/>
  <c r="BY271" i="1"/>
  <c r="EP271" i="1" s="1"/>
  <c r="BY884" i="1"/>
  <c r="EP884" i="1" s="1"/>
  <c r="CS143" i="1"/>
  <c r="BY176" i="1"/>
  <c r="EP176" i="1" s="1"/>
  <c r="CS986" i="1"/>
  <c r="CQ280" i="1"/>
  <c r="CP243" i="1"/>
  <c r="BY174" i="1"/>
  <c r="EP174" i="1" s="1"/>
  <c r="CQ174" i="1"/>
  <c r="CT803" i="1"/>
  <c r="BY814" i="1"/>
  <c r="EP814" i="1" s="1"/>
  <c r="CT814" i="1"/>
  <c r="BY109" i="1"/>
  <c r="EP109" i="1" s="1"/>
  <c r="CT109" i="1"/>
  <c r="BY588" i="1"/>
  <c r="EP588" i="1" s="1"/>
  <c r="BY788" i="1"/>
  <c r="EP788" i="1" s="1"/>
  <c r="CQ788" i="1"/>
  <c r="BY184" i="1"/>
  <c r="EP184" i="1" s="1"/>
  <c r="CT184" i="1"/>
  <c r="CT1050" i="1"/>
  <c r="CQ1050" i="1"/>
  <c r="CS1050" i="1"/>
  <c r="CR1050" i="1"/>
  <c r="CR1051" i="1"/>
  <c r="CT1051" i="1"/>
  <c r="CS1051" i="1"/>
  <c r="CQ1051" i="1"/>
  <c r="CP1052" i="1"/>
  <c r="CR1052" i="1"/>
  <c r="CT1052" i="1"/>
  <c r="CS1052" i="1"/>
  <c r="BY1081" i="1"/>
  <c r="EP1081" i="1" s="1"/>
  <c r="CT1081" i="1"/>
  <c r="CQ1094" i="1"/>
  <c r="BY1094" i="1"/>
  <c r="EP1094" i="1" s="1"/>
  <c r="CT953" i="1"/>
  <c r="CS953" i="1"/>
  <c r="CR953" i="1"/>
  <c r="CP953" i="1"/>
  <c r="CQ953" i="1"/>
  <c r="CO953" i="1"/>
  <c r="BV321" i="1"/>
  <c r="BX321" i="1" s="1"/>
  <c r="BV312" i="1"/>
  <c r="BX312" i="1" s="1"/>
  <c r="BY312" i="1" s="1"/>
  <c r="CT646" i="1"/>
  <c r="CS700" i="1"/>
  <c r="CT700" i="1"/>
  <c r="CQ848" i="1"/>
  <c r="CT848" i="1"/>
  <c r="CS848" i="1"/>
  <c r="CR848" i="1"/>
  <c r="CP848" i="1"/>
  <c r="CO1050" i="1"/>
  <c r="CP1051" i="1"/>
  <c r="CQ1052" i="1"/>
  <c r="BN1054" i="1"/>
  <c r="BN1055" i="1"/>
  <c r="BM1057" i="1"/>
  <c r="BN1057" i="1"/>
  <c r="BN1065" i="1"/>
  <c r="CO119" i="1"/>
  <c r="CR119" i="1"/>
  <c r="CV119" i="1" s="1"/>
  <c r="CT119" i="1"/>
  <c r="CS198" i="1"/>
  <c r="CR198" i="1"/>
  <c r="CT198" i="1"/>
  <c r="CQ1113" i="1"/>
  <c r="BY1113" i="1"/>
  <c r="EP1113" i="1" s="1"/>
  <c r="CR645" i="1"/>
  <c r="CV645" i="1" s="1"/>
  <c r="CO645" i="1"/>
  <c r="CP645" i="1"/>
  <c r="CO114" i="1"/>
  <c r="CT114" i="1"/>
  <c r="CS114" i="1"/>
  <c r="CR114" i="1"/>
  <c r="CQ114" i="1"/>
  <c r="BU321" i="1"/>
  <c r="BV315" i="1"/>
  <c r="BX315" i="1" s="1"/>
  <c r="BY315" i="1" s="1"/>
  <c r="BU315" i="1"/>
  <c r="CT645" i="1"/>
  <c r="BY744" i="1"/>
  <c r="EP744" i="1" s="1"/>
  <c r="CT779" i="1"/>
  <c r="CS779" i="1"/>
  <c r="CP779" i="1"/>
  <c r="CR779" i="1"/>
  <c r="CT790" i="1"/>
  <c r="CS790" i="1"/>
  <c r="CP790" i="1"/>
  <c r="CR790" i="1"/>
  <c r="CT1049" i="1"/>
  <c r="CP1050" i="1"/>
  <c r="CN1056" i="1"/>
  <c r="BM1056" i="1"/>
  <c r="BN1056" i="1"/>
  <c r="BY99" i="1"/>
  <c r="EP99" i="1" s="1"/>
  <c r="CQ1111" i="1"/>
  <c r="BY1111" i="1"/>
  <c r="EP1111" i="1" s="1"/>
  <c r="BY704" i="1"/>
  <c r="EP704" i="1" s="1"/>
  <c r="BY223" i="1"/>
  <c r="EP223" i="1" s="1"/>
  <c r="CQ858" i="1"/>
  <c r="BY858" i="1"/>
  <c r="EP858" i="1" s="1"/>
  <c r="CQ892" i="1"/>
  <c r="BY892" i="1"/>
  <c r="EP892" i="1" s="1"/>
  <c r="CT744" i="1"/>
  <c r="CS744" i="1"/>
  <c r="CQ744" i="1"/>
  <c r="CR744" i="1"/>
  <c r="CP751" i="1"/>
  <c r="CO771" i="1"/>
  <c r="CT771" i="1"/>
  <c r="CS771" i="1"/>
  <c r="CR771" i="1"/>
  <c r="CQ173" i="1"/>
  <c r="CT173" i="1"/>
  <c r="CP173" i="1"/>
  <c r="CO173" i="1"/>
  <c r="CS173" i="1"/>
  <c r="CR173" i="1"/>
  <c r="CP876" i="1"/>
  <c r="CT876" i="1"/>
  <c r="CS876" i="1"/>
  <c r="CQ876" i="1"/>
  <c r="CR876" i="1"/>
  <c r="BN1066" i="1"/>
  <c r="CT782" i="1"/>
  <c r="CR159" i="1"/>
  <c r="CP159" i="1"/>
  <c r="CT159" i="1"/>
  <c r="CS159" i="1"/>
  <c r="CQ159" i="1"/>
  <c r="CR704" i="1"/>
  <c r="CO704" i="1"/>
  <c r="CT704" i="1"/>
  <c r="CQ704" i="1"/>
  <c r="CS704" i="1"/>
  <c r="CO235" i="1"/>
  <c r="CQ235" i="1"/>
  <c r="CT235" i="1"/>
  <c r="CS235" i="1"/>
  <c r="CR235" i="1"/>
  <c r="CS99" i="1"/>
  <c r="CR99" i="1"/>
  <c r="CO99" i="1"/>
  <c r="CO744" i="1"/>
  <c r="CP744" i="1"/>
  <c r="BM790" i="1"/>
  <c r="BN790" i="1"/>
  <c r="BO790" i="1" s="1"/>
  <c r="CQ790" i="1" s="1"/>
  <c r="CO876" i="1"/>
  <c r="CO1053" i="1"/>
  <c r="CS1053" i="1"/>
  <c r="CV1053" i="1" s="1"/>
  <c r="CT1053" i="1"/>
  <c r="CN1054" i="1"/>
  <c r="EP1066" i="1"/>
  <c r="BY642" i="1"/>
  <c r="EP642" i="1" s="1"/>
  <c r="CT642" i="1"/>
  <c r="CT640" i="1"/>
  <c r="BY640" i="1"/>
  <c r="EP640" i="1" s="1"/>
  <c r="CQ99" i="1"/>
  <c r="CO159" i="1"/>
  <c r="BY247" i="1"/>
  <c r="EP247" i="1" s="1"/>
  <c r="CP704" i="1"/>
  <c r="CQ1082" i="1"/>
  <c r="CR1082" i="1"/>
  <c r="CS1082" i="1"/>
  <c r="CP1082" i="1"/>
  <c r="CT1082" i="1"/>
  <c r="CS829" i="1"/>
  <c r="CO829" i="1"/>
  <c r="CT829" i="1"/>
  <c r="CR829" i="1"/>
  <c r="CT527" i="1"/>
  <c r="BN940" i="1"/>
  <c r="BO940" i="1" s="1"/>
  <c r="BM940" i="1"/>
  <c r="CN940" i="1"/>
  <c r="CS312" i="1"/>
  <c r="BM645" i="1"/>
  <c r="BN645" i="1"/>
  <c r="BO645" i="1" s="1"/>
  <c r="BY645" i="1" s="1"/>
  <c r="EP645" i="1" s="1"/>
  <c r="CP246" i="1"/>
  <c r="CT246" i="1"/>
  <c r="CQ246" i="1"/>
  <c r="CS246" i="1"/>
  <c r="CR246" i="1"/>
  <c r="CO246" i="1"/>
  <c r="CQ315" i="1"/>
  <c r="CQ312" i="1"/>
  <c r="CP771" i="1"/>
  <c r="CR321" i="1"/>
  <c r="CR315" i="1"/>
  <c r="CR312" i="1"/>
  <c r="CS315" i="1"/>
  <c r="BM568" i="1"/>
  <c r="BY629" i="1"/>
  <c r="EP629" i="1" s="1"/>
  <c r="BM771" i="1"/>
  <c r="BN771" i="1"/>
  <c r="BO771" i="1" s="1"/>
  <c r="BY771" i="1" s="1"/>
  <c r="EP771" i="1" s="1"/>
  <c r="BM779" i="1"/>
  <c r="BN779" i="1"/>
  <c r="BO779" i="1" s="1"/>
  <c r="CQ779" i="1" s="1"/>
  <c r="CN1055" i="1"/>
  <c r="CN1057" i="1"/>
  <c r="EP1062" i="1"/>
  <c r="BY123" i="1"/>
  <c r="EP123" i="1" s="1"/>
  <c r="CT99" i="1"/>
  <c r="BY762" i="1"/>
  <c r="EP762" i="1" s="1"/>
  <c r="CO1082" i="1"/>
  <c r="CP829" i="1"/>
  <c r="CT513" i="1"/>
  <c r="CS513" i="1"/>
  <c r="CR513" i="1"/>
  <c r="CP184" i="1"/>
  <c r="CO184" i="1"/>
  <c r="BM694" i="1"/>
  <c r="CP743" i="1"/>
  <c r="CP803" i="1"/>
  <c r="BM809" i="1"/>
  <c r="CO814" i="1"/>
  <c r="BM1058" i="1"/>
  <c r="CN1061" i="1"/>
  <c r="CO691" i="1"/>
  <c r="CR782" i="1"/>
  <c r="CO782" i="1"/>
  <c r="CQ184" i="1"/>
  <c r="CT121" i="1"/>
  <c r="CQ121" i="1"/>
  <c r="BY248" i="1"/>
  <c r="EP248" i="1" s="1"/>
  <c r="BU572" i="1"/>
  <c r="BV563" i="1"/>
  <c r="BX563" i="1" s="1"/>
  <c r="CN338" i="1"/>
  <c r="BN338" i="1"/>
  <c r="BO338" i="1" s="1"/>
  <c r="CP513" i="1"/>
  <c r="CN952" i="1"/>
  <c r="BN952" i="1"/>
  <c r="BO952" i="1" s="1"/>
  <c r="BV633" i="1"/>
  <c r="BX633" i="1" s="1"/>
  <c r="BU633" i="1"/>
  <c r="CN694" i="1"/>
  <c r="CO743" i="1"/>
  <c r="CN809" i="1"/>
  <c r="CN1060" i="1"/>
  <c r="CQ109" i="1"/>
  <c r="CO1080" i="1"/>
  <c r="CT1080" i="1"/>
  <c r="CQ1080" i="1"/>
  <c r="BU312" i="1"/>
  <c r="CP328" i="1"/>
  <c r="BM588" i="1"/>
  <c r="CP814" i="1"/>
  <c r="CP691" i="1"/>
  <c r="CR184" i="1"/>
  <c r="CT91" i="1"/>
  <c r="CR248" i="1"/>
  <c r="CV248" i="1" s="1"/>
  <c r="CP248" i="1"/>
  <c r="CR1080" i="1"/>
  <c r="BY927" i="1"/>
  <c r="EP927" i="1" s="1"/>
  <c r="BV363" i="1"/>
  <c r="BX363" i="1" s="1"/>
  <c r="CS363" i="1"/>
  <c r="BY526" i="1"/>
  <c r="EP526" i="1" s="1"/>
  <c r="CO803" i="1"/>
  <c r="BU363" i="1"/>
  <c r="CO513" i="1"/>
  <c r="BY524" i="1"/>
  <c r="EP524" i="1" s="1"/>
  <c r="CO328" i="1"/>
  <c r="CQ814" i="1"/>
  <c r="BN1063" i="1"/>
  <c r="CS788" i="1"/>
  <c r="CV788" i="1" s="1"/>
  <c r="CO788" i="1"/>
  <c r="CQ782" i="1"/>
  <c r="CS184" i="1"/>
  <c r="CP121" i="1"/>
  <c r="CO248" i="1"/>
  <c r="CS712" i="1"/>
  <c r="CQ712" i="1"/>
  <c r="CS1080" i="1"/>
  <c r="BY829" i="1"/>
  <c r="EP829" i="1" s="1"/>
  <c r="BV338" i="1"/>
  <c r="BX338" i="1" s="1"/>
  <c r="BU338" i="1"/>
  <c r="CQ1098" i="1"/>
  <c r="CT1098" i="1"/>
  <c r="CS1098" i="1"/>
  <c r="CR1098" i="1"/>
  <c r="CT742" i="1"/>
  <c r="CS742" i="1"/>
  <c r="CR742" i="1"/>
  <c r="CQ742" i="1"/>
  <c r="CP742" i="1"/>
  <c r="CO742" i="1"/>
  <c r="CR761" i="1"/>
  <c r="CT761" i="1"/>
  <c r="CS761" i="1"/>
  <c r="CQ761" i="1"/>
  <c r="CP761" i="1"/>
  <c r="CO761" i="1"/>
  <c r="CT840" i="1"/>
  <c r="CQ840" i="1"/>
  <c r="CT883" i="1"/>
  <c r="CT164" i="1"/>
  <c r="CS164" i="1"/>
  <c r="CR164" i="1"/>
  <c r="CS1097" i="1"/>
  <c r="CR1097" i="1"/>
  <c r="CQ1097" i="1"/>
  <c r="BY871" i="1"/>
  <c r="EP871" i="1" s="1"/>
  <c r="CT871" i="1"/>
  <c r="CO927" i="1"/>
  <c r="CT927" i="1"/>
  <c r="CS572" i="1"/>
  <c r="CT533" i="1"/>
  <c r="CS533" i="1"/>
  <c r="CR533" i="1"/>
  <c r="CS227" i="1"/>
  <c r="CR227" i="1"/>
  <c r="CQ227" i="1"/>
  <c r="CP227" i="1"/>
  <c r="BN140" i="1"/>
  <c r="BO140" i="1" s="1"/>
  <c r="BY140" i="1" s="1"/>
  <c r="EP140" i="1" s="1"/>
  <c r="CN140" i="1"/>
  <c r="CR1083" i="1"/>
  <c r="CT1083" i="1"/>
  <c r="CP927" i="1"/>
  <c r="BU559" i="1"/>
  <c r="CT534" i="1"/>
  <c r="CS534" i="1"/>
  <c r="CO533" i="1"/>
  <c r="CO227" i="1"/>
  <c r="CT681" i="1"/>
  <c r="CR100" i="1"/>
  <c r="CQ247" i="1"/>
  <c r="CO1083" i="1"/>
  <c r="CR840" i="1"/>
  <c r="CQ927" i="1"/>
  <c r="CR947" i="1"/>
  <c r="CV947" i="1" s="1"/>
  <c r="CT947" i="1"/>
  <c r="CP947" i="1"/>
  <c r="BN572" i="1"/>
  <c r="BO572" i="1" s="1"/>
  <c r="CR572" i="1"/>
  <c r="CP533" i="1"/>
  <c r="BU864" i="1"/>
  <c r="CN918" i="1"/>
  <c r="BN918" i="1"/>
  <c r="BO918" i="1" s="1"/>
  <c r="BY918" i="1" s="1"/>
  <c r="EP918" i="1" s="1"/>
  <c r="CN856" i="1"/>
  <c r="BN856" i="1"/>
  <c r="BO856" i="1" s="1"/>
  <c r="BY856" i="1" s="1"/>
  <c r="EP856" i="1" s="1"/>
  <c r="CR959" i="1"/>
  <c r="CT959" i="1"/>
  <c r="CS959" i="1"/>
  <c r="CQ959" i="1"/>
  <c r="CP959" i="1"/>
  <c r="CO959" i="1"/>
  <c r="BU236" i="1"/>
  <c r="CN905" i="1"/>
  <c r="CN934" i="1"/>
  <c r="BY1093" i="1"/>
  <c r="EP1093" i="1" s="1"/>
  <c r="CN936" i="1"/>
  <c r="BN936" i="1"/>
  <c r="BO936" i="1" s="1"/>
  <c r="BM936" i="1"/>
  <c r="BY994" i="1"/>
  <c r="EP994" i="1" s="1"/>
  <c r="BY827" i="1"/>
  <c r="EP827" i="1" s="1"/>
  <c r="CQ938" i="1"/>
  <c r="CQ526" i="1"/>
  <c r="CO527" i="1"/>
  <c r="CO277" i="1"/>
  <c r="BN1090" i="1"/>
  <c r="CN1090" i="1"/>
  <c r="CT1093" i="1"/>
  <c r="CS1093" i="1"/>
  <c r="CR1093" i="1"/>
  <c r="CN1109" i="1"/>
  <c r="BN1109" i="1"/>
  <c r="CS955" i="1"/>
  <c r="CV955" i="1" s="1"/>
  <c r="CQ955" i="1"/>
  <c r="CP955" i="1"/>
  <c r="CO955" i="1"/>
  <c r="CP943" i="1"/>
  <c r="CT943" i="1"/>
  <c r="CS943" i="1"/>
  <c r="BM893" i="1"/>
  <c r="CN893" i="1"/>
  <c r="CT1147" i="1"/>
  <c r="BY1147" i="1"/>
  <c r="EP1147" i="1" s="1"/>
  <c r="CN148" i="1"/>
  <c r="CP527" i="1"/>
  <c r="BU314" i="1"/>
  <c r="CQ277" i="1"/>
  <c r="CT1102" i="1"/>
  <c r="CQ1093" i="1"/>
  <c r="BN893" i="1"/>
  <c r="BO893" i="1" s="1"/>
  <c r="BY893" i="1" s="1"/>
  <c r="EP893" i="1" s="1"/>
  <c r="CT1110" i="1"/>
  <c r="CS1110" i="1"/>
  <c r="CR1110" i="1"/>
  <c r="CQ1110" i="1"/>
  <c r="CP1110" i="1"/>
  <c r="CT974" i="1"/>
  <c r="CS974" i="1"/>
  <c r="CV974" i="1" s="1"/>
  <c r="CP974" i="1"/>
  <c r="CO974" i="1"/>
  <c r="CQ974" i="1"/>
  <c r="CQ518" i="1"/>
  <c r="BY883" i="1"/>
  <c r="EP883" i="1" s="1"/>
  <c r="CR938" i="1"/>
  <c r="CO518" i="1"/>
  <c r="CS527" i="1"/>
  <c r="CV527" i="1" s="1"/>
  <c r="CS277" i="1"/>
  <c r="BY252" i="1"/>
  <c r="EP252" i="1" s="1"/>
  <c r="CT1099" i="1"/>
  <c r="CS1099" i="1"/>
  <c r="CR1099" i="1"/>
  <c r="CN1101" i="1"/>
  <c r="BU943" i="1"/>
  <c r="BV967" i="1"/>
  <c r="BX967" i="1" s="1"/>
  <c r="CT967" i="1" s="1"/>
  <c r="BU967" i="1"/>
  <c r="CQ994" i="1"/>
  <c r="CT278" i="1"/>
  <c r="CR278" i="1"/>
  <c r="CQ278" i="1"/>
  <c r="CP278" i="1"/>
  <c r="BY244" i="1"/>
  <c r="EP244" i="1" s="1"/>
  <c r="BY293" i="1"/>
  <c r="EP293" i="1" s="1"/>
  <c r="CT293" i="1"/>
  <c r="CQ1148" i="1"/>
  <c r="CP1148" i="1"/>
  <c r="CO1148" i="1"/>
  <c r="CT1148" i="1"/>
  <c r="CS1148" i="1"/>
  <c r="CR1148" i="1"/>
  <c r="CT279" i="1"/>
  <c r="BY279" i="1"/>
  <c r="EP279" i="1" s="1"/>
  <c r="CS747" i="1"/>
  <c r="CT747" i="1"/>
  <c r="CR747" i="1"/>
  <c r="CQ747" i="1"/>
  <c r="CP747" i="1"/>
  <c r="CO747" i="1"/>
  <c r="BY850" i="1"/>
  <c r="EP850" i="1" s="1"/>
  <c r="CQ244" i="1"/>
  <c r="CP244" i="1"/>
  <c r="CO244" i="1"/>
  <c r="CT244" i="1"/>
  <c r="CS244" i="1"/>
  <c r="BY233" i="1"/>
  <c r="EP233" i="1" s="1"/>
  <c r="CQ1102" i="1"/>
  <c r="CS278" i="1"/>
  <c r="CR244" i="1"/>
  <c r="BY273" i="1"/>
  <c r="EP273" i="1" s="1"/>
  <c r="CT273" i="1"/>
  <c r="CS958" i="1"/>
  <c r="CR958" i="1"/>
  <c r="CT26" i="1"/>
  <c r="CS26" i="1"/>
  <c r="CP26" i="1"/>
  <c r="CO26" i="1"/>
  <c r="CN1120" i="1"/>
  <c r="BN1120" i="1"/>
  <c r="BO1120" i="1" s="1"/>
  <c r="CQ203" i="1"/>
  <c r="BY1121" i="1"/>
  <c r="EP1121" i="1" s="1"/>
  <c r="CT1149" i="1"/>
  <c r="BY1149" i="1"/>
  <c r="EP1149" i="1" s="1"/>
  <c r="BY924" i="1"/>
  <c r="EP924" i="1" s="1"/>
  <c r="CT924" i="1"/>
  <c r="CS1111" i="1"/>
  <c r="CV1111" i="1" s="1"/>
  <c r="CP958" i="1"/>
  <c r="CT994" i="1"/>
  <c r="BY1112" i="1"/>
  <c r="EP1112" i="1" s="1"/>
  <c r="CR26" i="1"/>
  <c r="CS967" i="1"/>
  <c r="CR967" i="1"/>
  <c r="CR964" i="1"/>
  <c r="CP964" i="1"/>
  <c r="CO964" i="1"/>
  <c r="CS964" i="1"/>
  <c r="BY195" i="1"/>
  <c r="EP195" i="1" s="1"/>
  <c r="BY986" i="1"/>
  <c r="EP986" i="1" s="1"/>
  <c r="CT986" i="1"/>
  <c r="CQ669" i="1"/>
  <c r="BY310" i="1"/>
  <c r="EP310" i="1" s="1"/>
  <c r="CT310" i="1"/>
  <c r="BV966" i="1"/>
  <c r="BX966" i="1" s="1"/>
  <c r="BU964" i="1"/>
  <c r="CP203" i="1"/>
  <c r="CT1122" i="1"/>
  <c r="CS902" i="1"/>
  <c r="CR902" i="1"/>
  <c r="CQ902" i="1"/>
  <c r="CS1146" i="1"/>
  <c r="CR1146" i="1"/>
  <c r="CQ1146" i="1"/>
  <c r="CO1146" i="1"/>
  <c r="CQ850" i="1"/>
  <c r="CP1113" i="1"/>
  <c r="BN967" i="1"/>
  <c r="BO967" i="1" s="1"/>
  <c r="CQ967" i="1" s="1"/>
  <c r="BV964" i="1"/>
  <c r="BX964" i="1" s="1"/>
  <c r="CO902" i="1"/>
  <c r="CP1146" i="1"/>
  <c r="EP1152" i="1"/>
  <c r="BY669" i="1"/>
  <c r="EP669" i="1" s="1"/>
  <c r="CR176" i="1"/>
  <c r="CQ176" i="1"/>
  <c r="CP176" i="1"/>
  <c r="CO176" i="1"/>
  <c r="CT176" i="1"/>
  <c r="CS176" i="1"/>
  <c r="BY74" i="1"/>
  <c r="EP74" i="1" s="1"/>
  <c r="CQ992" i="1"/>
  <c r="CP992" i="1"/>
  <c r="CO992" i="1"/>
  <c r="BY1150" i="1"/>
  <c r="EP1150" i="1" s="1"/>
  <c r="BY1151" i="1"/>
  <c r="EP1151" i="1" s="1"/>
  <c r="CT1151" i="1"/>
  <c r="CT1152" i="1"/>
  <c r="CS1152" i="1"/>
  <c r="CR1152" i="1"/>
  <c r="CQ1152" i="1"/>
  <c r="BY649" i="1"/>
  <c r="EP649" i="1" s="1"/>
  <c r="CT649" i="1"/>
  <c r="CN996" i="1"/>
  <c r="CT870" i="1"/>
  <c r="CT213" i="1"/>
  <c r="CT74" i="1"/>
  <c r="CS74" i="1"/>
  <c r="CV74" i="1" s="1"/>
  <c r="CR992" i="1"/>
  <c r="BY977" i="1"/>
  <c r="EP977" i="1" s="1"/>
  <c r="BY847" i="1"/>
  <c r="EP847" i="1" s="1"/>
  <c r="CT847" i="1"/>
  <c r="CO1152" i="1"/>
  <c r="CT1153" i="1"/>
  <c r="CS1153" i="1"/>
  <c r="CR1153" i="1"/>
  <c r="CQ1153" i="1"/>
  <c r="CP1153" i="1"/>
  <c r="CS279" i="1"/>
  <c r="CR279" i="1"/>
  <c r="CQ279" i="1"/>
  <c r="CP279" i="1"/>
  <c r="CO279" i="1"/>
  <c r="CQ631" i="1"/>
  <c r="CT68" i="1"/>
  <c r="BY203" i="1"/>
  <c r="EP203" i="1" s="1"/>
  <c r="BY701" i="1"/>
  <c r="EP701" i="1" s="1"/>
  <c r="CT701" i="1"/>
  <c r="CS992" i="1"/>
  <c r="CP1152" i="1"/>
  <c r="BY776" i="1"/>
  <c r="EP776" i="1" s="1"/>
  <c r="CT776" i="1"/>
  <c r="BY822" i="1"/>
  <c r="EP822" i="1" s="1"/>
  <c r="CT822" i="1"/>
  <c r="CQ271" i="1"/>
  <c r="CP271" i="1"/>
  <c r="CT271" i="1"/>
  <c r="CS271" i="1"/>
  <c r="CR271" i="1"/>
  <c r="BN996" i="1"/>
  <c r="BO996" i="1" s="1"/>
  <c r="BY996" i="1" s="1"/>
  <c r="EP996" i="1" s="1"/>
  <c r="BY708" i="1"/>
  <c r="EP708" i="1" s="1"/>
  <c r="CT992" i="1"/>
  <c r="BY280" i="1"/>
  <c r="EP280" i="1" s="1"/>
  <c r="CO271" i="1"/>
  <c r="CT90" i="1"/>
  <c r="CR90" i="1"/>
  <c r="CQ90" i="1"/>
  <c r="CS90" i="1"/>
  <c r="CT197" i="1"/>
  <c r="BY197" i="1"/>
  <c r="EP197" i="1" s="1"/>
  <c r="BY107" i="1"/>
  <c r="EP107" i="1" s="1"/>
  <c r="CT107" i="1"/>
  <c r="CP823" i="1"/>
  <c r="CO823" i="1"/>
  <c r="CT823" i="1"/>
  <c r="CT1205" i="1"/>
  <c r="BY1205" i="1"/>
  <c r="EP1205" i="1" s="1"/>
  <c r="CT168" i="1"/>
  <c r="CS168" i="1"/>
  <c r="CV168" i="1" s="1"/>
  <c r="CQ168" i="1"/>
  <c r="CP168" i="1"/>
  <c r="CO168" i="1"/>
  <c r="BY118" i="1"/>
  <c r="EP118" i="1" s="1"/>
  <c r="CT118" i="1"/>
  <c r="CT565" i="1"/>
  <c r="CS565" i="1"/>
  <c r="CR565" i="1"/>
  <c r="CQ565" i="1"/>
  <c r="CP565" i="1"/>
  <c r="CO565" i="1"/>
  <c r="BY535" i="1"/>
  <c r="EP535" i="1" s="1"/>
  <c r="CT1150" i="1"/>
  <c r="CT827" i="1"/>
  <c r="CR142" i="1"/>
  <c r="CQ142" i="1"/>
  <c r="CO142" i="1"/>
  <c r="CS142" i="1"/>
  <c r="CP142" i="1"/>
  <c r="BY117" i="1"/>
  <c r="EP117" i="1" s="1"/>
  <c r="BY185" i="1"/>
  <c r="EP185" i="1" s="1"/>
  <c r="CT185" i="1"/>
  <c r="CT138" i="1"/>
  <c r="CS138" i="1"/>
  <c r="CR138" i="1"/>
  <c r="CQ138" i="1"/>
  <c r="CP138" i="1"/>
  <c r="CO138" i="1"/>
  <c r="BY243" i="1"/>
  <c r="EP243" i="1" s="1"/>
  <c r="CT243" i="1"/>
  <c r="CT708" i="1"/>
  <c r="CN165" i="1"/>
  <c r="CP1147" i="1"/>
  <c r="CP289" i="1"/>
  <c r="CO631" i="1"/>
  <c r="CO669" i="1"/>
  <c r="CR823" i="1"/>
  <c r="BY778" i="1"/>
  <c r="EP778" i="1" s="1"/>
  <c r="CT778" i="1"/>
  <c r="BY131" i="1"/>
  <c r="EP131" i="1" s="1"/>
  <c r="CN929" i="1"/>
  <c r="BN929" i="1"/>
  <c r="BO929" i="1" s="1"/>
  <c r="BY929" i="1" s="1"/>
  <c r="EP929" i="1" s="1"/>
  <c r="BM929" i="1"/>
  <c r="CT142" i="1"/>
  <c r="BM165" i="1"/>
  <c r="CO977" i="1"/>
  <c r="CQ1147" i="1"/>
  <c r="CO1149" i="1"/>
  <c r="CQ289" i="1"/>
  <c r="CP631" i="1"/>
  <c r="CO649" i="1"/>
  <c r="CP669" i="1"/>
  <c r="CS823" i="1"/>
  <c r="CV823" i="1" s="1"/>
  <c r="CQ68" i="1"/>
  <c r="CP68" i="1"/>
  <c r="CO68" i="1"/>
  <c r="CT901" i="1"/>
  <c r="CS901" i="1"/>
  <c r="CR901" i="1"/>
  <c r="CP901" i="1"/>
  <c r="CO901" i="1"/>
  <c r="BY648" i="1"/>
  <c r="EP648" i="1" s="1"/>
  <c r="CQ776" i="1"/>
  <c r="CQ822" i="1"/>
  <c r="CP822" i="1"/>
  <c r="CP276" i="1"/>
  <c r="CO276" i="1"/>
  <c r="CT276" i="1"/>
  <c r="CR68" i="1"/>
  <c r="CV68" i="1" s="1"/>
  <c r="CQ901" i="1"/>
  <c r="CT648" i="1"/>
  <c r="CS648" i="1"/>
  <c r="CR648" i="1"/>
  <c r="CQ648" i="1"/>
  <c r="CQ849" i="1"/>
  <c r="CQ145" i="1"/>
  <c r="CT1206" i="1"/>
  <c r="CT94" i="1"/>
  <c r="CS94" i="1"/>
  <c r="CR94" i="1"/>
  <c r="CT218" i="1"/>
  <c r="CS218" i="1"/>
  <c r="CR218" i="1"/>
  <c r="CQ218" i="1"/>
  <c r="BY138" i="1"/>
  <c r="EP138" i="1" s="1"/>
  <c r="CT849" i="1"/>
  <c r="CT145" i="1"/>
  <c r="CR60" i="1"/>
  <c r="CQ60" i="1"/>
  <c r="CT82" i="1"/>
  <c r="CR82" i="1"/>
  <c r="CQ169" i="1"/>
  <c r="CT96" i="1"/>
  <c r="CP94" i="1"/>
  <c r="CP218" i="1"/>
  <c r="CQ56" i="1"/>
  <c r="CU56" i="1" s="1"/>
  <c r="CQ924" i="1"/>
  <c r="CQ88" i="1"/>
  <c r="CT884" i="1"/>
  <c r="BM844" i="1"/>
  <c r="CS60" i="1"/>
  <c r="CQ82" i="1"/>
  <c r="CS197" i="1"/>
  <c r="CR197" i="1"/>
  <c r="CQ197" i="1"/>
  <c r="CP197" i="1"/>
  <c r="CQ94" i="1"/>
  <c r="CQ118" i="1"/>
  <c r="BY541" i="1"/>
  <c r="EP541" i="1" s="1"/>
  <c r="CR88" i="1"/>
  <c r="CV88" i="1" s="1"/>
  <c r="CN865" i="1"/>
  <c r="CT60" i="1"/>
  <c r="CS82" i="1"/>
  <c r="CS178" i="1"/>
  <c r="CR178" i="1"/>
  <c r="CQ178" i="1"/>
  <c r="CP178" i="1"/>
  <c r="CT541" i="1"/>
  <c r="CS541" i="1"/>
  <c r="CR541" i="1"/>
  <c r="CT833" i="1"/>
  <c r="CR833" i="1"/>
  <c r="BY196" i="1"/>
  <c r="EP196" i="1" s="1"/>
  <c r="CR107" i="1"/>
  <c r="CV107" i="1" s="1"/>
  <c r="CQ107" i="1"/>
  <c r="CP107" i="1"/>
  <c r="CO107" i="1"/>
  <c r="BY130" i="1"/>
  <c r="EP130" i="1" s="1"/>
  <c r="CT130" i="1"/>
  <c r="CT196" i="1"/>
  <c r="CU196" i="1" s="1"/>
  <c r="CT117" i="1"/>
  <c r="CN535" i="1"/>
  <c r="CP169" i="1"/>
  <c r="CO96" i="1"/>
  <c r="CP118" i="1"/>
  <c r="CO185" i="1"/>
  <c r="BM535" i="1"/>
  <c r="CQ820" i="1" l="1"/>
  <c r="CS864" i="1"/>
  <c r="CU289" i="1"/>
  <c r="CQ588" i="1"/>
  <c r="CQ520" i="1"/>
  <c r="CU520" i="1" s="1"/>
  <c r="CQ751" i="1"/>
  <c r="CV782" i="1"/>
  <c r="CP646" i="1"/>
  <c r="CS820" i="1"/>
  <c r="CV820" i="1" s="1"/>
  <c r="CQ1103" i="1"/>
  <c r="CO534" i="1"/>
  <c r="CS1103" i="1"/>
  <c r="CP534" i="1"/>
  <c r="CT1103" i="1"/>
  <c r="CR534" i="1"/>
  <c r="CT820" i="1"/>
  <c r="CU820" i="1" s="1"/>
  <c r="BY314" i="1"/>
  <c r="CT1066" i="1"/>
  <c r="BY277" i="1"/>
  <c r="EP277" i="1" s="1"/>
  <c r="CU541" i="1"/>
  <c r="CQ1099" i="1"/>
  <c r="CP524" i="1"/>
  <c r="BY820" i="1"/>
  <c r="EP820" i="1" s="1"/>
  <c r="CS665" i="1"/>
  <c r="CS1066" i="1"/>
  <c r="CQ1108" i="1"/>
  <c r="CT524" i="1"/>
  <c r="CQ513" i="1"/>
  <c r="CU513" i="1" s="1"/>
  <c r="CS1108" i="1"/>
  <c r="CV1108" i="1" s="1"/>
  <c r="CQ524" i="1"/>
  <c r="BY940" i="1"/>
  <c r="EP940" i="1" s="1"/>
  <c r="CT665" i="1"/>
  <c r="CT1059" i="1"/>
  <c r="CQ1066" i="1"/>
  <c r="CU1066" i="1" s="1"/>
  <c r="CP1066" i="1"/>
  <c r="CP1108" i="1"/>
  <c r="CO1059" i="1"/>
  <c r="CR665" i="1"/>
  <c r="CO1108" i="1"/>
  <c r="CO524" i="1"/>
  <c r="BY572" i="1"/>
  <c r="EP572" i="1" s="1"/>
  <c r="CP665" i="1"/>
  <c r="CU681" i="1"/>
  <c r="CR1066" i="1"/>
  <c r="CR524" i="1"/>
  <c r="CV524" i="1" s="1"/>
  <c r="CR1058" i="1"/>
  <c r="CV642" i="1"/>
  <c r="CU847" i="1"/>
  <c r="BY1120" i="1"/>
  <c r="EP1120" i="1" s="1"/>
  <c r="CS526" i="1"/>
  <c r="CQ646" i="1"/>
  <c r="CU646" i="1" s="1"/>
  <c r="BY936" i="1"/>
  <c r="EP936" i="1" s="1"/>
  <c r="CV1083" i="1"/>
  <c r="CT1108" i="1"/>
  <c r="CO1063" i="1"/>
  <c r="EP328" i="1"/>
  <c r="CP1063" i="1"/>
  <c r="CQ1063" i="1"/>
  <c r="CS629" i="1"/>
  <c r="CR727" i="1"/>
  <c r="CV328" i="1"/>
  <c r="CT727" i="1"/>
  <c r="CU727" i="1" s="1"/>
  <c r="CQ633" i="1"/>
  <c r="CR629" i="1"/>
  <c r="CR633" i="1"/>
  <c r="CS633" i="1"/>
  <c r="CS646" i="1"/>
  <c r="CT629" i="1"/>
  <c r="CQ803" i="1"/>
  <c r="CU803" i="1" s="1"/>
  <c r="CR559" i="1"/>
  <c r="EP955" i="1"/>
  <c r="CR526" i="1"/>
  <c r="CQ527" i="1"/>
  <c r="CU527" i="1" s="1"/>
  <c r="CS537" i="1"/>
  <c r="CO588" i="1"/>
  <c r="CS1064" i="1"/>
  <c r="CV1064" i="1" s="1"/>
  <c r="BY700" i="1"/>
  <c r="EP700" i="1" s="1"/>
  <c r="CQ665" i="1"/>
  <c r="CS751" i="1"/>
  <c r="CV751" i="1" s="1"/>
  <c r="CQ864" i="1"/>
  <c r="CO727" i="1"/>
  <c r="CT559" i="1"/>
  <c r="CU559" i="1" s="1"/>
  <c r="CS588" i="1"/>
  <c r="CR646" i="1"/>
  <c r="CS1062" i="1"/>
  <c r="CV1062" i="1" s="1"/>
  <c r="CU935" i="1"/>
  <c r="CT537" i="1"/>
  <c r="CU537" i="1" s="1"/>
  <c r="CU871" i="1"/>
  <c r="CO751" i="1"/>
  <c r="CT751" i="1"/>
  <c r="CS559" i="1"/>
  <c r="CT588" i="1"/>
  <c r="CU588" i="1" s="1"/>
  <c r="BY943" i="1"/>
  <c r="EP943" i="1" s="1"/>
  <c r="CP526" i="1"/>
  <c r="CP537" i="1"/>
  <c r="CQ629" i="1"/>
  <c r="CP629" i="1"/>
  <c r="CO537" i="1"/>
  <c r="CR537" i="1"/>
  <c r="BY952" i="1"/>
  <c r="EP952" i="1" s="1"/>
  <c r="CU708" i="1"/>
  <c r="CU247" i="1"/>
  <c r="CU243" i="1"/>
  <c r="CU185" i="1"/>
  <c r="CQ743" i="1"/>
  <c r="CU743" i="1" s="1"/>
  <c r="CT526" i="1"/>
  <c r="CU526" i="1" s="1"/>
  <c r="CT603" i="1"/>
  <c r="CT1063" i="1"/>
  <c r="CR588" i="1"/>
  <c r="CR1063" i="1"/>
  <c r="CV1063" i="1" s="1"/>
  <c r="CU943" i="1"/>
  <c r="CV1151" i="1"/>
  <c r="CS1058" i="1"/>
  <c r="CT1058" i="1"/>
  <c r="CP1058" i="1"/>
  <c r="CQ1058" i="1"/>
  <c r="BY864" i="1"/>
  <c r="EP864" i="1" s="1"/>
  <c r="CQ1059" i="1"/>
  <c r="CR1059" i="1"/>
  <c r="CV1059" i="1" s="1"/>
  <c r="CU669" i="1"/>
  <c r="CP1059" i="1"/>
  <c r="CU1112" i="1"/>
  <c r="CT38" i="1"/>
  <c r="CP38" i="1"/>
  <c r="CU1150" i="1"/>
  <c r="CU829" i="1"/>
  <c r="CP727" i="1"/>
  <c r="CV243" i="1"/>
  <c r="CS727" i="1"/>
  <c r="CU248" i="1"/>
  <c r="CU1092" i="1"/>
  <c r="CQ533" i="1"/>
  <c r="CU533" i="1" s="1"/>
  <c r="CO1064" i="1"/>
  <c r="CP1062" i="1"/>
  <c r="CU788" i="1"/>
  <c r="CV966" i="1"/>
  <c r="CT1062" i="1"/>
  <c r="CP1064" i="1"/>
  <c r="CQ1062" i="1"/>
  <c r="CT1064" i="1"/>
  <c r="CO1062" i="1"/>
  <c r="BY227" i="1"/>
  <c r="EP227" i="1" s="1"/>
  <c r="CQ1064" i="1"/>
  <c r="BY563" i="1"/>
  <c r="EP563" i="1" s="1"/>
  <c r="CQ603" i="1"/>
  <c r="CR603" i="1"/>
  <c r="CV603" i="1" s="1"/>
  <c r="CU986" i="1"/>
  <c r="CQ563" i="1"/>
  <c r="CS563" i="1"/>
  <c r="CV563" i="1" s="1"/>
  <c r="CQ536" i="1"/>
  <c r="CU536" i="1" s="1"/>
  <c r="CU74" i="1"/>
  <c r="CR800" i="1"/>
  <c r="CV1112" i="1"/>
  <c r="CV100" i="1"/>
  <c r="CU884" i="1"/>
  <c r="CU143" i="1"/>
  <c r="CV1052" i="1"/>
  <c r="CT374" i="1"/>
  <c r="CQ374" i="1"/>
  <c r="BY363" i="1"/>
  <c r="EP363" i="1" s="1"/>
  <c r="CP1010" i="1"/>
  <c r="CR1010" i="1"/>
  <c r="CV1010" i="1" s="1"/>
  <c r="CV174" i="1"/>
  <c r="CV121" i="1"/>
  <c r="CU328" i="1"/>
  <c r="CU117" i="1"/>
  <c r="CS800" i="1"/>
  <c r="CU518" i="1"/>
  <c r="CO1065" i="1"/>
  <c r="CU640" i="1"/>
  <c r="CR568" i="1"/>
  <c r="CP1065" i="1"/>
  <c r="CU280" i="1"/>
  <c r="CO568" i="1"/>
  <c r="CP568" i="1"/>
  <c r="CT1065" i="1"/>
  <c r="CU1065" i="1" s="1"/>
  <c r="CV314" i="1"/>
  <c r="CV640" i="1"/>
  <c r="CU178" i="1"/>
  <c r="CO374" i="1"/>
  <c r="CT568" i="1"/>
  <c r="CU568" i="1" s="1"/>
  <c r="CS568" i="1"/>
  <c r="CR1065" i="1"/>
  <c r="CS1065" i="1"/>
  <c r="CU195" i="1"/>
  <c r="CU91" i="1"/>
  <c r="CT134" i="1"/>
  <c r="CP374" i="1"/>
  <c r="CV850" i="1"/>
  <c r="CV681" i="1"/>
  <c r="CU1100" i="1"/>
  <c r="CQ134" i="1"/>
  <c r="CR134" i="1"/>
  <c r="CO377" i="1"/>
  <c r="CP377" i="1"/>
  <c r="BY964" i="1"/>
  <c r="EP964" i="1" s="1"/>
  <c r="CS377" i="1"/>
  <c r="CQ198" i="1"/>
  <c r="CU198" i="1" s="1"/>
  <c r="CR374" i="1"/>
  <c r="CV374" i="1" s="1"/>
  <c r="CU892" i="1"/>
  <c r="CT864" i="1"/>
  <c r="CQ236" i="1"/>
  <c r="CV762" i="1"/>
  <c r="CU1094" i="1"/>
  <c r="CS134" i="1"/>
  <c r="CR236" i="1"/>
  <c r="CV236" i="1" s="1"/>
  <c r="CP134" i="1"/>
  <c r="CR377" i="1"/>
  <c r="CQ38" i="1"/>
  <c r="CU1081" i="1"/>
  <c r="CT236" i="1"/>
  <c r="CT377" i="1"/>
  <c r="CU377" i="1" s="1"/>
  <c r="CO38" i="1"/>
  <c r="CU1083" i="1"/>
  <c r="CQ223" i="1"/>
  <c r="CO1010" i="1"/>
  <c r="CU1113" i="1"/>
  <c r="CU937" i="1"/>
  <c r="CV833" i="1"/>
  <c r="CR844" i="1"/>
  <c r="CQ844" i="1"/>
  <c r="CU844" i="1" s="1"/>
  <c r="CS844" i="1"/>
  <c r="CT1010" i="1"/>
  <c r="CU1151" i="1"/>
  <c r="CU293" i="1"/>
  <c r="CU1097" i="1"/>
  <c r="CU762" i="1"/>
  <c r="CU1146" i="1"/>
  <c r="CU823" i="1"/>
  <c r="CU1149" i="1"/>
  <c r="CU26" i="1"/>
  <c r="CU712" i="1"/>
  <c r="CU858" i="1"/>
  <c r="CV1113" i="1"/>
  <c r="CV1092" i="1"/>
  <c r="CU994" i="1"/>
  <c r="CV977" i="1"/>
  <c r="CV986" i="1"/>
  <c r="CU233" i="1"/>
  <c r="CU992" i="1"/>
  <c r="CV1081" i="1"/>
  <c r="CV278" i="1"/>
  <c r="CU1095" i="1"/>
  <c r="CV1082" i="1"/>
  <c r="CU849" i="1"/>
  <c r="CV96" i="1"/>
  <c r="CV280" i="1"/>
  <c r="CU203" i="1"/>
  <c r="CV943" i="1"/>
  <c r="CU138" i="1"/>
  <c r="EP236" i="1"/>
  <c r="CU314" i="1"/>
  <c r="CU691" i="1"/>
  <c r="CV937" i="1"/>
  <c r="CV1080" i="1"/>
  <c r="CT312" i="1"/>
  <c r="CU312" i="1" s="1"/>
  <c r="CU235" i="1"/>
  <c r="CV1149" i="1"/>
  <c r="CV196" i="1"/>
  <c r="CV185" i="1"/>
  <c r="CU169" i="1"/>
  <c r="CU213" i="1"/>
  <c r="CU642" i="1"/>
  <c r="CU273" i="1"/>
  <c r="CU88" i="1"/>
  <c r="CV363" i="1"/>
  <c r="CT1089" i="1"/>
  <c r="CU1089" i="1" s="1"/>
  <c r="CU938" i="1"/>
  <c r="CR252" i="1"/>
  <c r="CV252" i="1" s="1"/>
  <c r="CQ252" i="1"/>
  <c r="CV1097" i="1"/>
  <c r="CS223" i="1"/>
  <c r="CV223" i="1" s="1"/>
  <c r="CV310" i="1"/>
  <c r="CV1205" i="1"/>
  <c r="CV91" i="1"/>
  <c r="CU96" i="1"/>
  <c r="CU1122" i="1"/>
  <c r="CU902" i="1"/>
  <c r="CQ572" i="1"/>
  <c r="CU572" i="1" s="1"/>
  <c r="CU119" i="1"/>
  <c r="CU174" i="1"/>
  <c r="CU1206" i="1"/>
  <c r="CU955" i="1"/>
  <c r="CU870" i="1"/>
  <c r="CT223" i="1"/>
  <c r="CV312" i="1"/>
  <c r="CQ645" i="1"/>
  <c r="CU645" i="1" s="1"/>
  <c r="CV938" i="1"/>
  <c r="CV959" i="1"/>
  <c r="CT363" i="1"/>
  <c r="CU363" i="1" s="1"/>
  <c r="CT800" i="1"/>
  <c r="CU800" i="1" s="1"/>
  <c r="CQ1010" i="1"/>
  <c r="CU1205" i="1"/>
  <c r="CU130" i="1"/>
  <c r="CT252" i="1"/>
  <c r="CU1049" i="1"/>
  <c r="CU776" i="1"/>
  <c r="CU649" i="1"/>
  <c r="CU850" i="1"/>
  <c r="CU310" i="1"/>
  <c r="CS38" i="1"/>
  <c r="CV38" i="1" s="1"/>
  <c r="CV277" i="1"/>
  <c r="CS1089" i="1"/>
  <c r="CV1089" i="1" s="1"/>
  <c r="CU959" i="1"/>
  <c r="CV700" i="1"/>
  <c r="CV883" i="1"/>
  <c r="CU958" i="1"/>
  <c r="CV892" i="1"/>
  <c r="CV130" i="1"/>
  <c r="CV518" i="1"/>
  <c r="CV1150" i="1"/>
  <c r="CU631" i="1"/>
  <c r="CV864" i="1"/>
  <c r="CU123" i="1"/>
  <c r="CU1096" i="1"/>
  <c r="CU276" i="1"/>
  <c r="CU131" i="1"/>
  <c r="CS1091" i="1"/>
  <c r="CV1091" i="1" s="1"/>
  <c r="CV203" i="1"/>
  <c r="CU778" i="1"/>
  <c r="CV712" i="1"/>
  <c r="CT1091" i="1"/>
  <c r="CU1091" i="1" s="1"/>
  <c r="CU107" i="1"/>
  <c r="CV244" i="1"/>
  <c r="EP314" i="1"/>
  <c r="CV533" i="1"/>
  <c r="CU1053" i="1"/>
  <c r="CV1050" i="1"/>
  <c r="CU756" i="1"/>
  <c r="CU827" i="1"/>
  <c r="CQ164" i="1"/>
  <c r="CU164" i="1" s="1"/>
  <c r="EP312" i="1"/>
  <c r="CV235" i="1"/>
  <c r="CV744" i="1"/>
  <c r="CU121" i="1"/>
  <c r="CV953" i="1"/>
  <c r="CT563" i="1"/>
  <c r="CU60" i="1"/>
  <c r="CU1098" i="1"/>
  <c r="CV315" i="1"/>
  <c r="CV159" i="1"/>
  <c r="CV649" i="1"/>
  <c r="CV118" i="1"/>
  <c r="CU1103" i="1"/>
  <c r="CU927" i="1"/>
  <c r="CV114" i="1"/>
  <c r="CU704" i="1"/>
  <c r="CU747" i="1"/>
  <c r="CV1110" i="1"/>
  <c r="CV572" i="1"/>
  <c r="CV513" i="1"/>
  <c r="CU246" i="1"/>
  <c r="CU744" i="1"/>
  <c r="CV143" i="1"/>
  <c r="CU648" i="1"/>
  <c r="CU565" i="1"/>
  <c r="CU924" i="1"/>
  <c r="CU1147" i="1"/>
  <c r="CV876" i="1"/>
  <c r="CQ833" i="1"/>
  <c r="CU833" i="1" s="1"/>
  <c r="CV178" i="1"/>
  <c r="CU197" i="1"/>
  <c r="CV992" i="1"/>
  <c r="CV176" i="1"/>
  <c r="CU244" i="1"/>
  <c r="CU947" i="1"/>
  <c r="CU227" i="1"/>
  <c r="BY338" i="1"/>
  <c r="EP338" i="1" s="1"/>
  <c r="CU159" i="1"/>
  <c r="CU977" i="1"/>
  <c r="CV565" i="1"/>
  <c r="CV704" i="1"/>
  <c r="CU100" i="1"/>
  <c r="CV648" i="1"/>
  <c r="CV541" i="1"/>
  <c r="CV82" i="1"/>
  <c r="CV60" i="1"/>
  <c r="CU701" i="1"/>
  <c r="CT964" i="1"/>
  <c r="CU964" i="1" s="1"/>
  <c r="CU1093" i="1"/>
  <c r="CV761" i="1"/>
  <c r="CU742" i="1"/>
  <c r="CV321" i="1"/>
  <c r="CQ771" i="1"/>
  <c r="CU771" i="1" s="1"/>
  <c r="CU953" i="1"/>
  <c r="CV1094" i="1"/>
  <c r="CV840" i="1"/>
  <c r="CU883" i="1"/>
  <c r="CU1111" i="1"/>
  <c r="CU1121" i="1"/>
  <c r="CU1153" i="1"/>
  <c r="CU967" i="1"/>
  <c r="CV197" i="1"/>
  <c r="CV94" i="1"/>
  <c r="CV901" i="1"/>
  <c r="CV142" i="1"/>
  <c r="CV90" i="1"/>
  <c r="CO996" i="1"/>
  <c r="CQ996" i="1"/>
  <c r="CP996" i="1"/>
  <c r="CT996" i="1"/>
  <c r="CS996" i="1"/>
  <c r="CR996" i="1"/>
  <c r="CV964" i="1"/>
  <c r="CV958" i="1"/>
  <c r="CU974" i="1"/>
  <c r="CR934" i="1"/>
  <c r="CT934" i="1"/>
  <c r="CS934" i="1"/>
  <c r="CQ934" i="1"/>
  <c r="CV164" i="1"/>
  <c r="CU840" i="1"/>
  <c r="CU1080" i="1"/>
  <c r="CS338" i="1"/>
  <c r="CQ338" i="1"/>
  <c r="CR338" i="1"/>
  <c r="CT338" i="1"/>
  <c r="CS1057" i="1"/>
  <c r="CT1057" i="1"/>
  <c r="CR1057" i="1"/>
  <c r="CP1057" i="1"/>
  <c r="CQ1057" i="1"/>
  <c r="CO1057" i="1"/>
  <c r="CT315" i="1"/>
  <c r="CU315" i="1" s="1"/>
  <c r="CU173" i="1"/>
  <c r="CV848" i="1"/>
  <c r="CU109" i="1"/>
  <c r="CP535" i="1"/>
  <c r="CO535" i="1"/>
  <c r="CS535" i="1"/>
  <c r="CR535" i="1"/>
  <c r="CQ535" i="1"/>
  <c r="CT535" i="1"/>
  <c r="CU94" i="1"/>
  <c r="CU901" i="1"/>
  <c r="CQ929" i="1"/>
  <c r="CT929" i="1"/>
  <c r="CS929" i="1"/>
  <c r="CR929" i="1"/>
  <c r="CT966" i="1"/>
  <c r="CU966" i="1" s="1"/>
  <c r="BY966" i="1"/>
  <c r="EP966" i="1" s="1"/>
  <c r="CV747" i="1"/>
  <c r="CU278" i="1"/>
  <c r="CT905" i="1"/>
  <c r="CS905" i="1"/>
  <c r="CR905" i="1"/>
  <c r="CQ905" i="1"/>
  <c r="CV227" i="1"/>
  <c r="CQ1055" i="1"/>
  <c r="CT1055" i="1"/>
  <c r="CS1055" i="1"/>
  <c r="CR1055" i="1"/>
  <c r="CO1055" i="1"/>
  <c r="CP1055" i="1"/>
  <c r="CU876" i="1"/>
  <c r="CV779" i="1"/>
  <c r="CU848" i="1"/>
  <c r="CU1052" i="1"/>
  <c r="BY779" i="1"/>
  <c r="EP779" i="1" s="1"/>
  <c r="CQ918" i="1"/>
  <c r="CR918" i="1"/>
  <c r="CT918" i="1"/>
  <c r="CS918" i="1"/>
  <c r="CU82" i="1"/>
  <c r="CP165" i="1"/>
  <c r="CO165" i="1"/>
  <c r="CT165" i="1"/>
  <c r="CR165" i="1"/>
  <c r="CQ165" i="1"/>
  <c r="CS165" i="1"/>
  <c r="CV138" i="1"/>
  <c r="CU822" i="1"/>
  <c r="CU68" i="1"/>
  <c r="CV279" i="1"/>
  <c r="CV902" i="1"/>
  <c r="CS1120" i="1"/>
  <c r="CR1120" i="1"/>
  <c r="CQ1120" i="1"/>
  <c r="CT1120" i="1"/>
  <c r="CP1120" i="1"/>
  <c r="CO1120" i="1"/>
  <c r="CT1101" i="1"/>
  <c r="CS1101" i="1"/>
  <c r="CR1101" i="1"/>
  <c r="CQ1101" i="1"/>
  <c r="CT893" i="1"/>
  <c r="CQ893" i="1"/>
  <c r="CO893" i="1"/>
  <c r="CS893" i="1"/>
  <c r="CR893" i="1"/>
  <c r="CP893" i="1"/>
  <c r="CV1093" i="1"/>
  <c r="CV246" i="1"/>
  <c r="CT940" i="1"/>
  <c r="CR940" i="1"/>
  <c r="CQ940" i="1"/>
  <c r="CP940" i="1"/>
  <c r="CO940" i="1"/>
  <c r="CS940" i="1"/>
  <c r="CV829" i="1"/>
  <c r="CU277" i="1"/>
  <c r="CU779" i="1"/>
  <c r="CU184" i="1"/>
  <c r="CU90" i="1"/>
  <c r="CU279" i="1"/>
  <c r="CP856" i="1"/>
  <c r="CT856" i="1"/>
  <c r="CS856" i="1"/>
  <c r="CR856" i="1"/>
  <c r="CQ856" i="1"/>
  <c r="CO856" i="1"/>
  <c r="EP559" i="1"/>
  <c r="CT140" i="1"/>
  <c r="CQ140" i="1"/>
  <c r="CR140" i="1"/>
  <c r="CS140" i="1"/>
  <c r="CV742" i="1"/>
  <c r="CR1060" i="1"/>
  <c r="CQ1060" i="1"/>
  <c r="CP1060" i="1"/>
  <c r="CO1060" i="1"/>
  <c r="CT1060" i="1"/>
  <c r="CS1060" i="1"/>
  <c r="BY633" i="1"/>
  <c r="EP633" i="1" s="1"/>
  <c r="CT633" i="1"/>
  <c r="CU1082" i="1"/>
  <c r="CT1054" i="1"/>
  <c r="CR1054" i="1"/>
  <c r="CS1054" i="1"/>
  <c r="CO1054" i="1"/>
  <c r="CP1054" i="1"/>
  <c r="CQ1054" i="1"/>
  <c r="CV790" i="1"/>
  <c r="CV198" i="1"/>
  <c r="BY790" i="1"/>
  <c r="CU790" i="1"/>
  <c r="CS865" i="1"/>
  <c r="CQ865" i="1"/>
  <c r="CT865" i="1"/>
  <c r="CR865" i="1"/>
  <c r="CV218" i="1"/>
  <c r="CU168" i="1"/>
  <c r="CV271" i="1"/>
  <c r="CV1152" i="1"/>
  <c r="CV26" i="1"/>
  <c r="CV1148" i="1"/>
  <c r="BY967" i="1"/>
  <c r="EP967" i="1" s="1"/>
  <c r="CV1099" i="1"/>
  <c r="CU1110" i="1"/>
  <c r="CV534" i="1"/>
  <c r="CU761" i="1"/>
  <c r="CS952" i="1"/>
  <c r="CR952" i="1"/>
  <c r="CQ952" i="1"/>
  <c r="CP952" i="1"/>
  <c r="CO952" i="1"/>
  <c r="CT952" i="1"/>
  <c r="CU782" i="1"/>
  <c r="CV173" i="1"/>
  <c r="CV771" i="1"/>
  <c r="CU114" i="1"/>
  <c r="CU700" i="1"/>
  <c r="CV1051" i="1"/>
  <c r="CQ148" i="1"/>
  <c r="CS148" i="1"/>
  <c r="CT148" i="1"/>
  <c r="CR148" i="1"/>
  <c r="CT1109" i="1"/>
  <c r="CS1109" i="1"/>
  <c r="CR1109" i="1"/>
  <c r="CQ1109" i="1"/>
  <c r="CP1109" i="1"/>
  <c r="CO1109" i="1"/>
  <c r="CS1090" i="1"/>
  <c r="CR1090" i="1"/>
  <c r="CT1090" i="1"/>
  <c r="CU1090" i="1" s="1"/>
  <c r="CR936" i="1"/>
  <c r="CP936" i="1"/>
  <c r="CO936" i="1"/>
  <c r="CT936" i="1"/>
  <c r="CS936" i="1"/>
  <c r="CQ936" i="1"/>
  <c r="CS809" i="1"/>
  <c r="CQ809" i="1"/>
  <c r="CP809" i="1"/>
  <c r="CO809" i="1"/>
  <c r="CR809" i="1"/>
  <c r="CT809" i="1"/>
  <c r="BY321" i="1"/>
  <c r="EP321" i="1" s="1"/>
  <c r="CT321" i="1"/>
  <c r="CU321" i="1" s="1"/>
  <c r="CU145" i="1"/>
  <c r="CU218" i="1"/>
  <c r="CU142" i="1"/>
  <c r="CU118" i="1"/>
  <c r="CU271" i="1"/>
  <c r="CV1153" i="1"/>
  <c r="CU1152" i="1"/>
  <c r="CU176" i="1"/>
  <c r="CV1146" i="1"/>
  <c r="CV967" i="1"/>
  <c r="CU1148" i="1"/>
  <c r="CU1099" i="1"/>
  <c r="CU1102" i="1"/>
  <c r="CV1103" i="1"/>
  <c r="CU534" i="1"/>
  <c r="CV1098" i="1"/>
  <c r="CV184" i="1"/>
  <c r="CQ694" i="1"/>
  <c r="CP694" i="1"/>
  <c r="CO694" i="1"/>
  <c r="CR694" i="1"/>
  <c r="CT694" i="1"/>
  <c r="CS694" i="1"/>
  <c r="CO1061" i="1"/>
  <c r="CQ1061" i="1"/>
  <c r="CP1061" i="1"/>
  <c r="CS1061" i="1"/>
  <c r="CT1061" i="1"/>
  <c r="CR1061" i="1"/>
  <c r="CU99" i="1"/>
  <c r="CV99" i="1"/>
  <c r="CT1056" i="1"/>
  <c r="CS1056" i="1"/>
  <c r="CR1056" i="1"/>
  <c r="CQ1056" i="1"/>
  <c r="CP1056" i="1"/>
  <c r="CO1056" i="1"/>
  <c r="EP315" i="1"/>
  <c r="CU1051" i="1"/>
  <c r="CU1050" i="1"/>
  <c r="CU814" i="1"/>
  <c r="CV537" i="1" l="1"/>
  <c r="CU751" i="1"/>
  <c r="CU524" i="1"/>
  <c r="CV633" i="1"/>
  <c r="CV526" i="1"/>
  <c r="CU1108" i="1"/>
  <c r="CV727" i="1"/>
  <c r="CV665" i="1"/>
  <c r="CU1059" i="1"/>
  <c r="CV1066" i="1"/>
  <c r="CU665" i="1"/>
  <c r="CU629" i="1"/>
  <c r="CV1058" i="1"/>
  <c r="CV646" i="1"/>
  <c r="CV629" i="1"/>
  <c r="CU864" i="1"/>
  <c r="CV800" i="1"/>
  <c r="CU633" i="1"/>
  <c r="CU1058" i="1"/>
  <c r="CU603" i="1"/>
  <c r="CU1063" i="1"/>
  <c r="CV559" i="1"/>
  <c r="CV588" i="1"/>
  <c r="CU1010" i="1"/>
  <c r="CU38" i="1"/>
  <c r="CU563" i="1"/>
  <c r="CU1062" i="1"/>
  <c r="CU1064" i="1"/>
  <c r="CU236" i="1"/>
  <c r="CV568" i="1"/>
  <c r="CU374" i="1"/>
  <c r="CU134" i="1"/>
  <c r="CV1065" i="1"/>
  <c r="CU223" i="1"/>
  <c r="CV134" i="1"/>
  <c r="CV377" i="1"/>
  <c r="CV844" i="1"/>
  <c r="CU252" i="1"/>
  <c r="CV929" i="1"/>
  <c r="CV535" i="1"/>
  <c r="CV934" i="1"/>
  <c r="CV165" i="1"/>
  <c r="CU905" i="1"/>
  <c r="CU1056" i="1"/>
  <c r="CV1061" i="1"/>
  <c r="CU809" i="1"/>
  <c r="CU936" i="1"/>
  <c r="CU952" i="1"/>
  <c r="CU918" i="1"/>
  <c r="CU1055" i="1"/>
  <c r="CV940" i="1"/>
  <c r="CU996" i="1"/>
  <c r="CV694" i="1"/>
  <c r="CU865" i="1"/>
  <c r="CU535" i="1"/>
  <c r="CV1054" i="1"/>
  <c r="CU338" i="1"/>
  <c r="CV140" i="1"/>
  <c r="CV1090" i="1"/>
  <c r="CU1120" i="1"/>
  <c r="CV918" i="1"/>
  <c r="CV1055" i="1"/>
  <c r="CV338" i="1"/>
  <c r="CU140" i="1"/>
  <c r="CU1057" i="1"/>
  <c r="CU1109" i="1"/>
  <c r="CV865" i="1"/>
  <c r="CV1060" i="1"/>
  <c r="CV1101" i="1"/>
  <c r="CU165" i="1"/>
  <c r="CV1057" i="1"/>
  <c r="CU934" i="1"/>
  <c r="CU694" i="1"/>
  <c r="CV809" i="1"/>
  <c r="CV952" i="1"/>
  <c r="CU1060" i="1"/>
  <c r="CU1101" i="1"/>
  <c r="CU893" i="1"/>
  <c r="CU148" i="1"/>
  <c r="CV856" i="1"/>
  <c r="CV893" i="1"/>
  <c r="CV1109" i="1"/>
  <c r="CV1120" i="1"/>
  <c r="CV996" i="1"/>
  <c r="CV1056" i="1"/>
  <c r="CU1061" i="1"/>
  <c r="CV936" i="1"/>
  <c r="CV148" i="1"/>
  <c r="CU1054" i="1"/>
  <c r="CU856" i="1"/>
  <c r="CU940" i="1"/>
  <c r="CV905" i="1"/>
  <c r="CU929" i="1"/>
  <c r="EM44" i="1" l="1"/>
  <c r="DU44" i="1"/>
  <c r="DT44" i="1"/>
  <c r="DN44" i="1"/>
  <c r="DM44" i="1"/>
  <c r="DL44" i="1"/>
  <c r="DK44" i="1"/>
  <c r="DI44" i="1"/>
  <c r="DJ44" i="1" s="1"/>
  <c r="DC44" i="1"/>
  <c r="CX44" i="1"/>
  <c r="CN44" i="1"/>
  <c r="BV44" i="1"/>
  <c r="BX44" i="1" s="1"/>
  <c r="BO44" i="1"/>
  <c r="BN44" i="1"/>
  <c r="BM44" i="1"/>
  <c r="BD44" i="1"/>
  <c r="BC44" i="1"/>
  <c r="BB44" i="1"/>
  <c r="BA44" i="1"/>
  <c r="AZ44" i="1"/>
  <c r="BF44" i="1" s="1" a="1"/>
  <c r="BF44" i="1" s="1"/>
  <c r="AY44" i="1"/>
  <c r="AX44" i="1"/>
  <c r="M44" i="1"/>
  <c r="EM67" i="1"/>
  <c r="DU67" i="1"/>
  <c r="DT67" i="1"/>
  <c r="DN67" i="1"/>
  <c r="DM67" i="1"/>
  <c r="DL67" i="1"/>
  <c r="DK67" i="1"/>
  <c r="DI67" i="1"/>
  <c r="DJ67" i="1" s="1"/>
  <c r="DC67" i="1"/>
  <c r="CX67" i="1"/>
  <c r="CN67" i="1"/>
  <c r="BV67" i="1"/>
  <c r="BX67" i="1" s="1"/>
  <c r="BO67" i="1"/>
  <c r="BN67" i="1"/>
  <c r="BM67" i="1"/>
  <c r="BD67" i="1"/>
  <c r="BC67" i="1"/>
  <c r="BB67" i="1"/>
  <c r="BA67" i="1"/>
  <c r="AZ67" i="1"/>
  <c r="AY67" i="1"/>
  <c r="AX67" i="1"/>
  <c r="M67" i="1"/>
  <c r="EM894" i="1"/>
  <c r="DU894" i="1"/>
  <c r="DT894" i="1"/>
  <c r="DN894" i="1"/>
  <c r="DM894" i="1"/>
  <c r="DL894" i="1"/>
  <c r="DK894" i="1"/>
  <c r="DI894" i="1"/>
  <c r="DJ894" i="1" s="1"/>
  <c r="DC894" i="1"/>
  <c r="CX894" i="1"/>
  <c r="CN894" i="1"/>
  <c r="CR894" i="1" s="1"/>
  <c r="BV894" i="1"/>
  <c r="BX894" i="1" s="1"/>
  <c r="BU894" i="1"/>
  <c r="BN894" i="1"/>
  <c r="BO894" i="1" s="1"/>
  <c r="BM894" i="1"/>
  <c r="BD894" i="1"/>
  <c r="BC894" i="1"/>
  <c r="BB894" i="1"/>
  <c r="BA894" i="1"/>
  <c r="AZ894" i="1"/>
  <c r="AY894" i="1"/>
  <c r="AX894" i="1"/>
  <c r="M894" i="1"/>
  <c r="EM54" i="1"/>
  <c r="DU54" i="1"/>
  <c r="DT54" i="1"/>
  <c r="DN54" i="1"/>
  <c r="DM54" i="1"/>
  <c r="DL54" i="1"/>
  <c r="DK54" i="1"/>
  <c r="DI54" i="1"/>
  <c r="DJ54" i="1" s="1"/>
  <c r="DC54" i="1"/>
  <c r="CX54" i="1"/>
  <c r="CN54" i="1"/>
  <c r="CP54" i="1" s="1"/>
  <c r="BV54" i="1"/>
  <c r="BX54" i="1" s="1"/>
  <c r="BU54" i="1"/>
  <c r="BN54" i="1"/>
  <c r="BO54" i="1" s="1"/>
  <c r="BM54" i="1"/>
  <c r="BD54" i="1"/>
  <c r="BC54" i="1"/>
  <c r="BB54" i="1"/>
  <c r="BA54" i="1"/>
  <c r="AZ54" i="1"/>
  <c r="AY54" i="1"/>
  <c r="AX54" i="1"/>
  <c r="M54" i="1"/>
  <c r="EM842" i="1"/>
  <c r="DU842" i="1"/>
  <c r="DT842" i="1"/>
  <c r="DN842" i="1"/>
  <c r="DM842" i="1"/>
  <c r="DL842" i="1"/>
  <c r="DK842" i="1"/>
  <c r="DI842" i="1"/>
  <c r="DJ842" i="1" s="1"/>
  <c r="DC842" i="1"/>
  <c r="CX842" i="1"/>
  <c r="CN842" i="1"/>
  <c r="CR842" i="1" s="1"/>
  <c r="BV842" i="1"/>
  <c r="BX842" i="1" s="1"/>
  <c r="BU842" i="1"/>
  <c r="BN842" i="1"/>
  <c r="BO842" i="1" s="1"/>
  <c r="BM842" i="1"/>
  <c r="BD842" i="1"/>
  <c r="BC842" i="1"/>
  <c r="BB842" i="1"/>
  <c r="BA842" i="1"/>
  <c r="AZ842" i="1"/>
  <c r="BF842" i="1" s="1" a="1"/>
  <c r="BF842" i="1" s="1"/>
  <c r="AY842" i="1"/>
  <c r="AX842" i="1"/>
  <c r="M842" i="1"/>
  <c r="EM97" i="1"/>
  <c r="DU97" i="1"/>
  <c r="DT97" i="1"/>
  <c r="DN97" i="1"/>
  <c r="DM97" i="1"/>
  <c r="DL97" i="1"/>
  <c r="DK97" i="1"/>
  <c r="DI97" i="1"/>
  <c r="DJ97" i="1" s="1"/>
  <c r="DC97" i="1"/>
  <c r="CX97" i="1"/>
  <c r="CN97" i="1"/>
  <c r="BV97" i="1"/>
  <c r="BX97" i="1" s="1"/>
  <c r="BU97" i="1"/>
  <c r="BN97" i="1"/>
  <c r="BO97" i="1" s="1"/>
  <c r="BM97" i="1"/>
  <c r="BD97" i="1"/>
  <c r="BC97" i="1"/>
  <c r="BB97" i="1"/>
  <c r="BA97" i="1"/>
  <c r="AZ97" i="1"/>
  <c r="AY97" i="1"/>
  <c r="AX97" i="1"/>
  <c r="M97" i="1"/>
  <c r="EM846" i="1"/>
  <c r="DU846" i="1"/>
  <c r="DT846" i="1"/>
  <c r="DN846" i="1"/>
  <c r="DM846" i="1"/>
  <c r="DL846" i="1"/>
  <c r="DK846" i="1"/>
  <c r="DI846" i="1"/>
  <c r="DJ846" i="1" s="1"/>
  <c r="DC846" i="1"/>
  <c r="CX846" i="1"/>
  <c r="CN846" i="1"/>
  <c r="CS846" i="1" s="1"/>
  <c r="BV846" i="1"/>
  <c r="BX846" i="1" s="1"/>
  <c r="BU846" i="1"/>
  <c r="BN846" i="1"/>
  <c r="BO846" i="1" s="1"/>
  <c r="BM846" i="1"/>
  <c r="BD846" i="1"/>
  <c r="BC846" i="1"/>
  <c r="BB846" i="1"/>
  <c r="BA846" i="1"/>
  <c r="AZ846" i="1"/>
  <c r="AY846" i="1"/>
  <c r="AX846" i="1"/>
  <c r="M846" i="1"/>
  <c r="EM124" i="1"/>
  <c r="DU124" i="1"/>
  <c r="DT124" i="1"/>
  <c r="DN124" i="1"/>
  <c r="DM124" i="1"/>
  <c r="DL124" i="1"/>
  <c r="DK124" i="1"/>
  <c r="DI124" i="1"/>
  <c r="DJ124" i="1" s="1"/>
  <c r="DC124" i="1"/>
  <c r="CX124" i="1"/>
  <c r="CN124" i="1"/>
  <c r="CP124" i="1" s="1"/>
  <c r="BV124" i="1"/>
  <c r="BX124" i="1" s="1"/>
  <c r="BU124" i="1"/>
  <c r="BN124" i="1"/>
  <c r="BO124" i="1" s="1"/>
  <c r="BM124" i="1"/>
  <c r="BD124" i="1"/>
  <c r="BC124" i="1"/>
  <c r="BB124" i="1"/>
  <c r="BA124" i="1"/>
  <c r="AZ124" i="1"/>
  <c r="BF124" i="1" s="1" a="1"/>
  <c r="BF124" i="1" s="1"/>
  <c r="AY124" i="1"/>
  <c r="AX124" i="1"/>
  <c r="M124" i="1"/>
  <c r="EM522" i="1"/>
  <c r="DT522" i="1"/>
  <c r="DN522" i="1"/>
  <c r="DM522" i="1"/>
  <c r="DL522" i="1"/>
  <c r="DK522" i="1"/>
  <c r="DJ522" i="1"/>
  <c r="DC522" i="1"/>
  <c r="CX522" i="1"/>
  <c r="CN522" i="1"/>
  <c r="CP522" i="1" s="1"/>
  <c r="BX522" i="1"/>
  <c r="BN522" i="1"/>
  <c r="BO522" i="1" s="1"/>
  <c r="BD522" i="1"/>
  <c r="BC522" i="1"/>
  <c r="BB522" i="1"/>
  <c r="BA522" i="1"/>
  <c r="AZ522" i="1"/>
  <c r="AY522" i="1"/>
  <c r="BE522" i="1" s="1" a="1"/>
  <c r="BE522" i="1" s="1"/>
  <c r="AX522" i="1"/>
  <c r="M522" i="1"/>
  <c r="EM521" i="1"/>
  <c r="DT521" i="1"/>
  <c r="DN521" i="1"/>
  <c r="DM521" i="1"/>
  <c r="DL521" i="1"/>
  <c r="DK521" i="1"/>
  <c r="DJ521" i="1"/>
  <c r="DC521" i="1"/>
  <c r="CX521" i="1"/>
  <c r="CN521" i="1"/>
  <c r="CO521" i="1" s="1"/>
  <c r="BX521" i="1"/>
  <c r="BN521" i="1"/>
  <c r="BO521" i="1" s="1"/>
  <c r="BD521" i="1"/>
  <c r="BC521" i="1"/>
  <c r="BB521" i="1"/>
  <c r="BA521" i="1"/>
  <c r="AZ521" i="1"/>
  <c r="BF521" i="1" s="1" a="1"/>
  <c r="BF521" i="1" s="1"/>
  <c r="AY521" i="1"/>
  <c r="BE521" i="1" s="1" a="1"/>
  <c r="BE521" i="1" s="1"/>
  <c r="AX521" i="1"/>
  <c r="M521" i="1"/>
  <c r="EM525" i="1"/>
  <c r="DT525" i="1"/>
  <c r="DN525" i="1"/>
  <c r="DM525" i="1"/>
  <c r="DL525" i="1"/>
  <c r="DK525" i="1"/>
  <c r="DJ525" i="1"/>
  <c r="DC525" i="1"/>
  <c r="CX525" i="1"/>
  <c r="CN525" i="1"/>
  <c r="CR525" i="1" s="1"/>
  <c r="BX525" i="1"/>
  <c r="BN525" i="1"/>
  <c r="BO525" i="1" s="1"/>
  <c r="BD525" i="1"/>
  <c r="BC525" i="1"/>
  <c r="BB525" i="1"/>
  <c r="BA525" i="1"/>
  <c r="AZ525" i="1"/>
  <c r="AY525" i="1"/>
  <c r="BE525" i="1" s="1" a="1"/>
  <c r="BE525" i="1" s="1"/>
  <c r="AX525" i="1"/>
  <c r="M525" i="1"/>
  <c r="EM516" i="1"/>
  <c r="DT516" i="1"/>
  <c r="DN516" i="1"/>
  <c r="DM516" i="1"/>
  <c r="DL516" i="1"/>
  <c r="DK516" i="1"/>
  <c r="DJ516" i="1"/>
  <c r="DC516" i="1"/>
  <c r="CX516" i="1"/>
  <c r="CN516" i="1"/>
  <c r="CO516" i="1" s="1"/>
  <c r="BX516" i="1"/>
  <c r="BN516" i="1"/>
  <c r="BO516" i="1" s="1"/>
  <c r="BD516" i="1"/>
  <c r="BC516" i="1"/>
  <c r="BB516" i="1"/>
  <c r="BA516" i="1"/>
  <c r="AZ516" i="1"/>
  <c r="BF516" i="1" s="1" a="1"/>
  <c r="BF516" i="1" s="1"/>
  <c r="AY516" i="1"/>
  <c r="BE516" i="1" s="1" a="1"/>
  <c r="BE516" i="1" s="1"/>
  <c r="AX516" i="1"/>
  <c r="M516" i="1"/>
  <c r="EM517" i="1"/>
  <c r="DT517" i="1"/>
  <c r="DN517" i="1"/>
  <c r="DM517" i="1"/>
  <c r="DL517" i="1"/>
  <c r="DK517" i="1"/>
  <c r="DJ517" i="1"/>
  <c r="DC517" i="1"/>
  <c r="CX517" i="1"/>
  <c r="CN517" i="1"/>
  <c r="BV517" i="1"/>
  <c r="BX517" i="1" s="1"/>
  <c r="BN517" i="1"/>
  <c r="BO517" i="1" s="1"/>
  <c r="BD517" i="1"/>
  <c r="BC517" i="1"/>
  <c r="BB517" i="1"/>
  <c r="BA517" i="1"/>
  <c r="AZ517" i="1"/>
  <c r="AY517" i="1"/>
  <c r="BE517" i="1" s="1" a="1"/>
  <c r="BE517" i="1" s="1"/>
  <c r="AX517" i="1"/>
  <c r="M517" i="1"/>
  <c r="EM519" i="1"/>
  <c r="DT519" i="1"/>
  <c r="DN519" i="1"/>
  <c r="DM519" i="1"/>
  <c r="DL519" i="1"/>
  <c r="DK519" i="1"/>
  <c r="DJ519" i="1"/>
  <c r="DC519" i="1"/>
  <c r="CX519" i="1"/>
  <c r="CN519" i="1"/>
  <c r="CR519" i="1" s="1"/>
  <c r="BX519" i="1"/>
  <c r="BN519" i="1"/>
  <c r="BO519" i="1" s="1"/>
  <c r="BD519" i="1"/>
  <c r="BC519" i="1"/>
  <c r="BB519" i="1"/>
  <c r="BA519" i="1"/>
  <c r="AZ519" i="1"/>
  <c r="BF519" i="1" s="1" a="1"/>
  <c r="BF519" i="1" s="1"/>
  <c r="AY519" i="1"/>
  <c r="BE519" i="1" s="1" a="1"/>
  <c r="BE519" i="1" s="1"/>
  <c r="AX519" i="1"/>
  <c r="M519" i="1"/>
  <c r="EM835" i="1"/>
  <c r="DU835" i="1"/>
  <c r="DT835" i="1"/>
  <c r="DN835" i="1"/>
  <c r="DM835" i="1"/>
  <c r="DL835" i="1"/>
  <c r="DK835" i="1"/>
  <c r="DI835" i="1"/>
  <c r="DJ835" i="1" s="1"/>
  <c r="DC835" i="1"/>
  <c r="CX835" i="1"/>
  <c r="CN835" i="1"/>
  <c r="CR835" i="1" s="1"/>
  <c r="BV835" i="1"/>
  <c r="BX835" i="1" s="1"/>
  <c r="BU835" i="1"/>
  <c r="BN835" i="1"/>
  <c r="BO835" i="1" s="1"/>
  <c r="BD835" i="1"/>
  <c r="BC835" i="1"/>
  <c r="BB835" i="1"/>
  <c r="BA835" i="1"/>
  <c r="AZ835" i="1"/>
  <c r="AY835" i="1"/>
  <c r="BE835" i="1" s="1" a="1"/>
  <c r="BE835" i="1" s="1"/>
  <c r="AX835" i="1"/>
  <c r="M835" i="1"/>
  <c r="EM828" i="1"/>
  <c r="DU828" i="1"/>
  <c r="DT828" i="1"/>
  <c r="DN828" i="1"/>
  <c r="DM828" i="1"/>
  <c r="DL828" i="1"/>
  <c r="DK828" i="1"/>
  <c r="DI828" i="1"/>
  <c r="DJ828" i="1" s="1"/>
  <c r="DC828" i="1"/>
  <c r="CX828" i="1"/>
  <c r="CN828" i="1"/>
  <c r="CR828" i="1" s="1"/>
  <c r="BV828" i="1"/>
  <c r="BX828" i="1" s="1"/>
  <c r="BU828" i="1"/>
  <c r="BN828" i="1"/>
  <c r="BO828" i="1" s="1"/>
  <c r="BD828" i="1"/>
  <c r="BC828" i="1"/>
  <c r="BB828" i="1"/>
  <c r="BA828" i="1"/>
  <c r="AZ828" i="1"/>
  <c r="AY828" i="1"/>
  <c r="BE828" i="1" s="1" a="1"/>
  <c r="BE828" i="1" s="1"/>
  <c r="AX828" i="1"/>
  <c r="M828" i="1"/>
  <c r="EM804" i="1"/>
  <c r="DU804" i="1"/>
  <c r="DT804" i="1"/>
  <c r="DN804" i="1"/>
  <c r="DM804" i="1"/>
  <c r="DL804" i="1"/>
  <c r="DK804" i="1"/>
  <c r="DI804" i="1"/>
  <c r="DJ804" i="1" s="1"/>
  <c r="DC804" i="1"/>
  <c r="CX804" i="1"/>
  <c r="CN804" i="1"/>
  <c r="CS804" i="1" s="1"/>
  <c r="BV804" i="1"/>
  <c r="BX804" i="1" s="1"/>
  <c r="BU804" i="1"/>
  <c r="BN804" i="1"/>
  <c r="BO804" i="1" s="1"/>
  <c r="BD804" i="1"/>
  <c r="BC804" i="1"/>
  <c r="BB804" i="1"/>
  <c r="BA804" i="1"/>
  <c r="AZ804" i="1"/>
  <c r="AY804" i="1"/>
  <c r="BE804" i="1" s="1" a="1"/>
  <c r="BE804" i="1" s="1"/>
  <c r="AX804" i="1"/>
  <c r="M804" i="1"/>
  <c r="EM731" i="1"/>
  <c r="DU731" i="1"/>
  <c r="DT731" i="1"/>
  <c r="DN731" i="1"/>
  <c r="DM731" i="1"/>
  <c r="DL731" i="1"/>
  <c r="DK731" i="1"/>
  <c r="DI731" i="1"/>
  <c r="DJ731" i="1" s="1"/>
  <c r="DC731" i="1"/>
  <c r="CX731" i="1"/>
  <c r="CN731" i="1"/>
  <c r="BV731" i="1"/>
  <c r="BX731" i="1" s="1"/>
  <c r="BU731" i="1"/>
  <c r="BN731" i="1"/>
  <c r="BO731" i="1" s="1"/>
  <c r="BD731" i="1"/>
  <c r="BC731" i="1"/>
  <c r="BB731" i="1"/>
  <c r="BA731" i="1"/>
  <c r="AZ731" i="1"/>
  <c r="BF731" i="1" s="1" a="1"/>
  <c r="BF731" i="1" s="1"/>
  <c r="AY731" i="1"/>
  <c r="BE731" i="1" s="1" a="1"/>
  <c r="BE731" i="1" s="1"/>
  <c r="AX731" i="1"/>
  <c r="M731" i="1"/>
  <c r="EM619" i="1"/>
  <c r="DU619" i="1"/>
  <c r="DT619" i="1"/>
  <c r="DN619" i="1"/>
  <c r="DM619" i="1"/>
  <c r="DL619" i="1"/>
  <c r="DK619" i="1"/>
  <c r="DI619" i="1"/>
  <c r="DJ619" i="1" s="1"/>
  <c r="DC619" i="1"/>
  <c r="CX619" i="1"/>
  <c r="CN619" i="1"/>
  <c r="BV619" i="1"/>
  <c r="BX619" i="1" s="1"/>
  <c r="BU619" i="1"/>
  <c r="BN619" i="1"/>
  <c r="BO619" i="1" s="1"/>
  <c r="BD619" i="1"/>
  <c r="BC619" i="1"/>
  <c r="BB619" i="1"/>
  <c r="BA619" i="1"/>
  <c r="AZ619" i="1"/>
  <c r="AY619" i="1"/>
  <c r="BE619" i="1" s="1" a="1"/>
  <c r="BE619" i="1" s="1"/>
  <c r="AX619" i="1"/>
  <c r="M619" i="1"/>
  <c r="EM558" i="1"/>
  <c r="DU558" i="1"/>
  <c r="DT558" i="1"/>
  <c r="DN558" i="1"/>
  <c r="DM558" i="1"/>
  <c r="DL558" i="1"/>
  <c r="DK558" i="1"/>
  <c r="DI558" i="1"/>
  <c r="DJ558" i="1" s="1"/>
  <c r="DC558" i="1"/>
  <c r="CX558" i="1"/>
  <c r="CN558" i="1"/>
  <c r="CS558" i="1" s="1"/>
  <c r="BV558" i="1"/>
  <c r="BX558" i="1" s="1"/>
  <c r="BU558" i="1"/>
  <c r="BN558" i="1"/>
  <c r="BO558" i="1" s="1"/>
  <c r="BD558" i="1"/>
  <c r="BC558" i="1"/>
  <c r="BB558" i="1"/>
  <c r="BA558" i="1"/>
  <c r="AZ558" i="1"/>
  <c r="AY558" i="1"/>
  <c r="BE558" i="1" s="1" a="1"/>
  <c r="BE558" i="1" s="1"/>
  <c r="AX558" i="1"/>
  <c r="M558" i="1"/>
  <c r="EM1116" i="1"/>
  <c r="DU1116" i="1"/>
  <c r="DT1116" i="1"/>
  <c r="DN1116" i="1"/>
  <c r="DM1116" i="1"/>
  <c r="DL1116" i="1"/>
  <c r="DK1116" i="1"/>
  <c r="DI1116" i="1"/>
  <c r="DJ1116" i="1" s="1"/>
  <c r="DC1116" i="1"/>
  <c r="CX1116" i="1"/>
  <c r="CN1116" i="1"/>
  <c r="CO1116" i="1" s="1"/>
  <c r="BV1116" i="1"/>
  <c r="BX1116" i="1" s="1"/>
  <c r="BU1116" i="1"/>
  <c r="BN1116" i="1"/>
  <c r="BO1116" i="1" s="1"/>
  <c r="BD1116" i="1"/>
  <c r="BC1116" i="1"/>
  <c r="BB1116" i="1"/>
  <c r="BA1116" i="1"/>
  <c r="AZ1116" i="1"/>
  <c r="AY1116" i="1"/>
  <c r="BE1116" i="1" s="1" a="1"/>
  <c r="BE1116" i="1" s="1"/>
  <c r="AX1116" i="1"/>
  <c r="M1116" i="1"/>
  <c r="EM1114" i="1"/>
  <c r="DU1114" i="1"/>
  <c r="DT1114" i="1"/>
  <c r="DN1114" i="1"/>
  <c r="DM1114" i="1"/>
  <c r="DL1114" i="1"/>
  <c r="DK1114" i="1"/>
  <c r="DI1114" i="1"/>
  <c r="DJ1114" i="1" s="1"/>
  <c r="DC1114" i="1"/>
  <c r="CX1114" i="1"/>
  <c r="CN1114" i="1"/>
  <c r="CP1114" i="1" s="1"/>
  <c r="BV1114" i="1"/>
  <c r="BX1114" i="1" s="1"/>
  <c r="BU1114" i="1"/>
  <c r="BN1114" i="1"/>
  <c r="BO1114" i="1" s="1"/>
  <c r="BD1114" i="1"/>
  <c r="BC1114" i="1"/>
  <c r="BB1114" i="1"/>
  <c r="BA1114" i="1"/>
  <c r="AZ1114" i="1"/>
  <c r="BF1114" i="1" s="1" a="1"/>
  <c r="BF1114" i="1" s="1"/>
  <c r="AY1114" i="1"/>
  <c r="BE1114" i="1" s="1" a="1"/>
  <c r="BE1114" i="1" s="1"/>
  <c r="AX1114" i="1"/>
  <c r="M1114" i="1"/>
  <c r="EM1115" i="1"/>
  <c r="DU1115" i="1"/>
  <c r="DT1115" i="1"/>
  <c r="DN1115" i="1"/>
  <c r="DM1115" i="1"/>
  <c r="DL1115" i="1"/>
  <c r="DK1115" i="1"/>
  <c r="DI1115" i="1"/>
  <c r="DJ1115" i="1" s="1"/>
  <c r="DC1115" i="1"/>
  <c r="CX1115" i="1"/>
  <c r="CN1115" i="1"/>
  <c r="CR1115" i="1" s="1"/>
  <c r="BV1115" i="1"/>
  <c r="BX1115" i="1" s="1"/>
  <c r="BU1115" i="1"/>
  <c r="BN1115" i="1"/>
  <c r="BO1115" i="1" s="1"/>
  <c r="BD1115" i="1"/>
  <c r="BC1115" i="1"/>
  <c r="BB1115" i="1"/>
  <c r="BA1115" i="1"/>
  <c r="AZ1115" i="1"/>
  <c r="AY1115" i="1"/>
  <c r="BE1115" i="1" s="1" a="1"/>
  <c r="BE1115" i="1" s="1"/>
  <c r="AX1115" i="1"/>
  <c r="M1115" i="1"/>
  <c r="EM1119" i="1"/>
  <c r="DU1119" i="1"/>
  <c r="DT1119" i="1"/>
  <c r="DN1119" i="1"/>
  <c r="DM1119" i="1"/>
  <c r="DL1119" i="1"/>
  <c r="DK1119" i="1"/>
  <c r="DI1119" i="1"/>
  <c r="DJ1119" i="1" s="1"/>
  <c r="DC1119" i="1"/>
  <c r="CX1119" i="1"/>
  <c r="CN1119" i="1"/>
  <c r="BV1119" i="1"/>
  <c r="BX1119" i="1" s="1"/>
  <c r="BU1119" i="1"/>
  <c r="BN1119" i="1"/>
  <c r="BO1119" i="1" s="1"/>
  <c r="BD1119" i="1"/>
  <c r="BC1119" i="1"/>
  <c r="BB1119" i="1"/>
  <c r="BA1119" i="1"/>
  <c r="AZ1119" i="1"/>
  <c r="AY1119" i="1"/>
  <c r="BE1119" i="1" s="1" a="1"/>
  <c r="BE1119" i="1" s="1"/>
  <c r="AX1119" i="1"/>
  <c r="M1119" i="1"/>
  <c r="EM1118" i="1"/>
  <c r="DU1118" i="1"/>
  <c r="DT1118" i="1"/>
  <c r="DN1118" i="1"/>
  <c r="DM1118" i="1"/>
  <c r="DL1118" i="1"/>
  <c r="DK1118" i="1"/>
  <c r="DI1118" i="1"/>
  <c r="DJ1118" i="1" s="1"/>
  <c r="DC1118" i="1"/>
  <c r="CX1118" i="1"/>
  <c r="CN1118" i="1"/>
  <c r="CO1118" i="1" s="1"/>
  <c r="BV1118" i="1"/>
  <c r="BX1118" i="1" s="1"/>
  <c r="BU1118" i="1"/>
  <c r="BN1118" i="1"/>
  <c r="BO1118" i="1" s="1"/>
  <c r="BD1118" i="1"/>
  <c r="BC1118" i="1"/>
  <c r="BB1118" i="1"/>
  <c r="BA1118" i="1"/>
  <c r="AZ1118" i="1"/>
  <c r="AY1118" i="1"/>
  <c r="BE1118" i="1" s="1" a="1"/>
  <c r="BE1118" i="1" s="1"/>
  <c r="AX1118" i="1"/>
  <c r="M1118" i="1"/>
  <c r="EM1117" i="1"/>
  <c r="DU1117" i="1"/>
  <c r="DT1117" i="1"/>
  <c r="DN1117" i="1"/>
  <c r="DM1117" i="1"/>
  <c r="DL1117" i="1"/>
  <c r="DK1117" i="1"/>
  <c r="DI1117" i="1"/>
  <c r="DJ1117" i="1" s="1"/>
  <c r="DC1117" i="1"/>
  <c r="CX1117" i="1"/>
  <c r="CN1117" i="1"/>
  <c r="BV1117" i="1"/>
  <c r="BX1117" i="1" s="1"/>
  <c r="BU1117" i="1"/>
  <c r="BN1117" i="1"/>
  <c r="BO1117" i="1" s="1"/>
  <c r="BD1117" i="1"/>
  <c r="BC1117" i="1"/>
  <c r="BB1117" i="1"/>
  <c r="BA1117" i="1"/>
  <c r="AZ1117" i="1"/>
  <c r="BF1117" i="1" s="1" a="1"/>
  <c r="BF1117" i="1" s="1"/>
  <c r="AY1117" i="1"/>
  <c r="BE1117" i="1" s="1" a="1"/>
  <c r="BE1117" i="1" s="1"/>
  <c r="AX1117" i="1"/>
  <c r="M1117" i="1"/>
  <c r="EM975" i="1"/>
  <c r="DU975" i="1"/>
  <c r="DT975" i="1"/>
  <c r="DN975" i="1"/>
  <c r="DM975" i="1"/>
  <c r="DL975" i="1"/>
  <c r="DK975" i="1"/>
  <c r="DI975" i="1"/>
  <c r="DJ975" i="1" s="1"/>
  <c r="DC975" i="1"/>
  <c r="CX975" i="1"/>
  <c r="CN975" i="1"/>
  <c r="CR975" i="1" s="1"/>
  <c r="BY975" i="1"/>
  <c r="EP975" i="1" s="1"/>
  <c r="BX975" i="1"/>
  <c r="BO975" i="1"/>
  <c r="BN975" i="1"/>
  <c r="BD975" i="1"/>
  <c r="BC975" i="1"/>
  <c r="BB975" i="1"/>
  <c r="BA975" i="1"/>
  <c r="AZ975" i="1"/>
  <c r="BF975" i="1" s="1" a="1"/>
  <c r="BF975" i="1" s="1"/>
  <c r="AY975" i="1"/>
  <c r="BE975" i="1" s="1" a="1"/>
  <c r="BE975" i="1" s="1"/>
  <c r="AX975" i="1"/>
  <c r="M975" i="1"/>
  <c r="EM919" i="1"/>
  <c r="DU919" i="1"/>
  <c r="DT919" i="1"/>
  <c r="DN919" i="1"/>
  <c r="DM919" i="1"/>
  <c r="DL919" i="1"/>
  <c r="DK919" i="1"/>
  <c r="DI919" i="1"/>
  <c r="DJ919" i="1" s="1"/>
  <c r="DC919" i="1"/>
  <c r="CX919" i="1"/>
  <c r="CN919" i="1"/>
  <c r="BX919" i="1"/>
  <c r="BO919" i="1"/>
  <c r="BN919" i="1"/>
  <c r="BD919" i="1"/>
  <c r="BC919" i="1"/>
  <c r="BB919" i="1"/>
  <c r="BA919" i="1"/>
  <c r="AZ919" i="1"/>
  <c r="AY919" i="1"/>
  <c r="BE919" i="1" s="1" a="1"/>
  <c r="BE919" i="1" s="1"/>
  <c r="AX919" i="1"/>
  <c r="M919" i="1"/>
  <c r="EM909" i="1"/>
  <c r="DU909" i="1"/>
  <c r="DT909" i="1"/>
  <c r="DN909" i="1"/>
  <c r="DM909" i="1"/>
  <c r="DL909" i="1"/>
  <c r="DK909" i="1"/>
  <c r="DI909" i="1"/>
  <c r="DJ909" i="1" s="1"/>
  <c r="DC909" i="1"/>
  <c r="CX909" i="1"/>
  <c r="CN909" i="1"/>
  <c r="CR909" i="1" s="1"/>
  <c r="BX909" i="1"/>
  <c r="BO909" i="1"/>
  <c r="BN909" i="1"/>
  <c r="BD909" i="1"/>
  <c r="BC909" i="1"/>
  <c r="BB909" i="1"/>
  <c r="BA909" i="1"/>
  <c r="AZ909" i="1"/>
  <c r="BF909" i="1" s="1" a="1"/>
  <c r="BF909" i="1" s="1"/>
  <c r="AY909" i="1"/>
  <c r="BE909" i="1" s="1" a="1"/>
  <c r="BE909" i="1" s="1"/>
  <c r="AX909" i="1"/>
  <c r="M909" i="1"/>
  <c r="EM887" i="1"/>
  <c r="DU887" i="1"/>
  <c r="DT887" i="1"/>
  <c r="DN887" i="1"/>
  <c r="DM887" i="1"/>
  <c r="DL887" i="1"/>
  <c r="DK887" i="1"/>
  <c r="DI887" i="1"/>
  <c r="DJ887" i="1" s="1"/>
  <c r="DC887" i="1"/>
  <c r="CX887" i="1"/>
  <c r="CN887" i="1"/>
  <c r="BX887" i="1"/>
  <c r="BO887" i="1"/>
  <c r="BN887" i="1"/>
  <c r="BD887" i="1"/>
  <c r="BC887" i="1"/>
  <c r="BB887" i="1"/>
  <c r="BA887" i="1"/>
  <c r="AZ887" i="1"/>
  <c r="AY887" i="1"/>
  <c r="BE887" i="1" s="1" a="1"/>
  <c r="BE887" i="1" s="1"/>
  <c r="AX887" i="1"/>
  <c r="M887" i="1"/>
  <c r="EM878" i="1"/>
  <c r="DU878" i="1"/>
  <c r="DT878" i="1"/>
  <c r="DN878" i="1"/>
  <c r="DM878" i="1"/>
  <c r="DL878" i="1"/>
  <c r="DK878" i="1"/>
  <c r="DI878" i="1"/>
  <c r="DJ878" i="1" s="1"/>
  <c r="DC878" i="1"/>
  <c r="CX878" i="1"/>
  <c r="CN878" i="1"/>
  <c r="CP878" i="1" s="1"/>
  <c r="BX878" i="1"/>
  <c r="BO878" i="1"/>
  <c r="BN878" i="1"/>
  <c r="BD878" i="1"/>
  <c r="BC878" i="1"/>
  <c r="BB878" i="1"/>
  <c r="BA878" i="1"/>
  <c r="AZ878" i="1"/>
  <c r="BF878" i="1" s="1" a="1"/>
  <c r="BF878" i="1" s="1"/>
  <c r="AY878" i="1"/>
  <c r="BE878" i="1" s="1" a="1"/>
  <c r="BE878" i="1" s="1"/>
  <c r="AX878" i="1"/>
  <c r="M878" i="1"/>
  <c r="EM877" i="1"/>
  <c r="DU877" i="1"/>
  <c r="DT877" i="1"/>
  <c r="DN877" i="1"/>
  <c r="DM877" i="1"/>
  <c r="DL877" i="1"/>
  <c r="DK877" i="1"/>
  <c r="DI877" i="1"/>
  <c r="DJ877" i="1" s="1"/>
  <c r="DC877" i="1"/>
  <c r="CX877" i="1"/>
  <c r="CN877" i="1"/>
  <c r="CP877" i="1" s="1"/>
  <c r="BX877" i="1"/>
  <c r="BO877" i="1"/>
  <c r="BN877" i="1"/>
  <c r="BD877" i="1"/>
  <c r="BC877" i="1"/>
  <c r="BB877" i="1"/>
  <c r="BA877" i="1"/>
  <c r="AZ877" i="1"/>
  <c r="AY877" i="1"/>
  <c r="BE877" i="1" s="1" a="1"/>
  <c r="BE877" i="1" s="1"/>
  <c r="AX877" i="1"/>
  <c r="M877" i="1"/>
  <c r="EM866" i="1"/>
  <c r="DU866" i="1"/>
  <c r="DT866" i="1"/>
  <c r="DN866" i="1"/>
  <c r="DM866" i="1"/>
  <c r="DL866" i="1"/>
  <c r="DK866" i="1"/>
  <c r="DI866" i="1"/>
  <c r="DJ866" i="1" s="1"/>
  <c r="DC866" i="1"/>
  <c r="CX866" i="1"/>
  <c r="CN866" i="1"/>
  <c r="BX866" i="1"/>
  <c r="BO866" i="1"/>
  <c r="BN866" i="1"/>
  <c r="BD866" i="1"/>
  <c r="BC866" i="1"/>
  <c r="BB866" i="1"/>
  <c r="BA866" i="1"/>
  <c r="AZ866" i="1"/>
  <c r="BF866" i="1" s="1" a="1"/>
  <c r="BF866" i="1" s="1"/>
  <c r="AY866" i="1"/>
  <c r="BE866" i="1" s="1" a="1"/>
  <c r="BE866" i="1" s="1"/>
  <c r="AX866" i="1"/>
  <c r="M866" i="1"/>
  <c r="EM837" i="1"/>
  <c r="DU837" i="1"/>
  <c r="DT837" i="1"/>
  <c r="DN837" i="1"/>
  <c r="DM837" i="1"/>
  <c r="DL837" i="1"/>
  <c r="DK837" i="1"/>
  <c r="DI837" i="1"/>
  <c r="DJ837" i="1" s="1"/>
  <c r="DC837" i="1"/>
  <c r="CX837" i="1"/>
  <c r="CN837" i="1"/>
  <c r="CR837" i="1" s="1"/>
  <c r="BX837" i="1"/>
  <c r="BO837" i="1"/>
  <c r="BN837" i="1"/>
  <c r="BD837" i="1"/>
  <c r="BC837" i="1"/>
  <c r="BB837" i="1"/>
  <c r="BA837" i="1"/>
  <c r="AZ837" i="1"/>
  <c r="AY837" i="1"/>
  <c r="BE837" i="1" s="1" a="1"/>
  <c r="BE837" i="1" s="1"/>
  <c r="AX837" i="1"/>
  <c r="M837" i="1"/>
  <c r="EM795" i="1"/>
  <c r="DU795" i="1"/>
  <c r="DT795" i="1"/>
  <c r="DN795" i="1"/>
  <c r="DM795" i="1"/>
  <c r="DL795" i="1"/>
  <c r="DK795" i="1"/>
  <c r="DI795" i="1"/>
  <c r="DJ795" i="1" s="1"/>
  <c r="DC795" i="1"/>
  <c r="CX795" i="1"/>
  <c r="CN795" i="1"/>
  <c r="BX795" i="1"/>
  <c r="BO795" i="1"/>
  <c r="BN795" i="1"/>
  <c r="BD795" i="1"/>
  <c r="BC795" i="1"/>
  <c r="BB795" i="1"/>
  <c r="BA795" i="1"/>
  <c r="AZ795" i="1"/>
  <c r="BF795" i="1" s="1" a="1"/>
  <c r="BF795" i="1" s="1"/>
  <c r="AY795" i="1"/>
  <c r="BE795" i="1" s="1" a="1"/>
  <c r="BE795" i="1" s="1"/>
  <c r="AX795" i="1"/>
  <c r="M795" i="1"/>
  <c r="EM758" i="1"/>
  <c r="DU758" i="1"/>
  <c r="DT758" i="1"/>
  <c r="DN758" i="1"/>
  <c r="DM758" i="1"/>
  <c r="DL758" i="1"/>
  <c r="DK758" i="1"/>
  <c r="DI758" i="1"/>
  <c r="DJ758" i="1" s="1"/>
  <c r="DC758" i="1"/>
  <c r="CX758" i="1"/>
  <c r="CN758" i="1"/>
  <c r="CP758" i="1" s="1"/>
  <c r="BX758" i="1"/>
  <c r="BO758" i="1"/>
  <c r="BN758" i="1"/>
  <c r="BD758" i="1"/>
  <c r="BC758" i="1"/>
  <c r="BB758" i="1"/>
  <c r="BA758" i="1"/>
  <c r="AZ758" i="1"/>
  <c r="AY758" i="1"/>
  <c r="BE758" i="1" s="1" a="1"/>
  <c r="BE758" i="1" s="1"/>
  <c r="AX758" i="1"/>
  <c r="M758" i="1"/>
  <c r="EM740" i="1"/>
  <c r="DU740" i="1"/>
  <c r="DT740" i="1"/>
  <c r="DN740" i="1"/>
  <c r="DM740" i="1"/>
  <c r="DL740" i="1"/>
  <c r="DK740" i="1"/>
  <c r="DI740" i="1"/>
  <c r="DJ740" i="1" s="1"/>
  <c r="DC740" i="1"/>
  <c r="CX740" i="1"/>
  <c r="CN740" i="1"/>
  <c r="CS740" i="1" s="1"/>
  <c r="BX740" i="1"/>
  <c r="BO740" i="1"/>
  <c r="BN740" i="1"/>
  <c r="BD740" i="1"/>
  <c r="BC740" i="1"/>
  <c r="BB740" i="1"/>
  <c r="BA740" i="1"/>
  <c r="AZ740" i="1"/>
  <c r="BF740" i="1" s="1" a="1"/>
  <c r="BF740" i="1" s="1"/>
  <c r="AY740" i="1"/>
  <c r="BE740" i="1" s="1" a="1"/>
  <c r="BE740" i="1" s="1"/>
  <c r="AX740" i="1"/>
  <c r="M740" i="1"/>
  <c r="EM705" i="1"/>
  <c r="DU705" i="1"/>
  <c r="DT705" i="1"/>
  <c r="DN705" i="1"/>
  <c r="DM705" i="1"/>
  <c r="DL705" i="1"/>
  <c r="DK705" i="1"/>
  <c r="DI705" i="1"/>
  <c r="DJ705" i="1" s="1"/>
  <c r="DC705" i="1"/>
  <c r="CX705" i="1"/>
  <c r="CN705" i="1"/>
  <c r="CP705" i="1" s="1"/>
  <c r="BX705" i="1"/>
  <c r="BO705" i="1"/>
  <c r="BN705" i="1"/>
  <c r="BM705" i="1"/>
  <c r="BD705" i="1"/>
  <c r="BC705" i="1"/>
  <c r="BB705" i="1"/>
  <c r="BA705" i="1"/>
  <c r="AZ705" i="1"/>
  <c r="AY705" i="1"/>
  <c r="BE705" i="1" s="1" a="1"/>
  <c r="BE705" i="1" s="1"/>
  <c r="AX705" i="1"/>
  <c r="M705" i="1"/>
  <c r="EM695" i="1"/>
  <c r="DU695" i="1"/>
  <c r="DT695" i="1"/>
  <c r="DN695" i="1"/>
  <c r="DM695" i="1"/>
  <c r="DL695" i="1"/>
  <c r="DK695" i="1"/>
  <c r="DI695" i="1"/>
  <c r="DJ695" i="1" s="1"/>
  <c r="DC695" i="1"/>
  <c r="CX695" i="1"/>
  <c r="CN695" i="1"/>
  <c r="BX695" i="1"/>
  <c r="BO695" i="1"/>
  <c r="BN695" i="1"/>
  <c r="BD695" i="1"/>
  <c r="BC695" i="1"/>
  <c r="BB695" i="1"/>
  <c r="BA695" i="1"/>
  <c r="AZ695" i="1"/>
  <c r="BF695" i="1" s="1" a="1"/>
  <c r="BF695" i="1" s="1"/>
  <c r="AY695" i="1"/>
  <c r="BE695" i="1" s="1" a="1"/>
  <c r="BE695" i="1" s="1"/>
  <c r="AX695" i="1"/>
  <c r="M695" i="1"/>
  <c r="EM693" i="1"/>
  <c r="DU693" i="1"/>
  <c r="DT693" i="1"/>
  <c r="DN693" i="1"/>
  <c r="DM693" i="1"/>
  <c r="DL693" i="1"/>
  <c r="DK693" i="1"/>
  <c r="DI693" i="1"/>
  <c r="DJ693" i="1" s="1"/>
  <c r="DC693" i="1"/>
  <c r="CX693" i="1"/>
  <c r="CN693" i="1"/>
  <c r="CP693" i="1" s="1"/>
  <c r="BX693" i="1"/>
  <c r="BO693" i="1"/>
  <c r="BN693" i="1"/>
  <c r="BD693" i="1"/>
  <c r="BC693" i="1"/>
  <c r="BB693" i="1"/>
  <c r="BA693" i="1"/>
  <c r="AZ693" i="1"/>
  <c r="AY693" i="1"/>
  <c r="BE693" i="1" s="1" a="1"/>
  <c r="BE693" i="1" s="1"/>
  <c r="AX693" i="1"/>
  <c r="M693" i="1"/>
  <c r="EM682" i="1"/>
  <c r="DU682" i="1"/>
  <c r="DT682" i="1"/>
  <c r="DN682" i="1"/>
  <c r="DM682" i="1"/>
  <c r="DL682" i="1"/>
  <c r="DK682" i="1"/>
  <c r="DI682" i="1"/>
  <c r="DJ682" i="1" s="1"/>
  <c r="DC682" i="1"/>
  <c r="CX682" i="1"/>
  <c r="CN682" i="1"/>
  <c r="CP682" i="1" s="1"/>
  <c r="BX682" i="1"/>
  <c r="BO682" i="1"/>
  <c r="BN682" i="1"/>
  <c r="BD682" i="1"/>
  <c r="BC682" i="1"/>
  <c r="BB682" i="1"/>
  <c r="BA682" i="1"/>
  <c r="AZ682" i="1"/>
  <c r="AY682" i="1"/>
  <c r="BE682" i="1" s="1" a="1"/>
  <c r="BE682" i="1" s="1"/>
  <c r="AX682" i="1"/>
  <c r="M682" i="1"/>
  <c r="EM663" i="1"/>
  <c r="DU663" i="1"/>
  <c r="DT663" i="1"/>
  <c r="DN663" i="1"/>
  <c r="DM663" i="1"/>
  <c r="DL663" i="1"/>
  <c r="DK663" i="1"/>
  <c r="DI663" i="1"/>
  <c r="DJ663" i="1" s="1"/>
  <c r="DC663" i="1"/>
  <c r="CX663" i="1"/>
  <c r="CN663" i="1"/>
  <c r="BX663" i="1"/>
  <c r="BO663" i="1"/>
  <c r="BN663" i="1"/>
  <c r="BD663" i="1"/>
  <c r="BC663" i="1"/>
  <c r="BB663" i="1"/>
  <c r="BA663" i="1"/>
  <c r="AZ663" i="1"/>
  <c r="AY663" i="1"/>
  <c r="BE663" i="1" s="1" a="1"/>
  <c r="BE663" i="1" s="1"/>
  <c r="AX663" i="1"/>
  <c r="M663" i="1"/>
  <c r="EM617" i="1"/>
  <c r="DU617" i="1"/>
  <c r="DT617" i="1"/>
  <c r="DN617" i="1"/>
  <c r="DM617" i="1"/>
  <c r="DL617" i="1"/>
  <c r="DK617" i="1"/>
  <c r="DI617" i="1"/>
  <c r="DJ617" i="1" s="1"/>
  <c r="DC617" i="1"/>
  <c r="CX617" i="1"/>
  <c r="CN617" i="1"/>
  <c r="CR617" i="1" s="1"/>
  <c r="BX617" i="1"/>
  <c r="BO617" i="1"/>
  <c r="BN617" i="1"/>
  <c r="BD617" i="1"/>
  <c r="BC617" i="1"/>
  <c r="BB617" i="1"/>
  <c r="BA617" i="1"/>
  <c r="AZ617" i="1"/>
  <c r="BF617" i="1" s="1" a="1"/>
  <c r="BF617" i="1" s="1"/>
  <c r="AY617" i="1"/>
  <c r="BE617" i="1" s="1" a="1"/>
  <c r="BE617" i="1" s="1"/>
  <c r="AX617" i="1"/>
  <c r="M617" i="1"/>
  <c r="EM928" i="1"/>
  <c r="DU928" i="1"/>
  <c r="DT928" i="1"/>
  <c r="DN928" i="1"/>
  <c r="DM928" i="1"/>
  <c r="DL928" i="1"/>
  <c r="DK928" i="1"/>
  <c r="DI928" i="1"/>
  <c r="DJ928" i="1" s="1"/>
  <c r="DC928" i="1"/>
  <c r="CX928" i="1"/>
  <c r="CN928" i="1"/>
  <c r="CO928" i="1" s="1"/>
  <c r="BV928" i="1"/>
  <c r="BX928" i="1" s="1"/>
  <c r="BU928" i="1"/>
  <c r="BO928" i="1"/>
  <c r="BN928" i="1"/>
  <c r="BM928" i="1"/>
  <c r="BD928" i="1"/>
  <c r="BC928" i="1"/>
  <c r="BB928" i="1"/>
  <c r="BA928" i="1"/>
  <c r="AZ928" i="1"/>
  <c r="BF928" i="1" s="1" a="1"/>
  <c r="BF928" i="1" s="1"/>
  <c r="AY928" i="1"/>
  <c r="BE928" i="1" s="1" a="1"/>
  <c r="BE928" i="1" s="1"/>
  <c r="AX928" i="1"/>
  <c r="M928" i="1"/>
  <c r="EM925" i="1"/>
  <c r="DU925" i="1"/>
  <c r="DT925" i="1"/>
  <c r="DN925" i="1"/>
  <c r="DM925" i="1"/>
  <c r="DL925" i="1"/>
  <c r="DK925" i="1"/>
  <c r="DI925" i="1"/>
  <c r="DJ925" i="1" s="1"/>
  <c r="DC925" i="1"/>
  <c r="CX925" i="1"/>
  <c r="CN925" i="1"/>
  <c r="BX925" i="1"/>
  <c r="BO925" i="1"/>
  <c r="BN925" i="1"/>
  <c r="BD925" i="1"/>
  <c r="BC925" i="1"/>
  <c r="BB925" i="1"/>
  <c r="BA925" i="1"/>
  <c r="AZ925" i="1"/>
  <c r="AY925" i="1"/>
  <c r="BE925" i="1" s="1" a="1"/>
  <c r="BE925" i="1" s="1"/>
  <c r="AX925" i="1"/>
  <c r="M925" i="1"/>
  <c r="EM1079" i="1"/>
  <c r="DU1079" i="1"/>
  <c r="DT1079" i="1"/>
  <c r="DN1079" i="1"/>
  <c r="DM1079" i="1"/>
  <c r="DL1079" i="1"/>
  <c r="DK1079" i="1"/>
  <c r="DI1079" i="1"/>
  <c r="DJ1079" i="1" s="1"/>
  <c r="DB1079" i="1"/>
  <c r="DC1079" i="1" s="1"/>
  <c r="CX1079" i="1"/>
  <c r="CN1079" i="1"/>
  <c r="BV1079" i="1"/>
  <c r="BX1079" i="1" s="1"/>
  <c r="BU1079" i="1"/>
  <c r="BN1079" i="1"/>
  <c r="BO1079" i="1" s="1"/>
  <c r="BD1079" i="1"/>
  <c r="BC1079" i="1"/>
  <c r="BB1079" i="1"/>
  <c r="BA1079" i="1"/>
  <c r="AZ1079" i="1"/>
  <c r="AY1079" i="1"/>
  <c r="BE1079" i="1" s="1" a="1"/>
  <c r="BE1079" i="1" s="1"/>
  <c r="AX1079" i="1"/>
  <c r="M1079" i="1"/>
  <c r="EM1078" i="1"/>
  <c r="DU1078" i="1"/>
  <c r="DT1078" i="1"/>
  <c r="DN1078" i="1"/>
  <c r="DM1078" i="1"/>
  <c r="DL1078" i="1"/>
  <c r="DK1078" i="1"/>
  <c r="DI1078" i="1"/>
  <c r="DJ1078" i="1" s="1"/>
  <c r="DB1078" i="1"/>
  <c r="DC1078" i="1" s="1"/>
  <c r="CX1078" i="1"/>
  <c r="CN1078" i="1"/>
  <c r="CO1078" i="1" s="1"/>
  <c r="BV1078" i="1"/>
  <c r="BX1078" i="1" s="1"/>
  <c r="BU1078" i="1"/>
  <c r="BN1078" i="1"/>
  <c r="BO1078" i="1" s="1"/>
  <c r="BD1078" i="1"/>
  <c r="BC1078" i="1"/>
  <c r="BB1078" i="1"/>
  <c r="BA1078" i="1"/>
  <c r="AZ1078" i="1"/>
  <c r="AY1078" i="1"/>
  <c r="BE1078" i="1" s="1" a="1"/>
  <c r="BE1078" i="1" s="1"/>
  <c r="AX1078" i="1"/>
  <c r="M1078" i="1"/>
  <c r="EM590" i="1"/>
  <c r="DU590" i="1"/>
  <c r="DT590" i="1"/>
  <c r="DN590" i="1"/>
  <c r="DM590" i="1"/>
  <c r="DL590" i="1"/>
  <c r="DK590" i="1"/>
  <c r="DI590" i="1"/>
  <c r="DJ590" i="1" s="1"/>
  <c r="DB590" i="1"/>
  <c r="DC590" i="1" s="1"/>
  <c r="CX590" i="1"/>
  <c r="CN590" i="1"/>
  <c r="CO590" i="1" s="1"/>
  <c r="BV590" i="1"/>
  <c r="BX590" i="1" s="1"/>
  <c r="BU590" i="1"/>
  <c r="BN590" i="1"/>
  <c r="BO590" i="1" s="1"/>
  <c r="BD590" i="1"/>
  <c r="BC590" i="1"/>
  <c r="BB590" i="1"/>
  <c r="BA590" i="1"/>
  <c r="AZ590" i="1"/>
  <c r="BF590" i="1" s="1" a="1"/>
  <c r="BF590" i="1" s="1"/>
  <c r="AY590" i="1"/>
  <c r="BE590" i="1" s="1" a="1"/>
  <c r="BE590" i="1" s="1"/>
  <c r="AX590" i="1"/>
  <c r="M590" i="1"/>
  <c r="EM313" i="1"/>
  <c r="DU313" i="1"/>
  <c r="DT313" i="1"/>
  <c r="DN313" i="1"/>
  <c r="DM313" i="1"/>
  <c r="DL313" i="1"/>
  <c r="DK313" i="1"/>
  <c r="DI313" i="1"/>
  <c r="DJ313" i="1" s="1"/>
  <c r="DB313" i="1"/>
  <c r="DC313" i="1" s="1"/>
  <c r="CX313" i="1"/>
  <c r="BV313" i="1"/>
  <c r="BX313" i="1" s="1"/>
  <c r="BU313" i="1"/>
  <c r="BL313" i="1"/>
  <c r="BD313" i="1"/>
  <c r="BC313" i="1"/>
  <c r="BB313" i="1"/>
  <c r="BA313" i="1"/>
  <c r="AZ313" i="1"/>
  <c r="AY313" i="1"/>
  <c r="BE313" i="1" s="1" a="1"/>
  <c r="BE313" i="1" s="1"/>
  <c r="AX313" i="1"/>
  <c r="M313" i="1"/>
  <c r="EM167" i="1"/>
  <c r="DU167" i="1"/>
  <c r="DT167" i="1"/>
  <c r="DN167" i="1"/>
  <c r="DM167" i="1"/>
  <c r="DL167" i="1"/>
  <c r="DK167" i="1"/>
  <c r="DI167" i="1"/>
  <c r="DJ167" i="1" s="1"/>
  <c r="DB167" i="1"/>
  <c r="DC167" i="1" s="1"/>
  <c r="CX167" i="1"/>
  <c r="CN167" i="1"/>
  <c r="CS167" i="1" s="1"/>
  <c r="BV167" i="1"/>
  <c r="BX167" i="1" s="1"/>
  <c r="BU167" i="1"/>
  <c r="BN167" i="1"/>
  <c r="BO167" i="1" s="1"/>
  <c r="BD167" i="1"/>
  <c r="BC167" i="1"/>
  <c r="BB167" i="1"/>
  <c r="BA167" i="1"/>
  <c r="AZ167" i="1"/>
  <c r="BF167" i="1" s="1" a="1"/>
  <c r="BF167" i="1" s="1"/>
  <c r="AY167" i="1"/>
  <c r="BE167" i="1" s="1" a="1"/>
  <c r="BE167" i="1" s="1"/>
  <c r="AX167" i="1"/>
  <c r="M167" i="1"/>
  <c r="EM144" i="1"/>
  <c r="DU144" i="1"/>
  <c r="DT144" i="1"/>
  <c r="DN144" i="1"/>
  <c r="DM144" i="1"/>
  <c r="DL144" i="1"/>
  <c r="DK144" i="1"/>
  <c r="DI144" i="1"/>
  <c r="DJ144" i="1" s="1"/>
  <c r="DB144" i="1"/>
  <c r="DC144" i="1" s="1"/>
  <c r="CX144" i="1"/>
  <c r="CN144" i="1"/>
  <c r="CS144" i="1" s="1"/>
  <c r="BV144" i="1"/>
  <c r="BX144" i="1" s="1"/>
  <c r="BU144" i="1"/>
  <c r="BN144" i="1"/>
  <c r="BO144" i="1" s="1"/>
  <c r="BD144" i="1"/>
  <c r="BC144" i="1"/>
  <c r="BB144" i="1"/>
  <c r="BA144" i="1"/>
  <c r="AZ144" i="1"/>
  <c r="AY144" i="1"/>
  <c r="BE144" i="1" s="1" a="1"/>
  <c r="BE144" i="1" s="1"/>
  <c r="AX144" i="1"/>
  <c r="M144" i="1"/>
  <c r="EM1021" i="1"/>
  <c r="DU1021" i="1"/>
  <c r="DT1021" i="1"/>
  <c r="DN1021" i="1"/>
  <c r="DM1021" i="1"/>
  <c r="DL1021" i="1"/>
  <c r="DK1021" i="1"/>
  <c r="DI1021" i="1"/>
  <c r="DJ1021" i="1" s="1"/>
  <c r="DB1021" i="1"/>
  <c r="DC1021" i="1" s="1"/>
  <c r="CX1021" i="1"/>
  <c r="CN1021" i="1"/>
  <c r="BV1021" i="1"/>
  <c r="BX1021" i="1" s="1"/>
  <c r="BU1021" i="1"/>
  <c r="BN1021" i="1"/>
  <c r="BO1021" i="1" s="1"/>
  <c r="BM1021" i="1"/>
  <c r="BD1021" i="1"/>
  <c r="BC1021" i="1"/>
  <c r="BB1021" i="1"/>
  <c r="BA1021" i="1"/>
  <c r="AZ1021" i="1"/>
  <c r="BF1021" i="1" s="1" a="1"/>
  <c r="BF1021" i="1" s="1"/>
  <c r="AY1021" i="1"/>
  <c r="AX1021" i="1"/>
  <c r="M1021" i="1"/>
  <c r="EM1014" i="1"/>
  <c r="DU1014" i="1"/>
  <c r="DT1014" i="1"/>
  <c r="DN1014" i="1"/>
  <c r="DM1014" i="1"/>
  <c r="DL1014" i="1"/>
  <c r="DK1014" i="1"/>
  <c r="DI1014" i="1"/>
  <c r="DJ1014" i="1" s="1"/>
  <c r="DB1014" i="1"/>
  <c r="DC1014" i="1" s="1"/>
  <c r="CX1014" i="1"/>
  <c r="CN1014" i="1"/>
  <c r="BV1014" i="1"/>
  <c r="BX1014" i="1" s="1"/>
  <c r="BU1014" i="1"/>
  <c r="BN1014" i="1"/>
  <c r="BO1014" i="1" s="1"/>
  <c r="BM1014" i="1"/>
  <c r="BD1014" i="1"/>
  <c r="BC1014" i="1"/>
  <c r="BB1014" i="1"/>
  <c r="BA1014" i="1"/>
  <c r="AZ1014" i="1"/>
  <c r="BF1014" i="1" s="1" a="1"/>
  <c r="BF1014" i="1" s="1"/>
  <c r="AY1014" i="1"/>
  <c r="AX1014" i="1"/>
  <c r="M1014" i="1"/>
  <c r="EM965" i="1"/>
  <c r="DU965" i="1"/>
  <c r="DT965" i="1"/>
  <c r="DN965" i="1"/>
  <c r="DM965" i="1"/>
  <c r="DL965" i="1"/>
  <c r="DK965" i="1"/>
  <c r="DI965" i="1"/>
  <c r="DJ965" i="1" s="1"/>
  <c r="DB965" i="1"/>
  <c r="DC965" i="1" s="1"/>
  <c r="CX965" i="1"/>
  <c r="CN965" i="1"/>
  <c r="CR965" i="1" s="1"/>
  <c r="BV965" i="1"/>
  <c r="BX965" i="1" s="1"/>
  <c r="BU965" i="1"/>
  <c r="BN965" i="1"/>
  <c r="BO965" i="1" s="1"/>
  <c r="BM965" i="1"/>
  <c r="BD965" i="1"/>
  <c r="BC965" i="1"/>
  <c r="BB965" i="1"/>
  <c r="BA965" i="1"/>
  <c r="AZ965" i="1"/>
  <c r="AY965" i="1"/>
  <c r="AX965" i="1"/>
  <c r="M965" i="1"/>
  <c r="EM843" i="1"/>
  <c r="DU843" i="1"/>
  <c r="DT843" i="1"/>
  <c r="DN843" i="1"/>
  <c r="DM843" i="1"/>
  <c r="DL843" i="1"/>
  <c r="DK843" i="1"/>
  <c r="DI843" i="1"/>
  <c r="DJ843" i="1" s="1"/>
  <c r="DB843" i="1"/>
  <c r="DC843" i="1" s="1"/>
  <c r="CX843" i="1"/>
  <c r="CN843" i="1"/>
  <c r="CS843" i="1" s="1"/>
  <c r="BV843" i="1"/>
  <c r="BX843" i="1" s="1"/>
  <c r="BU843" i="1"/>
  <c r="BN843" i="1"/>
  <c r="BO843" i="1" s="1"/>
  <c r="BM843" i="1"/>
  <c r="BD843" i="1"/>
  <c r="BC843" i="1"/>
  <c r="BB843" i="1"/>
  <c r="BA843" i="1"/>
  <c r="AZ843" i="1"/>
  <c r="AY843" i="1"/>
  <c r="AX843" i="1"/>
  <c r="M843" i="1"/>
  <c r="EM825" i="1"/>
  <c r="DU825" i="1"/>
  <c r="DT825" i="1"/>
  <c r="DN825" i="1"/>
  <c r="DM825" i="1"/>
  <c r="DL825" i="1"/>
  <c r="DK825" i="1"/>
  <c r="DI825" i="1"/>
  <c r="DJ825" i="1" s="1"/>
  <c r="DB825" i="1"/>
  <c r="DC825" i="1" s="1"/>
  <c r="CX825" i="1"/>
  <c r="CN825" i="1"/>
  <c r="BV825" i="1"/>
  <c r="BX825" i="1" s="1"/>
  <c r="BU825" i="1"/>
  <c r="BN825" i="1"/>
  <c r="BO825" i="1" s="1"/>
  <c r="BM825" i="1"/>
  <c r="BD825" i="1"/>
  <c r="BC825" i="1"/>
  <c r="BB825" i="1"/>
  <c r="BA825" i="1"/>
  <c r="AZ825" i="1"/>
  <c r="AY825" i="1"/>
  <c r="AX825" i="1"/>
  <c r="M825" i="1"/>
  <c r="EM643" i="1"/>
  <c r="DU643" i="1"/>
  <c r="DT643" i="1"/>
  <c r="DN643" i="1"/>
  <c r="DM643" i="1"/>
  <c r="DL643" i="1"/>
  <c r="DK643" i="1"/>
  <c r="DI643" i="1"/>
  <c r="DJ643" i="1" s="1"/>
  <c r="DB643" i="1"/>
  <c r="DC643" i="1" s="1"/>
  <c r="CX643" i="1"/>
  <c r="CN643" i="1"/>
  <c r="CP643" i="1" s="1"/>
  <c r="BV643" i="1"/>
  <c r="BX643" i="1" s="1"/>
  <c r="BU643" i="1"/>
  <c r="BN643" i="1"/>
  <c r="BO643" i="1" s="1"/>
  <c r="BM643" i="1"/>
  <c r="BD643" i="1"/>
  <c r="BC643" i="1"/>
  <c r="BB643" i="1"/>
  <c r="BA643" i="1"/>
  <c r="AZ643" i="1"/>
  <c r="BF643" i="1" s="1" a="1"/>
  <c r="BF643" i="1" s="1"/>
  <c r="AY643" i="1"/>
  <c r="AX643" i="1"/>
  <c r="M643" i="1"/>
  <c r="EM190" i="1"/>
  <c r="DU190" i="1"/>
  <c r="DT190" i="1"/>
  <c r="DN190" i="1"/>
  <c r="DM190" i="1"/>
  <c r="DL190" i="1"/>
  <c r="DK190" i="1"/>
  <c r="DI190" i="1"/>
  <c r="DJ190" i="1" s="1"/>
  <c r="DB190" i="1"/>
  <c r="DC190" i="1" s="1"/>
  <c r="CX190" i="1"/>
  <c r="CN190" i="1"/>
  <c r="CR190" i="1" s="1"/>
  <c r="BV190" i="1"/>
  <c r="BX190" i="1" s="1"/>
  <c r="BU190" i="1"/>
  <c r="BN190" i="1"/>
  <c r="BO190" i="1" s="1"/>
  <c r="BM190" i="1"/>
  <c r="BD190" i="1"/>
  <c r="BC190" i="1"/>
  <c r="BB190" i="1"/>
  <c r="BA190" i="1"/>
  <c r="AZ190" i="1"/>
  <c r="AY190" i="1"/>
  <c r="AX190" i="1"/>
  <c r="M190" i="1"/>
  <c r="EM31" i="1"/>
  <c r="DU31" i="1"/>
  <c r="DT31" i="1"/>
  <c r="DN31" i="1"/>
  <c r="DM31" i="1"/>
  <c r="DL31" i="1"/>
  <c r="DK31" i="1"/>
  <c r="DI31" i="1"/>
  <c r="DJ31" i="1" s="1"/>
  <c r="DB31" i="1"/>
  <c r="DC31" i="1" s="1"/>
  <c r="CX31" i="1"/>
  <c r="CN31" i="1"/>
  <c r="BV31" i="1"/>
  <c r="BX31" i="1" s="1"/>
  <c r="BU31" i="1"/>
  <c r="BN31" i="1"/>
  <c r="BO31" i="1" s="1"/>
  <c r="BM31" i="1"/>
  <c r="BD31" i="1"/>
  <c r="BC31" i="1"/>
  <c r="BB31" i="1"/>
  <c r="BA31" i="1"/>
  <c r="AZ31" i="1"/>
  <c r="AY31" i="1"/>
  <c r="AX31" i="1"/>
  <c r="M31" i="1"/>
  <c r="EM1019" i="1"/>
  <c r="DU1019" i="1"/>
  <c r="DT1019" i="1"/>
  <c r="DN1019" i="1"/>
  <c r="DM1019" i="1"/>
  <c r="DL1019" i="1"/>
  <c r="DK1019" i="1"/>
  <c r="DI1019" i="1"/>
  <c r="DJ1019" i="1" s="1"/>
  <c r="DB1019" i="1"/>
  <c r="DC1019" i="1" s="1"/>
  <c r="CX1019" i="1"/>
  <c r="CN1019" i="1"/>
  <c r="CS1019" i="1" s="1"/>
  <c r="BV1019" i="1"/>
  <c r="BX1019" i="1" s="1"/>
  <c r="BU1019" i="1"/>
  <c r="BN1019" i="1"/>
  <c r="BO1019" i="1" s="1"/>
  <c r="BM1019" i="1"/>
  <c r="BD1019" i="1"/>
  <c r="BC1019" i="1"/>
  <c r="BB1019" i="1"/>
  <c r="BA1019" i="1"/>
  <c r="AZ1019" i="1"/>
  <c r="BF1019" i="1" s="1" a="1"/>
  <c r="BF1019" i="1" s="1"/>
  <c r="AY1019" i="1"/>
  <c r="AX1019" i="1"/>
  <c r="M1019" i="1"/>
  <c r="EM950" i="1"/>
  <c r="DU950" i="1"/>
  <c r="DT950" i="1"/>
  <c r="DN950" i="1"/>
  <c r="DM950" i="1"/>
  <c r="DL950" i="1"/>
  <c r="DK950" i="1"/>
  <c r="DI950" i="1"/>
  <c r="DJ950" i="1" s="1"/>
  <c r="DB950" i="1"/>
  <c r="DC950" i="1" s="1"/>
  <c r="CX950" i="1"/>
  <c r="CN950" i="1"/>
  <c r="BV950" i="1"/>
  <c r="BX950" i="1" s="1"/>
  <c r="BU950" i="1"/>
  <c r="BN950" i="1"/>
  <c r="BO950" i="1" s="1"/>
  <c r="BM950" i="1"/>
  <c r="BD950" i="1"/>
  <c r="BC950" i="1"/>
  <c r="BB950" i="1"/>
  <c r="BA950" i="1"/>
  <c r="AZ950" i="1"/>
  <c r="AY950" i="1"/>
  <c r="AX950" i="1"/>
  <c r="M950" i="1"/>
  <c r="EM441" i="1"/>
  <c r="DU441" i="1"/>
  <c r="DT441" i="1"/>
  <c r="DN441" i="1"/>
  <c r="DM441" i="1"/>
  <c r="DL441" i="1"/>
  <c r="DK441" i="1"/>
  <c r="DI441" i="1"/>
  <c r="DJ441" i="1" s="1"/>
  <c r="DB441" i="1"/>
  <c r="DC441" i="1" s="1"/>
  <c r="CX441" i="1"/>
  <c r="CN441" i="1"/>
  <c r="CS441" i="1" s="1"/>
  <c r="BV441" i="1"/>
  <c r="BX441" i="1" s="1"/>
  <c r="BU441" i="1"/>
  <c r="BN441" i="1"/>
  <c r="BO441" i="1" s="1"/>
  <c r="BM441" i="1"/>
  <c r="BD441" i="1"/>
  <c r="BC441" i="1"/>
  <c r="BB441" i="1"/>
  <c r="BA441" i="1"/>
  <c r="AZ441" i="1"/>
  <c r="AY441" i="1"/>
  <c r="AX441" i="1"/>
  <c r="M441" i="1"/>
  <c r="EM34" i="1"/>
  <c r="DU34" i="1"/>
  <c r="DT34" i="1"/>
  <c r="DN34" i="1"/>
  <c r="DM34" i="1"/>
  <c r="DL34" i="1"/>
  <c r="DK34" i="1"/>
  <c r="DI34" i="1"/>
  <c r="DJ34" i="1" s="1"/>
  <c r="DB34" i="1"/>
  <c r="DC34" i="1" s="1"/>
  <c r="CX34" i="1"/>
  <c r="CN34" i="1"/>
  <c r="CS34" i="1" s="1"/>
  <c r="BV34" i="1"/>
  <c r="BX34" i="1" s="1"/>
  <c r="BU34" i="1"/>
  <c r="BN34" i="1"/>
  <c r="BO34" i="1" s="1"/>
  <c r="BM34" i="1"/>
  <c r="BD34" i="1"/>
  <c r="BC34" i="1"/>
  <c r="BB34" i="1"/>
  <c r="BA34" i="1"/>
  <c r="AZ34" i="1"/>
  <c r="AY34" i="1"/>
  <c r="AX34" i="1"/>
  <c r="M34" i="1"/>
  <c r="EM564" i="1"/>
  <c r="DU564" i="1"/>
  <c r="DT564" i="1"/>
  <c r="DN564" i="1"/>
  <c r="DM564" i="1"/>
  <c r="DL564" i="1"/>
  <c r="DK564" i="1"/>
  <c r="DI564" i="1"/>
  <c r="DJ564" i="1" s="1"/>
  <c r="DC564" i="1"/>
  <c r="CX564" i="1"/>
  <c r="CN564" i="1"/>
  <c r="CO564" i="1" s="1"/>
  <c r="BV564" i="1"/>
  <c r="BX564" i="1" s="1"/>
  <c r="BU564" i="1"/>
  <c r="BN564" i="1"/>
  <c r="BO564" i="1" s="1"/>
  <c r="BM564" i="1"/>
  <c r="BD564" i="1"/>
  <c r="BC564" i="1"/>
  <c r="BB564" i="1"/>
  <c r="BA564" i="1"/>
  <c r="AZ564" i="1"/>
  <c r="AY564" i="1"/>
  <c r="BE564" i="1" s="1" a="1"/>
  <c r="BE564" i="1" s="1"/>
  <c r="AX564" i="1"/>
  <c r="M564" i="1"/>
  <c r="EM302" i="1"/>
  <c r="DU302" i="1"/>
  <c r="DT302" i="1"/>
  <c r="DN302" i="1"/>
  <c r="DM302" i="1"/>
  <c r="DL302" i="1"/>
  <c r="DK302" i="1"/>
  <c r="DI302" i="1"/>
  <c r="DJ302" i="1" s="1"/>
  <c r="DC302" i="1"/>
  <c r="CX302" i="1"/>
  <c r="CN302" i="1"/>
  <c r="CR302" i="1" s="1"/>
  <c r="BV302" i="1"/>
  <c r="BX302" i="1" s="1"/>
  <c r="BU302" i="1"/>
  <c r="BN302" i="1"/>
  <c r="BO302" i="1" s="1"/>
  <c r="BM302" i="1"/>
  <c r="BD302" i="1"/>
  <c r="BC302" i="1"/>
  <c r="BB302" i="1"/>
  <c r="BA302" i="1"/>
  <c r="AZ302" i="1"/>
  <c r="BF302" i="1" s="1" a="1"/>
  <c r="BF302" i="1" s="1"/>
  <c r="AY302" i="1"/>
  <c r="BE302" i="1" s="1" a="1"/>
  <c r="BE302" i="1" s="1"/>
  <c r="AX302" i="1"/>
  <c r="M302" i="1"/>
  <c r="EM632" i="1"/>
  <c r="DU632" i="1"/>
  <c r="DT632" i="1"/>
  <c r="DN632" i="1"/>
  <c r="DM632" i="1"/>
  <c r="DL632" i="1"/>
  <c r="DK632" i="1"/>
  <c r="DI632" i="1"/>
  <c r="DJ632" i="1" s="1"/>
  <c r="DC632" i="1"/>
  <c r="CX632" i="1"/>
  <c r="CN632" i="1"/>
  <c r="CO632" i="1" s="1"/>
  <c r="BV632" i="1"/>
  <c r="BX632" i="1" s="1"/>
  <c r="BU632" i="1"/>
  <c r="BN632" i="1"/>
  <c r="BO632" i="1" s="1"/>
  <c r="BM632" i="1"/>
  <c r="BD632" i="1"/>
  <c r="BC632" i="1"/>
  <c r="BB632" i="1"/>
  <c r="BA632" i="1"/>
  <c r="AZ632" i="1"/>
  <c r="AY632" i="1"/>
  <c r="BE632" i="1" s="1" a="1"/>
  <c r="BE632" i="1" s="1"/>
  <c r="AX632" i="1"/>
  <c r="M632" i="1"/>
  <c r="EM594" i="1"/>
  <c r="DU594" i="1"/>
  <c r="DT594" i="1"/>
  <c r="DN594" i="1"/>
  <c r="DM594" i="1"/>
  <c r="DL594" i="1"/>
  <c r="DK594" i="1"/>
  <c r="DI594" i="1"/>
  <c r="DJ594" i="1" s="1"/>
  <c r="DC594" i="1"/>
  <c r="CX594" i="1"/>
  <c r="CN594" i="1"/>
  <c r="BV594" i="1"/>
  <c r="BX594" i="1" s="1"/>
  <c r="BU594" i="1"/>
  <c r="BN594" i="1"/>
  <c r="BO594" i="1" s="1"/>
  <c r="BM594" i="1"/>
  <c r="BD594" i="1"/>
  <c r="BC594" i="1"/>
  <c r="BB594" i="1"/>
  <c r="BA594" i="1"/>
  <c r="AZ594" i="1"/>
  <c r="BF594" i="1" s="1" a="1"/>
  <c r="BF594" i="1" s="1"/>
  <c r="AY594" i="1"/>
  <c r="BE594" i="1" s="1" a="1"/>
  <c r="BE594" i="1" s="1"/>
  <c r="AX594" i="1"/>
  <c r="M594" i="1"/>
  <c r="EM584" i="1"/>
  <c r="DU584" i="1"/>
  <c r="DT584" i="1"/>
  <c r="DN584" i="1"/>
  <c r="DM584" i="1"/>
  <c r="DL584" i="1"/>
  <c r="DK584" i="1"/>
  <c r="DI584" i="1"/>
  <c r="DJ584" i="1" s="1"/>
  <c r="DC584" i="1"/>
  <c r="CX584" i="1"/>
  <c r="CN584" i="1"/>
  <c r="CS584" i="1" s="1"/>
  <c r="BV584" i="1"/>
  <c r="BX584" i="1" s="1"/>
  <c r="BU584" i="1"/>
  <c r="BN584" i="1"/>
  <c r="BO584" i="1" s="1"/>
  <c r="BM584" i="1"/>
  <c r="BD584" i="1"/>
  <c r="BC584" i="1"/>
  <c r="BB584" i="1"/>
  <c r="BA584" i="1"/>
  <c r="AZ584" i="1"/>
  <c r="BF584" i="1" s="1" a="1"/>
  <c r="BF584" i="1" s="1"/>
  <c r="AY584" i="1"/>
  <c r="BE584" i="1" s="1" a="1"/>
  <c r="BE584" i="1" s="1"/>
  <c r="AX584" i="1"/>
  <c r="M584" i="1"/>
  <c r="EM655" i="1"/>
  <c r="DU655" i="1"/>
  <c r="DT655" i="1"/>
  <c r="DN655" i="1"/>
  <c r="DM655" i="1"/>
  <c r="DL655" i="1"/>
  <c r="DK655" i="1"/>
  <c r="DI655" i="1"/>
  <c r="DJ655" i="1" s="1"/>
  <c r="DC655" i="1"/>
  <c r="CX655" i="1"/>
  <c r="CN655" i="1"/>
  <c r="BV655" i="1"/>
  <c r="BX655" i="1" s="1"/>
  <c r="BU655" i="1"/>
  <c r="BN655" i="1"/>
  <c r="BO655" i="1" s="1"/>
  <c r="BM655" i="1"/>
  <c r="BD655" i="1"/>
  <c r="BC655" i="1"/>
  <c r="BB655" i="1"/>
  <c r="BA655" i="1"/>
  <c r="AZ655" i="1"/>
  <c r="AY655" i="1"/>
  <c r="AX655" i="1"/>
  <c r="M655" i="1"/>
  <c r="EM614" i="1"/>
  <c r="DU614" i="1"/>
  <c r="DT614" i="1"/>
  <c r="DN614" i="1"/>
  <c r="DM614" i="1"/>
  <c r="DL614" i="1"/>
  <c r="DK614" i="1"/>
  <c r="DI614" i="1"/>
  <c r="DJ614" i="1" s="1"/>
  <c r="DC614" i="1"/>
  <c r="CX614" i="1"/>
  <c r="CN614" i="1"/>
  <c r="CO614" i="1" s="1"/>
  <c r="BV614" i="1"/>
  <c r="BX614" i="1" s="1"/>
  <c r="BU614" i="1"/>
  <c r="BN614" i="1"/>
  <c r="BO614" i="1" s="1"/>
  <c r="BM614" i="1"/>
  <c r="BD614" i="1"/>
  <c r="BC614" i="1"/>
  <c r="BB614" i="1"/>
  <c r="BA614" i="1"/>
  <c r="AZ614" i="1"/>
  <c r="AY614" i="1"/>
  <c r="AX614" i="1"/>
  <c r="M614" i="1"/>
  <c r="EM583" i="1"/>
  <c r="DU583" i="1"/>
  <c r="DT583" i="1"/>
  <c r="DN583" i="1"/>
  <c r="DM583" i="1"/>
  <c r="DL583" i="1"/>
  <c r="DK583" i="1"/>
  <c r="DI583" i="1"/>
  <c r="DJ583" i="1" s="1"/>
  <c r="DC583" i="1"/>
  <c r="CX583" i="1"/>
  <c r="CN583" i="1"/>
  <c r="CO583" i="1" s="1"/>
  <c r="BV583" i="1"/>
  <c r="BX583" i="1" s="1"/>
  <c r="BU583" i="1"/>
  <c r="BN583" i="1"/>
  <c r="BO583" i="1" s="1"/>
  <c r="BM583" i="1"/>
  <c r="BD583" i="1"/>
  <c r="BC583" i="1"/>
  <c r="BB583" i="1"/>
  <c r="BA583" i="1"/>
  <c r="AZ583" i="1"/>
  <c r="AY583" i="1"/>
  <c r="AX583" i="1"/>
  <c r="M583" i="1"/>
  <c r="EM873" i="1"/>
  <c r="DU873" i="1"/>
  <c r="DT873" i="1"/>
  <c r="DN873" i="1"/>
  <c r="DM873" i="1"/>
  <c r="DL873" i="1"/>
  <c r="DK873" i="1"/>
  <c r="DI873" i="1"/>
  <c r="DJ873" i="1" s="1"/>
  <c r="DC873" i="1"/>
  <c r="CX873" i="1"/>
  <c r="BV873" i="1"/>
  <c r="BX873" i="1" s="1"/>
  <c r="BL873" i="1"/>
  <c r="CN873" i="1" s="1"/>
  <c r="BD873" i="1"/>
  <c r="BC873" i="1"/>
  <c r="BB873" i="1"/>
  <c r="BA873" i="1"/>
  <c r="AZ873" i="1"/>
  <c r="BF873" i="1" s="1" a="1"/>
  <c r="BF873" i="1" s="1"/>
  <c r="AY873" i="1"/>
  <c r="BE873" i="1" s="1" a="1"/>
  <c r="BE873" i="1" s="1"/>
  <c r="AX873" i="1"/>
  <c r="M873" i="1"/>
  <c r="EM891" i="1"/>
  <c r="DU891" i="1"/>
  <c r="DT891" i="1"/>
  <c r="DN891" i="1"/>
  <c r="DM891" i="1"/>
  <c r="DL891" i="1"/>
  <c r="DK891" i="1"/>
  <c r="DI891" i="1"/>
  <c r="DJ891" i="1" s="1"/>
  <c r="DC891" i="1"/>
  <c r="CX891" i="1"/>
  <c r="BV891" i="1"/>
  <c r="BX891" i="1" s="1"/>
  <c r="BL891" i="1"/>
  <c r="BN891" i="1" s="1"/>
  <c r="BD891" i="1"/>
  <c r="BC891" i="1"/>
  <c r="BB891" i="1"/>
  <c r="BA891" i="1"/>
  <c r="AZ891" i="1"/>
  <c r="AY891" i="1"/>
  <c r="BE891" i="1" s="1" a="1"/>
  <c r="BE891" i="1" s="1"/>
  <c r="AX891" i="1"/>
  <c r="M891" i="1"/>
  <c r="EM968" i="1"/>
  <c r="DU968" i="1"/>
  <c r="DT968" i="1"/>
  <c r="DN968" i="1"/>
  <c r="DM968" i="1"/>
  <c r="DL968" i="1"/>
  <c r="DK968" i="1"/>
  <c r="DI968" i="1"/>
  <c r="DJ968" i="1" s="1"/>
  <c r="DC968" i="1"/>
  <c r="CX968" i="1"/>
  <c r="CN968" i="1"/>
  <c r="CS968" i="1" s="1"/>
  <c r="BX968" i="1"/>
  <c r="BN968" i="1"/>
  <c r="BO968" i="1" s="1"/>
  <c r="BD968" i="1"/>
  <c r="BC968" i="1"/>
  <c r="BB968" i="1"/>
  <c r="BA968" i="1"/>
  <c r="AZ968" i="1"/>
  <c r="AY968" i="1"/>
  <c r="BE968" i="1" s="1" a="1"/>
  <c r="BE968" i="1" s="1"/>
  <c r="AX968" i="1"/>
  <c r="M968" i="1"/>
  <c r="EM957" i="1"/>
  <c r="DU957" i="1"/>
  <c r="DT957" i="1"/>
  <c r="DN957" i="1"/>
  <c r="DM957" i="1"/>
  <c r="DL957" i="1"/>
  <c r="DK957" i="1"/>
  <c r="DI957" i="1"/>
  <c r="DJ957" i="1" s="1"/>
  <c r="DC957" i="1"/>
  <c r="CX957" i="1"/>
  <c r="CN957" i="1"/>
  <c r="CP957" i="1" s="1"/>
  <c r="BX957" i="1"/>
  <c r="BN957" i="1"/>
  <c r="BO957" i="1" s="1"/>
  <c r="BD957" i="1"/>
  <c r="BC957" i="1"/>
  <c r="BB957" i="1"/>
  <c r="BA957" i="1"/>
  <c r="AZ957" i="1"/>
  <c r="AY957" i="1"/>
  <c r="BE957" i="1" s="1" a="1"/>
  <c r="BE957" i="1" s="1"/>
  <c r="AX957" i="1"/>
  <c r="M957" i="1"/>
  <c r="EM941" i="1"/>
  <c r="DU941" i="1"/>
  <c r="DT941" i="1"/>
  <c r="DN941" i="1"/>
  <c r="DM941" i="1"/>
  <c r="DL941" i="1"/>
  <c r="DK941" i="1"/>
  <c r="DI941" i="1"/>
  <c r="DJ941" i="1" s="1"/>
  <c r="DC941" i="1"/>
  <c r="CX941" i="1"/>
  <c r="CN941" i="1"/>
  <c r="CO941" i="1" s="1"/>
  <c r="BX941" i="1"/>
  <c r="BN941" i="1"/>
  <c r="BO941" i="1" s="1"/>
  <c r="BD941" i="1"/>
  <c r="BC941" i="1"/>
  <c r="BB941" i="1"/>
  <c r="BA941" i="1"/>
  <c r="AZ941" i="1"/>
  <c r="AY941" i="1"/>
  <c r="BE941" i="1" s="1" a="1"/>
  <c r="BE941" i="1" s="1"/>
  <c r="AX941" i="1"/>
  <c r="M941" i="1"/>
  <c r="EM821" i="1"/>
  <c r="DU821" i="1"/>
  <c r="DT821" i="1"/>
  <c r="DN821" i="1"/>
  <c r="DM821" i="1"/>
  <c r="DL821" i="1"/>
  <c r="DK821" i="1"/>
  <c r="DI821" i="1"/>
  <c r="DJ821" i="1" s="1"/>
  <c r="DC821" i="1"/>
  <c r="CX821" i="1"/>
  <c r="CN821" i="1"/>
  <c r="CS821" i="1" s="1"/>
  <c r="BX821" i="1"/>
  <c r="BN821" i="1"/>
  <c r="BO821" i="1" s="1"/>
  <c r="BD821" i="1"/>
  <c r="BC821" i="1"/>
  <c r="BB821" i="1"/>
  <c r="BA821" i="1"/>
  <c r="AZ821" i="1"/>
  <c r="BF821" i="1" s="1" a="1"/>
  <c r="BF821" i="1" s="1"/>
  <c r="AY821" i="1"/>
  <c r="BE821" i="1" s="1" a="1"/>
  <c r="BE821" i="1" s="1"/>
  <c r="AX821" i="1"/>
  <c r="M821" i="1"/>
  <c r="EM765" i="1"/>
  <c r="DU765" i="1"/>
  <c r="DT765" i="1"/>
  <c r="DN765" i="1"/>
  <c r="DM765" i="1"/>
  <c r="DL765" i="1"/>
  <c r="DK765" i="1"/>
  <c r="DI765" i="1"/>
  <c r="DJ765" i="1" s="1"/>
  <c r="DC765" i="1"/>
  <c r="CX765" i="1"/>
  <c r="CN765" i="1"/>
  <c r="BT765" i="1"/>
  <c r="BS765" i="1"/>
  <c r="BN765" i="1"/>
  <c r="BO765" i="1" s="1"/>
  <c r="BD765" i="1"/>
  <c r="BC765" i="1"/>
  <c r="BB765" i="1"/>
  <c r="BA765" i="1"/>
  <c r="AZ765" i="1"/>
  <c r="AY765" i="1"/>
  <c r="BE765" i="1" s="1" a="1"/>
  <c r="BE765" i="1" s="1"/>
  <c r="AX765" i="1"/>
  <c r="M765" i="1"/>
  <c r="EM951" i="1"/>
  <c r="DU951" i="1"/>
  <c r="DT951" i="1"/>
  <c r="DN951" i="1"/>
  <c r="DM951" i="1"/>
  <c r="DL951" i="1"/>
  <c r="DK951" i="1"/>
  <c r="DI951" i="1"/>
  <c r="DJ951" i="1" s="1"/>
  <c r="DC951" i="1"/>
  <c r="CX951" i="1"/>
  <c r="CN951" i="1"/>
  <c r="CS951" i="1" s="1"/>
  <c r="BV951" i="1"/>
  <c r="BX951" i="1" s="1"/>
  <c r="BU951" i="1"/>
  <c r="BN951" i="1"/>
  <c r="BO951" i="1" s="1"/>
  <c r="BM951" i="1"/>
  <c r="BD951" i="1"/>
  <c r="BC951" i="1"/>
  <c r="BB951" i="1"/>
  <c r="BA951" i="1"/>
  <c r="AZ951" i="1"/>
  <c r="AY951" i="1"/>
  <c r="BE951" i="1" s="1" a="1"/>
  <c r="BE951" i="1" s="1"/>
  <c r="AX951" i="1"/>
  <c r="M951" i="1"/>
  <c r="EM930" i="1"/>
  <c r="DU930" i="1"/>
  <c r="DT930" i="1"/>
  <c r="DN930" i="1"/>
  <c r="DM930" i="1"/>
  <c r="DL930" i="1"/>
  <c r="DK930" i="1"/>
  <c r="DI930" i="1"/>
  <c r="DJ930" i="1" s="1"/>
  <c r="DC930" i="1"/>
  <c r="CX930" i="1"/>
  <c r="CN930" i="1"/>
  <c r="CP930" i="1" s="1"/>
  <c r="BV930" i="1"/>
  <c r="BX930" i="1" s="1"/>
  <c r="BU930" i="1"/>
  <c r="BN930" i="1"/>
  <c r="BO930" i="1" s="1"/>
  <c r="BM930" i="1"/>
  <c r="BD930" i="1"/>
  <c r="BC930" i="1"/>
  <c r="BB930" i="1"/>
  <c r="BA930" i="1"/>
  <c r="AZ930" i="1"/>
  <c r="AY930" i="1"/>
  <c r="BE930" i="1" s="1" a="1"/>
  <c r="BE930" i="1" s="1"/>
  <c r="AX930" i="1"/>
  <c r="M930" i="1"/>
  <c r="BF968" i="1" l="1" a="1"/>
  <c r="BF968" i="1" s="1"/>
  <c r="BF632" i="1" a="1"/>
  <c r="BF632" i="1" s="1"/>
  <c r="BF190" i="1" a="1"/>
  <c r="BF190" i="1" s="1"/>
  <c r="BF1078" i="1" a="1"/>
  <c r="BF1078" i="1" s="1"/>
  <c r="BF663" i="1" a="1"/>
  <c r="BF663" i="1" s="1"/>
  <c r="BF705" i="1" a="1"/>
  <c r="BF705" i="1" s="1"/>
  <c r="BF1118" i="1" a="1"/>
  <c r="BF1118" i="1" s="1"/>
  <c r="BF1116" i="1" a="1"/>
  <c r="BF1116" i="1" s="1"/>
  <c r="BF804" i="1" a="1"/>
  <c r="BF804" i="1" s="1"/>
  <c r="BF97" i="1" a="1"/>
  <c r="BF97" i="1" s="1"/>
  <c r="BF31" i="1" a="1"/>
  <c r="BF31" i="1" s="1"/>
  <c r="BF144" i="1" a="1"/>
  <c r="BF144" i="1" s="1"/>
  <c r="BF837" i="1" a="1"/>
  <c r="BF837" i="1" s="1"/>
  <c r="BF887" i="1" a="1"/>
  <c r="BF887" i="1" s="1"/>
  <c r="BF846" i="1" a="1"/>
  <c r="BF846" i="1" s="1"/>
  <c r="BE846" i="1" s="1" a="1"/>
  <c r="BE846" i="1" s="1"/>
  <c r="BF765" i="1" a="1"/>
  <c r="BF765" i="1" s="1"/>
  <c r="BF957" i="1" a="1"/>
  <c r="BF957" i="1" s="1"/>
  <c r="BF655" i="1" a="1"/>
  <c r="BF655" i="1" s="1"/>
  <c r="BF950" i="1" a="1"/>
  <c r="BF950" i="1" s="1"/>
  <c r="BE950" i="1" s="1" a="1"/>
  <c r="BE950" i="1" s="1"/>
  <c r="BF951" i="1" a="1"/>
  <c r="BF951" i="1" s="1"/>
  <c r="BF614" i="1" a="1"/>
  <c r="BF614" i="1" s="1"/>
  <c r="BF441" i="1" a="1"/>
  <c r="BF441" i="1" s="1"/>
  <c r="BE441" i="1" s="1" a="1"/>
  <c r="BE441" i="1" s="1"/>
  <c r="BF965" i="1" a="1"/>
  <c r="BF965" i="1" s="1"/>
  <c r="BE965" i="1" s="1" a="1"/>
  <c r="BE965" i="1" s="1"/>
  <c r="BF925" i="1" a="1"/>
  <c r="BF925" i="1" s="1"/>
  <c r="BF693" i="1" a="1"/>
  <c r="BF693" i="1" s="1"/>
  <c r="BF1115" i="1" a="1"/>
  <c r="BF1115" i="1" s="1"/>
  <c r="BF619" i="1" a="1"/>
  <c r="BF619" i="1" s="1"/>
  <c r="BF835" i="1" a="1"/>
  <c r="BF835" i="1" s="1"/>
  <c r="BF67" i="1" a="1"/>
  <c r="BF67" i="1" s="1"/>
  <c r="BE67" i="1" s="1" a="1"/>
  <c r="BE67" i="1" s="1"/>
  <c r="BF930" i="1" a="1"/>
  <c r="BF930" i="1" s="1"/>
  <c r="BF891" i="1" a="1"/>
  <c r="BF891" i="1" s="1"/>
  <c r="BF583" i="1" a="1"/>
  <c r="BF583" i="1" s="1"/>
  <c r="BE583" i="1" s="1" a="1"/>
  <c r="BE583" i="1" s="1"/>
  <c r="BF34" i="1" a="1"/>
  <c r="BF34" i="1" s="1"/>
  <c r="BF843" i="1" a="1"/>
  <c r="BF843" i="1" s="1"/>
  <c r="BF313" i="1" a="1"/>
  <c r="BF313" i="1" s="1"/>
  <c r="BF758" i="1" a="1"/>
  <c r="BF758" i="1" s="1"/>
  <c r="BF877" i="1" a="1"/>
  <c r="BF877" i="1" s="1"/>
  <c r="BF919" i="1" a="1"/>
  <c r="BF919" i="1" s="1"/>
  <c r="BF894" i="1" a="1"/>
  <c r="BF894" i="1" s="1"/>
  <c r="BE894" i="1" s="1" a="1"/>
  <c r="BE894" i="1" s="1"/>
  <c r="BF941" i="1" a="1"/>
  <c r="BF941" i="1" s="1"/>
  <c r="BF564" i="1" a="1"/>
  <c r="BF564" i="1" s="1"/>
  <c r="BF825" i="1" a="1"/>
  <c r="BF825" i="1" s="1"/>
  <c r="BF1079" i="1" a="1"/>
  <c r="BF1079" i="1" s="1"/>
  <c r="BF682" i="1" a="1"/>
  <c r="BF682" i="1" s="1"/>
  <c r="BF1119" i="1" a="1"/>
  <c r="BF1119" i="1" s="1"/>
  <c r="BF558" i="1" a="1"/>
  <c r="BF558" i="1" s="1"/>
  <c r="BF828" i="1" a="1"/>
  <c r="BF828" i="1" s="1"/>
  <c r="BF517" i="1" a="1"/>
  <c r="BF517" i="1" s="1"/>
  <c r="BF525" i="1" a="1"/>
  <c r="BF525" i="1" s="1"/>
  <c r="BF522" i="1" a="1"/>
  <c r="BF522" i="1" s="1"/>
  <c r="BF54" i="1" a="1"/>
  <c r="BF54" i="1" s="1"/>
  <c r="BE54" i="1" s="1" a="1"/>
  <c r="BE54" i="1" s="1"/>
  <c r="BV765" i="1"/>
  <c r="BX765" i="1" s="1"/>
  <c r="BY765" i="1" s="1"/>
  <c r="CP894" i="1"/>
  <c r="CS894" i="1"/>
  <c r="BO891" i="1"/>
  <c r="BY891" i="1" s="1"/>
  <c r="EP891" i="1" s="1"/>
  <c r="CN891" i="1"/>
  <c r="CP891" i="1" s="1"/>
  <c r="BY878" i="1"/>
  <c r="EP878" i="1" s="1"/>
  <c r="CQ1116" i="1"/>
  <c r="CP1115" i="1"/>
  <c r="CS522" i="1"/>
  <c r="BY44" i="1"/>
  <c r="EP44" i="1" s="1"/>
  <c r="CO821" i="1"/>
  <c r="CS1115" i="1"/>
  <c r="CV1115" i="1" s="1"/>
  <c r="CQ590" i="1"/>
  <c r="CO909" i="1"/>
  <c r="CR643" i="1"/>
  <c r="CQ965" i="1"/>
  <c r="CQ928" i="1"/>
  <c r="CR878" i="1"/>
  <c r="BY909" i="1"/>
  <c r="EP909" i="1" s="1"/>
  <c r="CQ441" i="1"/>
  <c r="CP968" i="1"/>
  <c r="CQ144" i="1"/>
  <c r="BY919" i="1"/>
  <c r="EP919" i="1" s="1"/>
  <c r="BY655" i="1"/>
  <c r="EP655" i="1" s="1"/>
  <c r="BY1119" i="1"/>
  <c r="EP1119" i="1" s="1"/>
  <c r="BY1115" i="1"/>
  <c r="EP1115" i="1" s="1"/>
  <c r="BY866" i="1"/>
  <c r="EP866" i="1" s="1"/>
  <c r="CR441" i="1"/>
  <c r="CV441" i="1" s="1"/>
  <c r="CO54" i="1"/>
  <c r="BY957" i="1"/>
  <c r="EP957" i="1" s="1"/>
  <c r="CQ614" i="1"/>
  <c r="CS632" i="1"/>
  <c r="CR1019" i="1"/>
  <c r="CV1019" i="1" s="1"/>
  <c r="CT843" i="1"/>
  <c r="BY795" i="1"/>
  <c r="EP795" i="1" s="1"/>
  <c r="CQ975" i="1"/>
  <c r="CQ1114" i="1"/>
  <c r="BY97" i="1"/>
  <c r="EP97" i="1" s="1"/>
  <c r="BY583" i="1"/>
  <c r="EP583" i="1" s="1"/>
  <c r="CQ795" i="1"/>
  <c r="BY564" i="1"/>
  <c r="EP564" i="1" s="1"/>
  <c r="CS795" i="1"/>
  <c r="BE44" i="1" a="1"/>
  <c r="BE44" i="1" s="1"/>
  <c r="BE614" i="1" a="1"/>
  <c r="BE614" i="1" s="1"/>
  <c r="CQ632" i="1"/>
  <c r="CO693" i="1"/>
  <c r="CO975" i="1"/>
  <c r="CR1114" i="1"/>
  <c r="BY825" i="1"/>
  <c r="EP825" i="1" s="1"/>
  <c r="BY619" i="1"/>
  <c r="EP619" i="1" s="1"/>
  <c r="CT632" i="1"/>
  <c r="CR144" i="1"/>
  <c r="CV144" i="1" s="1"/>
  <c r="CQ758" i="1"/>
  <c r="CT1118" i="1"/>
  <c r="CQ190" i="1"/>
  <c r="CQ1014" i="1"/>
  <c r="BY302" i="1"/>
  <c r="EP302" i="1" s="1"/>
  <c r="CR843" i="1"/>
  <c r="CV843" i="1" s="1"/>
  <c r="BY1078" i="1"/>
  <c r="EP1078" i="1" s="1"/>
  <c r="CP795" i="1"/>
  <c r="CQ837" i="1"/>
  <c r="CQ765" i="1"/>
  <c r="CQ1019" i="1"/>
  <c r="BY965" i="1"/>
  <c r="EP965" i="1" s="1"/>
  <c r="CP590" i="1"/>
  <c r="BY663" i="1"/>
  <c r="EP663" i="1" s="1"/>
  <c r="CQ682" i="1"/>
  <c r="BY740" i="1"/>
  <c r="EP740" i="1" s="1"/>
  <c r="CR795" i="1"/>
  <c r="CR877" i="1"/>
  <c r="CQ558" i="1"/>
  <c r="BE124" i="1" a="1"/>
  <c r="BE124" i="1" s="1"/>
  <c r="CQ821" i="1"/>
  <c r="CQ594" i="1"/>
  <c r="CQ564" i="1"/>
  <c r="CO965" i="1"/>
  <c r="CO740" i="1"/>
  <c r="BY758" i="1"/>
  <c r="EP758" i="1" s="1"/>
  <c r="CP837" i="1"/>
  <c r="CQ878" i="1"/>
  <c r="CS835" i="1"/>
  <c r="CV835" i="1" s="1"/>
  <c r="CP516" i="1"/>
  <c r="BY941" i="1"/>
  <c r="EP941" i="1" s="1"/>
  <c r="BY968" i="1"/>
  <c r="EP968" i="1" s="1"/>
  <c r="CT614" i="1"/>
  <c r="BE190" i="1" a="1"/>
  <c r="BE190" i="1" s="1"/>
  <c r="CS965" i="1"/>
  <c r="CV965" i="1" s="1"/>
  <c r="BE1014" i="1" a="1"/>
  <c r="BE1014" i="1" s="1"/>
  <c r="BY167" i="1"/>
  <c r="EP167" i="1" s="1"/>
  <c r="CR682" i="1"/>
  <c r="CR740" i="1"/>
  <c r="CV740" i="1" s="1"/>
  <c r="CS837" i="1"/>
  <c r="CV837" i="1" s="1"/>
  <c r="CO878" i="1"/>
  <c r="CP1116" i="1"/>
  <c r="CS519" i="1"/>
  <c r="CV519" i="1" s="1"/>
  <c r="CQ516" i="1"/>
  <c r="CQ124" i="1"/>
  <c r="BY34" i="1"/>
  <c r="EP34" i="1" s="1"/>
  <c r="BY1014" i="1"/>
  <c r="EP1014" i="1" s="1"/>
  <c r="CT837" i="1"/>
  <c r="CS1116" i="1"/>
  <c r="BE97" i="1" a="1"/>
  <c r="BE97" i="1" s="1"/>
  <c r="CO894" i="1"/>
  <c r="CP614" i="1"/>
  <c r="BY705" i="1"/>
  <c r="EP705" i="1" s="1"/>
  <c r="BE842" i="1" a="1"/>
  <c r="BE842" i="1" s="1"/>
  <c r="CQ930" i="1"/>
  <c r="CS941" i="1"/>
  <c r="CT957" i="1"/>
  <c r="CO968" i="1"/>
  <c r="CR614" i="1"/>
  <c r="CR34" i="1"/>
  <c r="CV34" i="1" s="1"/>
  <c r="BE643" i="1" a="1"/>
  <c r="BE643" i="1" s="1"/>
  <c r="CP843" i="1"/>
  <c r="CO795" i="1"/>
  <c r="CS878" i="1"/>
  <c r="BY887" i="1"/>
  <c r="EP887" i="1" s="1"/>
  <c r="CT975" i="1"/>
  <c r="CR558" i="1"/>
  <c r="CV558" i="1" s="1"/>
  <c r="BY842" i="1"/>
  <c r="EP842" i="1" s="1"/>
  <c r="BY928" i="1"/>
  <c r="EP928" i="1" s="1"/>
  <c r="CT928" i="1"/>
  <c r="CU928" i="1" s="1"/>
  <c r="CT1079" i="1"/>
  <c r="BY1079" i="1"/>
  <c r="EP1079" i="1" s="1"/>
  <c r="CR930" i="1"/>
  <c r="CR765" i="1"/>
  <c r="CR968" i="1"/>
  <c r="CV968" i="1" s="1"/>
  <c r="CS614" i="1"/>
  <c r="CP632" i="1"/>
  <c r="CR564" i="1"/>
  <c r="BY643" i="1"/>
  <c r="EP643" i="1" s="1"/>
  <c r="CO167" i="1"/>
  <c r="CR928" i="1"/>
  <c r="CS693" i="1"/>
  <c r="CQ877" i="1"/>
  <c r="BY731" i="1"/>
  <c r="EP731" i="1" s="1"/>
  <c r="CQ522" i="1"/>
  <c r="CS124" i="1"/>
  <c r="CT842" i="1"/>
  <c r="CT930" i="1"/>
  <c r="CP941" i="1"/>
  <c r="CQ957" i="1"/>
  <c r="BY594" i="1"/>
  <c r="EP594" i="1" s="1"/>
  <c r="CR632" i="1"/>
  <c r="CT564" i="1"/>
  <c r="CO1019" i="1"/>
  <c r="CO843" i="1"/>
  <c r="CS928" i="1"/>
  <c r="CQ617" i="1"/>
  <c r="CO682" i="1"/>
  <c r="BY695" i="1"/>
  <c r="EP695" i="1" s="1"/>
  <c r="CQ740" i="1"/>
  <c r="CO837" i="1"/>
  <c r="BY877" i="1"/>
  <c r="EP877" i="1" s="1"/>
  <c r="CS828" i="1"/>
  <c r="CV828" i="1" s="1"/>
  <c r="BY517" i="1"/>
  <c r="EP517" i="1" s="1"/>
  <c r="CR522" i="1"/>
  <c r="CQ941" i="1"/>
  <c r="BE655" i="1" a="1"/>
  <c r="BE655" i="1" s="1"/>
  <c r="BE34" i="1" a="1"/>
  <c r="BE34" i="1" s="1"/>
  <c r="BY441" i="1"/>
  <c r="EP441" i="1" s="1"/>
  <c r="BY950" i="1"/>
  <c r="EP950" i="1" s="1"/>
  <c r="BY190" i="1"/>
  <c r="EP190" i="1" s="1"/>
  <c r="BY144" i="1"/>
  <c r="EP144" i="1" s="1"/>
  <c r="CT617" i="1"/>
  <c r="CT909" i="1"/>
  <c r="BY558" i="1"/>
  <c r="EP558" i="1" s="1"/>
  <c r="CT740" i="1"/>
  <c r="CO835" i="1"/>
  <c r="CO846" i="1"/>
  <c r="CO951" i="1"/>
  <c r="CP821" i="1"/>
  <c r="CO957" i="1"/>
  <c r="BY584" i="1"/>
  <c r="EP584" i="1" s="1"/>
  <c r="CO34" i="1"/>
  <c r="CO441" i="1"/>
  <c r="BE1019" i="1" a="1"/>
  <c r="BE1019" i="1" s="1"/>
  <c r="CP190" i="1"/>
  <c r="CP965" i="1"/>
  <c r="CO144" i="1"/>
  <c r="CP617" i="1"/>
  <c r="CS682" i="1"/>
  <c r="BY693" i="1"/>
  <c r="EP693" i="1" s="1"/>
  <c r="CT877" i="1"/>
  <c r="CT878" i="1"/>
  <c r="CS975" i="1"/>
  <c r="CV975" i="1" s="1"/>
  <c r="CS1114" i="1"/>
  <c r="BY1116" i="1"/>
  <c r="EP1116" i="1" s="1"/>
  <c r="CO558" i="1"/>
  <c r="CP835" i="1"/>
  <c r="CR516" i="1"/>
  <c r="CP846" i="1"/>
  <c r="CV894" i="1"/>
  <c r="BY67" i="1"/>
  <c r="EP67" i="1" s="1"/>
  <c r="CP951" i="1"/>
  <c r="CR821" i="1"/>
  <c r="CV821" i="1" s="1"/>
  <c r="CR957" i="1"/>
  <c r="CQ968" i="1"/>
  <c r="CT655" i="1"/>
  <c r="CP34" i="1"/>
  <c r="CP441" i="1"/>
  <c r="BY31" i="1"/>
  <c r="EP31" i="1" s="1"/>
  <c r="CS190" i="1"/>
  <c r="CV190" i="1" s="1"/>
  <c r="BE825" i="1" a="1"/>
  <c r="BE825" i="1" s="1"/>
  <c r="CP144" i="1"/>
  <c r="CS617" i="1"/>
  <c r="CV617" i="1" s="1"/>
  <c r="CT758" i="1"/>
  <c r="CO1115" i="1"/>
  <c r="CP558" i="1"/>
  <c r="CS516" i="1"/>
  <c r="CS525" i="1"/>
  <c r="CV525" i="1" s="1"/>
  <c r="BY521" i="1"/>
  <c r="EP521" i="1" s="1"/>
  <c r="BY522" i="1"/>
  <c r="EP522" i="1" s="1"/>
  <c r="CO124" i="1"/>
  <c r="CR846" i="1"/>
  <c r="CV846" i="1" s="1"/>
  <c r="CQ54" i="1"/>
  <c r="CQ894" i="1"/>
  <c r="BY930" i="1"/>
  <c r="EP930" i="1" s="1"/>
  <c r="CR951" i="1"/>
  <c r="CV951" i="1" s="1"/>
  <c r="CO842" i="1"/>
  <c r="CR54" i="1"/>
  <c r="BY1019" i="1"/>
  <c r="EP1019" i="1" s="1"/>
  <c r="BE843" i="1" a="1"/>
  <c r="BE843" i="1" s="1"/>
  <c r="CR590" i="1"/>
  <c r="BY925" i="1"/>
  <c r="EP925" i="1" s="1"/>
  <c r="CP928" i="1"/>
  <c r="BY682" i="1"/>
  <c r="EP682" i="1" s="1"/>
  <c r="CS758" i="1"/>
  <c r="BY837" i="1"/>
  <c r="EP837" i="1" s="1"/>
  <c r="BY1117" i="1"/>
  <c r="EP1117" i="1" s="1"/>
  <c r="CR1116" i="1"/>
  <c r="BY516" i="1"/>
  <c r="EP516" i="1" s="1"/>
  <c r="CO522" i="1"/>
  <c r="CR124" i="1"/>
  <c r="CQ846" i="1"/>
  <c r="CS842" i="1"/>
  <c r="CV842" i="1" s="1"/>
  <c r="CS54" i="1"/>
  <c r="CO873" i="1"/>
  <c r="CT873" i="1"/>
  <c r="CS873" i="1"/>
  <c r="CP873" i="1"/>
  <c r="CR873" i="1"/>
  <c r="BY821" i="1"/>
  <c r="EP821" i="1" s="1"/>
  <c r="BY951" i="1"/>
  <c r="EP951" i="1" s="1"/>
  <c r="CQ951" i="1"/>
  <c r="CS1014" i="1"/>
  <c r="CP1014" i="1"/>
  <c r="CO1014" i="1"/>
  <c r="CR695" i="1"/>
  <c r="CT695" i="1"/>
  <c r="CS695" i="1"/>
  <c r="CQ695" i="1"/>
  <c r="CP695" i="1"/>
  <c r="CO695" i="1"/>
  <c r="BY632" i="1"/>
  <c r="EP632" i="1" s="1"/>
  <c r="CT441" i="1"/>
  <c r="CT825" i="1"/>
  <c r="CQ825" i="1"/>
  <c r="CP825" i="1"/>
  <c r="CT731" i="1"/>
  <c r="CS731" i="1"/>
  <c r="CR731" i="1"/>
  <c r="CQ731" i="1"/>
  <c r="CP731" i="1"/>
  <c r="CO731" i="1"/>
  <c r="BN873" i="1"/>
  <c r="BY614" i="1"/>
  <c r="EP614" i="1" s="1"/>
  <c r="CS930" i="1"/>
  <c r="CR941" i="1"/>
  <c r="CS957" i="1"/>
  <c r="CT968" i="1"/>
  <c r="BO873" i="1"/>
  <c r="CQ873" i="1" s="1"/>
  <c r="CP583" i="1"/>
  <c r="CO655" i="1"/>
  <c r="CO584" i="1"/>
  <c r="CO594" i="1"/>
  <c r="CO302" i="1"/>
  <c r="CT34" i="1"/>
  <c r="CO825" i="1"/>
  <c r="CR1014" i="1"/>
  <c r="BY1021" i="1"/>
  <c r="EP1021" i="1" s="1"/>
  <c r="CT1078" i="1"/>
  <c r="CS1078" i="1"/>
  <c r="CR1078" i="1"/>
  <c r="CQ1078" i="1"/>
  <c r="CT1117" i="1"/>
  <c r="CS1117" i="1"/>
  <c r="CQ1117" i="1"/>
  <c r="CR1117" i="1"/>
  <c r="CP1117" i="1"/>
  <c r="CQ583" i="1"/>
  <c r="CP655" i="1"/>
  <c r="CP584" i="1"/>
  <c r="CP594" i="1"/>
  <c r="CP302" i="1"/>
  <c r="CS950" i="1"/>
  <c r="CP950" i="1"/>
  <c r="CR31" i="1"/>
  <c r="CQ31" i="1"/>
  <c r="CR825" i="1"/>
  <c r="BY843" i="1"/>
  <c r="EP843" i="1" s="1"/>
  <c r="CT1014" i="1"/>
  <c r="CP1021" i="1"/>
  <c r="CT1021" i="1"/>
  <c r="BN313" i="1"/>
  <c r="BO313" i="1" s="1"/>
  <c r="BY313" i="1" s="1"/>
  <c r="EP313" i="1" s="1"/>
  <c r="CN313" i="1"/>
  <c r="BY590" i="1"/>
  <c r="EP590" i="1" s="1"/>
  <c r="CS925" i="1"/>
  <c r="CR925" i="1"/>
  <c r="CQ925" i="1"/>
  <c r="CP925" i="1"/>
  <c r="CO925" i="1"/>
  <c r="BY617" i="1"/>
  <c r="EP617" i="1" s="1"/>
  <c r="CO663" i="1"/>
  <c r="CT663" i="1"/>
  <c r="CS663" i="1"/>
  <c r="CR663" i="1"/>
  <c r="CQ663" i="1"/>
  <c r="CP663" i="1"/>
  <c r="CT693" i="1"/>
  <c r="CO866" i="1"/>
  <c r="CT866" i="1"/>
  <c r="CS866" i="1"/>
  <c r="CR866" i="1"/>
  <c r="CQ866" i="1"/>
  <c r="CO1117" i="1"/>
  <c r="CT941" i="1"/>
  <c r="CR583" i="1"/>
  <c r="CQ655" i="1"/>
  <c r="CQ584" i="1"/>
  <c r="CR594" i="1"/>
  <c r="CQ302" i="1"/>
  <c r="CO950" i="1"/>
  <c r="CO31" i="1"/>
  <c r="CT190" i="1"/>
  <c r="CS825" i="1"/>
  <c r="CQ843" i="1"/>
  <c r="CO1021" i="1"/>
  <c r="CP1078" i="1"/>
  <c r="CS1079" i="1"/>
  <c r="CR1079" i="1"/>
  <c r="CQ1079" i="1"/>
  <c r="CP1079" i="1"/>
  <c r="CO1079" i="1"/>
  <c r="CT925" i="1"/>
  <c r="CP866" i="1"/>
  <c r="CT821" i="1"/>
  <c r="CS583" i="1"/>
  <c r="CR655" i="1"/>
  <c r="CR584" i="1"/>
  <c r="CV584" i="1" s="1"/>
  <c r="CS594" i="1"/>
  <c r="CS302" i="1"/>
  <c r="CV302" i="1" s="1"/>
  <c r="CQ34" i="1"/>
  <c r="CQ950" i="1"/>
  <c r="CP31" i="1"/>
  <c r="CO643" i="1"/>
  <c r="CT643" i="1"/>
  <c r="CS643" i="1"/>
  <c r="CQ1021" i="1"/>
  <c r="CT167" i="1"/>
  <c r="CQ167" i="1"/>
  <c r="CP167" i="1"/>
  <c r="CT804" i="1"/>
  <c r="BY804" i="1"/>
  <c r="EP804" i="1" s="1"/>
  <c r="CT951" i="1"/>
  <c r="CS765" i="1"/>
  <c r="CO930" i="1"/>
  <c r="BU765" i="1"/>
  <c r="CT583" i="1"/>
  <c r="CS655" i="1"/>
  <c r="CT584" i="1"/>
  <c r="CT594" i="1"/>
  <c r="CT302" i="1"/>
  <c r="CR950" i="1"/>
  <c r="BE31" i="1" a="1"/>
  <c r="BE31" i="1" s="1"/>
  <c r="CS31" i="1"/>
  <c r="CT965" i="1"/>
  <c r="CR1021" i="1"/>
  <c r="CT144" i="1"/>
  <c r="CR705" i="1"/>
  <c r="CT705" i="1"/>
  <c r="CS705" i="1"/>
  <c r="CQ705" i="1"/>
  <c r="CT919" i="1"/>
  <c r="CQ919" i="1"/>
  <c r="CS919" i="1"/>
  <c r="CR919" i="1"/>
  <c r="CP919" i="1"/>
  <c r="CO919" i="1"/>
  <c r="BY1118" i="1"/>
  <c r="EP1118" i="1" s="1"/>
  <c r="CR1119" i="1"/>
  <c r="CQ1119" i="1"/>
  <c r="CO1119" i="1"/>
  <c r="CT1119" i="1"/>
  <c r="CS1119" i="1"/>
  <c r="CT1115" i="1"/>
  <c r="BY519" i="1"/>
  <c r="EP519" i="1" s="1"/>
  <c r="CT519" i="1"/>
  <c r="CS564" i="1"/>
  <c r="CP564" i="1"/>
  <c r="CT950" i="1"/>
  <c r="CP1019" i="1"/>
  <c r="CT1019" i="1"/>
  <c r="CT31" i="1"/>
  <c r="CQ643" i="1"/>
  <c r="BE1021" i="1" a="1"/>
  <c r="BE1021" i="1" s="1"/>
  <c r="CS1021" i="1"/>
  <c r="CR167" i="1"/>
  <c r="CV167" i="1" s="1"/>
  <c r="CO705" i="1"/>
  <c r="CP1119" i="1"/>
  <c r="BY828" i="1"/>
  <c r="EP828" i="1" s="1"/>
  <c r="CT828" i="1"/>
  <c r="CT619" i="1"/>
  <c r="CS619" i="1"/>
  <c r="CR619" i="1"/>
  <c r="CQ619" i="1"/>
  <c r="CT44" i="1"/>
  <c r="CS44" i="1"/>
  <c r="CR44" i="1"/>
  <c r="CQ44" i="1"/>
  <c r="CP44" i="1"/>
  <c r="CO44" i="1"/>
  <c r="CR887" i="1"/>
  <c r="CO887" i="1"/>
  <c r="CO619" i="1"/>
  <c r="BY525" i="1"/>
  <c r="EP525" i="1" s="1"/>
  <c r="CS590" i="1"/>
  <c r="CP887" i="1"/>
  <c r="CQ1115" i="1"/>
  <c r="BY1114" i="1"/>
  <c r="EP1114" i="1" s="1"/>
  <c r="CT1114" i="1"/>
  <c r="CP619" i="1"/>
  <c r="BY835" i="1"/>
  <c r="EP835" i="1" s="1"/>
  <c r="CT835" i="1"/>
  <c r="BY894" i="1"/>
  <c r="EP894" i="1" s="1"/>
  <c r="CT894" i="1"/>
  <c r="CT67" i="1"/>
  <c r="CS67" i="1"/>
  <c r="CR67" i="1"/>
  <c r="CQ67" i="1"/>
  <c r="CP67" i="1"/>
  <c r="CO190" i="1"/>
  <c r="CT590" i="1"/>
  <c r="CO617" i="1"/>
  <c r="CT682" i="1"/>
  <c r="CQ693" i="1"/>
  <c r="CO758" i="1"/>
  <c r="CO877" i="1"/>
  <c r="CQ887" i="1"/>
  <c r="CQ835" i="1"/>
  <c r="CO67" i="1"/>
  <c r="CT795" i="1"/>
  <c r="CS887" i="1"/>
  <c r="CS909" i="1"/>
  <c r="CV909" i="1" s="1"/>
  <c r="CP909" i="1"/>
  <c r="CS1118" i="1"/>
  <c r="CR1118" i="1"/>
  <c r="CP1118" i="1"/>
  <c r="CT525" i="1"/>
  <c r="BY846" i="1"/>
  <c r="EP846" i="1" s="1"/>
  <c r="CT846" i="1"/>
  <c r="BY54" i="1"/>
  <c r="EP54" i="1" s="1"/>
  <c r="CT54" i="1"/>
  <c r="CT887" i="1"/>
  <c r="CT517" i="1"/>
  <c r="CS517" i="1"/>
  <c r="CR517" i="1"/>
  <c r="CQ517" i="1"/>
  <c r="CP517" i="1"/>
  <c r="CO517" i="1"/>
  <c r="CR693" i="1"/>
  <c r="CP740" i="1"/>
  <c r="CR758" i="1"/>
  <c r="CS877" i="1"/>
  <c r="CQ909" i="1"/>
  <c r="CP975" i="1"/>
  <c r="CQ1118" i="1"/>
  <c r="CT521" i="1"/>
  <c r="CS521" i="1"/>
  <c r="CR521" i="1"/>
  <c r="CQ521" i="1"/>
  <c r="CP521" i="1"/>
  <c r="BY124" i="1"/>
  <c r="EP124" i="1" s="1"/>
  <c r="CT124" i="1"/>
  <c r="CT97" i="1"/>
  <c r="CS97" i="1"/>
  <c r="CR97" i="1"/>
  <c r="CQ97" i="1"/>
  <c r="CP97" i="1"/>
  <c r="CO97" i="1"/>
  <c r="CO804" i="1"/>
  <c r="CT522" i="1"/>
  <c r="CT1116" i="1"/>
  <c r="CP804" i="1"/>
  <c r="CO828" i="1"/>
  <c r="CO519" i="1"/>
  <c r="CT516" i="1"/>
  <c r="CO525" i="1"/>
  <c r="CT558" i="1"/>
  <c r="CQ804" i="1"/>
  <c r="CP828" i="1"/>
  <c r="CP519" i="1"/>
  <c r="CP525" i="1"/>
  <c r="CP842" i="1"/>
  <c r="CO1114" i="1"/>
  <c r="CR804" i="1"/>
  <c r="CV804" i="1" s="1"/>
  <c r="CQ828" i="1"/>
  <c r="CQ519" i="1"/>
  <c r="CQ525" i="1"/>
  <c r="CQ842" i="1"/>
  <c r="CU441" i="1" l="1"/>
  <c r="CT765" i="1"/>
  <c r="CU1116" i="1"/>
  <c r="CU682" i="1"/>
  <c r="CS891" i="1"/>
  <c r="CR891" i="1"/>
  <c r="CT891" i="1"/>
  <c r="CQ891" i="1"/>
  <c r="CO891" i="1"/>
  <c r="CU765" i="1"/>
  <c r="CU632" i="1"/>
  <c r="CU821" i="1"/>
  <c r="CV878" i="1"/>
  <c r="CU516" i="1"/>
  <c r="CU590" i="1"/>
  <c r="CV643" i="1"/>
  <c r="CV516" i="1"/>
  <c r="CU1019" i="1"/>
  <c r="CV877" i="1"/>
  <c r="CU965" i="1"/>
  <c r="CV522" i="1"/>
  <c r="CU795" i="1"/>
  <c r="CV632" i="1"/>
  <c r="CV765" i="1"/>
  <c r="CU975" i="1"/>
  <c r="CU877" i="1"/>
  <c r="CU843" i="1"/>
  <c r="CU564" i="1"/>
  <c r="CU1118" i="1"/>
  <c r="CU758" i="1"/>
  <c r="CV1114" i="1"/>
  <c r="CU144" i="1"/>
  <c r="CU930" i="1"/>
  <c r="CV1116" i="1"/>
  <c r="CV930" i="1"/>
  <c r="CV795" i="1"/>
  <c r="CU740" i="1"/>
  <c r="CV682" i="1"/>
  <c r="CU594" i="1"/>
  <c r="CV758" i="1"/>
  <c r="CU878" i="1"/>
  <c r="CU837" i="1"/>
  <c r="CU124" i="1"/>
  <c r="EP765" i="1"/>
  <c r="CU957" i="1"/>
  <c r="CU846" i="1"/>
  <c r="CU1014" i="1"/>
  <c r="CU614" i="1"/>
  <c r="CU842" i="1"/>
  <c r="CV590" i="1"/>
  <c r="CV54" i="1"/>
  <c r="CU302" i="1"/>
  <c r="CV614" i="1"/>
  <c r="CU909" i="1"/>
  <c r="CU517" i="1"/>
  <c r="CU1114" i="1"/>
  <c r="CV887" i="1"/>
  <c r="CU1117" i="1"/>
  <c r="CU1079" i="1"/>
  <c r="CU190" i="1"/>
  <c r="CV693" i="1"/>
  <c r="CU583" i="1"/>
  <c r="CU941" i="1"/>
  <c r="CV941" i="1"/>
  <c r="CU522" i="1"/>
  <c r="CU558" i="1"/>
  <c r="CU54" i="1"/>
  <c r="CU894" i="1"/>
  <c r="CV31" i="1"/>
  <c r="BY873" i="1"/>
  <c r="EP873" i="1" s="1"/>
  <c r="CV583" i="1"/>
  <c r="CU968" i="1"/>
  <c r="CU619" i="1"/>
  <c r="CV1021" i="1"/>
  <c r="CV594" i="1"/>
  <c r="CV124" i="1"/>
  <c r="CV928" i="1"/>
  <c r="CV564" i="1"/>
  <c r="CU835" i="1"/>
  <c r="CU617" i="1"/>
  <c r="CU525" i="1"/>
  <c r="CU519" i="1"/>
  <c r="CV705" i="1"/>
  <c r="CU951" i="1"/>
  <c r="CU925" i="1"/>
  <c r="CV866" i="1"/>
  <c r="CV663" i="1"/>
  <c r="CV925" i="1"/>
  <c r="CV1117" i="1"/>
  <c r="CU866" i="1"/>
  <c r="CU663" i="1"/>
  <c r="CU584" i="1"/>
  <c r="CU804" i="1"/>
  <c r="CU655" i="1"/>
  <c r="CV619" i="1"/>
  <c r="CU950" i="1"/>
  <c r="CU1119" i="1"/>
  <c r="CV919" i="1"/>
  <c r="CV655" i="1"/>
  <c r="CV957" i="1"/>
  <c r="CU828" i="1"/>
  <c r="CQ313" i="1"/>
  <c r="CP313" i="1"/>
  <c r="CO313" i="1"/>
  <c r="CT313" i="1"/>
  <c r="CS313" i="1"/>
  <c r="CR313" i="1"/>
  <c r="CV1079" i="1"/>
  <c r="CV825" i="1"/>
  <c r="CU887" i="1"/>
  <c r="CU919" i="1"/>
  <c r="CU693" i="1"/>
  <c r="CU1021" i="1"/>
  <c r="CU34" i="1"/>
  <c r="CV1014" i="1"/>
  <c r="CV1118" i="1"/>
  <c r="CU67" i="1"/>
  <c r="CU31" i="1"/>
  <c r="CV950" i="1"/>
  <c r="CV1078" i="1"/>
  <c r="CV873" i="1"/>
  <c r="CU44" i="1"/>
  <c r="CU167" i="1"/>
  <c r="CV67" i="1"/>
  <c r="CV97" i="1"/>
  <c r="CU643" i="1"/>
  <c r="CU1078" i="1"/>
  <c r="CV731" i="1"/>
  <c r="CV695" i="1"/>
  <c r="CU873" i="1"/>
  <c r="CV44" i="1"/>
  <c r="CV521" i="1"/>
  <c r="CU1115" i="1"/>
  <c r="CU705" i="1"/>
  <c r="CU521" i="1"/>
  <c r="CU97" i="1"/>
  <c r="CV517" i="1"/>
  <c r="CV1119" i="1"/>
  <c r="CU731" i="1"/>
  <c r="CU825" i="1"/>
  <c r="CU695" i="1"/>
  <c r="CU891" i="1" l="1"/>
  <c r="CV891" i="1"/>
  <c r="CU313" i="1"/>
  <c r="CV313" i="1"/>
  <c r="EM999" i="1" l="1"/>
  <c r="DU999" i="1"/>
  <c r="DT999" i="1"/>
  <c r="DN999" i="1"/>
  <c r="DM999" i="1"/>
  <c r="DL999" i="1"/>
  <c r="DK999" i="1"/>
  <c r="DI999" i="1"/>
  <c r="DJ999" i="1" s="1"/>
  <c r="DB999" i="1"/>
  <c r="DC999" i="1" s="1"/>
  <c r="CX999" i="1"/>
  <c r="CN999" i="1"/>
  <c r="BV999" i="1"/>
  <c r="BX999" i="1" s="1"/>
  <c r="BU999" i="1"/>
  <c r="BN999" i="1"/>
  <c r="BO999" i="1" s="1"/>
  <c r="BM999" i="1"/>
  <c r="BD999" i="1"/>
  <c r="BC999" i="1"/>
  <c r="BB999" i="1"/>
  <c r="BA999" i="1"/>
  <c r="AZ999" i="1"/>
  <c r="AY999" i="1"/>
  <c r="BE999" i="1" s="1" a="1"/>
  <c r="BE999" i="1" s="1"/>
  <c r="AX999" i="1"/>
  <c r="M999" i="1"/>
  <c r="EM66" i="1"/>
  <c r="DU66" i="1"/>
  <c r="DT66" i="1"/>
  <c r="DN66" i="1"/>
  <c r="DM66" i="1"/>
  <c r="DL66" i="1"/>
  <c r="DK66" i="1"/>
  <c r="DI66" i="1"/>
  <c r="DJ66" i="1" s="1"/>
  <c r="DB66" i="1"/>
  <c r="DC66" i="1" s="1"/>
  <c r="CX66" i="1"/>
  <c r="CN66" i="1"/>
  <c r="CP66" i="1" s="1"/>
  <c r="BV66" i="1"/>
  <c r="BX66" i="1" s="1"/>
  <c r="BU66" i="1"/>
  <c r="BN66" i="1"/>
  <c r="BO66" i="1" s="1"/>
  <c r="BM66" i="1"/>
  <c r="BD66" i="1"/>
  <c r="BC66" i="1"/>
  <c r="BB66" i="1"/>
  <c r="BA66" i="1"/>
  <c r="AZ66" i="1"/>
  <c r="AY66" i="1"/>
  <c r="AX66" i="1"/>
  <c r="M66" i="1"/>
  <c r="EM63" i="1"/>
  <c r="DU63" i="1"/>
  <c r="DT63" i="1"/>
  <c r="DN63" i="1"/>
  <c r="DM63" i="1"/>
  <c r="DL63" i="1"/>
  <c r="DK63" i="1"/>
  <c r="DI63" i="1"/>
  <c r="DJ63" i="1" s="1"/>
  <c r="DB63" i="1"/>
  <c r="DC63" i="1" s="1"/>
  <c r="CX63" i="1"/>
  <c r="CN63" i="1"/>
  <c r="CS63" i="1" s="1"/>
  <c r="BV63" i="1"/>
  <c r="BX63" i="1" s="1"/>
  <c r="BU63" i="1"/>
  <c r="BN63" i="1"/>
  <c r="BO63" i="1" s="1"/>
  <c r="BM63" i="1"/>
  <c r="BD63" i="1"/>
  <c r="BC63" i="1"/>
  <c r="BB63" i="1"/>
  <c r="BA63" i="1"/>
  <c r="AZ63" i="1"/>
  <c r="AY63" i="1"/>
  <c r="AX63" i="1"/>
  <c r="M63" i="1"/>
  <c r="EM51" i="1"/>
  <c r="DU51" i="1"/>
  <c r="DT51" i="1"/>
  <c r="DN51" i="1"/>
  <c r="DM51" i="1"/>
  <c r="DL51" i="1"/>
  <c r="DK51" i="1"/>
  <c r="DI51" i="1"/>
  <c r="DJ51" i="1" s="1"/>
  <c r="DB51" i="1"/>
  <c r="DC51" i="1" s="1"/>
  <c r="CX51" i="1"/>
  <c r="CN51" i="1"/>
  <c r="CS51" i="1" s="1"/>
  <c r="BV51" i="1"/>
  <c r="BX51" i="1" s="1"/>
  <c r="BU51" i="1"/>
  <c r="BN51" i="1"/>
  <c r="BO51" i="1" s="1"/>
  <c r="BM51" i="1"/>
  <c r="BD51" i="1"/>
  <c r="BC51" i="1"/>
  <c r="BB51" i="1"/>
  <c r="BA51" i="1"/>
  <c r="AZ51" i="1"/>
  <c r="AY51" i="1"/>
  <c r="AX51" i="1"/>
  <c r="M51" i="1"/>
  <c r="EM49" i="1"/>
  <c r="DU49" i="1"/>
  <c r="DT49" i="1"/>
  <c r="DN49" i="1"/>
  <c r="DM49" i="1"/>
  <c r="DL49" i="1"/>
  <c r="DK49" i="1"/>
  <c r="DI49" i="1"/>
  <c r="DJ49" i="1" s="1"/>
  <c r="DB49" i="1"/>
  <c r="DC49" i="1" s="1"/>
  <c r="CX49" i="1"/>
  <c r="CN49" i="1"/>
  <c r="CR49" i="1" s="1"/>
  <c r="BV49" i="1"/>
  <c r="BX49" i="1" s="1"/>
  <c r="BU49" i="1"/>
  <c r="BN49" i="1"/>
  <c r="BO49" i="1" s="1"/>
  <c r="BM49" i="1"/>
  <c r="BD49" i="1"/>
  <c r="BC49" i="1"/>
  <c r="BB49" i="1"/>
  <c r="BA49" i="1"/>
  <c r="AZ49" i="1"/>
  <c r="BF49" i="1" s="1" a="1"/>
  <c r="BF49" i="1" s="1"/>
  <c r="AY49" i="1"/>
  <c r="AX49" i="1"/>
  <c r="M49" i="1"/>
  <c r="EM48" i="1"/>
  <c r="DU48" i="1"/>
  <c r="DT48" i="1"/>
  <c r="DN48" i="1"/>
  <c r="DM48" i="1"/>
  <c r="DL48" i="1"/>
  <c r="DK48" i="1"/>
  <c r="DI48" i="1"/>
  <c r="DJ48" i="1" s="1"/>
  <c r="DB48" i="1"/>
  <c r="DC48" i="1" s="1"/>
  <c r="CX48" i="1"/>
  <c r="CN48" i="1"/>
  <c r="CP48" i="1" s="1"/>
  <c r="BV48" i="1"/>
  <c r="BX48" i="1" s="1"/>
  <c r="BU48" i="1"/>
  <c r="BN48" i="1"/>
  <c r="BO48" i="1" s="1"/>
  <c r="BM48" i="1"/>
  <c r="BD48" i="1"/>
  <c r="BC48" i="1"/>
  <c r="BB48" i="1"/>
  <c r="BA48" i="1"/>
  <c r="AZ48" i="1"/>
  <c r="AY48" i="1"/>
  <c r="AX48" i="1"/>
  <c r="M48" i="1"/>
  <c r="EM985" i="1"/>
  <c r="DU985" i="1"/>
  <c r="DT985" i="1"/>
  <c r="DN985" i="1"/>
  <c r="DM985" i="1"/>
  <c r="DL985" i="1"/>
  <c r="DK985" i="1"/>
  <c r="DI985" i="1"/>
  <c r="DJ985" i="1" s="1"/>
  <c r="DB985" i="1"/>
  <c r="DC985" i="1" s="1"/>
  <c r="CX985" i="1"/>
  <c r="CN985" i="1"/>
  <c r="CO985" i="1" s="1"/>
  <c r="BV985" i="1"/>
  <c r="BX985" i="1" s="1"/>
  <c r="BU985" i="1"/>
  <c r="BN985" i="1"/>
  <c r="BO985" i="1" s="1"/>
  <c r="BM985" i="1"/>
  <c r="BD985" i="1"/>
  <c r="BC985" i="1"/>
  <c r="BB985" i="1"/>
  <c r="BA985" i="1"/>
  <c r="AZ985" i="1"/>
  <c r="AY985" i="1"/>
  <c r="BE985" i="1" s="1" a="1"/>
  <c r="BE985" i="1" s="1"/>
  <c r="AX985" i="1"/>
  <c r="M985" i="1"/>
  <c r="EM983" i="1"/>
  <c r="DU983" i="1"/>
  <c r="DT983" i="1"/>
  <c r="DN983" i="1"/>
  <c r="DM983" i="1"/>
  <c r="DL983" i="1"/>
  <c r="DK983" i="1"/>
  <c r="DI983" i="1"/>
  <c r="DJ983" i="1" s="1"/>
  <c r="DB983" i="1"/>
  <c r="DC983" i="1" s="1"/>
  <c r="CX983" i="1"/>
  <c r="CN983" i="1"/>
  <c r="CR983" i="1" s="1"/>
  <c r="BV983" i="1"/>
  <c r="BX983" i="1" s="1"/>
  <c r="BU983" i="1"/>
  <c r="BN983" i="1"/>
  <c r="BO983" i="1" s="1"/>
  <c r="BM983" i="1"/>
  <c r="BD983" i="1"/>
  <c r="BC983" i="1"/>
  <c r="BB983" i="1"/>
  <c r="BA983" i="1"/>
  <c r="AZ983" i="1"/>
  <c r="BF983" i="1" s="1" a="1"/>
  <c r="BF983" i="1" s="1"/>
  <c r="AY983" i="1"/>
  <c r="BE983" i="1" s="1" a="1"/>
  <c r="BE983" i="1" s="1"/>
  <c r="AX983" i="1"/>
  <c r="M983" i="1"/>
  <c r="EM1225" i="1"/>
  <c r="DU1225" i="1"/>
  <c r="DT1225" i="1"/>
  <c r="DN1225" i="1"/>
  <c r="DM1225" i="1"/>
  <c r="DL1225" i="1"/>
  <c r="DK1225" i="1"/>
  <c r="DI1225" i="1"/>
  <c r="DJ1225" i="1" s="1"/>
  <c r="DB1225" i="1"/>
  <c r="DC1225" i="1" s="1"/>
  <c r="CX1225" i="1"/>
  <c r="CN1225" i="1"/>
  <c r="BV1225" i="1"/>
  <c r="BX1225" i="1" s="1"/>
  <c r="BY1225" i="1" s="1"/>
  <c r="BU1225" i="1"/>
  <c r="BD1225" i="1"/>
  <c r="BC1225" i="1"/>
  <c r="BB1225" i="1"/>
  <c r="BA1225" i="1"/>
  <c r="AZ1225" i="1"/>
  <c r="AY1225" i="1"/>
  <c r="AX1225" i="1"/>
  <c r="M1225" i="1"/>
  <c r="EM1229" i="1"/>
  <c r="DU1229" i="1"/>
  <c r="DT1229" i="1"/>
  <c r="DN1229" i="1"/>
  <c r="DM1229" i="1"/>
  <c r="DL1229" i="1"/>
  <c r="DK1229" i="1"/>
  <c r="DI1229" i="1"/>
  <c r="DJ1229" i="1" s="1"/>
  <c r="DB1229" i="1"/>
  <c r="DC1229" i="1" s="1"/>
  <c r="CX1229" i="1"/>
  <c r="CN1229" i="1"/>
  <c r="CR1229" i="1" s="1"/>
  <c r="BV1229" i="1"/>
  <c r="BX1229" i="1" s="1"/>
  <c r="BY1229" i="1" s="1"/>
  <c r="BU1229" i="1"/>
  <c r="BD1229" i="1"/>
  <c r="BC1229" i="1"/>
  <c r="BB1229" i="1"/>
  <c r="BA1229" i="1"/>
  <c r="AZ1229" i="1"/>
  <c r="BF1229" i="1" s="1" a="1"/>
  <c r="BF1229" i="1" s="1"/>
  <c r="AY1229" i="1"/>
  <c r="BE1229" i="1" s="1" a="1"/>
  <c r="BE1229" i="1" s="1"/>
  <c r="AX1229" i="1"/>
  <c r="M1229" i="1"/>
  <c r="EM1224" i="1"/>
  <c r="DU1224" i="1"/>
  <c r="DT1224" i="1"/>
  <c r="DN1224" i="1"/>
  <c r="DM1224" i="1"/>
  <c r="DL1224" i="1"/>
  <c r="DK1224" i="1"/>
  <c r="DI1224" i="1"/>
  <c r="DJ1224" i="1" s="1"/>
  <c r="DB1224" i="1"/>
  <c r="DC1224" i="1" s="1"/>
  <c r="CX1224" i="1"/>
  <c r="CN1224" i="1"/>
  <c r="CR1224" i="1" s="1"/>
  <c r="BV1224" i="1"/>
  <c r="BX1224" i="1" s="1"/>
  <c r="BU1224" i="1"/>
  <c r="BD1224" i="1"/>
  <c r="BC1224" i="1"/>
  <c r="BB1224" i="1"/>
  <c r="BA1224" i="1"/>
  <c r="AZ1224" i="1"/>
  <c r="BF1224" i="1" s="1" a="1"/>
  <c r="BF1224" i="1" s="1"/>
  <c r="AY1224" i="1"/>
  <c r="AX1224" i="1"/>
  <c r="M1224" i="1"/>
  <c r="EM1223" i="1"/>
  <c r="DU1223" i="1"/>
  <c r="DT1223" i="1"/>
  <c r="DN1223" i="1"/>
  <c r="DM1223" i="1"/>
  <c r="DL1223" i="1"/>
  <c r="DK1223" i="1"/>
  <c r="DI1223" i="1"/>
  <c r="DJ1223" i="1" s="1"/>
  <c r="DB1223" i="1"/>
  <c r="DC1223" i="1" s="1"/>
  <c r="CX1223" i="1"/>
  <c r="CN1223" i="1"/>
  <c r="CR1223" i="1" s="1"/>
  <c r="BV1223" i="1"/>
  <c r="BX1223" i="1" s="1"/>
  <c r="BY1223" i="1" s="1"/>
  <c r="BU1223" i="1"/>
  <c r="BD1223" i="1"/>
  <c r="BC1223" i="1"/>
  <c r="BB1223" i="1"/>
  <c r="BA1223" i="1"/>
  <c r="AZ1223" i="1"/>
  <c r="AY1223" i="1"/>
  <c r="AX1223" i="1"/>
  <c r="M1223" i="1"/>
  <c r="EM1222" i="1"/>
  <c r="DU1222" i="1"/>
  <c r="DT1222" i="1"/>
  <c r="DN1222" i="1"/>
  <c r="DM1222" i="1"/>
  <c r="DL1222" i="1"/>
  <c r="DK1222" i="1"/>
  <c r="DI1222" i="1"/>
  <c r="DJ1222" i="1" s="1"/>
  <c r="DB1222" i="1"/>
  <c r="DC1222" i="1" s="1"/>
  <c r="CX1222" i="1"/>
  <c r="CN1222" i="1"/>
  <c r="CR1222" i="1" s="1"/>
  <c r="BV1222" i="1"/>
  <c r="BX1222" i="1" s="1"/>
  <c r="BY1222" i="1" s="1"/>
  <c r="BU1222" i="1"/>
  <c r="BD1222" i="1"/>
  <c r="BC1222" i="1"/>
  <c r="BB1222" i="1"/>
  <c r="BA1222" i="1"/>
  <c r="AZ1222" i="1"/>
  <c r="AY1222" i="1"/>
  <c r="AX1222" i="1"/>
  <c r="M1222" i="1"/>
  <c r="EM1228" i="1"/>
  <c r="DU1228" i="1"/>
  <c r="DT1228" i="1"/>
  <c r="DN1228" i="1"/>
  <c r="DM1228" i="1"/>
  <c r="DL1228" i="1"/>
  <c r="DK1228" i="1"/>
  <c r="DI1228" i="1"/>
  <c r="DJ1228" i="1" s="1"/>
  <c r="DB1228" i="1"/>
  <c r="DC1228" i="1" s="1"/>
  <c r="CX1228" i="1"/>
  <c r="CN1228" i="1"/>
  <c r="CS1228" i="1" s="1"/>
  <c r="BV1228" i="1"/>
  <c r="BX1228" i="1" s="1"/>
  <c r="BU1228" i="1"/>
  <c r="BD1228" i="1"/>
  <c r="BC1228" i="1"/>
  <c r="BB1228" i="1"/>
  <c r="BA1228" i="1"/>
  <c r="AZ1228" i="1"/>
  <c r="BF1228" i="1" s="1" a="1"/>
  <c r="BF1228" i="1" s="1"/>
  <c r="AY1228" i="1"/>
  <c r="BE1228" i="1" s="1" a="1"/>
  <c r="BE1228" i="1" s="1"/>
  <c r="AX1228" i="1"/>
  <c r="M1228" i="1"/>
  <c r="EM1221" i="1"/>
  <c r="DU1221" i="1"/>
  <c r="DT1221" i="1"/>
  <c r="DN1221" i="1"/>
  <c r="DM1221" i="1"/>
  <c r="DL1221" i="1"/>
  <c r="DK1221" i="1"/>
  <c r="DI1221" i="1"/>
  <c r="DJ1221" i="1" s="1"/>
  <c r="DB1221" i="1"/>
  <c r="DC1221" i="1" s="1"/>
  <c r="CX1221" i="1"/>
  <c r="CN1221" i="1"/>
  <c r="CS1221" i="1" s="1"/>
  <c r="BV1221" i="1"/>
  <c r="BX1221" i="1" s="1"/>
  <c r="BY1221" i="1" s="1"/>
  <c r="BU1221" i="1"/>
  <c r="BD1221" i="1"/>
  <c r="BC1221" i="1"/>
  <c r="BB1221" i="1"/>
  <c r="BA1221" i="1"/>
  <c r="AZ1221" i="1"/>
  <c r="BF1221" i="1" s="1" a="1"/>
  <c r="BF1221" i="1" s="1"/>
  <c r="AY1221" i="1"/>
  <c r="AX1221" i="1"/>
  <c r="M1221" i="1"/>
  <c r="EM1220" i="1"/>
  <c r="DU1220" i="1"/>
  <c r="DT1220" i="1"/>
  <c r="DN1220" i="1"/>
  <c r="DM1220" i="1"/>
  <c r="DL1220" i="1"/>
  <c r="DK1220" i="1"/>
  <c r="DI1220" i="1"/>
  <c r="DJ1220" i="1" s="1"/>
  <c r="DB1220" i="1"/>
  <c r="DC1220" i="1" s="1"/>
  <c r="CX1220" i="1"/>
  <c r="CN1220" i="1"/>
  <c r="BV1220" i="1"/>
  <c r="BX1220" i="1" s="1"/>
  <c r="BY1220" i="1" s="1"/>
  <c r="BU1220" i="1"/>
  <c r="BD1220" i="1"/>
  <c r="BC1220" i="1"/>
  <c r="BB1220" i="1"/>
  <c r="BA1220" i="1"/>
  <c r="AZ1220" i="1"/>
  <c r="BF1220" i="1" s="1" a="1"/>
  <c r="BF1220" i="1" s="1"/>
  <c r="AY1220" i="1"/>
  <c r="AX1220" i="1"/>
  <c r="M1220" i="1"/>
  <c r="EM72" i="1"/>
  <c r="DU72" i="1"/>
  <c r="DT72" i="1"/>
  <c r="DN72" i="1"/>
  <c r="DM72" i="1"/>
  <c r="DL72" i="1"/>
  <c r="DK72" i="1"/>
  <c r="DI72" i="1"/>
  <c r="DJ72" i="1" s="1"/>
  <c r="DB72" i="1"/>
  <c r="DC72" i="1" s="1"/>
  <c r="CX72" i="1"/>
  <c r="CN72" i="1"/>
  <c r="CS72" i="1" s="1"/>
  <c r="BV72" i="1"/>
  <c r="BX72" i="1" s="1"/>
  <c r="BU72" i="1"/>
  <c r="BN72" i="1"/>
  <c r="BO72" i="1" s="1"/>
  <c r="BM72" i="1"/>
  <c r="BD72" i="1"/>
  <c r="BC72" i="1"/>
  <c r="BB72" i="1"/>
  <c r="BA72" i="1"/>
  <c r="AZ72" i="1"/>
  <c r="BF72" i="1" s="1" a="1"/>
  <c r="BF72" i="1" s="1"/>
  <c r="AY72" i="1"/>
  <c r="AX72" i="1"/>
  <c r="M72" i="1"/>
  <c r="EM71" i="1"/>
  <c r="DU71" i="1"/>
  <c r="DT71" i="1"/>
  <c r="DN71" i="1"/>
  <c r="DM71" i="1"/>
  <c r="DL71" i="1"/>
  <c r="DK71" i="1"/>
  <c r="DI71" i="1"/>
  <c r="DJ71" i="1" s="1"/>
  <c r="DB71" i="1"/>
  <c r="DC71" i="1" s="1"/>
  <c r="CX71" i="1"/>
  <c r="CN71" i="1"/>
  <c r="BV71" i="1"/>
  <c r="BX71" i="1" s="1"/>
  <c r="BU71" i="1"/>
  <c r="BN71" i="1"/>
  <c r="BO71" i="1" s="1"/>
  <c r="BM71" i="1"/>
  <c r="BD71" i="1"/>
  <c r="BC71" i="1"/>
  <c r="BB71" i="1"/>
  <c r="BA71" i="1"/>
  <c r="AZ71" i="1"/>
  <c r="BF71" i="1" s="1" a="1"/>
  <c r="BF71" i="1" s="1"/>
  <c r="AY71" i="1"/>
  <c r="AX71" i="1"/>
  <c r="M71" i="1"/>
  <c r="EM65" i="1"/>
  <c r="DU65" i="1"/>
  <c r="DT65" i="1"/>
  <c r="DN65" i="1"/>
  <c r="DM65" i="1"/>
  <c r="DL65" i="1"/>
  <c r="DK65" i="1"/>
  <c r="DI65" i="1"/>
  <c r="DJ65" i="1" s="1"/>
  <c r="DB65" i="1"/>
  <c r="DC65" i="1" s="1"/>
  <c r="CX65" i="1"/>
  <c r="CN65" i="1"/>
  <c r="CS65" i="1" s="1"/>
  <c r="BV65" i="1"/>
  <c r="BX65" i="1" s="1"/>
  <c r="BU65" i="1"/>
  <c r="BN65" i="1"/>
  <c r="BO65" i="1" s="1"/>
  <c r="BM65" i="1"/>
  <c r="BD65" i="1"/>
  <c r="BC65" i="1"/>
  <c r="BB65" i="1"/>
  <c r="BA65" i="1"/>
  <c r="AZ65" i="1"/>
  <c r="AY65" i="1"/>
  <c r="AX65" i="1"/>
  <c r="M65" i="1"/>
  <c r="EM59" i="1"/>
  <c r="DU59" i="1"/>
  <c r="DT59" i="1"/>
  <c r="DN59" i="1"/>
  <c r="DM59" i="1"/>
  <c r="DL59" i="1"/>
  <c r="DK59" i="1"/>
  <c r="DI59" i="1"/>
  <c r="DJ59" i="1" s="1"/>
  <c r="DB59" i="1"/>
  <c r="DC59" i="1" s="1"/>
  <c r="CX59" i="1"/>
  <c r="CN59" i="1"/>
  <c r="CR59" i="1" s="1"/>
  <c r="BV59" i="1"/>
  <c r="BX59" i="1" s="1"/>
  <c r="BU59" i="1"/>
  <c r="BN59" i="1"/>
  <c r="BO59" i="1" s="1"/>
  <c r="BM59" i="1"/>
  <c r="BD59" i="1"/>
  <c r="BC59" i="1"/>
  <c r="BB59" i="1"/>
  <c r="BA59" i="1"/>
  <c r="AZ59" i="1"/>
  <c r="AY59" i="1"/>
  <c r="AX59" i="1"/>
  <c r="M59" i="1"/>
  <c r="EM57" i="1"/>
  <c r="DU57" i="1"/>
  <c r="DT57" i="1"/>
  <c r="DN57" i="1"/>
  <c r="DM57" i="1"/>
  <c r="DL57" i="1"/>
  <c r="DK57" i="1"/>
  <c r="DI57" i="1"/>
  <c r="DJ57" i="1" s="1"/>
  <c r="DB57" i="1"/>
  <c r="DC57" i="1" s="1"/>
  <c r="CX57" i="1"/>
  <c r="CN57" i="1"/>
  <c r="CR57" i="1" s="1"/>
  <c r="BV57" i="1"/>
  <c r="BX57" i="1" s="1"/>
  <c r="BU57" i="1"/>
  <c r="BN57" i="1"/>
  <c r="BO57" i="1" s="1"/>
  <c r="BM57" i="1"/>
  <c r="BD57" i="1"/>
  <c r="BC57" i="1"/>
  <c r="BB57" i="1"/>
  <c r="BA57" i="1"/>
  <c r="AZ57" i="1"/>
  <c r="BF57" i="1" s="1" a="1"/>
  <c r="BF57" i="1" s="1"/>
  <c r="AY57" i="1"/>
  <c r="AX57" i="1"/>
  <c r="M57" i="1"/>
  <c r="EM47" i="1"/>
  <c r="DU47" i="1"/>
  <c r="DT47" i="1"/>
  <c r="DN47" i="1"/>
  <c r="DM47" i="1"/>
  <c r="DL47" i="1"/>
  <c r="DK47" i="1"/>
  <c r="DI47" i="1"/>
  <c r="DJ47" i="1" s="1"/>
  <c r="DB47" i="1"/>
  <c r="DC47" i="1" s="1"/>
  <c r="CX47" i="1"/>
  <c r="CN47" i="1"/>
  <c r="BV47" i="1"/>
  <c r="BX47" i="1" s="1"/>
  <c r="BU47" i="1"/>
  <c r="BN47" i="1"/>
  <c r="BO47" i="1" s="1"/>
  <c r="BM47" i="1"/>
  <c r="BD47" i="1"/>
  <c r="BC47" i="1"/>
  <c r="BB47" i="1"/>
  <c r="BA47" i="1"/>
  <c r="AZ47" i="1"/>
  <c r="BF47" i="1" s="1" a="1"/>
  <c r="BF47" i="1" s="1"/>
  <c r="AY47" i="1"/>
  <c r="AX47" i="1"/>
  <c r="M47" i="1"/>
  <c r="EM944" i="1"/>
  <c r="DU944" i="1"/>
  <c r="DT944" i="1"/>
  <c r="DN944" i="1"/>
  <c r="DM944" i="1"/>
  <c r="DL944" i="1"/>
  <c r="DK944" i="1"/>
  <c r="DI944" i="1"/>
  <c r="DJ944" i="1" s="1"/>
  <c r="DB944" i="1"/>
  <c r="DC944" i="1" s="1"/>
  <c r="CX944" i="1"/>
  <c r="CN944" i="1"/>
  <c r="CO944" i="1" s="1"/>
  <c r="BV944" i="1"/>
  <c r="BX944" i="1" s="1"/>
  <c r="BU944" i="1"/>
  <c r="BN944" i="1"/>
  <c r="BO944" i="1" s="1"/>
  <c r="BM944" i="1"/>
  <c r="BD944" i="1"/>
  <c r="BC944" i="1"/>
  <c r="BB944" i="1"/>
  <c r="BA944" i="1"/>
  <c r="AZ944" i="1"/>
  <c r="AY944" i="1"/>
  <c r="BE944" i="1" s="1" a="1"/>
  <c r="BE944" i="1" s="1"/>
  <c r="AX944" i="1"/>
  <c r="M944" i="1"/>
  <c r="EM785" i="1"/>
  <c r="DU785" i="1"/>
  <c r="DT785" i="1"/>
  <c r="DN785" i="1"/>
  <c r="DM785" i="1"/>
  <c r="DL785" i="1"/>
  <c r="DK785" i="1"/>
  <c r="DI785" i="1"/>
  <c r="DJ785" i="1" s="1"/>
  <c r="DB785" i="1"/>
  <c r="DC785" i="1" s="1"/>
  <c r="CX785" i="1"/>
  <c r="CN785" i="1"/>
  <c r="CS785" i="1" s="1"/>
  <c r="BV785" i="1"/>
  <c r="BX785" i="1" s="1"/>
  <c r="BU785" i="1"/>
  <c r="BN785" i="1"/>
  <c r="BO785" i="1" s="1"/>
  <c r="BM785" i="1"/>
  <c r="BD785" i="1"/>
  <c r="BC785" i="1"/>
  <c r="BB785" i="1"/>
  <c r="BA785" i="1"/>
  <c r="AZ785" i="1"/>
  <c r="BF785" i="1" s="1" a="1"/>
  <c r="BF785" i="1" s="1"/>
  <c r="AY785" i="1"/>
  <c r="BE785" i="1" s="1" a="1"/>
  <c r="BE785" i="1" s="1"/>
  <c r="AX785" i="1"/>
  <c r="M785" i="1"/>
  <c r="EM78" i="1"/>
  <c r="DU78" i="1"/>
  <c r="DT78" i="1"/>
  <c r="DN78" i="1"/>
  <c r="DM78" i="1"/>
  <c r="DL78" i="1"/>
  <c r="DK78" i="1"/>
  <c r="DI78" i="1"/>
  <c r="DJ78" i="1" s="1"/>
  <c r="DB78" i="1"/>
  <c r="DC78" i="1" s="1"/>
  <c r="CX78" i="1"/>
  <c r="CN78" i="1"/>
  <c r="CR78" i="1" s="1"/>
  <c r="BV78" i="1"/>
  <c r="BX78" i="1" s="1"/>
  <c r="BU78" i="1"/>
  <c r="BN78" i="1"/>
  <c r="BO78" i="1" s="1"/>
  <c r="BM78" i="1"/>
  <c r="BD78" i="1"/>
  <c r="BC78" i="1"/>
  <c r="BB78" i="1"/>
  <c r="BA78" i="1"/>
  <c r="AZ78" i="1"/>
  <c r="BF78" i="1" s="1" a="1"/>
  <c r="BF78" i="1" s="1"/>
  <c r="AY78" i="1"/>
  <c r="AX78" i="1"/>
  <c r="M78" i="1"/>
  <c r="EM69" i="1"/>
  <c r="DU69" i="1"/>
  <c r="DT69" i="1"/>
  <c r="DN69" i="1"/>
  <c r="DM69" i="1"/>
  <c r="DL69" i="1"/>
  <c r="DK69" i="1"/>
  <c r="DI69" i="1"/>
  <c r="DJ69" i="1" s="1"/>
  <c r="DB69" i="1"/>
  <c r="DC69" i="1" s="1"/>
  <c r="CX69" i="1"/>
  <c r="CN69" i="1"/>
  <c r="BV69" i="1"/>
  <c r="BX69" i="1" s="1"/>
  <c r="BU69" i="1"/>
  <c r="BN69" i="1"/>
  <c r="BO69" i="1" s="1"/>
  <c r="BM69" i="1"/>
  <c r="BD69" i="1"/>
  <c r="BC69" i="1"/>
  <c r="BB69" i="1"/>
  <c r="BA69" i="1"/>
  <c r="AZ69" i="1"/>
  <c r="BF69" i="1" s="1" a="1"/>
  <c r="BF69" i="1" s="1"/>
  <c r="AY69" i="1"/>
  <c r="AX69" i="1"/>
  <c r="M69" i="1"/>
  <c r="EM53" i="1"/>
  <c r="DU53" i="1"/>
  <c r="DT53" i="1"/>
  <c r="DN53" i="1"/>
  <c r="DM53" i="1"/>
  <c r="DL53" i="1"/>
  <c r="DK53" i="1"/>
  <c r="DI53" i="1"/>
  <c r="DJ53" i="1" s="1"/>
  <c r="DB53" i="1"/>
  <c r="DC53" i="1" s="1"/>
  <c r="CX53" i="1"/>
  <c r="CN53" i="1"/>
  <c r="CS53" i="1" s="1"/>
  <c r="BV53" i="1"/>
  <c r="BX53" i="1" s="1"/>
  <c r="BU53" i="1"/>
  <c r="BN53" i="1"/>
  <c r="BO53" i="1" s="1"/>
  <c r="BM53" i="1"/>
  <c r="BD53" i="1"/>
  <c r="BC53" i="1"/>
  <c r="BB53" i="1"/>
  <c r="BA53" i="1"/>
  <c r="AZ53" i="1"/>
  <c r="AY53" i="1"/>
  <c r="AX53" i="1"/>
  <c r="M53" i="1"/>
  <c r="EM52" i="1"/>
  <c r="DU52" i="1"/>
  <c r="DT52" i="1"/>
  <c r="DN52" i="1"/>
  <c r="DM52" i="1"/>
  <c r="DL52" i="1"/>
  <c r="DK52" i="1"/>
  <c r="DI52" i="1"/>
  <c r="DJ52" i="1" s="1"/>
  <c r="DB52" i="1"/>
  <c r="DC52" i="1" s="1"/>
  <c r="CX52" i="1"/>
  <c r="CN52" i="1"/>
  <c r="CS52" i="1" s="1"/>
  <c r="BV52" i="1"/>
  <c r="BX52" i="1" s="1"/>
  <c r="BU52" i="1"/>
  <c r="BN52" i="1"/>
  <c r="BO52" i="1" s="1"/>
  <c r="BM52" i="1"/>
  <c r="BD52" i="1"/>
  <c r="BC52" i="1"/>
  <c r="BB52" i="1"/>
  <c r="BA52" i="1"/>
  <c r="AZ52" i="1"/>
  <c r="AY52" i="1"/>
  <c r="AX52" i="1"/>
  <c r="M52" i="1"/>
  <c r="EM50" i="1"/>
  <c r="DU50" i="1"/>
  <c r="DT50" i="1"/>
  <c r="DN50" i="1"/>
  <c r="DM50" i="1"/>
  <c r="DL50" i="1"/>
  <c r="DK50" i="1"/>
  <c r="DI50" i="1"/>
  <c r="DJ50" i="1" s="1"/>
  <c r="DB50" i="1"/>
  <c r="DC50" i="1" s="1"/>
  <c r="CX50" i="1"/>
  <c r="CN50" i="1"/>
  <c r="CP50" i="1" s="1"/>
  <c r="BV50" i="1"/>
  <c r="BX50" i="1" s="1"/>
  <c r="BU50" i="1"/>
  <c r="BN50" i="1"/>
  <c r="BO50" i="1" s="1"/>
  <c r="BM50" i="1"/>
  <c r="BD50" i="1"/>
  <c r="BC50" i="1"/>
  <c r="BB50" i="1"/>
  <c r="BA50" i="1"/>
  <c r="AZ50" i="1"/>
  <c r="AY50" i="1"/>
  <c r="AX50" i="1"/>
  <c r="M50" i="1"/>
  <c r="EM805" i="1"/>
  <c r="DU805" i="1"/>
  <c r="DT805" i="1"/>
  <c r="DN805" i="1"/>
  <c r="DM805" i="1"/>
  <c r="DL805" i="1"/>
  <c r="DK805" i="1"/>
  <c r="DI805" i="1"/>
  <c r="DJ805" i="1" s="1"/>
  <c r="DB805" i="1"/>
  <c r="DC805" i="1" s="1"/>
  <c r="CX805" i="1"/>
  <c r="CN805" i="1"/>
  <c r="CR805" i="1" s="1"/>
  <c r="BV805" i="1"/>
  <c r="BX805" i="1" s="1"/>
  <c r="BU805" i="1"/>
  <c r="BN805" i="1"/>
  <c r="BO805" i="1" s="1"/>
  <c r="BM805" i="1"/>
  <c r="BD805" i="1"/>
  <c r="BC805" i="1"/>
  <c r="BB805" i="1"/>
  <c r="BA805" i="1"/>
  <c r="AZ805" i="1"/>
  <c r="BF805" i="1" s="1" a="1"/>
  <c r="BF805" i="1" s="1"/>
  <c r="AY805" i="1"/>
  <c r="BE805" i="1" s="1" a="1"/>
  <c r="BE805" i="1" s="1"/>
  <c r="AX805" i="1"/>
  <c r="M805" i="1"/>
  <c r="EM654" i="1"/>
  <c r="DU654" i="1"/>
  <c r="DT654" i="1"/>
  <c r="DN654" i="1"/>
  <c r="DM654" i="1"/>
  <c r="DL654" i="1"/>
  <c r="DK654" i="1"/>
  <c r="DI654" i="1"/>
  <c r="DJ654" i="1" s="1"/>
  <c r="DB654" i="1"/>
  <c r="DC654" i="1" s="1"/>
  <c r="CX654" i="1"/>
  <c r="CN654" i="1"/>
  <c r="CR654" i="1" s="1"/>
  <c r="BV654" i="1"/>
  <c r="BX654" i="1" s="1"/>
  <c r="BU654" i="1"/>
  <c r="BN654" i="1"/>
  <c r="BO654" i="1" s="1"/>
  <c r="BM654" i="1"/>
  <c r="BD654" i="1"/>
  <c r="BC654" i="1"/>
  <c r="BB654" i="1"/>
  <c r="BA654" i="1"/>
  <c r="AZ654" i="1"/>
  <c r="AY654" i="1"/>
  <c r="BE654" i="1" s="1" a="1"/>
  <c r="BE654" i="1" s="1"/>
  <c r="AX654" i="1"/>
  <c r="M654" i="1"/>
  <c r="EM845" i="1"/>
  <c r="DU845" i="1"/>
  <c r="DT845" i="1"/>
  <c r="DN845" i="1"/>
  <c r="DM845" i="1"/>
  <c r="DL845" i="1"/>
  <c r="DK845" i="1"/>
  <c r="DI845" i="1"/>
  <c r="DJ845" i="1" s="1"/>
  <c r="DB845" i="1"/>
  <c r="DC845" i="1" s="1"/>
  <c r="CX845" i="1"/>
  <c r="CN845" i="1"/>
  <c r="CP845" i="1" s="1"/>
  <c r="BV845" i="1"/>
  <c r="BX845" i="1" s="1"/>
  <c r="BU845" i="1"/>
  <c r="BN845" i="1"/>
  <c r="BO845" i="1" s="1"/>
  <c r="BM845" i="1"/>
  <c r="BD845" i="1"/>
  <c r="BC845" i="1"/>
  <c r="BB845" i="1"/>
  <c r="BA845" i="1"/>
  <c r="AZ845" i="1"/>
  <c r="BF845" i="1" s="1" a="1"/>
  <c r="BF845" i="1" s="1"/>
  <c r="AY845" i="1"/>
  <c r="BE845" i="1" s="1" a="1"/>
  <c r="BE845" i="1" s="1"/>
  <c r="AX845" i="1"/>
  <c r="M845" i="1"/>
  <c r="EM1219" i="1"/>
  <c r="DU1219" i="1"/>
  <c r="DT1219" i="1"/>
  <c r="DN1219" i="1"/>
  <c r="DM1219" i="1"/>
  <c r="DL1219" i="1"/>
  <c r="DK1219" i="1"/>
  <c r="DI1219" i="1"/>
  <c r="DJ1219" i="1" s="1"/>
  <c r="DB1219" i="1"/>
  <c r="DC1219" i="1" s="1"/>
  <c r="CX1219" i="1"/>
  <c r="CN1219" i="1"/>
  <c r="CR1219" i="1" s="1"/>
  <c r="BV1219" i="1"/>
  <c r="BX1219" i="1" s="1"/>
  <c r="BY1219" i="1" s="1"/>
  <c r="BU1219" i="1"/>
  <c r="BD1219" i="1"/>
  <c r="BC1219" i="1"/>
  <c r="BB1219" i="1"/>
  <c r="BA1219" i="1"/>
  <c r="AZ1219" i="1"/>
  <c r="AY1219" i="1"/>
  <c r="AX1219" i="1"/>
  <c r="M1219" i="1"/>
  <c r="EM1218" i="1"/>
  <c r="DU1218" i="1"/>
  <c r="DT1218" i="1"/>
  <c r="DN1218" i="1"/>
  <c r="DM1218" i="1"/>
  <c r="DL1218" i="1"/>
  <c r="DK1218" i="1"/>
  <c r="DI1218" i="1"/>
  <c r="DJ1218" i="1" s="1"/>
  <c r="DB1218" i="1"/>
  <c r="DC1218" i="1" s="1"/>
  <c r="CX1218" i="1"/>
  <c r="CN1218" i="1"/>
  <c r="CR1218" i="1" s="1"/>
  <c r="BV1218" i="1"/>
  <c r="BX1218" i="1" s="1"/>
  <c r="BY1218" i="1" s="1"/>
  <c r="BU1218" i="1"/>
  <c r="BD1218" i="1"/>
  <c r="BC1218" i="1"/>
  <c r="BB1218" i="1"/>
  <c r="BA1218" i="1"/>
  <c r="AZ1218" i="1"/>
  <c r="BF1218" i="1" s="1" a="1"/>
  <c r="BF1218" i="1" s="1"/>
  <c r="AY1218" i="1"/>
  <c r="AX1218" i="1"/>
  <c r="M1218" i="1"/>
  <c r="EM1237" i="1"/>
  <c r="DU1237" i="1"/>
  <c r="DT1237" i="1"/>
  <c r="DN1237" i="1"/>
  <c r="DM1237" i="1"/>
  <c r="DL1237" i="1"/>
  <c r="DK1237" i="1"/>
  <c r="DI1237" i="1"/>
  <c r="DJ1237" i="1" s="1"/>
  <c r="DB1237" i="1"/>
  <c r="DC1237" i="1" s="1"/>
  <c r="CX1237" i="1"/>
  <c r="CN1237" i="1"/>
  <c r="BV1237" i="1"/>
  <c r="BX1237" i="1" s="1"/>
  <c r="BY1237" i="1" s="1"/>
  <c r="BU1237" i="1"/>
  <c r="BD1237" i="1"/>
  <c r="BC1237" i="1"/>
  <c r="BB1237" i="1"/>
  <c r="BA1237" i="1"/>
  <c r="AZ1237" i="1"/>
  <c r="BF1237" i="1" s="1" a="1"/>
  <c r="BF1237" i="1" s="1"/>
  <c r="AY1237" i="1"/>
  <c r="BE1237" i="1" s="1" a="1"/>
  <c r="BE1237" i="1" s="1"/>
  <c r="AX1237" i="1"/>
  <c r="M1237" i="1"/>
  <c r="EM1236" i="1"/>
  <c r="DU1236" i="1"/>
  <c r="DT1236" i="1"/>
  <c r="DN1236" i="1"/>
  <c r="DM1236" i="1"/>
  <c r="DL1236" i="1"/>
  <c r="DK1236" i="1"/>
  <c r="DI1236" i="1"/>
  <c r="DJ1236" i="1" s="1"/>
  <c r="DB1236" i="1"/>
  <c r="DC1236" i="1" s="1"/>
  <c r="CX1236" i="1"/>
  <c r="CN1236" i="1"/>
  <c r="CS1236" i="1" s="1"/>
  <c r="BV1236" i="1"/>
  <c r="BX1236" i="1" s="1"/>
  <c r="BY1236" i="1" s="1"/>
  <c r="BU1236" i="1"/>
  <c r="BD1236" i="1"/>
  <c r="BC1236" i="1"/>
  <c r="BB1236" i="1"/>
  <c r="BA1236" i="1"/>
  <c r="AZ1236" i="1"/>
  <c r="AY1236" i="1"/>
  <c r="BE1236" i="1" s="1" a="1"/>
  <c r="BE1236" i="1" s="1"/>
  <c r="AX1236" i="1"/>
  <c r="M1236" i="1"/>
  <c r="EM1217" i="1"/>
  <c r="DU1217" i="1"/>
  <c r="DT1217" i="1"/>
  <c r="DN1217" i="1"/>
  <c r="DM1217" i="1"/>
  <c r="DL1217" i="1"/>
  <c r="DK1217" i="1"/>
  <c r="DI1217" i="1"/>
  <c r="DJ1217" i="1" s="1"/>
  <c r="DB1217" i="1"/>
  <c r="DC1217" i="1" s="1"/>
  <c r="CX1217" i="1"/>
  <c r="CN1217" i="1"/>
  <c r="CS1217" i="1" s="1"/>
  <c r="BV1217" i="1"/>
  <c r="BX1217" i="1" s="1"/>
  <c r="BU1217" i="1"/>
  <c r="BD1217" i="1"/>
  <c r="BC1217" i="1"/>
  <c r="BB1217" i="1"/>
  <c r="BA1217" i="1"/>
  <c r="AZ1217" i="1"/>
  <c r="AY1217" i="1"/>
  <c r="AX1217" i="1"/>
  <c r="M1217" i="1"/>
  <c r="EM1216" i="1"/>
  <c r="DU1216" i="1"/>
  <c r="DT1216" i="1"/>
  <c r="DN1216" i="1"/>
  <c r="DM1216" i="1"/>
  <c r="DL1216" i="1"/>
  <c r="DK1216" i="1"/>
  <c r="DI1216" i="1"/>
  <c r="DJ1216" i="1" s="1"/>
  <c r="DB1216" i="1"/>
  <c r="DC1216" i="1" s="1"/>
  <c r="CX1216" i="1"/>
  <c r="CN1216" i="1"/>
  <c r="BV1216" i="1"/>
  <c r="BX1216" i="1" s="1"/>
  <c r="BY1216" i="1" s="1"/>
  <c r="BU1216" i="1"/>
  <c r="BD1216" i="1"/>
  <c r="BC1216" i="1"/>
  <c r="BB1216" i="1"/>
  <c r="BA1216" i="1"/>
  <c r="AZ1216" i="1"/>
  <c r="AY1216" i="1"/>
  <c r="AX1216" i="1"/>
  <c r="M1216" i="1"/>
  <c r="EM1215" i="1"/>
  <c r="DU1215" i="1"/>
  <c r="DT1215" i="1"/>
  <c r="DN1215" i="1"/>
  <c r="DM1215" i="1"/>
  <c r="DL1215" i="1"/>
  <c r="DK1215" i="1"/>
  <c r="DI1215" i="1"/>
  <c r="DJ1215" i="1" s="1"/>
  <c r="DB1215" i="1"/>
  <c r="DC1215" i="1" s="1"/>
  <c r="CX1215" i="1"/>
  <c r="CN1215" i="1"/>
  <c r="CS1215" i="1" s="1"/>
  <c r="BV1215" i="1"/>
  <c r="BX1215" i="1" s="1"/>
  <c r="BY1215" i="1" s="1"/>
  <c r="BU1215" i="1"/>
  <c r="BD1215" i="1"/>
  <c r="BC1215" i="1"/>
  <c r="BB1215" i="1"/>
  <c r="BA1215" i="1"/>
  <c r="AZ1215" i="1"/>
  <c r="AY1215" i="1"/>
  <c r="AX1215" i="1"/>
  <c r="M1215" i="1"/>
  <c r="EM1214" i="1"/>
  <c r="DU1214" i="1"/>
  <c r="DT1214" i="1"/>
  <c r="DN1214" i="1"/>
  <c r="DM1214" i="1"/>
  <c r="DL1214" i="1"/>
  <c r="DK1214" i="1"/>
  <c r="DI1214" i="1"/>
  <c r="DJ1214" i="1" s="1"/>
  <c r="DB1214" i="1"/>
  <c r="DC1214" i="1" s="1"/>
  <c r="CX1214" i="1"/>
  <c r="CN1214" i="1"/>
  <c r="CR1214" i="1" s="1"/>
  <c r="BV1214" i="1"/>
  <c r="BX1214" i="1" s="1"/>
  <c r="BY1214" i="1" s="1"/>
  <c r="BU1214" i="1"/>
  <c r="BD1214" i="1"/>
  <c r="BC1214" i="1"/>
  <c r="BB1214" i="1"/>
  <c r="BA1214" i="1"/>
  <c r="AZ1214" i="1"/>
  <c r="BF1214" i="1" s="1" a="1"/>
  <c r="BF1214" i="1" s="1"/>
  <c r="AY1214" i="1"/>
  <c r="AX1214" i="1"/>
  <c r="M1214" i="1"/>
  <c r="EM1213" i="1"/>
  <c r="DU1213" i="1"/>
  <c r="DT1213" i="1"/>
  <c r="DN1213" i="1"/>
  <c r="DM1213" i="1"/>
  <c r="DL1213" i="1"/>
  <c r="DK1213" i="1"/>
  <c r="DI1213" i="1"/>
  <c r="DJ1213" i="1" s="1"/>
  <c r="DB1213" i="1"/>
  <c r="DC1213" i="1" s="1"/>
  <c r="CX1213" i="1"/>
  <c r="CN1213" i="1"/>
  <c r="BV1213" i="1"/>
  <c r="BX1213" i="1" s="1"/>
  <c r="BY1213" i="1" s="1"/>
  <c r="BU1213" i="1"/>
  <c r="BD1213" i="1"/>
  <c r="BC1213" i="1"/>
  <c r="BB1213" i="1"/>
  <c r="BA1213" i="1"/>
  <c r="AZ1213" i="1"/>
  <c r="AY1213" i="1"/>
  <c r="AX1213" i="1"/>
  <c r="M1213" i="1"/>
  <c r="EM1212" i="1"/>
  <c r="DU1212" i="1"/>
  <c r="DT1212" i="1"/>
  <c r="DN1212" i="1"/>
  <c r="DM1212" i="1"/>
  <c r="DL1212" i="1"/>
  <c r="DK1212" i="1"/>
  <c r="DI1212" i="1"/>
  <c r="DJ1212" i="1" s="1"/>
  <c r="DB1212" i="1"/>
  <c r="DC1212" i="1" s="1"/>
  <c r="CX1212" i="1"/>
  <c r="CN1212" i="1"/>
  <c r="BV1212" i="1"/>
  <c r="BX1212" i="1" s="1"/>
  <c r="BY1212" i="1" s="1"/>
  <c r="BU1212" i="1"/>
  <c r="BD1212" i="1"/>
  <c r="BC1212" i="1"/>
  <c r="BB1212" i="1"/>
  <c r="BA1212" i="1"/>
  <c r="AZ1212" i="1"/>
  <c r="BF1212" i="1" s="1" a="1"/>
  <c r="BF1212" i="1" s="1"/>
  <c r="AY1212" i="1"/>
  <c r="AX1212" i="1"/>
  <c r="M1212" i="1"/>
  <c r="EM1235" i="1"/>
  <c r="DU1235" i="1"/>
  <c r="DT1235" i="1"/>
  <c r="DN1235" i="1"/>
  <c r="DM1235" i="1"/>
  <c r="DL1235" i="1"/>
  <c r="DK1235" i="1"/>
  <c r="DI1235" i="1"/>
  <c r="DJ1235" i="1" s="1"/>
  <c r="DB1235" i="1"/>
  <c r="DC1235" i="1" s="1"/>
  <c r="CX1235" i="1"/>
  <c r="CN1235" i="1"/>
  <c r="CS1235" i="1" s="1"/>
  <c r="BV1235" i="1"/>
  <c r="BX1235" i="1" s="1"/>
  <c r="BU1235" i="1"/>
  <c r="BD1235" i="1"/>
  <c r="BC1235" i="1"/>
  <c r="BB1235" i="1"/>
  <c r="BA1235" i="1"/>
  <c r="AZ1235" i="1"/>
  <c r="BF1235" i="1" s="1" a="1"/>
  <c r="BF1235" i="1" s="1"/>
  <c r="AY1235" i="1"/>
  <c r="BE1235" i="1" s="1" a="1"/>
  <c r="BE1235" i="1" s="1"/>
  <c r="AX1235" i="1"/>
  <c r="M1235" i="1"/>
  <c r="EM1234" i="1"/>
  <c r="DU1234" i="1"/>
  <c r="DT1234" i="1"/>
  <c r="DN1234" i="1"/>
  <c r="DM1234" i="1"/>
  <c r="DL1234" i="1"/>
  <c r="DK1234" i="1"/>
  <c r="DI1234" i="1"/>
  <c r="DJ1234" i="1" s="1"/>
  <c r="DB1234" i="1"/>
  <c r="DC1234" i="1" s="1"/>
  <c r="CX1234" i="1"/>
  <c r="CN1234" i="1"/>
  <c r="BV1234" i="1"/>
  <c r="BX1234" i="1" s="1"/>
  <c r="BY1234" i="1" s="1"/>
  <c r="BU1234" i="1"/>
  <c r="BD1234" i="1"/>
  <c r="BC1234" i="1"/>
  <c r="BB1234" i="1"/>
  <c r="BA1234" i="1"/>
  <c r="AZ1234" i="1"/>
  <c r="AY1234" i="1"/>
  <c r="BE1234" i="1" s="1" a="1"/>
  <c r="BE1234" i="1" s="1"/>
  <c r="AX1234" i="1"/>
  <c r="M1234" i="1"/>
  <c r="EM1211" i="1"/>
  <c r="DU1211" i="1"/>
  <c r="DT1211" i="1"/>
  <c r="DN1211" i="1"/>
  <c r="DM1211" i="1"/>
  <c r="DL1211" i="1"/>
  <c r="DK1211" i="1"/>
  <c r="DI1211" i="1"/>
  <c r="DJ1211" i="1" s="1"/>
  <c r="DB1211" i="1"/>
  <c r="DC1211" i="1" s="1"/>
  <c r="CX1211" i="1"/>
  <c r="CN1211" i="1"/>
  <c r="CR1211" i="1" s="1"/>
  <c r="BV1211" i="1"/>
  <c r="BX1211" i="1" s="1"/>
  <c r="BY1211" i="1" s="1"/>
  <c r="BU1211" i="1"/>
  <c r="BD1211" i="1"/>
  <c r="BC1211" i="1"/>
  <c r="BB1211" i="1"/>
  <c r="BA1211" i="1"/>
  <c r="AZ1211" i="1"/>
  <c r="AY1211" i="1"/>
  <c r="AX1211" i="1"/>
  <c r="M1211" i="1"/>
  <c r="EM1210" i="1"/>
  <c r="DU1210" i="1"/>
  <c r="DT1210" i="1"/>
  <c r="DN1210" i="1"/>
  <c r="DM1210" i="1"/>
  <c r="DL1210" i="1"/>
  <c r="DK1210" i="1"/>
  <c r="DI1210" i="1"/>
  <c r="DJ1210" i="1" s="1"/>
  <c r="DB1210" i="1"/>
  <c r="DC1210" i="1" s="1"/>
  <c r="CX1210" i="1"/>
  <c r="CN1210" i="1"/>
  <c r="BV1210" i="1"/>
  <c r="BX1210" i="1" s="1"/>
  <c r="BY1210" i="1" s="1"/>
  <c r="BU1210" i="1"/>
  <c r="BD1210" i="1"/>
  <c r="BC1210" i="1"/>
  <c r="BB1210" i="1"/>
  <c r="BA1210" i="1"/>
  <c r="AZ1210" i="1"/>
  <c r="AY1210" i="1"/>
  <c r="AX1210" i="1"/>
  <c r="M1210" i="1"/>
  <c r="EM1209" i="1"/>
  <c r="DU1209" i="1"/>
  <c r="DT1209" i="1"/>
  <c r="DN1209" i="1"/>
  <c r="DM1209" i="1"/>
  <c r="DL1209" i="1"/>
  <c r="DK1209" i="1"/>
  <c r="DI1209" i="1"/>
  <c r="DJ1209" i="1" s="1"/>
  <c r="DB1209" i="1"/>
  <c r="DC1209" i="1" s="1"/>
  <c r="CX1209" i="1"/>
  <c r="CN1209" i="1"/>
  <c r="CR1209" i="1" s="1"/>
  <c r="BV1209" i="1"/>
  <c r="BX1209" i="1" s="1"/>
  <c r="BY1209" i="1" s="1"/>
  <c r="BU1209" i="1"/>
  <c r="BD1209" i="1"/>
  <c r="BC1209" i="1"/>
  <c r="BB1209" i="1"/>
  <c r="BA1209" i="1"/>
  <c r="AZ1209" i="1"/>
  <c r="AY1209" i="1"/>
  <c r="AX1209" i="1"/>
  <c r="M1209" i="1"/>
  <c r="EM1208" i="1"/>
  <c r="DU1208" i="1"/>
  <c r="DT1208" i="1"/>
  <c r="DN1208" i="1"/>
  <c r="DM1208" i="1"/>
  <c r="DL1208" i="1"/>
  <c r="DK1208" i="1"/>
  <c r="DI1208" i="1"/>
  <c r="DJ1208" i="1" s="1"/>
  <c r="DB1208" i="1"/>
  <c r="DC1208" i="1" s="1"/>
  <c r="CX1208" i="1"/>
  <c r="CN1208" i="1"/>
  <c r="CS1208" i="1" s="1"/>
  <c r="BV1208" i="1"/>
  <c r="BX1208" i="1" s="1"/>
  <c r="BY1208" i="1" s="1"/>
  <c r="BU1208" i="1"/>
  <c r="BD1208" i="1"/>
  <c r="BC1208" i="1"/>
  <c r="BB1208" i="1"/>
  <c r="BA1208" i="1"/>
  <c r="AZ1208" i="1"/>
  <c r="BF1208" i="1" s="1" a="1"/>
  <c r="BF1208" i="1" s="1"/>
  <c r="AY1208" i="1"/>
  <c r="AX1208" i="1"/>
  <c r="M1208" i="1"/>
  <c r="EM699" i="1"/>
  <c r="DU699" i="1"/>
  <c r="DT699" i="1"/>
  <c r="DN699" i="1"/>
  <c r="DM699" i="1"/>
  <c r="DL699" i="1"/>
  <c r="DK699" i="1"/>
  <c r="DI699" i="1"/>
  <c r="DJ699" i="1" s="1"/>
  <c r="DB699" i="1"/>
  <c r="DC699" i="1" s="1"/>
  <c r="CX699" i="1"/>
  <c r="CN699" i="1"/>
  <c r="CS699" i="1" s="1"/>
  <c r="BV699" i="1"/>
  <c r="BX699" i="1" s="1"/>
  <c r="BU699" i="1"/>
  <c r="BN699" i="1"/>
  <c r="BO699" i="1" s="1"/>
  <c r="BM699" i="1"/>
  <c r="BD699" i="1"/>
  <c r="BC699" i="1"/>
  <c r="BB699" i="1"/>
  <c r="BA699" i="1"/>
  <c r="AZ699" i="1"/>
  <c r="BF699" i="1" s="1" a="1"/>
  <c r="BF699" i="1" s="1"/>
  <c r="AY699" i="1"/>
  <c r="BE699" i="1" s="1" a="1"/>
  <c r="BE699" i="1" s="1"/>
  <c r="AX699" i="1"/>
  <c r="M699" i="1"/>
  <c r="EM455" i="1"/>
  <c r="DU455" i="1"/>
  <c r="DT455" i="1"/>
  <c r="DN455" i="1"/>
  <c r="DM455" i="1"/>
  <c r="DL455" i="1"/>
  <c r="DK455" i="1"/>
  <c r="DI455" i="1"/>
  <c r="DJ455" i="1" s="1"/>
  <c r="DB455" i="1"/>
  <c r="DC455" i="1" s="1"/>
  <c r="CX455" i="1"/>
  <c r="CN455" i="1"/>
  <c r="CR455" i="1" s="1"/>
  <c r="BV455" i="1"/>
  <c r="BX455" i="1" s="1"/>
  <c r="BU455" i="1"/>
  <c r="BN455" i="1"/>
  <c r="BO455" i="1" s="1"/>
  <c r="BM455" i="1"/>
  <c r="BD455" i="1"/>
  <c r="BC455" i="1"/>
  <c r="BB455" i="1"/>
  <c r="BA455" i="1"/>
  <c r="AZ455" i="1"/>
  <c r="AY455" i="1"/>
  <c r="BE455" i="1" s="1" a="1"/>
  <c r="BE455" i="1" s="1"/>
  <c r="AX455" i="1"/>
  <c r="M455" i="1"/>
  <c r="EM308" i="1"/>
  <c r="DU308" i="1"/>
  <c r="DT308" i="1"/>
  <c r="DN308" i="1"/>
  <c r="DM308" i="1"/>
  <c r="DL308" i="1"/>
  <c r="DK308" i="1"/>
  <c r="DI308" i="1"/>
  <c r="DJ308" i="1" s="1"/>
  <c r="DB308" i="1"/>
  <c r="DC308" i="1" s="1"/>
  <c r="CX308" i="1"/>
  <c r="CN308" i="1"/>
  <c r="CS308" i="1" s="1"/>
  <c r="BV308" i="1"/>
  <c r="BX308" i="1" s="1"/>
  <c r="BU308" i="1"/>
  <c r="BN308" i="1"/>
  <c r="BO308" i="1" s="1"/>
  <c r="BM308" i="1"/>
  <c r="BD308" i="1"/>
  <c r="BC308" i="1"/>
  <c r="BB308" i="1"/>
  <c r="BA308" i="1"/>
  <c r="AZ308" i="1"/>
  <c r="AY308" i="1"/>
  <c r="BE308" i="1" s="1" a="1"/>
  <c r="BE308" i="1" s="1"/>
  <c r="AX308" i="1"/>
  <c r="M308" i="1"/>
  <c r="EM1012" i="1"/>
  <c r="DU1012" i="1"/>
  <c r="DT1012" i="1"/>
  <c r="DN1012" i="1"/>
  <c r="DM1012" i="1"/>
  <c r="DL1012" i="1"/>
  <c r="DK1012" i="1"/>
  <c r="DI1012" i="1"/>
  <c r="DJ1012" i="1" s="1"/>
  <c r="DB1012" i="1"/>
  <c r="DC1012" i="1" s="1"/>
  <c r="CX1012" i="1"/>
  <c r="CN1012" i="1"/>
  <c r="BV1012" i="1"/>
  <c r="BX1012" i="1" s="1"/>
  <c r="BU1012" i="1"/>
  <c r="BN1012" i="1"/>
  <c r="BO1012" i="1" s="1"/>
  <c r="BM1012" i="1"/>
  <c r="BD1012" i="1"/>
  <c r="BC1012" i="1"/>
  <c r="BB1012" i="1"/>
  <c r="BA1012" i="1"/>
  <c r="AZ1012" i="1"/>
  <c r="AY1012" i="1"/>
  <c r="BE1012" i="1" s="1" a="1"/>
  <c r="BE1012" i="1" s="1"/>
  <c r="AX1012" i="1"/>
  <c r="M1012" i="1"/>
  <c r="EM39" i="1"/>
  <c r="DU39" i="1"/>
  <c r="DT39" i="1"/>
  <c r="DN39" i="1"/>
  <c r="DM39" i="1"/>
  <c r="DL39" i="1"/>
  <c r="DK39" i="1"/>
  <c r="DI39" i="1"/>
  <c r="DJ39" i="1" s="1"/>
  <c r="DB39" i="1"/>
  <c r="DC39" i="1" s="1"/>
  <c r="CX39" i="1"/>
  <c r="CN39" i="1"/>
  <c r="CR39" i="1" s="1"/>
  <c r="BV39" i="1"/>
  <c r="BX39" i="1" s="1"/>
  <c r="BU39" i="1"/>
  <c r="BN39" i="1"/>
  <c r="BO39" i="1" s="1"/>
  <c r="BM39" i="1"/>
  <c r="BD39" i="1"/>
  <c r="BC39" i="1"/>
  <c r="BB39" i="1"/>
  <c r="BA39" i="1"/>
  <c r="AZ39" i="1"/>
  <c r="AY39" i="1"/>
  <c r="BE39" i="1" s="1" a="1"/>
  <c r="BE39" i="1" s="1"/>
  <c r="AX39" i="1"/>
  <c r="M39" i="1"/>
  <c r="EM41" i="1"/>
  <c r="DU41" i="1"/>
  <c r="DT41" i="1"/>
  <c r="DN41" i="1"/>
  <c r="DM41" i="1"/>
  <c r="DL41" i="1"/>
  <c r="DK41" i="1"/>
  <c r="DI41" i="1"/>
  <c r="DJ41" i="1" s="1"/>
  <c r="DB41" i="1"/>
  <c r="DC41" i="1" s="1"/>
  <c r="CX41" i="1"/>
  <c r="CN41" i="1"/>
  <c r="BV41" i="1"/>
  <c r="BX41" i="1" s="1"/>
  <c r="BU41" i="1"/>
  <c r="BN41" i="1"/>
  <c r="BO41" i="1" s="1"/>
  <c r="BM41" i="1"/>
  <c r="BD41" i="1"/>
  <c r="BC41" i="1"/>
  <c r="BB41" i="1"/>
  <c r="BA41" i="1"/>
  <c r="AZ41" i="1"/>
  <c r="AY41" i="1"/>
  <c r="AX41" i="1"/>
  <c r="M41" i="1"/>
  <c r="EM1227" i="1"/>
  <c r="DU1227" i="1"/>
  <c r="DT1227" i="1"/>
  <c r="DN1227" i="1"/>
  <c r="DM1227" i="1"/>
  <c r="DL1227" i="1"/>
  <c r="DK1227" i="1"/>
  <c r="DI1227" i="1"/>
  <c r="DJ1227" i="1" s="1"/>
  <c r="DB1227" i="1"/>
  <c r="DC1227" i="1" s="1"/>
  <c r="CX1227" i="1"/>
  <c r="CN1227" i="1"/>
  <c r="CS1227" i="1" s="1"/>
  <c r="BV1227" i="1"/>
  <c r="BX1227" i="1" s="1"/>
  <c r="BU1227" i="1"/>
  <c r="BD1227" i="1"/>
  <c r="BC1227" i="1"/>
  <c r="BB1227" i="1"/>
  <c r="BA1227" i="1"/>
  <c r="AZ1227" i="1"/>
  <c r="BF1227" i="1" s="1" a="1"/>
  <c r="BF1227" i="1" s="1"/>
  <c r="AY1227" i="1"/>
  <c r="BE1227" i="1" s="1" a="1"/>
  <c r="BE1227" i="1" s="1"/>
  <c r="AX1227" i="1"/>
  <c r="M1227" i="1"/>
  <c r="EM1233" i="1"/>
  <c r="DU1233" i="1"/>
  <c r="DT1233" i="1"/>
  <c r="DN1233" i="1"/>
  <c r="DM1233" i="1"/>
  <c r="DL1233" i="1"/>
  <c r="DK1233" i="1"/>
  <c r="DI1233" i="1"/>
  <c r="DJ1233" i="1" s="1"/>
  <c r="DB1233" i="1"/>
  <c r="DC1233" i="1" s="1"/>
  <c r="CX1233" i="1"/>
  <c r="CN1233" i="1"/>
  <c r="BV1233" i="1"/>
  <c r="BX1233" i="1" s="1"/>
  <c r="BY1233" i="1" s="1"/>
  <c r="BU1233" i="1"/>
  <c r="BD1233" i="1"/>
  <c r="BC1233" i="1"/>
  <c r="BB1233" i="1"/>
  <c r="BA1233" i="1"/>
  <c r="AZ1233" i="1"/>
  <c r="AY1233" i="1"/>
  <c r="BE1233" i="1" s="1" a="1"/>
  <c r="BE1233" i="1" s="1"/>
  <c r="AX1233" i="1"/>
  <c r="M1233" i="1"/>
  <c r="EM1232" i="1"/>
  <c r="DU1232" i="1"/>
  <c r="DT1232" i="1"/>
  <c r="DN1232" i="1"/>
  <c r="DM1232" i="1"/>
  <c r="DL1232" i="1"/>
  <c r="DK1232" i="1"/>
  <c r="DI1232" i="1"/>
  <c r="DJ1232" i="1" s="1"/>
  <c r="DB1232" i="1"/>
  <c r="DC1232" i="1" s="1"/>
  <c r="CX1232" i="1"/>
  <c r="CN1232" i="1"/>
  <c r="CS1232" i="1" s="1"/>
  <c r="BV1232" i="1"/>
  <c r="BX1232" i="1" s="1"/>
  <c r="BY1232" i="1" s="1"/>
  <c r="BU1232" i="1"/>
  <c r="BD1232" i="1"/>
  <c r="BC1232" i="1"/>
  <c r="BB1232" i="1"/>
  <c r="BA1232" i="1"/>
  <c r="AZ1232" i="1"/>
  <c r="AY1232" i="1"/>
  <c r="BE1232" i="1" s="1" a="1"/>
  <c r="BE1232" i="1" s="1"/>
  <c r="AX1232" i="1"/>
  <c r="M1232" i="1"/>
  <c r="EM1226" i="1"/>
  <c r="DU1226" i="1"/>
  <c r="DT1226" i="1"/>
  <c r="DN1226" i="1"/>
  <c r="DM1226" i="1"/>
  <c r="DL1226" i="1"/>
  <c r="DK1226" i="1"/>
  <c r="DI1226" i="1"/>
  <c r="DJ1226" i="1" s="1"/>
  <c r="DB1226" i="1"/>
  <c r="DC1226" i="1" s="1"/>
  <c r="CX1226" i="1"/>
  <c r="CN1226" i="1"/>
  <c r="BV1226" i="1"/>
  <c r="BX1226" i="1" s="1"/>
  <c r="BY1226" i="1" s="1"/>
  <c r="BU1226" i="1"/>
  <c r="BD1226" i="1"/>
  <c r="BC1226" i="1"/>
  <c r="BB1226" i="1"/>
  <c r="BA1226" i="1"/>
  <c r="AZ1226" i="1"/>
  <c r="AY1226" i="1"/>
  <c r="BE1226" i="1" s="1" a="1"/>
  <c r="BE1226" i="1" s="1"/>
  <c r="AX1226" i="1"/>
  <c r="M1226" i="1"/>
  <c r="EM1231" i="1"/>
  <c r="DU1231" i="1"/>
  <c r="DT1231" i="1"/>
  <c r="DN1231" i="1"/>
  <c r="DM1231" i="1"/>
  <c r="DL1231" i="1"/>
  <c r="DK1231" i="1"/>
  <c r="DI1231" i="1"/>
  <c r="DJ1231" i="1" s="1"/>
  <c r="DB1231" i="1"/>
  <c r="DC1231" i="1" s="1"/>
  <c r="CX1231" i="1"/>
  <c r="CN1231" i="1"/>
  <c r="CR1231" i="1" s="1"/>
  <c r="BV1231" i="1"/>
  <c r="BX1231" i="1" s="1"/>
  <c r="BY1231" i="1" s="1"/>
  <c r="BU1231" i="1"/>
  <c r="BD1231" i="1"/>
  <c r="BC1231" i="1"/>
  <c r="BB1231" i="1"/>
  <c r="BA1231" i="1"/>
  <c r="AZ1231" i="1"/>
  <c r="AY1231" i="1"/>
  <c r="BE1231" i="1" s="1" a="1"/>
  <c r="BE1231" i="1" s="1"/>
  <c r="AX1231" i="1"/>
  <c r="M1231" i="1"/>
  <c r="EM1230" i="1"/>
  <c r="DU1230" i="1"/>
  <c r="DT1230" i="1"/>
  <c r="DN1230" i="1"/>
  <c r="DM1230" i="1"/>
  <c r="DL1230" i="1"/>
  <c r="DK1230" i="1"/>
  <c r="DI1230" i="1"/>
  <c r="DJ1230" i="1" s="1"/>
  <c r="DB1230" i="1"/>
  <c r="DC1230" i="1" s="1"/>
  <c r="CX1230" i="1"/>
  <c r="CN1230" i="1"/>
  <c r="BV1230" i="1"/>
  <c r="BX1230" i="1" s="1"/>
  <c r="BY1230" i="1" s="1"/>
  <c r="BU1230" i="1"/>
  <c r="BD1230" i="1"/>
  <c r="BC1230" i="1"/>
  <c r="BB1230" i="1"/>
  <c r="BA1230" i="1"/>
  <c r="AZ1230" i="1"/>
  <c r="AY1230" i="1"/>
  <c r="BE1230" i="1" s="1" a="1"/>
  <c r="BE1230" i="1" s="1"/>
  <c r="AX1230" i="1"/>
  <c r="M1230" i="1"/>
  <c r="EM777" i="1"/>
  <c r="DU777" i="1"/>
  <c r="DT777" i="1"/>
  <c r="DN777" i="1"/>
  <c r="DM777" i="1"/>
  <c r="DL777" i="1"/>
  <c r="DK777" i="1"/>
  <c r="DI777" i="1"/>
  <c r="DJ777" i="1" s="1"/>
  <c r="DB777" i="1"/>
  <c r="DC777" i="1" s="1"/>
  <c r="CX777" i="1"/>
  <c r="CN777" i="1"/>
  <c r="CR777" i="1" s="1"/>
  <c r="BV777" i="1"/>
  <c r="BX777" i="1" s="1"/>
  <c r="BU777" i="1"/>
  <c r="BN777" i="1"/>
  <c r="BO777" i="1" s="1"/>
  <c r="BM777" i="1"/>
  <c r="BD777" i="1"/>
  <c r="BC777" i="1"/>
  <c r="BB777" i="1"/>
  <c r="BA777" i="1"/>
  <c r="AZ777" i="1"/>
  <c r="BF777" i="1" s="1" a="1"/>
  <c r="BF777" i="1" s="1"/>
  <c r="AY777" i="1"/>
  <c r="AX777" i="1"/>
  <c r="M777" i="1"/>
  <c r="EM716" i="1"/>
  <c r="DU716" i="1"/>
  <c r="DT716" i="1"/>
  <c r="DN716" i="1"/>
  <c r="DM716" i="1"/>
  <c r="DL716" i="1"/>
  <c r="DK716" i="1"/>
  <c r="DI716" i="1"/>
  <c r="DJ716" i="1" s="1"/>
  <c r="DB716" i="1"/>
  <c r="DC716" i="1" s="1"/>
  <c r="CX716" i="1"/>
  <c r="CN716" i="1"/>
  <c r="CP716" i="1" s="1"/>
  <c r="BV716" i="1"/>
  <c r="BX716" i="1" s="1"/>
  <c r="BU716" i="1"/>
  <c r="BN716" i="1"/>
  <c r="BO716" i="1" s="1"/>
  <c r="BM716" i="1"/>
  <c r="BD716" i="1"/>
  <c r="BC716" i="1"/>
  <c r="BB716" i="1"/>
  <c r="BA716" i="1"/>
  <c r="AZ716" i="1"/>
  <c r="AY716" i="1"/>
  <c r="AX716" i="1"/>
  <c r="M716" i="1"/>
  <c r="EM560" i="1"/>
  <c r="DU560" i="1"/>
  <c r="DT560" i="1"/>
  <c r="DN560" i="1"/>
  <c r="DM560" i="1"/>
  <c r="DL560" i="1"/>
  <c r="DK560" i="1"/>
  <c r="DI560" i="1"/>
  <c r="DJ560" i="1" s="1"/>
  <c r="DB560" i="1"/>
  <c r="DC560" i="1" s="1"/>
  <c r="CX560" i="1"/>
  <c r="CN560" i="1"/>
  <c r="BV560" i="1"/>
  <c r="BX560" i="1" s="1"/>
  <c r="BU560" i="1"/>
  <c r="BN560" i="1"/>
  <c r="BO560" i="1" s="1"/>
  <c r="BM560" i="1"/>
  <c r="BD560" i="1"/>
  <c r="BC560" i="1"/>
  <c r="BB560" i="1"/>
  <c r="BA560" i="1"/>
  <c r="AZ560" i="1"/>
  <c r="AY560" i="1"/>
  <c r="AX560" i="1"/>
  <c r="M560" i="1"/>
  <c r="EM322" i="1"/>
  <c r="DU322" i="1"/>
  <c r="DT322" i="1"/>
  <c r="DN322" i="1"/>
  <c r="DM322" i="1"/>
  <c r="DL322" i="1"/>
  <c r="DK322" i="1"/>
  <c r="DI322" i="1"/>
  <c r="DJ322" i="1" s="1"/>
  <c r="DB322" i="1"/>
  <c r="DC322" i="1" s="1"/>
  <c r="CX322" i="1"/>
  <c r="CN322" i="1"/>
  <c r="CS322" i="1" s="1"/>
  <c r="BV322" i="1"/>
  <c r="BX322" i="1" s="1"/>
  <c r="BU322" i="1"/>
  <c r="BN322" i="1"/>
  <c r="BO322" i="1" s="1"/>
  <c r="BM322" i="1"/>
  <c r="BD322" i="1"/>
  <c r="BC322" i="1"/>
  <c r="BB322" i="1"/>
  <c r="BA322" i="1"/>
  <c r="AZ322" i="1"/>
  <c r="AY322" i="1"/>
  <c r="AX322" i="1"/>
  <c r="M322" i="1"/>
  <c r="EM296" i="1"/>
  <c r="DU296" i="1"/>
  <c r="DT296" i="1"/>
  <c r="DN296" i="1"/>
  <c r="DM296" i="1"/>
  <c r="DL296" i="1"/>
  <c r="DK296" i="1"/>
  <c r="DI296" i="1"/>
  <c r="DJ296" i="1" s="1"/>
  <c r="DB296" i="1"/>
  <c r="DC296" i="1" s="1"/>
  <c r="CX296" i="1"/>
  <c r="CN296" i="1"/>
  <c r="CR296" i="1" s="1"/>
  <c r="BV296" i="1"/>
  <c r="BX296" i="1" s="1"/>
  <c r="BU296" i="1"/>
  <c r="BN296" i="1"/>
  <c r="BO296" i="1" s="1"/>
  <c r="BM296" i="1"/>
  <c r="BD296" i="1"/>
  <c r="BC296" i="1"/>
  <c r="BB296" i="1"/>
  <c r="BA296" i="1"/>
  <c r="AZ296" i="1"/>
  <c r="AY296" i="1"/>
  <c r="AX296" i="1"/>
  <c r="M296" i="1"/>
  <c r="EM250" i="1"/>
  <c r="DU250" i="1"/>
  <c r="DT250" i="1"/>
  <c r="DN250" i="1"/>
  <c r="DM250" i="1"/>
  <c r="DL250" i="1"/>
  <c r="DK250" i="1"/>
  <c r="DI250" i="1"/>
  <c r="DJ250" i="1" s="1"/>
  <c r="DB250" i="1"/>
  <c r="DC250" i="1" s="1"/>
  <c r="CX250" i="1"/>
  <c r="CN250" i="1"/>
  <c r="CS250" i="1" s="1"/>
  <c r="BV250" i="1"/>
  <c r="BX250" i="1" s="1"/>
  <c r="BU250" i="1"/>
  <c r="BN250" i="1"/>
  <c r="BO250" i="1" s="1"/>
  <c r="BM250" i="1"/>
  <c r="BD250" i="1"/>
  <c r="BC250" i="1"/>
  <c r="BB250" i="1"/>
  <c r="BA250" i="1"/>
  <c r="AZ250" i="1"/>
  <c r="AY250" i="1"/>
  <c r="AX250" i="1"/>
  <c r="M250" i="1"/>
  <c r="EM226" i="1"/>
  <c r="DU226" i="1"/>
  <c r="DT226" i="1"/>
  <c r="DN226" i="1"/>
  <c r="DM226" i="1"/>
  <c r="DL226" i="1"/>
  <c r="DK226" i="1"/>
  <c r="DI226" i="1"/>
  <c r="DJ226" i="1" s="1"/>
  <c r="DB226" i="1"/>
  <c r="DC226" i="1" s="1"/>
  <c r="CX226" i="1"/>
  <c r="CN226" i="1"/>
  <c r="BV226" i="1"/>
  <c r="BX226" i="1" s="1"/>
  <c r="BU226" i="1"/>
  <c r="BN226" i="1"/>
  <c r="BO226" i="1" s="1"/>
  <c r="BM226" i="1"/>
  <c r="BD226" i="1"/>
  <c r="BC226" i="1"/>
  <c r="BB226" i="1"/>
  <c r="BA226" i="1"/>
  <c r="AZ226" i="1"/>
  <c r="AY226" i="1"/>
  <c r="AX226" i="1"/>
  <c r="M226" i="1"/>
  <c r="EM209" i="1"/>
  <c r="DU209" i="1"/>
  <c r="DT209" i="1"/>
  <c r="DN209" i="1"/>
  <c r="DM209" i="1"/>
  <c r="DL209" i="1"/>
  <c r="DK209" i="1"/>
  <c r="DI209" i="1"/>
  <c r="DJ209" i="1" s="1"/>
  <c r="DB209" i="1"/>
  <c r="DC209" i="1" s="1"/>
  <c r="CX209" i="1"/>
  <c r="CN209" i="1"/>
  <c r="CO209" i="1" s="1"/>
  <c r="BV209" i="1"/>
  <c r="BX209" i="1" s="1"/>
  <c r="BU209" i="1"/>
  <c r="BN209" i="1"/>
  <c r="BO209" i="1" s="1"/>
  <c r="BM209" i="1"/>
  <c r="BD209" i="1"/>
  <c r="BC209" i="1"/>
  <c r="BB209" i="1"/>
  <c r="BA209" i="1"/>
  <c r="AZ209" i="1"/>
  <c r="AY209" i="1"/>
  <c r="AX209" i="1"/>
  <c r="M209" i="1"/>
  <c r="EM179" i="1"/>
  <c r="DU179" i="1"/>
  <c r="DT179" i="1"/>
  <c r="DN179" i="1"/>
  <c r="DM179" i="1"/>
  <c r="DL179" i="1"/>
  <c r="DK179" i="1"/>
  <c r="DI179" i="1"/>
  <c r="DJ179" i="1" s="1"/>
  <c r="DB179" i="1"/>
  <c r="DC179" i="1" s="1"/>
  <c r="CX179" i="1"/>
  <c r="CN179" i="1"/>
  <c r="CR179" i="1" s="1"/>
  <c r="BV179" i="1"/>
  <c r="BX179" i="1" s="1"/>
  <c r="BU179" i="1"/>
  <c r="BN179" i="1"/>
  <c r="BO179" i="1" s="1"/>
  <c r="BM179" i="1"/>
  <c r="BD179" i="1"/>
  <c r="BC179" i="1"/>
  <c r="BB179" i="1"/>
  <c r="BA179" i="1"/>
  <c r="AZ179" i="1"/>
  <c r="BF179" i="1" s="1" a="1"/>
  <c r="BF179" i="1" s="1"/>
  <c r="AY179" i="1"/>
  <c r="AX179" i="1"/>
  <c r="M179" i="1"/>
  <c r="EM163" i="1"/>
  <c r="DU163" i="1"/>
  <c r="DT163" i="1"/>
  <c r="DN163" i="1"/>
  <c r="DM163" i="1"/>
  <c r="DL163" i="1"/>
  <c r="DK163" i="1"/>
  <c r="DI163" i="1"/>
  <c r="DJ163" i="1" s="1"/>
  <c r="DB163" i="1"/>
  <c r="DC163" i="1" s="1"/>
  <c r="CX163" i="1"/>
  <c r="CN163" i="1"/>
  <c r="BV163" i="1"/>
  <c r="BX163" i="1" s="1"/>
  <c r="BU163" i="1"/>
  <c r="BN163" i="1"/>
  <c r="BO163" i="1" s="1"/>
  <c r="BM163" i="1"/>
  <c r="BD163" i="1"/>
  <c r="BC163" i="1"/>
  <c r="BB163" i="1"/>
  <c r="BA163" i="1"/>
  <c r="AZ163" i="1"/>
  <c r="AY163" i="1"/>
  <c r="AX163" i="1"/>
  <c r="M163" i="1"/>
  <c r="EM84" i="1"/>
  <c r="DU84" i="1"/>
  <c r="DT84" i="1"/>
  <c r="DN84" i="1"/>
  <c r="DM84" i="1"/>
  <c r="DL84" i="1"/>
  <c r="DK84" i="1"/>
  <c r="DI84" i="1"/>
  <c r="DJ84" i="1" s="1"/>
  <c r="DB84" i="1"/>
  <c r="DC84" i="1" s="1"/>
  <c r="CX84" i="1"/>
  <c r="CN84" i="1"/>
  <c r="CO84" i="1" s="1"/>
  <c r="BV84" i="1"/>
  <c r="BX84" i="1" s="1"/>
  <c r="BU84" i="1"/>
  <c r="BN84" i="1"/>
  <c r="BO84" i="1" s="1"/>
  <c r="BM84" i="1"/>
  <c r="BD84" i="1"/>
  <c r="BC84" i="1"/>
  <c r="BB84" i="1"/>
  <c r="BA84" i="1"/>
  <c r="AZ84" i="1"/>
  <c r="AY84" i="1"/>
  <c r="AX84" i="1"/>
  <c r="M84" i="1"/>
  <c r="EM147" i="1"/>
  <c r="DU147" i="1"/>
  <c r="DT147" i="1"/>
  <c r="DN147" i="1"/>
  <c r="DM147" i="1"/>
  <c r="DL147" i="1"/>
  <c r="DK147" i="1"/>
  <c r="DI147" i="1"/>
  <c r="DJ147" i="1" s="1"/>
  <c r="DB147" i="1"/>
  <c r="DC147" i="1" s="1"/>
  <c r="CX147" i="1"/>
  <c r="CN147" i="1"/>
  <c r="CP147" i="1" s="1"/>
  <c r="BV147" i="1"/>
  <c r="BX147" i="1" s="1"/>
  <c r="BU147" i="1"/>
  <c r="BN147" i="1"/>
  <c r="BO147" i="1" s="1"/>
  <c r="BM147" i="1"/>
  <c r="BD147" i="1"/>
  <c r="BC147" i="1"/>
  <c r="BB147" i="1"/>
  <c r="BA147" i="1"/>
  <c r="AZ147" i="1"/>
  <c r="AY147" i="1"/>
  <c r="AX147" i="1"/>
  <c r="M147" i="1"/>
  <c r="EM139" i="1"/>
  <c r="DU139" i="1"/>
  <c r="DT139" i="1"/>
  <c r="DN139" i="1"/>
  <c r="DM139" i="1"/>
  <c r="DL139" i="1"/>
  <c r="DK139" i="1"/>
  <c r="DI139" i="1"/>
  <c r="DJ139" i="1" s="1"/>
  <c r="DB139" i="1"/>
  <c r="DC139" i="1" s="1"/>
  <c r="CX139" i="1"/>
  <c r="CN139" i="1"/>
  <c r="CP139" i="1" s="1"/>
  <c r="BV139" i="1"/>
  <c r="BX139" i="1" s="1"/>
  <c r="BU139" i="1"/>
  <c r="BN139" i="1"/>
  <c r="BO139" i="1" s="1"/>
  <c r="BM139" i="1"/>
  <c r="BD139" i="1"/>
  <c r="BC139" i="1"/>
  <c r="BB139" i="1"/>
  <c r="BA139" i="1"/>
  <c r="AZ139" i="1"/>
  <c r="AY139" i="1"/>
  <c r="AX139" i="1"/>
  <c r="M139" i="1"/>
  <c r="EM125" i="1"/>
  <c r="DU125" i="1"/>
  <c r="DT125" i="1"/>
  <c r="DN125" i="1"/>
  <c r="DM125" i="1"/>
  <c r="DL125" i="1"/>
  <c r="DK125" i="1"/>
  <c r="DI125" i="1"/>
  <c r="DJ125" i="1" s="1"/>
  <c r="DB125" i="1"/>
  <c r="DC125" i="1" s="1"/>
  <c r="CX125" i="1"/>
  <c r="CN125" i="1"/>
  <c r="CR125" i="1" s="1"/>
  <c r="BV125" i="1"/>
  <c r="BX125" i="1" s="1"/>
  <c r="BU125" i="1"/>
  <c r="BN125" i="1"/>
  <c r="BO125" i="1" s="1"/>
  <c r="BM125" i="1"/>
  <c r="BD125" i="1"/>
  <c r="BC125" i="1"/>
  <c r="BB125" i="1"/>
  <c r="BA125" i="1"/>
  <c r="AZ125" i="1"/>
  <c r="AY125" i="1"/>
  <c r="AX125" i="1"/>
  <c r="M125" i="1"/>
  <c r="EM70" i="1"/>
  <c r="DU70" i="1"/>
  <c r="DT70" i="1"/>
  <c r="DN70" i="1"/>
  <c r="DM70" i="1"/>
  <c r="DL70" i="1"/>
  <c r="DK70" i="1"/>
  <c r="DI70" i="1"/>
  <c r="DJ70" i="1" s="1"/>
  <c r="DB70" i="1"/>
  <c r="DC70" i="1" s="1"/>
  <c r="CX70" i="1"/>
  <c r="CN70" i="1"/>
  <c r="CS70" i="1" s="1"/>
  <c r="BV70" i="1"/>
  <c r="BX70" i="1" s="1"/>
  <c r="BU70" i="1"/>
  <c r="BN70" i="1"/>
  <c r="BO70" i="1" s="1"/>
  <c r="BM70" i="1"/>
  <c r="BD70" i="1"/>
  <c r="BC70" i="1"/>
  <c r="BB70" i="1"/>
  <c r="BA70" i="1"/>
  <c r="AZ70" i="1"/>
  <c r="AY70" i="1"/>
  <c r="AX70" i="1"/>
  <c r="M70" i="1"/>
  <c r="EM249" i="1"/>
  <c r="DU249" i="1"/>
  <c r="DT249" i="1"/>
  <c r="DN249" i="1"/>
  <c r="DM249" i="1"/>
  <c r="DL249" i="1"/>
  <c r="DK249" i="1"/>
  <c r="DI249" i="1"/>
  <c r="DJ249" i="1" s="1"/>
  <c r="DB249" i="1"/>
  <c r="DC249" i="1" s="1"/>
  <c r="CX249" i="1"/>
  <c r="CN249" i="1"/>
  <c r="CR249" i="1" s="1"/>
  <c r="BV249" i="1"/>
  <c r="BX249" i="1" s="1"/>
  <c r="BU249" i="1"/>
  <c r="BN249" i="1"/>
  <c r="BO249" i="1" s="1"/>
  <c r="BM249" i="1"/>
  <c r="BD249" i="1"/>
  <c r="BC249" i="1"/>
  <c r="BB249" i="1"/>
  <c r="BA249" i="1"/>
  <c r="AZ249" i="1"/>
  <c r="AY249" i="1"/>
  <c r="AX249" i="1"/>
  <c r="M249" i="1"/>
  <c r="EM231" i="1"/>
  <c r="DU231" i="1"/>
  <c r="DT231" i="1"/>
  <c r="DN231" i="1"/>
  <c r="DM231" i="1"/>
  <c r="DL231" i="1"/>
  <c r="DK231" i="1"/>
  <c r="DI231" i="1"/>
  <c r="DJ231" i="1" s="1"/>
  <c r="DB231" i="1"/>
  <c r="DC231" i="1" s="1"/>
  <c r="CX231" i="1"/>
  <c r="CN231" i="1"/>
  <c r="CR231" i="1" s="1"/>
  <c r="BV231" i="1"/>
  <c r="BX231" i="1" s="1"/>
  <c r="BU231" i="1"/>
  <c r="BN231" i="1"/>
  <c r="BO231" i="1" s="1"/>
  <c r="BM231" i="1"/>
  <c r="BD231" i="1"/>
  <c r="BC231" i="1"/>
  <c r="BB231" i="1"/>
  <c r="BA231" i="1"/>
  <c r="AZ231" i="1"/>
  <c r="BF231" i="1" s="1" a="1"/>
  <c r="BF231" i="1" s="1"/>
  <c r="AY231" i="1"/>
  <c r="AX231" i="1"/>
  <c r="M231" i="1"/>
  <c r="EM212" i="1"/>
  <c r="DU212" i="1"/>
  <c r="DT212" i="1"/>
  <c r="DN212" i="1"/>
  <c r="DM212" i="1"/>
  <c r="DL212" i="1"/>
  <c r="DK212" i="1"/>
  <c r="DI212" i="1"/>
  <c r="DJ212" i="1" s="1"/>
  <c r="DB212" i="1"/>
  <c r="DC212" i="1" s="1"/>
  <c r="CX212" i="1"/>
  <c r="CN212" i="1"/>
  <c r="CO212" i="1" s="1"/>
  <c r="BV212" i="1"/>
  <c r="BX212" i="1" s="1"/>
  <c r="BU212" i="1"/>
  <c r="BN212" i="1"/>
  <c r="BO212" i="1" s="1"/>
  <c r="BM212" i="1"/>
  <c r="BD212" i="1"/>
  <c r="BC212" i="1"/>
  <c r="BB212" i="1"/>
  <c r="BA212" i="1"/>
  <c r="AZ212" i="1"/>
  <c r="AY212" i="1"/>
  <c r="AX212" i="1"/>
  <c r="M212" i="1"/>
  <c r="EM199" i="1"/>
  <c r="DU199" i="1"/>
  <c r="DT199" i="1"/>
  <c r="DN199" i="1"/>
  <c r="DM199" i="1"/>
  <c r="DL199" i="1"/>
  <c r="DK199" i="1"/>
  <c r="DI199" i="1"/>
  <c r="DJ199" i="1" s="1"/>
  <c r="DB199" i="1"/>
  <c r="DC199" i="1" s="1"/>
  <c r="CX199" i="1"/>
  <c r="CN199" i="1"/>
  <c r="CP199" i="1" s="1"/>
  <c r="BV199" i="1"/>
  <c r="BX199" i="1" s="1"/>
  <c r="BU199" i="1"/>
  <c r="BN199" i="1"/>
  <c r="BO199" i="1" s="1"/>
  <c r="BM199" i="1"/>
  <c r="BD199" i="1"/>
  <c r="BC199" i="1"/>
  <c r="BB199" i="1"/>
  <c r="BA199" i="1"/>
  <c r="AZ199" i="1"/>
  <c r="AY199" i="1"/>
  <c r="AX199" i="1"/>
  <c r="M199" i="1"/>
  <c r="EM187" i="1"/>
  <c r="DU187" i="1"/>
  <c r="DT187" i="1"/>
  <c r="DN187" i="1"/>
  <c r="DM187" i="1"/>
  <c r="DL187" i="1"/>
  <c r="DK187" i="1"/>
  <c r="DI187" i="1"/>
  <c r="DJ187" i="1" s="1"/>
  <c r="DB187" i="1"/>
  <c r="DC187" i="1" s="1"/>
  <c r="CX187" i="1"/>
  <c r="CN187" i="1"/>
  <c r="CR187" i="1" s="1"/>
  <c r="BV187" i="1"/>
  <c r="BX187" i="1" s="1"/>
  <c r="BU187" i="1"/>
  <c r="BN187" i="1"/>
  <c r="BO187" i="1" s="1"/>
  <c r="BM187" i="1"/>
  <c r="BD187" i="1"/>
  <c r="BC187" i="1"/>
  <c r="BB187" i="1"/>
  <c r="BA187" i="1"/>
  <c r="AZ187" i="1"/>
  <c r="AY187" i="1"/>
  <c r="AX187" i="1"/>
  <c r="M187" i="1"/>
  <c r="EM155" i="1"/>
  <c r="DU155" i="1"/>
  <c r="DT155" i="1"/>
  <c r="DN155" i="1"/>
  <c r="DM155" i="1"/>
  <c r="DL155" i="1"/>
  <c r="DK155" i="1"/>
  <c r="DI155" i="1"/>
  <c r="DJ155" i="1" s="1"/>
  <c r="DB155" i="1"/>
  <c r="DC155" i="1" s="1"/>
  <c r="CX155" i="1"/>
  <c r="CN155" i="1"/>
  <c r="CR155" i="1" s="1"/>
  <c r="BV155" i="1"/>
  <c r="BX155" i="1" s="1"/>
  <c r="BU155" i="1"/>
  <c r="BN155" i="1"/>
  <c r="BO155" i="1" s="1"/>
  <c r="BM155" i="1"/>
  <c r="BD155" i="1"/>
  <c r="BC155" i="1"/>
  <c r="BB155" i="1"/>
  <c r="BA155" i="1"/>
  <c r="AZ155" i="1"/>
  <c r="AY155" i="1"/>
  <c r="AX155" i="1"/>
  <c r="M155" i="1"/>
  <c r="EM105" i="1"/>
  <c r="DU105" i="1"/>
  <c r="DT105" i="1"/>
  <c r="DN105" i="1"/>
  <c r="DM105" i="1"/>
  <c r="DL105" i="1"/>
  <c r="DK105" i="1"/>
  <c r="DI105" i="1"/>
  <c r="DJ105" i="1" s="1"/>
  <c r="DB105" i="1"/>
  <c r="DC105" i="1" s="1"/>
  <c r="CX105" i="1"/>
  <c r="CN105" i="1"/>
  <c r="CS105" i="1" s="1"/>
  <c r="BV105" i="1"/>
  <c r="BX105" i="1" s="1"/>
  <c r="BU105" i="1"/>
  <c r="BN105" i="1"/>
  <c r="BO105" i="1" s="1"/>
  <c r="BM105" i="1"/>
  <c r="BD105" i="1"/>
  <c r="BC105" i="1"/>
  <c r="BB105" i="1"/>
  <c r="BA105" i="1"/>
  <c r="AZ105" i="1"/>
  <c r="AY105" i="1"/>
  <c r="AX105" i="1"/>
  <c r="M105" i="1"/>
  <c r="EM211" i="1"/>
  <c r="DU211" i="1"/>
  <c r="DT211" i="1"/>
  <c r="DN211" i="1"/>
  <c r="DM211" i="1"/>
  <c r="DL211" i="1"/>
  <c r="DK211" i="1"/>
  <c r="DI211" i="1"/>
  <c r="DJ211" i="1" s="1"/>
  <c r="DB211" i="1"/>
  <c r="DC211" i="1" s="1"/>
  <c r="CX211" i="1"/>
  <c r="CN211" i="1"/>
  <c r="CP211" i="1" s="1"/>
  <c r="BV211" i="1"/>
  <c r="BX211" i="1" s="1"/>
  <c r="BU211" i="1"/>
  <c r="BN211" i="1"/>
  <c r="BO211" i="1" s="1"/>
  <c r="BM211" i="1"/>
  <c r="BD211" i="1"/>
  <c r="BC211" i="1"/>
  <c r="BB211" i="1"/>
  <c r="BA211" i="1"/>
  <c r="AZ211" i="1"/>
  <c r="AY211" i="1"/>
  <c r="AX211" i="1"/>
  <c r="M211" i="1"/>
  <c r="EM200" i="1"/>
  <c r="DU200" i="1"/>
  <c r="DT200" i="1"/>
  <c r="DN200" i="1"/>
  <c r="DM200" i="1"/>
  <c r="DL200" i="1"/>
  <c r="DK200" i="1"/>
  <c r="DI200" i="1"/>
  <c r="DJ200" i="1" s="1"/>
  <c r="DB200" i="1"/>
  <c r="DC200" i="1" s="1"/>
  <c r="CX200" i="1"/>
  <c r="CN200" i="1"/>
  <c r="CS200" i="1" s="1"/>
  <c r="BV200" i="1"/>
  <c r="BX200" i="1" s="1"/>
  <c r="BU200" i="1"/>
  <c r="BN200" i="1"/>
  <c r="BO200" i="1" s="1"/>
  <c r="BM200" i="1"/>
  <c r="BD200" i="1"/>
  <c r="BC200" i="1"/>
  <c r="BB200" i="1"/>
  <c r="BA200" i="1"/>
  <c r="AZ200" i="1"/>
  <c r="AY200" i="1"/>
  <c r="AX200" i="1"/>
  <c r="M200" i="1"/>
  <c r="EM151" i="1"/>
  <c r="DU151" i="1"/>
  <c r="DT151" i="1"/>
  <c r="DN151" i="1"/>
  <c r="DM151" i="1"/>
  <c r="DL151" i="1"/>
  <c r="DK151" i="1"/>
  <c r="DI151" i="1"/>
  <c r="DJ151" i="1" s="1"/>
  <c r="DB151" i="1"/>
  <c r="DC151" i="1" s="1"/>
  <c r="CX151" i="1"/>
  <c r="CN151" i="1"/>
  <c r="CR151" i="1" s="1"/>
  <c r="BV151" i="1"/>
  <c r="BX151" i="1" s="1"/>
  <c r="BU151" i="1"/>
  <c r="BN151" i="1"/>
  <c r="BO151" i="1" s="1"/>
  <c r="BM151" i="1"/>
  <c r="BD151" i="1"/>
  <c r="BC151" i="1"/>
  <c r="BB151" i="1"/>
  <c r="BA151" i="1"/>
  <c r="AZ151" i="1"/>
  <c r="BF151" i="1" s="1" a="1"/>
  <c r="BF151" i="1" s="1"/>
  <c r="AY151" i="1"/>
  <c r="AX151" i="1"/>
  <c r="M151" i="1"/>
  <c r="EM150" i="1"/>
  <c r="DU150" i="1"/>
  <c r="DT150" i="1"/>
  <c r="DN150" i="1"/>
  <c r="DM150" i="1"/>
  <c r="DL150" i="1"/>
  <c r="DK150" i="1"/>
  <c r="DI150" i="1"/>
  <c r="DJ150" i="1" s="1"/>
  <c r="DB150" i="1"/>
  <c r="DC150" i="1" s="1"/>
  <c r="CX150" i="1"/>
  <c r="CN150" i="1"/>
  <c r="CS150" i="1" s="1"/>
  <c r="BV150" i="1"/>
  <c r="BX150" i="1" s="1"/>
  <c r="BU150" i="1"/>
  <c r="BN150" i="1"/>
  <c r="BO150" i="1" s="1"/>
  <c r="BM150" i="1"/>
  <c r="BD150" i="1"/>
  <c r="BC150" i="1"/>
  <c r="BB150" i="1"/>
  <c r="BA150" i="1"/>
  <c r="AZ150" i="1"/>
  <c r="AY150" i="1"/>
  <c r="AX150" i="1"/>
  <c r="M150" i="1"/>
  <c r="EM149" i="1"/>
  <c r="DU149" i="1"/>
  <c r="DT149" i="1"/>
  <c r="DN149" i="1"/>
  <c r="DM149" i="1"/>
  <c r="DL149" i="1"/>
  <c r="DK149" i="1"/>
  <c r="DI149" i="1"/>
  <c r="DJ149" i="1" s="1"/>
  <c r="DB149" i="1"/>
  <c r="DC149" i="1" s="1"/>
  <c r="CX149" i="1"/>
  <c r="CN149" i="1"/>
  <c r="CS149" i="1" s="1"/>
  <c r="BV149" i="1"/>
  <c r="BX149" i="1" s="1"/>
  <c r="BU149" i="1"/>
  <c r="BN149" i="1"/>
  <c r="BO149" i="1" s="1"/>
  <c r="BM149" i="1"/>
  <c r="BD149" i="1"/>
  <c r="BC149" i="1"/>
  <c r="BB149" i="1"/>
  <c r="BA149" i="1"/>
  <c r="AZ149" i="1"/>
  <c r="AY149" i="1"/>
  <c r="AX149" i="1"/>
  <c r="M149" i="1"/>
  <c r="EM137" i="1"/>
  <c r="DU137" i="1"/>
  <c r="DT137" i="1"/>
  <c r="DN137" i="1"/>
  <c r="DM137" i="1"/>
  <c r="DL137" i="1"/>
  <c r="DK137" i="1"/>
  <c r="DI137" i="1"/>
  <c r="DJ137" i="1" s="1"/>
  <c r="DB137" i="1"/>
  <c r="DC137" i="1" s="1"/>
  <c r="CX137" i="1"/>
  <c r="CN137" i="1"/>
  <c r="BV137" i="1"/>
  <c r="BX137" i="1" s="1"/>
  <c r="BU137" i="1"/>
  <c r="BN137" i="1"/>
  <c r="BO137" i="1" s="1"/>
  <c r="BM137" i="1"/>
  <c r="BD137" i="1"/>
  <c r="BC137" i="1"/>
  <c r="BB137" i="1"/>
  <c r="BA137" i="1"/>
  <c r="AZ137" i="1"/>
  <c r="AY137" i="1"/>
  <c r="AX137" i="1"/>
  <c r="M137" i="1"/>
  <c r="EM113" i="1"/>
  <c r="DU113" i="1"/>
  <c r="DT113" i="1"/>
  <c r="DN113" i="1"/>
  <c r="DM113" i="1"/>
  <c r="DL113" i="1"/>
  <c r="DK113" i="1"/>
  <c r="DI113" i="1"/>
  <c r="DJ113" i="1" s="1"/>
  <c r="DB113" i="1"/>
  <c r="DC113" i="1" s="1"/>
  <c r="CX113" i="1"/>
  <c r="CN113" i="1"/>
  <c r="BV113" i="1"/>
  <c r="BX113" i="1" s="1"/>
  <c r="BU113" i="1"/>
  <c r="BN113" i="1"/>
  <c r="BO113" i="1" s="1"/>
  <c r="BM113" i="1"/>
  <c r="BD113" i="1"/>
  <c r="BC113" i="1"/>
  <c r="BB113" i="1"/>
  <c r="BA113" i="1"/>
  <c r="AZ113" i="1"/>
  <c r="AY113" i="1"/>
  <c r="AX113" i="1"/>
  <c r="M113" i="1"/>
  <c r="EM112" i="1"/>
  <c r="DU112" i="1"/>
  <c r="DT112" i="1"/>
  <c r="DN112" i="1"/>
  <c r="DM112" i="1"/>
  <c r="DL112" i="1"/>
  <c r="DK112" i="1"/>
  <c r="DI112" i="1"/>
  <c r="DJ112" i="1" s="1"/>
  <c r="DB112" i="1"/>
  <c r="DC112" i="1" s="1"/>
  <c r="CX112" i="1"/>
  <c r="CN112" i="1"/>
  <c r="CP112" i="1" s="1"/>
  <c r="BV112" i="1"/>
  <c r="BX112" i="1" s="1"/>
  <c r="BU112" i="1"/>
  <c r="BN112" i="1"/>
  <c r="BO112" i="1" s="1"/>
  <c r="BM112" i="1"/>
  <c r="BD112" i="1"/>
  <c r="BC112" i="1"/>
  <c r="BB112" i="1"/>
  <c r="BA112" i="1"/>
  <c r="AZ112" i="1"/>
  <c r="AY112" i="1"/>
  <c r="AX112" i="1"/>
  <c r="M112" i="1"/>
  <c r="EM103" i="1"/>
  <c r="DU103" i="1"/>
  <c r="DT103" i="1"/>
  <c r="DN103" i="1"/>
  <c r="DM103" i="1"/>
  <c r="DL103" i="1"/>
  <c r="DK103" i="1"/>
  <c r="DI103" i="1"/>
  <c r="DJ103" i="1" s="1"/>
  <c r="DB103" i="1"/>
  <c r="DC103" i="1" s="1"/>
  <c r="CX103" i="1"/>
  <c r="CN103" i="1"/>
  <c r="CS103" i="1" s="1"/>
  <c r="BV103" i="1"/>
  <c r="BX103" i="1" s="1"/>
  <c r="BU103" i="1"/>
  <c r="BN103" i="1"/>
  <c r="BO103" i="1" s="1"/>
  <c r="BM103" i="1"/>
  <c r="BD103" i="1"/>
  <c r="BC103" i="1"/>
  <c r="BB103" i="1"/>
  <c r="BA103" i="1"/>
  <c r="AZ103" i="1"/>
  <c r="AY103" i="1"/>
  <c r="AX103" i="1"/>
  <c r="M103" i="1"/>
  <c r="EM92" i="1"/>
  <c r="DU92" i="1"/>
  <c r="DT92" i="1"/>
  <c r="DN92" i="1"/>
  <c r="DM92" i="1"/>
  <c r="DL92" i="1"/>
  <c r="DK92" i="1"/>
  <c r="DI92" i="1"/>
  <c r="DJ92" i="1" s="1"/>
  <c r="DB92" i="1"/>
  <c r="DC92" i="1" s="1"/>
  <c r="CX92" i="1"/>
  <c r="CN92" i="1"/>
  <c r="CO92" i="1" s="1"/>
  <c r="BV92" i="1"/>
  <c r="BX92" i="1" s="1"/>
  <c r="BU92" i="1"/>
  <c r="BN92" i="1"/>
  <c r="BO92" i="1" s="1"/>
  <c r="BM92" i="1"/>
  <c r="BD92" i="1"/>
  <c r="BC92" i="1"/>
  <c r="BB92" i="1"/>
  <c r="BA92" i="1"/>
  <c r="AZ92" i="1"/>
  <c r="AY92" i="1"/>
  <c r="AX92" i="1"/>
  <c r="M92" i="1"/>
  <c r="EM64" i="1"/>
  <c r="DU64" i="1"/>
  <c r="DT64" i="1"/>
  <c r="DN64" i="1"/>
  <c r="DM64" i="1"/>
  <c r="DL64" i="1"/>
  <c r="DK64" i="1"/>
  <c r="DI64" i="1"/>
  <c r="DJ64" i="1" s="1"/>
  <c r="DB64" i="1"/>
  <c r="DC64" i="1" s="1"/>
  <c r="CX64" i="1"/>
  <c r="CN64" i="1"/>
  <c r="CR64" i="1" s="1"/>
  <c r="BV64" i="1"/>
  <c r="BX64" i="1" s="1"/>
  <c r="BU64" i="1"/>
  <c r="BN64" i="1"/>
  <c r="BO64" i="1" s="1"/>
  <c r="BM64" i="1"/>
  <c r="BD64" i="1"/>
  <c r="BC64" i="1"/>
  <c r="BB64" i="1"/>
  <c r="BA64" i="1"/>
  <c r="AZ64" i="1"/>
  <c r="BF64" i="1" s="1" a="1"/>
  <c r="BF64" i="1" s="1"/>
  <c r="AY64" i="1"/>
  <c r="AX64" i="1"/>
  <c r="M64" i="1"/>
  <c r="EM910" i="1"/>
  <c r="DU910" i="1"/>
  <c r="DT910" i="1"/>
  <c r="DN910" i="1"/>
  <c r="DM910" i="1"/>
  <c r="DL910" i="1"/>
  <c r="DK910" i="1"/>
  <c r="DI910" i="1"/>
  <c r="DJ910" i="1" s="1"/>
  <c r="DB910" i="1"/>
  <c r="DC910" i="1" s="1"/>
  <c r="CX910" i="1"/>
  <c r="CN910" i="1"/>
  <c r="CR910" i="1" s="1"/>
  <c r="BT910" i="1"/>
  <c r="BV910" i="1" s="1"/>
  <c r="BX910" i="1" s="1"/>
  <c r="BN910" i="1"/>
  <c r="BO910" i="1" s="1"/>
  <c r="BD910" i="1"/>
  <c r="BC910" i="1"/>
  <c r="BB910" i="1"/>
  <c r="BA910" i="1"/>
  <c r="AZ910" i="1"/>
  <c r="AY910" i="1"/>
  <c r="BE910" i="1" s="1" a="1"/>
  <c r="BE910" i="1" s="1"/>
  <c r="AX910" i="1"/>
  <c r="M910" i="1"/>
  <c r="EM990" i="1"/>
  <c r="DU990" i="1"/>
  <c r="DT990" i="1"/>
  <c r="DN990" i="1"/>
  <c r="DM990" i="1"/>
  <c r="DL990" i="1"/>
  <c r="DK990" i="1"/>
  <c r="DI990" i="1"/>
  <c r="DJ990" i="1" s="1"/>
  <c r="DC990" i="1"/>
  <c r="DA990" i="1"/>
  <c r="CX990" i="1"/>
  <c r="CN990" i="1"/>
  <c r="BX990" i="1"/>
  <c r="BN990" i="1"/>
  <c r="BO990" i="1" s="1"/>
  <c r="BD990" i="1"/>
  <c r="BC990" i="1"/>
  <c r="BB990" i="1"/>
  <c r="BA990" i="1"/>
  <c r="AZ990" i="1"/>
  <c r="AY990" i="1"/>
  <c r="BE990" i="1" s="1" a="1"/>
  <c r="BE990" i="1" s="1"/>
  <c r="AX990" i="1"/>
  <c r="M990" i="1"/>
  <c r="EM989" i="1"/>
  <c r="DU989" i="1"/>
  <c r="DT989" i="1"/>
  <c r="DN989" i="1"/>
  <c r="DM989" i="1"/>
  <c r="DL989" i="1"/>
  <c r="DK989" i="1"/>
  <c r="DI989" i="1"/>
  <c r="DJ989" i="1" s="1"/>
  <c r="DC989" i="1"/>
  <c r="DA989" i="1"/>
  <c r="CX989" i="1"/>
  <c r="CN989" i="1"/>
  <c r="CS989" i="1" s="1"/>
  <c r="BX989" i="1"/>
  <c r="BN989" i="1"/>
  <c r="BO989" i="1" s="1"/>
  <c r="BD989" i="1"/>
  <c r="BC989" i="1"/>
  <c r="BB989" i="1"/>
  <c r="BA989" i="1"/>
  <c r="AZ989" i="1"/>
  <c r="AY989" i="1"/>
  <c r="BE989" i="1" s="1" a="1"/>
  <c r="BE989" i="1" s="1"/>
  <c r="AX989" i="1"/>
  <c r="M989" i="1"/>
  <c r="EM774" i="1"/>
  <c r="DU774" i="1"/>
  <c r="DT774" i="1"/>
  <c r="DN774" i="1"/>
  <c r="DM774" i="1"/>
  <c r="DL774" i="1"/>
  <c r="DK774" i="1"/>
  <c r="DI774" i="1"/>
  <c r="DJ774" i="1" s="1"/>
  <c r="DC774" i="1"/>
  <c r="DA774" i="1"/>
  <c r="CX774" i="1"/>
  <c r="CN774" i="1"/>
  <c r="CO774" i="1" s="1"/>
  <c r="BX774" i="1"/>
  <c r="BN774" i="1"/>
  <c r="BO774" i="1" s="1"/>
  <c r="BD774" i="1"/>
  <c r="BC774" i="1"/>
  <c r="BB774" i="1"/>
  <c r="BA774" i="1"/>
  <c r="AZ774" i="1"/>
  <c r="AY774" i="1"/>
  <c r="BE774" i="1" s="1" a="1"/>
  <c r="BE774" i="1" s="1"/>
  <c r="AX774" i="1"/>
  <c r="M774" i="1"/>
  <c r="EM807" i="1"/>
  <c r="DU807" i="1"/>
  <c r="DT807" i="1"/>
  <c r="DN807" i="1"/>
  <c r="DM807" i="1"/>
  <c r="DL807" i="1"/>
  <c r="DK807" i="1"/>
  <c r="DI807" i="1"/>
  <c r="DJ807" i="1" s="1"/>
  <c r="DC807" i="1"/>
  <c r="DA807" i="1"/>
  <c r="CX807" i="1"/>
  <c r="CN807" i="1"/>
  <c r="BX807" i="1"/>
  <c r="BN807" i="1"/>
  <c r="BO807" i="1" s="1"/>
  <c r="BD807" i="1"/>
  <c r="BC807" i="1"/>
  <c r="BB807" i="1"/>
  <c r="BA807" i="1"/>
  <c r="AZ807" i="1"/>
  <c r="AY807" i="1"/>
  <c r="BE807" i="1" s="1" a="1"/>
  <c r="BE807" i="1" s="1"/>
  <c r="AX807" i="1"/>
  <c r="M807" i="1"/>
  <c r="EM857" i="1"/>
  <c r="DU857" i="1"/>
  <c r="DT857" i="1"/>
  <c r="DN857" i="1"/>
  <c r="DM857" i="1"/>
  <c r="DL857" i="1"/>
  <c r="DK857" i="1"/>
  <c r="DI857" i="1"/>
  <c r="DJ857" i="1" s="1"/>
  <c r="DB857" i="1"/>
  <c r="DC857" i="1" s="1"/>
  <c r="CX857" i="1"/>
  <c r="CN857" i="1"/>
  <c r="CR857" i="1" s="1"/>
  <c r="BV857" i="1"/>
  <c r="BX857" i="1" s="1"/>
  <c r="BU857" i="1"/>
  <c r="BN857" i="1"/>
  <c r="BO857" i="1" s="1"/>
  <c r="BM857" i="1"/>
  <c r="BD857" i="1"/>
  <c r="BC857" i="1"/>
  <c r="BB857" i="1"/>
  <c r="BA857" i="1"/>
  <c r="AZ857" i="1"/>
  <c r="BF857" i="1" s="1" a="1"/>
  <c r="BF857" i="1" s="1"/>
  <c r="AY857" i="1"/>
  <c r="BE857" i="1" s="1" a="1"/>
  <c r="BE857" i="1" s="1"/>
  <c r="AX857" i="1"/>
  <c r="M857" i="1"/>
  <c r="EM801" i="1"/>
  <c r="DU801" i="1"/>
  <c r="DT801" i="1"/>
  <c r="DN801" i="1"/>
  <c r="DM801" i="1"/>
  <c r="DL801" i="1"/>
  <c r="DK801" i="1"/>
  <c r="DI801" i="1"/>
  <c r="DJ801" i="1" s="1"/>
  <c r="DC801" i="1"/>
  <c r="CX801" i="1"/>
  <c r="CN801" i="1"/>
  <c r="CS801" i="1" s="1"/>
  <c r="BV801" i="1"/>
  <c r="BX801" i="1" s="1"/>
  <c r="BU801" i="1"/>
  <c r="BN801" i="1"/>
  <c r="BO801" i="1" s="1"/>
  <c r="BM801" i="1"/>
  <c r="BD801" i="1"/>
  <c r="BC801" i="1"/>
  <c r="BB801" i="1"/>
  <c r="BA801" i="1"/>
  <c r="AZ801" i="1"/>
  <c r="AY801" i="1"/>
  <c r="BE801" i="1" s="1" a="1"/>
  <c r="BE801" i="1" s="1"/>
  <c r="AX801" i="1"/>
  <c r="M801" i="1"/>
  <c r="EM729" i="1"/>
  <c r="DU729" i="1"/>
  <c r="DT729" i="1"/>
  <c r="DN729" i="1"/>
  <c r="DM729" i="1"/>
  <c r="DL729" i="1"/>
  <c r="DK729" i="1"/>
  <c r="DI729" i="1"/>
  <c r="DJ729" i="1" s="1"/>
  <c r="DC729" i="1"/>
  <c r="CX729" i="1"/>
  <c r="CN729" i="1"/>
  <c r="CR729" i="1" s="1"/>
  <c r="BV729" i="1"/>
  <c r="BX729" i="1" s="1"/>
  <c r="BU729" i="1"/>
  <c r="BN729" i="1"/>
  <c r="BO729" i="1" s="1"/>
  <c r="BM729" i="1"/>
  <c r="BD729" i="1"/>
  <c r="BC729" i="1"/>
  <c r="BB729" i="1"/>
  <c r="BA729" i="1"/>
  <c r="AZ729" i="1"/>
  <c r="AY729" i="1"/>
  <c r="BE729" i="1" s="1" a="1"/>
  <c r="BE729" i="1" s="1"/>
  <c r="AX729" i="1"/>
  <c r="M729" i="1"/>
  <c r="EM636" i="1"/>
  <c r="DU636" i="1"/>
  <c r="DT636" i="1"/>
  <c r="DN636" i="1"/>
  <c r="DM636" i="1"/>
  <c r="DL636" i="1"/>
  <c r="DK636" i="1"/>
  <c r="DI636" i="1"/>
  <c r="DJ636" i="1" s="1"/>
  <c r="DC636" i="1"/>
  <c r="CX636" i="1"/>
  <c r="CN636" i="1"/>
  <c r="CP636" i="1" s="1"/>
  <c r="BV636" i="1"/>
  <c r="BX636" i="1" s="1"/>
  <c r="BU636" i="1"/>
  <c r="BN636" i="1"/>
  <c r="BO636" i="1" s="1"/>
  <c r="BM636" i="1"/>
  <c r="BD636" i="1"/>
  <c r="BC636" i="1"/>
  <c r="BB636" i="1"/>
  <c r="BA636" i="1"/>
  <c r="AZ636" i="1"/>
  <c r="AY636" i="1"/>
  <c r="BE636" i="1" s="1" a="1"/>
  <c r="BE636" i="1" s="1"/>
  <c r="AX636" i="1"/>
  <c r="M636" i="1"/>
  <c r="EM621" i="1"/>
  <c r="DU621" i="1"/>
  <c r="DT621" i="1"/>
  <c r="DN621" i="1"/>
  <c r="DM621" i="1"/>
  <c r="DL621" i="1"/>
  <c r="DK621" i="1"/>
  <c r="DI621" i="1"/>
  <c r="DJ621" i="1" s="1"/>
  <c r="DC621" i="1"/>
  <c r="CX621" i="1"/>
  <c r="CN621" i="1"/>
  <c r="BV621" i="1"/>
  <c r="BX621" i="1" s="1"/>
  <c r="BU621" i="1"/>
  <c r="BN621" i="1"/>
  <c r="BO621" i="1" s="1"/>
  <c r="BM621" i="1"/>
  <c r="BD621" i="1"/>
  <c r="BC621" i="1"/>
  <c r="BB621" i="1"/>
  <c r="BA621" i="1"/>
  <c r="AZ621" i="1"/>
  <c r="BF621" i="1" s="1" a="1"/>
  <c r="BF621" i="1" s="1"/>
  <c r="AY621" i="1"/>
  <c r="BE621" i="1" s="1" a="1"/>
  <c r="BE621" i="1" s="1"/>
  <c r="AX621" i="1"/>
  <c r="M621" i="1"/>
  <c r="EM641" i="1"/>
  <c r="DU641" i="1"/>
  <c r="DT641" i="1"/>
  <c r="DN641" i="1"/>
  <c r="DM641" i="1"/>
  <c r="DL641" i="1"/>
  <c r="DK641" i="1"/>
  <c r="DI641" i="1"/>
  <c r="DJ641" i="1" s="1"/>
  <c r="DC641" i="1"/>
  <c r="CX641" i="1"/>
  <c r="BT641" i="1"/>
  <c r="BS641" i="1"/>
  <c r="BU641" i="1" s="1"/>
  <c r="BL641" i="1"/>
  <c r="BK641" i="1"/>
  <c r="BD641" i="1"/>
  <c r="BC641" i="1"/>
  <c r="BB641" i="1"/>
  <c r="BA641" i="1"/>
  <c r="AZ641" i="1"/>
  <c r="AY641" i="1"/>
  <c r="BE641" i="1" s="1" a="1"/>
  <c r="BE641" i="1" s="1"/>
  <c r="AX641" i="1"/>
  <c r="M641" i="1"/>
  <c r="EM87" i="1"/>
  <c r="DU87" i="1"/>
  <c r="DT87" i="1"/>
  <c r="DN87" i="1"/>
  <c r="DM87" i="1"/>
  <c r="DL87" i="1"/>
  <c r="DK87" i="1"/>
  <c r="DI87" i="1"/>
  <c r="DJ87" i="1" s="1"/>
  <c r="DC87" i="1"/>
  <c r="CX87" i="1"/>
  <c r="CN87" i="1"/>
  <c r="CR87" i="1" s="1"/>
  <c r="BX87" i="1"/>
  <c r="BV87" i="1"/>
  <c r="BN87" i="1"/>
  <c r="BO87" i="1" s="1"/>
  <c r="BD87" i="1"/>
  <c r="BC87" i="1"/>
  <c r="BB87" i="1"/>
  <c r="BA87" i="1"/>
  <c r="AZ87" i="1"/>
  <c r="BF87" i="1" s="1" a="1"/>
  <c r="BF87" i="1" s="1"/>
  <c r="AY87" i="1"/>
  <c r="BE87" i="1" s="1" a="1"/>
  <c r="BE87" i="1" s="1"/>
  <c r="AX87" i="1"/>
  <c r="M87" i="1"/>
  <c r="EM98" i="1"/>
  <c r="DU98" i="1"/>
  <c r="DT98" i="1"/>
  <c r="DN98" i="1"/>
  <c r="DM98" i="1"/>
  <c r="DL98" i="1"/>
  <c r="DK98" i="1"/>
  <c r="DI98" i="1"/>
  <c r="DJ98" i="1" s="1"/>
  <c r="DC98" i="1"/>
  <c r="CX98" i="1"/>
  <c r="CN98" i="1"/>
  <c r="CO98" i="1" s="1"/>
  <c r="BV98" i="1"/>
  <c r="BX98" i="1" s="1"/>
  <c r="BN98" i="1"/>
  <c r="BO98" i="1" s="1"/>
  <c r="BD98" i="1"/>
  <c r="BC98" i="1"/>
  <c r="BB98" i="1"/>
  <c r="BA98" i="1"/>
  <c r="AZ98" i="1"/>
  <c r="AY98" i="1"/>
  <c r="BE98" i="1" s="1" a="1"/>
  <c r="BE98" i="1" s="1"/>
  <c r="AX98" i="1"/>
  <c r="M98" i="1"/>
  <c r="EM141" i="1"/>
  <c r="DU141" i="1"/>
  <c r="DT141" i="1"/>
  <c r="DN141" i="1"/>
  <c r="DM141" i="1"/>
  <c r="DL141" i="1"/>
  <c r="DK141" i="1"/>
  <c r="DI141" i="1"/>
  <c r="DJ141" i="1" s="1"/>
  <c r="DC141" i="1"/>
  <c r="CX141" i="1"/>
  <c r="CN141" i="1"/>
  <c r="CP141" i="1" s="1"/>
  <c r="BV141" i="1"/>
  <c r="BX141" i="1" s="1"/>
  <c r="BN141" i="1"/>
  <c r="BO141" i="1" s="1"/>
  <c r="BD141" i="1"/>
  <c r="BC141" i="1"/>
  <c r="BB141" i="1"/>
  <c r="BA141" i="1"/>
  <c r="AZ141" i="1"/>
  <c r="AY141" i="1"/>
  <c r="AX141" i="1"/>
  <c r="M141" i="1"/>
  <c r="EM35" i="1"/>
  <c r="DU35" i="1"/>
  <c r="DT35" i="1"/>
  <c r="DN35" i="1"/>
  <c r="DM35" i="1"/>
  <c r="DL35" i="1"/>
  <c r="DK35" i="1"/>
  <c r="DI35" i="1"/>
  <c r="DJ35" i="1" s="1"/>
  <c r="DC35" i="1"/>
  <c r="CX35" i="1"/>
  <c r="CN35" i="1"/>
  <c r="BV35" i="1"/>
  <c r="BX35" i="1" s="1"/>
  <c r="BN35" i="1"/>
  <c r="BO35" i="1" s="1"/>
  <c r="BD35" i="1"/>
  <c r="BC35" i="1"/>
  <c r="BB35" i="1"/>
  <c r="BA35" i="1"/>
  <c r="AZ35" i="1"/>
  <c r="AY35" i="1"/>
  <c r="BE35" i="1" s="1" a="1"/>
  <c r="BE35" i="1" s="1"/>
  <c r="AX35" i="1"/>
  <c r="M35" i="1"/>
  <c r="EM552" i="1"/>
  <c r="DU552" i="1"/>
  <c r="DT552" i="1"/>
  <c r="DN552" i="1"/>
  <c r="DM552" i="1"/>
  <c r="DL552" i="1"/>
  <c r="DK552" i="1"/>
  <c r="DI552" i="1"/>
  <c r="DJ552" i="1" s="1"/>
  <c r="DC552" i="1"/>
  <c r="CX552" i="1"/>
  <c r="CN552" i="1"/>
  <c r="CR552" i="1" s="1"/>
  <c r="BV552" i="1"/>
  <c r="BX552" i="1" s="1"/>
  <c r="BN552" i="1"/>
  <c r="BO552" i="1" s="1"/>
  <c r="BD552" i="1"/>
  <c r="BC552" i="1"/>
  <c r="BB552" i="1"/>
  <c r="BA552" i="1"/>
  <c r="AZ552" i="1"/>
  <c r="BF552" i="1" s="1" a="1"/>
  <c r="BF552" i="1" s="1"/>
  <c r="AY552" i="1"/>
  <c r="AX552" i="1"/>
  <c r="M552" i="1"/>
  <c r="EM146" i="1"/>
  <c r="DU146" i="1"/>
  <c r="DT146" i="1"/>
  <c r="DN146" i="1"/>
  <c r="DM146" i="1"/>
  <c r="DL146" i="1"/>
  <c r="DK146" i="1"/>
  <c r="DI146" i="1"/>
  <c r="DJ146" i="1" s="1"/>
  <c r="DC146" i="1"/>
  <c r="CX146" i="1"/>
  <c r="CN146" i="1"/>
  <c r="CS146" i="1" s="1"/>
  <c r="BV146" i="1"/>
  <c r="BX146" i="1" s="1"/>
  <c r="BN146" i="1"/>
  <c r="BO146" i="1" s="1"/>
  <c r="BD146" i="1"/>
  <c r="BC146" i="1"/>
  <c r="BB146" i="1"/>
  <c r="BA146" i="1"/>
  <c r="AZ146" i="1"/>
  <c r="AY146" i="1"/>
  <c r="BE146" i="1" s="1" a="1"/>
  <c r="BE146" i="1" s="1"/>
  <c r="AX146" i="1"/>
  <c r="M146" i="1"/>
  <c r="EM177" i="1"/>
  <c r="DU177" i="1"/>
  <c r="DT177" i="1"/>
  <c r="DN177" i="1"/>
  <c r="DM177" i="1"/>
  <c r="DL177" i="1"/>
  <c r="DK177" i="1"/>
  <c r="DI177" i="1"/>
  <c r="DJ177" i="1" s="1"/>
  <c r="DC177" i="1"/>
  <c r="CX177" i="1"/>
  <c r="CN177" i="1"/>
  <c r="CS177" i="1" s="1"/>
  <c r="BV177" i="1"/>
  <c r="BX177" i="1" s="1"/>
  <c r="BN177" i="1"/>
  <c r="BO177" i="1" s="1"/>
  <c r="BD177" i="1"/>
  <c r="BC177" i="1"/>
  <c r="BB177" i="1"/>
  <c r="BA177" i="1"/>
  <c r="AZ177" i="1"/>
  <c r="AY177" i="1"/>
  <c r="BE177" i="1" s="1" a="1"/>
  <c r="BE177" i="1" s="1"/>
  <c r="AX177" i="1"/>
  <c r="M177" i="1"/>
  <c r="EM206" i="1"/>
  <c r="DU206" i="1"/>
  <c r="DT206" i="1"/>
  <c r="DN206" i="1"/>
  <c r="DM206" i="1"/>
  <c r="DL206" i="1"/>
  <c r="DK206" i="1"/>
  <c r="DI206" i="1"/>
  <c r="DJ206" i="1" s="1"/>
  <c r="DC206" i="1"/>
  <c r="CX206" i="1"/>
  <c r="CN206" i="1"/>
  <c r="CO206" i="1" s="1"/>
  <c r="BV206" i="1"/>
  <c r="BX206" i="1" s="1"/>
  <c r="BN206" i="1"/>
  <c r="BO206" i="1" s="1"/>
  <c r="BD206" i="1"/>
  <c r="BC206" i="1"/>
  <c r="BB206" i="1"/>
  <c r="BA206" i="1"/>
  <c r="AZ206" i="1"/>
  <c r="AY206" i="1"/>
  <c r="AX206" i="1"/>
  <c r="M206" i="1"/>
  <c r="EM46" i="1"/>
  <c r="DU46" i="1"/>
  <c r="DT46" i="1"/>
  <c r="DN46" i="1"/>
  <c r="DM46" i="1"/>
  <c r="DL46" i="1"/>
  <c r="DK46" i="1"/>
  <c r="DI46" i="1"/>
  <c r="DJ46" i="1" s="1"/>
  <c r="DC46" i="1"/>
  <c r="CX46" i="1"/>
  <c r="CN46" i="1"/>
  <c r="CO46" i="1" s="1"/>
  <c r="BV46" i="1"/>
  <c r="BX46" i="1" s="1"/>
  <c r="BN46" i="1"/>
  <c r="BO46" i="1" s="1"/>
  <c r="BD46" i="1"/>
  <c r="BC46" i="1"/>
  <c r="BB46" i="1"/>
  <c r="BA46" i="1"/>
  <c r="AZ46" i="1"/>
  <c r="BF46" i="1" s="1" a="1"/>
  <c r="BF46" i="1" s="1"/>
  <c r="AY46" i="1"/>
  <c r="BE46" i="1" s="1" a="1"/>
  <c r="BE46" i="1" s="1"/>
  <c r="AX46" i="1"/>
  <c r="M46" i="1"/>
  <c r="EM879" i="1"/>
  <c r="DU879" i="1"/>
  <c r="DT879" i="1"/>
  <c r="DN879" i="1"/>
  <c r="DM879" i="1"/>
  <c r="DL879" i="1"/>
  <c r="DK879" i="1"/>
  <c r="DI879" i="1"/>
  <c r="DJ879" i="1" s="1"/>
  <c r="DC879" i="1"/>
  <c r="CX879" i="1"/>
  <c r="CN879" i="1"/>
  <c r="CS879" i="1" s="1"/>
  <c r="BV879" i="1"/>
  <c r="BX879" i="1" s="1"/>
  <c r="BN879" i="1"/>
  <c r="BO879" i="1" s="1"/>
  <c r="BD879" i="1"/>
  <c r="BC879" i="1"/>
  <c r="BB879" i="1"/>
  <c r="BA879" i="1"/>
  <c r="AZ879" i="1"/>
  <c r="AY879" i="1"/>
  <c r="AX879" i="1"/>
  <c r="M879" i="1"/>
  <c r="EM108" i="1"/>
  <c r="DU108" i="1"/>
  <c r="DT108" i="1"/>
  <c r="DN108" i="1"/>
  <c r="DM108" i="1"/>
  <c r="DL108" i="1"/>
  <c r="DK108" i="1"/>
  <c r="DI108" i="1"/>
  <c r="DJ108" i="1" s="1"/>
  <c r="DC108" i="1"/>
  <c r="CX108" i="1"/>
  <c r="CN108" i="1"/>
  <c r="CS108" i="1" s="1"/>
  <c r="BV108" i="1"/>
  <c r="BX108" i="1" s="1"/>
  <c r="BN108" i="1"/>
  <c r="BO108" i="1" s="1"/>
  <c r="BD108" i="1"/>
  <c r="BC108" i="1"/>
  <c r="BB108" i="1"/>
  <c r="BA108" i="1"/>
  <c r="AZ108" i="1"/>
  <c r="AY108" i="1"/>
  <c r="BE108" i="1" s="1" a="1"/>
  <c r="BE108" i="1" s="1"/>
  <c r="AX108" i="1"/>
  <c r="M108" i="1"/>
  <c r="EM127" i="1"/>
  <c r="DU127" i="1"/>
  <c r="DT127" i="1"/>
  <c r="DN127" i="1"/>
  <c r="DM127" i="1"/>
  <c r="DL127" i="1"/>
  <c r="DK127" i="1"/>
  <c r="DI127" i="1"/>
  <c r="DJ127" i="1" s="1"/>
  <c r="DC127" i="1"/>
  <c r="CX127" i="1"/>
  <c r="CN127" i="1"/>
  <c r="CO127" i="1" s="1"/>
  <c r="BV127" i="1"/>
  <c r="BX127" i="1" s="1"/>
  <c r="BN127" i="1"/>
  <c r="BO127" i="1" s="1"/>
  <c r="BD127" i="1"/>
  <c r="BC127" i="1"/>
  <c r="BB127" i="1"/>
  <c r="BA127" i="1"/>
  <c r="AZ127" i="1"/>
  <c r="AY127" i="1"/>
  <c r="BE127" i="1" s="1" a="1"/>
  <c r="BE127" i="1" s="1"/>
  <c r="AX127" i="1"/>
  <c r="M127" i="1"/>
  <c r="EM166" i="1"/>
  <c r="DU166" i="1"/>
  <c r="DT166" i="1"/>
  <c r="DN166" i="1"/>
  <c r="DM166" i="1"/>
  <c r="DL166" i="1"/>
  <c r="DK166" i="1"/>
  <c r="DI166" i="1"/>
  <c r="DJ166" i="1" s="1"/>
  <c r="DC166" i="1"/>
  <c r="CX166" i="1"/>
  <c r="CN166" i="1"/>
  <c r="CP166" i="1" s="1"/>
  <c r="BV166" i="1"/>
  <c r="BX166" i="1" s="1"/>
  <c r="BN166" i="1"/>
  <c r="BO166" i="1" s="1"/>
  <c r="BD166" i="1"/>
  <c r="BC166" i="1"/>
  <c r="BB166" i="1"/>
  <c r="BA166" i="1"/>
  <c r="AZ166" i="1"/>
  <c r="BF166" i="1" s="1" a="1"/>
  <c r="BF166" i="1" s="1"/>
  <c r="AY166" i="1"/>
  <c r="AX166" i="1"/>
  <c r="M166" i="1"/>
  <c r="EM86" i="1"/>
  <c r="DU86" i="1"/>
  <c r="DT86" i="1"/>
  <c r="DN86" i="1"/>
  <c r="DM86" i="1"/>
  <c r="DL86" i="1"/>
  <c r="DK86" i="1"/>
  <c r="DI86" i="1"/>
  <c r="DJ86" i="1" s="1"/>
  <c r="DC86" i="1"/>
  <c r="CX86" i="1"/>
  <c r="CN86" i="1"/>
  <c r="BV86" i="1"/>
  <c r="BX86" i="1" s="1"/>
  <c r="BN86" i="1"/>
  <c r="BO86" i="1" s="1"/>
  <c r="BD86" i="1"/>
  <c r="BC86" i="1"/>
  <c r="BB86" i="1"/>
  <c r="BA86" i="1"/>
  <c r="AZ86" i="1"/>
  <c r="AY86" i="1"/>
  <c r="BE86" i="1" s="1" a="1"/>
  <c r="BE86" i="1" s="1"/>
  <c r="AX86" i="1"/>
  <c r="M86" i="1"/>
  <c r="EM709" i="1"/>
  <c r="DU709" i="1"/>
  <c r="DT709" i="1"/>
  <c r="DN709" i="1"/>
  <c r="DM709" i="1"/>
  <c r="DL709" i="1"/>
  <c r="DK709" i="1"/>
  <c r="DI709" i="1"/>
  <c r="DJ709" i="1" s="1"/>
  <c r="DC709" i="1"/>
  <c r="CX709" i="1"/>
  <c r="CN709" i="1"/>
  <c r="BV709" i="1"/>
  <c r="BX709" i="1" s="1"/>
  <c r="BN709" i="1"/>
  <c r="BO709" i="1" s="1"/>
  <c r="BD709" i="1"/>
  <c r="BC709" i="1"/>
  <c r="BB709" i="1"/>
  <c r="BA709" i="1"/>
  <c r="AZ709" i="1"/>
  <c r="AY709" i="1"/>
  <c r="AX709" i="1"/>
  <c r="M709" i="1"/>
  <c r="EM1204" i="1"/>
  <c r="DU1204" i="1"/>
  <c r="DT1204" i="1"/>
  <c r="DN1204" i="1"/>
  <c r="DM1204" i="1"/>
  <c r="DL1204" i="1"/>
  <c r="DK1204" i="1"/>
  <c r="DI1204" i="1"/>
  <c r="DJ1204" i="1" s="1"/>
  <c r="DC1204" i="1"/>
  <c r="CX1204" i="1"/>
  <c r="CN1204" i="1"/>
  <c r="CR1204" i="1" s="1"/>
  <c r="BX1204" i="1"/>
  <c r="BY1204" i="1" s="1"/>
  <c r="BT1204" i="1"/>
  <c r="BD1204" i="1"/>
  <c r="BC1204" i="1"/>
  <c r="BB1204" i="1"/>
  <c r="BA1204" i="1"/>
  <c r="AZ1204" i="1"/>
  <c r="AY1204" i="1"/>
  <c r="BE1204" i="1" s="1" a="1"/>
  <c r="BE1204" i="1" s="1"/>
  <c r="AX1204" i="1"/>
  <c r="M1204" i="1"/>
  <c r="EM1203" i="1"/>
  <c r="DU1203" i="1"/>
  <c r="DT1203" i="1"/>
  <c r="DN1203" i="1"/>
  <c r="DM1203" i="1"/>
  <c r="DL1203" i="1"/>
  <c r="DK1203" i="1"/>
  <c r="DI1203" i="1"/>
  <c r="DJ1203" i="1" s="1"/>
  <c r="DC1203" i="1"/>
  <c r="CX1203" i="1"/>
  <c r="CN1203" i="1"/>
  <c r="BX1203" i="1"/>
  <c r="BY1203" i="1" s="1"/>
  <c r="BT1203" i="1"/>
  <c r="BU1203" i="1" s="1"/>
  <c r="BD1203" i="1"/>
  <c r="BC1203" i="1"/>
  <c r="BB1203" i="1"/>
  <c r="BA1203" i="1"/>
  <c r="AZ1203" i="1"/>
  <c r="BF1203" i="1" s="1" a="1"/>
  <c r="BF1203" i="1" s="1"/>
  <c r="AY1203" i="1"/>
  <c r="BE1203" i="1" s="1" a="1"/>
  <c r="BE1203" i="1" s="1"/>
  <c r="AX1203" i="1"/>
  <c r="M1203" i="1"/>
  <c r="EM1202" i="1"/>
  <c r="DU1202" i="1"/>
  <c r="DT1202" i="1"/>
  <c r="DN1202" i="1"/>
  <c r="DM1202" i="1"/>
  <c r="DL1202" i="1"/>
  <c r="DK1202" i="1"/>
  <c r="DI1202" i="1"/>
  <c r="DJ1202" i="1" s="1"/>
  <c r="DC1202" i="1"/>
  <c r="CX1202" i="1"/>
  <c r="CN1202" i="1"/>
  <c r="BX1202" i="1"/>
  <c r="BY1202" i="1" s="1"/>
  <c r="BT1202" i="1"/>
  <c r="BU1202" i="1" s="1"/>
  <c r="BD1202" i="1"/>
  <c r="BC1202" i="1"/>
  <c r="BB1202" i="1"/>
  <c r="BA1202" i="1"/>
  <c r="AZ1202" i="1"/>
  <c r="AY1202" i="1"/>
  <c r="BE1202" i="1" s="1" a="1"/>
  <c r="BE1202" i="1" s="1"/>
  <c r="AX1202" i="1"/>
  <c r="M1202" i="1"/>
  <c r="EM1201" i="1"/>
  <c r="DU1201" i="1"/>
  <c r="DT1201" i="1"/>
  <c r="DN1201" i="1"/>
  <c r="DM1201" i="1"/>
  <c r="DL1201" i="1"/>
  <c r="DK1201" i="1"/>
  <c r="DI1201" i="1"/>
  <c r="DJ1201" i="1" s="1"/>
  <c r="DC1201" i="1"/>
  <c r="CX1201" i="1"/>
  <c r="CN1201" i="1"/>
  <c r="BX1201" i="1"/>
  <c r="BY1201" i="1" s="1"/>
  <c r="BT1201" i="1"/>
  <c r="BU1201" i="1" s="1"/>
  <c r="BD1201" i="1"/>
  <c r="BC1201" i="1"/>
  <c r="BB1201" i="1"/>
  <c r="BA1201" i="1"/>
  <c r="AZ1201" i="1"/>
  <c r="AY1201" i="1"/>
  <c r="BE1201" i="1" s="1" a="1"/>
  <c r="BE1201" i="1" s="1"/>
  <c r="AX1201" i="1"/>
  <c r="M1201" i="1"/>
  <c r="EM373" i="1"/>
  <c r="DU373" i="1"/>
  <c r="DT373" i="1"/>
  <c r="DN373" i="1"/>
  <c r="DM373" i="1"/>
  <c r="DL373" i="1"/>
  <c r="DK373" i="1"/>
  <c r="DI373" i="1"/>
  <c r="DJ373" i="1" s="1"/>
  <c r="DC373" i="1"/>
  <c r="CX373" i="1"/>
  <c r="CN373" i="1"/>
  <c r="CS373" i="1" s="1"/>
  <c r="BV373" i="1"/>
  <c r="BX373" i="1" s="1"/>
  <c r="BN373" i="1"/>
  <c r="BO373" i="1" s="1"/>
  <c r="BD373" i="1"/>
  <c r="BC373" i="1"/>
  <c r="BB373" i="1"/>
  <c r="BA373" i="1"/>
  <c r="AZ373" i="1"/>
  <c r="AY373" i="1"/>
  <c r="BE373" i="1" s="1" a="1"/>
  <c r="BE373" i="1" s="1"/>
  <c r="AX373" i="1"/>
  <c r="M373" i="1"/>
  <c r="EM85" i="1"/>
  <c r="DU85" i="1"/>
  <c r="DT85" i="1"/>
  <c r="DN85" i="1"/>
  <c r="DM85" i="1"/>
  <c r="DL85" i="1"/>
  <c r="DK85" i="1"/>
  <c r="DI85" i="1"/>
  <c r="DJ85" i="1" s="1"/>
  <c r="DC85" i="1"/>
  <c r="CX85" i="1"/>
  <c r="BV85" i="1"/>
  <c r="BX85" i="1" s="1"/>
  <c r="BU85" i="1"/>
  <c r="BL85" i="1"/>
  <c r="BK85" i="1"/>
  <c r="BD85" i="1"/>
  <c r="BC85" i="1"/>
  <c r="BB85" i="1"/>
  <c r="BA85" i="1"/>
  <c r="AZ85" i="1"/>
  <c r="AY85" i="1"/>
  <c r="AX85" i="1"/>
  <c r="M85" i="1"/>
  <c r="EM81" i="1"/>
  <c r="DU81" i="1"/>
  <c r="DT81" i="1"/>
  <c r="DN81" i="1"/>
  <c r="DM81" i="1"/>
  <c r="DL81" i="1"/>
  <c r="DK81" i="1"/>
  <c r="DI81" i="1"/>
  <c r="DJ81" i="1" s="1"/>
  <c r="DC81" i="1"/>
  <c r="CX81" i="1"/>
  <c r="BV81" i="1"/>
  <c r="BX81" i="1" s="1"/>
  <c r="BU81" i="1"/>
  <c r="BL81" i="1"/>
  <c r="BK81" i="1"/>
  <c r="BD81" i="1"/>
  <c r="BC81" i="1"/>
  <c r="BB81" i="1"/>
  <c r="BA81" i="1"/>
  <c r="AZ81" i="1"/>
  <c r="BF81" i="1" s="1" a="1"/>
  <c r="BF81" i="1" s="1"/>
  <c r="AY81" i="1"/>
  <c r="AX81" i="1"/>
  <c r="M81" i="1"/>
  <c r="EM80" i="1"/>
  <c r="DU80" i="1"/>
  <c r="DT80" i="1"/>
  <c r="DN80" i="1"/>
  <c r="DM80" i="1"/>
  <c r="DL80" i="1"/>
  <c r="DK80" i="1"/>
  <c r="DI80" i="1"/>
  <c r="DJ80" i="1" s="1"/>
  <c r="DC80" i="1"/>
  <c r="CX80" i="1"/>
  <c r="BV80" i="1"/>
  <c r="BX80" i="1" s="1"/>
  <c r="BU80" i="1"/>
  <c r="BL80" i="1"/>
  <c r="BK80" i="1"/>
  <c r="BD80" i="1"/>
  <c r="BC80" i="1"/>
  <c r="BB80" i="1"/>
  <c r="BA80" i="1"/>
  <c r="AZ80" i="1"/>
  <c r="AY80" i="1"/>
  <c r="AX80" i="1"/>
  <c r="M80" i="1"/>
  <c r="EM79" i="1"/>
  <c r="DU79" i="1"/>
  <c r="DT79" i="1"/>
  <c r="DN79" i="1"/>
  <c r="DM79" i="1"/>
  <c r="DL79" i="1"/>
  <c r="DK79" i="1"/>
  <c r="DI79" i="1"/>
  <c r="DJ79" i="1" s="1"/>
  <c r="DC79" i="1"/>
  <c r="CX79" i="1"/>
  <c r="BV79" i="1"/>
  <c r="BX79" i="1" s="1"/>
  <c r="BU79" i="1"/>
  <c r="BL79" i="1"/>
  <c r="BK79" i="1"/>
  <c r="BD79" i="1"/>
  <c r="BC79" i="1"/>
  <c r="BB79" i="1"/>
  <c r="BA79" i="1"/>
  <c r="AZ79" i="1"/>
  <c r="BF79" i="1" s="1" a="1"/>
  <c r="BF79" i="1" s="1"/>
  <c r="AY79" i="1"/>
  <c r="AX79" i="1"/>
  <c r="M79" i="1"/>
  <c r="EM1239" i="1"/>
  <c r="DU1239" i="1"/>
  <c r="DT1239" i="1"/>
  <c r="DN1239" i="1"/>
  <c r="DM1239" i="1"/>
  <c r="DL1239" i="1"/>
  <c r="DK1239" i="1"/>
  <c r="DI1239" i="1"/>
  <c r="DJ1239" i="1" s="1"/>
  <c r="DB1239" i="1"/>
  <c r="DC1239" i="1" s="1"/>
  <c r="CX1239" i="1"/>
  <c r="CV1239" i="1"/>
  <c r="CN1239" i="1"/>
  <c r="BN1239" i="1"/>
  <c r="BO1239" i="1" s="1"/>
  <c r="BY1239" i="1" s="1"/>
  <c r="EP1239" i="1" s="1"/>
  <c r="BD1239" i="1"/>
  <c r="BC1239" i="1"/>
  <c r="BB1239" i="1"/>
  <c r="BA1239" i="1"/>
  <c r="AZ1239" i="1"/>
  <c r="BF1239" i="1" s="1" a="1"/>
  <c r="BF1239" i="1" s="1"/>
  <c r="AY1239" i="1"/>
  <c r="BE1239" i="1" s="1" a="1"/>
  <c r="BE1239" i="1" s="1"/>
  <c r="AX1239" i="1"/>
  <c r="M1239" i="1"/>
  <c r="EM1238" i="1"/>
  <c r="DU1238" i="1"/>
  <c r="DT1238" i="1"/>
  <c r="DN1238" i="1"/>
  <c r="DM1238" i="1"/>
  <c r="DL1238" i="1"/>
  <c r="DK1238" i="1"/>
  <c r="DI1238" i="1"/>
  <c r="DJ1238" i="1" s="1"/>
  <c r="DB1238" i="1"/>
  <c r="DC1238" i="1" s="1"/>
  <c r="CX1238" i="1"/>
  <c r="CV1238" i="1"/>
  <c r="CN1238" i="1"/>
  <c r="BN1238" i="1"/>
  <c r="BO1238" i="1" s="1"/>
  <c r="BD1238" i="1"/>
  <c r="BC1238" i="1"/>
  <c r="BB1238" i="1"/>
  <c r="BA1238" i="1"/>
  <c r="AZ1238" i="1"/>
  <c r="AY1238" i="1"/>
  <c r="BE1238" i="1" s="1" a="1"/>
  <c r="BE1238" i="1" s="1"/>
  <c r="AX1238" i="1"/>
  <c r="M1238" i="1"/>
  <c r="EM1609" i="1"/>
  <c r="DU1609" i="1"/>
  <c r="DT1609" i="1"/>
  <c r="DN1609" i="1"/>
  <c r="DM1609" i="1"/>
  <c r="DL1609" i="1"/>
  <c r="DK1609" i="1"/>
  <c r="DI1609" i="1"/>
  <c r="DJ1609" i="1" s="1"/>
  <c r="DB1609" i="1"/>
  <c r="DC1609" i="1" s="1"/>
  <c r="CX1609" i="1"/>
  <c r="CV1609" i="1"/>
  <c r="CN1609" i="1"/>
  <c r="CP1609" i="1" s="1"/>
  <c r="BN1609" i="1"/>
  <c r="BO1609" i="1" s="1"/>
  <c r="BY1609" i="1" s="1"/>
  <c r="BD1609" i="1"/>
  <c r="BC1609" i="1"/>
  <c r="BB1609" i="1"/>
  <c r="BA1609" i="1"/>
  <c r="AZ1609" i="1"/>
  <c r="AY1609" i="1"/>
  <c r="BE1609" i="1" s="1" a="1"/>
  <c r="BE1609" i="1" s="1"/>
  <c r="AX1609" i="1"/>
  <c r="M1609" i="1"/>
  <c r="EM1608" i="1"/>
  <c r="DU1608" i="1"/>
  <c r="DT1608" i="1"/>
  <c r="DN1608" i="1"/>
  <c r="DM1608" i="1"/>
  <c r="DL1608" i="1"/>
  <c r="DK1608" i="1"/>
  <c r="DI1608" i="1"/>
  <c r="DJ1608" i="1" s="1"/>
  <c r="DB1608" i="1"/>
  <c r="DC1608" i="1" s="1"/>
  <c r="CX1608" i="1"/>
  <c r="CV1608" i="1"/>
  <c r="CN1608" i="1"/>
  <c r="CP1608" i="1" s="1"/>
  <c r="BN1608" i="1"/>
  <c r="BO1608" i="1" s="1"/>
  <c r="BD1608" i="1"/>
  <c r="BC1608" i="1"/>
  <c r="BB1608" i="1"/>
  <c r="BA1608" i="1"/>
  <c r="AZ1608" i="1"/>
  <c r="AY1608" i="1"/>
  <c r="BE1608" i="1" s="1" a="1"/>
  <c r="BE1608" i="1" s="1"/>
  <c r="AX1608" i="1"/>
  <c r="M1608" i="1"/>
  <c r="EM454" i="1"/>
  <c r="DU454" i="1"/>
  <c r="DT454" i="1"/>
  <c r="DN454" i="1"/>
  <c r="DM454" i="1"/>
  <c r="DL454" i="1"/>
  <c r="DK454" i="1"/>
  <c r="DI454" i="1"/>
  <c r="DJ454" i="1" s="1"/>
  <c r="DC454" i="1"/>
  <c r="CX454" i="1"/>
  <c r="CN454" i="1"/>
  <c r="CP454" i="1" s="1"/>
  <c r="BV454" i="1"/>
  <c r="BX454" i="1" s="1"/>
  <c r="BU454" i="1"/>
  <c r="BN454" i="1"/>
  <c r="BO454" i="1" s="1"/>
  <c r="BD454" i="1"/>
  <c r="BC454" i="1"/>
  <c r="BB454" i="1"/>
  <c r="BA454" i="1"/>
  <c r="AZ454" i="1"/>
  <c r="AY454" i="1"/>
  <c r="AX454" i="1"/>
  <c r="M454" i="1"/>
  <c r="EM421" i="1"/>
  <c r="DU421" i="1"/>
  <c r="DT421" i="1"/>
  <c r="DN421" i="1"/>
  <c r="DM421" i="1"/>
  <c r="DL421" i="1"/>
  <c r="DK421" i="1"/>
  <c r="DI421" i="1"/>
  <c r="DJ421" i="1" s="1"/>
  <c r="DC421" i="1"/>
  <c r="CX421" i="1"/>
  <c r="CN421" i="1"/>
  <c r="CS421" i="1" s="1"/>
  <c r="BV421" i="1"/>
  <c r="BX421" i="1" s="1"/>
  <c r="BU421" i="1"/>
  <c r="BN421" i="1"/>
  <c r="BO421" i="1" s="1"/>
  <c r="BD421" i="1"/>
  <c r="BC421" i="1"/>
  <c r="BB421" i="1"/>
  <c r="BA421" i="1"/>
  <c r="AZ421" i="1"/>
  <c r="BF421" i="1" s="1" a="1"/>
  <c r="BF421" i="1" s="1"/>
  <c r="AY421" i="1"/>
  <c r="AX421" i="1"/>
  <c r="M421" i="1"/>
  <c r="EM423" i="1"/>
  <c r="DU423" i="1"/>
  <c r="DT423" i="1"/>
  <c r="DN423" i="1"/>
  <c r="DM423" i="1"/>
  <c r="DL423" i="1"/>
  <c r="DK423" i="1"/>
  <c r="DI423" i="1"/>
  <c r="DJ423" i="1" s="1"/>
  <c r="DC423" i="1"/>
  <c r="CX423" i="1"/>
  <c r="CN423" i="1"/>
  <c r="CS423" i="1" s="1"/>
  <c r="BV423" i="1"/>
  <c r="BX423" i="1" s="1"/>
  <c r="BU423" i="1"/>
  <c r="BN423" i="1"/>
  <c r="BO423" i="1" s="1"/>
  <c r="BD423" i="1"/>
  <c r="BC423" i="1"/>
  <c r="BB423" i="1"/>
  <c r="BA423" i="1"/>
  <c r="AZ423" i="1"/>
  <c r="AY423" i="1"/>
  <c r="AX423" i="1"/>
  <c r="M423" i="1"/>
  <c r="EM425" i="1"/>
  <c r="DU425" i="1"/>
  <c r="DT425" i="1"/>
  <c r="DN425" i="1"/>
  <c r="DM425" i="1"/>
  <c r="DL425" i="1"/>
  <c r="DK425" i="1"/>
  <c r="DI425" i="1"/>
  <c r="DJ425" i="1" s="1"/>
  <c r="DC425" i="1"/>
  <c r="CX425" i="1"/>
  <c r="CN425" i="1"/>
  <c r="CP425" i="1" s="1"/>
  <c r="BV425" i="1"/>
  <c r="BX425" i="1" s="1"/>
  <c r="BU425" i="1"/>
  <c r="BN425" i="1"/>
  <c r="BO425" i="1" s="1"/>
  <c r="BD425" i="1"/>
  <c r="BC425" i="1"/>
  <c r="BB425" i="1"/>
  <c r="BA425" i="1"/>
  <c r="AZ425" i="1"/>
  <c r="AY425" i="1"/>
  <c r="AX425" i="1"/>
  <c r="M425" i="1"/>
  <c r="EM162" i="1"/>
  <c r="DU162" i="1"/>
  <c r="DN162" i="1"/>
  <c r="DM162" i="1"/>
  <c r="DL162" i="1"/>
  <c r="DK162" i="1"/>
  <c r="DI162" i="1"/>
  <c r="DJ162" i="1" s="1"/>
  <c r="DC162" i="1"/>
  <c r="CX162" i="1"/>
  <c r="CN162" i="1"/>
  <c r="CO162" i="1" s="1"/>
  <c r="BT162" i="1"/>
  <c r="BS162" i="1"/>
  <c r="BN162" i="1"/>
  <c r="BO162" i="1" s="1"/>
  <c r="BM162" i="1"/>
  <c r="BD162" i="1"/>
  <c r="BC162" i="1"/>
  <c r="BB162" i="1"/>
  <c r="BA162" i="1"/>
  <c r="AZ162" i="1"/>
  <c r="AY162" i="1"/>
  <c r="BE162" i="1" s="1" a="1"/>
  <c r="BE162" i="1" s="1"/>
  <c r="AX162" i="1"/>
  <c r="M162" i="1"/>
  <c r="EM263" i="1"/>
  <c r="DU263" i="1"/>
  <c r="DN263" i="1"/>
  <c r="DM263" i="1"/>
  <c r="DL263" i="1"/>
  <c r="DK263" i="1"/>
  <c r="DI263" i="1"/>
  <c r="DJ263" i="1" s="1"/>
  <c r="DC263" i="1"/>
  <c r="CX263" i="1"/>
  <c r="CN263" i="1"/>
  <c r="CO263" i="1" s="1"/>
  <c r="BV263" i="1"/>
  <c r="BX263" i="1" s="1"/>
  <c r="BU263" i="1"/>
  <c r="BN263" i="1"/>
  <c r="BO263" i="1" s="1"/>
  <c r="BM263" i="1"/>
  <c r="BD263" i="1"/>
  <c r="BC263" i="1"/>
  <c r="BB263" i="1"/>
  <c r="BA263" i="1"/>
  <c r="AZ263" i="1"/>
  <c r="BF263" i="1" s="1" a="1"/>
  <c r="BF263" i="1" s="1"/>
  <c r="AY263" i="1"/>
  <c r="BE263" i="1" s="1" a="1"/>
  <c r="BE263" i="1" s="1"/>
  <c r="AX263" i="1"/>
  <c r="M263" i="1"/>
  <c r="EM754" i="1"/>
  <c r="DU754" i="1"/>
  <c r="DN754" i="1"/>
  <c r="DM754" i="1"/>
  <c r="DL754" i="1"/>
  <c r="DK754" i="1"/>
  <c r="DI754" i="1"/>
  <c r="DJ754" i="1" s="1"/>
  <c r="DC754" i="1"/>
  <c r="CX754" i="1"/>
  <c r="CN754" i="1"/>
  <c r="CO754" i="1" s="1"/>
  <c r="BV754" i="1"/>
  <c r="BX754" i="1" s="1"/>
  <c r="BU754" i="1"/>
  <c r="BN754" i="1"/>
  <c r="BO754" i="1" s="1"/>
  <c r="BM754" i="1"/>
  <c r="BD754" i="1"/>
  <c r="BC754" i="1"/>
  <c r="BB754" i="1"/>
  <c r="BA754" i="1"/>
  <c r="AZ754" i="1"/>
  <c r="AY754" i="1"/>
  <c r="BE754" i="1" s="1" a="1"/>
  <c r="BE754" i="1" s="1"/>
  <c r="AX754" i="1"/>
  <c r="M754" i="1"/>
  <c r="EM157" i="1"/>
  <c r="DU157" i="1"/>
  <c r="DN157" i="1"/>
  <c r="DM157" i="1"/>
  <c r="DL157" i="1"/>
  <c r="DK157" i="1"/>
  <c r="DI157" i="1"/>
  <c r="DJ157" i="1" s="1"/>
  <c r="DC157" i="1"/>
  <c r="CX157" i="1"/>
  <c r="CN157" i="1"/>
  <c r="CR157" i="1" s="1"/>
  <c r="BT157" i="1"/>
  <c r="BV157" i="1" s="1"/>
  <c r="BX157" i="1" s="1"/>
  <c r="BN157" i="1"/>
  <c r="BO157" i="1" s="1"/>
  <c r="BM157" i="1"/>
  <c r="BD157" i="1"/>
  <c r="BC157" i="1"/>
  <c r="BB157" i="1"/>
  <c r="BA157" i="1"/>
  <c r="AZ157" i="1"/>
  <c r="AY157" i="1"/>
  <c r="BE157" i="1" s="1" a="1"/>
  <c r="BE157" i="1" s="1"/>
  <c r="AX157" i="1"/>
  <c r="M157" i="1"/>
  <c r="EM161" i="1"/>
  <c r="DU161" i="1"/>
  <c r="DN161" i="1"/>
  <c r="DM161" i="1"/>
  <c r="DL161" i="1"/>
  <c r="DK161" i="1"/>
  <c r="DI161" i="1"/>
  <c r="DJ161" i="1" s="1"/>
  <c r="DC161" i="1"/>
  <c r="CX161" i="1"/>
  <c r="CN161" i="1"/>
  <c r="CR161" i="1" s="1"/>
  <c r="BV161" i="1"/>
  <c r="BX161" i="1" s="1"/>
  <c r="BU161" i="1"/>
  <c r="BN161" i="1"/>
  <c r="BO161" i="1" s="1"/>
  <c r="BM161" i="1"/>
  <c r="BD161" i="1"/>
  <c r="BC161" i="1"/>
  <c r="BB161" i="1"/>
  <c r="BA161" i="1"/>
  <c r="AZ161" i="1"/>
  <c r="BF161" i="1" s="1" a="1"/>
  <c r="BF161" i="1" s="1"/>
  <c r="AY161" i="1"/>
  <c r="BE161" i="1" s="1" a="1"/>
  <c r="BE161" i="1" s="1"/>
  <c r="AX161" i="1"/>
  <c r="M161" i="1"/>
  <c r="EM180" i="1"/>
  <c r="DU180" i="1"/>
  <c r="DN180" i="1"/>
  <c r="DM180" i="1"/>
  <c r="DL180" i="1"/>
  <c r="DK180" i="1"/>
  <c r="DI180" i="1"/>
  <c r="DJ180" i="1" s="1"/>
  <c r="DC180" i="1"/>
  <c r="CX180" i="1"/>
  <c r="CN180" i="1"/>
  <c r="CS180" i="1" s="1"/>
  <c r="BV180" i="1"/>
  <c r="BX180" i="1" s="1"/>
  <c r="BU180" i="1"/>
  <c r="BN180" i="1"/>
  <c r="BO180" i="1" s="1"/>
  <c r="BM180" i="1"/>
  <c r="BD180" i="1"/>
  <c r="BC180" i="1"/>
  <c r="BB180" i="1"/>
  <c r="BA180" i="1"/>
  <c r="AZ180" i="1"/>
  <c r="AY180" i="1"/>
  <c r="BE180" i="1" s="1" a="1"/>
  <c r="BE180" i="1" s="1"/>
  <c r="AX180" i="1"/>
  <c r="M180" i="1"/>
  <c r="EM102" i="1"/>
  <c r="DU102" i="1"/>
  <c r="DN102" i="1"/>
  <c r="DM102" i="1"/>
  <c r="DL102" i="1"/>
  <c r="DK102" i="1"/>
  <c r="DI102" i="1"/>
  <c r="DJ102" i="1" s="1"/>
  <c r="DC102" i="1"/>
  <c r="CX102" i="1"/>
  <c r="CN102" i="1"/>
  <c r="BT102" i="1"/>
  <c r="BS102" i="1"/>
  <c r="BN102" i="1"/>
  <c r="BO102" i="1" s="1"/>
  <c r="BM102" i="1"/>
  <c r="BD102" i="1"/>
  <c r="BC102" i="1"/>
  <c r="BB102" i="1"/>
  <c r="BA102" i="1"/>
  <c r="AZ102" i="1"/>
  <c r="BF102" i="1" s="1" a="1"/>
  <c r="BF102" i="1" s="1"/>
  <c r="AY102" i="1"/>
  <c r="BE102" i="1" s="1" a="1"/>
  <c r="BE102" i="1" s="1"/>
  <c r="AX102" i="1"/>
  <c r="M102" i="1"/>
  <c r="EM128" i="1"/>
  <c r="DU128" i="1"/>
  <c r="DN128" i="1"/>
  <c r="DM128" i="1"/>
  <c r="DL128" i="1"/>
  <c r="DK128" i="1"/>
  <c r="DI128" i="1"/>
  <c r="DJ128" i="1" s="1"/>
  <c r="DC128" i="1"/>
  <c r="CX128" i="1"/>
  <c r="CN128" i="1"/>
  <c r="BV128" i="1"/>
  <c r="BX128" i="1" s="1"/>
  <c r="BU128" i="1"/>
  <c r="BN128" i="1"/>
  <c r="BO128" i="1" s="1"/>
  <c r="BM128" i="1"/>
  <c r="BD128" i="1"/>
  <c r="BC128" i="1"/>
  <c r="BB128" i="1"/>
  <c r="BA128" i="1"/>
  <c r="AZ128" i="1"/>
  <c r="AY128" i="1"/>
  <c r="BE128" i="1" s="1" a="1"/>
  <c r="BE128" i="1" s="1"/>
  <c r="AX128" i="1"/>
  <c r="M128" i="1"/>
  <c r="EM182" i="1"/>
  <c r="DU182" i="1"/>
  <c r="DN182" i="1"/>
  <c r="DM182" i="1"/>
  <c r="DL182" i="1"/>
  <c r="DK182" i="1"/>
  <c r="DI182" i="1"/>
  <c r="DJ182" i="1" s="1"/>
  <c r="DC182" i="1"/>
  <c r="CX182" i="1"/>
  <c r="CN182" i="1"/>
  <c r="CR182" i="1" s="1"/>
  <c r="BV182" i="1"/>
  <c r="BX182" i="1" s="1"/>
  <c r="BU182" i="1"/>
  <c r="BN182" i="1"/>
  <c r="BO182" i="1" s="1"/>
  <c r="BM182" i="1"/>
  <c r="BD182" i="1"/>
  <c r="BC182" i="1"/>
  <c r="BB182" i="1"/>
  <c r="BA182" i="1"/>
  <c r="AZ182" i="1"/>
  <c r="BF182" i="1" s="1" a="1"/>
  <c r="BF182" i="1" s="1"/>
  <c r="AY182" i="1"/>
  <c r="BE182" i="1" s="1" a="1"/>
  <c r="BE182" i="1" s="1"/>
  <c r="AX182" i="1"/>
  <c r="M182" i="1"/>
  <c r="EM737" i="1"/>
  <c r="DU737" i="1"/>
  <c r="DN737" i="1"/>
  <c r="DM737" i="1"/>
  <c r="DL737" i="1"/>
  <c r="DK737" i="1"/>
  <c r="DI737" i="1"/>
  <c r="DJ737" i="1" s="1"/>
  <c r="DC737" i="1"/>
  <c r="CX737" i="1"/>
  <c r="CN737" i="1"/>
  <c r="CP737" i="1" s="1"/>
  <c r="BT737" i="1"/>
  <c r="BS737" i="1"/>
  <c r="BN737" i="1"/>
  <c r="BO737" i="1" s="1"/>
  <c r="BM737" i="1"/>
  <c r="BD737" i="1"/>
  <c r="BC737" i="1"/>
  <c r="BB737" i="1"/>
  <c r="BA737" i="1"/>
  <c r="AZ737" i="1"/>
  <c r="AY737" i="1"/>
  <c r="BE737" i="1" s="1" a="1"/>
  <c r="BE737" i="1" s="1"/>
  <c r="AX737" i="1"/>
  <c r="M737" i="1"/>
  <c r="EM904" i="1"/>
  <c r="DU904" i="1"/>
  <c r="DN904" i="1"/>
  <c r="DM904" i="1"/>
  <c r="DL904" i="1"/>
  <c r="DK904" i="1"/>
  <c r="DI904" i="1"/>
  <c r="DJ904" i="1" s="1"/>
  <c r="DC904" i="1"/>
  <c r="CX904" i="1"/>
  <c r="CN904" i="1"/>
  <c r="CS904" i="1" s="1"/>
  <c r="BV904" i="1"/>
  <c r="BX904" i="1" s="1"/>
  <c r="BU904" i="1"/>
  <c r="BN904" i="1"/>
  <c r="BO904" i="1" s="1"/>
  <c r="BM904" i="1"/>
  <c r="BD904" i="1"/>
  <c r="BC904" i="1"/>
  <c r="BB904" i="1"/>
  <c r="BA904" i="1"/>
  <c r="AZ904" i="1"/>
  <c r="BF904" i="1" s="1" a="1"/>
  <c r="BF904" i="1" s="1"/>
  <c r="AY904" i="1"/>
  <c r="BE904" i="1" s="1" a="1"/>
  <c r="BE904" i="1" s="1"/>
  <c r="AX904" i="1"/>
  <c r="M904" i="1"/>
  <c r="EM945" i="1"/>
  <c r="DU945" i="1"/>
  <c r="DN945" i="1"/>
  <c r="DM945" i="1"/>
  <c r="DL945" i="1"/>
  <c r="DK945" i="1"/>
  <c r="DI945" i="1"/>
  <c r="DJ945" i="1" s="1"/>
  <c r="DC945" i="1"/>
  <c r="CX945" i="1"/>
  <c r="CN945" i="1"/>
  <c r="CR945" i="1" s="1"/>
  <c r="BV945" i="1"/>
  <c r="BX945" i="1" s="1"/>
  <c r="BU945" i="1"/>
  <c r="BN945" i="1"/>
  <c r="BO945" i="1" s="1"/>
  <c r="BM945" i="1"/>
  <c r="BD945" i="1"/>
  <c r="BC945" i="1"/>
  <c r="BB945" i="1"/>
  <c r="BA945" i="1"/>
  <c r="AZ945" i="1"/>
  <c r="AY945" i="1"/>
  <c r="BE945" i="1" s="1" a="1"/>
  <c r="BE945" i="1" s="1"/>
  <c r="AX945" i="1"/>
  <c r="M945" i="1"/>
  <c r="EM960" i="1"/>
  <c r="DU960" i="1"/>
  <c r="DT960" i="1"/>
  <c r="DN960" i="1"/>
  <c r="DM960" i="1"/>
  <c r="DL960" i="1"/>
  <c r="DK960" i="1"/>
  <c r="DI960" i="1"/>
  <c r="DJ960" i="1" s="1"/>
  <c r="DC960" i="1"/>
  <c r="CX960" i="1"/>
  <c r="BT960" i="1"/>
  <c r="BS960" i="1"/>
  <c r="BL960" i="1"/>
  <c r="BK960" i="1"/>
  <c r="BD960" i="1"/>
  <c r="BC960" i="1"/>
  <c r="BB960" i="1"/>
  <c r="BA960" i="1"/>
  <c r="AZ960" i="1"/>
  <c r="BF960" i="1" s="1" a="1"/>
  <c r="BF960" i="1" s="1"/>
  <c r="AY960" i="1"/>
  <c r="BE960" i="1" s="1" a="1"/>
  <c r="BE960" i="1" s="1"/>
  <c r="AX960" i="1"/>
  <c r="M960" i="1"/>
  <c r="EM923" i="1"/>
  <c r="DU923" i="1"/>
  <c r="DT923" i="1"/>
  <c r="DN923" i="1"/>
  <c r="DM923" i="1"/>
  <c r="DL923" i="1"/>
  <c r="DK923" i="1"/>
  <c r="DI923" i="1"/>
  <c r="DJ923" i="1" s="1"/>
  <c r="DC923" i="1"/>
  <c r="CX923" i="1"/>
  <c r="BT923" i="1"/>
  <c r="BS923" i="1"/>
  <c r="BL923" i="1"/>
  <c r="BK923" i="1"/>
  <c r="BD923" i="1"/>
  <c r="BC923" i="1"/>
  <c r="BB923" i="1"/>
  <c r="BA923" i="1"/>
  <c r="AZ923" i="1"/>
  <c r="AY923" i="1"/>
  <c r="BE923" i="1" s="1" a="1"/>
  <c r="BE923" i="1" s="1"/>
  <c r="AX923" i="1"/>
  <c r="M923" i="1"/>
  <c r="EM899" i="1"/>
  <c r="DU899" i="1"/>
  <c r="DT899" i="1"/>
  <c r="DN899" i="1"/>
  <c r="DM899" i="1"/>
  <c r="DL899" i="1"/>
  <c r="DK899" i="1"/>
  <c r="DI899" i="1"/>
  <c r="DJ899" i="1" s="1"/>
  <c r="DC899" i="1"/>
  <c r="CX899" i="1"/>
  <c r="BV899" i="1"/>
  <c r="BX899" i="1" s="1"/>
  <c r="BL899" i="1"/>
  <c r="BM899" i="1" s="1"/>
  <c r="BK899" i="1"/>
  <c r="BD899" i="1"/>
  <c r="BC899" i="1"/>
  <c r="BB899" i="1"/>
  <c r="BA899" i="1"/>
  <c r="AZ899" i="1"/>
  <c r="BF899" i="1" s="1" a="1"/>
  <c r="BF899" i="1" s="1"/>
  <c r="AY899" i="1"/>
  <c r="BE899" i="1" s="1" a="1"/>
  <c r="BE899" i="1" s="1"/>
  <c r="AX899" i="1"/>
  <c r="M899" i="1"/>
  <c r="EM984" i="1"/>
  <c r="DU984" i="1"/>
  <c r="DT984" i="1"/>
  <c r="DN984" i="1"/>
  <c r="DM984" i="1"/>
  <c r="DL984" i="1"/>
  <c r="DK984" i="1"/>
  <c r="DI984" i="1"/>
  <c r="DJ984" i="1" s="1"/>
  <c r="DC984" i="1"/>
  <c r="CX984" i="1"/>
  <c r="BV984" i="1"/>
  <c r="BX984" i="1" s="1"/>
  <c r="BL984" i="1"/>
  <c r="BK984" i="1"/>
  <c r="BD984" i="1"/>
  <c r="BC984" i="1"/>
  <c r="BB984" i="1"/>
  <c r="BA984" i="1"/>
  <c r="AZ984" i="1"/>
  <c r="BF984" i="1" s="1" a="1"/>
  <c r="BF984" i="1" s="1"/>
  <c r="AY984" i="1"/>
  <c r="BE984" i="1" s="1" a="1"/>
  <c r="BE984" i="1" s="1"/>
  <c r="AX984" i="1"/>
  <c r="M984" i="1"/>
  <c r="EM973" i="1"/>
  <c r="DU973" i="1"/>
  <c r="DT973" i="1"/>
  <c r="DN973" i="1"/>
  <c r="DM973" i="1"/>
  <c r="DL973" i="1"/>
  <c r="DK973" i="1"/>
  <c r="DI973" i="1"/>
  <c r="DJ973" i="1" s="1"/>
  <c r="DC973" i="1"/>
  <c r="CX973" i="1"/>
  <c r="BV973" i="1"/>
  <c r="BX973" i="1" s="1"/>
  <c r="BL973" i="1"/>
  <c r="BK973" i="1"/>
  <c r="BD973" i="1"/>
  <c r="BC973" i="1"/>
  <c r="BB973" i="1"/>
  <c r="BA973" i="1"/>
  <c r="AZ973" i="1"/>
  <c r="AY973" i="1"/>
  <c r="BE973" i="1" s="1" a="1"/>
  <c r="BE973" i="1" s="1"/>
  <c r="AX973" i="1"/>
  <c r="M973" i="1"/>
  <c r="EM1161" i="1"/>
  <c r="DU1161" i="1"/>
  <c r="DT1161" i="1"/>
  <c r="DN1161" i="1"/>
  <c r="DM1161" i="1"/>
  <c r="DL1161" i="1"/>
  <c r="DK1161" i="1"/>
  <c r="DI1161" i="1"/>
  <c r="DJ1161" i="1" s="1"/>
  <c r="DC1161" i="1"/>
  <c r="CX1161" i="1"/>
  <c r="BV1161" i="1"/>
  <c r="BX1161" i="1" s="1"/>
  <c r="BL1161" i="1"/>
  <c r="BK1161" i="1"/>
  <c r="BD1161" i="1"/>
  <c r="BC1161" i="1"/>
  <c r="BB1161" i="1"/>
  <c r="BA1161" i="1"/>
  <c r="AZ1161" i="1"/>
  <c r="AY1161" i="1"/>
  <c r="BE1161" i="1" s="1" a="1"/>
  <c r="BE1161" i="1" s="1"/>
  <c r="AX1161" i="1"/>
  <c r="M1161" i="1"/>
  <c r="EM1160" i="1"/>
  <c r="DU1160" i="1"/>
  <c r="DT1160" i="1"/>
  <c r="DN1160" i="1"/>
  <c r="DM1160" i="1"/>
  <c r="DL1160" i="1"/>
  <c r="DK1160" i="1"/>
  <c r="DI1160" i="1"/>
  <c r="DJ1160" i="1" s="1"/>
  <c r="DC1160" i="1"/>
  <c r="CX1160" i="1"/>
  <c r="BV1160" i="1"/>
  <c r="BX1160" i="1" s="1"/>
  <c r="BL1160" i="1"/>
  <c r="BK1160" i="1"/>
  <c r="BD1160" i="1"/>
  <c r="BC1160" i="1"/>
  <c r="BB1160" i="1"/>
  <c r="BA1160" i="1"/>
  <c r="AZ1160" i="1"/>
  <c r="BF1160" i="1" s="1" a="1"/>
  <c r="BF1160" i="1" s="1"/>
  <c r="AY1160" i="1"/>
  <c r="BE1160" i="1" s="1" a="1"/>
  <c r="BE1160" i="1" s="1"/>
  <c r="AX1160" i="1"/>
  <c r="M1160" i="1"/>
  <c r="EM1159" i="1"/>
  <c r="DU1159" i="1"/>
  <c r="DT1159" i="1"/>
  <c r="DN1159" i="1"/>
  <c r="DM1159" i="1"/>
  <c r="DL1159" i="1"/>
  <c r="DK1159" i="1"/>
  <c r="DI1159" i="1"/>
  <c r="DJ1159" i="1" s="1"/>
  <c r="DC1159" i="1"/>
  <c r="CX1159" i="1"/>
  <c r="BV1159" i="1"/>
  <c r="BX1159" i="1" s="1"/>
  <c r="BL1159" i="1"/>
  <c r="BK1159" i="1"/>
  <c r="BD1159" i="1"/>
  <c r="BC1159" i="1"/>
  <c r="BB1159" i="1"/>
  <c r="BA1159" i="1"/>
  <c r="AZ1159" i="1"/>
  <c r="BF1159" i="1" s="1" a="1"/>
  <c r="BF1159" i="1" s="1"/>
  <c r="AY1159" i="1"/>
  <c r="BE1159" i="1" s="1" a="1"/>
  <c r="BE1159" i="1" s="1"/>
  <c r="AX1159" i="1"/>
  <c r="M1159" i="1"/>
  <c r="EM1017" i="1"/>
  <c r="DU1017" i="1"/>
  <c r="DT1017" i="1"/>
  <c r="DN1017" i="1"/>
  <c r="DM1017" i="1"/>
  <c r="DL1017" i="1"/>
  <c r="DK1017" i="1"/>
  <c r="DI1017" i="1"/>
  <c r="DJ1017" i="1" s="1"/>
  <c r="DC1017" i="1"/>
  <c r="CX1017" i="1"/>
  <c r="CN1017" i="1"/>
  <c r="CO1017" i="1" s="1"/>
  <c r="BX1017" i="1"/>
  <c r="BY1017" i="1" s="1"/>
  <c r="BN1017" i="1"/>
  <c r="BM1017" i="1"/>
  <c r="BD1017" i="1"/>
  <c r="BC1017" i="1"/>
  <c r="BB1017" i="1"/>
  <c r="BA1017" i="1"/>
  <c r="AZ1017" i="1"/>
  <c r="AY1017" i="1"/>
  <c r="BE1017" i="1" s="1" a="1"/>
  <c r="BE1017" i="1" s="1"/>
  <c r="AX1017" i="1"/>
  <c r="M1017" i="1"/>
  <c r="EM933" i="1"/>
  <c r="DU933" i="1"/>
  <c r="DT933" i="1"/>
  <c r="DN933" i="1"/>
  <c r="DM933" i="1"/>
  <c r="DL933" i="1"/>
  <c r="DK933" i="1"/>
  <c r="DI933" i="1"/>
  <c r="DJ933" i="1" s="1"/>
  <c r="DC933" i="1"/>
  <c r="CX933" i="1"/>
  <c r="CN933" i="1"/>
  <c r="CO933" i="1" s="1"/>
  <c r="BX933" i="1"/>
  <c r="BY933" i="1" s="1"/>
  <c r="BN933" i="1"/>
  <c r="BM933" i="1"/>
  <c r="BD933" i="1"/>
  <c r="BC933" i="1"/>
  <c r="BB933" i="1"/>
  <c r="BA933" i="1"/>
  <c r="AZ933" i="1"/>
  <c r="BF933" i="1" s="1" a="1"/>
  <c r="BF933" i="1" s="1"/>
  <c r="AY933" i="1"/>
  <c r="BE933" i="1" s="1" a="1"/>
  <c r="BE933" i="1" s="1"/>
  <c r="AX933" i="1"/>
  <c r="M933" i="1"/>
  <c r="EM916" i="1"/>
  <c r="DU916" i="1"/>
  <c r="DT916" i="1"/>
  <c r="DN916" i="1"/>
  <c r="DM916" i="1"/>
  <c r="DL916" i="1"/>
  <c r="DK916" i="1"/>
  <c r="DI916" i="1"/>
  <c r="DJ916" i="1" s="1"/>
  <c r="DC916" i="1"/>
  <c r="CX916" i="1"/>
  <c r="CN916" i="1"/>
  <c r="CP916" i="1" s="1"/>
  <c r="BX916" i="1"/>
  <c r="BY916" i="1" s="1"/>
  <c r="BN916" i="1"/>
  <c r="BM916" i="1"/>
  <c r="BD916" i="1"/>
  <c r="BC916" i="1"/>
  <c r="BB916" i="1"/>
  <c r="BA916" i="1"/>
  <c r="AZ916" i="1"/>
  <c r="AY916" i="1"/>
  <c r="BE916" i="1" s="1" a="1"/>
  <c r="BE916" i="1" s="1"/>
  <c r="AX916" i="1"/>
  <c r="M916" i="1"/>
  <c r="EM861" i="1"/>
  <c r="DU861" i="1"/>
  <c r="DT861" i="1"/>
  <c r="DN861" i="1"/>
  <c r="DM861" i="1"/>
  <c r="DL861" i="1"/>
  <c r="DK861" i="1"/>
  <c r="DI861" i="1"/>
  <c r="DJ861" i="1" s="1"/>
  <c r="DC861" i="1"/>
  <c r="CX861" i="1"/>
  <c r="CN861" i="1"/>
  <c r="CR861" i="1" s="1"/>
  <c r="BX861" i="1"/>
  <c r="BY861" i="1" s="1"/>
  <c r="BN861" i="1"/>
  <c r="BM861" i="1"/>
  <c r="BD861" i="1"/>
  <c r="BC861" i="1"/>
  <c r="BB861" i="1"/>
  <c r="BA861" i="1"/>
  <c r="AZ861" i="1"/>
  <c r="BF861" i="1" s="1" a="1"/>
  <c r="BF861" i="1" s="1"/>
  <c r="AY861" i="1"/>
  <c r="BE861" i="1" s="1" a="1"/>
  <c r="BE861" i="1" s="1"/>
  <c r="AX861" i="1"/>
  <c r="M861" i="1"/>
  <c r="EM815" i="1"/>
  <c r="DU815" i="1"/>
  <c r="DT815" i="1"/>
  <c r="DN815" i="1"/>
  <c r="DM815" i="1"/>
  <c r="DL815" i="1"/>
  <c r="DK815" i="1"/>
  <c r="DI815" i="1"/>
  <c r="DJ815" i="1" s="1"/>
  <c r="DC815" i="1"/>
  <c r="CX815" i="1"/>
  <c r="CN815" i="1"/>
  <c r="CO815" i="1" s="1"/>
  <c r="BX815" i="1"/>
  <c r="BY815" i="1" s="1"/>
  <c r="BN815" i="1"/>
  <c r="BM815" i="1"/>
  <c r="BD815" i="1"/>
  <c r="BC815" i="1"/>
  <c r="BB815" i="1"/>
  <c r="BA815" i="1"/>
  <c r="AZ815" i="1"/>
  <c r="AY815" i="1"/>
  <c r="BE815" i="1" s="1" a="1"/>
  <c r="BE815" i="1" s="1"/>
  <c r="AX815" i="1"/>
  <c r="M815" i="1"/>
  <c r="EM780" i="1"/>
  <c r="DU780" i="1"/>
  <c r="DT780" i="1"/>
  <c r="DN780" i="1"/>
  <c r="DM780" i="1"/>
  <c r="DL780" i="1"/>
  <c r="DK780" i="1"/>
  <c r="DI780" i="1"/>
  <c r="DJ780" i="1" s="1"/>
  <c r="DC780" i="1"/>
  <c r="CX780" i="1"/>
  <c r="CN780" i="1"/>
  <c r="BX780" i="1"/>
  <c r="BY780" i="1" s="1"/>
  <c r="BN780" i="1"/>
  <c r="BM780" i="1"/>
  <c r="BD780" i="1"/>
  <c r="BC780" i="1"/>
  <c r="BB780" i="1"/>
  <c r="BA780" i="1"/>
  <c r="AZ780" i="1"/>
  <c r="BF780" i="1" s="1" a="1"/>
  <c r="BF780" i="1" s="1"/>
  <c r="AY780" i="1"/>
  <c r="BE780" i="1" s="1" a="1"/>
  <c r="BE780" i="1" s="1"/>
  <c r="AX780" i="1"/>
  <c r="M780" i="1"/>
  <c r="EM446" i="1"/>
  <c r="DU446" i="1"/>
  <c r="DT446" i="1"/>
  <c r="DN446" i="1"/>
  <c r="DM446" i="1"/>
  <c r="DL446" i="1"/>
  <c r="DK446" i="1"/>
  <c r="DI446" i="1"/>
  <c r="DJ446" i="1" s="1"/>
  <c r="DC446" i="1"/>
  <c r="CX446" i="1"/>
  <c r="CN446" i="1"/>
  <c r="CO446" i="1" s="1"/>
  <c r="BX446" i="1"/>
  <c r="BY446" i="1" s="1"/>
  <c r="BN446" i="1"/>
  <c r="BM446" i="1"/>
  <c r="BD446" i="1"/>
  <c r="BC446" i="1"/>
  <c r="BB446" i="1"/>
  <c r="BA446" i="1"/>
  <c r="AZ446" i="1"/>
  <c r="AY446" i="1"/>
  <c r="BE446" i="1" s="1" a="1"/>
  <c r="BE446" i="1" s="1"/>
  <c r="AX446" i="1"/>
  <c r="M446" i="1"/>
  <c r="EM1016" i="1"/>
  <c r="DU1016" i="1"/>
  <c r="DT1016" i="1"/>
  <c r="DN1016" i="1"/>
  <c r="DM1016" i="1"/>
  <c r="DL1016" i="1"/>
  <c r="DK1016" i="1"/>
  <c r="DI1016" i="1"/>
  <c r="DJ1016" i="1" s="1"/>
  <c r="DC1016" i="1"/>
  <c r="CX1016" i="1"/>
  <c r="CN1016" i="1"/>
  <c r="CS1016" i="1" s="1"/>
  <c r="BX1016" i="1"/>
  <c r="BN1016" i="1"/>
  <c r="BM1016" i="1"/>
  <c r="BD1016" i="1"/>
  <c r="BC1016" i="1"/>
  <c r="BB1016" i="1"/>
  <c r="BA1016" i="1"/>
  <c r="AZ1016" i="1"/>
  <c r="BF1016" i="1" s="1" a="1"/>
  <c r="BF1016" i="1" s="1"/>
  <c r="AY1016" i="1"/>
  <c r="BE1016" i="1" s="1" a="1"/>
  <c r="BE1016" i="1" s="1"/>
  <c r="AX1016" i="1"/>
  <c r="M1016" i="1"/>
  <c r="EM939" i="1"/>
  <c r="DU939" i="1"/>
  <c r="DT939" i="1"/>
  <c r="DN939" i="1"/>
  <c r="DM939" i="1"/>
  <c r="DL939" i="1"/>
  <c r="DK939" i="1"/>
  <c r="DI939" i="1"/>
  <c r="DJ939" i="1" s="1"/>
  <c r="DC939" i="1"/>
  <c r="CX939" i="1"/>
  <c r="CN939" i="1"/>
  <c r="CS939" i="1" s="1"/>
  <c r="BX939" i="1"/>
  <c r="BN939" i="1"/>
  <c r="BM939" i="1"/>
  <c r="BD939" i="1"/>
  <c r="BC939" i="1"/>
  <c r="BB939" i="1"/>
  <c r="BA939" i="1"/>
  <c r="AZ939" i="1"/>
  <c r="AY939" i="1"/>
  <c r="BE939" i="1" s="1" a="1"/>
  <c r="BE939" i="1" s="1"/>
  <c r="AX939" i="1"/>
  <c r="M939" i="1"/>
  <c r="EM911" i="1"/>
  <c r="DU911" i="1"/>
  <c r="DT911" i="1"/>
  <c r="DN911" i="1"/>
  <c r="DM911" i="1"/>
  <c r="DL911" i="1"/>
  <c r="DK911" i="1"/>
  <c r="DI911" i="1"/>
  <c r="DJ911" i="1" s="1"/>
  <c r="DC911" i="1"/>
  <c r="CX911" i="1"/>
  <c r="CN911" i="1"/>
  <c r="CS911" i="1" s="1"/>
  <c r="BX911" i="1"/>
  <c r="BY911" i="1" s="1"/>
  <c r="BN911" i="1"/>
  <c r="BM911" i="1"/>
  <c r="BD911" i="1"/>
  <c r="BC911" i="1"/>
  <c r="BB911" i="1"/>
  <c r="BA911" i="1"/>
  <c r="AZ911" i="1"/>
  <c r="BF911" i="1" s="1" a="1"/>
  <c r="BF911" i="1" s="1"/>
  <c r="AY911" i="1"/>
  <c r="BE911" i="1" s="1" a="1"/>
  <c r="BE911" i="1" s="1"/>
  <c r="AX911" i="1"/>
  <c r="M911" i="1"/>
  <c r="EM735" i="1"/>
  <c r="DU735" i="1"/>
  <c r="DT735" i="1"/>
  <c r="DN735" i="1"/>
  <c r="DM735" i="1"/>
  <c r="DL735" i="1"/>
  <c r="DK735" i="1"/>
  <c r="DI735" i="1"/>
  <c r="DJ735" i="1" s="1"/>
  <c r="DC735" i="1"/>
  <c r="CX735" i="1"/>
  <c r="CN735" i="1"/>
  <c r="CS735" i="1" s="1"/>
  <c r="BX735" i="1"/>
  <c r="BY735" i="1" s="1"/>
  <c r="BN735" i="1"/>
  <c r="BM735" i="1"/>
  <c r="BD735" i="1"/>
  <c r="BC735" i="1"/>
  <c r="BB735" i="1"/>
  <c r="BA735" i="1"/>
  <c r="AZ735" i="1"/>
  <c r="AY735" i="1"/>
  <c r="BE735" i="1" s="1" a="1"/>
  <c r="BE735" i="1" s="1"/>
  <c r="AX735" i="1"/>
  <c r="M735" i="1"/>
  <c r="EM734" i="1"/>
  <c r="DU734" i="1"/>
  <c r="DT734" i="1"/>
  <c r="DN734" i="1"/>
  <c r="DM734" i="1"/>
  <c r="DL734" i="1"/>
  <c r="DK734" i="1"/>
  <c r="DI734" i="1"/>
  <c r="DJ734" i="1" s="1"/>
  <c r="DC734" i="1"/>
  <c r="CX734" i="1"/>
  <c r="CN734" i="1"/>
  <c r="CR734" i="1" s="1"/>
  <c r="BX734" i="1"/>
  <c r="BY734" i="1" s="1"/>
  <c r="BN734" i="1"/>
  <c r="BM734" i="1"/>
  <c r="BD734" i="1"/>
  <c r="BC734" i="1"/>
  <c r="BB734" i="1"/>
  <c r="BA734" i="1"/>
  <c r="AZ734" i="1"/>
  <c r="BF734" i="1" s="1" a="1"/>
  <c r="BF734" i="1" s="1"/>
  <c r="AY734" i="1"/>
  <c r="BE734" i="1" s="1" a="1"/>
  <c r="BE734" i="1" s="1"/>
  <c r="AX734" i="1"/>
  <c r="M734" i="1"/>
  <c r="EM602" i="1"/>
  <c r="DU602" i="1"/>
  <c r="DT602" i="1"/>
  <c r="DN602" i="1"/>
  <c r="DM602" i="1"/>
  <c r="DL602" i="1"/>
  <c r="DK602" i="1"/>
  <c r="DI602" i="1"/>
  <c r="DJ602" i="1" s="1"/>
  <c r="DC602" i="1"/>
  <c r="CX602" i="1"/>
  <c r="CN602" i="1"/>
  <c r="CQ602" i="1" s="1"/>
  <c r="BX602" i="1"/>
  <c r="BN602" i="1"/>
  <c r="BM602" i="1"/>
  <c r="BD602" i="1"/>
  <c r="BC602" i="1"/>
  <c r="BB602" i="1"/>
  <c r="BA602" i="1"/>
  <c r="AZ602" i="1"/>
  <c r="AY602" i="1"/>
  <c r="BE602" i="1" s="1" a="1"/>
  <c r="BE602" i="1" s="1"/>
  <c r="AX602" i="1"/>
  <c r="M602" i="1"/>
  <c r="EM186" i="1"/>
  <c r="DU186" i="1"/>
  <c r="DN186" i="1"/>
  <c r="DM186" i="1"/>
  <c r="DL186" i="1"/>
  <c r="DK186" i="1"/>
  <c r="DI186" i="1"/>
  <c r="DJ186" i="1" s="1"/>
  <c r="CX186" i="1"/>
  <c r="CN186" i="1"/>
  <c r="BX186" i="1"/>
  <c r="BN186" i="1"/>
  <c r="BO186" i="1" s="1"/>
  <c r="BM186" i="1"/>
  <c r="BD186" i="1"/>
  <c r="BC186" i="1"/>
  <c r="BB186" i="1"/>
  <c r="BA186" i="1"/>
  <c r="AZ186" i="1"/>
  <c r="AY186" i="1"/>
  <c r="BE186" i="1" s="1" a="1"/>
  <c r="BE186" i="1" s="1"/>
  <c r="AX186" i="1"/>
  <c r="M186" i="1"/>
  <c r="EM160" i="1"/>
  <c r="DU160" i="1"/>
  <c r="DN160" i="1"/>
  <c r="DM160" i="1"/>
  <c r="DL160" i="1"/>
  <c r="DK160" i="1"/>
  <c r="DI160" i="1"/>
  <c r="DJ160" i="1" s="1"/>
  <c r="CX160" i="1"/>
  <c r="CN160" i="1"/>
  <c r="BX160" i="1"/>
  <c r="BN160" i="1"/>
  <c r="BO160" i="1" s="1"/>
  <c r="BM160" i="1"/>
  <c r="BD160" i="1"/>
  <c r="BC160" i="1"/>
  <c r="BB160" i="1"/>
  <c r="BA160" i="1"/>
  <c r="AZ160" i="1"/>
  <c r="AY160" i="1"/>
  <c r="BE160" i="1" s="1" a="1"/>
  <c r="BE160" i="1" s="1"/>
  <c r="AX160" i="1"/>
  <c r="M160" i="1"/>
  <c r="EM419" i="1"/>
  <c r="DU419" i="1"/>
  <c r="DN419" i="1"/>
  <c r="DM419" i="1"/>
  <c r="DL419" i="1"/>
  <c r="DK419" i="1"/>
  <c r="DI419" i="1"/>
  <c r="DJ419" i="1" s="1"/>
  <c r="DB419" i="1"/>
  <c r="DC419" i="1" s="1"/>
  <c r="CX419" i="1"/>
  <c r="CN419" i="1"/>
  <c r="CR419" i="1" s="1"/>
  <c r="BX419" i="1"/>
  <c r="BN419" i="1"/>
  <c r="BO419" i="1" s="1"/>
  <c r="BM419" i="1"/>
  <c r="BD419" i="1"/>
  <c r="BC419" i="1"/>
  <c r="BB419" i="1"/>
  <c r="BA419" i="1"/>
  <c r="AZ419" i="1"/>
  <c r="BF419" i="1" s="1" a="1"/>
  <c r="BF419" i="1" s="1"/>
  <c r="AY419" i="1"/>
  <c r="AX419" i="1"/>
  <c r="M419" i="1"/>
  <c r="EM438" i="1"/>
  <c r="DU438" i="1"/>
  <c r="DN438" i="1"/>
  <c r="DM438" i="1"/>
  <c r="DL438" i="1"/>
  <c r="DK438" i="1"/>
  <c r="DI438" i="1"/>
  <c r="DJ438" i="1" s="1"/>
  <c r="DB438" i="1"/>
  <c r="DC438" i="1" s="1"/>
  <c r="CX438" i="1"/>
  <c r="CN438" i="1"/>
  <c r="BX438" i="1"/>
  <c r="BN438" i="1"/>
  <c r="BO438" i="1" s="1"/>
  <c r="BM438" i="1"/>
  <c r="BD438" i="1"/>
  <c r="BC438" i="1"/>
  <c r="BB438" i="1"/>
  <c r="BA438" i="1"/>
  <c r="AZ438" i="1"/>
  <c r="BF438" i="1" s="1" a="1"/>
  <c r="BF438" i="1" s="1"/>
  <c r="AY438" i="1"/>
  <c r="AX438" i="1"/>
  <c r="M438" i="1"/>
  <c r="EM413" i="1"/>
  <c r="DU413" i="1"/>
  <c r="DN413" i="1"/>
  <c r="DM413" i="1"/>
  <c r="DL413" i="1"/>
  <c r="DK413" i="1"/>
  <c r="DI413" i="1"/>
  <c r="DJ413" i="1" s="1"/>
  <c r="DB413" i="1"/>
  <c r="DC413" i="1" s="1"/>
  <c r="CX413" i="1"/>
  <c r="CN413" i="1"/>
  <c r="BX413" i="1"/>
  <c r="BN413" i="1"/>
  <c r="BO413" i="1" s="1"/>
  <c r="BM413" i="1"/>
  <c r="BD413" i="1"/>
  <c r="BC413" i="1"/>
  <c r="BB413" i="1"/>
  <c r="BA413" i="1"/>
  <c r="AZ413" i="1"/>
  <c r="AY413" i="1"/>
  <c r="AX413" i="1"/>
  <c r="M413" i="1"/>
  <c r="EM429" i="1"/>
  <c r="DU429" i="1"/>
  <c r="DN429" i="1"/>
  <c r="DM429" i="1"/>
  <c r="DL429" i="1"/>
  <c r="DK429" i="1"/>
  <c r="DI429" i="1"/>
  <c r="DJ429" i="1" s="1"/>
  <c r="DB429" i="1"/>
  <c r="DC429" i="1" s="1"/>
  <c r="CX429" i="1"/>
  <c r="CN429" i="1"/>
  <c r="BX429" i="1"/>
  <c r="BN429" i="1"/>
  <c r="BO429" i="1" s="1"/>
  <c r="BM429" i="1"/>
  <c r="BD429" i="1"/>
  <c r="BC429" i="1"/>
  <c r="BB429" i="1"/>
  <c r="BA429" i="1"/>
  <c r="AZ429" i="1"/>
  <c r="AY429" i="1"/>
  <c r="AX429" i="1"/>
  <c r="M429" i="1"/>
  <c r="EM415" i="1"/>
  <c r="DU415" i="1"/>
  <c r="DN415" i="1"/>
  <c r="DM415" i="1"/>
  <c r="DL415" i="1"/>
  <c r="DK415" i="1"/>
  <c r="DI415" i="1"/>
  <c r="DJ415" i="1" s="1"/>
  <c r="DB415" i="1"/>
  <c r="DC415" i="1" s="1"/>
  <c r="CX415" i="1"/>
  <c r="CN415" i="1"/>
  <c r="CS415" i="1" s="1"/>
  <c r="BX415" i="1"/>
  <c r="BN415" i="1"/>
  <c r="BO415" i="1" s="1"/>
  <c r="BM415" i="1"/>
  <c r="BD415" i="1"/>
  <c r="BC415" i="1"/>
  <c r="BB415" i="1"/>
  <c r="BA415" i="1"/>
  <c r="AZ415" i="1"/>
  <c r="BF415" i="1" s="1" a="1"/>
  <c r="BF415" i="1" s="1"/>
  <c r="AY415" i="1"/>
  <c r="BE415" i="1" s="1" a="1"/>
  <c r="BE415" i="1" s="1"/>
  <c r="AX415" i="1"/>
  <c r="M415" i="1"/>
  <c r="EM432" i="1"/>
  <c r="DU432" i="1"/>
  <c r="DN432" i="1"/>
  <c r="DM432" i="1"/>
  <c r="DL432" i="1"/>
  <c r="DK432" i="1"/>
  <c r="DI432" i="1"/>
  <c r="DJ432" i="1" s="1"/>
  <c r="DB432" i="1"/>
  <c r="DC432" i="1" s="1"/>
  <c r="CX432" i="1"/>
  <c r="CN432" i="1"/>
  <c r="BX432" i="1"/>
  <c r="BN432" i="1"/>
  <c r="BO432" i="1" s="1"/>
  <c r="BM432" i="1"/>
  <c r="BD432" i="1"/>
  <c r="BC432" i="1"/>
  <c r="BB432" i="1"/>
  <c r="BA432" i="1"/>
  <c r="AZ432" i="1"/>
  <c r="BF432" i="1" s="1" a="1"/>
  <c r="BF432" i="1" s="1"/>
  <c r="AY432" i="1"/>
  <c r="BE432" i="1" s="1" a="1"/>
  <c r="BE432" i="1" s="1"/>
  <c r="AX432" i="1"/>
  <c r="M432" i="1"/>
  <c r="EM412" i="1"/>
  <c r="DU412" i="1"/>
  <c r="DN412" i="1"/>
  <c r="DM412" i="1"/>
  <c r="DL412" i="1"/>
  <c r="DK412" i="1"/>
  <c r="DI412" i="1"/>
  <c r="DJ412" i="1" s="1"/>
  <c r="DB412" i="1"/>
  <c r="DC412" i="1" s="1"/>
  <c r="CX412" i="1"/>
  <c r="CN412" i="1"/>
  <c r="CO412" i="1" s="1"/>
  <c r="BX412" i="1"/>
  <c r="BN412" i="1"/>
  <c r="BO412" i="1" s="1"/>
  <c r="BM412" i="1"/>
  <c r="BD412" i="1"/>
  <c r="BC412" i="1"/>
  <c r="BB412" i="1"/>
  <c r="BA412" i="1"/>
  <c r="AZ412" i="1"/>
  <c r="AY412" i="1"/>
  <c r="BE412" i="1" s="1" a="1"/>
  <c r="BE412" i="1" s="1"/>
  <c r="AX412" i="1"/>
  <c r="M412" i="1"/>
  <c r="EM427" i="1"/>
  <c r="DU427" i="1"/>
  <c r="DN427" i="1"/>
  <c r="DM427" i="1"/>
  <c r="DL427" i="1"/>
  <c r="DK427" i="1"/>
  <c r="DI427" i="1"/>
  <c r="DJ427" i="1" s="1"/>
  <c r="DB427" i="1"/>
  <c r="DC427" i="1" s="1"/>
  <c r="CX427" i="1"/>
  <c r="CN427" i="1"/>
  <c r="CP427" i="1" s="1"/>
  <c r="BX427" i="1"/>
  <c r="BN427" i="1"/>
  <c r="BO427" i="1" s="1"/>
  <c r="BM427" i="1"/>
  <c r="BD427" i="1"/>
  <c r="BC427" i="1"/>
  <c r="BB427" i="1"/>
  <c r="BA427" i="1"/>
  <c r="AZ427" i="1"/>
  <c r="AY427" i="1"/>
  <c r="BE427" i="1" s="1" a="1"/>
  <c r="BE427" i="1" s="1"/>
  <c r="AX427" i="1"/>
  <c r="M427" i="1"/>
  <c r="EM428" i="1"/>
  <c r="DU428" i="1"/>
  <c r="DN428" i="1"/>
  <c r="DM428" i="1"/>
  <c r="DL428" i="1"/>
  <c r="DK428" i="1"/>
  <c r="DI428" i="1"/>
  <c r="DJ428" i="1" s="1"/>
  <c r="DB428" i="1"/>
  <c r="DC428" i="1" s="1"/>
  <c r="CX428" i="1"/>
  <c r="CN428" i="1"/>
  <c r="BX428" i="1"/>
  <c r="BN428" i="1"/>
  <c r="BO428" i="1" s="1"/>
  <c r="BM428" i="1"/>
  <c r="BD428" i="1"/>
  <c r="BC428" i="1"/>
  <c r="BB428" i="1"/>
  <c r="BA428" i="1"/>
  <c r="AZ428" i="1"/>
  <c r="BF428" i="1" s="1" a="1"/>
  <c r="BF428" i="1" s="1"/>
  <c r="AY428" i="1"/>
  <c r="AX428" i="1"/>
  <c r="M428" i="1"/>
  <c r="EM437" i="1"/>
  <c r="DU437" i="1"/>
  <c r="DN437" i="1"/>
  <c r="DM437" i="1"/>
  <c r="DL437" i="1"/>
  <c r="DK437" i="1"/>
  <c r="DI437" i="1"/>
  <c r="DJ437" i="1" s="1"/>
  <c r="DB437" i="1"/>
  <c r="DC437" i="1" s="1"/>
  <c r="CX437" i="1"/>
  <c r="CN437" i="1"/>
  <c r="CO437" i="1" s="1"/>
  <c r="BX437" i="1"/>
  <c r="BN437" i="1"/>
  <c r="BO437" i="1" s="1"/>
  <c r="BM437" i="1"/>
  <c r="BD437" i="1"/>
  <c r="BC437" i="1"/>
  <c r="BB437" i="1"/>
  <c r="BA437" i="1"/>
  <c r="AZ437" i="1"/>
  <c r="BF437" i="1" s="1" a="1"/>
  <c r="BF437" i="1" s="1"/>
  <c r="AY437" i="1"/>
  <c r="AX437" i="1"/>
  <c r="M437" i="1"/>
  <c r="EM418" i="1"/>
  <c r="DU418" i="1"/>
  <c r="DN418" i="1"/>
  <c r="DM418" i="1"/>
  <c r="DL418" i="1"/>
  <c r="DK418" i="1"/>
  <c r="DI418" i="1"/>
  <c r="DJ418" i="1" s="1"/>
  <c r="DB418" i="1"/>
  <c r="DC418" i="1" s="1"/>
  <c r="CX418" i="1"/>
  <c r="CN418" i="1"/>
  <c r="CS418" i="1" s="1"/>
  <c r="BX418" i="1"/>
  <c r="BN418" i="1"/>
  <c r="BO418" i="1" s="1"/>
  <c r="BM418" i="1"/>
  <c r="BD418" i="1"/>
  <c r="BC418" i="1"/>
  <c r="BB418" i="1"/>
  <c r="BA418" i="1"/>
  <c r="AZ418" i="1"/>
  <c r="AY418" i="1"/>
  <c r="AX418" i="1"/>
  <c r="M418" i="1"/>
  <c r="EM430" i="1"/>
  <c r="DU430" i="1"/>
  <c r="DN430" i="1"/>
  <c r="DM430" i="1"/>
  <c r="DL430" i="1"/>
  <c r="DK430" i="1"/>
  <c r="DI430" i="1"/>
  <c r="DJ430" i="1" s="1"/>
  <c r="DB430" i="1"/>
  <c r="DC430" i="1" s="1"/>
  <c r="CX430" i="1"/>
  <c r="CN430" i="1"/>
  <c r="CO430" i="1" s="1"/>
  <c r="BX430" i="1"/>
  <c r="BN430" i="1"/>
  <c r="BO430" i="1" s="1"/>
  <c r="BM430" i="1"/>
  <c r="BD430" i="1"/>
  <c r="BC430" i="1"/>
  <c r="BB430" i="1"/>
  <c r="BA430" i="1"/>
  <c r="AZ430" i="1"/>
  <c r="AY430" i="1"/>
  <c r="BE430" i="1" s="1" a="1"/>
  <c r="BE430" i="1" s="1"/>
  <c r="AX430" i="1"/>
  <c r="M430" i="1"/>
  <c r="EM420" i="1"/>
  <c r="DU420" i="1"/>
  <c r="DN420" i="1"/>
  <c r="DM420" i="1"/>
  <c r="DL420" i="1"/>
  <c r="DK420" i="1"/>
  <c r="DI420" i="1"/>
  <c r="DJ420" i="1" s="1"/>
  <c r="DB420" i="1"/>
  <c r="DC420" i="1" s="1"/>
  <c r="CX420" i="1"/>
  <c r="CN420" i="1"/>
  <c r="CS420" i="1" s="1"/>
  <c r="BX420" i="1"/>
  <c r="BN420" i="1"/>
  <c r="BO420" i="1" s="1"/>
  <c r="BM420" i="1"/>
  <c r="BD420" i="1"/>
  <c r="BC420" i="1"/>
  <c r="BB420" i="1"/>
  <c r="BA420" i="1"/>
  <c r="AZ420" i="1"/>
  <c r="BF420" i="1" s="1" a="1"/>
  <c r="BF420" i="1" s="1"/>
  <c r="AY420" i="1"/>
  <c r="BE420" i="1" s="1" a="1"/>
  <c r="BE420" i="1" s="1"/>
  <c r="AX420" i="1"/>
  <c r="M420" i="1"/>
  <c r="EM416" i="1"/>
  <c r="DU416" i="1"/>
  <c r="DN416" i="1"/>
  <c r="DM416" i="1"/>
  <c r="DL416" i="1"/>
  <c r="DK416" i="1"/>
  <c r="DI416" i="1"/>
  <c r="DJ416" i="1" s="1"/>
  <c r="DB416" i="1"/>
  <c r="DC416" i="1" s="1"/>
  <c r="CX416" i="1"/>
  <c r="CN416" i="1"/>
  <c r="CR416" i="1" s="1"/>
  <c r="BX416" i="1"/>
  <c r="BN416" i="1"/>
  <c r="BO416" i="1" s="1"/>
  <c r="BM416" i="1"/>
  <c r="BD416" i="1"/>
  <c r="BC416" i="1"/>
  <c r="BB416" i="1"/>
  <c r="BA416" i="1"/>
  <c r="AZ416" i="1"/>
  <c r="BF416" i="1" s="1" a="1"/>
  <c r="BF416" i="1" s="1"/>
  <c r="AY416" i="1"/>
  <c r="BE416" i="1" s="1" a="1"/>
  <c r="BE416" i="1" s="1"/>
  <c r="AX416" i="1"/>
  <c r="M416" i="1"/>
  <c r="EM426" i="1"/>
  <c r="DU426" i="1"/>
  <c r="DN426" i="1"/>
  <c r="DM426" i="1"/>
  <c r="DL426" i="1"/>
  <c r="DK426" i="1"/>
  <c r="DI426" i="1"/>
  <c r="DJ426" i="1" s="1"/>
  <c r="DB426" i="1"/>
  <c r="DC426" i="1" s="1"/>
  <c r="CX426" i="1"/>
  <c r="CN426" i="1"/>
  <c r="BX426" i="1"/>
  <c r="BN426" i="1"/>
  <c r="BO426" i="1" s="1"/>
  <c r="BM426" i="1"/>
  <c r="BD426" i="1"/>
  <c r="BC426" i="1"/>
  <c r="BB426" i="1"/>
  <c r="BA426" i="1"/>
  <c r="AZ426" i="1"/>
  <c r="AY426" i="1"/>
  <c r="BE426" i="1" s="1" a="1"/>
  <c r="BE426" i="1" s="1"/>
  <c r="AX426" i="1"/>
  <c r="M426" i="1"/>
  <c r="EM622" i="1"/>
  <c r="DU622" i="1"/>
  <c r="DN622" i="1"/>
  <c r="DM622" i="1"/>
  <c r="DL622" i="1"/>
  <c r="DK622" i="1"/>
  <c r="DI622" i="1"/>
  <c r="DJ622" i="1" s="1"/>
  <c r="DB622" i="1"/>
  <c r="DC622" i="1" s="1"/>
  <c r="CX622" i="1"/>
  <c r="CN622" i="1"/>
  <c r="CO622" i="1" s="1"/>
  <c r="BX622" i="1"/>
  <c r="BN622" i="1"/>
  <c r="BO622" i="1" s="1"/>
  <c r="BM622" i="1"/>
  <c r="BD622" i="1"/>
  <c r="BC622" i="1"/>
  <c r="BB622" i="1"/>
  <c r="BA622" i="1"/>
  <c r="AZ622" i="1"/>
  <c r="AY622" i="1"/>
  <c r="AX622" i="1"/>
  <c r="M622" i="1"/>
  <c r="EM896" i="1"/>
  <c r="DU896" i="1"/>
  <c r="DN896" i="1"/>
  <c r="DM896" i="1"/>
  <c r="DL896" i="1"/>
  <c r="DK896" i="1"/>
  <c r="DI896" i="1"/>
  <c r="DJ896" i="1" s="1"/>
  <c r="DB896" i="1"/>
  <c r="DC896" i="1" s="1"/>
  <c r="CX896" i="1"/>
  <c r="CN896" i="1"/>
  <c r="BX896" i="1"/>
  <c r="BN896" i="1"/>
  <c r="BO896" i="1" s="1"/>
  <c r="BM896" i="1"/>
  <c r="BD896" i="1"/>
  <c r="BC896" i="1"/>
  <c r="BB896" i="1"/>
  <c r="BA896" i="1"/>
  <c r="AZ896" i="1"/>
  <c r="BF896" i="1" s="1" a="1"/>
  <c r="BF896" i="1" s="1"/>
  <c r="AY896" i="1"/>
  <c r="AX896" i="1"/>
  <c r="M896" i="1"/>
  <c r="EM242" i="1"/>
  <c r="DU242" i="1"/>
  <c r="DN242" i="1"/>
  <c r="DM242" i="1"/>
  <c r="DL242" i="1"/>
  <c r="DK242" i="1"/>
  <c r="DI242" i="1"/>
  <c r="DJ242" i="1" s="1"/>
  <c r="DB242" i="1"/>
  <c r="DC242" i="1" s="1"/>
  <c r="CX242" i="1"/>
  <c r="CN242" i="1"/>
  <c r="BX242" i="1"/>
  <c r="BN242" i="1"/>
  <c r="BO242" i="1" s="1"/>
  <c r="BM242" i="1"/>
  <c r="BD242" i="1"/>
  <c r="BC242" i="1"/>
  <c r="BB242" i="1"/>
  <c r="BA242" i="1"/>
  <c r="AZ242" i="1"/>
  <c r="BF242" i="1" s="1" a="1"/>
  <c r="BF242" i="1" s="1"/>
  <c r="AY242" i="1"/>
  <c r="AX242" i="1"/>
  <c r="M242" i="1"/>
  <c r="EM457" i="1"/>
  <c r="DU457" i="1"/>
  <c r="DN457" i="1"/>
  <c r="DM457" i="1"/>
  <c r="DL457" i="1"/>
  <c r="DK457" i="1"/>
  <c r="DI457" i="1"/>
  <c r="DJ457" i="1" s="1"/>
  <c r="DB457" i="1"/>
  <c r="DC457" i="1" s="1"/>
  <c r="CX457" i="1"/>
  <c r="CN457" i="1"/>
  <c r="BX457" i="1"/>
  <c r="BN457" i="1"/>
  <c r="BO457" i="1" s="1"/>
  <c r="BM457" i="1"/>
  <c r="BD457" i="1"/>
  <c r="BC457" i="1"/>
  <c r="BB457" i="1"/>
  <c r="BA457" i="1"/>
  <c r="AZ457" i="1"/>
  <c r="AY457" i="1"/>
  <c r="AX457" i="1"/>
  <c r="M457" i="1"/>
  <c r="EM434" i="1"/>
  <c r="DU434" i="1"/>
  <c r="DN434" i="1"/>
  <c r="DM434" i="1"/>
  <c r="DL434" i="1"/>
  <c r="DK434" i="1"/>
  <c r="DI434" i="1"/>
  <c r="DJ434" i="1" s="1"/>
  <c r="DB434" i="1"/>
  <c r="DC434" i="1" s="1"/>
  <c r="CX434" i="1"/>
  <c r="CN434" i="1"/>
  <c r="CP434" i="1" s="1"/>
  <c r="BX434" i="1"/>
  <c r="BN434" i="1"/>
  <c r="BO434" i="1" s="1"/>
  <c r="BM434" i="1"/>
  <c r="BD434" i="1"/>
  <c r="BC434" i="1"/>
  <c r="BB434" i="1"/>
  <c r="BA434" i="1"/>
  <c r="AZ434" i="1"/>
  <c r="AY434" i="1"/>
  <c r="AX434" i="1"/>
  <c r="M434" i="1"/>
  <c r="EM436" i="1"/>
  <c r="DU436" i="1"/>
  <c r="DN436" i="1"/>
  <c r="DM436" i="1"/>
  <c r="DL436" i="1"/>
  <c r="DK436" i="1"/>
  <c r="DI436" i="1"/>
  <c r="DJ436" i="1" s="1"/>
  <c r="DB436" i="1"/>
  <c r="DC436" i="1" s="1"/>
  <c r="CX436" i="1"/>
  <c r="CN436" i="1"/>
  <c r="CR436" i="1" s="1"/>
  <c r="BX436" i="1"/>
  <c r="BN436" i="1"/>
  <c r="BO436" i="1" s="1"/>
  <c r="BM436" i="1"/>
  <c r="BD436" i="1"/>
  <c r="BC436" i="1"/>
  <c r="BB436" i="1"/>
  <c r="BA436" i="1"/>
  <c r="AZ436" i="1"/>
  <c r="BF436" i="1" s="1" a="1"/>
  <c r="BF436" i="1" s="1"/>
  <c r="AY436" i="1"/>
  <c r="BE436" i="1" s="1" a="1"/>
  <c r="BE436" i="1" s="1"/>
  <c r="AX436" i="1"/>
  <c r="M436" i="1"/>
  <c r="EM458" i="1"/>
  <c r="DU458" i="1"/>
  <c r="DN458" i="1"/>
  <c r="DM458" i="1"/>
  <c r="DL458" i="1"/>
  <c r="DK458" i="1"/>
  <c r="DI458" i="1"/>
  <c r="DJ458" i="1" s="1"/>
  <c r="DB458" i="1"/>
  <c r="DC458" i="1" s="1"/>
  <c r="CX458" i="1"/>
  <c r="CN458" i="1"/>
  <c r="BX458" i="1"/>
  <c r="BN458" i="1"/>
  <c r="BO458" i="1" s="1"/>
  <c r="BM458" i="1"/>
  <c r="BD458" i="1"/>
  <c r="BC458" i="1"/>
  <c r="BB458" i="1"/>
  <c r="BA458" i="1"/>
  <c r="AZ458" i="1"/>
  <c r="AY458" i="1"/>
  <c r="BE458" i="1" s="1" a="1"/>
  <c r="BE458" i="1" s="1"/>
  <c r="AX458" i="1"/>
  <c r="M458" i="1"/>
  <c r="EM456" i="1"/>
  <c r="DU456" i="1"/>
  <c r="DN456" i="1"/>
  <c r="DM456" i="1"/>
  <c r="DL456" i="1"/>
  <c r="DK456" i="1"/>
  <c r="DI456" i="1"/>
  <c r="DJ456" i="1" s="1"/>
  <c r="DB456" i="1"/>
  <c r="DC456" i="1" s="1"/>
  <c r="CX456" i="1"/>
  <c r="CN456" i="1"/>
  <c r="CP456" i="1" s="1"/>
  <c r="BX456" i="1"/>
  <c r="BN456" i="1"/>
  <c r="BO456" i="1" s="1"/>
  <c r="BM456" i="1"/>
  <c r="BD456" i="1"/>
  <c r="BC456" i="1"/>
  <c r="BB456" i="1"/>
  <c r="BA456" i="1"/>
  <c r="AZ456" i="1"/>
  <c r="AY456" i="1"/>
  <c r="BE456" i="1" s="1" a="1"/>
  <c r="BE456" i="1" s="1"/>
  <c r="AX456" i="1"/>
  <c r="M456" i="1"/>
  <c r="EM431" i="1"/>
  <c r="DU431" i="1"/>
  <c r="DN431" i="1"/>
  <c r="DM431" i="1"/>
  <c r="DL431" i="1"/>
  <c r="DK431" i="1"/>
  <c r="DI431" i="1"/>
  <c r="DJ431" i="1" s="1"/>
  <c r="DB431" i="1"/>
  <c r="DC431" i="1" s="1"/>
  <c r="CX431" i="1"/>
  <c r="CN431" i="1"/>
  <c r="CS431" i="1" s="1"/>
  <c r="BX431" i="1"/>
  <c r="BN431" i="1"/>
  <c r="BO431" i="1" s="1"/>
  <c r="BM431" i="1"/>
  <c r="BD431" i="1"/>
  <c r="BC431" i="1"/>
  <c r="BB431" i="1"/>
  <c r="BA431" i="1"/>
  <c r="AZ431" i="1"/>
  <c r="AY431" i="1"/>
  <c r="BE431" i="1" s="1" a="1"/>
  <c r="BE431" i="1" s="1"/>
  <c r="AX431" i="1"/>
  <c r="M431" i="1"/>
  <c r="EM265" i="1"/>
  <c r="DU265" i="1"/>
  <c r="DN265" i="1"/>
  <c r="DM265" i="1"/>
  <c r="DL265" i="1"/>
  <c r="DK265" i="1"/>
  <c r="DI265" i="1"/>
  <c r="DJ265" i="1" s="1"/>
  <c r="DC265" i="1"/>
  <c r="CX265" i="1"/>
  <c r="CN265" i="1"/>
  <c r="CP265" i="1" s="1"/>
  <c r="BV265" i="1"/>
  <c r="BX265" i="1" s="1"/>
  <c r="BU265" i="1"/>
  <c r="BN265" i="1"/>
  <c r="BO265" i="1" s="1"/>
  <c r="BM265" i="1"/>
  <c r="BD265" i="1"/>
  <c r="BC265" i="1"/>
  <c r="BB265" i="1"/>
  <c r="BA265" i="1"/>
  <c r="AZ265" i="1"/>
  <c r="AY265" i="1"/>
  <c r="BE265" i="1" s="1" a="1"/>
  <c r="BE265" i="1" s="1"/>
  <c r="AX265" i="1"/>
  <c r="M265" i="1"/>
  <c r="EM255" i="1"/>
  <c r="DU255" i="1"/>
  <c r="DN255" i="1"/>
  <c r="DM255" i="1"/>
  <c r="DL255" i="1"/>
  <c r="DK255" i="1"/>
  <c r="DI255" i="1"/>
  <c r="DJ255" i="1" s="1"/>
  <c r="DC255" i="1"/>
  <c r="CX255" i="1"/>
  <c r="CN255" i="1"/>
  <c r="CS255" i="1" s="1"/>
  <c r="BV255" i="1"/>
  <c r="BX255" i="1" s="1"/>
  <c r="BU255" i="1"/>
  <c r="BN255" i="1"/>
  <c r="BO255" i="1" s="1"/>
  <c r="BM255" i="1"/>
  <c r="BD255" i="1"/>
  <c r="BC255" i="1"/>
  <c r="BB255" i="1"/>
  <c r="BA255" i="1"/>
  <c r="AZ255" i="1"/>
  <c r="AY255" i="1"/>
  <c r="BE255" i="1" s="1" a="1"/>
  <c r="BE255" i="1" s="1"/>
  <c r="AX255" i="1"/>
  <c r="M255" i="1"/>
  <c r="EM210" i="1"/>
  <c r="DU210" i="1"/>
  <c r="DN210" i="1"/>
  <c r="DM210" i="1"/>
  <c r="DL210" i="1"/>
  <c r="DK210" i="1"/>
  <c r="DI210" i="1"/>
  <c r="DJ210" i="1" s="1"/>
  <c r="DC210" i="1"/>
  <c r="CX210" i="1"/>
  <c r="CN210" i="1"/>
  <c r="CS210" i="1" s="1"/>
  <c r="BV210" i="1"/>
  <c r="BX210" i="1" s="1"/>
  <c r="BU210" i="1"/>
  <c r="BN210" i="1"/>
  <c r="BO210" i="1" s="1"/>
  <c r="BM210" i="1"/>
  <c r="BD210" i="1"/>
  <c r="BC210" i="1"/>
  <c r="BB210" i="1"/>
  <c r="BA210" i="1"/>
  <c r="AZ210" i="1"/>
  <c r="BF210" i="1" s="1" a="1"/>
  <c r="BF210" i="1" s="1"/>
  <c r="AY210" i="1"/>
  <c r="BE210" i="1" s="1" a="1"/>
  <c r="BE210" i="1" s="1"/>
  <c r="AX210" i="1"/>
  <c r="M210" i="1"/>
  <c r="EM171" i="1"/>
  <c r="DU171" i="1"/>
  <c r="DN171" i="1"/>
  <c r="DM171" i="1"/>
  <c r="DL171" i="1"/>
  <c r="DK171" i="1"/>
  <c r="DI171" i="1"/>
  <c r="DJ171" i="1" s="1"/>
  <c r="DC171" i="1"/>
  <c r="CX171" i="1"/>
  <c r="CN171" i="1"/>
  <c r="BV171" i="1"/>
  <c r="BX171" i="1" s="1"/>
  <c r="BU171" i="1"/>
  <c r="BN171" i="1"/>
  <c r="BO171" i="1" s="1"/>
  <c r="BM171" i="1"/>
  <c r="BD171" i="1"/>
  <c r="BC171" i="1"/>
  <c r="BB171" i="1"/>
  <c r="BA171" i="1"/>
  <c r="AZ171" i="1"/>
  <c r="AY171" i="1"/>
  <c r="BE171" i="1" s="1" a="1"/>
  <c r="BE171" i="1" s="1"/>
  <c r="AX171" i="1"/>
  <c r="M171" i="1"/>
  <c r="EM1158" i="1"/>
  <c r="DT1158" i="1"/>
  <c r="DN1158" i="1"/>
  <c r="DM1158" i="1"/>
  <c r="DL1158" i="1"/>
  <c r="DK1158" i="1"/>
  <c r="DJ1158" i="1"/>
  <c r="DC1158" i="1"/>
  <c r="CX1158" i="1"/>
  <c r="CN1158" i="1"/>
  <c r="BT1158" i="1"/>
  <c r="BS1158" i="1"/>
  <c r="BN1158" i="1"/>
  <c r="BO1158" i="1" s="1"/>
  <c r="BD1158" i="1"/>
  <c r="BC1158" i="1"/>
  <c r="BB1158" i="1"/>
  <c r="BA1158" i="1"/>
  <c r="AZ1158" i="1"/>
  <c r="BF1158" i="1" s="1" a="1"/>
  <c r="BF1158" i="1" s="1"/>
  <c r="AY1158" i="1"/>
  <c r="BE1158" i="1" s="1" a="1"/>
  <c r="BE1158" i="1" s="1"/>
  <c r="AX1158" i="1"/>
  <c r="M1158" i="1"/>
  <c r="EM832" i="1"/>
  <c r="DT832" i="1"/>
  <c r="DN832" i="1"/>
  <c r="DM832" i="1"/>
  <c r="DL832" i="1"/>
  <c r="DK832" i="1"/>
  <c r="DJ832" i="1"/>
  <c r="DC832" i="1"/>
  <c r="CX832" i="1"/>
  <c r="CN832" i="1"/>
  <c r="BT832" i="1"/>
  <c r="BS832" i="1"/>
  <c r="BN832" i="1"/>
  <c r="BO832" i="1" s="1"/>
  <c r="BD832" i="1"/>
  <c r="BC832" i="1"/>
  <c r="BB832" i="1"/>
  <c r="BA832" i="1"/>
  <c r="AZ832" i="1"/>
  <c r="BF832" i="1" s="1" a="1"/>
  <c r="BF832" i="1" s="1"/>
  <c r="AY832" i="1"/>
  <c r="BE832" i="1" s="1" a="1"/>
  <c r="BE832" i="1" s="1"/>
  <c r="AX832" i="1"/>
  <c r="M832" i="1"/>
  <c r="EM836" i="1"/>
  <c r="DT836" i="1"/>
  <c r="DN836" i="1"/>
  <c r="DM836" i="1"/>
  <c r="DL836" i="1"/>
  <c r="DK836" i="1"/>
  <c r="DJ836" i="1"/>
  <c r="DC836" i="1"/>
  <c r="CX836" i="1"/>
  <c r="CN836" i="1"/>
  <c r="BT836" i="1"/>
  <c r="BS836" i="1"/>
  <c r="BN836" i="1"/>
  <c r="BO836" i="1" s="1"/>
  <c r="BD836" i="1"/>
  <c r="BC836" i="1"/>
  <c r="BB836" i="1"/>
  <c r="BA836" i="1"/>
  <c r="AZ836" i="1"/>
  <c r="AY836" i="1"/>
  <c r="BE836" i="1" s="1" a="1"/>
  <c r="BE836" i="1" s="1"/>
  <c r="AX836" i="1"/>
  <c r="M836" i="1"/>
  <c r="EM1157" i="1"/>
  <c r="DT1157" i="1"/>
  <c r="DN1157" i="1"/>
  <c r="DM1157" i="1"/>
  <c r="DL1157" i="1"/>
  <c r="DK1157" i="1"/>
  <c r="DJ1157" i="1"/>
  <c r="DC1157" i="1"/>
  <c r="CX1157" i="1"/>
  <c r="CN1157" i="1"/>
  <c r="CS1157" i="1" s="1"/>
  <c r="BV1157" i="1"/>
  <c r="BN1157" i="1"/>
  <c r="BO1157" i="1" s="1"/>
  <c r="BD1157" i="1"/>
  <c r="BC1157" i="1"/>
  <c r="BB1157" i="1"/>
  <c r="BA1157" i="1"/>
  <c r="AZ1157" i="1"/>
  <c r="AY1157" i="1"/>
  <c r="BE1157" i="1" s="1" a="1"/>
  <c r="BE1157" i="1" s="1"/>
  <c r="AX1157" i="1"/>
  <c r="M1157" i="1"/>
  <c r="EM1156" i="1"/>
  <c r="DT1156" i="1"/>
  <c r="DN1156" i="1"/>
  <c r="DM1156" i="1"/>
  <c r="DL1156" i="1"/>
  <c r="DK1156" i="1"/>
  <c r="DJ1156" i="1"/>
  <c r="DC1156" i="1"/>
  <c r="CX1156" i="1"/>
  <c r="CN1156" i="1"/>
  <c r="CT1156" i="1" s="1"/>
  <c r="BV1156" i="1"/>
  <c r="BN1156" i="1"/>
  <c r="BO1156" i="1" s="1"/>
  <c r="BD1156" i="1"/>
  <c r="BC1156" i="1"/>
  <c r="BB1156" i="1"/>
  <c r="BA1156" i="1"/>
  <c r="AZ1156" i="1"/>
  <c r="AY1156" i="1"/>
  <c r="BE1156" i="1" s="1" a="1"/>
  <c r="BE1156" i="1" s="1"/>
  <c r="AX1156" i="1"/>
  <c r="M1156" i="1"/>
  <c r="EM1155" i="1"/>
  <c r="DT1155" i="1"/>
  <c r="DN1155" i="1"/>
  <c r="DM1155" i="1"/>
  <c r="DL1155" i="1"/>
  <c r="DK1155" i="1"/>
  <c r="DJ1155" i="1"/>
  <c r="DC1155" i="1"/>
  <c r="CX1155" i="1"/>
  <c r="CN1155" i="1"/>
  <c r="CT1155" i="1" s="1"/>
  <c r="BV1155" i="1"/>
  <c r="BN1155" i="1"/>
  <c r="BO1155" i="1" s="1"/>
  <c r="BY1155" i="1" s="1"/>
  <c r="BD1155" i="1"/>
  <c r="BC1155" i="1"/>
  <c r="BB1155" i="1"/>
  <c r="BA1155" i="1"/>
  <c r="AZ1155" i="1"/>
  <c r="AY1155" i="1"/>
  <c r="BE1155" i="1" s="1" a="1"/>
  <c r="BE1155" i="1" s="1"/>
  <c r="AX1155" i="1"/>
  <c r="M1155" i="1"/>
  <c r="EM1154" i="1"/>
  <c r="DT1154" i="1"/>
  <c r="DN1154" i="1"/>
  <c r="DM1154" i="1"/>
  <c r="DL1154" i="1"/>
  <c r="DK1154" i="1"/>
  <c r="DJ1154" i="1"/>
  <c r="DC1154" i="1"/>
  <c r="CX1154" i="1"/>
  <c r="CN1154" i="1"/>
  <c r="CR1154" i="1" s="1"/>
  <c r="BV1154" i="1"/>
  <c r="BN1154" i="1"/>
  <c r="BO1154" i="1" s="1"/>
  <c r="BD1154" i="1"/>
  <c r="BC1154" i="1"/>
  <c r="BB1154" i="1"/>
  <c r="BA1154" i="1"/>
  <c r="AZ1154" i="1"/>
  <c r="AY1154" i="1"/>
  <c r="BE1154" i="1" s="1" a="1"/>
  <c r="BE1154" i="1" s="1"/>
  <c r="AX1154" i="1"/>
  <c r="M1154" i="1"/>
  <c r="EM318" i="1"/>
  <c r="DT318" i="1"/>
  <c r="DN318" i="1"/>
  <c r="DM318" i="1"/>
  <c r="DL318" i="1"/>
  <c r="DK318" i="1"/>
  <c r="DJ318" i="1"/>
  <c r="DC318" i="1"/>
  <c r="CX318" i="1"/>
  <c r="CN318" i="1"/>
  <c r="BV318" i="1"/>
  <c r="BX318" i="1" s="1"/>
  <c r="BN318" i="1"/>
  <c r="BO318" i="1" s="1"/>
  <c r="BD318" i="1"/>
  <c r="BC318" i="1"/>
  <c r="BB318" i="1"/>
  <c r="BA318" i="1"/>
  <c r="AZ318" i="1"/>
  <c r="AY318" i="1"/>
  <c r="BE318" i="1" s="1" a="1"/>
  <c r="BE318" i="1" s="1"/>
  <c r="AX318" i="1"/>
  <c r="M318" i="1"/>
  <c r="EM320" i="1"/>
  <c r="DT320" i="1"/>
  <c r="DN320" i="1"/>
  <c r="DM320" i="1"/>
  <c r="DL320" i="1"/>
  <c r="DK320" i="1"/>
  <c r="DJ320" i="1"/>
  <c r="DC320" i="1"/>
  <c r="CX320" i="1"/>
  <c r="CN320" i="1"/>
  <c r="CS320" i="1" s="1"/>
  <c r="BV320" i="1"/>
  <c r="BX320" i="1" s="1"/>
  <c r="BN320" i="1"/>
  <c r="BO320" i="1" s="1"/>
  <c r="BD320" i="1"/>
  <c r="BC320" i="1"/>
  <c r="BB320" i="1"/>
  <c r="BA320" i="1"/>
  <c r="AZ320" i="1"/>
  <c r="AY320" i="1"/>
  <c r="BE320" i="1" s="1" a="1"/>
  <c r="BE320" i="1" s="1"/>
  <c r="AX320" i="1"/>
  <c r="M320" i="1"/>
  <c r="EM325" i="1"/>
  <c r="DT325" i="1"/>
  <c r="DN325" i="1"/>
  <c r="DM325" i="1"/>
  <c r="DL325" i="1"/>
  <c r="DK325" i="1"/>
  <c r="DJ325" i="1"/>
  <c r="DC325" i="1"/>
  <c r="CX325" i="1"/>
  <c r="CN325" i="1"/>
  <c r="CR325" i="1" s="1"/>
  <c r="BV325" i="1"/>
  <c r="BX325" i="1" s="1"/>
  <c r="BN325" i="1"/>
  <c r="BO325" i="1" s="1"/>
  <c r="BD325" i="1"/>
  <c r="BC325" i="1"/>
  <c r="BB325" i="1"/>
  <c r="BA325" i="1"/>
  <c r="AZ325" i="1"/>
  <c r="AY325" i="1"/>
  <c r="BE325" i="1" s="1" a="1"/>
  <c r="BE325" i="1" s="1"/>
  <c r="AX325" i="1"/>
  <c r="M325" i="1"/>
  <c r="EM175" i="1"/>
  <c r="DU175" i="1"/>
  <c r="DT175" i="1"/>
  <c r="DN175" i="1"/>
  <c r="DM175" i="1"/>
  <c r="DL175" i="1"/>
  <c r="DK175" i="1"/>
  <c r="DI175" i="1"/>
  <c r="DJ175" i="1" s="1"/>
  <c r="DC175" i="1"/>
  <c r="CX175" i="1"/>
  <c r="CN175" i="1"/>
  <c r="CS175" i="1" s="1"/>
  <c r="BV175" i="1"/>
  <c r="BX175" i="1" s="1"/>
  <c r="BN175" i="1"/>
  <c r="BO175" i="1" s="1"/>
  <c r="BD175" i="1"/>
  <c r="BC175" i="1"/>
  <c r="BB175" i="1"/>
  <c r="BA175" i="1"/>
  <c r="AZ175" i="1"/>
  <c r="AY175" i="1"/>
  <c r="BE175" i="1" s="1" a="1"/>
  <c r="BE175" i="1" s="1"/>
  <c r="AX175" i="1"/>
  <c r="M175" i="1"/>
  <c r="EM796" i="1"/>
  <c r="DU796" i="1"/>
  <c r="DT796" i="1"/>
  <c r="DN796" i="1"/>
  <c r="DM796" i="1"/>
  <c r="DL796" i="1"/>
  <c r="DK796" i="1"/>
  <c r="DI796" i="1"/>
  <c r="DJ796" i="1" s="1"/>
  <c r="DC796" i="1"/>
  <c r="CX796" i="1"/>
  <c r="CN796" i="1"/>
  <c r="BV796" i="1"/>
  <c r="BX796" i="1" s="1"/>
  <c r="BU796" i="1"/>
  <c r="BN796" i="1"/>
  <c r="BO796" i="1" s="1"/>
  <c r="BM796" i="1"/>
  <c r="BD796" i="1"/>
  <c r="BC796" i="1"/>
  <c r="BB796" i="1"/>
  <c r="BA796" i="1"/>
  <c r="AZ796" i="1"/>
  <c r="AY796" i="1"/>
  <c r="BE796" i="1" s="1" a="1"/>
  <c r="BE796" i="1" s="1"/>
  <c r="AX796" i="1"/>
  <c r="M796" i="1"/>
  <c r="EM153" i="1"/>
  <c r="DU153" i="1"/>
  <c r="DT153" i="1"/>
  <c r="DN153" i="1"/>
  <c r="DM153" i="1"/>
  <c r="DL153" i="1"/>
  <c r="DK153" i="1"/>
  <c r="DI153" i="1"/>
  <c r="DJ153" i="1" s="1"/>
  <c r="DC153" i="1"/>
  <c r="CX153" i="1"/>
  <c r="CN153" i="1"/>
  <c r="CP153" i="1" s="1"/>
  <c r="BV153" i="1"/>
  <c r="BX153" i="1" s="1"/>
  <c r="BU153" i="1"/>
  <c r="BN153" i="1"/>
  <c r="BO153" i="1" s="1"/>
  <c r="BM153" i="1"/>
  <c r="BD153" i="1"/>
  <c r="BC153" i="1"/>
  <c r="BB153" i="1"/>
  <c r="BA153" i="1"/>
  <c r="AZ153" i="1"/>
  <c r="AY153" i="1"/>
  <c r="BE153" i="1" s="1" a="1"/>
  <c r="BE153" i="1" s="1"/>
  <c r="AX153" i="1"/>
  <c r="M153" i="1"/>
  <c r="EM202" i="1"/>
  <c r="DU202" i="1"/>
  <c r="DT202" i="1"/>
  <c r="DN202" i="1"/>
  <c r="DM202" i="1"/>
  <c r="DL202" i="1"/>
  <c r="DK202" i="1"/>
  <c r="DI202" i="1"/>
  <c r="DJ202" i="1" s="1"/>
  <c r="DC202" i="1"/>
  <c r="CX202" i="1"/>
  <c r="CN202" i="1"/>
  <c r="BV202" i="1"/>
  <c r="BX202" i="1" s="1"/>
  <c r="BU202" i="1"/>
  <c r="BN202" i="1"/>
  <c r="BO202" i="1" s="1"/>
  <c r="BM202" i="1"/>
  <c r="BD202" i="1"/>
  <c r="BC202" i="1"/>
  <c r="BB202" i="1"/>
  <c r="BA202" i="1"/>
  <c r="AZ202" i="1"/>
  <c r="BF202" i="1" s="1" a="1"/>
  <c r="BF202" i="1" s="1"/>
  <c r="AY202" i="1"/>
  <c r="BE202" i="1" s="1" a="1"/>
  <c r="BE202" i="1" s="1"/>
  <c r="AX202" i="1"/>
  <c r="M202" i="1"/>
  <c r="EM1144" i="1"/>
  <c r="DU1144" i="1"/>
  <c r="DT1144" i="1"/>
  <c r="DN1144" i="1"/>
  <c r="DM1144" i="1"/>
  <c r="DL1144" i="1"/>
  <c r="DK1144" i="1"/>
  <c r="DI1144" i="1"/>
  <c r="DJ1144" i="1" s="1"/>
  <c r="DB1144" i="1"/>
  <c r="DC1144" i="1" s="1"/>
  <c r="CX1144" i="1"/>
  <c r="CN1144" i="1"/>
  <c r="CO1144" i="1" s="1"/>
  <c r="BV1144" i="1"/>
  <c r="BX1144" i="1" s="1"/>
  <c r="BY1144" i="1" s="1"/>
  <c r="BU1144" i="1"/>
  <c r="BD1144" i="1"/>
  <c r="BC1144" i="1"/>
  <c r="BB1144" i="1"/>
  <c r="BA1144" i="1"/>
  <c r="AZ1144" i="1"/>
  <c r="BF1144" i="1" s="1" a="1"/>
  <c r="BF1144" i="1" s="1"/>
  <c r="AY1144" i="1"/>
  <c r="BE1144" i="1" s="1" a="1"/>
  <c r="BE1144" i="1" s="1"/>
  <c r="AX1144" i="1"/>
  <c r="M1144" i="1"/>
  <c r="EM1143" i="1"/>
  <c r="DU1143" i="1"/>
  <c r="DT1143" i="1"/>
  <c r="DN1143" i="1"/>
  <c r="DM1143" i="1"/>
  <c r="DL1143" i="1"/>
  <c r="DK1143" i="1"/>
  <c r="DI1143" i="1"/>
  <c r="DJ1143" i="1" s="1"/>
  <c r="DB1143" i="1"/>
  <c r="DC1143" i="1" s="1"/>
  <c r="CX1143" i="1"/>
  <c r="CN1143" i="1"/>
  <c r="CO1143" i="1" s="1"/>
  <c r="BV1143" i="1"/>
  <c r="BX1143" i="1" s="1"/>
  <c r="BU1143" i="1"/>
  <c r="BD1143" i="1"/>
  <c r="BC1143" i="1"/>
  <c r="BB1143" i="1"/>
  <c r="BA1143" i="1"/>
  <c r="AZ1143" i="1"/>
  <c r="AY1143" i="1"/>
  <c r="BE1143" i="1" s="1" a="1"/>
  <c r="BE1143" i="1" s="1"/>
  <c r="AX1143" i="1"/>
  <c r="M1143" i="1"/>
  <c r="EM1142" i="1"/>
  <c r="DU1142" i="1"/>
  <c r="DT1142" i="1"/>
  <c r="DN1142" i="1"/>
  <c r="DM1142" i="1"/>
  <c r="DL1142" i="1"/>
  <c r="DK1142" i="1"/>
  <c r="DI1142" i="1"/>
  <c r="DJ1142" i="1" s="1"/>
  <c r="DB1142" i="1"/>
  <c r="DC1142" i="1" s="1"/>
  <c r="CX1142" i="1"/>
  <c r="CN1142" i="1"/>
  <c r="CO1142" i="1" s="1"/>
  <c r="BV1142" i="1"/>
  <c r="BX1142" i="1" s="1"/>
  <c r="BU1142" i="1"/>
  <c r="BD1142" i="1"/>
  <c r="BC1142" i="1"/>
  <c r="BB1142" i="1"/>
  <c r="BA1142" i="1"/>
  <c r="AZ1142" i="1"/>
  <c r="BF1142" i="1" s="1" a="1"/>
  <c r="BF1142" i="1" s="1"/>
  <c r="AY1142" i="1"/>
  <c r="BE1142" i="1" s="1" a="1"/>
  <c r="BE1142" i="1" s="1"/>
  <c r="AX1142" i="1"/>
  <c r="M1142" i="1"/>
  <c r="EM1141" i="1"/>
  <c r="DU1141" i="1"/>
  <c r="DT1141" i="1"/>
  <c r="DN1141" i="1"/>
  <c r="DM1141" i="1"/>
  <c r="DL1141" i="1"/>
  <c r="DK1141" i="1"/>
  <c r="DI1141" i="1"/>
  <c r="DJ1141" i="1" s="1"/>
  <c r="DB1141" i="1"/>
  <c r="DC1141" i="1" s="1"/>
  <c r="CX1141" i="1"/>
  <c r="CN1141" i="1"/>
  <c r="CS1141" i="1" s="1"/>
  <c r="BV1141" i="1"/>
  <c r="BX1141" i="1" s="1"/>
  <c r="BU1141" i="1"/>
  <c r="BD1141" i="1"/>
  <c r="BC1141" i="1"/>
  <c r="BB1141" i="1"/>
  <c r="BA1141" i="1"/>
  <c r="AZ1141" i="1"/>
  <c r="AY1141" i="1"/>
  <c r="BE1141" i="1" s="1" a="1"/>
  <c r="BE1141" i="1" s="1"/>
  <c r="AX1141" i="1"/>
  <c r="M1141" i="1"/>
  <c r="EM1140" i="1"/>
  <c r="DU1140" i="1"/>
  <c r="DT1140" i="1"/>
  <c r="DN1140" i="1"/>
  <c r="DM1140" i="1"/>
  <c r="DL1140" i="1"/>
  <c r="DK1140" i="1"/>
  <c r="DI1140" i="1"/>
  <c r="DJ1140" i="1" s="1"/>
  <c r="DB1140" i="1"/>
  <c r="DC1140" i="1" s="1"/>
  <c r="CX1140" i="1"/>
  <c r="CN1140" i="1"/>
  <c r="BV1140" i="1"/>
  <c r="BX1140" i="1" s="1"/>
  <c r="BY1140" i="1" s="1"/>
  <c r="BU1140" i="1"/>
  <c r="BD1140" i="1"/>
  <c r="BC1140" i="1"/>
  <c r="BB1140" i="1"/>
  <c r="BA1140" i="1"/>
  <c r="AZ1140" i="1"/>
  <c r="AY1140" i="1"/>
  <c r="BE1140" i="1" s="1" a="1"/>
  <c r="BE1140" i="1" s="1"/>
  <c r="AX1140" i="1"/>
  <c r="M1140" i="1"/>
  <c r="EM1139" i="1"/>
  <c r="DU1139" i="1"/>
  <c r="DT1139" i="1"/>
  <c r="DN1139" i="1"/>
  <c r="DM1139" i="1"/>
  <c r="DL1139" i="1"/>
  <c r="DK1139" i="1"/>
  <c r="DI1139" i="1"/>
  <c r="DJ1139" i="1" s="1"/>
  <c r="DB1139" i="1"/>
  <c r="DC1139" i="1" s="1"/>
  <c r="CX1139" i="1"/>
  <c r="CN1139" i="1"/>
  <c r="CO1139" i="1" s="1"/>
  <c r="BV1139" i="1"/>
  <c r="BX1139" i="1" s="1"/>
  <c r="BU1139" i="1"/>
  <c r="BD1139" i="1"/>
  <c r="BC1139" i="1"/>
  <c r="BB1139" i="1"/>
  <c r="BA1139" i="1"/>
  <c r="AZ1139" i="1"/>
  <c r="AY1139" i="1"/>
  <c r="BE1139" i="1" s="1" a="1"/>
  <c r="BE1139" i="1" s="1"/>
  <c r="AX1139" i="1"/>
  <c r="M1139" i="1"/>
  <c r="EM1020" i="1"/>
  <c r="DU1020" i="1"/>
  <c r="DT1020" i="1"/>
  <c r="DN1020" i="1"/>
  <c r="DM1020" i="1"/>
  <c r="DL1020" i="1"/>
  <c r="DK1020" i="1"/>
  <c r="DI1020" i="1"/>
  <c r="DJ1020" i="1" s="1"/>
  <c r="DB1020" i="1"/>
  <c r="DC1020" i="1" s="1"/>
  <c r="CX1020" i="1"/>
  <c r="BT1020" i="1"/>
  <c r="BV1020" i="1" s="1"/>
  <c r="BX1020" i="1" s="1"/>
  <c r="BL1020" i="1"/>
  <c r="BK1020" i="1"/>
  <c r="BD1020" i="1"/>
  <c r="BC1020" i="1"/>
  <c r="BB1020" i="1"/>
  <c r="BA1020" i="1"/>
  <c r="AZ1020" i="1"/>
  <c r="AY1020" i="1"/>
  <c r="BE1020" i="1" s="1" a="1"/>
  <c r="BE1020" i="1" s="1"/>
  <c r="AX1020" i="1"/>
  <c r="M1020" i="1"/>
  <c r="EM1007" i="1"/>
  <c r="DU1007" i="1"/>
  <c r="DT1007" i="1"/>
  <c r="DN1007" i="1"/>
  <c r="DM1007" i="1"/>
  <c r="DL1007" i="1"/>
  <c r="DK1007" i="1"/>
  <c r="DI1007" i="1"/>
  <c r="DJ1007" i="1" s="1"/>
  <c r="DB1007" i="1"/>
  <c r="DC1007" i="1" s="1"/>
  <c r="CX1007" i="1"/>
  <c r="BS1007" i="1"/>
  <c r="BV1007" i="1" s="1"/>
  <c r="BX1007" i="1" s="1"/>
  <c r="BL1007" i="1"/>
  <c r="BK1007" i="1"/>
  <c r="BD1007" i="1"/>
  <c r="BC1007" i="1"/>
  <c r="BB1007" i="1"/>
  <c r="BA1007" i="1"/>
  <c r="AZ1007" i="1"/>
  <c r="BF1007" i="1" s="1" a="1"/>
  <c r="BF1007" i="1" s="1"/>
  <c r="AY1007" i="1"/>
  <c r="BE1007" i="1" s="1" a="1"/>
  <c r="BE1007" i="1" s="1"/>
  <c r="AX1007" i="1"/>
  <c r="M1007" i="1"/>
  <c r="EM23" i="1"/>
  <c r="DU23" i="1"/>
  <c r="DT23" i="1"/>
  <c r="DN23" i="1"/>
  <c r="DM23" i="1"/>
  <c r="DL23" i="1"/>
  <c r="DK23" i="1"/>
  <c r="DI23" i="1"/>
  <c r="DJ23" i="1" s="1"/>
  <c r="DB23" i="1"/>
  <c r="DC23" i="1" s="1"/>
  <c r="CX23" i="1"/>
  <c r="BV23" i="1"/>
  <c r="BX23" i="1" s="1"/>
  <c r="BU23" i="1"/>
  <c r="BL23" i="1"/>
  <c r="CN23" i="1" s="1"/>
  <c r="CP23" i="1" s="1"/>
  <c r="BD23" i="1"/>
  <c r="BC23" i="1"/>
  <c r="BB23" i="1"/>
  <c r="BA23" i="1"/>
  <c r="AZ23" i="1"/>
  <c r="BF23" i="1" s="1" a="1"/>
  <c r="BF23" i="1" s="1"/>
  <c r="AY23" i="1"/>
  <c r="BE23" i="1" s="1" a="1"/>
  <c r="BE23" i="1" s="1"/>
  <c r="AX23" i="1"/>
  <c r="M23" i="1"/>
  <c r="EM1018" i="1"/>
  <c r="DU1018" i="1"/>
  <c r="DT1018" i="1"/>
  <c r="DN1018" i="1"/>
  <c r="DM1018" i="1"/>
  <c r="DL1018" i="1"/>
  <c r="DK1018" i="1"/>
  <c r="DI1018" i="1"/>
  <c r="DJ1018" i="1" s="1"/>
  <c r="DB1018" i="1"/>
  <c r="DC1018" i="1" s="1"/>
  <c r="CX1018" i="1"/>
  <c r="BV1018" i="1"/>
  <c r="BX1018" i="1" s="1"/>
  <c r="BU1018" i="1"/>
  <c r="BL1018" i="1"/>
  <c r="BK1018" i="1"/>
  <c r="CN1018" i="1" s="1"/>
  <c r="BD1018" i="1"/>
  <c r="BC1018" i="1"/>
  <c r="BB1018" i="1"/>
  <c r="BA1018" i="1"/>
  <c r="AZ1018" i="1"/>
  <c r="AY1018" i="1"/>
  <c r="BE1018" i="1" s="1" a="1"/>
  <c r="BE1018" i="1" s="1"/>
  <c r="AX1018" i="1"/>
  <c r="M1018" i="1"/>
  <c r="EM1001" i="1"/>
  <c r="DU1001" i="1"/>
  <c r="DT1001" i="1"/>
  <c r="DN1001" i="1"/>
  <c r="DM1001" i="1"/>
  <c r="DL1001" i="1"/>
  <c r="DK1001" i="1"/>
  <c r="DI1001" i="1"/>
  <c r="DJ1001" i="1" s="1"/>
  <c r="DB1001" i="1"/>
  <c r="DC1001" i="1" s="1"/>
  <c r="CX1001" i="1"/>
  <c r="BV1001" i="1"/>
  <c r="BX1001" i="1" s="1"/>
  <c r="BU1001" i="1"/>
  <c r="BL1001" i="1"/>
  <c r="BK1001" i="1"/>
  <c r="BD1001" i="1"/>
  <c r="BC1001" i="1"/>
  <c r="BB1001" i="1"/>
  <c r="BA1001" i="1"/>
  <c r="AZ1001" i="1"/>
  <c r="AY1001" i="1"/>
  <c r="BE1001" i="1" s="1" a="1"/>
  <c r="BE1001" i="1" s="1"/>
  <c r="AX1001" i="1"/>
  <c r="M1001" i="1"/>
  <c r="EM24" i="1"/>
  <c r="DU24" i="1"/>
  <c r="DT24" i="1"/>
  <c r="DN24" i="1"/>
  <c r="DM24" i="1"/>
  <c r="DL24" i="1"/>
  <c r="DK24" i="1"/>
  <c r="DI24" i="1"/>
  <c r="DJ24" i="1" s="1"/>
  <c r="DB24" i="1"/>
  <c r="DC24" i="1" s="1"/>
  <c r="CX24" i="1"/>
  <c r="BV24" i="1"/>
  <c r="BX24" i="1" s="1"/>
  <c r="BU24" i="1"/>
  <c r="BL24" i="1"/>
  <c r="BN24" i="1" s="1"/>
  <c r="BO24" i="1" s="1"/>
  <c r="BD24" i="1"/>
  <c r="BC24" i="1"/>
  <c r="BB24" i="1"/>
  <c r="BA24" i="1"/>
  <c r="AZ24" i="1"/>
  <c r="AY24" i="1"/>
  <c r="BE24" i="1" s="1" a="1"/>
  <c r="BE24" i="1" s="1"/>
  <c r="AX24" i="1"/>
  <c r="M24" i="1"/>
  <c r="EM40" i="1"/>
  <c r="DU40" i="1"/>
  <c r="DT40" i="1"/>
  <c r="DN40" i="1"/>
  <c r="DM40" i="1"/>
  <c r="DL40" i="1"/>
  <c r="DK40" i="1"/>
  <c r="DI40" i="1"/>
  <c r="DJ40" i="1" s="1"/>
  <c r="DB40" i="1"/>
  <c r="DC40" i="1" s="1"/>
  <c r="CX40" i="1"/>
  <c r="BV40" i="1"/>
  <c r="BX40" i="1" s="1"/>
  <c r="BS40" i="1"/>
  <c r="BL40" i="1"/>
  <c r="BK40" i="1"/>
  <c r="BD40" i="1"/>
  <c r="BC40" i="1"/>
  <c r="BB40" i="1"/>
  <c r="BA40" i="1"/>
  <c r="AZ40" i="1"/>
  <c r="AY40" i="1"/>
  <c r="BE40" i="1" s="1" a="1"/>
  <c r="BE40" i="1" s="1"/>
  <c r="AX40" i="1"/>
  <c r="M40" i="1"/>
  <c r="EM993" i="1"/>
  <c r="DU993" i="1"/>
  <c r="DT993" i="1"/>
  <c r="DN993" i="1"/>
  <c r="DM993" i="1"/>
  <c r="DL993" i="1"/>
  <c r="DK993" i="1"/>
  <c r="DI993" i="1"/>
  <c r="DJ993" i="1" s="1"/>
  <c r="DB993" i="1"/>
  <c r="DC993" i="1" s="1"/>
  <c r="CX993" i="1"/>
  <c r="BS993" i="1"/>
  <c r="BV993" i="1" s="1"/>
  <c r="BX993" i="1" s="1"/>
  <c r="BL993" i="1"/>
  <c r="BK993" i="1"/>
  <c r="BD993" i="1"/>
  <c r="BC993" i="1"/>
  <c r="BB993" i="1"/>
  <c r="BA993" i="1"/>
  <c r="AZ993" i="1"/>
  <c r="AY993" i="1"/>
  <c r="BE993" i="1" s="1" a="1"/>
  <c r="BE993" i="1" s="1"/>
  <c r="AX993" i="1"/>
  <c r="M993" i="1"/>
  <c r="EM133" i="1"/>
  <c r="DU133" i="1"/>
  <c r="DT133" i="1"/>
  <c r="DN133" i="1"/>
  <c r="DM133" i="1"/>
  <c r="DL133" i="1"/>
  <c r="DK133" i="1"/>
  <c r="DI133" i="1"/>
  <c r="DJ133" i="1" s="1"/>
  <c r="DB133" i="1"/>
  <c r="DC133" i="1" s="1"/>
  <c r="CX133" i="1"/>
  <c r="BT133" i="1"/>
  <c r="BL133" i="1"/>
  <c r="BK133" i="1"/>
  <c r="BD133" i="1"/>
  <c r="BC133" i="1"/>
  <c r="BB133" i="1"/>
  <c r="BA133" i="1"/>
  <c r="AZ133" i="1"/>
  <c r="AY133" i="1"/>
  <c r="BE133" i="1" s="1" a="1"/>
  <c r="BE133" i="1" s="1"/>
  <c r="AX133" i="1"/>
  <c r="M133" i="1"/>
  <c r="EM129" i="1"/>
  <c r="DU129" i="1"/>
  <c r="DT129" i="1"/>
  <c r="DN129" i="1"/>
  <c r="DM129" i="1"/>
  <c r="DL129" i="1"/>
  <c r="DK129" i="1"/>
  <c r="DI129" i="1"/>
  <c r="DJ129" i="1" s="1"/>
  <c r="DB129" i="1"/>
  <c r="DC129" i="1" s="1"/>
  <c r="CX129" i="1"/>
  <c r="BS129" i="1"/>
  <c r="BV129" i="1" s="1"/>
  <c r="BX129" i="1" s="1"/>
  <c r="BL129" i="1"/>
  <c r="BK129" i="1"/>
  <c r="BD129" i="1"/>
  <c r="BC129" i="1"/>
  <c r="BB129" i="1"/>
  <c r="BA129" i="1"/>
  <c r="AZ129" i="1"/>
  <c r="AY129" i="1"/>
  <c r="BE129" i="1" s="1" a="1"/>
  <c r="BE129" i="1" s="1"/>
  <c r="AX129" i="1"/>
  <c r="M129" i="1"/>
  <c r="EM1011" i="1"/>
  <c r="DU1011" i="1"/>
  <c r="DT1011" i="1"/>
  <c r="DN1011" i="1"/>
  <c r="DM1011" i="1"/>
  <c r="DL1011" i="1"/>
  <c r="DK1011" i="1"/>
  <c r="DI1011" i="1"/>
  <c r="DJ1011" i="1" s="1"/>
  <c r="DB1011" i="1"/>
  <c r="DC1011" i="1" s="1"/>
  <c r="CX1011" i="1"/>
  <c r="BV1011" i="1"/>
  <c r="BX1011" i="1" s="1"/>
  <c r="BU1011" i="1"/>
  <c r="BL1011" i="1"/>
  <c r="BK1011" i="1"/>
  <c r="BN1011" i="1" s="1"/>
  <c r="BO1011" i="1" s="1"/>
  <c r="BD1011" i="1"/>
  <c r="BC1011" i="1"/>
  <c r="BB1011" i="1"/>
  <c r="BA1011" i="1"/>
  <c r="AZ1011" i="1"/>
  <c r="AY1011" i="1"/>
  <c r="BE1011" i="1" s="1" a="1"/>
  <c r="BE1011" i="1" s="1"/>
  <c r="AX1011" i="1"/>
  <c r="M1011" i="1"/>
  <c r="EM988" i="1"/>
  <c r="DU988" i="1"/>
  <c r="DT988" i="1"/>
  <c r="DN988" i="1"/>
  <c r="DM988" i="1"/>
  <c r="DL988" i="1"/>
  <c r="DK988" i="1"/>
  <c r="DI988" i="1"/>
  <c r="DJ988" i="1" s="1"/>
  <c r="DB988" i="1"/>
  <c r="DC988" i="1" s="1"/>
  <c r="CX988" i="1"/>
  <c r="BV988" i="1"/>
  <c r="BX988" i="1" s="1"/>
  <c r="BU988" i="1"/>
  <c r="BL988" i="1"/>
  <c r="BK988" i="1"/>
  <c r="BD988" i="1"/>
  <c r="BC988" i="1"/>
  <c r="BB988" i="1"/>
  <c r="BA988" i="1"/>
  <c r="AZ988" i="1"/>
  <c r="BF988" i="1" s="1" a="1"/>
  <c r="BF988" i="1" s="1"/>
  <c r="AY988" i="1"/>
  <c r="BE988" i="1" s="1" a="1"/>
  <c r="BE988" i="1" s="1"/>
  <c r="AX988" i="1"/>
  <c r="M988" i="1"/>
  <c r="EM110" i="1"/>
  <c r="DU110" i="1"/>
  <c r="DT110" i="1"/>
  <c r="DN110" i="1"/>
  <c r="DM110" i="1"/>
  <c r="DL110" i="1"/>
  <c r="DK110" i="1"/>
  <c r="DI110" i="1"/>
  <c r="DJ110" i="1" s="1"/>
  <c r="DB110" i="1"/>
  <c r="DC110" i="1" s="1"/>
  <c r="CX110" i="1"/>
  <c r="BV110" i="1"/>
  <c r="BX110" i="1" s="1"/>
  <c r="BU110" i="1"/>
  <c r="BL110" i="1"/>
  <c r="CN110" i="1" s="1"/>
  <c r="CR110" i="1" s="1"/>
  <c r="BK110" i="1"/>
  <c r="BD110" i="1"/>
  <c r="BC110" i="1"/>
  <c r="BB110" i="1"/>
  <c r="BA110" i="1"/>
  <c r="AZ110" i="1"/>
  <c r="BF110" i="1" s="1" a="1"/>
  <c r="BF110" i="1" s="1"/>
  <c r="AY110" i="1"/>
  <c r="BE110" i="1" s="1" a="1"/>
  <c r="BE110" i="1" s="1"/>
  <c r="AX110" i="1"/>
  <c r="M110" i="1"/>
  <c r="EM111" i="1"/>
  <c r="DU111" i="1"/>
  <c r="DT111" i="1"/>
  <c r="DN111" i="1"/>
  <c r="DM111" i="1"/>
  <c r="DL111" i="1"/>
  <c r="DK111" i="1"/>
  <c r="DI111" i="1"/>
  <c r="DJ111" i="1" s="1"/>
  <c r="DB111" i="1"/>
  <c r="DC111" i="1" s="1"/>
  <c r="CX111" i="1"/>
  <c r="BS111" i="1"/>
  <c r="BL111" i="1"/>
  <c r="BK111" i="1"/>
  <c r="BD111" i="1"/>
  <c r="BC111" i="1"/>
  <c r="BB111" i="1"/>
  <c r="BA111" i="1"/>
  <c r="AZ111" i="1"/>
  <c r="AY111" i="1"/>
  <c r="BE111" i="1" s="1" a="1"/>
  <c r="BE111" i="1" s="1"/>
  <c r="AX111" i="1"/>
  <c r="M111" i="1"/>
  <c r="EM1136" i="1"/>
  <c r="DU1136" i="1"/>
  <c r="DT1136" i="1"/>
  <c r="DN1136" i="1"/>
  <c r="DM1136" i="1"/>
  <c r="DL1136" i="1"/>
  <c r="DK1136" i="1"/>
  <c r="DI1136" i="1"/>
  <c r="DJ1136" i="1" s="1"/>
  <c r="DC1136" i="1"/>
  <c r="CX1136" i="1"/>
  <c r="BT1136" i="1"/>
  <c r="BS1136" i="1"/>
  <c r="BL1136" i="1"/>
  <c r="BK1136" i="1"/>
  <c r="BD1136" i="1"/>
  <c r="BC1136" i="1"/>
  <c r="BB1136" i="1"/>
  <c r="BA1136" i="1"/>
  <c r="AZ1136" i="1"/>
  <c r="BF1136" i="1" s="1" a="1"/>
  <c r="BF1136" i="1" s="1"/>
  <c r="AY1136" i="1"/>
  <c r="BE1136" i="1" s="1" a="1"/>
  <c r="BE1136" i="1" s="1"/>
  <c r="AX1136" i="1"/>
  <c r="M1136" i="1"/>
  <c r="EM658" i="1"/>
  <c r="DU658" i="1"/>
  <c r="DT658" i="1"/>
  <c r="DN658" i="1"/>
  <c r="DM658" i="1"/>
  <c r="DL658" i="1"/>
  <c r="DK658" i="1"/>
  <c r="DI658" i="1"/>
  <c r="DJ658" i="1" s="1"/>
  <c r="DC658" i="1"/>
  <c r="CX658" i="1"/>
  <c r="BT658" i="1"/>
  <c r="BL658" i="1"/>
  <c r="CN658" i="1" s="1"/>
  <c r="BD658" i="1"/>
  <c r="BC658" i="1"/>
  <c r="BB658" i="1"/>
  <c r="BA658" i="1"/>
  <c r="AZ658" i="1"/>
  <c r="AY658" i="1"/>
  <c r="BE658" i="1" s="1" a="1"/>
  <c r="BE658" i="1" s="1"/>
  <c r="AX658" i="1"/>
  <c r="M658" i="1"/>
  <c r="EM624" i="1"/>
  <c r="DU624" i="1"/>
  <c r="DT624" i="1"/>
  <c r="DN624" i="1"/>
  <c r="DM624" i="1"/>
  <c r="DL624" i="1"/>
  <c r="DK624" i="1"/>
  <c r="DI624" i="1"/>
  <c r="DJ624" i="1" s="1"/>
  <c r="DC624" i="1"/>
  <c r="CX624" i="1"/>
  <c r="BT624" i="1"/>
  <c r="BL624" i="1"/>
  <c r="BN624" i="1" s="1"/>
  <c r="BO624" i="1" s="1"/>
  <c r="BD624" i="1"/>
  <c r="BC624" i="1"/>
  <c r="BB624" i="1"/>
  <c r="BA624" i="1"/>
  <c r="AZ624" i="1"/>
  <c r="BF624" i="1" s="1" a="1"/>
  <c r="BF624" i="1" s="1"/>
  <c r="AY624" i="1"/>
  <c r="BE624" i="1" s="1" a="1"/>
  <c r="BE624" i="1" s="1"/>
  <c r="AX624" i="1"/>
  <c r="M624" i="1"/>
  <c r="EM1003" i="1"/>
  <c r="DU1003" i="1"/>
  <c r="DT1003" i="1"/>
  <c r="DN1003" i="1"/>
  <c r="DM1003" i="1"/>
  <c r="DL1003" i="1"/>
  <c r="DK1003" i="1"/>
  <c r="DI1003" i="1"/>
  <c r="DJ1003" i="1" s="1"/>
  <c r="DC1003" i="1"/>
  <c r="CX1003" i="1"/>
  <c r="CN1003" i="1"/>
  <c r="BV1003" i="1"/>
  <c r="BX1003" i="1" s="1"/>
  <c r="BU1003" i="1"/>
  <c r="BN1003" i="1"/>
  <c r="BO1003" i="1" s="1"/>
  <c r="BD1003" i="1"/>
  <c r="BC1003" i="1"/>
  <c r="BB1003" i="1"/>
  <c r="BA1003" i="1"/>
  <c r="AZ1003" i="1"/>
  <c r="AY1003" i="1"/>
  <c r="BE1003" i="1" s="1" a="1"/>
  <c r="BE1003" i="1" s="1"/>
  <c r="AX1003" i="1"/>
  <c r="M1003" i="1"/>
  <c r="EM991" i="1"/>
  <c r="DU991" i="1"/>
  <c r="DT991" i="1"/>
  <c r="DN991" i="1"/>
  <c r="DM991" i="1"/>
  <c r="DL991" i="1"/>
  <c r="DK991" i="1"/>
  <c r="DI991" i="1"/>
  <c r="DJ991" i="1" s="1"/>
  <c r="DC991" i="1"/>
  <c r="CX991" i="1"/>
  <c r="BV991" i="1"/>
  <c r="BX991" i="1" s="1"/>
  <c r="BU991" i="1"/>
  <c r="BL991" i="1"/>
  <c r="CN991" i="1" s="1"/>
  <c r="CO991" i="1" s="1"/>
  <c r="BD991" i="1"/>
  <c r="BC991" i="1"/>
  <c r="BB991" i="1"/>
  <c r="BA991" i="1"/>
  <c r="AZ991" i="1"/>
  <c r="AY991" i="1"/>
  <c r="BE991" i="1" s="1" a="1"/>
  <c r="BE991" i="1" s="1"/>
  <c r="AX991" i="1"/>
  <c r="M991" i="1"/>
  <c r="EM1130" i="1"/>
  <c r="DU1130" i="1"/>
  <c r="DT1130" i="1"/>
  <c r="DN1130" i="1"/>
  <c r="DM1130" i="1"/>
  <c r="DL1130" i="1"/>
  <c r="DK1130" i="1"/>
  <c r="DI1130" i="1"/>
  <c r="DJ1130" i="1" s="1"/>
  <c r="DC1130" i="1"/>
  <c r="CX1130" i="1"/>
  <c r="CN1130" i="1"/>
  <c r="CS1130" i="1" s="1"/>
  <c r="BV1130" i="1"/>
  <c r="BX1130" i="1" s="1"/>
  <c r="BY1130" i="1" s="1"/>
  <c r="BU1130" i="1"/>
  <c r="BD1130" i="1"/>
  <c r="BC1130" i="1"/>
  <c r="BB1130" i="1"/>
  <c r="BA1130" i="1"/>
  <c r="AZ1130" i="1"/>
  <c r="BF1130" i="1" s="1" a="1"/>
  <c r="BF1130" i="1" s="1"/>
  <c r="AY1130" i="1"/>
  <c r="BE1130" i="1" s="1" a="1"/>
  <c r="BE1130" i="1" s="1"/>
  <c r="AX1130" i="1"/>
  <c r="M1130" i="1"/>
  <c r="EM1129" i="1"/>
  <c r="DU1129" i="1"/>
  <c r="DT1129" i="1"/>
  <c r="DN1129" i="1"/>
  <c r="DM1129" i="1"/>
  <c r="DL1129" i="1"/>
  <c r="DK1129" i="1"/>
  <c r="DI1129" i="1"/>
  <c r="DJ1129" i="1" s="1"/>
  <c r="DC1129" i="1"/>
  <c r="CX1129" i="1"/>
  <c r="CN1129" i="1"/>
  <c r="CR1129" i="1" s="1"/>
  <c r="BV1129" i="1"/>
  <c r="BX1129" i="1" s="1"/>
  <c r="BY1129" i="1" s="1"/>
  <c r="BU1129" i="1"/>
  <c r="BD1129" i="1"/>
  <c r="BC1129" i="1"/>
  <c r="BB1129" i="1"/>
  <c r="BA1129" i="1"/>
  <c r="AZ1129" i="1"/>
  <c r="BF1129" i="1" s="1" a="1"/>
  <c r="BF1129" i="1" s="1"/>
  <c r="AY1129" i="1"/>
  <c r="BE1129" i="1" s="1" a="1"/>
  <c r="BE1129" i="1" s="1"/>
  <c r="AX1129" i="1"/>
  <c r="M1129" i="1"/>
  <c r="EM1128" i="1"/>
  <c r="DU1128" i="1"/>
  <c r="DT1128" i="1"/>
  <c r="DN1128" i="1"/>
  <c r="DM1128" i="1"/>
  <c r="DL1128" i="1"/>
  <c r="DK1128" i="1"/>
  <c r="DI1128" i="1"/>
  <c r="DJ1128" i="1" s="1"/>
  <c r="DC1128" i="1"/>
  <c r="CX1128" i="1"/>
  <c r="CN1128" i="1"/>
  <c r="CS1128" i="1" s="1"/>
  <c r="BV1128" i="1"/>
  <c r="BX1128" i="1" s="1"/>
  <c r="BY1128" i="1" s="1"/>
  <c r="BU1128" i="1"/>
  <c r="BD1128" i="1"/>
  <c r="BC1128" i="1"/>
  <c r="BB1128" i="1"/>
  <c r="BA1128" i="1"/>
  <c r="AZ1128" i="1"/>
  <c r="AY1128" i="1"/>
  <c r="BE1128" i="1" s="1" a="1"/>
  <c r="BE1128" i="1" s="1"/>
  <c r="AX1128" i="1"/>
  <c r="M1128" i="1"/>
  <c r="EM1127" i="1"/>
  <c r="DU1127" i="1"/>
  <c r="DT1127" i="1"/>
  <c r="DN1127" i="1"/>
  <c r="DM1127" i="1"/>
  <c r="DL1127" i="1"/>
  <c r="DK1127" i="1"/>
  <c r="DI1127" i="1"/>
  <c r="DJ1127" i="1" s="1"/>
  <c r="DC1127" i="1"/>
  <c r="CX1127" i="1"/>
  <c r="CN1127" i="1"/>
  <c r="BV1127" i="1"/>
  <c r="BX1127" i="1" s="1"/>
  <c r="BY1127" i="1" s="1"/>
  <c r="BU1127" i="1"/>
  <c r="BD1127" i="1"/>
  <c r="BC1127" i="1"/>
  <c r="BB1127" i="1"/>
  <c r="BA1127" i="1"/>
  <c r="AZ1127" i="1"/>
  <c r="BF1127" i="1" s="1" a="1"/>
  <c r="BF1127" i="1" s="1"/>
  <c r="AY1127" i="1"/>
  <c r="BE1127" i="1" s="1" a="1"/>
  <c r="BE1127" i="1" s="1"/>
  <c r="AX1127" i="1"/>
  <c r="M1127" i="1"/>
  <c r="EM907" i="1"/>
  <c r="DU907" i="1"/>
  <c r="DT907" i="1"/>
  <c r="DN907" i="1"/>
  <c r="DM907" i="1"/>
  <c r="DL907" i="1"/>
  <c r="DK907" i="1"/>
  <c r="DI907" i="1"/>
  <c r="DJ907" i="1" s="1"/>
  <c r="DC907" i="1"/>
  <c r="CX907" i="1"/>
  <c r="BV907" i="1"/>
  <c r="BX907" i="1" s="1"/>
  <c r="BU907" i="1"/>
  <c r="BL907" i="1"/>
  <c r="BK907" i="1"/>
  <c r="BD907" i="1"/>
  <c r="BC907" i="1"/>
  <c r="BB907" i="1"/>
  <c r="BA907" i="1"/>
  <c r="AZ907" i="1"/>
  <c r="BF907" i="1" s="1" a="1"/>
  <c r="BF907" i="1" s="1"/>
  <c r="AY907" i="1"/>
  <c r="BE907" i="1" s="1" a="1"/>
  <c r="BE907" i="1" s="1"/>
  <c r="AX907" i="1"/>
  <c r="M907" i="1"/>
  <c r="EM903" i="1"/>
  <c r="DU903" i="1"/>
  <c r="DT903" i="1"/>
  <c r="DN903" i="1"/>
  <c r="DM903" i="1"/>
  <c r="DL903" i="1"/>
  <c r="DK903" i="1"/>
  <c r="DI903" i="1"/>
  <c r="DJ903" i="1" s="1"/>
  <c r="DC903" i="1"/>
  <c r="CX903" i="1"/>
  <c r="BV903" i="1"/>
  <c r="BX903" i="1" s="1"/>
  <c r="BU903" i="1"/>
  <c r="BL903" i="1"/>
  <c r="BK903" i="1"/>
  <c r="CN903" i="1" s="1"/>
  <c r="CS903" i="1" s="1"/>
  <c r="BD903" i="1"/>
  <c r="BC903" i="1"/>
  <c r="BB903" i="1"/>
  <c r="BA903" i="1"/>
  <c r="AZ903" i="1"/>
  <c r="AY903" i="1"/>
  <c r="BE903" i="1" s="1" a="1"/>
  <c r="BE903" i="1" s="1"/>
  <c r="AX903" i="1"/>
  <c r="M903" i="1"/>
  <c r="EM895" i="1"/>
  <c r="DU895" i="1"/>
  <c r="DT895" i="1"/>
  <c r="DN895" i="1"/>
  <c r="DM895" i="1"/>
  <c r="DL895" i="1"/>
  <c r="DK895" i="1"/>
  <c r="DI895" i="1"/>
  <c r="DJ895" i="1" s="1"/>
  <c r="DC895" i="1"/>
  <c r="CX895" i="1"/>
  <c r="BV895" i="1"/>
  <c r="BX895" i="1" s="1"/>
  <c r="BU895" i="1"/>
  <c r="BL895" i="1"/>
  <c r="BK895" i="1"/>
  <c r="BD895" i="1"/>
  <c r="BC895" i="1"/>
  <c r="BB895" i="1"/>
  <c r="BA895" i="1"/>
  <c r="AZ895" i="1"/>
  <c r="AY895" i="1"/>
  <c r="BE895" i="1" s="1" a="1"/>
  <c r="BE895" i="1" s="1"/>
  <c r="AX895" i="1"/>
  <c r="M895" i="1"/>
  <c r="EM889" i="1"/>
  <c r="DU889" i="1"/>
  <c r="DT889" i="1"/>
  <c r="DN889" i="1"/>
  <c r="DM889" i="1"/>
  <c r="DL889" i="1"/>
  <c r="DK889" i="1"/>
  <c r="DI889" i="1"/>
  <c r="DJ889" i="1" s="1"/>
  <c r="DC889" i="1"/>
  <c r="CX889" i="1"/>
  <c r="BV889" i="1"/>
  <c r="BX889" i="1" s="1"/>
  <c r="BU889" i="1"/>
  <c r="BL889" i="1"/>
  <c r="BK889" i="1"/>
  <c r="BD889" i="1"/>
  <c r="BC889" i="1"/>
  <c r="BB889" i="1"/>
  <c r="BA889" i="1"/>
  <c r="AZ889" i="1"/>
  <c r="BF889" i="1" s="1" a="1"/>
  <c r="BF889" i="1" s="1"/>
  <c r="AY889" i="1"/>
  <c r="BE889" i="1" s="1" a="1"/>
  <c r="BE889" i="1" s="1"/>
  <c r="AX889" i="1"/>
  <c r="M889" i="1"/>
  <c r="EM1126" i="1"/>
  <c r="DU1126" i="1"/>
  <c r="DT1126" i="1"/>
  <c r="DN1126" i="1"/>
  <c r="DM1126" i="1"/>
  <c r="DL1126" i="1"/>
  <c r="DK1126" i="1"/>
  <c r="DI1126" i="1"/>
  <c r="DJ1126" i="1" s="1"/>
  <c r="DC1126" i="1"/>
  <c r="CX1126" i="1"/>
  <c r="CN1126" i="1"/>
  <c r="BV1126" i="1"/>
  <c r="BX1126" i="1" s="1"/>
  <c r="BU1126" i="1"/>
  <c r="BD1126" i="1"/>
  <c r="BC1126" i="1"/>
  <c r="BB1126" i="1"/>
  <c r="BA1126" i="1"/>
  <c r="AZ1126" i="1"/>
  <c r="AY1126" i="1"/>
  <c r="BE1126" i="1" s="1" a="1"/>
  <c r="BE1126" i="1" s="1"/>
  <c r="AX1126" i="1"/>
  <c r="M1126" i="1"/>
  <c r="EM1125" i="1"/>
  <c r="DU1125" i="1"/>
  <c r="DT1125" i="1"/>
  <c r="DN1125" i="1"/>
  <c r="DM1125" i="1"/>
  <c r="DL1125" i="1"/>
  <c r="DK1125" i="1"/>
  <c r="DI1125" i="1"/>
  <c r="DJ1125" i="1" s="1"/>
  <c r="DC1125" i="1"/>
  <c r="CX1125" i="1"/>
  <c r="CN1125" i="1"/>
  <c r="CS1125" i="1" s="1"/>
  <c r="BV1125" i="1"/>
  <c r="BX1125" i="1" s="1"/>
  <c r="BY1125" i="1" s="1"/>
  <c r="BU1125" i="1"/>
  <c r="BD1125" i="1"/>
  <c r="BC1125" i="1"/>
  <c r="BB1125" i="1"/>
  <c r="BA1125" i="1"/>
  <c r="AZ1125" i="1"/>
  <c r="AY1125" i="1"/>
  <c r="BE1125" i="1" s="1" a="1"/>
  <c r="BE1125" i="1" s="1"/>
  <c r="AX1125" i="1"/>
  <c r="M1125" i="1"/>
  <c r="EM1124" i="1"/>
  <c r="DU1124" i="1"/>
  <c r="DT1124" i="1"/>
  <c r="DN1124" i="1"/>
  <c r="DM1124" i="1"/>
  <c r="DL1124" i="1"/>
  <c r="DK1124" i="1"/>
  <c r="DI1124" i="1"/>
  <c r="DJ1124" i="1" s="1"/>
  <c r="DC1124" i="1"/>
  <c r="CX1124" i="1"/>
  <c r="CN1124" i="1"/>
  <c r="CR1124" i="1" s="1"/>
  <c r="BV1124" i="1"/>
  <c r="BX1124" i="1" s="1"/>
  <c r="BY1124" i="1" s="1"/>
  <c r="BU1124" i="1"/>
  <c r="BD1124" i="1"/>
  <c r="BC1124" i="1"/>
  <c r="BB1124" i="1"/>
  <c r="BA1124" i="1"/>
  <c r="AZ1124" i="1"/>
  <c r="AY1124" i="1"/>
  <c r="BE1124" i="1" s="1" a="1"/>
  <c r="BE1124" i="1" s="1"/>
  <c r="AX1124" i="1"/>
  <c r="M1124" i="1"/>
  <c r="EM1123" i="1"/>
  <c r="DU1123" i="1"/>
  <c r="DT1123" i="1"/>
  <c r="DN1123" i="1"/>
  <c r="DM1123" i="1"/>
  <c r="DL1123" i="1"/>
  <c r="DK1123" i="1"/>
  <c r="DI1123" i="1"/>
  <c r="DJ1123" i="1" s="1"/>
  <c r="DC1123" i="1"/>
  <c r="CX1123" i="1"/>
  <c r="CN1123" i="1"/>
  <c r="BV1123" i="1"/>
  <c r="BX1123" i="1" s="1"/>
  <c r="BY1123" i="1" s="1"/>
  <c r="BU1123" i="1"/>
  <c r="BD1123" i="1"/>
  <c r="BC1123" i="1"/>
  <c r="BB1123" i="1"/>
  <c r="BA1123" i="1"/>
  <c r="AZ1123" i="1"/>
  <c r="AY1123" i="1"/>
  <c r="BE1123" i="1" s="1" a="1"/>
  <c r="BE1123" i="1" s="1"/>
  <c r="AX1123" i="1"/>
  <c r="M1123" i="1"/>
  <c r="EM11" i="1"/>
  <c r="DT11" i="1"/>
  <c r="DN11" i="1"/>
  <c r="DM11" i="1"/>
  <c r="DL11" i="1"/>
  <c r="DK11" i="1"/>
  <c r="DJ11" i="1"/>
  <c r="DC11" i="1"/>
  <c r="CX11" i="1"/>
  <c r="CN11" i="1"/>
  <c r="BV11" i="1"/>
  <c r="BX11" i="1" s="1"/>
  <c r="BN11" i="1"/>
  <c r="BO11" i="1" s="1"/>
  <c r="BD11" i="1"/>
  <c r="BC11" i="1"/>
  <c r="BB11" i="1"/>
  <c r="BA11" i="1"/>
  <c r="AZ11" i="1"/>
  <c r="BF11" i="1" s="1" a="1"/>
  <c r="BF11" i="1" s="1"/>
  <c r="AY11" i="1"/>
  <c r="BE11" i="1" s="1" a="1"/>
  <c r="BE11" i="1" s="1"/>
  <c r="AX11" i="1"/>
  <c r="M11" i="1"/>
  <c r="EM22" i="1"/>
  <c r="DT22" i="1"/>
  <c r="DN22" i="1"/>
  <c r="DM22" i="1"/>
  <c r="DL22" i="1"/>
  <c r="DK22" i="1"/>
  <c r="DJ22" i="1"/>
  <c r="DC22" i="1"/>
  <c r="CX22" i="1"/>
  <c r="CN22" i="1"/>
  <c r="BV22" i="1"/>
  <c r="BX22" i="1" s="1"/>
  <c r="BN22" i="1"/>
  <c r="BO22" i="1" s="1"/>
  <c r="BD22" i="1"/>
  <c r="BC22" i="1"/>
  <c r="BB22" i="1"/>
  <c r="BA22" i="1"/>
  <c r="AZ22" i="1"/>
  <c r="AY22" i="1"/>
  <c r="BE22" i="1" s="1" a="1"/>
  <c r="BE22" i="1" s="1"/>
  <c r="AX22" i="1"/>
  <c r="M22" i="1"/>
  <c r="EM1028" i="1"/>
  <c r="DT1028" i="1"/>
  <c r="DN1028" i="1"/>
  <c r="DM1028" i="1"/>
  <c r="DL1028" i="1"/>
  <c r="DK1028" i="1"/>
  <c r="DJ1028" i="1"/>
  <c r="DC1028" i="1"/>
  <c r="CX1028" i="1"/>
  <c r="CN1028" i="1"/>
  <c r="CO1028" i="1" s="1"/>
  <c r="BV1028" i="1"/>
  <c r="BX1028" i="1" s="1"/>
  <c r="BN1028" i="1"/>
  <c r="BO1028" i="1" s="1"/>
  <c r="BD1028" i="1"/>
  <c r="BC1028" i="1"/>
  <c r="BB1028" i="1"/>
  <c r="BA1028" i="1"/>
  <c r="AZ1028" i="1"/>
  <c r="BF1028" i="1" s="1" a="1"/>
  <c r="BF1028" i="1" s="1"/>
  <c r="AY1028" i="1"/>
  <c r="BE1028" i="1" s="1" a="1"/>
  <c r="BE1028" i="1" s="1"/>
  <c r="AX1028" i="1"/>
  <c r="M1028" i="1"/>
  <c r="EM16" i="1"/>
  <c r="DT16" i="1"/>
  <c r="DN16" i="1"/>
  <c r="DM16" i="1"/>
  <c r="DL16" i="1"/>
  <c r="DK16" i="1"/>
  <c r="DJ16" i="1"/>
  <c r="DC16" i="1"/>
  <c r="CX16" i="1"/>
  <c r="CN16" i="1"/>
  <c r="BV16" i="1"/>
  <c r="BX16" i="1" s="1"/>
  <c r="BN16" i="1"/>
  <c r="BO16" i="1" s="1"/>
  <c r="BD16" i="1"/>
  <c r="BC16" i="1"/>
  <c r="BB16" i="1"/>
  <c r="BA16" i="1"/>
  <c r="AZ16" i="1"/>
  <c r="AY16" i="1"/>
  <c r="BE16" i="1" s="1" a="1"/>
  <c r="BE16" i="1" s="1"/>
  <c r="AX16" i="1"/>
  <c r="M16" i="1"/>
  <c r="EM1027" i="1"/>
  <c r="DT1027" i="1"/>
  <c r="DN1027" i="1"/>
  <c r="DM1027" i="1"/>
  <c r="DL1027" i="1"/>
  <c r="DK1027" i="1"/>
  <c r="DJ1027" i="1"/>
  <c r="DC1027" i="1"/>
  <c r="CX1027" i="1"/>
  <c r="CN1027" i="1"/>
  <c r="CR1027" i="1" s="1"/>
  <c r="BV1027" i="1"/>
  <c r="BX1027" i="1" s="1"/>
  <c r="BN1027" i="1"/>
  <c r="BO1027" i="1" s="1"/>
  <c r="BD1027" i="1"/>
  <c r="BC1027" i="1"/>
  <c r="BB1027" i="1"/>
  <c r="BA1027" i="1"/>
  <c r="AZ1027" i="1"/>
  <c r="BF1027" i="1" s="1" a="1"/>
  <c r="BF1027" i="1" s="1"/>
  <c r="AY1027" i="1"/>
  <c r="BE1027" i="1" s="1" a="1"/>
  <c r="BE1027" i="1" s="1"/>
  <c r="AX1027" i="1"/>
  <c r="M1027" i="1"/>
  <c r="EM13" i="1"/>
  <c r="DT13" i="1"/>
  <c r="DN13" i="1"/>
  <c r="DM13" i="1"/>
  <c r="DL13" i="1"/>
  <c r="DK13" i="1"/>
  <c r="DJ13" i="1"/>
  <c r="DC13" i="1"/>
  <c r="CX13" i="1"/>
  <c r="CN13" i="1"/>
  <c r="CS13" i="1" s="1"/>
  <c r="BV13" i="1"/>
  <c r="BX13" i="1" s="1"/>
  <c r="BN13" i="1"/>
  <c r="BO13" i="1" s="1"/>
  <c r="BD13" i="1"/>
  <c r="BC13" i="1"/>
  <c r="BB13" i="1"/>
  <c r="BA13" i="1"/>
  <c r="AZ13" i="1"/>
  <c r="AY13" i="1"/>
  <c r="BE13" i="1" s="1" a="1"/>
  <c r="BE13" i="1" s="1"/>
  <c r="AX13" i="1"/>
  <c r="M13" i="1"/>
  <c r="EM17" i="1"/>
  <c r="DT17" i="1"/>
  <c r="DN17" i="1"/>
  <c r="DM17" i="1"/>
  <c r="DL17" i="1"/>
  <c r="DK17" i="1"/>
  <c r="DJ17" i="1"/>
  <c r="DC17" i="1"/>
  <c r="CX17" i="1"/>
  <c r="CN17" i="1"/>
  <c r="CP17" i="1" s="1"/>
  <c r="BV17" i="1"/>
  <c r="BX17" i="1" s="1"/>
  <c r="BN17" i="1"/>
  <c r="BO17" i="1" s="1"/>
  <c r="BD17" i="1"/>
  <c r="BC17" i="1"/>
  <c r="BB17" i="1"/>
  <c r="BA17" i="1"/>
  <c r="AZ17" i="1"/>
  <c r="BF17" i="1" s="1" a="1"/>
  <c r="BF17" i="1" s="1"/>
  <c r="AY17" i="1"/>
  <c r="BE17" i="1" s="1" a="1"/>
  <c r="BE17" i="1" s="1"/>
  <c r="AX17" i="1"/>
  <c r="M17" i="1"/>
  <c r="EM18" i="1"/>
  <c r="DT18" i="1"/>
  <c r="DN18" i="1"/>
  <c r="DM18" i="1"/>
  <c r="DL18" i="1"/>
  <c r="DK18" i="1"/>
  <c r="DJ18" i="1"/>
  <c r="DC18" i="1"/>
  <c r="CX18" i="1"/>
  <c r="CN18" i="1"/>
  <c r="BV18" i="1"/>
  <c r="BX18" i="1" s="1"/>
  <c r="BN18" i="1"/>
  <c r="BO18" i="1" s="1"/>
  <c r="BD18" i="1"/>
  <c r="BC18" i="1"/>
  <c r="BB18" i="1"/>
  <c r="BA18" i="1"/>
  <c r="AZ18" i="1"/>
  <c r="AY18" i="1"/>
  <c r="BE18" i="1" s="1" a="1"/>
  <c r="BE18" i="1" s="1"/>
  <c r="AX18" i="1"/>
  <c r="M18" i="1"/>
  <c r="EM14" i="1"/>
  <c r="DT14" i="1"/>
  <c r="DN14" i="1"/>
  <c r="DM14" i="1"/>
  <c r="DL14" i="1"/>
  <c r="DK14" i="1"/>
  <c r="DJ14" i="1"/>
  <c r="DC14" i="1"/>
  <c r="CX14" i="1"/>
  <c r="CN14" i="1"/>
  <c r="CR14" i="1" s="1"/>
  <c r="BV14" i="1"/>
  <c r="BX14" i="1" s="1"/>
  <c r="BN14" i="1"/>
  <c r="BO14" i="1" s="1"/>
  <c r="BD14" i="1"/>
  <c r="BC14" i="1"/>
  <c r="BB14" i="1"/>
  <c r="BA14" i="1"/>
  <c r="AZ14" i="1"/>
  <c r="BF14" i="1" s="1" a="1"/>
  <c r="BF14" i="1" s="1"/>
  <c r="AY14" i="1"/>
  <c r="BE14" i="1" s="1" a="1"/>
  <c r="BE14" i="1" s="1"/>
  <c r="AX14" i="1"/>
  <c r="M14" i="1"/>
  <c r="EM15" i="1"/>
  <c r="DT15" i="1"/>
  <c r="DN15" i="1"/>
  <c r="DM15" i="1"/>
  <c r="DL15" i="1"/>
  <c r="DK15" i="1"/>
  <c r="DJ15" i="1"/>
  <c r="DC15" i="1"/>
  <c r="CX15" i="1"/>
  <c r="CN15" i="1"/>
  <c r="CP15" i="1" s="1"/>
  <c r="BV15" i="1"/>
  <c r="BX15" i="1" s="1"/>
  <c r="BN15" i="1"/>
  <c r="BO15" i="1" s="1"/>
  <c r="BD15" i="1"/>
  <c r="BC15" i="1"/>
  <c r="BB15" i="1"/>
  <c r="BA15" i="1"/>
  <c r="AZ15" i="1"/>
  <c r="AY15" i="1"/>
  <c r="BE15" i="1" s="1" a="1"/>
  <c r="BE15" i="1" s="1"/>
  <c r="AX15" i="1"/>
  <c r="M15" i="1"/>
  <c r="EM1029" i="1"/>
  <c r="DT1029" i="1"/>
  <c r="DN1029" i="1"/>
  <c r="DM1029" i="1"/>
  <c r="DL1029" i="1"/>
  <c r="DK1029" i="1"/>
  <c r="DJ1029" i="1"/>
  <c r="DC1029" i="1"/>
  <c r="CX1029" i="1"/>
  <c r="CN1029" i="1"/>
  <c r="CP1029" i="1" s="1"/>
  <c r="BV1029" i="1"/>
  <c r="BX1029" i="1" s="1"/>
  <c r="BN1029" i="1"/>
  <c r="BO1029" i="1" s="1"/>
  <c r="BD1029" i="1"/>
  <c r="BC1029" i="1"/>
  <c r="BB1029" i="1"/>
  <c r="BA1029" i="1"/>
  <c r="AZ1029" i="1"/>
  <c r="BF1029" i="1" s="1" a="1"/>
  <c r="BF1029" i="1" s="1"/>
  <c r="AY1029" i="1"/>
  <c r="BE1029" i="1" s="1" a="1"/>
  <c r="BE1029" i="1" s="1"/>
  <c r="AX1029" i="1"/>
  <c r="M1029" i="1"/>
  <c r="EM8" i="1"/>
  <c r="DT8" i="1"/>
  <c r="DN8" i="1"/>
  <c r="DM8" i="1"/>
  <c r="DL8" i="1"/>
  <c r="DK8" i="1"/>
  <c r="DJ8" i="1"/>
  <c r="DC8" i="1"/>
  <c r="CX8" i="1"/>
  <c r="CN8" i="1"/>
  <c r="CS8" i="1" s="1"/>
  <c r="BV8" i="1"/>
  <c r="BX8" i="1" s="1"/>
  <c r="BN8" i="1"/>
  <c r="BO8" i="1" s="1"/>
  <c r="BD8" i="1"/>
  <c r="BC8" i="1"/>
  <c r="BB8" i="1"/>
  <c r="BA8" i="1"/>
  <c r="AZ8" i="1"/>
  <c r="AY8" i="1"/>
  <c r="BE8" i="1" s="1" a="1"/>
  <c r="BE8" i="1" s="1"/>
  <c r="AX8" i="1"/>
  <c r="M8" i="1"/>
  <c r="EM12" i="1"/>
  <c r="DT12" i="1"/>
  <c r="DN12" i="1"/>
  <c r="DM12" i="1"/>
  <c r="DL12" i="1"/>
  <c r="DK12" i="1"/>
  <c r="DJ12" i="1"/>
  <c r="DC12" i="1"/>
  <c r="CX12" i="1"/>
  <c r="CN12" i="1"/>
  <c r="CS12" i="1" s="1"/>
  <c r="BV12" i="1"/>
  <c r="BX12" i="1" s="1"/>
  <c r="BN12" i="1"/>
  <c r="BO12" i="1" s="1"/>
  <c r="BD12" i="1"/>
  <c r="BC12" i="1"/>
  <c r="BB12" i="1"/>
  <c r="BA12" i="1"/>
  <c r="AZ12" i="1"/>
  <c r="BF12" i="1" s="1" a="1"/>
  <c r="BF12" i="1" s="1"/>
  <c r="AY12" i="1"/>
  <c r="BE12" i="1" s="1" a="1"/>
  <c r="BE12" i="1" s="1"/>
  <c r="AX12" i="1"/>
  <c r="M12" i="1"/>
  <c r="EM19" i="1"/>
  <c r="DT19" i="1"/>
  <c r="DN19" i="1"/>
  <c r="DM19" i="1"/>
  <c r="DL19" i="1"/>
  <c r="DK19" i="1"/>
  <c r="DJ19" i="1"/>
  <c r="DC19" i="1"/>
  <c r="CX19" i="1"/>
  <c r="CN19" i="1"/>
  <c r="BV19" i="1"/>
  <c r="BX19" i="1" s="1"/>
  <c r="BN19" i="1"/>
  <c r="BO19" i="1" s="1"/>
  <c r="BD19" i="1"/>
  <c r="BC19" i="1"/>
  <c r="BB19" i="1"/>
  <c r="BA19" i="1"/>
  <c r="AZ19" i="1"/>
  <c r="AY19" i="1"/>
  <c r="BE19" i="1" s="1" a="1"/>
  <c r="BE19" i="1" s="1"/>
  <c r="AX19" i="1"/>
  <c r="M19" i="1"/>
  <c r="EM9" i="1"/>
  <c r="DT9" i="1"/>
  <c r="DN9" i="1"/>
  <c r="DM9" i="1"/>
  <c r="DL9" i="1"/>
  <c r="DK9" i="1"/>
  <c r="DJ9" i="1"/>
  <c r="DC9" i="1"/>
  <c r="CX9" i="1"/>
  <c r="CN9" i="1"/>
  <c r="BV9" i="1"/>
  <c r="BX9" i="1" s="1"/>
  <c r="BN9" i="1"/>
  <c r="BO9" i="1" s="1"/>
  <c r="BD9" i="1"/>
  <c r="BC9" i="1"/>
  <c r="BB9" i="1"/>
  <c r="BA9" i="1"/>
  <c r="AZ9" i="1"/>
  <c r="BF9" i="1" s="1" a="1"/>
  <c r="BF9" i="1" s="1"/>
  <c r="AY9" i="1"/>
  <c r="BE9" i="1" s="1" a="1"/>
  <c r="BE9" i="1" s="1"/>
  <c r="AX9" i="1"/>
  <c r="M9" i="1"/>
  <c r="EM10" i="1"/>
  <c r="DT10" i="1"/>
  <c r="DN10" i="1"/>
  <c r="DM10" i="1"/>
  <c r="DL10" i="1"/>
  <c r="DK10" i="1"/>
  <c r="DJ10" i="1"/>
  <c r="DC10" i="1"/>
  <c r="CX10" i="1"/>
  <c r="CN10" i="1"/>
  <c r="BV10" i="1"/>
  <c r="BX10" i="1" s="1"/>
  <c r="BN10" i="1"/>
  <c r="BO10" i="1" s="1"/>
  <c r="BD10" i="1"/>
  <c r="BC10" i="1"/>
  <c r="BB10" i="1"/>
  <c r="BA10" i="1"/>
  <c r="AZ10" i="1"/>
  <c r="AY10" i="1"/>
  <c r="BE10" i="1" s="1" a="1"/>
  <c r="BE10" i="1" s="1"/>
  <c r="AX10" i="1"/>
  <c r="M10" i="1"/>
  <c r="EM20" i="1"/>
  <c r="DT20" i="1"/>
  <c r="DN20" i="1"/>
  <c r="DM20" i="1"/>
  <c r="DL20" i="1"/>
  <c r="DK20" i="1"/>
  <c r="DJ20" i="1"/>
  <c r="DC20" i="1"/>
  <c r="CX20" i="1"/>
  <c r="CN20" i="1"/>
  <c r="CS20" i="1" s="1"/>
  <c r="BV20" i="1"/>
  <c r="BX20" i="1" s="1"/>
  <c r="BN20" i="1"/>
  <c r="BO20" i="1" s="1"/>
  <c r="BD20" i="1"/>
  <c r="BC20" i="1"/>
  <c r="BB20" i="1"/>
  <c r="BA20" i="1"/>
  <c r="AZ20" i="1"/>
  <c r="BF20" i="1" s="1" a="1"/>
  <c r="BF20" i="1" s="1"/>
  <c r="AY20" i="1"/>
  <c r="BE20" i="1" s="1" a="1"/>
  <c r="BE20" i="1" s="1"/>
  <c r="AX20" i="1"/>
  <c r="M20" i="1"/>
  <c r="EM21" i="1"/>
  <c r="DT21" i="1"/>
  <c r="DN21" i="1"/>
  <c r="DM21" i="1"/>
  <c r="DL21" i="1"/>
  <c r="DK21" i="1"/>
  <c r="DJ21" i="1"/>
  <c r="DC21" i="1"/>
  <c r="CX21" i="1"/>
  <c r="CN21" i="1"/>
  <c r="CR21" i="1" s="1"/>
  <c r="BV21" i="1"/>
  <c r="BX21" i="1" s="1"/>
  <c r="BN21" i="1"/>
  <c r="BO21" i="1" s="1"/>
  <c r="BD21" i="1"/>
  <c r="BC21" i="1"/>
  <c r="BB21" i="1"/>
  <c r="BA21" i="1"/>
  <c r="AZ21" i="1"/>
  <c r="AY21" i="1"/>
  <c r="BE21" i="1" s="1" a="1"/>
  <c r="BE21" i="1" s="1"/>
  <c r="AX21" i="1"/>
  <c r="M21" i="1"/>
  <c r="EM341" i="1"/>
  <c r="DT341" i="1"/>
  <c r="DN341" i="1"/>
  <c r="DM341" i="1"/>
  <c r="DL341" i="1"/>
  <c r="DK341" i="1"/>
  <c r="DJ341" i="1"/>
  <c r="DC341" i="1"/>
  <c r="CX341" i="1"/>
  <c r="CN341" i="1"/>
  <c r="BV341" i="1"/>
  <c r="BX341" i="1" s="1"/>
  <c r="BN341" i="1"/>
  <c r="BO341" i="1" s="1"/>
  <c r="BD341" i="1"/>
  <c r="BC341" i="1"/>
  <c r="BB341" i="1"/>
  <c r="BA341" i="1"/>
  <c r="AZ341" i="1"/>
  <c r="BF341" i="1" s="1" a="1"/>
  <c r="BF341" i="1" s="1"/>
  <c r="AY341" i="1"/>
  <c r="BE341" i="1" s="1" a="1"/>
  <c r="BE341" i="1" s="1"/>
  <c r="AX341" i="1"/>
  <c r="M341" i="1"/>
  <c r="EM292" i="1"/>
  <c r="DT292" i="1"/>
  <c r="DN292" i="1"/>
  <c r="DM292" i="1"/>
  <c r="DL292" i="1"/>
  <c r="DK292" i="1"/>
  <c r="DJ292" i="1"/>
  <c r="DC292" i="1"/>
  <c r="CX292" i="1"/>
  <c r="CN292" i="1"/>
  <c r="CS292" i="1" s="1"/>
  <c r="BV292" i="1"/>
  <c r="BX292" i="1" s="1"/>
  <c r="BN292" i="1"/>
  <c r="BO292" i="1" s="1"/>
  <c r="BD292" i="1"/>
  <c r="BC292" i="1"/>
  <c r="BB292" i="1"/>
  <c r="BA292" i="1"/>
  <c r="AZ292" i="1"/>
  <c r="AY292" i="1"/>
  <c r="BE292" i="1" s="1" a="1"/>
  <c r="BE292" i="1" s="1"/>
  <c r="AX292" i="1"/>
  <c r="M292" i="1"/>
  <c r="EM323" i="1"/>
  <c r="DT323" i="1"/>
  <c r="DN323" i="1"/>
  <c r="DM323" i="1"/>
  <c r="DL323" i="1"/>
  <c r="DK323" i="1"/>
  <c r="DJ323" i="1"/>
  <c r="DC323" i="1"/>
  <c r="CX323" i="1"/>
  <c r="CN323" i="1"/>
  <c r="CS323" i="1" s="1"/>
  <c r="BV323" i="1"/>
  <c r="BX323" i="1" s="1"/>
  <c r="BN323" i="1"/>
  <c r="BO323" i="1" s="1"/>
  <c r="BD323" i="1"/>
  <c r="BC323" i="1"/>
  <c r="BB323" i="1"/>
  <c r="BA323" i="1"/>
  <c r="AZ323" i="1"/>
  <c r="BF323" i="1" s="1" a="1"/>
  <c r="BF323" i="1" s="1"/>
  <c r="AY323" i="1"/>
  <c r="BE323" i="1" s="1" a="1"/>
  <c r="BE323" i="1" s="1"/>
  <c r="AX323" i="1"/>
  <c r="M323" i="1"/>
  <c r="EM316" i="1"/>
  <c r="DT316" i="1"/>
  <c r="DN316" i="1"/>
  <c r="DM316" i="1"/>
  <c r="DL316" i="1"/>
  <c r="DK316" i="1"/>
  <c r="DI316" i="1"/>
  <c r="DJ316" i="1" s="1"/>
  <c r="DC316" i="1"/>
  <c r="CX316" i="1"/>
  <c r="CN316" i="1"/>
  <c r="CS316" i="1" s="1"/>
  <c r="BV316" i="1"/>
  <c r="BX316" i="1" s="1"/>
  <c r="BN316" i="1"/>
  <c r="BO316" i="1" s="1"/>
  <c r="BD316" i="1"/>
  <c r="BC316" i="1"/>
  <c r="BB316" i="1"/>
  <c r="BA316" i="1"/>
  <c r="AZ316" i="1"/>
  <c r="AY316" i="1"/>
  <c r="BE316" i="1" s="1" a="1"/>
  <c r="BE316" i="1" s="1"/>
  <c r="AX316" i="1"/>
  <c r="M316" i="1"/>
  <c r="EM376" i="1"/>
  <c r="DU376" i="1"/>
  <c r="DT376" i="1"/>
  <c r="DN376" i="1"/>
  <c r="DM376" i="1"/>
  <c r="DL376" i="1"/>
  <c r="DK376" i="1"/>
  <c r="DI376" i="1"/>
  <c r="DJ376" i="1" s="1"/>
  <c r="DC376" i="1"/>
  <c r="CX376" i="1"/>
  <c r="CN376" i="1"/>
  <c r="CS376" i="1" s="1"/>
  <c r="BV376" i="1"/>
  <c r="BX376" i="1" s="1"/>
  <c r="BU376" i="1"/>
  <c r="BN376" i="1"/>
  <c r="BO376" i="1" s="1"/>
  <c r="BD376" i="1"/>
  <c r="BC376" i="1"/>
  <c r="BB376" i="1"/>
  <c r="BA376" i="1"/>
  <c r="AZ376" i="1"/>
  <c r="AY376" i="1"/>
  <c r="BE376" i="1" s="1" a="1"/>
  <c r="BE376" i="1" s="1"/>
  <c r="AX376" i="1"/>
  <c r="M376" i="1"/>
  <c r="EM523" i="1"/>
  <c r="DU523" i="1"/>
  <c r="DT523" i="1"/>
  <c r="DN523" i="1"/>
  <c r="DM523" i="1"/>
  <c r="DL523" i="1"/>
  <c r="DK523" i="1"/>
  <c r="DI523" i="1"/>
  <c r="DJ523" i="1" s="1"/>
  <c r="DC523" i="1"/>
  <c r="CX523" i="1"/>
  <c r="CN523" i="1"/>
  <c r="CS523" i="1" s="1"/>
  <c r="BV523" i="1"/>
  <c r="BX523" i="1" s="1"/>
  <c r="BU523" i="1"/>
  <c r="BN523" i="1"/>
  <c r="BO523" i="1" s="1"/>
  <c r="BD523" i="1"/>
  <c r="BC523" i="1"/>
  <c r="BB523" i="1"/>
  <c r="BA523" i="1"/>
  <c r="AZ523" i="1"/>
  <c r="BF523" i="1" s="1" a="1"/>
  <c r="BF523" i="1" s="1"/>
  <c r="AY523" i="1"/>
  <c r="BE523" i="1" s="1" a="1"/>
  <c r="BE523" i="1" s="1"/>
  <c r="AX523" i="1"/>
  <c r="M523" i="1"/>
  <c r="EM702" i="1"/>
  <c r="DU702" i="1"/>
  <c r="DT702" i="1"/>
  <c r="DN702" i="1"/>
  <c r="DM702" i="1"/>
  <c r="DL702" i="1"/>
  <c r="DK702" i="1"/>
  <c r="DI702" i="1"/>
  <c r="DJ702" i="1" s="1"/>
  <c r="DC702" i="1"/>
  <c r="CX702" i="1"/>
  <c r="CN702" i="1"/>
  <c r="BT702" i="1"/>
  <c r="BV702" i="1" s="1"/>
  <c r="BX702" i="1" s="1"/>
  <c r="BN702" i="1"/>
  <c r="BO702" i="1" s="1"/>
  <c r="BD702" i="1"/>
  <c r="BC702" i="1"/>
  <c r="BB702" i="1"/>
  <c r="BA702" i="1"/>
  <c r="AZ702" i="1"/>
  <c r="BF702" i="1" s="1" a="1"/>
  <c r="BF702" i="1" s="1"/>
  <c r="AY702" i="1"/>
  <c r="BE702" i="1" s="1" a="1"/>
  <c r="BE702" i="1" s="1"/>
  <c r="AX702" i="1"/>
  <c r="M702" i="1"/>
  <c r="EM689" i="1"/>
  <c r="DU689" i="1"/>
  <c r="DT689" i="1"/>
  <c r="DN689" i="1"/>
  <c r="DM689" i="1"/>
  <c r="DL689" i="1"/>
  <c r="DK689" i="1"/>
  <c r="DI689" i="1"/>
  <c r="DJ689" i="1" s="1"/>
  <c r="DC689" i="1"/>
  <c r="CX689" i="1"/>
  <c r="CN689" i="1"/>
  <c r="BT689" i="1"/>
  <c r="BV689" i="1" s="1"/>
  <c r="BX689" i="1" s="1"/>
  <c r="BN689" i="1"/>
  <c r="BO689" i="1" s="1"/>
  <c r="BD689" i="1"/>
  <c r="BC689" i="1"/>
  <c r="BB689" i="1"/>
  <c r="BA689" i="1"/>
  <c r="AZ689" i="1"/>
  <c r="AY689" i="1"/>
  <c r="BE689" i="1" s="1" a="1"/>
  <c r="BE689" i="1" s="1"/>
  <c r="AX689" i="1"/>
  <c r="M689" i="1"/>
  <c r="EM783" i="1"/>
  <c r="DU783" i="1"/>
  <c r="DT783" i="1"/>
  <c r="DN783" i="1"/>
  <c r="DM783" i="1"/>
  <c r="DL783" i="1"/>
  <c r="DK783" i="1"/>
  <c r="DI783" i="1"/>
  <c r="DJ783" i="1" s="1"/>
  <c r="DC783" i="1"/>
  <c r="CX783" i="1"/>
  <c r="BV783" i="1"/>
  <c r="BX783" i="1" s="1"/>
  <c r="BU783" i="1"/>
  <c r="BL783" i="1"/>
  <c r="CN783" i="1" s="1"/>
  <c r="CO783" i="1" s="1"/>
  <c r="BD783" i="1"/>
  <c r="BC783" i="1"/>
  <c r="BB783" i="1"/>
  <c r="BA783" i="1"/>
  <c r="AZ783" i="1"/>
  <c r="AY783" i="1"/>
  <c r="BE783" i="1" s="1" a="1"/>
  <c r="BE783" i="1" s="1"/>
  <c r="AX783" i="1"/>
  <c r="M783" i="1"/>
  <c r="EM628" i="1"/>
  <c r="DU628" i="1"/>
  <c r="DT628" i="1"/>
  <c r="DN628" i="1"/>
  <c r="DM628" i="1"/>
  <c r="DL628" i="1"/>
  <c r="DK628" i="1"/>
  <c r="DI628" i="1"/>
  <c r="DJ628" i="1" s="1"/>
  <c r="DC628" i="1"/>
  <c r="CX628" i="1"/>
  <c r="BV628" i="1"/>
  <c r="BX628" i="1" s="1"/>
  <c r="BL628" i="1"/>
  <c r="CN628" i="1" s="1"/>
  <c r="BD628" i="1"/>
  <c r="BC628" i="1"/>
  <c r="BB628" i="1"/>
  <c r="BA628" i="1"/>
  <c r="AZ628" i="1"/>
  <c r="AY628" i="1"/>
  <c r="BE628" i="1" s="1" a="1"/>
  <c r="BE628" i="1" s="1"/>
  <c r="AX628" i="1"/>
  <c r="M628" i="1"/>
  <c r="EM317" i="1"/>
  <c r="DU317" i="1"/>
  <c r="DT317" i="1"/>
  <c r="DN317" i="1"/>
  <c r="DM317" i="1"/>
  <c r="DL317" i="1"/>
  <c r="DK317" i="1"/>
  <c r="DI317" i="1"/>
  <c r="DJ317" i="1" s="1"/>
  <c r="DC317" i="1"/>
  <c r="CX317" i="1"/>
  <c r="BV317" i="1"/>
  <c r="BX317" i="1" s="1"/>
  <c r="BL317" i="1"/>
  <c r="CN317" i="1" s="1"/>
  <c r="CS317" i="1" s="1"/>
  <c r="BD317" i="1"/>
  <c r="BC317" i="1"/>
  <c r="BB317" i="1"/>
  <c r="BA317" i="1"/>
  <c r="AZ317" i="1"/>
  <c r="AY317" i="1"/>
  <c r="BE317" i="1" s="1" a="1"/>
  <c r="BE317" i="1" s="1"/>
  <c r="AX317" i="1"/>
  <c r="M317" i="1"/>
  <c r="EM620" i="1"/>
  <c r="DU620" i="1"/>
  <c r="DT620" i="1"/>
  <c r="DN620" i="1"/>
  <c r="DM620" i="1"/>
  <c r="DL620" i="1"/>
  <c r="DK620" i="1"/>
  <c r="DI620" i="1"/>
  <c r="DJ620" i="1" s="1"/>
  <c r="DC620" i="1"/>
  <c r="CX620" i="1"/>
  <c r="BV620" i="1"/>
  <c r="BX620" i="1" s="1"/>
  <c r="BL620" i="1"/>
  <c r="CN620" i="1" s="1"/>
  <c r="BD620" i="1"/>
  <c r="BC620" i="1"/>
  <c r="BB620" i="1"/>
  <c r="BA620" i="1"/>
  <c r="AZ620" i="1"/>
  <c r="AY620" i="1"/>
  <c r="BE620" i="1" s="1" a="1"/>
  <c r="BE620" i="1" s="1"/>
  <c r="AX620" i="1"/>
  <c r="M620" i="1"/>
  <c r="EM540" i="1"/>
  <c r="DU540" i="1"/>
  <c r="DT540" i="1"/>
  <c r="DN540" i="1"/>
  <c r="DM540" i="1"/>
  <c r="DL540" i="1"/>
  <c r="DK540" i="1"/>
  <c r="DI540" i="1"/>
  <c r="DJ540" i="1" s="1"/>
  <c r="DC540" i="1"/>
  <c r="CX540" i="1"/>
  <c r="BV540" i="1"/>
  <c r="BX540" i="1" s="1"/>
  <c r="BL540" i="1"/>
  <c r="CN540" i="1" s="1"/>
  <c r="BD540" i="1"/>
  <c r="BC540" i="1"/>
  <c r="BB540" i="1"/>
  <c r="BA540" i="1"/>
  <c r="AZ540" i="1"/>
  <c r="AY540" i="1"/>
  <c r="BE540" i="1" s="1" a="1"/>
  <c r="BE540" i="1" s="1"/>
  <c r="AX540" i="1"/>
  <c r="M540" i="1"/>
  <c r="EM630" i="1"/>
  <c r="DU630" i="1"/>
  <c r="DT630" i="1"/>
  <c r="DN630" i="1"/>
  <c r="DM630" i="1"/>
  <c r="DL630" i="1"/>
  <c r="DK630" i="1"/>
  <c r="DI630" i="1"/>
  <c r="DJ630" i="1" s="1"/>
  <c r="DC630" i="1"/>
  <c r="CX630" i="1"/>
  <c r="BV630" i="1"/>
  <c r="BX630" i="1" s="1"/>
  <c r="BL630" i="1"/>
  <c r="BN630" i="1" s="1"/>
  <c r="BO630" i="1" s="1"/>
  <c r="BD630" i="1"/>
  <c r="BC630" i="1"/>
  <c r="BB630" i="1"/>
  <c r="BA630" i="1"/>
  <c r="AZ630" i="1"/>
  <c r="AY630" i="1"/>
  <c r="BE630" i="1" s="1" a="1"/>
  <c r="BE630" i="1" s="1"/>
  <c r="AX630" i="1"/>
  <c r="M630" i="1"/>
  <c r="EM294" i="1"/>
  <c r="DU294" i="1"/>
  <c r="DT294" i="1"/>
  <c r="DN294" i="1"/>
  <c r="DM294" i="1"/>
  <c r="DL294" i="1"/>
  <c r="DK294" i="1"/>
  <c r="DI294" i="1"/>
  <c r="DJ294" i="1" s="1"/>
  <c r="DC294" i="1"/>
  <c r="CX294" i="1"/>
  <c r="BV294" i="1"/>
  <c r="BX294" i="1" s="1"/>
  <c r="BL294" i="1"/>
  <c r="BN294" i="1" s="1"/>
  <c r="BO294" i="1" s="1"/>
  <c r="BD294" i="1"/>
  <c r="BC294" i="1"/>
  <c r="BB294" i="1"/>
  <c r="BA294" i="1"/>
  <c r="AZ294" i="1"/>
  <c r="AY294" i="1"/>
  <c r="BE294" i="1" s="1" a="1"/>
  <c r="BE294" i="1" s="1"/>
  <c r="AX294" i="1"/>
  <c r="M294" i="1"/>
  <c r="EM570" i="1"/>
  <c r="DU570" i="1"/>
  <c r="DT570" i="1"/>
  <c r="DN570" i="1"/>
  <c r="DM570" i="1"/>
  <c r="DL570" i="1"/>
  <c r="DK570" i="1"/>
  <c r="DI570" i="1"/>
  <c r="DJ570" i="1" s="1"/>
  <c r="DC570" i="1"/>
  <c r="CX570" i="1"/>
  <c r="BV570" i="1"/>
  <c r="BX570" i="1" s="1"/>
  <c r="BL570" i="1"/>
  <c r="CN570" i="1" s="1"/>
  <c r="CO570" i="1" s="1"/>
  <c r="BD570" i="1"/>
  <c r="BC570" i="1"/>
  <c r="BB570" i="1"/>
  <c r="BA570" i="1"/>
  <c r="AZ570" i="1"/>
  <c r="AY570" i="1"/>
  <c r="BE570" i="1" s="1" a="1"/>
  <c r="BE570" i="1" s="1"/>
  <c r="AX570" i="1"/>
  <c r="M570" i="1"/>
  <c r="EM304" i="1"/>
  <c r="DU304" i="1"/>
  <c r="DT304" i="1"/>
  <c r="DN304" i="1"/>
  <c r="DM304" i="1"/>
  <c r="DL304" i="1"/>
  <c r="DK304" i="1"/>
  <c r="DI304" i="1"/>
  <c r="DJ304" i="1" s="1"/>
  <c r="DC304" i="1"/>
  <c r="CX304" i="1"/>
  <c r="BV304" i="1"/>
  <c r="BX304" i="1" s="1"/>
  <c r="BL304" i="1"/>
  <c r="BN304" i="1" s="1"/>
  <c r="BO304" i="1" s="1"/>
  <c r="BD304" i="1"/>
  <c r="BC304" i="1"/>
  <c r="BB304" i="1"/>
  <c r="BA304" i="1"/>
  <c r="AZ304" i="1"/>
  <c r="AY304" i="1"/>
  <c r="BE304" i="1" s="1" a="1"/>
  <c r="BE304" i="1" s="1"/>
  <c r="AX304" i="1"/>
  <c r="M304" i="1"/>
  <c r="EM606" i="1"/>
  <c r="DU606" i="1"/>
  <c r="DT606" i="1"/>
  <c r="DN606" i="1"/>
  <c r="DM606" i="1"/>
  <c r="DL606" i="1"/>
  <c r="DK606" i="1"/>
  <c r="DI606" i="1"/>
  <c r="DJ606" i="1" s="1"/>
  <c r="DC606" i="1"/>
  <c r="CX606" i="1"/>
  <c r="BV606" i="1"/>
  <c r="BX606" i="1" s="1"/>
  <c r="BL606" i="1"/>
  <c r="CN606" i="1" s="1"/>
  <c r="CS606" i="1" s="1"/>
  <c r="BD606" i="1"/>
  <c r="BC606" i="1"/>
  <c r="BB606" i="1"/>
  <c r="BA606" i="1"/>
  <c r="AZ606" i="1"/>
  <c r="AY606" i="1"/>
  <c r="BE606" i="1" s="1" a="1"/>
  <c r="BE606" i="1" s="1"/>
  <c r="AX606" i="1"/>
  <c r="M606" i="1"/>
  <c r="EM300" i="1"/>
  <c r="DU300" i="1"/>
  <c r="DT300" i="1"/>
  <c r="DN300" i="1"/>
  <c r="DM300" i="1"/>
  <c r="DL300" i="1"/>
  <c r="DK300" i="1"/>
  <c r="DI300" i="1"/>
  <c r="DJ300" i="1" s="1"/>
  <c r="DC300" i="1"/>
  <c r="CX300" i="1"/>
  <c r="BV300" i="1"/>
  <c r="BX300" i="1" s="1"/>
  <c r="BL300" i="1"/>
  <c r="CN300" i="1" s="1"/>
  <c r="CO300" i="1" s="1"/>
  <c r="BD300" i="1"/>
  <c r="BC300" i="1"/>
  <c r="BB300" i="1"/>
  <c r="BA300" i="1"/>
  <c r="AZ300" i="1"/>
  <c r="AY300" i="1"/>
  <c r="BE300" i="1" s="1" a="1"/>
  <c r="BE300" i="1" s="1"/>
  <c r="AX300" i="1"/>
  <c r="M300" i="1"/>
  <c r="EM303" i="1"/>
  <c r="DU303" i="1"/>
  <c r="DT303" i="1"/>
  <c r="DN303" i="1"/>
  <c r="DM303" i="1"/>
  <c r="DL303" i="1"/>
  <c r="DK303" i="1"/>
  <c r="DI303" i="1"/>
  <c r="DJ303" i="1" s="1"/>
  <c r="DC303" i="1"/>
  <c r="CX303" i="1"/>
  <c r="BX303" i="1"/>
  <c r="BL303" i="1"/>
  <c r="CN303" i="1" s="1"/>
  <c r="CS303" i="1" s="1"/>
  <c r="BD303" i="1"/>
  <c r="BC303" i="1"/>
  <c r="BB303" i="1"/>
  <c r="BA303" i="1"/>
  <c r="AZ303" i="1"/>
  <c r="AY303" i="1"/>
  <c r="BE303" i="1" s="1" a="1"/>
  <c r="BE303" i="1" s="1"/>
  <c r="AX303" i="1"/>
  <c r="M303" i="1"/>
  <c r="EM575" i="1"/>
  <c r="DU575" i="1"/>
  <c r="DT575" i="1"/>
  <c r="DN575" i="1"/>
  <c r="DM575" i="1"/>
  <c r="DL575" i="1"/>
  <c r="DK575" i="1"/>
  <c r="DI575" i="1"/>
  <c r="DJ575" i="1" s="1"/>
  <c r="DC575" i="1"/>
  <c r="CX575" i="1"/>
  <c r="BV575" i="1"/>
  <c r="BX575" i="1" s="1"/>
  <c r="BL575" i="1"/>
  <c r="CN575" i="1" s="1"/>
  <c r="BD575" i="1"/>
  <c r="BC575" i="1"/>
  <c r="BB575" i="1"/>
  <c r="BA575" i="1"/>
  <c r="AZ575" i="1"/>
  <c r="AY575" i="1"/>
  <c r="BE575" i="1" s="1" a="1"/>
  <c r="BE575" i="1" s="1"/>
  <c r="AX575" i="1"/>
  <c r="M575" i="1"/>
  <c r="EM309" i="1"/>
  <c r="DU309" i="1"/>
  <c r="DT309" i="1"/>
  <c r="DN309" i="1"/>
  <c r="DM309" i="1"/>
  <c r="DL309" i="1"/>
  <c r="DK309" i="1"/>
  <c r="DI309" i="1"/>
  <c r="DJ309" i="1" s="1"/>
  <c r="DC309" i="1"/>
  <c r="CX309" i="1"/>
  <c r="BV309" i="1"/>
  <c r="BX309" i="1" s="1"/>
  <c r="BL309" i="1"/>
  <c r="BN309" i="1" s="1"/>
  <c r="BO309" i="1" s="1"/>
  <c r="BD309" i="1"/>
  <c r="BC309" i="1"/>
  <c r="BB309" i="1"/>
  <c r="BA309" i="1"/>
  <c r="AZ309" i="1"/>
  <c r="AY309" i="1"/>
  <c r="BE309" i="1" s="1" a="1"/>
  <c r="BE309" i="1" s="1"/>
  <c r="AX309" i="1"/>
  <c r="M309" i="1"/>
  <c r="EM684" i="1"/>
  <c r="DU684" i="1"/>
  <c r="DT684" i="1"/>
  <c r="DN684" i="1"/>
  <c r="DM684" i="1"/>
  <c r="DL684" i="1"/>
  <c r="DK684" i="1"/>
  <c r="DI684" i="1"/>
  <c r="DJ684" i="1" s="1"/>
  <c r="DC684" i="1"/>
  <c r="CX684" i="1"/>
  <c r="CN684" i="1"/>
  <c r="CS684" i="1" s="1"/>
  <c r="BS684" i="1"/>
  <c r="BV684" i="1" s="1"/>
  <c r="BX684" i="1" s="1"/>
  <c r="BN684" i="1"/>
  <c r="BO684" i="1" s="1"/>
  <c r="BD684" i="1"/>
  <c r="BC684" i="1"/>
  <c r="BB684" i="1"/>
  <c r="BA684" i="1"/>
  <c r="AZ684" i="1"/>
  <c r="BF684" i="1" s="1" a="1"/>
  <c r="BF684" i="1" s="1"/>
  <c r="AY684" i="1"/>
  <c r="BE684" i="1" s="1" a="1"/>
  <c r="BE684" i="1" s="1"/>
  <c r="AX684" i="1"/>
  <c r="M684" i="1"/>
  <c r="EM270" i="1"/>
  <c r="DU270" i="1"/>
  <c r="DT270" i="1"/>
  <c r="DN270" i="1"/>
  <c r="DM270" i="1"/>
  <c r="DL270" i="1"/>
  <c r="DK270" i="1"/>
  <c r="DI270" i="1"/>
  <c r="DJ270" i="1" s="1"/>
  <c r="DC270" i="1"/>
  <c r="CX270" i="1"/>
  <c r="CN270" i="1"/>
  <c r="BV270" i="1"/>
  <c r="BX270" i="1" s="1"/>
  <c r="BN270" i="1"/>
  <c r="BO270" i="1" s="1"/>
  <c r="BD270" i="1"/>
  <c r="BC270" i="1"/>
  <c r="BB270" i="1"/>
  <c r="BA270" i="1"/>
  <c r="AZ270" i="1"/>
  <c r="AY270" i="1"/>
  <c r="BE270" i="1" s="1" a="1"/>
  <c r="BE270" i="1" s="1"/>
  <c r="AX270" i="1"/>
  <c r="M270" i="1"/>
  <c r="EM582" i="1"/>
  <c r="DU582" i="1"/>
  <c r="DT582" i="1"/>
  <c r="DN582" i="1"/>
  <c r="DM582" i="1"/>
  <c r="DL582" i="1"/>
  <c r="DK582" i="1"/>
  <c r="DI582" i="1"/>
  <c r="DJ582" i="1" s="1"/>
  <c r="DC582" i="1"/>
  <c r="CX582" i="1"/>
  <c r="CN582" i="1"/>
  <c r="BV582" i="1"/>
  <c r="BX582" i="1" s="1"/>
  <c r="BN582" i="1"/>
  <c r="BO582" i="1" s="1"/>
  <c r="BD582" i="1"/>
  <c r="BC582" i="1"/>
  <c r="BB582" i="1"/>
  <c r="BA582" i="1"/>
  <c r="AZ582" i="1"/>
  <c r="AY582" i="1"/>
  <c r="BE582" i="1" s="1" a="1"/>
  <c r="BE582" i="1" s="1"/>
  <c r="AX582" i="1"/>
  <c r="M582" i="1"/>
  <c r="EM283" i="1"/>
  <c r="DU283" i="1"/>
  <c r="DT283" i="1"/>
  <c r="DN283" i="1"/>
  <c r="DM283" i="1"/>
  <c r="DL283" i="1"/>
  <c r="DK283" i="1"/>
  <c r="DI283" i="1"/>
  <c r="DJ283" i="1" s="1"/>
  <c r="DC283" i="1"/>
  <c r="CX283" i="1"/>
  <c r="CN283" i="1"/>
  <c r="BV283" i="1"/>
  <c r="BX283" i="1" s="1"/>
  <c r="BN283" i="1"/>
  <c r="BO283" i="1" s="1"/>
  <c r="BD283" i="1"/>
  <c r="BC283" i="1"/>
  <c r="BB283" i="1"/>
  <c r="BA283" i="1"/>
  <c r="AZ283" i="1"/>
  <c r="AY283" i="1"/>
  <c r="BE283" i="1" s="1" a="1"/>
  <c r="BE283" i="1" s="1"/>
  <c r="AX283" i="1"/>
  <c r="M283" i="1"/>
  <c r="EM1107" i="1"/>
  <c r="DU1107" i="1"/>
  <c r="DT1107" i="1"/>
  <c r="DN1107" i="1"/>
  <c r="DM1107" i="1"/>
  <c r="DL1107" i="1"/>
  <c r="DK1107" i="1"/>
  <c r="DI1107" i="1"/>
  <c r="DJ1107" i="1" s="1"/>
  <c r="DC1107" i="1"/>
  <c r="CX1107" i="1"/>
  <c r="CN1107" i="1"/>
  <c r="CP1107" i="1" s="1"/>
  <c r="BV1107" i="1"/>
  <c r="BX1107" i="1" s="1"/>
  <c r="BN1107" i="1"/>
  <c r="BO1107" i="1" s="1"/>
  <c r="BD1107" i="1"/>
  <c r="BC1107" i="1"/>
  <c r="BB1107" i="1"/>
  <c r="BA1107" i="1"/>
  <c r="AZ1107" i="1"/>
  <c r="AY1107" i="1"/>
  <c r="BE1107" i="1" s="1" a="1"/>
  <c r="BE1107" i="1" s="1"/>
  <c r="AX1107" i="1"/>
  <c r="M1107" i="1"/>
  <c r="EM1106" i="1"/>
  <c r="DU1106" i="1"/>
  <c r="DT1106" i="1"/>
  <c r="DN1106" i="1"/>
  <c r="DM1106" i="1"/>
  <c r="DL1106" i="1"/>
  <c r="DK1106" i="1"/>
  <c r="DI1106" i="1"/>
  <c r="DJ1106" i="1" s="1"/>
  <c r="DC1106" i="1"/>
  <c r="CX1106" i="1"/>
  <c r="CN1106" i="1"/>
  <c r="CO1106" i="1" s="1"/>
  <c r="BV1106" i="1"/>
  <c r="BX1106" i="1" s="1"/>
  <c r="BN1106" i="1"/>
  <c r="BO1106" i="1" s="1"/>
  <c r="BD1106" i="1"/>
  <c r="BC1106" i="1"/>
  <c r="BB1106" i="1"/>
  <c r="BA1106" i="1"/>
  <c r="AZ1106" i="1"/>
  <c r="BF1106" i="1" s="1" a="1"/>
  <c r="BF1106" i="1" s="1"/>
  <c r="AY1106" i="1"/>
  <c r="BE1106" i="1" s="1" a="1"/>
  <c r="BE1106" i="1" s="1"/>
  <c r="AX1106" i="1"/>
  <c r="M1106" i="1"/>
  <c r="EM1105" i="1"/>
  <c r="DU1105" i="1"/>
  <c r="DT1105" i="1"/>
  <c r="DN1105" i="1"/>
  <c r="DM1105" i="1"/>
  <c r="DL1105" i="1"/>
  <c r="DK1105" i="1"/>
  <c r="DI1105" i="1"/>
  <c r="DJ1105" i="1" s="1"/>
  <c r="DC1105" i="1"/>
  <c r="CX1105" i="1"/>
  <c r="CN1105" i="1"/>
  <c r="BV1105" i="1"/>
  <c r="BX1105" i="1" s="1"/>
  <c r="BN1105" i="1"/>
  <c r="BO1105" i="1" s="1"/>
  <c r="BD1105" i="1"/>
  <c r="BC1105" i="1"/>
  <c r="BB1105" i="1"/>
  <c r="BA1105" i="1"/>
  <c r="AZ1105" i="1"/>
  <c r="AY1105" i="1"/>
  <c r="BE1105" i="1" s="1" a="1"/>
  <c r="BE1105" i="1" s="1"/>
  <c r="AX1105" i="1"/>
  <c r="M1105" i="1"/>
  <c r="EM1104" i="1"/>
  <c r="DU1104" i="1"/>
  <c r="DT1104" i="1"/>
  <c r="DN1104" i="1"/>
  <c r="DM1104" i="1"/>
  <c r="DL1104" i="1"/>
  <c r="DK1104" i="1"/>
  <c r="DI1104" i="1"/>
  <c r="DJ1104" i="1" s="1"/>
  <c r="DC1104" i="1"/>
  <c r="CX1104" i="1"/>
  <c r="CN1104" i="1"/>
  <c r="BV1104" i="1"/>
  <c r="BX1104" i="1" s="1"/>
  <c r="BN1104" i="1"/>
  <c r="BO1104" i="1" s="1"/>
  <c r="BD1104" i="1"/>
  <c r="BC1104" i="1"/>
  <c r="BB1104" i="1"/>
  <c r="BA1104" i="1"/>
  <c r="AZ1104" i="1"/>
  <c r="AY1104" i="1"/>
  <c r="BE1104" i="1" s="1" a="1"/>
  <c r="BE1104" i="1" s="1"/>
  <c r="AX1104" i="1"/>
  <c r="M1104" i="1"/>
  <c r="EM285" i="1"/>
  <c r="DU285" i="1"/>
  <c r="DT285" i="1"/>
  <c r="DN285" i="1"/>
  <c r="DM285" i="1"/>
  <c r="DL285" i="1"/>
  <c r="DK285" i="1"/>
  <c r="DI285" i="1"/>
  <c r="DJ285" i="1" s="1"/>
  <c r="DC285" i="1"/>
  <c r="CX285" i="1"/>
  <c r="CN285" i="1"/>
  <c r="BV285" i="1"/>
  <c r="BX285" i="1" s="1"/>
  <c r="BN285" i="1"/>
  <c r="BO285" i="1" s="1"/>
  <c r="BM285" i="1"/>
  <c r="BD285" i="1"/>
  <c r="BC285" i="1"/>
  <c r="BB285" i="1"/>
  <c r="BA285" i="1"/>
  <c r="AZ285" i="1"/>
  <c r="BF285" i="1" s="1" a="1"/>
  <c r="BF285" i="1" s="1"/>
  <c r="AY285" i="1"/>
  <c r="BE285" i="1" s="1" a="1"/>
  <c r="BE285" i="1" s="1"/>
  <c r="AX285" i="1"/>
  <c r="M285" i="1"/>
  <c r="EM301" i="1"/>
  <c r="DU301" i="1"/>
  <c r="DT301" i="1"/>
  <c r="DN301" i="1"/>
  <c r="DM301" i="1"/>
  <c r="DL301" i="1"/>
  <c r="DK301" i="1"/>
  <c r="DI301" i="1"/>
  <c r="DJ301" i="1" s="1"/>
  <c r="DC301" i="1"/>
  <c r="CX301" i="1"/>
  <c r="CN301" i="1"/>
  <c r="CR301" i="1" s="1"/>
  <c r="BV301" i="1"/>
  <c r="BX301" i="1" s="1"/>
  <c r="BN301" i="1"/>
  <c r="BO301" i="1" s="1"/>
  <c r="BD301" i="1"/>
  <c r="BC301" i="1"/>
  <c r="BB301" i="1"/>
  <c r="BA301" i="1"/>
  <c r="AZ301" i="1"/>
  <c r="AY301" i="1"/>
  <c r="BE301" i="1" s="1" a="1"/>
  <c r="BE301" i="1" s="1"/>
  <c r="AX301" i="1"/>
  <c r="M301" i="1"/>
  <c r="EM183" i="1"/>
  <c r="DU183" i="1"/>
  <c r="DT183" i="1"/>
  <c r="DN183" i="1"/>
  <c r="DM183" i="1"/>
  <c r="DL183" i="1"/>
  <c r="DK183" i="1"/>
  <c r="DI183" i="1"/>
  <c r="DJ183" i="1" s="1"/>
  <c r="DC183" i="1"/>
  <c r="CX183" i="1"/>
  <c r="CN183" i="1"/>
  <c r="BV183" i="1"/>
  <c r="BX183" i="1" s="1"/>
  <c r="BN183" i="1"/>
  <c r="BO183" i="1" s="1"/>
  <c r="BD183" i="1"/>
  <c r="BC183" i="1"/>
  <c r="BB183" i="1"/>
  <c r="BA183" i="1"/>
  <c r="AZ183" i="1"/>
  <c r="AY183" i="1"/>
  <c r="BE183" i="1" s="1" a="1"/>
  <c r="BE183" i="1" s="1"/>
  <c r="AX183" i="1"/>
  <c r="M183" i="1"/>
  <c r="EM237" i="1"/>
  <c r="DU237" i="1"/>
  <c r="DT237" i="1"/>
  <c r="DN237" i="1"/>
  <c r="DM237" i="1"/>
  <c r="DL237" i="1"/>
  <c r="DK237" i="1"/>
  <c r="DI237" i="1"/>
  <c r="DJ237" i="1" s="1"/>
  <c r="DC237" i="1"/>
  <c r="CX237" i="1"/>
  <c r="CN237" i="1"/>
  <c r="BV237" i="1"/>
  <c r="BX237" i="1" s="1"/>
  <c r="BN237" i="1"/>
  <c r="BO237" i="1" s="1"/>
  <c r="BM237" i="1"/>
  <c r="BD237" i="1"/>
  <c r="BC237" i="1"/>
  <c r="BB237" i="1"/>
  <c r="BA237" i="1"/>
  <c r="AZ237" i="1"/>
  <c r="BF237" i="1" s="1" a="1"/>
  <c r="BF237" i="1" s="1"/>
  <c r="AY237" i="1"/>
  <c r="BE237" i="1" s="1" a="1"/>
  <c r="BE237" i="1" s="1"/>
  <c r="AX237" i="1"/>
  <c r="M237" i="1"/>
  <c r="EM295" i="1"/>
  <c r="DU295" i="1"/>
  <c r="DT295" i="1"/>
  <c r="DN295" i="1"/>
  <c r="DM295" i="1"/>
  <c r="DL295" i="1"/>
  <c r="DK295" i="1"/>
  <c r="DI295" i="1"/>
  <c r="DJ295" i="1" s="1"/>
  <c r="DC295" i="1"/>
  <c r="CX295" i="1"/>
  <c r="CN295" i="1"/>
  <c r="CP295" i="1" s="1"/>
  <c r="BV295" i="1"/>
  <c r="BX295" i="1" s="1"/>
  <c r="BU295" i="1"/>
  <c r="BN295" i="1"/>
  <c r="BO295" i="1" s="1"/>
  <c r="BM295" i="1"/>
  <c r="BD295" i="1"/>
  <c r="BC295" i="1"/>
  <c r="BB295" i="1"/>
  <c r="BA295" i="1"/>
  <c r="AZ295" i="1"/>
  <c r="BF295" i="1" s="1" a="1"/>
  <c r="BF295" i="1" s="1"/>
  <c r="AY295" i="1"/>
  <c r="BE295" i="1" s="1" a="1"/>
  <c r="BE295" i="1" s="1"/>
  <c r="AX295" i="1"/>
  <c r="M295" i="1"/>
  <c r="EM224" i="1"/>
  <c r="DU224" i="1"/>
  <c r="DT224" i="1"/>
  <c r="DN224" i="1"/>
  <c r="DM224" i="1"/>
  <c r="DL224" i="1"/>
  <c r="DK224" i="1"/>
  <c r="DI224" i="1"/>
  <c r="DJ224" i="1" s="1"/>
  <c r="DC224" i="1"/>
  <c r="CX224" i="1"/>
  <c r="CN224" i="1"/>
  <c r="CS224" i="1" s="1"/>
  <c r="BV224" i="1"/>
  <c r="BX224" i="1" s="1"/>
  <c r="BN224" i="1"/>
  <c r="BO224" i="1" s="1"/>
  <c r="BD224" i="1"/>
  <c r="BC224" i="1"/>
  <c r="BB224" i="1"/>
  <c r="BA224" i="1"/>
  <c r="AZ224" i="1"/>
  <c r="AY224" i="1"/>
  <c r="BE224" i="1" s="1" a="1"/>
  <c r="BE224" i="1" s="1"/>
  <c r="AX224" i="1"/>
  <c r="M224" i="1"/>
  <c r="EM261" i="1"/>
  <c r="DU261" i="1"/>
  <c r="DT261" i="1"/>
  <c r="DN261" i="1"/>
  <c r="DM261" i="1"/>
  <c r="DL261" i="1"/>
  <c r="DK261" i="1"/>
  <c r="DI261" i="1"/>
  <c r="DJ261" i="1" s="1"/>
  <c r="DC261" i="1"/>
  <c r="CX261" i="1"/>
  <c r="CN261" i="1"/>
  <c r="CS261" i="1" s="1"/>
  <c r="BV261" i="1"/>
  <c r="BX261" i="1" s="1"/>
  <c r="BN261" i="1"/>
  <c r="BO261" i="1" s="1"/>
  <c r="BD261" i="1"/>
  <c r="BC261" i="1"/>
  <c r="BB261" i="1"/>
  <c r="BA261" i="1"/>
  <c r="AZ261" i="1"/>
  <c r="AY261" i="1"/>
  <c r="BE261" i="1" s="1" a="1"/>
  <c r="BE261" i="1" s="1"/>
  <c r="AX261" i="1"/>
  <c r="M261" i="1"/>
  <c r="EM274" i="1"/>
  <c r="DU274" i="1"/>
  <c r="DT274" i="1"/>
  <c r="DN274" i="1"/>
  <c r="DM274" i="1"/>
  <c r="DL274" i="1"/>
  <c r="DK274" i="1"/>
  <c r="DI274" i="1"/>
  <c r="DJ274" i="1" s="1"/>
  <c r="DC274" i="1"/>
  <c r="CX274" i="1"/>
  <c r="CN274" i="1"/>
  <c r="BV274" i="1"/>
  <c r="BX274" i="1" s="1"/>
  <c r="BN274" i="1"/>
  <c r="BO274" i="1" s="1"/>
  <c r="BM274" i="1"/>
  <c r="BD274" i="1"/>
  <c r="BC274" i="1"/>
  <c r="BB274" i="1"/>
  <c r="BA274" i="1"/>
  <c r="AZ274" i="1"/>
  <c r="BF274" i="1" s="1" a="1"/>
  <c r="BF274" i="1" s="1"/>
  <c r="AY274" i="1"/>
  <c r="BE274" i="1" s="1" a="1"/>
  <c r="BE274" i="1" s="1"/>
  <c r="AX274" i="1"/>
  <c r="M274" i="1"/>
  <c r="EM172" i="1"/>
  <c r="DU172" i="1"/>
  <c r="DT172" i="1"/>
  <c r="DN172" i="1"/>
  <c r="DM172" i="1"/>
  <c r="DL172" i="1"/>
  <c r="DK172" i="1"/>
  <c r="DI172" i="1"/>
  <c r="DJ172" i="1" s="1"/>
  <c r="DC172" i="1"/>
  <c r="CX172" i="1"/>
  <c r="CN172" i="1"/>
  <c r="CS172" i="1" s="1"/>
  <c r="BV172" i="1"/>
  <c r="BX172" i="1" s="1"/>
  <c r="BN172" i="1"/>
  <c r="BO172" i="1" s="1"/>
  <c r="BD172" i="1"/>
  <c r="BC172" i="1"/>
  <c r="BB172" i="1"/>
  <c r="BA172" i="1"/>
  <c r="AZ172" i="1"/>
  <c r="AY172" i="1"/>
  <c r="BE172" i="1" s="1" a="1"/>
  <c r="BE172" i="1" s="1"/>
  <c r="AX172" i="1"/>
  <c r="M172" i="1"/>
  <c r="EM228" i="1"/>
  <c r="DU228" i="1"/>
  <c r="DT228" i="1"/>
  <c r="DN228" i="1"/>
  <c r="DM228" i="1"/>
  <c r="DL228" i="1"/>
  <c r="DK228" i="1"/>
  <c r="DI228" i="1"/>
  <c r="DJ228" i="1" s="1"/>
  <c r="DC228" i="1"/>
  <c r="CX228" i="1"/>
  <c r="CN228" i="1"/>
  <c r="BV228" i="1"/>
  <c r="BX228" i="1" s="1"/>
  <c r="BU228" i="1"/>
  <c r="BN228" i="1"/>
  <c r="BO228" i="1" s="1"/>
  <c r="BM228" i="1"/>
  <c r="BD228" i="1"/>
  <c r="BC228" i="1"/>
  <c r="BB228" i="1"/>
  <c r="BA228" i="1"/>
  <c r="AZ228" i="1"/>
  <c r="AY228" i="1"/>
  <c r="BE228" i="1" s="1" a="1"/>
  <c r="BE228" i="1" s="1"/>
  <c r="AX228" i="1"/>
  <c r="M228" i="1"/>
  <c r="EM158" i="1"/>
  <c r="DU158" i="1"/>
  <c r="DT158" i="1"/>
  <c r="DN158" i="1"/>
  <c r="DM158" i="1"/>
  <c r="DL158" i="1"/>
  <c r="DK158" i="1"/>
  <c r="DI158" i="1"/>
  <c r="DJ158" i="1" s="1"/>
  <c r="DC158" i="1"/>
  <c r="CX158" i="1"/>
  <c r="CN158" i="1"/>
  <c r="BV158" i="1"/>
  <c r="BX158" i="1" s="1"/>
  <c r="BU158" i="1"/>
  <c r="BN158" i="1"/>
  <c r="BO158" i="1" s="1"/>
  <c r="BD158" i="1"/>
  <c r="BC158" i="1"/>
  <c r="BB158" i="1"/>
  <c r="BA158" i="1"/>
  <c r="AZ158" i="1"/>
  <c r="AY158" i="1"/>
  <c r="BE158" i="1" s="1" a="1"/>
  <c r="BE158" i="1" s="1"/>
  <c r="AX158" i="1"/>
  <c r="M158" i="1"/>
  <c r="EM181" i="1"/>
  <c r="DU181" i="1"/>
  <c r="DT181" i="1"/>
  <c r="DN181" i="1"/>
  <c r="DM181" i="1"/>
  <c r="DL181" i="1"/>
  <c r="DK181" i="1"/>
  <c r="DI181" i="1"/>
  <c r="DJ181" i="1" s="1"/>
  <c r="DC181" i="1"/>
  <c r="CX181" i="1"/>
  <c r="CN181" i="1"/>
  <c r="BV181" i="1"/>
  <c r="BX181" i="1" s="1"/>
  <c r="BU181" i="1"/>
  <c r="BN181" i="1"/>
  <c r="BO181" i="1" s="1"/>
  <c r="BD181" i="1"/>
  <c r="BC181" i="1"/>
  <c r="BB181" i="1"/>
  <c r="BA181" i="1"/>
  <c r="AZ181" i="1"/>
  <c r="BF181" i="1" s="1" a="1"/>
  <c r="BF181" i="1" s="1"/>
  <c r="AY181" i="1"/>
  <c r="BE181" i="1" s="1" a="1"/>
  <c r="BE181" i="1" s="1"/>
  <c r="AX181" i="1"/>
  <c r="M181" i="1"/>
  <c r="EM136" i="1"/>
  <c r="DN136" i="1"/>
  <c r="DM136" i="1"/>
  <c r="DL136" i="1"/>
  <c r="DK136" i="1"/>
  <c r="DI136" i="1"/>
  <c r="DJ136" i="1" s="1"/>
  <c r="DB136" i="1"/>
  <c r="DC136" i="1" s="1"/>
  <c r="CX136" i="1"/>
  <c r="CN136" i="1"/>
  <c r="BV136" i="1"/>
  <c r="BX136" i="1" s="1"/>
  <c r="BU136" i="1"/>
  <c r="BN136" i="1"/>
  <c r="BO136" i="1" s="1"/>
  <c r="BM136" i="1"/>
  <c r="BD136" i="1"/>
  <c r="BC136" i="1"/>
  <c r="BB136" i="1"/>
  <c r="BA136" i="1"/>
  <c r="AZ136" i="1"/>
  <c r="AY136" i="1"/>
  <c r="BE136" i="1" s="1" a="1"/>
  <c r="BE136" i="1" s="1"/>
  <c r="AX136" i="1"/>
  <c r="M136" i="1"/>
  <c r="EM739" i="1"/>
  <c r="DU739" i="1"/>
  <c r="DT739" i="1"/>
  <c r="DN739" i="1"/>
  <c r="DM739" i="1"/>
  <c r="DL739" i="1"/>
  <c r="DK739" i="1"/>
  <c r="DI739" i="1"/>
  <c r="DJ739" i="1" s="1"/>
  <c r="DC739" i="1"/>
  <c r="CX739" i="1"/>
  <c r="CN739" i="1"/>
  <c r="CO739" i="1" s="1"/>
  <c r="BX739" i="1"/>
  <c r="BN739" i="1"/>
  <c r="BO739" i="1" s="1"/>
  <c r="BD739" i="1"/>
  <c r="BC739" i="1"/>
  <c r="BB739" i="1"/>
  <c r="BA739" i="1"/>
  <c r="AZ739" i="1"/>
  <c r="AY739" i="1"/>
  <c r="BE739" i="1" s="1" a="1"/>
  <c r="BE739" i="1" s="1"/>
  <c r="AX739" i="1"/>
  <c r="M739" i="1"/>
  <c r="EM748" i="1"/>
  <c r="DU748" i="1"/>
  <c r="DT748" i="1"/>
  <c r="DN748" i="1"/>
  <c r="DM748" i="1"/>
  <c r="DL748" i="1"/>
  <c r="DK748" i="1"/>
  <c r="DI748" i="1"/>
  <c r="DJ748" i="1" s="1"/>
  <c r="DC748" i="1"/>
  <c r="CX748" i="1"/>
  <c r="CN748" i="1"/>
  <c r="CR748" i="1" s="1"/>
  <c r="BX748" i="1"/>
  <c r="BN748" i="1"/>
  <c r="BO748" i="1" s="1"/>
  <c r="BD748" i="1"/>
  <c r="BC748" i="1"/>
  <c r="BB748" i="1"/>
  <c r="BA748" i="1"/>
  <c r="AZ748" i="1"/>
  <c r="AY748" i="1"/>
  <c r="BE748" i="1" s="1" a="1"/>
  <c r="BE748" i="1" s="1"/>
  <c r="AX748" i="1"/>
  <c r="M748" i="1"/>
  <c r="EM768" i="1"/>
  <c r="DU768" i="1"/>
  <c r="DT768" i="1"/>
  <c r="DN768" i="1"/>
  <c r="DM768" i="1"/>
  <c r="DL768" i="1"/>
  <c r="DK768" i="1"/>
  <c r="DI768" i="1"/>
  <c r="DJ768" i="1" s="1"/>
  <c r="DC768" i="1"/>
  <c r="CX768" i="1"/>
  <c r="CN768" i="1"/>
  <c r="BX768" i="1"/>
  <c r="BN768" i="1"/>
  <c r="BO768" i="1" s="1"/>
  <c r="BD768" i="1"/>
  <c r="BC768" i="1"/>
  <c r="BB768" i="1"/>
  <c r="BA768" i="1"/>
  <c r="AZ768" i="1"/>
  <c r="AY768" i="1"/>
  <c r="BE768" i="1" s="1" a="1"/>
  <c r="BE768" i="1" s="1"/>
  <c r="AX768" i="1"/>
  <c r="M768" i="1"/>
  <c r="EM635" i="1"/>
  <c r="DU635" i="1"/>
  <c r="DT635" i="1"/>
  <c r="DN635" i="1"/>
  <c r="DM635" i="1"/>
  <c r="DL635" i="1"/>
  <c r="DK635" i="1"/>
  <c r="DI635" i="1"/>
  <c r="DJ635" i="1" s="1"/>
  <c r="DC635" i="1"/>
  <c r="CX635" i="1"/>
  <c r="CN635" i="1"/>
  <c r="BX635" i="1"/>
  <c r="BN635" i="1"/>
  <c r="BO635" i="1" s="1"/>
  <c r="BD635" i="1"/>
  <c r="BC635" i="1"/>
  <c r="BB635" i="1"/>
  <c r="BA635" i="1"/>
  <c r="AZ635" i="1"/>
  <c r="BF635" i="1" s="1" a="1"/>
  <c r="BF635" i="1" s="1"/>
  <c r="AY635" i="1"/>
  <c r="BE635" i="1" s="1" a="1"/>
  <c r="BE635" i="1" s="1"/>
  <c r="AX635" i="1"/>
  <c r="M635" i="1"/>
  <c r="EM644" i="1"/>
  <c r="DU644" i="1"/>
  <c r="DT644" i="1"/>
  <c r="DN644" i="1"/>
  <c r="DM644" i="1"/>
  <c r="DL644" i="1"/>
  <c r="DK644" i="1"/>
  <c r="DI644" i="1"/>
  <c r="DJ644" i="1" s="1"/>
  <c r="DC644" i="1"/>
  <c r="CX644" i="1"/>
  <c r="CN644" i="1"/>
  <c r="BX644" i="1"/>
  <c r="BN644" i="1"/>
  <c r="BO644" i="1" s="1"/>
  <c r="BD644" i="1"/>
  <c r="BC644" i="1"/>
  <c r="BB644" i="1"/>
  <c r="BA644" i="1"/>
  <c r="AZ644" i="1"/>
  <c r="AY644" i="1"/>
  <c r="BE644" i="1" s="1" a="1"/>
  <c r="BE644" i="1" s="1"/>
  <c r="AX644" i="1"/>
  <c r="M644" i="1"/>
  <c r="EM651" i="1"/>
  <c r="DU651" i="1"/>
  <c r="DT651" i="1"/>
  <c r="DN651" i="1"/>
  <c r="DM651" i="1"/>
  <c r="DL651" i="1"/>
  <c r="DK651" i="1"/>
  <c r="DI651" i="1"/>
  <c r="DJ651" i="1" s="1"/>
  <c r="DC651" i="1"/>
  <c r="CX651" i="1"/>
  <c r="CN651" i="1"/>
  <c r="CR651" i="1" s="1"/>
  <c r="BX651" i="1"/>
  <c r="BN651" i="1"/>
  <c r="BO651" i="1" s="1"/>
  <c r="BD651" i="1"/>
  <c r="BC651" i="1"/>
  <c r="BB651" i="1"/>
  <c r="BA651" i="1"/>
  <c r="AZ651" i="1"/>
  <c r="AY651" i="1"/>
  <c r="BE651" i="1" s="1" a="1"/>
  <c r="BE651" i="1" s="1"/>
  <c r="AX651" i="1"/>
  <c r="M651" i="1"/>
  <c r="EM623" i="1"/>
  <c r="DU623" i="1"/>
  <c r="DT623" i="1"/>
  <c r="DN623" i="1"/>
  <c r="DM623" i="1"/>
  <c r="DL623" i="1"/>
  <c r="DK623" i="1"/>
  <c r="DI623" i="1"/>
  <c r="DJ623" i="1" s="1"/>
  <c r="DC623" i="1"/>
  <c r="CX623" i="1"/>
  <c r="CN623" i="1"/>
  <c r="BX623" i="1"/>
  <c r="BN623" i="1"/>
  <c r="BO623" i="1" s="1"/>
  <c r="BD623" i="1"/>
  <c r="BC623" i="1"/>
  <c r="BB623" i="1"/>
  <c r="BA623" i="1"/>
  <c r="AZ623" i="1"/>
  <c r="BF623" i="1" s="1" a="1"/>
  <c r="BF623" i="1" s="1"/>
  <c r="AY623" i="1"/>
  <c r="BE623" i="1" s="1" a="1"/>
  <c r="BE623" i="1" s="1"/>
  <c r="AX623" i="1"/>
  <c r="M623" i="1"/>
  <c r="EM627" i="1"/>
  <c r="DU627" i="1"/>
  <c r="DT627" i="1"/>
  <c r="DN627" i="1"/>
  <c r="DM627" i="1"/>
  <c r="DL627" i="1"/>
  <c r="DK627" i="1"/>
  <c r="DI627" i="1"/>
  <c r="DJ627" i="1" s="1"/>
  <c r="DC627" i="1"/>
  <c r="CX627" i="1"/>
  <c r="CN627" i="1"/>
  <c r="CR627" i="1" s="1"/>
  <c r="BX627" i="1"/>
  <c r="BN627" i="1"/>
  <c r="BO627" i="1" s="1"/>
  <c r="BD627" i="1"/>
  <c r="BC627" i="1"/>
  <c r="BB627" i="1"/>
  <c r="BA627" i="1"/>
  <c r="AZ627" i="1"/>
  <c r="AY627" i="1"/>
  <c r="BE627" i="1" s="1" a="1"/>
  <c r="BE627" i="1" s="1"/>
  <c r="AX627" i="1"/>
  <c r="M627" i="1"/>
  <c r="EM639" i="1"/>
  <c r="DU639" i="1"/>
  <c r="DT639" i="1"/>
  <c r="DN639" i="1"/>
  <c r="DM639" i="1"/>
  <c r="DL639" i="1"/>
  <c r="DK639" i="1"/>
  <c r="DI639" i="1"/>
  <c r="DJ639" i="1" s="1"/>
  <c r="DC639" i="1"/>
  <c r="CX639" i="1"/>
  <c r="CN639" i="1"/>
  <c r="CP639" i="1" s="1"/>
  <c r="BX639" i="1"/>
  <c r="BN639" i="1"/>
  <c r="BO639" i="1" s="1"/>
  <c r="BD639" i="1"/>
  <c r="BC639" i="1"/>
  <c r="BB639" i="1"/>
  <c r="BA639" i="1"/>
  <c r="AZ639" i="1"/>
  <c r="AY639" i="1"/>
  <c r="BE639" i="1" s="1" a="1"/>
  <c r="BE639" i="1" s="1"/>
  <c r="AX639" i="1"/>
  <c r="M639" i="1"/>
  <c r="EM678" i="1"/>
  <c r="DU678" i="1"/>
  <c r="DT678" i="1"/>
  <c r="DN678" i="1"/>
  <c r="DM678" i="1"/>
  <c r="DL678" i="1"/>
  <c r="DK678" i="1"/>
  <c r="DI678" i="1"/>
  <c r="DJ678" i="1" s="1"/>
  <c r="DC678" i="1"/>
  <c r="CX678" i="1"/>
  <c r="CN678" i="1"/>
  <c r="CO678" i="1" s="1"/>
  <c r="BX678" i="1"/>
  <c r="BN678" i="1"/>
  <c r="BO678" i="1" s="1"/>
  <c r="BD678" i="1"/>
  <c r="BC678" i="1"/>
  <c r="BB678" i="1"/>
  <c r="BA678" i="1"/>
  <c r="AZ678" i="1"/>
  <c r="AY678" i="1"/>
  <c r="BE678" i="1" s="1" a="1"/>
  <c r="BE678" i="1" s="1"/>
  <c r="AX678" i="1"/>
  <c r="M678" i="1"/>
  <c r="EM688" i="1"/>
  <c r="DU688" i="1"/>
  <c r="DT688" i="1"/>
  <c r="DN688" i="1"/>
  <c r="DM688" i="1"/>
  <c r="DL688" i="1"/>
  <c r="DK688" i="1"/>
  <c r="DI688" i="1"/>
  <c r="DJ688" i="1" s="1"/>
  <c r="DC688" i="1"/>
  <c r="CX688" i="1"/>
  <c r="CN688" i="1"/>
  <c r="BX688" i="1"/>
  <c r="BN688" i="1"/>
  <c r="BO688" i="1" s="1"/>
  <c r="BD688" i="1"/>
  <c r="BC688" i="1"/>
  <c r="BB688" i="1"/>
  <c r="BA688" i="1"/>
  <c r="AZ688" i="1"/>
  <c r="AY688" i="1"/>
  <c r="BE688" i="1" s="1" a="1"/>
  <c r="BE688" i="1" s="1"/>
  <c r="AX688" i="1"/>
  <c r="M688" i="1"/>
  <c r="EM707" i="1"/>
  <c r="DU707" i="1"/>
  <c r="DT707" i="1"/>
  <c r="DN707" i="1"/>
  <c r="DM707" i="1"/>
  <c r="DL707" i="1"/>
  <c r="DK707" i="1"/>
  <c r="DI707" i="1"/>
  <c r="DJ707" i="1" s="1"/>
  <c r="DC707" i="1"/>
  <c r="CX707" i="1"/>
  <c r="CN707" i="1"/>
  <c r="BX707" i="1"/>
  <c r="BN707" i="1"/>
  <c r="BO707" i="1" s="1"/>
  <c r="BD707" i="1"/>
  <c r="BC707" i="1"/>
  <c r="BB707" i="1"/>
  <c r="BA707" i="1"/>
  <c r="AZ707" i="1"/>
  <c r="BF707" i="1" s="1" a="1"/>
  <c r="BF707" i="1" s="1"/>
  <c r="AY707" i="1"/>
  <c r="BE707" i="1" s="1" a="1"/>
  <c r="BE707" i="1" s="1"/>
  <c r="AX707" i="1"/>
  <c r="M707" i="1"/>
  <c r="EM733" i="1"/>
  <c r="DU733" i="1"/>
  <c r="DT733" i="1"/>
  <c r="DN733" i="1"/>
  <c r="DM733" i="1"/>
  <c r="DL733" i="1"/>
  <c r="DK733" i="1"/>
  <c r="DI733" i="1"/>
  <c r="DJ733" i="1" s="1"/>
  <c r="DC733" i="1"/>
  <c r="CX733" i="1"/>
  <c r="CN733" i="1"/>
  <c r="CR733" i="1" s="1"/>
  <c r="BX733" i="1"/>
  <c r="BN733" i="1"/>
  <c r="BO733" i="1" s="1"/>
  <c r="BD733" i="1"/>
  <c r="BC733" i="1"/>
  <c r="BB733" i="1"/>
  <c r="BA733" i="1"/>
  <c r="AZ733" i="1"/>
  <c r="AY733" i="1"/>
  <c r="BE733" i="1" s="1" a="1"/>
  <c r="BE733" i="1" s="1"/>
  <c r="AX733" i="1"/>
  <c r="M733" i="1"/>
  <c r="EM787" i="1"/>
  <c r="DU787" i="1"/>
  <c r="DT787" i="1"/>
  <c r="DN787" i="1"/>
  <c r="DM787" i="1"/>
  <c r="DL787" i="1"/>
  <c r="DK787" i="1"/>
  <c r="DI787" i="1"/>
  <c r="DJ787" i="1" s="1"/>
  <c r="DC787" i="1"/>
  <c r="CX787" i="1"/>
  <c r="CN787" i="1"/>
  <c r="BX787" i="1"/>
  <c r="BN787" i="1"/>
  <c r="BO787" i="1" s="1"/>
  <c r="BD787" i="1"/>
  <c r="BC787" i="1"/>
  <c r="BB787" i="1"/>
  <c r="BA787" i="1"/>
  <c r="AZ787" i="1"/>
  <c r="AY787" i="1"/>
  <c r="BE787" i="1" s="1" a="1"/>
  <c r="BE787" i="1" s="1"/>
  <c r="AX787" i="1"/>
  <c r="M787" i="1"/>
  <c r="EM811" i="1"/>
  <c r="DU811" i="1"/>
  <c r="DT811" i="1"/>
  <c r="DN811" i="1"/>
  <c r="DM811" i="1"/>
  <c r="DL811" i="1"/>
  <c r="DK811" i="1"/>
  <c r="DI811" i="1"/>
  <c r="DJ811" i="1" s="1"/>
  <c r="DC811" i="1"/>
  <c r="CX811" i="1"/>
  <c r="CN811" i="1"/>
  <c r="CS811" i="1" s="1"/>
  <c r="BX811" i="1"/>
  <c r="BN811" i="1"/>
  <c r="BO811" i="1" s="1"/>
  <c r="BD811" i="1"/>
  <c r="BC811" i="1"/>
  <c r="BB811" i="1"/>
  <c r="BA811" i="1"/>
  <c r="AZ811" i="1"/>
  <c r="BF811" i="1" s="1" a="1"/>
  <c r="BF811" i="1" s="1"/>
  <c r="AY811" i="1"/>
  <c r="BE811" i="1" s="1" a="1"/>
  <c r="BE811" i="1" s="1"/>
  <c r="AX811" i="1"/>
  <c r="M811" i="1"/>
  <c r="EM772" i="1"/>
  <c r="DU772" i="1"/>
  <c r="DT772" i="1"/>
  <c r="DN772" i="1"/>
  <c r="DM772" i="1"/>
  <c r="DL772" i="1"/>
  <c r="DK772" i="1"/>
  <c r="DI772" i="1"/>
  <c r="DJ772" i="1" s="1"/>
  <c r="DC772" i="1"/>
  <c r="CX772" i="1"/>
  <c r="CN772" i="1"/>
  <c r="CS772" i="1" s="1"/>
  <c r="BX772" i="1"/>
  <c r="BN772" i="1"/>
  <c r="BO772" i="1" s="1"/>
  <c r="BD772" i="1"/>
  <c r="BC772" i="1"/>
  <c r="BB772" i="1"/>
  <c r="BA772" i="1"/>
  <c r="AZ772" i="1"/>
  <c r="AY772" i="1"/>
  <c r="BE772" i="1" s="1" a="1"/>
  <c r="BE772" i="1" s="1"/>
  <c r="AX772" i="1"/>
  <c r="M772" i="1"/>
  <c r="EM781" i="1"/>
  <c r="DU781" i="1"/>
  <c r="DT781" i="1"/>
  <c r="DN781" i="1"/>
  <c r="DM781" i="1"/>
  <c r="DL781" i="1"/>
  <c r="DK781" i="1"/>
  <c r="DI781" i="1"/>
  <c r="DJ781" i="1" s="1"/>
  <c r="DC781" i="1"/>
  <c r="CX781" i="1"/>
  <c r="CN781" i="1"/>
  <c r="CR781" i="1" s="1"/>
  <c r="BX781" i="1"/>
  <c r="BN781" i="1"/>
  <c r="BO781" i="1" s="1"/>
  <c r="BD781" i="1"/>
  <c r="BC781" i="1"/>
  <c r="BB781" i="1"/>
  <c r="BA781" i="1"/>
  <c r="AZ781" i="1"/>
  <c r="AY781" i="1"/>
  <c r="BE781" i="1" s="1" a="1"/>
  <c r="BE781" i="1" s="1"/>
  <c r="AX781" i="1"/>
  <c r="M781" i="1"/>
  <c r="EM798" i="1"/>
  <c r="DU798" i="1"/>
  <c r="DT798" i="1"/>
  <c r="DN798" i="1"/>
  <c r="DM798" i="1"/>
  <c r="DL798" i="1"/>
  <c r="DK798" i="1"/>
  <c r="DI798" i="1"/>
  <c r="DJ798" i="1" s="1"/>
  <c r="DC798" i="1"/>
  <c r="CX798" i="1"/>
  <c r="CN798" i="1"/>
  <c r="BX798" i="1"/>
  <c r="BN798" i="1"/>
  <c r="BO798" i="1" s="1"/>
  <c r="BD798" i="1"/>
  <c r="BC798" i="1"/>
  <c r="BB798" i="1"/>
  <c r="BA798" i="1"/>
  <c r="AZ798" i="1"/>
  <c r="AY798" i="1"/>
  <c r="BE798" i="1" s="1" a="1"/>
  <c r="BE798" i="1" s="1"/>
  <c r="AX798" i="1"/>
  <c r="M798" i="1"/>
  <c r="EM605" i="1"/>
  <c r="DU605" i="1"/>
  <c r="DT605" i="1"/>
  <c r="DN605" i="1"/>
  <c r="DM605" i="1"/>
  <c r="DL605" i="1"/>
  <c r="DK605" i="1"/>
  <c r="DI605" i="1"/>
  <c r="DJ605" i="1" s="1"/>
  <c r="DC605" i="1"/>
  <c r="CX605" i="1"/>
  <c r="CN605" i="1"/>
  <c r="CR605" i="1" s="1"/>
  <c r="BX605" i="1"/>
  <c r="BN605" i="1"/>
  <c r="BO605" i="1" s="1"/>
  <c r="BD605" i="1"/>
  <c r="BC605" i="1"/>
  <c r="BB605" i="1"/>
  <c r="BA605" i="1"/>
  <c r="AZ605" i="1"/>
  <c r="AY605" i="1"/>
  <c r="BE605" i="1" s="1" a="1"/>
  <c r="BE605" i="1" s="1"/>
  <c r="AX605" i="1"/>
  <c r="M605" i="1"/>
  <c r="EM608" i="1"/>
  <c r="DU608" i="1"/>
  <c r="DT608" i="1"/>
  <c r="DN608" i="1"/>
  <c r="DM608" i="1"/>
  <c r="DL608" i="1"/>
  <c r="DK608" i="1"/>
  <c r="DI608" i="1"/>
  <c r="DJ608" i="1" s="1"/>
  <c r="DC608" i="1"/>
  <c r="CX608" i="1"/>
  <c r="CN608" i="1"/>
  <c r="BX608" i="1"/>
  <c r="BN608" i="1"/>
  <c r="BO608" i="1" s="1"/>
  <c r="BD608" i="1"/>
  <c r="BC608" i="1"/>
  <c r="BB608" i="1"/>
  <c r="BA608" i="1"/>
  <c r="AZ608" i="1"/>
  <c r="BF608" i="1" s="1" a="1"/>
  <c r="BF608" i="1" s="1"/>
  <c r="AY608" i="1"/>
  <c r="BE608" i="1" s="1" a="1"/>
  <c r="BE608" i="1" s="1"/>
  <c r="AX608" i="1"/>
  <c r="M608" i="1"/>
  <c r="EM612" i="1"/>
  <c r="DU612" i="1"/>
  <c r="DT612" i="1"/>
  <c r="DN612" i="1"/>
  <c r="DM612" i="1"/>
  <c r="DL612" i="1"/>
  <c r="DK612" i="1"/>
  <c r="DI612" i="1"/>
  <c r="DJ612" i="1" s="1"/>
  <c r="DC612" i="1"/>
  <c r="CX612" i="1"/>
  <c r="CN612" i="1"/>
  <c r="BX612" i="1"/>
  <c r="BN612" i="1"/>
  <c r="BO612" i="1" s="1"/>
  <c r="BD612" i="1"/>
  <c r="BC612" i="1"/>
  <c r="BB612" i="1"/>
  <c r="BA612" i="1"/>
  <c r="AZ612" i="1"/>
  <c r="AY612" i="1"/>
  <c r="BE612" i="1" s="1" a="1"/>
  <c r="BE612" i="1" s="1"/>
  <c r="AX612" i="1"/>
  <c r="M612" i="1"/>
  <c r="EM589" i="1"/>
  <c r="DU589" i="1"/>
  <c r="DT589" i="1"/>
  <c r="DN589" i="1"/>
  <c r="DM589" i="1"/>
  <c r="DL589" i="1"/>
  <c r="DK589" i="1"/>
  <c r="DI589" i="1"/>
  <c r="DJ589" i="1" s="1"/>
  <c r="DC589" i="1"/>
  <c r="CX589" i="1"/>
  <c r="CN589" i="1"/>
  <c r="BX589" i="1"/>
  <c r="BN589" i="1"/>
  <c r="BO589" i="1" s="1"/>
  <c r="BD589" i="1"/>
  <c r="BC589" i="1"/>
  <c r="BB589" i="1"/>
  <c r="BA589" i="1"/>
  <c r="AZ589" i="1"/>
  <c r="AY589" i="1"/>
  <c r="BE589" i="1" s="1" a="1"/>
  <c r="BE589" i="1" s="1"/>
  <c r="AX589" i="1"/>
  <c r="M589" i="1"/>
  <c r="EM591" i="1"/>
  <c r="DU591" i="1"/>
  <c r="DT591" i="1"/>
  <c r="DN591" i="1"/>
  <c r="DM591" i="1"/>
  <c r="DL591" i="1"/>
  <c r="DK591" i="1"/>
  <c r="DI591" i="1"/>
  <c r="DJ591" i="1" s="1"/>
  <c r="DC591" i="1"/>
  <c r="CX591" i="1"/>
  <c r="CN591" i="1"/>
  <c r="BX591" i="1"/>
  <c r="BN591" i="1"/>
  <c r="BO591" i="1" s="1"/>
  <c r="BD591" i="1"/>
  <c r="BC591" i="1"/>
  <c r="BB591" i="1"/>
  <c r="BA591" i="1"/>
  <c r="AZ591" i="1"/>
  <c r="BF591" i="1" s="1" a="1"/>
  <c r="BF591" i="1" s="1"/>
  <c r="AY591" i="1"/>
  <c r="BE591" i="1" s="1" a="1"/>
  <c r="BE591" i="1" s="1"/>
  <c r="AX591" i="1"/>
  <c r="M591" i="1"/>
  <c r="EM596" i="1"/>
  <c r="DU596" i="1"/>
  <c r="DT596" i="1"/>
  <c r="DN596" i="1"/>
  <c r="DM596" i="1"/>
  <c r="DL596" i="1"/>
  <c r="DK596" i="1"/>
  <c r="DI596" i="1"/>
  <c r="DJ596" i="1" s="1"/>
  <c r="DC596" i="1"/>
  <c r="CX596" i="1"/>
  <c r="CN596" i="1"/>
  <c r="CR596" i="1" s="1"/>
  <c r="BX596" i="1"/>
  <c r="BN596" i="1"/>
  <c r="BO596" i="1" s="1"/>
  <c r="BD596" i="1"/>
  <c r="BC596" i="1"/>
  <c r="BB596" i="1"/>
  <c r="BA596" i="1"/>
  <c r="AZ596" i="1"/>
  <c r="AY596" i="1"/>
  <c r="BE596" i="1" s="1" a="1"/>
  <c r="BE596" i="1" s="1"/>
  <c r="AX596" i="1"/>
  <c r="M596" i="1"/>
  <c r="EM679" i="1"/>
  <c r="DU679" i="1"/>
  <c r="DT679" i="1"/>
  <c r="DN679" i="1"/>
  <c r="DM679" i="1"/>
  <c r="DL679" i="1"/>
  <c r="DK679" i="1"/>
  <c r="DI679" i="1"/>
  <c r="DJ679" i="1" s="1"/>
  <c r="DC679" i="1"/>
  <c r="CX679" i="1"/>
  <c r="CN679" i="1"/>
  <c r="BX679" i="1"/>
  <c r="BN679" i="1"/>
  <c r="BO679" i="1" s="1"/>
  <c r="BD679" i="1"/>
  <c r="BC679" i="1"/>
  <c r="BB679" i="1"/>
  <c r="BA679" i="1"/>
  <c r="AZ679" i="1"/>
  <c r="AY679" i="1"/>
  <c r="BE679" i="1" s="1" a="1"/>
  <c r="BE679" i="1" s="1"/>
  <c r="AX679" i="1"/>
  <c r="M679" i="1"/>
  <c r="EM690" i="1"/>
  <c r="DU690" i="1"/>
  <c r="DT690" i="1"/>
  <c r="DN690" i="1"/>
  <c r="DM690" i="1"/>
  <c r="DL690" i="1"/>
  <c r="DK690" i="1"/>
  <c r="DI690" i="1"/>
  <c r="DJ690" i="1" s="1"/>
  <c r="DC690" i="1"/>
  <c r="CX690" i="1"/>
  <c r="CN690" i="1"/>
  <c r="BX690" i="1"/>
  <c r="BN690" i="1"/>
  <c r="BO690" i="1" s="1"/>
  <c r="BD690" i="1"/>
  <c r="BC690" i="1"/>
  <c r="BB690" i="1"/>
  <c r="BA690" i="1"/>
  <c r="AZ690" i="1"/>
  <c r="AY690" i="1"/>
  <c r="BE690" i="1" s="1" a="1"/>
  <c r="BE690" i="1" s="1"/>
  <c r="AX690" i="1"/>
  <c r="M690" i="1"/>
  <c r="EM711" i="1"/>
  <c r="DU711" i="1"/>
  <c r="DT711" i="1"/>
  <c r="DN711" i="1"/>
  <c r="DM711" i="1"/>
  <c r="DL711" i="1"/>
  <c r="DK711" i="1"/>
  <c r="DI711" i="1"/>
  <c r="DJ711" i="1" s="1"/>
  <c r="DC711" i="1"/>
  <c r="CX711" i="1"/>
  <c r="CN711" i="1"/>
  <c r="CR711" i="1" s="1"/>
  <c r="BX711" i="1"/>
  <c r="BN711" i="1"/>
  <c r="BO711" i="1" s="1"/>
  <c r="BD711" i="1"/>
  <c r="BC711" i="1"/>
  <c r="BB711" i="1"/>
  <c r="BA711" i="1"/>
  <c r="AZ711" i="1"/>
  <c r="AY711" i="1"/>
  <c r="BE711" i="1" s="1" a="1"/>
  <c r="BE711" i="1" s="1"/>
  <c r="AX711" i="1"/>
  <c r="M711" i="1"/>
  <c r="EM767" i="1"/>
  <c r="DU767" i="1"/>
  <c r="DT767" i="1"/>
  <c r="DN767" i="1"/>
  <c r="DM767" i="1"/>
  <c r="DL767" i="1"/>
  <c r="DK767" i="1"/>
  <c r="DI767" i="1"/>
  <c r="DJ767" i="1" s="1"/>
  <c r="DC767" i="1"/>
  <c r="CX767" i="1"/>
  <c r="CN767" i="1"/>
  <c r="CS767" i="1" s="1"/>
  <c r="BX767" i="1"/>
  <c r="BN767" i="1"/>
  <c r="BO767" i="1" s="1"/>
  <c r="BD767" i="1"/>
  <c r="BC767" i="1"/>
  <c r="BB767" i="1"/>
  <c r="BA767" i="1"/>
  <c r="AZ767" i="1"/>
  <c r="BF767" i="1" s="1" a="1"/>
  <c r="BF767" i="1" s="1"/>
  <c r="AY767" i="1"/>
  <c r="BE767" i="1" s="1" a="1"/>
  <c r="BE767" i="1" s="1"/>
  <c r="AX767" i="1"/>
  <c r="M767" i="1"/>
  <c r="EM819" i="1"/>
  <c r="DU819" i="1"/>
  <c r="DT819" i="1"/>
  <c r="DN819" i="1"/>
  <c r="DM819" i="1"/>
  <c r="DL819" i="1"/>
  <c r="DK819" i="1"/>
  <c r="DI819" i="1"/>
  <c r="DJ819" i="1" s="1"/>
  <c r="DC819" i="1"/>
  <c r="CX819" i="1"/>
  <c r="CN819" i="1"/>
  <c r="BX819" i="1"/>
  <c r="BN819" i="1"/>
  <c r="BO819" i="1" s="1"/>
  <c r="BD819" i="1"/>
  <c r="BC819" i="1"/>
  <c r="BB819" i="1"/>
  <c r="BA819" i="1"/>
  <c r="AZ819" i="1"/>
  <c r="AY819" i="1"/>
  <c r="BE819" i="1" s="1" a="1"/>
  <c r="BE819" i="1" s="1"/>
  <c r="AX819" i="1"/>
  <c r="M819" i="1"/>
  <c r="EM841" i="1"/>
  <c r="DU841" i="1"/>
  <c r="DT841" i="1"/>
  <c r="DN841" i="1"/>
  <c r="DM841" i="1"/>
  <c r="DL841" i="1"/>
  <c r="DK841" i="1"/>
  <c r="DI841" i="1"/>
  <c r="DJ841" i="1" s="1"/>
  <c r="DC841" i="1"/>
  <c r="CX841" i="1"/>
  <c r="CN841" i="1"/>
  <c r="CO841" i="1" s="1"/>
  <c r="BX841" i="1"/>
  <c r="BN841" i="1"/>
  <c r="BO841" i="1" s="1"/>
  <c r="BD841" i="1"/>
  <c r="BC841" i="1"/>
  <c r="BB841" i="1"/>
  <c r="BA841" i="1"/>
  <c r="AZ841" i="1"/>
  <c r="AY841" i="1"/>
  <c r="BE841" i="1" s="1" a="1"/>
  <c r="BE841" i="1" s="1"/>
  <c r="AX841" i="1"/>
  <c r="M841" i="1"/>
  <c r="EM626" i="1"/>
  <c r="DU626" i="1"/>
  <c r="DT626" i="1"/>
  <c r="DN626" i="1"/>
  <c r="DM626" i="1"/>
  <c r="DL626" i="1"/>
  <c r="DK626" i="1"/>
  <c r="DI626" i="1"/>
  <c r="DJ626" i="1" s="1"/>
  <c r="DC626" i="1"/>
  <c r="CX626" i="1"/>
  <c r="CN626" i="1"/>
  <c r="CP626" i="1" s="1"/>
  <c r="BV626" i="1"/>
  <c r="BX626" i="1" s="1"/>
  <c r="BN626" i="1"/>
  <c r="BO626" i="1" s="1"/>
  <c r="BD626" i="1"/>
  <c r="BC626" i="1"/>
  <c r="BB626" i="1"/>
  <c r="BA626" i="1"/>
  <c r="AZ626" i="1"/>
  <c r="BF626" i="1" s="1" a="1"/>
  <c r="BF626" i="1" s="1"/>
  <c r="AY626" i="1"/>
  <c r="BE626" i="1" s="1" a="1"/>
  <c r="BE626" i="1" s="1"/>
  <c r="AX626" i="1"/>
  <c r="M626" i="1"/>
  <c r="EM634" i="1"/>
  <c r="DU634" i="1"/>
  <c r="DT634" i="1"/>
  <c r="DN634" i="1"/>
  <c r="DM634" i="1"/>
  <c r="DL634" i="1"/>
  <c r="DK634" i="1"/>
  <c r="DI634" i="1"/>
  <c r="DJ634" i="1" s="1"/>
  <c r="DC634" i="1"/>
  <c r="CX634" i="1"/>
  <c r="CN634" i="1"/>
  <c r="BV634" i="1"/>
  <c r="BX634" i="1" s="1"/>
  <c r="BN634" i="1"/>
  <c r="BO634" i="1" s="1"/>
  <c r="BD634" i="1"/>
  <c r="BC634" i="1"/>
  <c r="BB634" i="1"/>
  <c r="BA634" i="1"/>
  <c r="AZ634" i="1"/>
  <c r="AY634" i="1"/>
  <c r="BE634" i="1" s="1" a="1"/>
  <c r="BE634" i="1" s="1"/>
  <c r="AX634" i="1"/>
  <c r="M634" i="1"/>
  <c r="EM638" i="1"/>
  <c r="DU638" i="1"/>
  <c r="DT638" i="1"/>
  <c r="DN638" i="1"/>
  <c r="DM638" i="1"/>
  <c r="DL638" i="1"/>
  <c r="DK638" i="1"/>
  <c r="DI638" i="1"/>
  <c r="DJ638" i="1" s="1"/>
  <c r="DC638" i="1"/>
  <c r="CX638" i="1"/>
  <c r="CN638" i="1"/>
  <c r="CP638" i="1" s="1"/>
  <c r="BV638" i="1"/>
  <c r="BX638" i="1" s="1"/>
  <c r="BN638" i="1"/>
  <c r="BO638" i="1" s="1"/>
  <c r="BD638" i="1"/>
  <c r="BC638" i="1"/>
  <c r="BB638" i="1"/>
  <c r="BA638" i="1"/>
  <c r="AZ638" i="1"/>
  <c r="AY638" i="1"/>
  <c r="BE638" i="1" s="1" a="1"/>
  <c r="BE638" i="1" s="1"/>
  <c r="AX638" i="1"/>
  <c r="M638" i="1"/>
  <c r="EM713" i="1"/>
  <c r="DU713" i="1"/>
  <c r="DT713" i="1"/>
  <c r="DN713" i="1"/>
  <c r="DM713" i="1"/>
  <c r="DL713" i="1"/>
  <c r="DK713" i="1"/>
  <c r="DI713" i="1"/>
  <c r="DJ713" i="1" s="1"/>
  <c r="DC713" i="1"/>
  <c r="CX713" i="1"/>
  <c r="CN713" i="1"/>
  <c r="BV713" i="1"/>
  <c r="BX713" i="1" s="1"/>
  <c r="BN713" i="1"/>
  <c r="BO713" i="1" s="1"/>
  <c r="BD713" i="1"/>
  <c r="BC713" i="1"/>
  <c r="BB713" i="1"/>
  <c r="BA713" i="1"/>
  <c r="AZ713" i="1"/>
  <c r="AY713" i="1"/>
  <c r="BE713" i="1" s="1" a="1"/>
  <c r="BE713" i="1" s="1"/>
  <c r="AX713" i="1"/>
  <c r="M713" i="1"/>
  <c r="EM720" i="1"/>
  <c r="DU720" i="1"/>
  <c r="DT720" i="1"/>
  <c r="DN720" i="1"/>
  <c r="DM720" i="1"/>
  <c r="DL720" i="1"/>
  <c r="DK720" i="1"/>
  <c r="DI720" i="1"/>
  <c r="DJ720" i="1" s="1"/>
  <c r="DC720" i="1"/>
  <c r="CX720" i="1"/>
  <c r="CN720" i="1"/>
  <c r="CP720" i="1" s="1"/>
  <c r="BV720" i="1"/>
  <c r="BX720" i="1" s="1"/>
  <c r="BN720" i="1"/>
  <c r="BO720" i="1" s="1"/>
  <c r="BD720" i="1"/>
  <c r="BC720" i="1"/>
  <c r="BB720" i="1"/>
  <c r="BA720" i="1"/>
  <c r="AZ720" i="1"/>
  <c r="AY720" i="1"/>
  <c r="BE720" i="1" s="1" a="1"/>
  <c r="BE720" i="1" s="1"/>
  <c r="AX720" i="1"/>
  <c r="M720" i="1"/>
  <c r="EM721" i="1"/>
  <c r="DU721" i="1"/>
  <c r="DT721" i="1"/>
  <c r="DN721" i="1"/>
  <c r="DM721" i="1"/>
  <c r="DL721" i="1"/>
  <c r="DK721" i="1"/>
  <c r="DI721" i="1"/>
  <c r="DJ721" i="1" s="1"/>
  <c r="DC721" i="1"/>
  <c r="CX721" i="1"/>
  <c r="CN721" i="1"/>
  <c r="BV721" i="1"/>
  <c r="BX721" i="1" s="1"/>
  <c r="BN721" i="1"/>
  <c r="BO721" i="1" s="1"/>
  <c r="BD721" i="1"/>
  <c r="BC721" i="1"/>
  <c r="BB721" i="1"/>
  <c r="BA721" i="1"/>
  <c r="AZ721" i="1"/>
  <c r="BF721" i="1" s="1" a="1"/>
  <c r="BF721" i="1" s="1"/>
  <c r="AY721" i="1"/>
  <c r="BE721" i="1" s="1" a="1"/>
  <c r="BE721" i="1" s="1"/>
  <c r="AX721" i="1"/>
  <c r="M721" i="1"/>
  <c r="EM736" i="1"/>
  <c r="DU736" i="1"/>
  <c r="DT736" i="1"/>
  <c r="DN736" i="1"/>
  <c r="DM736" i="1"/>
  <c r="DL736" i="1"/>
  <c r="DK736" i="1"/>
  <c r="DI736" i="1"/>
  <c r="DJ736" i="1" s="1"/>
  <c r="DC736" i="1"/>
  <c r="CX736" i="1"/>
  <c r="CN736" i="1"/>
  <c r="CO736" i="1" s="1"/>
  <c r="BV736" i="1"/>
  <c r="BX736" i="1" s="1"/>
  <c r="BN736" i="1"/>
  <c r="BO736" i="1" s="1"/>
  <c r="BD736" i="1"/>
  <c r="BC736" i="1"/>
  <c r="BB736" i="1"/>
  <c r="BA736" i="1"/>
  <c r="AZ736" i="1"/>
  <c r="AY736" i="1"/>
  <c r="BE736" i="1" s="1" a="1"/>
  <c r="BE736" i="1" s="1"/>
  <c r="AX736" i="1"/>
  <c r="M736" i="1"/>
  <c r="EM770" i="1"/>
  <c r="DU770" i="1"/>
  <c r="DT770" i="1"/>
  <c r="DN770" i="1"/>
  <c r="DM770" i="1"/>
  <c r="DL770" i="1"/>
  <c r="DK770" i="1"/>
  <c r="DI770" i="1"/>
  <c r="DJ770" i="1" s="1"/>
  <c r="DC770" i="1"/>
  <c r="CX770" i="1"/>
  <c r="CN770" i="1"/>
  <c r="BV770" i="1"/>
  <c r="BX770" i="1" s="1"/>
  <c r="BN770" i="1"/>
  <c r="BO770" i="1" s="1"/>
  <c r="BD770" i="1"/>
  <c r="BC770" i="1"/>
  <c r="BB770" i="1"/>
  <c r="BA770" i="1"/>
  <c r="AZ770" i="1"/>
  <c r="AY770" i="1"/>
  <c r="BE770" i="1" s="1" a="1"/>
  <c r="BE770" i="1" s="1"/>
  <c r="AX770" i="1"/>
  <c r="M770" i="1"/>
  <c r="EM784" i="1"/>
  <c r="DU784" i="1"/>
  <c r="DT784" i="1"/>
  <c r="DN784" i="1"/>
  <c r="DM784" i="1"/>
  <c r="DL784" i="1"/>
  <c r="DK784" i="1"/>
  <c r="DI784" i="1"/>
  <c r="DJ784" i="1" s="1"/>
  <c r="DC784" i="1"/>
  <c r="CX784" i="1"/>
  <c r="CN784" i="1"/>
  <c r="BV784" i="1"/>
  <c r="BX784" i="1" s="1"/>
  <c r="BN784" i="1"/>
  <c r="BO784" i="1" s="1"/>
  <c r="BD784" i="1"/>
  <c r="BC784" i="1"/>
  <c r="BB784" i="1"/>
  <c r="BA784" i="1"/>
  <c r="AZ784" i="1"/>
  <c r="BF784" i="1" s="1" a="1"/>
  <c r="BF784" i="1" s="1"/>
  <c r="AY784" i="1"/>
  <c r="BE784" i="1" s="1" a="1"/>
  <c r="BE784" i="1" s="1"/>
  <c r="AX784" i="1"/>
  <c r="M784" i="1"/>
  <c r="EM607" i="1"/>
  <c r="DU607" i="1"/>
  <c r="DT607" i="1"/>
  <c r="DN607" i="1"/>
  <c r="DM607" i="1"/>
  <c r="DL607" i="1"/>
  <c r="DK607" i="1"/>
  <c r="DI607" i="1"/>
  <c r="DJ607" i="1" s="1"/>
  <c r="DC607" i="1"/>
  <c r="CX607" i="1"/>
  <c r="CN607" i="1"/>
  <c r="BV607" i="1"/>
  <c r="BX607" i="1" s="1"/>
  <c r="BN607" i="1"/>
  <c r="BO607" i="1" s="1"/>
  <c r="BD607" i="1"/>
  <c r="BC607" i="1"/>
  <c r="BB607" i="1"/>
  <c r="BA607" i="1"/>
  <c r="AZ607" i="1"/>
  <c r="AY607" i="1"/>
  <c r="BE607" i="1" s="1" a="1"/>
  <c r="BE607" i="1" s="1"/>
  <c r="AX607" i="1"/>
  <c r="M607" i="1"/>
  <c r="EM613" i="1"/>
  <c r="DU613" i="1"/>
  <c r="DT613" i="1"/>
  <c r="DN613" i="1"/>
  <c r="DM613" i="1"/>
  <c r="DL613" i="1"/>
  <c r="DK613" i="1"/>
  <c r="DI613" i="1"/>
  <c r="DJ613" i="1" s="1"/>
  <c r="DC613" i="1"/>
  <c r="CX613" i="1"/>
  <c r="CN613" i="1"/>
  <c r="CO613" i="1" s="1"/>
  <c r="BV613" i="1"/>
  <c r="BX613" i="1" s="1"/>
  <c r="BN613" i="1"/>
  <c r="BO613" i="1" s="1"/>
  <c r="BD613" i="1"/>
  <c r="BC613" i="1"/>
  <c r="BB613" i="1"/>
  <c r="BA613" i="1"/>
  <c r="AZ613" i="1"/>
  <c r="AY613" i="1"/>
  <c r="BE613" i="1" s="1" a="1"/>
  <c r="BE613" i="1" s="1"/>
  <c r="AX613" i="1"/>
  <c r="M613" i="1"/>
  <c r="EM615" i="1"/>
  <c r="DU615" i="1"/>
  <c r="DT615" i="1"/>
  <c r="DN615" i="1"/>
  <c r="DM615" i="1"/>
  <c r="DL615" i="1"/>
  <c r="DK615" i="1"/>
  <c r="DI615" i="1"/>
  <c r="DJ615" i="1" s="1"/>
  <c r="DC615" i="1"/>
  <c r="CX615" i="1"/>
  <c r="CN615" i="1"/>
  <c r="BV615" i="1"/>
  <c r="BX615" i="1" s="1"/>
  <c r="BN615" i="1"/>
  <c r="BO615" i="1" s="1"/>
  <c r="BD615" i="1"/>
  <c r="BC615" i="1"/>
  <c r="BB615" i="1"/>
  <c r="BA615" i="1"/>
  <c r="AZ615" i="1"/>
  <c r="AY615" i="1"/>
  <c r="BE615" i="1" s="1" a="1"/>
  <c r="BE615" i="1" s="1"/>
  <c r="AX615" i="1"/>
  <c r="M615" i="1"/>
  <c r="EM718" i="1"/>
  <c r="DU718" i="1"/>
  <c r="DT718" i="1"/>
  <c r="DN718" i="1"/>
  <c r="DM718" i="1"/>
  <c r="DL718" i="1"/>
  <c r="DK718" i="1"/>
  <c r="DI718" i="1"/>
  <c r="DJ718" i="1" s="1"/>
  <c r="DC718" i="1"/>
  <c r="CX718" i="1"/>
  <c r="CN718" i="1"/>
  <c r="CP718" i="1" s="1"/>
  <c r="BV718" i="1"/>
  <c r="BX718" i="1" s="1"/>
  <c r="BN718" i="1"/>
  <c r="BO718" i="1" s="1"/>
  <c r="BD718" i="1"/>
  <c r="BC718" i="1"/>
  <c r="BB718" i="1"/>
  <c r="BA718" i="1"/>
  <c r="AZ718" i="1"/>
  <c r="AY718" i="1"/>
  <c r="BE718" i="1" s="1" a="1"/>
  <c r="BE718" i="1" s="1"/>
  <c r="AX718" i="1"/>
  <c r="M718" i="1"/>
  <c r="EM724" i="1"/>
  <c r="DU724" i="1"/>
  <c r="DT724" i="1"/>
  <c r="DN724" i="1"/>
  <c r="DM724" i="1"/>
  <c r="DL724" i="1"/>
  <c r="DK724" i="1"/>
  <c r="DI724" i="1"/>
  <c r="DJ724" i="1" s="1"/>
  <c r="DC724" i="1"/>
  <c r="CX724" i="1"/>
  <c r="CN724" i="1"/>
  <c r="BV724" i="1"/>
  <c r="BX724" i="1" s="1"/>
  <c r="BN724" i="1"/>
  <c r="BO724" i="1" s="1"/>
  <c r="BD724" i="1"/>
  <c r="BC724" i="1"/>
  <c r="BB724" i="1"/>
  <c r="BA724" i="1"/>
  <c r="AZ724" i="1"/>
  <c r="BF724" i="1" s="1" a="1"/>
  <c r="BF724" i="1" s="1"/>
  <c r="AY724" i="1"/>
  <c r="BE724" i="1" s="1" a="1"/>
  <c r="BE724" i="1" s="1"/>
  <c r="AX724" i="1"/>
  <c r="M724" i="1"/>
  <c r="EM728" i="1"/>
  <c r="DU728" i="1"/>
  <c r="DT728" i="1"/>
  <c r="DN728" i="1"/>
  <c r="DM728" i="1"/>
  <c r="DL728" i="1"/>
  <c r="DK728" i="1"/>
  <c r="DI728" i="1"/>
  <c r="DJ728" i="1" s="1"/>
  <c r="DC728" i="1"/>
  <c r="CX728" i="1"/>
  <c r="CN728" i="1"/>
  <c r="BV728" i="1"/>
  <c r="BX728" i="1" s="1"/>
  <c r="BN728" i="1"/>
  <c r="BO728" i="1" s="1"/>
  <c r="BD728" i="1"/>
  <c r="BC728" i="1"/>
  <c r="BB728" i="1"/>
  <c r="BA728" i="1"/>
  <c r="AZ728" i="1"/>
  <c r="AY728" i="1"/>
  <c r="BE728" i="1" s="1" a="1"/>
  <c r="BE728" i="1" s="1"/>
  <c r="AX728" i="1"/>
  <c r="M728" i="1"/>
  <c r="EM746" i="1"/>
  <c r="DU746" i="1"/>
  <c r="DT746" i="1"/>
  <c r="DN746" i="1"/>
  <c r="DM746" i="1"/>
  <c r="DL746" i="1"/>
  <c r="DK746" i="1"/>
  <c r="DI746" i="1"/>
  <c r="DJ746" i="1" s="1"/>
  <c r="DC746" i="1"/>
  <c r="CX746" i="1"/>
  <c r="CN746" i="1"/>
  <c r="BV746" i="1"/>
  <c r="BX746" i="1" s="1"/>
  <c r="BN746" i="1"/>
  <c r="BO746" i="1" s="1"/>
  <c r="BD746" i="1"/>
  <c r="BC746" i="1"/>
  <c r="BB746" i="1"/>
  <c r="BA746" i="1"/>
  <c r="AZ746" i="1"/>
  <c r="AY746" i="1"/>
  <c r="BE746" i="1" s="1" a="1"/>
  <c r="BE746" i="1" s="1"/>
  <c r="AX746" i="1"/>
  <c r="M746" i="1"/>
  <c r="EM789" i="1"/>
  <c r="DU789" i="1"/>
  <c r="DT789" i="1"/>
  <c r="DN789" i="1"/>
  <c r="DM789" i="1"/>
  <c r="DL789" i="1"/>
  <c r="DK789" i="1"/>
  <c r="DI789" i="1"/>
  <c r="DJ789" i="1" s="1"/>
  <c r="DC789" i="1"/>
  <c r="CX789" i="1"/>
  <c r="CN789" i="1"/>
  <c r="BV789" i="1"/>
  <c r="BX789" i="1" s="1"/>
  <c r="BN789" i="1"/>
  <c r="BO789" i="1" s="1"/>
  <c r="BD789" i="1"/>
  <c r="BC789" i="1"/>
  <c r="BB789" i="1"/>
  <c r="BA789" i="1"/>
  <c r="AZ789" i="1"/>
  <c r="BF789" i="1" s="1" a="1"/>
  <c r="BF789" i="1" s="1"/>
  <c r="AY789" i="1"/>
  <c r="BE789" i="1" s="1" a="1"/>
  <c r="BE789" i="1" s="1"/>
  <c r="AX789" i="1"/>
  <c r="M789" i="1"/>
  <c r="EM802" i="1"/>
  <c r="DU802" i="1"/>
  <c r="DT802" i="1"/>
  <c r="DN802" i="1"/>
  <c r="DM802" i="1"/>
  <c r="DL802" i="1"/>
  <c r="DK802" i="1"/>
  <c r="DI802" i="1"/>
  <c r="DJ802" i="1" s="1"/>
  <c r="DC802" i="1"/>
  <c r="CX802" i="1"/>
  <c r="CN802" i="1"/>
  <c r="BV802" i="1"/>
  <c r="BX802" i="1" s="1"/>
  <c r="BN802" i="1"/>
  <c r="BO802" i="1" s="1"/>
  <c r="BD802" i="1"/>
  <c r="BC802" i="1"/>
  <c r="BB802" i="1"/>
  <c r="BA802" i="1"/>
  <c r="AZ802" i="1"/>
  <c r="AY802" i="1"/>
  <c r="BE802" i="1" s="1" a="1"/>
  <c r="BE802" i="1" s="1"/>
  <c r="AX802" i="1"/>
  <c r="M802" i="1"/>
  <c r="EM604" i="1"/>
  <c r="DU604" i="1"/>
  <c r="DT604" i="1"/>
  <c r="DN604" i="1"/>
  <c r="DM604" i="1"/>
  <c r="DL604" i="1"/>
  <c r="DK604" i="1"/>
  <c r="DI604" i="1"/>
  <c r="DJ604" i="1" s="1"/>
  <c r="DC604" i="1"/>
  <c r="CX604" i="1"/>
  <c r="CN604" i="1"/>
  <c r="BV604" i="1"/>
  <c r="BX604" i="1" s="1"/>
  <c r="BN604" i="1"/>
  <c r="BO604" i="1" s="1"/>
  <c r="BD604" i="1"/>
  <c r="BC604" i="1"/>
  <c r="BB604" i="1"/>
  <c r="BA604" i="1"/>
  <c r="AZ604" i="1"/>
  <c r="AY604" i="1"/>
  <c r="BE604" i="1" s="1" a="1"/>
  <c r="BE604" i="1" s="1"/>
  <c r="AX604" i="1"/>
  <c r="M604" i="1"/>
  <c r="EM610" i="1"/>
  <c r="DU610" i="1"/>
  <c r="DT610" i="1"/>
  <c r="DN610" i="1"/>
  <c r="DM610" i="1"/>
  <c r="DL610" i="1"/>
  <c r="DK610" i="1"/>
  <c r="DI610" i="1"/>
  <c r="DJ610" i="1" s="1"/>
  <c r="DC610" i="1"/>
  <c r="CX610" i="1"/>
  <c r="CN610" i="1"/>
  <c r="BV610" i="1"/>
  <c r="BX610" i="1" s="1"/>
  <c r="BN610" i="1"/>
  <c r="BO610" i="1" s="1"/>
  <c r="BD610" i="1"/>
  <c r="BC610" i="1"/>
  <c r="BB610" i="1"/>
  <c r="BA610" i="1"/>
  <c r="AZ610" i="1"/>
  <c r="AY610" i="1"/>
  <c r="BE610" i="1" s="1" a="1"/>
  <c r="BE610" i="1" s="1"/>
  <c r="AX610" i="1"/>
  <c r="M610" i="1"/>
  <c r="EM609" i="1"/>
  <c r="DU609" i="1"/>
  <c r="DT609" i="1"/>
  <c r="DN609" i="1"/>
  <c r="DM609" i="1"/>
  <c r="DL609" i="1"/>
  <c r="DK609" i="1"/>
  <c r="DI609" i="1"/>
  <c r="DJ609" i="1" s="1"/>
  <c r="DC609" i="1"/>
  <c r="CX609" i="1"/>
  <c r="CN609" i="1"/>
  <c r="BV609" i="1"/>
  <c r="BX609" i="1" s="1"/>
  <c r="BN609" i="1"/>
  <c r="BO609" i="1" s="1"/>
  <c r="BD609" i="1"/>
  <c r="BC609" i="1"/>
  <c r="BB609" i="1"/>
  <c r="BA609" i="1"/>
  <c r="AZ609" i="1"/>
  <c r="AY609" i="1"/>
  <c r="BE609" i="1" s="1" a="1"/>
  <c r="BE609" i="1" s="1"/>
  <c r="AX609" i="1"/>
  <c r="M609" i="1"/>
  <c r="EM715" i="1"/>
  <c r="DU715" i="1"/>
  <c r="DT715" i="1"/>
  <c r="DN715" i="1"/>
  <c r="DM715" i="1"/>
  <c r="DL715" i="1"/>
  <c r="DK715" i="1"/>
  <c r="DI715" i="1"/>
  <c r="DJ715" i="1" s="1"/>
  <c r="DC715" i="1"/>
  <c r="CX715" i="1"/>
  <c r="CN715" i="1"/>
  <c r="BV715" i="1"/>
  <c r="BX715" i="1" s="1"/>
  <c r="BN715" i="1"/>
  <c r="BO715" i="1" s="1"/>
  <c r="BD715" i="1"/>
  <c r="BC715" i="1"/>
  <c r="BB715" i="1"/>
  <c r="BA715" i="1"/>
  <c r="AZ715" i="1"/>
  <c r="BF715" i="1" s="1" a="1"/>
  <c r="BF715" i="1" s="1"/>
  <c r="AY715" i="1"/>
  <c r="BE715" i="1" s="1" a="1"/>
  <c r="BE715" i="1" s="1"/>
  <c r="AX715" i="1"/>
  <c r="M715" i="1"/>
  <c r="EM722" i="1"/>
  <c r="DU722" i="1"/>
  <c r="DT722" i="1"/>
  <c r="DN722" i="1"/>
  <c r="DM722" i="1"/>
  <c r="DL722" i="1"/>
  <c r="DK722" i="1"/>
  <c r="DI722" i="1"/>
  <c r="DJ722" i="1" s="1"/>
  <c r="DC722" i="1"/>
  <c r="CX722" i="1"/>
  <c r="CN722" i="1"/>
  <c r="CP722" i="1" s="1"/>
  <c r="BV722" i="1"/>
  <c r="BX722" i="1" s="1"/>
  <c r="BN722" i="1"/>
  <c r="BO722" i="1" s="1"/>
  <c r="BD722" i="1"/>
  <c r="BC722" i="1"/>
  <c r="BB722" i="1"/>
  <c r="BA722" i="1"/>
  <c r="AZ722" i="1"/>
  <c r="AY722" i="1"/>
  <c r="BE722" i="1" s="1" a="1"/>
  <c r="BE722" i="1" s="1"/>
  <c r="AX722" i="1"/>
  <c r="M722" i="1"/>
  <c r="EM723" i="1"/>
  <c r="DU723" i="1"/>
  <c r="DT723" i="1"/>
  <c r="DN723" i="1"/>
  <c r="DM723" i="1"/>
  <c r="DL723" i="1"/>
  <c r="DK723" i="1"/>
  <c r="DI723" i="1"/>
  <c r="DJ723" i="1" s="1"/>
  <c r="DC723" i="1"/>
  <c r="CX723" i="1"/>
  <c r="CN723" i="1"/>
  <c r="BV723" i="1"/>
  <c r="BX723" i="1" s="1"/>
  <c r="BN723" i="1"/>
  <c r="BO723" i="1" s="1"/>
  <c r="BD723" i="1"/>
  <c r="BC723" i="1"/>
  <c r="BB723" i="1"/>
  <c r="BA723" i="1"/>
  <c r="AZ723" i="1"/>
  <c r="AY723" i="1"/>
  <c r="BE723" i="1" s="1" a="1"/>
  <c r="BE723" i="1" s="1"/>
  <c r="AX723" i="1"/>
  <c r="M723" i="1"/>
  <c r="EM741" i="1"/>
  <c r="DU741" i="1"/>
  <c r="DT741" i="1"/>
  <c r="DN741" i="1"/>
  <c r="DM741" i="1"/>
  <c r="DL741" i="1"/>
  <c r="DK741" i="1"/>
  <c r="DI741" i="1"/>
  <c r="DJ741" i="1" s="1"/>
  <c r="DC741" i="1"/>
  <c r="CX741" i="1"/>
  <c r="CN741" i="1"/>
  <c r="BV741" i="1"/>
  <c r="BX741" i="1" s="1"/>
  <c r="BN741" i="1"/>
  <c r="BO741" i="1" s="1"/>
  <c r="BD741" i="1"/>
  <c r="BC741" i="1"/>
  <c r="BB741" i="1"/>
  <c r="BA741" i="1"/>
  <c r="AZ741" i="1"/>
  <c r="BF741" i="1" s="1" a="1"/>
  <c r="BF741" i="1" s="1"/>
  <c r="AY741" i="1"/>
  <c r="BE741" i="1" s="1" a="1"/>
  <c r="BE741" i="1" s="1"/>
  <c r="AX741" i="1"/>
  <c r="M741" i="1"/>
  <c r="EM786" i="1"/>
  <c r="DU786" i="1"/>
  <c r="DT786" i="1"/>
  <c r="DN786" i="1"/>
  <c r="DM786" i="1"/>
  <c r="DL786" i="1"/>
  <c r="DK786" i="1"/>
  <c r="DI786" i="1"/>
  <c r="DJ786" i="1" s="1"/>
  <c r="DC786" i="1"/>
  <c r="CX786" i="1"/>
  <c r="CN786" i="1"/>
  <c r="BV786" i="1"/>
  <c r="BX786" i="1" s="1"/>
  <c r="BN786" i="1"/>
  <c r="BO786" i="1" s="1"/>
  <c r="BD786" i="1"/>
  <c r="BC786" i="1"/>
  <c r="BB786" i="1"/>
  <c r="BA786" i="1"/>
  <c r="AZ786" i="1"/>
  <c r="AY786" i="1"/>
  <c r="BE786" i="1" s="1" a="1"/>
  <c r="BE786" i="1" s="1"/>
  <c r="AX786" i="1"/>
  <c r="M786" i="1"/>
  <c r="EM797" i="1"/>
  <c r="DU797" i="1"/>
  <c r="DT797" i="1"/>
  <c r="DN797" i="1"/>
  <c r="DM797" i="1"/>
  <c r="DL797" i="1"/>
  <c r="DK797" i="1"/>
  <c r="DI797" i="1"/>
  <c r="DJ797" i="1" s="1"/>
  <c r="DC797" i="1"/>
  <c r="CX797" i="1"/>
  <c r="CN797" i="1"/>
  <c r="CP797" i="1" s="1"/>
  <c r="BV797" i="1"/>
  <c r="BX797" i="1" s="1"/>
  <c r="BN797" i="1"/>
  <c r="BO797" i="1" s="1"/>
  <c r="BD797" i="1"/>
  <c r="BC797" i="1"/>
  <c r="BB797" i="1"/>
  <c r="BA797" i="1"/>
  <c r="AZ797" i="1"/>
  <c r="AY797" i="1"/>
  <c r="BE797" i="1" s="1" a="1"/>
  <c r="BE797" i="1" s="1"/>
  <c r="AX797" i="1"/>
  <c r="M797" i="1"/>
  <c r="EM238" i="1"/>
  <c r="DU238" i="1"/>
  <c r="DT238" i="1"/>
  <c r="DN238" i="1"/>
  <c r="DM238" i="1"/>
  <c r="DL238" i="1"/>
  <c r="DK238" i="1"/>
  <c r="DI238" i="1"/>
  <c r="DJ238" i="1" s="1"/>
  <c r="DC238" i="1"/>
  <c r="CX238" i="1"/>
  <c r="CN238" i="1"/>
  <c r="BV238" i="1"/>
  <c r="BX238" i="1" s="1"/>
  <c r="BU238" i="1"/>
  <c r="BN238" i="1"/>
  <c r="BO238" i="1" s="1"/>
  <c r="BD238" i="1"/>
  <c r="BC238" i="1"/>
  <c r="BB238" i="1"/>
  <c r="BA238" i="1"/>
  <c r="AZ238" i="1"/>
  <c r="BF238" i="1" s="1" a="1"/>
  <c r="BF238" i="1" s="1"/>
  <c r="AY238" i="1"/>
  <c r="BE238" i="1" s="1" a="1"/>
  <c r="BE238" i="1" s="1"/>
  <c r="AX238" i="1"/>
  <c r="M238" i="1"/>
  <c r="EM234" i="1"/>
  <c r="DU234" i="1"/>
  <c r="DT234" i="1"/>
  <c r="DN234" i="1"/>
  <c r="DM234" i="1"/>
  <c r="DL234" i="1"/>
  <c r="DK234" i="1"/>
  <c r="DI234" i="1"/>
  <c r="DJ234" i="1" s="1"/>
  <c r="DC234" i="1"/>
  <c r="CX234" i="1"/>
  <c r="CN234" i="1"/>
  <c r="CR234" i="1" s="1"/>
  <c r="BV234" i="1"/>
  <c r="BX234" i="1" s="1"/>
  <c r="BU234" i="1"/>
  <c r="BN234" i="1"/>
  <c r="BO234" i="1" s="1"/>
  <c r="BD234" i="1"/>
  <c r="BC234" i="1"/>
  <c r="BB234" i="1"/>
  <c r="BA234" i="1"/>
  <c r="AZ234" i="1"/>
  <c r="BF234" i="1" s="1" a="1"/>
  <c r="BF234" i="1" s="1"/>
  <c r="AY234" i="1"/>
  <c r="BE234" i="1" s="1" a="1"/>
  <c r="BE234" i="1" s="1"/>
  <c r="AX234" i="1"/>
  <c r="M234" i="1"/>
  <c r="EM222" i="1"/>
  <c r="DU222" i="1"/>
  <c r="DT222" i="1"/>
  <c r="DN222" i="1"/>
  <c r="DM222" i="1"/>
  <c r="DL222" i="1"/>
  <c r="DK222" i="1"/>
  <c r="DI222" i="1"/>
  <c r="DJ222" i="1" s="1"/>
  <c r="DC222" i="1"/>
  <c r="CX222" i="1"/>
  <c r="CN222" i="1"/>
  <c r="BV222" i="1"/>
  <c r="BX222" i="1" s="1"/>
  <c r="BU222" i="1"/>
  <c r="BN222" i="1"/>
  <c r="BO222" i="1" s="1"/>
  <c r="BM222" i="1"/>
  <c r="BD222" i="1"/>
  <c r="BC222" i="1"/>
  <c r="BB222" i="1"/>
  <c r="BA222" i="1"/>
  <c r="AZ222" i="1"/>
  <c r="AY222" i="1"/>
  <c r="BE222" i="1" s="1" a="1"/>
  <c r="BE222" i="1" s="1"/>
  <c r="AX222" i="1"/>
  <c r="M222" i="1"/>
  <c r="EM219" i="1"/>
  <c r="DU219" i="1"/>
  <c r="DT219" i="1"/>
  <c r="DN219" i="1"/>
  <c r="DM219" i="1"/>
  <c r="DL219" i="1"/>
  <c r="DK219" i="1"/>
  <c r="DI219" i="1"/>
  <c r="DJ219" i="1" s="1"/>
  <c r="DC219" i="1"/>
  <c r="CX219" i="1"/>
  <c r="CN219" i="1"/>
  <c r="CR219" i="1" s="1"/>
  <c r="BV219" i="1"/>
  <c r="BX219" i="1" s="1"/>
  <c r="BU219" i="1"/>
  <c r="BN219" i="1"/>
  <c r="BO219" i="1" s="1"/>
  <c r="BM219" i="1"/>
  <c r="BD219" i="1"/>
  <c r="BC219" i="1"/>
  <c r="BB219" i="1"/>
  <c r="BA219" i="1"/>
  <c r="AZ219" i="1"/>
  <c r="AY219" i="1"/>
  <c r="BE219" i="1" s="1" a="1"/>
  <c r="BE219" i="1" s="1"/>
  <c r="AX219" i="1"/>
  <c r="M219" i="1"/>
  <c r="EM191" i="1"/>
  <c r="DU191" i="1"/>
  <c r="DT191" i="1"/>
  <c r="DN191" i="1"/>
  <c r="DM191" i="1"/>
  <c r="DL191" i="1"/>
  <c r="DK191" i="1"/>
  <c r="DI191" i="1"/>
  <c r="DJ191" i="1" s="1"/>
  <c r="DC191" i="1"/>
  <c r="CX191" i="1"/>
  <c r="CN191" i="1"/>
  <c r="BV191" i="1"/>
  <c r="BX191" i="1" s="1"/>
  <c r="BU191" i="1"/>
  <c r="BN191" i="1"/>
  <c r="BO191" i="1" s="1"/>
  <c r="BM191" i="1"/>
  <c r="BD191" i="1"/>
  <c r="BC191" i="1"/>
  <c r="BB191" i="1"/>
  <c r="BA191" i="1"/>
  <c r="AZ191" i="1"/>
  <c r="AY191" i="1"/>
  <c r="BE191" i="1" s="1" a="1"/>
  <c r="BE191" i="1" s="1"/>
  <c r="AX191" i="1"/>
  <c r="M191" i="1"/>
  <c r="EM189" i="1"/>
  <c r="DU189" i="1"/>
  <c r="DT189" i="1"/>
  <c r="DN189" i="1"/>
  <c r="DM189" i="1"/>
  <c r="DL189" i="1"/>
  <c r="DK189" i="1"/>
  <c r="DI189" i="1"/>
  <c r="DJ189" i="1" s="1"/>
  <c r="DC189" i="1"/>
  <c r="CX189" i="1"/>
  <c r="CN189" i="1"/>
  <c r="BV189" i="1"/>
  <c r="BX189" i="1" s="1"/>
  <c r="BU189" i="1"/>
  <c r="BN189" i="1"/>
  <c r="BO189" i="1" s="1"/>
  <c r="BM189" i="1"/>
  <c r="BD189" i="1"/>
  <c r="BC189" i="1"/>
  <c r="BB189" i="1"/>
  <c r="BA189" i="1"/>
  <c r="AZ189" i="1"/>
  <c r="AY189" i="1"/>
  <c r="BE189" i="1" s="1" a="1"/>
  <c r="BE189" i="1" s="1"/>
  <c r="AX189" i="1"/>
  <c r="M189" i="1"/>
  <c r="EM120" i="1"/>
  <c r="DU120" i="1"/>
  <c r="DT120" i="1"/>
  <c r="DN120" i="1"/>
  <c r="DM120" i="1"/>
  <c r="DL120" i="1"/>
  <c r="DK120" i="1"/>
  <c r="DI120" i="1"/>
  <c r="DJ120" i="1" s="1"/>
  <c r="DC120" i="1"/>
  <c r="CX120" i="1"/>
  <c r="CN120" i="1"/>
  <c r="BV120" i="1"/>
  <c r="BX120" i="1" s="1"/>
  <c r="BU120" i="1"/>
  <c r="BN120" i="1"/>
  <c r="BO120" i="1" s="1"/>
  <c r="BM120" i="1"/>
  <c r="BD120" i="1"/>
  <c r="BC120" i="1"/>
  <c r="BB120" i="1"/>
  <c r="BA120" i="1"/>
  <c r="AZ120" i="1"/>
  <c r="BF120" i="1" s="1" a="1"/>
  <c r="BF120" i="1" s="1"/>
  <c r="AY120" i="1"/>
  <c r="BE120" i="1" s="1" a="1"/>
  <c r="BE120" i="1" s="1"/>
  <c r="AX120" i="1"/>
  <c r="M120" i="1"/>
  <c r="EM104" i="1"/>
  <c r="DU104" i="1"/>
  <c r="DT104" i="1"/>
  <c r="DN104" i="1"/>
  <c r="DM104" i="1"/>
  <c r="DL104" i="1"/>
  <c r="DK104" i="1"/>
  <c r="DI104" i="1"/>
  <c r="DJ104" i="1" s="1"/>
  <c r="DC104" i="1"/>
  <c r="CX104" i="1"/>
  <c r="CN104" i="1"/>
  <c r="CR104" i="1" s="1"/>
  <c r="BV104" i="1"/>
  <c r="BX104" i="1" s="1"/>
  <c r="BU104" i="1"/>
  <c r="BN104" i="1"/>
  <c r="BO104" i="1" s="1"/>
  <c r="BM104" i="1"/>
  <c r="BD104" i="1"/>
  <c r="BC104" i="1"/>
  <c r="BB104" i="1"/>
  <c r="BA104" i="1"/>
  <c r="AZ104" i="1"/>
  <c r="BF104" i="1" s="1" a="1"/>
  <c r="BF104" i="1" s="1"/>
  <c r="AY104" i="1"/>
  <c r="BE104" i="1" s="1" a="1"/>
  <c r="BE104" i="1" s="1"/>
  <c r="AX104" i="1"/>
  <c r="M104" i="1"/>
  <c r="EM73" i="1"/>
  <c r="DU73" i="1"/>
  <c r="DT73" i="1"/>
  <c r="DN73" i="1"/>
  <c r="DM73" i="1"/>
  <c r="DL73" i="1"/>
  <c r="DK73" i="1"/>
  <c r="DI73" i="1"/>
  <c r="DJ73" i="1" s="1"/>
  <c r="DC73" i="1"/>
  <c r="CX73" i="1"/>
  <c r="CN73" i="1"/>
  <c r="BV73" i="1"/>
  <c r="BX73" i="1" s="1"/>
  <c r="BU73" i="1"/>
  <c r="BN73" i="1"/>
  <c r="BO73" i="1" s="1"/>
  <c r="BM73" i="1"/>
  <c r="BD73" i="1"/>
  <c r="BC73" i="1"/>
  <c r="BB73" i="1"/>
  <c r="BA73" i="1"/>
  <c r="AZ73" i="1"/>
  <c r="AY73" i="1"/>
  <c r="BE73" i="1" s="1" a="1"/>
  <c r="BE73" i="1" s="1"/>
  <c r="AX73" i="1"/>
  <c r="M73" i="1"/>
  <c r="EM62" i="1"/>
  <c r="DU62" i="1"/>
  <c r="DT62" i="1"/>
  <c r="DN62" i="1"/>
  <c r="DM62" i="1"/>
  <c r="DL62" i="1"/>
  <c r="DK62" i="1"/>
  <c r="DI62" i="1"/>
  <c r="DJ62" i="1" s="1"/>
  <c r="DC62" i="1"/>
  <c r="CX62" i="1"/>
  <c r="CN62" i="1"/>
  <c r="CS62" i="1" s="1"/>
  <c r="BV62" i="1"/>
  <c r="BX62" i="1" s="1"/>
  <c r="BU62" i="1"/>
  <c r="BN62" i="1"/>
  <c r="BO62" i="1" s="1"/>
  <c r="BM62" i="1"/>
  <c r="BD62" i="1"/>
  <c r="BC62" i="1"/>
  <c r="BB62" i="1"/>
  <c r="BA62" i="1"/>
  <c r="AZ62" i="1"/>
  <c r="BF62" i="1" s="1" a="1"/>
  <c r="BF62" i="1" s="1"/>
  <c r="AY62" i="1"/>
  <c r="BE62" i="1" s="1" a="1"/>
  <c r="BE62" i="1" s="1"/>
  <c r="AX62" i="1"/>
  <c r="M62" i="1"/>
  <c r="EM1048" i="1"/>
  <c r="DU1048" i="1"/>
  <c r="DT1048" i="1"/>
  <c r="DN1048" i="1"/>
  <c r="DM1048" i="1"/>
  <c r="DL1048" i="1"/>
  <c r="DK1048" i="1"/>
  <c r="DI1048" i="1"/>
  <c r="DJ1048" i="1" s="1"/>
  <c r="DC1048" i="1"/>
  <c r="CX1048" i="1"/>
  <c r="CN1048" i="1"/>
  <c r="CR1048" i="1" s="1"/>
  <c r="BV1048" i="1"/>
  <c r="BX1048" i="1" s="1"/>
  <c r="BU1048" i="1"/>
  <c r="BN1048" i="1"/>
  <c r="BO1048" i="1" s="1"/>
  <c r="BD1048" i="1"/>
  <c r="BC1048" i="1"/>
  <c r="BB1048" i="1"/>
  <c r="BA1048" i="1"/>
  <c r="AZ1048" i="1"/>
  <c r="AY1048" i="1"/>
  <c r="BE1048" i="1" s="1" a="1"/>
  <c r="BE1048" i="1" s="1"/>
  <c r="AX1048" i="1"/>
  <c r="M1048" i="1"/>
  <c r="EM1047" i="1"/>
  <c r="DU1047" i="1"/>
  <c r="DT1047" i="1"/>
  <c r="DN1047" i="1"/>
  <c r="DM1047" i="1"/>
  <c r="DL1047" i="1"/>
  <c r="DK1047" i="1"/>
  <c r="DI1047" i="1"/>
  <c r="DJ1047" i="1" s="1"/>
  <c r="DC1047" i="1"/>
  <c r="CX1047" i="1"/>
  <c r="CN1047" i="1"/>
  <c r="CS1047" i="1" s="1"/>
  <c r="BV1047" i="1"/>
  <c r="BX1047" i="1" s="1"/>
  <c r="BU1047" i="1"/>
  <c r="BN1047" i="1"/>
  <c r="BO1047" i="1" s="1"/>
  <c r="BM1047" i="1"/>
  <c r="BD1047" i="1"/>
  <c r="BC1047" i="1"/>
  <c r="BB1047" i="1"/>
  <c r="BA1047" i="1"/>
  <c r="AZ1047" i="1"/>
  <c r="AY1047" i="1"/>
  <c r="BE1047" i="1" s="1" a="1"/>
  <c r="BE1047" i="1" s="1"/>
  <c r="AX1047" i="1"/>
  <c r="M1047" i="1"/>
  <c r="EM1035" i="1"/>
  <c r="DU1035" i="1"/>
  <c r="DT1035" i="1"/>
  <c r="DN1035" i="1"/>
  <c r="DM1035" i="1"/>
  <c r="DL1035" i="1"/>
  <c r="DK1035" i="1"/>
  <c r="DI1035" i="1"/>
  <c r="DJ1035" i="1" s="1"/>
  <c r="DC1035" i="1"/>
  <c r="CX1035" i="1"/>
  <c r="CN1035" i="1"/>
  <c r="CO1035" i="1" s="1"/>
  <c r="BV1035" i="1"/>
  <c r="BX1035" i="1" s="1"/>
  <c r="BU1035" i="1"/>
  <c r="BN1035" i="1"/>
  <c r="BO1035" i="1" s="1"/>
  <c r="BM1035" i="1"/>
  <c r="BD1035" i="1"/>
  <c r="BC1035" i="1"/>
  <c r="BB1035" i="1"/>
  <c r="BA1035" i="1"/>
  <c r="AZ1035" i="1"/>
  <c r="AY1035" i="1"/>
  <c r="BE1035" i="1" s="1" a="1"/>
  <c r="BE1035" i="1" s="1"/>
  <c r="AX1035" i="1"/>
  <c r="M1035" i="1"/>
  <c r="EM1041" i="1"/>
  <c r="DU1041" i="1"/>
  <c r="DT1041" i="1"/>
  <c r="DN1041" i="1"/>
  <c r="DM1041" i="1"/>
  <c r="DL1041" i="1"/>
  <c r="DK1041" i="1"/>
  <c r="DI1041" i="1"/>
  <c r="DJ1041" i="1" s="1"/>
  <c r="DC1041" i="1"/>
  <c r="CX1041" i="1"/>
  <c r="CN1041" i="1"/>
  <c r="CP1041" i="1" s="1"/>
  <c r="BV1041" i="1"/>
  <c r="BX1041" i="1" s="1"/>
  <c r="BU1041" i="1"/>
  <c r="BN1041" i="1"/>
  <c r="BO1041" i="1" s="1"/>
  <c r="BM1041" i="1"/>
  <c r="BD1041" i="1"/>
  <c r="BC1041" i="1"/>
  <c r="BB1041" i="1"/>
  <c r="BA1041" i="1"/>
  <c r="AZ1041" i="1"/>
  <c r="BF1041" i="1" s="1" a="1"/>
  <c r="BF1041" i="1" s="1"/>
  <c r="AY1041" i="1"/>
  <c r="BE1041" i="1" s="1" a="1"/>
  <c r="BE1041" i="1" s="1"/>
  <c r="AX1041" i="1"/>
  <c r="M1041" i="1"/>
  <c r="EM980" i="1"/>
  <c r="DU980" i="1"/>
  <c r="DT980" i="1"/>
  <c r="DN980" i="1"/>
  <c r="DM980" i="1"/>
  <c r="DL980" i="1"/>
  <c r="DK980" i="1"/>
  <c r="DI980" i="1"/>
  <c r="DJ980" i="1" s="1"/>
  <c r="DC980" i="1"/>
  <c r="CX980" i="1"/>
  <c r="CN980" i="1"/>
  <c r="CP980" i="1" s="1"/>
  <c r="BV980" i="1"/>
  <c r="BX980" i="1" s="1"/>
  <c r="BU980" i="1"/>
  <c r="BN980" i="1"/>
  <c r="BO980" i="1" s="1"/>
  <c r="BD980" i="1"/>
  <c r="BC980" i="1"/>
  <c r="BB980" i="1"/>
  <c r="BA980" i="1"/>
  <c r="AZ980" i="1"/>
  <c r="BF980" i="1" s="1" a="1"/>
  <c r="BF980" i="1" s="1"/>
  <c r="AY980" i="1"/>
  <c r="BE980" i="1" s="1" a="1"/>
  <c r="BE980" i="1" s="1"/>
  <c r="AX980" i="1"/>
  <c r="M980" i="1"/>
  <c r="EM976" i="1"/>
  <c r="DU976" i="1"/>
  <c r="DT976" i="1"/>
  <c r="DN976" i="1"/>
  <c r="DM976" i="1"/>
  <c r="DL976" i="1"/>
  <c r="DK976" i="1"/>
  <c r="DI976" i="1"/>
  <c r="DJ976" i="1" s="1"/>
  <c r="DC976" i="1"/>
  <c r="CX976" i="1"/>
  <c r="CN976" i="1"/>
  <c r="BV976" i="1"/>
  <c r="BX976" i="1" s="1"/>
  <c r="BU976" i="1"/>
  <c r="BN976" i="1"/>
  <c r="BO976" i="1" s="1"/>
  <c r="BD976" i="1"/>
  <c r="BC976" i="1"/>
  <c r="BB976" i="1"/>
  <c r="BA976" i="1"/>
  <c r="AZ976" i="1"/>
  <c r="AY976" i="1"/>
  <c r="BE976" i="1" s="1" a="1"/>
  <c r="BE976" i="1" s="1"/>
  <c r="AX976" i="1"/>
  <c r="M976" i="1"/>
  <c r="EM961" i="1"/>
  <c r="DU961" i="1"/>
  <c r="DT961" i="1"/>
  <c r="DN961" i="1"/>
  <c r="DM961" i="1"/>
  <c r="DL961" i="1"/>
  <c r="DK961" i="1"/>
  <c r="DI961" i="1"/>
  <c r="DJ961" i="1" s="1"/>
  <c r="DC961" i="1"/>
  <c r="CX961" i="1"/>
  <c r="CN961" i="1"/>
  <c r="CO961" i="1" s="1"/>
  <c r="BV961" i="1"/>
  <c r="BX961" i="1" s="1"/>
  <c r="BU961" i="1"/>
  <c r="BN961" i="1"/>
  <c r="BO961" i="1" s="1"/>
  <c r="BD961" i="1"/>
  <c r="BC961" i="1"/>
  <c r="BB961" i="1"/>
  <c r="BA961" i="1"/>
  <c r="AZ961" i="1"/>
  <c r="AY961" i="1"/>
  <c r="BE961" i="1" s="1" a="1"/>
  <c r="BE961" i="1" s="1"/>
  <c r="AX961" i="1"/>
  <c r="M961" i="1"/>
  <c r="EM956" i="1"/>
  <c r="DU956" i="1"/>
  <c r="DT956" i="1"/>
  <c r="DN956" i="1"/>
  <c r="DM956" i="1"/>
  <c r="DL956" i="1"/>
  <c r="DK956" i="1"/>
  <c r="DI956" i="1"/>
  <c r="DJ956" i="1" s="1"/>
  <c r="DC956" i="1"/>
  <c r="CX956" i="1"/>
  <c r="CN956" i="1"/>
  <c r="CO956" i="1" s="1"/>
  <c r="BV956" i="1"/>
  <c r="BX956" i="1" s="1"/>
  <c r="BU956" i="1"/>
  <c r="BN956" i="1"/>
  <c r="BO956" i="1" s="1"/>
  <c r="BD956" i="1"/>
  <c r="BC956" i="1"/>
  <c r="BB956" i="1"/>
  <c r="BA956" i="1"/>
  <c r="AZ956" i="1"/>
  <c r="BF956" i="1" s="1" a="1"/>
  <c r="BF956" i="1" s="1"/>
  <c r="AY956" i="1"/>
  <c r="BE956" i="1" s="1" a="1"/>
  <c r="BE956" i="1" s="1"/>
  <c r="AX956" i="1"/>
  <c r="M956" i="1"/>
  <c r="EM954" i="1"/>
  <c r="DU954" i="1"/>
  <c r="DT954" i="1"/>
  <c r="DN954" i="1"/>
  <c r="DM954" i="1"/>
  <c r="DL954" i="1"/>
  <c r="DK954" i="1"/>
  <c r="DI954" i="1"/>
  <c r="DJ954" i="1" s="1"/>
  <c r="DC954" i="1"/>
  <c r="CX954" i="1"/>
  <c r="CN954" i="1"/>
  <c r="BV954" i="1"/>
  <c r="BX954" i="1" s="1"/>
  <c r="BU954" i="1"/>
  <c r="BN954" i="1"/>
  <c r="BO954" i="1" s="1"/>
  <c r="BD954" i="1"/>
  <c r="BC954" i="1"/>
  <c r="BB954" i="1"/>
  <c r="BA954" i="1"/>
  <c r="AZ954" i="1"/>
  <c r="BF954" i="1" s="1" a="1"/>
  <c r="BF954" i="1" s="1"/>
  <c r="AY954" i="1"/>
  <c r="BE954" i="1" s="1" a="1"/>
  <c r="BE954" i="1" s="1"/>
  <c r="AX954" i="1"/>
  <c r="M954" i="1"/>
  <c r="EM931" i="1"/>
  <c r="DU931" i="1"/>
  <c r="DT931" i="1"/>
  <c r="DN931" i="1"/>
  <c r="DM931" i="1"/>
  <c r="DL931" i="1"/>
  <c r="DK931" i="1"/>
  <c r="DI931" i="1"/>
  <c r="DJ931" i="1" s="1"/>
  <c r="DC931" i="1"/>
  <c r="CX931" i="1"/>
  <c r="CN931" i="1"/>
  <c r="CS931" i="1" s="1"/>
  <c r="BV931" i="1"/>
  <c r="BX931" i="1" s="1"/>
  <c r="BU931" i="1"/>
  <c r="BN931" i="1"/>
  <c r="BO931" i="1" s="1"/>
  <c r="BD931" i="1"/>
  <c r="BC931" i="1"/>
  <c r="BB931" i="1"/>
  <c r="BA931" i="1"/>
  <c r="AZ931" i="1"/>
  <c r="AY931" i="1"/>
  <c r="BE931" i="1" s="1" a="1"/>
  <c r="BE931" i="1" s="1"/>
  <c r="AX931" i="1"/>
  <c r="M931" i="1"/>
  <c r="EM914" i="1"/>
  <c r="DU914" i="1"/>
  <c r="DT914" i="1"/>
  <c r="DN914" i="1"/>
  <c r="DM914" i="1"/>
  <c r="DL914" i="1"/>
  <c r="DK914" i="1"/>
  <c r="DI914" i="1"/>
  <c r="DJ914" i="1" s="1"/>
  <c r="DC914" i="1"/>
  <c r="CX914" i="1"/>
  <c r="CN914" i="1"/>
  <c r="CO914" i="1" s="1"/>
  <c r="BV914" i="1"/>
  <c r="BX914" i="1" s="1"/>
  <c r="BU914" i="1"/>
  <c r="BN914" i="1"/>
  <c r="BO914" i="1" s="1"/>
  <c r="BD914" i="1"/>
  <c r="BC914" i="1"/>
  <c r="BB914" i="1"/>
  <c r="BA914" i="1"/>
  <c r="AZ914" i="1"/>
  <c r="AY914" i="1"/>
  <c r="BE914" i="1" s="1" a="1"/>
  <c r="BE914" i="1" s="1"/>
  <c r="AX914" i="1"/>
  <c r="M914" i="1"/>
  <c r="EM897" i="1"/>
  <c r="DU897" i="1"/>
  <c r="DT897" i="1"/>
  <c r="DN897" i="1"/>
  <c r="DM897" i="1"/>
  <c r="DL897" i="1"/>
  <c r="DK897" i="1"/>
  <c r="DI897" i="1"/>
  <c r="DJ897" i="1" s="1"/>
  <c r="DC897" i="1"/>
  <c r="CX897" i="1"/>
  <c r="CN897" i="1"/>
  <c r="BV897" i="1"/>
  <c r="BX897" i="1" s="1"/>
  <c r="BU897" i="1"/>
  <c r="BN897" i="1"/>
  <c r="BO897" i="1" s="1"/>
  <c r="BD897" i="1"/>
  <c r="BC897" i="1"/>
  <c r="BB897" i="1"/>
  <c r="BA897" i="1"/>
  <c r="AZ897" i="1"/>
  <c r="BF897" i="1" s="1" a="1"/>
  <c r="BF897" i="1" s="1"/>
  <c r="AY897" i="1"/>
  <c r="BE897" i="1" s="1" a="1"/>
  <c r="BE897" i="1" s="1"/>
  <c r="AX897" i="1"/>
  <c r="M897" i="1"/>
  <c r="EM826" i="1"/>
  <c r="DU826" i="1"/>
  <c r="DT826" i="1"/>
  <c r="DN826" i="1"/>
  <c r="DM826" i="1"/>
  <c r="DL826" i="1"/>
  <c r="DK826" i="1"/>
  <c r="DI826" i="1"/>
  <c r="DJ826" i="1" s="1"/>
  <c r="DC826" i="1"/>
  <c r="CX826" i="1"/>
  <c r="CN826" i="1"/>
  <c r="CO826" i="1" s="1"/>
  <c r="BV826" i="1"/>
  <c r="BX826" i="1" s="1"/>
  <c r="BU826" i="1"/>
  <c r="BN826" i="1"/>
  <c r="BO826" i="1" s="1"/>
  <c r="BD826" i="1"/>
  <c r="BC826" i="1"/>
  <c r="BB826" i="1"/>
  <c r="BA826" i="1"/>
  <c r="AZ826" i="1"/>
  <c r="BF826" i="1" s="1" a="1"/>
  <c r="BF826" i="1" s="1"/>
  <c r="AY826" i="1"/>
  <c r="BE826" i="1" s="1" a="1"/>
  <c r="BE826" i="1" s="1"/>
  <c r="AX826" i="1"/>
  <c r="M826" i="1"/>
  <c r="EM810" i="1"/>
  <c r="DU810" i="1"/>
  <c r="DT810" i="1"/>
  <c r="DN810" i="1"/>
  <c r="DM810" i="1"/>
  <c r="DL810" i="1"/>
  <c r="DK810" i="1"/>
  <c r="DI810" i="1"/>
  <c r="DJ810" i="1" s="1"/>
  <c r="DC810" i="1"/>
  <c r="CX810" i="1"/>
  <c r="CN810" i="1"/>
  <c r="BV810" i="1"/>
  <c r="BX810" i="1" s="1"/>
  <c r="BU810" i="1"/>
  <c r="BN810" i="1"/>
  <c r="BO810" i="1" s="1"/>
  <c r="BD810" i="1"/>
  <c r="BC810" i="1"/>
  <c r="BB810" i="1"/>
  <c r="BA810" i="1"/>
  <c r="AZ810" i="1"/>
  <c r="AY810" i="1"/>
  <c r="BE810" i="1" s="1" a="1"/>
  <c r="BE810" i="1" s="1"/>
  <c r="AX810" i="1"/>
  <c r="M810" i="1"/>
  <c r="EM792" i="1"/>
  <c r="DU792" i="1"/>
  <c r="DT792" i="1"/>
  <c r="DN792" i="1"/>
  <c r="DM792" i="1"/>
  <c r="DL792" i="1"/>
  <c r="DK792" i="1"/>
  <c r="DI792" i="1"/>
  <c r="DJ792" i="1" s="1"/>
  <c r="DC792" i="1"/>
  <c r="CX792" i="1"/>
  <c r="CN792" i="1"/>
  <c r="CS792" i="1" s="1"/>
  <c r="BV792" i="1"/>
  <c r="BX792" i="1" s="1"/>
  <c r="BU792" i="1"/>
  <c r="BN792" i="1"/>
  <c r="BO792" i="1" s="1"/>
  <c r="BD792" i="1"/>
  <c r="BC792" i="1"/>
  <c r="BB792" i="1"/>
  <c r="BA792" i="1"/>
  <c r="AZ792" i="1"/>
  <c r="AY792" i="1"/>
  <c r="BE792" i="1" s="1" a="1"/>
  <c r="BE792" i="1" s="1"/>
  <c r="AX792" i="1"/>
  <c r="M792" i="1"/>
  <c r="EM773" i="1"/>
  <c r="DU773" i="1"/>
  <c r="DT773" i="1"/>
  <c r="DN773" i="1"/>
  <c r="DM773" i="1"/>
  <c r="DL773" i="1"/>
  <c r="DK773" i="1"/>
  <c r="DI773" i="1"/>
  <c r="DJ773" i="1" s="1"/>
  <c r="DC773" i="1"/>
  <c r="CX773" i="1"/>
  <c r="CN773" i="1"/>
  <c r="BV773" i="1"/>
  <c r="BX773" i="1" s="1"/>
  <c r="BU773" i="1"/>
  <c r="BN773" i="1"/>
  <c r="BO773" i="1" s="1"/>
  <c r="BD773" i="1"/>
  <c r="BC773" i="1"/>
  <c r="BB773" i="1"/>
  <c r="BA773" i="1"/>
  <c r="AZ773" i="1"/>
  <c r="BF773" i="1" s="1" a="1"/>
  <c r="BF773" i="1" s="1"/>
  <c r="AY773" i="1"/>
  <c r="BE773" i="1" s="1" a="1"/>
  <c r="BE773" i="1" s="1"/>
  <c r="AX773" i="1"/>
  <c r="M773" i="1"/>
  <c r="EM757" i="1"/>
  <c r="DU757" i="1"/>
  <c r="DT757" i="1"/>
  <c r="DN757" i="1"/>
  <c r="DM757" i="1"/>
  <c r="DL757" i="1"/>
  <c r="DK757" i="1"/>
  <c r="DI757" i="1"/>
  <c r="DJ757" i="1" s="1"/>
  <c r="DC757" i="1"/>
  <c r="CX757" i="1"/>
  <c r="CN757" i="1"/>
  <c r="CR757" i="1" s="1"/>
  <c r="BV757" i="1"/>
  <c r="BX757" i="1" s="1"/>
  <c r="BU757" i="1"/>
  <c r="BN757" i="1"/>
  <c r="BO757" i="1" s="1"/>
  <c r="BD757" i="1"/>
  <c r="BC757" i="1"/>
  <c r="BB757" i="1"/>
  <c r="BA757" i="1"/>
  <c r="AZ757" i="1"/>
  <c r="BF757" i="1" s="1" a="1"/>
  <c r="BF757" i="1" s="1"/>
  <c r="AY757" i="1"/>
  <c r="BE757" i="1" s="1" a="1"/>
  <c r="BE757" i="1" s="1"/>
  <c r="AX757" i="1"/>
  <c r="M757" i="1"/>
  <c r="EM745" i="1"/>
  <c r="DU745" i="1"/>
  <c r="DT745" i="1"/>
  <c r="DN745" i="1"/>
  <c r="DM745" i="1"/>
  <c r="DL745" i="1"/>
  <c r="DK745" i="1"/>
  <c r="DI745" i="1"/>
  <c r="DJ745" i="1" s="1"/>
  <c r="DC745" i="1"/>
  <c r="CX745" i="1"/>
  <c r="CN745" i="1"/>
  <c r="CR745" i="1" s="1"/>
  <c r="BV745" i="1"/>
  <c r="BX745" i="1" s="1"/>
  <c r="BU745" i="1"/>
  <c r="BN745" i="1"/>
  <c r="BO745" i="1" s="1"/>
  <c r="BD745" i="1"/>
  <c r="BC745" i="1"/>
  <c r="BB745" i="1"/>
  <c r="BA745" i="1"/>
  <c r="AZ745" i="1"/>
  <c r="AY745" i="1"/>
  <c r="BE745" i="1" s="1" a="1"/>
  <c r="BE745" i="1" s="1"/>
  <c r="AX745" i="1"/>
  <c r="M745" i="1"/>
  <c r="EM730" i="1"/>
  <c r="DU730" i="1"/>
  <c r="DT730" i="1"/>
  <c r="DN730" i="1"/>
  <c r="DM730" i="1"/>
  <c r="DL730" i="1"/>
  <c r="DK730" i="1"/>
  <c r="DI730" i="1"/>
  <c r="DJ730" i="1" s="1"/>
  <c r="DC730" i="1"/>
  <c r="CX730" i="1"/>
  <c r="CN730" i="1"/>
  <c r="BV730" i="1"/>
  <c r="BX730" i="1" s="1"/>
  <c r="BU730" i="1"/>
  <c r="BN730" i="1"/>
  <c r="BO730" i="1" s="1"/>
  <c r="BD730" i="1"/>
  <c r="BC730" i="1"/>
  <c r="BB730" i="1"/>
  <c r="BA730" i="1"/>
  <c r="AZ730" i="1"/>
  <c r="AY730" i="1"/>
  <c r="BE730" i="1" s="1" a="1"/>
  <c r="BE730" i="1" s="1"/>
  <c r="AX730" i="1"/>
  <c r="M730" i="1"/>
  <c r="EM725" i="1"/>
  <c r="DU725" i="1"/>
  <c r="DT725" i="1"/>
  <c r="DN725" i="1"/>
  <c r="DM725" i="1"/>
  <c r="DL725" i="1"/>
  <c r="DK725" i="1"/>
  <c r="DI725" i="1"/>
  <c r="DJ725" i="1" s="1"/>
  <c r="DC725" i="1"/>
  <c r="CX725" i="1"/>
  <c r="CN725" i="1"/>
  <c r="BV725" i="1"/>
  <c r="BX725" i="1" s="1"/>
  <c r="BU725" i="1"/>
  <c r="BN725" i="1"/>
  <c r="BO725" i="1" s="1"/>
  <c r="BD725" i="1"/>
  <c r="BC725" i="1"/>
  <c r="BB725" i="1"/>
  <c r="BA725" i="1"/>
  <c r="AZ725" i="1"/>
  <c r="BF725" i="1" s="1" a="1"/>
  <c r="BF725" i="1" s="1"/>
  <c r="AY725" i="1"/>
  <c r="BE725" i="1" s="1" a="1"/>
  <c r="BE725" i="1" s="1"/>
  <c r="AX725" i="1"/>
  <c r="M725" i="1"/>
  <c r="EM677" i="1"/>
  <c r="DU677" i="1"/>
  <c r="DT677" i="1"/>
  <c r="DN677" i="1"/>
  <c r="DM677" i="1"/>
  <c r="DL677" i="1"/>
  <c r="DK677" i="1"/>
  <c r="DI677" i="1"/>
  <c r="DJ677" i="1" s="1"/>
  <c r="DC677" i="1"/>
  <c r="CX677" i="1"/>
  <c r="CN677" i="1"/>
  <c r="CS677" i="1" s="1"/>
  <c r="BV677" i="1"/>
  <c r="BX677" i="1" s="1"/>
  <c r="BU677" i="1"/>
  <c r="BN677" i="1"/>
  <c r="BO677" i="1" s="1"/>
  <c r="BD677" i="1"/>
  <c r="BC677" i="1"/>
  <c r="BB677" i="1"/>
  <c r="BA677" i="1"/>
  <c r="AZ677" i="1"/>
  <c r="BF677" i="1" s="1" a="1"/>
  <c r="BF677" i="1" s="1"/>
  <c r="AY677" i="1"/>
  <c r="BE677" i="1" s="1" a="1"/>
  <c r="BE677" i="1" s="1"/>
  <c r="AX677" i="1"/>
  <c r="M677" i="1"/>
  <c r="EM671" i="1"/>
  <c r="DU671" i="1"/>
  <c r="DT671" i="1"/>
  <c r="DN671" i="1"/>
  <c r="DM671" i="1"/>
  <c r="DL671" i="1"/>
  <c r="DK671" i="1"/>
  <c r="DI671" i="1"/>
  <c r="DJ671" i="1" s="1"/>
  <c r="DC671" i="1"/>
  <c r="CX671" i="1"/>
  <c r="CN671" i="1"/>
  <c r="CP671" i="1" s="1"/>
  <c r="BV671" i="1"/>
  <c r="BX671" i="1" s="1"/>
  <c r="BU671" i="1"/>
  <c r="BN671" i="1"/>
  <c r="BO671" i="1" s="1"/>
  <c r="BD671" i="1"/>
  <c r="BC671" i="1"/>
  <c r="BB671" i="1"/>
  <c r="BA671" i="1"/>
  <c r="AZ671" i="1"/>
  <c r="AY671" i="1"/>
  <c r="BE671" i="1" s="1" a="1"/>
  <c r="BE671" i="1" s="1"/>
  <c r="AX671" i="1"/>
  <c r="M671" i="1"/>
  <c r="EM668" i="1"/>
  <c r="DU668" i="1"/>
  <c r="DT668" i="1"/>
  <c r="DN668" i="1"/>
  <c r="DM668" i="1"/>
  <c r="DL668" i="1"/>
  <c r="DK668" i="1"/>
  <c r="DI668" i="1"/>
  <c r="DJ668" i="1" s="1"/>
  <c r="DC668" i="1"/>
  <c r="CX668" i="1"/>
  <c r="CN668" i="1"/>
  <c r="BV668" i="1"/>
  <c r="BX668" i="1" s="1"/>
  <c r="BU668" i="1"/>
  <c r="BN668" i="1"/>
  <c r="BO668" i="1" s="1"/>
  <c r="BD668" i="1"/>
  <c r="BC668" i="1"/>
  <c r="BB668" i="1"/>
  <c r="BA668" i="1"/>
  <c r="AZ668" i="1"/>
  <c r="AY668" i="1"/>
  <c r="BE668" i="1" s="1" a="1"/>
  <c r="BE668" i="1" s="1"/>
  <c r="AX668" i="1"/>
  <c r="M668" i="1"/>
  <c r="EM662" i="1"/>
  <c r="DU662" i="1"/>
  <c r="DT662" i="1"/>
  <c r="DN662" i="1"/>
  <c r="DM662" i="1"/>
  <c r="DL662" i="1"/>
  <c r="DK662" i="1"/>
  <c r="DI662" i="1"/>
  <c r="DJ662" i="1" s="1"/>
  <c r="DC662" i="1"/>
  <c r="CX662" i="1"/>
  <c r="CN662" i="1"/>
  <c r="CP662" i="1" s="1"/>
  <c r="BV662" i="1"/>
  <c r="BX662" i="1" s="1"/>
  <c r="BU662" i="1"/>
  <c r="BN662" i="1"/>
  <c r="BO662" i="1" s="1"/>
  <c r="BD662" i="1"/>
  <c r="BC662" i="1"/>
  <c r="BB662" i="1"/>
  <c r="BA662" i="1"/>
  <c r="AZ662" i="1"/>
  <c r="BF662" i="1" s="1" a="1"/>
  <c r="BF662" i="1" s="1"/>
  <c r="AY662" i="1"/>
  <c r="BE662" i="1" s="1" a="1"/>
  <c r="BE662" i="1" s="1"/>
  <c r="AX662" i="1"/>
  <c r="M662" i="1"/>
  <c r="EM574" i="1"/>
  <c r="DU574" i="1"/>
  <c r="DT574" i="1"/>
  <c r="DN574" i="1"/>
  <c r="DM574" i="1"/>
  <c r="DL574" i="1"/>
  <c r="DK574" i="1"/>
  <c r="DI574" i="1"/>
  <c r="DJ574" i="1" s="1"/>
  <c r="DC574" i="1"/>
  <c r="CX574" i="1"/>
  <c r="CN574" i="1"/>
  <c r="BV574" i="1"/>
  <c r="BX574" i="1" s="1"/>
  <c r="BU574" i="1"/>
  <c r="BN574" i="1"/>
  <c r="BO574" i="1" s="1"/>
  <c r="BD574" i="1"/>
  <c r="BC574" i="1"/>
  <c r="BB574" i="1"/>
  <c r="BA574" i="1"/>
  <c r="AZ574" i="1"/>
  <c r="BF574" i="1" s="1" a="1"/>
  <c r="BF574" i="1" s="1"/>
  <c r="AY574" i="1"/>
  <c r="BE574" i="1" s="1" a="1"/>
  <c r="BE574" i="1" s="1"/>
  <c r="AX574" i="1"/>
  <c r="M574" i="1"/>
  <c r="EM329" i="1"/>
  <c r="DU329" i="1"/>
  <c r="DT329" i="1"/>
  <c r="DN329" i="1"/>
  <c r="DM329" i="1"/>
  <c r="DL329" i="1"/>
  <c r="DK329" i="1"/>
  <c r="DI329" i="1"/>
  <c r="DJ329" i="1" s="1"/>
  <c r="DC329" i="1"/>
  <c r="CX329" i="1"/>
  <c r="CN329" i="1"/>
  <c r="CP329" i="1" s="1"/>
  <c r="BV329" i="1"/>
  <c r="BX329" i="1" s="1"/>
  <c r="BU329" i="1"/>
  <c r="BN329" i="1"/>
  <c r="BO329" i="1" s="1"/>
  <c r="BD329" i="1"/>
  <c r="BC329" i="1"/>
  <c r="BB329" i="1"/>
  <c r="BA329" i="1"/>
  <c r="AZ329" i="1"/>
  <c r="AY329" i="1"/>
  <c r="BE329" i="1" s="1" a="1"/>
  <c r="BE329" i="1" s="1"/>
  <c r="AX329" i="1"/>
  <c r="M329" i="1"/>
  <c r="EM290" i="1"/>
  <c r="DU290" i="1"/>
  <c r="DT290" i="1"/>
  <c r="DN290" i="1"/>
  <c r="DM290" i="1"/>
  <c r="DL290" i="1"/>
  <c r="DK290" i="1"/>
  <c r="DI290" i="1"/>
  <c r="DJ290" i="1" s="1"/>
  <c r="DC290" i="1"/>
  <c r="CX290" i="1"/>
  <c r="CN290" i="1"/>
  <c r="BV290" i="1"/>
  <c r="BX290" i="1" s="1"/>
  <c r="BU290" i="1"/>
  <c r="BN290" i="1"/>
  <c r="BO290" i="1" s="1"/>
  <c r="BD290" i="1"/>
  <c r="BC290" i="1"/>
  <c r="BB290" i="1"/>
  <c r="BA290" i="1"/>
  <c r="AZ290" i="1"/>
  <c r="AY290" i="1"/>
  <c r="BE290" i="1" s="1" a="1"/>
  <c r="BE290" i="1" s="1"/>
  <c r="AX290" i="1"/>
  <c r="M290" i="1"/>
  <c r="EM286" i="1"/>
  <c r="DU286" i="1"/>
  <c r="DT286" i="1"/>
  <c r="DN286" i="1"/>
  <c r="DM286" i="1"/>
  <c r="DL286" i="1"/>
  <c r="DK286" i="1"/>
  <c r="DI286" i="1"/>
  <c r="DJ286" i="1" s="1"/>
  <c r="DC286" i="1"/>
  <c r="CX286" i="1"/>
  <c r="CN286" i="1"/>
  <c r="BV286" i="1"/>
  <c r="BX286" i="1" s="1"/>
  <c r="BU286" i="1"/>
  <c r="BN286" i="1"/>
  <c r="BO286" i="1" s="1"/>
  <c r="BD286" i="1"/>
  <c r="BC286" i="1"/>
  <c r="BB286" i="1"/>
  <c r="BA286" i="1"/>
  <c r="AZ286" i="1"/>
  <c r="BF286" i="1" s="1" a="1"/>
  <c r="BF286" i="1" s="1"/>
  <c r="AY286" i="1"/>
  <c r="BE286" i="1" s="1" a="1"/>
  <c r="BE286" i="1" s="1"/>
  <c r="AX286" i="1"/>
  <c r="M286" i="1"/>
  <c r="EM284" i="1"/>
  <c r="DU284" i="1"/>
  <c r="DT284" i="1"/>
  <c r="DN284" i="1"/>
  <c r="DM284" i="1"/>
  <c r="DL284" i="1"/>
  <c r="DK284" i="1"/>
  <c r="DI284" i="1"/>
  <c r="DJ284" i="1" s="1"/>
  <c r="DC284" i="1"/>
  <c r="CX284" i="1"/>
  <c r="CN284" i="1"/>
  <c r="CP284" i="1" s="1"/>
  <c r="BV284" i="1"/>
  <c r="BX284" i="1" s="1"/>
  <c r="BU284" i="1"/>
  <c r="BN284" i="1"/>
  <c r="BO284" i="1" s="1"/>
  <c r="BD284" i="1"/>
  <c r="BC284" i="1"/>
  <c r="BB284" i="1"/>
  <c r="BA284" i="1"/>
  <c r="AZ284" i="1"/>
  <c r="BF284" i="1" s="1" a="1"/>
  <c r="BF284" i="1" s="1"/>
  <c r="AY284" i="1"/>
  <c r="BE284" i="1" s="1" a="1"/>
  <c r="BE284" i="1" s="1"/>
  <c r="AX284" i="1"/>
  <c r="M284" i="1"/>
  <c r="EM281" i="1"/>
  <c r="DU281" i="1"/>
  <c r="DT281" i="1"/>
  <c r="DN281" i="1"/>
  <c r="DM281" i="1"/>
  <c r="DL281" i="1"/>
  <c r="DK281" i="1"/>
  <c r="DI281" i="1"/>
  <c r="DJ281" i="1" s="1"/>
  <c r="DC281" i="1"/>
  <c r="CX281" i="1"/>
  <c r="CN281" i="1"/>
  <c r="CP281" i="1" s="1"/>
  <c r="BV281" i="1"/>
  <c r="BX281" i="1" s="1"/>
  <c r="BU281" i="1"/>
  <c r="BN281" i="1"/>
  <c r="BO281" i="1" s="1"/>
  <c r="BD281" i="1"/>
  <c r="BC281" i="1"/>
  <c r="BB281" i="1"/>
  <c r="BA281" i="1"/>
  <c r="AZ281" i="1"/>
  <c r="AY281" i="1"/>
  <c r="BE281" i="1" s="1" a="1"/>
  <c r="BE281" i="1" s="1"/>
  <c r="AX281" i="1"/>
  <c r="M281" i="1"/>
  <c r="EM275" i="1"/>
  <c r="DU275" i="1"/>
  <c r="DT275" i="1"/>
  <c r="DN275" i="1"/>
  <c r="DM275" i="1"/>
  <c r="DL275" i="1"/>
  <c r="DK275" i="1"/>
  <c r="DI275" i="1"/>
  <c r="DJ275" i="1" s="1"/>
  <c r="DC275" i="1"/>
  <c r="CX275" i="1"/>
  <c r="CN275" i="1"/>
  <c r="CO275" i="1" s="1"/>
  <c r="BV275" i="1"/>
  <c r="BX275" i="1" s="1"/>
  <c r="BU275" i="1"/>
  <c r="BN275" i="1"/>
  <c r="BO275" i="1" s="1"/>
  <c r="BD275" i="1"/>
  <c r="BC275" i="1"/>
  <c r="BB275" i="1"/>
  <c r="BA275" i="1"/>
  <c r="AZ275" i="1"/>
  <c r="AY275" i="1"/>
  <c r="BE275" i="1" s="1" a="1"/>
  <c r="BE275" i="1" s="1"/>
  <c r="AX275" i="1"/>
  <c r="M275" i="1"/>
  <c r="EM264" i="1"/>
  <c r="DU264" i="1"/>
  <c r="DT264" i="1"/>
  <c r="DN264" i="1"/>
  <c r="DM264" i="1"/>
  <c r="DL264" i="1"/>
  <c r="DK264" i="1"/>
  <c r="DI264" i="1"/>
  <c r="DJ264" i="1" s="1"/>
  <c r="DC264" i="1"/>
  <c r="CX264" i="1"/>
  <c r="CN264" i="1"/>
  <c r="BV264" i="1"/>
  <c r="BX264" i="1" s="1"/>
  <c r="BU264" i="1"/>
  <c r="BN264" i="1"/>
  <c r="BO264" i="1" s="1"/>
  <c r="BD264" i="1"/>
  <c r="BC264" i="1"/>
  <c r="BB264" i="1"/>
  <c r="BA264" i="1"/>
  <c r="AZ264" i="1"/>
  <c r="BF264" i="1" s="1" a="1"/>
  <c r="BF264" i="1" s="1"/>
  <c r="AY264" i="1"/>
  <c r="BE264" i="1" s="1" a="1"/>
  <c r="BE264" i="1" s="1"/>
  <c r="AX264" i="1"/>
  <c r="M264" i="1"/>
  <c r="EM258" i="1"/>
  <c r="DU258" i="1"/>
  <c r="DT258" i="1"/>
  <c r="DN258" i="1"/>
  <c r="DM258" i="1"/>
  <c r="DL258" i="1"/>
  <c r="DK258" i="1"/>
  <c r="DI258" i="1"/>
  <c r="DJ258" i="1" s="1"/>
  <c r="DC258" i="1"/>
  <c r="CX258" i="1"/>
  <c r="CN258" i="1"/>
  <c r="CO258" i="1" s="1"/>
  <c r="BV258" i="1"/>
  <c r="BX258" i="1" s="1"/>
  <c r="BU258" i="1"/>
  <c r="BN258" i="1"/>
  <c r="BO258" i="1" s="1"/>
  <c r="BD258" i="1"/>
  <c r="BC258" i="1"/>
  <c r="BB258" i="1"/>
  <c r="BA258" i="1"/>
  <c r="AZ258" i="1"/>
  <c r="BF258" i="1" s="1" a="1"/>
  <c r="BF258" i="1" s="1"/>
  <c r="AY258" i="1"/>
  <c r="BE258" i="1" s="1" a="1"/>
  <c r="BE258" i="1" s="1"/>
  <c r="AX258" i="1"/>
  <c r="M258" i="1"/>
  <c r="EM257" i="1"/>
  <c r="DU257" i="1"/>
  <c r="DT257" i="1"/>
  <c r="DN257" i="1"/>
  <c r="DM257" i="1"/>
  <c r="DL257" i="1"/>
  <c r="DK257" i="1"/>
  <c r="DI257" i="1"/>
  <c r="DJ257" i="1" s="1"/>
  <c r="DC257" i="1"/>
  <c r="CX257" i="1"/>
  <c r="CN257" i="1"/>
  <c r="CO257" i="1" s="1"/>
  <c r="BV257" i="1"/>
  <c r="BX257" i="1" s="1"/>
  <c r="BU257" i="1"/>
  <c r="BN257" i="1"/>
  <c r="BO257" i="1" s="1"/>
  <c r="BD257" i="1"/>
  <c r="BC257" i="1"/>
  <c r="BB257" i="1"/>
  <c r="BA257" i="1"/>
  <c r="AZ257" i="1"/>
  <c r="AY257" i="1"/>
  <c r="BE257" i="1" s="1" a="1"/>
  <c r="BE257" i="1" s="1"/>
  <c r="AX257" i="1"/>
  <c r="M257" i="1"/>
  <c r="EM245" i="1"/>
  <c r="DU245" i="1"/>
  <c r="DT245" i="1"/>
  <c r="DN245" i="1"/>
  <c r="DM245" i="1"/>
  <c r="DL245" i="1"/>
  <c r="DK245" i="1"/>
  <c r="DI245" i="1"/>
  <c r="DJ245" i="1" s="1"/>
  <c r="DC245" i="1"/>
  <c r="CX245" i="1"/>
  <c r="CN245" i="1"/>
  <c r="CR245" i="1" s="1"/>
  <c r="BV245" i="1"/>
  <c r="BX245" i="1" s="1"/>
  <c r="BU245" i="1"/>
  <c r="BN245" i="1"/>
  <c r="BO245" i="1" s="1"/>
  <c r="BD245" i="1"/>
  <c r="BC245" i="1"/>
  <c r="BB245" i="1"/>
  <c r="BA245" i="1"/>
  <c r="AZ245" i="1"/>
  <c r="AY245" i="1"/>
  <c r="BE245" i="1" s="1" a="1"/>
  <c r="BE245" i="1" s="1"/>
  <c r="AX245" i="1"/>
  <c r="M245" i="1"/>
  <c r="EM229" i="1"/>
  <c r="DU229" i="1"/>
  <c r="DT229" i="1"/>
  <c r="DN229" i="1"/>
  <c r="DM229" i="1"/>
  <c r="DL229" i="1"/>
  <c r="DK229" i="1"/>
  <c r="DI229" i="1"/>
  <c r="DJ229" i="1" s="1"/>
  <c r="DC229" i="1"/>
  <c r="CX229" i="1"/>
  <c r="CN229" i="1"/>
  <c r="BV229" i="1"/>
  <c r="BX229" i="1" s="1"/>
  <c r="BU229" i="1"/>
  <c r="BN229" i="1"/>
  <c r="BO229" i="1" s="1"/>
  <c r="BD229" i="1"/>
  <c r="BC229" i="1"/>
  <c r="BB229" i="1"/>
  <c r="BA229" i="1"/>
  <c r="AZ229" i="1"/>
  <c r="BF229" i="1" s="1" a="1"/>
  <c r="BF229" i="1" s="1"/>
  <c r="AY229" i="1"/>
  <c r="BE229" i="1" s="1" a="1"/>
  <c r="BE229" i="1" s="1"/>
  <c r="AX229" i="1"/>
  <c r="M229" i="1"/>
  <c r="EM208" i="1"/>
  <c r="DU208" i="1"/>
  <c r="DT208" i="1"/>
  <c r="DN208" i="1"/>
  <c r="DM208" i="1"/>
  <c r="DL208" i="1"/>
  <c r="DK208" i="1"/>
  <c r="DI208" i="1"/>
  <c r="DJ208" i="1" s="1"/>
  <c r="DC208" i="1"/>
  <c r="CX208" i="1"/>
  <c r="CN208" i="1"/>
  <c r="CR208" i="1" s="1"/>
  <c r="BV208" i="1"/>
  <c r="BX208" i="1" s="1"/>
  <c r="BU208" i="1"/>
  <c r="BN208" i="1"/>
  <c r="BO208" i="1" s="1"/>
  <c r="BD208" i="1"/>
  <c r="BC208" i="1"/>
  <c r="BB208" i="1"/>
  <c r="BA208" i="1"/>
  <c r="AZ208" i="1"/>
  <c r="BF208" i="1" s="1" a="1"/>
  <c r="BF208" i="1" s="1"/>
  <c r="AY208" i="1"/>
  <c r="BE208" i="1" s="1" a="1"/>
  <c r="BE208" i="1" s="1"/>
  <c r="AX208" i="1"/>
  <c r="M208" i="1"/>
  <c r="EM205" i="1"/>
  <c r="DU205" i="1"/>
  <c r="DT205" i="1"/>
  <c r="DN205" i="1"/>
  <c r="DM205" i="1"/>
  <c r="DL205" i="1"/>
  <c r="DK205" i="1"/>
  <c r="DI205" i="1"/>
  <c r="DJ205" i="1" s="1"/>
  <c r="DC205" i="1"/>
  <c r="CX205" i="1"/>
  <c r="CN205" i="1"/>
  <c r="CR205" i="1" s="1"/>
  <c r="BV205" i="1"/>
  <c r="BX205" i="1" s="1"/>
  <c r="BU205" i="1"/>
  <c r="BN205" i="1"/>
  <c r="BO205" i="1" s="1"/>
  <c r="BD205" i="1"/>
  <c r="BC205" i="1"/>
  <c r="BB205" i="1"/>
  <c r="BA205" i="1"/>
  <c r="AZ205" i="1"/>
  <c r="AY205" i="1"/>
  <c r="BE205" i="1" s="1" a="1"/>
  <c r="BE205" i="1" s="1"/>
  <c r="AX205" i="1"/>
  <c r="M205" i="1"/>
  <c r="EM188" i="1"/>
  <c r="DU188" i="1"/>
  <c r="DT188" i="1"/>
  <c r="DN188" i="1"/>
  <c r="DM188" i="1"/>
  <c r="DL188" i="1"/>
  <c r="DK188" i="1"/>
  <c r="DI188" i="1"/>
  <c r="DJ188" i="1" s="1"/>
  <c r="DC188" i="1"/>
  <c r="CX188" i="1"/>
  <c r="CN188" i="1"/>
  <c r="CS188" i="1" s="1"/>
  <c r="BV188" i="1"/>
  <c r="BX188" i="1" s="1"/>
  <c r="BU188" i="1"/>
  <c r="BN188" i="1"/>
  <c r="BO188" i="1" s="1"/>
  <c r="BD188" i="1"/>
  <c r="BC188" i="1"/>
  <c r="BB188" i="1"/>
  <c r="BA188" i="1"/>
  <c r="AZ188" i="1"/>
  <c r="AY188" i="1"/>
  <c r="BE188" i="1" s="1" a="1"/>
  <c r="BE188" i="1" s="1"/>
  <c r="AX188" i="1"/>
  <c r="M188" i="1"/>
  <c r="EM89" i="1"/>
  <c r="DC89" i="1"/>
  <c r="CX89" i="1"/>
  <c r="CN89" i="1"/>
  <c r="CS89" i="1" s="1"/>
  <c r="BV89" i="1"/>
  <c r="BX89" i="1" s="1"/>
  <c r="BU89" i="1"/>
  <c r="BN89" i="1"/>
  <c r="BO89" i="1" s="1"/>
  <c r="BD89" i="1"/>
  <c r="BC89" i="1"/>
  <c r="BB89" i="1"/>
  <c r="BA89" i="1"/>
  <c r="AZ89" i="1"/>
  <c r="AY89" i="1"/>
  <c r="BE89" i="1" s="1" a="1"/>
  <c r="BE89" i="1" s="1"/>
  <c r="AX89" i="1"/>
  <c r="EM45" i="1"/>
  <c r="DC45" i="1"/>
  <c r="CX45" i="1"/>
  <c r="CN45" i="1"/>
  <c r="CS45" i="1" s="1"/>
  <c r="BV45" i="1"/>
  <c r="BX45" i="1" s="1"/>
  <c r="BU45" i="1"/>
  <c r="BN45" i="1"/>
  <c r="BO45" i="1" s="1"/>
  <c r="BD45" i="1"/>
  <c r="BC45" i="1"/>
  <c r="BB45" i="1"/>
  <c r="BA45" i="1"/>
  <c r="AZ45" i="1"/>
  <c r="BF45" i="1" s="1" a="1"/>
  <c r="BF45" i="1" s="1"/>
  <c r="AY45" i="1"/>
  <c r="BE45" i="1" s="1" a="1"/>
  <c r="BE45" i="1" s="1"/>
  <c r="AX45" i="1"/>
  <c r="EM254" i="1"/>
  <c r="DU254" i="1"/>
  <c r="DT254" i="1"/>
  <c r="DN254" i="1"/>
  <c r="DM254" i="1"/>
  <c r="DL254" i="1"/>
  <c r="DK254" i="1"/>
  <c r="DI254" i="1"/>
  <c r="DJ254" i="1" s="1"/>
  <c r="DC254" i="1"/>
  <c r="CX254" i="1"/>
  <c r="CN254" i="1"/>
  <c r="CP254" i="1" s="1"/>
  <c r="BV254" i="1"/>
  <c r="BX254" i="1" s="1"/>
  <c r="BU254" i="1"/>
  <c r="BN254" i="1"/>
  <c r="BO254" i="1" s="1"/>
  <c r="BM254" i="1"/>
  <c r="BD254" i="1"/>
  <c r="BC254" i="1"/>
  <c r="BB254" i="1"/>
  <c r="BA254" i="1"/>
  <c r="AZ254" i="1"/>
  <c r="BF254" i="1" s="1" a="1"/>
  <c r="BF254" i="1" s="1"/>
  <c r="AY254" i="1"/>
  <c r="AX254" i="1"/>
  <c r="M254" i="1"/>
  <c r="EM253" i="1"/>
  <c r="DU253" i="1"/>
  <c r="DT253" i="1"/>
  <c r="DN253" i="1"/>
  <c r="DM253" i="1"/>
  <c r="DL253" i="1"/>
  <c r="DK253" i="1"/>
  <c r="DI253" i="1"/>
  <c r="DJ253" i="1" s="1"/>
  <c r="DC253" i="1"/>
  <c r="CX253" i="1"/>
  <c r="CN253" i="1"/>
  <c r="CP253" i="1" s="1"/>
  <c r="BV253" i="1"/>
  <c r="BX253" i="1" s="1"/>
  <c r="BU253" i="1"/>
  <c r="BN253" i="1"/>
  <c r="BO253" i="1" s="1"/>
  <c r="BM253" i="1"/>
  <c r="BD253" i="1"/>
  <c r="BC253" i="1"/>
  <c r="BB253" i="1"/>
  <c r="BA253" i="1"/>
  <c r="AZ253" i="1"/>
  <c r="AY253" i="1"/>
  <c r="AX253" i="1"/>
  <c r="M253" i="1"/>
  <c r="EM216" i="1"/>
  <c r="DU216" i="1"/>
  <c r="DT216" i="1"/>
  <c r="DN216" i="1"/>
  <c r="DM216" i="1"/>
  <c r="DL216" i="1"/>
  <c r="DK216" i="1"/>
  <c r="DI216" i="1"/>
  <c r="DJ216" i="1" s="1"/>
  <c r="DC216" i="1"/>
  <c r="CX216" i="1"/>
  <c r="CN216" i="1"/>
  <c r="CP216" i="1" s="1"/>
  <c r="BV216" i="1"/>
  <c r="BX216" i="1" s="1"/>
  <c r="BU216" i="1"/>
  <c r="BN216" i="1"/>
  <c r="BO216" i="1" s="1"/>
  <c r="BM216" i="1"/>
  <c r="BD216" i="1"/>
  <c r="BC216" i="1"/>
  <c r="BB216" i="1"/>
  <c r="BA216" i="1"/>
  <c r="AZ216" i="1"/>
  <c r="AY216" i="1"/>
  <c r="AX216" i="1"/>
  <c r="M216" i="1"/>
  <c r="EM215" i="1"/>
  <c r="DU215" i="1"/>
  <c r="DT215" i="1"/>
  <c r="DN215" i="1"/>
  <c r="DM215" i="1"/>
  <c r="DL215" i="1"/>
  <c r="DK215" i="1"/>
  <c r="DI215" i="1"/>
  <c r="DJ215" i="1" s="1"/>
  <c r="DC215" i="1"/>
  <c r="CX215" i="1"/>
  <c r="CN215" i="1"/>
  <c r="BV215" i="1"/>
  <c r="BX215" i="1" s="1"/>
  <c r="BU215" i="1"/>
  <c r="BN215" i="1"/>
  <c r="BO215" i="1" s="1"/>
  <c r="BM215" i="1"/>
  <c r="BD215" i="1"/>
  <c r="BC215" i="1"/>
  <c r="BB215" i="1"/>
  <c r="BA215" i="1"/>
  <c r="AZ215" i="1"/>
  <c r="AY215" i="1"/>
  <c r="AX215" i="1"/>
  <c r="M215" i="1"/>
  <c r="EM193" i="1"/>
  <c r="DU193" i="1"/>
  <c r="DT193" i="1"/>
  <c r="DN193" i="1"/>
  <c r="DM193" i="1"/>
  <c r="DL193" i="1"/>
  <c r="DK193" i="1"/>
  <c r="DI193" i="1"/>
  <c r="DJ193" i="1" s="1"/>
  <c r="DC193" i="1"/>
  <c r="CX193" i="1"/>
  <c r="CN193" i="1"/>
  <c r="BV193" i="1"/>
  <c r="BX193" i="1" s="1"/>
  <c r="BU193" i="1"/>
  <c r="BN193" i="1"/>
  <c r="BO193" i="1" s="1"/>
  <c r="BM193" i="1"/>
  <c r="BD193" i="1"/>
  <c r="BC193" i="1"/>
  <c r="BB193" i="1"/>
  <c r="BA193" i="1"/>
  <c r="AZ193" i="1"/>
  <c r="AY193" i="1"/>
  <c r="AX193" i="1"/>
  <c r="M193" i="1"/>
  <c r="EM122" i="1"/>
  <c r="DU122" i="1"/>
  <c r="DT122" i="1"/>
  <c r="DN122" i="1"/>
  <c r="DM122" i="1"/>
  <c r="DL122" i="1"/>
  <c r="DK122" i="1"/>
  <c r="DI122" i="1"/>
  <c r="DJ122" i="1" s="1"/>
  <c r="DC122" i="1"/>
  <c r="CX122" i="1"/>
  <c r="CN122" i="1"/>
  <c r="BV122" i="1"/>
  <c r="BX122" i="1" s="1"/>
  <c r="BU122" i="1"/>
  <c r="BN122" i="1"/>
  <c r="BO122" i="1" s="1"/>
  <c r="BM122" i="1"/>
  <c r="BD122" i="1"/>
  <c r="BC122" i="1"/>
  <c r="BB122" i="1"/>
  <c r="BA122" i="1"/>
  <c r="AZ122" i="1"/>
  <c r="BF122" i="1" s="1" a="1"/>
  <c r="BF122" i="1" s="1"/>
  <c r="AY122" i="1"/>
  <c r="AX122" i="1"/>
  <c r="M122" i="1"/>
  <c r="EM1046" i="1"/>
  <c r="DU1046" i="1"/>
  <c r="DT1046" i="1"/>
  <c r="DN1046" i="1"/>
  <c r="DM1046" i="1"/>
  <c r="DL1046" i="1"/>
  <c r="DK1046" i="1"/>
  <c r="DI1046" i="1"/>
  <c r="DJ1046" i="1" s="1"/>
  <c r="DC1046" i="1"/>
  <c r="CX1046" i="1"/>
  <c r="CN1046" i="1"/>
  <c r="CP1046" i="1" s="1"/>
  <c r="BV1046" i="1"/>
  <c r="BX1046" i="1" s="1"/>
  <c r="BU1046" i="1"/>
  <c r="BN1046" i="1"/>
  <c r="BO1046" i="1" s="1"/>
  <c r="BM1046" i="1"/>
  <c r="BD1046" i="1"/>
  <c r="BC1046" i="1"/>
  <c r="BB1046" i="1"/>
  <c r="BA1046" i="1"/>
  <c r="AZ1046" i="1"/>
  <c r="BF1046" i="1" s="1" a="1"/>
  <c r="BF1046" i="1" s="1"/>
  <c r="AY1046" i="1"/>
  <c r="BE1046" i="1" s="1" a="1"/>
  <c r="BE1046" i="1" s="1"/>
  <c r="AX1046" i="1"/>
  <c r="M1046" i="1"/>
  <c r="EM1045" i="1"/>
  <c r="DU1045" i="1"/>
  <c r="DT1045" i="1"/>
  <c r="DN1045" i="1"/>
  <c r="DM1045" i="1"/>
  <c r="DL1045" i="1"/>
  <c r="DK1045" i="1"/>
  <c r="DI1045" i="1"/>
  <c r="DJ1045" i="1" s="1"/>
  <c r="DC1045" i="1"/>
  <c r="CX1045" i="1"/>
  <c r="CN1045" i="1"/>
  <c r="CP1045" i="1" s="1"/>
  <c r="BV1045" i="1"/>
  <c r="BX1045" i="1" s="1"/>
  <c r="BU1045" i="1"/>
  <c r="BN1045" i="1"/>
  <c r="BO1045" i="1" s="1"/>
  <c r="BM1045" i="1"/>
  <c r="BD1045" i="1"/>
  <c r="BC1045" i="1"/>
  <c r="BB1045" i="1"/>
  <c r="BA1045" i="1"/>
  <c r="AZ1045" i="1"/>
  <c r="BF1045" i="1" s="1" a="1"/>
  <c r="BF1045" i="1" s="1"/>
  <c r="AY1045" i="1"/>
  <c r="BE1045" i="1" s="1" a="1"/>
  <c r="BE1045" i="1" s="1"/>
  <c r="AX1045" i="1"/>
  <c r="M1045" i="1"/>
  <c r="EM1044" i="1"/>
  <c r="DU1044" i="1"/>
  <c r="DT1044" i="1"/>
  <c r="DN1044" i="1"/>
  <c r="DM1044" i="1"/>
  <c r="DL1044" i="1"/>
  <c r="DK1044" i="1"/>
  <c r="DI1044" i="1"/>
  <c r="DJ1044" i="1" s="1"/>
  <c r="DC1044" i="1"/>
  <c r="CX1044" i="1"/>
  <c r="CN1044" i="1"/>
  <c r="BV1044" i="1"/>
  <c r="BX1044" i="1" s="1"/>
  <c r="BU1044" i="1"/>
  <c r="BN1044" i="1"/>
  <c r="BO1044" i="1" s="1"/>
  <c r="BM1044" i="1"/>
  <c r="BD1044" i="1"/>
  <c r="BC1044" i="1"/>
  <c r="BB1044" i="1"/>
  <c r="BA1044" i="1"/>
  <c r="AZ1044" i="1"/>
  <c r="BF1044" i="1" s="1" a="1"/>
  <c r="BF1044" i="1" s="1"/>
  <c r="AY1044" i="1"/>
  <c r="BE1044" i="1" s="1" a="1"/>
  <c r="BE1044" i="1" s="1"/>
  <c r="AX1044" i="1"/>
  <c r="M1044" i="1"/>
  <c r="EM1034" i="1"/>
  <c r="DU1034" i="1"/>
  <c r="DT1034" i="1"/>
  <c r="DN1034" i="1"/>
  <c r="DM1034" i="1"/>
  <c r="DL1034" i="1"/>
  <c r="DK1034" i="1"/>
  <c r="DI1034" i="1"/>
  <c r="DJ1034" i="1" s="1"/>
  <c r="DC1034" i="1"/>
  <c r="CX1034" i="1"/>
  <c r="CN1034" i="1"/>
  <c r="BV1034" i="1"/>
  <c r="BX1034" i="1" s="1"/>
  <c r="BU1034" i="1"/>
  <c r="BN1034" i="1"/>
  <c r="BO1034" i="1" s="1"/>
  <c r="BM1034" i="1"/>
  <c r="BD1034" i="1"/>
  <c r="BC1034" i="1"/>
  <c r="BB1034" i="1"/>
  <c r="BA1034" i="1"/>
  <c r="AZ1034" i="1"/>
  <c r="AY1034" i="1"/>
  <c r="BE1034" i="1" s="1" a="1"/>
  <c r="BE1034" i="1" s="1"/>
  <c r="AX1034" i="1"/>
  <c r="M1034" i="1"/>
  <c r="EM1043" i="1"/>
  <c r="DU1043" i="1"/>
  <c r="DT1043" i="1"/>
  <c r="DN1043" i="1"/>
  <c r="DM1043" i="1"/>
  <c r="DL1043" i="1"/>
  <c r="DK1043" i="1"/>
  <c r="DI1043" i="1"/>
  <c r="DJ1043" i="1" s="1"/>
  <c r="DC1043" i="1"/>
  <c r="CX1043" i="1"/>
  <c r="CN1043" i="1"/>
  <c r="BV1043" i="1"/>
  <c r="BX1043" i="1" s="1"/>
  <c r="BU1043" i="1"/>
  <c r="BN1043" i="1"/>
  <c r="BO1043" i="1" s="1"/>
  <c r="BM1043" i="1"/>
  <c r="BD1043" i="1"/>
  <c r="BC1043" i="1"/>
  <c r="BB1043" i="1"/>
  <c r="BA1043" i="1"/>
  <c r="AZ1043" i="1"/>
  <c r="AY1043" i="1"/>
  <c r="BE1043" i="1" s="1" a="1"/>
  <c r="BE1043" i="1" s="1"/>
  <c r="AX1043" i="1"/>
  <c r="M1043" i="1"/>
  <c r="EM1033" i="1"/>
  <c r="DU1033" i="1"/>
  <c r="DT1033" i="1"/>
  <c r="DN1033" i="1"/>
  <c r="DM1033" i="1"/>
  <c r="DL1033" i="1"/>
  <c r="DK1033" i="1"/>
  <c r="DI1033" i="1"/>
  <c r="DJ1033" i="1" s="1"/>
  <c r="DC1033" i="1"/>
  <c r="CX1033" i="1"/>
  <c r="CN1033" i="1"/>
  <c r="BV1033" i="1"/>
  <c r="BX1033" i="1" s="1"/>
  <c r="BU1033" i="1"/>
  <c r="BN1033" i="1"/>
  <c r="BO1033" i="1" s="1"/>
  <c r="BM1033" i="1"/>
  <c r="BD1033" i="1"/>
  <c r="BC1033" i="1"/>
  <c r="BB1033" i="1"/>
  <c r="BA1033" i="1"/>
  <c r="AZ1033" i="1"/>
  <c r="AY1033" i="1"/>
  <c r="BE1033" i="1" s="1" a="1"/>
  <c r="BE1033" i="1" s="1"/>
  <c r="AX1033" i="1"/>
  <c r="M1033" i="1"/>
  <c r="EM1040" i="1"/>
  <c r="DU1040" i="1"/>
  <c r="DT1040" i="1"/>
  <c r="DN1040" i="1"/>
  <c r="DM1040" i="1"/>
  <c r="DL1040" i="1"/>
  <c r="DK1040" i="1"/>
  <c r="DI1040" i="1"/>
  <c r="DJ1040" i="1" s="1"/>
  <c r="DC1040" i="1"/>
  <c r="CX1040" i="1"/>
  <c r="CN1040" i="1"/>
  <c r="CP1040" i="1" s="1"/>
  <c r="BV1040" i="1"/>
  <c r="BX1040" i="1" s="1"/>
  <c r="BU1040" i="1"/>
  <c r="BN1040" i="1"/>
  <c r="BO1040" i="1" s="1"/>
  <c r="BM1040" i="1"/>
  <c r="BD1040" i="1"/>
  <c r="BC1040" i="1"/>
  <c r="BB1040" i="1"/>
  <c r="BA1040" i="1"/>
  <c r="AZ1040" i="1"/>
  <c r="AY1040" i="1"/>
  <c r="BE1040" i="1" s="1" a="1"/>
  <c r="BE1040" i="1" s="1"/>
  <c r="AX1040" i="1"/>
  <c r="M1040" i="1"/>
  <c r="EM1032" i="1"/>
  <c r="DU1032" i="1"/>
  <c r="DT1032" i="1"/>
  <c r="DN1032" i="1"/>
  <c r="DM1032" i="1"/>
  <c r="DL1032" i="1"/>
  <c r="DK1032" i="1"/>
  <c r="DI1032" i="1"/>
  <c r="DJ1032" i="1" s="1"/>
  <c r="DC1032" i="1"/>
  <c r="CX1032" i="1"/>
  <c r="CN1032" i="1"/>
  <c r="CP1032" i="1" s="1"/>
  <c r="BV1032" i="1"/>
  <c r="BX1032" i="1" s="1"/>
  <c r="BU1032" i="1"/>
  <c r="BN1032" i="1"/>
  <c r="BO1032" i="1" s="1"/>
  <c r="BM1032" i="1"/>
  <c r="BD1032" i="1"/>
  <c r="BC1032" i="1"/>
  <c r="BB1032" i="1"/>
  <c r="BA1032" i="1"/>
  <c r="AZ1032" i="1"/>
  <c r="BF1032" i="1" s="1" a="1"/>
  <c r="BF1032" i="1" s="1"/>
  <c r="AY1032" i="1"/>
  <c r="BE1032" i="1" s="1" a="1"/>
  <c r="BE1032" i="1" s="1"/>
  <c r="AX1032" i="1"/>
  <c r="M1032" i="1"/>
  <c r="EM1031" i="1"/>
  <c r="DU1031" i="1"/>
  <c r="DT1031" i="1"/>
  <c r="DN1031" i="1"/>
  <c r="DM1031" i="1"/>
  <c r="DL1031" i="1"/>
  <c r="DK1031" i="1"/>
  <c r="DI1031" i="1"/>
  <c r="DJ1031" i="1" s="1"/>
  <c r="DC1031" i="1"/>
  <c r="CX1031" i="1"/>
  <c r="CN1031" i="1"/>
  <c r="CO1031" i="1" s="1"/>
  <c r="BV1031" i="1"/>
  <c r="BX1031" i="1" s="1"/>
  <c r="BU1031" i="1"/>
  <c r="BN1031" i="1"/>
  <c r="BO1031" i="1" s="1"/>
  <c r="BM1031" i="1"/>
  <c r="BD1031" i="1"/>
  <c r="BC1031" i="1"/>
  <c r="BB1031" i="1"/>
  <c r="BA1031" i="1"/>
  <c r="AZ1031" i="1"/>
  <c r="BF1031" i="1" s="1" a="1"/>
  <c r="BF1031" i="1" s="1"/>
  <c r="AY1031" i="1"/>
  <c r="BE1031" i="1" s="1" a="1"/>
  <c r="BE1031" i="1" s="1"/>
  <c r="AX1031" i="1"/>
  <c r="M1031" i="1"/>
  <c r="EM1039" i="1"/>
  <c r="DU1039" i="1"/>
  <c r="DT1039" i="1"/>
  <c r="DN1039" i="1"/>
  <c r="DM1039" i="1"/>
  <c r="DL1039" i="1"/>
  <c r="DK1039" i="1"/>
  <c r="DI1039" i="1"/>
  <c r="DJ1039" i="1" s="1"/>
  <c r="DC1039" i="1"/>
  <c r="CX1039" i="1"/>
  <c r="CN1039" i="1"/>
  <c r="BV1039" i="1"/>
  <c r="BX1039" i="1" s="1"/>
  <c r="BU1039" i="1"/>
  <c r="BN1039" i="1"/>
  <c r="BO1039" i="1" s="1"/>
  <c r="BM1039" i="1"/>
  <c r="BD1039" i="1"/>
  <c r="BC1039" i="1"/>
  <c r="BB1039" i="1"/>
  <c r="BA1039" i="1"/>
  <c r="AZ1039" i="1"/>
  <c r="AY1039" i="1"/>
  <c r="BE1039" i="1" s="1" a="1"/>
  <c r="BE1039" i="1" s="1"/>
  <c r="AX1039" i="1"/>
  <c r="M1039" i="1"/>
  <c r="EM1038" i="1"/>
  <c r="DU1038" i="1"/>
  <c r="DT1038" i="1"/>
  <c r="DN1038" i="1"/>
  <c r="DM1038" i="1"/>
  <c r="DL1038" i="1"/>
  <c r="DK1038" i="1"/>
  <c r="DI1038" i="1"/>
  <c r="DJ1038" i="1" s="1"/>
  <c r="DC1038" i="1"/>
  <c r="CX1038" i="1"/>
  <c r="CN1038" i="1"/>
  <c r="CP1038" i="1" s="1"/>
  <c r="BV1038" i="1"/>
  <c r="BX1038" i="1" s="1"/>
  <c r="BU1038" i="1"/>
  <c r="BN1038" i="1"/>
  <c r="BO1038" i="1" s="1"/>
  <c r="BM1038" i="1"/>
  <c r="BD1038" i="1"/>
  <c r="BC1038" i="1"/>
  <c r="BB1038" i="1"/>
  <c r="BA1038" i="1"/>
  <c r="AZ1038" i="1"/>
  <c r="BF1038" i="1" s="1" a="1"/>
  <c r="BF1038" i="1" s="1"/>
  <c r="AY1038" i="1"/>
  <c r="BE1038" i="1" s="1" a="1"/>
  <c r="BE1038" i="1" s="1"/>
  <c r="AX1038" i="1"/>
  <c r="M1038" i="1"/>
  <c r="EM1037" i="1"/>
  <c r="DU1037" i="1"/>
  <c r="DT1037" i="1"/>
  <c r="DN1037" i="1"/>
  <c r="DM1037" i="1"/>
  <c r="DL1037" i="1"/>
  <c r="DK1037" i="1"/>
  <c r="DI1037" i="1"/>
  <c r="DJ1037" i="1" s="1"/>
  <c r="DC1037" i="1"/>
  <c r="CX1037" i="1"/>
  <c r="CN1037" i="1"/>
  <c r="CP1037" i="1" s="1"/>
  <c r="BV1037" i="1"/>
  <c r="BX1037" i="1" s="1"/>
  <c r="BU1037" i="1"/>
  <c r="BN1037" i="1"/>
  <c r="BO1037" i="1" s="1"/>
  <c r="BM1037" i="1"/>
  <c r="BD1037" i="1"/>
  <c r="BC1037" i="1"/>
  <c r="BB1037" i="1"/>
  <c r="BA1037" i="1"/>
  <c r="AZ1037" i="1"/>
  <c r="AY1037" i="1"/>
  <c r="BE1037" i="1" s="1" a="1"/>
  <c r="BE1037" i="1" s="1"/>
  <c r="AX1037" i="1"/>
  <c r="M1037" i="1"/>
  <c r="EM1042" i="1"/>
  <c r="DU1042" i="1"/>
  <c r="DT1042" i="1"/>
  <c r="DN1042" i="1"/>
  <c r="DM1042" i="1"/>
  <c r="DL1042" i="1"/>
  <c r="DK1042" i="1"/>
  <c r="DI1042" i="1"/>
  <c r="DJ1042" i="1" s="1"/>
  <c r="DC1042" i="1"/>
  <c r="CX1042" i="1"/>
  <c r="CN1042" i="1"/>
  <c r="CO1042" i="1" s="1"/>
  <c r="BV1042" i="1"/>
  <c r="BX1042" i="1" s="1"/>
  <c r="BU1042" i="1"/>
  <c r="BN1042" i="1"/>
  <c r="BO1042" i="1" s="1"/>
  <c r="BM1042" i="1"/>
  <c r="BD1042" i="1"/>
  <c r="BC1042" i="1"/>
  <c r="BB1042" i="1"/>
  <c r="BA1042" i="1"/>
  <c r="AZ1042" i="1"/>
  <c r="AY1042" i="1"/>
  <c r="BE1042" i="1" s="1" a="1"/>
  <c r="BE1042" i="1" s="1"/>
  <c r="AX1042" i="1"/>
  <c r="M1042" i="1"/>
  <c r="EM1030" i="1"/>
  <c r="DU1030" i="1"/>
  <c r="DT1030" i="1"/>
  <c r="DN1030" i="1"/>
  <c r="DM1030" i="1"/>
  <c r="DL1030" i="1"/>
  <c r="DK1030" i="1"/>
  <c r="DI1030" i="1"/>
  <c r="DJ1030" i="1" s="1"/>
  <c r="DC1030" i="1"/>
  <c r="CX1030" i="1"/>
  <c r="CN1030" i="1"/>
  <c r="CP1030" i="1" s="1"/>
  <c r="BV1030" i="1"/>
  <c r="BX1030" i="1" s="1"/>
  <c r="BU1030" i="1"/>
  <c r="BN1030" i="1"/>
  <c r="BO1030" i="1" s="1"/>
  <c r="BM1030" i="1"/>
  <c r="BD1030" i="1"/>
  <c r="BC1030" i="1"/>
  <c r="BB1030" i="1"/>
  <c r="BA1030" i="1"/>
  <c r="AZ1030" i="1"/>
  <c r="AY1030" i="1"/>
  <c r="BE1030" i="1" s="1" a="1"/>
  <c r="BE1030" i="1" s="1"/>
  <c r="AX1030" i="1"/>
  <c r="M1030" i="1"/>
  <c r="EM1036" i="1"/>
  <c r="DU1036" i="1"/>
  <c r="DT1036" i="1"/>
  <c r="DN1036" i="1"/>
  <c r="DM1036" i="1"/>
  <c r="DL1036" i="1"/>
  <c r="DK1036" i="1"/>
  <c r="DI1036" i="1"/>
  <c r="DJ1036" i="1" s="1"/>
  <c r="DC1036" i="1"/>
  <c r="CX1036" i="1"/>
  <c r="CN1036" i="1"/>
  <c r="CO1036" i="1" s="1"/>
  <c r="BV1036" i="1"/>
  <c r="BX1036" i="1" s="1"/>
  <c r="BU1036" i="1"/>
  <c r="BN1036" i="1"/>
  <c r="BO1036" i="1" s="1"/>
  <c r="BM1036" i="1"/>
  <c r="BD1036" i="1"/>
  <c r="BC1036" i="1"/>
  <c r="BB1036" i="1"/>
  <c r="BA1036" i="1"/>
  <c r="AZ1036" i="1"/>
  <c r="AY1036" i="1"/>
  <c r="BE1036" i="1" s="1" a="1"/>
  <c r="BE1036" i="1" s="1"/>
  <c r="AX1036" i="1"/>
  <c r="M1036" i="1"/>
  <c r="EM838" i="1"/>
  <c r="DU838" i="1"/>
  <c r="DT838" i="1"/>
  <c r="DN838" i="1"/>
  <c r="DM838" i="1"/>
  <c r="DL838" i="1"/>
  <c r="DK838" i="1"/>
  <c r="DI838" i="1"/>
  <c r="DJ838" i="1" s="1"/>
  <c r="DC838" i="1"/>
  <c r="CX838" i="1"/>
  <c r="CN838" i="1"/>
  <c r="BV838" i="1"/>
  <c r="BX838" i="1" s="1"/>
  <c r="BU838" i="1"/>
  <c r="BN838" i="1"/>
  <c r="BO838" i="1" s="1"/>
  <c r="BD838" i="1"/>
  <c r="BC838" i="1"/>
  <c r="BB838" i="1"/>
  <c r="BA838" i="1"/>
  <c r="AZ838" i="1"/>
  <c r="BF838" i="1" s="1" a="1"/>
  <c r="BF838" i="1" s="1"/>
  <c r="AY838" i="1"/>
  <c r="BE838" i="1" s="1" a="1"/>
  <c r="BE838" i="1" s="1"/>
  <c r="AX838" i="1"/>
  <c r="M838" i="1"/>
  <c r="EM830" i="1"/>
  <c r="DU830" i="1"/>
  <c r="DT830" i="1"/>
  <c r="DN830" i="1"/>
  <c r="DM830" i="1"/>
  <c r="DL830" i="1"/>
  <c r="DK830" i="1"/>
  <c r="DI830" i="1"/>
  <c r="DJ830" i="1" s="1"/>
  <c r="DC830" i="1"/>
  <c r="CX830" i="1"/>
  <c r="CN830" i="1"/>
  <c r="BV830" i="1"/>
  <c r="BX830" i="1" s="1"/>
  <c r="BU830" i="1"/>
  <c r="BN830" i="1"/>
  <c r="BO830" i="1" s="1"/>
  <c r="BD830" i="1"/>
  <c r="BC830" i="1"/>
  <c r="BB830" i="1"/>
  <c r="BA830" i="1"/>
  <c r="AZ830" i="1"/>
  <c r="BF830" i="1" s="1" a="1"/>
  <c r="BF830" i="1" s="1"/>
  <c r="AY830" i="1"/>
  <c r="BE830" i="1" s="1" a="1"/>
  <c r="BE830" i="1" s="1"/>
  <c r="AX830" i="1"/>
  <c r="M830" i="1"/>
  <c r="EM824" i="1"/>
  <c r="DU824" i="1"/>
  <c r="DT824" i="1"/>
  <c r="DN824" i="1"/>
  <c r="DM824" i="1"/>
  <c r="DL824" i="1"/>
  <c r="DK824" i="1"/>
  <c r="DI824" i="1"/>
  <c r="DJ824" i="1" s="1"/>
  <c r="DC824" i="1"/>
  <c r="CX824" i="1"/>
  <c r="CN824" i="1"/>
  <c r="CO824" i="1" s="1"/>
  <c r="BV824" i="1"/>
  <c r="BX824" i="1" s="1"/>
  <c r="BU824" i="1"/>
  <c r="BN824" i="1"/>
  <c r="BO824" i="1" s="1"/>
  <c r="BD824" i="1"/>
  <c r="BC824" i="1"/>
  <c r="BB824" i="1"/>
  <c r="BA824" i="1"/>
  <c r="AZ824" i="1"/>
  <c r="AY824" i="1"/>
  <c r="BE824" i="1" s="1" a="1"/>
  <c r="BE824" i="1" s="1"/>
  <c r="AX824" i="1"/>
  <c r="M824" i="1"/>
  <c r="EM291" i="1"/>
  <c r="DU291" i="1"/>
  <c r="DT291" i="1"/>
  <c r="DN291" i="1"/>
  <c r="DM291" i="1"/>
  <c r="DL291" i="1"/>
  <c r="DK291" i="1"/>
  <c r="DI291" i="1"/>
  <c r="DJ291" i="1" s="1"/>
  <c r="DC291" i="1"/>
  <c r="CX291" i="1"/>
  <c r="CN291" i="1"/>
  <c r="BV291" i="1"/>
  <c r="BX291" i="1" s="1"/>
  <c r="BU291" i="1"/>
  <c r="BN291" i="1"/>
  <c r="BO291" i="1" s="1"/>
  <c r="BD291" i="1"/>
  <c r="BC291" i="1"/>
  <c r="BB291" i="1"/>
  <c r="BA291" i="1"/>
  <c r="AZ291" i="1"/>
  <c r="AY291" i="1"/>
  <c r="BE291" i="1" s="1" a="1"/>
  <c r="BE291" i="1" s="1"/>
  <c r="AX291" i="1"/>
  <c r="M291" i="1"/>
  <c r="EM272" i="1"/>
  <c r="DU272" i="1"/>
  <c r="DT272" i="1"/>
  <c r="DN272" i="1"/>
  <c r="DM272" i="1"/>
  <c r="DL272" i="1"/>
  <c r="DK272" i="1"/>
  <c r="DI272" i="1"/>
  <c r="DJ272" i="1" s="1"/>
  <c r="DC272" i="1"/>
  <c r="CX272" i="1"/>
  <c r="CN272" i="1"/>
  <c r="CS272" i="1" s="1"/>
  <c r="BV272" i="1"/>
  <c r="BX272" i="1" s="1"/>
  <c r="BU272" i="1"/>
  <c r="BN272" i="1"/>
  <c r="BO272" i="1" s="1"/>
  <c r="BD272" i="1"/>
  <c r="BC272" i="1"/>
  <c r="BB272" i="1"/>
  <c r="BA272" i="1"/>
  <c r="AZ272" i="1"/>
  <c r="BF272" i="1" s="1" a="1"/>
  <c r="BF272" i="1" s="1"/>
  <c r="AY272" i="1"/>
  <c r="BE272" i="1" s="1" a="1"/>
  <c r="BE272" i="1" s="1"/>
  <c r="AX272" i="1"/>
  <c r="M272" i="1"/>
  <c r="EM262" i="1"/>
  <c r="DU262" i="1"/>
  <c r="DT262" i="1"/>
  <c r="DN262" i="1"/>
  <c r="DM262" i="1"/>
  <c r="DL262" i="1"/>
  <c r="DK262" i="1"/>
  <c r="DI262" i="1"/>
  <c r="DJ262" i="1" s="1"/>
  <c r="DC262" i="1"/>
  <c r="CX262" i="1"/>
  <c r="CN262" i="1"/>
  <c r="CR262" i="1" s="1"/>
  <c r="BV262" i="1"/>
  <c r="BX262" i="1" s="1"/>
  <c r="BU262" i="1"/>
  <c r="BN262" i="1"/>
  <c r="BO262" i="1" s="1"/>
  <c r="BD262" i="1"/>
  <c r="BC262" i="1"/>
  <c r="BB262" i="1"/>
  <c r="BA262" i="1"/>
  <c r="AZ262" i="1"/>
  <c r="BF262" i="1" s="1" a="1"/>
  <c r="BF262" i="1" s="1"/>
  <c r="AY262" i="1"/>
  <c r="BE262" i="1" s="1" a="1"/>
  <c r="BE262" i="1" s="1"/>
  <c r="AX262" i="1"/>
  <c r="M262" i="1"/>
  <c r="EM260" i="1"/>
  <c r="DU260" i="1"/>
  <c r="DT260" i="1"/>
  <c r="DN260" i="1"/>
  <c r="DM260" i="1"/>
  <c r="DL260" i="1"/>
  <c r="DK260" i="1"/>
  <c r="DI260" i="1"/>
  <c r="DJ260" i="1" s="1"/>
  <c r="DC260" i="1"/>
  <c r="CX260" i="1"/>
  <c r="CN260" i="1"/>
  <c r="CR260" i="1" s="1"/>
  <c r="BV260" i="1"/>
  <c r="BX260" i="1" s="1"/>
  <c r="BU260" i="1"/>
  <c r="BN260" i="1"/>
  <c r="BO260" i="1" s="1"/>
  <c r="BD260" i="1"/>
  <c r="BC260" i="1"/>
  <c r="BB260" i="1"/>
  <c r="BA260" i="1"/>
  <c r="AZ260" i="1"/>
  <c r="AY260" i="1"/>
  <c r="BE260" i="1" s="1" a="1"/>
  <c r="BE260" i="1" s="1"/>
  <c r="AX260" i="1"/>
  <c r="M260" i="1"/>
  <c r="EM259" i="1"/>
  <c r="DU259" i="1"/>
  <c r="DT259" i="1"/>
  <c r="DN259" i="1"/>
  <c r="DM259" i="1"/>
  <c r="DL259" i="1"/>
  <c r="DK259" i="1"/>
  <c r="DI259" i="1"/>
  <c r="DJ259" i="1" s="1"/>
  <c r="DC259" i="1"/>
  <c r="CX259" i="1"/>
  <c r="CN259" i="1"/>
  <c r="CR259" i="1" s="1"/>
  <c r="BV259" i="1"/>
  <c r="BX259" i="1" s="1"/>
  <c r="BU259" i="1"/>
  <c r="BN259" i="1"/>
  <c r="BO259" i="1" s="1"/>
  <c r="BD259" i="1"/>
  <c r="BC259" i="1"/>
  <c r="BB259" i="1"/>
  <c r="BA259" i="1"/>
  <c r="AZ259" i="1"/>
  <c r="AY259" i="1"/>
  <c r="BE259" i="1" s="1" a="1"/>
  <c r="BE259" i="1" s="1"/>
  <c r="AX259" i="1"/>
  <c r="M259" i="1"/>
  <c r="EM239" i="1"/>
  <c r="DU239" i="1"/>
  <c r="DT239" i="1"/>
  <c r="DN239" i="1"/>
  <c r="DM239" i="1"/>
  <c r="DL239" i="1"/>
  <c r="DK239" i="1"/>
  <c r="DI239" i="1"/>
  <c r="DJ239" i="1" s="1"/>
  <c r="DC239" i="1"/>
  <c r="CX239" i="1"/>
  <c r="CN239" i="1"/>
  <c r="CP239" i="1" s="1"/>
  <c r="BV239" i="1"/>
  <c r="BX239" i="1" s="1"/>
  <c r="BU239" i="1"/>
  <c r="BN239" i="1"/>
  <c r="BO239" i="1" s="1"/>
  <c r="BD239" i="1"/>
  <c r="BC239" i="1"/>
  <c r="BB239" i="1"/>
  <c r="BA239" i="1"/>
  <c r="AZ239" i="1"/>
  <c r="BF239" i="1" s="1" a="1"/>
  <c r="BF239" i="1" s="1"/>
  <c r="AY239" i="1"/>
  <c r="BE239" i="1" s="1" a="1"/>
  <c r="BE239" i="1" s="1"/>
  <c r="AX239" i="1"/>
  <c r="M239" i="1"/>
  <c r="EM232" i="1"/>
  <c r="DU232" i="1"/>
  <c r="DT232" i="1"/>
  <c r="DN232" i="1"/>
  <c r="DM232" i="1"/>
  <c r="DL232" i="1"/>
  <c r="DK232" i="1"/>
  <c r="DI232" i="1"/>
  <c r="DJ232" i="1" s="1"/>
  <c r="DC232" i="1"/>
  <c r="CX232" i="1"/>
  <c r="CN232" i="1"/>
  <c r="BV232" i="1"/>
  <c r="BX232" i="1" s="1"/>
  <c r="BU232" i="1"/>
  <c r="BN232" i="1"/>
  <c r="BO232" i="1" s="1"/>
  <c r="BD232" i="1"/>
  <c r="BC232" i="1"/>
  <c r="BB232" i="1"/>
  <c r="BA232" i="1"/>
  <c r="AZ232" i="1"/>
  <c r="BF232" i="1" s="1" a="1"/>
  <c r="BF232" i="1" s="1"/>
  <c r="AY232" i="1"/>
  <c r="BE232" i="1" s="1" a="1"/>
  <c r="BE232" i="1" s="1"/>
  <c r="AX232" i="1"/>
  <c r="M232" i="1"/>
  <c r="EM230" i="1"/>
  <c r="DU230" i="1"/>
  <c r="DT230" i="1"/>
  <c r="DN230" i="1"/>
  <c r="DM230" i="1"/>
  <c r="DL230" i="1"/>
  <c r="DK230" i="1"/>
  <c r="DI230" i="1"/>
  <c r="DJ230" i="1" s="1"/>
  <c r="DC230" i="1"/>
  <c r="CX230" i="1"/>
  <c r="CN230" i="1"/>
  <c r="BV230" i="1"/>
  <c r="BX230" i="1" s="1"/>
  <c r="BU230" i="1"/>
  <c r="BN230" i="1"/>
  <c r="BO230" i="1" s="1"/>
  <c r="BD230" i="1"/>
  <c r="BC230" i="1"/>
  <c r="BB230" i="1"/>
  <c r="BA230" i="1"/>
  <c r="AZ230" i="1"/>
  <c r="AY230" i="1"/>
  <c r="BE230" i="1" s="1" a="1"/>
  <c r="BE230" i="1" s="1"/>
  <c r="AX230" i="1"/>
  <c r="M230" i="1"/>
  <c r="EM225" i="1"/>
  <c r="DU225" i="1"/>
  <c r="DT225" i="1"/>
  <c r="DN225" i="1"/>
  <c r="DM225" i="1"/>
  <c r="DL225" i="1"/>
  <c r="DK225" i="1"/>
  <c r="DI225" i="1"/>
  <c r="DJ225" i="1" s="1"/>
  <c r="DC225" i="1"/>
  <c r="CX225" i="1"/>
  <c r="CN225" i="1"/>
  <c r="CR225" i="1" s="1"/>
  <c r="BV225" i="1"/>
  <c r="BX225" i="1" s="1"/>
  <c r="BU225" i="1"/>
  <c r="BN225" i="1"/>
  <c r="BO225" i="1" s="1"/>
  <c r="BD225" i="1"/>
  <c r="BC225" i="1"/>
  <c r="BB225" i="1"/>
  <c r="BA225" i="1"/>
  <c r="AZ225" i="1"/>
  <c r="BF225" i="1" s="1" a="1"/>
  <c r="BF225" i="1" s="1"/>
  <c r="AY225" i="1"/>
  <c r="BE225" i="1" s="1" a="1"/>
  <c r="BE225" i="1" s="1"/>
  <c r="AX225" i="1"/>
  <c r="M225" i="1"/>
  <c r="BF259" i="1" l="1" a="1"/>
  <c r="BF259" i="1" s="1"/>
  <c r="BF291" i="1" a="1"/>
  <c r="BF291" i="1" s="1"/>
  <c r="BF1036" i="1" a="1"/>
  <c r="BF1036" i="1" s="1"/>
  <c r="BF1040" i="1" a="1"/>
  <c r="BF1040" i="1" s="1"/>
  <c r="BF193" i="1" a="1"/>
  <c r="BF193" i="1" s="1"/>
  <c r="BF89" i="1" a="1"/>
  <c r="BF89" i="1" s="1"/>
  <c r="BF1035" i="1" a="1"/>
  <c r="BF1035" i="1" s="1"/>
  <c r="BF189" i="1" a="1"/>
  <c r="BF189" i="1" s="1"/>
  <c r="BF797" i="1" a="1"/>
  <c r="BF797" i="1" s="1"/>
  <c r="BF604" i="1" a="1"/>
  <c r="BF604" i="1" s="1"/>
  <c r="BF613" i="1" a="1"/>
  <c r="BF613" i="1" s="1"/>
  <c r="BF638" i="1" a="1"/>
  <c r="BF638" i="1" s="1"/>
  <c r="BF679" i="1" a="1"/>
  <c r="BF679" i="1" s="1"/>
  <c r="BF781" i="1" a="1"/>
  <c r="BF781" i="1" s="1"/>
  <c r="BF639" i="1" a="1"/>
  <c r="BF639" i="1" s="1"/>
  <c r="BF739" i="1" a="1"/>
  <c r="BF739" i="1" s="1"/>
  <c r="BF158" i="1" a="1"/>
  <c r="BF158" i="1" s="1"/>
  <c r="BF261" i="1" a="1"/>
  <c r="BF261" i="1" s="1"/>
  <c r="BF582" i="1" a="1"/>
  <c r="BF582" i="1" s="1"/>
  <c r="BF689" i="1" a="1"/>
  <c r="BF689" i="1" s="1"/>
  <c r="BF376" i="1" a="1"/>
  <c r="BF376" i="1" s="1"/>
  <c r="BF1125" i="1" a="1"/>
  <c r="BF1125" i="1" s="1"/>
  <c r="BF895" i="1" a="1"/>
  <c r="BF895" i="1" s="1"/>
  <c r="BF1011" i="1" a="1"/>
  <c r="BF1011" i="1" s="1"/>
  <c r="BF993" i="1" a="1"/>
  <c r="BF993" i="1" s="1"/>
  <c r="BF1001" i="1" a="1"/>
  <c r="BF1001" i="1" s="1"/>
  <c r="BF1140" i="1" a="1"/>
  <c r="BF1140" i="1" s="1"/>
  <c r="BF153" i="1" a="1"/>
  <c r="BF153" i="1" s="1"/>
  <c r="BF265" i="1" a="1"/>
  <c r="BF265" i="1" s="1"/>
  <c r="BF458" i="1" a="1"/>
  <c r="BF458" i="1" s="1"/>
  <c r="BF113" i="1" a="1"/>
  <c r="BF113" i="1" s="1"/>
  <c r="BE113" i="1" s="1" a="1"/>
  <c r="BE113" i="1" s="1"/>
  <c r="BF155" i="1" a="1"/>
  <c r="BF155" i="1" s="1"/>
  <c r="BE155" i="1" s="1" a="1"/>
  <c r="BE155" i="1" s="1"/>
  <c r="BF139" i="1" a="1"/>
  <c r="BF139" i="1" s="1"/>
  <c r="BF296" i="1" a="1"/>
  <c r="BF296" i="1" s="1"/>
  <c r="BF1231" i="1" a="1"/>
  <c r="BF1231" i="1" s="1"/>
  <c r="BF39" i="1" a="1"/>
  <c r="BF39" i="1" s="1"/>
  <c r="BF1209" i="1" a="1"/>
  <c r="BF1209" i="1" s="1"/>
  <c r="BF1215" i="1" a="1"/>
  <c r="BF1215" i="1" s="1"/>
  <c r="BF50" i="1" a="1"/>
  <c r="BF50" i="1" s="1"/>
  <c r="BE50" i="1" s="1" a="1"/>
  <c r="BE50" i="1" s="1"/>
  <c r="BF373" i="1" a="1"/>
  <c r="BF373" i="1" s="1"/>
  <c r="BF127" i="1" a="1"/>
  <c r="BF127" i="1" s="1"/>
  <c r="BF35" i="1" a="1"/>
  <c r="BF35" i="1" s="1"/>
  <c r="BF801" i="1" a="1"/>
  <c r="BF801" i="1" s="1"/>
  <c r="BF990" i="1" a="1"/>
  <c r="BF990" i="1" s="1"/>
  <c r="BF112" i="1" a="1"/>
  <c r="BF112" i="1" s="1"/>
  <c r="BF105" i="1" a="1"/>
  <c r="BF105" i="1" s="1"/>
  <c r="BF125" i="1" a="1"/>
  <c r="BF125" i="1" s="1"/>
  <c r="BE125" i="1" s="1" a="1"/>
  <c r="BE125" i="1" s="1"/>
  <c r="BF250" i="1" a="1"/>
  <c r="BF250" i="1" s="1"/>
  <c r="BE250" i="1" s="1" a="1"/>
  <c r="BE250" i="1" s="1"/>
  <c r="BF41" i="1" a="1"/>
  <c r="BF41" i="1" s="1"/>
  <c r="BF48" i="1" a="1"/>
  <c r="BF48" i="1" s="1"/>
  <c r="BF255" i="1" a="1"/>
  <c r="BF255" i="1" s="1"/>
  <c r="BF434" i="1" a="1"/>
  <c r="BF434" i="1" s="1"/>
  <c r="BF430" i="1" a="1"/>
  <c r="BF430" i="1" s="1"/>
  <c r="BF429" i="1" a="1"/>
  <c r="BF429" i="1" s="1"/>
  <c r="BF186" i="1" a="1"/>
  <c r="BF186" i="1" s="1"/>
  <c r="BF735" i="1" a="1"/>
  <c r="BF735" i="1" s="1"/>
  <c r="BF446" i="1" a="1"/>
  <c r="BF446" i="1" s="1"/>
  <c r="BF916" i="1" a="1"/>
  <c r="BF916" i="1" s="1"/>
  <c r="BF923" i="1" a="1"/>
  <c r="BF923" i="1" s="1"/>
  <c r="BF737" i="1" a="1"/>
  <c r="BF737" i="1" s="1"/>
  <c r="BF180" i="1" a="1"/>
  <c r="BF180" i="1" s="1"/>
  <c r="BF1609" i="1" a="1"/>
  <c r="BF1609" i="1" s="1"/>
  <c r="BF709" i="1" a="1"/>
  <c r="BF709" i="1" s="1"/>
  <c r="BE709" i="1" s="1" a="1"/>
  <c r="BE709" i="1" s="1"/>
  <c r="BF177" i="1" a="1"/>
  <c r="BF177" i="1" s="1"/>
  <c r="BF729" i="1" a="1"/>
  <c r="BF729" i="1" s="1"/>
  <c r="BF103" i="1" a="1"/>
  <c r="BF103" i="1" s="1"/>
  <c r="BF211" i="1" a="1"/>
  <c r="BF211" i="1" s="1"/>
  <c r="BF70" i="1" a="1"/>
  <c r="BF70" i="1" s="1"/>
  <c r="BF226" i="1" a="1"/>
  <c r="BF226" i="1" s="1"/>
  <c r="BF1232" i="1" a="1"/>
  <c r="BF1232" i="1" s="1"/>
  <c r="BF1211" i="1" a="1"/>
  <c r="BF1211" i="1" s="1"/>
  <c r="BE1211" i="1" s="1" a="1"/>
  <c r="BE1211" i="1" s="1"/>
  <c r="BF1217" i="1" a="1"/>
  <c r="BF1217" i="1" s="1"/>
  <c r="BE1217" i="1" s="1" a="1"/>
  <c r="BE1217" i="1" s="1"/>
  <c r="BF654" i="1" a="1"/>
  <c r="BF654" i="1" s="1"/>
  <c r="BF944" i="1" a="1"/>
  <c r="BF944" i="1" s="1"/>
  <c r="BF1222" i="1" a="1"/>
  <c r="BF1222" i="1" s="1"/>
  <c r="BF985" i="1" a="1"/>
  <c r="BF985" i="1" s="1"/>
  <c r="BF1039" i="1" a="1"/>
  <c r="BF1039" i="1" s="1"/>
  <c r="BF73" i="1" a="1"/>
  <c r="BF73" i="1" s="1"/>
  <c r="BF610" i="1" a="1"/>
  <c r="BF610" i="1" s="1"/>
  <c r="BF615" i="1" a="1"/>
  <c r="BF615" i="1" s="1"/>
  <c r="BF713" i="1" a="1"/>
  <c r="BF713" i="1" s="1"/>
  <c r="BF690" i="1" a="1"/>
  <c r="BF690" i="1" s="1"/>
  <c r="BF798" i="1" a="1"/>
  <c r="BF798" i="1" s="1"/>
  <c r="BF678" i="1" a="1"/>
  <c r="BF678" i="1" s="1"/>
  <c r="BF748" i="1" a="1"/>
  <c r="BF748" i="1" s="1"/>
  <c r="BF283" i="1" a="1"/>
  <c r="BF283" i="1" s="1"/>
  <c r="BF575" i="1" a="1"/>
  <c r="BF575" i="1" s="1"/>
  <c r="BF300" i="1" a="1"/>
  <c r="BF300" i="1" s="1"/>
  <c r="BF304" i="1" a="1"/>
  <c r="BF304" i="1" s="1"/>
  <c r="BF294" i="1" a="1"/>
  <c r="BF294" i="1" s="1"/>
  <c r="BF540" i="1" a="1"/>
  <c r="BF540" i="1" s="1"/>
  <c r="BF317" i="1" a="1"/>
  <c r="BF317" i="1" s="1"/>
  <c r="BF783" i="1" a="1"/>
  <c r="BF783" i="1" s="1"/>
  <c r="BF1124" i="1" a="1"/>
  <c r="BF1124" i="1" s="1"/>
  <c r="BF1003" i="1" a="1"/>
  <c r="BF1003" i="1" s="1"/>
  <c r="BF133" i="1" a="1"/>
  <c r="BF133" i="1" s="1"/>
  <c r="BF24" i="1" a="1"/>
  <c r="BF24" i="1" s="1"/>
  <c r="BF1139" i="1" a="1"/>
  <c r="BF1139" i="1" s="1"/>
  <c r="BF325" i="1" a="1"/>
  <c r="BF325" i="1" s="1"/>
  <c r="BF318" i="1" a="1"/>
  <c r="BF318" i="1" s="1"/>
  <c r="BF1155" i="1" a="1"/>
  <c r="BF1155" i="1" s="1"/>
  <c r="BF1157" i="1" a="1"/>
  <c r="BF1157" i="1" s="1"/>
  <c r="BF456" i="1" a="1"/>
  <c r="BF456" i="1" s="1"/>
  <c r="BF426" i="1" a="1"/>
  <c r="BF426" i="1" s="1"/>
  <c r="BF412" i="1" a="1"/>
  <c r="BF412" i="1" s="1"/>
  <c r="BF973" i="1" a="1"/>
  <c r="BF973" i="1" s="1"/>
  <c r="BF754" i="1" a="1"/>
  <c r="BF754" i="1" s="1"/>
  <c r="BF423" i="1" a="1"/>
  <c r="BF423" i="1" s="1"/>
  <c r="BF85" i="1" a="1"/>
  <c r="BF85" i="1" s="1"/>
  <c r="BF1202" i="1" a="1"/>
  <c r="BF1202" i="1" s="1"/>
  <c r="BF879" i="1" a="1"/>
  <c r="BF879" i="1" s="1"/>
  <c r="BE879" i="1" s="1" a="1"/>
  <c r="BE879" i="1" s="1"/>
  <c r="BF98" i="1" a="1"/>
  <c r="BF98" i="1" s="1"/>
  <c r="BF636" i="1" a="1"/>
  <c r="BF636" i="1" s="1"/>
  <c r="BF989" i="1" a="1"/>
  <c r="BF989" i="1" s="1"/>
  <c r="BF92" i="1" a="1"/>
  <c r="BF92" i="1" s="1"/>
  <c r="BF200" i="1" a="1"/>
  <c r="BF200" i="1" s="1"/>
  <c r="BF249" i="1" a="1"/>
  <c r="BF249" i="1" s="1"/>
  <c r="BE249" i="1" s="1" a="1"/>
  <c r="BE249" i="1" s="1"/>
  <c r="BF209" i="1" a="1"/>
  <c r="BF209" i="1" s="1"/>
  <c r="BF1230" i="1" a="1"/>
  <c r="BF1230" i="1" s="1"/>
  <c r="BF722" i="1" a="1"/>
  <c r="BF722" i="1" s="1"/>
  <c r="BF728" i="1" a="1"/>
  <c r="BF728" i="1" s="1"/>
  <c r="BF736" i="1" a="1"/>
  <c r="BF736" i="1" s="1"/>
  <c r="BF819" i="1" a="1"/>
  <c r="BF819" i="1" s="1"/>
  <c r="BF612" i="1" a="1"/>
  <c r="BF612" i="1" s="1"/>
  <c r="BF733" i="1" a="1"/>
  <c r="BF733" i="1" s="1"/>
  <c r="BF644" i="1" a="1"/>
  <c r="BF644" i="1" s="1"/>
  <c r="BF301" i="1" a="1"/>
  <c r="BF301" i="1" s="1"/>
  <c r="BF1105" i="1" a="1"/>
  <c r="BF1105" i="1" s="1"/>
  <c r="BF999" i="1" a="1"/>
  <c r="BF999" i="1" s="1"/>
  <c r="BF1037" i="1" a="1"/>
  <c r="BF1037" i="1" s="1"/>
  <c r="BF1034" i="1" a="1"/>
  <c r="BF1034" i="1" s="1"/>
  <c r="BF253" i="1" a="1"/>
  <c r="BF253" i="1" s="1"/>
  <c r="BF205" i="1" a="1"/>
  <c r="BF205" i="1" s="1"/>
  <c r="BF257" i="1" a="1"/>
  <c r="BF257" i="1" s="1"/>
  <c r="BF281" i="1" a="1"/>
  <c r="BF281" i="1" s="1"/>
  <c r="BF329" i="1" a="1"/>
  <c r="BF329" i="1" s="1"/>
  <c r="BF671" i="1" a="1"/>
  <c r="BF671" i="1" s="1"/>
  <c r="BF745" i="1" a="1"/>
  <c r="BF745" i="1" s="1"/>
  <c r="BF810" i="1" a="1"/>
  <c r="BF810" i="1" s="1"/>
  <c r="BF931" i="1" a="1"/>
  <c r="BF931" i="1" s="1"/>
  <c r="BF976" i="1" a="1"/>
  <c r="BF976" i="1" s="1"/>
  <c r="BF222" i="1" a="1"/>
  <c r="BF222" i="1" s="1"/>
  <c r="BF786" i="1" a="1"/>
  <c r="BF786" i="1" s="1"/>
  <c r="BF802" i="1" a="1"/>
  <c r="BF802" i="1" s="1"/>
  <c r="BF607" i="1" a="1"/>
  <c r="BF607" i="1" s="1"/>
  <c r="BF634" i="1" a="1"/>
  <c r="BF634" i="1" s="1"/>
  <c r="BF596" i="1" a="1"/>
  <c r="BF596" i="1" s="1"/>
  <c r="BF772" i="1" a="1"/>
  <c r="BF772" i="1" s="1"/>
  <c r="BF627" i="1" a="1"/>
  <c r="BF627" i="1" s="1"/>
  <c r="BF136" i="1" a="1"/>
  <c r="BF136" i="1" s="1"/>
  <c r="BF172" i="1" a="1"/>
  <c r="BF172" i="1" s="1"/>
  <c r="BF224" i="1" a="1"/>
  <c r="BF224" i="1" s="1"/>
  <c r="BF270" i="1" a="1"/>
  <c r="BF270" i="1" s="1"/>
  <c r="BF1126" i="1" a="1"/>
  <c r="BF1126" i="1" s="1"/>
  <c r="BF658" i="1" a="1"/>
  <c r="BF658" i="1" s="1"/>
  <c r="BF40" i="1" a="1"/>
  <c r="BF40" i="1" s="1"/>
  <c r="BF1141" i="1" a="1"/>
  <c r="BF1141" i="1" s="1"/>
  <c r="BF425" i="1" a="1"/>
  <c r="BF425" i="1" s="1"/>
  <c r="BF1608" i="1" a="1"/>
  <c r="BF1608" i="1" s="1"/>
  <c r="BF1204" i="1" a="1"/>
  <c r="BF1204" i="1" s="1"/>
  <c r="BF206" i="1" a="1"/>
  <c r="BF206" i="1" s="1"/>
  <c r="BF774" i="1" a="1"/>
  <c r="BF774" i="1" s="1"/>
  <c r="BF150" i="1" a="1"/>
  <c r="BF150" i="1" s="1"/>
  <c r="BE150" i="1" s="1" a="1"/>
  <c r="BE150" i="1" s="1"/>
  <c r="BF212" i="1" a="1"/>
  <c r="BF212" i="1" s="1"/>
  <c r="BE212" i="1" s="1" a="1"/>
  <c r="BE212" i="1" s="1"/>
  <c r="BF163" i="1" a="1"/>
  <c r="BF163" i="1" s="1"/>
  <c r="BE163" i="1" s="1" a="1"/>
  <c r="BE163" i="1" s="1"/>
  <c r="BF716" i="1" a="1"/>
  <c r="BF716" i="1" s="1"/>
  <c r="BF1226" i="1" a="1"/>
  <c r="BF1226" i="1" s="1"/>
  <c r="BF455" i="1" a="1"/>
  <c r="BF455" i="1" s="1"/>
  <c r="BF1210" i="1" a="1"/>
  <c r="BF1210" i="1" s="1"/>
  <c r="BF1216" i="1" a="1"/>
  <c r="BF1216" i="1" s="1"/>
  <c r="BF66" i="1" a="1"/>
  <c r="BF66" i="1" s="1"/>
  <c r="BF230" i="1" a="1"/>
  <c r="BF230" i="1" s="1"/>
  <c r="BF824" i="1" a="1"/>
  <c r="BF824" i="1" s="1"/>
  <c r="BF1042" i="1" a="1"/>
  <c r="BF1042" i="1" s="1"/>
  <c r="BF1043" i="1" a="1"/>
  <c r="BF1043" i="1" s="1"/>
  <c r="BF216" i="1" a="1"/>
  <c r="BF216" i="1" s="1"/>
  <c r="BE216" i="1" s="1" a="1"/>
  <c r="BE216" i="1" s="1"/>
  <c r="BF1048" i="1" a="1"/>
  <c r="BF1048" i="1" s="1"/>
  <c r="BF219" i="1" a="1"/>
  <c r="BF219" i="1" s="1"/>
  <c r="BF609" i="1" a="1"/>
  <c r="BF609" i="1" s="1"/>
  <c r="BF718" i="1" a="1"/>
  <c r="BF718" i="1" s="1"/>
  <c r="BF720" i="1" a="1"/>
  <c r="BF720" i="1" s="1"/>
  <c r="BF711" i="1" a="1"/>
  <c r="BF711" i="1" s="1"/>
  <c r="BF605" i="1" a="1"/>
  <c r="BF605" i="1" s="1"/>
  <c r="BF688" i="1" a="1"/>
  <c r="BF688" i="1" s="1"/>
  <c r="BF768" i="1" a="1"/>
  <c r="BF768" i="1" s="1"/>
  <c r="BF228" i="1" a="1"/>
  <c r="BF228" i="1" s="1"/>
  <c r="BF1107" i="1" a="1"/>
  <c r="BF1107" i="1" s="1"/>
  <c r="BF316" i="1" a="1"/>
  <c r="BF316" i="1" s="1"/>
  <c r="BF292" i="1" a="1"/>
  <c r="BF292" i="1" s="1"/>
  <c r="BF21" i="1" a="1"/>
  <c r="BF21" i="1" s="1"/>
  <c r="BF10" i="1" a="1"/>
  <c r="BF10" i="1" s="1"/>
  <c r="BF19" i="1" a="1"/>
  <c r="BF19" i="1" s="1"/>
  <c r="BF8" i="1" a="1"/>
  <c r="BF8" i="1" s="1"/>
  <c r="BF15" i="1" a="1"/>
  <c r="BF15" i="1" s="1"/>
  <c r="BF18" i="1" a="1"/>
  <c r="BF18" i="1" s="1"/>
  <c r="BF13" i="1" a="1"/>
  <c r="BF13" i="1" s="1"/>
  <c r="BF22" i="1" a="1"/>
  <c r="BF22" i="1" s="1"/>
  <c r="BF1123" i="1" a="1"/>
  <c r="BF1123" i="1" s="1"/>
  <c r="BF903" i="1" a="1"/>
  <c r="BF903" i="1" s="1"/>
  <c r="BF991" i="1" a="1"/>
  <c r="BF991" i="1" s="1"/>
  <c r="BF129" i="1" a="1"/>
  <c r="BF129" i="1" s="1"/>
  <c r="BF1018" i="1" a="1"/>
  <c r="BF1018" i="1" s="1"/>
  <c r="BF1020" i="1" a="1"/>
  <c r="BF1020" i="1" s="1"/>
  <c r="BF175" i="1" a="1"/>
  <c r="BF175" i="1" s="1"/>
  <c r="BF171" i="1" a="1"/>
  <c r="BF171" i="1" s="1"/>
  <c r="BF431" i="1" a="1"/>
  <c r="BF431" i="1" s="1"/>
  <c r="BF622" i="1" a="1"/>
  <c r="BF622" i="1" s="1"/>
  <c r="BE622" i="1" s="1" a="1"/>
  <c r="BE622" i="1" s="1"/>
  <c r="BF427" i="1" a="1"/>
  <c r="BF427" i="1" s="1"/>
  <c r="BF160" i="1" a="1"/>
  <c r="BF160" i="1" s="1"/>
  <c r="BF602" i="1" a="1"/>
  <c r="BF602" i="1" s="1"/>
  <c r="BF939" i="1" a="1"/>
  <c r="BF939" i="1" s="1"/>
  <c r="BF815" i="1" a="1"/>
  <c r="BF815" i="1" s="1"/>
  <c r="BF1017" i="1" a="1"/>
  <c r="BF1017" i="1" s="1"/>
  <c r="BF1161" i="1" a="1"/>
  <c r="BF1161" i="1" s="1"/>
  <c r="BF945" i="1" a="1"/>
  <c r="BF945" i="1" s="1"/>
  <c r="BF128" i="1" a="1"/>
  <c r="BF128" i="1" s="1"/>
  <c r="BF157" i="1" a="1"/>
  <c r="BF157" i="1" s="1"/>
  <c r="BF1201" i="1" a="1"/>
  <c r="BF1201" i="1" s="1"/>
  <c r="BF108" i="1" a="1"/>
  <c r="BF108" i="1" s="1"/>
  <c r="BF141" i="1" a="1"/>
  <c r="BF141" i="1" s="1"/>
  <c r="BE141" i="1" s="1" a="1"/>
  <c r="BE141" i="1" s="1"/>
  <c r="BF641" i="1" a="1"/>
  <c r="BF641" i="1" s="1"/>
  <c r="BF149" i="1" a="1"/>
  <c r="BF149" i="1" s="1"/>
  <c r="BE149" i="1" s="1" a="1"/>
  <c r="BE149" i="1" s="1"/>
  <c r="BF199" i="1" a="1"/>
  <c r="BF199" i="1" s="1"/>
  <c r="BE199" i="1" s="1" a="1"/>
  <c r="BE199" i="1" s="1"/>
  <c r="BF84" i="1" a="1"/>
  <c r="BF84" i="1" s="1"/>
  <c r="BE84" i="1" s="1" a="1"/>
  <c r="BE84" i="1" s="1"/>
  <c r="BF560" i="1" a="1"/>
  <c r="BF560" i="1" s="1"/>
  <c r="BE560" i="1" s="1" a="1"/>
  <c r="BE560" i="1" s="1"/>
  <c r="BF308" i="1" a="1"/>
  <c r="BF308" i="1" s="1"/>
  <c r="BF1213" i="1" a="1"/>
  <c r="BF1213" i="1" s="1"/>
  <c r="BE1213" i="1" s="1" a="1"/>
  <c r="BE1213" i="1" s="1"/>
  <c r="BF1219" i="1" a="1"/>
  <c r="BF1219" i="1" s="1"/>
  <c r="BE1219" i="1" s="1" a="1"/>
  <c r="BE1219" i="1" s="1"/>
  <c r="BF53" i="1" a="1"/>
  <c r="BF53" i="1" s="1"/>
  <c r="BF65" i="1" a="1"/>
  <c r="BF65" i="1" s="1"/>
  <c r="BF1225" i="1" a="1"/>
  <c r="BF1225" i="1" s="1"/>
  <c r="BE1225" i="1" s="1" a="1"/>
  <c r="BE1225" i="1" s="1"/>
  <c r="BF63" i="1" a="1"/>
  <c r="BF63" i="1" s="1"/>
  <c r="BE63" i="1" s="1" a="1"/>
  <c r="BE63" i="1" s="1"/>
  <c r="BF260" i="1" a="1"/>
  <c r="BF260" i="1" s="1"/>
  <c r="BF1030" i="1" a="1"/>
  <c r="BF1030" i="1" s="1"/>
  <c r="BF1033" i="1" a="1"/>
  <c r="BF1033" i="1" s="1"/>
  <c r="BF215" i="1" a="1"/>
  <c r="BF215" i="1" s="1"/>
  <c r="BF188" i="1" a="1"/>
  <c r="BF188" i="1" s="1"/>
  <c r="BF245" i="1" a="1"/>
  <c r="BF245" i="1" s="1"/>
  <c r="BF275" i="1" a="1"/>
  <c r="BF275" i="1" s="1"/>
  <c r="BF290" i="1" a="1"/>
  <c r="BF290" i="1" s="1"/>
  <c r="BF668" i="1" a="1"/>
  <c r="BF668" i="1" s="1"/>
  <c r="BF730" i="1" a="1"/>
  <c r="BF730" i="1" s="1"/>
  <c r="BF792" i="1" a="1"/>
  <c r="BF792" i="1" s="1"/>
  <c r="BF914" i="1" a="1"/>
  <c r="BF914" i="1" s="1"/>
  <c r="BF961" i="1" a="1"/>
  <c r="BF961" i="1" s="1"/>
  <c r="BF1047" i="1" a="1"/>
  <c r="BF1047" i="1" s="1"/>
  <c r="BF191" i="1" a="1"/>
  <c r="BF191" i="1" s="1"/>
  <c r="BF723" i="1" a="1"/>
  <c r="BF723" i="1" s="1"/>
  <c r="BF746" i="1" a="1"/>
  <c r="BF746" i="1" s="1"/>
  <c r="BF770" i="1" a="1"/>
  <c r="BF770" i="1" s="1"/>
  <c r="BF841" i="1" a="1"/>
  <c r="BF841" i="1" s="1"/>
  <c r="BF589" i="1" a="1"/>
  <c r="BF589" i="1" s="1"/>
  <c r="BF787" i="1" a="1"/>
  <c r="BF787" i="1" s="1"/>
  <c r="BF651" i="1" a="1"/>
  <c r="BF651" i="1" s="1"/>
  <c r="BF183" i="1" a="1"/>
  <c r="BF183" i="1" s="1"/>
  <c r="BF1104" i="1" a="1"/>
  <c r="BF1104" i="1" s="1"/>
  <c r="BF309" i="1" a="1"/>
  <c r="BF309" i="1" s="1"/>
  <c r="BF303" i="1" a="1"/>
  <c r="BF303" i="1" s="1"/>
  <c r="BF606" i="1" a="1"/>
  <c r="BF606" i="1" s="1"/>
  <c r="BF570" i="1" a="1"/>
  <c r="BF570" i="1" s="1"/>
  <c r="BF630" i="1" a="1"/>
  <c r="BF630" i="1" s="1"/>
  <c r="BF620" i="1" a="1"/>
  <c r="BF620" i="1" s="1"/>
  <c r="BF628" i="1" a="1"/>
  <c r="BF628" i="1" s="1"/>
  <c r="BF1128" i="1" a="1"/>
  <c r="BF1128" i="1" s="1"/>
  <c r="BF111" i="1" a="1"/>
  <c r="BF111" i="1" s="1"/>
  <c r="BF1143" i="1" a="1"/>
  <c r="BF1143" i="1" s="1"/>
  <c r="BF796" i="1" a="1"/>
  <c r="BF796" i="1" s="1"/>
  <c r="BF320" i="1" a="1"/>
  <c r="BF320" i="1" s="1"/>
  <c r="BF1154" i="1" a="1"/>
  <c r="BF1154" i="1" s="1"/>
  <c r="BF1156" i="1" a="1"/>
  <c r="BF1156" i="1" s="1"/>
  <c r="BF836" i="1" a="1"/>
  <c r="BF836" i="1" s="1"/>
  <c r="BF457" i="1" a="1"/>
  <c r="BF457" i="1" s="1"/>
  <c r="BE457" i="1" s="1" a="1"/>
  <c r="BE457" i="1" s="1"/>
  <c r="BF418" i="1" a="1"/>
  <c r="BF418" i="1" s="1"/>
  <c r="BE418" i="1" s="1" a="1"/>
  <c r="BE418" i="1" s="1"/>
  <c r="BF413" i="1" a="1"/>
  <c r="BF413" i="1" s="1"/>
  <c r="BF162" i="1" a="1"/>
  <c r="BF162" i="1" s="1"/>
  <c r="BF454" i="1" a="1"/>
  <c r="BF454" i="1" s="1"/>
  <c r="BF1238" i="1" a="1"/>
  <c r="BF1238" i="1" s="1"/>
  <c r="BF80" i="1" a="1"/>
  <c r="BF80" i="1" s="1"/>
  <c r="BF86" i="1" a="1"/>
  <c r="BF86" i="1" s="1"/>
  <c r="BF146" i="1" a="1"/>
  <c r="BF146" i="1" s="1"/>
  <c r="BF807" i="1" a="1"/>
  <c r="BF807" i="1" s="1"/>
  <c r="BF910" i="1" a="1"/>
  <c r="BF910" i="1" s="1"/>
  <c r="BF137" i="1" a="1"/>
  <c r="BF137" i="1" s="1"/>
  <c r="BE137" i="1" s="1" a="1"/>
  <c r="BE137" i="1" s="1"/>
  <c r="BF187" i="1" a="1"/>
  <c r="BF187" i="1" s="1"/>
  <c r="BE187" i="1" s="1" a="1"/>
  <c r="BE187" i="1" s="1"/>
  <c r="BF147" i="1" a="1"/>
  <c r="BF147" i="1" s="1"/>
  <c r="BE147" i="1" s="1" a="1"/>
  <c r="BE147" i="1" s="1"/>
  <c r="BF322" i="1" a="1"/>
  <c r="BF322" i="1" s="1"/>
  <c r="BE322" i="1" s="1" a="1"/>
  <c r="BE322" i="1" s="1"/>
  <c r="BF1233" i="1" a="1"/>
  <c r="BF1233" i="1" s="1"/>
  <c r="BF1012" i="1" a="1"/>
  <c r="BF1012" i="1" s="1"/>
  <c r="BF1234" i="1" a="1"/>
  <c r="BF1234" i="1" s="1"/>
  <c r="BF1236" i="1" a="1"/>
  <c r="BF1236" i="1" s="1"/>
  <c r="BF52" i="1" a="1"/>
  <c r="BF52" i="1" s="1"/>
  <c r="BE52" i="1" s="1" a="1"/>
  <c r="BE52" i="1" s="1"/>
  <c r="BF59" i="1" a="1"/>
  <c r="BF59" i="1" s="1"/>
  <c r="BE59" i="1" s="1" a="1"/>
  <c r="BE59" i="1" s="1"/>
  <c r="BF1223" i="1" a="1"/>
  <c r="BF1223" i="1" s="1"/>
  <c r="BE1223" i="1" s="1" a="1"/>
  <c r="BE1223" i="1" s="1"/>
  <c r="BF51" i="1" a="1"/>
  <c r="BF51" i="1" s="1"/>
  <c r="BE139" i="1" a="1"/>
  <c r="BE139" i="1" s="1"/>
  <c r="BE296" i="1" a="1"/>
  <c r="BE296" i="1" s="1"/>
  <c r="BE105" i="1" a="1"/>
  <c r="BE105" i="1" s="1"/>
  <c r="BE64" i="1" a="1"/>
  <c r="BE64" i="1" s="1"/>
  <c r="BE151" i="1" a="1"/>
  <c r="BE151" i="1" s="1"/>
  <c r="BE112" i="1" a="1"/>
  <c r="BE112" i="1" s="1"/>
  <c r="BE179" i="1" a="1"/>
  <c r="BE179" i="1" s="1"/>
  <c r="BE777" i="1" a="1"/>
  <c r="BE777" i="1" s="1"/>
  <c r="BE103" i="1" a="1"/>
  <c r="BE103" i="1" s="1"/>
  <c r="BE70" i="1" a="1"/>
  <c r="BE70" i="1" s="1"/>
  <c r="BE200" i="1" a="1"/>
  <c r="BE200" i="1" s="1"/>
  <c r="BE209" i="1" a="1"/>
  <c r="BE209" i="1" s="1"/>
  <c r="BE206" i="1" a="1"/>
  <c r="BE206" i="1" s="1"/>
  <c r="BE716" i="1" a="1"/>
  <c r="BE716" i="1" s="1"/>
  <c r="BM1136" i="1"/>
  <c r="CN111" i="1"/>
  <c r="CP111" i="1" s="1"/>
  <c r="CS1158" i="1"/>
  <c r="CN624" i="1"/>
  <c r="CP624" i="1" s="1"/>
  <c r="BN1020" i="1"/>
  <c r="BO1020" i="1" s="1"/>
  <c r="BY1020" i="1" s="1"/>
  <c r="CN294" i="1"/>
  <c r="CQ294" i="1" s="1"/>
  <c r="BM1161" i="1"/>
  <c r="BN889" i="1"/>
  <c r="BO889" i="1" s="1"/>
  <c r="BY889" i="1" s="1"/>
  <c r="BN903" i="1"/>
  <c r="BO903" i="1" s="1"/>
  <c r="BY903" i="1" s="1"/>
  <c r="BN1001" i="1"/>
  <c r="BO1001" i="1" s="1"/>
  <c r="BY1001" i="1" s="1"/>
  <c r="BN540" i="1"/>
  <c r="BO540" i="1" s="1"/>
  <c r="BU162" i="1"/>
  <c r="CN988" i="1"/>
  <c r="CP988" i="1" s="1"/>
  <c r="CN1161" i="1"/>
  <c r="CP1161" i="1" s="1"/>
  <c r="BN81" i="1"/>
  <c r="BO81" i="1" s="1"/>
  <c r="BY81" i="1" s="1"/>
  <c r="CN85" i="1"/>
  <c r="CO85" i="1" s="1"/>
  <c r="BN1159" i="1"/>
  <c r="BO1159" i="1" s="1"/>
  <c r="BY1159" i="1" s="1"/>
  <c r="EP1159" i="1" s="1"/>
  <c r="CQ841" i="1"/>
  <c r="CQ59" i="1"/>
  <c r="BY739" i="1"/>
  <c r="CP63" i="1"/>
  <c r="BN620" i="1"/>
  <c r="BO620" i="1" s="1"/>
  <c r="BY620" i="1" s="1"/>
  <c r="BN317" i="1"/>
  <c r="BO317" i="1" s="1"/>
  <c r="BY317" i="1" s="1"/>
  <c r="BV624" i="1"/>
  <c r="BX624" i="1" s="1"/>
  <c r="CN1011" i="1"/>
  <c r="CO1011" i="1" s="1"/>
  <c r="BN899" i="1"/>
  <c r="BO899" i="1" s="1"/>
  <c r="BY899" i="1" s="1"/>
  <c r="CN309" i="1"/>
  <c r="CS309" i="1" s="1"/>
  <c r="BV641" i="1"/>
  <c r="BX641" i="1" s="1"/>
  <c r="BM903" i="1"/>
  <c r="BV1158" i="1"/>
  <c r="BX1158" i="1" s="1"/>
  <c r="BY1158" i="1" s="1"/>
  <c r="BV923" i="1"/>
  <c r="BX923" i="1" s="1"/>
  <c r="BV102" i="1"/>
  <c r="BX102" i="1" s="1"/>
  <c r="BY102" i="1" s="1"/>
  <c r="CN907" i="1"/>
  <c r="CR907" i="1" s="1"/>
  <c r="CN1160" i="1"/>
  <c r="CR1160" i="1" s="1"/>
  <c r="BN973" i="1"/>
  <c r="BO973" i="1" s="1"/>
  <c r="BY973" i="1" s="1"/>
  <c r="BU102" i="1"/>
  <c r="CN79" i="1"/>
  <c r="CR79" i="1" s="1"/>
  <c r="BN783" i="1"/>
  <c r="BO783" i="1" s="1"/>
  <c r="BY783" i="1" s="1"/>
  <c r="BN993" i="1"/>
  <c r="BO993" i="1" s="1"/>
  <c r="BY993" i="1" s="1"/>
  <c r="CN40" i="1"/>
  <c r="CO40" i="1" s="1"/>
  <c r="BN23" i="1"/>
  <c r="BO23" i="1" s="1"/>
  <c r="BY23" i="1" s="1"/>
  <c r="BN1007" i="1"/>
  <c r="BO1007" i="1" s="1"/>
  <c r="BY1007" i="1" s="1"/>
  <c r="CN1020" i="1"/>
  <c r="CR1020" i="1" s="1"/>
  <c r="CT430" i="1"/>
  <c r="BY182" i="1"/>
  <c r="CO427" i="1"/>
  <c r="CS430" i="1"/>
  <c r="CQ71" i="1"/>
  <c r="BY621" i="1"/>
  <c r="BY798" i="1"/>
  <c r="CQ419" i="1"/>
  <c r="BY730" i="1"/>
  <c r="CQ807" i="1"/>
  <c r="CR1144" i="1"/>
  <c r="CQ1027" i="1"/>
  <c r="CS419" i="1"/>
  <c r="CV419" i="1" s="1"/>
  <c r="CO423" i="1"/>
  <c r="CT1143" i="1"/>
  <c r="CR323" i="1"/>
  <c r="CV323" i="1" s="1"/>
  <c r="BY151" i="1"/>
  <c r="BY11" i="1"/>
  <c r="CQ318" i="1"/>
  <c r="CP423" i="1"/>
  <c r="CS125" i="1"/>
  <c r="CV125" i="1" s="1"/>
  <c r="CP613" i="1"/>
  <c r="CQ671" i="1"/>
  <c r="CP212" i="1"/>
  <c r="BY70" i="1"/>
  <c r="CQ219" i="1"/>
  <c r="BY17" i="1"/>
  <c r="CQ175" i="1"/>
  <c r="CQ416" i="1"/>
  <c r="CQ420" i="1"/>
  <c r="CT53" i="1"/>
  <c r="BY768" i="1"/>
  <c r="BY748" i="1"/>
  <c r="CQ41" i="1"/>
  <c r="BY1040" i="1"/>
  <c r="BY122" i="1"/>
  <c r="CQ797" i="1"/>
  <c r="CQ261" i="1"/>
  <c r="CQ323" i="1"/>
  <c r="CQ1154" i="1"/>
  <c r="CQ125" i="1"/>
  <c r="CT62" i="1"/>
  <c r="CS416" i="1"/>
  <c r="CV416" i="1" s="1"/>
  <c r="CQ415" i="1"/>
  <c r="BY785" i="1"/>
  <c r="CS777" i="1"/>
  <c r="CS983" i="1"/>
  <c r="CV983" i="1" s="1"/>
  <c r="CT741" i="1"/>
  <c r="BY802" i="1"/>
  <c r="CQ736" i="1"/>
  <c r="CQ283" i="1"/>
  <c r="CQ316" i="1"/>
  <c r="CT292" i="1"/>
  <c r="CO1027" i="1"/>
  <c r="CO320" i="1"/>
  <c r="CT1211" i="1"/>
  <c r="CU1211" i="1" s="1"/>
  <c r="BE48" i="1" a="1"/>
  <c r="BE48" i="1" s="1"/>
  <c r="CQ21" i="1"/>
  <c r="CP412" i="1"/>
  <c r="CR281" i="1"/>
  <c r="CQ613" i="1"/>
  <c r="CT736" i="1"/>
  <c r="CT711" i="1"/>
  <c r="BY811" i="1"/>
  <c r="CQ224" i="1"/>
  <c r="CP1027" i="1"/>
  <c r="CP1144" i="1"/>
  <c r="CR175" i="1"/>
  <c r="CV175" i="1" s="1"/>
  <c r="CT1157" i="1"/>
  <c r="CR265" i="1"/>
  <c r="CO431" i="1"/>
  <c r="CR456" i="1"/>
  <c r="CP416" i="1"/>
  <c r="BY212" i="1"/>
  <c r="CP1017" i="1"/>
  <c r="CS284" i="1"/>
  <c r="CS1027" i="1"/>
  <c r="CV1027" i="1" s="1"/>
  <c r="CS78" i="1"/>
  <c r="CV78" i="1" s="1"/>
  <c r="CQ341" i="1"/>
  <c r="CP259" i="1"/>
  <c r="CP104" i="1"/>
  <c r="CQ626" i="1"/>
  <c r="CQ605" i="1"/>
  <c r="CQ939" i="1"/>
  <c r="CQ182" i="1"/>
  <c r="CQ423" i="1"/>
  <c r="BY990" i="1"/>
  <c r="BY944" i="1"/>
  <c r="BY786" i="1"/>
  <c r="BY283" i="1"/>
  <c r="CR1017" i="1"/>
  <c r="CP1031" i="1"/>
  <c r="CQ722" i="1"/>
  <c r="BY715" i="1"/>
  <c r="CQ609" i="1"/>
  <c r="CT772" i="1"/>
  <c r="CP1139" i="1"/>
  <c r="CQ1158" i="1"/>
  <c r="CR430" i="1"/>
  <c r="CT429" i="1"/>
  <c r="CT413" i="1"/>
  <c r="CQ180" i="1"/>
  <c r="CQ92" i="1"/>
  <c r="BE1218" i="1" a="1"/>
  <c r="BE1218" i="1" s="1"/>
  <c r="BY50" i="1"/>
  <c r="CQ53" i="1"/>
  <c r="CP933" i="1"/>
  <c r="CQ105" i="1"/>
  <c r="CQ250" i="1"/>
  <c r="BY48" i="1"/>
  <c r="BY66" i="1"/>
  <c r="CS259" i="1"/>
  <c r="CV259" i="1" s="1"/>
  <c r="CS262" i="1"/>
  <c r="CV262" i="1" s="1"/>
  <c r="CR1031" i="1"/>
  <c r="BY1044" i="1"/>
  <c r="CQ281" i="1"/>
  <c r="CQ757" i="1"/>
  <c r="CQ741" i="1"/>
  <c r="BY610" i="1"/>
  <c r="CQ604" i="1"/>
  <c r="CO733" i="1"/>
  <c r="CS627" i="1"/>
  <c r="CV627" i="1" s="1"/>
  <c r="CT172" i="1"/>
  <c r="CT274" i="1"/>
  <c r="CT21" i="1"/>
  <c r="CQ1139" i="1"/>
  <c r="CR1143" i="1"/>
  <c r="CP430" i="1"/>
  <c r="CQ933" i="1"/>
  <c r="CQ904" i="1"/>
  <c r="CQ421" i="1"/>
  <c r="BY454" i="1"/>
  <c r="CT879" i="1"/>
  <c r="CO636" i="1"/>
  <c r="CQ78" i="1"/>
  <c r="CQ259" i="1"/>
  <c r="CT259" i="1"/>
  <c r="CR272" i="1"/>
  <c r="CV272" i="1" s="1"/>
  <c r="BY257" i="1"/>
  <c r="BY258" i="1"/>
  <c r="CQ792" i="1"/>
  <c r="BY914" i="1"/>
  <c r="CT718" i="1"/>
  <c r="BY608" i="1"/>
  <c r="CT707" i="1"/>
  <c r="CP21" i="1"/>
  <c r="CT12" i="1"/>
  <c r="CT1123" i="1"/>
  <c r="CU1123" i="1" s="1"/>
  <c r="CR1139" i="1"/>
  <c r="CQ434" i="1"/>
  <c r="CT622" i="1"/>
  <c r="CR933" i="1"/>
  <c r="CO879" i="1"/>
  <c r="BY87" i="1"/>
  <c r="CT801" i="1"/>
  <c r="BY774" i="1"/>
  <c r="CQ113" i="1"/>
  <c r="BE231" i="1" a="1"/>
  <c r="BE231" i="1" s="1"/>
  <c r="CT179" i="1"/>
  <c r="CR48" i="1"/>
  <c r="CS48" i="1"/>
  <c r="CO259" i="1"/>
  <c r="CQ262" i="1"/>
  <c r="CQ956" i="1"/>
  <c r="CQ1047" i="1"/>
  <c r="CO741" i="1"/>
  <c r="CT722" i="1"/>
  <c r="BY819" i="1"/>
  <c r="CT896" i="1"/>
  <c r="CP622" i="1"/>
  <c r="CP807" i="1"/>
  <c r="BY200" i="1"/>
  <c r="CO179" i="1"/>
  <c r="CT1226" i="1"/>
  <c r="CU1226" i="1" s="1"/>
  <c r="CT1237" i="1"/>
  <c r="CU1237" i="1" s="1"/>
  <c r="CT47" i="1"/>
  <c r="CQ62" i="1"/>
  <c r="CP741" i="1"/>
  <c r="CQ789" i="1"/>
  <c r="CS21" i="1"/>
  <c r="CV21" i="1" s="1"/>
  <c r="CQ431" i="1"/>
  <c r="CT458" i="1"/>
  <c r="CR434" i="1"/>
  <c r="CT457" i="1"/>
  <c r="CR622" i="1"/>
  <c r="CP437" i="1"/>
  <c r="CO734" i="1"/>
  <c r="CT780" i="1"/>
  <c r="CQ157" i="1"/>
  <c r="CO454" i="1"/>
  <c r="BY35" i="1"/>
  <c r="CT989" i="1"/>
  <c r="CQ64" i="1"/>
  <c r="CP179" i="1"/>
  <c r="CT209" i="1"/>
  <c r="CO49" i="1"/>
  <c r="BY1031" i="1"/>
  <c r="BY193" i="1"/>
  <c r="CS281" i="1"/>
  <c r="CP931" i="1"/>
  <c r="CT956" i="1"/>
  <c r="CQ720" i="1"/>
  <c r="CT635" i="1"/>
  <c r="CT768" i="1"/>
  <c r="CQ748" i="1"/>
  <c r="CQ1107" i="1"/>
  <c r="BY9" i="1"/>
  <c r="CQ430" i="1"/>
  <c r="CR437" i="1"/>
  <c r="BE413" i="1" a="1"/>
  <c r="BE413" i="1" s="1"/>
  <c r="CP734" i="1"/>
  <c r="BE454" i="1" a="1"/>
  <c r="BE454" i="1" s="1"/>
  <c r="BY108" i="1"/>
  <c r="BE552" i="1" a="1"/>
  <c r="BE552" i="1" s="1"/>
  <c r="CQ621" i="1"/>
  <c r="CO989" i="1"/>
  <c r="BY163" i="1"/>
  <c r="BY329" i="1"/>
  <c r="BY781" i="1"/>
  <c r="BY688" i="1"/>
  <c r="CT181" i="1"/>
  <c r="CQ734" i="1"/>
  <c r="CR209" i="1"/>
  <c r="CT560" i="1"/>
  <c r="CP699" i="1"/>
  <c r="CS1211" i="1"/>
  <c r="CV1211" i="1" s="1"/>
  <c r="BY52" i="1"/>
  <c r="CO295" i="1"/>
  <c r="BY1033" i="1"/>
  <c r="CP961" i="1"/>
  <c r="CR961" i="1"/>
  <c r="CS961" i="1"/>
  <c r="CO1048" i="1"/>
  <c r="BY721" i="1"/>
  <c r="BY720" i="1"/>
  <c r="CP237" i="1"/>
  <c r="CR237" i="1"/>
  <c r="CQ237" i="1"/>
  <c r="CS205" i="1"/>
  <c r="CV205" i="1" s="1"/>
  <c r="CS1003" i="1"/>
  <c r="CR1003" i="1"/>
  <c r="CP1003" i="1"/>
  <c r="CO1003" i="1"/>
  <c r="BY191" i="1"/>
  <c r="BY228" i="1"/>
  <c r="CT582" i="1"/>
  <c r="CQ582" i="1"/>
  <c r="CP582" i="1"/>
  <c r="CS10" i="1"/>
  <c r="CR10" i="1"/>
  <c r="CO589" i="1"/>
  <c r="CT589" i="1"/>
  <c r="CS589" i="1"/>
  <c r="CR589" i="1"/>
  <c r="CQ1140" i="1"/>
  <c r="CS1140" i="1"/>
  <c r="CR1140" i="1"/>
  <c r="CO1140" i="1"/>
  <c r="CQ589" i="1"/>
  <c r="CO10" i="1"/>
  <c r="BY723" i="1"/>
  <c r="BY607" i="1"/>
  <c r="CQ784" i="1"/>
  <c r="CO784" i="1"/>
  <c r="CO274" i="1"/>
  <c r="CS274" i="1"/>
  <c r="CR274" i="1"/>
  <c r="CP222" i="1"/>
  <c r="CO222" i="1"/>
  <c r="CR668" i="1"/>
  <c r="CP668" i="1"/>
  <c r="CS668" i="1"/>
  <c r="BY746" i="1"/>
  <c r="CP589" i="1"/>
  <c r="CS639" i="1"/>
  <c r="CR639" i="1"/>
  <c r="BY1042" i="1"/>
  <c r="CQ1040" i="1"/>
  <c r="CO668" i="1"/>
  <c r="CP954" i="1"/>
  <c r="CR954" i="1"/>
  <c r="CO954" i="1"/>
  <c r="CO639" i="1"/>
  <c r="BY89" i="1"/>
  <c r="CQ264" i="1"/>
  <c r="CQ291" i="1"/>
  <c r="BY1045" i="1"/>
  <c r="CO254" i="1"/>
  <c r="BY215" i="1"/>
  <c r="BY216" i="1"/>
  <c r="BY264" i="1"/>
  <c r="CQ954" i="1"/>
  <c r="CP274" i="1"/>
  <c r="CQ836" i="1"/>
  <c r="BY270" i="1"/>
  <c r="CR458" i="1"/>
  <c r="CT418" i="1"/>
  <c r="CR418" i="1"/>
  <c r="CV418" i="1" s="1"/>
  <c r="CP418" i="1"/>
  <c r="CO418" i="1"/>
  <c r="CT789" i="1"/>
  <c r="BY770" i="1"/>
  <c r="BY713" i="1"/>
  <c r="BY638" i="1"/>
  <c r="BY634" i="1"/>
  <c r="BY626" i="1"/>
  <c r="BY767" i="1"/>
  <c r="CO684" i="1"/>
  <c r="CO376" i="1"/>
  <c r="CQ12" i="1"/>
  <c r="BY1029" i="1"/>
  <c r="CO14" i="1"/>
  <c r="BY210" i="1"/>
  <c r="BY1046" i="1"/>
  <c r="CP736" i="1"/>
  <c r="CP684" i="1"/>
  <c r="CP376" i="1"/>
  <c r="CS14" i="1"/>
  <c r="CV14" i="1" s="1"/>
  <c r="CO1154" i="1"/>
  <c r="CR457" i="1"/>
  <c r="CT242" i="1"/>
  <c r="CR242" i="1"/>
  <c r="CO242" i="1"/>
  <c r="BY1039" i="1"/>
  <c r="CT728" i="1"/>
  <c r="CO262" i="1"/>
  <c r="BY838" i="1"/>
  <c r="CQ1036" i="1"/>
  <c r="CP792" i="1"/>
  <c r="CO728" i="1"/>
  <c r="BY724" i="1"/>
  <c r="CT720" i="1"/>
  <c r="CQ638" i="1"/>
  <c r="CR626" i="1"/>
  <c r="CO748" i="1"/>
  <c r="CQ181" i="1"/>
  <c r="CO224" i="1"/>
  <c r="CQ295" i="1"/>
  <c r="BY1107" i="1"/>
  <c r="CR376" i="1"/>
  <c r="CV376" i="1" s="1"/>
  <c r="CO8" i="1"/>
  <c r="CQ1003" i="1"/>
  <c r="CQ1141" i="1"/>
  <c r="CP320" i="1"/>
  <c r="CP1154" i="1"/>
  <c r="CR210" i="1"/>
  <c r="CV210" i="1" s="1"/>
  <c r="CS242" i="1"/>
  <c r="CP426" i="1"/>
  <c r="CR426" i="1"/>
  <c r="CQ428" i="1"/>
  <c r="CR428" i="1"/>
  <c r="CP428" i="1"/>
  <c r="CO428" i="1"/>
  <c r="BY229" i="1"/>
  <c r="CO792" i="1"/>
  <c r="BY238" i="1"/>
  <c r="CQ1037" i="1"/>
  <c r="CQ1038" i="1"/>
  <c r="CQ205" i="1"/>
  <c r="CO329" i="1"/>
  <c r="BY976" i="1"/>
  <c r="CP1047" i="1"/>
  <c r="CQ225" i="1"/>
  <c r="CP262" i="1"/>
  <c r="CQ1032" i="1"/>
  <c r="CO1046" i="1"/>
  <c r="CO281" i="1"/>
  <c r="CQ668" i="1"/>
  <c r="BY725" i="1"/>
  <c r="CP745" i="1"/>
  <c r="CR792" i="1"/>
  <c r="CV792" i="1" s="1"/>
  <c r="CR956" i="1"/>
  <c r="CQ961" i="1"/>
  <c r="BY1035" i="1"/>
  <c r="CR1047" i="1"/>
  <c r="CV1047" i="1" s="1"/>
  <c r="CO797" i="1"/>
  <c r="CP728" i="1"/>
  <c r="CO718" i="1"/>
  <c r="BY615" i="1"/>
  <c r="CS626" i="1"/>
  <c r="CR767" i="1"/>
  <c r="CV767" i="1" s="1"/>
  <c r="BY690" i="1"/>
  <c r="CQ596" i="1"/>
  <c r="CT612" i="1"/>
  <c r="CT733" i="1"/>
  <c r="BY707" i="1"/>
  <c r="CP748" i="1"/>
  <c r="CR172" i="1"/>
  <c r="CV172" i="1" s="1"/>
  <c r="CR224" i="1"/>
  <c r="CV224" i="1" s="1"/>
  <c r="BY1104" i="1"/>
  <c r="EP1104" i="1" s="1"/>
  <c r="BY1106" i="1"/>
  <c r="EP1106" i="1" s="1"/>
  <c r="CQ376" i="1"/>
  <c r="CO323" i="1"/>
  <c r="CR8" i="1"/>
  <c r="CV8" i="1" s="1"/>
  <c r="CP1143" i="1"/>
  <c r="CS1154" i="1"/>
  <c r="CV1154" i="1" s="1"/>
  <c r="CP1156" i="1"/>
  <c r="CR1157" i="1"/>
  <c r="CV1157" i="1" s="1"/>
  <c r="CT431" i="1"/>
  <c r="CR432" i="1"/>
  <c r="CS432" i="1"/>
  <c r="CO432" i="1"/>
  <c r="CR438" i="1"/>
  <c r="CS438" i="1"/>
  <c r="CO438" i="1"/>
  <c r="CS186" i="1"/>
  <c r="CR186" i="1"/>
  <c r="CO1047" i="1"/>
  <c r="CO745" i="1"/>
  <c r="CP956" i="1"/>
  <c r="CQ272" i="1"/>
  <c r="BY1037" i="1"/>
  <c r="BY1034" i="1"/>
  <c r="BE253" i="1" a="1"/>
  <c r="BE253" i="1" s="1"/>
  <c r="BY253" i="1"/>
  <c r="BY677" i="1"/>
  <c r="CO931" i="1"/>
  <c r="CS956" i="1"/>
  <c r="CS711" i="1"/>
  <c r="CV711" i="1" s="1"/>
  <c r="BY679" i="1"/>
  <c r="BY591" i="1"/>
  <c r="BY678" i="1"/>
  <c r="CQ274" i="1"/>
  <c r="CP570" i="1"/>
  <c r="CP323" i="1"/>
  <c r="BY16" i="1"/>
  <c r="CQ1143" i="1"/>
  <c r="CS1156" i="1"/>
  <c r="CP431" i="1"/>
  <c r="CR431" i="1"/>
  <c r="CV431" i="1" s="1"/>
  <c r="CQ458" i="1"/>
  <c r="CP160" i="1"/>
  <c r="CQ160" i="1"/>
  <c r="BY128" i="1"/>
  <c r="BY103" i="1"/>
  <c r="CP983" i="1"/>
  <c r="CQ457" i="1"/>
  <c r="CS412" i="1"/>
  <c r="CQ735" i="1"/>
  <c r="CO861" i="1"/>
  <c r="CO157" i="1"/>
  <c r="CQ155" i="1"/>
  <c r="CO249" i="1"/>
  <c r="CP296" i="1"/>
  <c r="CR1227" i="1"/>
  <c r="CV1227" i="1" s="1"/>
  <c r="BE1209" i="1" a="1"/>
  <c r="BE1209" i="1" s="1"/>
  <c r="CR52" i="1"/>
  <c r="CV52" i="1" s="1"/>
  <c r="CQ47" i="1"/>
  <c r="CO59" i="1"/>
  <c r="CO63" i="1"/>
  <c r="CQ242" i="1"/>
  <c r="CO416" i="1"/>
  <c r="CT427" i="1"/>
  <c r="CR735" i="1"/>
  <c r="CV735" i="1" s="1"/>
  <c r="CP861" i="1"/>
  <c r="CS933" i="1"/>
  <c r="CP157" i="1"/>
  <c r="CR423" i="1"/>
  <c r="CV423" i="1" s="1"/>
  <c r="BE85" i="1" a="1"/>
  <c r="BE85" i="1" s="1"/>
  <c r="CT373" i="1"/>
  <c r="BY709" i="1"/>
  <c r="BY86" i="1"/>
  <c r="BY137" i="1"/>
  <c r="CO105" i="1"/>
  <c r="BY41" i="1"/>
  <c r="CT654" i="1"/>
  <c r="CS944" i="1"/>
  <c r="CS59" i="1"/>
  <c r="CV59" i="1" s="1"/>
  <c r="CR446" i="1"/>
  <c r="CQ861" i="1"/>
  <c r="CT933" i="1"/>
  <c r="CT754" i="1"/>
  <c r="CT425" i="1"/>
  <c r="CT1204" i="1"/>
  <c r="CU1204" i="1" s="1"/>
  <c r="CQ709" i="1"/>
  <c r="CT86" i="1"/>
  <c r="CQ636" i="1"/>
  <c r="CO807" i="1"/>
  <c r="CT137" i="1"/>
  <c r="BY150" i="1"/>
  <c r="CP105" i="1"/>
  <c r="CQ39" i="1"/>
  <c r="CO699" i="1"/>
  <c r="BY51" i="1"/>
  <c r="CR63" i="1"/>
  <c r="CV63" i="1" s="1"/>
  <c r="CQ296" i="1"/>
  <c r="BY69" i="1"/>
  <c r="BE242" i="1" a="1"/>
  <c r="BE242" i="1" s="1"/>
  <c r="CR427" i="1"/>
  <c r="CO413" i="1"/>
  <c r="CO419" i="1"/>
  <c r="CQ911" i="1"/>
  <c r="CQ916" i="1"/>
  <c r="CP180" i="1"/>
  <c r="CO421" i="1"/>
  <c r="CT108" i="1"/>
  <c r="CO112" i="1"/>
  <c r="CS151" i="1"/>
  <c r="CV151" i="1" s="1"/>
  <c r="CO211" i="1"/>
  <c r="CQ84" i="1"/>
  <c r="CS179" i="1"/>
  <c r="CV179" i="1" s="1"/>
  <c r="CP322" i="1"/>
  <c r="CQ560" i="1"/>
  <c r="CT1230" i="1"/>
  <c r="CU1230" i="1" s="1"/>
  <c r="CR308" i="1"/>
  <c r="CV308" i="1" s="1"/>
  <c r="BY455" i="1"/>
  <c r="CR699" i="1"/>
  <c r="CV699" i="1" s="1"/>
  <c r="CT1208" i="1"/>
  <c r="CU1208" i="1" s="1"/>
  <c r="CT1215" i="1"/>
  <c r="CU1215" i="1" s="1"/>
  <c r="CR1237" i="1"/>
  <c r="BE47" i="1" a="1"/>
  <c r="BE47" i="1" s="1"/>
  <c r="CP47" i="1"/>
  <c r="CO65" i="1"/>
  <c r="BE1221" i="1" a="1"/>
  <c r="BE1221" i="1" s="1"/>
  <c r="CR1228" i="1"/>
  <c r="CV1228" i="1" s="1"/>
  <c r="CT1225" i="1"/>
  <c r="CU1225" i="1" s="1"/>
  <c r="CO51" i="1"/>
  <c r="CQ63" i="1"/>
  <c r="CQ426" i="1"/>
  <c r="CQ418" i="1"/>
  <c r="CS427" i="1"/>
  <c r="CR413" i="1"/>
  <c r="CQ438" i="1"/>
  <c r="CP419" i="1"/>
  <c r="CQ186" i="1"/>
  <c r="CT911" i="1"/>
  <c r="CT939" i="1"/>
  <c r="CR180" i="1"/>
  <c r="CV180" i="1" s="1"/>
  <c r="CR162" i="1"/>
  <c r="CO801" i="1"/>
  <c r="CT774" i="1"/>
  <c r="CQ211" i="1"/>
  <c r="CR250" i="1"/>
  <c r="CV250" i="1" s="1"/>
  <c r="CR1230" i="1"/>
  <c r="CR1208" i="1"/>
  <c r="CV1208" i="1" s="1"/>
  <c r="CT1210" i="1"/>
  <c r="CU1210" i="1" s="1"/>
  <c r="BE1216" i="1" a="1"/>
  <c r="BE1216" i="1" s="1"/>
  <c r="CT1216" i="1"/>
  <c r="CU1216" i="1" s="1"/>
  <c r="CS1218" i="1"/>
  <c r="CV1218" i="1" s="1"/>
  <c r="BE78" i="1" a="1"/>
  <c r="BE78" i="1" s="1"/>
  <c r="BE57" i="1" a="1"/>
  <c r="BE57" i="1" s="1"/>
  <c r="CP65" i="1"/>
  <c r="CS1222" i="1"/>
  <c r="CV1222" i="1" s="1"/>
  <c r="CS1224" i="1"/>
  <c r="CV1224" i="1" s="1"/>
  <c r="CS1229" i="1"/>
  <c r="CV1229" i="1" s="1"/>
  <c r="CP51" i="1"/>
  <c r="CT432" i="1"/>
  <c r="CS413" i="1"/>
  <c r="BY754" i="1"/>
  <c r="CT944" i="1"/>
  <c r="BE71" i="1" a="1"/>
  <c r="BE71" i="1" s="1"/>
  <c r="CR51" i="1"/>
  <c r="CV51" i="1" s="1"/>
  <c r="BY225" i="1"/>
  <c r="BY272" i="1"/>
  <c r="CT272" i="1"/>
  <c r="BY232" i="1"/>
  <c r="CO188" i="1"/>
  <c r="CS229" i="1"/>
  <c r="CT229" i="1"/>
  <c r="CS810" i="1"/>
  <c r="CR810" i="1"/>
  <c r="CT784" i="1"/>
  <c r="CT591" i="1"/>
  <c r="CS591" i="1"/>
  <c r="CR591" i="1"/>
  <c r="CP591" i="1"/>
  <c r="CO591" i="1"/>
  <c r="CQ1105" i="1"/>
  <c r="CP1105" i="1"/>
  <c r="CR229" i="1"/>
  <c r="CO773" i="1"/>
  <c r="CS773" i="1"/>
  <c r="CP773" i="1"/>
  <c r="CS73" i="1"/>
  <c r="CR73" i="1"/>
  <c r="CP73" i="1"/>
  <c r="CO73" i="1"/>
  <c r="CS120" i="1"/>
  <c r="CR120" i="1"/>
  <c r="CQ120" i="1"/>
  <c r="CO120" i="1"/>
  <c r="CQ189" i="1"/>
  <c r="BY797" i="1"/>
  <c r="CT797" i="1"/>
  <c r="CT191" i="1"/>
  <c r="CS191" i="1"/>
  <c r="CO191" i="1"/>
  <c r="CO1045" i="1"/>
  <c r="CS275" i="1"/>
  <c r="CR275" i="1"/>
  <c r="CP275" i="1"/>
  <c r="CT286" i="1"/>
  <c r="CR191" i="1"/>
  <c r="CP225" i="1"/>
  <c r="CO1030" i="1"/>
  <c r="CP188" i="1"/>
  <c r="CS225" i="1"/>
  <c r="CV225" i="1" s="1"/>
  <c r="BY1043" i="1"/>
  <c r="CO45" i="1"/>
  <c r="CO89" i="1"/>
  <c r="CR188" i="1"/>
  <c r="CV188" i="1" s="1"/>
  <c r="CR291" i="1"/>
  <c r="CS291" i="1"/>
  <c r="CP45" i="1"/>
  <c r="CP89" i="1"/>
  <c r="CO208" i="1"/>
  <c r="CS208" i="1"/>
  <c r="CV208" i="1" s="1"/>
  <c r="BY574" i="1"/>
  <c r="CR773" i="1"/>
  <c r="CP120" i="1"/>
  <c r="CO219" i="1"/>
  <c r="CS219" i="1"/>
  <c r="CV219" i="1" s="1"/>
  <c r="CP219" i="1"/>
  <c r="CQ623" i="1"/>
  <c r="BY623" i="1"/>
  <c r="BY158" i="1"/>
  <c r="CS245" i="1"/>
  <c r="CV245" i="1" s="1"/>
  <c r="BY301" i="1"/>
  <c r="CQ1033" i="1"/>
  <c r="CO1040" i="1"/>
  <c r="CT245" i="1"/>
  <c r="CQ1035" i="1"/>
  <c r="CT1047" i="1"/>
  <c r="BY1047" i="1"/>
  <c r="CS189" i="1"/>
  <c r="CT189" i="1"/>
  <c r="CR189" i="1"/>
  <c r="CP189" i="1"/>
  <c r="CO189" i="1"/>
  <c r="BY613" i="1"/>
  <c r="CT613" i="1"/>
  <c r="CS623" i="1"/>
  <c r="CR623" i="1"/>
  <c r="CP623" i="1"/>
  <c r="CO623" i="1"/>
  <c r="CO225" i="1"/>
  <c r="CT976" i="1"/>
  <c r="BY609" i="1"/>
  <c r="CT609" i="1"/>
  <c r="CT690" i="1"/>
  <c r="CP690" i="1"/>
  <c r="CO690" i="1"/>
  <c r="CT285" i="1"/>
  <c r="CQ45" i="1"/>
  <c r="CQ89" i="1"/>
  <c r="CR89" i="1"/>
  <c r="CV89" i="1" s="1"/>
  <c r="BE215" i="1" a="1"/>
  <c r="BE215" i="1" s="1"/>
  <c r="CR45" i="1"/>
  <c r="CV45" i="1" s="1"/>
  <c r="BY262" i="1"/>
  <c r="BY830" i="1"/>
  <c r="CP1036" i="1"/>
  <c r="CR1043" i="1"/>
  <c r="CP1043" i="1"/>
  <c r="BE122" i="1" a="1"/>
  <c r="BE122" i="1" s="1"/>
  <c r="BY245" i="1"/>
  <c r="CR662" i="1"/>
  <c r="CT638" i="1"/>
  <c r="CQ301" i="1"/>
  <c r="BY810" i="1"/>
  <c r="CP784" i="1"/>
  <c r="CT811" i="1"/>
  <c r="CQ627" i="1"/>
  <c r="CP224" i="1"/>
  <c r="BY237" i="1"/>
  <c r="CO523" i="1"/>
  <c r="CP14" i="1"/>
  <c r="CS1127" i="1"/>
  <c r="CR1127" i="1"/>
  <c r="BY604" i="1"/>
  <c r="BY789" i="1"/>
  <c r="CO606" i="1"/>
  <c r="CP523" i="1"/>
  <c r="BY19" i="1"/>
  <c r="CR18" i="1"/>
  <c r="CO18" i="1"/>
  <c r="BY284" i="1"/>
  <c r="BY290" i="1"/>
  <c r="BY234" i="1"/>
  <c r="CP841" i="1"/>
  <c r="CO605" i="1"/>
  <c r="CO811" i="1"/>
  <c r="CO635" i="1"/>
  <c r="CQ228" i="1"/>
  <c r="CO261" i="1"/>
  <c r="CP285" i="1"/>
  <c r="CR523" i="1"/>
  <c r="CV523" i="1" s="1"/>
  <c r="CO316" i="1"/>
  <c r="CO20" i="1"/>
  <c r="CT11" i="1"/>
  <c r="CS11" i="1"/>
  <c r="CP11" i="1"/>
  <c r="CO11" i="1"/>
  <c r="BE193" i="1" a="1"/>
  <c r="BE193" i="1" s="1"/>
  <c r="BE254" i="1" a="1"/>
  <c r="BE254" i="1" s="1"/>
  <c r="CO205" i="1"/>
  <c r="CR671" i="1"/>
  <c r="BY745" i="1"/>
  <c r="BY826" i="1"/>
  <c r="CR931" i="1"/>
  <c r="CV931" i="1" s="1"/>
  <c r="CS954" i="1"/>
  <c r="CO62" i="1"/>
  <c r="CO609" i="1"/>
  <c r="CO604" i="1"/>
  <c r="CO789" i="1"/>
  <c r="CQ718" i="1"/>
  <c r="CR841" i="1"/>
  <c r="CO711" i="1"/>
  <c r="CO612" i="1"/>
  <c r="CP605" i="1"/>
  <c r="CP811" i="1"/>
  <c r="CS733" i="1"/>
  <c r="CV733" i="1" s="1"/>
  <c r="CO627" i="1"/>
  <c r="BY651" i="1"/>
  <c r="CP635" i="1"/>
  <c r="CO768" i="1"/>
  <c r="CS228" i="1"/>
  <c r="BY274" i="1"/>
  <c r="CP261" i="1"/>
  <c r="CQ285" i="1"/>
  <c r="CP783" i="1"/>
  <c r="CP316" i="1"/>
  <c r="BY323" i="1"/>
  <c r="BY292" i="1"/>
  <c r="BY341" i="1"/>
  <c r="CP20" i="1"/>
  <c r="CO12" i="1"/>
  <c r="CT1028" i="1"/>
  <c r="CR11" i="1"/>
  <c r="BY1032" i="1"/>
  <c r="CQ1044" i="1"/>
  <c r="CP205" i="1"/>
  <c r="CR284" i="1"/>
  <c r="CQ662" i="1"/>
  <c r="CS671" i="1"/>
  <c r="CQ773" i="1"/>
  <c r="BY980" i="1"/>
  <c r="CQ1048" i="1"/>
  <c r="CP62" i="1"/>
  <c r="CQ234" i="1"/>
  <c r="CO722" i="1"/>
  <c r="CP609" i="1"/>
  <c r="CP604" i="1"/>
  <c r="CP789" i="1"/>
  <c r="CO720" i="1"/>
  <c r="CO638" i="1"/>
  <c r="CO626" i="1"/>
  <c r="CS841" i="1"/>
  <c r="CP711" i="1"/>
  <c r="CS612" i="1"/>
  <c r="CS605" i="1"/>
  <c r="CV605" i="1" s="1"/>
  <c r="CQ811" i="1"/>
  <c r="CP627" i="1"/>
  <c r="CS635" i="1"/>
  <c r="CR261" i="1"/>
  <c r="CV261" i="1" s="1"/>
  <c r="CO237" i="1"/>
  <c r="CP301" i="1"/>
  <c r="CQ1106" i="1"/>
  <c r="CT702" i="1"/>
  <c r="CQ523" i="1"/>
  <c r="CR316" i="1"/>
  <c r="CV316" i="1" s="1"/>
  <c r="CR20" i="1"/>
  <c r="CV20" i="1" s="1"/>
  <c r="CP12" i="1"/>
  <c r="CQ14" i="1"/>
  <c r="CT89" i="1"/>
  <c r="CT188" i="1"/>
  <c r="CQ208" i="1"/>
  <c r="CQ275" i="1"/>
  <c r="BY286" i="1"/>
  <c r="CT671" i="1"/>
  <c r="CR62" i="1"/>
  <c r="CV62" i="1" s="1"/>
  <c r="CQ104" i="1"/>
  <c r="BY222" i="1"/>
  <c r="CQ728" i="1"/>
  <c r="CQ711" i="1"/>
  <c r="CQ591" i="1"/>
  <c r="CR811" i="1"/>
  <c r="CV811" i="1" s="1"/>
  <c r="CT639" i="1"/>
  <c r="CT623" i="1"/>
  <c r="CT651" i="1"/>
  <c r="BY644" i="1"/>
  <c r="BY582" i="1"/>
  <c r="BY376" i="1"/>
  <c r="CT323" i="1"/>
  <c r="CR12" i="1"/>
  <c r="CV12" i="1" s="1"/>
  <c r="CS1126" i="1"/>
  <c r="CR1126" i="1"/>
  <c r="BY897" i="1"/>
  <c r="BY1041" i="1"/>
  <c r="CT604" i="1"/>
  <c r="BY787" i="1"/>
  <c r="BY183" i="1"/>
  <c r="CT1105" i="1"/>
  <c r="CQ20" i="1"/>
  <c r="BY438" i="1"/>
  <c r="CT1124" i="1"/>
  <c r="CU1124" i="1" s="1"/>
  <c r="CP1142" i="1"/>
  <c r="CQ1144" i="1"/>
  <c r="CT1154" i="1"/>
  <c r="CR1156" i="1"/>
  <c r="CO255" i="1"/>
  <c r="CS265" i="1"/>
  <c r="CS456" i="1"/>
  <c r="CS434" i="1"/>
  <c r="CO896" i="1"/>
  <c r="CQ622" i="1"/>
  <c r="CS426" i="1"/>
  <c r="CQ437" i="1"/>
  <c r="CS428" i="1"/>
  <c r="CR412" i="1"/>
  <c r="CO429" i="1"/>
  <c r="BE438" i="1" a="1"/>
  <c r="BE438" i="1" s="1"/>
  <c r="CR160" i="1"/>
  <c r="BY939" i="1"/>
  <c r="CQ1016" i="1"/>
  <c r="CS446" i="1"/>
  <c r="CQ1017" i="1"/>
  <c r="CQ161" i="1"/>
  <c r="CQ1142" i="1"/>
  <c r="CP255" i="1"/>
  <c r="CQ265" i="1"/>
  <c r="CT456" i="1"/>
  <c r="CP896" i="1"/>
  <c r="CP429" i="1"/>
  <c r="CS160" i="1"/>
  <c r="CR1016" i="1"/>
  <c r="CV1016" i="1" s="1"/>
  <c r="CT446" i="1"/>
  <c r="BY904" i="1"/>
  <c r="CS1124" i="1"/>
  <c r="CV1124" i="1" s="1"/>
  <c r="CS1139" i="1"/>
  <c r="CO1141" i="1"/>
  <c r="CR1142" i="1"/>
  <c r="CS1143" i="1"/>
  <c r="CS1144" i="1"/>
  <c r="CO153" i="1"/>
  <c r="CO318" i="1"/>
  <c r="CO1155" i="1"/>
  <c r="CO210" i="1"/>
  <c r="CR255" i="1"/>
  <c r="CV255" i="1" s="1"/>
  <c r="CQ456" i="1"/>
  <c r="CO458" i="1"/>
  <c r="CP436" i="1"/>
  <c r="CO457" i="1"/>
  <c r="CP242" i="1"/>
  <c r="CR896" i="1"/>
  <c r="CS622" i="1"/>
  <c r="CO420" i="1"/>
  <c r="CS437" i="1"/>
  <c r="CP432" i="1"/>
  <c r="CO415" i="1"/>
  <c r="CR429" i="1"/>
  <c r="CP413" i="1"/>
  <c r="CP438" i="1"/>
  <c r="CO911" i="1"/>
  <c r="CO939" i="1"/>
  <c r="CO916" i="1"/>
  <c r="CS1017" i="1"/>
  <c r="CQ162" i="1"/>
  <c r="CP162" i="1"/>
  <c r="BY425" i="1"/>
  <c r="CP1141" i="1"/>
  <c r="CS1142" i="1"/>
  <c r="CT1144" i="1"/>
  <c r="BY325" i="1"/>
  <c r="CP318" i="1"/>
  <c r="CP1155" i="1"/>
  <c r="CP210" i="1"/>
  <c r="CP458" i="1"/>
  <c r="CS436" i="1"/>
  <c r="CV436" i="1" s="1"/>
  <c r="BE434" i="1" a="1"/>
  <c r="BE434" i="1" s="1"/>
  <c r="CP457" i="1"/>
  <c r="CS896" i="1"/>
  <c r="CP420" i="1"/>
  <c r="CQ412" i="1"/>
  <c r="CP415" i="1"/>
  <c r="CS429" i="1"/>
  <c r="CQ413" i="1"/>
  <c r="CT160" i="1"/>
  <c r="CP911" i="1"/>
  <c r="CP939" i="1"/>
  <c r="CT1017" i="1"/>
  <c r="BY945" i="1"/>
  <c r="CP161" i="1"/>
  <c r="CO161" i="1"/>
  <c r="CT263" i="1"/>
  <c r="CS263" i="1"/>
  <c r="CQ1239" i="1"/>
  <c r="CU1239" i="1" s="1"/>
  <c r="CP1239" i="1"/>
  <c r="CO1239" i="1"/>
  <c r="CS1155" i="1"/>
  <c r="CQ255" i="1"/>
  <c r="BY15" i="1"/>
  <c r="CQ11" i="1"/>
  <c r="CP1140" i="1"/>
  <c r="CR1141" i="1"/>
  <c r="CV1141" i="1" s="1"/>
  <c r="BY1143" i="1"/>
  <c r="CQ325" i="1"/>
  <c r="CR836" i="1"/>
  <c r="CQ210" i="1"/>
  <c r="CO265" i="1"/>
  <c r="CO456" i="1"/>
  <c r="CS458" i="1"/>
  <c r="CO434" i="1"/>
  <c r="CS457" i="1"/>
  <c r="CQ896" i="1"/>
  <c r="CO426" i="1"/>
  <c r="CR420" i="1"/>
  <c r="CV420" i="1" s="1"/>
  <c r="CR415" i="1"/>
  <c r="CV415" i="1" s="1"/>
  <c r="CQ429" i="1"/>
  <c r="BY419" i="1"/>
  <c r="CO160" i="1"/>
  <c r="CT602" i="1"/>
  <c r="CU602" i="1" s="1"/>
  <c r="CR911" i="1"/>
  <c r="CV911" i="1" s="1"/>
  <c r="CR939" i="1"/>
  <c r="CV939" i="1" s="1"/>
  <c r="CS780" i="1"/>
  <c r="CO945" i="1"/>
  <c r="CS161" i="1"/>
  <c r="CV161" i="1" s="1"/>
  <c r="CP263" i="1"/>
  <c r="CS425" i="1"/>
  <c r="CR425" i="1"/>
  <c r="BY1028" i="1"/>
  <c r="CR23" i="1"/>
  <c r="BY153" i="1"/>
  <c r="BY796" i="1"/>
  <c r="BY318" i="1"/>
  <c r="CO1156" i="1"/>
  <c r="CS836" i="1"/>
  <c r="BY171" i="1"/>
  <c r="BE896" i="1" a="1"/>
  <c r="BE896" i="1" s="1"/>
  <c r="BE437" i="1" a="1"/>
  <c r="BE437" i="1" s="1"/>
  <c r="CQ427" i="1"/>
  <c r="CQ432" i="1"/>
  <c r="BY602" i="1"/>
  <c r="CO425" i="1"/>
  <c r="BE421" i="1" a="1"/>
  <c r="BE421" i="1" s="1"/>
  <c r="CR421" i="1"/>
  <c r="CV421" i="1" s="1"/>
  <c r="CP421" i="1"/>
  <c r="BY249" i="1"/>
  <c r="CS64" i="1"/>
  <c r="CV64" i="1" s="1"/>
  <c r="CT155" i="1"/>
  <c r="CT212" i="1"/>
  <c r="CQ231" i="1"/>
  <c r="CS231" i="1"/>
  <c r="CV231" i="1" s="1"/>
  <c r="CS560" i="1"/>
  <c r="BE1224" i="1" a="1"/>
  <c r="BE1224" i="1" s="1"/>
  <c r="CT1201" i="1"/>
  <c r="CU1201" i="1" s="1"/>
  <c r="CO108" i="1"/>
  <c r="BY146" i="1"/>
  <c r="CO87" i="1"/>
  <c r="CO621" i="1"/>
  <c r="CP989" i="1"/>
  <c r="CT64" i="1"/>
  <c r="BY92" i="1"/>
  <c r="CO149" i="1"/>
  <c r="CO151" i="1"/>
  <c r="CO200" i="1"/>
  <c r="CR211" i="1"/>
  <c r="CR105" i="1"/>
  <c r="CV105" i="1" s="1"/>
  <c r="CO199" i="1"/>
  <c r="CO125" i="1"/>
  <c r="CO139" i="1"/>
  <c r="CP84" i="1"/>
  <c r="CS296" i="1"/>
  <c r="CV296" i="1" s="1"/>
  <c r="BY716" i="1"/>
  <c r="CO777" i="1"/>
  <c r="CS1230" i="1"/>
  <c r="CP39" i="1"/>
  <c r="CT308" i="1"/>
  <c r="CO455" i="1"/>
  <c r="CS1214" i="1"/>
  <c r="CV1214" i="1" s="1"/>
  <c r="CR1216" i="1"/>
  <c r="CS1237" i="1"/>
  <c r="BY999" i="1"/>
  <c r="CQ737" i="1"/>
  <c r="CO180" i="1"/>
  <c r="BE425" i="1" a="1"/>
  <c r="BE425" i="1" s="1"/>
  <c r="CT1202" i="1"/>
  <c r="CU1202" i="1" s="1"/>
  <c r="CR108" i="1"/>
  <c r="CV108" i="1" s="1"/>
  <c r="BY46" i="1"/>
  <c r="CP87" i="1"/>
  <c r="CP621" i="1"/>
  <c r="CR989" i="1"/>
  <c r="CV989" i="1" s="1"/>
  <c r="BE92" i="1" a="1"/>
  <c r="BE92" i="1" s="1"/>
  <c r="CR149" i="1"/>
  <c r="CV149" i="1" s="1"/>
  <c r="CP151" i="1"/>
  <c r="CP200" i="1"/>
  <c r="CS211" i="1"/>
  <c r="CP125" i="1"/>
  <c r="CP777" i="1"/>
  <c r="CS39" i="1"/>
  <c r="CV39" i="1" s="1"/>
  <c r="CP308" i="1"/>
  <c r="CP455" i="1"/>
  <c r="CR1235" i="1"/>
  <c r="CV1235" i="1" s="1"/>
  <c r="CT1214" i="1"/>
  <c r="CU1214" i="1" s="1"/>
  <c r="CS1216" i="1"/>
  <c r="CR1217" i="1"/>
  <c r="CV1217" i="1" s="1"/>
  <c r="CS1219" i="1"/>
  <c r="CV1219" i="1" s="1"/>
  <c r="CO52" i="1"/>
  <c r="CO53" i="1"/>
  <c r="CR47" i="1"/>
  <c r="CP59" i="1"/>
  <c r="CQ65" i="1"/>
  <c r="BE72" i="1" a="1"/>
  <c r="BE72" i="1" s="1"/>
  <c r="CT1221" i="1"/>
  <c r="CU1221" i="1" s="1"/>
  <c r="CS1225" i="1"/>
  <c r="BE49" i="1" a="1"/>
  <c r="BE49" i="1" s="1"/>
  <c r="BE66" i="1" a="1"/>
  <c r="BE66" i="1" s="1"/>
  <c r="CS1202" i="1"/>
  <c r="BE166" i="1" a="1"/>
  <c r="BE166" i="1" s="1"/>
  <c r="CT127" i="1"/>
  <c r="BY141" i="1"/>
  <c r="BY807" i="1"/>
  <c r="CQ151" i="1"/>
  <c r="CR200" i="1"/>
  <c r="CV200" i="1" s="1"/>
  <c r="BY231" i="1"/>
  <c r="BE226" i="1" a="1"/>
  <c r="BE226" i="1" s="1"/>
  <c r="BE1208" i="1" a="1"/>
  <c r="BE1208" i="1" s="1"/>
  <c r="CR1215" i="1"/>
  <c r="CV1215" i="1" s="1"/>
  <c r="CT1219" i="1"/>
  <c r="CU1219" i="1" s="1"/>
  <c r="CQ805" i="1"/>
  <c r="CP52" i="1"/>
  <c r="CP53" i="1"/>
  <c r="CP944" i="1"/>
  <c r="CS47" i="1"/>
  <c r="CR65" i="1"/>
  <c r="CV65" i="1" s="1"/>
  <c r="CP985" i="1"/>
  <c r="CQ48" i="1"/>
  <c r="CQ51" i="1"/>
  <c r="BY112" i="1"/>
  <c r="BY113" i="1"/>
  <c r="BY157" i="1"/>
  <c r="CT177" i="1"/>
  <c r="CT141" i="1"/>
  <c r="BY98" i="1"/>
  <c r="CP801" i="1"/>
  <c r="CP774" i="1"/>
  <c r="CQ989" i="1"/>
  <c r="CO64" i="1"/>
  <c r="CO103" i="1"/>
  <c r="CO155" i="1"/>
  <c r="BY199" i="1"/>
  <c r="CO231" i="1"/>
  <c r="CO560" i="1"/>
  <c r="CO716" i="1"/>
  <c r="CQ777" i="1"/>
  <c r="CT699" i="1"/>
  <c r="CR1236" i="1"/>
  <c r="CV1236" i="1" s="1"/>
  <c r="CO845" i="1"/>
  <c r="CO50" i="1"/>
  <c r="CR53" i="1"/>
  <c r="CV53" i="1" s="1"/>
  <c r="CO57" i="1"/>
  <c r="BE65" i="1" a="1"/>
  <c r="BE65" i="1" s="1"/>
  <c r="BY72" i="1"/>
  <c r="CR801" i="1"/>
  <c r="CV801" i="1" s="1"/>
  <c r="CR774" i="1"/>
  <c r="CP64" i="1"/>
  <c r="CR103" i="1"/>
  <c r="CV103" i="1" s="1"/>
  <c r="CT151" i="1"/>
  <c r="CP155" i="1"/>
  <c r="CP231" i="1"/>
  <c r="CP560" i="1"/>
  <c r="BY1012" i="1"/>
  <c r="CQ308" i="1"/>
  <c r="CQ52" i="1"/>
  <c r="BE69" i="1" a="1"/>
  <c r="BE69" i="1" s="1"/>
  <c r="BE1222" i="1" a="1"/>
  <c r="BE1222" i="1" s="1"/>
  <c r="BE51" i="1" a="1"/>
  <c r="BE51" i="1" s="1"/>
  <c r="CQ66" i="1"/>
  <c r="CQ801" i="1"/>
  <c r="CS774" i="1"/>
  <c r="CQ103" i="1"/>
  <c r="BY149" i="1"/>
  <c r="CT200" i="1"/>
  <c r="CS155" i="1"/>
  <c r="CV155" i="1" s="1"/>
  <c r="BY139" i="1"/>
  <c r="CR560" i="1"/>
  <c r="CT1218" i="1"/>
  <c r="CU1218" i="1" s="1"/>
  <c r="BY654" i="1"/>
  <c r="BY47" i="1"/>
  <c r="CT48" i="1"/>
  <c r="CT540" i="1"/>
  <c r="CS540" i="1"/>
  <c r="CR540" i="1"/>
  <c r="CO540" i="1"/>
  <c r="CT910" i="1"/>
  <c r="CT1130" i="1"/>
  <c r="CU1130" i="1" s="1"/>
  <c r="CO658" i="1"/>
  <c r="CR658" i="1"/>
  <c r="CP658" i="1"/>
  <c r="CS1048" i="1"/>
  <c r="CV1048" i="1" s="1"/>
  <c r="CS300" i="1"/>
  <c r="CR1130" i="1"/>
  <c r="CV1130" i="1" s="1"/>
  <c r="CT110" i="1"/>
  <c r="BN40" i="1"/>
  <c r="BO40" i="1" s="1"/>
  <c r="BY40" i="1" s="1"/>
  <c r="CN24" i="1"/>
  <c r="CP24" i="1" s="1"/>
  <c r="CN1001" i="1"/>
  <c r="CP1001" i="1" s="1"/>
  <c r="CS23" i="1"/>
  <c r="BY202" i="1"/>
  <c r="BV832" i="1"/>
  <c r="BX832" i="1" s="1"/>
  <c r="BY832" i="1" s="1"/>
  <c r="CO436" i="1"/>
  <c r="CN973" i="1"/>
  <c r="CO973" i="1" s="1"/>
  <c r="BY373" i="1"/>
  <c r="CS166" i="1"/>
  <c r="CR879" i="1"/>
  <c r="CV879" i="1" s="1"/>
  <c r="CS552" i="1"/>
  <c r="CV552" i="1" s="1"/>
  <c r="CN993" i="1"/>
  <c r="CO993" i="1" s="1"/>
  <c r="BY689" i="1"/>
  <c r="CP606" i="1"/>
  <c r="CN889" i="1"/>
  <c r="BN991" i="1"/>
  <c r="BO991" i="1" s="1"/>
  <c r="CQ991" i="1" s="1"/>
  <c r="BN658" i="1"/>
  <c r="BO658" i="1" s="1"/>
  <c r="CQ658" i="1" s="1"/>
  <c r="BN111" i="1"/>
  <c r="BO111" i="1" s="1"/>
  <c r="BN110" i="1"/>
  <c r="BO110" i="1" s="1"/>
  <c r="BY110" i="1" s="1"/>
  <c r="CQ436" i="1"/>
  <c r="BY186" i="1"/>
  <c r="BN1161" i="1"/>
  <c r="BO1161" i="1" s="1"/>
  <c r="BM973" i="1"/>
  <c r="CN899" i="1"/>
  <c r="CS899" i="1" s="1"/>
  <c r="CN923" i="1"/>
  <c r="CS923" i="1" s="1"/>
  <c r="CO1608" i="1"/>
  <c r="CN81" i="1"/>
  <c r="CR81" i="1" s="1"/>
  <c r="CP373" i="1"/>
  <c r="CO709" i="1"/>
  <c r="BY127" i="1"/>
  <c r="CR146" i="1"/>
  <c r="CV146" i="1" s="1"/>
  <c r="CO141" i="1"/>
  <c r="CO910" i="1"/>
  <c r="BN575" i="1"/>
  <c r="BO575" i="1" s="1"/>
  <c r="BY575" i="1" s="1"/>
  <c r="CR606" i="1"/>
  <c r="CV606" i="1" s="1"/>
  <c r="CN304" i="1"/>
  <c r="CP304" i="1" s="1"/>
  <c r="BN133" i="1"/>
  <c r="BO133" i="1" s="1"/>
  <c r="CQ166" i="1"/>
  <c r="BY857" i="1"/>
  <c r="CP910" i="1"/>
  <c r="BY322" i="1"/>
  <c r="CP1048" i="1"/>
  <c r="BN300" i="1"/>
  <c r="BO300" i="1" s="1"/>
  <c r="CQ300" i="1" s="1"/>
  <c r="BM889" i="1"/>
  <c r="CR903" i="1"/>
  <c r="CV903" i="1" s="1"/>
  <c r="CN1159" i="1"/>
  <c r="CT1159" i="1" s="1"/>
  <c r="CS910" i="1"/>
  <c r="CV910" i="1" s="1"/>
  <c r="CT303" i="1"/>
  <c r="BY294" i="1"/>
  <c r="BY630" i="1"/>
  <c r="BU689" i="1"/>
  <c r="CR1128" i="1"/>
  <c r="CV1128" i="1" s="1"/>
  <c r="CR991" i="1"/>
  <c r="BU624" i="1"/>
  <c r="BN1136" i="1"/>
  <c r="BO1136" i="1" s="1"/>
  <c r="BV836" i="1"/>
  <c r="BX836" i="1" s="1"/>
  <c r="CT836" i="1" s="1"/>
  <c r="CR1158" i="1"/>
  <c r="BM1159" i="1"/>
  <c r="BV960" i="1"/>
  <c r="BX960" i="1" s="1"/>
  <c r="CO1609" i="1"/>
  <c r="CO166" i="1"/>
  <c r="CO552" i="1"/>
  <c r="BU910" i="1"/>
  <c r="BY136" i="1"/>
  <c r="CP300" i="1"/>
  <c r="CN630" i="1"/>
  <c r="CP630" i="1" s="1"/>
  <c r="CS991" i="1"/>
  <c r="BY24" i="1"/>
  <c r="CR166" i="1"/>
  <c r="BY250" i="1"/>
  <c r="CT291" i="1"/>
  <c r="BY291" i="1"/>
  <c r="BY961" i="1"/>
  <c r="CT961" i="1"/>
  <c r="BY824" i="1"/>
  <c r="CT824" i="1"/>
  <c r="CT230" i="1"/>
  <c r="BY230" i="1"/>
  <c r="BY239" i="1"/>
  <c r="CT239" i="1"/>
  <c r="CQ1030" i="1"/>
  <c r="BY1030" i="1"/>
  <c r="CP232" i="1"/>
  <c r="CR232" i="1"/>
  <c r="CQ232" i="1"/>
  <c r="CO232" i="1"/>
  <c r="CO838" i="1"/>
  <c r="CT838" i="1"/>
  <c r="CS838" i="1"/>
  <c r="CR838" i="1"/>
  <c r="BY1036" i="1"/>
  <c r="CO239" i="1"/>
  <c r="CS239" i="1"/>
  <c r="CR239" i="1"/>
  <c r="CQ239" i="1"/>
  <c r="CQ260" i="1"/>
  <c r="CQ838" i="1"/>
  <c r="CR1042" i="1"/>
  <c r="CO1037" i="1"/>
  <c r="CT1037" i="1"/>
  <c r="CS1037" i="1"/>
  <c r="CR1037" i="1"/>
  <c r="BY1038" i="1"/>
  <c r="CP1033" i="1"/>
  <c r="CS1045" i="1"/>
  <c r="CT1045" i="1"/>
  <c r="CR1045" i="1"/>
  <c r="CO253" i="1"/>
  <c r="CT253" i="1"/>
  <c r="CR253" i="1"/>
  <c r="CS253" i="1"/>
  <c r="CQ253" i="1"/>
  <c r="CT254" i="1"/>
  <c r="CR254" i="1"/>
  <c r="CQ254" i="1"/>
  <c r="CS254" i="1"/>
  <c r="CT810" i="1"/>
  <c r="BY1048" i="1"/>
  <c r="EP1048" i="1" s="1"/>
  <c r="CT1048" i="1"/>
  <c r="BY219" i="1"/>
  <c r="CT219" i="1"/>
  <c r="CT1027" i="1"/>
  <c r="BY1027" i="1"/>
  <c r="CQ230" i="1"/>
  <c r="CR230" i="1"/>
  <c r="CO230" i="1"/>
  <c r="CP230" i="1"/>
  <c r="BY259" i="1"/>
  <c r="CT1038" i="1"/>
  <c r="CS1038" i="1"/>
  <c r="CR1038" i="1"/>
  <c r="CQ1043" i="1"/>
  <c r="CS1043" i="1"/>
  <c r="CT1043" i="1"/>
  <c r="CO264" i="1"/>
  <c r="CT264" i="1"/>
  <c r="CS264" i="1"/>
  <c r="CR264" i="1"/>
  <c r="CR290" i="1"/>
  <c r="CS290" i="1"/>
  <c r="CP290" i="1"/>
  <c r="CO290" i="1"/>
  <c r="CQ290" i="1"/>
  <c r="BY662" i="1"/>
  <c r="CT668" i="1"/>
  <c r="BY668" i="1"/>
  <c r="CP757" i="1"/>
  <c r="CT757" i="1"/>
  <c r="CS757" i="1"/>
  <c r="CV757" i="1" s="1"/>
  <c r="CR976" i="1"/>
  <c r="CO976" i="1"/>
  <c r="CQ976" i="1"/>
  <c r="CP976" i="1"/>
  <c r="CT980" i="1"/>
  <c r="CS980" i="1"/>
  <c r="CR980" i="1"/>
  <c r="CQ980" i="1"/>
  <c r="CR1041" i="1"/>
  <c r="CS1041" i="1"/>
  <c r="CT1041" i="1"/>
  <c r="CQ1041" i="1"/>
  <c r="BY224" i="1"/>
  <c r="CT224" i="1"/>
  <c r="CP830" i="1"/>
  <c r="CS830" i="1"/>
  <c r="CR830" i="1"/>
  <c r="CQ830" i="1"/>
  <c r="CT225" i="1"/>
  <c r="CS230" i="1"/>
  <c r="CS1030" i="1"/>
  <c r="CT1030" i="1"/>
  <c r="CR1030" i="1"/>
  <c r="CO1038" i="1"/>
  <c r="CO1032" i="1"/>
  <c r="CT1032" i="1"/>
  <c r="CS1032" i="1"/>
  <c r="CR1032" i="1"/>
  <c r="CO1043" i="1"/>
  <c r="BY45" i="1"/>
  <c r="CT45" i="1"/>
  <c r="CP258" i="1"/>
  <c r="CT258" i="1"/>
  <c r="CQ258" i="1"/>
  <c r="CS258" i="1"/>
  <c r="CR258" i="1"/>
  <c r="CP264" i="1"/>
  <c r="CT290" i="1"/>
  <c r="CQ329" i="1"/>
  <c r="CR329" i="1"/>
  <c r="CT329" i="1"/>
  <c r="CS329" i="1"/>
  <c r="CO662" i="1"/>
  <c r="CT662" i="1"/>
  <c r="CS662" i="1"/>
  <c r="CQ745" i="1"/>
  <c r="CT745" i="1"/>
  <c r="CS745" i="1"/>
  <c r="CV745" i="1" s="1"/>
  <c r="CO757" i="1"/>
  <c r="CS976" i="1"/>
  <c r="CO980" i="1"/>
  <c r="CO1041" i="1"/>
  <c r="CP1035" i="1"/>
  <c r="CS1035" i="1"/>
  <c r="CT1035" i="1"/>
  <c r="CR1035" i="1"/>
  <c r="BY175" i="1"/>
  <c r="CT175" i="1"/>
  <c r="CT1040" i="1"/>
  <c r="CS1040" i="1"/>
  <c r="CR1040" i="1"/>
  <c r="CQ1045" i="1"/>
  <c r="CQ1046" i="1"/>
  <c r="CS1046" i="1"/>
  <c r="CT1046" i="1"/>
  <c r="CR1046" i="1"/>
  <c r="CT677" i="1"/>
  <c r="CR677" i="1"/>
  <c r="CV677" i="1" s="1"/>
  <c r="CP677" i="1"/>
  <c r="CO677" i="1"/>
  <c r="CQ677" i="1"/>
  <c r="CR914" i="1"/>
  <c r="CS914" i="1"/>
  <c r="CT914" i="1"/>
  <c r="CQ914" i="1"/>
  <c r="CS1039" i="1"/>
  <c r="CT1039" i="1"/>
  <c r="CR1039" i="1"/>
  <c r="CO1034" i="1"/>
  <c r="CT1034" i="1"/>
  <c r="CS1034" i="1"/>
  <c r="CR1034" i="1"/>
  <c r="CQ188" i="1"/>
  <c r="BY188" i="1"/>
  <c r="CP574" i="1"/>
  <c r="CR574" i="1"/>
  <c r="CT574" i="1"/>
  <c r="CS574" i="1"/>
  <c r="CS725" i="1"/>
  <c r="CT725" i="1"/>
  <c r="CR725" i="1"/>
  <c r="CQ725" i="1"/>
  <c r="CP725" i="1"/>
  <c r="BY792" i="1"/>
  <c r="CT792" i="1"/>
  <c r="CS897" i="1"/>
  <c r="CT897" i="1"/>
  <c r="CR897" i="1"/>
  <c r="CQ897" i="1"/>
  <c r="CO830" i="1"/>
  <c r="CP1034" i="1"/>
  <c r="CT1044" i="1"/>
  <c r="CS1044" i="1"/>
  <c r="CR1044" i="1"/>
  <c r="CO122" i="1"/>
  <c r="CT122" i="1"/>
  <c r="CS122" i="1"/>
  <c r="CR122" i="1"/>
  <c r="CQ122" i="1"/>
  <c r="CT193" i="1"/>
  <c r="CR193" i="1"/>
  <c r="CS193" i="1"/>
  <c r="CQ193" i="1"/>
  <c r="CS215" i="1"/>
  <c r="CR215" i="1"/>
  <c r="CT215" i="1"/>
  <c r="CQ215" i="1"/>
  <c r="CO574" i="1"/>
  <c r="CO725" i="1"/>
  <c r="CR730" i="1"/>
  <c r="CT730" i="1"/>
  <c r="CS730" i="1"/>
  <c r="CQ730" i="1"/>
  <c r="CP730" i="1"/>
  <c r="CT826" i="1"/>
  <c r="CS826" i="1"/>
  <c r="CP826" i="1"/>
  <c r="CR826" i="1"/>
  <c r="CQ826" i="1"/>
  <c r="CO897" i="1"/>
  <c r="CP914" i="1"/>
  <c r="BY956" i="1"/>
  <c r="CS260" i="1"/>
  <c r="CV260" i="1" s="1"/>
  <c r="CT260" i="1"/>
  <c r="CO260" i="1"/>
  <c r="CT830" i="1"/>
  <c r="CP1039" i="1"/>
  <c r="CS1033" i="1"/>
  <c r="CT1033" i="1"/>
  <c r="CR1033" i="1"/>
  <c r="CQ1034" i="1"/>
  <c r="CO1044" i="1"/>
  <c r="CP122" i="1"/>
  <c r="CO193" i="1"/>
  <c r="CO215" i="1"/>
  <c r="CQ216" i="1"/>
  <c r="CS216" i="1"/>
  <c r="CR216" i="1"/>
  <c r="CT216" i="1"/>
  <c r="BY275" i="1"/>
  <c r="CT275" i="1"/>
  <c r="BY281" i="1"/>
  <c r="CT281" i="1"/>
  <c r="CQ574" i="1"/>
  <c r="CO730" i="1"/>
  <c r="BY773" i="1"/>
  <c r="CT773" i="1"/>
  <c r="CP897" i="1"/>
  <c r="CS610" i="1"/>
  <c r="CR610" i="1"/>
  <c r="CT610" i="1"/>
  <c r="CQ610" i="1"/>
  <c r="CP610" i="1"/>
  <c r="CO610" i="1"/>
  <c r="CR1018" i="1"/>
  <c r="CT1018" i="1"/>
  <c r="CS1018" i="1"/>
  <c r="CP1018" i="1"/>
  <c r="CO1018" i="1"/>
  <c r="CQ1042" i="1"/>
  <c r="CT1042" i="1"/>
  <c r="CS1042" i="1"/>
  <c r="CO1039" i="1"/>
  <c r="CS232" i="1"/>
  <c r="CT232" i="1"/>
  <c r="CP260" i="1"/>
  <c r="CQ824" i="1"/>
  <c r="CS824" i="1"/>
  <c r="CR824" i="1"/>
  <c r="CP824" i="1"/>
  <c r="CP838" i="1"/>
  <c r="CT1036" i="1"/>
  <c r="CS1036" i="1"/>
  <c r="CR1036" i="1"/>
  <c r="CP1042" i="1"/>
  <c r="CQ1039" i="1"/>
  <c r="CQ1031" i="1"/>
  <c r="CT1031" i="1"/>
  <c r="CS1031" i="1"/>
  <c r="CO1033" i="1"/>
  <c r="CP1044" i="1"/>
  <c r="CP193" i="1"/>
  <c r="CP215" i="1"/>
  <c r="CO216" i="1"/>
  <c r="BY254" i="1"/>
  <c r="CQ257" i="1"/>
  <c r="CT257" i="1"/>
  <c r="CS257" i="1"/>
  <c r="CR257" i="1"/>
  <c r="CP257" i="1"/>
  <c r="CT931" i="1"/>
  <c r="BY931" i="1"/>
  <c r="CT954" i="1"/>
  <c r="BY954" i="1"/>
  <c r="BY104" i="1"/>
  <c r="BY1142" i="1"/>
  <c r="CT1142" i="1"/>
  <c r="BY671" i="1"/>
  <c r="BY757" i="1"/>
  <c r="CQ810" i="1"/>
  <c r="CS723" i="1"/>
  <c r="CR723" i="1"/>
  <c r="CT723" i="1"/>
  <c r="CQ723" i="1"/>
  <c r="CP723" i="1"/>
  <c r="CO723" i="1"/>
  <c r="BY728" i="1"/>
  <c r="CS770" i="1"/>
  <c r="CR770" i="1"/>
  <c r="CT770" i="1"/>
  <c r="CP770" i="1"/>
  <c r="CO770" i="1"/>
  <c r="CQ770" i="1"/>
  <c r="BY605" i="1"/>
  <c r="CT605" i="1"/>
  <c r="BY285" i="1"/>
  <c r="CR303" i="1"/>
  <c r="CV303" i="1" s="1"/>
  <c r="CT300" i="1"/>
  <c r="CO317" i="1"/>
  <c r="CT317" i="1"/>
  <c r="CR317" i="1"/>
  <c r="CV317" i="1" s="1"/>
  <c r="CP317" i="1"/>
  <c r="CT376" i="1"/>
  <c r="BY316" i="1"/>
  <c r="BN895" i="1"/>
  <c r="BO895" i="1" s="1"/>
  <c r="BY895" i="1" s="1"/>
  <c r="CN895" i="1"/>
  <c r="BM895" i="1"/>
  <c r="BV658" i="1"/>
  <c r="BX658" i="1" s="1"/>
  <c r="CS658" i="1"/>
  <c r="BU658" i="1"/>
  <c r="CN1136" i="1"/>
  <c r="BY1011" i="1"/>
  <c r="CN1007" i="1"/>
  <c r="BY423" i="1"/>
  <c r="CT423" i="1"/>
  <c r="BY189" i="1"/>
  <c r="CS724" i="1"/>
  <c r="CR724" i="1"/>
  <c r="CT724" i="1"/>
  <c r="CP724" i="1"/>
  <c r="CO724" i="1"/>
  <c r="CQ724" i="1"/>
  <c r="CQ781" i="1"/>
  <c r="CT739" i="1"/>
  <c r="CS739" i="1"/>
  <c r="CR739" i="1"/>
  <c r="CQ739" i="1"/>
  <c r="CP739" i="1"/>
  <c r="BY181" i="1"/>
  <c r="CT295" i="1"/>
  <c r="CS295" i="1"/>
  <c r="CR295" i="1"/>
  <c r="CP620" i="1"/>
  <c r="CO620" i="1"/>
  <c r="CR620" i="1"/>
  <c r="CT620" i="1"/>
  <c r="CS620" i="1"/>
  <c r="CT523" i="1"/>
  <c r="BY523" i="1"/>
  <c r="CQ292" i="1"/>
  <c r="CU292" i="1" s="1"/>
  <c r="CP292" i="1"/>
  <c r="CR292" i="1"/>
  <c r="CV292" i="1" s="1"/>
  <c r="CO292" i="1"/>
  <c r="BY22" i="1"/>
  <c r="CT1128" i="1"/>
  <c r="CU1128" i="1" s="1"/>
  <c r="BY1156" i="1"/>
  <c r="CQ1156" i="1"/>
  <c r="CU1156" i="1" s="1"/>
  <c r="CT210" i="1"/>
  <c r="CS713" i="1"/>
  <c r="CR713" i="1"/>
  <c r="CT713" i="1"/>
  <c r="CP713" i="1"/>
  <c r="CQ713" i="1"/>
  <c r="CO713" i="1"/>
  <c r="BY841" i="1"/>
  <c r="CT841" i="1"/>
  <c r="CT679" i="1"/>
  <c r="CS679" i="1"/>
  <c r="CR679" i="1"/>
  <c r="CQ679" i="1"/>
  <c r="CP787" i="1"/>
  <c r="CO787" i="1"/>
  <c r="CR787" i="1"/>
  <c r="CQ787" i="1"/>
  <c r="CS1104" i="1"/>
  <c r="CR1104" i="1"/>
  <c r="CT1104" i="1"/>
  <c r="CQ1104" i="1"/>
  <c r="CP1104" i="1"/>
  <c r="CS270" i="1"/>
  <c r="CR270" i="1"/>
  <c r="CT270" i="1"/>
  <c r="CP270" i="1"/>
  <c r="CQ270" i="1"/>
  <c r="CO270" i="1"/>
  <c r="BY684" i="1"/>
  <c r="CT684" i="1"/>
  <c r="CP628" i="1"/>
  <c r="CS628" i="1"/>
  <c r="CR628" i="1"/>
  <c r="CO628" i="1"/>
  <c r="CR689" i="1"/>
  <c r="CQ689" i="1"/>
  <c r="CS689" i="1"/>
  <c r="CT689" i="1"/>
  <c r="CP689" i="1"/>
  <c r="CS9" i="1"/>
  <c r="CR9" i="1"/>
  <c r="CT9" i="1"/>
  <c r="CQ9" i="1"/>
  <c r="CP9" i="1"/>
  <c r="CO9" i="1"/>
  <c r="CT19" i="1"/>
  <c r="CS19" i="1"/>
  <c r="CR19" i="1"/>
  <c r="CQ19" i="1"/>
  <c r="CQ16" i="1"/>
  <c r="CP16" i="1"/>
  <c r="CT16" i="1"/>
  <c r="CT22" i="1"/>
  <c r="CQ22" i="1"/>
  <c r="CP22" i="1"/>
  <c r="CS22" i="1"/>
  <c r="CR22" i="1"/>
  <c r="CO22" i="1"/>
  <c r="CT1140" i="1"/>
  <c r="CT202" i="1"/>
  <c r="CS202" i="1"/>
  <c r="CP202" i="1"/>
  <c r="CO202" i="1"/>
  <c r="CR202" i="1"/>
  <c r="CQ202" i="1"/>
  <c r="BY1016" i="1"/>
  <c r="CT1016" i="1"/>
  <c r="CS786" i="1"/>
  <c r="CR786" i="1"/>
  <c r="CT786" i="1"/>
  <c r="CP786" i="1"/>
  <c r="CO786" i="1"/>
  <c r="CQ786" i="1"/>
  <c r="CS607" i="1"/>
  <c r="CR607" i="1"/>
  <c r="CT607" i="1"/>
  <c r="CO607" i="1"/>
  <c r="CQ607" i="1"/>
  <c r="CP607" i="1"/>
  <c r="CO679" i="1"/>
  <c r="BY596" i="1"/>
  <c r="CS787" i="1"/>
  <c r="CR158" i="1"/>
  <c r="CQ158" i="1"/>
  <c r="CT158" i="1"/>
  <c r="CS158" i="1"/>
  <c r="CO1104" i="1"/>
  <c r="BN628" i="1"/>
  <c r="BO628" i="1" s="1"/>
  <c r="CQ628" i="1" s="1"/>
  <c r="CT783" i="1"/>
  <c r="CS783" i="1"/>
  <c r="CR783" i="1"/>
  <c r="CO689" i="1"/>
  <c r="BY10" i="1"/>
  <c r="CT10" i="1"/>
  <c r="CO19" i="1"/>
  <c r="BY8" i="1"/>
  <c r="CT8" i="1"/>
  <c r="CT15" i="1"/>
  <c r="CS15" i="1"/>
  <c r="CR15" i="1"/>
  <c r="CQ15" i="1"/>
  <c r="CS17" i="1"/>
  <c r="CR17" i="1"/>
  <c r="CT17" i="1"/>
  <c r="CQ17" i="1"/>
  <c r="CO16" i="1"/>
  <c r="CR624" i="1"/>
  <c r="CQ624" i="1"/>
  <c r="BY161" i="1"/>
  <c r="CT161" i="1"/>
  <c r="BY62" i="1"/>
  <c r="BY722" i="1"/>
  <c r="CS746" i="1"/>
  <c r="CR746" i="1"/>
  <c r="CT746" i="1"/>
  <c r="CP746" i="1"/>
  <c r="CQ746" i="1"/>
  <c r="CO746" i="1"/>
  <c r="BY736" i="1"/>
  <c r="CP679" i="1"/>
  <c r="CP596" i="1"/>
  <c r="CO596" i="1"/>
  <c r="CT596" i="1"/>
  <c r="CS596" i="1"/>
  <c r="CV596" i="1" s="1"/>
  <c r="CT787" i="1"/>
  <c r="CO158" i="1"/>
  <c r="BY1105" i="1"/>
  <c r="CT575" i="1"/>
  <c r="BU702" i="1"/>
  <c r="CP19" i="1"/>
  <c r="CO15" i="1"/>
  <c r="CQ18" i="1"/>
  <c r="CP18" i="1"/>
  <c r="CT18" i="1"/>
  <c r="CO17" i="1"/>
  <c r="CR16" i="1"/>
  <c r="CN129" i="1"/>
  <c r="BN129" i="1"/>
  <c r="BO129" i="1" s="1"/>
  <c r="BY129" i="1" s="1"/>
  <c r="BY1139" i="1"/>
  <c r="CT1139" i="1"/>
  <c r="BY255" i="1"/>
  <c r="CT255" i="1"/>
  <c r="BY437" i="1"/>
  <c r="CT437" i="1"/>
  <c r="BY73" i="1"/>
  <c r="CT73" i="1"/>
  <c r="CS715" i="1"/>
  <c r="CR715" i="1"/>
  <c r="CT715" i="1"/>
  <c r="CP715" i="1"/>
  <c r="CO715" i="1"/>
  <c r="CQ715" i="1"/>
  <c r="BY718" i="1"/>
  <c r="CS721" i="1"/>
  <c r="CR721" i="1"/>
  <c r="CT721" i="1"/>
  <c r="CP721" i="1"/>
  <c r="CQ721" i="1"/>
  <c r="CO721" i="1"/>
  <c r="CQ608" i="1"/>
  <c r="CT608" i="1"/>
  <c r="CR608" i="1"/>
  <c r="CS608" i="1"/>
  <c r="CQ772" i="1"/>
  <c r="BY627" i="1"/>
  <c r="CT627" i="1"/>
  <c r="CP158" i="1"/>
  <c r="BY261" i="1"/>
  <c r="CT261" i="1"/>
  <c r="CS283" i="1"/>
  <c r="CR283" i="1"/>
  <c r="CT283" i="1"/>
  <c r="BY309" i="1"/>
  <c r="CP303" i="1"/>
  <c r="CO303" i="1"/>
  <c r="BY304" i="1"/>
  <c r="BY702" i="1"/>
  <c r="CS341" i="1"/>
  <c r="CR341" i="1"/>
  <c r="CT341" i="1"/>
  <c r="BY20" i="1"/>
  <c r="BY14" i="1"/>
  <c r="CT14" i="1"/>
  <c r="CS16" i="1"/>
  <c r="BY1126" i="1"/>
  <c r="CT1126" i="1"/>
  <c r="CU1126" i="1" s="1"/>
  <c r="CT991" i="1"/>
  <c r="BV111" i="1"/>
  <c r="BX111" i="1" s="1"/>
  <c r="BU111" i="1"/>
  <c r="CP796" i="1"/>
  <c r="CO796" i="1"/>
  <c r="CT796" i="1"/>
  <c r="CS796" i="1"/>
  <c r="CQ796" i="1"/>
  <c r="BY412" i="1"/>
  <c r="CT412" i="1"/>
  <c r="CS238" i="1"/>
  <c r="CR238" i="1"/>
  <c r="CT238" i="1"/>
  <c r="CP238" i="1"/>
  <c r="CQ238" i="1"/>
  <c r="CO238" i="1"/>
  <c r="CS615" i="1"/>
  <c r="CR615" i="1"/>
  <c r="CT615" i="1"/>
  <c r="CQ615" i="1"/>
  <c r="CP615" i="1"/>
  <c r="CO615" i="1"/>
  <c r="BY612" i="1"/>
  <c r="CO608" i="1"/>
  <c r="CS798" i="1"/>
  <c r="CR798" i="1"/>
  <c r="CQ798" i="1"/>
  <c r="CP798" i="1"/>
  <c r="CT798" i="1"/>
  <c r="CO798" i="1"/>
  <c r="CR707" i="1"/>
  <c r="CQ707" i="1"/>
  <c r="CS707" i="1"/>
  <c r="CP707" i="1"/>
  <c r="CS688" i="1"/>
  <c r="CR688" i="1"/>
  <c r="CT688" i="1"/>
  <c r="CO688" i="1"/>
  <c r="CQ688" i="1"/>
  <c r="CP688" i="1"/>
  <c r="CS136" i="1"/>
  <c r="CR136" i="1"/>
  <c r="CT136" i="1"/>
  <c r="CO136" i="1"/>
  <c r="CQ136" i="1"/>
  <c r="CP136" i="1"/>
  <c r="BY172" i="1"/>
  <c r="CT1107" i="1"/>
  <c r="CO283" i="1"/>
  <c r="BN303" i="1"/>
  <c r="BO303" i="1" s="1"/>
  <c r="CQ303" i="1" s="1"/>
  <c r="BY540" i="1"/>
  <c r="CT628" i="1"/>
  <c r="CO341" i="1"/>
  <c r="BY12" i="1"/>
  <c r="BV133" i="1"/>
  <c r="BX133" i="1" s="1"/>
  <c r="CR796" i="1"/>
  <c r="BY1157" i="1"/>
  <c r="CQ1157" i="1"/>
  <c r="BY205" i="1"/>
  <c r="CT205" i="1"/>
  <c r="BY208" i="1"/>
  <c r="CS286" i="1"/>
  <c r="CR286" i="1"/>
  <c r="CP286" i="1"/>
  <c r="CQ286" i="1"/>
  <c r="CO286" i="1"/>
  <c r="CO104" i="1"/>
  <c r="CT104" i="1"/>
  <c r="CS104" i="1"/>
  <c r="CV104" i="1" s="1"/>
  <c r="BY120" i="1"/>
  <c r="CT120" i="1"/>
  <c r="CT222" i="1"/>
  <c r="CQ222" i="1"/>
  <c r="CS222" i="1"/>
  <c r="CR222" i="1"/>
  <c r="BY741" i="1"/>
  <c r="CS802" i="1"/>
  <c r="CR802" i="1"/>
  <c r="CT802" i="1"/>
  <c r="CO802" i="1"/>
  <c r="CQ802" i="1"/>
  <c r="CP802" i="1"/>
  <c r="BY784" i="1"/>
  <c r="CS634" i="1"/>
  <c r="CR634" i="1"/>
  <c r="CT634" i="1"/>
  <c r="CP634" i="1"/>
  <c r="CQ634" i="1"/>
  <c r="CO634" i="1"/>
  <c r="CP612" i="1"/>
  <c r="CR612" i="1"/>
  <c r="CQ612" i="1"/>
  <c r="CP608" i="1"/>
  <c r="CO707" i="1"/>
  <c r="CT678" i="1"/>
  <c r="CS678" i="1"/>
  <c r="CQ678" i="1"/>
  <c r="CP678" i="1"/>
  <c r="CR678" i="1"/>
  <c r="BY639" i="1"/>
  <c r="CQ639" i="1"/>
  <c r="CS768" i="1"/>
  <c r="CR768" i="1"/>
  <c r="CQ768" i="1"/>
  <c r="CP768" i="1"/>
  <c r="CP283" i="1"/>
  <c r="CT316" i="1"/>
  <c r="CP341" i="1"/>
  <c r="CS18" i="1"/>
  <c r="CT1129" i="1"/>
  <c r="CU1129" i="1" s="1"/>
  <c r="CS1129" i="1"/>
  <c r="CV1129" i="1" s="1"/>
  <c r="BN988" i="1"/>
  <c r="BO988" i="1" s="1"/>
  <c r="BY988" i="1" s="1"/>
  <c r="BY320" i="1"/>
  <c r="CT320" i="1"/>
  <c r="BY1154" i="1"/>
  <c r="CP171" i="1"/>
  <c r="CO171" i="1"/>
  <c r="CT171" i="1"/>
  <c r="CQ171" i="1"/>
  <c r="CR171" i="1"/>
  <c r="CS171" i="1"/>
  <c r="CP819" i="1"/>
  <c r="CR819" i="1"/>
  <c r="CQ819" i="1"/>
  <c r="CT183" i="1"/>
  <c r="CS183" i="1"/>
  <c r="CQ183" i="1"/>
  <c r="CP183" i="1"/>
  <c r="CT570" i="1"/>
  <c r="CS570" i="1"/>
  <c r="CR570" i="1"/>
  <c r="CP702" i="1"/>
  <c r="CO702" i="1"/>
  <c r="CT20" i="1"/>
  <c r="BY13" i="1"/>
  <c r="BN907" i="1"/>
  <c r="BO907" i="1" s="1"/>
  <c r="BY907" i="1" s="1"/>
  <c r="BM907" i="1"/>
  <c r="BN1018" i="1"/>
  <c r="BO1018" i="1" s="1"/>
  <c r="BY1018" i="1" s="1"/>
  <c r="BY458" i="1"/>
  <c r="BY180" i="1"/>
  <c r="CT180" i="1"/>
  <c r="CT166" i="1"/>
  <c r="BY166" i="1"/>
  <c r="CO245" i="1"/>
  <c r="CO284" i="1"/>
  <c r="CT234" i="1"/>
  <c r="CS234" i="1"/>
  <c r="CV234" i="1" s="1"/>
  <c r="CT626" i="1"/>
  <c r="CQ767" i="1"/>
  <c r="CT767" i="1"/>
  <c r="CT781" i="1"/>
  <c r="CS781" i="1"/>
  <c r="CV781" i="1" s="1"/>
  <c r="CQ644" i="1"/>
  <c r="CP644" i="1"/>
  <c r="CT644" i="1"/>
  <c r="CS644" i="1"/>
  <c r="BN606" i="1"/>
  <c r="BO606" i="1" s="1"/>
  <c r="CQ606" i="1" s="1"/>
  <c r="CT606" i="1"/>
  <c r="CO1029" i="1"/>
  <c r="CT13" i="1"/>
  <c r="CR13" i="1"/>
  <c r="CV13" i="1" s="1"/>
  <c r="CQ13" i="1"/>
  <c r="BY456" i="1"/>
  <c r="BY432" i="1"/>
  <c r="CT262" i="1"/>
  <c r="CO272" i="1"/>
  <c r="CO291" i="1"/>
  <c r="CP229" i="1"/>
  <c r="CP245" i="1"/>
  <c r="CO671" i="1"/>
  <c r="CP810" i="1"/>
  <c r="CQ191" i="1"/>
  <c r="CP191" i="1"/>
  <c r="CO234" i="1"/>
  <c r="CS819" i="1"/>
  <c r="CO767" i="1"/>
  <c r="CO781" i="1"/>
  <c r="BY733" i="1"/>
  <c r="CO644" i="1"/>
  <c r="CS181" i="1"/>
  <c r="CR181" i="1"/>
  <c r="CP181" i="1"/>
  <c r="CO181" i="1"/>
  <c r="CR183" i="1"/>
  <c r="CT301" i="1"/>
  <c r="CS301" i="1"/>
  <c r="CV301" i="1" s="1"/>
  <c r="CP575" i="1"/>
  <c r="CO575" i="1"/>
  <c r="CS575" i="1"/>
  <c r="CR575" i="1"/>
  <c r="CR702" i="1"/>
  <c r="CO13" i="1"/>
  <c r="CR1123" i="1"/>
  <c r="CT1125" i="1"/>
  <c r="CU1125" i="1" s="1"/>
  <c r="CT903" i="1"/>
  <c r="CP903" i="1"/>
  <c r="CO903" i="1"/>
  <c r="BY1003" i="1"/>
  <c r="CT1003" i="1"/>
  <c r="BY436" i="1"/>
  <c r="CT436" i="1"/>
  <c r="BY434" i="1"/>
  <c r="CT434" i="1"/>
  <c r="BY242" i="1"/>
  <c r="BY1608" i="1"/>
  <c r="CQ1608" i="1"/>
  <c r="BY125" i="1"/>
  <c r="CT125" i="1"/>
  <c r="CT284" i="1"/>
  <c r="BY772" i="1"/>
  <c r="CP651" i="1"/>
  <c r="CO651" i="1"/>
  <c r="BY635" i="1"/>
  <c r="CS1029" i="1"/>
  <c r="CR1029" i="1"/>
  <c r="CT1029" i="1"/>
  <c r="CP110" i="1"/>
  <c r="CO110" i="1"/>
  <c r="BY1141" i="1"/>
  <c r="CT1141" i="1"/>
  <c r="CT208" i="1"/>
  <c r="CO229" i="1"/>
  <c r="CO810" i="1"/>
  <c r="CO819" i="1"/>
  <c r="BY711" i="1"/>
  <c r="BY589" i="1"/>
  <c r="CP772" i="1"/>
  <c r="CO772" i="1"/>
  <c r="CQ651" i="1"/>
  <c r="CP228" i="1"/>
  <c r="CO228" i="1"/>
  <c r="CT228" i="1"/>
  <c r="CO183" i="1"/>
  <c r="CS1106" i="1"/>
  <c r="CR1106" i="1"/>
  <c r="CT1106" i="1"/>
  <c r="BN570" i="1"/>
  <c r="BO570" i="1" s="1"/>
  <c r="CQ702" i="1"/>
  <c r="BV1136" i="1"/>
  <c r="BX1136" i="1" s="1"/>
  <c r="BU1136" i="1"/>
  <c r="CP832" i="1"/>
  <c r="CO832" i="1"/>
  <c r="CS832" i="1"/>
  <c r="CR832" i="1"/>
  <c r="CQ832" i="1"/>
  <c r="BY1238" i="1"/>
  <c r="EP1238" i="1" s="1"/>
  <c r="CQ1238" i="1"/>
  <c r="CU1238" i="1" s="1"/>
  <c r="BY260" i="1"/>
  <c r="CP272" i="1"/>
  <c r="CP291" i="1"/>
  <c r="CP208" i="1"/>
  <c r="CQ229" i="1"/>
  <c r="CQ245" i="1"/>
  <c r="CQ284" i="1"/>
  <c r="CQ931" i="1"/>
  <c r="CQ73" i="1"/>
  <c r="CP234" i="1"/>
  <c r="CS797" i="1"/>
  <c r="CR797" i="1"/>
  <c r="CS741" i="1"/>
  <c r="CR741" i="1"/>
  <c r="CS722" i="1"/>
  <c r="CR722" i="1"/>
  <c r="CS609" i="1"/>
  <c r="CR609" i="1"/>
  <c r="CS604" i="1"/>
  <c r="CR604" i="1"/>
  <c r="CS789" i="1"/>
  <c r="CR789" i="1"/>
  <c r="CS728" i="1"/>
  <c r="CR728" i="1"/>
  <c r="CS718" i="1"/>
  <c r="CR718" i="1"/>
  <c r="CS613" i="1"/>
  <c r="CR613" i="1"/>
  <c r="CS784" i="1"/>
  <c r="CR784" i="1"/>
  <c r="CS736" i="1"/>
  <c r="CR736" i="1"/>
  <c r="CS720" i="1"/>
  <c r="CR720" i="1"/>
  <c r="CS638" i="1"/>
  <c r="CR638" i="1"/>
  <c r="CT819" i="1"/>
  <c r="CP767" i="1"/>
  <c r="CS690" i="1"/>
  <c r="CR690" i="1"/>
  <c r="CQ690" i="1"/>
  <c r="CP781" i="1"/>
  <c r="CR772" i="1"/>
  <c r="CV772" i="1" s="1"/>
  <c r="CQ733" i="1"/>
  <c r="CP733" i="1"/>
  <c r="CS651" i="1"/>
  <c r="CV651" i="1" s="1"/>
  <c r="CR644" i="1"/>
  <c r="CR228" i="1"/>
  <c r="BY295" i="1"/>
  <c r="CO301" i="1"/>
  <c r="CP1106" i="1"/>
  <c r="CS702" i="1"/>
  <c r="CO21" i="1"/>
  <c r="CQ1029" i="1"/>
  <c r="BY18" i="1"/>
  <c r="CP13" i="1"/>
  <c r="CS1028" i="1"/>
  <c r="CR1028" i="1"/>
  <c r="CQ1028" i="1"/>
  <c r="CP1028" i="1"/>
  <c r="CS1123" i="1"/>
  <c r="CR1125" i="1"/>
  <c r="CV1125" i="1" s="1"/>
  <c r="CS110" i="1"/>
  <c r="CV110" i="1" s="1"/>
  <c r="CT318" i="1"/>
  <c r="CS318" i="1"/>
  <c r="CR318" i="1"/>
  <c r="BY265" i="1"/>
  <c r="BY428" i="1"/>
  <c r="CT428" i="1"/>
  <c r="CQ699" i="1"/>
  <c r="BY699" i="1"/>
  <c r="BM984" i="1"/>
  <c r="BN984" i="1"/>
  <c r="BO984" i="1" s="1"/>
  <c r="BY984" i="1" s="1"/>
  <c r="BN960" i="1"/>
  <c r="BO960" i="1" s="1"/>
  <c r="BM960" i="1"/>
  <c r="CS128" i="1"/>
  <c r="CR128" i="1"/>
  <c r="CT128" i="1"/>
  <c r="CP102" i="1"/>
  <c r="CO102" i="1"/>
  <c r="CQ425" i="1"/>
  <c r="BY421" i="1"/>
  <c r="BY1217" i="1"/>
  <c r="CT1217" i="1"/>
  <c r="CU1217" i="1" s="1"/>
  <c r="CP1158" i="1"/>
  <c r="CO1158" i="1"/>
  <c r="BY416" i="1"/>
  <c r="CT416" i="1"/>
  <c r="BY420" i="1"/>
  <c r="CT420" i="1"/>
  <c r="CU420" i="1" s="1"/>
  <c r="CT438" i="1"/>
  <c r="CQ446" i="1"/>
  <c r="CP446" i="1"/>
  <c r="CR780" i="1"/>
  <c r="CQ780" i="1"/>
  <c r="CP780" i="1"/>
  <c r="CO780" i="1"/>
  <c r="CR904" i="1"/>
  <c r="CV904" i="1" s="1"/>
  <c r="CO128" i="1"/>
  <c r="CQ102" i="1"/>
  <c r="BE79" i="1" a="1"/>
  <c r="BE79" i="1" s="1"/>
  <c r="BN85" i="1"/>
  <c r="BO85" i="1" s="1"/>
  <c r="CP709" i="1"/>
  <c r="CT709" i="1"/>
  <c r="CS709" i="1"/>
  <c r="CR709" i="1"/>
  <c r="BY636" i="1"/>
  <c r="BY729" i="1"/>
  <c r="CR113" i="1"/>
  <c r="CT113" i="1"/>
  <c r="CS113" i="1"/>
  <c r="CP113" i="1"/>
  <c r="CO113" i="1"/>
  <c r="BY105" i="1"/>
  <c r="CT105" i="1"/>
  <c r="BY147" i="1"/>
  <c r="CQ147" i="1"/>
  <c r="BY39" i="1"/>
  <c r="CT39" i="1"/>
  <c r="BY805" i="1"/>
  <c r="BY426" i="1"/>
  <c r="CT426" i="1"/>
  <c r="BE428" i="1" a="1"/>
  <c r="BE428" i="1" s="1"/>
  <c r="BE419" i="1" a="1"/>
  <c r="BE419" i="1" s="1"/>
  <c r="CT419" i="1"/>
  <c r="CT734" i="1"/>
  <c r="CS734" i="1"/>
  <c r="CV734" i="1" s="1"/>
  <c r="CT735" i="1"/>
  <c r="CP735" i="1"/>
  <c r="CO735" i="1"/>
  <c r="CS815" i="1"/>
  <c r="CR815" i="1"/>
  <c r="CT815" i="1"/>
  <c r="CQ815" i="1"/>
  <c r="CP815" i="1"/>
  <c r="CT916" i="1"/>
  <c r="CS916" i="1"/>
  <c r="CR916" i="1"/>
  <c r="CP128" i="1"/>
  <c r="CR102" i="1"/>
  <c r="CS754" i="1"/>
  <c r="CR754" i="1"/>
  <c r="CQ754" i="1"/>
  <c r="CP754" i="1"/>
  <c r="CQ46" i="1"/>
  <c r="CP46" i="1"/>
  <c r="CT46" i="1"/>
  <c r="CS46" i="1"/>
  <c r="CR46" i="1"/>
  <c r="BY177" i="1"/>
  <c r="BY989" i="1"/>
  <c r="BY64" i="1"/>
  <c r="CO1012" i="1"/>
  <c r="CS1012" i="1"/>
  <c r="CR1012" i="1"/>
  <c r="CT1012" i="1"/>
  <c r="CQ1012" i="1"/>
  <c r="CP1012" i="1"/>
  <c r="BY65" i="1"/>
  <c r="CT65" i="1"/>
  <c r="BN1160" i="1"/>
  <c r="BO1160" i="1" s="1"/>
  <c r="BY1160" i="1" s="1"/>
  <c r="EP1160" i="1" s="1"/>
  <c r="BM1160" i="1"/>
  <c r="CN984" i="1"/>
  <c r="CQ128" i="1"/>
  <c r="CS102" i="1"/>
  <c r="CQ1609" i="1"/>
  <c r="CT1203" i="1"/>
  <c r="CU1203" i="1" s="1"/>
  <c r="CS1203" i="1"/>
  <c r="CR1203" i="1"/>
  <c r="CQ127" i="1"/>
  <c r="CP127" i="1"/>
  <c r="CS127" i="1"/>
  <c r="CR127" i="1"/>
  <c r="CT807" i="1"/>
  <c r="CS807" i="1"/>
  <c r="CO137" i="1"/>
  <c r="CR137" i="1"/>
  <c r="CQ137" i="1"/>
  <c r="CS137" i="1"/>
  <c r="CP137" i="1"/>
  <c r="CQ200" i="1"/>
  <c r="BY187" i="1"/>
  <c r="CT199" i="1"/>
  <c r="CS199" i="1"/>
  <c r="CR199" i="1"/>
  <c r="CT231" i="1"/>
  <c r="CP41" i="1"/>
  <c r="CO41" i="1"/>
  <c r="CS41" i="1"/>
  <c r="CR41" i="1"/>
  <c r="BY308" i="1"/>
  <c r="CS1234" i="1"/>
  <c r="CR1234" i="1"/>
  <c r="CT1234" i="1"/>
  <c r="CU1234" i="1" s="1"/>
  <c r="CS1201" i="1"/>
  <c r="BY552" i="1"/>
  <c r="CT552" i="1"/>
  <c r="CQ87" i="1"/>
  <c r="CT857" i="1"/>
  <c r="CS857" i="1"/>
  <c r="CV857" i="1" s="1"/>
  <c r="CP857" i="1"/>
  <c r="CO857" i="1"/>
  <c r="CQ150" i="1"/>
  <c r="CP150" i="1"/>
  <c r="CO150" i="1"/>
  <c r="CT150" i="1"/>
  <c r="CP70" i="1"/>
  <c r="CQ70" i="1"/>
  <c r="CO70" i="1"/>
  <c r="CT322" i="1"/>
  <c r="BY845" i="1"/>
  <c r="CQ845" i="1"/>
  <c r="CT52" i="1"/>
  <c r="CP69" i="1"/>
  <c r="CS69" i="1"/>
  <c r="CR69" i="1"/>
  <c r="CT69" i="1"/>
  <c r="CQ69" i="1"/>
  <c r="BY63" i="1"/>
  <c r="CT63" i="1"/>
  <c r="CN960" i="1"/>
  <c r="BV737" i="1"/>
  <c r="BX737" i="1" s="1"/>
  <c r="BY737" i="1" s="1"/>
  <c r="BU737" i="1"/>
  <c r="CP86" i="1"/>
  <c r="CR86" i="1"/>
  <c r="CQ86" i="1"/>
  <c r="CS86" i="1"/>
  <c r="CO86" i="1"/>
  <c r="CQ206" i="1"/>
  <c r="CP206" i="1"/>
  <c r="CS206" i="1"/>
  <c r="CR206" i="1"/>
  <c r="CQ857" i="1"/>
  <c r="CQ774" i="1"/>
  <c r="CT990" i="1"/>
  <c r="CP990" i="1"/>
  <c r="CO990" i="1"/>
  <c r="CS990" i="1"/>
  <c r="CR990" i="1"/>
  <c r="CQ990" i="1"/>
  <c r="CS92" i="1"/>
  <c r="CT92" i="1"/>
  <c r="CR92" i="1"/>
  <c r="CR150" i="1"/>
  <c r="CV150" i="1" s="1"/>
  <c r="CR70" i="1"/>
  <c r="CV70" i="1" s="1"/>
  <c r="CT777" i="1"/>
  <c r="BY777" i="1"/>
  <c r="CS1226" i="1"/>
  <c r="CR1226" i="1"/>
  <c r="CT41" i="1"/>
  <c r="CO69" i="1"/>
  <c r="CS737" i="1"/>
  <c r="CR737" i="1"/>
  <c r="BN80" i="1"/>
  <c r="BO80" i="1" s="1"/>
  <c r="BY80" i="1" s="1"/>
  <c r="CN80" i="1"/>
  <c r="BU1204" i="1"/>
  <c r="CS1204" i="1"/>
  <c r="CV1204" i="1" s="1"/>
  <c r="CQ146" i="1"/>
  <c r="CP146" i="1"/>
  <c r="CT146" i="1"/>
  <c r="CS35" i="1"/>
  <c r="CQ35" i="1"/>
  <c r="CP35" i="1"/>
  <c r="CT35" i="1"/>
  <c r="CR35" i="1"/>
  <c r="CO35" i="1"/>
  <c r="CQ199" i="1"/>
  <c r="CT226" i="1"/>
  <c r="BY226" i="1"/>
  <c r="BY985" i="1"/>
  <c r="BY430" i="1"/>
  <c r="BN923" i="1"/>
  <c r="BO923" i="1" s="1"/>
  <c r="BM923" i="1"/>
  <c r="CP904" i="1"/>
  <c r="CO904" i="1"/>
  <c r="CT904" i="1"/>
  <c r="CO737" i="1"/>
  <c r="BU157" i="1"/>
  <c r="BY263" i="1"/>
  <c r="BN79" i="1"/>
  <c r="BO79" i="1" s="1"/>
  <c r="BY79" i="1" s="1"/>
  <c r="BE80" i="1" a="1"/>
  <c r="BE80" i="1" s="1"/>
  <c r="CR1202" i="1"/>
  <c r="BY879" i="1"/>
  <c r="CT206" i="1"/>
  <c r="CO146" i="1"/>
  <c r="BY801" i="1"/>
  <c r="CR807" i="1"/>
  <c r="CP92" i="1"/>
  <c r="CT70" i="1"/>
  <c r="BY296" i="1"/>
  <c r="CT296" i="1"/>
  <c r="CT1209" i="1"/>
  <c r="CU1209" i="1" s="1"/>
  <c r="CS1209" i="1"/>
  <c r="CV1209" i="1" s="1"/>
  <c r="CT999" i="1"/>
  <c r="CS999" i="1"/>
  <c r="CR999" i="1"/>
  <c r="CQ999" i="1"/>
  <c r="CP999" i="1"/>
  <c r="CO999" i="1"/>
  <c r="CQ10" i="1"/>
  <c r="CP10" i="1"/>
  <c r="CP991" i="1"/>
  <c r="CN133" i="1"/>
  <c r="CO23" i="1"/>
  <c r="CT23" i="1"/>
  <c r="CR153" i="1"/>
  <c r="CQ153" i="1"/>
  <c r="CT153" i="1"/>
  <c r="CS153" i="1"/>
  <c r="BY896" i="1"/>
  <c r="BY415" i="1"/>
  <c r="CT415" i="1"/>
  <c r="BE429" i="1" a="1"/>
  <c r="BE429" i="1" s="1"/>
  <c r="BY429" i="1"/>
  <c r="CS602" i="1"/>
  <c r="CR602" i="1"/>
  <c r="CP602" i="1"/>
  <c r="CO602" i="1"/>
  <c r="CT182" i="1"/>
  <c r="CS182" i="1"/>
  <c r="CV182" i="1" s="1"/>
  <c r="CP182" i="1"/>
  <c r="CO182" i="1"/>
  <c r="CR263" i="1"/>
  <c r="CQ263" i="1"/>
  <c r="CR373" i="1"/>
  <c r="CV373" i="1" s="1"/>
  <c r="CQ373" i="1"/>
  <c r="CQ163" i="1"/>
  <c r="CS163" i="1"/>
  <c r="CR163" i="1"/>
  <c r="CP163" i="1"/>
  <c r="CO163" i="1"/>
  <c r="BY1227" i="1"/>
  <c r="CT1227" i="1"/>
  <c r="CU1227" i="1" s="1"/>
  <c r="BY1235" i="1"/>
  <c r="CT1235" i="1"/>
  <c r="CU1235" i="1" s="1"/>
  <c r="CP172" i="1"/>
  <c r="CO172" i="1"/>
  <c r="CS285" i="1"/>
  <c r="CR285" i="1"/>
  <c r="CS1105" i="1"/>
  <c r="CR1105" i="1"/>
  <c r="CS1107" i="1"/>
  <c r="CR1107" i="1"/>
  <c r="CS582" i="1"/>
  <c r="CR582" i="1"/>
  <c r="CR635" i="1"/>
  <c r="CQ635" i="1"/>
  <c r="CT748" i="1"/>
  <c r="CS748" i="1"/>
  <c r="CV748" i="1" s="1"/>
  <c r="CQ172" i="1"/>
  <c r="CT237" i="1"/>
  <c r="CS237" i="1"/>
  <c r="CO285" i="1"/>
  <c r="CO1105" i="1"/>
  <c r="CO1107" i="1"/>
  <c r="CO582" i="1"/>
  <c r="CR684" i="1"/>
  <c r="CV684" i="1" s="1"/>
  <c r="CQ684" i="1"/>
  <c r="CR300" i="1"/>
  <c r="CQ540" i="1"/>
  <c r="CP540" i="1"/>
  <c r="BY21" i="1"/>
  <c r="CQ8" i="1"/>
  <c r="CP8" i="1"/>
  <c r="CT1127" i="1"/>
  <c r="CU1127" i="1" s="1"/>
  <c r="CP325" i="1"/>
  <c r="CO325" i="1"/>
  <c r="CT325" i="1"/>
  <c r="CS325" i="1"/>
  <c r="CV325" i="1" s="1"/>
  <c r="CP1157" i="1"/>
  <c r="CO1157" i="1"/>
  <c r="CP186" i="1"/>
  <c r="CO186" i="1"/>
  <c r="CT186" i="1"/>
  <c r="CQ945" i="1"/>
  <c r="CP945" i="1"/>
  <c r="CT945" i="1"/>
  <c r="CS945" i="1"/>
  <c r="CV945" i="1" s="1"/>
  <c r="CS162" i="1"/>
  <c r="BV162" i="1"/>
  <c r="BX162" i="1" s="1"/>
  <c r="CT454" i="1"/>
  <c r="CS454" i="1"/>
  <c r="CR454" i="1"/>
  <c r="CQ454" i="1"/>
  <c r="CO373" i="1"/>
  <c r="CR1201" i="1"/>
  <c r="BY206" i="1"/>
  <c r="CP729" i="1"/>
  <c r="CT729" i="1"/>
  <c r="CS729" i="1"/>
  <c r="CV729" i="1" s="1"/>
  <c r="CQ729" i="1"/>
  <c r="CO729" i="1"/>
  <c r="CT112" i="1"/>
  <c r="CS112" i="1"/>
  <c r="CR112" i="1"/>
  <c r="CQ112" i="1"/>
  <c r="BY211" i="1"/>
  <c r="CT211" i="1"/>
  <c r="CT163" i="1"/>
  <c r="CQ179" i="1"/>
  <c r="BY179" i="1"/>
  <c r="CS1213" i="1"/>
  <c r="CR1213" i="1"/>
  <c r="CT1213" i="1"/>
  <c r="CU1213" i="1" s="1"/>
  <c r="CR1155" i="1"/>
  <c r="CQ1155" i="1"/>
  <c r="CU1155" i="1" s="1"/>
  <c r="CP836" i="1"/>
  <c r="CO836" i="1"/>
  <c r="CT265" i="1"/>
  <c r="BY457" i="1"/>
  <c r="BY418" i="1"/>
  <c r="BY413" i="1"/>
  <c r="CP1016" i="1"/>
  <c r="CO1016" i="1"/>
  <c r="CT861" i="1"/>
  <c r="CS861" i="1"/>
  <c r="CV861" i="1" s="1"/>
  <c r="CT421" i="1"/>
  <c r="CQ108" i="1"/>
  <c r="CP108" i="1"/>
  <c r="CQ177" i="1"/>
  <c r="CP177" i="1"/>
  <c r="CR177" i="1"/>
  <c r="CV177" i="1" s="1"/>
  <c r="CO177" i="1"/>
  <c r="CT621" i="1"/>
  <c r="CS621" i="1"/>
  <c r="CR621" i="1"/>
  <c r="CO187" i="1"/>
  <c r="CT187" i="1"/>
  <c r="CS187" i="1"/>
  <c r="CV187" i="1" s="1"/>
  <c r="CQ187" i="1"/>
  <c r="CP187" i="1"/>
  <c r="CS249" i="1"/>
  <c r="CV249" i="1" s="1"/>
  <c r="CQ249" i="1"/>
  <c r="CP249" i="1"/>
  <c r="CT249" i="1"/>
  <c r="CP226" i="1"/>
  <c r="CQ226" i="1"/>
  <c r="CO226" i="1"/>
  <c r="CS226" i="1"/>
  <c r="CR226" i="1"/>
  <c r="CO322" i="1"/>
  <c r="CR322" i="1"/>
  <c r="CV322" i="1" s="1"/>
  <c r="CQ322" i="1"/>
  <c r="CQ50" i="1"/>
  <c r="CT50" i="1"/>
  <c r="CS50" i="1"/>
  <c r="CR50" i="1"/>
  <c r="CP175" i="1"/>
  <c r="CO175" i="1"/>
  <c r="CR320" i="1"/>
  <c r="CV320" i="1" s="1"/>
  <c r="CQ320" i="1"/>
  <c r="BY431" i="1"/>
  <c r="BY622" i="1"/>
  <c r="BY427" i="1"/>
  <c r="BY160" i="1"/>
  <c r="CT157" i="1"/>
  <c r="CU157" i="1" s="1"/>
  <c r="CS157" i="1"/>
  <c r="CV157" i="1" s="1"/>
  <c r="BE423" i="1" a="1"/>
  <c r="BE423" i="1" s="1"/>
  <c r="CP1238" i="1"/>
  <c r="CO1238" i="1"/>
  <c r="BE81" i="1" a="1"/>
  <c r="BE81" i="1" s="1"/>
  <c r="CS141" i="1"/>
  <c r="CR141" i="1"/>
  <c r="CQ141" i="1"/>
  <c r="CS98" i="1"/>
  <c r="CT98" i="1"/>
  <c r="CR98" i="1"/>
  <c r="CQ98" i="1"/>
  <c r="CP98" i="1"/>
  <c r="CS87" i="1"/>
  <c r="CV87" i="1" s="1"/>
  <c r="CT87" i="1"/>
  <c r="BE211" i="1" a="1"/>
  <c r="BE211" i="1" s="1"/>
  <c r="CR139" i="1"/>
  <c r="CS139" i="1"/>
  <c r="CQ139" i="1"/>
  <c r="CT139" i="1"/>
  <c r="CO147" i="1"/>
  <c r="CT147" i="1"/>
  <c r="CS147" i="1"/>
  <c r="CR147" i="1"/>
  <c r="BY209" i="1"/>
  <c r="BE1214" i="1" a="1"/>
  <c r="BE1214" i="1" s="1"/>
  <c r="CO654" i="1"/>
  <c r="CS654" i="1"/>
  <c r="CV654" i="1" s="1"/>
  <c r="CQ654" i="1"/>
  <c r="CP654" i="1"/>
  <c r="BY53" i="1"/>
  <c r="CQ879" i="1"/>
  <c r="CP879" i="1"/>
  <c r="CR636" i="1"/>
  <c r="CT636" i="1"/>
  <c r="CS636" i="1"/>
  <c r="CP103" i="1"/>
  <c r="CT103" i="1"/>
  <c r="CT149" i="1"/>
  <c r="CQ149" i="1"/>
  <c r="CP149" i="1"/>
  <c r="BY155" i="1"/>
  <c r="BY84" i="1"/>
  <c r="CP250" i="1"/>
  <c r="CO250" i="1"/>
  <c r="CT250" i="1"/>
  <c r="CQ716" i="1"/>
  <c r="CT716" i="1"/>
  <c r="CS716" i="1"/>
  <c r="CR716" i="1"/>
  <c r="CQ455" i="1"/>
  <c r="CT455" i="1"/>
  <c r="CS455" i="1"/>
  <c r="CV455" i="1" s="1"/>
  <c r="BE1210" i="1" a="1"/>
  <c r="BE1210" i="1" s="1"/>
  <c r="CS1210" i="1"/>
  <c r="CR1210" i="1"/>
  <c r="BE53" i="1" a="1"/>
  <c r="BE53" i="1" s="1"/>
  <c r="CR785" i="1"/>
  <c r="CV785" i="1" s="1"/>
  <c r="CQ785" i="1"/>
  <c r="CT785" i="1"/>
  <c r="CP785" i="1"/>
  <c r="CO785" i="1"/>
  <c r="CQ552" i="1"/>
  <c r="CP552" i="1"/>
  <c r="CN641" i="1"/>
  <c r="BN641" i="1"/>
  <c r="BO641" i="1" s="1"/>
  <c r="BY641" i="1" s="1"/>
  <c r="BY910" i="1"/>
  <c r="CQ212" i="1"/>
  <c r="CS212" i="1"/>
  <c r="CR212" i="1"/>
  <c r="CT1231" i="1"/>
  <c r="CU1231" i="1" s="1"/>
  <c r="CS1231" i="1"/>
  <c r="CV1231" i="1" s="1"/>
  <c r="CR1232" i="1"/>
  <c r="CV1232" i="1" s="1"/>
  <c r="CT1232" i="1"/>
  <c r="CU1232" i="1" s="1"/>
  <c r="CR845" i="1"/>
  <c r="CT845" i="1"/>
  <c r="CS845" i="1"/>
  <c r="BY560" i="1"/>
  <c r="CS1233" i="1"/>
  <c r="CR1233" i="1"/>
  <c r="CR1212" i="1"/>
  <c r="CT1212" i="1"/>
  <c r="CU1212" i="1" s="1"/>
  <c r="BY59" i="1"/>
  <c r="CT59" i="1"/>
  <c r="CU59" i="1" s="1"/>
  <c r="CQ910" i="1"/>
  <c r="CT84" i="1"/>
  <c r="CS84" i="1"/>
  <c r="CR84" i="1"/>
  <c r="CS209" i="1"/>
  <c r="CQ209" i="1"/>
  <c r="CP209" i="1"/>
  <c r="CT1233" i="1"/>
  <c r="CU1233" i="1" s="1"/>
  <c r="CO308" i="1"/>
  <c r="CS1212" i="1"/>
  <c r="BE1215" i="1" a="1"/>
  <c r="BE1215" i="1" s="1"/>
  <c r="CP71" i="1"/>
  <c r="CO71" i="1"/>
  <c r="CT71" i="1"/>
  <c r="CS71" i="1"/>
  <c r="CR71" i="1"/>
  <c r="CV777" i="1"/>
  <c r="CT805" i="1"/>
  <c r="CO805" i="1"/>
  <c r="CS805" i="1"/>
  <c r="CV805" i="1" s="1"/>
  <c r="CQ57" i="1"/>
  <c r="CO296" i="1"/>
  <c r="BE41" i="1" a="1"/>
  <c r="BE41" i="1" s="1"/>
  <c r="CO39" i="1"/>
  <c r="BE1212" i="1" a="1"/>
  <c r="BE1212" i="1" s="1"/>
  <c r="CT1236" i="1"/>
  <c r="CU1236" i="1" s="1"/>
  <c r="CP805" i="1"/>
  <c r="CT78" i="1"/>
  <c r="CP78" i="1"/>
  <c r="CO78" i="1"/>
  <c r="BE1220" i="1" a="1"/>
  <c r="BE1220" i="1" s="1"/>
  <c r="CT1220" i="1"/>
  <c r="CU1220" i="1" s="1"/>
  <c r="CS1220" i="1"/>
  <c r="CR1220" i="1"/>
  <c r="CT1223" i="1"/>
  <c r="CU1223" i="1" s="1"/>
  <c r="CT1224" i="1"/>
  <c r="CU1224" i="1" s="1"/>
  <c r="BY1224" i="1"/>
  <c r="BY49" i="1"/>
  <c r="BY78" i="1"/>
  <c r="BY57" i="1"/>
  <c r="BY71" i="1"/>
  <c r="CT72" i="1"/>
  <c r="CR72" i="1"/>
  <c r="CV72" i="1" s="1"/>
  <c r="CQ72" i="1"/>
  <c r="CP72" i="1"/>
  <c r="CO72" i="1"/>
  <c r="CT1228" i="1"/>
  <c r="CU1228" i="1" s="1"/>
  <c r="BY1228" i="1"/>
  <c r="BY983" i="1"/>
  <c r="CQ49" i="1"/>
  <c r="CQ944" i="1"/>
  <c r="CS57" i="1"/>
  <c r="CV57" i="1" s="1"/>
  <c r="CT1229" i="1"/>
  <c r="CU1229" i="1" s="1"/>
  <c r="CT983" i="1"/>
  <c r="CQ985" i="1"/>
  <c r="CS49" i="1"/>
  <c r="CV49" i="1" s="1"/>
  <c r="CR66" i="1"/>
  <c r="CR944" i="1"/>
  <c r="CO47" i="1"/>
  <c r="CT57" i="1"/>
  <c r="CT1222" i="1"/>
  <c r="CU1222" i="1" s="1"/>
  <c r="CR985" i="1"/>
  <c r="CO48" i="1"/>
  <c r="CT49" i="1"/>
  <c r="CS66" i="1"/>
  <c r="CS985" i="1"/>
  <c r="CT66" i="1"/>
  <c r="CR1225" i="1"/>
  <c r="CO983" i="1"/>
  <c r="CT985" i="1"/>
  <c r="CT51" i="1"/>
  <c r="CP57" i="1"/>
  <c r="CR1221" i="1"/>
  <c r="CV1221" i="1" s="1"/>
  <c r="CS1223" i="1"/>
  <c r="CV1223" i="1" s="1"/>
  <c r="CQ983" i="1"/>
  <c r="CP49" i="1"/>
  <c r="CO66" i="1"/>
  <c r="CU1107" i="1" l="1"/>
  <c r="CV1158" i="1"/>
  <c r="CU211" i="1"/>
  <c r="CV626" i="1"/>
  <c r="CO907" i="1"/>
  <c r="CO111" i="1"/>
  <c r="CR111" i="1"/>
  <c r="CV111" i="1" s="1"/>
  <c r="CU41" i="1"/>
  <c r="CU841" i="1"/>
  <c r="CS111" i="1"/>
  <c r="CQ111" i="1"/>
  <c r="CU92" i="1"/>
  <c r="CV589" i="1"/>
  <c r="CU125" i="1"/>
  <c r="CQ903" i="1"/>
  <c r="CV1143" i="1"/>
  <c r="CV434" i="1"/>
  <c r="CV209" i="1"/>
  <c r="CV961" i="1"/>
  <c r="CV211" i="1"/>
  <c r="CV430" i="1"/>
  <c r="CU430" i="1"/>
  <c r="CR988" i="1"/>
  <c r="CU671" i="1"/>
  <c r="CT79" i="1"/>
  <c r="CO988" i="1"/>
  <c r="CS988" i="1"/>
  <c r="CV1017" i="1"/>
  <c r="CU1003" i="1"/>
  <c r="CO624" i="1"/>
  <c r="CT988" i="1"/>
  <c r="CU182" i="1"/>
  <c r="CS624" i="1"/>
  <c r="CV624" i="1" s="1"/>
  <c r="CV426" i="1"/>
  <c r="CU281" i="1"/>
  <c r="CU911" i="1"/>
  <c r="CU879" i="1"/>
  <c r="CR294" i="1"/>
  <c r="CU250" i="1"/>
  <c r="CU228" i="1"/>
  <c r="CS294" i="1"/>
  <c r="CV1139" i="1"/>
  <c r="CT624" i="1"/>
  <c r="CU624" i="1" s="1"/>
  <c r="CU290" i="1"/>
  <c r="CU155" i="1"/>
  <c r="CP85" i="1"/>
  <c r="CU259" i="1"/>
  <c r="CT85" i="1"/>
  <c r="CU14" i="1"/>
  <c r="CS85" i="1"/>
  <c r="CQ317" i="1"/>
  <c r="CU1048" i="1"/>
  <c r="CU801" i="1"/>
  <c r="CQ85" i="1"/>
  <c r="CR85" i="1"/>
  <c r="CQ889" i="1"/>
  <c r="CU728" i="1"/>
  <c r="CO294" i="1"/>
  <c r="CO899" i="1"/>
  <c r="CP294" i="1"/>
  <c r="BY991" i="1"/>
  <c r="CT294" i="1"/>
  <c r="CU294" i="1" s="1"/>
  <c r="CU78" i="1"/>
  <c r="CU419" i="1"/>
  <c r="CQ783" i="1"/>
  <c r="CU423" i="1"/>
  <c r="CU797" i="1"/>
  <c r="CU127" i="1"/>
  <c r="CT1158" i="1"/>
  <c r="CU1158" i="1" s="1"/>
  <c r="CQ620" i="1"/>
  <c r="CU620" i="1" s="1"/>
  <c r="CU757" i="1"/>
  <c r="CU896" i="1"/>
  <c r="CV622" i="1"/>
  <c r="CU457" i="1"/>
  <c r="CT1161" i="1"/>
  <c r="CU613" i="1"/>
  <c r="CS1161" i="1"/>
  <c r="CU172" i="1"/>
  <c r="CU989" i="1"/>
  <c r="CU225" i="1"/>
  <c r="CO1161" i="1"/>
  <c r="CQ1161" i="1"/>
  <c r="CU626" i="1"/>
  <c r="CR1161" i="1"/>
  <c r="CV11" i="1"/>
  <c r="CU736" i="1"/>
  <c r="CU638" i="1"/>
  <c r="CV1237" i="1"/>
  <c r="CQ23" i="1"/>
  <c r="CU23" i="1" s="1"/>
  <c r="CV1225" i="1"/>
  <c r="CR40" i="1"/>
  <c r="CU789" i="1"/>
  <c r="CV413" i="1"/>
  <c r="CU910" i="1"/>
  <c r="CU200" i="1"/>
  <c r="CU301" i="1"/>
  <c r="CS40" i="1"/>
  <c r="CU1035" i="1"/>
  <c r="CP40" i="1"/>
  <c r="CU373" i="1"/>
  <c r="CT102" i="1"/>
  <c r="CU102" i="1" s="1"/>
  <c r="CV780" i="1"/>
  <c r="CT40" i="1"/>
  <c r="CQ304" i="1"/>
  <c r="CV671" i="1"/>
  <c r="CT993" i="1"/>
  <c r="BY624" i="1"/>
  <c r="CP1011" i="1"/>
  <c r="CU1017" i="1"/>
  <c r="CU21" i="1"/>
  <c r="CU916" i="1"/>
  <c r="CV1003" i="1"/>
  <c r="CV186" i="1"/>
  <c r="CU421" i="1"/>
  <c r="CV429" i="1"/>
  <c r="CV1126" i="1"/>
  <c r="CU523" i="1"/>
  <c r="CU560" i="1"/>
  <c r="CQ1011" i="1"/>
  <c r="CS907" i="1"/>
  <c r="CV907" i="1" s="1"/>
  <c r="CT907" i="1"/>
  <c r="CU605" i="1"/>
  <c r="CU1047" i="1"/>
  <c r="CU944" i="1"/>
  <c r="CS1011" i="1"/>
  <c r="CP907" i="1"/>
  <c r="CU707" i="1"/>
  <c r="CU662" i="1"/>
  <c r="CU621" i="1"/>
  <c r="CU807" i="1"/>
  <c r="CU428" i="1"/>
  <c r="CT1011" i="1"/>
  <c r="CU1157" i="1"/>
  <c r="CR1011" i="1"/>
  <c r="CQ1159" i="1"/>
  <c r="CU1159" i="1" s="1"/>
  <c r="CT630" i="1"/>
  <c r="CU639" i="1"/>
  <c r="CV284" i="1"/>
  <c r="CV242" i="1"/>
  <c r="CU956" i="1"/>
  <c r="CU62" i="1"/>
  <c r="CU722" i="1"/>
  <c r="CT1160" i="1"/>
  <c r="CU234" i="1"/>
  <c r="CU71" i="1"/>
  <c r="CU212" i="1"/>
  <c r="CO889" i="1"/>
  <c r="CU612" i="1"/>
  <c r="CO1160" i="1"/>
  <c r="CU104" i="1"/>
  <c r="CU263" i="1"/>
  <c r="CP889" i="1"/>
  <c r="BY960" i="1"/>
  <c r="CU84" i="1"/>
  <c r="CV1144" i="1"/>
  <c r="CU1028" i="1"/>
  <c r="CS1160" i="1"/>
  <c r="CV1160" i="1" s="1"/>
  <c r="CU325" i="1"/>
  <c r="CV635" i="1"/>
  <c r="CU735" i="1"/>
  <c r="CV18" i="1"/>
  <c r="BY133" i="1"/>
  <c r="CU690" i="1"/>
  <c r="CU792" i="1"/>
  <c r="CQ899" i="1"/>
  <c r="CV446" i="1"/>
  <c r="CQ1020" i="1"/>
  <c r="CU604" i="1"/>
  <c r="CU323" i="1"/>
  <c r="CU274" i="1"/>
  <c r="CU113" i="1"/>
  <c r="CP1160" i="1"/>
  <c r="CU412" i="1"/>
  <c r="CU295" i="1"/>
  <c r="CU219" i="1"/>
  <c r="CT309" i="1"/>
  <c r="CO309" i="1"/>
  <c r="CP309" i="1"/>
  <c r="CT1020" i="1"/>
  <c r="CQ309" i="1"/>
  <c r="CU137" i="1"/>
  <c r="CO1020" i="1"/>
  <c r="CU318" i="1"/>
  <c r="BY1136" i="1"/>
  <c r="CU205" i="1"/>
  <c r="CV432" i="1"/>
  <c r="CU805" i="1"/>
  <c r="CP1020" i="1"/>
  <c r="CR309" i="1"/>
  <c r="CV309" i="1" s="1"/>
  <c r="CS1020" i="1"/>
  <c r="CV1020" i="1" s="1"/>
  <c r="CU186" i="1"/>
  <c r="CU265" i="1"/>
  <c r="CV162" i="1"/>
  <c r="CS1159" i="1"/>
  <c r="CU434" i="1"/>
  <c r="CU261" i="1"/>
  <c r="CU291" i="1"/>
  <c r="CV275" i="1"/>
  <c r="CV658" i="1"/>
  <c r="CU720" i="1"/>
  <c r="CV274" i="1"/>
  <c r="CU589" i="1"/>
  <c r="CV841" i="1"/>
  <c r="CU431" i="1"/>
  <c r="CV933" i="1"/>
  <c r="CV281" i="1"/>
  <c r="CU1143" i="1"/>
  <c r="CV1042" i="1"/>
  <c r="CV991" i="1"/>
  <c r="CS79" i="1"/>
  <c r="CV79" i="1" s="1"/>
  <c r="CU702" i="1"/>
  <c r="CU141" i="1"/>
  <c r="CU540" i="1"/>
  <c r="CU308" i="1"/>
  <c r="CU582" i="1"/>
  <c r="CU455" i="1"/>
  <c r="CQ40" i="1"/>
  <c r="CU180" i="1"/>
  <c r="CV956" i="1"/>
  <c r="CU772" i="1"/>
  <c r="CQ630" i="1"/>
  <c r="CU748" i="1"/>
  <c r="CU734" i="1"/>
  <c r="CU416" i="1"/>
  <c r="CU1105" i="1"/>
  <c r="CU231" i="1"/>
  <c r="CU1139" i="1"/>
  <c r="CU376" i="1"/>
  <c r="CU836" i="1"/>
  <c r="CO79" i="1"/>
  <c r="CU224" i="1"/>
  <c r="CU86" i="1"/>
  <c r="CU262" i="1"/>
  <c r="CU296" i="1"/>
  <c r="CU52" i="1"/>
  <c r="CP79" i="1"/>
  <c r="CU1154" i="1"/>
  <c r="CU718" i="1"/>
  <c r="BY1161" i="1"/>
  <c r="EP1161" i="1" s="1"/>
  <c r="CU237" i="1"/>
  <c r="CU161" i="1"/>
  <c r="CS630" i="1"/>
  <c r="CV438" i="1"/>
  <c r="CU12" i="1"/>
  <c r="CU418" i="1"/>
  <c r="CU1027" i="1"/>
  <c r="CO923" i="1"/>
  <c r="CU160" i="1"/>
  <c r="CU861" i="1"/>
  <c r="CU209" i="1"/>
  <c r="CU733" i="1"/>
  <c r="CU768" i="1"/>
  <c r="CV1156" i="1"/>
  <c r="CU66" i="1"/>
  <c r="CU229" i="1"/>
  <c r="CU845" i="1"/>
  <c r="CV237" i="1"/>
  <c r="CU415" i="1"/>
  <c r="CU709" i="1"/>
  <c r="CP993" i="1"/>
  <c r="CU188" i="1"/>
  <c r="CU1030" i="1"/>
  <c r="CV253" i="1"/>
  <c r="CU53" i="1"/>
  <c r="CR923" i="1"/>
  <c r="CV923" i="1" s="1"/>
  <c r="CU426" i="1"/>
  <c r="CU830" i="1"/>
  <c r="CV1043" i="1"/>
  <c r="CV189" i="1"/>
  <c r="BY111" i="1"/>
  <c r="CU108" i="1"/>
  <c r="CQ923" i="1"/>
  <c r="CU780" i="1"/>
  <c r="CO630" i="1"/>
  <c r="CV232" i="1"/>
  <c r="CU175" i="1"/>
  <c r="CV723" i="1"/>
  <c r="CQ24" i="1"/>
  <c r="CV291" i="1"/>
  <c r="CV1142" i="1"/>
  <c r="CV137" i="1"/>
  <c r="CU961" i="1"/>
  <c r="CV612" i="1"/>
  <c r="CU432" i="1"/>
  <c r="CU446" i="1"/>
  <c r="CV608" i="1"/>
  <c r="CU458" i="1"/>
  <c r="CV1140" i="1"/>
  <c r="CV66" i="1"/>
  <c r="CU177" i="1"/>
  <c r="CV300" i="1"/>
  <c r="CU777" i="1"/>
  <c r="CU699" i="1"/>
  <c r="CR630" i="1"/>
  <c r="CV412" i="1"/>
  <c r="CV954" i="1"/>
  <c r="CU272" i="1"/>
  <c r="CU166" i="1"/>
  <c r="CV1230" i="1"/>
  <c r="CV193" i="1"/>
  <c r="CU242" i="1"/>
  <c r="CU784" i="1"/>
  <c r="CU64" i="1"/>
  <c r="CV48" i="1"/>
  <c r="CU47" i="1"/>
  <c r="CU933" i="1"/>
  <c r="CU1144" i="1"/>
  <c r="CV1127" i="1"/>
  <c r="CU976" i="1"/>
  <c r="CV602" i="1"/>
  <c r="CV819" i="1"/>
  <c r="CU215" i="1"/>
  <c r="CV1035" i="1"/>
  <c r="CU206" i="1"/>
  <c r="CV92" i="1"/>
  <c r="CV796" i="1"/>
  <c r="CU607" i="1"/>
  <c r="CU232" i="1"/>
  <c r="CU730" i="1"/>
  <c r="CU1043" i="1"/>
  <c r="CU57" i="1"/>
  <c r="CT923" i="1"/>
  <c r="CV770" i="1"/>
  <c r="CV914" i="1"/>
  <c r="CV668" i="1"/>
  <c r="CV10" i="1"/>
  <c r="CU181" i="1"/>
  <c r="CU413" i="1"/>
  <c r="CU741" i="1"/>
  <c r="CU904" i="1"/>
  <c r="CR899" i="1"/>
  <c r="CV899" i="1" s="1"/>
  <c r="CU63" i="1"/>
  <c r="CV199" i="1"/>
  <c r="CU105" i="1"/>
  <c r="CU819" i="1"/>
  <c r="CU245" i="1"/>
  <c r="CU651" i="1"/>
  <c r="CT973" i="1"/>
  <c r="CV678" i="1"/>
  <c r="CR993" i="1"/>
  <c r="CT304" i="1"/>
  <c r="CU341" i="1"/>
  <c r="CU283" i="1"/>
  <c r="CU255" i="1"/>
  <c r="CU1140" i="1"/>
  <c r="CU1032" i="1"/>
  <c r="CU429" i="1"/>
  <c r="CV457" i="1"/>
  <c r="BY606" i="1"/>
  <c r="CU303" i="1"/>
  <c r="CR24" i="1"/>
  <c r="CU1036" i="1"/>
  <c r="CU668" i="1"/>
  <c r="CU1037" i="1"/>
  <c r="CU48" i="1"/>
  <c r="CU89" i="1"/>
  <c r="CU939" i="1"/>
  <c r="CU51" i="1"/>
  <c r="CR304" i="1"/>
  <c r="CU437" i="1"/>
  <c r="CU1142" i="1"/>
  <c r="CU20" i="1"/>
  <c r="CU1016" i="1"/>
  <c r="CU1044" i="1"/>
  <c r="CV1216" i="1"/>
  <c r="CU623" i="1"/>
  <c r="CU425" i="1"/>
  <c r="CS24" i="1"/>
  <c r="CU954" i="1"/>
  <c r="CU45" i="1"/>
  <c r="CU264" i="1"/>
  <c r="CU427" i="1"/>
  <c r="CV458" i="1"/>
  <c r="CV896" i="1"/>
  <c r="CV437" i="1"/>
  <c r="CS304" i="1"/>
  <c r="CU103" i="1"/>
  <c r="CU191" i="1"/>
  <c r="CU1038" i="1"/>
  <c r="CV944" i="1"/>
  <c r="CV1155" i="1"/>
  <c r="CT737" i="1"/>
  <c r="CU737" i="1" s="1"/>
  <c r="CP899" i="1"/>
  <c r="CU754" i="1"/>
  <c r="CU438" i="1"/>
  <c r="CR973" i="1"/>
  <c r="CU436" i="1"/>
  <c r="CU286" i="1"/>
  <c r="BY836" i="1"/>
  <c r="CQ993" i="1"/>
  <c r="CT832" i="1"/>
  <c r="CU832" i="1" s="1"/>
  <c r="CT24" i="1"/>
  <c r="CP923" i="1"/>
  <c r="CU773" i="1"/>
  <c r="CV456" i="1"/>
  <c r="CU609" i="1"/>
  <c r="CU300" i="1"/>
  <c r="CU622" i="1"/>
  <c r="CU774" i="1"/>
  <c r="CU208" i="1"/>
  <c r="CP973" i="1"/>
  <c r="CU654" i="1"/>
  <c r="CU179" i="1"/>
  <c r="CU65" i="1"/>
  <c r="CQ973" i="1"/>
  <c r="CU596" i="1"/>
  <c r="CV1031" i="1"/>
  <c r="CU275" i="1"/>
  <c r="CU636" i="1"/>
  <c r="CU635" i="1"/>
  <c r="CT899" i="1"/>
  <c r="CU39" i="1"/>
  <c r="CV228" i="1"/>
  <c r="CV720" i="1"/>
  <c r="CV718" i="1"/>
  <c r="CV609" i="1"/>
  <c r="CU1141" i="1"/>
  <c r="CS973" i="1"/>
  <c r="CU781" i="1"/>
  <c r="CU171" i="1"/>
  <c r="CU316" i="1"/>
  <c r="CU120" i="1"/>
  <c r="CS993" i="1"/>
  <c r="CO24" i="1"/>
  <c r="CU1040" i="1"/>
  <c r="CV662" i="1"/>
  <c r="CV23" i="1"/>
  <c r="CV428" i="1"/>
  <c r="CV265" i="1"/>
  <c r="CU711" i="1"/>
  <c r="CU285" i="1"/>
  <c r="CV623" i="1"/>
  <c r="CV639" i="1"/>
  <c r="CU158" i="1"/>
  <c r="CU22" i="1"/>
  <c r="CU679" i="1"/>
  <c r="CV713" i="1"/>
  <c r="CU1031" i="1"/>
  <c r="CU122" i="1"/>
  <c r="CV746" i="1"/>
  <c r="CV166" i="1"/>
  <c r="CU151" i="1"/>
  <c r="CU70" i="1"/>
  <c r="CV702" i="1"/>
  <c r="CV774" i="1"/>
  <c r="CV226" i="1"/>
  <c r="CV810" i="1"/>
  <c r="CU811" i="1"/>
  <c r="CV270" i="1"/>
  <c r="CV425" i="1"/>
  <c r="CU163" i="1"/>
  <c r="BY300" i="1"/>
  <c r="CV591" i="1"/>
  <c r="CU49" i="1"/>
  <c r="CV41" i="1"/>
  <c r="CV102" i="1"/>
  <c r="CV916" i="1"/>
  <c r="CU721" i="1"/>
  <c r="CU715" i="1"/>
  <c r="CV836" i="1"/>
  <c r="CV845" i="1"/>
  <c r="CU249" i="1"/>
  <c r="CV153" i="1"/>
  <c r="CU713" i="1"/>
  <c r="CV730" i="1"/>
  <c r="CU983" i="1"/>
  <c r="CU716" i="1"/>
  <c r="CU153" i="1"/>
  <c r="CV707" i="1"/>
  <c r="CU608" i="1"/>
  <c r="CU745" i="1"/>
  <c r="CV47" i="1"/>
  <c r="CV229" i="1"/>
  <c r="CU189" i="1"/>
  <c r="CU146" i="1"/>
  <c r="CV634" i="1"/>
  <c r="CV802" i="1"/>
  <c r="CU1042" i="1"/>
  <c r="CU260" i="1"/>
  <c r="CV427" i="1"/>
  <c r="CV815" i="1"/>
  <c r="CQ110" i="1"/>
  <c r="CU110" i="1" s="1"/>
  <c r="CV1106" i="1"/>
  <c r="CU284" i="1"/>
  <c r="CU456" i="1"/>
  <c r="CV191" i="1"/>
  <c r="CV773" i="1"/>
  <c r="CV1105" i="1"/>
  <c r="CV690" i="1"/>
  <c r="CV736" i="1"/>
  <c r="CV728" i="1"/>
  <c r="CV722" i="1"/>
  <c r="BY628" i="1"/>
  <c r="CV721" i="1"/>
  <c r="CV715" i="1"/>
  <c r="CQ1001" i="1"/>
  <c r="CU210" i="1"/>
  <c r="CV215" i="1"/>
  <c r="CU725" i="1"/>
  <c r="CV1040" i="1"/>
  <c r="CU591" i="1"/>
  <c r="CQ575" i="1"/>
  <c r="CU575" i="1" s="1"/>
  <c r="CU13" i="1"/>
  <c r="CV560" i="1"/>
  <c r="CV120" i="1"/>
  <c r="CU87" i="1"/>
  <c r="CV263" i="1"/>
  <c r="CU999" i="1"/>
  <c r="CQ1160" i="1"/>
  <c r="CV69" i="1"/>
  <c r="CV768" i="1"/>
  <c r="CV222" i="1"/>
  <c r="CU688" i="1"/>
  <c r="CU798" i="1"/>
  <c r="CU238" i="1"/>
  <c r="CV15" i="1"/>
  <c r="CV19" i="1"/>
  <c r="CV824" i="1"/>
  <c r="CV574" i="1"/>
  <c r="CU838" i="1"/>
  <c r="CV1202" i="1"/>
  <c r="CV709" i="1"/>
  <c r="CU627" i="1"/>
  <c r="CU786" i="1"/>
  <c r="CV739" i="1"/>
  <c r="CV976" i="1"/>
  <c r="CV290" i="1"/>
  <c r="CV160" i="1"/>
  <c r="CV1220" i="1"/>
  <c r="CV318" i="1"/>
  <c r="CV797" i="1"/>
  <c r="CU222" i="1"/>
  <c r="CU770" i="1"/>
  <c r="CU1033" i="1"/>
  <c r="CU193" i="1"/>
  <c r="CV329" i="1"/>
  <c r="CU147" i="1"/>
  <c r="CV454" i="1"/>
  <c r="CU149" i="1"/>
  <c r="CV638" i="1"/>
  <c r="CV613" i="1"/>
  <c r="CV604" i="1"/>
  <c r="CV832" i="1"/>
  <c r="CV575" i="1"/>
  <c r="CU72" i="1"/>
  <c r="CV139" i="1"/>
  <c r="CV737" i="1"/>
  <c r="CU150" i="1"/>
  <c r="CU46" i="1"/>
  <c r="CU815" i="1"/>
  <c r="CU128" i="1"/>
  <c r="CV1123" i="1"/>
  <c r="CU1106" i="1"/>
  <c r="CV181" i="1"/>
  <c r="BY303" i="1"/>
  <c r="CO304" i="1"/>
  <c r="CU787" i="1"/>
  <c r="CV787" i="1"/>
  <c r="CV786" i="1"/>
  <c r="CV202" i="1"/>
  <c r="CV295" i="1"/>
  <c r="CU257" i="1"/>
  <c r="CU258" i="1"/>
  <c r="CV230" i="1"/>
  <c r="CU980" i="1"/>
  <c r="CV1037" i="1"/>
  <c r="CV239" i="1"/>
  <c r="CU11" i="1"/>
  <c r="CV73" i="1"/>
  <c r="CR1159" i="1"/>
  <c r="CP1159" i="1"/>
  <c r="CO1159" i="1"/>
  <c r="CU796" i="1"/>
  <c r="CV628" i="1"/>
  <c r="CT1001" i="1"/>
  <c r="CS1001" i="1"/>
  <c r="CO1001" i="1"/>
  <c r="CR1001" i="1"/>
  <c r="CV141" i="1"/>
  <c r="CV35" i="1"/>
  <c r="CS81" i="1"/>
  <c r="CV81" i="1" s="1"/>
  <c r="CP81" i="1"/>
  <c r="CV1203" i="1"/>
  <c r="CV620" i="1"/>
  <c r="CT889" i="1"/>
  <c r="CS889" i="1"/>
  <c r="CR889" i="1"/>
  <c r="CV540" i="1"/>
  <c r="CO81" i="1"/>
  <c r="CQ81" i="1"/>
  <c r="CU783" i="1"/>
  <c r="CT81" i="1"/>
  <c r="CV985" i="1"/>
  <c r="CU785" i="1"/>
  <c r="CV1210" i="1"/>
  <c r="CV98" i="1"/>
  <c r="CU50" i="1"/>
  <c r="CV1213" i="1"/>
  <c r="CV112" i="1"/>
  <c r="CU729" i="1"/>
  <c r="CV1107" i="1"/>
  <c r="CV1226" i="1"/>
  <c r="CU69" i="1"/>
  <c r="BY85" i="1"/>
  <c r="CU606" i="1"/>
  <c r="CV183" i="1"/>
  <c r="CU678" i="1"/>
  <c r="CV341" i="1"/>
  <c r="CU17" i="1"/>
  <c r="CV783" i="1"/>
  <c r="CV22" i="1"/>
  <c r="CV9" i="1"/>
  <c r="BY658" i="1"/>
  <c r="CT658" i="1"/>
  <c r="CU658" i="1" s="1"/>
  <c r="CV257" i="1"/>
  <c r="CU216" i="1"/>
  <c r="CV1044" i="1"/>
  <c r="CU1039" i="1"/>
  <c r="CU1046" i="1"/>
  <c r="CV254" i="1"/>
  <c r="CR641" i="1"/>
  <c r="CQ641" i="1"/>
  <c r="CO641" i="1"/>
  <c r="CT641" i="1"/>
  <c r="CS641" i="1"/>
  <c r="CP641" i="1"/>
  <c r="CU139" i="1"/>
  <c r="CU112" i="1"/>
  <c r="CU945" i="1"/>
  <c r="CU35" i="1"/>
  <c r="CU990" i="1"/>
  <c r="CU322" i="1"/>
  <c r="CV1201" i="1"/>
  <c r="BY923" i="1"/>
  <c r="CV113" i="1"/>
  <c r="CU767" i="1"/>
  <c r="CU183" i="1"/>
  <c r="CT129" i="1"/>
  <c r="CS129" i="1"/>
  <c r="CO129" i="1"/>
  <c r="CQ129" i="1"/>
  <c r="CP129" i="1"/>
  <c r="CR129" i="1"/>
  <c r="CV1039" i="1"/>
  <c r="CV1046" i="1"/>
  <c r="CV258" i="1"/>
  <c r="CU454" i="1"/>
  <c r="CP80" i="1"/>
  <c r="CO80" i="1"/>
  <c r="CQ80" i="1"/>
  <c r="CT80" i="1"/>
  <c r="CS80" i="1"/>
  <c r="CR80" i="1"/>
  <c r="CS960" i="1"/>
  <c r="CR960" i="1"/>
  <c r="CQ960" i="1"/>
  <c r="CP960" i="1"/>
  <c r="CT960" i="1"/>
  <c r="CO960" i="1"/>
  <c r="CP984" i="1"/>
  <c r="CO984" i="1"/>
  <c r="CT984" i="1"/>
  <c r="CS984" i="1"/>
  <c r="CR984" i="1"/>
  <c r="CQ984" i="1"/>
  <c r="CQ79" i="1"/>
  <c r="CU1029" i="1"/>
  <c r="CU903" i="1"/>
  <c r="CQ907" i="1"/>
  <c r="CV16" i="1"/>
  <c r="CV283" i="1"/>
  <c r="CV17" i="1"/>
  <c r="CU10" i="1"/>
  <c r="CV607" i="1"/>
  <c r="CU19" i="1"/>
  <c r="CU684" i="1"/>
  <c r="CU739" i="1"/>
  <c r="CU724" i="1"/>
  <c r="CS1007" i="1"/>
  <c r="CR1007" i="1"/>
  <c r="CT1007" i="1"/>
  <c r="CQ1007" i="1"/>
  <c r="CP1007" i="1"/>
  <c r="CO1007" i="1"/>
  <c r="CQ895" i="1"/>
  <c r="CP895" i="1"/>
  <c r="CO895" i="1"/>
  <c r="CT895" i="1"/>
  <c r="CS895" i="1"/>
  <c r="CR895" i="1"/>
  <c r="CV1036" i="1"/>
  <c r="CV216" i="1"/>
  <c r="CU1045" i="1"/>
  <c r="CU230" i="1"/>
  <c r="CU226" i="1"/>
  <c r="CU199" i="1"/>
  <c r="CV807" i="1"/>
  <c r="CV644" i="1"/>
  <c r="CU634" i="1"/>
  <c r="CU802" i="1"/>
  <c r="CU689" i="1"/>
  <c r="CU723" i="1"/>
  <c r="CV826" i="1"/>
  <c r="CU897" i="1"/>
  <c r="CV725" i="1"/>
  <c r="CU329" i="1"/>
  <c r="CV980" i="1"/>
  <c r="CU254" i="1"/>
  <c r="CV1045" i="1"/>
  <c r="CU824" i="1"/>
  <c r="CV1212" i="1"/>
  <c r="CV212" i="1"/>
  <c r="CV636" i="1"/>
  <c r="CT162" i="1"/>
  <c r="CU162" i="1" s="1"/>
  <c r="BY162" i="1"/>
  <c r="CV285" i="1"/>
  <c r="CV999" i="1"/>
  <c r="CV86" i="1"/>
  <c r="CU1012" i="1"/>
  <c r="CV128" i="1"/>
  <c r="CV1029" i="1"/>
  <c r="CU644" i="1"/>
  <c r="CV570" i="1"/>
  <c r="CU136" i="1"/>
  <c r="CV688" i="1"/>
  <c r="CU615" i="1"/>
  <c r="CV238" i="1"/>
  <c r="CV158" i="1"/>
  <c r="CU202" i="1"/>
  <c r="CU16" i="1"/>
  <c r="CV689" i="1"/>
  <c r="CU1104" i="1"/>
  <c r="CV724" i="1"/>
  <c r="CU317" i="1"/>
  <c r="CV1018" i="1"/>
  <c r="CU610" i="1"/>
  <c r="CV1033" i="1"/>
  <c r="CU826" i="1"/>
  <c r="CV122" i="1"/>
  <c r="CV897" i="1"/>
  <c r="CV1034" i="1"/>
  <c r="CV1030" i="1"/>
  <c r="CU857" i="1"/>
  <c r="CU320" i="1"/>
  <c r="CU73" i="1"/>
  <c r="CP1136" i="1"/>
  <c r="CO1136" i="1"/>
  <c r="CT1136" i="1"/>
  <c r="CS1136" i="1"/>
  <c r="CR1136" i="1"/>
  <c r="CQ1136" i="1"/>
  <c r="CU931" i="1"/>
  <c r="CU574" i="1"/>
  <c r="CU1034" i="1"/>
  <c r="CV264" i="1"/>
  <c r="CU985" i="1"/>
  <c r="CV716" i="1"/>
  <c r="CV147" i="1"/>
  <c r="CV621" i="1"/>
  <c r="CV582" i="1"/>
  <c r="CV163" i="1"/>
  <c r="CV990" i="1"/>
  <c r="CV206" i="1"/>
  <c r="CV127" i="1"/>
  <c r="CV1012" i="1"/>
  <c r="CV46" i="1"/>
  <c r="CV754" i="1"/>
  <c r="BY570" i="1"/>
  <c r="CQ570" i="1"/>
  <c r="CU570" i="1" s="1"/>
  <c r="CV171" i="1"/>
  <c r="CV286" i="1"/>
  <c r="CT111" i="1"/>
  <c r="CU111" i="1" s="1"/>
  <c r="CU628" i="1"/>
  <c r="CV136" i="1"/>
  <c r="CV798" i="1"/>
  <c r="CV615" i="1"/>
  <c r="CU991" i="1"/>
  <c r="CQ988" i="1"/>
  <c r="CU15" i="1"/>
  <c r="CU9" i="1"/>
  <c r="CV1104" i="1"/>
  <c r="CV679" i="1"/>
  <c r="CQ1018" i="1"/>
  <c r="CU1018" i="1" s="1"/>
  <c r="CV610" i="1"/>
  <c r="CU914" i="1"/>
  <c r="CU677" i="1"/>
  <c r="CV1032" i="1"/>
  <c r="CV830" i="1"/>
  <c r="CU1041" i="1"/>
  <c r="CV1038" i="1"/>
  <c r="CV838" i="1"/>
  <c r="CV1233" i="1"/>
  <c r="CV71" i="1"/>
  <c r="CV84" i="1"/>
  <c r="CU98" i="1"/>
  <c r="CV50" i="1"/>
  <c r="CU187" i="1"/>
  <c r="CP133" i="1"/>
  <c r="CO133" i="1"/>
  <c r="CQ133" i="1"/>
  <c r="CT133" i="1"/>
  <c r="CS133" i="1"/>
  <c r="CR133" i="1"/>
  <c r="CU552" i="1"/>
  <c r="CV1234" i="1"/>
  <c r="CV1028" i="1"/>
  <c r="CV784" i="1"/>
  <c r="CV789" i="1"/>
  <c r="CV741" i="1"/>
  <c r="CU18" i="1"/>
  <c r="CU746" i="1"/>
  <c r="CU8" i="1"/>
  <c r="CU270" i="1"/>
  <c r="CV1041" i="1"/>
  <c r="CU810" i="1"/>
  <c r="CU253" i="1"/>
  <c r="CU239" i="1"/>
  <c r="CU988" i="1" l="1"/>
  <c r="CV85" i="1"/>
  <c r="CU1160" i="1"/>
  <c r="CV294" i="1"/>
  <c r="CU79" i="1"/>
  <c r="CU889" i="1"/>
  <c r="CV988" i="1"/>
  <c r="CV40" i="1"/>
  <c r="CV1161" i="1"/>
  <c r="CU993" i="1"/>
  <c r="CU85" i="1"/>
  <c r="CU1011" i="1"/>
  <c r="CU1020" i="1"/>
  <c r="CU304" i="1"/>
  <c r="CU1161" i="1"/>
  <c r="CU40" i="1"/>
  <c r="CU899" i="1"/>
  <c r="CV973" i="1"/>
  <c r="CU907" i="1"/>
  <c r="CV1011" i="1"/>
  <c r="CU24" i="1"/>
  <c r="CU630" i="1"/>
  <c r="CU309" i="1"/>
  <c r="CV1159" i="1"/>
  <c r="CU923" i="1"/>
  <c r="CV630" i="1"/>
  <c r="CV993" i="1"/>
  <c r="CU973" i="1"/>
  <c r="CV304" i="1"/>
  <c r="CV24" i="1"/>
  <c r="CU1001" i="1"/>
  <c r="CU895" i="1"/>
  <c r="CU960" i="1"/>
  <c r="CV641" i="1"/>
  <c r="CU81" i="1"/>
  <c r="CV984" i="1"/>
  <c r="CU641" i="1"/>
  <c r="CV129" i="1"/>
  <c r="CV1007" i="1"/>
  <c r="CU984" i="1"/>
  <c r="CV960" i="1"/>
  <c r="CU129" i="1"/>
  <c r="CV889" i="1"/>
  <c r="CV133" i="1"/>
  <c r="CU1136" i="1"/>
  <c r="CU133" i="1"/>
  <c r="CV1001" i="1"/>
  <c r="CV895" i="1"/>
  <c r="CU1007" i="1"/>
  <c r="CV80" i="1"/>
  <c r="CU80" i="1"/>
  <c r="CV1136" i="1"/>
  <c r="EP1215" i="1" l="1"/>
  <c r="EP1208" i="1"/>
  <c r="EP23" i="1"/>
  <c r="EP129" i="1"/>
  <c r="EP787" i="1"/>
  <c r="EP191" i="1"/>
  <c r="EP16" i="1"/>
  <c r="EP48" i="1"/>
  <c r="EP1202" i="1"/>
  <c r="EP993" i="1"/>
  <c r="EP1130" i="1"/>
  <c r="EP582" i="1"/>
  <c r="EP690" i="1"/>
  <c r="EP720" i="1"/>
  <c r="EP976" i="1"/>
  <c r="EP1230" i="1"/>
  <c r="EP1007" i="1"/>
  <c r="EP40" i="1"/>
  <c r="EP1236" i="1"/>
  <c r="EP1144" i="1"/>
  <c r="EP373" i="1"/>
  <c r="EP238" i="1"/>
  <c r="EP1223" i="1"/>
  <c r="EP258" i="1"/>
  <c r="EP1214" i="1"/>
  <c r="EP767" i="1"/>
  <c r="EP832" i="1"/>
  <c r="EP651" i="1"/>
  <c r="EP1226" i="1"/>
  <c r="EP789" i="1"/>
  <c r="EP707" i="1"/>
  <c r="EP1212" i="1"/>
  <c r="EP1045" i="1"/>
  <c r="EP1036" i="1"/>
  <c r="EP284" i="1"/>
  <c r="EP745" i="1"/>
  <c r="EP104" i="1"/>
  <c r="EP662" i="1"/>
  <c r="EP1125" i="1"/>
  <c r="EP454" i="1"/>
  <c r="EP151" i="1"/>
  <c r="EP1219" i="1"/>
  <c r="EP182" i="1"/>
  <c r="EP1143" i="1"/>
  <c r="EP1234" i="1"/>
  <c r="EP1139" i="1"/>
  <c r="EP455" i="1"/>
  <c r="EP57" i="1"/>
  <c r="EP149" i="1"/>
  <c r="EP49" i="1"/>
  <c r="EP253" i="1"/>
  <c r="EP133" i="1"/>
  <c r="EP102" i="1"/>
  <c r="EP591" i="1"/>
  <c r="EP1222" i="1"/>
  <c r="EP607" i="1"/>
  <c r="EP19" i="1"/>
  <c r="EP798" i="1"/>
  <c r="EP171" i="1"/>
  <c r="EP608" i="1"/>
  <c r="EP623" i="1"/>
  <c r="EP1034" i="1"/>
  <c r="EP654" i="1"/>
  <c r="EP158" i="1"/>
  <c r="EP272" i="1"/>
  <c r="EP1042" i="1"/>
  <c r="EP1033" i="1"/>
  <c r="EP1030" i="1"/>
  <c r="EP50" i="1"/>
  <c r="EP202" i="1"/>
  <c r="EP125" i="1"/>
  <c r="EP1203" i="1"/>
  <c r="EP1213" i="1"/>
  <c r="EP1031" i="1"/>
  <c r="EP1038" i="1"/>
  <c r="EP1001" i="1"/>
  <c r="EP11" i="1"/>
  <c r="EP770" i="1"/>
  <c r="EP1123" i="1"/>
  <c r="EP688" i="1"/>
  <c r="EP644" i="1"/>
  <c r="EP1128" i="1"/>
  <c r="EP249" i="1"/>
  <c r="EP69" i="1"/>
  <c r="EP1233" i="1"/>
  <c r="EP889" i="1"/>
  <c r="EP150" i="1"/>
  <c r="EP161" i="1"/>
  <c r="EP1224" i="1"/>
  <c r="EP1229" i="1"/>
  <c r="EP325" i="1"/>
  <c r="EP1040" i="1"/>
  <c r="EP228" i="1"/>
  <c r="EP229" i="1"/>
  <c r="EP1209" i="1"/>
  <c r="EP1012" i="1"/>
  <c r="EP1037" i="1"/>
  <c r="EP768" i="1"/>
  <c r="EP1020" i="1"/>
  <c r="EP1216" i="1"/>
  <c r="EP1201" i="1"/>
  <c r="EP425" i="1"/>
  <c r="EP47" i="1"/>
  <c r="EP225" i="1"/>
  <c r="EP1107" i="1"/>
  <c r="EP1044" i="1"/>
  <c r="EP1043" i="1"/>
  <c r="EP1142" i="1"/>
  <c r="EP1046" i="1"/>
  <c r="EP677" i="1"/>
  <c r="EP980" i="1"/>
  <c r="EP41" i="1"/>
  <c r="EP723" i="1"/>
  <c r="EP24" i="1"/>
  <c r="EP810" i="1"/>
  <c r="EP231" i="1"/>
  <c r="EP626" i="1"/>
  <c r="EP1140" i="1"/>
  <c r="EP1210" i="1"/>
  <c r="EP122" i="1"/>
  <c r="EP713" i="1"/>
  <c r="EP1124" i="1"/>
  <c r="EP1220" i="1"/>
  <c r="EP1032" i="1"/>
  <c r="EP1225" i="1"/>
  <c r="EP634" i="1"/>
  <c r="EP689" i="1"/>
  <c r="EP961" i="1"/>
  <c r="EP1039" i="1"/>
  <c r="EP222" i="1"/>
  <c r="EP1218" i="1"/>
  <c r="EP715" i="1"/>
  <c r="EP188" i="1"/>
  <c r="EP139" i="1"/>
  <c r="EP70" i="1"/>
  <c r="EP210" i="1"/>
  <c r="EP1047" i="1"/>
  <c r="EP1129" i="1"/>
  <c r="EP255" i="1"/>
  <c r="EP805" i="1"/>
  <c r="EP999" i="1"/>
  <c r="EP1211" i="1"/>
  <c r="EP1035" i="1"/>
  <c r="EP200" i="1"/>
  <c r="EP52" i="1"/>
  <c r="EP796" i="1"/>
  <c r="EP630" i="1"/>
  <c r="EP1231" i="1"/>
  <c r="EP1221" i="1"/>
  <c r="EP137" i="1"/>
  <c r="EP574" i="1"/>
  <c r="EP65" i="1"/>
  <c r="EP1127" i="1"/>
  <c r="EP329" i="1"/>
  <c r="EP1232" i="1"/>
  <c r="EP716" i="1"/>
  <c r="EP136" i="1"/>
  <c r="EP1155" i="1"/>
  <c r="EP621" i="1"/>
  <c r="EP423" i="1"/>
  <c r="EP730" i="1"/>
  <c r="EP944" i="1"/>
  <c r="EP1237" i="1"/>
  <c r="EP1041" i="1"/>
  <c r="EP1158" i="1"/>
  <c r="EP615" i="1"/>
  <c r="EP245" i="1"/>
  <c r="EP746" i="1"/>
  <c r="EP286" i="1"/>
  <c r="EP903" i="1"/>
  <c r="EP12" i="1"/>
  <c r="EP1141" i="1"/>
  <c r="EP1018" i="1"/>
  <c r="EP1105" i="1"/>
  <c r="EP105" i="1"/>
  <c r="EP120" i="1"/>
  <c r="EP230" i="1"/>
  <c r="EP772" i="1"/>
  <c r="EP1156" i="1"/>
  <c r="EP14" i="1"/>
  <c r="EP988" i="1"/>
  <c r="EP983" i="1"/>
  <c r="EP172" i="1"/>
  <c r="EP21" i="1"/>
  <c r="EP895" i="1"/>
  <c r="EP78" i="1"/>
  <c r="EP733" i="1"/>
  <c r="EP824" i="1"/>
  <c r="EP263" i="1"/>
  <c r="EP736" i="1"/>
  <c r="EP320" i="1"/>
  <c r="EP224" i="1"/>
  <c r="EP560" i="1"/>
  <c r="EP641" i="1"/>
  <c r="EP1126" i="1"/>
  <c r="EP1157" i="1"/>
  <c r="EP209" i="1"/>
  <c r="EP259" i="1"/>
  <c r="EP211" i="1"/>
  <c r="EP295" i="1"/>
  <c r="EP187" i="1"/>
  <c r="EP291" i="1"/>
  <c r="EP1227" i="1"/>
  <c r="EP671" i="1"/>
  <c r="EP836" i="1"/>
  <c r="EP741" i="1"/>
  <c r="EP1136" i="1"/>
  <c r="EP1228" i="1"/>
  <c r="EP205" i="1"/>
  <c r="EP658" i="1"/>
  <c r="EP281" i="1"/>
  <c r="EP260" i="1"/>
  <c r="EP711" i="1"/>
  <c r="EP1011" i="1"/>
  <c r="EP63" i="1"/>
  <c r="EP1204" i="1"/>
  <c r="EP1154" i="1"/>
  <c r="EP1217" i="1"/>
  <c r="EP39" i="1"/>
  <c r="EP80" i="1"/>
  <c r="EP635" i="1"/>
  <c r="EP62" i="1"/>
  <c r="EP985" i="1"/>
  <c r="EP303" i="1"/>
  <c r="EP801" i="1"/>
  <c r="EP1235" i="1"/>
  <c r="EP64" i="1"/>
  <c r="EP737" i="1"/>
  <c r="EP18" i="1"/>
  <c r="EP22" i="1"/>
  <c r="EP589" i="1"/>
  <c r="EP570" i="1"/>
  <c r="EP162" i="1"/>
  <c r="EP85" i="1"/>
  <c r="EP609" i="1"/>
  <c r="EP954" i="1" l="1"/>
  <c r="EP308" i="1"/>
  <c r="EP523" i="1"/>
  <c r="EP254" i="1"/>
  <c r="EP628" i="1"/>
  <c r="EP684" i="1"/>
  <c r="EP729" i="1"/>
  <c r="EP265" i="1"/>
  <c r="EP71" i="1"/>
  <c r="EP226" i="1"/>
  <c r="EP636" i="1"/>
  <c r="EP841" i="1"/>
  <c r="EP179" i="1"/>
  <c r="EP699" i="1"/>
  <c r="EP250" i="1"/>
  <c r="EP112" i="1"/>
  <c r="EP163" i="1"/>
  <c r="EP128" i="1"/>
  <c r="EP757" i="1"/>
  <c r="EP232" i="1"/>
  <c r="EP216" i="1"/>
  <c r="EP1028" i="1"/>
  <c r="EP721" i="1"/>
  <c r="EP199" i="1"/>
  <c r="EP838" i="1"/>
  <c r="EP610" i="1"/>
  <c r="EP668" i="1"/>
  <c r="EP748" i="1"/>
  <c r="EP66" i="1"/>
  <c r="EP322" i="1"/>
  <c r="EP857" i="1"/>
  <c r="EP92" i="1"/>
  <c r="EP773" i="1"/>
  <c r="EP845" i="1"/>
  <c r="EP20" i="1"/>
  <c r="EP84" i="1"/>
  <c r="EP157" i="1"/>
  <c r="EP180" i="1"/>
  <c r="EP13" i="1"/>
  <c r="EP606" i="1"/>
  <c r="EP722" i="1"/>
  <c r="EP612" i="1"/>
  <c r="EP53" i="1"/>
  <c r="EP155" i="1"/>
  <c r="EP1003" i="1"/>
  <c r="EP8" i="1"/>
  <c r="EP819" i="1"/>
  <c r="EP725" i="1"/>
  <c r="EP620" i="1"/>
  <c r="EP724" i="1"/>
  <c r="EP777" i="1"/>
  <c r="EP1029" i="1"/>
  <c r="EP991" i="1"/>
  <c r="EP81" i="1"/>
  <c r="EP575" i="1"/>
  <c r="EP17" i="1"/>
  <c r="EP153" i="1"/>
  <c r="EP754" i="1"/>
  <c r="EP802" i="1"/>
  <c r="EP376" i="1"/>
  <c r="EP786" i="1"/>
  <c r="EP421" i="1"/>
  <c r="EP781" i="1"/>
  <c r="EP9" i="1"/>
  <c r="EP73" i="1"/>
  <c r="EP784" i="1"/>
  <c r="EP59" i="1"/>
  <c r="EP189" i="1"/>
  <c r="EP208" i="1"/>
  <c r="EP639" i="1"/>
  <c r="EP239" i="1"/>
  <c r="EP702" i="1"/>
  <c r="EP728" i="1"/>
  <c r="EP111" i="1"/>
  <c r="EP605" i="1"/>
  <c r="EP79" i="1"/>
  <c r="EP275" i="1"/>
  <c r="EP679" i="1"/>
  <c r="EP262" i="1"/>
  <c r="EP907" i="1"/>
  <c r="EP15" i="1"/>
  <c r="EP613" i="1"/>
  <c r="EP103" i="1"/>
  <c r="EP785" i="1"/>
  <c r="EP219" i="1"/>
  <c r="EP624" i="1"/>
  <c r="EP264" i="1"/>
  <c r="EP110" i="1"/>
  <c r="EP147" i="1"/>
  <c r="EP318" i="1"/>
  <c r="EP212" i="1"/>
  <c r="EP739" i="1"/>
  <c r="EP990" i="1"/>
  <c r="EP234" i="1"/>
  <c r="EP290" i="1"/>
  <c r="EP945" i="1"/>
  <c r="EP215" i="1"/>
  <c r="EP604" i="1"/>
  <c r="EP914" i="1"/>
  <c r="EP911" i="1"/>
  <c r="EP127" i="1"/>
  <c r="EP141" i="1"/>
  <c r="EP1017" i="1"/>
  <c r="EP323" i="1"/>
  <c r="EP283" i="1"/>
  <c r="EP446" i="1"/>
  <c r="EP300" i="1"/>
  <c r="EP735" i="1"/>
  <c r="EP973" i="1"/>
  <c r="EP939" i="1"/>
  <c r="EP294" i="1"/>
  <c r="EP899" i="1"/>
  <c r="EP419" i="1"/>
  <c r="EP780" i="1"/>
  <c r="EP146" i="1"/>
  <c r="EP438" i="1"/>
  <c r="EP292" i="1"/>
  <c r="EP183" i="1"/>
  <c r="EP317" i="1"/>
  <c r="EP815" i="1"/>
  <c r="EP274" i="1"/>
  <c r="EP1609" i="1"/>
  <c r="EP933" i="1"/>
  <c r="EP341" i="1"/>
  <c r="EP98" i="1"/>
  <c r="EP301" i="1"/>
  <c r="EP86" i="1"/>
  <c r="EP108" i="1"/>
  <c r="EP237" i="1"/>
  <c r="EP35" i="1"/>
  <c r="EP709" i="1"/>
  <c r="EP87" i="1"/>
  <c r="EP774" i="1"/>
  <c r="EP46" i="1"/>
  <c r="EP602" i="1"/>
  <c r="EP916" i="1"/>
  <c r="EP861" i="1"/>
  <c r="EP734" i="1"/>
  <c r="EP270" i="1"/>
  <c r="EP186" i="1"/>
  <c r="EP434" i="1"/>
  <c r="EP412" i="1"/>
  <c r="EP622" i="1"/>
  <c r="EP206" i="1"/>
  <c r="EP285" i="1"/>
  <c r="EP437" i="1"/>
  <c r="EP242" i="1"/>
  <c r="EP177" i="1"/>
  <c r="EP456" i="1"/>
  <c r="EP420" i="1"/>
  <c r="EP427" i="1"/>
  <c r="EP458" i="1"/>
  <c r="EP418" i="1"/>
  <c r="EP428" i="1"/>
  <c r="EP910" i="1"/>
  <c r="EP552" i="1"/>
  <c r="EP1608" i="1"/>
  <c r="EP430" i="1"/>
  <c r="EP1016" i="1"/>
  <c r="EP261" i="1"/>
  <c r="EP960" i="1"/>
  <c r="EP309" i="1"/>
  <c r="EP415" i="1"/>
  <c r="EP984" i="1"/>
  <c r="EP413" i="1"/>
  <c r="EP316" i="1"/>
  <c r="EP989" i="1"/>
  <c r="EP457" i="1"/>
  <c r="EP426" i="1"/>
  <c r="EP416" i="1"/>
  <c r="EP160" i="1"/>
  <c r="EP432" i="1"/>
  <c r="EP879" i="1"/>
  <c r="EP436" i="1"/>
  <c r="EP896" i="1"/>
  <c r="EP431" i="1"/>
  <c r="EP166" i="1"/>
  <c r="EP540" i="1"/>
  <c r="EP304" i="1"/>
  <c r="EP429" i="1"/>
  <c r="EP923" i="1"/>
  <c r="EP718" i="1"/>
  <c r="EP1027" i="1"/>
  <c r="EP10" i="1"/>
  <c r="EP296" i="1"/>
  <c r="EP596" i="1"/>
  <c r="EP956" i="1"/>
  <c r="EP931" i="1"/>
  <c r="EP175" i="1"/>
  <c r="EP181" i="1"/>
  <c r="EP792" i="1"/>
  <c r="EP627" i="1"/>
  <c r="EP783" i="1"/>
  <c r="EP830" i="1"/>
  <c r="EP257" i="1"/>
  <c r="EP72" i="1"/>
  <c r="EP897" i="1"/>
  <c r="EP811" i="1"/>
  <c r="EP193" i="1"/>
  <c r="EP904" i="1"/>
  <c r="EP797" i="1"/>
  <c r="EP638" i="1"/>
  <c r="EP678" i="1"/>
  <c r="EP113" i="1"/>
  <c r="EP826" i="1"/>
  <c r="EP51" i="1"/>
  <c r="EP807" i="1"/>
  <c r="J368" i="7" l="1"/>
  <c r="I368" i="7"/>
  <c r="H353" i="7"/>
  <c r="G353" i="7"/>
  <c r="F353" i="7"/>
  <c r="E353" i="7"/>
  <c r="D353" i="7"/>
  <c r="C353" i="7"/>
  <c r="AA345" i="7"/>
  <c r="X345" i="7"/>
  <c r="W345" i="7"/>
  <c r="L345" i="7"/>
  <c r="AB345" i="7" s="1"/>
  <c r="K345" i="7"/>
  <c r="J345" i="7"/>
  <c r="Z345" i="7" s="1"/>
  <c r="I345" i="7"/>
  <c r="Y345" i="7" s="1"/>
  <c r="H345" i="7"/>
  <c r="G345" i="7"/>
  <c r="E338" i="7"/>
  <c r="B338" i="7"/>
  <c r="I336" i="7"/>
  <c r="H336" i="7"/>
  <c r="G336" i="7"/>
  <c r="F336" i="7"/>
  <c r="R316" i="7"/>
  <c r="Q316" i="7"/>
  <c r="P316" i="7"/>
  <c r="O316" i="7"/>
  <c r="I306" i="7"/>
  <c r="H306" i="7"/>
  <c r="G306" i="7"/>
  <c r="F306" i="7"/>
  <c r="K282" i="7"/>
  <c r="J282" i="7"/>
  <c r="I282" i="7"/>
  <c r="H282" i="7"/>
  <c r="G282" i="7"/>
  <c r="F275" i="7"/>
  <c r="E275" i="7"/>
  <c r="D275" i="7"/>
  <c r="H274" i="7"/>
  <c r="G274" i="7"/>
  <c r="H273" i="7"/>
  <c r="G273" i="7"/>
  <c r="H272" i="7"/>
  <c r="G272" i="7"/>
  <c r="H271" i="7"/>
  <c r="G271" i="7"/>
  <c r="H270" i="7"/>
  <c r="G270" i="7"/>
  <c r="H269" i="7"/>
  <c r="H275" i="7" s="1"/>
  <c r="G269" i="7"/>
  <c r="H268" i="7"/>
  <c r="G268" i="7"/>
  <c r="G275" i="7" s="1"/>
  <c r="F264" i="7"/>
  <c r="E264" i="7"/>
  <c r="D264" i="7"/>
  <c r="H263" i="7"/>
  <c r="G263" i="7"/>
  <c r="H262" i="7"/>
  <c r="G262" i="7"/>
  <c r="H261" i="7"/>
  <c r="G261" i="7"/>
  <c r="H260" i="7"/>
  <c r="G260" i="7"/>
  <c r="H259" i="7"/>
  <c r="G259" i="7"/>
  <c r="H258" i="7"/>
  <c r="G258" i="7"/>
  <c r="H257" i="7"/>
  <c r="H264" i="7" s="1"/>
  <c r="G257" i="7"/>
  <c r="G264" i="7" s="1"/>
  <c r="H253" i="7"/>
  <c r="F253" i="7"/>
  <c r="E253" i="7"/>
  <c r="D253" i="7"/>
  <c r="H252" i="7"/>
  <c r="G252" i="7"/>
  <c r="H251" i="7"/>
  <c r="G251" i="7"/>
  <c r="H250" i="7"/>
  <c r="G250" i="7"/>
  <c r="H249" i="7"/>
  <c r="G249" i="7"/>
  <c r="H248" i="7"/>
  <c r="G248" i="7"/>
  <c r="H247" i="7"/>
  <c r="G247" i="7"/>
  <c r="G253" i="7" s="1"/>
  <c r="H246" i="7"/>
  <c r="G246" i="7"/>
  <c r="G242" i="7"/>
  <c r="F242" i="7"/>
  <c r="E242" i="7"/>
  <c r="D242" i="7"/>
  <c r="H241" i="7"/>
  <c r="G241" i="7"/>
  <c r="H240" i="7"/>
  <c r="G240" i="7"/>
  <c r="H239" i="7"/>
  <c r="G239" i="7"/>
  <c r="H238" i="7"/>
  <c r="G238" i="7"/>
  <c r="H237" i="7"/>
  <c r="G237" i="7"/>
  <c r="H236" i="7"/>
  <c r="G236" i="7"/>
  <c r="H235" i="7"/>
  <c r="H242" i="7" s="1"/>
  <c r="G235" i="7"/>
  <c r="H231" i="7"/>
  <c r="G231" i="7"/>
  <c r="F231" i="7"/>
  <c r="E231" i="7"/>
  <c r="D231" i="7"/>
  <c r="I218" i="7"/>
  <c r="H218" i="7"/>
  <c r="G218" i="7"/>
  <c r="F218" i="7"/>
  <c r="E218" i="7"/>
  <c r="D218" i="7"/>
  <c r="S208" i="7"/>
  <c r="R208" i="7"/>
  <c r="Q208" i="7"/>
  <c r="P208" i="7"/>
  <c r="O208" i="7"/>
  <c r="N208" i="7"/>
  <c r="S207" i="7"/>
  <c r="R207" i="7"/>
  <c r="Q207" i="7"/>
  <c r="P207" i="7"/>
  <c r="O207" i="7"/>
  <c r="N207" i="7"/>
  <c r="S206" i="7"/>
  <c r="R206" i="7"/>
  <c r="Q206" i="7"/>
  <c r="P206" i="7"/>
  <c r="O206" i="7"/>
  <c r="N206" i="7"/>
  <c r="S205" i="7"/>
  <c r="S209" i="7" s="1"/>
  <c r="S215" i="7" s="1"/>
  <c r="R205" i="7"/>
  <c r="R209" i="7" s="1"/>
  <c r="R215" i="7" s="1"/>
  <c r="Q205" i="7"/>
  <c r="Q209" i="7" s="1"/>
  <c r="Q215" i="7" s="1"/>
  <c r="P205" i="7"/>
  <c r="P209" i="7" s="1"/>
  <c r="P215" i="7" s="1"/>
  <c r="O205" i="7"/>
  <c r="O209" i="7" s="1"/>
  <c r="O215" i="7" s="1"/>
  <c r="N205" i="7"/>
  <c r="N209" i="7" s="1"/>
  <c r="N215" i="7" s="1"/>
  <c r="G191" i="7"/>
  <c r="F191" i="7"/>
  <c r="G189" i="7"/>
  <c r="F189" i="7"/>
  <c r="G187" i="7"/>
  <c r="F187" i="7"/>
  <c r="E181" i="7"/>
  <c r="D181" i="7"/>
  <c r="C181" i="7"/>
  <c r="B178" i="7"/>
  <c r="B179" i="7" s="1"/>
  <c r="B180" i="7" s="1"/>
  <c r="B177" i="7"/>
  <c r="E173" i="7"/>
  <c r="D173" i="7"/>
  <c r="C173" i="7"/>
  <c r="B169" i="7"/>
  <c r="B170" i="7" s="1"/>
  <c r="B171" i="7" s="1"/>
  <c r="B172" i="7" s="1"/>
  <c r="G163" i="7"/>
  <c r="G161" i="7"/>
  <c r="E156" i="7"/>
  <c r="D156" i="7"/>
  <c r="C156" i="7"/>
  <c r="B156" i="7"/>
  <c r="P481" i="6"/>
  <c r="O481" i="6"/>
  <c r="N481" i="6"/>
  <c r="K481" i="6"/>
  <c r="P479" i="6"/>
  <c r="O479" i="6"/>
  <c r="N479" i="6"/>
  <c r="M479" i="6"/>
  <c r="M481" i="6" s="1"/>
  <c r="L479" i="6"/>
  <c r="L481" i="6" s="1"/>
  <c r="K479" i="6"/>
  <c r="Q456" i="6"/>
  <c r="Q455" i="6"/>
  <c r="Q454" i="6"/>
  <c r="AI443" i="6"/>
  <c r="AI442" i="6"/>
  <c r="AI441" i="6"/>
  <c r="AI440" i="6"/>
  <c r="AI439" i="6"/>
  <c r="AI438" i="6"/>
  <c r="AI437" i="6"/>
  <c r="AI436" i="6"/>
  <c r="AI435" i="6"/>
  <c r="AI434" i="6"/>
  <c r="AI433" i="6"/>
  <c r="AI432" i="6"/>
  <c r="AI431" i="6"/>
  <c r="AI430" i="6"/>
  <c r="AI429" i="6"/>
  <c r="AI428" i="6"/>
  <c r="AI427" i="6"/>
  <c r="AI426" i="6"/>
  <c r="AI425" i="6"/>
  <c r="AI424" i="6"/>
  <c r="R424" i="6"/>
  <c r="K424" i="6"/>
  <c r="AI423" i="6"/>
  <c r="R423" i="6"/>
  <c r="K423" i="6"/>
  <c r="AI422" i="6"/>
  <c r="R422" i="6"/>
  <c r="K422" i="6"/>
  <c r="AI421" i="6"/>
  <c r="R421" i="6"/>
  <c r="K421" i="6"/>
  <c r="AI420" i="6"/>
  <c r="AF463" i="6" s="1"/>
  <c r="R420" i="6"/>
  <c r="K420" i="6"/>
  <c r="AG419" i="6"/>
  <c r="AF419" i="6"/>
  <c r="AD419" i="6"/>
  <c r="M408" i="6"/>
  <c r="AA370" i="6" s="1"/>
  <c r="R395" i="6"/>
  <c r="V395" i="6" s="1"/>
  <c r="Q395" i="6"/>
  <c r="U395" i="6" s="1"/>
  <c r="P395" i="6"/>
  <c r="O395" i="6"/>
  <c r="T402" i="6" s="1"/>
  <c r="N395" i="6"/>
  <c r="S402" i="6" s="1"/>
  <c r="Q390" i="6"/>
  <c r="U390" i="6" s="1"/>
  <c r="P390" i="6"/>
  <c r="R390" i="6" s="1"/>
  <c r="V390" i="6" s="1"/>
  <c r="O390" i="6"/>
  <c r="N390" i="6"/>
  <c r="P385" i="6"/>
  <c r="R385" i="6" s="1"/>
  <c r="V385" i="6" s="1"/>
  <c r="O385" i="6"/>
  <c r="Q385" i="6" s="1"/>
  <c r="U385" i="6" s="1"/>
  <c r="N385" i="6"/>
  <c r="P380" i="6"/>
  <c r="R380" i="6" s="1"/>
  <c r="O380" i="6"/>
  <c r="N380" i="6"/>
  <c r="S377" i="6"/>
  <c r="Q377" i="6"/>
  <c r="P377" i="6"/>
  <c r="O377" i="6"/>
  <c r="N377" i="6"/>
  <c r="R377" i="6" s="1"/>
  <c r="R374" i="6"/>
  <c r="Q374" i="6"/>
  <c r="S374" i="6" s="1"/>
  <c r="P374" i="6"/>
  <c r="O374" i="6"/>
  <c r="N374" i="6"/>
  <c r="O372" i="6"/>
  <c r="N372" i="6"/>
  <c r="O371" i="6"/>
  <c r="N371" i="6"/>
  <c r="AC370" i="6"/>
  <c r="AB370" i="6"/>
  <c r="O370" i="6"/>
  <c r="N370" i="6"/>
  <c r="AC369" i="6"/>
  <c r="AB369" i="6"/>
  <c r="AA369" i="6"/>
  <c r="O369" i="6"/>
  <c r="N369" i="6"/>
  <c r="AC368" i="6"/>
  <c r="AB368" i="6"/>
  <c r="O368" i="6"/>
  <c r="N368" i="6"/>
  <c r="AC367" i="6"/>
  <c r="AB367" i="6"/>
  <c r="AA367" i="6"/>
  <c r="O367" i="6"/>
  <c r="N367" i="6"/>
  <c r="AC366" i="6"/>
  <c r="AB366" i="6"/>
  <c r="AA366" i="6"/>
  <c r="O366" i="6"/>
  <c r="N366" i="6"/>
  <c r="AC365" i="6"/>
  <c r="AB365" i="6"/>
  <c r="AA365" i="6"/>
  <c r="O365" i="6"/>
  <c r="N365" i="6"/>
  <c r="AC364" i="6"/>
  <c r="AB364" i="6"/>
  <c r="AA364" i="6"/>
  <c r="O364" i="6"/>
  <c r="N364" i="6"/>
  <c r="AC363" i="6"/>
  <c r="AB363" i="6"/>
  <c r="AA363" i="6"/>
  <c r="O363" i="6"/>
  <c r="N363" i="6"/>
  <c r="AC362" i="6"/>
  <c r="AB362" i="6"/>
  <c r="AA362" i="6"/>
  <c r="O362" i="6"/>
  <c r="N362" i="6"/>
  <c r="O361" i="6"/>
  <c r="N361" i="6"/>
  <c r="AJ357" i="6"/>
  <c r="AI357" i="6"/>
  <c r="AE357" i="6"/>
  <c r="AJ356" i="6"/>
  <c r="AI356" i="6"/>
  <c r="AE356" i="6"/>
  <c r="AJ355" i="6"/>
  <c r="AI355" i="6"/>
  <c r="AE355" i="6"/>
  <c r="AJ354" i="6"/>
  <c r="AI354" i="6"/>
  <c r="AE354" i="6"/>
  <c r="AJ353" i="6"/>
  <c r="AI353" i="6"/>
  <c r="AE353" i="6"/>
  <c r="AJ352" i="6"/>
  <c r="AI352" i="6"/>
  <c r="AE352" i="6"/>
  <c r="AJ351" i="6"/>
  <c r="AI351" i="6"/>
  <c r="AE351" i="6"/>
  <c r="AJ350" i="6"/>
  <c r="AI350" i="6"/>
  <c r="AE350" i="6"/>
  <c r="AJ349" i="6"/>
  <c r="AI349" i="6"/>
  <c r="AE349" i="6"/>
  <c r="AJ348" i="6"/>
  <c r="AI348" i="6"/>
  <c r="AE348" i="6"/>
  <c r="AJ347" i="6"/>
  <c r="AI347" i="6"/>
  <c r="AE347" i="6"/>
  <c r="AJ346" i="6"/>
  <c r="AI346" i="6"/>
  <c r="AE346" i="6"/>
  <c r="AJ345" i="6"/>
  <c r="AI345" i="6"/>
  <c r="AE345" i="6"/>
  <c r="AJ344" i="6"/>
  <c r="AI344" i="6"/>
  <c r="AE344" i="6"/>
  <c r="AJ343" i="6"/>
  <c r="AI343" i="6"/>
  <c r="AE343" i="6"/>
  <c r="AJ342" i="6"/>
  <c r="AI342" i="6"/>
  <c r="AE342" i="6"/>
  <c r="AJ341" i="6"/>
  <c r="AI341" i="6"/>
  <c r="AE341" i="6"/>
  <c r="AJ340" i="6"/>
  <c r="AI340" i="6"/>
  <c r="AE340" i="6"/>
  <c r="AJ339" i="6"/>
  <c r="AI339" i="6"/>
  <c r="AE339" i="6"/>
  <c r="AJ338" i="6"/>
  <c r="AI338" i="6"/>
  <c r="AE338" i="6"/>
  <c r="AJ337" i="6"/>
  <c r="AI337" i="6"/>
  <c r="AE337" i="6"/>
  <c r="AJ336" i="6"/>
  <c r="AI336" i="6"/>
  <c r="AE336" i="6"/>
  <c r="AJ335" i="6"/>
  <c r="AI335" i="6"/>
  <c r="AE335" i="6"/>
  <c r="AJ334" i="6"/>
  <c r="AI334" i="6"/>
  <c r="AE334" i="6"/>
  <c r="AJ333" i="6"/>
  <c r="AI333" i="6"/>
  <c r="AE333" i="6"/>
  <c r="AJ332" i="6"/>
  <c r="AI332" i="6"/>
  <c r="AE332" i="6"/>
  <c r="AJ331" i="6"/>
  <c r="AI331" i="6"/>
  <c r="AE331" i="6"/>
  <c r="AJ330" i="6"/>
  <c r="AI330" i="6"/>
  <c r="AE330" i="6"/>
  <c r="AJ329" i="6"/>
  <c r="AI329" i="6"/>
  <c r="AE329" i="6"/>
  <c r="AJ328" i="6"/>
  <c r="AI328" i="6"/>
  <c r="AE328" i="6"/>
  <c r="AJ327" i="6"/>
  <c r="AI327" i="6"/>
  <c r="AE327" i="6"/>
  <c r="J327" i="6"/>
  <c r="AJ326" i="6"/>
  <c r="AI326" i="6"/>
  <c r="AE326" i="6"/>
  <c r="J326" i="6"/>
  <c r="AJ325" i="6"/>
  <c r="AI325" i="6"/>
  <c r="AE325" i="6"/>
  <c r="J325" i="6"/>
  <c r="AJ324" i="6"/>
  <c r="AI324" i="6"/>
  <c r="AE324" i="6"/>
  <c r="J324" i="6"/>
  <c r="AJ323" i="6"/>
  <c r="AI323" i="6"/>
  <c r="AE323" i="6"/>
  <c r="J323" i="6"/>
  <c r="AJ322" i="6"/>
  <c r="AI322" i="6"/>
  <c r="AE322" i="6"/>
  <c r="J322" i="6"/>
  <c r="AJ321" i="6"/>
  <c r="AI321" i="6"/>
  <c r="AE321" i="6"/>
  <c r="AJ320" i="6"/>
  <c r="AI320" i="6"/>
  <c r="AE320" i="6"/>
  <c r="AJ319" i="6"/>
  <c r="AI319" i="6"/>
  <c r="AE319" i="6"/>
  <c r="AJ318" i="6"/>
  <c r="AI318" i="6"/>
  <c r="AE318" i="6"/>
  <c r="AJ317" i="6"/>
  <c r="AI317" i="6"/>
  <c r="AE317" i="6"/>
  <c r="AJ316" i="6"/>
  <c r="AI316" i="6"/>
  <c r="AE316" i="6"/>
  <c r="AJ315" i="6"/>
  <c r="AI315" i="6"/>
  <c r="AE315" i="6"/>
  <c r="AJ314" i="6"/>
  <c r="AI314" i="6"/>
  <c r="AE314" i="6"/>
  <c r="AJ313" i="6"/>
  <c r="AI313" i="6"/>
  <c r="AE313" i="6"/>
  <c r="AJ312" i="6"/>
  <c r="AI312" i="6"/>
  <c r="AE312" i="6"/>
  <c r="AJ311" i="6"/>
  <c r="AI311" i="6"/>
  <c r="AE311" i="6"/>
  <c r="AJ310" i="6"/>
  <c r="AI310" i="6"/>
  <c r="AE310" i="6"/>
  <c r="AJ309" i="6"/>
  <c r="AI309" i="6"/>
  <c r="AE309" i="6"/>
  <c r="AJ308" i="6"/>
  <c r="AI308" i="6"/>
  <c r="AE308" i="6"/>
  <c r="AJ307" i="6"/>
  <c r="AI307" i="6"/>
  <c r="AE307" i="6"/>
  <c r="AJ306" i="6"/>
  <c r="AI306" i="6"/>
  <c r="AE306" i="6"/>
  <c r="AJ305" i="6"/>
  <c r="AI305" i="6"/>
  <c r="AE305" i="6"/>
  <c r="AJ304" i="6"/>
  <c r="AI304" i="6"/>
  <c r="AE304" i="6"/>
  <c r="AJ303" i="6"/>
  <c r="AI303" i="6"/>
  <c r="AE303" i="6"/>
  <c r="AJ302" i="6"/>
  <c r="AI302" i="6"/>
  <c r="AE302" i="6"/>
  <c r="AJ301" i="6"/>
  <c r="AI301" i="6"/>
  <c r="AE301" i="6"/>
  <c r="AJ300" i="6"/>
  <c r="AI300" i="6"/>
  <c r="AE300" i="6"/>
  <c r="AJ299" i="6"/>
  <c r="AI299" i="6"/>
  <c r="AE299" i="6"/>
  <c r="AJ298" i="6"/>
  <c r="AI298" i="6"/>
  <c r="AE298" i="6"/>
  <c r="AJ297" i="6"/>
  <c r="AI297" i="6"/>
  <c r="AE297" i="6"/>
  <c r="AJ296" i="6"/>
  <c r="AI296" i="6"/>
  <c r="AE296" i="6"/>
  <c r="AJ295" i="6"/>
  <c r="AI295" i="6"/>
  <c r="AE295" i="6"/>
  <c r="AJ294" i="6"/>
  <c r="AI294" i="6"/>
  <c r="AE294" i="6"/>
  <c r="AJ293" i="6"/>
  <c r="AI293" i="6"/>
  <c r="AE293" i="6"/>
  <c r="AJ292" i="6"/>
  <c r="AI292" i="6"/>
  <c r="AE292" i="6"/>
  <c r="AJ291" i="6"/>
  <c r="AI291" i="6"/>
  <c r="AE291" i="6"/>
  <c r="AJ290" i="6"/>
  <c r="AI290" i="6"/>
  <c r="AE290" i="6"/>
  <c r="AJ289" i="6"/>
  <c r="AI289" i="6"/>
  <c r="AE289" i="6"/>
  <c r="AJ288" i="6"/>
  <c r="AI288" i="6"/>
  <c r="AE288" i="6"/>
  <c r="AJ287" i="6"/>
  <c r="AI287" i="6"/>
  <c r="AE287" i="6"/>
  <c r="AJ286" i="6"/>
  <c r="AI286" i="6"/>
  <c r="AE286" i="6"/>
  <c r="P252" i="6"/>
  <c r="P251" i="6"/>
  <c r="P250" i="6"/>
  <c r="P249" i="6"/>
  <c r="P248" i="6"/>
  <c r="P247" i="6"/>
  <c r="O242" i="6"/>
  <c r="N242" i="6"/>
  <c r="M242" i="6"/>
  <c r="L242" i="6"/>
  <c r="K242" i="6"/>
  <c r="R242" i="6" s="1"/>
  <c r="R241" i="6"/>
  <c r="N241" i="6"/>
  <c r="M241" i="6"/>
  <c r="L241" i="6"/>
  <c r="K241" i="6"/>
  <c r="R240" i="6"/>
  <c r="Q240" i="6"/>
  <c r="N240" i="6"/>
  <c r="M240" i="6"/>
  <c r="L240" i="6"/>
  <c r="K240" i="6"/>
  <c r="O239" i="6"/>
  <c r="N239" i="6"/>
  <c r="M239" i="6"/>
  <c r="L239" i="6"/>
  <c r="Q239" i="6" s="1"/>
  <c r="K239" i="6"/>
  <c r="O238" i="6"/>
  <c r="N238" i="6"/>
  <c r="M238" i="6"/>
  <c r="L238" i="6"/>
  <c r="K238" i="6"/>
  <c r="R237" i="6"/>
  <c r="N237" i="6"/>
  <c r="M237" i="6"/>
  <c r="P237" i="6" s="1"/>
  <c r="L237" i="6"/>
  <c r="K237" i="6"/>
  <c r="R236" i="6"/>
  <c r="P236" i="6"/>
  <c r="Q236" i="6" s="1"/>
  <c r="N236" i="6"/>
  <c r="M236" i="6"/>
  <c r="L236" i="6"/>
  <c r="K236" i="6"/>
  <c r="R235" i="6"/>
  <c r="O235" i="6"/>
  <c r="N235" i="6"/>
  <c r="M235" i="6"/>
  <c r="L235" i="6"/>
  <c r="Q235" i="6" s="1"/>
  <c r="K235" i="6"/>
  <c r="O229" i="6"/>
  <c r="O228" i="6"/>
  <c r="O241" i="6" s="1"/>
  <c r="O227" i="6"/>
  <c r="O240" i="6" s="1"/>
  <c r="O226" i="6"/>
  <c r="O225" i="6"/>
  <c r="O224" i="6"/>
  <c r="O237" i="6" s="1"/>
  <c r="O223" i="6"/>
  <c r="O236" i="6" s="1"/>
  <c r="O222" i="6"/>
  <c r="AD193" i="6"/>
  <c r="Q193" i="6"/>
  <c r="P193" i="6"/>
  <c r="O193" i="6"/>
  <c r="M193" i="6"/>
  <c r="L193" i="6"/>
  <c r="K193" i="6"/>
  <c r="E193" i="6"/>
  <c r="AA192" i="6"/>
  <c r="V192" i="6"/>
  <c r="Q192" i="6"/>
  <c r="P192" i="6"/>
  <c r="O192" i="6"/>
  <c r="M192" i="6"/>
  <c r="L192" i="6"/>
  <c r="K192" i="6"/>
  <c r="E192" i="6"/>
  <c r="Q191" i="6"/>
  <c r="P191" i="6"/>
  <c r="O191" i="6"/>
  <c r="M191" i="6"/>
  <c r="L191" i="6"/>
  <c r="K191" i="6"/>
  <c r="E191" i="6"/>
  <c r="AA190" i="6"/>
  <c r="V190" i="6"/>
  <c r="Q190" i="6"/>
  <c r="P190" i="6"/>
  <c r="M190" i="6"/>
  <c r="L190" i="6"/>
  <c r="K190" i="6"/>
  <c r="E190" i="6"/>
  <c r="Q189" i="6"/>
  <c r="P189" i="6"/>
  <c r="O189" i="6"/>
  <c r="M189" i="6"/>
  <c r="L189" i="6"/>
  <c r="K189" i="6"/>
  <c r="E189" i="6"/>
  <c r="AA188" i="6"/>
  <c r="Z188" i="6"/>
  <c r="V188" i="6"/>
  <c r="U188" i="6"/>
  <c r="Q188" i="6"/>
  <c r="P188" i="6"/>
  <c r="M188" i="6"/>
  <c r="L188" i="6"/>
  <c r="K188" i="6"/>
  <c r="E188" i="6"/>
  <c r="Q187" i="6"/>
  <c r="P187" i="6"/>
  <c r="O187" i="6"/>
  <c r="M187" i="6"/>
  <c r="L187" i="6"/>
  <c r="K187" i="6"/>
  <c r="E187" i="6"/>
  <c r="AE186" i="6"/>
  <c r="AD186" i="6"/>
  <c r="AA186" i="6"/>
  <c r="Z186" i="6"/>
  <c r="V186" i="6"/>
  <c r="U186" i="6"/>
  <c r="Q186" i="6"/>
  <c r="P186" i="6"/>
  <c r="O186" i="6"/>
  <c r="M186" i="6"/>
  <c r="L186" i="6"/>
  <c r="K186" i="6"/>
  <c r="E186" i="6"/>
  <c r="Q185" i="6"/>
  <c r="P185" i="6"/>
  <c r="O185" i="6"/>
  <c r="M185" i="6"/>
  <c r="L185" i="6"/>
  <c r="K185" i="6"/>
  <c r="E185" i="6"/>
  <c r="AA184" i="6"/>
  <c r="Z184" i="6"/>
  <c r="V184" i="6"/>
  <c r="U184" i="6"/>
  <c r="Q184" i="6"/>
  <c r="P184" i="6"/>
  <c r="O184" i="6"/>
  <c r="M184" i="6"/>
  <c r="L184" i="6"/>
  <c r="K184" i="6"/>
  <c r="E184" i="6"/>
  <c r="Q183" i="6"/>
  <c r="P183" i="6"/>
  <c r="O183" i="6"/>
  <c r="M183" i="6"/>
  <c r="L183" i="6"/>
  <c r="K183" i="6"/>
  <c r="E183" i="6"/>
  <c r="AE193" i="6" s="1"/>
  <c r="Z182" i="6"/>
  <c r="U182" i="6"/>
  <c r="Q182" i="6"/>
  <c r="P182" i="6"/>
  <c r="O182" i="6"/>
  <c r="M182" i="6"/>
  <c r="L182" i="6"/>
  <c r="K182" i="6"/>
  <c r="E182" i="6"/>
  <c r="I174" i="6"/>
  <c r="H174" i="6"/>
  <c r="G174" i="6"/>
  <c r="F174" i="6"/>
  <c r="I173" i="6"/>
  <c r="I175" i="6" s="1"/>
  <c r="H173" i="6"/>
  <c r="H175" i="6" s="1"/>
  <c r="G173" i="6"/>
  <c r="F173" i="6"/>
  <c r="F175" i="6" s="1"/>
  <c r="L157" i="6"/>
  <c r="J157" i="6"/>
  <c r="L154" i="6"/>
  <c r="J154" i="6"/>
  <c r="L151" i="6"/>
  <c r="J151" i="6"/>
  <c r="N148" i="6"/>
  <c r="L148" i="6"/>
  <c r="J148" i="6"/>
  <c r="M144" i="6"/>
  <c r="I144" i="6"/>
  <c r="M143" i="6"/>
  <c r="J143" i="6"/>
  <c r="I143" i="6"/>
  <c r="M142" i="6"/>
  <c r="L142" i="6"/>
  <c r="K142" i="6"/>
  <c r="J142" i="6"/>
  <c r="J144" i="6" s="1"/>
  <c r="I142" i="6"/>
  <c r="U137" i="6"/>
  <c r="S137" i="6"/>
  <c r="Y137" i="6" s="1"/>
  <c r="R137" i="6"/>
  <c r="X137" i="6" s="1"/>
  <c r="Q137" i="6"/>
  <c r="W137" i="6" s="1"/>
  <c r="P137" i="6"/>
  <c r="V137" i="6" s="1"/>
  <c r="O137" i="6"/>
  <c r="M137" i="6"/>
  <c r="L137" i="6"/>
  <c r="K137" i="6"/>
  <c r="J137" i="6"/>
  <c r="I137" i="6"/>
  <c r="Y136" i="6"/>
  <c r="W136" i="6"/>
  <c r="S136" i="6"/>
  <c r="R136" i="6"/>
  <c r="X136" i="6" s="1"/>
  <c r="Q136" i="6"/>
  <c r="P136" i="6"/>
  <c r="V136" i="6" s="1"/>
  <c r="O136" i="6"/>
  <c r="U136" i="6" s="1"/>
  <c r="M136" i="6"/>
  <c r="L136" i="6"/>
  <c r="K136" i="6"/>
  <c r="J136" i="6"/>
  <c r="I136" i="6"/>
  <c r="Y135" i="6"/>
  <c r="X135" i="6"/>
  <c r="S135" i="6"/>
  <c r="R135" i="6"/>
  <c r="Q135" i="6"/>
  <c r="W135" i="6" s="1"/>
  <c r="P135" i="6"/>
  <c r="V135" i="6" s="1"/>
  <c r="O135" i="6"/>
  <c r="U135" i="6" s="1"/>
  <c r="M135" i="6"/>
  <c r="L135" i="6"/>
  <c r="K135" i="6"/>
  <c r="J135" i="6"/>
  <c r="I135" i="6"/>
  <c r="G123" i="6"/>
  <c r="I117" i="6"/>
  <c r="G115" i="6"/>
  <c r="H114" i="6"/>
  <c r="E114" i="6"/>
  <c r="I113" i="6"/>
  <c r="H113" i="6"/>
  <c r="G113" i="6"/>
  <c r="F113" i="6"/>
  <c r="E113" i="6"/>
  <c r="D113" i="6"/>
  <c r="I112" i="6"/>
  <c r="I114" i="6" s="1"/>
  <c r="H112" i="6"/>
  <c r="G112" i="6"/>
  <c r="F112" i="6"/>
  <c r="F114" i="6" s="1"/>
  <c r="E112" i="6"/>
  <c r="D112" i="6"/>
  <c r="I111" i="6"/>
  <c r="H111" i="6"/>
  <c r="G111" i="6"/>
  <c r="F111" i="6"/>
  <c r="F115" i="6" s="1"/>
  <c r="E111" i="6"/>
  <c r="D111" i="6"/>
  <c r="D115" i="6" s="1"/>
  <c r="I110" i="6"/>
  <c r="H110" i="6"/>
  <c r="G110" i="6"/>
  <c r="F110" i="6"/>
  <c r="E110" i="6"/>
  <c r="E115" i="6" s="1"/>
  <c r="D110" i="6"/>
  <c r="I109" i="6"/>
  <c r="I116" i="6" s="1"/>
  <c r="H109" i="6"/>
  <c r="G109" i="6"/>
  <c r="F109" i="6"/>
  <c r="F116" i="6" s="1"/>
  <c r="E109" i="6"/>
  <c r="D109" i="6"/>
  <c r="G94" i="6"/>
  <c r="F94" i="6"/>
  <c r="H93" i="6"/>
  <c r="G93" i="6"/>
  <c r="F93" i="6"/>
  <c r="H92" i="6"/>
  <c r="H91" i="6"/>
  <c r="H90" i="6"/>
  <c r="H94" i="6" s="1"/>
  <c r="C90" i="6"/>
  <c r="H89" i="6"/>
  <c r="M68" i="6"/>
  <c r="M67" i="6"/>
  <c r="M66" i="6"/>
  <c r="M65" i="6"/>
  <c r="K13" i="6"/>
  <c r="J13" i="6"/>
  <c r="I13" i="6"/>
  <c r="K12" i="6"/>
  <c r="J12" i="6"/>
  <c r="I12" i="6"/>
  <c r="K11" i="6"/>
  <c r="J11" i="6"/>
  <c r="I11" i="6"/>
  <c r="K10" i="6"/>
  <c r="J10" i="6"/>
  <c r="I10" i="6"/>
  <c r="K9" i="6"/>
  <c r="J9" i="6"/>
  <c r="I9" i="6"/>
  <c r="P7" i="6"/>
  <c r="O7" i="6"/>
  <c r="N7" i="6"/>
  <c r="E2" i="4" a="1"/>
  <c r="E2" i="4" s="1"/>
  <c r="A2" i="4" a="1"/>
  <c r="C115" i="4" s="1"/>
  <c r="B5" i="3"/>
  <c r="E2" i="3"/>
  <c r="Z339" i="6"/>
  <c r="AB350" i="6"/>
  <c r="AA345" i="6"/>
  <c r="X318" i="6"/>
  <c r="Y346" i="6"/>
  <c r="AB305" i="6"/>
  <c r="W335" i="6"/>
  <c r="X310" i="6"/>
  <c r="X301" i="6"/>
  <c r="AA330" i="6"/>
  <c r="Y336" i="6"/>
  <c r="Z318" i="6"/>
  <c r="X316" i="6"/>
  <c r="X327" i="6"/>
  <c r="AA319" i="6"/>
  <c r="AB301" i="6"/>
  <c r="AB296" i="6"/>
  <c r="Z299" i="6"/>
  <c r="AB324" i="6"/>
  <c r="W348" i="6"/>
  <c r="Z314" i="6"/>
  <c r="Z343" i="6"/>
  <c r="Z346" i="6"/>
  <c r="W341" i="6"/>
  <c r="Z305" i="6"/>
  <c r="Z287" i="6"/>
  <c r="X292" i="6"/>
  <c r="AB326" i="6"/>
  <c r="AA307" i="6"/>
  <c r="X350" i="6"/>
  <c r="AB334" i="6"/>
  <c r="W345" i="6"/>
  <c r="Z311" i="6"/>
  <c r="X324" i="6"/>
  <c r="X325" i="6"/>
  <c r="Z341" i="6"/>
  <c r="Z304" i="6"/>
  <c r="Z335" i="6"/>
  <c r="AA329" i="6"/>
  <c r="X321" i="6"/>
  <c r="AA335" i="6"/>
  <c r="Z352" i="6"/>
  <c r="AB327" i="6"/>
  <c r="Z301" i="6"/>
  <c r="Z308" i="6"/>
  <c r="W351" i="6"/>
  <c r="X330" i="6"/>
  <c r="AB306" i="6"/>
  <c r="AB293" i="6"/>
  <c r="AB323" i="6"/>
  <c r="Z298" i="6"/>
  <c r="X302" i="6"/>
  <c r="AA317" i="6"/>
  <c r="AB355" i="6"/>
  <c r="Y345" i="6"/>
  <c r="Z317" i="6"/>
  <c r="X356" i="6"/>
  <c r="W353" i="6"/>
  <c r="Z333" i="6"/>
  <c r="AB328" i="6"/>
  <c r="X297" i="6"/>
  <c r="AA292" i="6"/>
  <c r="AB351" i="6"/>
  <c r="X338" i="6"/>
  <c r="Z302" i="6"/>
  <c r="AB290" i="6"/>
  <c r="AB325" i="6"/>
  <c r="X349" i="6"/>
  <c r="AB320" i="6"/>
  <c r="Y348" i="6"/>
  <c r="Z332" i="6"/>
  <c r="Z320" i="6"/>
  <c r="Y343" i="6"/>
  <c r="AB291" i="6"/>
  <c r="AB303" i="6"/>
  <c r="X295" i="6"/>
  <c r="AA344" i="6"/>
  <c r="Z312" i="6"/>
  <c r="AB342" i="6"/>
  <c r="AA315" i="6"/>
  <c r="X286" i="6"/>
  <c r="W352" i="6"/>
  <c r="Z315" i="6"/>
  <c r="X326" i="6"/>
  <c r="AB329" i="6"/>
  <c r="X308" i="6"/>
  <c r="X293" i="6"/>
  <c r="X355" i="6"/>
  <c r="W354" i="6"/>
  <c r="AA354" i="6"/>
  <c r="AB317" i="6"/>
  <c r="Y354" i="6"/>
  <c r="X290" i="6"/>
  <c r="Y352" i="6"/>
  <c r="AA304" i="6"/>
  <c r="Y335" i="6"/>
  <c r="W338" i="6"/>
  <c r="AA296" i="6"/>
  <c r="X347" i="6"/>
  <c r="AB357" i="6"/>
  <c r="W357" i="6"/>
  <c r="Z294" i="6"/>
  <c r="Z336" i="6"/>
  <c r="Y339" i="6"/>
  <c r="X334" i="6"/>
  <c r="AB336" i="6"/>
  <c r="Z334" i="6"/>
  <c r="Z344" i="6"/>
  <c r="X335" i="6"/>
  <c r="AA353" i="6"/>
  <c r="AB347" i="6"/>
  <c r="Z324" i="6"/>
  <c r="AA355" i="6"/>
  <c r="W339" i="6"/>
  <c r="AA291" i="6"/>
  <c r="X317" i="6"/>
  <c r="AB308" i="6"/>
  <c r="W334" i="6"/>
  <c r="AA306" i="6"/>
  <c r="W356" i="6"/>
  <c r="X314" i="6"/>
  <c r="W342" i="6"/>
  <c r="AA316" i="6"/>
  <c r="AA300" i="6"/>
  <c r="X320" i="6"/>
  <c r="AA287" i="6"/>
  <c r="AB338" i="6"/>
  <c r="Z306" i="6"/>
  <c r="Z353" i="6"/>
  <c r="AB341" i="6"/>
  <c r="Y356" i="6"/>
  <c r="Z322" i="6"/>
  <c r="AA314" i="6"/>
  <c r="AA320" i="6"/>
  <c r="AB298" i="6"/>
  <c r="Z355" i="6"/>
  <c r="X294" i="6"/>
  <c r="AB304" i="6"/>
  <c r="X305" i="6"/>
  <c r="Z349" i="6"/>
  <c r="X323" i="6"/>
  <c r="AA339" i="6"/>
  <c r="AB307" i="6"/>
  <c r="Z316" i="6"/>
  <c r="X319" i="6"/>
  <c r="AB312" i="6"/>
  <c r="AB314" i="6"/>
  <c r="X311" i="6"/>
  <c r="Y338" i="6"/>
  <c r="AA299" i="6"/>
  <c r="X337" i="6"/>
  <c r="X332" i="6"/>
  <c r="AA308" i="6"/>
  <c r="AB319" i="6"/>
  <c r="Y353" i="6"/>
  <c r="X340" i="6"/>
  <c r="X331" i="6"/>
  <c r="Z329" i="6"/>
  <c r="Z321" i="6"/>
  <c r="Y334" i="6"/>
  <c r="X322" i="6"/>
  <c r="X307" i="6"/>
  <c r="AB311" i="6"/>
  <c r="Y349" i="6"/>
  <c r="Z342" i="6"/>
  <c r="AB337" i="6"/>
  <c r="AB315" i="6"/>
  <c r="Z328" i="6"/>
  <c r="AB343" i="6"/>
  <c r="AA351" i="6"/>
  <c r="X328" i="6"/>
  <c r="X298" i="6"/>
  <c r="AB345" i="6"/>
  <c r="AB331" i="6"/>
  <c r="AB288" i="6"/>
  <c r="X303" i="6"/>
  <c r="X333" i="6"/>
  <c r="Y344" i="6"/>
  <c r="X344" i="6"/>
  <c r="AA293" i="6"/>
  <c r="Z354" i="6"/>
  <c r="AA303" i="6"/>
  <c r="AB313" i="6"/>
  <c r="Z307" i="6"/>
  <c r="AB335" i="6"/>
  <c r="AA312" i="6"/>
  <c r="X312" i="6"/>
  <c r="W350" i="6"/>
  <c r="AA336" i="6"/>
  <c r="X291" i="6"/>
  <c r="AB321" i="6"/>
  <c r="AA290" i="6"/>
  <c r="Y355" i="6"/>
  <c r="Z347" i="6"/>
  <c r="Y340" i="6"/>
  <c r="Z330" i="6"/>
  <c r="AA352" i="6"/>
  <c r="AB339" i="6"/>
  <c r="W347" i="6"/>
  <c r="AA328" i="6"/>
  <c r="Z326" i="6"/>
  <c r="Z356" i="6"/>
  <c r="AB332" i="6"/>
  <c r="Z351" i="6"/>
  <c r="AA337" i="6"/>
  <c r="Z313" i="6"/>
  <c r="Y351" i="6"/>
  <c r="Z303" i="6"/>
  <c r="X299" i="6"/>
  <c r="X354" i="6"/>
  <c r="Z295" i="6"/>
  <c r="X348" i="6"/>
  <c r="Z296" i="6"/>
  <c r="Z350" i="6"/>
  <c r="AB356" i="6"/>
  <c r="AA347" i="6"/>
  <c r="X345" i="6"/>
  <c r="Y347" i="6"/>
  <c r="Y357" i="6"/>
  <c r="X313" i="6"/>
  <c r="Z345" i="6"/>
  <c r="X339" i="6"/>
  <c r="AB340" i="6"/>
  <c r="Z327" i="6"/>
  <c r="AB330" i="6"/>
  <c r="AA309" i="6"/>
  <c r="AA298" i="6"/>
  <c r="W340" i="6"/>
  <c r="Y337" i="6"/>
  <c r="X304" i="6"/>
  <c r="AB299" i="6"/>
  <c r="X287" i="6"/>
  <c r="Z331" i="6"/>
  <c r="W355" i="6"/>
  <c r="Z297" i="6"/>
  <c r="X309" i="6"/>
  <c r="AA311" i="6"/>
  <c r="X329" i="6"/>
  <c r="X296" i="6"/>
  <c r="Z348" i="6"/>
  <c r="Z319" i="6"/>
  <c r="AB352" i="6"/>
  <c r="AA346" i="6"/>
  <c r="Z292" i="6"/>
  <c r="Z325" i="6"/>
  <c r="Z310" i="6"/>
  <c r="AA288" i="6"/>
  <c r="AB287" i="6"/>
  <c r="AB354" i="6"/>
  <c r="AB353" i="6"/>
  <c r="Z337" i="6"/>
  <c r="X342" i="6"/>
  <c r="AB333" i="6"/>
  <c r="Z290" i="6"/>
  <c r="X357" i="6"/>
  <c r="Z291" i="6"/>
  <c r="AB300" i="6"/>
  <c r="X343" i="6"/>
  <c r="AA295" i="6"/>
  <c r="AB309" i="6"/>
  <c r="X288" i="6"/>
  <c r="W343" i="6"/>
  <c r="AB348" i="6"/>
  <c r="Y341" i="6"/>
  <c r="Z300" i="6"/>
  <c r="Z338" i="6"/>
  <c r="AA343" i="6"/>
  <c r="X300" i="6"/>
  <c r="Z286" i="6"/>
  <c r="X289" i="6"/>
  <c r="Z323" i="6"/>
  <c r="Z357" i="6"/>
  <c r="Y342" i="6"/>
  <c r="Z309" i="6"/>
  <c r="AB295" i="6"/>
  <c r="AA338" i="6"/>
  <c r="AA333" i="6"/>
  <c r="Z293" i="6"/>
  <c r="Z340" i="6"/>
  <c r="AA331" i="6"/>
  <c r="W336" i="6"/>
  <c r="X353" i="6"/>
  <c r="X351" i="6"/>
  <c r="AB316" i="6"/>
  <c r="X336" i="6"/>
  <c r="AB346" i="6"/>
  <c r="AA301" i="6"/>
  <c r="X352" i="6"/>
  <c r="Y350" i="6"/>
  <c r="AB344" i="6"/>
  <c r="X315" i="6"/>
  <c r="AB322" i="6"/>
  <c r="Z288" i="6"/>
  <c r="X306" i="6"/>
  <c r="X341" i="6"/>
  <c r="Z289" i="6"/>
  <c r="W344" i="6"/>
  <c r="AB292" i="6"/>
  <c r="W337" i="6"/>
  <c r="W349" i="6"/>
  <c r="X346" i="6"/>
  <c r="W346" i="6"/>
  <c r="AB349" i="6"/>
  <c r="C8" i="4" l="1"/>
  <c r="A32" i="4"/>
  <c r="C53" i="4"/>
  <c r="A76" i="4"/>
  <c r="C98" i="4"/>
  <c r="C14" i="4"/>
  <c r="B36" i="4"/>
  <c r="C59" i="4"/>
  <c r="B81" i="4"/>
  <c r="A104" i="4"/>
  <c r="C17" i="4"/>
  <c r="B39" i="4"/>
  <c r="B62" i="4"/>
  <c r="B84" i="4"/>
  <c r="A106" i="4"/>
  <c r="B20" i="4"/>
  <c r="C42" i="4"/>
  <c r="B64" i="4"/>
  <c r="B87" i="4"/>
  <c r="B109" i="4"/>
  <c r="C22" i="4"/>
  <c r="C45" i="4"/>
  <c r="B67" i="4"/>
  <c r="A90" i="4"/>
  <c r="B112" i="4"/>
  <c r="A4" i="4"/>
  <c r="C25" i="4"/>
  <c r="B48" i="4"/>
  <c r="B70" i="4"/>
  <c r="B92" i="4"/>
  <c r="B115" i="4"/>
  <c r="B6" i="4"/>
  <c r="C28" i="4"/>
  <c r="C50" i="4"/>
  <c r="B73" i="4"/>
  <c r="B95" i="4"/>
  <c r="A118" i="4"/>
  <c r="C11" i="4"/>
  <c r="C34" i="4"/>
  <c r="C56" i="4"/>
  <c r="B78" i="4"/>
  <c r="C101" i="4"/>
  <c r="C4" i="4"/>
  <c r="A11" i="4"/>
  <c r="B15" i="4"/>
  <c r="C21" i="4"/>
  <c r="B27" i="4"/>
  <c r="C32" i="4"/>
  <c r="C38" i="4"/>
  <c r="C43" i="4"/>
  <c r="C49" i="4"/>
  <c r="A55" i="4"/>
  <c r="B60" i="4"/>
  <c r="C66" i="4"/>
  <c r="B71" i="4"/>
  <c r="C77" i="4"/>
  <c r="B83" i="4"/>
  <c r="B88" i="4"/>
  <c r="B94" i="4"/>
  <c r="B99" i="4"/>
  <c r="B105" i="4"/>
  <c r="A111" i="4"/>
  <c r="A116" i="4"/>
  <c r="B5" i="4"/>
  <c r="B11" i="4"/>
  <c r="A17" i="4"/>
  <c r="B22" i="4"/>
  <c r="B28" i="4"/>
  <c r="A33" i="4"/>
  <c r="A39" i="4"/>
  <c r="C44" i="4"/>
  <c r="A50" i="4"/>
  <c r="B56" i="4"/>
  <c r="C60" i="4"/>
  <c r="A67" i="4"/>
  <c r="C72" i="4"/>
  <c r="A78" i="4"/>
  <c r="A84" i="4"/>
  <c r="C88" i="4"/>
  <c r="C94" i="4"/>
  <c r="B100" i="4"/>
  <c r="C105" i="4"/>
  <c r="A112" i="4"/>
  <c r="C116" i="4"/>
  <c r="A2" i="4"/>
  <c r="B7" i="4"/>
  <c r="A12" i="4"/>
  <c r="A18" i="4"/>
  <c r="A24" i="4"/>
  <c r="B29" i="4"/>
  <c r="B35" i="4"/>
  <c r="A40" i="4"/>
  <c r="A46" i="4"/>
  <c r="C51" i="4"/>
  <c r="A57" i="4"/>
  <c r="A63" i="4"/>
  <c r="A68" i="4"/>
  <c r="A74" i="4"/>
  <c r="B79" i="4"/>
  <c r="C84" i="4"/>
  <c r="A91" i="4"/>
  <c r="A96" i="4"/>
  <c r="A102" i="4"/>
  <c r="C107" i="4"/>
  <c r="C112" i="4"/>
  <c r="C118" i="4"/>
  <c r="A8" i="4"/>
  <c r="C13" i="4"/>
  <c r="C18" i="4"/>
  <c r="C24" i="4"/>
  <c r="C29" i="4"/>
  <c r="C35" i="4"/>
  <c r="B41" i="4"/>
  <c r="C46" i="4"/>
  <c r="C52" i="4"/>
  <c r="B57" i="4"/>
  <c r="B63" i="4"/>
  <c r="B69" i="4"/>
  <c r="C74" i="4"/>
  <c r="C80" i="4"/>
  <c r="B85" i="4"/>
  <c r="B91" i="4"/>
  <c r="A97" i="4"/>
  <c r="B102" i="4"/>
  <c r="B108" i="4"/>
  <c r="A113" i="4"/>
  <c r="A119" i="4"/>
  <c r="A3" i="4"/>
  <c r="B8" i="4"/>
  <c r="B14" i="4"/>
  <c r="B19" i="4"/>
  <c r="B25" i="4"/>
  <c r="C30" i="4"/>
  <c r="A36" i="4"/>
  <c r="A42" i="4"/>
  <c r="A47" i="4"/>
  <c r="B53" i="4"/>
  <c r="A59" i="4"/>
  <c r="A64" i="4"/>
  <c r="A70" i="4"/>
  <c r="A75" i="4"/>
  <c r="A81" i="4"/>
  <c r="C86" i="4"/>
  <c r="C91" i="4"/>
  <c r="C97" i="4"/>
  <c r="C102" i="4"/>
  <c r="C108" i="4"/>
  <c r="C114" i="4"/>
  <c r="B4" i="4"/>
  <c r="A10" i="4"/>
  <c r="A15" i="4"/>
  <c r="B21" i="4"/>
  <c r="A26" i="4"/>
  <c r="B32" i="4"/>
  <c r="A38" i="4"/>
  <c r="A43" i="4"/>
  <c r="A49" i="4"/>
  <c r="A54" i="4"/>
  <c r="A60" i="4"/>
  <c r="C65" i="4"/>
  <c r="A71" i="4"/>
  <c r="B77" i="4"/>
  <c r="C81" i="4"/>
  <c r="A88" i="4"/>
  <c r="C93" i="4"/>
  <c r="A99" i="4"/>
  <c r="A105" i="4"/>
  <c r="C109" i="4"/>
  <c r="EM6" i="1"/>
  <c r="EL6" i="1"/>
  <c r="EK6" i="1"/>
  <c r="B3" i="3"/>
  <c r="B2" i="3"/>
  <c r="AL190" i="6"/>
  <c r="AL191" i="6" s="1"/>
  <c r="AP189" i="6"/>
  <c r="AG189" i="6"/>
  <c r="AF191" i="6"/>
  <c r="AI190" i="6"/>
  <c r="AI191" i="6" s="1"/>
  <c r="AN189" i="6"/>
  <c r="AE189" i="6"/>
  <c r="AI184" i="6"/>
  <c r="AH183" i="6"/>
  <c r="AL182" i="6"/>
  <c r="AE191" i="6"/>
  <c r="AH190" i="6"/>
  <c r="AH191" i="6" s="1"/>
  <c r="AM189" i="6"/>
  <c r="AD189" i="6"/>
  <c r="AH184" i="6"/>
  <c r="AP183" i="6"/>
  <c r="AG183" i="6"/>
  <c r="AK182" i="6"/>
  <c r="AO190" i="6"/>
  <c r="AO191" i="6" s="1"/>
  <c r="AF190" i="6"/>
  <c r="AK189" i="6"/>
  <c r="AN183" i="6"/>
  <c r="AN184" i="6" s="1"/>
  <c r="AE183" i="6"/>
  <c r="AE184" i="6" s="1"/>
  <c r="AH182" i="6"/>
  <c r="AK191" i="6"/>
  <c r="AN190" i="6"/>
  <c r="AN191" i="6" s="1"/>
  <c r="AE190" i="6"/>
  <c r="AI189" i="6"/>
  <c r="AM183" i="6"/>
  <c r="AD183" i="6"/>
  <c r="AD184" i="6" s="1"/>
  <c r="AP182" i="6"/>
  <c r="AG182" i="6"/>
  <c r="AK190" i="6"/>
  <c r="AK184" i="6"/>
  <c r="AK183" i="6"/>
  <c r="AD182" i="6"/>
  <c r="AG190" i="6"/>
  <c r="AG184" i="6"/>
  <c r="AI183" i="6"/>
  <c r="AD190" i="6"/>
  <c r="AF183" i="6"/>
  <c r="AF184" i="6" s="1"/>
  <c r="AO182" i="6"/>
  <c r="AO189" i="6"/>
  <c r="AN182" i="6"/>
  <c r="AM191" i="6"/>
  <c r="AL189" i="6"/>
  <c r="AM182" i="6"/>
  <c r="AD191" i="6"/>
  <c r="AP190" i="6"/>
  <c r="AP191" i="6" s="1"/>
  <c r="AF189" i="6"/>
  <c r="AM184" i="6"/>
  <c r="AO183" i="6"/>
  <c r="AO184" i="6" s="1"/>
  <c r="AF182" i="6"/>
  <c r="AM190" i="6"/>
  <c r="AL183" i="6"/>
  <c r="AL184" i="6" s="1"/>
  <c r="AE182" i="6"/>
  <c r="AP184" i="6"/>
  <c r="AG191" i="6"/>
  <c r="AH189" i="6"/>
  <c r="AI182" i="6"/>
  <c r="E3" i="4" a="1"/>
  <c r="E3" i="4" s="1"/>
  <c r="I2" i="4"/>
  <c r="G2" i="4"/>
  <c r="C119" i="4"/>
  <c r="A117" i="4"/>
  <c r="B114" i="4"/>
  <c r="C111" i="4"/>
  <c r="A109" i="4"/>
  <c r="B106" i="4"/>
  <c r="C103" i="4"/>
  <c r="A101" i="4"/>
  <c r="B98" i="4"/>
  <c r="C95" i="4"/>
  <c r="A93" i="4"/>
  <c r="B90" i="4"/>
  <c r="C87" i="4"/>
  <c r="A85" i="4"/>
  <c r="B82" i="4"/>
  <c r="C79" i="4"/>
  <c r="A77" i="4"/>
  <c r="B74" i="4"/>
  <c r="C71" i="4"/>
  <c r="A69" i="4"/>
  <c r="B66" i="4"/>
  <c r="C63" i="4"/>
  <c r="A61" i="4"/>
  <c r="B58" i="4"/>
  <c r="C55" i="4"/>
  <c r="A53" i="4"/>
  <c r="B50" i="4"/>
  <c r="C47" i="4"/>
  <c r="A45" i="4"/>
  <c r="B42" i="4"/>
  <c r="C39" i="4"/>
  <c r="A37" i="4"/>
  <c r="B34" i="4"/>
  <c r="C31" i="4"/>
  <c r="A29" i="4"/>
  <c r="B26" i="4"/>
  <c r="C23" i="4"/>
  <c r="A21" i="4"/>
  <c r="B18" i="4"/>
  <c r="C15" i="4"/>
  <c r="A13" i="4"/>
  <c r="B10" i="4"/>
  <c r="C7" i="4"/>
  <c r="A5" i="4"/>
  <c r="B2" i="4"/>
  <c r="K2" i="4" s="1"/>
  <c r="B119" i="4"/>
  <c r="B116" i="4"/>
  <c r="B113" i="4"/>
  <c r="B110" i="4"/>
  <c r="B107" i="4"/>
  <c r="B104" i="4"/>
  <c r="B101" i="4"/>
  <c r="A98" i="4"/>
  <c r="A95" i="4"/>
  <c r="A92" i="4"/>
  <c r="A89" i="4"/>
  <c r="A86" i="4"/>
  <c r="A83" i="4"/>
  <c r="A80" i="4"/>
  <c r="C76" i="4"/>
  <c r="C73" i="4"/>
  <c r="C70" i="4"/>
  <c r="C67" i="4"/>
  <c r="C64" i="4"/>
  <c r="C61" i="4"/>
  <c r="C58" i="4"/>
  <c r="B55" i="4"/>
  <c r="B52" i="4"/>
  <c r="B49" i="4"/>
  <c r="B46" i="4"/>
  <c r="B43" i="4"/>
  <c r="B40" i="4"/>
  <c r="B37" i="4"/>
  <c r="A34" i="4"/>
  <c r="A31" i="4"/>
  <c r="A28" i="4"/>
  <c r="A25" i="4"/>
  <c r="A22" i="4"/>
  <c r="A19" i="4"/>
  <c r="A16" i="4"/>
  <c r="C12" i="4"/>
  <c r="C9" i="4"/>
  <c r="C6" i="4"/>
  <c r="C3" i="4"/>
  <c r="C5" i="4"/>
  <c r="A9" i="4"/>
  <c r="B12" i="4"/>
  <c r="B16" i="4"/>
  <c r="C19" i="4"/>
  <c r="A23" i="4"/>
  <c r="C26" i="4"/>
  <c r="A30" i="4"/>
  <c r="B33" i="4"/>
  <c r="C36" i="4"/>
  <c r="C40" i="4"/>
  <c r="A44" i="4"/>
  <c r="B47" i="4"/>
  <c r="A51" i="4"/>
  <c r="B54" i="4"/>
  <c r="C57" i="4"/>
  <c r="B61" i="4"/>
  <c r="A65" i="4"/>
  <c r="B68" i="4"/>
  <c r="A72" i="4"/>
  <c r="B75" i="4"/>
  <c r="C78" i="4"/>
  <c r="A82" i="4"/>
  <c r="C85" i="4"/>
  <c r="B89" i="4"/>
  <c r="C92" i="4"/>
  <c r="B96" i="4"/>
  <c r="C99" i="4"/>
  <c r="A103" i="4"/>
  <c r="C106" i="4"/>
  <c r="A110" i="4"/>
  <c r="C113" i="4"/>
  <c r="B117" i="4"/>
  <c r="C2" i="4"/>
  <c r="A6" i="4"/>
  <c r="B9" i="4"/>
  <c r="B13" i="4"/>
  <c r="C16" i="4"/>
  <c r="A20" i="4"/>
  <c r="B23" i="4"/>
  <c r="A27" i="4"/>
  <c r="B30" i="4"/>
  <c r="C33" i="4"/>
  <c r="C37" i="4"/>
  <c r="A41" i="4"/>
  <c r="B44" i="4"/>
  <c r="A48" i="4"/>
  <c r="B51" i="4"/>
  <c r="C54" i="4"/>
  <c r="A58" i="4"/>
  <c r="A62" i="4"/>
  <c r="B65" i="4"/>
  <c r="C68" i="4"/>
  <c r="B72" i="4"/>
  <c r="C75" i="4"/>
  <c r="A79" i="4"/>
  <c r="C82" i="4"/>
  <c r="B86" i="4"/>
  <c r="C89" i="4"/>
  <c r="B93" i="4"/>
  <c r="C96" i="4"/>
  <c r="A100" i="4"/>
  <c r="B103" i="4"/>
  <c r="A107" i="4"/>
  <c r="C110" i="4"/>
  <c r="A114" i="4"/>
  <c r="C117" i="4"/>
  <c r="B3" i="4"/>
  <c r="A7" i="4"/>
  <c r="C10" i="4"/>
  <c r="A14" i="4"/>
  <c r="B17" i="4"/>
  <c r="C20" i="4"/>
  <c r="B24" i="4"/>
  <c r="C27" i="4"/>
  <c r="B31" i="4"/>
  <c r="A35" i="4"/>
  <c r="B38" i="4"/>
  <c r="C41" i="4"/>
  <c r="B45" i="4"/>
  <c r="C48" i="4"/>
  <c r="A52" i="4"/>
  <c r="A56" i="4"/>
  <c r="B59" i="4"/>
  <c r="C62" i="4"/>
  <c r="A66" i="4"/>
  <c r="C69" i="4"/>
  <c r="A73" i="4"/>
  <c r="B76" i="4"/>
  <c r="B80" i="4"/>
  <c r="C83" i="4"/>
  <c r="A87" i="4"/>
  <c r="C90" i="4"/>
  <c r="A94" i="4"/>
  <c r="B97" i="4"/>
  <c r="C100" i="4"/>
  <c r="C104" i="4"/>
  <c r="A108" i="4"/>
  <c r="B111" i="4"/>
  <c r="A115" i="4"/>
  <c r="B118" i="4"/>
  <c r="K143" i="6"/>
  <c r="K144" i="6"/>
  <c r="AF193" i="6"/>
  <c r="AG186" i="6"/>
  <c r="AF186" i="6"/>
  <c r="AH193" i="6"/>
  <c r="AI186" i="6"/>
  <c r="K157" i="6"/>
  <c r="D114" i="6"/>
  <c r="F117" i="6"/>
  <c r="K154" i="6"/>
  <c r="Q238" i="6"/>
  <c r="R238" i="6"/>
  <c r="P241" i="6"/>
  <c r="L143" i="6"/>
  <c r="L144" i="6"/>
  <c r="K148" i="6"/>
  <c r="H115" i="6"/>
  <c r="I115" i="6"/>
  <c r="R239" i="6"/>
  <c r="K151" i="6"/>
  <c r="G175" i="6"/>
  <c r="G114" i="6"/>
  <c r="AG422" i="6"/>
  <c r="AG425" i="6"/>
  <c r="AG427" i="6"/>
  <c r="AG429" i="6"/>
  <c r="AG431" i="6"/>
  <c r="AG433" i="6"/>
  <c r="AG435" i="6"/>
  <c r="AG437" i="6"/>
  <c r="AG439" i="6"/>
  <c r="AG441" i="6"/>
  <c r="AG443" i="6"/>
  <c r="AG448" i="6"/>
  <c r="AF451" i="6"/>
  <c r="AF458" i="6"/>
  <c r="AG463" i="6"/>
  <c r="AH186" i="6"/>
  <c r="AG193" i="6"/>
  <c r="AA368" i="6"/>
  <c r="Q380" i="6"/>
  <c r="S380" i="6" s="1"/>
  <c r="R402" i="6"/>
  <c r="AF421" i="6"/>
  <c r="AF446" i="6"/>
  <c r="AG451" i="6"/>
  <c r="AG458" i="6"/>
  <c r="AF461" i="6"/>
  <c r="AG421" i="6"/>
  <c r="AG446" i="6"/>
  <c r="AF449" i="6"/>
  <c r="AF454" i="6"/>
  <c r="AF456" i="6"/>
  <c r="AG461" i="6"/>
  <c r="AF464" i="6"/>
  <c r="AI193" i="6"/>
  <c r="Q242" i="6"/>
  <c r="AF420" i="6"/>
  <c r="AD420" i="6" s="1"/>
  <c r="AF424" i="6"/>
  <c r="AF426" i="6"/>
  <c r="AF428" i="6"/>
  <c r="AF430" i="6"/>
  <c r="AF432" i="6"/>
  <c r="AF434" i="6"/>
  <c r="AF436" i="6"/>
  <c r="AF438" i="6"/>
  <c r="AF440" i="6"/>
  <c r="AF442" i="6"/>
  <c r="AF444" i="6"/>
  <c r="AG449" i="6"/>
  <c r="AF452" i="6"/>
  <c r="AG454" i="6"/>
  <c r="AG456" i="6"/>
  <c r="AF459" i="6"/>
  <c r="AG464" i="6"/>
  <c r="AG420" i="6"/>
  <c r="AG424" i="6"/>
  <c r="AG426" i="6"/>
  <c r="AG428" i="6"/>
  <c r="AG430" i="6"/>
  <c r="AG432" i="6"/>
  <c r="AG434" i="6"/>
  <c r="AG436" i="6"/>
  <c r="AG438" i="6"/>
  <c r="AG440" i="6"/>
  <c r="AG442" i="6"/>
  <c r="AG444" i="6"/>
  <c r="AF447" i="6"/>
  <c r="AG452" i="6"/>
  <c r="AG459" i="6"/>
  <c r="AF462" i="6"/>
  <c r="AF423" i="6"/>
  <c r="AG447" i="6"/>
  <c r="AF450" i="6"/>
  <c r="AF457" i="6"/>
  <c r="AG462" i="6"/>
  <c r="AG423" i="6"/>
  <c r="AF445" i="6"/>
  <c r="AG450" i="6"/>
  <c r="AF453" i="6"/>
  <c r="AF455" i="6"/>
  <c r="AG457" i="6"/>
  <c r="AF460" i="6"/>
  <c r="AF422" i="6"/>
  <c r="AF425" i="6"/>
  <c r="AF427" i="6"/>
  <c r="AF429" i="6"/>
  <c r="AF431" i="6"/>
  <c r="AF433" i="6"/>
  <c r="AF435" i="6"/>
  <c r="AF437" i="6"/>
  <c r="AF439" i="6"/>
  <c r="AF441" i="6"/>
  <c r="AF443" i="6"/>
  <c r="AG445" i="6"/>
  <c r="AF448" i="6"/>
  <c r="AG453" i="6"/>
  <c r="AG455" i="6"/>
  <c r="AG460" i="6"/>
  <c r="AA321" i="6"/>
  <c r="AB318" i="6"/>
  <c r="AB286" i="6"/>
  <c r="AA340" i="6"/>
  <c r="AA323" i="6"/>
  <c r="AA294" i="6"/>
  <c r="AA286" i="6"/>
  <c r="AA297" i="6"/>
  <c r="AA326" i="6"/>
  <c r="AA334" i="6"/>
  <c r="AA305" i="6"/>
  <c r="AA342" i="6"/>
  <c r="AA302" i="6"/>
  <c r="AA349" i="6"/>
  <c r="AB294" i="6"/>
  <c r="AA356" i="6"/>
  <c r="AA348" i="6"/>
  <c r="AA357" i="6"/>
  <c r="AA318" i="6"/>
  <c r="AA310" i="6"/>
  <c r="AB289" i="6"/>
  <c r="AB297" i="6"/>
  <c r="AA341" i="6"/>
  <c r="AA322" i="6"/>
  <c r="AA332" i="6"/>
  <c r="AA289" i="6"/>
  <c r="AA325" i="6"/>
  <c r="AB302" i="6"/>
  <c r="AB310" i="6"/>
  <c r="AA350" i="6"/>
  <c r="AA327" i="6"/>
  <c r="AA324" i="6"/>
  <c r="AA313" i="6"/>
  <c r="AD425" i="6" l="1"/>
  <c r="AD430" i="6" s="1"/>
  <c r="AD435" i="6" s="1"/>
  <c r="AD440" i="6" s="1"/>
  <c r="AD445" i="6" s="1"/>
  <c r="AD450" i="6" s="1"/>
  <c r="AD455" i="6" s="1"/>
  <c r="AD460" i="6" s="1"/>
  <c r="AD421" i="6"/>
  <c r="M252" i="6"/>
  <c r="M248" i="6"/>
  <c r="M250" i="6"/>
  <c r="M249" i="6"/>
  <c r="M251" i="6"/>
  <c r="M247" i="6"/>
  <c r="B4" i="3"/>
  <c r="C2" i="8"/>
  <c r="G3" i="4"/>
  <c r="I3" i="4"/>
  <c r="E4" i="4" a="1"/>
  <c r="E4" i="4" s="1"/>
  <c r="B2" i="8" l="1"/>
  <c r="AD422" i="6"/>
  <c r="AD426" i="6"/>
  <c r="AD431" i="6" s="1"/>
  <c r="AD436" i="6" s="1"/>
  <c r="AD441" i="6" s="1"/>
  <c r="AD446" i="6" s="1"/>
  <c r="AD451" i="6" s="1"/>
  <c r="AD456" i="6" s="1"/>
  <c r="AD461" i="6" s="1"/>
  <c r="I4" i="4"/>
  <c r="G4" i="4"/>
  <c r="E5" i="4" a="1"/>
  <c r="E5" i="4" s="1"/>
  <c r="E6" i="4" s="1" a="1"/>
  <c r="E6" i="4" s="1"/>
  <c r="F156" i="7"/>
  <c r="F164" i="7"/>
  <c r="G164" i="7" s="1"/>
  <c r="F162" i="7"/>
  <c r="G162" i="7" s="1"/>
  <c r="G93" i="7"/>
  <c r="F93" i="7"/>
  <c r="G156" i="7"/>
  <c r="E7" i="4" l="1" a="1"/>
  <c r="E7" i="4" s="1"/>
  <c r="E8" i="4" s="1" a="1"/>
  <c r="E8" i="4" s="1"/>
  <c r="G6" i="4"/>
  <c r="I6" i="4"/>
  <c r="G5" i="4"/>
  <c r="I5" i="4"/>
  <c r="AD427" i="6"/>
  <c r="AD432" i="6" s="1"/>
  <c r="AD437" i="6" s="1"/>
  <c r="AD442" i="6" s="1"/>
  <c r="AD447" i="6" s="1"/>
  <c r="AD452" i="6" s="1"/>
  <c r="AD457" i="6" s="1"/>
  <c r="AD462" i="6" s="1"/>
  <c r="AD423" i="6"/>
  <c r="B1" i="8" l="1"/>
  <c r="G7" i="4"/>
  <c r="I7" i="4"/>
  <c r="G8" i="4"/>
  <c r="I8" i="4"/>
  <c r="C1" i="8"/>
  <c r="AD428" i="6"/>
  <c r="AD433" i="6" s="1"/>
  <c r="AD438" i="6" s="1"/>
  <c r="AD443" i="6" s="1"/>
  <c r="AD448" i="6" s="1"/>
  <c r="AD453" i="6" s="1"/>
  <c r="AD458" i="6" s="1"/>
  <c r="AD463" i="6" s="1"/>
  <c r="AD424" i="6"/>
  <c r="AD429" i="6" s="1"/>
  <c r="AD434" i="6" s="1"/>
  <c r="AD439" i="6" s="1"/>
  <c r="AD444" i="6" s="1"/>
  <c r="AD449" i="6" s="1"/>
  <c r="AD454" i="6" s="1"/>
  <c r="AD459" i="6" s="1"/>
  <c r="AD464" i="6" s="1"/>
  <c r="E9" i="4" a="1"/>
  <c r="E9" i="4" s="1"/>
  <c r="G9" i="4" l="1"/>
  <c r="I9" i="4"/>
  <c r="E10" i="4" a="1"/>
  <c r="E10" i="4" s="1"/>
  <c r="I10" i="4" l="1"/>
  <c r="G10" i="4"/>
  <c r="E11" i="4" a="1"/>
  <c r="E11" i="4" s="1"/>
  <c r="G11" i="4" l="1"/>
  <c r="I11" i="4"/>
  <c r="E12" i="4" a="1"/>
  <c r="E12" i="4" s="1"/>
  <c r="I12" i="4" l="1"/>
  <c r="G12" i="4"/>
  <c r="E13" i="4" a="1"/>
  <c r="E13" i="4" s="1"/>
  <c r="G13" i="4" l="1"/>
  <c r="I13" i="4"/>
  <c r="E14" i="4" a="1"/>
  <c r="E14" i="4" s="1"/>
  <c r="I14" i="4" l="1"/>
  <c r="G14" i="4"/>
  <c r="E15" i="4" a="1"/>
  <c r="E15" i="4" s="1"/>
  <c r="G15" i="4" l="1"/>
  <c r="I15" i="4"/>
  <c r="E16" i="4" a="1"/>
  <c r="E16" i="4" s="1"/>
  <c r="I16" i="4" l="1"/>
  <c r="G16" i="4"/>
  <c r="E17" i="4" a="1"/>
  <c r="E17" i="4" s="1"/>
  <c r="G17" i="4" l="1"/>
  <c r="I17" i="4"/>
  <c r="E18" i="4" a="1"/>
  <c r="E18" i="4" s="1"/>
  <c r="G18" i="4" l="1"/>
  <c r="I18" i="4"/>
  <c r="E19" i="4" a="1"/>
  <c r="E19" i="4" s="1"/>
  <c r="G19" i="4" l="1"/>
  <c r="I19" i="4"/>
  <c r="E20" i="4" a="1"/>
  <c r="E20" i="4" s="1"/>
  <c r="I20" i="4" l="1"/>
  <c r="G20" i="4"/>
  <c r="E21" i="4" a="1"/>
  <c r="E21" i="4" s="1"/>
  <c r="G21" i="4" l="1"/>
  <c r="I21" i="4"/>
  <c r="E22" i="4" a="1"/>
  <c r="E22" i="4" s="1"/>
  <c r="I22" i="4" l="1"/>
  <c r="G22" i="4"/>
  <c r="E23" i="4" a="1"/>
  <c r="E23" i="4" s="1"/>
  <c r="G23" i="4" l="1"/>
  <c r="I23" i="4"/>
  <c r="E24" i="4" a="1"/>
  <c r="E24" i="4" s="1"/>
  <c r="I24" i="4" l="1"/>
  <c r="G24" i="4"/>
  <c r="E25" i="4" a="1"/>
  <c r="E25" i="4" s="1"/>
  <c r="G25" i="4" l="1"/>
  <c r="I25" i="4"/>
  <c r="E26" i="4" a="1"/>
  <c r="E26" i="4" s="1"/>
  <c r="I26" i="4" l="1"/>
  <c r="G26" i="4"/>
  <c r="E27" i="4" a="1"/>
  <c r="E27" i="4" s="1"/>
  <c r="G27" i="4" l="1"/>
  <c r="I27" i="4"/>
  <c r="E28" i="4" a="1"/>
  <c r="E28" i="4" s="1"/>
  <c r="I28" i="4" l="1"/>
  <c r="G28" i="4"/>
  <c r="E29" i="4" a="1"/>
  <c r="E29" i="4" s="1"/>
  <c r="G29" i="4" l="1"/>
  <c r="I29" i="4"/>
  <c r="E30" i="4" a="1"/>
  <c r="E30" i="4" s="1"/>
  <c r="I30" i="4" l="1"/>
  <c r="G30" i="4"/>
  <c r="E31" i="4" a="1"/>
  <c r="E31" i="4" s="1"/>
  <c r="G31" i="4" l="1"/>
  <c r="I31" i="4"/>
  <c r="E32" i="4" a="1"/>
  <c r="E32" i="4" s="1"/>
  <c r="I32" i="4" l="1"/>
  <c r="G32" i="4"/>
  <c r="E33" i="4" a="1"/>
  <c r="E33" i="4" s="1"/>
  <c r="G33" i="4" l="1"/>
  <c r="I33" i="4"/>
  <c r="E34" i="4" a="1"/>
  <c r="E34" i="4" s="1"/>
  <c r="G34" i="4" l="1"/>
  <c r="I34" i="4"/>
  <c r="E35" i="4" a="1"/>
  <c r="E35" i="4" s="1"/>
  <c r="G35" i="4" l="1"/>
  <c r="I35" i="4"/>
  <c r="E36" i="4" a="1"/>
  <c r="E36" i="4" s="1"/>
  <c r="I36" i="4" l="1"/>
  <c r="G36" i="4"/>
  <c r="E37" i="4" a="1"/>
  <c r="E37" i="4" s="1"/>
  <c r="G37" i="4" l="1"/>
  <c r="I37" i="4"/>
  <c r="E38" i="4" a="1"/>
  <c r="E38" i="4" s="1"/>
  <c r="I38" i="4" l="1"/>
  <c r="G38" i="4"/>
  <c r="E39" i="4" a="1"/>
  <c r="E39" i="4" s="1"/>
  <c r="G39" i="4" l="1"/>
  <c r="I39" i="4"/>
  <c r="E40" i="4" a="1"/>
  <c r="E40" i="4" s="1"/>
  <c r="G40" i="4" l="1"/>
  <c r="I40" i="4"/>
  <c r="E41" i="4" a="1"/>
  <c r="E41" i="4" s="1"/>
  <c r="I41" i="4" l="1"/>
  <c r="G41" i="4"/>
  <c r="E42" i="4" a="1"/>
  <c r="E42" i="4" s="1"/>
  <c r="G42" i="4" l="1"/>
  <c r="I42" i="4"/>
  <c r="E43" i="4" a="1"/>
  <c r="E43" i="4" s="1"/>
  <c r="I43" i="4" l="1"/>
  <c r="G43" i="4"/>
  <c r="E44" i="4" a="1"/>
  <c r="E44" i="4" s="1"/>
  <c r="G44" i="4" l="1"/>
  <c r="I44" i="4"/>
  <c r="E45" i="4" a="1"/>
  <c r="E45" i="4" s="1"/>
  <c r="E46" i="4" s="1" a="1"/>
  <c r="E46" i="4" s="1"/>
  <c r="EP1135" i="1" l="1"/>
  <c r="EP1132" i="1"/>
  <c r="EP1133" i="1"/>
  <c r="EP1134" i="1"/>
  <c r="EP1131" i="1"/>
  <c r="EP1187" i="1"/>
  <c r="EP358" i="1"/>
  <c r="EP1170" i="1"/>
  <c r="EP1186" i="1"/>
  <c r="EP1181" i="1"/>
  <c r="EP1163" i="1"/>
  <c r="EP1084" i="1"/>
  <c r="EP1190" i="1"/>
  <c r="EP1165" i="1"/>
  <c r="EP1185" i="1"/>
  <c r="EP1178" i="1"/>
  <c r="EP1189" i="1"/>
  <c r="EP1076" i="1"/>
  <c r="EP1086" i="1"/>
  <c r="EP1145" i="1"/>
  <c r="EP775" i="1"/>
  <c r="EP1166" i="1"/>
  <c r="EP1073" i="1"/>
  <c r="EP1198" i="1"/>
  <c r="EP1164" i="1"/>
  <c r="EP1183" i="1"/>
  <c r="EP1193" i="1"/>
  <c r="EP1085" i="1"/>
  <c r="EP402" i="1"/>
  <c r="EP1176" i="1"/>
  <c r="EP1182" i="1"/>
  <c r="EP1072" i="1"/>
  <c r="EP1199" i="1"/>
  <c r="EP1188" i="1"/>
  <c r="EP1194" i="1"/>
  <c r="EP1075" i="1"/>
  <c r="EP1177" i="1"/>
  <c r="EP1184" i="1"/>
  <c r="EP1191" i="1"/>
  <c r="EP1167" i="1"/>
  <c r="EP1179" i="1"/>
  <c r="EP1197" i="1"/>
  <c r="EP1067" i="1"/>
  <c r="EP1173" i="1"/>
  <c r="EP1068" i="1"/>
  <c r="EP1192" i="1"/>
  <c r="EP1069" i="1"/>
  <c r="EP1077" i="1"/>
  <c r="EP1171" i="1"/>
  <c r="EP1172" i="1"/>
  <c r="EP1162" i="1"/>
  <c r="EP1195" i="1"/>
  <c r="EP1137" i="1"/>
  <c r="EP1180" i="1"/>
  <c r="EP1070" i="1"/>
  <c r="EP1200" i="1"/>
  <c r="EP1168" i="1"/>
  <c r="EP359" i="1"/>
  <c r="EP1169" i="1"/>
  <c r="EP403" i="1"/>
  <c r="EP1071" i="1"/>
  <c r="EP1174" i="1"/>
  <c r="EP1196" i="1"/>
  <c r="EP1074" i="1"/>
  <c r="EP1175" i="1"/>
  <c r="EP1138" i="1"/>
  <c r="EP1088" i="1"/>
  <c r="EP855" i="1" l="1"/>
  <c r="EP683" i="1"/>
  <c r="EP890" i="1"/>
  <c r="EP587" i="1"/>
  <c r="EP593" i="1"/>
  <c r="EP885" i="1"/>
  <c r="EP269" i="1"/>
  <c r="EP580" i="1"/>
  <c r="EP1207" i="1"/>
  <c r="EP881" i="1"/>
  <c r="EP656" i="1"/>
  <c r="EP794" i="1"/>
  <c r="EP719" i="1"/>
  <c r="EP920" i="1"/>
  <c r="EP611" i="1"/>
  <c r="EP714" i="1"/>
  <c r="EP869" i="1"/>
  <c r="EP625" i="1"/>
  <c r="EP653" i="1"/>
  <c r="EP675" i="1"/>
  <c r="EP637" i="1"/>
  <c r="EP282" i="1"/>
  <c r="EP900" i="1"/>
  <c r="EP962" i="1"/>
  <c r="EP860" i="1"/>
  <c r="EP839" i="1"/>
  <c r="EP942" i="1"/>
  <c r="EP793" i="1"/>
  <c r="EP567" i="1"/>
  <c r="EP981" i="1"/>
  <c r="EP598" i="1"/>
  <c r="EP1008" i="1"/>
  <c r="EP298" i="1"/>
  <c r="EP451" i="1"/>
  <c r="EP922" i="1"/>
  <c r="EP562" i="1"/>
  <c r="EP886" i="1"/>
  <c r="EP332" i="1"/>
  <c r="EP573" i="1"/>
  <c r="EP703" i="1"/>
  <c r="EP288" i="1"/>
  <c r="EP566" i="1"/>
  <c r="EP494" i="1"/>
  <c r="EP116" i="1"/>
  <c r="EP599" i="1"/>
  <c r="EP577" i="1"/>
  <c r="EP851" i="1"/>
  <c r="EP852" i="1"/>
  <c r="EP287" i="1"/>
  <c r="EP706" i="1"/>
  <c r="EP152" i="1"/>
  <c r="EP241" i="1"/>
  <c r="EP726" i="1"/>
  <c r="EP831" i="1"/>
  <c r="EP660" i="1"/>
  <c r="EP732" i="1"/>
  <c r="EP1013" i="1"/>
  <c r="EP1022" i="1"/>
  <c r="EP972" i="1"/>
  <c r="EP661" i="1"/>
  <c r="EP170" i="1"/>
  <c r="EP115" i="1"/>
  <c r="EP548" i="1"/>
  <c r="EP256" i="1"/>
  <c r="EP106" i="1"/>
  <c r="EP949" i="1"/>
  <c r="EP448" i="1"/>
  <c r="EP452" i="1"/>
  <c r="EP101" i="1"/>
  <c r="EP859" i="1"/>
  <c r="EP299" i="1"/>
  <c r="EP987" i="1"/>
  <c r="EP453" i="1"/>
  <c r="EP816" i="1"/>
  <c r="EP963" i="1"/>
  <c r="EP154" i="1"/>
  <c r="EP76" i="1"/>
  <c r="EP674" i="1"/>
  <c r="EP650" i="1"/>
  <c r="EP156" i="1"/>
  <c r="EP297" i="1"/>
  <c r="EP647" i="1"/>
  <c r="EP698" i="1"/>
  <c r="EP862" i="1"/>
  <c r="EP915" i="1"/>
  <c r="EP450" i="1"/>
  <c r="EP553" i="1"/>
  <c r="EP921" i="1"/>
  <c r="EP673" i="1"/>
  <c r="EP971" i="1"/>
  <c r="EP546" i="1"/>
  <c r="EP333" i="1"/>
  <c r="EP618" i="1"/>
  <c r="EP666" i="1"/>
  <c r="EP601" i="1"/>
  <c r="EP544" i="1"/>
  <c r="EP813" i="1"/>
  <c r="EP685" i="1"/>
  <c r="EP760" i="1"/>
  <c r="EP529" i="1"/>
  <c r="EP717" i="1"/>
  <c r="EP868" i="1"/>
  <c r="EP240" i="1"/>
  <c r="EP808" i="1"/>
  <c r="EP194" i="1"/>
  <c r="EP551" i="1"/>
  <c r="EP818" i="1"/>
  <c r="EP547" i="1"/>
  <c r="EP305" i="1"/>
  <c r="EP970" i="1"/>
  <c r="EP882" i="1"/>
  <c r="EP917" i="1"/>
  <c r="EP58" i="1"/>
  <c r="EP201" i="1"/>
  <c r="EP556" i="1"/>
  <c r="EP307" i="1"/>
  <c r="EP592" i="1"/>
  <c r="EP561" i="1"/>
  <c r="EP926" i="1"/>
  <c r="EP214" i="1"/>
  <c r="EP667" i="1"/>
  <c r="EP696" i="1"/>
  <c r="EP266" i="1"/>
  <c r="EP449" i="1"/>
  <c r="EP769" i="1"/>
  <c r="EP978" i="1"/>
  <c r="EP969" i="1"/>
  <c r="EP135" i="1"/>
  <c r="EP652" i="1"/>
  <c r="EP311" i="1"/>
  <c r="EP932" i="1"/>
  <c r="EP692" i="1"/>
  <c r="EP806" i="1"/>
  <c r="EP948" i="1"/>
  <c r="EP549" i="1"/>
  <c r="EP749" i="1"/>
  <c r="EP585" i="1"/>
  <c r="EP979" i="1"/>
  <c r="EP863" i="1"/>
  <c r="EP672" i="1"/>
  <c r="EP834" i="1"/>
  <c r="EP676" i="1"/>
  <c r="EP352" i="1"/>
  <c r="EP680" i="1"/>
  <c r="EP442" i="1"/>
  <c r="EP32" i="1"/>
  <c r="EP867" i="1"/>
  <c r="EP982" i="1"/>
  <c r="EP93" i="1"/>
  <c r="EP447" i="1"/>
  <c r="EP913" i="1"/>
  <c r="EP557" i="1"/>
  <c r="EP267" i="1"/>
  <c r="EP875" i="1"/>
  <c r="EP528" i="1"/>
  <c r="EP192" i="1"/>
  <c r="EP1015" i="1"/>
  <c r="EP334" i="1"/>
  <c r="EP753" i="1"/>
  <c r="EP319" i="1"/>
  <c r="EP220" i="1"/>
  <c r="EP579" i="1"/>
  <c r="EP324" i="1"/>
  <c r="EP27" i="1"/>
  <c r="EP306" i="1"/>
  <c r="EP812" i="1"/>
  <c r="EP854" i="1"/>
  <c r="EP360" i="1"/>
  <c r="EP95" i="1"/>
  <c r="EP616" i="1"/>
  <c r="EP738" i="1"/>
  <c r="EP571" i="1"/>
  <c r="EP543" i="1"/>
  <c r="EP586" i="1"/>
  <c r="EP396" i="1"/>
  <c r="EP331" i="1"/>
  <c r="EP350" i="1"/>
  <c r="EP664" i="1"/>
  <c r="EP355" i="1"/>
  <c r="EP659" i="1"/>
  <c r="EP686" i="1"/>
  <c r="EP36" i="1"/>
  <c r="EP750" i="1"/>
  <c r="EP368" i="1"/>
  <c r="EP42" i="1"/>
  <c r="EP393" i="1"/>
  <c r="EP444" i="1"/>
  <c r="EP340" i="1"/>
  <c r="EP1004" i="1"/>
  <c r="EP390" i="1"/>
  <c r="EP344" i="1"/>
  <c r="EP398" i="1"/>
  <c r="EP342" i="1"/>
  <c r="EP670" i="1"/>
  <c r="EP995" i="1"/>
  <c r="EP908" i="1"/>
  <c r="EP385" i="1"/>
  <c r="EP1006" i="1"/>
  <c r="EP204" i="1"/>
  <c r="EP365" i="1"/>
  <c r="EP697" i="1"/>
  <c r="EP391" i="1"/>
  <c r="EP600" i="1"/>
  <c r="EP1024" i="1"/>
  <c r="EP345" i="1"/>
  <c r="EP912" i="1"/>
  <c r="EP997" i="1"/>
  <c r="EP530" i="1"/>
  <c r="EP83" i="1"/>
  <c r="EP268" i="1"/>
  <c r="EP37" i="1"/>
  <c r="EP791" i="1"/>
  <c r="EP28" i="1"/>
  <c r="EP595" i="1"/>
  <c r="EP361" i="1"/>
  <c r="EP998" i="1"/>
  <c r="EP1009" i="1"/>
  <c r="EP399" i="1"/>
  <c r="EP443" i="1"/>
  <c r="EP766" i="1"/>
  <c r="EP898" i="1"/>
  <c r="EP397" i="1"/>
  <c r="EP439" i="1"/>
  <c r="EP1023" i="1"/>
  <c r="EP335" i="1"/>
  <c r="EP336" i="1"/>
  <c r="EP356" i="1"/>
  <c r="EP888" i="1"/>
  <c r="EP1005" i="1"/>
  <c r="EP339" i="1"/>
  <c r="EP405" i="1"/>
  <c r="EP872" i="1"/>
  <c r="EP126" i="1"/>
  <c r="EP343" i="1"/>
  <c r="EP366" i="1"/>
  <c r="EP445" i="1"/>
  <c r="EP354" i="1"/>
  <c r="EP400" i="1"/>
  <c r="EP327" i="1"/>
  <c r="EP1025" i="1"/>
  <c r="EP763" i="1"/>
  <c r="EP710" i="1"/>
  <c r="EP555" i="1"/>
  <c r="EP55" i="1"/>
  <c r="EP539" i="1"/>
  <c r="EP367" i="1"/>
  <c r="EP370" i="1"/>
  <c r="EP392" i="1"/>
  <c r="EP346" i="1"/>
  <c r="EP362" i="1"/>
  <c r="EP369" i="1"/>
  <c r="EP554" i="1"/>
  <c r="EP364" i="1"/>
  <c r="EP687" i="1"/>
  <c r="EP946" i="1"/>
  <c r="EP817" i="1"/>
  <c r="EP880" i="1"/>
  <c r="EP764" i="1"/>
  <c r="EP752" i="1"/>
  <c r="EP382" i="1"/>
  <c r="EP326" i="1"/>
  <c r="EP75" i="1"/>
  <c r="EP30" i="1"/>
  <c r="EP217" i="1"/>
  <c r="EP353" i="1"/>
  <c r="EP545" i="1"/>
  <c r="EP29" i="1"/>
  <c r="EP755" i="1"/>
  <c r="EP61" i="1"/>
  <c r="EP578" i="1"/>
  <c r="EP43" i="1"/>
  <c r="EP395" i="1"/>
  <c r="EP581" i="1"/>
  <c r="EP394" i="1"/>
  <c r="EP357" i="1"/>
  <c r="EP538" i="1"/>
  <c r="EP532" i="1"/>
  <c r="EP853" i="1"/>
  <c r="EP569" i="1"/>
  <c r="EP351" i="1"/>
  <c r="EP542" i="1"/>
  <c r="EP347" i="1"/>
  <c r="EP1000" i="1"/>
  <c r="EP531" i="1"/>
  <c r="EP657" i="1"/>
  <c r="EP1026" i="1"/>
  <c r="EP348" i="1"/>
  <c r="EP221" i="1"/>
  <c r="EP132" i="1"/>
  <c r="EP906" i="1"/>
  <c r="EP597" i="1"/>
  <c r="EP759" i="1"/>
  <c r="EP33" i="1"/>
  <c r="EP576" i="1"/>
  <c r="EP349" i="1"/>
  <c r="EP330" i="1"/>
  <c r="EP25" i="1"/>
  <c r="EP383" i="1"/>
  <c r="EP1002" i="1"/>
  <c r="EP207" i="1"/>
  <c r="EP337" i="1"/>
  <c r="EP5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tc={003E00CD-00AE-4422-B5D5-00BF00E10024}</author>
    <author>tc={006C007C-002F-4F20-B8B1-006E00A600AE}</author>
    <author>tc={00CC003E-006B-456E-AD65-001D00CB003C}</author>
    <author>tc={00DD0084-00A9-4338-AA26-004000E4002E}</author>
    <author>tc={00AC0038-00B8-45C0-BBCC-00AF0097006C}</author>
    <author>tc={007B00A0-002F-43CD-9B94-007100A60047}</author>
    <author>tc={00DE0036-0060-421B-8E4B-00E500630047}</author>
    <author>tc={00270063-00AA-4C40-B979-000800430066}</author>
    <author>tc={00AF00D7-00AF-449C-A506-0087004900B8}</author>
    <author>tc={009300DF-00F0-4BE1-A6B8-004D00C10054}</author>
    <author>tc={00310097-00E0-42B6-8ECE-003C004300F3}</author>
    <author>tc={007D004A-00C0-4FC5-A256-0094008E002B}</author>
    <author>tc={00D40055-0009-4680-9336-003100D1000A}</author>
    <author>tc={00230028-0053-42FB-BDAD-001D008200CB}</author>
    <author>tc={00B500A3-001F-4CD5-81DB-00EA00A50012}</author>
    <author>tc={00B900A3-0072-4DEA-9694-0064000200B2}</author>
    <author>tc={0075002C-0036-46A9-8935-00F7004B007B}</author>
    <author>tc={00C9003F-005E-40E7-B232-00A8000900CF}</author>
    <author>tc={002A00F8-00EE-440B-BECB-00FB00B700F1}</author>
    <author>tc={0092000D-0020-4C1B-BA18-005400750047}</author>
    <author>tc={008600F3-0054-4A80-A7EC-0089001C001D}</author>
    <author>tc={00610090-003F-472A-83D8-0020006F001E}</author>
    <author>tc={00220046-000C-46DB-B26D-00F3003100C2}</author>
    <author>tc={00D8002E-00D5-44BB-9723-00C8009B0081}</author>
    <author>tc={006700B6-007E-4F2B-A3BA-00CF008B0064}</author>
    <author>tc={001A00E9-0080-4657-AFCA-00F00018005E}</author>
    <author>tc={006900AF-00A0-4BE8-8FD5-005A00DC00B1}</author>
    <author>tc={003E00CE-0033-474C-AD6B-00050077003B}</author>
    <author>tc={00160020-00A7-47B8-8D92-00AF00C900EA}</author>
    <author>tc={00420031-0088-4391-B9DE-009E001000BF}</author>
    <author>tc={00060019-00AA-427D-B9D8-00A100830036}</author>
    <author>tc={0086003F-00DE-4493-A3CC-00FE00A200CA}</author>
    <author>tc={00870009-00FA-465B-9042-0063007B0021}</author>
    <author>tc={006800CB-00A6-4E5E-90CA-005C009D0089}</author>
    <author>tc={00D000CB-0064-4306-8F25-000E00FD0077}</author>
    <author>tc={00C9001F-00BB-43A8-BA7B-007C00CA0006}</author>
    <author>chaste</author>
    <author>tc={00C40065-0007-457C-AB2B-009800900003}</author>
    <author>tc={00110064-0039-4EAB-80D9-0003004B006A}</author>
  </authors>
  <commentList>
    <comment ref="DZ7" authorId="0" shapeId="0" xr:uid="{003E00CD-00AE-4422-B5D5-00BF00E10024}">
      <text>
        <r>
          <rPr>
            <b/>
            <sz val="9"/>
            <rFont val="Tahoma"/>
            <family val="2"/>
          </rPr>
          <t>Microsoft Office User:</t>
        </r>
        <r>
          <rPr>
            <sz val="9"/>
            <rFont val="Tahoma"/>
            <family val="2"/>
          </rPr>
          <t xml:space="preserve">
ie : C-neutrality of wood assumed = 0, C-emissions of wood at eol accounted = 1
</t>
        </r>
      </text>
    </comment>
    <comment ref="EA7" authorId="1" shapeId="0" xr:uid="{006C007C-002F-4F20-B8B1-006E00A600AE}">
      <text>
        <r>
          <rPr>
            <b/>
            <sz val="9"/>
            <rFont val="Tahoma"/>
            <family val="2"/>
          </rPr>
          <t>Microsoft Office User:</t>
        </r>
        <r>
          <rPr>
            <sz val="9"/>
            <rFont val="Tahoma"/>
            <family val="2"/>
          </rPr>
          <t xml:space="preserve">
accounts for avoided emissions,wood reuseor recycling outside of the lifetime of the product itself
</t>
        </r>
      </text>
    </comment>
    <comment ref="EB7" authorId="2" shapeId="0" xr:uid="{00CC003E-006B-456E-AD65-001D00CB003C}">
      <text>
        <r>
          <rPr>
            <b/>
            <sz val="9"/>
            <rFont val="Tahoma"/>
            <family val="2"/>
          </rPr>
          <t>Microsoft Office User:</t>
        </r>
        <r>
          <rPr>
            <sz val="9"/>
            <rFont val="Tahoma"/>
            <family val="2"/>
          </rPr>
          <t xml:space="preserve">
may be accounted for through the use of a displacement factor
</t>
        </r>
      </text>
    </comment>
    <comment ref="AF234" authorId="3" shapeId="0" xr:uid="{FB54EBFB-FB18-8E42-9E29-841BB5EB63AE}">
      <text>
        <r>
          <rPr>
            <b/>
            <sz val="9"/>
            <color rgb="FF000000"/>
            <rFont val="Tahoma"/>
            <family val="2"/>
          </rPr>
          <t>Microsoft Office User:</t>
        </r>
        <r>
          <rPr>
            <sz val="9"/>
            <color rgb="FF000000"/>
            <rFont val="Tahoma"/>
            <family val="2"/>
          </rPr>
          <t xml:space="preserve">
</t>
        </r>
        <r>
          <rPr>
            <sz val="9"/>
            <color rgb="FF000000"/>
            <rFont val="Tahoma"/>
            <family val="2"/>
          </rPr>
          <t xml:space="preserve">to be listed as a secondary driver
</t>
        </r>
      </text>
    </comment>
    <comment ref="AF238" authorId="4" shapeId="0" xr:uid="{350B7A52-B56D-8D4E-97EF-5B8F18ABFC4B}">
      <text>
        <r>
          <rPr>
            <b/>
            <sz val="9"/>
            <color rgb="FF000000"/>
            <rFont val="Tahoma"/>
            <family val="2"/>
          </rPr>
          <t>Microsoft Office User:</t>
        </r>
        <r>
          <rPr>
            <sz val="9"/>
            <color rgb="FF000000"/>
            <rFont val="Tahoma"/>
            <family val="2"/>
          </rPr>
          <t xml:space="preserve">
</t>
        </r>
        <r>
          <rPr>
            <sz val="9"/>
            <color rgb="FF000000"/>
            <rFont val="Tahoma"/>
            <family val="2"/>
          </rPr>
          <t xml:space="preserve">to be listed as a secondary driver
</t>
        </r>
      </text>
    </comment>
    <comment ref="AD325" authorId="5" shapeId="0" xr:uid="{4A04E53A-4C0F-E348-98F2-440C0D199632}">
      <text>
        <r>
          <rPr>
            <b/>
            <sz val="9"/>
            <color rgb="FF000000"/>
            <rFont val="Tahoma"/>
            <family val="2"/>
          </rPr>
          <t>chaste:</t>
        </r>
        <r>
          <rPr>
            <sz val="9"/>
            <color rgb="FF000000"/>
            <rFont val="Tahoma"/>
            <family val="2"/>
          </rPr>
          <t xml:space="preserve">
</t>
        </r>
        <r>
          <rPr>
            <sz val="9"/>
            <color rgb="FF000000"/>
            <rFont val="Tahoma"/>
            <family val="2"/>
          </rPr>
          <t xml:space="preserve">Il y a un scenario de machine manuelle et machine motorisée mais il n'y a pas les résultats pour les deux (partie 2.2.2). C'est un scénario mixte alors je ne sais pas si je dois l'indiquer. 
</t>
        </r>
      </text>
    </comment>
    <comment ref="DD341" authorId="6" shapeId="0" xr:uid="{F1BE51CB-DF14-7A47-8296-589098C9936C}">
      <text>
        <r>
          <rPr>
            <b/>
            <sz val="9"/>
            <rFont val="Tahoma"/>
            <family val="2"/>
          </rPr>
          <t>chaste:</t>
        </r>
        <r>
          <rPr>
            <sz val="9"/>
            <rFont val="Tahoma"/>
            <family val="2"/>
          </rPr>
          <t xml:space="preserve">
Il y a aussi un scenario "Upstream" dont les données émissions sont disponibles mais pas les données Qwood. Fait-on la somme des autres Qwood? 
</t>
        </r>
      </text>
    </comment>
    <comment ref="DO341" authorId="7" shapeId="0" xr:uid="{B951225B-3E3B-414C-9A71-31F3F2495F47}">
      <text>
        <r>
          <rPr>
            <b/>
            <sz val="9"/>
            <rFont val="Tahoma"/>
            <family val="2"/>
          </rPr>
          <t>chaste:</t>
        </r>
        <r>
          <rPr>
            <sz val="9"/>
            <rFont val="Tahoma"/>
            <family val="2"/>
          </rPr>
          <t xml:space="preserve">
They evaluated reductions in carbon emissions by substituting wood for fossil fuels for energy production = scenario "heavy oil". See page 8 of the document: 
"We evaluated reductions in carbon emissions by substituting wood for fossil fuels for energy production. Assuming the displacement of heavy oil, we calculated the substitution amounts (L) of heavy oil by multiplying the energy use amounts (m3) of logging residues; wood residues from processing, construction, and furniture production; and waste wood after use in building and furniture by the specific gravity in absolute dry condition (t/m3) (see Table S-1) and the calorific value of wood (GJ/t) (Kayo et al., 2011). We then divided that product by the calorific value of heavy oil (GJ/L) (Kayo et al.,2011). We estimated reductions of carbon emissions (tC) from heavy oil consumption by multiplying the displaced amounts (L) of heavy oil by the carbon emission intensity (tC/L) for the combustion of heavy oil (Kayo et al., 2011)."
But this scenario is not well explicited in the document with explicit values so this requires some calculations. I put values for this substitution evaluated in the Onglet "Kayo_2014", lines 23 and 45 extracted from Figure 4 and 5.
</t>
        </r>
      </text>
    </comment>
    <comment ref="DV516" authorId="8" shapeId="0" xr:uid="{F718EB6C-E7B4-B34B-B3C9-E35B4EEF29E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16" authorId="9" shapeId="0" xr:uid="{2E2AE627-3AEB-9642-AD8F-157853F379D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16" authorId="10" shapeId="0" xr:uid="{64319D15-4B74-2F40-9A3B-23348EAB12C0}">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16" authorId="11" shapeId="0" xr:uid="{DC9B3706-C053-B247-8072-A4CF66C05D7E}">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B516" authorId="12" shapeId="0" xr:uid="{974E9578-17F8-5D4C-87AB-ED4C98E53F3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L517" authorId="13" shapeId="0" xr:uid="{0F865AF2-9252-4A4C-A7F1-F334D021D28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M517" authorId="14" shapeId="0" xr:uid="{1FE4D9A1-E891-4F44-82D8-F001A519F555}">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N517" authorId="15" shapeId="0" xr:uid="{467C89ED-02B2-4F43-97B9-215DA61F9F7A}">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EB517" authorId="16" shapeId="0" xr:uid="{EC3F197C-1D80-A546-A4D2-D0384C0C03E8}">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EB519" authorId="17" shapeId="0" xr:uid="{2200AFEB-BF77-5640-A285-B0D954FA7F3C}">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Y521" authorId="18" shapeId="0" xr:uid="{E84B2DBD-52B9-504F-B2DD-1DA09A0064A0}">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21" authorId="19" shapeId="0" xr:uid="{41945BA9-3E1F-B949-998B-CC3EA6ED56C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21" authorId="20" shapeId="0" xr:uid="{639E034C-CA48-414B-A1FA-E301ACECF0E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21" authorId="21" shapeId="0" xr:uid="{6AF41656-48C6-4542-8DEC-B6307F95EC39}">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21" authorId="22" shapeId="0" xr:uid="{8E72354E-ADDD-A04F-B286-B0B48ADA4417}">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C521" authorId="23" shapeId="0" xr:uid="{F6E68B72-C645-334A-9EEB-6F9E253DBF80}">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
        </r>
      </text>
    </comment>
    <comment ref="Y522" authorId="24" shapeId="0" xr:uid="{43EEE2DF-4D4C-984C-A638-09FAB6ACD08C}">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22" authorId="25" shapeId="0" xr:uid="{16DB65F4-3006-6446-BDC0-81A6930EEFDC}">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22" authorId="26" shapeId="0" xr:uid="{6D194F2E-3375-E748-ABFD-DCE4D429663B}">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22" authorId="27" shapeId="0" xr:uid="{607D2338-3200-6A40-BB44-68203F1068B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22" authorId="28" shapeId="0" xr:uid="{A0F45041-B503-484D-AB27-30206FA1B256}">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C522" authorId="29" shapeId="0" xr:uid="{34499F9E-7DDD-8D49-8BE1-FB56EEE8913D}">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
        </r>
      </text>
    </comment>
    <comment ref="Y525" authorId="30" shapeId="0" xr:uid="{96210DFB-9397-994B-8D93-5C94AA415278}">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25" authorId="31" shapeId="0" xr:uid="{DBB60EE3-7D5F-2041-92BE-4771D57F633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25" authorId="32" shapeId="0" xr:uid="{2FB3E104-7AAD-EF43-80EE-5826843F27C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25" authorId="33" shapeId="0" xr:uid="{5EB8AFBB-29CD-F047-BF5B-1908B619E65D}">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25" authorId="34" shapeId="0" xr:uid="{7C1D5A00-A473-B142-8F2A-5ADE930E8527}">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C525" authorId="35" shapeId="0" xr:uid="{689C74F9-8834-E147-B4B0-DDEE6B372FB6}">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
        </r>
      </text>
    </comment>
    <comment ref="M571" authorId="36" shapeId="0" xr:uid="{69B93A48-6997-D241-8954-94800DCA6FD1}">
      <text>
        <r>
          <rPr>
            <b/>
            <sz val="9"/>
            <color indexed="81"/>
            <rFont val="Tahoma"/>
            <family val="2"/>
          </rPr>
          <t>chaste:</t>
        </r>
        <r>
          <rPr>
            <sz val="9"/>
            <color indexed="81"/>
            <rFont val="Tahoma"/>
            <family val="2"/>
          </rPr>
          <t xml:space="preserve">
Hart et al. 2021
</t>
        </r>
      </text>
    </comment>
    <comment ref="M578" authorId="36" shapeId="0" xr:uid="{06145A6D-B521-2542-8478-AB9FDF316FB0}">
      <text>
        <r>
          <rPr>
            <b/>
            <sz val="9"/>
            <color rgb="FF000000"/>
            <rFont val="Tahoma"/>
            <family val="2"/>
          </rPr>
          <t>chaste:</t>
        </r>
        <r>
          <rPr>
            <sz val="9"/>
            <color rgb="FF000000"/>
            <rFont val="Tahoma"/>
            <family val="2"/>
          </rPr>
          <t xml:space="preserve">
</t>
        </r>
        <r>
          <rPr>
            <sz val="9"/>
            <color rgb="FF000000"/>
            <rFont val="Tahoma"/>
            <family val="2"/>
          </rPr>
          <t xml:space="preserve">Hart et al. 2021
</t>
        </r>
      </text>
    </comment>
    <comment ref="M581" authorId="36" shapeId="0" xr:uid="{F74891BB-053E-4B48-B2E8-52085E3D4752}">
      <text>
        <r>
          <rPr>
            <b/>
            <sz val="9"/>
            <color indexed="81"/>
            <rFont val="Tahoma"/>
            <family val="2"/>
          </rPr>
          <t>chaste:</t>
        </r>
        <r>
          <rPr>
            <sz val="9"/>
            <color indexed="81"/>
            <rFont val="Tahoma"/>
            <family val="2"/>
          </rPr>
          <t xml:space="preserve">
Hart et al. 2021
</t>
        </r>
      </text>
    </comment>
    <comment ref="M586" authorId="36" shapeId="0" xr:uid="{4C613D94-861A-6347-9A2E-669B54D9EEDE}">
      <text>
        <r>
          <rPr>
            <b/>
            <sz val="9"/>
            <color indexed="81"/>
            <rFont val="Tahoma"/>
            <family val="2"/>
          </rPr>
          <t>chaste:</t>
        </r>
        <r>
          <rPr>
            <sz val="9"/>
            <color indexed="81"/>
            <rFont val="Tahoma"/>
            <family val="2"/>
          </rPr>
          <t xml:space="preserve">
Hart et al. 2021
</t>
        </r>
      </text>
    </comment>
    <comment ref="M597" authorId="36" shapeId="0" xr:uid="{719EBEDA-408A-C84A-9E8C-530416D02A72}">
      <text>
        <r>
          <rPr>
            <b/>
            <sz val="9"/>
            <color rgb="FF000000"/>
            <rFont val="Tahoma"/>
            <family val="2"/>
          </rPr>
          <t>chaste:</t>
        </r>
        <r>
          <rPr>
            <sz val="9"/>
            <color rgb="FF000000"/>
            <rFont val="Tahoma"/>
            <family val="2"/>
          </rPr>
          <t xml:space="preserve">
</t>
        </r>
        <r>
          <rPr>
            <sz val="9"/>
            <color rgb="FF000000"/>
            <rFont val="Tahoma"/>
            <family val="2"/>
          </rPr>
          <t xml:space="preserve">Hart et al. 2021
</t>
        </r>
      </text>
    </comment>
    <comment ref="M600" authorId="36" shapeId="0" xr:uid="{BBCAF236-4D94-6341-B79B-D6DD451CEFF9}">
      <text>
        <r>
          <rPr>
            <b/>
            <sz val="9"/>
            <color indexed="81"/>
            <rFont val="Tahoma"/>
            <family val="2"/>
          </rPr>
          <t>chaste:</t>
        </r>
        <r>
          <rPr>
            <sz val="9"/>
            <color indexed="81"/>
            <rFont val="Tahoma"/>
            <family val="2"/>
          </rPr>
          <t xml:space="preserve">
Hart et al. 2021
</t>
        </r>
      </text>
    </comment>
    <comment ref="EB836" authorId="37" shapeId="0" xr:uid="{997ECA5B-C222-BB45-B6FC-3B3B366C43FD}">
      <text>
        <r>
          <rPr>
            <b/>
            <sz val="9"/>
            <color rgb="FF000000"/>
            <rFont val="Tahoma"/>
            <family val="2"/>
          </rPr>
          <t>chaste:</t>
        </r>
        <r>
          <rPr>
            <sz val="9"/>
            <color rgb="FF000000"/>
            <rFont val="Tahoma"/>
            <family val="2"/>
          </rPr>
          <t xml:space="preserve">
</t>
        </r>
        <r>
          <rPr>
            <sz val="9"/>
            <color rgb="FF000000"/>
            <rFont val="Tahoma"/>
            <family val="2"/>
          </rPr>
          <t xml:space="preserve">The scope of this study includes forest growth and cultivation, collection and processing of wood products and by-products, densification (chipping and bundling) and combustion in bioenergy facility to generate electricity.
</t>
        </r>
        <r>
          <rPr>
            <sz val="9"/>
            <color rgb="FF000000"/>
            <rFont val="Tahoma"/>
            <family val="2"/>
          </rPr>
          <t xml:space="preserve">
</t>
        </r>
        <r>
          <rPr>
            <sz val="9"/>
            <color rgb="FF000000"/>
            <rFont val="Tahoma"/>
            <family val="2"/>
          </rPr>
          <t xml:space="preserve">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
        </r>
      </text>
    </comment>
    <comment ref="EC836" authorId="38" shapeId="0" xr:uid="{3F3D22F8-4CCA-754A-82A5-1532980C6CB1}">
      <text>
        <r>
          <rPr>
            <b/>
            <sz val="9"/>
            <color rgb="FF000000"/>
            <rFont val="Tahoma"/>
            <family val="2"/>
          </rPr>
          <t>chaste:</t>
        </r>
        <r>
          <rPr>
            <sz val="9"/>
            <color rgb="FF000000"/>
            <rFont val="Tahoma"/>
            <family val="2"/>
          </rPr>
          <t xml:space="preserve">
</t>
        </r>
        <r>
          <rPr>
            <sz val="9"/>
            <color rgb="FF000000"/>
            <rFont val="Tahoma"/>
            <family val="2"/>
          </rPr>
          <t xml:space="preserve">The scope of this study includes forest growth and cultivation, collection and processing of wood products and by-products, densification (chipping and bundling) and combustion in bioenergy facility to generate electricity.
</t>
        </r>
        <r>
          <rPr>
            <sz val="9"/>
            <color rgb="FF000000"/>
            <rFont val="Tahoma"/>
            <family val="2"/>
          </rPr>
          <t xml:space="preserve">
</t>
        </r>
        <r>
          <rPr>
            <sz val="9"/>
            <color rgb="FF000000"/>
            <rFont val="Tahoma"/>
            <family val="2"/>
          </rPr>
          <t xml:space="preserve">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
        </r>
      </text>
    </comment>
    <comment ref="V1379" authorId="36" shapeId="0" xr:uid="{094E432B-4279-EE41-8132-4D56BBB5E2F6}">
      <text>
        <r>
          <rPr>
            <b/>
            <sz val="9"/>
            <color indexed="81"/>
            <rFont val="Tahoma"/>
            <family val="2"/>
          </rPr>
          <t>chaste:</t>
        </r>
        <r>
          <rPr>
            <sz val="9"/>
            <color indexed="81"/>
            <rFont val="Tahoma"/>
            <family val="2"/>
          </rPr>
          <t xml:space="preserve">
J'ai mis oui ici car entre </t>
        </r>
      </text>
    </comment>
    <comment ref="DX1379" authorId="36" shapeId="0" xr:uid="{A90F69F3-4736-9E4D-9FC1-EB2960DBEA22}">
      <text>
        <r>
          <rPr>
            <b/>
            <sz val="9"/>
            <color indexed="81"/>
            <rFont val="Tahoma"/>
            <family val="2"/>
          </rPr>
          <t>chaste:</t>
        </r>
        <r>
          <rPr>
            <sz val="9"/>
            <color indexed="81"/>
            <rFont val="Tahoma"/>
            <family val="2"/>
          </rPr>
          <t xml:space="preserve">
Juste aboveground
</t>
        </r>
      </text>
    </comment>
    <comment ref="DX1380" authorId="36" shapeId="0" xr:uid="{0F6171C5-347C-F84B-8F47-2AC118ADB7AF}">
      <text>
        <r>
          <rPr>
            <b/>
            <sz val="9"/>
            <color indexed="81"/>
            <rFont val="Tahoma"/>
            <family val="2"/>
          </rPr>
          <t>chaste:</t>
        </r>
        <r>
          <rPr>
            <sz val="9"/>
            <color indexed="81"/>
            <rFont val="Tahoma"/>
            <family val="2"/>
          </rPr>
          <t xml:space="preserve">
Juste aboveground
</t>
        </r>
      </text>
    </comment>
    <comment ref="DX1381" authorId="36" shapeId="0" xr:uid="{0D793A3D-65F8-2B4B-8B4E-DD5F90260139}">
      <text>
        <r>
          <rPr>
            <b/>
            <sz val="9"/>
            <color indexed="81"/>
            <rFont val="Tahoma"/>
            <family val="2"/>
          </rPr>
          <t>chaste:</t>
        </r>
        <r>
          <rPr>
            <sz val="9"/>
            <color indexed="81"/>
            <rFont val="Tahoma"/>
            <family val="2"/>
          </rPr>
          <t xml:space="preserve">
Juste aboveground
</t>
        </r>
      </text>
    </comment>
    <comment ref="DX1382" authorId="36" shapeId="0" xr:uid="{BDE62D52-9738-224D-BE63-B46449FAD4AB}">
      <text>
        <r>
          <rPr>
            <b/>
            <sz val="9"/>
            <color indexed="81"/>
            <rFont val="Tahoma"/>
            <family val="2"/>
          </rPr>
          <t>chaste:</t>
        </r>
        <r>
          <rPr>
            <sz val="9"/>
            <color indexed="81"/>
            <rFont val="Tahoma"/>
            <family val="2"/>
          </rPr>
          <t xml:space="preserve">
Juste aboveground
</t>
        </r>
      </text>
    </comment>
    <comment ref="V1383" authorId="36" shapeId="0" xr:uid="{2BAA0295-E32B-0B49-815B-676787AB5DE4}">
      <text>
        <r>
          <rPr>
            <b/>
            <sz val="9"/>
            <color indexed="81"/>
            <rFont val="Tahoma"/>
            <family val="2"/>
          </rPr>
          <t>chaste:</t>
        </r>
        <r>
          <rPr>
            <sz val="9"/>
            <color indexed="81"/>
            <rFont val="Tahoma"/>
            <family val="2"/>
          </rPr>
          <t xml:space="preserve">
j'ai mis oui dans ce cas là car entre les deux pays ce qui change c'est les importations de bois et donc ce qui est extrait sur place
</t>
        </r>
      </text>
    </comment>
    <comment ref="DX1383" authorId="36" shapeId="0" xr:uid="{9EDE7275-374A-3E43-B5DB-5F2E45E4739A}">
      <text>
        <r>
          <rPr>
            <b/>
            <sz val="9"/>
            <color indexed="81"/>
            <rFont val="Tahoma"/>
            <family val="2"/>
          </rPr>
          <t>chaste:</t>
        </r>
        <r>
          <rPr>
            <sz val="9"/>
            <color indexed="81"/>
            <rFont val="Tahoma"/>
            <family val="2"/>
          </rPr>
          <t xml:space="preserve">
Juste aboveground
</t>
        </r>
      </text>
    </comment>
    <comment ref="DX1384" authorId="36" shapeId="0" xr:uid="{14ADC146-299B-0B42-A219-3302F84F2C0C}">
      <text>
        <r>
          <rPr>
            <b/>
            <sz val="9"/>
            <color indexed="81"/>
            <rFont val="Tahoma"/>
            <family val="2"/>
          </rPr>
          <t>chaste:</t>
        </r>
        <r>
          <rPr>
            <sz val="9"/>
            <color indexed="81"/>
            <rFont val="Tahoma"/>
            <family val="2"/>
          </rPr>
          <t xml:space="preserve">
Juste aboveground
</t>
        </r>
      </text>
    </comment>
    <comment ref="DX1385" authorId="36" shapeId="0" xr:uid="{CAD0DF23-021E-BA42-888D-F5B0488988D4}">
      <text>
        <r>
          <rPr>
            <b/>
            <sz val="9"/>
            <color indexed="81"/>
            <rFont val="Tahoma"/>
            <family val="2"/>
          </rPr>
          <t>chaste:</t>
        </r>
        <r>
          <rPr>
            <sz val="9"/>
            <color indexed="81"/>
            <rFont val="Tahoma"/>
            <family val="2"/>
          </rPr>
          <t xml:space="preserve">
Juste aboveground
</t>
        </r>
      </text>
    </comment>
    <comment ref="DX1386" authorId="36" shapeId="0" xr:uid="{9B0A3C64-F041-0C43-95A4-38CCC5BEC1D0}">
      <text>
        <r>
          <rPr>
            <b/>
            <sz val="9"/>
            <color indexed="81"/>
            <rFont val="Tahoma"/>
            <family val="2"/>
          </rPr>
          <t>chaste:</t>
        </r>
        <r>
          <rPr>
            <sz val="9"/>
            <color indexed="81"/>
            <rFont val="Tahoma"/>
            <family val="2"/>
          </rPr>
          <t xml:space="preserve">
Juste aboveground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tc={00B60088-0080-489A-8313-00FA007800FE}</author>
  </authors>
  <commentList>
    <comment ref="E2" authorId="0" shapeId="0" xr:uid="{00B60088-0080-489A-8313-00FA007800FE}">
      <text>
        <r>
          <rPr>
            <b/>
            <sz val="9"/>
            <rFont val="Tahoma"/>
            <family val="2"/>
          </rPr>
          <t>vbellassen:</t>
        </r>
        <r>
          <rPr>
            <sz val="9"/>
            <rFont val="Tahoma"/>
            <family val="2"/>
          </rPr>
          <t xml:space="preserve">
400 pour du résineux mais pour du feuillu on est plutôt à 580. Moyenne des deux ?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<sst xmlns="http://schemas.openxmlformats.org/spreadsheetml/2006/main" count="44468" uniqueCount="5206">
  <si>
    <t>Metadata</t>
  </si>
  <si>
    <t>Protocol</t>
  </si>
  <si>
    <t>Drivers</t>
  </si>
  <si>
    <t>Outcomes</t>
  </si>
  <si>
    <t>Model</t>
  </si>
  <si>
    <t>Paper description</t>
  </si>
  <si>
    <t>Extraction</t>
  </si>
  <si>
    <t>Post-extraction</t>
  </si>
  <si>
    <t>Extraction round</t>
  </si>
  <si>
    <t>Driver</t>
  </si>
  <si>
    <t>Change in practices</t>
  </si>
  <si>
    <t>Environmental change</t>
  </si>
  <si>
    <t>QC</t>
  </si>
  <si>
    <t>Carbon_outcome</t>
  </si>
  <si>
    <t>Non_c_outcomes</t>
  </si>
  <si>
    <t>DataCorrection</t>
  </si>
  <si>
    <t>Context definition</t>
  </si>
  <si>
    <t>Processes</t>
  </si>
  <si>
    <t>ProcessesDetails</t>
  </si>
  <si>
    <t>#CAACCB</t>
  </si>
  <si>
    <t>#994F93</t>
  </si>
  <si>
    <t>#77777</t>
  </si>
  <si>
    <t>#90C987</t>
  </si>
  <si>
    <t>#90C988</t>
  </si>
  <si>
    <t>#90C989</t>
  </si>
  <si>
    <t>#90C990</t>
  </si>
  <si>
    <t>#90C991</t>
  </si>
  <si>
    <t>Publication</t>
  </si>
  <si>
    <t>Topic</t>
  </si>
  <si>
    <t>Authors</t>
  </si>
  <si>
    <t>Journal</t>
  </si>
  <si>
    <t>Exclusion</t>
  </si>
  <si>
    <t>Full revision</t>
  </si>
  <si>
    <t>Revision</t>
  </si>
  <si>
    <t>driver description</t>
  </si>
  <si>
    <t>Supply chain</t>
  </si>
  <si>
    <t>Technology</t>
  </si>
  <si>
    <t>Demand</t>
  </si>
  <si>
    <t>All</t>
  </si>
  <si>
    <t>AllEnvir</t>
  </si>
  <si>
    <t>MainDriver</t>
  </si>
  <si>
    <t>Wood amount</t>
  </si>
  <si>
    <t>Cumulated C balance</t>
  </si>
  <si>
    <t>Substitution coefficient</t>
  </si>
  <si>
    <t>LCAOutcomes</t>
  </si>
  <si>
    <t>biogeochemicalOutcomes</t>
  </si>
  <si>
    <t>biophysicalOutcomes</t>
  </si>
  <si>
    <t>ecologicalOutcomes</t>
  </si>
  <si>
    <t>economicalOutcomes</t>
  </si>
  <si>
    <t>Location</t>
  </si>
  <si>
    <t>Time period</t>
  </si>
  <si>
    <t>Wood affected by driver change</t>
  </si>
  <si>
    <t>Sector scale</t>
  </si>
  <si>
    <t>SubstitutionShortcut</t>
  </si>
  <si>
    <t>C fluxes</t>
  </si>
  <si>
    <t>Dynamics</t>
  </si>
  <si>
    <t>DriverCheck</t>
  </si>
  <si>
    <t>#D9CCE3</t>
  </si>
  <si>
    <t>#BA8DB4</t>
  </si>
  <si>
    <t>#994F88</t>
  </si>
  <si>
    <t>#882E72</t>
  </si>
  <si>
    <t>#CAE0AB</t>
  </si>
  <si>
    <t>#4EB265</t>
  </si>
  <si>
    <t>Biogenic in-situ C</t>
  </si>
  <si>
    <t>Biogenic ex-situ C</t>
  </si>
  <si>
    <t>Fossil in-situ</t>
  </si>
  <si>
    <t>Fossil ex-situ</t>
  </si>
  <si>
    <t>C dynamics</t>
  </si>
  <si>
    <t>Market-based feedbacks</t>
  </si>
  <si>
    <t>QCv7</t>
  </si>
  <si>
    <t>Source Title</t>
  </si>
  <si>
    <t>Author Keywords</t>
  </si>
  <si>
    <t>Keywords Plus</t>
  </si>
  <si>
    <t>Article_Title</t>
  </si>
  <si>
    <t>Abstract</t>
  </si>
  <si>
    <t>Journal_ISO_Abbreviation</t>
  </si>
  <si>
    <t>Document type</t>
  </si>
  <si>
    <t>Publication_Year</t>
  </si>
  <si>
    <t>Times_cited</t>
  </si>
  <si>
    <t>DOI</t>
  </si>
  <si>
    <t>multipaper_index</t>
  </si>
  <si>
    <t>PaperID</t>
  </si>
  <si>
    <t>Reviewer</t>
  </si>
  <si>
    <t>Reviewer2</t>
  </si>
  <si>
    <t>ReviewerQCv7</t>
  </si>
  <si>
    <t>driver definition</t>
  </si>
  <si>
    <t>name_ref</t>
  </si>
  <si>
    <t>name_alternative</t>
  </si>
  <si>
    <t>area subject to harvest</t>
  </si>
  <si>
    <t>unspecified harvest increase</t>
  </si>
  <si>
    <t>rotation length</t>
  </si>
  <si>
    <t xml:space="preserve">cutting intensity </t>
  </si>
  <si>
    <t>species</t>
  </si>
  <si>
    <t>plantation density</t>
  </si>
  <si>
    <t>fertilisation</t>
  </si>
  <si>
    <t>site fertility</t>
  </si>
  <si>
    <t>harvesting system</t>
  </si>
  <si>
    <t>location of industry</t>
  </si>
  <si>
    <t>supply chain organization</t>
  </si>
  <si>
    <t>recycling</t>
  </si>
  <si>
    <t xml:space="preserve">end of life disposal </t>
  </si>
  <si>
    <t>products lifespan</t>
  </si>
  <si>
    <t>efficiency improvement</t>
  </si>
  <si>
    <t>technologies/design switch</t>
  </si>
  <si>
    <t>CCS</t>
  </si>
  <si>
    <t>Water table</t>
  </si>
  <si>
    <t>Temperature</t>
  </si>
  <si>
    <t>rainfall</t>
  </si>
  <si>
    <t>CO2 fertilization</t>
  </si>
  <si>
    <t>disturbance</t>
  </si>
  <si>
    <t>N deposition</t>
  </si>
  <si>
    <t>Unspecified policy</t>
  </si>
  <si>
    <t>gdp, population</t>
  </si>
  <si>
    <t>Exogenous wood price</t>
  </si>
  <si>
    <t>Exogenous C price</t>
  </si>
  <si>
    <t>exogenous land use change</t>
  </si>
  <si>
    <t>driverCheck</t>
  </si>
  <si>
    <t>PracticesCheck</t>
  </si>
  <si>
    <t>Nsilvicuture</t>
  </si>
  <si>
    <t>Nsupplychain</t>
  </si>
  <si>
    <t>Ntechnology</t>
  </si>
  <si>
    <t>Ndemand</t>
  </si>
  <si>
    <t>Nenvir</t>
  </si>
  <si>
    <t>driver1</t>
  </si>
  <si>
    <t>driver1Cat</t>
  </si>
  <si>
    <t>Qwood_stageInput</t>
  </si>
  <si>
    <t>Qwood_varInput</t>
  </si>
  <si>
    <t>QwoodInPublication</t>
  </si>
  <si>
    <t>Qwood_unitInput</t>
  </si>
  <si>
    <t>Qwood_refInput</t>
  </si>
  <si>
    <t>Qwood_alternativeInput</t>
  </si>
  <si>
    <t>Qwood_ratioInput</t>
  </si>
  <si>
    <t>Qwood_deltaInput</t>
  </si>
  <si>
    <t>Qwood_delta_m3woodInput</t>
  </si>
  <si>
    <t>C_signInput</t>
  </si>
  <si>
    <t>CInPublication</t>
  </si>
  <si>
    <t>C_unitInput</t>
  </si>
  <si>
    <t>C_refInput</t>
  </si>
  <si>
    <t>C_alternativeInput</t>
  </si>
  <si>
    <t>CratioInput</t>
  </si>
  <si>
    <t>CdeltaInput</t>
  </si>
  <si>
    <t>Cdelta_tCO2</t>
  </si>
  <si>
    <t>substitutionInput</t>
  </si>
  <si>
    <t>LCA scores</t>
  </si>
  <si>
    <t>CH4</t>
  </si>
  <si>
    <t>CO</t>
  </si>
  <si>
    <t>N2O</t>
  </si>
  <si>
    <t>Nox</t>
  </si>
  <si>
    <t>Sox</t>
  </si>
  <si>
    <t>VOC</t>
  </si>
  <si>
    <t>Climate</t>
  </si>
  <si>
    <t>albedo</t>
  </si>
  <si>
    <t>water quantity</t>
  </si>
  <si>
    <t>water quality</t>
  </si>
  <si>
    <t>erosion</t>
  </si>
  <si>
    <t>biodiversity</t>
  </si>
  <si>
    <t>price/economic welfare/social cost</t>
  </si>
  <si>
    <t>Ref_check</t>
  </si>
  <si>
    <t>Qwood_ref</t>
  </si>
  <si>
    <t>Qwood_alternative</t>
  </si>
  <si>
    <t>Qwood_delta_m3wood</t>
  </si>
  <si>
    <t>C_ref</t>
  </si>
  <si>
    <t>C_alternative</t>
  </si>
  <si>
    <t>substitution</t>
  </si>
  <si>
    <t>Cratio</t>
  </si>
  <si>
    <t>scale</t>
  </si>
  <si>
    <t>scaleAgg</t>
  </si>
  <si>
    <t>country</t>
  </si>
  <si>
    <t>time_start</t>
  </si>
  <si>
    <t>time_end</t>
  </si>
  <si>
    <t>time_length</t>
  </si>
  <si>
    <t>time_horizon</t>
  </si>
  <si>
    <t>UpstreamInput</t>
  </si>
  <si>
    <t>EnergyInput</t>
  </si>
  <si>
    <t>PulpPaperInput</t>
  </si>
  <si>
    <t>TimberInput</t>
  </si>
  <si>
    <t>economy_sector</t>
  </si>
  <si>
    <t>productsCheck</t>
  </si>
  <si>
    <t>singleProduct</t>
  </si>
  <si>
    <t>Upstream</t>
  </si>
  <si>
    <t>Energy</t>
  </si>
  <si>
    <t>Pulp/Paper</t>
  </si>
  <si>
    <t>Timber</t>
  </si>
  <si>
    <t>self-calculated DF</t>
  </si>
  <si>
    <t>displacement factor used</t>
  </si>
  <si>
    <t>energy DF origin</t>
  </si>
  <si>
    <t>material DF origin</t>
  </si>
  <si>
    <t>overall DF origin</t>
  </si>
  <si>
    <t>substitutionDFCheck</t>
  </si>
  <si>
    <t>substitution_shortcut</t>
  </si>
  <si>
    <t>soilC</t>
  </si>
  <si>
    <t>harv_residues</t>
  </si>
  <si>
    <t>live_biomass_C</t>
  </si>
  <si>
    <t>products_storage_C</t>
  </si>
  <si>
    <t>eol_biogenic</t>
  </si>
  <si>
    <t>off_product_biogenic</t>
  </si>
  <si>
    <t>forestry_emiss</t>
  </si>
  <si>
    <t>manufacturing_emiss</t>
  </si>
  <si>
    <t>maintenance_emiss</t>
  </si>
  <si>
    <t>eol_fossil_emiss</t>
  </si>
  <si>
    <t>biogenic_dyn</t>
  </si>
  <si>
    <t>fossil_dyn</t>
  </si>
  <si>
    <t>LUC_dyn</t>
  </si>
  <si>
    <t>rebound_dyn</t>
  </si>
  <si>
    <t>Publication quality</t>
  </si>
  <si>
    <t>modelApproach</t>
  </si>
  <si>
    <t>ecosystem aproach</t>
  </si>
  <si>
    <t>technology approach</t>
  </si>
  <si>
    <t>Comment</t>
  </si>
  <si>
    <t>Check exclusion</t>
  </si>
  <si>
    <t>Outlier?</t>
  </si>
  <si>
    <t>Check outlier</t>
  </si>
  <si>
    <t>Check_AV</t>
  </si>
  <si>
    <t>CheckSL</t>
  </si>
  <si>
    <t>EUROPEAN JOURNAL OF FOREST RESEARCH</t>
  </si>
  <si>
    <t>Ecosystem model; Emission calculation; Energy wood production; Management; Boreal ecosystem</t>
  </si>
  <si>
    <t>GREENHOUSE-GAS EMISSIONS; NORWAY SPRUCE STANDS; SCOTS PINE; CARBON SEQUESTRATION; CLIMATE-CHANGE; SIMULATION-MODEL; ROTATION LENGTH; BIOMASS ENERGY; FOREST BIOMASS; GROWTH</t>
  </si>
  <si>
    <t>Alam, A; Kilpelainen, A; Kellomaki, S</t>
  </si>
  <si>
    <t>Impacts of initial stand density and thinning regimes on energy wood production and management-related CO2 emissions in boreal ecosystems</t>
  </si>
  <si>
    <t>An ecosystem model (Sima) was utilised to investigate the impact of forest management (by changing both the initial stand density and basal area thinning thresholds from current recommendations) on energy wood production (at energy wood thinning and final felling) and management-related carbon dioxide (CO2) emissions for the energy wood production in Finnish boreal conditions (62A degrees 39' N, 29A degrees 37' E). The simultaneous effects of energy wood, timber and C stocks in the forest ecosystem (live and dead biomass) were also assessed. The analyses were carried out at stand level during a rotation period of 80 years for Scots pine (Pinus sylvestris L.) and Norway spruce (Picea abies L. Karst.) growing in different fertility sites. Generally, the results showed that decreased basal area thinning thresholds, compared with current thinning, reduced energy wood (logging residues) and timber production, as well as carbon stocks in the forest ecosystem. Conversely, increased thinning thresholds increased energy wood production (ca. 1-27%) at both energy wood thinning and final felling and reduced CO2 emissions (ca. 2-6%) related to the production chain (e.g. management operations), depending on the thinning threshold levels, initial stand density, species and site. Increased thinning thresholds also enhanced timber production and carbon stocks in the forest ecosystem. Additionally, increased initial stand density enhanced energy wood production for energy wood thinning for both species, but this reduced energy wood production at final felling for Scots pine and Norway spruce. This study concluded that increases in both initial stand density and thinning thresholds, compared with the current level, could be useful in energy wood, timber and carbon stocks enhancement, as well as reducing management-related CO2 emissions for energy wood production. Only 2.4-3.3% of input of the produced energy (energy wood) was required during the whole production chain, depending on the management regime, species and sites. However, a comprehensive substitution analysis of wood-based energy, in respect to environmental benefits, would also require the inclusion of CO2 emissions related to ecosystem processes (e.g. decomposition).</t>
  </si>
  <si>
    <t>Eur. J. For. Res.</t>
  </si>
  <si>
    <t>10.1007/s10342-011-0539-8</t>
  </si>
  <si>
    <t>included</t>
  </si>
  <si>
    <t>AV</t>
  </si>
  <si>
    <t>v4</t>
  </si>
  <si>
    <t>SL</t>
  </si>
  <si>
    <t>thinning</t>
  </si>
  <si>
    <t>M1</t>
  </si>
  <si>
    <t>Cu</t>
  </si>
  <si>
    <t>HWP</t>
  </si>
  <si>
    <t>energy wood production</t>
  </si>
  <si>
    <t>Mg.ha-1</t>
  </si>
  <si>
    <t>Sequestration positive</t>
  </si>
  <si>
    <t>kgCO2.MWh-1</t>
  </si>
  <si>
    <t>std</t>
  </si>
  <si>
    <t>Finland</t>
  </si>
  <si>
    <t>wood and C estimates do not have the same functional unit (ha or MWh) so no substitution can be calculated</t>
  </si>
  <si>
    <t>M3</t>
  </si>
  <si>
    <t>M4</t>
  </si>
  <si>
    <t>M6</t>
  </si>
  <si>
    <t>initial stand density</t>
  </si>
  <si>
    <t>site</t>
  </si>
  <si>
    <t>Myrtillus</t>
  </si>
  <si>
    <t>Oxalis-Myrtillus</t>
  </si>
  <si>
    <t>Vaccinium</t>
  </si>
  <si>
    <t>scots pine</t>
  </si>
  <si>
    <t>norway spruce</t>
  </si>
  <si>
    <t>ENERGY AND BUILDINGS</t>
  </si>
  <si>
    <t>Life Cycle Assessment; Buildings; Biogenic carbon; Cross laminated timber; Forest transformation</t>
  </si>
  <si>
    <t>TEMPORARY-STORAGE; IMPACT ASSESSMENT; LCA; CONSTRUCTION; ENERGY; CHALLENGES; EMISSIONS; END</t>
  </si>
  <si>
    <t>Andersen, JH; Rasmussen, NL; Ryberg, MW</t>
  </si>
  <si>
    <t>Comparative life cycle assessment of cross laminated timber building and concrete building with special focus on biogenic carbon</t>
  </si>
  <si>
    <t>This study conducted a consequential Life Cycle Assessment (LCA) on two similar mid-rise apartment buildings applying either concrete or cross laminated timber (CLT) as the main structural material. The study further investigated inclusion of biogenic carbon and how this affects environmental impacts related to Global warming. Thus, two assessment scenarios were applied: A Base scenario, without accounting for biogenic carbon and a Biogenic carbon scenario that include a GWPbio factor to account for the use of biogenic carbon. The CLT building had the lowest impact score in 11 of 18 impact categories including Global warming. Operational energy use was the main contributor to the total impact with some variation across impact scores, but closely followed by impacts embodied in materials (incl. End-of-Life). An evaluation of the potential forest transformations required for fulfilling future projections for new building construction in 2060 showed that about 3% of current global forest area would be needed. This share was essentially independent of the selected building material as the main driver for forest transformation was found to be energy use during building operation. Thus, focus should primarily be on reducing deforestation related to energy generation rather than deforestation from production of building materials. (C) 2021 The Author(s). Published by Elsevier B.V.</t>
  </si>
  <si>
    <t>Energy Build.</t>
  </si>
  <si>
    <t>Article</t>
  </si>
  <si>
    <t>10.1016/j.enbuild.2021.111604</t>
  </si>
  <si>
    <t>v5</t>
  </si>
  <si>
    <t>construction material</t>
  </si>
  <si>
    <t>concrete</t>
  </si>
  <si>
    <t>CLT</t>
  </si>
  <si>
    <t>wood quantity in building</t>
  </si>
  <si>
    <t>kg/m2</t>
  </si>
  <si>
    <t>kgCO2eq/m2</t>
  </si>
  <si>
    <t>prd</t>
  </si>
  <si>
    <t>Norway</t>
  </si>
  <si>
    <t>SCIENCE OF THE TOTAL ENVIRONMENT</t>
  </si>
  <si>
    <t>Wood products; Carbon storage; Climate mitigation; Dynamic material flow analysis; Dynamic life cycle assessment; Land-use strategies</t>
  </si>
  <si>
    <t>GAS DISPLACEMENT FACTORS; IMPACT ASSESSMENT; FOREST; BIOENERGY; TREE; ENERGY; SUBSTITUTION; RESTORATION; CHALLENGES; PRODUCTS</t>
  </si>
  <si>
    <t>Aryapratama, R; Pauliuk, S</t>
  </si>
  <si>
    <t>Life cycle carbon emissions of different land conversion and woody biomass utilization scenarios in Indonesia</t>
  </si>
  <si>
    <t>Wood-based products can contribute to climate change mitigation by prolonging the storage of carbon in the anthroposphere. In Indonesia, however, many wood-based products originate from unsustainable sources due to widespread land-use changes over the past decades. To reconcile economic development and climate policy, a detailed and comprehensive carbon life cycle assessment is needed, covering biospheric and technospheric woody carbon flows and emissions over time. In this study, we combine dynamic material flow analysis, stock modeling, and life cycle assessment to estimate life cycle carbon emissions over time of wood products from different land conversion types in Indonesia on a hectare (ha) basis. Wood production from clear-cut primary forest conversions to oil palm, secondary forest, and timber plantations lead to net carbon emissions between 1206-1282, 436-449, and 629-958 t-CO2-eq/ha, respectively, at the end of the 200-year time horizon (TH). The counter-use scenarios of using non-renewable materials or energy instead of wood-based products for the same set of scenarios while leaving primary forests untouched display 44-57, 59-88, and 5-48% lower global warming potentials, respectively, at the end of the TH. Wood products from forest plantations on restored degraded land (DL_FP), reduced-impact logging (RIL), and improved reduced-impact logging (RIL-C) of primary forest went beyond carbon neutrality, displaying carbon removal potentials of up to around -218, -378, and -739 t-CO2-eq/ha, respectively, by year 200. At the one ha-scale, our results indicate that keeping primary forests intact is the climate-preferable option, even when emissions from the counter-use of non-renewable materials or energy are factored in, except if RIL is performed. Therefore, wood product utilization would only be favorable from a climate perspective in DL_FP or RIL pathways. These results help screen different land conversion policy options and providing information about the climate mitigation potential of wood products in different supply chains. (C) 2021 The Authors. Published by Elsevier B.V.</t>
  </si>
  <si>
    <t>Sci. Total Environ.</t>
  </si>
  <si>
    <t>10.1016/j.scitotenv.2021.150226</t>
  </si>
  <si>
    <t>Aryapratama_2022</t>
  </si>
  <si>
    <t>KN</t>
  </si>
  <si>
    <t>PF_SF_M</t>
  </si>
  <si>
    <t>PF_PO_M</t>
  </si>
  <si>
    <t>wood product</t>
  </si>
  <si>
    <t>tC/ha</t>
  </si>
  <si>
    <t>tCO2/ha</t>
  </si>
  <si>
    <t>Indonesia</t>
  </si>
  <si>
    <t>Suter2016 Hoglmeier2017</t>
  </si>
  <si>
    <t>external DF used</t>
  </si>
  <si>
    <t>RIL_C_M</t>
  </si>
  <si>
    <t>RIL_M</t>
  </si>
  <si>
    <t>forest C stock</t>
  </si>
  <si>
    <t>changedVB</t>
  </si>
  <si>
    <t>plantation forest from either degraded land or primary forest</t>
  </si>
  <si>
    <t>DL_FP_M_Ac_7yr</t>
  </si>
  <si>
    <t>PF_FP_M_Ac_7yr</t>
  </si>
  <si>
    <t>changed driver. Since it compares with primary forest it looks at area increase</t>
  </si>
  <si>
    <t>PF_PO_NR_M</t>
  </si>
  <si>
    <t>Suter2016 Hoglmeier2015</t>
  </si>
  <si>
    <t>PF_SF_NR_M</t>
  </si>
  <si>
    <t>VB automated extraction and changed the sign</t>
  </si>
  <si>
    <t>PF_FP_NR_M_Ac_7yr</t>
  </si>
  <si>
    <t>changed from prulpwood to timber because t is a furniture use</t>
  </si>
  <si>
    <t>PF_FP_NR_M_Tgr_60yr</t>
  </si>
  <si>
    <t>PF_FP_M_Tgr_60yr</t>
  </si>
  <si>
    <t>PF_FP_NR_M_Ac_18yr</t>
  </si>
  <si>
    <t>PF_FP_M_Ac_18yr</t>
  </si>
  <si>
    <t>Suter2016 Hoglmeier2016</t>
  </si>
  <si>
    <t>RIL_NR_E</t>
  </si>
  <si>
    <t>RIL_E</t>
  </si>
  <si>
    <t>Dwivedi2019 Meijide2020 Jing 2020</t>
  </si>
  <si>
    <t>RIL_NR_M</t>
  </si>
  <si>
    <t>DL_FP_NR_M_Ac_7yr</t>
  </si>
  <si>
    <t>DL_FP_NR_M_Ac_18yr</t>
  </si>
  <si>
    <t>DL_FP_M_Ac_18yr</t>
  </si>
  <si>
    <t>DL_FP_NR_M_Tgr_60yr</t>
  </si>
  <si>
    <t>DL_FP_M_Tgr_60yr</t>
  </si>
  <si>
    <t>RIL_C_NR_E</t>
  </si>
  <si>
    <t>RIL_C_E</t>
  </si>
  <si>
    <t>RIL_C_NR_M</t>
  </si>
  <si>
    <t>Rotation length</t>
  </si>
  <si>
    <t>PF_FP_M_18y</t>
  </si>
  <si>
    <t>PF_FP_M_7y</t>
  </si>
  <si>
    <t>DL_FP_M_18y</t>
  </si>
  <si>
    <t>DL_FP_M_7y</t>
  </si>
  <si>
    <t>main wood product as materials or energy</t>
  </si>
  <si>
    <t>PF_SF_E</t>
  </si>
  <si>
    <t>Roundwood</t>
  </si>
  <si>
    <t>Harvested wood flow from primary forest and forest/plantation management</t>
  </si>
  <si>
    <t>AppD F1-2</t>
  </si>
  <si>
    <t>see above+requalified as "supply chain organization"</t>
  </si>
  <si>
    <t>changed the Qwood variable extracted to reflect the total harvest, more consistent with the driver recorded since harvest is the same and only the use of wood differs</t>
  </si>
  <si>
    <t>PF_PO_E</t>
  </si>
  <si>
    <t>PF_PO_NR_E</t>
  </si>
  <si>
    <t>PF_SF_NR_E</t>
  </si>
  <si>
    <t>PF_FP_NR_E_Hbr_40yr</t>
  </si>
  <si>
    <t>PF_FP_E_Hbr_40yr</t>
  </si>
  <si>
    <t>DL_FP_NR_E_Hbr_40yr</t>
  </si>
  <si>
    <t>DL_FP_E_Hbr_40yr</t>
  </si>
  <si>
    <t>BUILDING AND ENVIRONMENT</t>
  </si>
  <si>
    <t>Climate change mitigation; Life cycle assessment; Industrial building system (IBS); Laminated veneer lumber (LVL); Glued laminated timber (GLT); Sustainability</t>
  </si>
  <si>
    <t>CYCLE ENERGY-CONSUMPTION; LIFE-CYCLE; ENVIRONMENTAL PERFORMANCE; WOOD PRODUCTS; CONSTRUCTION; TIMBER; IMPACT; COSTS</t>
  </si>
  <si>
    <t>Balasbaneh, AT; Bin Marsono, AK</t>
  </si>
  <si>
    <t>Strategies for reducing greenhouse gas emissions from residential sector by proposing new building structures in hot and humid climatic conditions</t>
  </si>
  <si>
    <t>Malaysian government has advised builders to apply Industrial Building System (IBS) technique in construction due to so many advantages such as productivity, efficiency and cost. This study attempted to reduce greenhouse gas (GHG) emissions from building sector by representing two new building compositions into IBS structures categories. Life cycle assessment (LCA) tool Simapro.8 has been used to identify the environmental performance of buildings from cradle to grave. The full LCA has been run to assess the six different types of prefabricated buildings system, of which four are currently recognized and the other two are designed by current research. The primary result shows that timber prefabricate is the best choice due to having lower emissions toward climate change mitigation of building construction. However, timber houses have rarely been built due to some defects that occurred to its material and structure over time. Rate of applying wood in the construction industry in Malaysia has gone down from about 60% to 7% over the last 40 years. Therefore, this research aims to contribute to the body of knowledge by introducing new composite. First composite is Glued laminated timber (GLT) with steel stud and the second is a combination of laminated veneer lumber (LVL) with steel stud as two new compositions which not only have significantly less global warming potential (GWP) than prefabricated concrete structure or steel framing system, but can be replaced rather than abandoned timber structure. Therefore, new compositions can be suggested to house builders and facilitate the decision making process. (C) 2017 Elsevier Ltd. All rights reserved.</t>
  </si>
  <si>
    <t>Build. Environ.</t>
  </si>
  <si>
    <t>10.1016/j.buildenv.2017.08.025</t>
  </si>
  <si>
    <t>TH</t>
  </si>
  <si>
    <t>Glued laminated instead of Precast 500 yrs</t>
  </si>
  <si>
    <t xml:space="preserve">Precast concrete framing </t>
  </si>
  <si>
    <t xml:space="preserve">Glued laminated timber </t>
  </si>
  <si>
    <t>kg</t>
  </si>
  <si>
    <t>kg CO2 eq</t>
  </si>
  <si>
    <t>cit</t>
  </si>
  <si>
    <t>Malaysia</t>
  </si>
  <si>
    <t>Fix sequestration sign</t>
  </si>
  <si>
    <t>Laminated veneer instead of Precast 500 yrs</t>
  </si>
  <si>
    <t>Laminated veneer lumber</t>
  </si>
  <si>
    <t>Glued laminated instead of Precast 20 yrs</t>
  </si>
  <si>
    <t>Glued laminated instead of Precast 100 yrs</t>
  </si>
  <si>
    <t>Laminated veneer instead of Precast 100 yrs</t>
  </si>
  <si>
    <t>Laminated veneer instead of Precast 20 yrs</t>
  </si>
  <si>
    <t>timber instead of Precast 500 yrs</t>
  </si>
  <si>
    <t xml:space="preserve">timber prefabricated </t>
  </si>
  <si>
    <t>timber instead of Precast 100 yrs</t>
  </si>
  <si>
    <t>timber instead of Precast 20 yrs</t>
  </si>
  <si>
    <t>timber instead of Steel 500 yrs</t>
  </si>
  <si>
    <t xml:space="preserve">Steel frame work system </t>
  </si>
  <si>
    <t>Glued laminated instead of Steel 500 yrs</t>
  </si>
  <si>
    <t>Laminated veneer instead of Steel 500 yrs</t>
  </si>
  <si>
    <t>timber instead of Steel 100 yrs</t>
  </si>
  <si>
    <t>timber instead of Steel 20 yrs</t>
  </si>
  <si>
    <t>Glued laminated instead of Steel 100 yrs</t>
  </si>
  <si>
    <t>Glued laminated instead of Steel 20 yrs</t>
  </si>
  <si>
    <t>Laminated veneer instead of Steel 100 yrs</t>
  </si>
  <si>
    <t>Laminated veneer instead of Steel 20 yrs</t>
  </si>
  <si>
    <t>timber instead of blockwork 500 yrs</t>
  </si>
  <si>
    <t>blockwork system</t>
  </si>
  <si>
    <t>Glued laminated instead of blockwork 500 yrs</t>
  </si>
  <si>
    <t>Laminated veneer instead of blockwork 500 yrs</t>
  </si>
  <si>
    <t>timber instead of blockwork 100 yrs</t>
  </si>
  <si>
    <t>timber instead of blockwork 20 yrs</t>
  </si>
  <si>
    <t>Glued laminated instead of blockwork 100 yrs</t>
  </si>
  <si>
    <t>Laminated veneer instead of blockwork 100 yrs</t>
  </si>
  <si>
    <t>Glued laminated instead of blockwork 20 yrs</t>
  </si>
  <si>
    <t>Laminated veneer instead of blockwork 20 yrs</t>
  </si>
  <si>
    <t>INTERNATIONAL JOURNAL OF LIFE CYCLE ASSESSMENT</t>
  </si>
  <si>
    <t>Building structure; Life cycle assessment; Cross-laminated timber; Composite structure</t>
  </si>
  <si>
    <t>CROSS-LAMINATED TIMBER; LIFE-CYCLE ASSESSMENT; GLOBAL WARMING MITIGATION; RESIDENTIAL CONSTRUCTION; ENERGY EFFICIENCY; GREENHOUSE-GAS; COMPOSITE; LCA; STRATEGIES; DEFECTS</t>
  </si>
  <si>
    <t>Balasbaneh, AT; Sher, W; Yeoh, D</t>
  </si>
  <si>
    <t>Recommending a new building structure to alleviate environmental impact in tropical climates: increasing the use of wood in construction</t>
  </si>
  <si>
    <t>Purpose The construction sector is interested in considering environmental implications as necessary criteria for sustainability. In this regard, wood materials, especially engineering wood, are a promising choice for sustainable buildings. In some countries such as Malaysia, timber is rarely considered in the construction sector despite there being abundant access to wood. This is because of the scarcity of timber structures and the dominance of alternative materials such as steel and concrete. The cross-laminated timber-steel composite introduced in this research benefits both the wood and the steel markets leading to standardization and a more extensive market. At the same time, it contributes to environmentally friendly requirements. The main objective was to investigate timber applications in local construction and make proposals for its promotion. The new specimen described here could potentially enhance the strength of timber beams using steel plates. Four current structural methods have been chosen based on environmental and economic comparisons with a new composite structure. Methods The life cycle assessment (LCA) and life cycle cost (LCC) have been used to compare the performance of four current conventional structures. Results and discussion The results showed that the new proposed structure has lower emissions in all environmental categories, namely, Global Warming Potential (GWP), Human Carcinogenic Toxicity (HCT), Fossil Depletion Potential (FDP), Ozone Layer Depletion (OLD), Terrestrial Acidification (TA) and embodied energy. The results of the LCC are consistent with the environmental issue as the new composite has a lower cost over its entire life span. Conclusions The new structure provides a novel and sustainable alternative for the construction industry.</t>
  </si>
  <si>
    <t>Int. J. Life Cycle Assess.</t>
  </si>
  <si>
    <t>10.1007/s11367-022-02074-5</t>
  </si>
  <si>
    <t>a</t>
  </si>
  <si>
    <t>v6</t>
  </si>
  <si>
    <t>Building technology</t>
  </si>
  <si>
    <t>concrete structure</t>
  </si>
  <si>
    <t>new composite structure with CLT</t>
  </si>
  <si>
    <t>wood materials</t>
  </si>
  <si>
    <t>table 1</t>
  </si>
  <si>
    <t>Emissions positive</t>
  </si>
  <si>
    <t>table3</t>
  </si>
  <si>
    <t>kgCO2eq</t>
  </si>
  <si>
    <t>JOURNAL OF BUILDING ENGINEERING</t>
  </si>
  <si>
    <t>GLT-Concrete composite; Composite floor structures; Lightweight floor; Life cycle assessment; Life cycle cost</t>
  </si>
  <si>
    <t>LIFE-CYCLE ASSESSMENT; BUILDING REFURBISHMENT; MASS TIMBER; WOOD; DESIGN; PERFORMANCE; BEHAVIOR; ENERGY; SHEAR</t>
  </si>
  <si>
    <t>Balasbaneh, AT; Sher, W; Yeoh, D; Koushfar, K</t>
  </si>
  <si>
    <t>LCA &amp; LCC analysis of hybrid glued laminated Timber-Concrete composite floor slab system</t>
  </si>
  <si>
    <t>The increasing request for energy-saving and saving materials and growing concern related to the impacts of materials used on environmental and economical has driven the construction industry toward redesigning critical structural systems and elements. This research proposes solutions for mitigating ecological effects and sustainable built environments. For example, the floor slab is considered the top environmental impact emission after walls compared to other non-load-bearing elements among different building components. Therefore, this research expands the new slab comprising Glued laminated timber (GLT) with concrete as a novel lightweight flooring system. The related methodology includes life cycle assessment (LCA) and life cycle cost (LCC) analysis. Thus, the environmental and economic impacts of three common slab systems were compared to the proposed slab. The evaluation results revealed that GLT-concrete has lower emissions in all environmental categories, namely: Global warming potential (GWP), Eutrophi-cation Potential (EP), human toxicity potential (HTP), fossil depletion potential (FDP), terrestrial Ecotoxicity (TE), and Acidification Potential (AP). Likewise, Embodied energy value showed that GLT-concrete has a lower value by 26%, 9%, and 24% than Lightweight steel slab, Precast reinforced slab, and Cofradal slab. Finally, the result of LCC shows a new GLT-concrete slab despite having a higher construction cost, but by considering the end of life scenario as reuse, it will have a lower total cost. Thus, current research can expand the assessment of environmentally friendly floor structures and step toward sustainable construction.</t>
  </si>
  <si>
    <t>J. Build. Eng.</t>
  </si>
  <si>
    <t>10.1016/j.jobe.2022.104005</t>
  </si>
  <si>
    <t>b</t>
  </si>
  <si>
    <t>lightweight steel composite decking S1</t>
  </si>
  <si>
    <t>new clt-concrete structure</t>
  </si>
  <si>
    <t>glue laminated timber</t>
  </si>
  <si>
    <t>table1</t>
  </si>
  <si>
    <t>fig3/text</t>
  </si>
  <si>
    <t>ENERGIES</t>
  </si>
  <si>
    <t>biochar pellet; forest residues; lifecycle assessment; minimum selling price; environmental impacts</t>
  </si>
  <si>
    <t>ECONOMIC-ANALYSIS; SOIL QUALITY; BIOMASS; ENERGY; CARBON; PERFORMANCE; BIOFUELS; OPTIONS; COSTS</t>
  </si>
  <si>
    <t>Bergman, R; Sahoo, K; Englund, K; Mousavi-Avval, SH</t>
  </si>
  <si>
    <t>Lifecycle Assessment and Techno-Economic Analysis of Biochar Pellet Production from Forest Residues and Field Application</t>
  </si>
  <si>
    <t>Biochar produced from low-value forest biomass can provide substantial benefits to ecosystems and mitigate climate change-induced risks such as forest fires. Forest residues from restoration activities and timber harvest and biochar itself are bulky and thus incur high logistic costs, so are considered major bottlenecks for the commercialization of the biochar industry. The objectives of this study were to assess the environmental footprints and techno-economic feasibility of converting forest residues in Pacific Northwest United States into biochar pellets using portable systems followed by delivery of the final product to end-users for land application (dispersion). Two portable systems (Biochar Solutions Incorporated (BSI) and Air Curtain Burner (ACB)) were considered for biochar production. A cradle-to-grave lifecycle assessment (LCA) and a discounted cash flow analysis method were used to quantify the environmental impacts and minimum selling price (MSP) of biochar. The global warming (GW) impact of biochar production through BSI and ACB was estimated to be 306-444, and 750-1016 kgCO(2)eq/tonne biochar applied to the field, respectively. The MSP of biochar produced through BSI and ACB was 1674-1909 and 528-1051 USD/tonne biochar applied to the field, respectively. Pelletizing of biochar reduced GW impacts during outbound logistics (similar to 8-20%) but increased emissions during pelletizing (similar to 1-9%). Results show the BSI system was a more viable option in terms of GW impact, whereas the ACB system can produce biochar with lower MSP. The results of the study conclude that the production of biochar pellets through the two portable systems and applied to fields can be both an environmentally beneficial and economically viable option.</t>
  </si>
  <si>
    <t>Energies</t>
  </si>
  <si>
    <t>10.3390/en15041559</t>
  </si>
  <si>
    <t>biochar production system</t>
  </si>
  <si>
    <t>BSI Biochar Solutions Incorporated</t>
  </si>
  <si>
    <t xml:space="preserve">ACB Air Curtain Burner </t>
  </si>
  <si>
    <t>feedstock</t>
  </si>
  <si>
    <t>table2</t>
  </si>
  <si>
    <t>kg (oven-dried)</t>
  </si>
  <si>
    <t>fig3</t>
  </si>
  <si>
    <t>kgCO2eq/tonne biochar</t>
  </si>
  <si>
    <t>USA</t>
  </si>
  <si>
    <t>fig4</t>
  </si>
  <si>
    <t>ENERGY POLICY</t>
  </si>
  <si>
    <t>greenhouse gas mitigation; forest land use; building construction; life-cycle perspective</t>
  </si>
  <si>
    <t>ENERGY; BIOMASS</t>
  </si>
  <si>
    <t>Borjesson, P; Gustavsson, L</t>
  </si>
  <si>
    <t>Greenhouse gas balances in building construction: wood versus concrete from life-cycle and forest land-use perspectives</t>
  </si>
  <si>
    <t>In this paper, primary energy use and carbon dioxide (CO2) and methane (CH4) emissions from the construction of a multi-storey building, with either a wood or a concrete frame, were calculated from life-cycle and forest land-use perspectives. The primary energy input (mainly fossil fuels) in the production of building materials was found to be about 60-80% higher when concrete frames were considered instead of wood frames. The net greenhouse gas (GHG) balance for wood materials will depend strongly on how the wood is handled after demolition of the building. The net GHG balance will be slightly positive if all the demolition wood is used to replace fossil fuels, slightly negative if part of the demolition wood is re-used, and clearly positive if all wood is deposited in landfills, due to the production of CH4. However, if the biogas produced is collected and used to replace fossil fuels, the net GHG emissions will be insignificant. If concrete frames are used, the net GHG emissions will be about those when demolition wood from the wood-framed building is deposited in landfills and no biogas is collected. We have considered that the CO2 released from the chemical processes in the production of cement will be re-bound to the concrete by the carbonisation process. Otherwise, the net GHG emission would be more than twice as high when concrete frames are used. If forest biomass is used instead of fossil fuels, the net area of forest land required to supply both raw material and energy for the production of building materials, will be about twice as high when wood frames are used instead of concrete frames. However, the GHG mitigation efficiency, expressed as CO, equivalents per unit area of forest land, will be 2-3 times higher when wood frames are used if excess wood waste and logging residues are used to replace fossil fuels. The excess forest in the: concrete frame alternative is used to replace fossil fuels, but if this forest is used for carbon storage, the mitigation efficiency will be higher for the first forest rotation period (100 yr), but lower for the following rotation periods. Some of the data used in the analyses are uncertain, but an understanding of the complexity in comparing different alternatives for utilising forest for GHG mitigation, and of the fact that the time perspective applied affects the results markedly, is more important for the results than the precise figures in the input data. (C) 2000 Elsevier Science Ltd. All lights reserved.</t>
  </si>
  <si>
    <t>Energy Policy</t>
  </si>
  <si>
    <t>10.1016/S0301-4215(00)00049-5</t>
  </si>
  <si>
    <t>construction type 300yr</t>
  </si>
  <si>
    <t>5b concrete frame</t>
  </si>
  <si>
    <t>4 wood frame,  demolition wood inlandfill no biogas (20% decomposition)</t>
  </si>
  <si>
    <t>carbon storage in building</t>
  </si>
  <si>
    <t>tC</t>
  </si>
  <si>
    <t>tCeq</t>
  </si>
  <si>
    <t>Sweden</t>
  </si>
  <si>
    <t>Extreme values because the accounting spans over 300 years</t>
  </si>
  <si>
    <t>6b concrete frame</t>
  </si>
  <si>
    <t>5a concrete frame</t>
  </si>
  <si>
    <t>3 wood frame,  demolition wood in landfill biogas collected (20% decomposition)</t>
  </si>
  <si>
    <t>6a concrete frame</t>
  </si>
  <si>
    <t>okVB</t>
  </si>
  <si>
    <t>5b concrete frame  (oil)</t>
  </si>
  <si>
    <t>1 wood frame,  demolition wood reused and fore energy (oil)</t>
  </si>
  <si>
    <t>6b concrete frame  (oil)</t>
  </si>
  <si>
    <t>construction type 100yr</t>
  </si>
  <si>
    <t>1 wood frame,  demolition wood reused and for energy (oil)</t>
  </si>
  <si>
    <t>2 wood frame, demolition wood reused and used for energy (oil)</t>
  </si>
  <si>
    <t xml:space="preserve">6b concrete frame crushed gravel </t>
  </si>
  <si>
    <t>building lifespan</t>
  </si>
  <si>
    <t>50 years (demolition wood for landfill, no biogas)</t>
  </si>
  <si>
    <t>100 years</t>
  </si>
  <si>
    <t>50 years (demolition wood for landfill with biogas collection)</t>
  </si>
  <si>
    <t>50 years (demolition wood for energy)</t>
  </si>
  <si>
    <t>50 years (demolition wood for reuse and energy)</t>
  </si>
  <si>
    <t>fate of demolition wood 300yr</t>
  </si>
  <si>
    <t>4 landfill_no_biogas (10% decomposition)</t>
  </si>
  <si>
    <t>1 demolition wood for energy (coal)</t>
  </si>
  <si>
    <t>4 landfill_no_biogas (40% decomposition)</t>
  </si>
  <si>
    <t>1 demolition wood for energy (NG)</t>
  </si>
  <si>
    <t>1 demolition wood for energy (oil)</t>
  </si>
  <si>
    <t>2 demolition wood reused and for energy (coal)</t>
  </si>
  <si>
    <t>2 demolition wood reused and for energy (NG)</t>
  </si>
  <si>
    <t>2 demolition wood reused and for energy (oil)</t>
  </si>
  <si>
    <t>3 demolition wood in landfill biogas collected (10% decomposition)</t>
  </si>
  <si>
    <t>3 demolition wood in landfill biogas collected (40% decomposition)</t>
  </si>
  <si>
    <t>forest use 300yr</t>
  </si>
  <si>
    <t>5a forest used for carbon storag</t>
  </si>
  <si>
    <t>5b forest used for energy (NG)</t>
  </si>
  <si>
    <t>carbon storage in excess forest</t>
  </si>
  <si>
    <t>fix driver to technology shift</t>
  </si>
  <si>
    <t>6a forest used for carbon storag</t>
  </si>
  <si>
    <t>6b forest used for energy (NG)</t>
  </si>
  <si>
    <t>5b forest used for energy (oil)</t>
  </si>
  <si>
    <t>6b forest used for energy (oil)</t>
  </si>
  <si>
    <t>5b forest used for energy (coal)</t>
  </si>
  <si>
    <t>6b forest used for energy (coal)</t>
  </si>
  <si>
    <t>FOREST ECOSYSTEMS</t>
  </si>
  <si>
    <t>Timber growth; Carbon recovery; Silvicultural treatment; Logging cycle; Above-ground biomass</t>
  </si>
  <si>
    <t>REDUCED-IMPACT; EAST KALIMANTAN; SILVICULTURAL TREATMENTS; ABOVEGROUND BIOMASS; GROWTH-RATES; DYNAMICS; EMISSIONS; MODELS; STOCKS; TREES</t>
  </si>
  <si>
    <t>Butarbutar, T; Soedirman, S; Neupane, PR; Kohl, M</t>
  </si>
  <si>
    <t>Carbon recovery following selective logging in tropical rainforests in Kalimantan, Indonesia</t>
  </si>
  <si>
    <t>Background The knowledge gap regarding post-logging carbon recovery by increased growth is becoming more crucial to understand the significant contribution of forest to climate change mitigation. We assessed the ability of tropical forests in Indonesia to recover carbon following conventional logging. We evaluated carbon re-growth of 10,415 trees in permanent sample plots (PSPs) in East Kalimantan. Four different post-harvesting silvicultural treatments including liberation, refining, thinning, and control were applied in the PSPs. We estimated the carbon recovery period using three different scenarios of total carbon losses due to logging. In the first scenario, we used an existing factor of logging damage and increased it for assuming the range of carbon losses due to different logging practices. Results Under the existing conventional logging practice, the concession annually emits 51.18 tC center dot ha(- 1), of which 16.8% are extracted from the forest as raw timber, 38% are logging losses, and 45.2% are emissions due to infrastructure development for logging operation. Increasing the logging damage factor two and three times led to an increase in carbon emission to 70.76 and 90.34 tC center dot ha(- 1), respectively. The recovery time of the aboveground carbon is 26 years in Scenario 1, 36 years in Scenario 2, and 46 years in Scenario 3. We found no significant effect of the silvicultural treatment type on carbon recovery, but significant effect of the sites was observed. Conclusions We found that the time taken to restore the carbon to the level found in undisturbed forests is considerably longer than the current intervention cycles. The time needed to recover biomass and carbon-stock noticeably depends on the intensity of logging interventions, demonstrating the benefits of using improved harvesting e.g., reduced impact logging to reduce emissions. The study found that site variability has a significant effect on the carbon recovery time. Different silvicultural treatments, on the other hand, have no effect on the recovery time. The study suggests that it is not appropriate to establish an intervention cycle based on arbitrary choice; the time between interventions must be based on logging losses and site specific growth potential to ensure sustainable management of forests.</t>
  </si>
  <si>
    <t>For. Ecosyst.</t>
  </si>
  <si>
    <t>10.1186/s40663-019-0195-x</t>
  </si>
  <si>
    <t>silvicultural treatment</t>
  </si>
  <si>
    <t>control</t>
  </si>
  <si>
    <t>liberation</t>
  </si>
  <si>
    <t>total harvested volume</t>
  </si>
  <si>
    <t>m3</t>
  </si>
  <si>
    <t>refinement</t>
  </si>
  <si>
    <t>experimental site</t>
  </si>
  <si>
    <t>Loc.2</t>
  </si>
  <si>
    <t>Loc.4</t>
  </si>
  <si>
    <t>Loc.1</t>
  </si>
  <si>
    <t>Loc.3</t>
  </si>
  <si>
    <t>RESOURCES CONSERVATION AND RECYCLING</t>
  </si>
  <si>
    <t>Circular economy; Life cycle assessment (lca); Biogenic carbon; Climate change; Bio-concrete; Transportation</t>
  </si>
  <si>
    <t>LIFE-CYCLE ASSESSMENT; ENVIRONMENTAL EVALUATION; SUPPLY CHAIN; LCA; CONSTRUCTION; CARBON; STRATEGIES; GERMANY</t>
  </si>
  <si>
    <t>Caldas, LR; Saraiva, AB; Lucena, AFP; Da Gloria, MY; Santos, AS; Toledo, RD</t>
  </si>
  <si>
    <t>Building materials in a circular economy: The case of wood waste as CO2-sink in bio concrete</t>
  </si>
  <si>
    <t>This paper aims to assess greenhouse gases' (GHG) emissions in the life cycle of wood bio-concretes (WBC) production when recycled wood shavings (WS) are used as a circular economy (CE) strategy. Two WBC were evaluated, one with a higher content of WS (WBC-HC) and another with a lower content (WBC-LC). Different WS recycling and transportation scenarios were evaluated. The Life Cycle Assessment (LCA) methodology was used, considering a cradle-to-gate scope, comparing two methods for calculation of GHG emissions: IPCC GWP100 and GWP(bi)(o). The transport analysis was carried out considering the WBC production in 26 Brazilian cities, according to different locations where waste WS are generated. In order to increase the robustness of the study, a sensitivity analysis was performed for: types of WS allocation, the origin of WS (waste x virgin materials), transportation efficiency, and electricity grid matrix. We verified that the waste WS content increase in WBC resulted in climate change mitigation for all cases and scenarios (when the biogenic carbon is considered). However, this benefit can vary according to WS availability and transport efficiency. Therefore, transportation must deserve special attention for the CE evaluation. When the GWP(bi)(o) method is used and CO2 capture during the eucalypt growth is accounted for, the GHG emissions of WBC production can be very low (15 kgCO(2)-eq/m(3)). We conclude that recycling wood waste to use in WBC can be considered a good CO2 sink and a pathway for the low-carbon and circular construction industry.</t>
  </si>
  <si>
    <t>Resour. Conserv. Recycl.</t>
  </si>
  <si>
    <t>10.1016/j.resconrec.2020.105346</t>
  </si>
  <si>
    <t>SC</t>
  </si>
  <si>
    <t>location</t>
  </si>
  <si>
    <t>RR</t>
  </si>
  <si>
    <t>PR</t>
  </si>
  <si>
    <t>wood shavings content</t>
  </si>
  <si>
    <t>kg/m3 of concrete</t>
  </si>
  <si>
    <t>kgCO2-eq/m3 concrete</t>
  </si>
  <si>
    <t>Brazil</t>
  </si>
  <si>
    <t>GWPBIO, WBC-LC</t>
  </si>
  <si>
    <t>GWP100, WBC-LC</t>
  </si>
  <si>
    <t>transport distance</t>
  </si>
  <si>
    <t>worst transportation scenario</t>
  </si>
  <si>
    <t>best transportation scenario</t>
  </si>
  <si>
    <t>low wood shavings content</t>
  </si>
  <si>
    <t>high wood shavings content</t>
  </si>
  <si>
    <t>Life cycle assessment (LCA); Greenhouse gas (GHG) emissions; Forest residues; Wood residues; Biomass; Bioenergy; Remote communities</t>
  </si>
  <si>
    <t>FAST PYROLYSIS; ENERGY; LCA</t>
  </si>
  <si>
    <t>Cambero, C; Alexandre, MH; Sowlati, T</t>
  </si>
  <si>
    <t>Life cycle greenhouse gas analysis of bioenergy generation alternatives using forest and wood residues in remote locations: A case study in British Columbia, Canada</t>
  </si>
  <si>
    <t>Utilization of forest and wood residues as bioenergy feedstock in some remote communities could reduce environmental burdens and increase development opportunities. In a thorough bioenergy project planning, in addition to the economic performance, the potential greenhouse gas (GHG) emissions from investment alternatives should be considered. We present an economic assessment and a life cycle analysis of GHG emissions of alternative bioenergy systems, which include four combustion and gasification technologies with different capacities (0.5 MW, 2 MW and 5 MW), in two remote communities in British Columbia, Canada. In the analysis, all stages from harvesting to energy production are included, and the GHG emissions of the baseline system in each community (the current situation with all the products and services it provides) are used as the reference for comparison. Results of this study show that for small scale alternatives (0.5 MW and 2 MW), cogenerating plants using boiler/steam turbines generate the cheapest electricity, while for larger scale alternatives (5 MW), the most economical plant alternative is a gasification cogeneration system. In the community where all energy needs are currently satisfied using fossil fuels, and all biomass residues (forest and sawmill residues) are currently disposed by burning, net reductions of up to 40,909 t of CO2 equivalent GHG emissions could be achieved with the installation of a 5 MW boiler/steam turbine cogenerating heat and electricity. In the community where the current energy mix is mostly supplied from other renewable sources (i.e. hydro), and where forest residues are disposed by burning and sawmill residues are landfilled, the net GHG emission reductions that can be achieved with a bioenergy system are considerably lower (2535 t of CO2 equivalent emissions with a 5 MW cogenerating gasification system) or null, since the carbon capture of current biomass disposal in landfill outweighs the carbon emission reduction of most bioenergy alternatives. (C) 2015 Elsevier B.V. All rights reserved.</t>
  </si>
  <si>
    <t>10.1016/j.resconrec.2015.10.014</t>
  </si>
  <si>
    <t>technology for energy supply</t>
  </si>
  <si>
    <t>baseline (diesel + fuel oil)</t>
  </si>
  <si>
    <t>ST*</t>
  </si>
  <si>
    <t>biomass demand</t>
  </si>
  <si>
    <t>oven-dry metric tons per year</t>
  </si>
  <si>
    <t>tCO2eq</t>
  </si>
  <si>
    <t>Canada</t>
  </si>
  <si>
    <t>ST</t>
  </si>
  <si>
    <t>ORC</t>
  </si>
  <si>
    <t>Gas</t>
  </si>
  <si>
    <t/>
  </si>
  <si>
    <t>SOUTH AFRICAN JOURNAL OF SCIENCE</t>
  </si>
  <si>
    <t>life-cycle assessment; pine; steel; novel truss materials; green building</t>
  </si>
  <si>
    <t>LIFE-CYCLE; GREENHOUSE-GAS; WOOD PRODUCTS; SUBSTITUTION; CARBON; CONSTRUCTION</t>
  </si>
  <si>
    <t>Crafford, PL; Blumentritt, M; Wessels, CB</t>
  </si>
  <si>
    <t>The potential of South African timber products to reduce the environmental impact of buildings</t>
  </si>
  <si>
    <t>South Africa was the first country in Africa to implement a locally developed green building rating tool and has a growing number of rated green building projects. The method of life-cycle assessment can help to compare and assess the environmental performance of building products. At present, more than 70% of all sawn timber in South Africa is used in buildings, mainly in roof structures. Light gauge steel trusses have recently also been gaining market share. However, to date, no studies have been conducted that quantify and compare the environmental impacts of the different roof truss systems in South Africa. We thus compared several roof truss systems (South African pine, Biligom and light gauge steel) found in low- and medium-income house designs in South Africa using a simplified life-cycle assessment approach. Our results show that the two timber systems had overall the lowest environmental impact. Although the difference between the timber systems was small, light gauge steel had a 40% higher normalised impact over all assessed environmental impact categories. The benefit of biogenic carbon dioxide present in timber proved to play a significant positive role in the global warming potential impact and could even be further reduced if wood were used to generate energy at its end-of-life. This study demonstrates the potential advantage of using local timber products to reduce the environmental impact of the truss and building industry in South Africa. Significance: Timber truss systems showed overall lower environmental impact than light gauge steel trusses, with implications for green building.</t>
  </si>
  <si>
    <t>S. Afr. J. Sci.</t>
  </si>
  <si>
    <t>10.17159/sajs.2017/20160354</t>
  </si>
  <si>
    <t>wood species for roof truss (42m2 house)</t>
  </si>
  <si>
    <t>biligom</t>
  </si>
  <si>
    <t>pine</t>
  </si>
  <si>
    <t>volume of wood used</t>
  </si>
  <si>
    <t>South Africa</t>
  </si>
  <si>
    <t>wood species for roof truss (168m2 house)</t>
  </si>
  <si>
    <t>material of roof truss (42m2)</t>
  </si>
  <si>
    <t>light gauge steel</t>
  </si>
  <si>
    <t>material of roof truss (168m2)</t>
  </si>
  <si>
    <t>ENVIRONMENTAL SCIENCE &amp; TECHNOLOGY</t>
  </si>
  <si>
    <t>INPUT-OUTPUT-ANALYSIS; ENERGY</t>
  </si>
  <si>
    <t>Crawford, RH</t>
  </si>
  <si>
    <t>Greenhouse Gas Emissions Embodied in Reinforced Concrete and Timber Railway Sleepers</t>
  </si>
  <si>
    <t>In Australia, there are currently two main materials used for railway sleepers: timber (river red gum, a species of eucalypt) and reinforced concrete. Within the state of Victoria alone, there are currently seven million railway sleepers that make up the rail network. It is estimated that around two million sleepers, or 29%, are presently required to replace timber sleepers and upgrade the entire network, for which there are significant environmental implications, such as the emission of greenhouse gases. These emissions are mainly as a result of the energy and other resources required or embodied through the sleeper manufacture, including those associated with harvesting timber and mining raw materials for manufacturing cement. Where alternatives are readily available, it is important that the environmental impacts of the various choices are assessed, ensuring that these impacts are minimized. This study aimed to assess the life cycle greenhouse gas emissions associated with timber and reinforced concrete railway sleepers and showed that the life cycle emissions of reinforced concrete sleepers were up to six times less than the emissions associated with timber sleepers. Taking the potential errors associated with this type of assessment into account, there appears to be a significant advantage in using reinforced concrete sleepers, in terms of reducing the life cycle emissions associated with the provision of railway sleepers.</t>
  </si>
  <si>
    <t>Environ. Sci. Technol.</t>
  </si>
  <si>
    <t>10.1021/es8023836</t>
  </si>
  <si>
    <t>service-life of wood sleepers</t>
  </si>
  <si>
    <t>T1 20 years lifespan no fastenings reuse</t>
  </si>
  <si>
    <t>T2 30 years lifespan no fastenings reuse</t>
  </si>
  <si>
    <t>weight per km of track</t>
  </si>
  <si>
    <t>tCO2eq/km</t>
  </si>
  <si>
    <t>Australia</t>
  </si>
  <si>
    <t>T3 20 years, 50% fastenings reuse</t>
  </si>
  <si>
    <t>T4 30 years 50% reuse</t>
  </si>
  <si>
    <t>T5 20 years 96% reuse</t>
  </si>
  <si>
    <t>T6 30 years 96%</t>
  </si>
  <si>
    <t>material for railway sleepers</t>
  </si>
  <si>
    <t>C1 30years lifespan no fastenings reuse</t>
  </si>
  <si>
    <t>table 5</t>
  </si>
  <si>
    <t>C2 50 years lifespan no fastenings reuse</t>
  </si>
  <si>
    <t>consistent with abstract</t>
  </si>
  <si>
    <t>Concrete C1 30years lifespan no fastenings reuse</t>
  </si>
  <si>
    <t>Concrete C2 50 years lifespan no fastenings reuse</t>
  </si>
  <si>
    <t>T4 30 years 50%steel fastenings  reuse</t>
  </si>
  <si>
    <t>JOURNAL OF CLEANER PRODUCTION</t>
  </si>
  <si>
    <t>Buildings; Frame; Structures; Design; Carbon; Mass</t>
  </si>
  <si>
    <t>LIFE-CYCLE; CARBON EMISSIONS; MASS TIMBER; ENERGY USE; STEEL; DESIGN; WOOD</t>
  </si>
  <si>
    <t>D'Amico, B; Pomponi, F; Hart, J</t>
  </si>
  <si>
    <t>Global potential for material substitution in building construction: The case of cross laminated timber</t>
  </si>
  <si>
    <t>The building and construction sector is a large contributor to anthropogenic greenhouse gas emissions and consumes the vastest amount of natural resources. Widely considered a hard-to-decarbonise sector, improvements in buildings and construction are of fundamental importance for national and global targets to combat climate change. At material level, mitigation opportunities exist in terms of efficiency (using less of the same material) and substitution (using a different material). This article investigates the latter, with a global focus on the use of cross laminated timber to replace concrete floors in steel structural systems. This approach, whilst innovative, does not require any technological development nor upskilling of current professional practice, thus making it an immediately viable solution to accelerate decarbonisation. We combine Material Flow Analysis with Life Cycle Assessment across both spatial and temporal dimensions, accounting for different levels of uptake of the proposed hybrid construction in the next 30 years. Results show that greenhouse gas emissions saving potentials range between 20 and 80 Mt CO(2)e (95% confidence interval) with an average around 50 Mt CO(2)e in the case of full uptake of the hybrid construction system by 2050. Our analysis does not account for carbon sequestration potential in timber, which would make the savings much greater. Still, the overall savings represent a 1.5% reduction of the annual greenhouse gas emissions generally attributed to construction, thus making it a non- trivial contribution to progress towards global targets of net-zero carbon buildings. (c) 2020 Elsevier Ltd. All rights reserved.</t>
  </si>
  <si>
    <t>J. Clean Prod.</t>
  </si>
  <si>
    <t>10.1016/j.jclepro.2020.123487</t>
  </si>
  <si>
    <t>material used for floor slabs</t>
  </si>
  <si>
    <t>additional timber need</t>
  </si>
  <si>
    <t>Mt</t>
  </si>
  <si>
    <t>MtCO2eq</t>
  </si>
  <si>
    <t>BUILDINGS</t>
  </si>
  <si>
    <t>life cycle assessment; carbon emissions; embodied carbon; operational carbon; cradle-to-cradle; light timber house; light steel house; New Zealand</t>
  </si>
  <si>
    <t>COLD-FORMED STEEL; ASSESSMENT LCA; FRAMEWORK; STRENGTH; BEHAVIOR; DESIGN; SECTOR</t>
  </si>
  <si>
    <t>Dani, AA; Roy, K; Masood, R; Fang, ZY; Lim, JBP</t>
  </si>
  <si>
    <t>A Comparative Study on the Life Cycle Assessment of New Zealand Residential Buildings</t>
  </si>
  <si>
    <t>In New Zealand, housing is typically low density, with light timber framing being the dominant form of construction with more than 90% of the market. From 2020, as a result of the global pandemic, there was a shortage of timber in New Zealand, resulting in increased popularity for light steel framing, the main alternative to timber for housing. At the same time, the New Zealand government is committed to sustainability practises through legislation and frameworks, such as the reduction of whole-of-life carbon emissions for the building industry. New Zealand recently announced reducing its net greenhouse gas emissions by 50% within 2030. Life cycle assessment (LCA) is a technique for assessing the environmental aspects associated with a product over its life cycle. Despite the popularity of LCA in the construction industry of New Zealand, prior research results seem varied. There is no unified NZ context database to perform an LCA for buildings. Therefore, in this paper, a comprehensive study using LCA was conducted to quantify and compare the quantity of carbon emissions from two commonly designed houses in the Auckland region, one built from light timber and the other from light steel, both designed for a lifespan of 90 years. The cradle-to-cradle system boundary was used for the LCA. From the results of this study, it was found that the light steel house had 12.3% more carbon in total (including embodied and operational carbons) when compared to the light timber house, of which the manufacturing of two houses had a difference of 50.4% in terms of carbon emissions. However, when the end-of-life (EOL) analysis was included, it was found that the extra carbon could be offset due to the steel's recyclability, reducing the amount of embodied carbon in the manufacturing process. Therefore, there was no significant difference in carbon emissions between the light steel and the light timber building, with the difference being only 12.3%.</t>
  </si>
  <si>
    <t>BUILDINGS-BASEL</t>
  </si>
  <si>
    <t>10.3390/buildings12010050</t>
  </si>
  <si>
    <t>house construction system</t>
  </si>
  <si>
    <t>house B : light steel</t>
  </si>
  <si>
    <t>house A : light timber</t>
  </si>
  <si>
    <t>wood laterials</t>
  </si>
  <si>
    <t>table5</t>
  </si>
  <si>
    <t>kgCO2/m2/yr (multiply by m2 area to have full budget)</t>
  </si>
  <si>
    <t>New Zealand</t>
  </si>
  <si>
    <t>STRUCTURES</t>
  </si>
  <si>
    <t>Building; Environmental impact; Floors; Life cycle assessment; Rehabilitation</t>
  </si>
  <si>
    <t>REINFORCED-CONCRETE STRUCTURES; COMPOSITE-MATERIALS; OPTIMIZATION; PANELS</t>
  </si>
  <si>
    <t>Demertzi, M; Silvestre, J; Garrido, M; Correia, JR; Durao, V; Proenca, M</t>
  </si>
  <si>
    <t>Life cycle assessment of alternative building floor rehabilitation systems</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</si>
  <si>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</si>
  <si>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Structures</t>
  </si>
  <si>
    <t>10.1016/j.istruc.2020.03.060</t>
  </si>
  <si>
    <t>type of floor</t>
  </si>
  <si>
    <t>Beam-and-block</t>
  </si>
  <si>
    <t>timber</t>
  </si>
  <si>
    <t xml:space="preserve">wood amount </t>
  </si>
  <si>
    <t>Portugal</t>
  </si>
  <si>
    <t>steel-concrete composite</t>
  </si>
  <si>
    <t>GFRP</t>
  </si>
  <si>
    <t>reinforced concrete</t>
  </si>
  <si>
    <t>Reuse; Concrete; Existing Structures; Footbridge; Arch; Structural Design; Life Cycle Assessment; Circular Economy</t>
  </si>
  <si>
    <t>STEEL REUSE; CONSTRUCTION; BARRIERS; COMPONENTS</t>
  </si>
  <si>
    <t>Devenes, J; Brutting, J; Kupfer, C; Bastien-Masse, M; Fivet, C</t>
  </si>
  <si>
    <t>Re:Crete-Reuse of concrete blocks from cast-in-place building to arch footbridge</t>
  </si>
  <si>
    <t>About 9% of anthropogenic greenhouse gas emissions worldwide are due to the production of cement, key constituent of concrete. Concrete also contributes to a large share of demolition waste, usually coming from building structures that are discarded because of functional obsolescence rather than of technical deficiency. Current practice for treating end-of-life concrete is to landfill it or crush it into aggregates used in new concrete mixes. Instead, a little-explored strategy consists in extending the service life of concrete elements by reusing them in new constructions. Following this paradigm, this paper presents a proof-of-concept prototype that reuses blocks cut out of obsolete cast-in-place concrete walls for a new structural application: a 10 m-long post -tensioned segmented arch footbridge. The paper details the design, material sourcing, and construction pro-cesses while highlighting the unusual features of the approach. The structural behavior is verified with a finite element analysis model and validated by load testing. A comparative life cycle assessment shows that the arch construction presents a significantly lower global warming potential then recycled concrete (-71%) or steel (-74%) alternatives and is very competitive to a timber one (+9%). In conclusion, the project proves the feasibility of a new circular economy application for the construction industry, in which new and reliable concrete structures are built with little to no cement inputs.</t>
  </si>
  <si>
    <t>10.1016/j.istruc.2022.07.012</t>
  </si>
  <si>
    <t>bridge construction system</t>
  </si>
  <si>
    <t>reused concrete blocks</t>
  </si>
  <si>
    <t>materials data for LCA</t>
  </si>
  <si>
    <t>Switzerland</t>
  </si>
  <si>
    <t>recycled concrete monolithic arch</t>
  </si>
  <si>
    <t>Lifecycle; Carbon footprint; Wood-based building; Structural system; Massive timber; Beam-and-column; Volume elements</t>
  </si>
  <si>
    <t>GREENHOUSE-GAS EMISSIONS; ENVIRONMENTAL PERFORMANCE; RESIDENTIAL CONSTRUCTION; URBAN INFILL; WOOD; PRODUCTS; BALANCES; CONCRETE; IMPACTS; COSTS</t>
  </si>
  <si>
    <t>Dodoo, A; Gustavsson, L; Sathre, R</t>
  </si>
  <si>
    <t>Lifecycle carbon implications of conventional and low-energy multi-storey timber building systems</t>
  </si>
  <si>
    <t>A consequential-based lifecycle approach is used here to explore the carbon implications of conventional and low-energy versions of three timber multi-storey building systems. The building systems are made of massive wood using cross laminated timber (CLT) elements; beam-and-column using glulam and laminated veneer lumber (LVL) elements; and prefabricated modules using light-frame volume elements. The analysis encompasses the entire resource chains during the lifecycle of the buildings, and tracks the flows of carbon from fossil energy, industrial process reactions, changes in carbon stocks in materials, and potential avoided fossil emissions from substitution of fossil energy by woody residues. The results show that the low-energy version of the CLT building gives the lowest lifecycle carbon emission while the conventional version of the beam-and-column building gives the highest lifecycle emission. Compared to the conventional designs, the low-energy designs reduce the total carbon emissions (excluding from tap water heating and household and facility electricity) by 9%, 8% and 9% for the CLT, beam-and-column and modular systems, respectively, for a 50-year lifespan located in Vaxjo. The relative significance of the construction materials to the fossil carbon emission varies for the different energy-efficiency levels of the buildings, with insulation dominating for the low-energy houses and plasterboard dominating for the conventional houses. (C) 2014 Elsevier B.V. All rights reserved.</t>
  </si>
  <si>
    <t>10.1016/j.enbuild.2014.06.034</t>
  </si>
  <si>
    <t>construction type</t>
  </si>
  <si>
    <t>modular system conventional</t>
  </si>
  <si>
    <t>beam-and-column conventional</t>
  </si>
  <si>
    <t>mass</t>
  </si>
  <si>
    <t>t</t>
  </si>
  <si>
    <t>modular system low-energy</t>
  </si>
  <si>
    <t>beam-and-column low-energy</t>
  </si>
  <si>
    <t>CLT low-energy</t>
  </si>
  <si>
    <t>CLT conventional</t>
  </si>
  <si>
    <t>SUSTAINABILITY</t>
  </si>
  <si>
    <t>mass timber; life cycle assessment; comparative LCA; timber construction</t>
  </si>
  <si>
    <t>LIFE-CYCLE ASSESSMENT</t>
  </si>
  <si>
    <t>Dolezal, F; Dornigg, I; Wurm, M; Figl, H</t>
  </si>
  <si>
    <t>Overview and Main Findings for the Austrian Case Study</t>
  </si>
  <si>
    <t>As part of a project investigating in the potential greenhouse gas mitigation effect of the increased use and production of mass timber worldwide, a comparative study was carried out to show the potential benefit of mass timber use in buildings in central Europe. After designing a mass timber building functionally equivalent to an existing conventional building, cradle to grave life cycle assessments (LCA) were calculated. The reference is an eight-story building with mixed use in Vienna, originally built in reinforced concrete. Global Warming Potential (GWP) is defined as the central parameter of interest. Calculated life cycle phases are A1-A3 (resource to production), A4 and A5 (transport to site and construction, respectively), B4 (replacement in the use phase), and C1-C4 (End of Life), as well as D (benefits and loads beyond the building life). It can be shown that the total mass of the timber building is 47% lower than of the concrete building. Considering life cycle phases A1 to A5, the timber building shows 18% less embodied carbon. Taking the whole building life cycle and the operational energy use (B6) into account, differences in GWP are much lower, as the heating system, though equipped with high efficiency and clean Austrian electricity grid mix, has much higher impact than the other phases.</t>
  </si>
  <si>
    <t>Sustainability</t>
  </si>
  <si>
    <t>10.3390/su13147584</t>
  </si>
  <si>
    <t>Use of timber instead of concrete</t>
  </si>
  <si>
    <t>Concrete</t>
  </si>
  <si>
    <t>Austria</t>
  </si>
  <si>
    <t>CONSTRUCTION AND BUILDING MATERIALS</t>
  </si>
  <si>
    <t>LCA; Private building; High-rise building; Precast concrete; Prefabrication; Carbon emission</t>
  </si>
  <si>
    <t>HONG-KONG; PREFABRICATION</t>
  </si>
  <si>
    <t>Dong, YH; Jaillon, L; Chu, P; Poon, CS</t>
  </si>
  <si>
    <t>Comparing carbon emissions of precast and cast-in-situ construction methods - A case study of high-rise private building</t>
  </si>
  <si>
    <t>Buildings are one of the primary contributors to carbon emissions. Given the small size of construction site and increasing housing demand in Hong Kong, precast concrete has been frequently adopted in not only public residential buildings, but also the private sector. This study compares the carbon emissions of precast and traditional cast-in-situ construction methods based on a case study of a private residential building in Hong Kong. Life cycle assessment (LCA) model is established to consider the system processes from cradle to end of construction. The comparison is conducted based on eight scenarios at four levels, i.e. cubic meter concrete, precast facade, group of facade elements, and an apartment. It is found that the carbon emission of the studied residential apartment is 669 kg carbon dioxide equivalent per one square meter floor area. Precasting can lead to 10% carbon reduction for one cubic meter concrete. Steel formwork for precasting performs better than timber formwork used in cast-in-situ concrete. Adopting more precast concrete can lead to less carbon emission. Based on the research findings, it is highly recommended to adopt precast concrete in building construction. The building industry should consider the carbon reduction as a benefit of implementing precast concrete. (C) 2015 Elsevier Ltd. All rights reserved.</t>
  </si>
  <si>
    <t>Constr. Build. Mater.</t>
  </si>
  <si>
    <t>10.1016/j.conbuildmat.2015.08.145</t>
  </si>
  <si>
    <t>S2-PC</t>
  </si>
  <si>
    <t>S1-IS</t>
  </si>
  <si>
    <t>wood amount needed to form 1m3 concrete</t>
  </si>
  <si>
    <t>kg/m3</t>
  </si>
  <si>
    <t>kgCO2/m3</t>
  </si>
  <si>
    <t>Hong Kong</t>
  </si>
  <si>
    <t>Life cycle assessment; Life cycle greenhouse gas emissions; Life cycle primary energy; RC building; CLT building; Hybrid CLT building</t>
  </si>
  <si>
    <t>ENERGY USE; EMBODIED ENERGY; CLIMATE; CONSTRUCTION; IMPACT; CARBON; WOOD; COMFORT; BALANCE; DESIGN</t>
  </si>
  <si>
    <t>Duan, ZC; Huang, Q; Sun, QM; Zhang, Q</t>
  </si>
  <si>
    <t>Comparative life cycle assessment of a reinforced concrete residential building with equivalent cross laminated timber alternatives in China</t>
  </si>
  <si>
    <t>With the development of mass timber, cross laminated timber (CLT) has gradually become a sustainable alternative to conventional building materials to alleviate the increasing energy consumption and carbon emissions by the building sector. This study aims to explore the life cycle greenhouse gas emissions (LCGHGE) and life cycle primary energy (LCPE) of three high-rise residential buildings in the cold region of China through a life cycle assessment approach. The three buildings are conventional reinforced concrete (RC), CLT and hybrid CLT buildings. The results show that CLT and hybrid CLT buildings produce 15.00% and 10.77% lower LCGHGE, respectively, compared to the RC building within a 50-year service life. A clear difference in greenhouse gas (GHG) emissions and primary energy (PE) in the product and construction stages is visible, with 46.52% and 37.24% of embodied GHG emissions reduced in CLT and hybrid CLT buildings, respectively, compared to the RC building. In the operational stage, RC building has lower PE and GHG emissions to CLT alternatives. The thermal mass effect has led to a 2.25% and 2.12% PE increase for space heating and cooling in CLT and hybrid CLT buildings, respectively, compared to the RC building. For the End-of-Life (EoL) stage, CLT demonstrates great recycling potential and biomass residues. The sensitivity analysis shows that the design of the low U-value of the building envelope and high-efficiency energy systems has a significant relationship with energy reduction during the operational phase of the three buildings, magnifying the impacts of the initial and EoL stages.</t>
  </si>
  <si>
    <t>10.1016/j.jobe.2022.105357</t>
  </si>
  <si>
    <t>construction materials</t>
  </si>
  <si>
    <t>table4</t>
  </si>
  <si>
    <t>fig8</t>
  </si>
  <si>
    <t>China</t>
  </si>
  <si>
    <t xml:space="preserve">Eriksson, E., Gillespie, A. R., Gustavsson, L., Langvall, O., Olsson, M., Sathre, R., &amp; Stendahl, J. </t>
  </si>
  <si>
    <t xml:space="preserve"> Integrated carbon analysis of forest management practices and wood substitution</t>
  </si>
  <si>
    <t xml:space="preserve"> Canadian Journal of Forest Research</t>
  </si>
  <si>
    <t>10.1139/X06-257</t>
  </si>
  <si>
    <t>management system</t>
  </si>
  <si>
    <t>traditional</t>
  </si>
  <si>
    <t>fertilization</t>
  </si>
  <si>
    <t>mean biomass production</t>
  </si>
  <si>
    <t>table6</t>
  </si>
  <si>
    <t>m3/ha/a</t>
  </si>
  <si>
    <t>fig2</t>
  </si>
  <si>
    <t>tC/ha/year</t>
  </si>
  <si>
    <t>change Qwood variable to m3 harvested</t>
  </si>
  <si>
    <t>intensive</t>
  </si>
  <si>
    <t>m3/ha/yr</t>
  </si>
  <si>
    <t>Fix conversion units Qwood</t>
  </si>
  <si>
    <t>LCA; LCIA; mid-rise timber buildings; carbon storage; passive zero carbon housing</t>
  </si>
  <si>
    <t>Felmer, G; Morales-Vera, R; Astroza, R; Gonzalez, I; Puettmann, M; Wishnie, M</t>
  </si>
  <si>
    <t>A Lifecycle Assessment of a Low-Energy Mass-Timber Building and Mainstream Concrete Alternative in Central Chile</t>
  </si>
  <si>
    <t>While high-rise mass-timber construction is booming worldwide as a more sustainable alternative to mainstream cement and steel, in South America, there are still many gaps to overcome regarding sourcing, design, and environmental performance. The aim of this study was to assess the carbon emission footprint of using mass-timber products to build a mid-rise low-energy residential building in central Chile (CCL). The design presented at a solar decathlon contest in Santiago was assessed through lifecycle analysis (LCA) and compared to an equivalent mainstream concrete building. Greenhouse gas emissions, expressed as global warming potential (GWP), from cradle-to-usage over a 50-year life span, were lower for the timber design, with 131 kg CO2 eq/m(2) of floor area (compared to 353 kg CO2 eq/m(2)) and a biogenic carbon storage of 447 tons of CO2 eq/m(2) based on sustainable forestry practices. From cradle-to-construction, the embodied emissions of the mass-timber building were 42% lower (101 kg CO2 eq/m(2)) than those of the equivalent concrete building (167 kg CO2 eq/m(2)). The embodied energy of the mass-timber building was 37% higher than that of its equivalent concrete building and its envelope design helped reduce space-conditioning emissions by as much as 83%, from 187 kg CO2 eq/m(2) as estimated for the equivalent concrete building to 31 kg CO2 eq/m(2) 50-yr. Overall, provided that further efforts are made to address residual energy end-uses and end-of-life waste management options, the use of mass-timber products offers a promising potential in CCL for delivering zero carbon residential multistory buildings.</t>
  </si>
  <si>
    <t>10.3390/su14031249</t>
  </si>
  <si>
    <t>construction system</t>
  </si>
  <si>
    <t>RC design</t>
  </si>
  <si>
    <t>MT design</t>
  </si>
  <si>
    <t>material quantities</t>
  </si>
  <si>
    <t>table A1</t>
  </si>
  <si>
    <t>tCO2eq/building</t>
  </si>
  <si>
    <t>Chile</t>
  </si>
  <si>
    <t>Life cycle assessment (LCA); Building; Biogenic carbon; Dynamic; Prospective</t>
  </si>
  <si>
    <t>LIFE-CYCLE ASSESSMENT; FOREST PRODUCTS; IMPACT; DECOMPOSITION; EMISSIONS; TIME</t>
  </si>
  <si>
    <t>Fouquet, M; Levasseur, A; Margni, M; Lebert, A; Lasvaux, S; Souyri, B; Buhe, C; Woloszyn, M</t>
  </si>
  <si>
    <t>Methodological challenges and developments in LCA of low energy buildings: Application to biogenic carbon and global warming assessment</t>
  </si>
  <si>
    <t>In Europe, low energy buildings become common for new constructions and life cycle assessment (LCA) is increasingly used to assess their environmental performance. The overall objective of this study is to investigate known challenges related to buildings LCA such as biogenic carbon accounting and dynamic and prospective aspects, and to discuss how they affect LCA results for low energy buildings and what developments are still needed. Three single family houses built respectively with timber frame, concrete blocks cavity wall, and cast concrete are used as a case study, focusing on the global warming impact category. When biogenic carbon is addressed, the timber house is the less impacting choice, whether it is landfilled or burned at the end-of-life. The cavity wall house is the second most favourable option, and the cast concrete house is the worst one. In the case of landfilling for the timber house, the biogenic carbon balance is not neutral and worth to be considered. When a dynamic approach and specific prospective scenarios are considered, the ranking between houses stays the same, but the gaps between options vary e.g. the gap between the landfilled timber house and the cast concrete house vary from 40 % to 60 % when optimistic changes in the electricity mix are considered. Dynamic LCA allows for a more consistent analysis of emissions flows and global warming impacts over time. Prospective LCA could provide more relevant LCA results but increases uncertainty and could be used as sensitivity analysis for long life span buildings. (C) 2015 Elsevier Ltd. All rights reserved.</t>
  </si>
  <si>
    <t>10.1016/j.buildenv.2015.03.022</t>
  </si>
  <si>
    <t>Landfilling or incineration</t>
  </si>
  <si>
    <t>Incineration</t>
  </si>
  <si>
    <t>C sequestered in products</t>
  </si>
  <si>
    <t>kgCO2</t>
  </si>
  <si>
    <t>France</t>
  </si>
  <si>
    <t>Timber frame vs cast concrete house</t>
  </si>
  <si>
    <t>Timber frame vs concrete blocks house</t>
  </si>
  <si>
    <t>Italy</t>
  </si>
  <si>
    <t xml:space="preserve">Gustavsson, L., &amp; Sathre, R. </t>
  </si>
  <si>
    <t xml:space="preserve"> Variability in energy and carbon dioxide balances of wood and concrete building materials</t>
  </si>
  <si>
    <t xml:space="preserve"> Building and Environment</t>
  </si>
  <si>
    <t xml:space="preserve">10.1016/j.buildenv.2005.04.008 </t>
  </si>
  <si>
    <t>recovery of logging residue</t>
  </si>
  <si>
    <t>not recovered</t>
  </si>
  <si>
    <t>recovered</t>
  </si>
  <si>
    <t>flow of wood-based materials</t>
  </si>
  <si>
    <t>tonnes oven-dry material</t>
  </si>
  <si>
    <t>Table 4</t>
  </si>
  <si>
    <t>Europe</t>
  </si>
  <si>
    <t>recovery of sawmill residues</t>
  </si>
  <si>
    <t>recovery of construction waste</t>
  </si>
  <si>
    <t>transportation distance</t>
  </si>
  <si>
    <t>short</t>
  </si>
  <si>
    <t>long</t>
  </si>
  <si>
    <t>growth of unharvested forest</t>
  </si>
  <si>
    <t>50% growth</t>
  </si>
  <si>
    <t>0% growth</t>
  </si>
  <si>
    <t>building type</t>
  </si>
  <si>
    <t>concrete-frame</t>
  </si>
  <si>
    <t>wood-frame</t>
  </si>
  <si>
    <t>harvested roundwood</t>
  </si>
  <si>
    <t>tonne</t>
  </si>
  <si>
    <t xml:space="preserve">Gustavsson, L., Pingoud, K., &amp; Sathre, R. </t>
  </si>
  <si>
    <t xml:space="preserve"> Carbon dioxide balance of wood substitution: comparing concrete-and wood-framed buildings</t>
  </si>
  <si>
    <t xml:space="preserve"> Mitigation and adaptation strategies for global change</t>
  </si>
  <si>
    <t xml:space="preserve">10.1007/s11027-006-7207-1 </t>
  </si>
  <si>
    <t>Building type (Vikkii, Coal)SF-untouched</t>
  </si>
  <si>
    <t>table II</t>
  </si>
  <si>
    <t>ton air-dry material</t>
  </si>
  <si>
    <t>table V</t>
  </si>
  <si>
    <t>Building type (Vikkii, Coal) SF-untouched</t>
  </si>
  <si>
    <t>Building type (Vikkii, Coal) SF-bioenergy</t>
  </si>
  <si>
    <t>Building type (Wälluden, Coal) SF-bioenergy</t>
  </si>
  <si>
    <t>Building type (Wälludden, Coal) SF-untouched</t>
  </si>
  <si>
    <t>Assumption of no-growth in reference, unharvest forest so I changed to supply-chain only</t>
  </si>
  <si>
    <t>Fix sequestration sign; anomaly QC_AV</t>
  </si>
  <si>
    <t>two reviewers and different metadata</t>
  </si>
  <si>
    <t>Building type (Wälludden, Coal) SF-bioenergy</t>
  </si>
  <si>
    <t xml:space="preserve">Gustavsson, L., Haus, S., Ortiz, C. A., Sathre, R., &amp; Le Truong, N. </t>
  </si>
  <si>
    <t xml:space="preserve"> Climate effects of bioenergy from forest residues in comparison to fossil energy</t>
  </si>
  <si>
    <t xml:space="preserve"> Applied Energy</t>
  </si>
  <si>
    <t>10.1016/j.apenergy.2014.10.013</t>
  </si>
  <si>
    <t>residue harvest</t>
  </si>
  <si>
    <t>base case fossil system</t>
  </si>
  <si>
    <t>base case biogenic system</t>
  </si>
  <si>
    <t>harvested residue</t>
  </si>
  <si>
    <t>BIOMASS &amp; BIOENERGY</t>
  </si>
  <si>
    <t xml:space="preserve"> Biomass and Bioenergy</t>
  </si>
  <si>
    <t>fig6</t>
  </si>
  <si>
    <t>t/ha</t>
  </si>
  <si>
    <t>fig12</t>
  </si>
  <si>
    <t>fig5</t>
  </si>
  <si>
    <t>fig7</t>
  </si>
  <si>
    <t>LCA; GHG emissions; CO2 emissions; industrial buildings; timber; concrete; steel; portal frame</t>
  </si>
  <si>
    <t>CONSTRUCTION</t>
  </si>
  <si>
    <t>Hegeir, OA; Kvande, T; Stamatopoulos, H; Bohne, RA</t>
  </si>
  <si>
    <t>Comparative Life Cycle Analysis of Timber, Steel and Reinforced Concrete Portal Frames: A Theoretical Study on a Norwegian Industrial Building</t>
  </si>
  <si>
    <t>The construction industry is a big contributor to greenhouse gas emissions, which has a negative environmental impact. Several studies have highlighted the possibility of using timber to reduce the environmental impact of construction. Most of these studies have focused on residential buildings, but little attention has been devoted to industrial buildings. In this paper, an attempt is made to compare the environmental impact of using timber, steel, and reinforced concrete in industrial buildings using life cycle assessment. The system boundary was set to cradle-to-gate with transportation to construction site due to the limitation of data, and only the quantities of the main structural system are considered. Portal frames with variable spans were designed using the three materials to meet similar load carrying capacity. Reinforced concrete was used in the foundation of all frames. The results of the comparative study show that timber has, by a good margin, better environmental impact than reinforced concrete and steel, due to the carbon stored in the wood. The results also show that reinforced concrete and steel alternatives have similar environmental impacts. The findings of this study agree with the findings of other studies on residential buildings.</t>
  </si>
  <si>
    <t>10.3390/buildings12050573</t>
  </si>
  <si>
    <t>portal frame material</t>
  </si>
  <si>
    <t>steel</t>
  </si>
  <si>
    <t>timber quantity</t>
  </si>
  <si>
    <t>m3 ( converted to m3/m2 with Area=25*42 according to table1)</t>
  </si>
  <si>
    <t>Coal</t>
  </si>
  <si>
    <t>Concrete; Cross Laminated Timber; Life cycle greenhouse gas emissions; Life cycle cost; Operational energy; Embodied energy</t>
  </si>
  <si>
    <t>ENERGY ANALYSIS; SUSTAINABLE CONSTRUCTION; THERMAL PERFORMANCE; CARBON FOOTPRINT; CLT PANELS; IMPACT; STEEL; BENEFITS; INDUSTRY; SECTOR</t>
  </si>
  <si>
    <t>Jayalath, A; Navaratnam, S; Ngo, T; Mendis, P; Hewson, N; Aye, L</t>
  </si>
  <si>
    <t>Life cycle performance of Cross Laminated Timber mid-rise residential buildings in Australia</t>
  </si>
  <si>
    <t>Engineering wood products have significant potential as a sustainable alternative for concrete and steel in construction. Cross Laminated Timber (CLT) can add value to conventional timber products due to its high strength-to-weight ratio, simple installation, aesthetic features and environmental benefits. Recent changes in the national construction code permit structural timber buildings with a height of up to 25m, which demonstrates the strong commitment of the construction industry to adopt more sustainable practices. This paper aims to compare life cycle greenhouse gas emissions (LCGHGE) and life cycle cost (LCC) of CLT and reinforced concrete (RC) in identical midrise residential buildings in three most populated cities in Australia. It has shown that the CLT building has 30 % less LCGHGE compared with the RC building over a life span of 50 years in Melbourne, and 34% and 29% reduction in LCGHCE in Sydney and Brisbane, respectively. The results from LCC analysis showed that CLT building is 1.3% lower than conventional RC in Melbourne, and 0.9% lower in Sydney and Brisbane. The initial and end of life phases reflected reductions in LCGHGE and LCC for the CLT building whilst the operation phase incurred higher values. The extended service life of buildings has a major impact on the operational phase while changes in the discount rate have strong effects on the lifecycle operational and maintenance costs. Overall the CLT building outperformed the RC building in terms of LCGHGE and LCC across three cities. However, further savings in the operational phase with energy efficient methodologies and reuse or recycling of timber products at the end of life of the building can reinforce CLT as a sustainable alternative to RC construction. (c) 2020 Elsevier B.V. All rights reserved.</t>
  </si>
  <si>
    <t>10.1016/j.enbuild.2020.110091</t>
  </si>
  <si>
    <t>city for building installation</t>
  </si>
  <si>
    <t>Brisbane</t>
  </si>
  <si>
    <t>Sydney</t>
  </si>
  <si>
    <t>Materials (clt+</t>
  </si>
  <si>
    <t>CLT instead of concrete</t>
  </si>
  <si>
    <t>RC</t>
  </si>
  <si>
    <t>Table 2</t>
  </si>
  <si>
    <t>t Co2eq</t>
  </si>
  <si>
    <t>Table 3</t>
  </si>
  <si>
    <t>ENERGY</t>
  </si>
  <si>
    <t>Combined heat and power plant; District heating; Energy analysis; Global warming; Life-cycle analysis; Material flow analysis</t>
  </si>
  <si>
    <t>LIFE-CYCLE ASSESSMENT; WASTE INCINERATION; GREENHOUSE GASES; CENTRAL NORWAY; EMISSIONS; SYSTEMS; CITY</t>
  </si>
  <si>
    <t>Karlsson, J; Brunzell, L; Venkatesh, G</t>
  </si>
  <si>
    <t>Material-flow analysis, energy analysis, and partial environmental-LCA of a district-heating combined heat and power plant in Sweden</t>
  </si>
  <si>
    <t>Combined heat and power (CHP) plants are a great improvement over waste-to-energy incineration plants supplying only heat, and power plants supplying only electricity. The primary purpose of a functioning CHP plant however, may be to provide district heating services, and thereby its main output will be heat energy. This paper is a case study commissioned by Karlskoga Energi och Miljo AB (KEMAB in short; Karlskoga Energy and Environment) in the Varmland State of south-central Sweden, and focuses on the functioning of the CHP plant owned and operated by the company. The life-cycles of the fuels used by the CHP - household/industrial waste, bio-oil, light fuel oil, wood waste, wood chips, a slaughterhouse-waste-derived product and peat to generate 202,222 MWh of heat, 119,234 MWh of steam and 28,220 MWh of electricity have been studied, and the carbon footprint calculated for year-2016. Using two sets of emissions factors for the combustion stage of the life-cycle, as part of a data uncertainty analysis, the total emissions were 44,000 tonnes carbon dioxide equivalents (CO2-eq) and 58,000 tonnes CO2-eq respectively. A quasi-realistic scenario analysis in which plastics are not available for incineration and have to be substituted with alternatives has also been carried out, and while wood waste has been suggested as the best alternative with regard to greenhouse gas (GHG) emissions, availability permitting, a combination of alternatives has been mooted as the practical option. (C) 2017 Elsevier Ltd. All rights reserved.</t>
  </si>
  <si>
    <t>10.1016/j.energy.2017.11.159</t>
  </si>
  <si>
    <t>Types of fuel in CHP</t>
  </si>
  <si>
    <t>Plastics</t>
  </si>
  <si>
    <t>Wood wastes</t>
  </si>
  <si>
    <t>Wood waste</t>
  </si>
  <si>
    <t>tCO2</t>
  </si>
  <si>
    <t>Wood chips</t>
  </si>
  <si>
    <t xml:space="preserve">Kilpeläinen, A., Kellomäki, S., &amp; Strandman, H. </t>
  </si>
  <si>
    <t xml:space="preserve"> Net atmospheric impacts of forest bioenergy production and utilization in F innish boreal conditions</t>
  </si>
  <si>
    <t xml:space="preserve"> GCB Bioenergy</t>
  </si>
  <si>
    <t>10.1111/j.1757-1707.2012.01161.x</t>
  </si>
  <si>
    <t>management regime</t>
  </si>
  <si>
    <t>timber production</t>
  </si>
  <si>
    <t>bioenergy production</t>
  </si>
  <si>
    <t>bioenergy produced</t>
  </si>
  <si>
    <t>m3/an</t>
  </si>
  <si>
    <t>gCO2/m2</t>
  </si>
  <si>
    <t>CO2 is given per square meter, production of energy is given in total. Cannot find the area</t>
  </si>
  <si>
    <t xml:space="preserve">Knight, L., Huff, M., Stockhausen, J. I., &amp; Ross, R. J. </t>
  </si>
  <si>
    <t xml:space="preserve"> Comparing energy use and environmental emissions of reinforced wood doors and steel doors</t>
  </si>
  <si>
    <t xml:space="preserve"> Forest products journal</t>
  </si>
  <si>
    <t>Knight_2005_NO_DOI</t>
  </si>
  <si>
    <t>door type</t>
  </si>
  <si>
    <t>steel door</t>
  </si>
  <si>
    <t>wood door</t>
  </si>
  <si>
    <t>wood weight</t>
  </si>
  <si>
    <t>pounds</t>
  </si>
  <si>
    <t>kgCO2-eq</t>
  </si>
  <si>
    <t>ENVIRONMENTAL RESEARCH LETTERS</t>
  </si>
  <si>
    <t>cross-laminated timber; life cycle assessment; dynamic; carbon analysis; greenhouse gas emissions; energy consumption</t>
  </si>
  <si>
    <t>GREENHOUSE-GAS EMISSIONS; SOFTWOOD LUMBER; FUEL CHARACTERISTICS; INLAND NORTHWEST; FOREST RESIDUES; CO2 EMISSIONS; BULK-DENSITY; PINE; BIOMASS; PYROLYSIS</t>
  </si>
  <si>
    <t>Lan, K; Kelley, SS; Nepal, P; Yao, Y</t>
  </si>
  <si>
    <t>Dynamic life cycle carbon and energy analysis for cross-laminated timber in the Southeastern United States</t>
  </si>
  <si>
    <t>Life cycle assessment (LCA) has been used to understand the carbon and energy implications of manufacturing and using cross-laminated timber (CLT), an emerging and sustainable alternative to concrete and steel. However, previous LCAs of CLT are static analyses without considering the complex interactions between the CLT manufacturing and forest systems, which are dynamic and largely affected by the variations in forest management, CLT manufacturing, and end-of-life options. This study fills this gap by developing a dynamic life-cycle modeling framework for a cradle-to-grave CLT manufacturing system across 100 years in the Southeastern United States. The framework integrates process-based simulations of CLT manufacturing and forest growth as well as Monte Carlo simulation to address uncertainty. On a 1-ha forest land basis, the net greenhouse gas (GHG) emissions range from -954 to -1445 metric tonne CO2 eq. for a high forest productivity scenario compared to -609 to -919 metric tonne CO2 eq. for a low forest productivity scenario. All scenarios showed significant GHG emissions from forest residues decay, demonstrating the strong needs to consider forest management and their dynamic impacts in LCAs of CLT or other durable wood products (DWP). The results show that using mill residues for energy recovery has lower fossil-based GHG (59%-61% reduction) than selling residues for producing DWP, but increases the net GHG emissions due to the instantaneous release of biogenic carbon in residues. In addition, the results were converted to a 1 m(3) basis with a cradle-to-gate system boundary to be compared with literature. The results, 113-375 kg CO2 eq. m(-3) across all scenarios for fossil-based GHG emissions, were consistent with previous studies. Those findings highlight the needs of system-level management to maximize the potential benefits of CLT. This work is an attributional LCA, but the presented results lay a foundation for future consequential LCAs for specific CLT buildings or commercial forest management systems.</t>
  </si>
  <si>
    <t>Environ. Res. Lett.</t>
  </si>
  <si>
    <t>10.1088/1748-9326/abc5e6</t>
  </si>
  <si>
    <t>eol recycling rate</t>
  </si>
  <si>
    <t>scenario 1 (Fig. 4)</t>
  </si>
  <si>
    <t>scenario 2 (Fig. 4)</t>
  </si>
  <si>
    <t>ton CO2-eq ha-1</t>
  </si>
  <si>
    <t>Fixed calculation of Cdelta</t>
  </si>
  <si>
    <t>scenario 3 (Fig. 4)</t>
  </si>
  <si>
    <t>scenario 4 (Fig. 4)</t>
  </si>
  <si>
    <t>scenario 5 (Fig. 4)</t>
  </si>
  <si>
    <t>scenario 6 (Fig. 4)</t>
  </si>
  <si>
    <t>scenario 7 (Fig. 4)</t>
  </si>
  <si>
    <t>scenario 8 (Fig. 4)</t>
  </si>
  <si>
    <t>aboveground biomass</t>
  </si>
  <si>
    <t>wet metric tonnes ha-1</t>
  </si>
  <si>
    <t>Energy recovery from residues</t>
  </si>
  <si>
    <t>mill residues sold to market and energy from gas scenario 7(Fig. 4)</t>
  </si>
  <si>
    <t>Mill residues recovery for energy scenario 5 (Fig. 4)</t>
  </si>
  <si>
    <t>mill residues sold to market and energy from gas scenario 8 (Fig. 4)</t>
  </si>
  <si>
    <t>Mill residues recovery for energy scenario 6 (Fig. 4)</t>
  </si>
  <si>
    <t>mill residues sold to market and energy from gas scenario 3 (Fig. 4)</t>
  </si>
  <si>
    <t xml:space="preserve">Mill residues recovery for energy  scenario 1 (Fig. 4) </t>
  </si>
  <si>
    <t>mill residues sold to market and energy from gas scenario 4 (Fig. 4)</t>
  </si>
  <si>
    <t>Mill residues recovery for energy scenario 2 (Fig. 4)</t>
  </si>
  <si>
    <t>JOURNAL OF INDUSTRIAL ECOLOGY</t>
  </si>
  <si>
    <t>Lausselet,C;Forero Urrego, JP;Resch, E;Brattebo,H</t>
  </si>
  <si>
    <t>Temporal analysis of the material flows and embodied greenhouse gas emissions of a neighborhood building stock</t>
  </si>
  <si>
    <t>Art</t>
  </si>
  <si>
    <t>10.1111/jiec.13049</t>
  </si>
  <si>
    <t>Building surface</t>
  </si>
  <si>
    <t>S1-30m2/cap</t>
  </si>
  <si>
    <t>Baseline (Table 2)</t>
  </si>
  <si>
    <t>1.333</t>
  </si>
  <si>
    <t>fig4d&amp;fig5</t>
  </si>
  <si>
    <t>ktonCO2</t>
  </si>
  <si>
    <t>Improving production efficiency</t>
  </si>
  <si>
    <t>S5-Ecoinvent 40%</t>
  </si>
  <si>
    <t>S6-EPD</t>
  </si>
  <si>
    <t>Temporal analysis of thematerial flows and embodied greenhouse gas emissions of a neighborhood building stock</t>
  </si>
  <si>
    <t>Change in lifetime</t>
  </si>
  <si>
    <t>S2-Ren40</t>
  </si>
  <si>
    <t>S4-Con100</t>
  </si>
  <si>
    <t>S3-Ren20</t>
  </si>
  <si>
    <t>Circular economy; Sustainability; Reliability; Cross laminated timber; Reinforced concrete</t>
  </si>
  <si>
    <t>UNCERTAINTY ANALYSIS; INDICATORS</t>
  </si>
  <si>
    <t>Lei, HR; Yang, W; Wang, WG; Li, CQ</t>
  </si>
  <si>
    <t>A new method for probabilistic circular economy assessment of buildings</t>
  </si>
  <si>
    <t>Circular economy (CE) is increasingly applied to support circular and sustainable development of buildings and infrastructures. To effectively monitor the implementation of CE, a unified assessment procedure is in urgent need. This paper aims to develop an overall CE index for probabilistic CE assessment of building materials. Models for material circularity and sustain -ability are established. The proposed overall CE index is demonstrated in a case study of two buildings made of cross laminated timber (CLT) and reinforced concrete (RC), considering mul-tiple uncertain variables in different end-of-life scenarios. It is found in this paper that the circularity and sustainability indexes can facilitate the standardization of CE assessments and align them with existing limit state design codes for structural safety, e.g., Eurocodes. Results of the case study suggest that the CLT building has significant lower probability of unsatisfactory CE performance over RC building in terms of material circularity indicator, embodied energy and carbon emission. The paper concludes that the overall CE index can integrate reliability methods with CE assessment effectively.</t>
  </si>
  <si>
    <t>10.1016/j.jobe.2022.104875</t>
  </si>
  <si>
    <t>quantities of timber</t>
  </si>
  <si>
    <t>m3 (converted to /m2 with area=1248m2)</t>
  </si>
  <si>
    <t>Timber; CLT; High rise building; Embodied energy; Embodied carbon</t>
  </si>
  <si>
    <t>LIFE-CYCLE ASSESSMENT; ENERGY; DESIGN; CARBON; LCA</t>
  </si>
  <si>
    <t>Li, JH; Rismanchi, B; Ngo, T</t>
  </si>
  <si>
    <t>Feasibility study to estimate the environmental benefits of utilising timber to construct high-rise buildings in Australia</t>
  </si>
  <si>
    <t>Reinforced concrete has played a significant role in the construction industry and is one of the most popular construction materials. However, different studies suggest that reinforced concrete is not environmentally friendly with a significant adverse environmental impact during its production, usage and end of life. Therefore, a more sustainable material that could perform as well as reinforced concrete can overcome this limitation. During the past decade, a number of studies on timber construction have shown the potential to replace concrete with timber in parts of a building without compromising the resilience of the structure. Most of them focused on greenhouse gas emissions rather than embodied energy and structural requirements. Therefore, this research has focused on the feasibility of timber and its potential benefits as a construction material in parts of a high-rise building located in Australia. The potential benefits and limitations of utilising timber to construct a high-rise building in Australia were investigated. For this purpose, a hypothetical 43-storey building is considered, to make it comparable with the existing studies in the literature; the baseline model is designed according to the study by Kuilen et al. (2011). Three scenarios were considered with different proportion of timber. Parametric studies were subsequently conducted on the effects of materials, size and shape of the structural elements on the performance of the building. It was found that in the selected site, using timber to construct internal parts of high-rise buildings would provide the best solution in terms of structural and environmental benefits.</t>
  </si>
  <si>
    <t>10.1016/j.buildenv.2018.09.052</t>
  </si>
  <si>
    <t>Building construction design</t>
  </si>
  <si>
    <t>Scenario 1 Concrete (Table 15)</t>
  </si>
  <si>
    <t>Scenario 3 CLT (Table 15)</t>
  </si>
  <si>
    <t>wood consumption by weight</t>
  </si>
  <si>
    <t>Scenario 1 concrete (Table 15)</t>
  </si>
  <si>
    <t>Scenario 2 partial CLT (Table 15)</t>
  </si>
  <si>
    <t xml:space="preserve">Lippke, B., Wilson, J., Perez-Garcia, J., Bowyer, J., &amp; Meil, J. </t>
  </si>
  <si>
    <t xml:space="preserve"> CORRIM: Life-cycle environmental performance of renewable building materials</t>
  </si>
  <si>
    <t xml:space="preserve"> Forest Products Journal</t>
  </si>
  <si>
    <t>Lippke_2004_NO_DOI</t>
  </si>
  <si>
    <t>steel frame</t>
  </si>
  <si>
    <t>wood frame</t>
  </si>
  <si>
    <t>wood fiber quantity in building</t>
  </si>
  <si>
    <t>Minneapolis house</t>
  </si>
  <si>
    <t>construction</t>
  </si>
  <si>
    <t>CANADIAN JOURNAL OF FOREST RESEARCH</t>
  </si>
  <si>
    <t>carbon sequestration; climate change; bioenergy; nitrogen balance; whole-tree harvesting</t>
  </si>
  <si>
    <t>ORGANIC-MATTER DYNAMICS; SOIL CARBON; LOGGING RESIDUE; SCOTS PINE; FOREST ECOSYSTEMS; THINNING REGIMES; GROWTH; NITROGEN; MODEL; BOREAL</t>
  </si>
  <si>
    <t>Makipaa, R; Linkosalo, T; Komarov, A; Makela, A</t>
  </si>
  <si>
    <t>Mitigation of climate change with biomass harvesting in Norway spruce stands: are harvesting practices carbon neutral?</t>
  </si>
  <si>
    <t>Biomass combustion is considered to be carbon neutral, but intensive biomass harvesting may negatively impact carbon stocks in forest soil and vegetation, which can offset the benefits of substituting fossil fuels with biomass. Here we evaluated conventional stem-only harvesting, whole-tree harvesting (WTH), and WTH excluding needles in terms of timber yield, biomass harvests, and forest carbon sequestration. We simulated harvest scenarios in current and changed climates with a process-based growth model (PipeQual) that was integrated with models describing soil decomposition (ROMUL) and soil water dynamics. Furthermore, we compared gains and losses of forest carbon with reductions in fossil-fuel emissions that result from using harvested biomass for energy production. WTH negatively affected stand growth, biomass, and soil carbon stock; negative effects on growth and biomass can be reduced by leaving nitrogen-rich needles behind during WTH. In a changed climate, organic-matter decomposition and nitrogen mineralization accelerated and tree growth was enhanced, increasing the carbon stock of trees and slightly decreasing the soil carbon stock. In the changed climate, WTH had less influence on forest growth and a similar influence on soil carbon sequestration than in the current climate. In the current climate, the WTH decreased the forest carbon stock by, on average, 26.8 Mg C.ha(-1) over the rotation period. If harvested forest residues are used for energy production instead of fossil fuels, emissions decline by 19 Mg C.ha(-1) (when WTH is applied over a rotation period). Thus, our analysis suggests that using forest residues for energy production leads to a net increase in carbon emissions.</t>
  </si>
  <si>
    <t>Can. J. For. Res.</t>
  </si>
  <si>
    <t>10.1139/cjfr-2014-0120</t>
  </si>
  <si>
    <t>total tree harvest</t>
  </si>
  <si>
    <t>Stem only harvest (SOH) current climate</t>
  </si>
  <si>
    <t>WTH (WTH) currentc climate</t>
  </si>
  <si>
    <t>Wood harvest=stem wood + energy wood</t>
  </si>
  <si>
    <t>MgC</t>
  </si>
  <si>
    <t>IPCC 2006a</t>
  </si>
  <si>
    <t>Climate Change</t>
  </si>
  <si>
    <t>WTH climate change (A1B scenario)</t>
  </si>
  <si>
    <t>WTH current climate</t>
  </si>
  <si>
    <t>SOH current climate</t>
  </si>
  <si>
    <t>SOH climate change (A1B scenario)</t>
  </si>
  <si>
    <t>Life cycle assessment; Embodied carbon; Timber; Steel; Bio-based; Glulam</t>
  </si>
  <si>
    <t>LIFE-CYCLE ASSESSMENT; CLIMATE IMPACT ASSESSMENT; BIO-BASED MATERIALS; CONSTRUCTION MATERIALS; TEMPORARY-STORAGE; BIOGENIC CARBON; PRODUCTS; SYSTEM; ALTERNATIVES; FOOTPRINT</t>
  </si>
  <si>
    <t>Morris, F; Allen, S; Hawkins, W</t>
  </si>
  <si>
    <t>On the embodied carbon of structural timber versus steel, and the influence of LCA methodology</t>
  </si>
  <si>
    <t>Reducing greenhouse gas emissions in the built environment is key to mitigating climate change. This paper uses Life Cycle Assessment (LCA) to explore whether glue-laminated timber (glulam) has a significantly lower wholelife embodied carbon (Global Warming Potential; GWP) than functionally-equivalent structural steel. Alongside a baseline assessment that follows standard practice, a variety of further sensitivity analyses establish how differing assumptions affect results. Assessment found that the GWPs were highly dependent on: (1) the assumed end-of-life scenarios; (2) the approach used to consider biogenic CO2, and; (3) whether the timing of emissions was considered. In general, glulam had the lowest GWP when incinerated (with energy recovery) at end-of-life. However, when recycling is modelled according to current standards, glulam GWPs were in amongst those of steel, giving no clear ranking of materials. Landfilled glulam had a lower GWP than steel if some biogenic carbon was assumed to be permanently stored. That may be appropriate given recent guidance from the Intergovernmental Panel on Climate Change, but is not allowed in the updated standards for LCA of construction products (e. g. EN 15804:2019). Six additional impact categories were also assessed to give a broader environmental comparison. The relative impact of the two materials depended on the impact category assessed, with glulam generally having a similar or lower impact than steel. Given the findings of this paper, further research on end-oflife treatment and LCA methodology is critical to ensure that strategies aiming to reduce GWP by material selection are effective in practice.</t>
  </si>
  <si>
    <t>10.1016/j.buildenv.2021.108285</t>
  </si>
  <si>
    <t>end-of life disposal</t>
  </si>
  <si>
    <t>landfilling</t>
  </si>
  <si>
    <t>incineration</t>
  </si>
  <si>
    <t>beam weight</t>
  </si>
  <si>
    <t>kgCOE-eq</t>
  </si>
  <si>
    <t>beam material</t>
  </si>
  <si>
    <t>glulam</t>
  </si>
  <si>
    <t>Fix sequestration sign; calculate C balance from yearly harvest instead of cumulated harvest using equations (1) (2) and (3)</t>
  </si>
  <si>
    <t>Fix sequestration sign; calculate C balance from yearly harvest instead of cumulated harvest using equations (1) (2) and (3)calculate C balance from yearly harvest instead of cumulated harvest using equations (1) (2) and (3), add products into perimeters as C variable includes HWP</t>
  </si>
  <si>
    <t>EC</t>
  </si>
  <si>
    <t>Japan</t>
  </si>
  <si>
    <t>explicit C balance</t>
  </si>
  <si>
    <t xml:space="preserve">Petersen, A. K., &amp; Solberg, B. </t>
  </si>
  <si>
    <t xml:space="preserve"> Greenhouse gas emissions, life-cycle inventory and cost-efficiency of using laminated wood instead of steel construction: Case: beams at Gardermoen airport</t>
  </si>
  <si>
    <t xml:space="preserve"> Environmental Science &amp; Policy</t>
  </si>
  <si>
    <t>10.1016/S1462-9011(01)00044-2</t>
  </si>
  <si>
    <t>efficiency of glulam manufacturing</t>
  </si>
  <si>
    <t>B2</t>
  </si>
  <si>
    <t>B1</t>
  </si>
  <si>
    <t>metre cube input of sawn wood</t>
  </si>
  <si>
    <t>Header table 5</t>
  </si>
  <si>
    <t>Table 5</t>
  </si>
  <si>
    <t>tCO2 / (m3 input of sawnwood)</t>
  </si>
  <si>
    <t>Prd</t>
  </si>
  <si>
    <t>Changes in the production of the reference</t>
  </si>
  <si>
    <t>B3</t>
  </si>
  <si>
    <t>efficiency wood product</t>
  </si>
  <si>
    <t>Glulam is landfilled (A3)</t>
  </si>
  <si>
    <t>steel beam</t>
  </si>
  <si>
    <t>laminated wood beam</t>
  </si>
  <si>
    <t>End-of-life steel reference</t>
  </si>
  <si>
    <t>Steel beams substitutes ore at the end of life (F2)</t>
  </si>
  <si>
    <t>basis scenario</t>
  </si>
  <si>
    <t>includes forest regrowth (=change in boundaries)</t>
  </si>
  <si>
    <t>Coal-based electricity in steel production</t>
  </si>
  <si>
    <t>Energy from glulam substitutes oil (A1)</t>
  </si>
  <si>
    <t>End-of-life wood</t>
  </si>
  <si>
    <t xml:space="preserve"> Substitution between floor constructions in wood and natural stone: comparison of energy consumption, greenhouse gas emissions, and costs over the life cycle</t>
  </si>
  <si>
    <t>10.1139/x03-020</t>
  </si>
  <si>
    <t>(G2) Bark-burning boiler at sawmill</t>
  </si>
  <si>
    <t>no bark burning boiler (basis scenario)</t>
  </si>
  <si>
    <t>G2</t>
  </si>
  <si>
    <t>Header table 4</t>
  </si>
  <si>
    <t>end-of-life wood product</t>
  </si>
  <si>
    <t>corrected AV, forest area scenarios excluded, perimeters not consistent</t>
  </si>
  <si>
    <t>building lifetime</t>
  </si>
  <si>
    <t>45 (basis scenario)</t>
  </si>
  <si>
    <t>(E2) Lifetime of building 90 years</t>
  </si>
  <si>
    <t>natural stone floor</t>
  </si>
  <si>
    <t>wood floor</t>
  </si>
  <si>
    <t>lifetime wood product</t>
  </si>
  <si>
    <t>tCO2/ (m3 input of sawnwood)</t>
  </si>
  <si>
    <t>include forest regrowth (= change in boundaries)</t>
  </si>
  <si>
    <t>(A1) energy from wood substitutes oil</t>
  </si>
  <si>
    <t>effciency wood product</t>
  </si>
  <si>
    <t>(A3) Wood is landfilled</t>
  </si>
  <si>
    <t xml:space="preserve"> Greenhouse gas emissions and costs over the life cycle of wood and alternative flooring materials</t>
  </si>
  <si>
    <t xml:space="preserve"> Climatic change</t>
  </si>
  <si>
    <t>10.1023/B:CLIM.0000024689.70143.79</t>
  </si>
  <si>
    <t>B3 highest estimate GHG emissions solid oak</t>
  </si>
  <si>
    <t>B1 lowest estimated GHG emissions solid oak</t>
  </si>
  <si>
    <t>Header table V</t>
  </si>
  <si>
    <t>Table V</t>
  </si>
  <si>
    <t>C2 No energy recovery</t>
  </si>
  <si>
    <t>Linoleum 1</t>
  </si>
  <si>
    <t>oak floorboard</t>
  </si>
  <si>
    <t xml:space="preserve">Linoleum 2 </t>
  </si>
  <si>
    <t>Vinyl 1</t>
  </si>
  <si>
    <t xml:space="preserve">Linoleum 1 </t>
  </si>
  <si>
    <t>oak flooring</t>
  </si>
  <si>
    <t xml:space="preserve">Vinyl 1 </t>
  </si>
  <si>
    <t xml:space="preserve">Vinyl 2 </t>
  </si>
  <si>
    <t>Vinyl 2</t>
  </si>
  <si>
    <t>Carpet, polyamide 1</t>
  </si>
  <si>
    <t>Carpet polyamide</t>
  </si>
  <si>
    <t>Carpet wool</t>
  </si>
  <si>
    <t xml:space="preserve">Carpet, wool 1 </t>
  </si>
  <si>
    <t>Life cycle analysis; Primary energy; Carbon emissions; Modelling options; Wood materials; Energy scenarios; Biogenic carbon; Multi-functional processes</t>
  </si>
  <si>
    <t>LIFE-CYCLE ASSESSMENT; GREENHOUSE-GAS; FOREST MANAGEMENT; WOOD; EFFICIENCY; CONCRETE; LCA; CONSTRUCTION; SUBSTITUTION; FOOTPRINT</t>
  </si>
  <si>
    <t>Piccardo, C; Gustavsson, L</t>
  </si>
  <si>
    <t>Implications of different modelling choices in primary energy and carbon emission analysis of buildings</t>
  </si>
  <si>
    <t>In recent years, several comparative life cycle analyses have shown that increasing the use of wood in buildings can reduce the life cycle primary energy use and carbon emission of buildings. This study reviews the life cycle inventory methodology of primary energy use and carbon emissions, based on ecoinvent database, considering different modelling choices for (i) materials heating values; (ii) biogenic carbon; (iii) calcination and carbonation processes; (iv) electricity production scenarios; (v) impact distribution of multi-functional processes; (vi) post-use benefits. The analysis relates to the standards while the implication of different modelling choice is shown by comparing the primary energy use and carbon emission in the production and end-of-life stages of a multi-storey residential building with concrete, cross laminated timber and modular timber structures, respectively. The results highlight the displacement between different modelling choices in terms of primary energy use and carbon emissions. Such modelling options especially influence the LCA results in the product stage and beyond the end of life stage, and especially wood-and/or cement-based materials. (c) 2021 The Author(s). Published by Elsevier B.V. This is an open access article under the CC BY license (http://creativecommons.org/licenses/by/4.0/).</t>
  </si>
  <si>
    <t>10.1016/j.enbuild.2021.111145</t>
  </si>
  <si>
    <t>Changes in End-of-life</t>
  </si>
  <si>
    <t>Glue-laminated wood, Lumber, Plywood, Particleboard</t>
  </si>
  <si>
    <t>Table 1</t>
  </si>
  <si>
    <t>tons</t>
  </si>
  <si>
    <t>Table 17</t>
  </si>
  <si>
    <t>t CO2</t>
  </si>
  <si>
    <t>Modular</t>
  </si>
  <si>
    <t>Changes in construction + energy recovery</t>
  </si>
  <si>
    <t>Changes in construction + wood recycling</t>
  </si>
  <si>
    <t>R</t>
  </si>
  <si>
    <t>Steel</t>
  </si>
  <si>
    <t>BIOENERGY RESEARCH</t>
  </si>
  <si>
    <t>Forest biomass; Intensive management; Carbon neutrality; Climate change</t>
  </si>
  <si>
    <t>ENERGY WOOD PRODUCTION; NORTH-CENTRAL SWEDEN; BOREAL FOREST; SCOTS PINE; NITROGEN DEPOSITION; DIOXIDE EMISSIONS; TIMBER PRODUCTION; THINNING REGIMES; SIMULATION-MODEL; BARK BEETLE</t>
  </si>
  <si>
    <t>Pyorala, P; Peltola, H; Strandman, H; Antti, K; Antti, A; Jylha, K; Kellomaki, S</t>
  </si>
  <si>
    <t>Effects of Management on Economic Profitability of Forest Biomass Production and Carbon Neutrality of Bioenergy Use in Norway Spruce Stands Under the Changing Climate</t>
  </si>
  <si>
    <t>We analyzed the effects of management on the economic profitability of forest biomass production and carbon neutrality of bioenergy use in Norway spruce (Picea abies L. Karst) stands under the changing climate. We employed a forest ecosystem model and life cycle assessment tool. In particular, we studied the effects of thinning, nitrogen fertilization, and rotation length on: (1) the production of timber and energy biomass, and its economic profitability (net present value), (2) carbon stock in the forest ecosystem and carbon balance in forestry, and (3) carbon dioxide (CO2) emissions from the use of biomass in energy production. Results showed that the current Finnish baseline management with and without nitrogen fertilization resulted in the highest mean annual timber production and net present value (NPV) for long rotations (60 to 80 years), regardless of climate scenario. Mean annual production of energy biomass was enhanced by increasing stocking by 20-30 % compared to the baseline management, and/or use of nitrogen fertilization. Such management gave lower CO2 emissions per unit of energy compared to the baseline management, as the carbon stock in the forest ecosystem and the carbon balance in forestry increased. Overall, the carbon neutrality and net present value were, on average, the highest in the baseline management or with a 20 % increase in stocking, with nitrogen fertilization and 60- to 80-year rotation lengths, regardless of the climate applied. However, it was not possible to simultaneously maximize the NPV of forest biomass production and the carbon neutrality of bioenergy use.</t>
  </si>
  <si>
    <t>BioEnergy Res.</t>
  </si>
  <si>
    <t>10.1007/s12155-013-9372-x</t>
  </si>
  <si>
    <t>Management</t>
  </si>
  <si>
    <t>R20 30-50 years</t>
  </si>
  <si>
    <t>RB 30-50 years</t>
  </si>
  <si>
    <t>mean annual production of energy biomass</t>
  </si>
  <si>
    <t>Table2</t>
  </si>
  <si>
    <t>m3 ha-1 a-1</t>
  </si>
  <si>
    <t>g CO2m−2 a−1</t>
  </si>
  <si>
    <t>Statistics Finalns (ref 47 in the paper)</t>
  </si>
  <si>
    <t>change wood variable to harvested m3</t>
  </si>
  <si>
    <t>R30 30-50 years</t>
  </si>
  <si>
    <t>simulation time depends on rotation length so the time boundary is not consistent for the effect of rotation length</t>
  </si>
  <si>
    <t>R30F 30-50 years</t>
  </si>
  <si>
    <t>RBF 30-50 years</t>
  </si>
  <si>
    <t>R20F 30-50 years</t>
  </si>
  <si>
    <t>Fertilization</t>
  </si>
  <si>
    <t>MT- R30 60-80 years</t>
  </si>
  <si>
    <t>OMT- R30 60-80 years</t>
  </si>
  <si>
    <t>change wood variable to harvested m3, Fix driver, set it to site fertility</t>
  </si>
  <si>
    <t>MT- RBF 60-80 years</t>
  </si>
  <si>
    <t>OMT- RBF 60-80 years</t>
  </si>
  <si>
    <t>MT - R30F 60-80 years</t>
  </si>
  <si>
    <t>OMT - R30F 60-80 years</t>
  </si>
  <si>
    <t>MT- R20F 60-80 years</t>
  </si>
  <si>
    <t>OMT- R20F 60-80 years</t>
  </si>
  <si>
    <t>MT- R20 60-80 years</t>
  </si>
  <si>
    <t>OMT- R20 60-80 years</t>
  </si>
  <si>
    <t>MT- RB 60-80 years</t>
  </si>
  <si>
    <t>OMT- RB 60-80 years</t>
  </si>
  <si>
    <t>Embodied carbon; Lifecycle analysis; Uncertainty analysis; Monte Carlo simulation; Mass timber structure; Cross-laminated timber</t>
  </si>
  <si>
    <t>LIFE-CYCLE ASSESSMENT; GREENHOUSE-GAS EMISSIONS; BIO-BASED MATERIALS; ENVIRONMENTAL BENEFITS; STRUCTURAL DESIGN; LAMINATED TIMBER; ASSESSMENT LCA; ENERGY; CEMENT; SYSTEM</t>
  </si>
  <si>
    <t>Robati, M; Oldfield, P</t>
  </si>
  <si>
    <t>The embodied carbon of mass timber and concrete buildings in Australia: An uncertainty analysis</t>
  </si>
  <si>
    <t>This research uses uncertainty analysis to determine and compare the range of embodied carbon outcomes of mid-rise mass timber and concrete buildings in Australia. In doing so, it measures the variability in inventory databases, transportation distance, lifetime of building components, biogenic carbon emissions, carbonation of concrete materials and end-of-life scenarios. Through the use of Monte Carlo analysis, the research found that the embodied carbon of a mass timber building ranged from 196 kgCO(2-e)/m(2) to 590 kgCO(2-e)/m(2) with a mean of 417 kgCO(2-e)/m(2). For a post-tensioned concrete building the range was 307 kgCO(2-e)/m(2) to 618 kgCO(2-e)/m(2) with a mean of 465 kgCO(2-e)/m(2). This equates to a 48 kgCO(2-e)/m(2) reduction in mean embodied carbon for the mass timber building. Using deterministic analysis, previous research suggested a more substantive 129 kgCO(2-e)/m(2) reduction. These results demonstrate that mass timber buildings do typically have a lower embodied carbon, compared to concrete buildings, however the significance of this depends on the assumptions made, and the input data used. For the concrete building, the variation in embodied carbon is primarily influenced by the inventory data and building products' lifetime. The greater range of embodied carbon in the mass timber building is due to variations associated with the inventory data, allocation of biogenic carbon emissions (sequestration, and forest management losses) and, different end-of-life scenarios associated with timber products. Despite this, the research suggests that with a carefully planned end-of-life strategy, mass timber mid-rise buildings have the potential to benefit from lower embodied carbon emissions, as compared to concrete buildings, across their full lifecycle.</t>
  </si>
  <si>
    <t>10.1016/j.buildenv.2022.108944</t>
  </si>
  <si>
    <t>end-of life strategy</t>
  </si>
  <si>
    <t>Mass timber</t>
  </si>
  <si>
    <t>Mass timber building</t>
  </si>
  <si>
    <t>quantity of material</t>
  </si>
  <si>
    <t>m3 converted to /m2 by dividing by area</t>
  </si>
  <si>
    <t xml:space="preserve">kgCO2eq/m2 </t>
  </si>
  <si>
    <t>level of biogenic carbon losses related to forest management practices</t>
  </si>
  <si>
    <t>lifetime materials</t>
  </si>
  <si>
    <t>building type (for stochastic output, production stages only)</t>
  </si>
  <si>
    <t>Post-tension concrete building</t>
  </si>
  <si>
    <t>building type (for stochastic output, non biogenic production stages only)</t>
  </si>
  <si>
    <t>building type (for deterministic output)</t>
  </si>
  <si>
    <t>Base case</t>
  </si>
  <si>
    <t>building type (for stochastic output)</t>
  </si>
  <si>
    <t>building type (for stochastic output, end-of-life stages only)</t>
  </si>
  <si>
    <t>GLOBAL CHANGE BIOLOGY BIOENERGY</t>
  </si>
  <si>
    <t>clonal material; CO2 emissions; economic profitability; energy biomass; Norway spruce; timber</t>
  </si>
  <si>
    <t>SIMULATION-MODEL; ECOSYSTEM; CLIMATE; HEIGHT; WATER</t>
  </si>
  <si>
    <t>Routa, J; Kellomaki, S; Strandman, H; Bergh, J; Pulkkinen, P; Peltola, H</t>
  </si>
  <si>
    <t>The timber and energy biomass potential of intensively managed cloned Norway spruce stands</t>
  </si>
  <si>
    <t>We used ecosystem model simulations to study the timber and energy biomass potential offered by intensively managed cloned Norway spruce stands. More specifically, we analysed how the use of cloned trees compared with non-cloned trees, together with thinning, nitrogen (N) fertilisation and rotation length (from 60 to 100 years), affects the annual mean production of timber (i.e., saw logs, pulpwood) and energy biomass (i.e., stumps and harvesting residuals in the final felling) and its economic profitability [annual mean of net present value (NPV) with a 2% interest rate]. Furthermore, we employed a life cycle analysis/emission calculation tool to assess the total net CO2 emissions per unit of energy (kg CO2 MW h-1) produced based on energy biomass. We found that both the annual mean production of timber and the NPV increased substantially, regardless of the management regime, if cloned trees with an annual growth increase of up to 30% compared with non-cloned trees were used in regeneration. In general, the use of a short rotation with N fertilisation clearly increased the annual mean of the NPV. Consequently, the use of cloned trees also clearly increased the annual mean production of energy biomass and decreased the total net CO2 emissions per unit of energy produced based on energy biomass. However, the total annual net CO2 emissions were the lowest if a long rotation was used with N fertilisation. To conclude, the use of cloned trees together with intensive management could potentially be highly beneficial for the cost-efficient and sustainable production of timber and energy biomass in an integrated way.</t>
  </si>
  <si>
    <t>GCB Bioenergy</t>
  </si>
  <si>
    <t>10.1111/gcbb.12002</t>
  </si>
  <si>
    <t>Fertilized; 100yr rotation; Improved Productivity of 30% with clonal Norway Spruce</t>
  </si>
  <si>
    <t>BAU</t>
  </si>
  <si>
    <t>Energy biomass yield</t>
  </si>
  <si>
    <t>m3 ha-1 yr-1</t>
  </si>
  <si>
    <t>kg CO2 MWh-1 yr-1</t>
  </si>
  <si>
    <t>Fertilized; 80yr rotation; nonclone improvement</t>
  </si>
  <si>
    <t xml:space="preserve">changed </t>
  </si>
  <si>
    <t>Unfertilized; 80yr rotation; nonclone improvement</t>
  </si>
  <si>
    <t>Unfertilized; 100yr rotation; Improved Productivity of 30% with clonal Norway Spruce</t>
  </si>
  <si>
    <t>Fertilized; 100yr rotation; nonclone improvement</t>
  </si>
  <si>
    <t>Unfertilized; 100yr rotation; nonclone improvement</t>
  </si>
  <si>
    <t>Fertilized; 60yr rotation; nonclone improvement</t>
  </si>
  <si>
    <t>Fertilized; 80yr rotation; Improved Productivity of 30% with clonal Norway Spruce</t>
  </si>
  <si>
    <t>Fertilized; 60yr rotation; Improved Productivity of 30% with clonal Norway Spruce</t>
  </si>
  <si>
    <t>Unfertilized; 80yr rotation; Improved Productivity of 30% with clonal Norway Spruce</t>
  </si>
  <si>
    <t>Unfertilized; 60yr rotation; Improved Productivity of 30% with clonal Norway Spruce</t>
  </si>
  <si>
    <t>Energy biomass yield from unfertilized and fertilized nonclone and clonal species</t>
  </si>
  <si>
    <t>SUSTAINABLE CITIES AND SOCIETY</t>
  </si>
  <si>
    <t>Greenhouse gas; Concrete; Timber; Buildings; Life cycle assessment; Construction</t>
  </si>
  <si>
    <t>LIFE-CYCLE ASSESSMENT; OFFICE BUILDINGS; ENVIRONMENTAL EMISSIONS; REINFORCED-CONCRETE; INVENTORY ANALYSIS; EMBODIED ENERGY; UNITED-STATES; CO2 EMISSIONS; LCA; IMPACTS</t>
  </si>
  <si>
    <t>Sandanayake, M; Lokuge, W; Zhang, GM; Setunge, S; Thushar, Q</t>
  </si>
  <si>
    <t>Greenhouse gas emissions during timber and concrete building construction - A scenario based comparative case study</t>
  </si>
  <si>
    <t>Greenhouse gas (GHG) is a major air emission pollutant that creates environmental burden in buildings. Timber buildings are gaining notable popularity in the building industry due to life cycle environmental and economic benefits over conventional buildings. However, little or no studies have made attempts to compare greenhouse gas emission variations in timber and concrete buildings during the construction stage. Knowledge of emission at the construction stage is critical for passionate contractors who wants to maintain an environmental friendly built environment. The study presented in this paper aims to compare GHG emissions and energy consumptions during timber and concrete building construction. A process based quantitative assessment is conducted for evaluating emissions from materials, equipment and transportation stages. The comparative results of the study indicated that use of timber can reduce embodied emissions as well as transportation emissions during the construction stage. Scenario analyses results comprehends that recycling of materials and use of regional materials influence GHG emissions the most while transportation distance has medium effect on total GHG emissions at the construction stage of timber building. The results of the study are important in aggregate level decision making of timber and concrete buildings. Further studies are encouraged on conducting comprehensive assessment of different timber usages in a building to investigate the GHG emission variation.</t>
  </si>
  <si>
    <t>Sust. Cities Soc.</t>
  </si>
  <si>
    <t>10.1016/j.scs.2017.12.017</t>
  </si>
  <si>
    <t>CLTwoodBuildingVersusConcrete</t>
  </si>
  <si>
    <t>Structural Timber</t>
  </si>
  <si>
    <t>This paper was really stupid</t>
  </si>
  <si>
    <t>FORESTS</t>
  </si>
  <si>
    <t>Forests</t>
  </si>
  <si>
    <t>TgCO2e</t>
  </si>
  <si>
    <t>mass timber construction; recycling potential; material recycling; zero waste; concrete buildings</t>
  </si>
  <si>
    <t>LIFE-CYCLE; ENERGY NEED; CLT</t>
  </si>
  <si>
    <t>Su, QM; Huan, Q; Dua, ZC; Zhan, AX</t>
  </si>
  <si>
    <t>Recycling Potential Comparison of Mass Timber Constructions and Concrete Buildings: A Case Study in China</t>
  </si>
  <si>
    <t>The recycling potential (RP) indicates the ability of building materials to form a closed-loop material flow, that is, the material efficiency during its whole life cycle. Mass timber constructions and concrete buildings vary widely in RP, but the differences are difficult to calculate. This paper proposed a level-based scheme to compare the RP of mass timber and concrete buildings, and a BIM-Eco2soft-MS Excel workflow coupling Material Cycle Database and digital design tools were established to obtain information on building materials, resource consumption, and environmental impact for the RP calculation. Taking a residential building as an example, the difference in RP between mass timber and concrete at the material-level is firstly discussed. Then at the component-level, the RP of the wood structure component and concrete component is compared, and the optimization methods are proposed. Finally, the difference in RP between the mass timber building and reinforced concrete building at the building-level are illustrated. The results show that the RP of mass timber building is higher, and the disassembly ability is better. Within a 100-year service life, the RP of mass timber buildings is 73% and that of the reinforced concrete building is 34%. The total amount of material consumption and waste of the Variant CLT is 837,030 kg and 267,237 kg respectively, which is less than one-third of that of concrete buildings (3,458,488 kg; 958,145 kg). The Global Warming potential (GWP) of these two variants is -174.0 kgCO(2)/m(2) and 221.0 kgCO(2)/m(2) separately, indicating that the Variant CLT can realize negative carbon emissions and gain ecological benefits. A sensitivity analysis is conducted to explore the potential impacts of certain parameters on GWP and RP of buildings. The research can provide the reference for material selection, component design, and RP optimization of mass timber buildings. In addition, new ideas for assessing the potential of circularity as a design tool are proposed to support the transition towards a circular construction industry and to realize carbon neutrality.</t>
  </si>
  <si>
    <t>10.3390/su14106174</t>
  </si>
  <si>
    <t>100th year consumption</t>
  </si>
  <si>
    <t>table 3</t>
  </si>
  <si>
    <t>kg (converted to /m2 with area 3000m2)</t>
  </si>
  <si>
    <t>table 9</t>
  </si>
  <si>
    <t>kgCO2/m2</t>
  </si>
  <si>
    <t>CLT 50yr lifespan</t>
  </si>
  <si>
    <t>CLT 150yr lifespan</t>
  </si>
  <si>
    <t>VB</t>
  </si>
  <si>
    <t>Baseline</t>
  </si>
  <si>
    <t xml:space="preserve">Upton, B., Miner, R., Spinney, M., &amp; Heath, L. S. </t>
  </si>
  <si>
    <t xml:space="preserve"> The greenhouse gas and energy impacts of using wood instead of alternatives in residential construction in the United States</t>
  </si>
  <si>
    <t>10.1016/j.biombioe.2007.07.001</t>
  </si>
  <si>
    <t>wall type in Minneapolis' house</t>
  </si>
  <si>
    <t>steel frame wall system</t>
  </si>
  <si>
    <t>wood-frame wall system</t>
  </si>
  <si>
    <t>Product sequestration</t>
  </si>
  <si>
    <t>MtCO2 eq.</t>
  </si>
  <si>
    <t>OK</t>
  </si>
  <si>
    <t>Fix sequestration sign; added driver category, changed Qwood to absolute value instead of %</t>
  </si>
  <si>
    <t>wall type in Atlanta's house</t>
  </si>
  <si>
    <t>concrete frame wall system</t>
  </si>
  <si>
    <t>PROCEEDINGS OF THE INSTITUTION OF CIVIL ENGINEERS-ENGINEERING SUSTAINABILITY</t>
  </si>
  <si>
    <t>structural frameworks; energy</t>
  </si>
  <si>
    <t>LIFE-CYCLE ENERGY</t>
  </si>
  <si>
    <t>Vukotic, L; Fenner, RA; Symons, K</t>
  </si>
  <si>
    <t>Assessing embodied energy of building structural elements</t>
  </si>
  <si>
    <t>Although operational energy is currently the focal point of sustainability in building regulations, embodied energy and carbon dioxide emissions will become more significant as operational energy consumption is reduced. In the near future, embodied energy could account for a significant proportion of a building's carbon footprint over its lifetime, bearing in mind that the construction of energy-efficient buildings is carbon and energy intensive. Unlike operational energy, embodied energy savings have an immediate significant effect on carbon footprint and are independent of human behaviour. However, there is a lack of consensus within the construction industry on how to assess embodied energy and carbon dioxide and where to draw system boundaries, which has impeded advancement on the issue. This paper analyses the life-cycle embodied energy and carbon dioxide emissions of a building's structural elements, and examines which stages within a building's life are the most significant and offer the most opportunities for a reduction of embodied energy and carbon dioxide. The embodied energy and associated carbon dioxide at the product and construction, maintenance and end-of-life stages of a structure are examined, as well as the potential for energy recovery and carbon dioxide offsetting. A simple single-storey structure is used as a case study to perform comparative analyses between two structural design alternatives: glue-laminated timber panels and steel frame with infill concrete blockwork.</t>
  </si>
  <si>
    <t>Proc. Inst. Civ. Eng.-Eng. Sustain.</t>
  </si>
  <si>
    <t>10.1680/ensu.2010.163.3.147</t>
  </si>
  <si>
    <t>Type of building (here a school sports hall)</t>
  </si>
  <si>
    <t>Steel frame</t>
  </si>
  <si>
    <t>Wooden framed (local wood)</t>
  </si>
  <si>
    <t>Amount of wood per m2 of building</t>
  </si>
  <si>
    <t>t wood product m-2</t>
  </si>
  <si>
    <t>kg CO2e m-2</t>
  </si>
  <si>
    <t>Wooden framed (imported wood)</t>
  </si>
  <si>
    <t>S2</t>
  </si>
  <si>
    <t>J. Ind. Ecol.</t>
  </si>
  <si>
    <t>Greenhouse gas emissions (GHG); Wood; House; Carbon; LCA; Landfill</t>
  </si>
  <si>
    <t>LIFE-CYCLE; WASTE; MANAGEMENT; LANDFILLS; IMPACTS; ENERGY</t>
  </si>
  <si>
    <t>Ximenes, FA; Grant, T</t>
  </si>
  <si>
    <t>Quantifying the greenhouse benefits of the use of wood products in two popular house designs in Sydney, Australia</t>
  </si>
  <si>
    <t>As the average wood products usage per unit of floor area in Australia has decreased significantly over time, there is potential for increased greenhouse gas (GHG) mitigation benefits through an increased use of wood products in buildings. This study determined the GHG outcomes of the extraction, manufacture, transport, use in construction, maintenance and disposal of wood products and other building materials for two popular house designs in Sydney, Australia. The life cycle assessment (LCA) was undertaken using the computer model SimaPro 7.1, with the functional unit being the supply of base building elements for domestic houses in Sydney and its subsequent use over a 50-year period. The key data libraries used were the Australian Life Cycle Inventory library, the ecoinvent library (with data adapted to Australian circumstances where appropriate) and data for timber production from an Australian study for a range of Australian forestry production systems and wood products. Two construction variations were assessed: the original intended construction, and a timber-maximised alternative. The indicator assessed was global warming, as the focus was on GHG emissions, and the effect of timber production, use and disposal on the fate of carbon. The timber maximised design resulted in approximately half the GHG emissions associated with the base designs. The sub-floor had the largest greenhouse impact due to the concrete components, followed by the walls due to the usage of bricks. The use of a timber maximised design offset between 23 and 25 % of the total operational energy of the houses. Inclusion of carbon storage in landfill made a very significant difference to GHG outcomes, equivalent to 40-60 % of total house GHG emissions. The most beneficial options for disposal from a GHG perspective were landfill and incineration with energy recovery. The study showed that significant GHG emission savings were achieved by optimising the use of wood products for two common house designs in Sydney. The switch of the sub-floor and floor covering components to a wood option accounted for most of the GHG savings. Inclusion of end of life parameters significantly impacted on the outcomes of the study.</t>
  </si>
  <si>
    <t>10.1007/s11367-012-0533-5</t>
  </si>
  <si>
    <t>House with more or less wood components</t>
  </si>
  <si>
    <t>Affinity house as designed</t>
  </si>
  <si>
    <t>Affinity house timber maximized</t>
  </si>
  <si>
    <t>Amount of wood in the house</t>
  </si>
  <si>
    <t>tCO2e</t>
  </si>
  <si>
    <t>Amount of wood in each house deducted from carbon stored in landfill after demolition. Order of magnitude consistent with average amount of wood per m2 in Australia given in the article.</t>
  </si>
  <si>
    <t>Tractor</t>
  </si>
  <si>
    <t>Cableway</t>
  </si>
  <si>
    <t>reg</t>
  </si>
  <si>
    <t>S1</t>
  </si>
  <si>
    <t>S0</t>
  </si>
  <si>
    <t>S3</t>
  </si>
  <si>
    <t>coy</t>
  </si>
  <si>
    <t>SILVA FENNICA</t>
  </si>
  <si>
    <t>boreal forest; carbon sequestration; forest biofuel; forest management planning; optimization</t>
  </si>
  <si>
    <t>FOREST MANAGEMENT; BIOMASS; SOILS; BIODIVERSITY; SIMULATOR; DYNAMICS; SWEDEN; SECTOR; BUDGET</t>
  </si>
  <si>
    <t>Backeus, S; Wikstrom, P; Lamas, T</t>
  </si>
  <si>
    <t>Modeling carbon sequestration and timber production in a regional case study</t>
  </si>
  <si>
    <t>Forests make up large ecosystems and by the uptake of carbon dioxide can play an important role in mitigating the greenhouse effect. In this study, mitigation of carbon emissions through carbon uptake and storage in forest biomass and the use of forest biofuel for fossil fuel substitution were considered. The analysis was performed for a 3.2 million hectare region in northern Sweden. The objective was to maximize net present value for harvested timber, biofuel production and carbon sequestration. A carbon price for build-up of carbon storage and for emissions from harvested forest products was introduced to achieve an economic value for carbon sequestration. Forest development was simulated using an optimizing stand-level planning model, and the solution for the whole region was found using linear programming. A range of carbon prices was used to study the effect on harvest levels and carbon sequestration. At a zero carbon price, the mean annual harvest level was 5.4 million m(3), the mean annual carbon sequestration in forest biomass was 1.48 million tonnes and the mean annual replacement of carbon from fossil fuel with forest biofuel was 61000 tonnes. Increasing the carbon price led to decreasing harvest levels of timber and decreasing harvest levels of forest biofuel. Also, thinning activities decreased more than clear-cut activities when the carbon prices increased. The level of carbon sequestration was governed by the harvest level and the site productivity. This led to varying results for different parts of the region.</t>
  </si>
  <si>
    <t>Silva. Fenn.</t>
  </si>
  <si>
    <t>10.14214/sf.318</t>
  </si>
  <si>
    <t>75SEK</t>
  </si>
  <si>
    <t>0SEK</t>
  </si>
  <si>
    <t>Mm3/yr</t>
  </si>
  <si>
    <t>MtC/yr</t>
  </si>
  <si>
    <t>150SEK</t>
  </si>
  <si>
    <t>300SEK</t>
  </si>
  <si>
    <t>600SEK</t>
  </si>
  <si>
    <t>1200SEK</t>
  </si>
  <si>
    <t>Cascading use; Woody biomass; Forest bioenergy; Resource use efficiency; GHG emissions reduction; Circular bioeconomy</t>
  </si>
  <si>
    <t>GLOBAL WARMING CONTRIBUTIONS; ENVIRONMENTAL IMPACTS; CARBON SEQUESTRATION; ROTATION LENGTH; PAPER-INDUSTRY; BIOMASS; ENERGY; METHODOLOGY; BIOENERGY; TRANSPORT</t>
  </si>
  <si>
    <t>Bais-Moleman, AL; Sikkema, R; Vis, M; Reumerman, P; Theurl, MC; Erb, KH</t>
  </si>
  <si>
    <t>Assessing wood use efficiency and greenhouse gas emissions of wood product cascading in the European Union</t>
  </si>
  <si>
    <t>Cascading use of biomass is a recognized strategy contributing to an efficient development of the bio-economy and for mitigating climate change. This study aims at assessing the potential of cascading use of woody biomass for reducing GHG (greenhouse gas) emissions and increasing the overall wood flow efficiency in the European Union's forest and bioeconomy sectors. A scenario and life cycle approach was followed to quantify the potential benefits of cascading use of woody biomass. We started from a reference scenario in which (post-consumer) waste wood and paper are re-utilized for energy only (S0). Then we compared the reference scenario with two alternative scenarios, the current waste wood and paper recycling practices (S1) and the maximum technical potential to increase recycling of waste wood and paper flows (S2). Following a supply chain perspective, different stages of production were analysed, including forgone fossil-fuels substitution, optimization at manufacturing level and forest regrowth. Through cascading use, the wood use efficiency ratio (cascade factor) in the European wood sector would be increased by 23% (S0 vs S1) and 31% (S0 vs S2) and GHG emissions (cradle-to-gate energy use) would be reduced by 42% (28 MtCO(2)-eq/year) and 52% (35 MtCO(2)-eq/year) in scenarios S1 and S2. However, increased wood product cascading is counter effected in the short term by reduced savings in the energy sector by 49% and 48% (-43 and -42 MtCO(2)-eq/year) in scenarios S1 and S2 due to delayed availability of waste wood and waste paper fibers. This explorative study highlights the potential of cascading use of woody biomass in the wood production chains to contribute to a reduction of environmental impacts related to wood resource and energy use, but it also reveals trade-offs in terms of GHG emissions reduction, relevant especially in meeting short-term (2020-2030) renewable energy targets. (C) 2017 Elsevier Ltd. All rights reserved.</t>
  </si>
  <si>
    <t>10.1016/j.jclepro.2017.04.153</t>
  </si>
  <si>
    <t>Recycling (wood product cascade for less wood pruduct use or extraction)</t>
  </si>
  <si>
    <t>S1 (state of art recycling practices)</t>
  </si>
  <si>
    <t>cascades in wood products</t>
  </si>
  <si>
    <t>TABLE4</t>
  </si>
  <si>
    <t>MtCO2eq/yr</t>
  </si>
  <si>
    <t>eur</t>
  </si>
  <si>
    <t>S2 (future improved recycling practices)</t>
  </si>
  <si>
    <t>ENVIRONMENTAL PROGRESS &amp; SUSTAINABLE ENERGY</t>
  </si>
  <si>
    <t>sustainability; life cycle assessment; climate change; CO2; greenhouse gas</t>
  </si>
  <si>
    <t>LIFE-CYCLE ASSESSMENT; ENERGY; MALAYSIA; CARBON; HOUSE; WOOD</t>
  </si>
  <si>
    <t>New residential construction building and composite post and beam structure toward global warming mitigation</t>
  </si>
  <si>
    <t>The construction industry has become one of the major sources of global greenhouse gas (GHG) emissions. Therefore, low carbon buildings have been assigned for reduction of human impact on the environment. The aim of this research is to decrease the CO2 effect from the building sector by eventually proposing a new structure for Malaysian construction with regard to the needs of this industry. Life cycle assessment (LCA) has been performed to analyze the CO2 emission for the Malaysian residential single family house. Seven different materials or structures have been assessed and the result shows that timber prefabricated post and beam is the best choice due to releasing less CO2 emissions to the atmosphere. However, timber has become almost forgotten as building material for house builders in Malaysia in the last four decades. The alternative building scheme has been made by reinforced steel plate into wooden beam and column and timber wall (S8) to improve the building structure deficiency and load bearing while releasing less CO2 emissions in comparison to other buildings. New structure has been designed by steel plate sandwiched between wood members and held together with bolts in beam and post toward decreasing the percentage of improper design and to improve accuracy in the execution of timber structure. Thus, new scheme (S8) could be advised to house maker and government as a new policy to promote the sustainability in construction sector. (c) 2017 American Institute of Chemical Engineers Environ Prog, 37: 1394-1402, 2018</t>
  </si>
  <si>
    <t>Environ. Prog. Sustain. Energy</t>
  </si>
  <si>
    <t>10.1002/ep.12807</t>
  </si>
  <si>
    <t>Timber &amp; brick instead of Brick &amp; concrete 500</t>
  </si>
  <si>
    <t>Timber &amp; brick instead of Brick &amp; concrete 100</t>
  </si>
  <si>
    <t>Timber &amp; brick instead of Brick &amp; concrete 20</t>
  </si>
  <si>
    <t>Timber &amp; brick instead of Precast concrete 500 yrs</t>
  </si>
  <si>
    <t>Timber &amp; brick instead of Precast concrete 100 yrs</t>
  </si>
  <si>
    <t>Timber &amp; brick instead of Precast concrete 20 yrs</t>
  </si>
  <si>
    <t>Timber prefabricated instead of Brick &amp; concrete 500</t>
  </si>
  <si>
    <t>Timber prefabricated instead of Brick &amp; concrete 100</t>
  </si>
  <si>
    <t>Timber prefabricated instead of Precast concrete 500 yrs</t>
  </si>
  <si>
    <t>Timber prefabricated instead of Brick &amp; concrete 20</t>
  </si>
  <si>
    <t>Timber prefabricated instead of Precast concrete 100 yrs</t>
  </si>
  <si>
    <t>Timber prefabricated instead of Precast concrete 20 yrs</t>
  </si>
  <si>
    <t>Timber prefabricated instead of Brick 500 yrs</t>
  </si>
  <si>
    <t>Timber &amp; brick instead of Brick 500 yrs</t>
  </si>
  <si>
    <t>Timber prefabricated instead of Brick 100 yrs</t>
  </si>
  <si>
    <t>Timber &amp; brick instead of Brick 100 yrs</t>
  </si>
  <si>
    <t>Timber prefabricated instead of Brick 20 yrs</t>
  </si>
  <si>
    <t>Timber &amp; brick instead of Brick 20 yrs</t>
  </si>
  <si>
    <t>Timber prefabricated instead of block work 500 yrs</t>
  </si>
  <si>
    <t>Timber prefabricated instead of Steel &amp; work 500</t>
  </si>
  <si>
    <t>Timber prefabricated instead of Steel &amp; work 100</t>
  </si>
  <si>
    <t>Timber &amp; brick instead of block work 500 yrs</t>
  </si>
  <si>
    <t>Timber prefabricated instead of Steel &amp; work 20</t>
  </si>
  <si>
    <t>Timber &amp; brick instead of Steel &amp; work 500</t>
  </si>
  <si>
    <t>Timber &amp; brick instead of Steel &amp; work 100</t>
  </si>
  <si>
    <t>Timber prefabricated instead of block work 100 yrs</t>
  </si>
  <si>
    <t>Timber &amp; brick instead of Steel &amp; work 20</t>
  </si>
  <si>
    <t>Timber prefabricated instead of block work 20 yrs</t>
  </si>
  <si>
    <t>Timber &amp; brick instead of block work 100 yrs</t>
  </si>
  <si>
    <t>Timber &amp; brick instead of block work 20 yrs</t>
  </si>
  <si>
    <t>JOURNAL OF ENVIRONMENTAL MANAGEMENT</t>
  </si>
  <si>
    <t>Biodiversity; Carbon; Climate change; Forest management; Simulation; Water</t>
  </si>
  <si>
    <t>DECISION-SUPPORT SYSTEM; FOREST-MANAGEMENT; ECOSYSTEM SERVICES; SEQUESTRATION; YIELD; WOOD; UNCERTAINTY; HARVEST; IMPACTS; STRATEGIES</t>
  </si>
  <si>
    <t>Baskent, EZ</t>
  </si>
  <si>
    <t>Exploring the effects of climate change mitigation scenarios on timber, water, biodiversity and carbon values: A case study in Pozanti planning unit, Turkey</t>
  </si>
  <si>
    <t>This study evaluated the performance of three climate change mitigation management scenarios; business as usual (BAU), low intensity management (LIM) and high intensity management (HIM) to provide ecosystem services. ETCAP simulation model was used to forecast forest development for Pozanti area with 17,603 ha forests in Turkey. Wood production, biodiversity conservation, carbon sequestration and water provision were the primary ecosystem services. The species composition, natural composition, key habitats and understory vegetation are maintained and small forest openings were left intact for wildlife. Some forest areas were allowed to develop older to provide better opportunities of biodiversity conservation. The increase of carbon stock was related to age class shifts to older stages due mainly to increasing afforestation areas and productivity. The marginal differences in total carbon balance were related to a smaller increase in volume increment in BAU scenario and a higher allocation of harvest to energy production for the LIM and HIM scenarios. The planning scenarios allowed better production of water runoffs with slight differences among the output of management scenarios. The prevailing variable was the areas of afforestation. The impacts of a forest management scenario on ecosystem services highly depend on the development rate and intensity of management interventions.</t>
  </si>
  <si>
    <t>J. Environ. Manage.</t>
  </si>
  <si>
    <t>10.1016/j.jenvman.2019.03.024</t>
  </si>
  <si>
    <t>Many simultaneous driver changes. According to theconclusions, afforested areas is the most important one</t>
  </si>
  <si>
    <t>LIM</t>
  </si>
  <si>
    <t>Cumulated harvest (tC/ha)</t>
  </si>
  <si>
    <t>Turkey</t>
  </si>
  <si>
    <t>(Sathre and O'Connor et al., 2010; Oliver et al.,2014)</t>
  </si>
  <si>
    <t>Changed to cumulated values</t>
  </si>
  <si>
    <t>fix boundaries, forest stock / forest stock+HWP/+substitution</t>
  </si>
  <si>
    <t>HIM</t>
  </si>
  <si>
    <t>CARBON MANAGEMENT</t>
  </si>
  <si>
    <t>Germany; forestry; carbon sequestration; substitution effects; scenario analysis</t>
  </si>
  <si>
    <t>CARBON SEQUESTRATION; WOOD; PRODUCT</t>
  </si>
  <si>
    <t>Bosch, M; Elsasser, P; Rock, J; Weimar, H; Dieter, M</t>
  </si>
  <si>
    <t>Extent and costs of forest-based climate change mitigation in Germany: accounting for substitution</t>
  </si>
  <si>
    <t>The objective of this study is to quantify the contribution of the German forestry to climate change mitigation and to calculate the associated costs at the national level. For that, the forest and harvested wood products carbon pools are considered as well as energy and material substitution. We compare five different scenarios, each referring to an alternative level of timber harvests (due to changing rotation lengths or setting aside of forest areas). The study shows that enhancing the use of wood products at the expense of other materials, such as steel, plastic or concrete, can have a substantial impact on the overall carbon balance.</t>
  </si>
  <si>
    <t>Carbon Manag.</t>
  </si>
  <si>
    <t>10.1080/17583004.2018.1560194</t>
  </si>
  <si>
    <t>Mobilizing +5% of  area (opposite ref as paper)</t>
  </si>
  <si>
    <t>Scenario 4</t>
  </si>
  <si>
    <t>Scenario 0</t>
  </si>
  <si>
    <t>harvested volume</t>
  </si>
  <si>
    <t>fig1</t>
  </si>
  <si>
    <t>Mm3 under bark cumulated over period</t>
  </si>
  <si>
    <t>MtCO2</t>
  </si>
  <si>
    <t>Germany</t>
  </si>
  <si>
    <t>Fix sequestration sign and extract cumulated values</t>
  </si>
  <si>
    <t>10% increase in timber harvest (opposite ref as paper)</t>
  </si>
  <si>
    <t>Scenario 3</t>
  </si>
  <si>
    <t>Ruter S. Projection of net emissions from harvested wood products in European countries: for the period 2013–2020. Work Report 2011/1 of the Institute of Wood Technology and Wood Biology. Hamburg: Johann Heinrich von Th€unen-Institut (2011).</t>
  </si>
  <si>
    <t>Knauf M, K€ohl M, Mues V, Olschofsky K, Fr€uhwald A. Modeling the CO2-effects of forest management and wood usage on a regional basis. Carbon Balance Manage. 10, 13 (2015).</t>
  </si>
  <si>
    <t>Harvesting age decreased by ~17 years to reach lower standing stock: following the protocol, the original ref scenario is used as "alternative" and opposite values of deltas are retained.</t>
  </si>
  <si>
    <t>Scenario 1</t>
  </si>
  <si>
    <t>Diameter threshold for harvesting decreased by 10 cm (opposite ref as paper)</t>
  </si>
  <si>
    <t>Scenario 2</t>
  </si>
  <si>
    <t>JOURNAL OF THE FACULTY OF FORESTRY-ISTANBUL UNIVERSITY</t>
  </si>
  <si>
    <t>Climate change mitigation; national GHG inventory; harvested wood products</t>
  </si>
  <si>
    <t>CLIMATE-CHANGE MITIGATION; FOREST ECOSYSTEMS; BIOMASS</t>
  </si>
  <si>
    <t>Bouyer, O; Serengil, Y</t>
  </si>
  <si>
    <t>Carbon stored in harvested wood products in Turkey and projections for 2020</t>
  </si>
  <si>
    <t>Turkey is an Annex-I country under the United Nations Framework Convention on Climate Change (UNFCCC) and therefore submits its Greenhouse gases (GHG) emissions and removals from anthropogenic sources to the UNFCCC secretariat on an annual basis, through a National GHG Inventory Report (NIR). GHG emissions and removals from Land Use, Land Use and Forestry (LULUCF) constitute one of the main sectors in this report. One of the major land use categories in this sector is Forestland, and harvests in this category must be considered as a direct GHG emission to the atmosphere, unless the fate of the Harvested Wood Products (HWP) is reported. In this study, we estimated the carbon sequestration in the HWP category of the Turkish NIR, according to the 2006 Guidelines for GHG inventory in the Agriculture, Forestry and Other Land Use (AFOLU) sector, from the International Panel of Experts on Climate Change (IPCC). This is the first time such an estimate of carbon stocks and carbon stock changes in the HWP pool has been carried out in Turkey. The calculation has been done in Tier 2. We used United Nations Economic Commission for Europe (UNECE) Timber database disaggregated figures for HWP produced in Turkey from 1964 to 2013. We focused on the two main HWP categories, which are sawnwood and wood-based panels. Comparing UNECE data series with Orman Genel Mfidtirlfigil (OGM, the Republic of Turkey, General Directorate of Forestry) data series for industrial roundwood over 1976-2013 (starting date for OGM data series), we noticed some anomalies (with UNECE data series as a basis: max: + 47%, min = -2 3%, mean = + 16%). Thus, the UNECE data on sawnwood and wood based panels were corrected based on OGM data. These anomalies could be due to: (i) use of volume over bark for UNECE and volume under bark for OGM (+ 15% for volume over bark), and (ii) integration of industrial roundwood coming from the private sector for UNECE. In order to ensure coherence, we then corrected the 1976-2013 UNECE data series for sawnwood and wood-based panels production taking into account for each year the percentage of anomaly. However, from 1976 to 1982, the anomalies are much reduced (-1% in average), which allow using the UNECE data series from 1964 to 1975. We estimated the average share of each HWP over the last ten years: 4 8% for sawnwood and 38% for wood-based panels. The 14% of other HWP are not considered in the analysis, either because they are short-lived products or marginal or difficult to estimate. A projection of HWP has been done until 2020 based on 2 alternative scenarios based on OGM strategy documents: intensive harvesting and extensive harvesting. For each scenario, intensive vs extensive, we disaggregated the 2013-2020 volume of industrial roundwood into the two HWPs, using the calculated percentages. The results of our analysis revealed that the HWP pool can add 3.14 Gg C02 eq yr(-1) additional removal to LULUCF sector in the GHG inventory of Turkey for 2013 compared to 1990. The amount of contribution is estimated to rise up to 13.70 Mt CO2 eq yr-, and 10.99 Mt C02 eq yr(-1) for intensive and extensive scenarios that are developed based on OGM strategic plans in 2020.</t>
  </si>
  <si>
    <t>J. Fac. For.-Istanb. Univ.</t>
  </si>
  <si>
    <t>10.17099/jffiu.48603</t>
  </si>
  <si>
    <t xml:space="preserve">harvest level including thinnings. Seems like the dimensions of the harvested wood have an effect on wood use and product life span </t>
  </si>
  <si>
    <t>extensive</t>
  </si>
  <si>
    <t>intensive harvest (Fig 2)</t>
  </si>
  <si>
    <t>Harvest</t>
  </si>
  <si>
    <t>Mm3</t>
  </si>
  <si>
    <t>Gg CO2 eq</t>
  </si>
  <si>
    <t>Fix data pair to record effect of driver and not time evolution</t>
  </si>
  <si>
    <t>CARBON MANAGEMENT, TECHNOLOGIES, AND TRENDS IN MEDITERRANEAN ECOSYSTEMS</t>
  </si>
  <si>
    <t>Climate change; Mitigation; Cost-benefit analysis; Kyoto Protocol; LULUCF</t>
  </si>
  <si>
    <t>Cost-Benefit Assessment of Implementing LULUCF Accounting Rules in Turkey</t>
  </si>
  <si>
    <t>Turkey is an Annex 1 Party with Specific circumstances because it has the fastest population growth rate among the Organization for Economic Cooperation and Development (OECD) countries and lowest per capita energy-related CO2 emissions among the International Energy Agency (IEA) countries. In addition, all national indicators show that Turkey is in fact a developing country. It was deleted from Annex 2 of the United Nations Framework Convention on Climate Change (UNFCCC) and not included in the Annex B of the first term of the Kyoto Protocol (KP1). In the context of preparation of a 2015 multilateral treaty on climate change, which would enter into force in 2020, differentiation between Annex 1 and non-Annex 1 Parties may be revisited, and it seems useful to explore the possible consequences of such a reclassification. Accordingly, this study aims at providing a neutral cost/benefit assessment of implementing Land Use, Land Use Change and Forestry (LULUCF) accounting rules in Turkey in the future, as one possible scenario. The rationale for this assessment is based on a technical and objective deduction and does not in any way pre-empt the national positions put forward by Turkey in the climate negotiations or any possible COP decision that may determine its future classification, considering its specific circumstances. Turkey started reporting LULUCF under the Climate Convention in 2006. Presently, the LULUCF sink (made of a forest sink for its bigger part) is estimated to offset 12 % of Turkey's total greenhouse emissions. For afforestation/reforestation (A/R) (Article 3.3), the objectives of the 2014-2017 OGM (General Directorate of Forestry Turkish abbreviation) Strategic Plan were considered. For forest management (FM) (Article 3.4), two alternative scenarios were considered: 90 Mm3 of roundwood harvest between 2013 and 2017 (intensive harvest) and 25 Mm3/year of felling (industrial round wood) harvest by 2020 (extensive harvest). The corresponding volumes of firewood, felling and total round wood were forecast accordingly from 2013 to 2020. The carbon credits or Removal Units (RMUs) for Article 3.3 ARD and Article 3.4 FM (including the carbon storage in harvested wood products) were estimated using the guidelines from the intergovernmental panel of experts on climate change and taking into account the upgraded LULUCF rules. For Article 3.3, it was estimated that 119.4 million RMUs could be generated between 2013 and 2020, which is more than twice the maximum amount of RMUs to be generated under Article 3.4 FM. The total economic values (TEVs) of Turkey's forests have been estimated based on recent studies and then used to calculate benefits. Taking into account the recent European Union (EU) market price (Kyoto market) or the recent forest carbon price (Kyoto and voluntary markets), carbon benefits are reduced in all scenarios compared with other values included in the TEV of the forest. If we consider the carbon shadow price (i.e. the recommended carbon price from 2011 to 2050, to achieve the EU target of reducing GHG emissions fourfold by 2050), it is worth noting that the situation is quite different: for the 3.4 FM areas and mainly for 3.3 ARD areas, the carbon benefits are substantial. However, this price level is still far from attainable as negotiations stand now, unless the international community is able to adopt a strong political commitment in coming years.</t>
  </si>
  <si>
    <t>Article; Book Chapter</t>
  </si>
  <si>
    <t>10.1007/978-3-319-45035-3_8</t>
  </si>
  <si>
    <t>Increased harvest</t>
  </si>
  <si>
    <t>Text and figure 8.16 &amp; 8.17</t>
  </si>
  <si>
    <t>Figure 8,18</t>
  </si>
  <si>
    <t>MtCO2/yr</t>
  </si>
  <si>
    <t>carbon storage; GHG accounting; mitigation measures; harvested wood products</t>
  </si>
  <si>
    <t>AREA INCREMENT MODEL; CARBON; SECTOR; IMPACTS; STORAGE</t>
  </si>
  <si>
    <t>Braun, M; Fritz, D; Weiss, P; Braschel, N; Buchsenmeister, R; Freudenschuss, A; Gschwantner, T; Jandl, R; Ledermann, T; Neumann, M; Polz, W; Schadauer, K; Schmid, C; Schwarzbauer, P; Stern, T</t>
  </si>
  <si>
    <t>A holistic assessment of greenhouse gas dynamics from forests to the effects of wood products use in Austria</t>
  </si>
  <si>
    <t>Anthropogenic GHG emissions add a fast reinforcing feedback cycle to global carbon dynamics which continues to influence GHG concentrations in the Earth's atmosphere. When looking at forest carbon cycles there is potential in utilizing another feedback cycle, namely the carbon cycle involving harvested wood products. To assess the potential of the mitigation options arising from these carbon flows, the forest-based sector in Austria was modelled to assess causal links, dependencies and dynamics involved in GHG-relevant processes. Carbon dynamics were investigated in forests and forest soil carbon, the forest product chain and life-cycle analyses for substitution of conventional products with wood products in a cascade of different modelling approaches and paradigms, and the results synthesized. It was found that material use of products from domestic timber sources has the highest climate change mitigation efficiency when originating from sustainably managed forests regarding biomass stocks. The emissions saved through building up a carbon stock from harvested wood products and through emissions substitution can be as high as similar to 20 years of total annual Austrian emissions in 90 years. Additional conservation measures while sustaining sawnwood production and the related GHG benefits at a high level had the highest contribution to an overall carbon sink.</t>
  </si>
  <si>
    <t>10.1080/17583004.2016.1230990</t>
  </si>
  <si>
    <t>managed area</t>
  </si>
  <si>
    <t>scenario 2</t>
  </si>
  <si>
    <t>m3 utilized wood</t>
  </si>
  <si>
    <t>Gm3</t>
  </si>
  <si>
    <t>GtCO2-eq</t>
  </si>
  <si>
    <t>VB_changed</t>
  </si>
  <si>
    <t>policy type</t>
  </si>
  <si>
    <t>1a</t>
  </si>
  <si>
    <t>1b</t>
  </si>
  <si>
    <t>1c</t>
  </si>
  <si>
    <t>no driver</t>
  </si>
  <si>
    <t>FORESTRY</t>
  </si>
  <si>
    <t>Forestry</t>
  </si>
  <si>
    <t>million m3</t>
  </si>
  <si>
    <t>lumber</t>
  </si>
  <si>
    <t>FORESTRY CHRONICLE</t>
  </si>
  <si>
    <t>For. Chron.</t>
  </si>
  <si>
    <t>MtC</t>
  </si>
  <si>
    <t>FOREST ECOLOGY AND MANAGEMENT</t>
  </si>
  <si>
    <t>Carbon storage; Climate change mitigation; Forest management; Harvesting; Natural disturbance; Sustainability</t>
  </si>
  <si>
    <t>CANADIAN BOREAL FOREST; FIRE SUPPRESSION; CARBON STOCKS; WOOD PRODUCTS; MANAGEMENT; DISTURBANCE; REGIMES; FUTURE; DYNAMICS; HISTORY</t>
  </si>
  <si>
    <t>Colombo, SJ; Chen, JX; Ter-Mikaelian, MT; McKechnie, J; Elkie, PC; MacLean, HL; Heath, LS</t>
  </si>
  <si>
    <t>Forest protection and forest harvest as strategies for ecological sustainability and climate change mitigation</t>
  </si>
  <si>
    <t>An important consideration in forest management to mitigate climate change is the balance between forest carbon (C) storage and ecological sustainability. We explore the effects of management strategies on tradeoffs between forest C stocks and ecological sustainability under five scenarios, three of which included management and two scenarios which provide baselines emulating the natural forest. Managed forest scenarios were: (a) Protection (PROT), i.e., management by suppression of natural disturbance and harvest exclusion; (b) Harvest at a higher rate removing all sustainably available wood (HHARV); (c) Harvest at the lower historical average rate of harvest, AHARV. Both harvest scenarios reflected current forest management practices in the study area, including suppression of natural disturbance and a large (&gt;20% of total) forest area reserved from harvest. Scenarios (d) and (e) simulated natural forest with unsuppressed fire at higher (NDH) or lower (NDL) levels and no harvest. Ecological sustainability was evaluated using a coarse filter approach where forest age class and tree species composition were indicators of condition. The study area encompassed 3.4 million hectares of forest in northeastern Ontario at the interface between the temperate hardwood and boreal forest zones. Future forest condition for each scenario was modeled using a timber supply model (SFMM), and C stored in forests and wood products were estimated using the FORCARB-ON model. Forest protection (PROT) resulted in greatest forest C stocks, especially in the near term, but was within 95% of its maximum, becoming saturated within 30 years. Harvesting (HHARV and AHARV) resulted in less forest C stock compared to PROT, however, after 100 years of adding C in wood products to that in regenerating forests total C storage was equivalent or greater than forest C with PROT. In contrast, removing management (NDH and NDL) decreased C relative to any of the management regimes, though in NDL the decrease was delayed for 30 years compared to HHARV. Forest sustainability measured by similarity to natural forest age class was superior with HHARV and AHARV compared to PROT, although no management regime produced a fully natural result. PROT in particular largely lacked younger age classes. All management regimes produced species composition that was near or within the range of natural variation. This analysis provides an example of the types of tradeoffs that can be considered in evaluating the contribution of forests to climate change mitigation, either in a commercial forestry context or in an approach based on protected areas. Crown Copyright (C) 2012 Published by Elsevier B.V. All rights reserved.</t>
  </si>
  <si>
    <t>For. Ecol. Manage.</t>
  </si>
  <si>
    <t>10.1016/j.foreco.2012.06.016</t>
  </si>
  <si>
    <t>forest management</t>
  </si>
  <si>
    <t>Protection</t>
  </si>
  <si>
    <t>AHARV Lower harvest rate</t>
  </si>
  <si>
    <t>C stock of wood-in-use + in landfill</t>
  </si>
  <si>
    <t>TgC</t>
  </si>
  <si>
    <t>Fixed conversion Qwood</t>
  </si>
  <si>
    <t>HHARV Higher harvest rate</t>
  </si>
  <si>
    <t>natural disturbance rate</t>
  </si>
  <si>
    <t>Higher natural disturbance rate</t>
  </si>
  <si>
    <t>Lower natural disturbance rate</t>
  </si>
  <si>
    <t>JOURNAL OF FOREST ECONOMICS</t>
  </si>
  <si>
    <t>Forest sector; climate change; carbon balance; climate warming mitigation; bio-economic model</t>
  </si>
  <si>
    <t>LAND-USE CHANGE; WOOD-BASED ENERGY; CARBON SEQUESTRATION; RESPONSE FUNCTIONS; ECONOMIC-IMPACTS; TREE MORTALITY; US FORESTS; EUROPE; MODELS; BIOENERGY</t>
  </si>
  <si>
    <t>Delacote, P; Lobianco, A; Caurla, S; Bontemps, JD; Lungarska, A; Merian, P; Riviere, M; Barkaoui, A</t>
  </si>
  <si>
    <t>The Loop Effect: How Climate Change Impacts the Mitigation Potential of the French Forest Sector</t>
  </si>
  <si>
    <t>Objectives: Evaluate the capacity of temperate forest resources to both provide climate change mitigation and to sustain the downstream timber sector explicitly considering the cascade of biophysical and economic drivers (in particular, climate change impacts and subsequent adaptation actions) and their uncertainty. Methodology: A recursive bio-economic model of French forest resources, management, and timber markets has been coupled for this study with spatial statistical models of forest response to climate change long-term scenarios and land-use change. Main Results: (a) Climate change impacts on tree mortality are greater than those on tree growth variations; (b) Due to increasing competition with agriculture, climate change may reverse current trends in forest area expansion; (c) Due to rising average tree sizes, volume growth strongly declines over time and may eventually cease within the next century; (d) Future climate change impacts already have strong consequences on today's forest investment profitability; (e) The relative importance of forest substitution over forest sequestration increases as the timeframe increases; (f) While the forest sector has the potential to counterbalance a significant share of the national carbon emissions, this potential is threatened by climate change and the need to adapt to it. Profit-driven forest management does increase mitigation; (g) Uncertainty derived from using different climatic models over the same IPCC storyline has the same order of magnitude as the uncertainty derived from using the same climatic model under different storylines.</t>
  </si>
  <si>
    <t>J. For. Econ.</t>
  </si>
  <si>
    <t>10.1561/112.00000522</t>
  </si>
  <si>
    <t>forest area dynamics</t>
  </si>
  <si>
    <t>arpege_a1b</t>
  </si>
  <si>
    <t>arpege_a1b_carea</t>
  </si>
  <si>
    <t>Lobianco et al., 2016</t>
  </si>
  <si>
    <t>forest owners expectations</t>
  </si>
  <si>
    <t>arpege_a1b_fullexp</t>
  </si>
  <si>
    <t>risk aversion</t>
  </si>
  <si>
    <t>arpege_a1b_nora</t>
  </si>
  <si>
    <t>adaptive management</t>
  </si>
  <si>
    <t>arpege_a1b_nomgm</t>
  </si>
  <si>
    <t>driver changed to species</t>
  </si>
  <si>
    <t>climate change</t>
  </si>
  <si>
    <t>constant</t>
  </si>
  <si>
    <t>LLP</t>
  </si>
  <si>
    <t>ECOLOGICAL APPLICATIONS</t>
  </si>
  <si>
    <t>carbon emissions; climate change mitigation; forest carbon; harvested wood products; United States Climate Alliance; Vermont forests</t>
  </si>
  <si>
    <t>CLIMATE-CHANGE MITIGATION; CONTERMINOUS UNITED-STATES; LAND-COVER DATABASE; OLD-GROWTH FORESTS; CARBON SEQUESTRATION; NEW-ENGLAND; MANAGEMENT; BIOENERGY; PRODUCTIVITY; METAANALYSIS</t>
  </si>
  <si>
    <t>Dugan, AJ; Lichstein, JW; Steele, A; Metsaranta, JM; Bick, S; Hollinger, DY</t>
  </si>
  <si>
    <t>Opportunities for forest sector emissions reductions: a state-level analysis</t>
  </si>
  <si>
    <t>The forest sector can play a significant role in climate change mitigation. We evaluated forest sector carbon trends and potential mitigation scenarios in Vermont using a systems-based modeling framework that accounts for net emissions from all forest sector components. These components comprise (1) the forest ecosystem, including land-use change, (2) harvested wood products (HWP), and (3) substitution effects associated with using renewable wood-based products and fuels in place of more emission-intensive materials and fossil fuel-based energy. We assessed baseline carbon trends from 1995 through 2050 using a business as usual (BAU) scenario. Emission reductions associated with different forest management and HWP scenarios were evaluated relative to the BAU scenario from 2020 to 2050. We estimated uncertainty for each forest sector component and used a Monte Carlo approach to estimate the distribution of cumulative total mitigation for each scenario relative to baseline. Our analysis indicates that the strength of the forest sector carbon sink in Vermont has been declining and will continue to decline over coming decades under the BAU scenario. However, several scenarios evaluated here could be effective in reducing emissions and enhancing carbon uptake. Shifting HWP to longer-lived commodities resulted in a 14% reduction in net cumulative emissions by 2050, the largest reduction of all scenarios. A scenario that combined extending harvest rotations, utilizing additional harvest residues for bioenergy, and increasing forest productivity resulted in a 12% reduction in net cumulative emissions. Shifting commodities from pulp and paper to bioenergy showed a 7.3% reduction in emissions. In contrast, shortening rotations to increase harvests for bioenergy use resulted in a 5.5% increase in emissions. In summary, model simulations suggest that net emissions could be reduced by up to 14% relative to BAU, depending on the management and HWP-use scenario. Combining multiple scenarios could further enhance reductions. However, realizing the full climate mitigation potential of these forests may be challenging due to socioeconomic barriers to implementation, as well as alternative management objectives that must be considered along with carbon sequestration.</t>
  </si>
  <si>
    <t>Ecol. Appl.</t>
  </si>
  <si>
    <t>10.1002/eap.2327</t>
  </si>
  <si>
    <t>Productivity+residue+ExtendedRotation</t>
  </si>
  <si>
    <t>Portfolio</t>
  </si>
  <si>
    <t>HWP (final product)</t>
  </si>
  <si>
    <t>Smyth et al.2017</t>
  </si>
  <si>
    <t>Leskinen et al. 2018</t>
  </si>
  <si>
    <t>ExtendRotation</t>
  </si>
  <si>
    <t>ShortRot</t>
  </si>
  <si>
    <t>Increased fertility through unspecified practices including genetics</t>
  </si>
  <si>
    <t>Productivity</t>
  </si>
  <si>
    <t>HWP proportions</t>
  </si>
  <si>
    <t>IncreaseBioenergy</t>
  </si>
  <si>
    <t>Residue removal</t>
  </si>
  <si>
    <t>Residue</t>
  </si>
  <si>
    <t>More to bioenergy</t>
  </si>
  <si>
    <t>ShortRotBio</t>
  </si>
  <si>
    <t>FOREST POLICY AND ECONOMICS</t>
  </si>
  <si>
    <t>Climate change; Forest adaption; Economic trade-offs; Forest carbon</t>
  </si>
  <si>
    <t>ECOSYSTEM MODEL ANALYSIS; CLIMATE-CHANGE; CARBON SEQUESTRATION; ADAPTIVE MANAGEMENT; DISCOUNT RATE; WHITE SPRUCE; GROWTH; TIMBER; PRODUCTIVITY; BOREAL</t>
  </si>
  <si>
    <t>Dymond, CC; Giles-Hansen, K; Asante, P</t>
  </si>
  <si>
    <t>The forest mitigation-adaptation nexus: Economic benefits of novel planting regimes</t>
  </si>
  <si>
    <t>Previous studies have examined the economic trade-offs of climate change mitigation in forestry. However, most have not explicitly accounted for the impact of climate change on productivity or the value of carbon sequestration when considering the higher costs of adaptive planting. Here we build on previous studies from northwestern Canada, using the Woodstock optimization model to assess the economic trade-offs of the standard and two adaptive planting regimes under historical climate and a severe climate change scenario. We considered planting and harvesting costs and revenue from timber and carbon sequestration over 100 years. The analyses were done at a forest level using a continuous production process to identify the best combination of stand-level management to achieve multiple objectives, because that is consistent with strategic decision-making on public land in North America. Our results showed there are potential negative risks from climate change to: harvest volumes, net present value, growing stock, and ecosystem carbon sinks. Despite increased regeneration costs, we found some risk mitigation through adaptive planting, with the greatest benefits through diversification which had higher net present value, growing stock and ecosystem carbon than historic climate with standard stocking. This was a result of planting more valuable species, higher growth rates in mixed stands, and adaption of novel species to new climates. Adaptation through novel planting regimes is a cog-effective forest management strategy that can potentially offset some negative impacts of climate change.</t>
  </si>
  <si>
    <t>Forest Policy Econ.</t>
  </si>
  <si>
    <t>10.1016/j.forpol.2020.102124</t>
  </si>
  <si>
    <t>Species change</t>
  </si>
  <si>
    <t>GovStockingStand</t>
  </si>
  <si>
    <t>DouglasFir</t>
  </si>
  <si>
    <t>Harvest volume</t>
  </si>
  <si>
    <t>Diversity</t>
  </si>
  <si>
    <t>boreal forest; carbon credits; timber supply; market incentives; sustainable forest management; optimization; Carbon Budget Model of the Canadian Forest Sector (CBM-CFS3); Woodstock Forest Management Model</t>
  </si>
  <si>
    <t>NATURAL FORESTS; CLIMATE-CHANGE; BUDGET MODEL; SEQUESTRATION; TIMBER; DYNAMICS; BIOMASS; SECTOR; SCALE; STRATEGIES</t>
  </si>
  <si>
    <t>Elgie, S; McCarney, GR; Adamowicz, WL</t>
  </si>
  <si>
    <t>Assessing the implications of a carbon market for boreal forest management</t>
  </si>
  <si>
    <t>Canada's forests particularly the boreal-are a major storehouse of carbon. How they are managed could significantly affect Canada's greenhouse gas emissions while also presenting a new revenue source for forest managers. This study attempts to assess how a carbon price could affect forest management, particularly in Canada's boreal plains region. An integrated modelling approach is developed to incorporate both forest carbon and timber supply considerations within an optimal management framework. This modelling approach allows for consideration of alternative market and regulatory scenarios, along with a range of possible management intensity and harvest scheduling options over the landscape. The overall conclusion is that carbon incentives will increase the value of the boreal forest potentially quite significantly and will generally encourage management changes consistent with sustainable forest management practices.</t>
  </si>
  <si>
    <t>10.5558/tfc2011-027</t>
  </si>
  <si>
    <t>C price</t>
  </si>
  <si>
    <t>$25/tC</t>
  </si>
  <si>
    <t>$9/tC</t>
  </si>
  <si>
    <t>Cumulated harvest volume</t>
  </si>
  <si>
    <t>$1/tC</t>
  </si>
  <si>
    <t>$0/tC</t>
  </si>
  <si>
    <t>Environmental impacts; Renewable energy policy; Forest-wood chain; Climate change mitigation; Life cycle assessment; Alpine region</t>
  </si>
  <si>
    <t>LIFE-CYCLE ASSESSMENT; ENERGY; LCA</t>
  </si>
  <si>
    <t>Elisa, P; Alessandro, P; Andrea, A; Silvia, B; Mathis, P; Dominik, P; Manuela, R; Francesca, T; Voglar, GE; Tine, G; Nike, K; Thomas, S</t>
  </si>
  <si>
    <t>Environmental and climate change impacts of eighteen biomass-based plants in the alpine region: A comparative analysis</t>
  </si>
  <si>
    <t>In the energy and climate policy commitments of the European Union, the following targets have been foreseen up to 2030: reducing the greenhouse gas emissions of 40%, improving the energy conversion efficiency of 27%, and producing 27% of the energy from renewable energy sources. Nowadays, thanks to the development of reliable and efficient technologies, several possibilities exist to replace fossil fuels with renewable energy sources, such as wind power, solar, hydropower, geothermal, and biomass. In the Alpine region, biomass can play a key role for achieving the objectives foreseen by the EU policy strategy. In the last few years, due to the high available potentials of residues from forestry operations and sawmill processing, the Alpine region witnessed the development of centralized biomass district heating plants. The aim of the present study is to assess the environmental impacts of 18 biomass-based plants located in the Alpine region using a Life Cycle Assessment approach and to analyse the current market destination of the wood residues. The data were collected through face-to-face interviews with the stakeholders of the forest-wood supply chain (managers of biomass-based plant, sawmills, forest owners and enterprises). From the environmental point of view, the results of the Life Cycle Assessment (global climate change impact: 5-90 gCO(2) MJ(-1)) show that the critical points in the forest-wood supply chain are: the transport phase (1-54 gCO(2) MJ(-1)) and the wood processing phase (6-36 gCO(2) MJ(-1)). The results provided by Life Cycle Assessment can be used to increase the scientific knowledge of the environmental impacts related to the biomass conversion technology and to underline the weak points of the forest-wood supply chain. Furthermore, these results can support the decision makers in defining climate change mitigation strategies at regional and local level. (c) 2019 Elsevier Ltd. All rights reserved.</t>
  </si>
  <si>
    <t>10.1016/j.jclepro.2019.118449</t>
  </si>
  <si>
    <t xml:space="preserve">comparison of several biomass -based plants </t>
  </si>
  <si>
    <t>B</t>
  </si>
  <si>
    <t>C</t>
  </si>
  <si>
    <t>annual feedstock consumption</t>
  </si>
  <si>
    <t>fig.6</t>
  </si>
  <si>
    <t>fig7 x table3</t>
  </si>
  <si>
    <t>-7.0181175</t>
  </si>
  <si>
    <t>-20.604</t>
  </si>
  <si>
    <t>Eur</t>
  </si>
  <si>
    <t>-6.9106425</t>
  </si>
  <si>
    <t>-20.4226666666667</t>
  </si>
  <si>
    <t>D</t>
  </si>
  <si>
    <t>-18.6530153333333</t>
  </si>
  <si>
    <t>-18.4790944444444</t>
  </si>
  <si>
    <t>E</t>
  </si>
  <si>
    <t>-165.625</t>
  </si>
  <si>
    <t>-163.541666666667</t>
  </si>
  <si>
    <t>M</t>
  </si>
  <si>
    <t>-46.75</t>
  </si>
  <si>
    <t>-45.9861111111111</t>
  </si>
  <si>
    <t>A</t>
  </si>
  <si>
    <t>-11.2152777777778</t>
  </si>
  <si>
    <t>-10.9777777777778</t>
  </si>
  <si>
    <t>-0.107475</t>
  </si>
  <si>
    <t>-0.2375</t>
  </si>
  <si>
    <t>-0.173920888888889</t>
  </si>
  <si>
    <t>-0.181333333333333</t>
  </si>
  <si>
    <t>-0.763888888888889</t>
  </si>
  <si>
    <t>-2.08333333333333</t>
  </si>
  <si>
    <t>H</t>
  </si>
  <si>
    <t>-111.331133333333</t>
  </si>
  <si>
    <t>-109.302833333333</t>
  </si>
  <si>
    <t>-82.3375</t>
  </si>
  <si>
    <t>-80.7916666666667</t>
  </si>
  <si>
    <t>F</t>
  </si>
  <si>
    <t>-23.1756055833333</t>
  </si>
  <si>
    <t>P</t>
  </si>
  <si>
    <t>-25.5630416666667</t>
  </si>
  <si>
    <t>-22.7498070555556</t>
  </si>
  <si>
    <t>-25.0408333333333</t>
  </si>
  <si>
    <t>N</t>
  </si>
  <si>
    <t>-101.474383333333</t>
  </si>
  <si>
    <t>O</t>
  </si>
  <si>
    <t>-25.9134608</t>
  </si>
  <si>
    <t>-99.1751666666667</t>
  </si>
  <si>
    <t>-25.4376486666667</t>
  </si>
  <si>
    <t>G</t>
  </si>
  <si>
    <t>-437.095</t>
  </si>
  <si>
    <t>-429.4</t>
  </si>
  <si>
    <t>I</t>
  </si>
  <si>
    <t>-208.041166666667</t>
  </si>
  <si>
    <t>L</t>
  </si>
  <si>
    <t>-127.730146116667</t>
  </si>
  <si>
    <t>-197.041288888889</t>
  </si>
  <si>
    <t>-122.760463888889</t>
  </si>
  <si>
    <t>Q</t>
  </si>
  <si>
    <t>-19.7333333333333</t>
  </si>
  <si>
    <t>-18.2222222222222</t>
  </si>
  <si>
    <t>-2.0283</t>
  </si>
  <si>
    <t>S</t>
  </si>
  <si>
    <t>-0.338888888888889</t>
  </si>
  <si>
    <t>-1.54583333333333</t>
  </si>
  <si>
    <t>-0.522208333333333</t>
  </si>
  <si>
    <t>-1.51111111111111</t>
  </si>
  <si>
    <t>-2.29921666666667</t>
  </si>
  <si>
    <t>T</t>
  </si>
  <si>
    <t>-0.219777777777778</t>
  </si>
  <si>
    <t>-0.425798527777778</t>
  </si>
  <si>
    <t>-0.475812133333333</t>
  </si>
  <si>
    <t>-10.9998777777778</t>
  </si>
  <si>
    <t>-7.695</t>
  </si>
  <si>
    <t>-4.96968222777778</t>
  </si>
  <si>
    <t>-2.95</t>
  </si>
  <si>
    <t>-2.61111111111111</t>
  </si>
  <si>
    <t>-2.55491666666667</t>
  </si>
  <si>
    <t>-2.33513888888889</t>
  </si>
  <si>
    <t>Plywood</t>
  </si>
  <si>
    <t>Circular Economy; Time-dependency; Global Warming Potential (GWP); Dynamic life cycle assessment (LCA); Quality; Resource cascading</t>
  </si>
  <si>
    <t>LIFE-CYCLE ASSESSMENTS; IMPACT ASSESSMENT; BIOMASS RESOURCES; ENERGY; PRODUCTS; CARBON; LCA; OPTIMIZATION; EFFICIENCY; INVENTORY</t>
  </si>
  <si>
    <t>Faraca, G; Tonini, D; Astrup, TF</t>
  </si>
  <si>
    <t>Dynamic accounting of greenhouse gas emissions from cascading utilisation of wood waste</t>
  </si>
  <si>
    <t>Cascading utilisation of post-consumer wood waste has recently gained increasing attention in the European Union, aiming for a society in which the resource's properties are optimized through sequential uses. To date, material utilisation of wood waste has been limited to particleboard production, with additional niche alternatives being restricted by quality requirements for wood waste. In this consequential life cycle assessment focusing on post-consumer wood collected at Danish recycling centres, Global Warming Potential (GWP) impacts from quality-driven choices for cascading management of wood waste were compared with those from handling mixed wood waste qualities. GWPs were modelled by considering the dynamic profile of greenhouse gas emissions (including biogenic carbon dioxide) for two time horizons (100 and 500 years). The robustness of the results was tested by varying modelling assumptions with respect to electricity system, wood sourcing and associated rotation period, and impacts from indirect land use changes. The results demonstrated that valuing quality over quantity in wood waste management can ensure larger GWP savings, especially if recycling applications have a long lifetime and/or substitute energy-intensive products; such results were confirmed under all scenario analyses. Inclusion of land use changes credited land-intensive products. More cascade steps of the wood waste resource ensured larger savings; however, assumptions on the electricity mix, on the source of the wood alongside the choice of the time horizon for GWP greatly influenced the results on cascading management. (c) 2018 Elsevier B.V. All rights reserved.</t>
  </si>
  <si>
    <t>10.1016/j.scitotenv.2018.10.136</t>
  </si>
  <si>
    <t>Technical efficiency</t>
  </si>
  <si>
    <t>A1</t>
  </si>
  <si>
    <t>Supplementary E</t>
  </si>
  <si>
    <t>Denmark</t>
  </si>
  <si>
    <t>Czarnecki et al. 2005; Höglmeier et al., 2014;  Kim and Song, 2014;  Vis et al., 2016</t>
  </si>
  <si>
    <t>Lifespan</t>
  </si>
  <si>
    <t>C1 (50 years floor board)</t>
  </si>
  <si>
    <t>B1 (10 years)</t>
  </si>
  <si>
    <t>A1 (10 years floor board)</t>
  </si>
  <si>
    <t>Change in number of cascades</t>
  </si>
  <si>
    <t>B4</t>
  </si>
  <si>
    <t>wood recycled</t>
  </si>
  <si>
    <t>A4</t>
  </si>
  <si>
    <t>C1</t>
  </si>
  <si>
    <t>C4</t>
  </si>
  <si>
    <t>F1</t>
  </si>
  <si>
    <t>Forest carbon pool; Harvested wood product carbon pool; Methane emissions; Sessile oak; Forest management; Fossil fuel substitution</t>
  </si>
  <si>
    <t>LIFE-CYCLE ANALYSIS; ROTATION LENGTH; BEECH STANDS; SEQUESTRATION; DECOMPOSITION; SUBSTITUTION; INVENTORIES; EMISSIONS; BIOENERGY; SYSTEMS</t>
  </si>
  <si>
    <t>Fortin, M.; Ningre, F.; Robert, N; Mothe, F.</t>
  </si>
  <si>
    <t>Quantifying the impact of forest management on the carbon balance of the forest-wood product chain: A case study applied to even-aged oak stands in France</t>
  </si>
  <si>
    <t>In this study, we evaluated three different management scenarios in relation to their ability to maximize the carbon balance. The study was carried out within a context of managed even-aged sessile oak stands, and the management scenarios were contrasted in terms of stem density and rotation length. A system of models designed to represent the whole forest-wood product chain was used to assess the carbon balance of each scenario. The boundaries of this system were extended as far as possible to prevent any carbon leaks. Dead organic matter and disposed harvested wood products (HWPs) were taken into account in the assessment. The scenarios were compared in terms of their average stock in the forest and the HWP carbon pools, as well as some additional fluxes. These included: (i) substitution for fossil fuel; (ii) carbon emissions due to HWP processing; (iii) the accumulation of non-degradable carbon in the landfill; and (iv) methane emissions resulting from anaerobic decomposition of disposed HWPs. Results showed that the HWP carbon pools were about 10 times smaller than the forest carbon pools. The substitution for fossil fuel constituted the largest positive flux, whereas methane emissions in absence of methane recovery facilities accounted for 40% of the negative fluxes. The burning of wood products for energy was preferable to HWP disposal at the landfill site. As long as the risk of extreme climate events remains marginal, management scenarios that maintain higher stem densities over longer rotation lengths appeared to be favorable to carbon sequestration. (C) 2012 Elsevier B.V. All rights reserved.</t>
  </si>
  <si>
    <t>10.1016/j.foreco.2012.05.031</t>
  </si>
  <si>
    <t>Stand density</t>
  </si>
  <si>
    <t>low</t>
  </si>
  <si>
    <t>Standard</t>
  </si>
  <si>
    <t>MgC ha-1 CO2 eq</t>
  </si>
  <si>
    <t>Petersen Raymer (2006, see Table 14)</t>
  </si>
  <si>
    <t>Petersen and Solberg (2005)</t>
  </si>
  <si>
    <t>high</t>
  </si>
  <si>
    <t>Biomass; Co-firing; Coal; Energy crops; Great Lakes States; Greenhouse gas mitigation; Life Cycle Assessment; Sequestration</t>
  </si>
  <si>
    <t>UNITED-STATES; SEQUESTRATION; ENERGY; SOIL; DIVERSITY; CROPS; LAND; CO2</t>
  </si>
  <si>
    <t>Froese, RE; Shonnard, DR; Miller, CA; Koers, KP; Johnson, DM</t>
  </si>
  <si>
    <t>An evaluation of greenhouse gas mitigation options for coal-fired power plants in the US Great Lakes States</t>
  </si>
  <si>
    <t>We assessed options for mitigating greenhouse gas emissions from electricity generation in the US Great Lakes States, a region heavily dependent on coal-fired power plants. A proposed 600 MW power plant in northern Lower Michigan, USA provided context for our evaluation. Options to offset fossil CO2 emissions by 20% included biomass fuel substitution from (1) forest residuals, (2) short-rotation woody crops, or (3) switchgrass; (4) biologic sequestration in forest plantations; and (5) geologic sequestration using CO2 capture. Review of timber product output data, land cover data, and expected energy crop productivity on idle agriculture land within 120 km of the plant revealed that biomass from forestry residuals has the potential to offset 6% and from energy crops 27% of the annual fossil fuel requirement. Furthermore, annual forest harvest in the region is only 26% of growth and the surplus represents a large opportunity for forest products and bioenergy applications. We used Life Cycle Assessment (LCA) to compare mitigation options, using fossil energy demand and greenhouse gas emissions per unit electricity generation as criteria. LCA results revealed that co-firing with forestry residuals is the most attractive option and geologic sequestration is the least attractive option, based on the two criteria. Biologic sequestration is intermediate but likely infeasible because of very large land area requirements. Our study revealed that biomass feedstock potentials from land and forest resources are not limiting mitigation activities, but the most practical approach is likely a combination of options that optimize additional social, environmental and economic criteria. (C) 2009 Elsevier Ltd. All rights reserved.</t>
  </si>
  <si>
    <t>Biomass Bioenerg.</t>
  </si>
  <si>
    <t>10.1016/j.biombioe.2009.10.013</t>
  </si>
  <si>
    <t>Residues used for energy</t>
  </si>
  <si>
    <t>Short rotation wood</t>
  </si>
  <si>
    <t>Wood used</t>
  </si>
  <si>
    <t>kgCO2eq/kWh</t>
  </si>
  <si>
    <t>Fixed conversion</t>
  </si>
  <si>
    <t>forest products; global warming potential (GWP); industrial ecosystem; environmental assessment; life cycle assessment (LCA); carbon sequestration</t>
  </si>
  <si>
    <t>LIFE-CYCLE ASSESSMENT; IMPACT ASSESSMENT; BUILDING-MATERIALS; TEMPORARY-STORAGE; BIOGENIC CARBON; GREENHOUSE-GAS; ENERGY IMPACTS; MANAGEMENT; SYSTEMS; METRICS</t>
  </si>
  <si>
    <t>Ganguly, I; Pierobon, F; Hall, ES</t>
  </si>
  <si>
    <t>Global Warming Mitigating Role of Wood Products from Washington State's Private Forests</t>
  </si>
  <si>
    <t>Similar to standing trees in the forests, wood products play an important role in enhancing the global sequestered carbon pool, by retaining the atmospheric carbon in a sequestered form for the duration of the functional life of the wood products. This study uses a temporal radiative forcing analysis along with the functional half-life of different wood products to evaluate the impacts of wood products on global warming, including carbon storage and life cycle greenhouse gas production/extraction emissions. The methodology is applied to Washington State's aboveground biomass and timber harvest data, and to the State's comprehensive wood products mix. A moderate harvest rate simulation within Washington Biomass Calculator is used to estimate state harvest level, and statewide wood products manufacturing data is used for developing wood product mix estimates. Using this method, we estimate that the temporal carbon storage leads to a global warming mitigation benefit equivalent to 4.3 million tCO(2eq). Even after factoring in the greenhouse gas emissions associated with the harvest operations and wood products manufacturing processes, within the temporal model, the results show a net beneficial impact of approximately 1.7 million tCO(2eq), on an annual basis. It can further be noted that Washington State's annual biomass growth in its private forests exceeds its annual harvest, by a significant margin. This net yearly accumulation of biomass in the State's private forests leads to additional global warming mitigation benefits equivalent to 7.4 million tCO(2eq). Based on these results, we conclude that Washington's private forestry industry is a net global warming mitigator for the State, equivalent to 12% of the State's greenhouse gas emissions in 2015.</t>
  </si>
  <si>
    <t>10.3390/f11020194</t>
  </si>
  <si>
    <t>economic area</t>
  </si>
  <si>
    <t>Puget sound</t>
  </si>
  <si>
    <t>Olympic peninsula</t>
  </si>
  <si>
    <t>total harvest</t>
  </si>
  <si>
    <t>table 2</t>
  </si>
  <si>
    <t>bone-dry tons</t>
  </si>
  <si>
    <t>fig.5</t>
  </si>
  <si>
    <t>changed driver. Wood use is not a scenario because they are interlinked. Switched to location as a driver. Added the "without emissions" data</t>
  </si>
  <si>
    <t>inland empire</t>
  </si>
  <si>
    <t>LIFE-CYCLE ASSESSMENT; ENVIRONMENTAL PERFORMANCE; RESIDENTIAL CONSTRUCTION; ENERGY-CONSUMPTION; EMISSIONS; IMPACTS; SECTOR; DOORS</t>
  </si>
  <si>
    <t>Geng, AX; Chen, JX; Yang, HQ</t>
  </si>
  <si>
    <t>Assessing the Greenhouse Gas Mitigation Potential of Harvested Wood Products Substitution in China</t>
  </si>
  <si>
    <t>Substituting harvested wood products (HWP) for greenhouse gas (GHG) intensive nonwood materials in long-lived end uses has the potential to significantly reduce GHG emissions. To determine the mitigation effects of HWP substitution, we produced China-specific wood displacement factors (DFs) by HWP end use subcategory, defined as tonnes of carbon (tC) of reduced emissions per tC contained by the HWP substituted for typical alternative nonwood materials. The weighted average DFs for substituting HWP for nonwood materials in construction and furniture production in China were estimated to be 3.48 tC/tC and 1.36 tC/tC, respectively, or 2.90 tC/tC for HWP substitution when these two sectors were combined. If annual solid HWP consumption in China increased by 10% on the basis of 2014 consumption (an increase of 25.9 million m(3) of HWP) and these HWP were used to substitute for GHG-intensive materials in construction and furniture production, 18.76 Mt C of emission reduction can be achieved annually. Substituting HWP for nonwood materials in construction appeared to be more effective than in furniture manufacture in mitigating GHG emissions. Our study suggested that increasing HWP use in China, especially in the construction industry to substitute for nonwood materials can significantly contribute to China's emission reduction targets.</t>
  </si>
  <si>
    <t>10.1021/acs.est.8b06510</t>
  </si>
  <si>
    <t>material substitution</t>
  </si>
  <si>
    <t>dining room furniture</t>
  </si>
  <si>
    <t>HWP mass consumed in the material assembly</t>
  </si>
  <si>
    <t>kg/unit</t>
  </si>
  <si>
    <t>kgCO2eq/unit</t>
  </si>
  <si>
    <t>tonnes of carbon (tC) of reduced emissions per tC contained by the HWP substituted for typical alternative nonwood materials.</t>
  </si>
  <si>
    <t>added driver category and entered wood and emissions data.</t>
  </si>
  <si>
    <t>kitchen furniture</t>
  </si>
  <si>
    <t>bedroom furniture</t>
  </si>
  <si>
    <t>living room furniture</t>
  </si>
  <si>
    <t>urban bungalow brick-concrete</t>
  </si>
  <si>
    <t>tCO2eq/m2</t>
  </si>
  <si>
    <t>rural bungalow brick-concrete</t>
  </si>
  <si>
    <t>urban 4/6 stories brick-concrete</t>
  </si>
  <si>
    <t>urban 2/3 stories brick-concrete</t>
  </si>
  <si>
    <t>rural 2/3 stories brick-concrete</t>
  </si>
  <si>
    <t>urban bungalow reinforced-concrete</t>
  </si>
  <si>
    <t>other furniture</t>
  </si>
  <si>
    <t>Nonresidential brick-concrete</t>
  </si>
  <si>
    <t>urban 4/6 stories reinforced-concrete</t>
  </si>
  <si>
    <t>urban 2/3 stories reinforced-concrete</t>
  </si>
  <si>
    <t>office furniture</t>
  </si>
  <si>
    <t>Nonresidential reinforced-concrete</t>
  </si>
  <si>
    <t>AGROFORESTRY SYSTEMS</t>
  </si>
  <si>
    <t>ethanol; greenhouse gas; renewable energy; wood waste</t>
  </si>
  <si>
    <t>AGRICULTURAL LANDS; WESTERN CANADA; FEASIBILITY; ETHANOL; TREES</t>
  </si>
  <si>
    <t>Graham, PJ</t>
  </si>
  <si>
    <t>Potential for climate change mitigation through afforestation: an economic analysis of fossil fuel substitution and carbon sequestration benefits</t>
  </si>
  <si>
    <t>The impetus for this paper is Canada's commitment under the Kyoto Protocol to reduce national greenhouse gas emissions as well as reducing dependency on fossil fuels. This research assesses the economic viability of using biomass from afforested lands and industrial wood waste as a feedstock for ethanol production to substitute for fossil fuels in the transportation sector. Afforestation can increase the size of the carbon sink and also provide a source of renewable energy. Ethanol offers an excellent opportunity for greenhouse gas mitigation due to market potential, an ability to offset significant emissions from the transportation sector, and reduce emissions from CO2-intensive waste-management systems. A case study of the economics of a hypothetical ethanol production facility found that a facility capable of producing 122 million litres of ethanol annually could have a net present value of CDN$245 million over a planning horizon of 36 years. This facility would require a supply of up to 960 oven-dry tonnes of wood-biomass per day and would result in net annual reductions of greenhouse gas emissions of approximately 349,000 tonnes of CO2. This includes the carbon sequestered through the afforestation as well as emissions avoided through fossil fuel substitution. Using biomass from afforested lands and industrial wood waste as a fuel for energy production can be an economically viable tool for reducing greenhouse gas levels in the atmosphere, reducing reliance on fossil fuels and reducing the sensitivity of transportation fuel prices to changes in gasoline prices.</t>
  </si>
  <si>
    <t>Agrofor. Syst.</t>
  </si>
  <si>
    <t>Article; Proceedings Paper</t>
  </si>
  <si>
    <t>10.1023/A:1026145321640</t>
  </si>
  <si>
    <t>ethanol production plant</t>
  </si>
  <si>
    <t>no plant</t>
  </si>
  <si>
    <t>ethanol plant</t>
  </si>
  <si>
    <t>tonnes CO2</t>
  </si>
  <si>
    <t>Not specified, listed in table A1</t>
  </si>
  <si>
    <t>fixed timeunit consistency (annual)</t>
  </si>
  <si>
    <t>EARTHS FUTURE</t>
  </si>
  <si>
    <t>forest management; climate change mitigation; substitution effects; climate-smart forestry; ecosystem services; robust optimization</t>
  </si>
  <si>
    <t>GREENHOUSE-GAS CONCENTRATIONS; SHORT-ROTATION COPPICE; LPJ-GUESS V4.0; VEGETATION DYNAMICS; ECOSYSTEM SERVICES; LAND-USE; BIOMASS PRODUCTIVITY; CARBON SEQUESTRATION; UNMANAGED FORESTS; MANAGEMENT</t>
  </si>
  <si>
    <t>Gregor, K; Knoke, T; Krause, A; Reyer, CPO; Lindeskog, M; Papastefanou, P; Smith, B; Lanso, AS; Rammig, A</t>
  </si>
  <si>
    <t>Trade-Offs for Climate-Smart Forestry in Europe Under Uncertain Future Climate</t>
  </si>
  <si>
    <t>Forests mitigate climate change by storing carbon and reducing emissions via substitution effects of wood products. Additionally, they provide many other important ecosystem services (ESs), but are vulnerable to climate change; therefore, adaptation is necessary. Climate-smart forestry combines mitigation with adaptation, whilst facilitating the provision of many ESs. This is particularly challenging due to large uncertainties about future climate. Here, we combined ecosystem modeling with robust multi-criteria optimization to assess how the provision of various ESs (climate change mitigation, timber provision, local cooling, water availability, and biodiversity habitat) can be guaranteed under a broad range of climate futures across Europe. Our optimized portfolios contain 29% unmanaged forests, and implicate a successive conversion of 34% of coniferous to broad-leaved forests (11% vice versa). Coppices practically vanish from Southern Europe, mainly due to their high water requirement. We find the high shares of unmanaged forests necessary to keep European forests a carbon sink while broad-leaved and unmanaged forests contribute to local cooling through biogeophysical effects. Unmanaged forests also pose the largest benefit for biodiversity habitat. However, the increased shares of unmanaged and broad-leaved forests lead to reductions in harvests. This raises the question of how to meet increasing wood demands without transferring ecological impacts elsewhere or enhancing the dependence on more carbon-intensive industries. Furthermore, the mitigation potential of forests depends on assumptions about the decarbonization of other industries and is consequently crucially dependent on the emission scenario. Our findings highlight that trade-offs must be assessed when developing concrete strategies for climate-smart forestry.</t>
  </si>
  <si>
    <t>Earth Future</t>
  </si>
  <si>
    <t>10.1029/2022EF002796</t>
  </si>
  <si>
    <t>management type</t>
  </si>
  <si>
    <t>unmanaged</t>
  </si>
  <si>
    <t>base</t>
  </si>
  <si>
    <t>harvest</t>
  </si>
  <si>
    <t>m3/ha/yr (summed over all years)</t>
  </si>
  <si>
    <t>mitigation table4</t>
  </si>
  <si>
    <t>kgC/m2 (convert to /ha)</t>
  </si>
  <si>
    <t>Knauf et al., 2015</t>
  </si>
  <si>
    <t>C-pool table4</t>
  </si>
  <si>
    <t>toNe</t>
  </si>
  <si>
    <t>toBd</t>
  </si>
  <si>
    <t>base RCP4.5</t>
  </si>
  <si>
    <t>base RCP6.0</t>
  </si>
  <si>
    <t>table4 and tableS4</t>
  </si>
  <si>
    <t>mitigation table4 and tableS4</t>
  </si>
  <si>
    <t>unmanaged RCP4.5</t>
  </si>
  <si>
    <t>unmanaged RCP6.0</t>
  </si>
  <si>
    <t xml:space="preserve">Gustavsson, L., Holmberg, J., Dornburg, V., Sathre, R., Eggers, T., Mahapatra, K., &amp; Marland, G. </t>
  </si>
  <si>
    <t xml:space="preserve"> Using biomass for climate change mitigation and oil use reduction</t>
  </si>
  <si>
    <t xml:space="preserve"> Energy policy</t>
  </si>
  <si>
    <t>10.1016/j.enpol.2007.05.023</t>
  </si>
  <si>
    <t>energy technology used</t>
  </si>
  <si>
    <t>wood-frame building</t>
  </si>
  <si>
    <t>biomass cost of co2avoided. Text gives 400kgdrymatter/m3 and 15.3GJ/tonne dry matter</t>
  </si>
  <si>
    <t>power plant coal</t>
  </si>
  <si>
    <t>BLGCC</t>
  </si>
  <si>
    <t>diesel</t>
  </si>
  <si>
    <t>BLG DME</t>
  </si>
  <si>
    <t>DME</t>
  </si>
  <si>
    <t>gasoline</t>
  </si>
  <si>
    <t>methanol</t>
  </si>
  <si>
    <t>fuel oil lime kiln</t>
  </si>
  <si>
    <t>bark lime kiln</t>
  </si>
  <si>
    <t>gas boiler</t>
  </si>
  <si>
    <t>medium scale wood boiler</t>
  </si>
  <si>
    <t>small scale oil boiler</t>
  </si>
  <si>
    <t>pellet boiler</t>
  </si>
  <si>
    <t>biomass. Given in heating value with assumption of 15.3GJ/tonne and 400kg dry matter/m3</t>
  </si>
  <si>
    <t>DH gas CHP</t>
  </si>
  <si>
    <t>DH-BIG/CC CHP</t>
  </si>
  <si>
    <t>industrial space heating, oil boiler</t>
  </si>
  <si>
    <t>small scale gas boiler</t>
  </si>
  <si>
    <t>heat pump with bio-electricity</t>
  </si>
  <si>
    <t>Power-BIG/CC CHP</t>
  </si>
  <si>
    <t>heat plant base-load oil</t>
  </si>
  <si>
    <t>electric resistance</t>
  </si>
  <si>
    <t>electric boiler</t>
  </si>
  <si>
    <t>forest management models; carbon sink; forest harvest; forest reference level; production forests; multifunctional forests; set-aside forests</t>
  </si>
  <si>
    <t>IRREGULAR SHELTERWOOD SYSTEM; ECOSYSTEM SERVICES; IMPACTS; SUPPORT; CLIMATE; SINK</t>
  </si>
  <si>
    <t>Gusti, M; Di Fulvio, F; Biber, P; Korosuo, A; Forsell, N</t>
  </si>
  <si>
    <t>The Effect of Alternative Forest Management Models on the Forest Harvest and Emissions as Compared to the Forest Reference Level</t>
  </si>
  <si>
    <t>Background and Objectives: Under the Paris Agreement, the European Union (EU) sets rules for accounting the greenhouse gas emissions and removals from forest land (FL). According to these rules, the average FL emissions of each member state in 2021-2025 (compliance period 1, CP1) and in 2026-2030 (compliance period 2, CP2) will be compared to a projected forest reference level (FRL). The FRL is estimated by modelling forest development under fixed forest management practices, based on those observed in 2000-2009. In this context, the objective of this study was to estimate the effects of large-scale uptake of alternative forest management models (aFMMs), developed in the ALTERFOR project (Alternative models and robust decision-making for future forest management), on forest harvest and forest carbon sink, considering that the proposed aFMMs are expanded to most of the suitable areas in EU27+UK and Turkey. Methods: We applied the Global Forest Model (G4M) for projecting the harvest and sink with the aFMMs and compared our results to previous FRL projections. The simulations were performed under the condition that the countries should match the harvest levels estimated for their FRLs as closely as possible. A representation of such aFMMs as clearcut, selective logging, shelterwood logging and tree species change was included in G4M. The aFMMs were modeled under four scenarios of spatial allocation and two scenarios of uptake rate. Finally, we compared our results to the business as usual. Results: The introduction of the aFMMs enhanced the forest sink in CP1 and CP2 in all studied regions when compared to the business as usual. Conclusions: Our results suggest that if a balanced mixture of aFMMs is chosen, a similar level of wood harvest can be maintained as in the FRL projection, while at the same time enhancing the forest sink. In particular, a mixture of multifunctional aFMMs, like selective logging and shelterwood, could enhance the carbon sink by up to 21% over the ALTERFOR region while limiting harvest leakages.</t>
  </si>
  <si>
    <t>10.3390/f11080794</t>
  </si>
  <si>
    <t>Balanced forestry (all aFMMs are allowed equally, for trying to achieve a harvest close to the BAU-only case);</t>
  </si>
  <si>
    <t>Thousand m3 / year</t>
  </si>
  <si>
    <t>MtCO2 per year</t>
  </si>
  <si>
    <t>correct sign of Cdelta that is negative is the study, small change in wood harvest because objective is to see the effect of a change in harvest type for similar harvest level</t>
  </si>
  <si>
    <t>Multifunctional forestry (aFMMs aimed at multifunctional forest use, including selective logging, high production aimed forest management with untouched patches (hereinafter referred to as EU habitats) or with species change are prioritized)</t>
  </si>
  <si>
    <t>correct sign of Cdelta that is negative is the study</t>
  </si>
  <si>
    <t>Set-aside forestry (aimed at biodiversity, wilderness, restoration, stand edge management and other nature protection low-intensity management).</t>
  </si>
  <si>
    <t>Production forestry (alternative FMMs aimed at wood production, i.e., clearcut and shelterwood logging are prioritized)</t>
  </si>
  <si>
    <t>building structures; construction; cross&amp;#8208; laminated timber (CLT); embodied carbon; life cycle assessment (LCA); material efficiency</t>
  </si>
  <si>
    <t>Hart, J; D'Amico, B; Pomponi, F</t>
  </si>
  <si>
    <t>Whole-life embodied carbon in multistory buildings: Steel, concrete and timber structures</t>
  </si>
  <si>
    <t>Buildings and the construction industry are top contributors to climate change, and structures account for the largest share of the upfront greenhouse gas emissions. While a body of research exists into such emissions, a systematic comparison of multiple building structures in steel, concrete, and timber alternatives is missing. In this article, comparisons are made between mass and whole-life embodied carbon (WLEC) emissions of building superstructures using identical frame configurations in steel, reinforced concrete, and engineered timber frames. These are assessed and compared for 127 different frame configurations, from 2 to 19 stories. Embodied carbon coefficients for each material and life cycle stage are represented by probability density functions to capture the uncertainty inherent in life cycle assessment. Normalized results show clear differences between the masses of the three structural typologies, with the concrete frame approximately five times the mass of the timber frame, and 50% higher than the steel frame. The WLEC emissions are mainly governed by the upfront emissions (cradle to practical completion), but subsequent emissions are still significant-particularly in the case of timber for which 36% of emissions, on average, occur post-construction. Results for WLEC are more closely grouped than for masses, with median values for the timber frame, concrete frame, and steel frame of 119, 185, and 228 kgCO(2)e/m(2), respectively. Despite the advantage for timber in this comparison, there is overlap between the results distributions, meaning that close attention to efficient design and procurement is essential. This article met the requirements for a gold-gold JIE data openness badge described in .</t>
  </si>
  <si>
    <t>10.1111/jiec.13139</t>
  </si>
  <si>
    <t>Changes in wood amount component in building structure</t>
  </si>
  <si>
    <t>STEEL FRAME with COMPOSITE FLOOR DECK</t>
  </si>
  <si>
    <t>GLULAM FRAME with CLT FLOOR SLABS</t>
  </si>
  <si>
    <t xml:space="preserve">Total mass timber </t>
  </si>
  <si>
    <t>See onglet Hart_2021</t>
  </si>
  <si>
    <t>Tonne / m2</t>
  </si>
  <si>
    <t>table S4</t>
  </si>
  <si>
    <t xml:space="preserve"> kgCO2e/m2  </t>
  </si>
  <si>
    <t>REINFORCED CONCRETE FRAME</t>
  </si>
  <si>
    <t>Life cycle assessment; Building design; Embodied carbon; Timber; Climate emergency</t>
  </si>
  <si>
    <t>LIFE-CYCLE ASSESSMENT; BIO-BASED MATERIALS; TEMPORARY-STORAGE; CHANGE MITIGATION; BIOGENIC CARBON; SEQUESTRATION; EMISSIONS; WOOD; LCA; CONSTRUCTION</t>
  </si>
  <si>
    <t>Hawkins, W; Cooper, S; Allen, S; Roynon, J; Ibell, T</t>
  </si>
  <si>
    <t>Embodied carbon assessment using a dynamic climate model: Case-study comparison of a concrete, steel and timber building structure</t>
  </si>
  <si>
    <t>The enormous environmental impact of construction is becoming increasingly apparent and unacceptable to many structural engineers, whose designs typically account for the majority of a building's embodied carbon. It is timely, therefore, that consensus is forming around a methodology for calculating embodied carbon. This encourages the inclusion of all life cycle stages, from material production and construction, through use and eventual demolition, disposal and reuse. In practice, however, end-of-life processes are fraught with uncertainty and often ignored, despite the potentially large associated carbon fluxes. Further uncertainty exists when considering bio-based construction materials, which store carbon during use. There are no widely-accepted means of accounting for timing of these carbon fluxes, despite the long service life of most buildings. Could we consider whole-life carbon in a more holistic and climate-focused way? This article uses dynamic life cycle assessment to convert greenhouse gas emission histories to key climate impacts using a simple dynamic model. The implications for structural design decisions are explored by comparing concrete, steel and timber options for a typical medium-rise building structure. Concrete is found to have a higher impact than steel, with the climate response of both options dominated by the large initial emissions of material production and construction. Timber has the smallest impact, for this example, under a typical scenario with sustainable forest management and re-emission of sequestered carbon at end-of-life. The analysis takes a forward-looking approach to sequestration, with timing corresponding to the growth of replanted trees. An optimistic timber scenario, whereby future carbon-capture technology avoids most end-of-life emissions, demonstrates the possibility of structures with small long-term climate cooling effects. Conversely, in a hypothetical worst-case scenario where no replanting or subsequent sequestration occurs, the long-term warming effect of the timber structure is increased by the net emission of biogenic carbon. Although end-of-life processes are important in the long-term, particularly for timber, the analysis also highlights the importance of the initial emissions from material production and construction. These cause high rates of short-term temperature increase and prolonged accumulation of radiative heat for all the buildings, but the impacts are again lowest for timber. Most importantly, the investigation shows how dynamic life cycle assessment can be used to explore climate impacts in a comprehensive, graphical and unbiased way. As a simple extension to established methodologies for calculating embodied carbon, it is a powerful decision making tool in the climate emergency.</t>
  </si>
  <si>
    <t>10.1016/j.istruc.2020.12.013</t>
  </si>
  <si>
    <t>Wood + BECCS instead of Wood Year 100</t>
  </si>
  <si>
    <t>Wood</t>
  </si>
  <si>
    <t>Wood + BECCS</t>
  </si>
  <si>
    <t>Wood + BECCS instead of Wood Year 35</t>
  </si>
  <si>
    <t>Wood + BECCS instead of Wood Year 2</t>
  </si>
  <si>
    <t>Wood instead of Wood + no replanting Year 35</t>
  </si>
  <si>
    <t>Wood + no replanting</t>
  </si>
  <si>
    <t>can be split by LCA stages</t>
  </si>
  <si>
    <t>Wood instead of Wood + no replanting Year 100</t>
  </si>
  <si>
    <t>Wood instead of Wood + no replanting Year 2</t>
  </si>
  <si>
    <t>Steel instead of Wood Year 100</t>
  </si>
  <si>
    <t>Concrete instead of Wood Year 100</t>
  </si>
  <si>
    <t>Steel instead of Wood Year 2</t>
  </si>
  <si>
    <t>Steel instead of Wood Year 35</t>
  </si>
  <si>
    <t>Concrete instead of Wood Year 2</t>
  </si>
  <si>
    <t>Concrete instead of Wood Year 35</t>
  </si>
  <si>
    <t>Harvesting intensity</t>
  </si>
  <si>
    <t>Climate change; SSP; Forestry; Agriculture</t>
  </si>
  <si>
    <t>CLIMATE-CHANGE; SCENARIOS; ASSUMPTIONS; MITIGATION; PATHWAYS; IMPACTS; CHOICES; SYSTEM; HEALTH</t>
  </si>
  <si>
    <t>Jones, JPH; Baker, JS; Austin, K; Latta, G; Wade, CM; Cai, YX; Aramayo-Lipa, L; Beach, R; Ohrel, SB; Ragnauth, S; Creason, J; Cole, J</t>
  </si>
  <si>
    <t>Importance of Cross-Sector Interactions When Projecting Forest Carbon across Alternative Socioeconomic Futures</t>
  </si>
  <si>
    <t>In recent decades, the carbon sink provided by the U.S. forest sector has offset a sizable portion of domestic greenhouse gas (GHG) emissions. In the future, the magnitude of this sink has important implications not only for projected U.S. net GHG emissions under a reference case but also for the cost of achieving a given mitigation target. The larger the contribution of the forest sector towards reducing net GHG emissions, the less mitigation is needed from other sectors. Conversely, if the forest sector begins to contribute a smaller sink, or even becomes a net source, mitigation requirements from other sectors may need to become more stringent and costlier to achieve economy wide emissions targets. There is acknowledged uncertainty in estimates of the carbon sink provided by the U.S. forest sector, attributable to large ranges in the projections of, among other things, future economic conditions, population growth, policy implementation, and technological advancement. We examined these drivers in the context of an economic model of the agricultural and forestry sectors, to demonstrate the importance of cross-sector interactions on projections of emissions and carbon sequestration. Using this model, we compared detailed scenarios that differ in their assumptions of demand for agriculture and forestry products, trade, rates of (sub)urbanization, and limits on timber harvest on protected lands. We found that a scenario assuming higher demand and more trade for forest products resulted in increased forest growth and larger net GHG sequestration, while a scenario featuring higher agricultural demand, ceteris paribus led to forest land conversion and increased anthropogenic emissions. Importantly, when high demand scenarios are implemented conjunctively, agricultural sector emissions under a high income-growth world with increased livestock-product demand are fully displaced by substantial GHG sequestration from the forest sector with increased forest product demand. This finding highlights the potential limitations of single-sector modeling approaches that ignore important interaction effects between sectors.</t>
  </si>
  <si>
    <t>10.1561/112.00000449</t>
  </si>
  <si>
    <t>Increase in patterns of urban- and suburbanization</t>
  </si>
  <si>
    <t xml:space="preserve"> SSP5-Dev</t>
  </si>
  <si>
    <t>SSP5-For</t>
  </si>
  <si>
    <t>Total Sawlog and Pulplog Supply</t>
  </si>
  <si>
    <t>See onglet Jones_2019</t>
  </si>
  <si>
    <t>See onglet Jones_2021</t>
  </si>
  <si>
    <t>t Co2</t>
  </si>
  <si>
    <t>use cumulative harvest for Qwood since C is cumulative</t>
  </si>
  <si>
    <t xml:space="preserve">Increase in domestic demand for, and international trade of, forest products </t>
  </si>
  <si>
    <t>SSP1</t>
  </si>
  <si>
    <t>Increase in domestic demand for agricultural products due to small changes in income but large shifts in dietary preferences, as well as shifts in export demand due to dietary changes</t>
  </si>
  <si>
    <t>SSP5-Ag</t>
  </si>
  <si>
    <t>TECHNOLOGICAL FORECASTING AND SOCIAL CHANGE</t>
  </si>
  <si>
    <t>Scenario analysis; Forest sector modelling; Bioeconomy; Sustainability; Employment; Climate change mitigation</t>
  </si>
  <si>
    <t>WOOD-PRODUCT MARKETS; LAND-USE CHANGE; SCENARIO ANALYSIS; CARBON-DYNAMICS; GREENHOUSE-GAS; CONSTRUCTION; ENERGY; MANAGEMENT; FUTURE; INDUSTRY</t>
  </si>
  <si>
    <t>Jonsson, R; Rinaldi, F; Pilli, R; Fiorese, G; Hurmekoski, E; Cazzaniga, N; Robert, N; Camia, A</t>
  </si>
  <si>
    <t>Boosting the EU forest-based bioeconomy: Market, climate, and employment impacts</t>
  </si>
  <si>
    <t>This study adds to the scientific literature dealing with the climate change mitigation implications of wood substitution. Its main scientific contribution rests with the modelling approach. By fully integrating forest resource and wood-product markets modelling in quantitative scenario analysis, we account for international trade in wood products as well as impacts on EU forests and forest-based sector employment of an increased EU uptake of wood-based construction and/or biochemicals and biofuels. Our results confirm the crucial role of the sawmilling industry in the forest-based bioeconomy. Thus, boosting wood-based construction in the EU would be most effective in increasing EU production and employment-in logging and solid wood-products manufacturing, but also in sectors using sawmilling byproducts as feedstock. Vertical integration in wood-based biorefineries should thus be advantageous. The positive EU climate-change mitigation effects of increased carbon storage in harvested wood products (HWP) and material substitution from increased wood construction are more than offset by reduced net forests carbon sinks by 2030, due to increased EU harvests. Further, increased EU imports, resulting in lower consumption of sawnwood outside the EU, would reduce extra-EU long-life HWP carbon storage and substitution of GHG-intensive materials, highlighting the need for concerted international climate change mitigation.</t>
  </si>
  <si>
    <t>Technol. Forecast. Soc. Chang.</t>
  </si>
  <si>
    <t>10.1016/j.techfore.2020.120478</t>
  </si>
  <si>
    <t>Harvest increase for construction (perimeter = total forest sector)</t>
  </si>
  <si>
    <t>Harvest construction</t>
  </si>
  <si>
    <t>10^3 m3</t>
  </si>
  <si>
    <t>Valade, A., Bellassen, V., Magand, C., Luyssaert, S., 2017. Sustaining the sequestration</t>
  </si>
  <si>
    <t>***</t>
  </si>
  <si>
    <t>Harvest increase for construction (perimeter = value chain only)</t>
  </si>
  <si>
    <t>Harvest increase for both construction and energy/chemistry (perimeter = total forest sector)</t>
  </si>
  <si>
    <t>Harvest construction and energy/chemistry</t>
  </si>
  <si>
    <t>Harvest increase for both construction and energy/chemistry (perimeter = value chain only)</t>
  </si>
  <si>
    <t>Harvest increase for energy/chemistry (perimeter = total forest sector)</t>
  </si>
  <si>
    <t>Harvest energy/chemistry</t>
  </si>
  <si>
    <t>Harvest increase for energy/chemistry (perimeter = value chain only)</t>
  </si>
  <si>
    <t>GHG accounting; carbon savings; material substitution; material stocks; wood construction; dynamic stock model</t>
  </si>
  <si>
    <t>GREENHOUSE-GAS DYNAMICS; LIFE-CYCLE ASSESSMENT; ENERGY; PRODUCTS; IMPACTS; SUBSTITUTION; EMISSIONS; BIOMASS</t>
  </si>
  <si>
    <t>Kalt, G</t>
  </si>
  <si>
    <t>Carbon dynamics and GHG implications of increasing wood construction: long-term scenarios for residential buildings in Austria</t>
  </si>
  <si>
    <t>Wooden construction elements often exhibit lower life cycle greenhouse gas (GHG) emissions than conventional counterparts (material substitution effect'). Moreover, the building stock represents a carbon (C) sink if timber inflows (construction) surpass outflows (demolition) (C-stock effect'). A dynamic stock model incorporating these effects is applied to quantify potential climate benefits of wood construction in Austria's residential building sector. If present trends are maintained, culminating in a wood construction share (WCS) of 50% during 2050-2100, building shells could contain three times as much C in 2100 as today. Annual timber demand for residential construction could double, but would remain well below Austria's current net exports. Compared to a baseline scenario with constant WCS (22%), cumulated GHG savings from material substitution until 2050 are estimated 2 to 4.2 Tg CO2-equivalent - clearly less than savings from C-stock expansion (9.2 Tg). Savings from both effects would double in a highly ambitious scenario (WCS=80% during 2050-2100). The applied 'Stock Change Approach' is consistent with IPCC Guidelines, but the above-mentioned savings from C-stock changes would not materialize under the current default GHG inventory accounting approach. Moreover, savings from C-stock effects must eventually be weighed against forest C-stock changes, as growing domestic demand might stimulate wood harvesting.</t>
  </si>
  <si>
    <t>10.1080/17583004.2018.1469948</t>
  </si>
  <si>
    <t>Share of wood in construction</t>
  </si>
  <si>
    <t>Baseline 22%</t>
  </si>
  <si>
    <t>Rapid increase 80%</t>
  </si>
  <si>
    <t>Hafner A, Sch€afer S. Comparative LCA study of different</t>
  </si>
  <si>
    <t>Continued increase 50%</t>
  </si>
  <si>
    <t>bioenergy; bioethanol; carbon accounting; greenhouse gas (GHG) emissions; industrial ecology; short-rotation woody crops</t>
  </si>
  <si>
    <t>PRODUCTS; MANAGEMENT</t>
  </si>
  <si>
    <t>Kayo, C; Aramaki, T; Hanaki, K</t>
  </si>
  <si>
    <t>Effect of Change of Forest Carbon Storage on Net Carbon Dioxide Balance of Wood Use for Energy in Japan</t>
  </si>
  <si>
    <t>This study analyzed the net carbon dioxide (CO(2)) emission reductions between 2005 and 2050 by using wood for energy under various scenarios of forest management and energy conversion technology in Japan, considering both CO(2) emission reductions from replacement of fossil fuels and changes in carbon storage in forests. According to our model, wood production for energy results in a significant reduction of carbon storage levels in forests (by 46% to 77% in 2050 from the 2005 level). Thus, the net CO(2) emission reduction when wood is used for energy becomes drastically smaller. Conventional tree production for energy increases net CO(2) emissions relative to preserving forests, but fast-growing tree production may reduce net CO(2) emissions more than preserving forests does. When wood from fast-growing trees is used to generate electricity with gas turbines, displacing natural gas, the net CO(2) emission reduction from the combination of fast-growing trees and electricity generation with gas turbines is about 58% of the CO(2) emission reduction from electricity generation from gas turbines alone in 2050, and an energy conversion efficiency of around 20% or more is required to obtain net reductions over the entire period until 2050. When wood is used to produce bioethanol, displacing gasoline, net reductions are realized after 2030, provided that heat energy is recovered from residues from ethanol production. These results show the importance of considering the change in carbon storage when estimating the net CO(2) emission reduction effect of the wood use for energy.</t>
  </si>
  <si>
    <t>10.1111/j.1530-9290.2010.00308.x</t>
  </si>
  <si>
    <t>ethanol from wood RT=45 years</t>
  </si>
  <si>
    <t>ethanol from wood RT=30 years</t>
  </si>
  <si>
    <t xml:space="preserve">Wood and harvest residues </t>
  </si>
  <si>
    <t>electricty from wood gaseification conventional Tree RT =45 years; P_Gas</t>
  </si>
  <si>
    <t>electricty from wood gaseification fast growing Tree RT =10 years; P_Gas</t>
  </si>
  <si>
    <t>ethanol from wood RT=10 years</t>
  </si>
  <si>
    <t>electricity from wood gaseification conventional Tree RT =30 years; P_Gas</t>
  </si>
  <si>
    <t>electricity from natural gas</t>
  </si>
  <si>
    <t>electricty from natural gas</t>
  </si>
  <si>
    <t>electricty from direct burning fast growing Tree RT =10 years; P_Steam</t>
  </si>
  <si>
    <t>electricty from combined direct burning and steam turbine fast growing Tree RT =10 years; P_Combined</t>
  </si>
  <si>
    <t>ENVIRONMENTAL SCIENCE &amp; POLICY</t>
  </si>
  <si>
    <t>Carbon stock; Fossil fuel consumption; Future scenario analysis; Harvested wood products; Inter-regional flow</t>
  </si>
  <si>
    <t>US FOREST SECTOR; SEQUESTRATION; MANAGEMENT</t>
  </si>
  <si>
    <t>Kayo, C; Tsunetsugu, Y; Noda, H; Tonosaki, M</t>
  </si>
  <si>
    <t>Carbon balance assessments of harvested wood products in japan taking account of inter-regional flows</t>
  </si>
  <si>
    <t>We constructed a model to assess the carbon balance of harvested wood products (HWP) used for building, furniture, paper/paperboard and energy, taking into account flows of wood between regions of Japan. We projected the carbon balance in each region until 2050 under two future scenarios, a BAU (business as usual) scenario and a wood use promotion scenario. We found the carbon stock in domestic harvested wood products became a carbon emission source, with Central Japan becoming the largest emission source, after 2020 in the BAU scenario but continued to function as a carbon sink in every region over the whole period in the wood promotion scenario. Therefore, unless future supply and demand amounts of domestic wood are increased by factors such as policies promoting the use of wood, the carbon stock of domestic wood may become an emission source rather than a sink. By promoting the use of domestic wood, the carbon stock acts as a carbon sink in every region. Carbon emissions from fossil fuel consumption with respect to HWP in the whole of Japan fell to 72% of the 2004 value in 2050 in the BAU scenario, but rose to 112% in the wood promotion scenario. Emissions from wood transport were greatest in Central Japan, emissions from sawn wood processing were highest in West Japan, and emissions from plywood processing and woodchip processing were greatest in East Japan. In carbon balances that included the annual changes in the carbon stock amounts of domestic harvested wood, only Central Japan in the wood promotion scenario had carbon removals greater than its carbon emissions from fossil fuel consumption in the years 2005-2045. In addition, when considering reductions in carbon emissions by substitution of fossil fuels with wood residues and waste wood in the carbon balances, the sum of the removals from carbon stock changes and the reductions of carbon emissions were greater than the carbon emissions associated with HWP over the entire period in all three regions in both scenarios. (C) 2013 Elsevier Ltd. All rights reserved.</t>
  </si>
  <si>
    <t>Environ. Sci. Policy</t>
  </si>
  <si>
    <t>10.1016/j.envsci.2013.09.006</t>
  </si>
  <si>
    <t>Amounts of wood used increases in the future in accordance with policies promoting supply and demand for wood</t>
  </si>
  <si>
    <t>Production</t>
  </si>
  <si>
    <t>m3/year</t>
  </si>
  <si>
    <t>bioenergy; calculation tool; carbon balance; decomposition; ecosystem; life cycle; sustainability</t>
  </si>
  <si>
    <t>GREENHOUSE-GAS EMISSIONS; CLIMATE-CHANGE; TEMPERATURE SENSITIVITY; NORWAY SPRUCE; CARBON STOCKS; SOIL; BIOFUELS; ENERGY; TIMBER; MANAGEMENT</t>
  </si>
  <si>
    <t>Kilpelainen, A; Alam, A; Strandman, H; Kellomaki, S</t>
  </si>
  <si>
    <t>Life cycle assessment tool for estimating net CO2 exchange of forest production</t>
  </si>
  <si>
    <t>The study describes an integrated impact assessment tool for the net carbon dioxide (CO2) exchange in forest production. The components of the net carbon exchange include the uptake of carbon into biomass, the decomposition of litter and humus, emissions from forest management operations and carbon released from the combustion of biomass and degradation of wood-based products. The tool enables the allocation of the total carbon emissions to the timber and energy biomass and to the energy produced on the basis of biomass. In example computations, ecosystem model simulations were utilized as an input to the tool. We present results for traditional timber production (pulpwood and saw logs) and integrated timber and bioenergy production (logging residues, stumps and roots) for Norway spruce, in boreal conditions in Finland, with two climate scenarios over one rotation period. The results showed that the magnitude of management related emissions on net carbon exchange was smaller when compared with the total ecosystem fluxes; decomposition being the largest emission contributor. In addition, the effects of management and climate were higher on the decomposition of new humus compared with old humus. The results also showed that probable increased biomass growth, obtained under the changing climate (CC), could not compensate for decomposition and biomass combustion related carbon loss in southern Finland. In our examples, the emissions allocated for the energy from biomass in southern Finland were 172 and 188 kg CO2 MW h(-1) in the current climate and in a CC, respectively, and 199 and 157 kg CO2 MW h(-1) in northern Finland. This study concludes that the tool is suitable for estimating the net carbon exchange of forest production. The tool also enables the allocation of direct and indirect carbon emissions, related to forest production over its life cycle, in different environmental conditions and for alternative time periods and land uses. Simulations of forest management regimes together with the CC give new insights into ecologically sustainable forest bioenergy and timber production, as well as climate change mitigation options in boreal forests.</t>
  </si>
  <si>
    <t>10.1111/j.1757-1707.2011.01101.x</t>
  </si>
  <si>
    <t>supply chain</t>
  </si>
  <si>
    <t>traditional timber production regime Southern Finland</t>
  </si>
  <si>
    <t>integrated timber Southern Finland</t>
  </si>
  <si>
    <t xml:space="preserve">Quantity of logs, pulp and energy wood harvested </t>
  </si>
  <si>
    <t>g CO2eq/m2/year</t>
  </si>
  <si>
    <t>traditional timber production regime Northern Finland</t>
  </si>
  <si>
    <t>integrated timber Northern Finland</t>
  </si>
  <si>
    <t>climate change mitigation; carbon offset in forest projects; harvested wood products; substitution effects; unmanaged forests</t>
  </si>
  <si>
    <t>OLD-GROWTH FORESTS; SOIL CARBON; EUROPEAN BEECH; DEAD WOOD; DYNAMICS; STORAGE; SEQUESTRATION; DECOMPOSITION; BUDGET; STOCKS</t>
  </si>
  <si>
    <t>Klein, D; Hollerl, S; Blaschke, M; Schulz, C</t>
  </si>
  <si>
    <t>The Contribution of Managed and Unmanaged Forests to Climate Change Mitigation-A Model Approach at Stand Level for the Main Tree Species in Bavaria</t>
  </si>
  <si>
    <t>Forestry-based carbon sequestration projects demand a comprehensive quantification of the different climate change mitigation effects. In our study, we modeled a life cycle of managed pure stands consisting of the four main tree species in Bavaria (spruce, pine, beech and oak). For spruce and beech, an unmanaged stand was additionally integrated in order to analyze the differences in climate change mitigation effects compared to the managed stands. We developed a climate change mitigation model, where stand development and silvicultural treatments including harvested timber volumes were conducted using the tree growth model Silva 2.3. The harvested wood products (HWP), including their substitution effects were calculated with a subsequent model. For unmanaged beech forests, we compiled measured data from the literature, and Bavarian strict forest reserves for validating our model results. The results for the managed stands reveal that spruce provides the highest total climate change mitigation effects. After a simulation period of 180 years, one hectare leads to a mean mitigation benefit of 13.5 Mg CO2 ha(-1) year(-1). In comparison, results for pine, beech and oak reveal lesser benefits with 10.1 Mg CO2 ha(-1) year(-1), 9.1 Mg CO2 ha(-1) year(-1) and 7.2 Mg CO2 ha(-1) year(-1), respectively. However, these results assume current growing conditions. Considering climate change, it is very likely that spruce will not be suitable in several regions of Bavaria in the future. Furthermore, excessive disturbances could affect spruce more drastically than the other tree species. In that case, the order could change and beech could exceed spruce. Thus the results cannot be seen as a general recommendation to establish spruce stands in order to achieve optimal climate change mitigation benefits. Nevertheless, results for spruce illustrate that high increment and especially wood use in long-lived products is crucial for high climate change mitigation effects. Mitigation effects in unmanaged spruce and beech stands do not differ in the first decades from their managed counterparts, but are below them in the long term with a total climate change mitigation benefit of 8.0 Mg CO2 ha(-1) year(-1) and 7.2 Mg CO2 ha(-1) year(-1), respectively. These differences are mainly caused by the missing substitution effects in the unmanaged stands. However, the precise dimensions of substitution effects still remain uncertain and the lack of data should be reduced via additional life cycle assessments for more products and product classes. However, neglecting substitution effects in climate change mitigation models leads to severe underestimations of the mitigation effects in managed forests.</t>
  </si>
  <si>
    <t>10.3390/f4010043</t>
  </si>
  <si>
    <t>Presence of active forest management</t>
  </si>
  <si>
    <t>No management</t>
  </si>
  <si>
    <t>With management</t>
  </si>
  <si>
    <t>Harvesting of HWP cumulated over the 180 year period</t>
  </si>
  <si>
    <t>0.675 Mg CO2 m−3: Köhl, M.; Frühwald, A.; Kenter, B.; Olschofsky, K.; Köhler, R.; Köthke, M.; Rüter, S.;
Pretzsch, H.; Rötzer, T.; Makeschin, F.; et al. Potential und Dynamik der Kohlenstoffspeicherung
in Wald und Holz: Beitrag des deutschen Forst- und Holzsektors zum Klimaschutz. vTI Agric. For.
Res. Sonderheft 2009, 327, 103–109.</t>
  </si>
  <si>
    <t>0.7 Mg CO2 m−3: Hofer, P.; Taverna, R.; Werner, F.; Kaufmann, E.; Thürig, E. CO2-Effekte der Schweitzer
Wald- und Holzwirtschaft. Szenarien zukünftiger Beiträge zum Klimaschutz; Bundesamt für
Umwelt, BAFU: Bern, Switzerland, 2007; p. 102.</t>
  </si>
  <si>
    <t>Type of species</t>
  </si>
  <si>
    <t>Beech</t>
  </si>
  <si>
    <t>Oak</t>
  </si>
  <si>
    <t>Pine</t>
  </si>
  <si>
    <t>Spruce</t>
  </si>
  <si>
    <t>logistics; supply chain management; multimodal and unimodal transport; forest products industry; decision support systems</t>
  </si>
  <si>
    <t>CHAIN; OPTIMIZATION; DESIGN</t>
  </si>
  <si>
    <t>Kogler, C; Rauch, P</t>
  </si>
  <si>
    <t>A discrete-event simulation model to test multimodal strategies for a greener and more resilient wood supply</t>
  </si>
  <si>
    <t>Increasing occurrences of natural disturbances, including windstorms and high snow cover, and supply chain risks lead to severe irregularities in wood harvest and transport. To overcome resulting supply difficulties, innovative multimodal systems via rail terminals are promising options offering the potential to increase buffer capacity, improve supply chain resilience, and reduce greenhouse gas emissions. Therefore, a train terminal is included in a virtual simulation environment spanning the entire wood supply chain from forest to industry to test, analyze, and evaluate a complex multimodal system in different scenario settings. Furthermore, the simulation model provides intuitive decision support through animation and a cockpit of key performance indicators, facilitating hands-on workshops with supply chain managers. Results show the advantage of a combination of unimodal and multimodal transport in the wood supply chain of the observed case-study region. This combination proves to be resilient and outperforms other tested supply chain strategies by avoiding both bottlenecks and ill-timed plans and reducing carbon dioxide (CO2) emissions. Furthermore, workshops conducted with industry experts indicate that adapting collaborative supply chain control strategies by means of a participatory simulation environment enhances the development of advanced risk management and therefore improves supply chain resilience, efficiency, and sustainability.</t>
  </si>
  <si>
    <t>10.1139/cjfr-2018-0542</t>
  </si>
  <si>
    <t>Wood production face to climate risk</t>
  </si>
  <si>
    <t>SNOW(MULTI)</t>
  </si>
  <si>
    <t>BAU(MULTI)</t>
  </si>
  <si>
    <t>transported</t>
  </si>
  <si>
    <t>CO2 eq (Table5)</t>
  </si>
  <si>
    <t>STORM(MULTI)</t>
  </si>
  <si>
    <t>SNOW(BOTH)</t>
  </si>
  <si>
    <t>BAU(BOTH)</t>
  </si>
  <si>
    <t>STORM(BOTH)</t>
  </si>
  <si>
    <t xml:space="preserve">SWOW(UNI) </t>
  </si>
  <si>
    <t>BAU(UNI)</t>
  </si>
  <si>
    <t>STORM(UNI)</t>
  </si>
  <si>
    <t>Organization of transports</t>
  </si>
  <si>
    <t>SNOW(UNI)</t>
  </si>
  <si>
    <t>Afforestation; Carbon dynamic; P. nigra; Quercus sp.; Ecosystem management; Optimization</t>
  </si>
  <si>
    <t>INCORPORATING TIMBER; LAND-USE; SEQUESTRATION; VALUES; WATER; STOCKS; PINE; AFFORESTATION; IMPACT; OXYGEN</t>
  </si>
  <si>
    <t>Kucuker, DM</t>
  </si>
  <si>
    <t>Analyzing the effects of various forest management strategies and carbon prices on carbon dynamics in western Turkey</t>
  </si>
  <si>
    <t>Determining appropriate management strategies to reduce greenhouse gas emissions using optimization techniques to understand how forest management activities affect the carbon dynamics is critical in implementing effective carbon management policies. This paper quantitatively analyzes the long-term effects of different management policies and silvicultural interventions using linear programming. In the analyses, afforestation targets for bare forest lands, tree species, carbon prices, planning approaches and sets of various targets and constraints on carbon dynamics were evaluated. The results were based on twenty-five forest management scenarios formulated for the Korucu Forest Planning Unit of Turkey. The results showed that, compared to timber-based planning strategies (TM), ecosystem-based planning approach (EM) contributes to a significant reduction in carbon sequestration in many cases. When different afforestation targets were incorporated into forest management strategies, cumulative carbon sequestration increased constantly compared to baseline scenario without any afforestation areas. In addition, the highest total carbon sequestration was observed when black pine (P. nigra) was used in afforestation activities rather than oak species (Quercus sp.) and other available tree species. While total timber production and timber net present value (NPV) decreased, carbon sequestration increased significantly with increasing carbon price. As a result of increasing carbon price from $20/ton to $100/ton, joint NPV increased by about five times. The results highlighted the importance of forest ecosystem and developing and implementing climate adaption measures into forest management activities in tackling climate change phenomenon.</t>
  </si>
  <si>
    <t>10.1016/j.jenvman.2019.109356</t>
  </si>
  <si>
    <t>Carbon price</t>
  </si>
  <si>
    <t>TCNPV3 (Table 6)</t>
  </si>
  <si>
    <t>Gg C</t>
  </si>
  <si>
    <t>Unclear</t>
  </si>
  <si>
    <t>TCNPV1 (Table 6)</t>
  </si>
  <si>
    <t>Afforestation</t>
  </si>
  <si>
    <t>EMC5 (Table3)</t>
  </si>
  <si>
    <t>EMC8 (Table3)</t>
  </si>
  <si>
    <t>Tree species</t>
  </si>
  <si>
    <t>EMC4P (Table 4)</t>
  </si>
  <si>
    <t>EMC4 (Table 4)</t>
  </si>
  <si>
    <t>How the species change to pinus nigra results in more sequestration and less timber is unclear, as well as many elements in this study (time-averaging method, …)</t>
  </si>
  <si>
    <t>EMC4O (Table 4)</t>
  </si>
  <si>
    <t>EMT4P (Table 4)</t>
  </si>
  <si>
    <t>EMT4 (Table 4)</t>
  </si>
  <si>
    <t>EMT4O (Table 4)</t>
  </si>
  <si>
    <t>ECOLOGICAL MODELLING</t>
  </si>
  <si>
    <t>Climate change; Carbon; Sustainable carbon storage capacity; Forest management; Wood products; Modelling</t>
  </si>
  <si>
    <t>Liu, GL; Han, SJ</t>
  </si>
  <si>
    <t>Long-term forest management and timely transfer of carbon into wood products help reduce atmospheric carbon</t>
  </si>
  <si>
    <t>In their efforts I to deal with global climate change, scientists and governments have given much attention to the carbon &amp;apos;emissions associated with fossil fuels and to strategies for reducing their use. While it is very important to burn less fossil fuel and to employ alternative energy sources, other carbon-reduction options must also be considered. Given that forests comprise a large portion of the global landbase and that they play a very significant role in the global carbon cycle, it is logical to examine how forest management practices could effect reductions in carbon emissions. Many papers that discuss forest carbon sinks or sources refer only to the short term (&lt;20 years). This paper focuses on the sustainable carbon storage contributions of a forest over the long term. This paper explains that long-term carbon storage and reduced carbon fluctuation can be achieved by a combination of improved forest management and efficient transfer of carbon into wood products. Here we show how three different forest management scenarios affect the overall carbon storage capacity of forest and wood products combined over the long term. We used a timber supply model and scenario analysis to predict forest carbon and other resource conditions over time in the Prince George Forest District, a 3.4-million-ha landbase in northern British Columbia. We found that the high-harvest scenario stores 3% more carbon than the low-harvest scenario and 27% (120 million tonnes) more carbon than the no-harvest scenario even though only 1.2-million ha is in timber harvesting landbase. Our results tell us that forest management practices that maintain and increase forest area, reduce natural disturbances in the forest, improve forest conditions, and ensure the appropriate and timely transfer of carbon into wood products lead to increasing overall carbon storage, thereby reducing carbon in the atmosphere. (C) 2009 Elsevier B.V. All rights reserved.</t>
  </si>
  <si>
    <t>Ecol. Model.</t>
  </si>
  <si>
    <t>10.1016/j.ecolmodel.2009.04.005</t>
  </si>
  <si>
    <t>no harvest (Fig. 6)</t>
  </si>
  <si>
    <t>high harvest (Fig. 6)</t>
  </si>
  <si>
    <t>yearly million tonnes</t>
  </si>
  <si>
    <t>low harvest (Fig. 6)</t>
  </si>
  <si>
    <t>wood product life span</t>
  </si>
  <si>
    <t>50 years (Fig. 7)</t>
  </si>
  <si>
    <t>100 years (Fig. 7)</t>
  </si>
  <si>
    <t>Cross Laminated Timber (CLT); cold regions; cradle-to-grave; LCA</t>
  </si>
  <si>
    <t>CONCRETE; EMISSIONS; ENERGY; PLATES; WOOD</t>
  </si>
  <si>
    <t>Liu, Y; Guo, HB; Sun, C; Chang, WS</t>
  </si>
  <si>
    <t>Assessing Cross Laminated Timber (CLT) as an Alternative Material for Mid-Rise Residential Buildings in Cold Regions in China-A Life-Cycle Assessment Approach</t>
  </si>
  <si>
    <t>Timber building has gained more and more attention worldwide due to it being a generic renewable material and having low environmental impact. It is widely accepted that the use of timber may be able to reduce the embodied energy of a building. However, the development of timber buildings in China is not as rapid as in some other countries. This may be because of the limitations of building regulations and technological development. Several new policies have been or are being implemented in China in order to encourage the use of timber in building construction and this could lead to a revolutionary change in the building industry in China. This paper is the first one to examine the feasibility of using Cross Laminated Timber (CLT) as an alternative solution to concrete by means of a cradle-to-grave life-cycle assessment in China. A seven-storey reference concrete building in Xi&amp;apos;an was selected as a case study in comparison with a redesigned CLT building. Two cities in China, in cold and severe cold regions (Xi&amp;apos;an and Harbin), were selected for this research. The assessment includes three different stages of the life span of a building: materialisation, operation, and end-of-life. The inventory data used in the materialisation stage was mostly local, in order to ensure that the assessment appropriately reflects the situation in China. Energy consumption in the operation stage was obtained from simulation by commercialised software IES (TM), and different scenarios for recycling of timber material in the end-of-life are discussed in this paper. The results from this paper show that using CLT to replace conventional carbon intensive material would reduce energy consumption by more than 30% and reduce CO2 emission by more than 40% in both cities. This paper supports, and has shown the potential of, CLT being used in cold regions with proper detailing to minimise environmental impact.</t>
  </si>
  <si>
    <t>10.3390/su8101047</t>
  </si>
  <si>
    <t>recycling ratio</t>
  </si>
  <si>
    <t>timber used</t>
  </si>
  <si>
    <t>ton</t>
  </si>
  <si>
    <t>tonnes CO2 emissions</t>
  </si>
  <si>
    <t>assumption that concrete building includes no timber at all</t>
  </si>
  <si>
    <t>Fix sequestration sign; driver was missing, model boundaries fixed</t>
  </si>
  <si>
    <t xml:space="preserve">replace concrete building by wood </t>
  </si>
  <si>
    <t>Xian Concrete (Fig. 9)</t>
  </si>
  <si>
    <t>Xian CLT (Fig. 9)</t>
  </si>
  <si>
    <t>Harbin Concrete (Fig. 9)</t>
  </si>
  <si>
    <t>Harbin CLT (Fig. 9)</t>
  </si>
  <si>
    <t>Forest sector; Carbon balance; Climate change; Bio-economic model</t>
  </si>
  <si>
    <t>COARSE WOODY DEBRIS; TREE MORTALITY; LAND-USE; EMISSIONS; PRODUCTS; DROUGHT; MODEL; US</t>
  </si>
  <si>
    <t>Lobianco, A; Caurla, S; Delacote, P; Barkaoui, A</t>
  </si>
  <si>
    <t>Carbon mitigation potential of the French forest sector under threat of combined physical and market impacts due to climate change</t>
  </si>
  <si>
    <t>Objectives: (1) To quantify the contribution of the French forest wood product chain in terms of carbon sequestration and substitution when accounting for both the physical impacts (shifts in tree growth and mortality rates) and the market impacts (increased demand of harvested wood products (HWP)) of climate change (cc) and the subsequent forest managers adaptations; (2) To assess the uncertainty of the impacts on the above carbon balance and on forest allocation; and (3) To assess the role of managers&amp;apos; expectations toward these future, uncertain but highly anticipated, impacts. Methodology: We used a bio-economic model of the French Forest Sector (FFSM++) that is able to consider and integrate: (a) the effects of climate change over forest dynamics; (b) forest investment decisions (among groups of species) according to expected profitability; and (c) market effects in terms of regionalised supply, consumption and trade of HWP, depending on the forest resource stocks and international prices. By including both forest dynamics and forest products, we can evaluate the carbon balance taking the following elements into consideration: (a) carbon sequestered in live and dead biomass in the forest; (b) carbon sequestered in HWP; (c) carbon substituted when wood is used in place of fossil fuels or more energy-intensive materials; and (d) carbon released by forest operations. When the model is run at constant conditions for the next century, the average carbon potential of French forests is 66.2-125.3 Mt CO2 y(-1), depending on whether we consider only inventoried wood resources, HWP pools and direct energy substitution, or if we also account for the carbon stored in tree branches and roots and if we consider the more indirect, but also largely more subjective, material substitution. These values correspond to 18.3% and 34.7%, respectively, of the French 2010 emissions (361 Mt CO2). However, when we consider both the probable increment of coniferous mortality and changes in forest growth, plus the rise in HWP demand worldwide, the average sequestration rate of the French forest decreases by 6.6-5.8% to 61.8-118.0 Mt CO2 Y-1. Running partial scenarios, we can assess the relative interplay of these two factors, where the price factor increases the HWP stock while decreasing the forest stocks (where the latter effect prevails), while the physical impact of climate change reduces both, but to a lesser extent. Considering short-sighted forest managers, whose behaviour is based uniquely on the observed conditions at the time decisions are made, we obtain a limited effect of the overall carbon balance but a relatively large impact on the area allocation of broadleaved vs. coniferous species. (C) 2015 Department of Forest Economics, SLU Limed, Sweden. Published by Elsevier GmbH. All rights reserved.</t>
  </si>
  <si>
    <t>10.1016/j.jfe.2015.12.003</t>
  </si>
  <si>
    <t>Full agent expectations</t>
  </si>
  <si>
    <t>MtCO2eq . y−1</t>
  </si>
  <si>
    <t>Upper price impact</t>
  </si>
  <si>
    <t>Fixed prices</t>
  </si>
  <si>
    <t>No agent expectations</t>
  </si>
  <si>
    <t>combined drivers: price, climate, agent expectations</t>
  </si>
  <si>
    <t>Constant</t>
  </si>
  <si>
    <t>Upper physical impact</t>
  </si>
  <si>
    <t>Lower physical impact</t>
  </si>
  <si>
    <t>TREE PHYSIOLOGY</t>
  </si>
  <si>
    <t>carbon balance; climate scenario; forest management; temperate forest</t>
  </si>
  <si>
    <t>LONG-TERM RESPONSE; NITROGEN DEPOSITION; CO2 CONCENTRATION; CARBON BALANCE; USE EFFICIENCY; ELEVATED CO2; CANOPY; GROWTH; PARAMETERIZATIONS; TRANSPIRATION</t>
  </si>
  <si>
    <t>Loustau, D; Bosc, A; Colin, A; Ogee, J; Davi, H; Francois, C; Dufrene, E; Deque, M; Cloppet, E; Arrouays, D; Le Bas, C; Saby, N; Pignard, G; Hamza, N; Granier, A; Breda, N; Ciais, P; Viovy, N; Delage, F</t>
  </si>
  <si>
    <t>Modeling climate change effects on the potential production of French plains forests at the sub-regional level</t>
  </si>
  <si>
    <t>We modeled the effects of climate change and two forest management scenarios on wood production and forest carbon balance in French forests using process-based models of forest growth. We combined data from the national forest inventory and soil network survey, which were aggregated over a 50 x 50-km grid, i.e., the spatial resolution of the climate scenario data. We predicted and analyzed the climate impact on potential forest production over the period 1960-2100. All models predicted a slight increase in potential forest yield until 20302050, followed by a plateau or a decline around 2070-2100, with overall, a greater increase in yield in northern France than in the south. Gross and net primary productivities were more negatively affected by soil water and atmospheric water vapor saturation deficits in western France because of a more pronounced shift in seasonal rainfall from summer to winter. The rotation-averaged values of carbon flux and production for different forest management options were estimated during four years (1980, 2015, 2045 and 2080). Predictions were made using a two-dimensional matrix covering the range of local soil and climate conditions. The changes in ecosystem fluxes and forest production were explained by the counterbalancing effect of rising CO2 concentration and increasing water deficit. The effect of climate change decreased with rotation length from short rotations with high production rates and low standing biomasses to long rotations with low productivities and greater standing biomasses. Climate effects on productivity, both negative and positive, were greatest on high fertility sites. Forest productivity in northern France was enhanced by climate change, increasingly from west to east, whereas in the southwestern Atlantic region, productivity was reduced by climate change to an increasing degree from west to east.</t>
  </si>
  <si>
    <t>Tree Physiol.</t>
  </si>
  <si>
    <t>10.1093/treephys/25.7.813</t>
  </si>
  <si>
    <t>southwest A triangle (Fig. 8)</t>
  </si>
  <si>
    <t>Southwest A square (Fig. 8)</t>
  </si>
  <si>
    <t>g C m-2 y-1</t>
  </si>
  <si>
    <t>South A triangle (Fig. 8)</t>
  </si>
  <si>
    <t>south A square (Fig. 8)</t>
  </si>
  <si>
    <t>North A square (Fig. 8)</t>
  </si>
  <si>
    <t>north A triangle (Fig. 8)</t>
  </si>
  <si>
    <t>Northeast A square (Fig. 8)</t>
  </si>
  <si>
    <t>northeast A triangle (Fig. 8)</t>
  </si>
  <si>
    <t>southwest A circle (Fig. 8)</t>
  </si>
  <si>
    <t>South A circle (Fig. 8)</t>
  </si>
  <si>
    <t>South A square (Fig. 8)</t>
  </si>
  <si>
    <t>FRONTIERS IN ECOLOGY AND EVOLUTION</t>
  </si>
  <si>
    <t>forest planning; Remsoft Woodstock; sustainable forest management; blanket peat; linear programming; afforested western peatlands</t>
  </si>
  <si>
    <t>COARSE WOODY DEBRIS; CARBON SEQUESTRATION; PUBLIC PREFERENCES; BIODIVERSITY; DECOMPOSITION; MITIGATION; FRAGMENTATION; AFFORESTATION; FRAMEWORK; WINDTHROW</t>
  </si>
  <si>
    <t>Lundholm, A; Black, K; Corrigan, E; Nieuwenhuis, M</t>
  </si>
  <si>
    <t>Evaluating the Impact of Future Global Climate Change and Bioeconomy Scenarios on Ecosystem Services Using a Strategic Forest Management Decision Support System</t>
  </si>
  <si>
    <t>Sustainable Forest Management (SFM) has become an important pillar of modern forest management, and one way to evaluate the sustainability of forestry is to assess long-term supply of ecosystem services (ESs) indicators. The concept of sustainability also has come to include adapting to climate change and the associated dynamic timber markets. This study aims to: (1) incorporate several ESs indicators in a Forest Management Decision Support System (FMDSS) that can deal with climate change and dynamic timber markets; and (2) analyse the impact that intensified forest management, resulting from global change scenarios that represent different levels of climate change mitigation efforts, will have on forest ES indicators in the west of Ireland. A linear programming model that optimized Net Present Value (NPV) from mill-gate sales was previously developed in Remsoft Woodstock, a DSS framework used for strategic forest planning around the world. This Woodstock model was modified to include the effects of global scenarios that include climate change and dynamic timber prices. This model was further developed to include indicators for five ESs (carbon storage in the forest as well as in harvested wood products and carbon substitution, windthrow risk, biodiversity, water quality, and cultural values), to assess the impacts of these global scenarios on the forest landscape and the sustainability of forest management. The ES indicator values were mainly linked to forest age, forest type, and yield tables, and their inclusion in the FMDSS had almost no impact on total model run times. Intensified forest clearfelling, as a result of increasing timber prices associated with most global scenarios, led to increased phosphor emissions to waterbodies, and reductions in windthrow risk and carbon storage. The global scenarios only resulted in minor differences in the indicator values for biodiversity and cultural values. Besides the global scenarios, recent forest policy development and the poor soil conditions in the study area impacted on the results. The developed system, with its innovative method to incorporate climate change and associated market dynamics, could be applied to other forest landscapes in Ireland and Europe, or indeed by any forest company or organization that uses Remsoft Woodstock.</t>
  </si>
  <si>
    <t>Front. Ecol. Evol.</t>
  </si>
  <si>
    <t>10.3389/fevo.2020.00200</t>
  </si>
  <si>
    <t>climate scenario</t>
  </si>
  <si>
    <t>S1 (Table 4)</t>
  </si>
  <si>
    <t>tons ha-1</t>
  </si>
  <si>
    <t>Ireland</t>
  </si>
  <si>
    <t>Oliver et al. (2014)</t>
  </si>
  <si>
    <t>Smyth et al. (2017), Sathre and O’Connor (2010)</t>
  </si>
  <si>
    <t>S3 (Table 4)</t>
  </si>
  <si>
    <t>CARBON BALANCE AND MANAGEMENT</t>
  </si>
  <si>
    <t>Carbon sink; Sequestration; European forests; EFISCEN; Forest management; Wood mobilisation</t>
  </si>
  <si>
    <t>CLIMATE; SCIENCE</t>
  </si>
  <si>
    <t>Nabuurs, GJ; Arets, EJMM; Schelhaas, MJ</t>
  </si>
  <si>
    <t>Understanding the implications of the EU-LULUCF regulation for the wood supply from EU forests to the EU</t>
  </si>
  <si>
    <t>Background: In June 2018, the European Parliament and Council of the European Union adopted a legislative regulation for incorporating greenhouse gas emissions and removals from Land Use, Land Use Change and Forestry (EULULUCF) under its 2030 Climate and Energy Framework. The LULUCF regulation aim to incentivise EU Member States to decrease greenhouse gas emissions and increase removals in the LULUCF sector. The regulation, however, does not set a target for increasing the LULUCF carbon sink, but rather includes a'no net debit' target for LULUCF (Forests and Agricultural soils). For Managed Forest Land (MFL) an accounting framework with capped credits for additional mitigation against a set forest reference level (FRL) was agreed for 2021-2030. The FRL gives the projected future carbon sink in the two compliance periods 2021-2025 and 2026-2030 undercontinuation of forest management practices as they were in the reference period 2000-2009' This FRL was disputed by some Member States as it was perceived to put a limit on their future wood harvesting from MFL. Here we simulated with the EFISCEN European forest model the continuation of forest management practices and determined the corresponding wood harvest for 26 EU countries under progressing age classes. Results: The simulations showed that undercontinuation of forest management practices the harvest (wood removals) in the 26 EU countries as a whole can increase from 420 million m(3)/year in 2000-2009 to 560 million m(3)/ year in 2050 due to progressing age classes. This implies there is a possibility to increase absolute wood harvests without creating debits compared to the forest reference level. However, the manner in which 'continuation of forest management' developed with a progressing age class development over time, meant that in some countries the future harvesting exceeded 90% of the increment. Since this generally is considered to be unsustainable we additionally set a harvesting cut-off as max 90% of increment to be harvested for each individual country as a possible interpretation of sustainability criteria that are included in the regulation. Using this additional limit the projected harvest will only increase to 493 million m(3)/year. Conclusions: The worry from Member States (MS) that the FRL will prevent any additional harvesting seems unwarranted. Due to differences between Member States concerning the state of their forest resources, the FRL as a baseline for harvesting works out very differently for the different Member States. The FRL may have other unforeseen consequences which we discuss. Under all scenarios the living forest biomass sink shows a decline. This can be counteracted through incentivising measures under Climate Smart Forestry.</t>
  </si>
  <si>
    <t>Carbon Balanc. Manag.</t>
  </si>
  <si>
    <t>10.1186/s13021-018-0107-3</t>
  </si>
  <si>
    <t>Amount of harvest</t>
  </si>
  <si>
    <t>Constant absolute amount of harvest</t>
  </si>
  <si>
    <t>Constant intensity</t>
  </si>
  <si>
    <t>Harvest Removals overbark</t>
  </si>
  <si>
    <t>m3/y</t>
  </si>
  <si>
    <t>tCO2/y</t>
  </si>
  <si>
    <t>Constant intensity plus cut off at sustainable level</t>
  </si>
  <si>
    <t>Cradle-to-gate; Forest management; Land use; Life cycle assessment (LCA); Round wood; Silviculture</t>
  </si>
  <si>
    <t>LIFE-CYCLE ASSESSMENT; FOREST OPERATIONS; ENERGY; IMPACTS; INVENTORY</t>
  </si>
  <si>
    <t>Nakano, K; Shibahara, N; Nakai, T; Shintani, K; Komata, H; Iwaoka, M; Hattori, N</t>
  </si>
  <si>
    <t>Greenhouse gas emissions from round wood production in Japan</t>
  </si>
  <si>
    <t>Wood has a long-standing history as an industrial material and fuel. Generic life cycle assessment data is therefore needed to assess the quantitative environmental impact of wood. The aim of this study was to estimate cradle-to-gate greenhouse gas emissions for round wood production of four common Japanese tree species. This study focused on Japanese cedar (Cryptomeria japonica), hinoki cypress (Chamaecyparis obtusa), Japanese larch (Larix kaempferi) and Sakhalin fir (Abies sachalinensis) because these four tree species constitute more than 80% of total round wood production in Japan. This study encompassed all major forestry activities, such as planting, thinning and final felling. In addition to these activities, indirect processes, such as construction of forest roads, were also included. The functional unit used for this study was 1 m(3) over bark of green wood (ob). All 47 prefectures were modeled in order to investigate the site characteristics across Japan. Activity data such as yield per area, required seedling numbers, and thinning method were collected for each tree species and for each prefecture. By combining actual surveyed data and simulation data, information collection challenges on variations in sites and time were overcome. The results of this study suggested that greenhouse gas emissions relating to round wood production of Japanese cedar, hinoki cypress, Japanese larch, and Sakhalin fir were 21.7, 25.9, 24.9 and 25.5 kg-CO(2)e/m(3) ob, respectively. The weighted average value for all of Japan was estimated to be 23.0 kg-CO(2)e/m(3) ob. The amount of temporal carbon storage for these tree species was calculated as 585 -762 kg-CO(2)e/m(3) ob. The results also revealed large variation between different prefectures across Japan. Regarding hinoki cypress, for example, the largest greenhouse gas emissions and land use values as an inventory indicator among evaluated prefectures were approximately 1.5 times and 2.7 times larger than the smallest emissions and land use values, respectively. A prefecture with a higher share of heavy forestry machinery tended to indicate relatively higher greenhouse gas emissions. A comprehensive analysis of the target geographical area is therefore required to produce values representative of the region of interest. Among the processes assessed, the final felling process contributed to the largest portion of greenhouse gas emissions in all tree species. An improvement of the energy efficiency of this process is therefore needed. Improving labor productivity would reduce greenhouse gas emissions resulting from commuting workers. (C) 2016 Elsevier Ltd. All rights reserved.</t>
  </si>
  <si>
    <t>10.1016/j.jclepro.2016.10.024</t>
  </si>
  <si>
    <t xml:space="preserve">Species </t>
  </si>
  <si>
    <t>Sakhalin fir</t>
  </si>
  <si>
    <t>Japanese Cedar</t>
  </si>
  <si>
    <t xml:space="preserve">Round wood production </t>
  </si>
  <si>
    <t>See onglet Nakano_2018</t>
  </si>
  <si>
    <t>m3 ob</t>
  </si>
  <si>
    <t>t-CO2e</t>
  </si>
  <si>
    <t>Japanese Larch</t>
  </si>
  <si>
    <t>Hikoni Cypress</t>
  </si>
  <si>
    <t>size of logs (diameter at breast height)</t>
  </si>
  <si>
    <t>18cm(Hikoni Cypressr)</t>
  </si>
  <si>
    <t>8cm(Hikoni Cypressr)</t>
  </si>
  <si>
    <t>t-CO2e/m3 obs</t>
  </si>
  <si>
    <t>Size of logs (diameter at breast height)</t>
  </si>
  <si>
    <t>18cm(Japanese Cedar)</t>
  </si>
  <si>
    <t>8cm(Japanese Cedar)</t>
  </si>
  <si>
    <t>18cm(Japanese Larch)</t>
  </si>
  <si>
    <t>8cm(Japanese Larch)</t>
  </si>
  <si>
    <t>18cm(Sakhalin fir)</t>
  </si>
  <si>
    <t>8cm(Sakhalin fir)</t>
  </si>
  <si>
    <t>Biomass; Life cycle impact; Renewable energy; Rural communities; Sustainable energy</t>
  </si>
  <si>
    <t>LIFE-CYCLE ASSESSMENT; POWER-GENERATION; FOREST; BIOENERGY; CONVERSION; EMISSIONS; RESIDUES</t>
  </si>
  <si>
    <t>Nandimandalam, H; Gude, VG; Marufuzzaman, M</t>
  </si>
  <si>
    <t>Environmental impact assessment of biomass supported electricity generation for sustainable rural energy systems-A case study of Grenada County, Mississippi, USA</t>
  </si>
  <si>
    <t>Fossil fuels have been the major source of electricity supply in the United States of America (USA) for many decades. While a significant shift has occurred from coal-dominated supply to natural gas and renewable source based supplies in recent decades, there is still large potential to improve biomass supported electricity contribution in rural communities, which depend majorly on forest-related activities. Wood waste, an underutilized renewable resource, has the potential for electricity generation in rural areas to reduce the contribution of electricity generated from fossil fuels and assist in greenhouse gas savings. In this study, a life cycle assessment approach was used to estimate the emissions of electricity generated by wood residues in a rural community (Grenada County, Mississippi (MS), USA) and compared with those emissions from the recent electricity mix (2018), a previous electricity mix (2010) supply, along with natural gas (NG) and coal (Bituminous Coal, BC) based electricity generation options. A significant reduction (85.9-94.6%) in global warming impact was observed when compared with BC, NG and grid supplied electricity for years 2010 and 2018. When compared to the current electricity mix at the grid (2018), acidification, eutrophication, respiratory effects and smog formation showed higher emissions ranging from 30.8% to 72.4%. The sensitivity analysis showed an improvement in emissions savings with increased biomass to power conversion efficiency (40%), lower moisture content of the biomass (0%, bone dry biomass), and reduced transportation distance (35 km). This study showed an improvement in the electricity mix supplied to Grenada county, MS, which implies sustainable development opportunities for promoting energy security in rural communities with forest-based industries. (c) 2021 Elsevier B.V. All rights reserved.</t>
  </si>
  <si>
    <t>10.1016/j.scitotenv.2021.149716</t>
  </si>
  <si>
    <t>Changes in chain organization to generate electricity from wood residues</t>
  </si>
  <si>
    <t xml:space="preserve">mill residues (MR) </t>
  </si>
  <si>
    <t xml:space="preserve">Forest Residue case 1 (FR1) </t>
  </si>
  <si>
    <t>amount of residue available</t>
  </si>
  <si>
    <t>tCO2eq/kWh</t>
  </si>
  <si>
    <t>Forest Residue case 2 (FR2)</t>
  </si>
  <si>
    <t>Forest Residue case 1 (FR1) = chipping</t>
  </si>
  <si>
    <t>Forest Residue case 2 (FR2) = bunding + chipping</t>
  </si>
  <si>
    <t>CO2; Forest residues; Forest management; Climate change; Amazon rainforest</t>
  </si>
  <si>
    <t>ABOVEGROUND LIVE BIOMASS; CARBON SEQUESTRATION; NUTRIENT RELEASE; CLIMATE-CHANGE; TROPICAL FORESTS; LOGGED FORESTS; BOREAL FOREST; WOOD PRODUCTS; MANAGEMENT; DEFORESTATION</t>
  </si>
  <si>
    <t>Numazawa, CTD; Numazawa, S; Pacca, S; John, VM</t>
  </si>
  <si>
    <t>Logging residues and CO2 of Brazilian Amazon timber: Two case studies of forest harvesting</t>
  </si>
  <si>
    <t>Forest management has been repeatedly mentioned as a strategy to reduce damage caused by logging when compared with conventional logging. Much has been learned about logging impacts and prospects for forest management, but there are still too many gaps regarding the CO2 emissions in logging, due to residues and their impact on the carbon balance. Here we compare CO2 emissions between two timber harvesting intensity systems. Logging with an intensity of 30 m(3) ha(-1) (L30) and logging with an intensity of 15 m3 ha(-1) (L15) were compared over 4 rotation periods (120 year total timeframe). Original logging residues (LR) data was used to determine emissions from residues decomposition. On average, L30 has produced more LR (41.60 t ha(-1)), than L15 (20.90 t ha(-1)); for each tonne of commercial stem in 130, 2.13 tonnes of logging residues were obtained and 2.05 tonnes of residues were found in L15. Moreover, we have created a scenario representing the carbon balance (emissions from residues versus carbon uptake from biomass re-growth) over a 120 year long period to evaluate the outcomes for both logging intensities. We find that it will need about 38.3 years under 130; whereas 18.2 years were required in the case of L15. The 130 growth period is greater than the cutting cycle, which means that aboveground standing biomass is not able to fully recover until the next cutting cycle. Fully biomass recovery was only achieved when L15 was applied. Furthermore, the diameter of the commercial tree species takes a longer time to recover than the cutting cycle. Finally, ignoring the post harvesting life cycle phases, both CO2 balances were negative, which means that both practices ended up uptaking CO2 from the atmosphere. (C) 2017 Elsevier B.V. All rights reserved.</t>
  </si>
  <si>
    <t>10.1016/j.resconrec.2017.02.016</t>
  </si>
  <si>
    <t>Logging with an intensity of 15 m3 ha−1</t>
  </si>
  <si>
    <t>logging with an intensityof 30 m3 ha−1</t>
  </si>
  <si>
    <t>tCO2/ha (tCO2 uptake by biomass - tCO2 emissions for one ha)</t>
  </si>
  <si>
    <t>Reg</t>
  </si>
  <si>
    <t>sustainable forest management; charcoal production; biogeochemistry management (BGC-MAN) model</t>
  </si>
  <si>
    <t>TROPICAL RAIN-FOREST; CARBON EMISSIONS; TREE GROWTH; BIOMASS; DEFORESTATION; CLIMATE; STOCKS; AVAILABILITY; EFFICIENCY; DYNAMICS</t>
  </si>
  <si>
    <t>Numazawa, CTD; Krasovskiy, A; Kraxner, F; Pietsch, SA</t>
  </si>
  <si>
    <t>Logging residues for charcoal production through forest management in the Brazilian Amazon: economic gains and forest regrowth effects</t>
  </si>
  <si>
    <t>Sustainable forest management (SFM) practices can potentially reverse loss of forest cover due to deforestation, while concomitantly preserving and maintaining biodiversity, and stimulating jobs, income, and forest services. Recent studies found that significant logging residues (LR) (i.e. leaves, branches, and buttress roots) suitable for bioenergy production were often left in the felling area, triggering risks of forest fires and increased CO2 emissions due to wildfires or decomposition processes. For impact assessment of forest management practices, we collected primary harvesting data and estimated net primary productivity (NPP) and net ecosystem exchange (NEE) for 13 forest plots in the Brazilian Amazon. We applied a process-based forestry growth model (BGC-Man) to analyze the impacts on forest dynamics of selective logging and removal of LR, subject to landscape, soil texture, and daily weather. We explored the following selective logging scenarios: the Legal Reserve (i.e. reference) scenario, a scenario with one cutting cycle over the whole period, and a scenario with three timber rotation periods of 30 yr. Two of the later scenarios were complemented with harvesting of the woody LR (o 10 cm) for charcoal production. For each scenario, we computed forest NPP and NEE over a 120 yr time horizon. Results suggest that using woody LR (i.e. 77% of total LR) for charcoal production would result in an economic gain equivalent to 24%-46% of the timber price. Our findings indicate that under scenarios where LR were removed, forest NPP recovered to the reference level and even higher, while income and jobs from harvesting LR for charcoal production were generated. We conclude that SFM could enhance forest productivity and deliver economic benefit from otherwise unexploited LR.</t>
  </si>
  <si>
    <t>10.1088/1748-9326/abb495</t>
  </si>
  <si>
    <t xml:space="preserve">Harvesting intensity </t>
  </si>
  <si>
    <t xml:space="preserve">Legal reserve </t>
  </si>
  <si>
    <t xml:space="preserve">3 harvests over 120 years </t>
  </si>
  <si>
    <t xml:space="preserve">t/ha </t>
  </si>
  <si>
    <t xml:space="preserve">tC stored in forest /ha </t>
  </si>
  <si>
    <t>1 harvest over 120 years</t>
  </si>
  <si>
    <t xml:space="preserve">Harvesting intensity + removal of logging residues </t>
  </si>
  <si>
    <t xml:space="preserve">3 harvests + logging residues removed over 120 years </t>
  </si>
  <si>
    <t xml:space="preserve">1 harvest + logging residues removed over 120 years </t>
  </si>
  <si>
    <t xml:space="preserve">Olguin, M., Wayson, C., Fellows, M., Birdsey, R., Smyth, C. E., Magnan, M., ... &amp; Kurz, W. A. </t>
  </si>
  <si>
    <t xml:space="preserve"> Applying a systems approach to assess carbon emission reductions from climate change mitigation in Mexico’s forest sector</t>
  </si>
  <si>
    <t xml:space="preserve"> Environmental Research Letters</t>
  </si>
  <si>
    <t>10.1088/1748-9326/aaaa03</t>
  </si>
  <si>
    <t>The BAU baseline estimates the GHG fluxes if forest management and disturbance rates observed in the past continue into the future (2018–2050).</t>
  </si>
  <si>
    <t>Increased forest productivity and timber production with increased proportion of products with medium displacement factors value</t>
  </si>
  <si>
    <t>tC/yr</t>
  </si>
  <si>
    <t>TgCO2/yr</t>
  </si>
  <si>
    <t>Mexico</t>
  </si>
  <si>
    <t>CBM-CFS3 (KurzWA et al 2009 CBM-CFS3: A model of carbon-dynamics in
forestry and landuse change implementing IPCC standards
Ecol. Model. 220 480–504)</t>
  </si>
  <si>
    <t>Increased forest productivity and timber production with increased proportion of long-lived products</t>
  </si>
  <si>
    <t xml:space="preserve">TgCO2/yr </t>
  </si>
  <si>
    <t>Increased forest productivity and timber production with increased proportion of products with low displacement factors value</t>
  </si>
  <si>
    <t>Increased forest productivity and timber production with same products as in BAU</t>
  </si>
  <si>
    <t>CBM-CFS3 (KurzWA et al 2009 CBM-CFS3</t>
  </si>
  <si>
    <t>ANNALS OF FOREST SCIENCE</t>
  </si>
  <si>
    <t>Biophysical assessment; Economic evaluation; Carbon stock; Carbon sequestration; Recreational activities; Multiple-criteria decision analysis (MCDA)</t>
  </si>
  <si>
    <t>Paletto, A; Pieratti, E; De Meo, I; Agnelli, AE; Cantiani, P; Chiavetta, U; Mazza, G; Lagomarsino, A</t>
  </si>
  <si>
    <t>A multi-criteria analysis of forest restoration strategies to improve the ecosystem services supply: an application in Central Italy</t>
  </si>
  <si>
    <t>center dot Key message A multi-criteria analysis can be an interesting tool to assess the effects of silvicultural treatments on ecosystem services supply. In the degraded forests, thinning has a positive effect on the provision of ecosystem services such as timber and bioenergy production, climate change mitigation, and recreational attractiveness. center dot Context The Millennium Ecosystem Assessment highlights the importance of the ecosystem services for human well-being and for maintaining conditions for life on Earth. Silvicultural treatments can improve the provision of ecosystem services to increase local communities' well-being. center dot Aims The aim of this study is to understand the effects of two-forest restoration practices (selective thinning and thinning from below) on three ecosystem services (wood production, climate change mitigation, and recreational opportunities) in an Italian case study. center dot Methods A multi-criteria decision analysis (MCDA) was performed to compare the effects of three forest restoration scenarios (baseline, selective thinning, thinning from below) on ecosystem services. Wood production was estimated considering the local market prices and the wood volumes harvested, while climate change mitigation was quantified through the C-stock and C-sequestration changes in carbon pools due to the silvicultural treatments. The recreational activities were assessed through a questionnaire survey. A sample of 200 visitors was interviewed face-to-face to estimate the impact of thinning on recreational activities. center dot Results The results of the MCDA show that the selective thinning scenario is the optimal forest restoration practice to increase the recreational attractiveness and the wood production in the study area. center dot Conclusion The results concerning the effects of the silvicultural treatments on ecosystem services supply are an important tool to support decision makers.</t>
  </si>
  <si>
    <t>Ann. For. Sci.</t>
  </si>
  <si>
    <t>10.1007/s13595-020-01020-5</t>
  </si>
  <si>
    <t>Type of thinning</t>
  </si>
  <si>
    <t xml:space="preserve">Baseline scenario (BU) No silvicultural treatments </t>
  </si>
  <si>
    <t>Selective thinning scenario (ST):  all crownvolume
competitors are harvested (thinned 30–40% of
basal area). Standing dead trees and logs of the first two decay classes with a diameter more than 20 cm are removed.</t>
  </si>
  <si>
    <t>m3/ha</t>
  </si>
  <si>
    <t xml:space="preserve">tCO2/ha (change in C stock over the 15 years period ) </t>
  </si>
  <si>
    <t>Thinning from below scenario (TB): only small and leaned living trees and snags are harvested (thinned from below 15–20% of basal area). The logs are not removed during the harvesting operations</t>
  </si>
  <si>
    <t>carbon balance; harvested wood products; wood utilization; roundwood supply; foreign trade</t>
  </si>
  <si>
    <t>CARBON; SEQUESTRATION; IMPACTS; ENERGY; MODEL</t>
  </si>
  <si>
    <t>Palus, H; Parobek, J; Moravcik, M; Kovalcik, M; Dzian, M; Murgas, V</t>
  </si>
  <si>
    <t>Projecting Climate Change Potential of Harvested Wood Products under Different Scenarios of Wood Production and Utilization: Study of Slovakia</t>
  </si>
  <si>
    <t>The forestry and forest-based sector play a significant role in climate change mitigation strategies and can contribute to the achievement of a climate-neutral economy. In this context, the ability of harvested wood products (HWP) to sequester carbon is of significant importance. The objective of this work is to make a projection of climate change mitigation potential of HWP, under different scenarios of wood utilization in Slovakia. This study builds on the comparison of different scenarios of industrial wood utilization till 2035 and presents the resulting impacts on the national carbon balance. The results suggest that the development of timber supplies after 2020 in Slovakia will be influenced, in particular, by the future changes in the age distribution and tree species composition as well as the extent of future accidental felling. Consequently, a predicted structure and availability of wood resources in Slovakia will be reflected in a higher share of the production of products with shorter life cycle and thus will negatively affect the carbon pool in HWP. By comparing the results of the four designed scenarios, it follows that the scenario with the greatest mitigation potential, is the one assuming the optimal use of wood assortments and limitation of industrial roundwood foreign trade.</t>
  </si>
  <si>
    <t>10.3390/su12062510</t>
  </si>
  <si>
    <t>1000m3</t>
  </si>
  <si>
    <t>thousands tons CO2</t>
  </si>
  <si>
    <t>Slovakia</t>
  </si>
  <si>
    <t>bioeconomy; wood utilization; harvested wood products; carbon storage; CO2 emission</t>
  </si>
  <si>
    <t>ENERGY; CONSUMPTION; BIOECONOMY; RESOURCES; IMPACTS; BIOMASS; STORAGE; FORESTS</t>
  </si>
  <si>
    <t>Parobek, J; Palus, H; Moravcik, M; Kovalcik, M; Dzian, M; Murgas, V; Simo-Svrcek, S</t>
  </si>
  <si>
    <t>Changes in Carbon Balance of Harvested Wood Products Resulting from DifferentWood Utilization Scenarios</t>
  </si>
  <si>
    <t>The bioeconomy focuses on the production of renewable biological resources and the utilisation of these resources and waste streams into value added products. One of the most important aims of the forest industry is the sustainable production of wood. Improved utilization of available industrial wood assortments generates profit for all in the supply chain. At the same time, it may ensure the production of long-life harvested wood products (HWP), and consequently, increase the volume of carbon stored. The objective of this study is to compare di ff erent scenarios of industrial wood utilization in Slovakia and the resulting impacts on the national carbon balance. In the proposed scenarios, we aimed to evaluate changes in the current utilization of domestic wood resources through optimizing harvested wood assortments. Two inventory stock methods were applied to determine the potential quality of domestic wood and its utilization through appropriate distribution of outputs. The model scenario assumes that the higher share of industrial roundwood utilised to produce long-life HWP (sawnwood, wood-based panels) will increase carbon sequestration in HWP. Other scenarios quantify the di ff erences between the carbon volumes stored in HWP using the modelled wood assortment supplemented with alternatives with and without export. The results confirmed that increasing the level of carbon stored in HWP can be achieved by changing the wood assortment structure, while maintaining the same level of volume felled. The highest level of carbon stock was observed in the scenario assuming the optimal structure of wood assortments and no wood export. The scenario that optimized wood assortments and excluded wood exports resulted in the highest level of predicted carbon stock, estimated at 4.87 million tons (mil. tons).</t>
  </si>
  <si>
    <t>10.3390/f10070590</t>
  </si>
  <si>
    <t>domestic wood supply+ exported logs</t>
  </si>
  <si>
    <t>Emissions</t>
  </si>
  <si>
    <t>thousand metric tons co2equivalent</t>
  </si>
  <si>
    <t>Southeast Asia; carbon stock; tropical forest management; land-use change</t>
  </si>
  <si>
    <t>EXCHANGE-RATES; DIOXIDE; CO2</t>
  </si>
  <si>
    <t>Phat, NK; Knorr, W; Kim, S</t>
  </si>
  <si>
    <t>Appropriate measures for conservation of terrestrial carbon stocks - Analysis of trends of forest management in Southeast Asia</t>
  </si>
  <si>
    <t>The 21st century has brought new challenges for forest management at a time when global climate change is becoming increasingly apparent. Additional to various goods and services being provided to human beings, forest ecosystems are a large store of terrestrial carbon and account for a-major part of the carbon exchange between the atmosphere and the land surface. Depending on the management regime, forests can thus be either a sink, or a source of atmospheric carbon. Southeast Asia or ASEAN comprises 10 countries of different cultures and political background. Rapid economic development and fast-growing population in the region have raised much concern over the use of natural resources, especially forest resources. This study aims at finding the appropriate measures for sustainable use and management of tropical forests on a long-term basis. Between 1990 and 2000, about 2.3 million ha of forest were cleared every year and lost to other forms of land use. In terms of carbon emissions, a net amount of approximately 465 million t per year were released to the atmosphere over the same period, which amounts to 29% of the global net carbon release from deforestation worldwide. This study provides an approach to analyzing the implications of alternative forest and land management options on forest carbon stocks. This is done in three steps: First, observed trends in land use are expressed in terms of a model in order to create a scenario for the period 1980-2050. Second, forest management practices and timber production rates are analyzed and three management scenarios are created: (1) continuing the current rate of exploitation, (2) management for long-term economic gains, and (3) climate-beneficial management. Third, the impact of the three scenarios on regional carbon storage is estimated on the basis of a carbon balance model. Comparing the additional rate of carbon sequestration of scenario (3) over scenario (2), and taking into account differing management costs, we also discuss a framework for industrialized countries to invest in carbon credits in the region in order to fulfil their commitments under present and future climate protection agreements. (C) 2004 Elsevier B.V. All rights reserved.</t>
  </si>
  <si>
    <t>10.1016/j.foreco.2003.12.019</t>
  </si>
  <si>
    <t>Changes in forest management and wood use (LEGA)</t>
  </si>
  <si>
    <t>LEGA</t>
  </si>
  <si>
    <t>BAUSU</t>
  </si>
  <si>
    <t>WH + WP</t>
  </si>
  <si>
    <t>section 4.2</t>
  </si>
  <si>
    <t>Pg C</t>
  </si>
  <si>
    <t>SE Asia</t>
  </si>
  <si>
    <t>Changes in forest management and wood use (CLIBO)</t>
  </si>
  <si>
    <t>CLIBO</t>
  </si>
  <si>
    <t>Fig. 5</t>
  </si>
  <si>
    <t>BIOGEOSCIENCES</t>
  </si>
  <si>
    <t>Biogeosciences</t>
  </si>
  <si>
    <t>Carbon balance; Substitution effects; Rotation forestry; Uneven-aged management</t>
  </si>
  <si>
    <t>FINE-ROOT BIOMASS; SCOTS PINE; NORWAY SPRUCE; SOIL CARBON; FOREST MANAGEMENT; STAND AGE; DECOMPOSITION; EMISSIONS; FINLAND; STORAGE</t>
  </si>
  <si>
    <t>Pukkala, T</t>
  </si>
  <si>
    <t>Does biofuel harvesting and continuous cover management increase carbon sequestration?</t>
  </si>
  <si>
    <t>The study used an existing forest planning system to analyze the influence of fuel feedstock harvesting and type of forest management on the carbon balance of forestry. The carbon balance module simulated changes in the carbon storage in living biomass, dead organic matter and products. Carbon releases from timber harvesting, transporting and manufacturing were included in the carbon balance, as well as the substitution, recycling and reuse effects of different types of wood products (avoided releases from fossil fuels due to the use of wood). Prediction models were developed for the initial pools of wood products and dead organic matter. The results show that collecting branches, stumps and coarse roots for bioenergy improves the carbon balance very little during the first 30 years of biofuel harvesting. This is because decreased carbon balance of forest soil partially cancels the positive substitution effects of fuel feedstock harvesting. Using high thinnings and continuous cover management instead of low thinnings, clear felling and artificial regeneration have an immediate positive effect on the carbon balance. This is because the sizes of the wood product and living biomass pools increase, and manufacturing releases decrease. (C) 2014 Elsevier B.V. All rights reserved.</t>
  </si>
  <si>
    <t>10.1016/j.forpol.2014.03.004</t>
  </si>
  <si>
    <t>Continuous cover vs clearfelling</t>
  </si>
  <si>
    <t>Continuous cover forestry (CCF)</t>
  </si>
  <si>
    <t>Current management with fuel feedstock harvesting (RF low, biofuel)</t>
  </si>
  <si>
    <t>Inflow to HWP pool</t>
  </si>
  <si>
    <t>Table 7</t>
  </si>
  <si>
    <t>tC/ha/yr</t>
  </si>
  <si>
    <t>Table 6</t>
  </si>
  <si>
    <t>Liski, J., Pussinen, A., Pingoud, K., Mäkipää, R., Karjalainen, T., 2001.Which rotation length
is favourable to carbon sequestration? Can. J. For. Res. 31, 2004–2013.</t>
  </si>
  <si>
    <t>High thinning vs low thinning</t>
  </si>
  <si>
    <t>Current management with fuel feedstock harvesting and high thinnings instead of low thinning (RF high, biofuel)</t>
  </si>
  <si>
    <t>Residue harvesting or not</t>
  </si>
  <si>
    <t>Current management without fuel feedstock harvesting (RF low, no biofuel)</t>
  </si>
  <si>
    <t>Any-aged management (AAF) = continuous cover forestry and high thinnings</t>
  </si>
  <si>
    <t>Forest biomass; Intensive management; Carbon balance in forestry; Energy carbon balance; Carbon neutrality; Substitution</t>
  </si>
  <si>
    <t>FOREST MANAGEMENT; SCOTS PINE; DIOXIDE EMISSIONS; TIMBER PRODUCTION; CLIMATE-CHANGE; IMPACTS; GROWTH; STOCKS; FERTILIZATION; SENSITIVITY</t>
  </si>
  <si>
    <t>Pyorala, P; Kellomaki, S; Peltola, H</t>
  </si>
  <si>
    <t>Effects of management on biomass production in Norway spruce stands and carbon balance of bioenergy use</t>
  </si>
  <si>
    <t>In this study, we analyzed the effects of management on the production of timber and energy biomass, and ecosystem carbon balance in Norway spruce (Picea abies) stands, with impacts on carbon neutrality of the use of biomass in energy production. In simulations, we employed the ecosystem model and life cycle analyses tool with varying management scenarios (thinning, nitrogen fertilization and rotation length) on medium fertile and fertile sites in central Finland. We found that the annual mean timber production could be increased by using longer rotation lengths of 60-80 years. This was opposite to energy biomass production, which was increased the most by using shorter rotations of 30-50 years. On the other hand, both of them could be increased by applying nitrogen fertilization and by maintaining higher stocking over the rotation compared to the current Finnish baseline management. This positively affected both the carbon storage and carbon balance in forestry, as well as the energy carbon balance which takes into account both carbon balance for forestry and the CO2 emissions from the burning of energy biomass. It also decreased the CO2 emissions per unit of energy by approx. 30% compared to baseline management, regardless of site fertility type. Similarly, the carbon neutrality of the bioenergy system could be increased in this way compared to the use of coal instead. To conclude, based on proper management it will be possible to increase simultaneously the production of timber and energy biomass, and carbon stock in the forest ecosystem and to improve the forest ecosystem carbon balance so that in the long-term the CO2 uptake will exceed concurrent emissions. (C) 2012 Elsevier B.V. All rights reserved.</t>
  </si>
  <si>
    <t>10.1016/j.foreco.2012.02.037</t>
  </si>
  <si>
    <t>thinning intensity (Fertile OMT, 50y rotation)</t>
  </si>
  <si>
    <t>R40</t>
  </si>
  <si>
    <t>RB</t>
  </si>
  <si>
    <t>timber +energy</t>
  </si>
  <si>
    <t>tCO2/ha/a</t>
  </si>
  <si>
    <t>Statistics Finland_2005</t>
  </si>
  <si>
    <t>thinning intensity (Medium Fertility MT, 80y rotation)</t>
  </si>
  <si>
    <t>R0</t>
  </si>
  <si>
    <t>thinning intensity ( Fertile OMT, 80y rotation)</t>
  </si>
  <si>
    <t>thinning intensity (Medium Fertility MT, 50y rotation)</t>
  </si>
  <si>
    <t>fertilization (Fertile OMT, 50y rotation)</t>
  </si>
  <si>
    <t>RBF</t>
  </si>
  <si>
    <t>fertilization (Medium Fertility MT, 80y rotation)</t>
  </si>
  <si>
    <t>fertilization ( Fertile OMT, 80y rotation)</t>
  </si>
  <si>
    <t>fertilization (Medium Fertility MT, 50y rotation)</t>
  </si>
  <si>
    <t>fertility (R30F,  50y)</t>
  </si>
  <si>
    <t>MT</t>
  </si>
  <si>
    <t>OMT</t>
  </si>
  <si>
    <t>fig2-3</t>
  </si>
  <si>
    <t>v1</t>
  </si>
  <si>
    <t>fertility (R30F,  80y)</t>
  </si>
  <si>
    <t>v2</t>
  </si>
  <si>
    <t>fertility (RB,  50y)</t>
  </si>
  <si>
    <t>v3</t>
  </si>
  <si>
    <t>fertility (RB,  80y)</t>
  </si>
  <si>
    <t>v0</t>
  </si>
  <si>
    <t>bioenergy from harvest residues instead of coal (High Fertility site; 80 yr rotation;no thinning; no fertilizer)</t>
  </si>
  <si>
    <t>Bioenergy</t>
  </si>
  <si>
    <t>Energy biomass (residues)</t>
  </si>
  <si>
    <t>kg CO2 MWh-1</t>
  </si>
  <si>
    <t>Fix sequestration sign &amp; correct coal Cref</t>
  </si>
  <si>
    <t>bioenergy from harvest residues instead of coal (Medium Fertility site; 80 yr rotation;no thinning; no fertilizer)</t>
  </si>
  <si>
    <t>bioenergy from harvest residues instead of coal (High Fertility site; 80 yr rotation;Max-40% thinning; Fertilized)</t>
  </si>
  <si>
    <t>bioenergy from harvest residues instead of coal (High Fertility site; 80 yr rotation;Max-30% thinning; Fertilized)</t>
  </si>
  <si>
    <t>bioenergy from harvest residues instead of coal (Medium Fertility site; 80 yr rotation;Max-30% thinning; Fertilized)</t>
  </si>
  <si>
    <t>bioenergy from harvest residues instead of coal (Medium Fertility site; 80 yr rotation;Max-40% thinning; Fertilized)</t>
  </si>
  <si>
    <t>bioenergy from harvest residues instead of coal (High Fertility site; 80 yr rotation;Max-40% thinning; no fertilizer)</t>
  </si>
  <si>
    <t>bioenergy from harvest residues instead of coal (Medium Fertility site; 80 yr rotation;Max-40% thinning; no fertilizer)</t>
  </si>
  <si>
    <t>bioenergy from harvest residues instead of coal (Medium Fertility site; 80 yr rotation;Max-30% thinning; no fertilizer)</t>
  </si>
  <si>
    <t>bioenergy from harvest residues instead of coal (Medium Fertility site; 80 yr rotation;Max-20% thinning; Fertilized)</t>
  </si>
  <si>
    <t>bioenergy from harvest residues instead of coal (High Fertility site; 80 yr rotation;Max-20% thinning; Fertilized)</t>
  </si>
  <si>
    <t>bioenergy from harvest residues instead of coal (Medium Fertility site; 80 yr rotation;Max-20% thinning; no fertilizer)</t>
  </si>
  <si>
    <t>bioenergy from harvest residues instead of coal (High Fertility site; 80 yr rotation;Max-30% thinning; no fertilizer)</t>
  </si>
  <si>
    <t>bioenergy from harvest residues instead of coal (Medium Fertility site; 80 yr rotation;Max thinning; no fertilizer)</t>
  </si>
  <si>
    <t>bioenergy from harvest residues instead of coal (High Fertility site; 80 yr rotation;Max-20% thinning; no fertilizer)</t>
  </si>
  <si>
    <t>bioenergy from harvest residues instead of coal (Medium Fertility site; 80 yr rotation;Max thinning; Fertilized)</t>
  </si>
  <si>
    <t>bioenergy from harvest residues instead of coal (High Fertility site; 80 yr rotation;Max thinning; Fertilized)</t>
  </si>
  <si>
    <t>bioenergy from harvest residues instead of coal (High Fertility site; 80 yr rotation;Max thinning; no fertilizer)</t>
  </si>
  <si>
    <t>bioenergy from harvest residues instead of coal (High Fertility site; 30 yr rotation;Max thinning; Fertilized)</t>
  </si>
  <si>
    <t>bioenergy from harvest residues instead of coal (High Fertility site; 30 yr rotation;Max-30% thinning; Fertilized)</t>
  </si>
  <si>
    <t>bioenergy from harvest residues instead of coal (High Fertility site; 30 yr rotation;Max-20% thinning; Fertilized)</t>
  </si>
  <si>
    <t>bioenergy from harvest residues instead of coal (Medium Fertility site; 30 yr rotation;Max-40% thinning; Fertilized)</t>
  </si>
  <si>
    <t>bioenergy from harvest residues instead of coal (High Fertility site; 30 yr rotation;Max-40% thinning; no fertilizer)</t>
  </si>
  <si>
    <t>bioenergy from harvest residues instead of coal (High Fertility site; 30 yr rotation;no thinning; no fertilizer)</t>
  </si>
  <si>
    <t>bioenergy from harvest residues instead of coal (High Fertility site; 30 yr rotation;Max thinning; no fertilizer)</t>
  </si>
  <si>
    <t>bioenergy from harvest residues instead of coal (High Fertility site; 30 yr rotation;Max-30% thinning; no fertilizer)</t>
  </si>
  <si>
    <t>bioenergy from harvest residues instead of coal (High Fertility site; 30 yr rotation;Max-20% thinning; no fertilizer)</t>
  </si>
  <si>
    <t>bioenergy from harvest residues instead of coal (Medium Fertility site; 30 yr rotation;Max-30% thinning; Fertilized)</t>
  </si>
  <si>
    <t>bioenergy from harvest residues instead of coal (Medium Fertility site; 30 yr rotation;Max-20% thinning; Fertilized)</t>
  </si>
  <si>
    <t>bioenergy from harvest residues instead of coal (Medium Fertility site; 30 yr rotation;Max thinning; Fertilized)</t>
  </si>
  <si>
    <t>bioenergy from harvest residues instead of coal (Medium Fertility site; 30 yr rotation;Max-20% thinning; no fertilizer)</t>
  </si>
  <si>
    <t>bioenergy from harvest residues instead of coal (Medium Fertility site; 30 yr rotation;no thinning; no fertilizer)</t>
  </si>
  <si>
    <t>bioenergy from harvest residues instead of coal (Medium Fertility site; 30 yr rotation;Max thinning; no fertilizer)</t>
  </si>
  <si>
    <t>bioenergy from harvest residues instead of coal (Medium Fertility site; 30 yr rotation;Max-30% thinning; no fertilizer)</t>
  </si>
  <si>
    <t>bioenergy from harvest residues instead of coal (Medium Fertility site; 30 yr rotation;Max-40% thinning; no fertilizer)</t>
  </si>
  <si>
    <t>forest planning; multi-function forest; ecosystem services; combinatorial optimization; adjacency constraints; simulated annealing</t>
  </si>
  <si>
    <t>SEQUESTRATION; CONSTRAINTS; ADJACENCY; BIOMASS; FIRE; PROFITABILITY; DYNAMICS; STORAGE; SEARCH; IMPACT</t>
  </si>
  <si>
    <t>Qin, HY; Dong, LB; Huang, YL</t>
  </si>
  <si>
    <t>Evaluating the Effects of Carbon Prices on Trade-Offs between Carbon and Timber Management Objectives in Forest Spatial Harvest Scheduling Problems: A Case Study from Northeast China</t>
  </si>
  <si>
    <t>To mitigate global climatic changes, long-term carbon trading and carbon taxes have been implemented in many countries. However, carbon prices have varied in many of these regions. Therefore, the goal of this paper was to evaluate the effects of carbon prices on trade-offs between forest carbon and timber management objectives in spatial harvest scheduling problems. The objective function of the planning problem was designed to maximize the discounted net present value of harvested timber and the differences of carbon stocks in living tree biomass between the beginning and end of the planning horizon (DoC) within a 30-year time frame for a large forest region in northeast China. The constraints primarily related to maintaining an even flow of harvested timber and guaranteeing the maximum opening size. Forest developments were simulated using a set of standard stand-level growth and yield models, and the solutions of the planning problem were generated using the standard version of a simulated annealing algorithm. The effects of a wide range of carbon prices on the harvested timber and DoC levels were examined. The results showed that the trade-offs between forest harvested timber and the DoC displayed a typical nonlinear tendency as carbon prices increased. The current carbon prices (i.e., 25, 50 and 75 (sic)/ton) in China had no significant effects on the optimal forest management plans compared with a scenario that used a carbon price of zero. The minimum carbon price that can provide the financial incentive for the forests to function as a significant carbon sink was estimated to be somewhat over 800 (sic)/ton. This result could be useful in determining the appropriate carbon offset standard in this region.</t>
  </si>
  <si>
    <t>10.3390/f8020043</t>
  </si>
  <si>
    <t>carbon price (5000 yen per ton)</t>
  </si>
  <si>
    <t>Zero Yen</t>
  </si>
  <si>
    <t>carbon price (3000 yen per ton)</t>
  </si>
  <si>
    <t>carbon price (1500 yen per ton)</t>
  </si>
  <si>
    <t>carbon price (800 yen per ton)</t>
  </si>
  <si>
    <t>Optimal forest management; Greenhouse gas mitigation; Material substitution; Energy substitution; Regional analysis</t>
  </si>
  <si>
    <t>GREENHOUSE-GAS EMISSIONS; TIMBER PRODUCTION; WOOD PRODUCTS; LIFE-CYCLE; SEQUESTRATION; MANAGEMENT; SUBSTITUTION; BIOMASS; SOILS; ACCUMULATION</t>
  </si>
  <si>
    <t>Raymer, AK; Gobakken, T; Solberg, B; Hoen, HF; Bergseng, E</t>
  </si>
  <si>
    <t>A forest optimisation model including carbon flows: Application to a forest in Norway</t>
  </si>
  <si>
    <t>We analyse which management to choose in order to increase the carbon benefit from the 1.342 million ha forest area in Hedmark County, Norway, and the cost of doing this compared to traditional profit maximising behaviour. The model used in the analysis is a dynamic forest management optimisation model which includes the main carbon flows and benefits from the forest area: tree growth and mortality, litter accumulation, decomposition of dead wood and harvest residues, soil processes, end-use of wood products, and saved greenhouse gas emissions from using wood products instead of more energy intensive materials and fossil fuels. The overall harvest from the region is restricted to the present level, in order to see which carbon benefits can be achieved while keeping a steady supply of timber to the forest industry. Under this restriction, maximising carbon benefit decreases the net present value of timber revenue from the region by 21%. There is more planting and less thinning compared to when timber revenue is maximised. If substitution effects, i.e. saved greenhouse gas emissions from use of wood products, are included in the analysis, it is optimal with more planting and thinning, although the changes are small in this case study because harvest level is held constant. On the other hand, net present value of carbon benefit (in ton CO2-equivalent) is increased by 1.4-1.6 times when substitution effects are included. Changing forest management is a cost effective mitigation option. For a cost of (sic) 0-10 per ton discounted CO2-equivalent, the net present value of carbon benefit from the area can be increased with 0.2-0.3 million tonnes CO2-equivalents on average in every year of the 120 years long planning horizon taking discounting into account (annuity). (C) 2009 Elsevier B.V. All rights reserved.</t>
  </si>
  <si>
    <t>10.1016/j.foreco.2009.04.036</t>
  </si>
  <si>
    <t>Maximize timber revenues</t>
  </si>
  <si>
    <t>MaxTimberNPV</t>
  </si>
  <si>
    <t>MaxCarbonNPV_withoutsubstitution</t>
  </si>
  <si>
    <t>Standing Volume</t>
  </si>
  <si>
    <t>milion m3</t>
  </si>
  <si>
    <t>MaxCarbonNPV_withsubstitution</t>
  </si>
  <si>
    <t>residue management</t>
  </si>
  <si>
    <t>coal and natural gas are included in the study but not  used in the data extraction</t>
  </si>
  <si>
    <t xml:space="preserve">Repo, A., Tuovinen, J. P., &amp; Liski, J. </t>
  </si>
  <si>
    <t xml:space="preserve"> Can we produce carbon and climate neutral forest bioenergy?</t>
  </si>
  <si>
    <t xml:space="preserve"> Gcb Bioenergy</t>
  </si>
  <si>
    <t>10.1111/gcbb.12134</t>
  </si>
  <si>
    <t>no residue removal (Fig 5)</t>
  </si>
  <si>
    <t>Bioenergy -21% (Fig 5)</t>
  </si>
  <si>
    <t>average biomass harvested over a rotation</t>
  </si>
  <si>
    <t>J m-2</t>
  </si>
  <si>
    <t>Bioenergy +10 (Fig 5)</t>
  </si>
  <si>
    <t>Bioenergy (Fig 5)</t>
  </si>
  <si>
    <t>Bioenergy +38% (Fig 5)</t>
  </si>
  <si>
    <t>coal and natural gas are included in the study but not used in the data extraction</t>
  </si>
  <si>
    <t>WOODY BIOMASS ENERGY; OPTIMAL MANAGEMENT; SEQUESTER CARBON; IMPACTS; SECTOR; POLICY; MITIGATION; BIOENERGY; PAYMENTS; INSIGHTS</t>
  </si>
  <si>
    <t>Riviere, M; Caurla, S</t>
  </si>
  <si>
    <t>Landscape implications of managing forests for carbon sequestration</t>
  </si>
  <si>
    <t>We explore the implications of managing forests for the dual purpose of sequestering carbon and producing timber, using a model of the forest sector that includes a Hartman-based representation of forest owners' behaviour as well as heterogeneity in environmental conditions. We focus on France, where recent policies aim at increasing the carbon sink and where the diversity of forests makes an analysis of spatial dynamics relevant, and we use recent estimates of the shadow price of carbon consistent with the country's climate commitments. Results suggest that forests may sequester up to 550 MtCO(2)eq by 2100, driven by changes in harvest levels and species choice, whilst rotation lengths increase overall. A spatial analysis reveals a high spatial variability for these trends, highlighting the importance of considering the local context. Changes in investment patterns affect the spatial distribution of forest cover types: by the end of the century, a majority of regions comprise a larger share of older, multiple-species and mixed-structure forests. Whilst such an evolution may present benefits in terms of biodiversity, ecosystem services provision and resilience, it raises questions regarding the adequacy of such developments with current forest policy, which also aims at increasing harvest levels. An overall mitigation strategy for the forest sector would likely include incentives to energy and material substitution in downstream industries, which we did not consider and may interact with sequestration incentives.</t>
  </si>
  <si>
    <t>10.1093/forestry/cpaa015</t>
  </si>
  <si>
    <t>Low price of carbon</t>
  </si>
  <si>
    <t>LOW</t>
  </si>
  <si>
    <t>Harvested Volume</t>
  </si>
  <si>
    <t>Main (reported) price of carbon</t>
  </si>
  <si>
    <t>MAIN</t>
  </si>
  <si>
    <t>High price of carbon</t>
  </si>
  <si>
    <t>High</t>
  </si>
  <si>
    <t>Main (reported) price of carbon_landownerDoesNOtaccountforC</t>
  </si>
  <si>
    <t>MAIN-F</t>
  </si>
  <si>
    <t>Canada; Managed forest; Harvested wood products; Cascade; Cradle-to-cradle utilization; Carbon footprint; Energy wood</t>
  </si>
  <si>
    <t>EMISSIONS; WASTE; PARTICLEBOARD; CONSUMPTION; INVENTORY; BALANCES; IMPACTS; PELLETS; STORAGE; MARKET</t>
  </si>
  <si>
    <t>Sikkema, R; Junginger, M; McFarlane, P; Faaij, A</t>
  </si>
  <si>
    <t>The GHG contribution of the cascaded use of harvested wood products in comparison with the use of wood for energy-A case study on available forest resources in Canada</t>
  </si>
  <si>
    <t>Some Parties (Countries) to the UNFCCC decided to include the carbon uptake by harvested wood products (HWP) in a new general accounting framework after 2012 (post Kyoto). The analysis aims to make a comparison between the cascaded use of HWP and the use of wood for energy. We combine the new HWP framework with an assumed increased 50 million m(3) harvest level in Canada and evaluate the impact of the GHG emissions over a 100-year period. Our reference case assumes all harvested wood is an immediate CO2 emission (IPCC default) and no substitution effects, i.e. annual GHG emissions of 41 million tonnes CO2eq. In our wood utilization scenario's, harvested trees are allocated (in varying shares) to three end-products: construction wood, paper products and pellets for power production. In comparison with our base case, a combination of fossil fuel substitution, material substitution and temporary carbon uptake by HWP leads to significant decreases in GHG emissions. All scenario's show annual GHG emission between 18 and 21 million tonnes CO2eq except for triple use without recycling (at least 24 million tonnes CO2eq). We conclude that GHG emissions of our scenarios are substantially lower than IPCC default. However, it is difficult to incorporate one single method to account for GHG uptake and emissions by HWP, due to end use efficiency and recycling options. Further GHG allocation over individual countries is not straightforward and needs further research. (C) 2013 Elsevier Ltd. All rights reserved.</t>
  </si>
  <si>
    <t>10.1016/j.envsci.2013.03.007</t>
  </si>
  <si>
    <t>Triple Use of wood products for construction, paper, and pellets; solid waste combustion with 30% efficiency; no recycling</t>
  </si>
  <si>
    <t>Wood harvested</t>
  </si>
  <si>
    <t>1; self-calculated for end of life energy recovery of wood products</t>
  </si>
  <si>
    <t>1; https://webarchive.nationalarchives.gov.uk/ukgwa/20121217163822/https://www.decc.gov.uk/en/content/cms/consultations/biomass_ro/biomass_ro.aspx</t>
  </si>
  <si>
    <t>38%; https://link.springer.com/article/10.1007/s10086-009-1107-4</t>
  </si>
  <si>
    <t>Fix sequestration sign; C_alternative values checked from file Valade_2018_data</t>
  </si>
  <si>
    <t>Triple Use of wood products for construction, paper, and pellets; solid waste combustion with 20% efficiency; no recycling</t>
  </si>
  <si>
    <t>Triple Use of wood products for construction, paper, and pellets; solid waste combustion with 30% efficiency; with recycling</t>
  </si>
  <si>
    <t>Triple Use of wood products for construction, paper, and pellets; solid waste combustion with 20% efficiency; with recycling</t>
  </si>
  <si>
    <t>Duel Use of wood products for construction and pellets; solid waste combustion with 30% efficiency; with recycling</t>
  </si>
  <si>
    <t>Duel Use of wood products for construction and pellets; solid waste combustion with 30% efficiency; no recycling</t>
  </si>
  <si>
    <t>Single Use of wood products for energy pellets; no recycling</t>
  </si>
  <si>
    <t>Duel Use of wood products for construction and pellets; solid waste combustion with 20% efficiency; with recycling</t>
  </si>
  <si>
    <t>Duel Use of wood products for construction and pellets; solid waste combustion with 20% efficiency; no recycling</t>
  </si>
  <si>
    <t>GROWING POPLAR PLANTATIONS; LIFE-CYCLE ASSESSMENT; CARBON SEQUESTRATION; ENVIRONMENTAL PERFORMANCE; BOREAL FORESTS; MANAGEMENT; BIOENERGY; IMPACTS; BIOMASS; AFFORESTATION</t>
  </si>
  <si>
    <t>Smyth, CE; Stinson, G; Neilson, E; Lempriere, TC; Hafer, M; Rampley, GJ; Kurz, WA</t>
  </si>
  <si>
    <t>Quantifying the biophysical climate change mitigation potential of Canada's forest sector</t>
  </si>
  <si>
    <t>The potential of forests and the forest sector to mitigate greenhouse gas (GHG) emissions is widely recognized, but challenging to quantify at a national scale. Forests and their carbon (C) sequestration potential are affected by management practices, where wood harvesting transfers C out of the forest into products, and subsequent regrowth allows further C sequestration. Here we determine the mitigation potential of the 2.3 x 10(6) km(2) of Canada's managed forests from 2015 to 2050 using the Carbon Budget Model of the Canadian Forest Sector (CBM-CFS3), a harvested wood products (HWP) model that estimates emissions based on product half-life decay times, and an account of emission substitution benefits from the use of wood products and bioenergy. We examine several mitigation scenarios with different assumptions about forest management activity levels relative to a base case scenario, including improved growth from silvicultural activities, increased harvest and residue management for bioenergy, and reduced harvest for conservation. We combine forest management options with two mitigation scenarios for harvested wood product use involving an increase in either long-lived products or bioenergy uses. Results demonstrate large differences among alternative scenarios, and we identify potential mitigation scenarios with increasing benefits to the atmosphere for many decades into the future, as well as scenarios with no net benefit over many decades. The greatest mitigation impact was achieved through a mix of strategies that varied across the country and had cumulative mitigation of 254 Tg CO(2)e in 2030, and 1180 Tg CO(2)e in 2050. There was a trade-off between short-term and long-term goals, in that maximizing short-term emissions reduction could reduce the forest sector's ability to contribute to longer-term objectives. We conclude that (i) national-scale forest sector mitigation options need to be assessed rigorously from a systems perspective to avoid the development of policies that deliver no net benefits to the atmosphere, (ii) a mix of strategies implemented across the country achieves the greatest mitigation impact, and (iii) because of the time delays in achieving carbon benefits for many forest-based mitigation activities, future contributions of the forest sector to climate mitigation can be maximized if implemented soon.</t>
  </si>
  <si>
    <t>10.5194/bg-11-3515-2014</t>
  </si>
  <si>
    <t>Increased growth from fertilization, use of improved seed or stand</t>
  </si>
  <si>
    <t>better growth</t>
  </si>
  <si>
    <t>; varies for type of wood product from 0.38 to .77 Mg C avoided per Mg C of wood and varied btw -.08 and .779 for energy (across Canada)</t>
  </si>
  <si>
    <t>Commercial thinning for bionergy feedstock</t>
  </si>
  <si>
    <t>Bioenergy PCT</t>
  </si>
  <si>
    <t>Additional harvest</t>
  </si>
  <si>
    <t>Tg C yr-1</t>
  </si>
  <si>
    <t>Fix C estimates, they are given as cumulated but wood amount is given as yearly so C estimate should be divided by time period</t>
  </si>
  <si>
    <t>Pre-commercial thinning for bionergy feedstock</t>
  </si>
  <si>
    <t>Bioenergy CT</t>
  </si>
  <si>
    <t>Increase harvest utilization rates and utilize residues</t>
  </si>
  <si>
    <t>bettter utilization</t>
  </si>
  <si>
    <t>Utilization</t>
  </si>
  <si>
    <t>Reduce harvest levels and restrict harvest area</t>
  </si>
  <si>
    <t>harvest less</t>
  </si>
  <si>
    <t>Harvest Reduction</t>
  </si>
  <si>
    <t>correct Qwood multiplied by number of years to have the cumulative value</t>
  </si>
  <si>
    <t>fix C to put it /yr like Qwood</t>
  </si>
  <si>
    <t>Faster regeneration from post-harvest planting</t>
  </si>
  <si>
    <t>planting</t>
  </si>
  <si>
    <t>Clear-cut harvest for bionergy feedstock</t>
  </si>
  <si>
    <t>Bioenergy harvest</t>
  </si>
  <si>
    <t>Increase proportion of harvested wood for bionenergy feedstock</t>
  </si>
  <si>
    <t>bioenergy feedstock</t>
  </si>
  <si>
    <t>Increase proportion of harvest for longer-lived wood products</t>
  </si>
  <si>
    <t>bioenergy; Canada's managed forest; Carbon Budget Model of the Canadian Forest Sector; climate change mitigation; GHG emissions; harvest residues</t>
  </si>
  <si>
    <t>FOREST RESIDUES; CARBON EMISSIONS; SMALL-SCALE; BIOMASS; ENERGY; PRODUCTIVITY; MANAGEMENT; DYNAMICS; REMOVAL; BOREAL</t>
  </si>
  <si>
    <t>Smyth, C; Kurz, WA; Rampley, G; Lempriere, TC; Schwab, O</t>
  </si>
  <si>
    <t>Climate change mitigation potential of local use of harvest residues for bioenergy in Canada</t>
  </si>
  <si>
    <t>We estimate the mitigation potential of local use of bioenergy from harvest residues for the 2.3 x 10(6) km(2) (232 Mha) of Canada's managed forests from 2017 to 2050 using three models: Carbon Budget Model of the Canadian Forest Sector (CBM-CFS3), a harvested wood products (HWP) model that estimates bioenergy emissions, and a model of emission substitution benefits from the use of bioenergy. We compare the use of harvest residues for local heat and electricity production relative to a base case scenario and estimate the climate change mitigation potential at the forest management unit level. Results demonstrate large differences between and within provinces and territories across Canada. We identify regions with increasing benefits to the atmosphere for many decades into the future and regions where no net benefit would occur over the 33-year study horizon. The cumulative mitigation potential for regions with positive mitigation was predicted to be 429 Tg CO(2)e in 2050, with 7.1 TgC yr (-1) of harvest residues producing bioenergy that met 3.1% of the heat demand and 2.9% of the electricity demand for 32.1 million people living within these regions. Our results show that regions with positive mitigation produced bioenergy, mainly from combined heat and power facilities, with emissions intensities that ranged from roughly 90 to 500 kg CO(2)e MWh(-1). Roughly 40% of the total captured harvest residue was associated with regions that were predicted to have a negative cumulative mitigation potential in 2050 of -152 Tg CO(2)e. We conclude that the capture of harvest residues to produce local bioenergy can reduce GHG emissions in populated regions where bioenergy, mainly from combined heat and power facilities, offsets fossil fuel sources (fuel oil, coal and petcoke, and natural gas).</t>
  </si>
  <si>
    <t>10.1111/gcbb.12387</t>
  </si>
  <si>
    <t>Use harvest residues for bioenergy; reduce slashburning</t>
  </si>
  <si>
    <t>Residue Use</t>
  </si>
  <si>
    <t>; https://onlinelibrary.wiley.com/doi/full/10.1111/gcbb.12389</t>
  </si>
  <si>
    <t>Climate change mitigation; Forest sector; British Columbia; Cost per tonne; Socio-economic impact; GCBM</t>
  </si>
  <si>
    <t>LAND-USE CHANGE; CARBON-DYNAMICS; CANADA; WOOD; UNCERTAINTY; ENERGY; AFFORESTATION; SUBSTITUTION; BIODIVERSITY; MANAGEMENT</t>
  </si>
  <si>
    <t>Smyth, CE; Xu, Z; Lempriere, TC; Kurz, WA</t>
  </si>
  <si>
    <t>Climate change mitigation in British Columbia's forest sector: GHG reductions, costs, and environmental impacts</t>
  </si>
  <si>
    <t>Background The potential contributions from forest-based greenhouse gas (GHG) mitigation actions need to be quantified to develop pathways towards net negative emissions. Here we present results from a comparative analysis that examined mitigation options for British Columbia's forest sector. Mitigation scenarios were evaluated using a systems perspective that takes into account the changes in emissions and removals in forest ecosystems, in harvested wood product (HWP) carbon stocks, and in other sectors where wood products substitute for emission-intensive materials and fossil fuels. All mitigation activities were assessed relative to a forward-looking 'business as usual' baseline for three implementation levels. In addition to quantifying net GHG emission reductions, we assessed economic, and socio-economic impacts as well as other environmental indicators relating to forest species, age class, deadwood availability and future timber supply. We further considered risks of reversal for land-based scenarios, by assessing impacts of increasing future wildfires on stands that were not harvested. Results Our spatially explicit analyses of forest sector mitigation options demonstrated a cost-effective portfolio of regionally differentiated scenarios that directed more of the harvested wood to longer-lived wood products, stopped burning of harvest residues and instead produced bioenergy to displace fossil fuel burning, and reduced harvest levels in regions with low disturbance rates. Domestically, net GHG emissions were reduced by an average of -9 MtCO(2)e year(-1)over 2020-2050 for a portfolio of mitigation activities at a default implementation level, with about 85% of the GHG emission reductions achieved below a cost of $50/tCO(2)e. Normalizing the net GHG reduction by changes in harvested wood levels permitted comparisons of the scenarios with different ambition levels, and showed that a 1 MtCO(2)increase in cumulative harvested stemwood results in a 1 MtCO(2)e reduction in cumulative emissions, relative to the baseline, for theHigher Recoveryscenario in 2070. Conclusions The analyses conducted in this study contribute to the global understanding of forest sector mitigation options by providing an integrated framework to synthesize the methods, assumptions, datasets and models needed to quantify mitigation activities using a systems approach. An understanding of economically feasible and socio-economically attractive mitigation scenarios along with trade offs for environmental indicators relating to species composition and age, helps decision makers with long-term planning for land sector contributions to GHG emission reduction efforts, and provides valuable information for stakeholder consultations.</t>
  </si>
  <si>
    <t>10.1186/s13021-020-00155-2</t>
  </si>
  <si>
    <t>Harvest reduction; low substitution benefit</t>
  </si>
  <si>
    <t>Harvest less_lowSub</t>
  </si>
  <si>
    <t>cumulated future timber supply</t>
  </si>
  <si>
    <t>MtCO2e</t>
  </si>
  <si>
    <t>Fix sequestration sign; Added wood harvest &amp; fixed reference assignment</t>
  </si>
  <si>
    <t>Reduced harvest of old stands; low substitution benefit</t>
  </si>
  <si>
    <t>Restricted Harvest_lowSub</t>
  </si>
  <si>
    <t>Harvest reduction; high substitution benefit</t>
  </si>
  <si>
    <t>Harvest less_highSub</t>
  </si>
  <si>
    <t>Reduced harvest of old stands; high substitution benefit</t>
  </si>
  <si>
    <t>Restricted Harvest_highSub</t>
  </si>
  <si>
    <t>Increase use of harvested stemwood for wood products without changing harvest area; high substitution benefit</t>
  </si>
  <si>
    <t>Higher Recovery_highSub</t>
  </si>
  <si>
    <t>Higher recovery plus residue use for bioenergy plus longer lived products; low substitution benefit</t>
  </si>
  <si>
    <t>Higher Recovery + Residues for Bioenergy_lowSub + LLP</t>
  </si>
  <si>
    <t>Higher recovery plus residue use for bioenergy plus longer-lived products; high substitution benefit</t>
  </si>
  <si>
    <t>Higher Recovery + Residues for Bioenergy_highSub + LLP</t>
  </si>
  <si>
    <t>Wood products shifted from pulp and paper to longer-lived products; low substitution benefit</t>
  </si>
  <si>
    <t>Longer-lived wood products_lowSub</t>
  </si>
  <si>
    <t>Wood products shifted from pulp and paper to longer-lived products; high substitution benefit</t>
  </si>
  <si>
    <t>Longer-lived wood products_highSub</t>
  </si>
  <si>
    <t>Increase use of harvested stemwood for wood products without changing harvest area; low substitution benefit</t>
  </si>
  <si>
    <t>Use harvest residues for bioenergy; low substitution benefit</t>
  </si>
  <si>
    <t>Residues for Bioenergy_lowSub</t>
  </si>
  <si>
    <t>Use harvest residues for bioenergy; high substitution benefit</t>
  </si>
  <si>
    <t>Residues for Bioenergy_highSub</t>
  </si>
  <si>
    <t>MITIGATION AND ADAPTATION STRATEGIES FOR GLOBAL CHANGE</t>
  </si>
  <si>
    <t>Forest; Carbon; Sequestration; Substitution; Sink; Avoided emissions</t>
  </si>
  <si>
    <t>Soimakallio, S; Kalliokoski, T; Lehtonen, A; Salminen, O</t>
  </si>
  <si>
    <t>On the trade-offs and synergies between forest carbon sequestration and substitution</t>
  </si>
  <si>
    <t>Forest biomass can be used in two different ways to limit the growth of the atmospheric greenhouse gas (GHG) concentrations: (1) to provide negative emissions through sequestration of carbon into forests and harvested wood products or (2) to avoid GHG emissions through substitution of non-renewable raw materials with wood. We study the trade-offs and synergies between these strategies using three different Finnish national-level forest scenarios between 2015 and 2044 as examples. We demonstrate how GHG emissions change when wood harvest rates are increased. We take into account CO2 and other greenhouse gas flows in the forest, the decay rate of harvested wood products and fossil-based CO2 emissions that can be avoided by substituting alternative materials with wood derived from increased harvests. We considered uncertainties of key parameters by using stochastic simulation. According to our results, an increase in harvest rates in Finland increased the total net GHG flow to the atmosphere virtually certainly or very likely, given the uncertainties and time frame considered. This was because the increased biomass-based CO2 and other greenhouse gas emissions to the atmosphere together with decreased carbon sequestration into the forest were very likely higher than the avoided fossil-based CO2 emissions. The reverse of this conclusion would require that compared to what was studied in this paper, the share of long-living wood products in the product mix would be higher, carbon dioxide from bioenergy production would be captured and stored, and reduction in forest carbon equivalent net sink due to wood harvesting would be minimized.</t>
  </si>
  <si>
    <t>Mitig. Adapt. Strateg. Glob. Chang.</t>
  </si>
  <si>
    <t>10.1007/s11027-021-09942-9</t>
  </si>
  <si>
    <t>Increase harvest to sustain maximum yield</t>
  </si>
  <si>
    <t>Harvested wood product</t>
  </si>
  <si>
    <t>; Soimakallion 2016; between 0.6 and 1.25 depending on product or energy</t>
  </si>
  <si>
    <t>na</t>
  </si>
  <si>
    <t>Increase harvest to use pellets</t>
  </si>
  <si>
    <t>Wood flow; Cascade utilisation; Logistics network; Mixed integer linear programming; UMBERTO</t>
  </si>
  <si>
    <t>LIFE-CYCLE ASSESSMENT; CHAIN OPTIMIZATION; BIOMASS; ENERGY; DESIGN; SYSTEM; MODEL; GENERATION</t>
  </si>
  <si>
    <t>Taskhiri, MS; Garbs, M; Geldermann, J</t>
  </si>
  <si>
    <t>Sustainable logistics network for wood flow considering cascade utilisation</t>
  </si>
  <si>
    <t>To address the growing demand for wood as a renewable resource, a trend that has arisen in recent years is to follow the principle of cascade utilisation and to use wood residues from by-products. The cascading principle represents a method supporting resource efficiency through the sequential use of the remaining quality resources from previous commodities and substances. The logistics concept deserves special attention with respect to the utilisation of wood resources and the cascading principle as logistics processes constitute the largest share of costs. This work considers a logistics network for wood flow for different products in various sectors. Examples include a logistics network for particle board in the material-based sector, pulp and paper production in the chemical sector, and wood pellets production in the energy sector using cascade utilisation and recovered wood. A transportation problem is modelled using a mixed-integer linear programming (MILP) model, and it is applied to a case study in Lower Saxony using the software CPLEX v12.5. The aim is to minimise the total logistics costs of a logistics network, including those associated with harvesting, chipping, storage and transportation, for several companies in different sectors. UMBERTO, a life cycle assessment (LCA) software, is used to investigate the potential environmental impacts of the optimised logistics network. The approach is applied to three scenarios in Lower Saxony, a state in Germany. The initial results indicate that the total cost of the considered wood logistics network does not change significantly for the cascading scenarios in comparison to that associated with fresh wood, but there would be a substantial reduction in CO2 emissions if cascade utilisation is used in the logistics network. (c) 2015 Elsevier Ltd. All rights reserved.</t>
  </si>
  <si>
    <t>10.1016/j.jclepro.2015.09.098</t>
  </si>
  <si>
    <t>% of recovered wood used to make panels (different types of panels are considered)</t>
  </si>
  <si>
    <t>Amount of wood recovered from waste wood</t>
  </si>
  <si>
    <t>forest carbon; managed forest; harvested wood products; emissions</t>
  </si>
  <si>
    <t>ECOSYSTEM SERVICES; MANAGEMENT; MITIGATION; IMPACTS; DISTURBANCE</t>
  </si>
  <si>
    <t>Ter-Mikaelian, MT; Colombo, SJ; Chen, JX</t>
  </si>
  <si>
    <t>Harvest volumes and carbon stocks in boreal forests of Ontario, Canada</t>
  </si>
  <si>
    <t>We used models to project forest carbon stocks for a series of harvesting scenarios for 29 boreal forest management units totalling 23.3 million ha in Ontario, Canada. Scenarios evaluated for 2020 to 2050 ranged from a no harvesting option to annual harvesting of 2% of the total merchantable volume present in 2020. For each scenario, we estimated the following carbon quantities: (a) forest ecosystem carbon stocks, (b) sum of carbon stocks in forest ecosystem and harvested wood products (HWP) minus emissions associated with HWP production and decomposition, and (c) net greenhouse gas (GHG) effects of harvesting estimated as (b) combined with emissions avoided by substituting HWP for non-wood materials. The average of each carbon quantity for 2020 to 2050 was linearly dependent on the annual harvest volume. The developed relationships were used to estimate harvest volumes for which the three carbon quantities would equal equilibrium forest ecosystem carbon stocks for a pre-suppression natural disturbance cycle. These estimates indicate the range of harvest volumes for which resulting carbon stocks would equal or exceed those in an unmanaged forest. Also discussed are possible criteria for determining annual harvest volume.</t>
  </si>
  <si>
    <t>10.5558/tfc2021-018</t>
  </si>
  <si>
    <t>No harvest</t>
  </si>
  <si>
    <t>Historical average</t>
  </si>
  <si>
    <t>m3 harvested over the 30 year period</t>
  </si>
  <si>
    <t>Original C balance given as "average stock", somehow cumulating forest and fossil stocks over the period. Original stock values are muliplied by 2 to reconstruct cumulated flux after aribitrarily setting the "No harvest" scenario at zero flux. Given that the relationship between harvest and cumulated emissions is found to be linear, no specific scenario is explicited. Here, three scenarios have been arbitrarily defined for the meta-analysis. Because of the linearity, they result in the same ratios and substitution factors.</t>
  </si>
  <si>
    <t>changedAV</t>
  </si>
  <si>
    <t>Doubled harvest</t>
  </si>
  <si>
    <t>Chen et al. 2018: https://academic.oup.com/forestry/article/91/2/193/4812633</t>
  </si>
  <si>
    <t>climate change; climate impact; energy biomass; forest management; radiative forcing; substitution</t>
  </si>
  <si>
    <t>CARBON-DIOXIDE EMISSIONS; FOREST BIOENERGY; SEQUESTRATION; NEUTRALITY; RESIDUES; TIMBER; DEBT</t>
  </si>
  <si>
    <t>Torssonen, P; Kilpelainen, A; Strandman, H; Kellomaki, S; Jylha, K; Asikainen, A; Peltola, H</t>
  </si>
  <si>
    <t>Effects of climate change and management on net climate impacts of production and utilization of energy biomass in Norway spruce with stable age-class distribution</t>
  </si>
  <si>
    <t>We studied the effects of climate change and forest management scenarios on net climate impacts (radiative forcing) of production and utilization of energy biomass, in a Norway spruce forest area over an 80-year simulation period in Finnish boreal conditions. A stable age-class distribution was used in model-based analyses to identify purely the management effects under the current and changing climate (SRES B1 and A2 scenarios). The radiative forcing was calculated based on an integrated use of forest ecosystem model simulations and a life cycle assessment (LCA) tool. In this work, forest-based energy was used to substitute coal, and current forest management (baseline management) was used as a reference management. In alternative management scenarios, the stocking was maintained 20% higher in thinning compared to the baseline management, and nitrogen fertilization was applied. Intensity of energy biomass harvest (e.g. logging residues, coarse roots and stumps) was varied in the final felling of the stands at the age of 80years. Also, the economic profitability (NPV, 3% interest rate) of integrated production of timber and energy biomass was calculated for each management scenario. Our results showed that compared to the baseline management, climate benefits could be increased by maintaining higher stocking in thinning over rotation, using nitrogen fertilization and harvesting logging residues, stumps and coarse roots in the final felling. Under the gradually changing climate (in both SRES B1 and A2), the climate benefits were lower compared to the current climate. Trade-offs between NPV and net climate impacts also existed.</t>
  </si>
  <si>
    <t>10.1111/gcbb.12258</t>
  </si>
  <si>
    <t>Haverting logging residues for energy</t>
  </si>
  <si>
    <t>BT</t>
  </si>
  <si>
    <t>BN</t>
  </si>
  <si>
    <t>Energy biomass harvested (fines branches and needles)</t>
  </si>
  <si>
    <t>table S1</t>
  </si>
  <si>
    <t>Mg ha-1 yr-1</t>
  </si>
  <si>
    <t>gCO2/m2/a (convert to per hectare)</t>
  </si>
  <si>
    <t>change cumulated radiative forcing for NEE to have the climate variable</t>
  </si>
  <si>
    <t>BNR</t>
  </si>
  <si>
    <t>BNR20</t>
  </si>
  <si>
    <t>Haverting logging residues for energy (+ lower thinning intensity)</t>
  </si>
  <si>
    <t>BN20</t>
  </si>
  <si>
    <t>BNF</t>
  </si>
  <si>
    <t>Climate change (A2 scenario)</t>
  </si>
  <si>
    <t>BN under constant climate</t>
  </si>
  <si>
    <t>BN under A2 scenario</t>
  </si>
  <si>
    <t>No difference between ref and scenario on forest management and wood use, but changing climate =&gt; it's a sensitivity analysis of the results of the main simulation under changing climate</t>
  </si>
  <si>
    <t>Climate change (B1 scenario)</t>
  </si>
  <si>
    <t>BN under B1 scenario</t>
  </si>
  <si>
    <t>BN20 under constant climate</t>
  </si>
  <si>
    <t>BN20 under A2 scenario</t>
  </si>
  <si>
    <t>BN20 under B1 scenario</t>
  </si>
  <si>
    <t>BNR under constant climate</t>
  </si>
  <si>
    <t>BNR under A2 scenario</t>
  </si>
  <si>
    <t>BNR under B1 scenario</t>
  </si>
  <si>
    <t>BNR20 under constant climate</t>
  </si>
  <si>
    <t>BNR20 under A2 scenario</t>
  </si>
  <si>
    <t>BNR20 under B1 scenario</t>
  </si>
  <si>
    <t>BN20F</t>
  </si>
  <si>
    <t>change driver for fertilization</t>
  </si>
  <si>
    <t>BNRF</t>
  </si>
  <si>
    <t>BNR20F</t>
  </si>
  <si>
    <t>BNF under constant climate</t>
  </si>
  <si>
    <t>BNF under A2 scenario</t>
  </si>
  <si>
    <t>BNF under B1 scenario</t>
  </si>
  <si>
    <t>BN20F under constant climate</t>
  </si>
  <si>
    <t>BN20F under A2 scenario</t>
  </si>
  <si>
    <t>BN20F under B1 scenario</t>
  </si>
  <si>
    <t>BNRF under constant climate</t>
  </si>
  <si>
    <t>BNRF under A2 scenario</t>
  </si>
  <si>
    <t>BNRF under B1 scenario</t>
  </si>
  <si>
    <t>BNR20F under constant climate</t>
  </si>
  <si>
    <t>BNR20F under A2 scenario</t>
  </si>
  <si>
    <t>BNR20F under B1 scenario</t>
  </si>
  <si>
    <t>JOURNAL OF WOOD SCIENCE</t>
  </si>
  <si>
    <t>Kyoto protocol; Carbon reduction; Carbon storage; Low-carbon society; Biomass energy</t>
  </si>
  <si>
    <t>GREENHOUSE-GAS INVENTORIES; UNITED-STATES</t>
  </si>
  <si>
    <t>Tsunetsugu, Y; Tonosaki, M</t>
  </si>
  <si>
    <t>Quantitative estimation of carbon removal effects due to wood utilization up to 2050 in Japan: effects from carbon storage and substitution of fossil fuels by harvested wood products</t>
  </si>
  <si>
    <t>Carbon absorbed by forests remains stored in the timber used for wood products, and a change in wood product stock can be evaluated as substantial removal/emission of atmospheric carbon. Since the carbon storage effect due to harvested wood products (HWP) might be taken into account in the future framework of carbon mitigation, it is crucial to estimate the carbon flow and stock concerning HWP for the next commitment period. In the present study, we developed a model for estimating the flow and stock of wood products in Japan's building, furniture, and paper sectors. The HWP carbon storage effect and substitution effect (carbon reduction by substituting fossil fuels and energy-intensive materials with HWP) up to 2050 were quantitatively estimated by lifetime analysis. Our model simulation revealed that (i) the carbon stock change in Japan due to HWP would be evaluated as a large emission if the atmospheric-flow approach is adopted, (ii) carbon removal would not significantly increase if the ratio of newly constructed wooden buildings/furniture remains stable, and (iii) the carbon storage effect together with the substitution effect would have a significant impact on climate change mitigation if the ratio of newly constructed wooden buildings/furniture is gradually improved to 70% by 2050.</t>
  </si>
  <si>
    <t>J. Wood Sci.</t>
  </si>
  <si>
    <t>10.1007/s10086-009-1107-4</t>
  </si>
  <si>
    <t>Share of wood-based buildings and furniture</t>
  </si>
  <si>
    <t>Promotion</t>
  </si>
  <si>
    <t>Wood harvest in 2050</t>
  </si>
  <si>
    <t>Mm3 yr-1</t>
  </si>
  <si>
    <t>MtC yr-1</t>
  </si>
  <si>
    <t>Reference</t>
  </si>
  <si>
    <t>Forest management; Renewable energy; Wood harvest; Forest stands; Carbon balance; Forest modelling; Forest growth; Wood-use; Energy substitution; Product substitution</t>
  </si>
  <si>
    <t>PINUS-SYLVESTRIS L.; STAND-DENSITY; EUROPEAN FORESTS; CLIMATE-CHANGE; CO2 EMISSIONS; BIOENERGY; BALANCE; MANAGEMENT; DEBT; CONSEQUENCES</t>
  </si>
  <si>
    <t>Valade, A; Luyssaert, S; Vallet, P; Djomo, SN; Van Der Kellen, IJ; Bellassen, V</t>
  </si>
  <si>
    <t>Carbon costs and benefits of France's biomass energy production targets</t>
  </si>
  <si>
    <t>Background: Concern about climate change has motivated France to reduce its reliance on fossil fuel by setting targets for increased biomass-based renewable energy production. This study quantifies the carbon costs and benefits for the French forestry sector in meeting these targets. A forest growth and harvest simulator was developed for French forests using recent forest inventory data, and the wood-use chain was reconstructed from national wood product statistics. We then projected wood production, bioenergy production, and carbon balance for three realistic intensification scenarios and a business-as-usual scenario. These intensification scenarios targeted either overstocked, harvest-delayed or currently actively managed stands. Results: All three intensification strategies produced 11.6-12.4 million tonnes of oil equivalent per year of wood-based energy by 2026, which corresponds to the target assigned to French wood-energy to meet the EU 2020 renewable energy target. Sustaining this level past 2026 will be challenging, let alone further increasing it. Although energy production targets can be reached, the management intensification required will degrade the near-term carbon balance of the forestry sector, compared to continuing present-day management. Even for the best-performing intensification strategy, i.e., reducing the harvest diameter of actively managed stands, the carbon benefits would only become apparent after 2040. The carbon balance of a strategy putting abandoned forests back into production would only break even by 2055; the carbon balance from increasing thinning in managed but untended stands would not break even within the studied time periods, i.e. 2015-2045 and 2046-2100. Owing to the temporal dynamics in the components of the carbon balance, i.e., the biomass stock in the forest, the carbon stock in wood products, and substitution benefits, the merit order of the examined strategies varies over time. Conclusions: No single solution was found to improve the carbon balance of the forestry sector by 2040 in a way that also met energy targets. We therefore searched for the intensification scenario that produces energy at the lowest carbon cost. Reducing rotation time of actively managed stands is slightly more efficient than targeting harvest-delayed stands, but in both cases, each unit of energy produced has a carbon cost that only turns into a benefit between 2060 and 2080.</t>
  </si>
  <si>
    <t>10.1186/s13021-018-0113-5</t>
  </si>
  <si>
    <t>Harvest harvest-delayed forests</t>
  </si>
  <si>
    <t>D: Extra mobilization of harvestdelayed forests</t>
  </si>
  <si>
    <t>Cumulated harvest over the period</t>
  </si>
  <si>
    <t>Thinning of overstocked forests</t>
  </si>
  <si>
    <t>Ov: Extra mobilization of overstocked forests</t>
  </si>
  <si>
    <t>Three drivers together</t>
  </si>
  <si>
    <t>A: Extra mobilization of all forests</t>
  </si>
  <si>
    <t>Reduction in threshold diameter for final felling</t>
  </si>
  <si>
    <t>M: Extra mobilization of actively managed forests</t>
  </si>
  <si>
    <t>ADEME. Forêt et atténuation du changement climatique; 2015</t>
  </si>
  <si>
    <t>FCBA (pers.comm.)</t>
  </si>
  <si>
    <t>Thinning in unthinned stand</t>
  </si>
  <si>
    <t xml:space="preserve">Werner, F., Taverna, R., Hofer, P., &amp; Richter, K. </t>
  </si>
  <si>
    <t xml:space="preserve"> Carbon pool and substitution effects of an increased use of wood in buildings in Switzerland: first estimates</t>
  </si>
  <si>
    <t xml:space="preserve"> Annals of Forest Science</t>
  </si>
  <si>
    <t>10.1051/forest:2005080</t>
  </si>
  <si>
    <t>Amount of wood used in construction</t>
  </si>
  <si>
    <t>current use (Table 1)</t>
  </si>
  <si>
    <t>optimistic scenario (Table 1)</t>
  </si>
  <si>
    <t>wood use for construction</t>
  </si>
  <si>
    <t>Mm3 y-1</t>
  </si>
  <si>
    <t>MtCO2 eq./yr</t>
  </si>
  <si>
    <t>Cummulative emission over 130 years in fig 9 converted to yearly</t>
  </si>
  <si>
    <t>added driver</t>
  </si>
  <si>
    <t>Climate change; CO2; GHG; Kyoto Protocol; Life cycle assessment; Sink; Substitution; Wood product; Forest management; Switzerland</t>
  </si>
  <si>
    <t>CARBON; PRODUCTS; ENERGY; SEQUESTRATION; CONSTRUCTION; CONSERVATION; LEAKAGE; TIMBER</t>
  </si>
  <si>
    <t>Werner, F; Taverna, R; Hofer, P; Thurig, E; Kaufmann, E</t>
  </si>
  <si>
    <t>National and global greenhouse gas dynamics of different forest management and wood use scenarios: a model-based assessment</t>
  </si>
  <si>
    <t>An increased use of wood products and an adequate management of forests can help to mitigate climate change. However, planning horizons and response time to changes in forest management are usually long and the respective GHG effects related to the use of wood depend on the availability of harvested wood. Therefore, an integral long-term strategic approach is required to formulate the most effective forest and wood management strategies for mitigating climate change. The greenhouse gas (GHG) dynamics related to the production, use and disposal of wood products are manifold and show a complex time pattern. On the one hand, wood products can be considered as a carbon pool, as is the forest itself. On the other hand, an increased use of wood can lead to the substitution of usually more energy-intense materials and to the substitution of fossil fuels when the thermal energy of wood is recovered. Country-specific import/export flows of wood products and their alternative products as well as their processing stage have to be considered if substitution effects are assessed on a national basis. We present an integral model-based approach to evaluate the GHG impacts of various forest management and wood use scenarios. Our approach allows us to analyse the complex temporal and spatial patterns of GHG emissions and removals including trade-offs of different forest management and wood use strategies. This study shows that the contributions of the forestry and timber sector to mitigate climate change can be optimized with the following key recommendations: (1) the maximum possible, sustainable increment should be generated in the forest, taking into account biodiversity conservation as well as the long-term preservation of soil quality and growth performance; (2) this increment should be harvested continuously; (3) the harvested wood should be processed in accordance with the principle of cascade use, i.e. first be used as a material as long as possible, preferably in structural components; (4) waste wood that is not suitable for further use should be used to generate energy. Political strategies to solely increase the use of wood as a biofuel cannot be considered efficient from a climate perspective; (5) forest management strategies to enhance carbon sinks in forests via reduced harvesting are not only ineffective because of a compensatory increase in fossil fuel consumption for the production of non-wooden products and thermal energy but also because of the Kyoto-cap that limits the accountability of GHG removals by sinks under Article 3.3 and 3.4, at least for the first commitment period; (6) the effect of substitution through the material and energy use of wood is more significant and sustained as compared with the stock effects in wood products, which tend towards new steady-state flow equilibria with no further increase of C stocks; (7) from a global perspective, the effect of material substitution exceeds that of energy recovery from wood. In the Swiss context, however, the energy recovery from wood generates a greater substitution effect than material substitution. (C) 2009 Elsevier Ltd. All rights reserved.</t>
  </si>
  <si>
    <t>10.1016/j.envsci.2009.10.004</t>
  </si>
  <si>
    <t>Longer rotation length and more set aside forest</t>
  </si>
  <si>
    <t>Reduced forest maintenance</t>
  </si>
  <si>
    <t>ecoinvent 2000 (Jungbluth, 2003; Faist and Heck, 2003; Bauer, 2003).</t>
  </si>
  <si>
    <t>Werner et al. (2006) or Taverna et al. (2007)</t>
  </si>
  <si>
    <t>Many time periods can be extracted (see Extraction sheet)</t>
  </si>
  <si>
    <t>Kyoto-optimized</t>
  </si>
  <si>
    <t>Optimized increment, building</t>
  </si>
  <si>
    <t>Optimized increment, energy</t>
  </si>
  <si>
    <t>scenario 1</t>
  </si>
  <si>
    <t>Biofuel; Carbon sequestration; Net present value; Forest management; Energy biomass</t>
  </si>
  <si>
    <t>TREE GROWTH; TIMBER PRODUCTION; CO2 ELEVATION; NORWAY SPRUCE; MANAGEMENT; PRODUCTS; IMPACTS; SEQUESTRATION; TEMPERATURE; ECOSYSTEM</t>
  </si>
  <si>
    <t>Zubizarreta-Gerendiain, A; Pukkala, T; Peltola, H</t>
  </si>
  <si>
    <t>Effects of wood harvesting and utilisation policies on the carbon balance of forestry under changing climate: a Finnish case study</t>
  </si>
  <si>
    <t>We studied the effects of different wood harvesting and utilisation policies on the carbon balance and economic profitability of forestry under the current and changing climate (A1B climate scenario). Sixty-year carbon balance was calculated for two Finnish boreal case study areas, one dominated by Scots pine and the other by Norway spruce. Carbon balance included changes in the carbon pools of living forest biomass (above- and below-ground), dead organic matter and wood products, as well as carbon releases from harvesting, transporting and manufacturing. Substitution effects of using biofuel instead of fossil-fuels were also taken into account. Business-as-usual (baseline) management policy (even-aged forestry: thinning from below, harvesting timber for wood-based products from thinning and final felling) and five other management policies were applied by changing the timing and type of thinning and the utilisation of harvested trees. Net present value (NPV, 2%) and carbon balance were maximised with even-flow net income constraints. In both case study areas, postponing the thinning of young stands and using thinning from above improved carbon balance and NPV. The use of pulpwood, logging residues and stumps as biofuel also increased carbon balance. Climate warming improved carbon balance and NPV when harvests were not increased from those under the current climate. (C) 2015 Elsevier B.V. All rights reserved.</t>
  </si>
  <si>
    <t>10.1016/j.forpol.2015.08.007</t>
  </si>
  <si>
    <t>Small diameters used for pulp rather than energy and more thinnings (baseline = alternative here)</t>
  </si>
  <si>
    <t>Spruce-dominated forest &amp; TB3 Same as TB2 except that postponing of thinnings in young stands is allowed</t>
  </si>
  <si>
    <t>Spruce-dominated forest &amp; TB1 Thinning from below; thinnings done according to the thinning instructions (immediately when stand basal area exceeds the ‘thinning limit’ of the instructions). Only saw logs and pulpwood are harvested.</t>
  </si>
  <si>
    <t>Total harvested biomass</t>
  </si>
  <si>
    <t>kt harvested biomass</t>
  </si>
  <si>
    <t>OtherQCneeded</t>
  </si>
  <si>
    <t>Spruce-dominated forest &amp; TA4: same as TB3 except that thinning from below was replaced by thinning from above</t>
  </si>
  <si>
    <t>Pine-dominated forest &amp; TB3 Same as TB2 except that postponing of thinnings in young stands is allowed</t>
  </si>
  <si>
    <t>Pine-dominated forest &amp; TB1 Thinning from below; thinnings done according to the thinning instructions (immediately when stand basal area exceeds the ‘thinning limit’ of the instructions). Only saw logs and pulpwood are harvested.</t>
  </si>
  <si>
    <t>Pine-dominated forest &amp; TA4: same as TB3 except that thinning from below was replaced by thinning from above</t>
  </si>
  <si>
    <t>Small diameters (all species) used for pulp rather than energy and more thinnings (baseline = alternative here)</t>
  </si>
  <si>
    <t>Pine-dominated forest &amp; TA5: same as Same as TA4 except that pine and birch pulpwood is not harvested. Small stems and the upper parts of log-sized pines and birches are harvested as fuel feedstock (from the top diameter of saw log until 5 cm diameter)</t>
  </si>
  <si>
    <t>Let's not compute a DF here: although there is a small increase in wood use, most of the C benefit is due to a reallocation of wood from pulp to energy.</t>
  </si>
  <si>
    <t>Spruce-dominated forest &amp; TA5: same as Same as TA4 except that pine and birch pulpwood is not harvested. Small stems and the upper parts of log-sized pines and birches are harvested as fuel feedstock (from the top diameter of saw log until 5 cm diameter)</t>
  </si>
  <si>
    <t>A1B climate &amp; Pine-dominated forest &amp; TA5: same as Same as TA4 except that pine and birch pulpwood is not harvested. Small stems and the upper parts of log-sized pines and birches are harvested as fuel feedstock (from the top diameter of saw log until 5 cm diameter)</t>
  </si>
  <si>
    <t>A1B climate &amp; Pine-dominated forest &amp; TB1 Thinning from below; thinnings done according to the thinning instructions (immediately when stand basal area exceeds the ‘thinning limit’ of the instructions). Only saw logs and pulpwood are harvested.</t>
  </si>
  <si>
    <t>A1B climate &amp; Pine-dominated forest &amp; TA4: same as TB3 except that thinning from below was replaced by thinning from above</t>
  </si>
  <si>
    <t>A1B climate &amp; Pine-dominated forest &amp; TB3 Same as TB2 except that postponing of thinnings in young stands is allowed</t>
  </si>
  <si>
    <t>A1B climate &amp; Spruce-dominated forest &amp; TA5: same as Same as TA4 except that pine and birch pulpwood is not harvested. Small stems and the upper parts of log-sized pines and birches are harvested as fuel feedstock (from the top diameter of saw log until 5 cm diameter)</t>
  </si>
  <si>
    <t>A1B climate &amp; Spruce-dominated forest &amp; TB1 Thinning from below; thinnings done according to the thinning instructions (immediately when stand basal area exceeds the ‘thinning limit’ of the instructions). Only saw logs and pulpwood are harvested.</t>
  </si>
  <si>
    <t>A1B climate &amp; Spruce-dominated forest &amp; TA4: same as TB3 except that thinning from below was replaced by thinning from above</t>
  </si>
  <si>
    <t>A1B climate &amp; Spruce-dominated forest &amp; TB3 Same as TB2 except that postponing of thinnings in young stands is allowed</t>
  </si>
  <si>
    <t>Small diameters used for energy rather than pulp</t>
  </si>
  <si>
    <t>Spruce-dominated forest &amp; TB2 Same as TB1 except that spruce pulpwood is not harvested. Norway spruce stem parts from diameter 16 cm (minimum top diameter of log) down to 5 cm are harvested as fuel feedstock.</t>
  </si>
  <si>
    <t>Pine-dominated forest &amp; TB2 Same as TB1 except that spruce pulpwood is not harvested. Norway spruce stem parts from diameter 16 cm (minimum top diameter of log) down to 5 cm are harvested as fuel feedstock.</t>
  </si>
  <si>
    <t>Small diameters used for energy rather than pulp in A1B climate scenario (+2,5°c)</t>
  </si>
  <si>
    <t>A1B climate &amp; Spruce-dominated forest &amp; TB2 Same as TB1 except that spruce pulpwood is not harvested. Norway spruce stem parts from diameter 16 cm (minimum top diameter of log) down to 5 cm are harvested as fuel feedstock.</t>
  </si>
  <si>
    <t>A1B climate &amp; Pine-dominated forest &amp; TB2 Same as TB1 except that spruce pulpwood is not harvested. Norway spruce stem parts from diameter 16 cm (minimum top diameter of log) down to 5 cm are harvested as fuel feedstock.</t>
  </si>
  <si>
    <t>0,8 tC/tC Díaz-Balteiro and Rodriguez, 2006</t>
  </si>
  <si>
    <t>0,4 tC/tC Hennigar et al., 2008</t>
  </si>
  <si>
    <t>Whole tree harvesting</t>
  </si>
  <si>
    <t>Spruce-dominated forest &amp; Same as TA4 except that 70% of tree tops, branches and stumps were harvested for biofuel in clear felling sites</t>
  </si>
  <si>
    <t>Pine-dominated forest &amp; Same as TA4 except that 70% of tree tops, branches and stumps were harvested for biofuel in clear felling sites</t>
  </si>
  <si>
    <t>A1B climate &amp; Pine-dominated forest &amp; Same as TA4 except that 70% of tree tops, branches and stumps were harvested for biofuel in clear felling sites</t>
  </si>
  <si>
    <t>A1B climate &amp; Spruce-dominated forest &amp; Same as TA4 except that 70% of tree tops, branches and stumps were harvested for biofuel in clear felling sites</t>
  </si>
  <si>
    <t>Life Cycle Assessment (LCA); Environmental performance; Sustainability; Medium density particleboard(MDP); Environmental impact; Sustainable strategy</t>
  </si>
  <si>
    <t>WOOD; INVENTORY; PARTICLEBOARD; FORMALDEHYDE; RESOURCES; INNOVATION; EMISSIONS; SELECTION; PRODUCTS; ENERGY</t>
  </si>
  <si>
    <t>Iritani, DR; Silva, DAL; Saavedra, YMB; Grael, PFF; Ometto, AR</t>
  </si>
  <si>
    <t>Sustainable strategies analysis through Life Cycle Assessment: a case study in a furniture industry</t>
  </si>
  <si>
    <t>This article aims to analyze sustainable strategies by assessing the environmental performance of a wardrobe built from medium density particleboard. For this, the Life cycle assessment technique was used. The product life cycle studied was a cradle-to-gate type, including three main stages: raw materials supply, wardrobe manufacturing and distribution of the wardrobe. The functional unit was 40 kg of stored goods/5 years and the reference flow was one wardrobe unit. The LCA modeling process was undertaken using the GaBi software, Professional 4.4 version based on attributional modeling and the EDIP-97 method. The life cycle assessment results indicated that the most significant environmental impacts occur at the stages of raw materials supply and the distribution of the wardrobe, and the most relevant impact categories were human toxicity, global warming and acidification, totaling 68.0% of the overall life cycle impacts. Based on this results and a literature review of life cycle assessment studies of furniture products, two sustainable strategies were presented: to optimize transport system and the use of alternatives raw materials during the manufacturing of medium density particleboard. In addition, three scenarios for the production of the medium density particleboard were analyzed with focus on using recycled wood as raw material instead of virgin wood. The results showed that use of 100% wood waste was more sustainable because there was a global minimization of potential impacts. These conclusions can assist furniture and the wood-based panel industries in improving their environmental profile and encourage research about alternative options to promote cleaner production of furniture components in a life cycle perspective. (C) 2014 Elsevier Ltd. All rights reserved.</t>
  </si>
  <si>
    <t>10.1016/j.jclepro.2014.05.029</t>
  </si>
  <si>
    <t>Share of recycled wood for MDP</t>
  </si>
  <si>
    <t>quantity of recycled wood</t>
  </si>
  <si>
    <t>w</t>
  </si>
  <si>
    <t>world</t>
  </si>
  <si>
    <t>JOURNAL OF GEOPHYSICAL RESEARCH-BIOGEOSCIENCES</t>
  </si>
  <si>
    <t>land cover change; CESM; CMIP5; carbon cycle; human emissions</t>
  </si>
  <si>
    <t>GLOBAL CARBON; WOOD HARVEST; CO2; EMISSIONS; CLIMATE; FLUX; NET; UNCERTAINTIES; VARIABILITY; ATMOSPHERE</t>
  </si>
  <si>
    <t>Lawrence, PJ; Lawrence, DM; Hurtt, GC</t>
  </si>
  <si>
    <t>Attributing the Carbon Cycle Impacts of CMIP5 Historical and Future Land Use and Land Cover Change in the Community Earth System Model (CESM1)</t>
  </si>
  <si>
    <t>Historical global land use and land cover change (LULCC) emissions of 160PgC represent a third of all human CO2 emissions from 1850 to 2010. Future land management decisions will have large impacts on the global carbon cycle, with scenarios ranging from continued deforestation and wood harvest to mitigation scenarios that reduce total emissions through afforestation and conversion to bioenergy. Here we present a systematic assessment of Community Earth System Model (CESM1) Coupled Model Intercomparison Project phase 5 (CMIP5) historic and projection simulations, with and without LULCC. For the historical period, CESM produced a Net LULCC flux of 123PgC to the atmosphere, removing -130PgC from ecosystems while increasing wood product pools by 7PgC. Historical LULCC fluxes were equally divided between conversion and wood harvest fluxes. For the Representative Concentration Pathway (RCP) 4.5 afforestation scenario CESM produced a Net LULCC flux of 53PgC to the atmosphere, removing -58PgC out of the ecosystem and increasing wood product pools of 5PgC. The afforestation offsets the Direct LULCC flux of 153PgC with a negative Indirect LULCC flux of -94PgC. For the RCP 8.5 high LULCC scenario, CESM produced a Net LULCC flux of 211PgC, removing -227PgC from ecosystems and increasing wood product pools of 15PgC. The LULCC of the future RCP scenarios was dominated by wood harvest fluxes, which is a process that was not included in many of the CMIP5 models. The analysis framework also allowed the attribution of Indirect and Prior LULCC fluxes that offset the Direct LULCC fluxes in many cases.</t>
  </si>
  <si>
    <t>J. Geophys. Res.-Biogeosci.</t>
  </si>
  <si>
    <t>10.1029/2017JG004348</t>
  </si>
  <si>
    <t>RCP scenario</t>
  </si>
  <si>
    <t>RCP4.5 (no LUC)(Fig.5)</t>
  </si>
  <si>
    <t>RCP8.5 (noLUC)(Fig.5)</t>
  </si>
  <si>
    <t>global tree harvest</t>
  </si>
  <si>
    <t>PgC</t>
  </si>
  <si>
    <t>GLOBAL BIOGEOCHEMICAL CYCLES</t>
  </si>
  <si>
    <t>carbon emissions; land use change; nitrogen cycle; carbon cycle; CMIP5; uncertainties</t>
  </si>
  <si>
    <t>NET PRIMARY PRODUCTION; COVER CHANGE; SOIL CARBON; TERRESTRIAL BIOSPHERE; PHOSPHORUS LIMITATION; DINITROGEN FIXATION; FOREST PRODUCTIVITY; SECONDARY FOREST; GLOBAL PATTERNS; CLIMATE-CHANGE</t>
  </si>
  <si>
    <t>Meiyappan, P; Jain, AK; House, JI</t>
  </si>
  <si>
    <t>Increased influence of nitrogen limitation on CO2 emissions from future land use and land use change</t>
  </si>
  <si>
    <t>In the latest projections of future greenhouse gas emissions for the Intergovernmental Panel on Climate Change (IPCC), few Earth System Models included the effect of nitrogen limitation, a key process limiting forest regrowth. Few included forest management (wood harvest). We estimate the impacts of nitrogen limitation on the CO2 emissions from land use and land use change (LULUC), including wood harvest, for the period 1900-2100. We use a land surface model that includes a fully coupled carbon and nitrogen cycle and accounts for forest regrowth processes following agricultural abandonment and wood harvest. Future projections are based on the four Representation Concentration Pathways used in the IPCC Fifth Assessment Report, and we account for uncertainty in future climate for each scenario based on ensembles of climate model outputs. Results show that excluding nitrogen limitation will underestimate global LULUC emissions by 34-52PgC (20-30%) during the 20th century (range across three different historical LULUC reconstructions) and by 128-187PgC (90-150%) during the 21st century (range across the four IPCC scenarios). The full range for estimated LULUC emissions during the 21st century including climate model uncertainty is 91 to 227PgC (with nitrogen limitation included). The underestimation increases with time because (1) projected annual wood harvest rates from forests summed over the 21st century are 380-1080% higher compared to those of the 20th century, resulting in more regrowing secondary forests; (2) nitrogen limitation reduces the CO2 fertilization effect on net primary production of regrowing secondary forests following wood harvest and agricultural abandonment; and (3) nitrogen limitation effect is aggravated by the gradual loss of soil nitrogen from LULUC disturbance. Our study implies that (1) nitrogen limitation of CO2 uptake is substantial and sensitive to nitrogen inputs; (2) if LULUC emissions are larger than previously estimated in studies without nitrogen limitation, then meeting the same climate mitigation target would require an equivalent additional reduction of fossil fuel emissions; (3) the effectiveness of land-based mitigation strategies will critically depend on the interactions between nutrient limitations and secondary forests resulting from LULUC; and (4) it is important for terrestrial biosphere models to consider nitrogen constraint in estimates of the strength of future land carbon uptake.</t>
  </si>
  <si>
    <t>Glob. Biogeochem. Cycle</t>
  </si>
  <si>
    <t>10.1002/2015GB005086</t>
  </si>
  <si>
    <t>Wood harvest</t>
  </si>
  <si>
    <t>Historical</t>
  </si>
  <si>
    <t>RCP8.5 (Tables 4 &amp; 6)</t>
  </si>
  <si>
    <t>Biomass Harvested From Forests</t>
  </si>
  <si>
    <t>Pg/century</t>
  </si>
  <si>
    <t>Pg C/century</t>
  </si>
  <si>
    <t>RCP4.5 (Tables 4 &amp; 6)</t>
  </si>
  <si>
    <t>RCP2.6 (Tables 4 &amp; 6)</t>
  </si>
  <si>
    <t>RCP6.0 (Tables 4 &amp; 6)</t>
  </si>
  <si>
    <t>Climate change; Land use change; Forest carbon; Carbon emissions</t>
  </si>
  <si>
    <t>CLIMATE-CHANGE; TIMBER; MANAGEMENT; ECONOMICS; IMPACTS; COVER; MODEL</t>
  </si>
  <si>
    <t>Mendelsohn, R; Sohngen, B</t>
  </si>
  <si>
    <t>The Net Carbon Emissions from Historic Land Use and Land Use Change</t>
  </si>
  <si>
    <t>Deforestation from timber harvests and farmland conversions have led to 565 GtCO(2) (billion tons of carbon dioxide) being emitted into the atmosphere. Taking into account natural regeneration on forestland, Houghton (2003, 2008) and Houghton et al. (2012) estimate that deforestation has caused a net loss of 484 GtCO(2) since 1900 which is about one third of all manmade emissions. However, these estimates do not take into account the substantial investment into fire management, plantations, and replanting since 1950, as well as the effect of carbon fertilization on a younger forest. We compare the outcome of a deforestation scenario with subsequent forest management with what would have happened if the natural forest in 1900 had not been harvested thereafter. Deforestation plus forest management suggests current forests actually hold about 94 GtCO(2) more today than they did in 1900. However, natural forests would have held an additional 186 GtCO(2). Human activities on forestland have therefore caused about 92 GtCO(2) of net emissions since 1900. The effect of manmade land use and land use change is relatively small compared to the 1294 GtCO(2) from industrial emissions over the same time period (Marland et al., 2008).</t>
  </si>
  <si>
    <t>10.1561/112.00000505</t>
  </si>
  <si>
    <t>forest use (deforestation, forest management and planting)</t>
  </si>
  <si>
    <t>Natural Forest Scenario</t>
  </si>
  <si>
    <t>Historical Market Scenario</t>
  </si>
  <si>
    <t>Cumulated wood harvest</t>
  </si>
  <si>
    <t>Gt CO2</t>
  </si>
  <si>
    <t>different perimeters</t>
  </si>
  <si>
    <t>no C output</t>
  </si>
  <si>
    <t>no journal</t>
  </si>
  <si>
    <t>C var cannot be cumulated</t>
  </si>
  <si>
    <t>review</t>
  </si>
  <si>
    <t>t_to_m3</t>
  </si>
  <si>
    <t>Wood density</t>
  </si>
  <si>
    <t>dry wood</t>
  </si>
  <si>
    <t>IPCC 2006</t>
  </si>
  <si>
    <t>kg_to_m3</t>
  </si>
  <si>
    <t>Carbon density</t>
  </si>
  <si>
    <t>tC/t dry matter</t>
  </si>
  <si>
    <t>tC_to_m3</t>
  </si>
  <si>
    <t>C_to_CO2</t>
  </si>
  <si>
    <t>Exclusion criteria</t>
  </si>
  <si>
    <t>cat2</t>
  </si>
  <si>
    <t>colcat2</t>
  </si>
  <si>
    <t>cat1</t>
  </si>
  <si>
    <t>colcat1</t>
  </si>
  <si>
    <t>cat0</t>
  </si>
  <si>
    <t>colcat0</t>
  </si>
  <si>
    <t>#777777</t>
  </si>
  <si>
    <t>#437DBF</t>
  </si>
  <si>
    <t>#7BAFDE</t>
  </si>
  <si>
    <t>#1965B0</t>
  </si>
  <si>
    <t>#F4A736</t>
  </si>
  <si>
    <t>#DC050C</t>
  </si>
  <si>
    <t>#A5170E</t>
  </si>
  <si>
    <t>#72190E</t>
  </si>
  <si>
    <t>Fig1</t>
  </si>
  <si>
    <t>QC_AV</t>
  </si>
  <si>
    <t>Aude's edits in colors</t>
  </si>
  <si>
    <t>avg</t>
  </si>
  <si>
    <t>scenario</t>
  </si>
  <si>
    <t>MtCO2/an</t>
  </si>
  <si>
    <t>Fig, 2</t>
  </si>
  <si>
    <t>Fig,5</t>
  </si>
  <si>
    <t>Fig,4</t>
  </si>
  <si>
    <t>Fig,3</t>
  </si>
  <si>
    <t>Forest</t>
  </si>
  <si>
    <t>Net effect</t>
  </si>
  <si>
    <t>Cdelta?</t>
  </si>
  <si>
    <t>Substitution</t>
  </si>
  <si>
    <t>???</t>
  </si>
  <si>
    <t>Taskhiri_2016</t>
  </si>
  <si>
    <t>Harvest+Chip&amp;Storage</t>
  </si>
  <si>
    <t>Total</t>
  </si>
  <si>
    <t>Processing (incl. Transport)</t>
  </si>
  <si>
    <t>CO2 emissions (tCO2e)</t>
  </si>
  <si>
    <t>MDF</t>
  </si>
  <si>
    <t>OSB</t>
  </si>
  <si>
    <t>Particle board</t>
  </si>
  <si>
    <t>paper</t>
  </si>
  <si>
    <t>Wood pellets</t>
  </si>
  <si>
    <t>Teh 2017</t>
  </si>
  <si>
    <t>2050 bau residential</t>
  </si>
  <si>
    <t>2050 timber residential without sequestration</t>
  </si>
  <si>
    <t>2050 timber residential with sequestration</t>
  </si>
  <si>
    <t>2050 bau commercial</t>
  </si>
  <si>
    <t>2050 timber commercial without sequestration</t>
  </si>
  <si>
    <t>2050 timber commercial with sequestration</t>
  </si>
  <si>
    <t>2050 bau total australian economy</t>
  </si>
  <si>
    <t>2050 timber total australian economy without sequestration</t>
  </si>
  <si>
    <t>2050 timber total australian economy with sequestration</t>
  </si>
  <si>
    <t>Torsonnen 2015</t>
  </si>
  <si>
    <t>NEE (gCO2/m2/yr)</t>
  </si>
  <si>
    <t>BT, constant climate</t>
  </si>
  <si>
    <t>BT, B1</t>
  </si>
  <si>
    <t>BT, A2</t>
  </si>
  <si>
    <t>Radiative forcing</t>
  </si>
  <si>
    <t>Re-calibrated to compare all scenarios with BT_constant climate</t>
  </si>
  <si>
    <t>Constant climate</t>
  </si>
  <si>
    <t>A2</t>
  </si>
  <si>
    <t>BN-BT</t>
  </si>
  <si>
    <t>BNF-BT</t>
  </si>
  <si>
    <t>BN20-BT</t>
  </si>
  <si>
    <t>BN20F-BT</t>
  </si>
  <si>
    <t>BNRF-BT</t>
  </si>
  <si>
    <t>BNR-BT</t>
  </si>
  <si>
    <t>BNR20-BT</t>
  </si>
  <si>
    <t>BNR20F-BT</t>
  </si>
  <si>
    <t>Promotion scenario</t>
  </si>
  <si>
    <t>Delta</t>
  </si>
  <si>
    <t>Tsunetsugu 2010</t>
  </si>
  <si>
    <t>FF substsitution</t>
  </si>
  <si>
    <t>Energy saving</t>
  </si>
  <si>
    <t>Vukotic 2010</t>
  </si>
  <si>
    <t>Emissions (kgCO2/m2)</t>
  </si>
  <si>
    <t>Local timber</t>
  </si>
  <si>
    <t>Production &amp; construction</t>
  </si>
  <si>
    <t>Amount of wood in timber structure (t wood/m2, deducted from data p7)</t>
  </si>
  <si>
    <t>Use (maintenance)</t>
  </si>
  <si>
    <t>Distance (local option, km)</t>
  </si>
  <si>
    <t>Demolition</t>
  </si>
  <si>
    <t>C footprint of transport (kgCO2/t wood/km)</t>
  </si>
  <si>
    <t>Recovery potential</t>
  </si>
  <si>
    <t>C footprint of transport (local option, kgCO2/m2)</t>
  </si>
  <si>
    <t>EoL</t>
  </si>
  <si>
    <t>C footprint of transport (baseline option = imported timber, kgCO2/m2)</t>
  </si>
  <si>
    <t>2011 Weight</t>
  </si>
  <si>
    <t>Scenario A: timber landfilled at end of life and not used for energy</t>
  </si>
  <si>
    <t>Scenario B: timber landfilled at end of life with capped landfill energy recovery from methane</t>
  </si>
  <si>
    <t>Scenario C: as scenario A, but timber sent for incineration for energy at end of life</t>
  </si>
  <si>
    <t>Scenario D: enhancement of scenario C for adding combined heat and power for heat which is a by-product of electrical generation</t>
  </si>
  <si>
    <t>Scenario E: highly manufactured timber</t>
  </si>
  <si>
    <t>Scenario F: use of unsustainably sourced timber (deforestation without replanting)</t>
  </si>
  <si>
    <t>Growth*</t>
  </si>
  <si>
    <t>Forestry_processes</t>
  </si>
  <si>
    <t>Transport</t>
  </si>
  <si>
    <t>Manufacturing</t>
  </si>
  <si>
    <t>Transport_to/from_site</t>
  </si>
  <si>
    <t>Energy_from_incineration</t>
  </si>
  <si>
    <t>Emissions_in_landfill</t>
  </si>
  <si>
    <t>Capping_and_biogas</t>
  </si>
  <si>
    <t>kgCO2/kg_of_product</t>
  </si>
  <si>
    <t>In-situ</t>
  </si>
  <si>
    <t>Manufacturing &amp; transport</t>
  </si>
  <si>
    <t>EoL biogenic</t>
  </si>
  <si>
    <t>EoL&amp;Manufacturing</t>
  </si>
  <si>
    <t>Total LCA</t>
  </si>
  <si>
    <t>In-situ&amp;forest</t>
  </si>
  <si>
    <t>In-situ&amp;forestry&amp;manufacturing</t>
  </si>
  <si>
    <t>2010 - Werner</t>
  </si>
  <si>
    <t>Total cumulative effects</t>
  </si>
  <si>
    <t>Substitution (domestic)</t>
  </si>
  <si>
    <t>HWP stock</t>
  </si>
  <si>
    <t>Swiss forest</t>
  </si>
  <si>
    <t>Substition (abroad)</t>
  </si>
  <si>
    <t>Year</t>
  </si>
  <si>
    <t>Forest + HWP</t>
  </si>
  <si>
    <t>Harvest in 2000</t>
  </si>
  <si>
    <t>Average harvest from 2030-&gt;2100</t>
  </si>
  <si>
    <t>Cumulated harvest (Mm3)</t>
  </si>
  <si>
    <t>Ximenes 2013</t>
  </si>
  <si>
    <t>kgC stored per kg timber in landfill</t>
  </si>
  <si>
    <t>C-storage</t>
  </si>
  <si>
    <t>Amount of wood (kg wood in use)</t>
  </si>
  <si>
    <t>GHG balance (tCO2e)</t>
  </si>
  <si>
    <t>Affinity as designed</t>
  </si>
  <si>
    <t>Affinity timber maximized</t>
  </si>
  <si>
    <t>Villina as designed</t>
  </si>
  <si>
    <t>Villina timber maximized</t>
  </si>
  <si>
    <t>Zhang 2018</t>
  </si>
  <si>
    <t>(3) ethanol by biochemical process</t>
  </si>
  <si>
    <t>(1) ethanol by process without catalytic methane reformation</t>
  </si>
  <si>
    <t>(2) ethanol by process with catalytic methane reformation</t>
  </si>
  <si>
    <t>Zhang 2018 (2)</t>
  </si>
  <si>
    <t>kgCO2/M3</t>
  </si>
  <si>
    <t>Tractor &amp; EQ140</t>
  </si>
  <si>
    <t>Cableway &amp; EQ140</t>
  </si>
  <si>
    <t>Tractor &amp; Diesel vehicle</t>
  </si>
  <si>
    <t>Cableway &amp; Diesel vehicle</t>
  </si>
  <si>
    <t>Cutting</t>
  </si>
  <si>
    <t>Chainsaw</t>
  </si>
  <si>
    <t>Forest operation</t>
  </si>
  <si>
    <t>Skidding</t>
  </si>
  <si>
    <t>Loading</t>
  </si>
  <si>
    <t>Winch</t>
  </si>
  <si>
    <t>Transporting</t>
  </si>
  <si>
    <t>EQ140</t>
  </si>
  <si>
    <t>Diesel</t>
  </si>
  <si>
    <t>vehicle</t>
  </si>
  <si>
    <t>Lumberyard</t>
  </si>
  <si>
    <t>production</t>
  </si>
  <si>
    <t>all points in fig.4</t>
  </si>
  <si>
    <t>Time period (yrs)</t>
  </si>
  <si>
    <t>Current climate</t>
  </si>
  <si>
    <t>A1B</t>
  </si>
  <si>
    <t>Pine-dominated forest</t>
  </si>
  <si>
    <t>Spruce-dominate forest</t>
  </si>
  <si>
    <t>Area</t>
  </si>
  <si>
    <t>Zubizaretta 2016</t>
  </si>
  <si>
    <t>climate</t>
  </si>
  <si>
    <t>scenario mngt</t>
  </si>
  <si>
    <t>Total (tC/ha/yr)</t>
  </si>
  <si>
    <t>Forest soil</t>
  </si>
  <si>
    <t>Forest biomass</t>
  </si>
  <si>
    <t>Log+Pulp</t>
  </si>
  <si>
    <t>Total harvest (kt biomass)</t>
  </si>
  <si>
    <t>Log harvest (kt biomass)</t>
  </si>
  <si>
    <t>Pulp</t>
  </si>
  <si>
    <t>Fuel</t>
  </si>
  <si>
    <t>Log+pulp</t>
  </si>
  <si>
    <t>TB1</t>
  </si>
  <si>
    <t>TB2</t>
  </si>
  <si>
    <t>TB3</t>
  </si>
  <si>
    <t>TA4</t>
  </si>
  <si>
    <t>TA5</t>
  </si>
  <si>
    <t>TA6</t>
  </si>
  <si>
    <t>Total (tCO2)</t>
  </si>
  <si>
    <t>Forest &amp; soil (tCO2)</t>
  </si>
  <si>
    <t>Forest + Soil + HWP (tCO2)</t>
  </si>
  <si>
    <t>Delta_pulp</t>
  </si>
  <si>
    <t>Delta_wood (kt biomass)</t>
  </si>
  <si>
    <t>Spruce-dominated forest</t>
  </si>
  <si>
    <t>Forest &amp; soil</t>
  </si>
  <si>
    <t>Forest + Soil + HWP</t>
  </si>
  <si>
    <t>Delta_wood</t>
  </si>
  <si>
    <t>2021 - Dugan</t>
  </si>
  <si>
    <t>Cumulative effect (MtCO2e) vs BAU</t>
  </si>
  <si>
    <t>Energy substitution</t>
  </si>
  <si>
    <t>Product substitution</t>
  </si>
  <si>
    <t>DeltaWood (MtC)</t>
  </si>
  <si>
    <t>Total mitigation</t>
  </si>
  <si>
    <t>ShortRotation</t>
  </si>
  <si>
    <t>ShortRotationBioE</t>
  </si>
  <si>
    <t>ExtendedRotation</t>
  </si>
  <si>
    <t>Residues</t>
  </si>
  <si>
    <t>IncreaseBioE</t>
  </si>
  <si>
    <t>DF (tC/tC)</t>
  </si>
  <si>
    <t>Forest+HWP stock</t>
  </si>
  <si>
    <t>For extraction sheet (possibly inverted if ref !=BAU)</t>
  </si>
  <si>
    <t>Cref</t>
  </si>
  <si>
    <t>C_scenario</t>
  </si>
  <si>
    <t>2006 - Backeus</t>
  </si>
  <si>
    <t>HWP harvest (Mm3/yr)</t>
  </si>
  <si>
    <t>Biofuel (1000 t/yr)</t>
  </si>
  <si>
    <t>Total harvest</t>
  </si>
  <si>
    <t>Biomass C storage</t>
  </si>
  <si>
    <t>Total (MtC/yr)</t>
  </si>
  <si>
    <t>Cumulated GWP (tCO2/ha</t>
  </si>
  <si>
    <t>2022 - Aryapratama</t>
  </si>
  <si>
    <t>Positive = emissions</t>
  </si>
  <si>
    <t>Time</t>
  </si>
  <si>
    <t>PF_FP_Hbr_40y_E</t>
  </si>
  <si>
    <t>PF_FP_Hbr_40y_NR_E</t>
  </si>
  <si>
    <t>PF_FP_AC_18y_M</t>
  </si>
  <si>
    <t>PF_FP_AC_18y_NR_M</t>
  </si>
  <si>
    <t>PF_FP_Tgr_60y_NR_M</t>
  </si>
  <si>
    <t>PF_FP_Tgr_60y_M</t>
  </si>
  <si>
    <t>DL_FP_AC_18y_NR_M</t>
  </si>
  <si>
    <t>DL_FP_Hbr_40y_NR_E</t>
  </si>
  <si>
    <t>DL_FP_Tgr_60y_NR_M</t>
  </si>
  <si>
    <t>DL_FP_Hbr_40y_E</t>
  </si>
  <si>
    <t>DL_FP_Tgr_60y_M</t>
  </si>
  <si>
    <t>DL_FP_AC_18y_M</t>
  </si>
  <si>
    <t>Ref</t>
  </si>
  <si>
    <t>Scenario</t>
  </si>
  <si>
    <t>Delta Wood (tC/ha)</t>
  </si>
  <si>
    <t>Harvest Scenario</t>
  </si>
  <si>
    <t>Harvest Ref</t>
  </si>
  <si>
    <t>HWP Ref</t>
  </si>
  <si>
    <t>HWP scenario (tC/ha)</t>
  </si>
  <si>
    <t>Cumulated GWP (tCO2/ha) Ref</t>
  </si>
  <si>
    <t>Cumulated GWP (tCO2/ha) Scenario</t>
  </si>
  <si>
    <t>Nb_Car_Scenario</t>
  </si>
  <si>
    <t>Line</t>
  </si>
  <si>
    <t>File</t>
  </si>
  <si>
    <t>Wood Ref</t>
  </si>
  <si>
    <t>Wood scenario (tC/ha)</t>
  </si>
  <si>
    <t>'[2022 - Aryapratama &amp; Pauliuk - STE - AppF.xlsx]GWPdyn_PF_PO - Fig.4(f)'!L</t>
  </si>
  <si>
    <t>'[2022 - Aryapratama &amp; Pauliuk - STE - AppF.xlsx]GWPdyn_PF_SF - Fig.4(g)'!L</t>
  </si>
  <si>
    <t>PF_FP_NR_M_Ac_7y</t>
  </si>
  <si>
    <t>PF_FP_M_Ac_7y</t>
  </si>
  <si>
    <t>'[2022 - Aryapratama &amp; Pauliuk - STE - AppF.xlsx]GWPdyn_PF_FP - Fig.4(h)'!L</t>
  </si>
  <si>
    <t>PF_FP_NR_M_Ac_18y</t>
  </si>
  <si>
    <t>PF_FP_M_Ac_18y</t>
  </si>
  <si>
    <t>PF_FP_NR_M_Tgr_60y</t>
  </si>
  <si>
    <t>PF_FP_M_Tgr_60y</t>
  </si>
  <si>
    <t>PF_FP_NR_E_Hbr_40y</t>
  </si>
  <si>
    <t>PF_FP_E_Hbr_40y</t>
  </si>
  <si>
    <t>DL_FP_NR_M_Ac_7y</t>
  </si>
  <si>
    <t>DL_FP_M_Ac_7y</t>
  </si>
  <si>
    <t>'[2022 - Aryapratama &amp; Pauliuk - STE - AppF.xlsx]GWPdyn_DL_FP - Fig.4(i)'!L</t>
  </si>
  <si>
    <t>DL_FP_NR_M_Ac_18y</t>
  </si>
  <si>
    <t>DL_FP_M_Ac_18y</t>
  </si>
  <si>
    <t>DL_FP_NR_M_Tgr_60y</t>
  </si>
  <si>
    <t>DL_FP_M_Tgr_60y</t>
  </si>
  <si>
    <t>DL_FP_NR_E_Hbr_40y</t>
  </si>
  <si>
    <t>DL_FP_E_Hbr_40y</t>
  </si>
  <si>
    <t>'[2022 - Aryapratama &amp; Pauliuk - STE - AppF.xlsx]GWPdyn_RIL - Fig.4(j)'!L</t>
  </si>
  <si>
    <t>NR_RIL_M</t>
  </si>
  <si>
    <t>NR_RIL_E</t>
  </si>
  <si>
    <t>2019 - Baskent</t>
  </si>
  <si>
    <t>Forest stock (tC/ha)</t>
  </si>
  <si>
    <t>HWP stock (tC/ha)</t>
  </si>
  <si>
    <t>Cumulated substitution  (tC/ha)</t>
  </si>
  <si>
    <t>Forest only</t>
  </si>
  <si>
    <t>Forest + HWP + Substitution</t>
  </si>
  <si>
    <t>Fig10</t>
  </si>
  <si>
    <t>Product sub</t>
  </si>
  <si>
    <t>Energy sub</t>
  </si>
  <si>
    <t>Product sub factor</t>
  </si>
  <si>
    <t>Fig9</t>
  </si>
  <si>
    <t>Sawlogs</t>
  </si>
  <si>
    <t>WBP</t>
  </si>
  <si>
    <t>Harvest (tC/ha/yr)</t>
  </si>
  <si>
    <t>Average HWP use</t>
  </si>
  <si>
    <t>Braun et al 2016</t>
  </si>
  <si>
    <t>Forest stock (GtCO2)</t>
  </si>
  <si>
    <t>HWP (GtCO2)</t>
  </si>
  <si>
    <t>Cumulated Substitution (GtCO2)</t>
  </si>
  <si>
    <t>Total (GtCO2)</t>
  </si>
  <si>
    <t>Material sub</t>
  </si>
  <si>
    <t>Energy sub (MtCO2/yr)</t>
  </si>
  <si>
    <t>Material sub (GtCO2/yr)</t>
  </si>
  <si>
    <t>HWP (Gm3)</t>
  </si>
  <si>
    <t>CCME (tCO2/m3 of wood used)</t>
  </si>
  <si>
    <t>Harvested amounts</t>
  </si>
  <si>
    <t>Carbon storage (MtC)</t>
  </si>
  <si>
    <t>2011 - Elgie</t>
  </si>
  <si>
    <t>$/tC temporary credit</t>
  </si>
  <si>
    <t>2010 - Eshun</t>
  </si>
  <si>
    <t>Air-dried_lumber</t>
  </si>
  <si>
    <t>Kiln-dried_lumber</t>
  </si>
  <si>
    <t>Veneer</t>
  </si>
  <si>
    <t>Furniture_parts</t>
  </si>
  <si>
    <t>Logs (Mm3/yr)</t>
  </si>
  <si>
    <t>CO2 (kt/yr)</t>
  </si>
  <si>
    <t>CH4 (t/yr)</t>
  </si>
  <si>
    <t>N2O (t/yr)</t>
  </si>
  <si>
    <t>CO2e (kt/yr)</t>
  </si>
  <si>
    <t>C footprint (tCO2/m3)</t>
  </si>
  <si>
    <t>Repo_2012</t>
  </si>
  <si>
    <t>Fig. 2</t>
  </si>
  <si>
    <t>biomass type</t>
  </si>
  <si>
    <t>total emissions gCO2eq/MJ</t>
  </si>
  <si>
    <t>effect of wood type</t>
  </si>
  <si>
    <t>effect of location</t>
  </si>
  <si>
    <t>effect of technology</t>
  </si>
  <si>
    <t>Northern Finland</t>
  </si>
  <si>
    <t>stumps</t>
  </si>
  <si>
    <t>Southern Finland</t>
  </si>
  <si>
    <t>thinning wood</t>
  </si>
  <si>
    <t>branches</t>
  </si>
  <si>
    <t>Heavy fuel oil</t>
  </si>
  <si>
    <t>natural gas</t>
  </si>
  <si>
    <t>Smyth 2020 Fig8</t>
  </si>
  <si>
    <t>Base</t>
  </si>
  <si>
    <t>Restricted harvest</t>
  </si>
  <si>
    <t>Harvest less</t>
  </si>
  <si>
    <t>Higher recovery</t>
  </si>
  <si>
    <t>4.2Mm3/year (p6/22)</t>
  </si>
  <si>
    <t>Bioenergy from residues</t>
  </si>
  <si>
    <t>Higher recovery+Bioenergy</t>
  </si>
  <si>
    <t>Future timber supply cumulated MtC</t>
  </si>
  <si>
    <t>Smyth 2020. Fig S87 Total harvest</t>
  </si>
  <si>
    <t>X</t>
  </si>
  <si>
    <t>restricted harvest</t>
  </si>
  <si>
    <t>higher recovery</t>
  </si>
  <si>
    <t>Maikipaa_2015</t>
  </si>
  <si>
    <t>year</t>
  </si>
  <si>
    <t>Cstock of trees</t>
  </si>
  <si>
    <t>Compensated fossil emissions (tC)</t>
  </si>
  <si>
    <t>harvested stem</t>
  </si>
  <si>
    <t>harvested energy wood</t>
  </si>
  <si>
    <t>total harvested biomass (stem+energy)</t>
  </si>
  <si>
    <t>ChC-SOH</t>
  </si>
  <si>
    <t>ChC-WTH</t>
  </si>
  <si>
    <t>CC-SOH</t>
  </si>
  <si>
    <t>CC-WTH</t>
  </si>
  <si>
    <t>Shoyama_2014</t>
  </si>
  <si>
    <t>Carbon sequestered (MgC)</t>
  </si>
  <si>
    <t>Biodiversity</t>
  </si>
  <si>
    <t>Trend</t>
  </si>
  <si>
    <t>SUM (2020:2060)</t>
  </si>
  <si>
    <t>Timber production (m3)</t>
  </si>
  <si>
    <t>Gustavsson_2005</t>
  </si>
  <si>
    <t>Sum excluding each line respectively</t>
  </si>
  <si>
    <t>Fig.3</t>
  </si>
  <si>
    <t>material production fossil fuel end-use</t>
  </si>
  <si>
    <t>material production eectric end-use</t>
  </si>
  <si>
    <t>cement reactions</t>
  </si>
  <si>
    <t>fossil fuel for biomass recovery</t>
  </si>
  <si>
    <t>replacement of fossil fuel by biofuel</t>
  </si>
  <si>
    <t>forest stock change</t>
  </si>
  <si>
    <t>balance</t>
  </si>
  <si>
    <t>Gustavsson_2006</t>
  </si>
  <si>
    <t>table I</t>
  </si>
  <si>
    <t>tableIV</t>
  </si>
  <si>
    <t>Wälluden</t>
  </si>
  <si>
    <t>Vikkii</t>
  </si>
  <si>
    <t>Wood product production</t>
  </si>
  <si>
    <t>recovery (%)</t>
  </si>
  <si>
    <t>moisture content (%)</t>
  </si>
  <si>
    <t>heat value (MJ/kg dry biomass)</t>
  </si>
  <si>
    <t>recovery/transport energy (% of heat value)</t>
  </si>
  <si>
    <t>wooden-frame</t>
  </si>
  <si>
    <t>concrete frame (SF-untouched)</t>
  </si>
  <si>
    <t>concrete-frame (SF-bioenergy)</t>
  </si>
  <si>
    <t>roots and stumps</t>
  </si>
  <si>
    <t>forest residues</t>
  </si>
  <si>
    <t>branches, foliage, tops</t>
  </si>
  <si>
    <t>prcessing residues</t>
  </si>
  <si>
    <t>bark</t>
  </si>
  <si>
    <t>construction waste</t>
  </si>
  <si>
    <t>processing residues</t>
  </si>
  <si>
    <t>demolition waste</t>
  </si>
  <si>
    <t>total biofuels</t>
  </si>
  <si>
    <t>demolition wood</t>
  </si>
  <si>
    <t>particleboard</t>
  </si>
  <si>
    <t>surplus forest for. Bioenergy</t>
  </si>
  <si>
    <t>calcul kg recovered</t>
  </si>
  <si>
    <t>t dry biomass</t>
  </si>
  <si>
    <t>stemwood</t>
  </si>
  <si>
    <t>amount of wood materials (tons air-dry materials)</t>
  </si>
  <si>
    <t>total wood used materials+residues</t>
  </si>
  <si>
    <t>concrete frame</t>
  </si>
  <si>
    <t>plywood</t>
  </si>
  <si>
    <t>total</t>
  </si>
  <si>
    <t>Bosch_2019</t>
  </si>
  <si>
    <t>Webplotdigitizer</t>
  </si>
  <si>
    <t>Mm3under bark per year</t>
  </si>
  <si>
    <t>Label</t>
  </si>
  <si>
    <t>scenario 0</t>
  </si>
  <si>
    <t>scenario 3</t>
  </si>
  <si>
    <t>scenario 4</t>
  </si>
  <si>
    <t>2014-2018</t>
  </si>
  <si>
    <t>2019-2023</t>
  </si>
  <si>
    <t>2024-2028</t>
  </si>
  <si>
    <t>2029-2033</t>
  </si>
  <si>
    <t>2034-2038</t>
  </si>
  <si>
    <t>2039-2043</t>
  </si>
  <si>
    <t>2044-2048</t>
  </si>
  <si>
    <t>sum of 5-year periods</t>
  </si>
  <si>
    <t xml:space="preserve">Scenario I </t>
  </si>
  <si>
    <r>
      <t>Relative emissions  (in million tons CO</t>
    </r>
    <r>
      <rPr>
        <sz val="7"/>
        <color theme="1"/>
        <rFont val="AdvOTc20ddc96"/>
      </rPr>
      <t xml:space="preserve">2 </t>
    </r>
    <r>
      <rPr>
        <sz val="10"/>
        <color theme="1"/>
        <rFont val="AdvOTc20ddc96"/>
      </rPr>
      <t xml:space="preserve">per year; negative values indicate removals from the atmosphere). </t>
    </r>
  </si>
  <si>
    <t>forest</t>
  </si>
  <si>
    <t>hwp</t>
  </si>
  <si>
    <t>net emissions</t>
  </si>
  <si>
    <t>net , no substitution</t>
  </si>
  <si>
    <t>scenario II</t>
  </si>
  <si>
    <t xml:space="preserve">Relative emissions  (in million tons CO2 per year; negative values indicate removals from the atmosphere). </t>
  </si>
  <si>
    <t>forest II</t>
  </si>
  <si>
    <t>hwp II</t>
  </si>
  <si>
    <t>substitution II</t>
  </si>
  <si>
    <t>scenario III</t>
  </si>
  <si>
    <t>forest III</t>
  </si>
  <si>
    <t>hwp III</t>
  </si>
  <si>
    <t>substitution III</t>
  </si>
  <si>
    <t>scenario IV</t>
  </si>
  <si>
    <t>forest IV</t>
  </si>
  <si>
    <t>hwp  IV</t>
  </si>
  <si>
    <t>substitution  IV</t>
  </si>
  <si>
    <t>Jones_2019</t>
  </si>
  <si>
    <t>SSP5-All</t>
  </si>
  <si>
    <t>SSP5-Dev</t>
  </si>
  <si>
    <t>from EC's extraction sheet</t>
  </si>
  <si>
    <t>CONVERSION EN m3 et SOMME POUR PULP AND SAW</t>
  </si>
  <si>
    <t>Cumulative harvest (assuming annual values are displayed)</t>
  </si>
  <si>
    <t>Bosch 2019</t>
  </si>
  <si>
    <t>correction from v5_SL_update</t>
  </si>
  <si>
    <t>cumulated over period</t>
  </si>
  <si>
    <t>cumulated over periods</t>
  </si>
  <si>
    <t>ERREUR DE CAPTURE</t>
  </si>
  <si>
    <t>Forest+HWP</t>
  </si>
  <si>
    <t>Jayalath_2020</t>
  </si>
  <si>
    <t>14 apartments of 53.6m2</t>
  </si>
  <si>
    <t>two mid-to-high rise eight-floors with area 156m2</t>
  </si>
  <si>
    <t>eol emissions and benefits</t>
  </si>
  <si>
    <t>Melbourne</t>
  </si>
  <si>
    <t>operation</t>
  </si>
  <si>
    <t>eol_fossil</t>
  </si>
  <si>
    <t>demolition</t>
  </si>
  <si>
    <t>products stage raw materials</t>
  </si>
  <si>
    <t>transportation to landfill</t>
  </si>
  <si>
    <t>construction stage transport</t>
  </si>
  <si>
    <t>recycling of steel</t>
  </si>
  <si>
    <t>construction stage installation</t>
  </si>
  <si>
    <t>CLT incinerated (energy recovered)</t>
  </si>
  <si>
    <t>per m2</t>
  </si>
  <si>
    <t>end of life</t>
  </si>
  <si>
    <t>quantity CLT</t>
  </si>
  <si>
    <t>quantity RC</t>
  </si>
  <si>
    <t>mistake in the paper???</t>
  </si>
  <si>
    <t>Wood quantities</t>
  </si>
  <si>
    <t>Material</t>
  </si>
  <si>
    <t>Unit</t>
  </si>
  <si>
    <t>EE(MJ/unit)</t>
  </si>
  <si>
    <t>EGHG (kgCO2/unit)</t>
  </si>
  <si>
    <t>cost ($/unit)</t>
  </si>
  <si>
    <t>Mortar</t>
  </si>
  <si>
    <t>Gypsum</t>
  </si>
  <si>
    <t>-</t>
  </si>
  <si>
    <t>Masonry</t>
  </si>
  <si>
    <t>Rockwool</t>
  </si>
  <si>
    <t>Particle</t>
  </si>
  <si>
    <t>m</t>
  </si>
  <si>
    <t>fibre cement sheet</t>
  </si>
  <si>
    <t>Total Wood</t>
  </si>
  <si>
    <t>DF</t>
  </si>
  <si>
    <t>Average</t>
  </si>
  <si>
    <t>Standard deviation</t>
  </si>
  <si>
    <t>number of stddev to define outliers</t>
  </si>
  <si>
    <t>QC To do</t>
  </si>
  <si>
    <t>ref need correct</t>
  </si>
  <si>
    <t>Olguin_2018, maybe a problem of unit conversion</t>
  </si>
  <si>
    <t>Complete missing Qwood_stageInput</t>
  </si>
  <si>
    <t>Alam_2012</t>
  </si>
  <si>
    <t>Fig 8 - Fig 9</t>
  </si>
  <si>
    <t>refOK</t>
  </si>
  <si>
    <t>loc</t>
  </si>
  <si>
    <t>71-100</t>
  </si>
  <si>
    <t>fig8 (P&amp;C)</t>
  </si>
  <si>
    <t>fig8 (P&amp;C + EoL + Operational)</t>
  </si>
  <si>
    <t>fig8 (EoL)</t>
  </si>
  <si>
    <t>fig8 (Operational)</t>
  </si>
  <si>
    <t>Balanced</t>
  </si>
  <si>
    <t>Multifunction</t>
  </si>
  <si>
    <t>Set-Aside</t>
  </si>
  <si>
    <t>Fig. 3</t>
  </si>
  <si>
    <t>Fig 8</t>
  </si>
  <si>
    <t>Checked</t>
  </si>
  <si>
    <t>MSY (maximum sustainable yield)</t>
  </si>
  <si>
    <t>POL (policy)</t>
  </si>
  <si>
    <t>Harvest effect of varied carbon price for SEQUESTERED carbon (from zero to 1200 SEK per tonne C)</t>
  </si>
  <si>
    <t>change driver to cutting intensity because primary effect of the C price is to decreases thinning ; no DF in this record</t>
  </si>
  <si>
    <t>Virgin wood Scenario 1</t>
  </si>
  <si>
    <t>100 % recycled wood Scenario 3</t>
  </si>
  <si>
    <t>table5 and text 4.2</t>
  </si>
  <si>
    <t>fix scale and location; off_product_biogenic</t>
  </si>
  <si>
    <t>50 % recycled wood Scenario 2</t>
  </si>
  <si>
    <t>fix driver, whole tree harvest driver is cutting intensity; fix processes, no storage in products</t>
  </si>
  <si>
    <t>fix processes, no storage in products</t>
  </si>
  <si>
    <t>biomass production</t>
  </si>
  <si>
    <t>use is not timber, the context is for bioenergy but C calculations are really only upstream</t>
  </si>
  <si>
    <t>Scenario 2 (1%of waste wood can be recovered)</t>
  </si>
  <si>
    <t>text 4.2.2</t>
  </si>
  <si>
    <t>only process recorded is manufacturing</t>
  </si>
  <si>
    <t>scenario 2 (1%of waste wood can be recovered)</t>
  </si>
  <si>
    <t>Scenario 3 (10%of waste wood can be recovered)</t>
  </si>
  <si>
    <t>only process recorded is manufacturing; correct driver name</t>
  </si>
  <si>
    <t>correct driver name</t>
  </si>
  <si>
    <t>NR : non-renewable materials or energy instead of wood</t>
  </si>
  <si>
    <t xml:space="preserve">AppD SM/E </t>
  </si>
  <si>
    <t>fig4 (values in AppF)</t>
  </si>
  <si>
    <t>C : Change machinery to reduce harvest damage</t>
  </si>
  <si>
    <t>Conversion to secondary forest or palm oil plantation</t>
  </si>
  <si>
    <t>block work (S1)</t>
  </si>
  <si>
    <t>Timber &amp; brick (S6)</t>
  </si>
  <si>
    <t>Brick  (S3)</t>
  </si>
  <si>
    <t>Brick &amp; concrete (S2)</t>
  </si>
  <si>
    <t>Precast concrete (S4)</t>
  </si>
  <si>
    <t>Steel frame work (S5)</t>
  </si>
  <si>
    <t>Timber prefabricated (S7)</t>
  </si>
  <si>
    <t>In-situ or precast concrete for1m3 concrete</t>
  </si>
  <si>
    <t>add off_product_biogenic because recycling is including and contributes to the difference between steel and timber formwork; add a line for functional unit of 1m3 concrete</t>
  </si>
  <si>
    <t>In-situ or precast concrete for forwork used for 1m3 concrete</t>
  </si>
  <si>
    <t>Lifespan (Net GWP100)</t>
  </si>
  <si>
    <t>supplementary section E1</t>
  </si>
  <si>
    <t>Lifespan (Net GWP500)</t>
  </si>
  <si>
    <t>Lifespan (reprocessing+ wood combustion)</t>
  </si>
  <si>
    <t>C1 (50 years floor board) (reprocessing + wood combustion)</t>
  </si>
  <si>
    <t>A1 (10 years floor board) (reprocessing + wood combustion)</t>
  </si>
  <si>
    <t>B1 (10 years) (reprocessing + wood combustion)</t>
  </si>
  <si>
    <t>C1 (50 years floor board) (reprocessing only)</t>
  </si>
  <si>
    <t>B1 (10 years)  (reprocessing only)</t>
  </si>
  <si>
    <t>A1 (10 years floor board) (reprocessing only)</t>
  </si>
  <si>
    <t>Technical efficiency (reprocessing + wood combustion)</t>
  </si>
  <si>
    <t>Technical efficiency (reprocessing + wood combustion + substitution)</t>
  </si>
  <si>
    <t>Change in wood use (reprocessing + wood combustion)</t>
  </si>
  <si>
    <t>Change in wood use (reprocessing + wood combustion + substitution)</t>
  </si>
  <si>
    <t>Change in wood use (Net with iluc)</t>
  </si>
  <si>
    <t>Change in number of cascades (reprocessing + wood combustion)</t>
  </si>
  <si>
    <t>Change in number of cascades (reprocessing + wood combustion + substitution)</t>
  </si>
  <si>
    <t>Change in number of cascades (Net : reprocessing + wood combustion + substitution + metal recycling + landfilling)</t>
  </si>
  <si>
    <t>Change in number of cascades  (reprocessing + wood combustion + substitution)</t>
  </si>
  <si>
    <t>MJ/kg converted to kWh/kg then kg/kWh</t>
  </si>
  <si>
    <t>functional unit is a kWh</t>
  </si>
  <si>
    <t>added details about the conversion</t>
  </si>
  <si>
    <t>text p36 section 45.</t>
  </si>
  <si>
    <t>remove maintenance_emiss</t>
  </si>
  <si>
    <t>Wood promotion</t>
  </si>
  <si>
    <t>fig S6, S7, S8</t>
  </si>
  <si>
    <t>Fig4&amp;fig5</t>
  </si>
  <si>
    <t>ktC/year</t>
  </si>
  <si>
    <t>driver is supply chain instead of cutting intensity (there is no mention of forest management choices), fix conversion ktC to tCO2, fix stacked barchart extraction</t>
  </si>
  <si>
    <t>million tCO2</t>
  </si>
  <si>
    <t>paper excluded because when the units are corrected the perimeters for transported volume and CO2 emissions do not have the same perimeter</t>
  </si>
  <si>
    <t>ok</t>
  </si>
  <si>
    <t xml:space="preserve">Fixed calculation of Cdelta </t>
  </si>
  <si>
    <t>residues used for wood products instead of energy -&gt; driver is supply chain</t>
  </si>
  <si>
    <t>table12</t>
  </si>
  <si>
    <t>table15</t>
  </si>
  <si>
    <t>take Qwood in m3 instead of kg</t>
  </si>
  <si>
    <t>annual harvest converted to 400yr total harvest</t>
  </si>
  <si>
    <t>text p1721</t>
  </si>
  <si>
    <t>text p1722</t>
  </si>
  <si>
    <t>poor quality, no units, no methodological details</t>
  </si>
  <si>
    <t>no harv_residues</t>
  </si>
  <si>
    <t xml:space="preserve">Pr_C </t>
  </si>
  <si>
    <t>harvested volumes</t>
  </si>
  <si>
    <t>SI 00_Master Tab5</t>
  </si>
  <si>
    <t>Mm3 yearly</t>
  </si>
  <si>
    <t>SI 00_Master Tab6</t>
  </si>
  <si>
    <t>Qwood values for harvested wood extracted from supplementary ; split between two levels of modeling boundaries, one including off_product_biogenic . There is no manufacturing. Fossil emissions are from transport or forestry operations only</t>
  </si>
  <si>
    <t>Pr_U</t>
  </si>
  <si>
    <t>Exp_1</t>
  </si>
  <si>
    <t>Exp_0</t>
  </si>
  <si>
    <t xml:space="preserve">Baseline </t>
  </si>
  <si>
    <t>SI 00_Master Tab2</t>
  </si>
  <si>
    <t>SI 00_Master Tab3</t>
  </si>
  <si>
    <t xml:space="preserve">Ph_U </t>
  </si>
  <si>
    <t xml:space="preserve">Ph_L </t>
  </si>
  <si>
    <t>Fig7</t>
  </si>
  <si>
    <t>No Qwood (Qwood must be harvested wood not growth)</t>
  </si>
  <si>
    <t>LUC is exogenous</t>
  </si>
  <si>
    <t>Fig4</t>
  </si>
  <si>
    <t>m3 ob/yr 2014</t>
  </si>
  <si>
    <t>Fig5</t>
  </si>
  <si>
    <t>only one driver</t>
  </si>
  <si>
    <t>Fig9a</t>
  </si>
  <si>
    <t>text SI1</t>
  </si>
  <si>
    <t>m3/yr 2018</t>
  </si>
  <si>
    <t>Table3 and Table1 to convert gwp per kWh into gwp/year</t>
  </si>
  <si>
    <t>C estimates have to be multiplied by total energy consumption to have the regional GWP associated with the Qwood + fix drivers</t>
  </si>
  <si>
    <t xml:space="preserve">M3 (i) low, (state DGO period A, </t>
  </si>
  <si>
    <t xml:space="preserve">M3 (i) low, (state QROO period A, </t>
  </si>
  <si>
    <t xml:space="preserve">M3 (i) medium, (state QROO period A, </t>
  </si>
  <si>
    <t xml:space="preserve">M3 (i) medium(state DGO period A, </t>
  </si>
  <si>
    <t>M3 (ii) low (state DGO period A)</t>
  </si>
  <si>
    <t xml:space="preserve">M3 (ii) low, (state QROO period A, </t>
  </si>
  <si>
    <t>M3 (ii) medium DF, (state DGO, period A (2021-2030)</t>
  </si>
  <si>
    <t xml:space="preserve">M3 (ii) medium, (state QROO period A, </t>
  </si>
  <si>
    <t xml:space="preserve">M4 (ii) medium, (state DGO period A, </t>
  </si>
  <si>
    <t xml:space="preserve">M3 (i) low, (state DGO period B, </t>
  </si>
  <si>
    <t>M3 (i) low, (state QROO period B)</t>
  </si>
  <si>
    <t xml:space="preserve">M3 (i) medium, (state QROO period B, </t>
  </si>
  <si>
    <t xml:space="preserve">M3(i) medium, (state DGO period B, </t>
  </si>
  <si>
    <t xml:space="preserve">M3 (ii) low, (state QROO period B, </t>
  </si>
  <si>
    <t xml:space="preserve">M3 (ii) medium, (state DGO period B, </t>
  </si>
  <si>
    <t xml:space="preserve">M3(ii) low, (state DGO period B) </t>
  </si>
  <si>
    <t>M3 (i) low, (state DGO period C)</t>
  </si>
  <si>
    <t>M3 (i) low, (state QROO period C)</t>
  </si>
  <si>
    <t xml:space="preserve">M3(i) medium, (state DGO period C, </t>
  </si>
  <si>
    <t xml:space="preserve">M3(i) medium(state QROO period C, </t>
  </si>
  <si>
    <t xml:space="preserve">M3 (ii) low, (state DGO period C) </t>
  </si>
  <si>
    <t xml:space="preserve">M3 (ii) low, (state QROO period C, </t>
  </si>
  <si>
    <t xml:space="preserve">M3 (ii) medium, (state DGO period C, </t>
  </si>
  <si>
    <t xml:space="preserve">M3 (ii) medium, (state QROO period C, </t>
  </si>
  <si>
    <t>eol_biogenic is included in basis scenario (option C1 in basis scenario) but eol_fossil is not included</t>
  </si>
  <si>
    <t>"The exception is carpet in wool, because the emissions from manufacturing of this material is more than 30 times the emissions from solid oak"</t>
  </si>
  <si>
    <t>Concrete building w/ wood energy recovery</t>
  </si>
  <si>
    <t>Concrete building with wood recycling</t>
  </si>
  <si>
    <t>no live biomas included (only products_storage_C), eol_biogenic included</t>
  </si>
  <si>
    <t>CLT w/ wood energy recovery</t>
  </si>
  <si>
    <t>CLT  w/ wood recycling</t>
  </si>
  <si>
    <t>Modular w/ wood energy recovery</t>
  </si>
  <si>
    <t>Concrete building w/ wood recycling</t>
  </si>
  <si>
    <t xml:space="preserve">Concrete building </t>
  </si>
  <si>
    <t xml:space="preserve">CLT </t>
  </si>
  <si>
    <t>fix C conversion to CO2, according to protocol biofuel harvesting is the driver supply chain organization. Hight thinning driver is cutting intensity</t>
  </si>
  <si>
    <t>5000yen per ton</t>
  </si>
  <si>
    <t>harvested timber</t>
  </si>
  <si>
    <t>fig4a</t>
  </si>
  <si>
    <t>fig4b</t>
  </si>
  <si>
    <t>10^6 ton</t>
  </si>
  <si>
    <t>fix Qwood for harvestedtimber and add a simcilture driver with nuspecified harvest increase as price increase for carbon decreases harvest without precision on where or how.</t>
  </si>
  <si>
    <t>3000 yen per ton</t>
  </si>
  <si>
    <t>10^6 tonC</t>
  </si>
  <si>
    <t>1500 yen per ton</t>
  </si>
  <si>
    <t>800 yen per ton</t>
  </si>
  <si>
    <t>ton C ha-1</t>
  </si>
  <si>
    <t>paper is excluded, there is no C output only a radiative forcing for which we do not have an easy conversion back to C emissions</t>
  </si>
  <si>
    <t>correct harvest. Reported value is annual. Fixed by multiplying by time length of simulations (80yrs)</t>
  </si>
  <si>
    <t>Concrete (case A)</t>
  </si>
  <si>
    <t>CLT Wood building (case B0)</t>
  </si>
  <si>
    <t>table 7</t>
  </si>
  <si>
    <t>tons CO2e</t>
  </si>
  <si>
    <t>remove products_storage boundary and change driver to change in technology, C values in tons from table 7 instead of per unit area in text.</t>
  </si>
  <si>
    <t>only keep Cdelta since it is traceable, whereas Cref and Calt were not. Remove maintenance and fossil model components that cannot be found in the paper, add lines for C balance components (forest only , forest+HWP, forest + HWP+displacement)</t>
  </si>
  <si>
    <t>text p3521</t>
  </si>
  <si>
    <t>TgCO2e/yr</t>
  </si>
  <si>
    <t>Table1</t>
  </si>
  <si>
    <t>text p824</t>
  </si>
  <si>
    <t>set single driver, cumulate wood amount over time period to match C balance unit, no indication found thatmanufacturing emissions are accounted for</t>
  </si>
  <si>
    <t>text</t>
  </si>
  <si>
    <t>fig. 4</t>
  </si>
  <si>
    <t>off_product_biogenic set to 1 since energy saving is accounted for</t>
  </si>
  <si>
    <t>no DF used in base case but add line accounting for recycling of debris for both locations</t>
  </si>
  <si>
    <t>table 11 in Taverna 2007</t>
  </si>
  <si>
    <t>fig49 in Taverna 2007</t>
  </si>
  <si>
    <t>specify that data are taken from companion report Taverna 2007, clarify use of DF</t>
  </si>
  <si>
    <t>Optimized rotation length and slash recovery</t>
  </si>
  <si>
    <t>fig 3,4,5</t>
  </si>
  <si>
    <t>done</t>
  </si>
  <si>
    <t>change single product to mixed because all chain is concerned</t>
  </si>
  <si>
    <t>add off_product_biogenic, change single product to mixed because all chain is concerned</t>
  </si>
  <si>
    <t>add off_product_biogenic</t>
  </si>
  <si>
    <t>Fig3</t>
  </si>
  <si>
    <t>ok, Qwood in table1; C in Fig. 3</t>
  </si>
  <si>
    <t>All good. See excel.</t>
  </si>
  <si>
    <t>ok, data found in Fig. 7 and 8</t>
  </si>
  <si>
    <t>Gjbiomass/MgC</t>
  </si>
  <si>
    <t>Changed Qwood ref</t>
  </si>
  <si>
    <t>Changed the start year</t>
  </si>
  <si>
    <t>Changed the start year; corrected Qwood to be cumulative until 2040 (instead of 2060) to be consistent with period for C</t>
  </si>
  <si>
    <t xml:space="preserve">In text sect 4.2 </t>
  </si>
  <si>
    <t>Added place in publication</t>
  </si>
  <si>
    <t>Changed Qwood with cumulative harvest according to section 4.2</t>
  </si>
  <si>
    <t>fig3 vs fig4</t>
  </si>
  <si>
    <t>checked</t>
  </si>
  <si>
    <t>table 3 (carbon storage in building)</t>
  </si>
  <si>
    <t>table3 (5a)</t>
  </si>
  <si>
    <t>table3 (6a)</t>
  </si>
  <si>
    <t>Fig. 7 (mean annual flux * years for material and energy)</t>
  </si>
  <si>
    <t>fig8 (Total)</t>
  </si>
  <si>
    <t>m3 utilized wood calculated from CCME to account for both wood products and biomass for energy. VB: ok, but seemingly erroneous extraction from fig 8</t>
  </si>
  <si>
    <t>fig8 (Forest stock)</t>
  </si>
  <si>
    <t>fig8 (forest + HWP)</t>
  </si>
  <si>
    <t>m3 utilized wood calculated from CCME to account for both wood products and biomass for energy.</t>
  </si>
  <si>
    <t xml:space="preserve">m3 utilized wood calculated from CCME to account for both wood products and biomass for energy. </t>
  </si>
  <si>
    <t xml:space="preserve">Fig. 4 (Hanceville, 2 MW) </t>
  </si>
  <si>
    <t>Fig. 6 (Hanceville)</t>
  </si>
  <si>
    <t xml:space="preserve">Fig. 4 (Anahim, 2 MW) </t>
  </si>
  <si>
    <t>Fig. 6 (Anahim)</t>
  </si>
  <si>
    <t>Table 4 (2 vs 1)</t>
  </si>
  <si>
    <t>Table 3 (1 vs 2)</t>
  </si>
  <si>
    <t>Table 4 (5 vs 4)</t>
  </si>
  <si>
    <t>Table 3 (4 vs 5)</t>
  </si>
  <si>
    <t>Table 4 (3 vs 2)</t>
  </si>
  <si>
    <t>Table 4 (3 vs 1))</t>
  </si>
  <si>
    <t>Table 4 (6 vs 5)</t>
  </si>
  <si>
    <t>Table 4 (6 vs 4)</t>
  </si>
  <si>
    <t>Table 3 (3 vs 1)</t>
  </si>
  <si>
    <t>Table 3 (3 vs 2)</t>
  </si>
  <si>
    <t>Table 3 (6 vs 4)</t>
  </si>
  <si>
    <t>Table 3 (6 vs 5)</t>
  </si>
  <si>
    <t>table5 (total)</t>
  </si>
  <si>
    <t>table5 (maintenance and use)</t>
  </si>
  <si>
    <t>table5 (production + construction)</t>
  </si>
  <si>
    <t>table5 (end of life)</t>
  </si>
  <si>
    <t>table5 (reuse, recovery, recycling)</t>
  </si>
  <si>
    <t>supplementary data p4 (option a vs e)</t>
  </si>
  <si>
    <t>supplementary excel table composed based on SM p5</t>
  </si>
  <si>
    <t>supplementary data p4 (option e vs c)</t>
  </si>
  <si>
    <t>Table 4 (sum of different rows - see extraction file)</t>
  </si>
  <si>
    <t>Table 8 (Total CO2 emission)</t>
  </si>
  <si>
    <t>Table 8 (material production+ building construction - C in wood)</t>
  </si>
  <si>
    <t>Table 8 (Overall balance)</t>
  </si>
  <si>
    <t xml:space="preserve">Fig 2 </t>
  </si>
  <si>
    <t>Fig 4 (B4+B6+C)</t>
  </si>
  <si>
    <t>kgCO2eq/m2 * surface area of the building</t>
  </si>
  <si>
    <t>Fig 2</t>
  </si>
  <si>
    <t>Fig 4 (sum of all)</t>
  </si>
  <si>
    <t>Fig 3 (sum of all bars)</t>
  </si>
  <si>
    <t>Fig 3 (harvest) + Table 1 (change in harvest)</t>
  </si>
  <si>
    <t>Extraction table (change in forest and HWP excludes substitution)</t>
  </si>
  <si>
    <t>Extraction table (change in total net emission)</t>
  </si>
  <si>
    <t>Extraction table (change in forest)</t>
  </si>
  <si>
    <t>Fig. 5 (A) cummulated over 100 years</t>
  </si>
  <si>
    <t>Fig.5 (D)</t>
  </si>
  <si>
    <t xml:space="preserve">OB Landfilling </t>
  </si>
  <si>
    <t>OB Incineration</t>
  </si>
  <si>
    <t>Appendix Table 7</t>
  </si>
  <si>
    <t>Fig 1</t>
  </si>
  <si>
    <t>OB Landfilling</t>
  </si>
  <si>
    <t>(BB) Cast Concrete</t>
  </si>
  <si>
    <t>(OB) timber landfill</t>
  </si>
  <si>
    <t>(DM) Concrete blocks</t>
  </si>
  <si>
    <t>(OB) timber incineration</t>
  </si>
  <si>
    <t>Table 4 (direct from table)</t>
  </si>
  <si>
    <t>table2 (biomass removed from forest - Sawmill residue - sawmill residue available)</t>
  </si>
  <si>
    <t>table2 (biomass removed from forest - recovered construction waste)</t>
  </si>
  <si>
    <t>table2 (column: concrete frame)</t>
  </si>
  <si>
    <t>Fig 3 (cement reactions + fossil fuel for biomass recovery + replacement of fossil + forest stock change)</t>
  </si>
  <si>
    <t>Fig 3 (balance - fossil fuel for biomass recovery)</t>
  </si>
  <si>
    <t>Section 2.3.1</t>
  </si>
  <si>
    <t>Table 2 (seems like columns CLT and RC are swapped in this table because the CLT column has a value of 0 for CLT)</t>
  </si>
  <si>
    <t>Fig. 7</t>
  </si>
  <si>
    <t>t CO2eq/m2 of building</t>
  </si>
  <si>
    <t>Table 9 (RC vs CLT for Melbourne)</t>
  </si>
  <si>
    <t xml:space="preserve">Fig. 7 + Fig. 6 + Fig. 5 (Melbourne) </t>
  </si>
  <si>
    <t>2050: Rotation lenght for ethanol production from wood (2050)</t>
  </si>
  <si>
    <t>Fig. 4 (2050; add residuals)</t>
  </si>
  <si>
    <t>Mt /year</t>
  </si>
  <si>
    <t>Fig. 9 (square vs circle)</t>
  </si>
  <si>
    <t xml:space="preserve">2020: Rotation lenght for ethanol production from wood </t>
  </si>
  <si>
    <t>Fig. 4 (2020; add residuals)</t>
  </si>
  <si>
    <t>2020: Rotation lenght for electricty production from wood</t>
  </si>
  <si>
    <t>Fig. 6 (squares vs circles)</t>
  </si>
  <si>
    <t>Fig. 9 (square vs triangle)</t>
  </si>
  <si>
    <t xml:space="preserve">2050: Rotation lenght for ethanol production from wood </t>
  </si>
  <si>
    <t>Fig. 8 vs 7</t>
  </si>
  <si>
    <t>Fig. 6 (squares vs triangles)</t>
  </si>
  <si>
    <t>2020: ethanol production instead of gasoline</t>
  </si>
  <si>
    <t>Fig. 9 (white square, full line)</t>
  </si>
  <si>
    <t>2020: Type of fuel for electricty production</t>
  </si>
  <si>
    <t>Fig.  8</t>
  </si>
  <si>
    <t>2050: ethanol production instead of gasoline</t>
  </si>
  <si>
    <t>2020: Type of technology replaced for electrity production</t>
  </si>
  <si>
    <t>2050: Type of technology replaced for electrity production</t>
  </si>
  <si>
    <t>electricity from direct burning fast growing Tree RT =10 years; P_gas</t>
  </si>
  <si>
    <t>Table 2 (TP, CU vs BP, CU)</t>
  </si>
  <si>
    <t>Fig.5 column HWP. Confirmed in Section 3.2</t>
  </si>
  <si>
    <t>Fig. 8</t>
  </si>
  <si>
    <t>Fig.5 column HWP</t>
  </si>
  <si>
    <t>Page 49, first column</t>
  </si>
  <si>
    <t>Table 1 Minneapolis)</t>
  </si>
  <si>
    <t>Table 1 (Atlanta)</t>
  </si>
  <si>
    <t>Atlanta house</t>
  </si>
  <si>
    <t>Section 2.1.1. Functional unit</t>
  </si>
  <si>
    <t>Fig 3 (extracted)</t>
  </si>
  <si>
    <t>Fig 4 (extracted)</t>
  </si>
  <si>
    <t>Fig. 3 (extraction file, mean for all steel vs mean glulam landfill)</t>
  </si>
  <si>
    <t>Fig. 4 (extraction file, mean for all steel vs mean glulam landfill)</t>
  </si>
  <si>
    <t>Fig. 3 (extraction file, mean for all steel vs mean glulam recycling)</t>
  </si>
  <si>
    <t>Fig. 4 (extraction file, mean for all steel vs mean glulam incineration)</t>
  </si>
  <si>
    <t>Fig. 3 (extraction file, mean for all steel vs mean glulam incireation)</t>
  </si>
  <si>
    <t>Fig.3 (orange vs grey for 2025)</t>
  </si>
  <si>
    <t>Fig.4 (orange vs grey for 2025)</t>
  </si>
  <si>
    <t>Fig.3 (orange vs grey for 2050)</t>
  </si>
  <si>
    <t>Fig.4 (orange vs grey for 2050)</t>
  </si>
  <si>
    <t>Fig.3 (orange vs blue for 2025)</t>
  </si>
  <si>
    <t>Fig.4 (orange vs blue for 2025)</t>
  </si>
  <si>
    <t>Fig.3 (orange vs blue for 2050)</t>
  </si>
  <si>
    <t>Fig.4 (orange vs blue for 2050)</t>
  </si>
  <si>
    <t>Table 8 (column: total)</t>
  </si>
  <si>
    <t>Fig S8</t>
  </si>
  <si>
    <t>Fig 2 b (low substitution)</t>
  </si>
  <si>
    <t>Fig 2 a (high substitution)</t>
  </si>
  <si>
    <t>Fig S8 vs 388 + calculated 4,2 Mm3 (p6)* number of years * conversion</t>
  </si>
  <si>
    <t>Fig S8 vs baseline + calculated 4,2 Mm3 (p6)* number of years * conversion</t>
  </si>
  <si>
    <t>Value from equation 1 (C forest) with Vhar = 14,44 (Table A1)</t>
  </si>
  <si>
    <t xml:space="preserve">Value from equation 2(C forest + C HWP) with Vhar = 14,44 (Table A1) </t>
  </si>
  <si>
    <t>Value from equation 2(C forest + C HWP) with Vhar = 14,44 (Table A1)</t>
  </si>
  <si>
    <t>Value from equation 3 (C for + HWP + substitution) with Vhar = 14,44 (Table A1)</t>
  </si>
  <si>
    <t>Fig S1</t>
  </si>
  <si>
    <t>Fig 3b</t>
  </si>
  <si>
    <t>Fig 3a</t>
  </si>
  <si>
    <t>Fig 3a-3c</t>
  </si>
  <si>
    <t>Fig.4 (timber)</t>
  </si>
  <si>
    <t>tCO2-eq</t>
  </si>
  <si>
    <t>Fig. 11</t>
  </si>
  <si>
    <t>biomass used</t>
  </si>
  <si>
    <t>ongoing QC</t>
  </si>
  <si>
    <t xml:space="preserve">AV changed driver to "area subject to .." if no harvest involved or "cutting intensity" if doubled harvest involved </t>
  </si>
  <si>
    <t>change unspecified to cutting intensity</t>
  </si>
  <si>
    <t>fix Qwood for harvestedtimber and add a simcilture driver with cutting intensity as price increase for carbon decreases harvest without precision on where or how.</t>
  </si>
  <si>
    <t>no journal ,exclusion</t>
  </si>
  <si>
    <t>Total volume yield</t>
  </si>
  <si>
    <t>table 4</t>
  </si>
  <si>
    <t>changed values to /year for wood and for carbon.</t>
  </si>
  <si>
    <t>table S2</t>
  </si>
  <si>
    <t>wood cumulative material flow (column C insheet Figure 4c</t>
  </si>
  <si>
    <t>table S2 and table 2 for 25% reduction in S1-30m2cap</t>
  </si>
  <si>
    <t>changed driver</t>
  </si>
  <si>
    <t>remove wood value that did not reflect the change in wood consumption, fix carbon unit conversion</t>
  </si>
  <si>
    <t>Fertilisation</t>
  </si>
  <si>
    <t>fig2 (NEE, only uptake in forst growth and decaying soil organic matter)</t>
  </si>
  <si>
    <t>include timber wood, correct Qwood_delta calculation mistake, correct model perimeter as C reported is NEE that only includes live biomass and soil c</t>
  </si>
  <si>
    <t>United Kingdom</t>
  </si>
  <si>
    <t>Life-cycle assessment; Forest products; Roundwood; Wood harvesting; Greenhouse gas emissions; Fossil energy demand; Tennessee</t>
  </si>
  <si>
    <t>ENVIRONMENTAL IMPACTS; SUPPLY CHAIN; PERFORMANCE; EMISSIONS; MICHIGAN; ENERGY</t>
  </si>
  <si>
    <t>Abbas, D; Handler, RM</t>
  </si>
  <si>
    <t>Life-cycle assessment of forest harvesting and transportation operations in Tennessee</t>
  </si>
  <si>
    <t>A life-cycle assessment study of roundwood supply chain activities occurring within the state of Tennessee was performed, in an effort to quantify the environmental impacts associated with wood harvest and transport operations. Statewide data from a survey given to Tennessee forest industry operators was used to construct representative primary life cycle input datasets that are unique to the industry profile within the state. This data was combined with inputs and assumptions from other relevant reports and publications to fully characterize the supply chain. Results of the life cycle assessment study indicated that greenhouse gas emissions and fossil energy demand per green tonne of wood were lower for chainsaw-based harvesting systems compared to feller buncher-based harvesting, because the relatively low harvest productivity of the chainsaw systems was more than made up for by the low inputs of fuels, lubricants, and machinery for this system. Transport of roundwood by truck resulted in transport impacts that were nearly as large as harvesting impacts, assuming a 150-km roundtrip based on Tennessee survey data. Results of this supply chain study can help the state of Tennessee understand the environmental impacts associated with traditional forest products industry operations, and guide development of new bio-based products, where environmental performance will be a key driver of successful development and implementation. (C) 2017 Published by Elsevier Ltd.</t>
  </si>
  <si>
    <t>10.1016/j.jclepro.2017.11.238</t>
  </si>
  <si>
    <t>type of cut</t>
  </si>
  <si>
    <t>selective (30% cut)</t>
  </si>
  <si>
    <t>clearcutting</t>
  </si>
  <si>
    <t>harvested ton of wood</t>
  </si>
  <si>
    <t>dry ton</t>
  </si>
  <si>
    <t>table7</t>
  </si>
  <si>
    <t>kgCO2eq/t</t>
  </si>
  <si>
    <t>shelterwood (70% cutting)</t>
  </si>
  <si>
    <t>equipment configuration</t>
  </si>
  <si>
    <t>feller-buncher</t>
  </si>
  <si>
    <t>chainsaw</t>
  </si>
  <si>
    <t>harvest system</t>
  </si>
  <si>
    <t>selective cut</t>
  </si>
  <si>
    <t>clearcut</t>
  </si>
  <si>
    <t>250km</t>
  </si>
  <si>
    <t>50km</t>
  </si>
  <si>
    <t>APPLIED ENGINEERING IN AGRICULTURE</t>
  </si>
  <si>
    <t>Bioenergy; Biomass densification; Briquette; Forest residues; Life-cycle assessment; Sawdust</t>
  </si>
  <si>
    <t>WOOD-BASED PRODUCTS; ENVIRONMENTAL-IMPACT; INLAND NORTHWEST; BIOMASS; ENERGY; EMISSIONS; PERFORMANCE; PELLETS; TORREFACTION; EXPERIENCES</t>
  </si>
  <si>
    <t>Alanya-Rosenbaum, S; Bergman, RD; Ganguly, I; Pierobon, F</t>
  </si>
  <si>
    <t>A COMPARATIVE LIFE-CYCLE ASSESSMENT OF BRIQUETTING LOGGING RESIDUES AND LUMBER MANUFACTURING COPRODUCTS IN WESTERN UNITED STATES</t>
  </si>
  <si>
    <t>Timber harvest activities in the western United States have resulted in large volumes of low-to no-value logging (forest) residues. Alternatives to pile-and-burning are needed to best utilize this material and to mitigate the resultant environmental impacts. Briquetting (densifying) forest residues near-woods is one such option and is the focus of this study. This study presents a cradle-to-grave life-cycle assessment (LCA) performed to evaluate the overall environmental impacts associated with briquetting post-harvest forest residues and dry sawmill residues (sawdust) in the Pacific Northwest (PNW) region of the United States. Environmental impacts resulting from the two briquette production systems were compared with firewood and propane production, which are common residential heating sources in rural areas of the PNW, on a per 1 MJ of useful energy for domestic heating. In the briquetted post-harvest forest residue system, the feedstock preparation stage had the largest share in global warming (GW) impact, mainly resulting from the drying process (69.5%), followed by transportation. Valorization of post-harvest forest residues, in combination with a briquetter, to produce a bioenergy carrier was revealed to be advantageous in smog, acidification, and eutrophication impact categories, with considerable environmental benefits from avoided pile-and-burn emissions. With all scenarios investigated, briquette production from post-harvest forest residues with high dryer efficiency showed lowest GW impact compared to briquetting sawmill residues and firewood supply chain. For a scenario analysis, LCA showed that using a diesel generator to support the forest residue briquetter operation resulted in 45% higher GW impact compared to use of a wood-gas-powered generator.</t>
  </si>
  <si>
    <t>Appl. Eng. Agric.</t>
  </si>
  <si>
    <t>10.13031/aea.12378</t>
  </si>
  <si>
    <t>technology used</t>
  </si>
  <si>
    <t>S1a</t>
  </si>
  <si>
    <t>split results by LCA stages possible</t>
  </si>
  <si>
    <t>S1b</t>
  </si>
  <si>
    <t>S1c</t>
  </si>
  <si>
    <t>Bioenergy; Biogenic carbon; Carbon sequestration; Climate change; Dynamic LCA</t>
  </si>
  <si>
    <t>LIFE-CYCLE ASSESSMENT; CLIMATE IMPACT ASSESSMENT; BIO-BASED MATERIALS; BIOGENIC CARBON; LAND-USE; SYSTEM BOUNDARIES; FOREST MANAGEMENT; TEMPORARY-STORAGE; CO2 EMISSIONS; LCA</t>
  </si>
  <si>
    <t>Albers, A; Collet, P; Benoist, A; Helias, A</t>
  </si>
  <si>
    <t>Back to the future: dynamic full carbon accounting applied to prospective bioenergy scenarios</t>
  </si>
  <si>
    <t>PurposeOngoing debates focus on the role of forest-sourced bioenergy within climate mitigation efforts, due to the long rotation lengths of forest biomass. Valuing sequestration is debated due to its reversibility; however, dynamic modelling of biogenic carbon (C-bio) flows captures both negative and positive emissions. The objective of this work is to respond to the key issue of timing sequestration associated with two opposed modelling choices (historic vs. future) in the context of dynamic life cycle assessment (LCA).MethodsThe outputs of a partial-equilibrium model are used to inform prospective evaluations of the use of forest wood residues in response to an energy transition policy. Dynamic forest carbon modelling represents the carbon cycle between the atmosphere and technosphere: C-bio fixation and release through combustion and/or decay. Time-dependent characterization is used to assess the time-sensitive climate change effects. The two C-bio sequestration perspectives for bioenergy (forest biomass use) and reference (no use) scenarios are contrasted to assess (i) their temporal profiles, (ii) their climatic consequences concerning C-complete (fossil + biogenic C) vs. C-neutral (fossil C) approaches, and (iii) the implications of comparing the two approaches with dynamic LCA.Results and discussionFull lifetime carbon accounting confirms that C-bio entering the bioenergy system equals the C-bio leaving it in the net balance, but not within annual dynamic balances, which alter the atmospheric greenhouse gas composition. The impacts of the historic approach differed considerably from those of the future. Moreover, the no use scenario yielded higher forcing effects than the bioenergy due to the higher methane proportions. The chicken-egg dilemma arises in attributional LCA: as the forcing depends on the timing of the C-bio sequestration and its allocation to a harvest activity. A decision tree supported by case study applications provides general rules for selecting the adequate time-related modelling approach based the criteria of provision of wood and regrowth from managed and unmanaged forests, determined by the origin of biotic resources and related spheres.ConclusionsExcluding dynamic C-bio introduces under- (future) or over- (historic) estimation of the results, misleading mitigation decisions. Further research is needed to close the gap between forest stand and landscape level, addressing issues beyond the chicken-egg dilemma and developing complete dynamic LCA studies.</t>
  </si>
  <si>
    <t>10.1007/s11367-019-01695-7</t>
  </si>
  <si>
    <t>fate of residues</t>
  </si>
  <si>
    <t>future "no use" C complete</t>
  </si>
  <si>
    <t>future "bioenergy" C complete</t>
  </si>
  <si>
    <t>historic "no use" C complete</t>
  </si>
  <si>
    <t>historic "bioenergy" C complete</t>
  </si>
  <si>
    <t>future "no use" C biogenic</t>
  </si>
  <si>
    <t>future "bioenergy" C biogenic</t>
  </si>
  <si>
    <t>historic "no use" C biogenic</t>
  </si>
  <si>
    <t>historic "bioenergy" C biogenic</t>
  </si>
  <si>
    <t>Buildings; Built environment; Carbon sequestration; Sustainable development goals; System-dynamics modelling; Net-zero emissions; Decarbonisation</t>
  </si>
  <si>
    <t>GREENHOUSE-GAS EMISSIONS; HOUSE SIZE; SENSITIVITY-ANALYSIS; DEEP UNCERTAINTY; BUILDING SECTOR; EMBODIED ENERGY; CONSTRUCTION; STRATEGIES; EFFICIENCY; SCENARIOS</t>
  </si>
  <si>
    <t>Allen, C; Oldfield, P; Teh, SH; Wiedmann, T; Langdon, S; Yu, M; Yang, JJ</t>
  </si>
  <si>
    <t>Modelling ambitious climate mitigation pathways for Australia's built environment</t>
  </si>
  <si>
    <t>Achieving net zero operational and embodied greenhouse gas (GHG) emissions in the built environment is recognised in Australia and globally as a key strategy to address climate change and achieve the United Nations Sustainable Development Goals (SDGs). However, gaps in knowledge remain regarding potential national pathways to achieve this outcome in Australia. This study further extends and applies a national-scale integrated macroeconomic simulation model to explore coherent pathways to net zero emissions in the built environment sector by 2050. The scope of the study includes residential and commercial buildings and both operational and embodied emissions. It applies scenario analysis incorporating different levels of climate ambition, including a shift to renewable energy, electrifying buildings, improving energy efficiency and replacing carbon-intensive materials. We find that a high ambition scenario (Scenario 2) delivers a 94% reduction in GHG emissions by 2050 when compared against business-as-usual, placing a net-zero target within reach. Improvements on Australia's SDGs performance are also attained. Through subsequent pathways analysis we find that achieving net zero or even net negative operational and embodied emissions is feasible with more ambitious action in key areas, including increasing the share of mass-timber buildings and reducing end-of-life losses in sequestered carbon.</t>
  </si>
  <si>
    <t>10.1016/j.scs.2021.103554</t>
  </si>
  <si>
    <t>National policy</t>
  </si>
  <si>
    <t>BAU scenario</t>
  </si>
  <si>
    <t>sustainability transition</t>
  </si>
  <si>
    <t>JOURNAL OF APPLIED ECOLOGY</t>
  </si>
  <si>
    <t>climate change; habitat restoration; mitigation; nature-based solutions; net zero; peatland; saltmarsh; woodland</t>
  </si>
  <si>
    <t>ECOSYSTEM SERVICES; LAND; CARBON</t>
  </si>
  <si>
    <t>Bradfer-Lawrence, T; Finch, T; Bradbury, RB; Buchanan, GM; Midgley, A; Field, RH</t>
  </si>
  <si>
    <t>The potential contribution of terrestrial nature-based solutions to a national 'net zero' climate target</t>
  </si>
  <si>
    <t>Many national governments have incorporated nature-based solutions (NbS) in their plans to reduce net greenhouse gas emissions. However, uncertainties persist regarding both feasibility and consequences of major NbS deployment. Using the United Kingdom as a national-level case study, we examined the potential contribution of three terrestrial NbS: peatland restoration, saltmarsh creation and woodland creation. While there is substantial political and societal interest in these three NbS, they also have strong potential for competition with other land uses, which will be a critical barrier to substantial deployment. We conducted a national mapping exercise to assess the potential area available for woodland creation. We then assessed the combined climate change mitigation potential to 2100 for the three NbS options under a range of ambition levels. In line with the most ambitious targets examined, 2 Mha of land is potentially available for new woodland. However, climate change mitigation benefits of woodland are strongly dependent on management choices. By 2100, scenarios with a greater proportion of broadleaved woodlands outsequester non-native conifer plantations, which are limited by regular timber harvesting. Peatland restoration offers the greatest mitigation per unit area, whilst the contribution from saltmarsh creation is limited by the small areas involved. Overall, the contribution of these NbS to the United Kingdom's net zero emissions target is relatively modest. Even with the most ambitious targets considered here, by 2100, the total cumulative mitigation from the three NbS is equivalent to only 3 years' worth of UK emissions at current levels. Policy implications. Major deployment of nature-based solutions (NbS) is possible in the United Kingdom but reaching 'net zero' primarily requires substantial and sustained reductions in fossil fuel use. However, facilitating these NbS at the national scale could offer many additional benefits for people and biodiversity. This demands that policy-makers commit to a UK-wide strategic approach that prioritises the 'nature' aspect of NbS. In the push to reach 'net zero', climate change mitigation should not be used to justify land management practices that threaten biodiversity ambitions.</t>
  </si>
  <si>
    <t>J. Appl. Ecol.</t>
  </si>
  <si>
    <t>10.1111/1365-2664.14003</t>
  </si>
  <si>
    <t>woodland creation area</t>
  </si>
  <si>
    <t>business as usual</t>
  </si>
  <si>
    <t>balanced net zero pathway</t>
  </si>
  <si>
    <t>UK</t>
  </si>
  <si>
    <t>anomaly QC_AV</t>
  </si>
  <si>
    <t>headwinds</t>
  </si>
  <si>
    <t>widespread engagement</t>
  </si>
  <si>
    <t>main reforestation species</t>
  </si>
  <si>
    <t>tailwinds</t>
  </si>
  <si>
    <t>widespread innovation</t>
  </si>
  <si>
    <t>CHEMICAL ENGINEERING RESEARCH &amp; DESIGN</t>
  </si>
  <si>
    <t>Multi-objective optimization; Life cycle assessment; Economic and environmental optimization; Biorefinery supply chain; Bioenergy and biofuels</t>
  </si>
  <si>
    <t>PYROLYSIS BIO-OIL; BIOMASS FAST PYROLYSIS; MULTIOBJECTIVE OPTIMIZATION; ENERGY-PRODUCTION; POWER PRODUCTION; DESIGN; LOGISTICS; NETWORKS; FOOTPRINTS; CHEMICALS</t>
  </si>
  <si>
    <t>Cambero, C; Sowlati, T; Pavel, M</t>
  </si>
  <si>
    <t>Economic and life cycle environmental optimization of forest-based biorefinery supply chains for bioenergy and biofuel production</t>
  </si>
  <si>
    <t>The increased use of forest and wood residues for the production of bioenergy, biofuels, and other bioproducts is essential to enhance the economic performance of forest products industries and reduce environmental impacts. Bi-objective optimization models have been developed recently to support the optimum design of either bioenergy or biofuels supply chains considering economic as well as environmental impacts. In an integrated bioenergy and biofuels supply chain where biofuel producers are also users of the generated energy, the energy flows among co-located supply chain entities affect the environmental and economic objective functions and consequently the optimal design of the supply chain, therefore, the energy flows have to be considered in the optimization model. This type of bi-objective problem has not been modeled in previous studies. In this paper, a bi-objective biorefinery supply chain optimization model for the production of bioenergy and biofuels using forest and wood residues is developed. The model considers energy flows among co-located technologies and is formulated as a multi-period mixed integer program (MIP) that calculates the net present value (NPV) and the life cycle greenhouse gas (GHG) emission savings associated with the biorefinery supply chain. The applicability of the proposed model is illustrated through a case study in British Columbia, Canada. (C) 2015 The Institution of Chemical Engineers. Published by Elsevier B.V. All rights reserved.</t>
  </si>
  <si>
    <t>Chem. Eng. Res. Des.</t>
  </si>
  <si>
    <t>10.1016/j.cherd.2015.10.040</t>
  </si>
  <si>
    <t>network of energy systems</t>
  </si>
  <si>
    <t>solution A (Maximum NPV)</t>
  </si>
  <si>
    <t>solution B (Compromise)</t>
  </si>
  <si>
    <t>solution C (Max GHG savings)</t>
  </si>
  <si>
    <t>LIFE-CYCLE ASSESSMENT; UNITED-STATES; RESIDENTIAL CONSTRUCTION; BUILDING CONSTRUCTION; CARBON STOCKS; MITIGATION; SUBSTITUTION; IMPACTS; CONCRETE; ALTERNATIVES</t>
  </si>
  <si>
    <t>Chen, JX; Ter-Mikaelian, MT; Yang, HQ; Colombo, SJ</t>
  </si>
  <si>
    <t>Assessing the greenhouse gas effects of harvested wood products manufactured from managed forests in Canada</t>
  </si>
  <si>
    <t>We developed a life-cycle analysis (LCA) system to quantify the carbon dynamics for Canadian-made harvested wood products (HWP). We considered the carbon stocks of HWP in use and in landfills/dumps, emissions reduced by substituting HWP for non-wood construction materials, HWP production emissions and methane emissions from decomposing wood disposed of in landfills. Carbon dynamics analyses were conducted for five HWP production scenarios. Results indicate structural panels have the highest potential in mitigating greenhouse gases (GHG) emissions, followed by lumber and non-structural panels. Net GHG effects of Canadian-made HWP were evaluated by integrating HWP carbon dynamics with forest carbon analysis using four forest management units (a total of 2.21 million ha of forests managed for timber production) from Ontario, Canada, as a case study. If HWP substitution benefits were estimated using the average displacement factor, and the wood obtained by increasing harvesting (relative to the baseline harvest scenario) in these four management units is used for structural panel, lumber, non-structural panel and business as usual HWP production, 0, 21, 39 and 84 years are needed to achieve net emission reductions, respectively; net emission reductions were, respectively, estimated to be 112, 93, 66 and 21 Mt CO2-equivalent in 100 years. Our results suggest harvesting sustainably managed forests in Canada to produce long-lived solid HWP can significantly contribute to GHG mitigation.</t>
  </si>
  <si>
    <t>10.1093/forestry/cpx056</t>
  </si>
  <si>
    <t>primary use of harvested wood</t>
  </si>
  <si>
    <t>pulp and paper</t>
  </si>
  <si>
    <t>extra wood harvested over 100 years</t>
  </si>
  <si>
    <t>MtCO2-eq</t>
  </si>
  <si>
    <t>non-structural panel</t>
  </si>
  <si>
    <t>structural panel</t>
  </si>
  <si>
    <t>greenhouse gas mitigation; forest carbon budget modelling; harvested wood products (HWP); life-cycle analysis (LCA); HWP substitution; FORCARB-ON2; HWP-CASE</t>
  </si>
  <si>
    <t>LIFE-CYCLE ASSESSMENT; CARBON STORAGE; FOSSIL-FUEL; IMPACTS; CANADA; SUBSTITUTION</t>
  </si>
  <si>
    <t>Chen, JX; Ter-Mikaelian, MT; Ng, PQ; Colombo, SJ</t>
  </si>
  <si>
    <t>Ontario's managed forests and harvested wood products contribute to greenhouse gas mitigation from 2020 to 2100</t>
  </si>
  <si>
    <t>We used an integrated approach to estimate the greenhouse gas (GHG) mitigation potential of Ontario's forestry sector, defined as the managed forests and the harvested wood products (HWP) originating from these forests. The 44.7 million ha of managed forests in this study included Crown forests designated as 41 forest management units (FMUs) for timber harvesting, productive forests north of the area of undertaking, large parks, and private forest land. Forests and HWP were simulated from approximately 2010 to 2100, with carbon (C) stocks and emissions reported for the period 2020 to 2100. A baseline scenario was defined to represent business as usual forestry operations in Ontario, in which the 41 FMUs and the private forests were harvested at historical (1990-2009) rates, and HWP production and end uses were assumed to follow Ontario's historical values (1991-2010). In the baseline scenario, the forest C stocks were projected to increase from 7229.7 million tonnes (Mt C) in 2020 to 7424 Mt C in 2100. The C stocks of HWP originating from the 41 FMUs and the private forests were estimated to increase from 171.0 Mt C, the initial HWP C stocks in 2020 from previous harvesting, to 334.7 Mt C in 2100, in which the C stocks of HWP in use and in landfills, HWP production emissions, landfill methane emissions from decomposing mill residue and waste HWP discarded, and the reduced emissions from substituting HWP for non-wood materials in construction were all considered. On average, Ontario's forestry sector was estimated to increase C stocks by 44.8 Mt per decade over the 80-year period. Six alternative scenarios were defined based on increased harvesting in the 41 FMUs and varied use of the increased harvested wood in HWP production and differing HWP end uses. Depending on how the increased harvested wood is used, increased forest harvesting (relative to historical rates) may increase or reduce the mitigation potential of Ontario's forestry sector. Based on historical use statistics, the life-cycle analysis HWP C stocks/emissions plus HWP substitution benefits were insufficient to compensate for forest C decreases from increased harvesting. However, if the increased harvested wood was used to produce solid HWP and these products were used in construction, increasing forest harvesting to 95% of the maximum allowable harvest level would require 20.0 years to achieve a positive net mitigation contribution. Factoring out the decrease in forest C due to increased harvesting, this amounts to 187.9 Mt C of additional mitigation contribution by 2100. We conclude that Ontario's forestry sector has the potential to contribute significantly to medium- and long-term GHG mitigation. Our results indicate that harvesting sustainably managed forests to produce solid HWP and using these HWP in long-lived end uses such as construction is a better mitigation option than protecting forest from harvesting.</t>
  </si>
  <si>
    <t>10.5558/tfc2018-040</t>
  </si>
  <si>
    <t>use of harvested wood</t>
  </si>
  <si>
    <t>BAUP (+AH+BAUE)</t>
  </si>
  <si>
    <t>ISP (+AH+BAUE)</t>
  </si>
  <si>
    <t>merchantable wood harvested</t>
  </si>
  <si>
    <t>end use of harvested wood products (type of construction)</t>
  </si>
  <si>
    <t>BAUE (+AH+ISP)</t>
  </si>
  <si>
    <t>ICU (+AH+ISP</t>
  </si>
  <si>
    <t>There is a back-of-the-enveloppe calculation of avoided emissions through substitution by all HWP, but if the implicit reference scenario is then "no HWP at all", then it lacks a quantification on the other compartments such as standing biomass</t>
  </si>
  <si>
    <t xml:space="preserve">Cherubini, F., Guest, G., &amp; Strømman, A. H. </t>
  </si>
  <si>
    <t xml:space="preserve"> Bioenergy from forestry and changes in atmospheric CO2: Reconciling single stand and landscape level approaches</t>
  </si>
  <si>
    <t xml:space="preserve"> Journal of environmental management</t>
  </si>
  <si>
    <t>10.1016/j.jenvman.2013.07.021</t>
  </si>
  <si>
    <t>energy source</t>
  </si>
  <si>
    <t>coal</t>
  </si>
  <si>
    <t>old forest</t>
  </si>
  <si>
    <t>gCO2-eq/MJ</t>
  </si>
  <si>
    <t>type of forest</t>
  </si>
  <si>
    <t>managed forest</t>
  </si>
  <si>
    <t>SUSTAINABLE ENVIRONMENT</t>
  </si>
  <si>
    <t>Land-use land cover change; ecosystem service valuation; deforestation; Gambia; GIS; remote sensing; Carbon storage and sequestration</t>
  </si>
  <si>
    <t>CLIMATE-CHANGE; RANDOM FOREST; EMISSIONS; ECONOMICS; CLASSIFICATION; DYNAMICS; MAP</t>
  </si>
  <si>
    <t>Dampha, NK</t>
  </si>
  <si>
    <t>Change detection (1985-2020): Projections on land-use land cover, carbon storage, sequestration, and valuation in Southwestern Gambia</t>
  </si>
  <si>
    <t>This study assesses land-use/land cover (LULC) change in the southwestern region of The Gambia, using remotely sensed satellite imagery. Using a geographic information system (GIS) software, I conducted a pixel-based supervised LULC classification applying the Random Forest Algorithm. I further used the classified LULC maps as part of the input parameters required to run the Integrated Valuation of Ecosystem Services and Tradeoffs (InVEST) Carbon Storage and Sequestration model. This study attributes the critical drivers of LULC change to deforestation, urbanization, industrial expansion, real estate development, climate change impacts, timber extraction, migration, and population density. Some of the factors are necessary for economic growth but not suitable for sustainable growth or development. The analysis reveals a forest cover loss of 22,408 ha (18% decrease) from 1985 to 2020 in the study area. The deforestation and other LULC changes between 2003 and 2020 have contributed to 21,824 metric tons of carbon emissions. The carbon loss is equivalent to an economic value ranging from US$521,526 to US$6,899,830. The study also presents three LULC projection (2020-2050) scenarios, namely, a business-as-usual (BAU), a new capital city (NCC) development, and a sustainability (SUST) pathway. Consideration of the study recommendations will minimize deforestation, increase carbon sequestration rate, support climate change mitigation, and provide adaptation co-benefits (e.g. urban flood mitigation).</t>
  </si>
  <si>
    <t>Sustain. Environ.</t>
  </si>
  <si>
    <t>10.1080/23311843.2021.1875556</t>
  </si>
  <si>
    <t>land use change trajectory</t>
  </si>
  <si>
    <t>SUST</t>
  </si>
  <si>
    <t>Gambia</t>
  </si>
  <si>
    <t>adds increased harvest area as driver because text says that conservation efforts are reinforced in sust scenario</t>
  </si>
  <si>
    <t>NCC</t>
  </si>
  <si>
    <t>adds increased harvest area as driver because text says that conservation efforts are not maintained in forest remaining forest in ncc</t>
  </si>
  <si>
    <t xml:space="preserve">Dugan, A. J., Birdsey, R., Mascorro, V. S., Magnan, M., Smyth, C. E., Olguin, M., &amp; Kurz, W. A. </t>
  </si>
  <si>
    <t xml:space="preserve"> A systems approach to assess climate change mitigation options in landscapes of the United States forest sector</t>
  </si>
  <si>
    <t xml:space="preserve"> Carbon balance and management</t>
  </si>
  <si>
    <t>10.1186/s13021-018-0100-x</t>
  </si>
  <si>
    <t>fate of harevsted wood</t>
  </si>
  <si>
    <t>extend rotation</t>
  </si>
  <si>
    <t>baseline</t>
  </si>
  <si>
    <t xml:space="preserve">HWP amount </t>
  </si>
  <si>
    <t>Sathre O'Connor 2010</t>
  </si>
  <si>
    <t>Fix sequestration sign ; Fix conversion units; Qwood cannot be taken from the HWP mitigation potential</t>
  </si>
  <si>
    <t>increase collection of harvest residues</t>
  </si>
  <si>
    <t>residues</t>
  </si>
  <si>
    <t>harvested area</t>
  </si>
  <si>
    <t>harvest BioE</t>
  </si>
  <si>
    <t>HWP amount</t>
  </si>
  <si>
    <t>bioenergy</t>
  </si>
  <si>
    <t>Functional units; Ghanaian timber; Inventory analysis; Life cycle inventory (LCI); Tropical wood</t>
  </si>
  <si>
    <t>LIFE-CYCLE INVENTORY; RENEWABLE RESOURCES; WOOD; THINKING; POLICY</t>
  </si>
  <si>
    <t>Eshun, JF; Potting, J; Leemans, R</t>
  </si>
  <si>
    <t>Inventory analysis of the timber industry in Ghana</t>
  </si>
  <si>
    <t>The timber sector, i.e., forestry and timber industry, plays an important role in the socioeconomic development of Ghana through timber products export. Timber production in this sector is associated with increasing environmental burdens in terms of use of materials and energy, production of emissions and waste, and land use changes. The purpose of this study was to compile a comprehensive life cycle inventory (LCI) to identify the most dominant environmental pressures for five major production lines in the timber industry, and to evaluate the influence of the choice of the functional unit on the results (1 m(3), 1 kg, and 1 euro). LCA's of wood typically base their functional unit on volume, but mass or money may be more appropriate for the rather different products considered in this study. The LCI covers five timber production lines, namely, air-dried lumber, kiln-dried lumber, plywood, veneer, and furniture parts. Three functional units were used for this study to identify the most appropriate basis for a fair comparison of the different timber products (functional units were 1 m(3), 1 kg and 1 euro). Questionnaires were administered to thirty selected companies in Ghana. These companies provided data about their material uses, energy requirements, and waste production for their operations from 2000 to 2007. The collected data were first converted into total annual average values, and next extrapolated to reflect the national average data for all 104 active companies. Finally, these data were expressed per functional unit for each of the five product lines on the basis of their production outputs (in volume, mass or money according to functional unit applied). Forest land used changes data was taken from the Ghana Timber Industry Development Division. Emissions for the several activities were taken from literature. Land use change for timber production in Ghana between the estimated periods turned out to be 34.0 x 10(3) ha per year, which will lead to complete deforestation in the year 2023 if continued. The total energy consumed by the timber sector per year was estimated at 1.9 x 10(9) MJ per year. The results showed that CO2 emissions by the timber sector activities per year accounted for 745k tons per year and dominate overall greenhouse gases emissions in the timber sector (changes in carbons storage related to land use changes not included). Wood waste by the timber sector accounted for 0.8 million m(3) per year. The enormous wastage of wood contributes enormously to the rapid depletion of the country's timber resources. The choice of the functional unit influences inventory results. The money-based functional unit, which also seems more appropriate for the different products considered, favors the value-added. Value-added products with strict sustainable forest management policy hold a promising future in terms of sustainability for the timber industry in Ghana. This study has yielded good quality primary data unique for LCA research in Africa. This will enhance LCA approaches in Ghana, and allows here identification of the main environmental pressures and their dominantly contributing processes in the timber sector. Land use changes due to forestry form a critical issue and require urgent attention. The chosen functional units' plays a crucial role in the environmental comparison of production line in the timber sector in Ghana. A comprehensive and transparent inventory for the timber industry provides the industry with an overview of areas in which material and thus economic savings can be made for the good of both environment and the industry finances. Good data keeping in the Ghanaian timber industry will help to build the required research capacity to develop local familiarity and competence in LCA techniques and applying these techniques will help to further certify tropical timber international markets.</t>
  </si>
  <si>
    <t>10.1007/s11367-010-0207-0</t>
  </si>
  <si>
    <t>Change in wood use</t>
  </si>
  <si>
    <t>Air-dried lumber</t>
  </si>
  <si>
    <t>Furniture parts</t>
  </si>
  <si>
    <t>Amount of wood entering the processing chain</t>
  </si>
  <si>
    <t>tCO2/m3</t>
  </si>
  <si>
    <t>Ghana</t>
  </si>
  <si>
    <t>Huge C ratios, but the perimeter (processing emissions) is limited to a small part of the C budget</t>
  </si>
  <si>
    <t>Kiln-dried lumber</t>
  </si>
  <si>
    <t>bio-ethanol; bio-fuel; biomass; cellulose bio-ethanol; enzymatic hydrolysis; ethanol; LCA; life cycle analysis; life cycle assessment; life cycle engineering</t>
  </si>
  <si>
    <t>Fu, GZ; Chan, AW; Minns, DE</t>
  </si>
  <si>
    <t>Life cycle assessment of bio-ethanol derived from cellulose</t>
  </si>
  <si>
    <t>Objective, Scope, Background. A comprehensive Life Cycle Assessment was conducted on bio-ethanol produced using a new process that converts cellulosic biomass by enzymatic hydrolysis. Options for sourcing the feedstock either from agricultural and wood waste, or, if the demand for bio-ethanol is sufficient, from cultivation are examined. The main focus of the analysis was to determine its potential for reducing greenhouse gas emissions in a 10% blend of this bio-ethanol with gasoline (E10) as a transportation fuel. Methods. SimaPro 4.0 was used as the analysis tool, which allowed a range of other environmental impacts also to be examined to assess the overall relative performance to gasoline alone. All impacts were assigned to the fuel because of uncertainties in markets for the by-products. This LCA therefore represents a worst case scenario. Results, Conclusion. It is shown that E10 gives an improved environmental performance in some impact categories, including greenhouse gas emissions, but has inferior performances in others. Whether the potential benefits of the bio-ethanol blend to reduce greenhouse gas emissions will be realized is shown to be particularly sensitive to the source of energy used to produce the process steam required to break down the cellulose to produce sugars and to distil the final product. One key area where improvements in environmental performance might be derived is in enzyme production. Recommendations and Outlook. The LCA profile helps to highlight those areas where positive and negative environmental impacts can be expected. Technological innovation can be directed accordingly to preserve the benefits while minimizing the negative impacts as development progresses to commercial scales.</t>
  </si>
  <si>
    <t>10.1007/BF02978458</t>
  </si>
  <si>
    <t>Feedstock (process energy source: fossil electric grid; table 1)</t>
  </si>
  <si>
    <t>cultivated</t>
  </si>
  <si>
    <t>Wate biomass</t>
  </si>
  <si>
    <t>g CO2 eq / km</t>
  </si>
  <si>
    <t>Emissions from E10 (bioethanol based fuel) per km driven</t>
  </si>
  <si>
    <t>Feedstock (process energy source: waste biomass; table 1)</t>
  </si>
  <si>
    <t>Proces energy source (feedstock: waste biomass; table 1)</t>
  </si>
  <si>
    <t>Fossil electric grid</t>
  </si>
  <si>
    <t>Fix sequestration sign; fix driver it is a tchnology shift</t>
  </si>
  <si>
    <t>Proces energy source (feedstock: cultivated; table 1)</t>
  </si>
  <si>
    <t>Renewable portfolio standard; Biomass; FASOMGHG; SRTS; Forest carbon</t>
  </si>
  <si>
    <t>FOREST BIOMASS; MARKETS; CARBON; TIMBER; WOOD; ELECTRICITY; PRODUCTS; DEMAND; ENERGY; SECTOR</t>
  </si>
  <si>
    <t>Galik, CS; Abt, RC; Latta, G; Vegh, T</t>
  </si>
  <si>
    <t>The environmental and economic effects of regional bioenergy policy in the southeastern US</t>
  </si>
  <si>
    <t>The unique generation, landownership, and resource attributes of the southeastern United States make the region an important test bed for implementation of novel renewable energy policy interventions. This study evaluates the environmental and economic implications of one such intervention, a hypothetical region-wide renewable portfolio standard (RPS) with biomass carve-outs. It utilizes the Forest and Agriculture Sector Optimization Model with Greenhouse Gases (FASOMGHG) to assess the multi-sector and interregional allocation of forest harvest activity, and then uses the Sub-Regional Timber Supply (SRTS) model to assess intraregional variation in forest composition and greenhouse gas (GHG) mitigation potential. The analysis finds that existing resource conditions influence the regional distribution of land use and harvest changes, resulting in a spatially and temporally diverse forest carbon response. Net forest carbon in the Southeast is greater in the RPS Scenario than in the No RPS Scenario in all but the final years of the model run. Accounting for displaced fossil emissions yields net GHG reductions in all time periods. Both research methodology and findings are also applicable to a broader suite of domestic and international policies, including European Union renewable energy initiatives and GHG mitigation under Section 111 of the U.S. Clean Air Act. (C) 2015 Elsevier Ltd. All rights reserved.</t>
  </si>
  <si>
    <t>10.1016/j.enpol.2015.05.018</t>
  </si>
  <si>
    <t>Bioenergy target RPS Replaces Coal</t>
  </si>
  <si>
    <t>Wood Bioenergy</t>
  </si>
  <si>
    <t>MgCO2eq</t>
  </si>
  <si>
    <t>Bioenergy target RPS Replaces Natural Gas</t>
  </si>
  <si>
    <t>Natural Gas</t>
  </si>
  <si>
    <t>CLEAN TECHNOLOGIES AND ENVIRONMENTAL POLICY</t>
  </si>
  <si>
    <t>Techno-ecological synergy; Biosolids management; Carbon sequestration ecosystem service; Multiobjective optimization</t>
  </si>
  <si>
    <t>SEWAGE-SLUDGE TREATMENT; WASTE HANDLING SYSTEMS; LIFE-CYCLE ASSESSMENT; MULTIOBJECTIVE OPTIMIZATION; INDUSTRIAL NETWORKS; RESOURCE-MANAGEMENT; SIMULATION-MODEL; LAND APPLICATION; SUSTAINABILITY; SCENARIOS</t>
  </si>
  <si>
    <t>Gopalakrishnan, V; Grubb, GF; Bakshi, BR</t>
  </si>
  <si>
    <t>Biosolids management with net-zero CO2 emissions: a techno-ecological synergy design</t>
  </si>
  <si>
    <t>Management of biosolids from industrial and municipal wastewater facilities presents multifaceted issues ranging from greenhouse gas emissions, high odor and high treatment costs. Until now, most studies that have focused on identifying the best treatment pathway are based on optimization of technological alternatives and life cycle analysis studies. Such studies aim toward sustainability but ignore the capacity of local ecological systems to provide ecosystem services, thus leading to design solutions that may be sub-optimal due to shifting of impacts outside the boundary, resulting in degradation. This work uses a techno-ecological synergy design methodology to identify optimal strategies for biosolids treatment and disposal, by balancing the supply and demand for carbon sequestration ecosystem service. Both the technological systems that create the ecosystem service demand and ecological systems that supply those services are included within one design framework. Technological alternatives for biosolids management in Central Ohio considered in this work are land filling, land application, incineration and composting. Approaches for supplying the carbon sequestration capacity include forestation, extension of timber cycles and geological sequestration. An additional case where biomass utilization from extension of timber cycle to produce renewable energy is also explored. Results from this study demonstrate that including carbon sequestration ecosystem service explicitly in the design problem leads to solutions where the ecosystem service demand and supply can be balanced, while also being cost-effective. Thus by including ecological systems in the design boundary, the optimal solution space expands to reveal novel solutions that cannot be found by the conventional techno-centric approach.</t>
  </si>
  <si>
    <t>Clean Technol. Environ. Policy</t>
  </si>
  <si>
    <t>10.1007/s10098-017-1398-x</t>
  </si>
  <si>
    <t>BAU_Biosolids Incinerated; small proportion to landfill</t>
  </si>
  <si>
    <t>HalfLandfillHalfCompost_minimizeCost</t>
  </si>
  <si>
    <t>MgC_per_year</t>
  </si>
  <si>
    <t>HalfLandfillhalfCompost_minimizeCO2emissions</t>
  </si>
  <si>
    <t>WithForestandGeoSequestrationAdded_minimizeCost</t>
  </si>
  <si>
    <t>WithForestandGeoSequestrationAdded_minimizeEmissions</t>
  </si>
  <si>
    <t>WithForestGeoFert_carboncredits_minimizeCost</t>
  </si>
  <si>
    <t>WithForestGeoFert_carboncredits_minimizeEmissions</t>
  </si>
  <si>
    <t>WithForestGeoFert_carboncredits_optimizeMinEmissionsMinCost</t>
  </si>
  <si>
    <t>PLOS ONE</t>
  </si>
  <si>
    <t>OLD-GROWTH FORESTS; CARBON SEQUESTRATION; ECOSYSTEM SERVICES; COVER CROPS; CROPPING SYSTEMS; NITROUS-OXIDE; MANAGEMENT; RESTORATION; MITIGATION; WILDFIRE</t>
  </si>
  <si>
    <t>Graves, RA; Haugo, RD; Holz, A; Nielsen-Pincus, M; Jones, A; Kellogg, B; Macdonald, C; Popper, K; Schindel, M</t>
  </si>
  <si>
    <t>Potential greenhouse gas reductions from Natural Climate Solutions in Oregon, USA</t>
  </si>
  <si>
    <t>Increasing concentrations of greenhouse gases (GHGs) are causing global climate change and decreasing the stability of the climate system. Long-term solutions to climate change will require reduction in GHG emissions as well as the removal of large quantities of GHGs from the atmosphere. Natural climate solutions (NCS), i.e., changes in land management, ecosystem restoration, and avoided conversion of habitats, have substantial potential to meet global and national greenhouse gas (GHG) reduction targets and contribute to the global drawdown of GHGs. However, the relative role of NCS to contribute to GHG reduction at subnational scales is not well known. We examined the potential for 12 NCS activities on natural and working lands in Oregon, USA to reduce GHG emissions in the context of the state's climate mitigation goals. We evaluated three alternative scenarios wherein NCS implementation increased across the applicable private or public land base, depending on the activity, and estimated the annual GHG reduction in carbon dioxide equivalents (CO(2)e) attributable to NCS from 2020 to 2050. We found that NCS within Oregon could contribute annual GHG emission reductions of 2.7 to 8.3 MMT CO(2)e by 2035 and 2.9 to 9.8 MMT CO(2)e by 2050. Changes in forest-based activities including deferred timber harvest, riparian reforestation, and replanting after wildfires contributed most to potential GHG reductions (76 to 94% of the overall annual reductions), followed by changes to agricultural management through no-till, cover crops, and nitrogen management (3 to 15% of overall annual reductions). GHG reduction benefits are relatively high per unit area for avoided conversion of forests (125-400 MT CO(2)e ha(-1)). However, the existing land use policy in Oregon limits the current geographic extent of active conversion of natural lands and thus, avoided conversions results in modest overall potential GHG reduction benefits (i.e., less than 5% of the overall annual reductions). Tidal wetland restoration, which has high per unit area carbon sequestration benefits (8.8 MT CO(2)e ha(-1) yr(-1)), also has limited possible geographic extent resulting in low potential (&lt; 1%) of state-level GHG reduction contributions. However, co-benefits such as improved habitat and water quality delivered by restoration NCS pathways are substantial. Ultimately, reducing GHG emissions and increasing carbon sequestration to combat climate change will require actions across multiple sectors. We demonstrate that the adoption of alternative land management practices on working lands and avoided conversion and restoration of native habitats can achieve meaningful state-level GHG reductions.</t>
  </si>
  <si>
    <t>PLoS One</t>
  </si>
  <si>
    <t>10.1371/journal.pone.0230424</t>
  </si>
  <si>
    <t>NCS solution : forest avoided conversion</t>
  </si>
  <si>
    <t>avoided forest conversion</t>
  </si>
  <si>
    <t>baseline forest conversion</t>
  </si>
  <si>
    <t>table S3</t>
  </si>
  <si>
    <t>million metric tons CO2-eq (MMTCO2)</t>
  </si>
  <si>
    <t>NCS solution : post-wildfire replanting</t>
  </si>
  <si>
    <t>post-wildfire reforestation</t>
  </si>
  <si>
    <t>baseline post-wildfire reforestation</t>
  </si>
  <si>
    <t>NCS solution : deferred harvest</t>
  </si>
  <si>
    <t>deferred harvest (ambitious)</t>
  </si>
  <si>
    <t>baseline harvest</t>
  </si>
  <si>
    <t>deferred harvest (moderate)</t>
  </si>
  <si>
    <t>BIOTECHNOLOGY FOR BIOFUELS</t>
  </si>
  <si>
    <t>2G biofuel; Perenial bioenergy crop; Poplar; Bioethanol; Supply chain; Life cycle assessment; Carbon and nitrogen cycling; Biogeochemistry model; DNDC</t>
  </si>
  <si>
    <t>NITROUS-OXIDE EMISSIONS; GREENHOUSE-GAS EMISSIONS; LIFE-CYCLE ASSESSMENT; DNDC MODEL; CARBON SEQUESTRATION; FIELD VALIDATION; N2O EMISSIONS; SYSTEMS; FLUXES; ENERGY</t>
  </si>
  <si>
    <t>Guo, M; Li, CS; Facciotto, G; Bergante, S; Bhatia, R; Comolli, R; Ferre, C; Murphy, R</t>
  </si>
  <si>
    <t>Bioethanol from poplar clone Imola: an environmentally viable alternative to fossil fuel?</t>
  </si>
  <si>
    <t>Background: Environmental issues, e.g. climate change, fossil resource depletion have triggered ambitious national/regional policies to develop biofuel and bioenergy roles within the overall energy portfolio to achieve decarbonising the global economy and increase energy security. With the 10 % binding target for the transport sector, the Renewable Energy Directive confirms the EU's commitment to renewable transport fuels especially advanced biofuels. Imola is an elite poplar clone crossed from Populus deltoides Bartr. and Populus nigra L. by Research Units for Intensive Wood Production, Agriculture Research Council in Italy. This study examines its suitability for plantation cultivation under short or very short rotation coppice regimes as a potential lignocellulosic feedstock for the production of ethanol as a transport biofuel. A life cycle assessment (LCA) approach was used to model the cradle-to-gate environmental profile of Imola-derived biofuel benchmarked against conventional fossil gasoline. Specific attention was given to analysing the agroecosystem fluxes of carbon and nitrogen occurring in the cultivation of the Imola biomass in the biofuel life cycle using a process-oriented biogeochemistry model (DeNitrification-DeComposition) specifically modified for application to 2G perennial bioenergy crops and carbon and nitrogen cycling. Results: Our results demonstrate that carbon and nitrogen cycling in perennial crop-soil ecosystems such as this example can be expected to have significant effects on the overall environmental profiles of 2G biofuels. In particular, soil carbon accumulation in perennial biomass plantations is likely to be a significant component in the overall greenhouse gas balance of future biofuel and other biorefinery products and warrants ongoing research and data collection for LCA models. We conclude that bioethanol produced from Imola represents a promising alternative transport fuel offering some savings ranging from 35 to 100 % over petrol in global warming potential, ozone depletion and photochemical oxidation impact categories. Conclusions: Via comparative analyses for Imola-derived bioethanol across potential supply chains, we highlight priority issues for potential improvement in 2G biofuel profiling. Advanced clones of poplar such as Imola for 2G biofuel production in Italy as modelled here show potential to deliver an environmentally sustainable lignocellulosic biorefinery industry and accelerate advanced biofuel penetration in the transport sector.</t>
  </si>
  <si>
    <t>Biotechnol. Biofuels</t>
  </si>
  <si>
    <t>10.1186/s13068-015-0318-8</t>
  </si>
  <si>
    <t>plantation type</t>
  </si>
  <si>
    <t>SRC (DA)</t>
  </si>
  <si>
    <t>VSRC (DA)</t>
  </si>
  <si>
    <t>kg ethanol</t>
  </si>
  <si>
    <t xml:space="preserve">table S4&amp; S6 </t>
  </si>
  <si>
    <t>SRC (LHW)</t>
  </si>
  <si>
    <t>VSRC (LHW)</t>
  </si>
  <si>
    <t>VSRC(DA)</t>
  </si>
  <si>
    <t>ethanol production technology</t>
  </si>
  <si>
    <t>DA (SRC)</t>
  </si>
  <si>
    <t>LHW (SRC)</t>
  </si>
  <si>
    <t xml:space="preserve">Haus, S., Gustavsson, L., &amp; Sathre, R. </t>
  </si>
  <si>
    <t xml:space="preserve"> Climate mitigation comparison of woody biomass systems with the inclusion of land-use in the reference fossil system</t>
  </si>
  <si>
    <t>While issues of land-use have been considered in many direct analyses of biomass sys- tems, little attention has heretofore been paid to land-use in reference fossil systems. Here we address this limitation by comparing forest biomass systems to reference fossil systems with explicit consideration of land-use in both systems. We estimate and compare the time profiles of greenhouse gas (GHG) emission and cumulative radiative forcing (CRF) of woody biomass systems and reference fossil systems. A life cycle perspective is used that includes all significant elements of both systems, including GHG emissions along the full material and energy chains. We consider the growth dynamics of forests under different manage- ment regimes, as well as energy and material substitution effects of harvested biomass. We determine the annual net emissions of CO2, N2O and CH4 for each system over a 240-year period, and then calculate time profiles of CRF as a proxy measurement of climate change impact. The results show greatest potential for climate change mitigation when intensive forest management is applied in the woody biomass system. This methodological frame- work provides a tool to help determine optimal strategies for managing forests so as to minimize climate change impacts. The inclusion of land-use in the reference system im- proves the accuracy of quantitative projections of climate benefits of biomass-based systems.</t>
  </si>
  <si>
    <t>10.1016/j.biombioe.2014.04.012</t>
  </si>
  <si>
    <t>management alternative</t>
  </si>
  <si>
    <t>unmanaged (low)</t>
  </si>
  <si>
    <t>conventional</t>
  </si>
  <si>
    <t>Only extracting biogenic as reported in fig. 4. CRF estimate was not extracted because given as either a non-Carbon unit or non cumulative variable. Technosphere and Substitution are accounted for only with CRF</t>
  </si>
  <si>
    <t>unmanaged (high)</t>
  </si>
  <si>
    <t>fig10</t>
  </si>
  <si>
    <t>fertilized</t>
  </si>
  <si>
    <t>fig9</t>
  </si>
  <si>
    <t>fig11</t>
  </si>
  <si>
    <t>Wood particleboard; Construction waste; Carbon sequestration; Life cycle assessment; Waste recycling; Biomass valorization</t>
  </si>
  <si>
    <t>LIFE-CYCLE ASSESSMENT; REACTIVE MGO CEMENTS; PORTLAND-CEMENT; CONTAMINATED WOOD; CONCRETE BLOCKS; MAGNESIA CEMENT; MIXTURE DESIGN; HONG-KONG; IMPACT; LCA</t>
  </si>
  <si>
    <t>Hossain, MU; Wang, L; Yu, IKM; Tsang, DCW; Poon, CS</t>
  </si>
  <si>
    <t>Environmental and technical feasibility study of upcycling wood waste into cement-bonded particleboard</t>
  </si>
  <si>
    <t>The scarceness of virgin resources and sustainable management of waste materials in high-density city arouse heightened focus on new technology development for waste recycling and local utilization. Wood waste recovery from construction activities and upcycling into secondary products allow the substitution of virgin resources and minimize the environmental burdens within the frontier of industrial ecology. This study assessed the technical viability and environmental sustainability of cement-bonded particleboards (CBPs) produced with recycled wood aggregates and alternative binder; and compared the performance of its counterpart produced with virgin wood and ordinary binder using experimental analysis and life cycle assessment (LCA). The experimental results showed acceptable mechanical performance of the developed CBPs in compliance with the required standards. Adoption of carbon dioxide curing technology further enhanced the durability of the developed CBPs. Although similar greenhouse gases (GHGs) emission was observed for imported conventional CBPs and locally produced CBPs with alternative materials, the considerations of direct carbon sequestration and landfill avoidance contributed to a 9% reduction of the total GHGs compared to conventional CBPs. The LCA results also demonstrated that substantial amount of GHGs can be potentially saved depending on the recycling rates of wood waste in Hong Kong. Hence, technological innovation can effectively address problem of wood waste disposal and enhance material utilization and sustainability of the construction industry. (C) 2018 Elsevier Ltd. All rights reserved.</t>
  </si>
  <si>
    <t>10.1016/j.conbuildmat.2018.04.066</t>
  </si>
  <si>
    <t>Type of wood &amp; technology used: recycled wood &amp;air curing</t>
  </si>
  <si>
    <t>Virgin wood</t>
  </si>
  <si>
    <t>recycled wood &amp; air curing</t>
  </si>
  <si>
    <t>kgCO2eq per tonne of Cement-Bounded ParticleBoard</t>
  </si>
  <si>
    <t>Type of wood &amp; technology used: recycled wood &amp; CO2 curing</t>
  </si>
  <si>
    <t>recycled wood &amp; CO2 curing</t>
  </si>
  <si>
    <t>Type of wood &amp; technology used: recycled wood &amp; CO2 curing &amp; landfill emissions accounted for</t>
  </si>
  <si>
    <t>recycled wood &amp; CO2 curing &amp; landfill emissions</t>
  </si>
  <si>
    <t>Building construction activities; Energy consumption; Greenhouse gases emission; Life cycle assessment; Wood waste</t>
  </si>
  <si>
    <t>LIFE-CYCLE ASSESSMENT; COMPARATIVE ENVIRONMENTAL EVALUATION; DEMOLITION WASTE; IMPACT ASSESSMENT; HONG-KONG; SENSITIVITY-ANALYSIS; PARTICLEBOARD; INVENTORY; SYSTEMS; CEMENT</t>
  </si>
  <si>
    <t>Hossain, MU; Poon, CS</t>
  </si>
  <si>
    <t>Comparative LCA of wood waste management strategies generated from building construction activities</t>
  </si>
  <si>
    <t>The management of a large amount of wood waste generated from construction activities is a challenging issue. However, wood waste is an inherently renewable resource that can be recycled and utilized for the production of green products and renewable energy. In order to minimize the environmental impacts and to provide a scientific basis for the decision-making process on the wood waste management systems, a life cycle assessment (LCA) approach was employed in this study to evaluate the potential management systems from an environmental point of view. Three alternative scenarios, including the recycling and reusing of wood waste to produce organic polymer based particleboard, cement-bonded particleboard and energy were compared with the current disposal strategy (landfill disposal), with the functional unit of 1 tonne of wood waste within a cradle-to-grave system boundary. The LCA results showed that significant reductions of environmental impacts were observed for the production of particleboard (scenario 1) and wood-cement composite (scenario 2) from wood waste compared to that of using virgin wood. However, the results also showed that scenario 3 (energy generation from bio-fuel derived from wood waste) was the best strategy, as this technology reduces more than 1 tonne of CO2 eq greenhouse gases compared to the energy generation from coal. The analysis conducted in this study can serve as guidelines to design a sustainable and resource-efficient wood waste management system. (C) 2017 Elsevier Ltd. All rights reserved.</t>
  </si>
  <si>
    <t>10.1016/j.jclepro.2017.12.233</t>
  </si>
  <si>
    <t>Use of eol wood products</t>
  </si>
  <si>
    <t>Recycling for cement-bounded particleboard</t>
  </si>
  <si>
    <t>kgCO2eq per m3 of wood ParticleBoard</t>
  </si>
  <si>
    <t>Recycling for particleboard</t>
  </si>
  <si>
    <t>kgCO2eq per m3 of Cement-Bounded ParticleBoard</t>
  </si>
  <si>
    <t>Biofuel with recycled wood</t>
  </si>
  <si>
    <t>kgCO2 eq per t of wood</t>
  </si>
  <si>
    <t>INTERNATIONAL JOURNAL OF HYDROGEN ENERGY</t>
  </si>
  <si>
    <t>LCA; Hydrogen for transport; Fuel cell vehicles</t>
  </si>
  <si>
    <t>NATURAL-GAS; ENERGY; CONSUMPTION; VEHICLES</t>
  </si>
  <si>
    <t>Iannuzzi, L; Hilbert, JA; Lora, EES</t>
  </si>
  <si>
    <t>Life Cycle Assessment (LCA) for use on renewable sourced hydrogen fuel cell buses vs diesel engines buses in the city of Rosario, Argentina</t>
  </si>
  <si>
    <t>The purpose of this paper is to build the first Energy and Life Cycle Analysis (LCA) comparison between buses with internal combustion engine currently used in the city of Rosario, Province of Santa Fe, Argentina, and some technological alternatives and their variants focusing on buses with an electrical engine powered by compressed hydrogen that feet fuel cells of polymer electrolyte membrane (PEM). This LCA comprehend raw material extraction up to its consumption as fuel. Specifically, hydrogen production considering different production processes from renewable sources called green hydrogen  (Velazquez Abad and Dodds, 2020) [1] and non-renewable sources called grey hydrogen  (Velazquez Abad and Dodds, 2020) [1]. Renewable sources for hydrogen production are rapid cut densified poplar energy plantation, post-industrial wood residues such as chips pallets, and maize silage. For non-renewable hydrogen production sources are the local electrical power grid from water electrolysis and natural gas from the steam methane reforming process. Buses whose fuel would be renewable hydrogen, produced near the City of Rosario, Province of Santa Fe, Argentina, meet one of the main criteria of sustainability biofuels of the European Union (EU) taken into account Renewable Energy Directive (RED) 2009/28 [2] and EU RED Directive 2018/2001 [3] that need significant reduction on net greenhouse gases (GHG) from biomass origin row material respect fossil fuels. At least 70% of GHG would be avoided fromits main fossil counterpart of the intern combustion engine (ICE), in the worst and current scenario of the emission factor of the electrical grid of Argentina in the point of use that is about 0.40 kg CO2eq/kWh with energy and environmental load of 100% in the allocation factor in the hydrogen production stage of the LCA analysis. (C) 2021 Hydrogen Energy Publications LLC. Published by Elsevier Ltd. All rights reserved.</t>
  </si>
  <si>
    <t>Int. J. Hydrog. Energy</t>
  </si>
  <si>
    <t>10.1016/j.ijhydene.2021.01.065</t>
  </si>
  <si>
    <t>Use od eol wood for H2 production</t>
  </si>
  <si>
    <t>Crude oil and Soy biodiesel</t>
  </si>
  <si>
    <t>Recycled wood residues</t>
  </si>
  <si>
    <t>gCO2eq/MJ</t>
  </si>
  <si>
    <t>Argentina</t>
  </si>
  <si>
    <t>Use of SRC wood for H2 production</t>
  </si>
  <si>
    <t>SRC poplar</t>
  </si>
  <si>
    <t>RESOURCES-BASEL</t>
  </si>
  <si>
    <t>Ostrya carpinifolia; ecosystem assessment; life cycle assessment; stove; fireplace; bioenergy</t>
  </si>
  <si>
    <t>LIFE-CYCLE ASSESSMENT; GLOBAL-SCALE; BIODIVERSITY; IMPACT; EMISSIONS; FORESTRY; OPTIMIZATION; MANAGEMENT; CONVERSION; SERVICES</t>
  </si>
  <si>
    <t>Ilari, A; Fabrizi, S; Pedretti, EF</t>
  </si>
  <si>
    <t>European Hophornbeam Biomass for Energy Application: Influence of Different Production Processes and Heating Devices on Environmental Sustainability</t>
  </si>
  <si>
    <t>Environmental sustainability has recently shifted towards biodiversity protection via governmental and intergovernmental initiatives (e.g., the UN Millennium Ecosystem Assessment, MA). The life cycle assessment, the widespread method for assessing environmental sustainability, was not created to evaluate impacts on biodiversity. However, several authors recognize its ability to estimate biodiversity loss drivers (impact indices on land use change and ecosystem). The study aims to apply LCA to the forest sector, precisely to the wood-energy chain of Hophornbeam, to cover suggestions of the MA for the biodiversity impact assessment. Six different scenarios for stove (3) and fireplace (3) wood production were analyzed, evaluating two baselines and four alternative scenarios, including sensitivity analyses related to transport distances for the raw materials. The functional unit is 1 MJ of energy. The fireplace combustion scenarios are relatively more sustainable than the stove ones are (2.95-3.21% less). The global warming potential (around 3 g CO2 eq/MJ) is consistent with current European directives on the sustainability of biofuels and scientific literature. The scenarios showed similarities regarding the impact of the categories related to MA drivers. Although biodiversity is protected by limiting forest management, some authors argue that for some species (e.g., Hophornbeam), a rational tree felling could produce biofuels, increasing biodiversity.</t>
  </si>
  <si>
    <t>Resources-Basel</t>
  </si>
  <si>
    <t>10.3390/resources11020011</t>
  </si>
  <si>
    <t>fireplace technology</t>
  </si>
  <si>
    <t>BS2 stove</t>
  </si>
  <si>
    <t>AS firewood</t>
  </si>
  <si>
    <t>functional unit</t>
  </si>
  <si>
    <t>tons dried logs</t>
  </si>
  <si>
    <t>table6b</t>
  </si>
  <si>
    <t>AS stove</t>
  </si>
  <si>
    <t>BS1 firewood</t>
  </si>
  <si>
    <t>BS1 stove</t>
  </si>
  <si>
    <t>climate change mitigation; forest fellings; carbon stock; policy implications; ToSIA; EFISCEN</t>
  </si>
  <si>
    <t>CLIMATE-CHANGE; MARKET BALANCE; MANAGEMENT; RESOURCES; BIOMASS; FUTURE; STOCKS</t>
  </si>
  <si>
    <t>Jasinevicius, G; Lindner, M; Verkerk, PJ; Aleinikovas, M</t>
  </si>
  <si>
    <t>Assessing Impacts of Wood Utilisation Scenarios for a Lithuanian Bioeconomy: Impacts on Carbon in Forests and Harvested Wood Products and on the Socio-Economic Performance of the Forest-Based Sector</t>
  </si>
  <si>
    <t>Climate change and transition towards a bioeconomy are seen as both challenges and opportunities for the forest-based sector in Europe. Transition towards a bioeconomy will in most cases rely on intensified use of renewable resources and/or advancement in technology. However, how can the intensified use of renewable resources be combined with climate change mitigation measures to increase carbon sinks in the forest-based sector? Additionally, what are the possible socio-economic and environmental impacts of intensified wood use? In this study, we examined the impacts of increased wood utilisation in Lithuania. The objective of this study was to assess the effects of increased domestic wood utilisation on: (i) employment; (ii) the economic performance of the sector; (iii) carbon in forest biomass and soil; and (iv) carbon in harvested wood products (HWP). The system boundaries were set in accordance with international greenhouse gas reporting to include only domestic wood flows. We assessed alternative wood utilisation scenarios using a forest resource model and a tool to assess sustainability impacts of (wood) value chains, using country specific data on wood (carbon) flows. Our results indicate that increased wood use could lead to trade-offs between six selected indicators. Opportunities for employment and the economic performance of the forest-based sector improved in all scenarios due to increased wood utilisation. However, when forest fellings increased, the carbon stored in forests decreased, the carbon stored in HWP increased, but overall the total carbon stored in forests and HWP decreased. When considering also additional substitution effects until the year 2100, the scenario with reduced wood exports generated larger total climate change mitigation effects than the baseline. Our results suggest that increased wood utilisation might support Lithuania's bioeconomy through increased socio-economic benefits. National positive climate change mitigation effects could be gained only if additional actions to utilise more domestic wood for long-life HWP will be taken.</t>
  </si>
  <si>
    <t>10.3390/f8040133</t>
  </si>
  <si>
    <t>Baseline + 20% harvest by 2040</t>
  </si>
  <si>
    <t>Lithuania</t>
  </si>
  <si>
    <t>Sathre, R.; O’Connor, J. A Synthesis of Research on Wood Products and Greenhouse Gas Impacts, 2nd ed.; Technical Report TR-19R; FPInnovations: Vancouver, BC, Canada, 2010; p. 117.</t>
  </si>
  <si>
    <t>INTERNATIONAL JOURNAL OF ENVIRONMENTAL RESEARCH AND PUBLIC HEALTH</t>
  </si>
  <si>
    <t>circular economy; Life cycle assessment; environmental hotspots; impact categories; sustainable strategy</t>
  </si>
  <si>
    <t>FURNITURE; INVENTORY</t>
  </si>
  <si>
    <t>Jia, LL; Chu, J; Ma, L; Qi, XM; Kumar, A</t>
  </si>
  <si>
    <t>Life Cycle Assessment of Plywood Manufacturing Process in China</t>
  </si>
  <si>
    <t>Life cycle assessment (LCA) has been an important issue in the development of a circular economy. LCA is used to identify environmental impacts and hotspots associated with plywood manufacturing. Based on our results and a literature review of LCA studies involving plywood, a sustainable and environmentally friendly scenario was proposed for the plywood processing industry to improve environmental performance and sustainability. This study covers the life cycle of plywood production from a cradle-to-gate perspective, including raw material preparation and plywood manufacturing and processing to analysis of environment impacts and hotspots. Analysis of abiotic depletion (ADP), acidification effect (AP), primary energy depletion (PED), freshwater eutrophication (EP), global warming potential (GWP), and particulate matter (RI) were selected as major impact categories in this study. All data were obtained from on-site measurements (plywood production) and investigations of the Eco-invent database and CLCD database (upstream data of materials and energy). These data can be ignored when environmental contributions comprise less than 0.001% of environmental impact and auxiliary material quality is less than 0.01% of total raw material consumption. An eco-design strategy with eco-alternatives was proposed: pyrolysis bio-oil can be used to produce green resin to replace traditional phenolic formaldehyde (PF) resin to decrease the impacts of GWP, PED, AP, PM, and especially ADP and EP. A new technology of gluing green wood was used to replace conventional plywood production technology; wood waste could undergo a gasification process to produce resultant gas rather than combusting. Plywood was also compared with other wood-based panels in China to identify additional scenarios to improve environmental sustainability.</t>
  </si>
  <si>
    <t>Int. J. Environ. Res. Public Health</t>
  </si>
  <si>
    <t>10.3390/ijerph16112037</t>
  </si>
  <si>
    <t>Using bio oil instead of petrochemical resin for plywood</t>
  </si>
  <si>
    <t>petrochemical resin</t>
  </si>
  <si>
    <t>bio oil</t>
  </si>
  <si>
    <t>table &amp; fig4</t>
  </si>
  <si>
    <t>Using new technology of gluing wood</t>
  </si>
  <si>
    <t>dry wood gluing</t>
  </si>
  <si>
    <t>green wood gluing</t>
  </si>
  <si>
    <t>Secondary forest; Rubber plantation; Land use; Carbon sequestration; Central Africa; Tropical agriculture; Gabon</t>
  </si>
  <si>
    <t>AGRICULTURAL EXPANSION; HEVEA-BRASILIENSIS; BURN AGRICULTURE; SOIL FERTILITY; STOCKS; SEQUESTRATION; FOREST; LANDSCAPE; BIOMASS; DEFORESTATION</t>
  </si>
  <si>
    <t>Jong, YW; Beirne, C; Meunier, Q; Biyogo, APM; Mbele, AE; Stewart, CG; Poulsen, JR</t>
  </si>
  <si>
    <t>Expected carbon emissions from a rubber plantation in Central Africa</t>
  </si>
  <si>
    <t>The development of agriculture on degraded lands is increasingly seen as a strategy to boost food availability and economic productivity while minimizing environmental degradation and loss of forests. To understand the effects of agricultural production on forest carbon, we quantify the aboveground carbon (AGC) of a degraded forest in northeast Gabon (the Olam Rubber Gabon concession) designated for development to a rubber plantation. Combining field measurements from 19 1-ha tree plots and aerial LiDAR, we estimate forest AGC stocks and emissions under four development scenarios: no development, 30-year rubber rotation, extended rubber rotation (replanting of plantation in stages at 30 and 40 years), and 30-year oil palm rotation. On average, the degraded forest in the study area stored 123.8 Mg C ha(-1), a mean AGC lower than the Gabon average (141.6 Mg C h(a-)1) but substantially higher than the 75 Mg C ha(-1) threshold recommended by the High Carbon Stock protocol. Converting secondary forest to plantation might incur high environmental opportunity costs from lost carbon sequestration through forest succession and growth. In this study, we estimate that a rubber plantation can sequester similar amounts of AGC as secondary forest by the end of a 30-year rotation; however, the timeaveraged AGC of regenerating secondary forests under no development would be 184% higher than a mature rubber plantation with a 30-year rotation, 169% higher than an extended rubber rotation, and 512% higher than a 30-year oil palm rotation. When degraded forest is developed for agriculture, measures should be taken to avoid emissions and prolong carbon retention. We specifically estimate carbon retention from extended harvest rotations and conserving high carbon value areas as set-asides and highlight recommendations from the litera ture such as minimizing soil disturbance and creating rubber timber products (e.g. furniture). To minimize carbon emissions from agriculture, crop plantation area should be minimized at national and regional scales in highly forested countries, and new plantations should be coupled explicitly with effective forest restoration actions, through suitable regulation and planning, to mitigate or compensate for their climate and biodiversity impacts.</t>
  </si>
  <si>
    <t>10.1016/j.foreco.2020.118668</t>
  </si>
  <si>
    <t>Natural Forest to Rubber Plantation (30-yr rotation)</t>
  </si>
  <si>
    <t>No Harvest</t>
  </si>
  <si>
    <t>30-year rubber plantation</t>
  </si>
  <si>
    <t>MgC_per_hectare</t>
  </si>
  <si>
    <t>Gabon</t>
  </si>
  <si>
    <t>Natural Forest to Palm Oil Plantation (30-yr rotation)</t>
  </si>
  <si>
    <t>30-year oil plam rotation</t>
  </si>
  <si>
    <t>Natural Forest to Rubber Plantation (Extended rotation)</t>
  </si>
  <si>
    <t>Extended rotation rubber plantation</t>
  </si>
  <si>
    <t>RENEWABLE &amp; SUSTAINABLE ENERGY REVIEWS</t>
  </si>
  <si>
    <t>Energy efficiency; GWP; PEI; Resources efficiency; Materials</t>
  </si>
  <si>
    <t>MATERIAL FLOW-ANALYSIS; RESIDENTIAL BUILDINGS; ENVIRONMENTAL-IMPACT; ASSESSMENT LCA; DEMAND; CONSTRUCTION; EMISSIONS</t>
  </si>
  <si>
    <t>Kovacic, I; Reisinger, J; Honic, M</t>
  </si>
  <si>
    <t>Life Cycle Assessment of embodied and operational energy for a passive housing block in Austria</t>
  </si>
  <si>
    <t>The creation of a sustainable built environment is related not only to energy-efficient construction but also to the efficient use of materials, in order to minimise environmental impacts and avoid further depletion of natural resources. However, passive or zero-energy buildings, which optimise operational energy, require additional materials (e.g. insulation) or the installation of technologies (e.g. mechanical ventilation) which further increase the embodied energy of the building and related environmental emissions. This paper questions the environmental impact and benefits of adding materials and technologies in order to reduce the energy consumption of a building by evaluating the embodied and operational energy of a case study of a passive housing block in Austria. The analysis is carried out using real data, based on energy monitoring carried out over three years, and on original documentation of the materials and construction of the building. Applying a Life Cycle Assessment (LCA) method, the environmental impacts of the building materials, the heating, ventilation and air-conditioning (HVAC) technologies, and the operational energy were assessed and compared for time scenarios of 20, 50 and 80 years using the environmental indicators: Global Warming Potential (GWP); Primary Energy Intensity (PEI); and Acidification Potential (AP). Two different variants of the as built building were modelled and investigated in terms of their ecological impacts. It was found that distribution pipes for building services apparently contributes 10% of the GWP, and the optimisation using timber instead of concrete is advantageous in terms of minimising GWP and AP, but is less effective in terms of PEI. Finally, the apartment block as built to a passive house standard was compared with a low-energy equivalent building in order to question whether the increased input of materials for the passive house is justified in terms of the reduction of the energy demand during the operation of the building. It was found that the passive house performs better in terms of environmental impacts, but not significantly so (max. GWP saving of 7% in the 80 years scenario). The reasons are multifaceted, and include additional heating of the apartments by the occupants, uncontrolled window opening patterns and increased hours of occupancy.</t>
  </si>
  <si>
    <t>Renew. Sust. Energ. Rev.</t>
  </si>
  <si>
    <t>Review</t>
  </si>
  <si>
    <t>10.1016/j.rser.2017.07.058</t>
  </si>
  <si>
    <t xml:space="preserve">Use of Timber instead of Concrete to build passive house </t>
  </si>
  <si>
    <t>Concrete house</t>
  </si>
  <si>
    <t>Timber House</t>
  </si>
  <si>
    <t>kg CO2/m2 of house floor</t>
  </si>
  <si>
    <t>Coy</t>
  </si>
  <si>
    <t>CROATIAN JOURNAL OF FOREST ENGINEERING</t>
  </si>
  <si>
    <t>forest operations; sustainable forestry; close-to-nature; environmental impacts; greenhouse gas emissions</t>
  </si>
  <si>
    <t>GREENHOUSE-GAS EMISSIONS; LIFE-CYCLE ASSESSMENT; WOOD; CONSUMPTION; MANAGEMENT; INVENTORY; ROUNDWOOD; ENERGY; LCA</t>
  </si>
  <si>
    <t>Labelle, ER; Lemmer, KJ</t>
  </si>
  <si>
    <t>Selected Environmental Impacts of Forest Harvesting Operations with Varying Degree of Mechanization</t>
  </si>
  <si>
    <t>Climate change affects forest ecosystems, impacting timber production and eco-services. Conversely, sustainable forest management has been identified as a means to help mitigate carbon dioxide emissions, a greenhouse gas and contributor to climate change, while also maximizing multiuse benefits through close-to-nature silviculture. In this study, a life cycle assessment was performed on forest harvesting operations at three research sites to provide real-world understanding of the selected environmental impacts associated with harvesting systems typical of Germany: motor-manual (chainsaw and forest tractor), semi-mechanized (single-grip harvester, chainsaw, and forwarder), and fully-mechanized (single-grip harvester and forwarder). Environmental impact categories assessed included greenhouse gas emissions, particulate matter emissions, and non-renewable energy consumption. Results from the three research sites were estimated on a machine basis. The semi-mechanized system resulted in the lowest environmental impact, the majority of which was attributed to felling and processing operations. Next, the environmental impacts were estimated for a complete rotation period and compared amongst the different harvesting systems. According to results, semi-mechanized harvesting systems had the lowest impact over the full rotation period as well as for thinning treatments when compared to motor-manual and fully-mechanized systems. The fully-mechanized system performed the best for final felling treatments. Considering variability between the research sites as well as the system boundary assessed, a diversified approach to harvesting operations may be considered, integrating semi-mechanized and fully-mechanized systems for different treatments throughout the rotation period.</t>
  </si>
  <si>
    <t>Croat. J. For. Eng.</t>
  </si>
  <si>
    <t>10.5552/crojfe.2019.537</t>
  </si>
  <si>
    <t>harvesting operations</t>
  </si>
  <si>
    <t>motor-manual (MM)</t>
  </si>
  <si>
    <t>fully-mechanized (FM)  (Table 8)</t>
  </si>
  <si>
    <t>kg CO2-eq/m3</t>
  </si>
  <si>
    <t>semi-mechanized (SM) (Table 8)</t>
  </si>
  <si>
    <t>LCA; LCCA; mass timber building; environmental impacts; carbon analysis; cross-laminated timber</t>
  </si>
  <si>
    <t>WOOD PRODUCTS; CONSTRUCTION; CONCRETE; INDUSTRY; BIOMASS; CARBON</t>
  </si>
  <si>
    <t>Liang, SB; Gu, HM; Bergman, R</t>
  </si>
  <si>
    <t>Environmental Life-Cycle Assessment and Life-Cycle Cost Analysis of a High-Rise Mass Timber Building: A Case Study in Pacific Northwestern United States</t>
  </si>
  <si>
    <t>Global construction industry has a huge influence on world primary energy consumption, spending, and greenhouse gas (GHGs) emissions. To better understand these factors for mass timber construction, this work quantified the life cycle environmental and economic performances of a high-rise mass timber building in U.S. Pacific Northwest region through the use of life-cycle assessment (LCA) and life-cycle cost analysis (LCCA). Using the TRACI impact category method, the cradle-to-grave LCA results showed better environmental performances for the mass timber building relative to conventional concrete building, with 3153 kg CO2-eq per m(2) floor area compared to 3203 CO2-eq per m(2) floor area, respectively. Over 90% of GHGs emissions occur at the operational stage with a 60-year study period. The end-of-life recycling of mass timber could provide carbon offset of 364 kg CO2-eq per m(2) floor that lowers the GHG emissions of the mass timber building to a total 12% lower GHGs emissions than concrete building. The LCCA results showed that mass timber building had total life cycle cost of $3976 per m(2) floor area that was 9.6% higher than concrete building, driven mainly by upfront construction costs related to the mass timber material. Uncertainty analysis of mass timber product pricing provided a pathway for builders to make mass timber buildings cost competitive. The integration of LCA and LCCA on mass timber building study can contribute more information to the decision makers such as building developers and policymakers.</t>
  </si>
  <si>
    <t>10.3390/su13147831</t>
  </si>
  <si>
    <t>Landfilling at the end of life</t>
  </si>
  <si>
    <t>0% recycled (Fig 5)</t>
  </si>
  <si>
    <t>100% recycled (Fig 5)</t>
  </si>
  <si>
    <t>kg CO2-eq / m2 floor area</t>
  </si>
  <si>
    <t>25% recycled (Fig 5)</t>
  </si>
  <si>
    <t>50% recycled (Fig 5)</t>
  </si>
  <si>
    <t>75% recycled (Fig 5)</t>
  </si>
  <si>
    <t>Source of raw material, local processing and transport</t>
  </si>
  <si>
    <t>Current</t>
  </si>
  <si>
    <t>S4 (Fig, 4)</t>
  </si>
  <si>
    <t>S3 (Fig. 4)</t>
  </si>
  <si>
    <t>S1 (Fig. 4)</t>
  </si>
  <si>
    <t>S2 (Fig. 4)</t>
  </si>
  <si>
    <t>carbon footprint; life cycle analysis; harvested wood products; carbon flow</t>
  </si>
  <si>
    <t>ENERGY; INVENTORY; SEQUESTRATION; EMISSIONS; RESOURCES; IRELAND; BALANCE; BUDGET; INPUTS; TERMS</t>
  </si>
  <si>
    <t>Lun, F; Liu, MC; Zhang, D; Li, WH; Liu, JG</t>
  </si>
  <si>
    <t>Life Cycle Analysis of Carbon Flow and Carbon Footprint of Harvested Wood Products of Larix principis-rupprechtii in China</t>
  </si>
  <si>
    <t>Larix principis-rupprechtii is a native tree species in North China with a large distribution; and its harvested timbers can be used for producing wood products. This study focused on estimating and comparing carbon flows and carbon footprints of different harvested wood products (HWPs) from Larix principis-ruppechtii based on the life cycle analysis (from seedling cultivation to HWP final disposal). Based on our interviews and surveys, the system boundary in this study was divided into three processes: the forestry process, the manufacturing process, and the use and disposal process. By tracking carbon flows of HWPs along the entire life cycle, we found that, for one forest rotation period, a total of 26.81 tC/ha sequestered carbon was transferred into these HWPs, 66.2% of which were still stored in the HWP when the rotation period had ended; however, the HWP carbon storage decreased to 0.25 tC/ha (only 0.9% left) in the 100th year after forest plantation. The manufacturing process contributed more than 90% of the total HWP carbon footprint, but it was still smaller than the HWP carbon storage. In terms of the carbon storage and the carbon footprint, construction products had the largest net positive carbon balance compared to furniture and panel products. In addition, HWP are known to have a positive impact on global carbon mitigation because they can store parts of the sequestered carbon for a certain period of time and they have a substitution effect on carbon mitigation. Furthermore, there still exist great opportunities for carbon mitigation from HWPs through the use of cleaner energy and increasing the utilization efficiency of wood fuel.</t>
  </si>
  <si>
    <t>10.3390/su8030247</t>
  </si>
  <si>
    <t>Wood product</t>
  </si>
  <si>
    <t>furniture</t>
  </si>
  <si>
    <t>panel</t>
  </si>
  <si>
    <t>kgC/m3</t>
  </si>
  <si>
    <t>Ref 30, 31 and 32</t>
  </si>
  <si>
    <t>BIOFUELS BIOPRODUCTS &amp; BIOREFINING-BIOFPR</t>
  </si>
  <si>
    <t>sustainable biomass potential; sustainability criteria; wood pellet price; GHG emissions; energy policy; supply chain analysis; sourcing country; biomass trade</t>
  </si>
  <si>
    <t>LAND-USE; BIOENERGY PRODUCTION; ENERGY POTENTIALS; ORGANIC-CARBON; RESIDUES; AVAILABILITY; SYSTEMS; REMOVAL; PELLETS; CROP</t>
  </si>
  <si>
    <t>Mai-Moulin, T; Visser, L; Fingerman, KR; Elbersen, W; Elbersen, B; Nabuurs, GJ; Fritsche, UR; Colmenar, ID; Rutz, D; Diaz-Chavez, RA; Roozen, A; Weck, M; Iriarte, L; Pelkmans, L; Gonzalez, DS; Janssen, R; Junginger, M</t>
  </si>
  <si>
    <t>Sourcing overseas biomass for EU ambitions: assessing net sustainable export potential from various sourcing countries</t>
  </si>
  <si>
    <t>Low-cost sustainable biomass availability in the European Union may not be able to meet increasing demand; exploring the option of importing biomass is therefore imperative for the years to come. This article assesses sustainable biomass export potential from Brazil, Colombia, Indonesia, Kenya, Ukraine, and the United States by applying a number of sustainability criteria. Only biomass types with the highest potential are selected, to take advantage of economies of scale, e.g. pulpwood, wood waste, and residues in the United States, and agricultural residues in Ukraine. This study found that, except for the United States, pellet markets in the sourcing regions are largely undeveloped. The export potential depends strongly on pellet mill capacity and assumed growth rates in the pellet industry. Results show that the United States, Ukraine, Indonesia, and Brazil offer the highest biomass export potential. In the Business As Usual 2030 scenario, up to 204 PJ could potentially be mobilized; in the High Export scenario this could increase to 1423 PJ, with 89% of the potential being available for costs ranging from 6.4 to 15 euro/GJ. These potentials meet the European Commission requirements for a 70% reduction in greenhouse gas emissions set in the Renewable Energy Directive. The total export potentials do not reflect the net possible import potentials to the European Union, as biomass could be imported to other countries where there is a demand for it, where less strict sustainability requirements are applied, and which are proximate to the sourcing regions, notably South Korea, Japan, and China. (c) 2018 The Authors. Biofuels, Bioproducts and Biorefining published by Society of Chemical Industry and John Wiley &amp; Sons, Ltd.</t>
  </si>
  <si>
    <t>Biofuels Bioprod. Biorefining</t>
  </si>
  <si>
    <t>10.1002/bbb.1853</t>
  </si>
  <si>
    <t>biomass harvest</t>
  </si>
  <si>
    <t>Min supply potential</t>
  </si>
  <si>
    <t>Max supply potential</t>
  </si>
  <si>
    <t>kg CO2/GJ</t>
  </si>
  <si>
    <t>Ukraine</t>
  </si>
  <si>
    <t>removed Colombia, Kenya and ìndonesia because no forest products. Changed driver to efficiency because the reported change referes to different suply potentials</t>
  </si>
  <si>
    <t>life cycle assessment (LCA); cross-laminated timber (CLT); cradle-to-installation; wooden building; environmentally conscious design; biogenic carbon; construction</t>
  </si>
  <si>
    <t>LIFE-CYCLE ASSESSMENT; EMISSIONS; LCA</t>
  </si>
  <si>
    <t>Nakano, K; Karube, M; Hattori, N</t>
  </si>
  <si>
    <t>Environmental Impacts of Building Construction Using Cross-laminated Timber Panel Construction Method: A Case of the Research Building in Kyushu, Japan</t>
  </si>
  <si>
    <t>In Japan, there has been an increase in the number of buildings built using cross-laminated timber (CLT) in order to utilize the abundant forest resources in the country. However, no studies have evaluated the environmental impact of the construction of CLT buildings in Japan. This study evaluates the environmental impacts from the start of construction to the completion of a real CLT building in Kumamoto city, Kyushu region, southern Japan. We investigated the input of the materials and energy used in the construction of the building. The environmental impact categories evaluated include climate change, ozone layer depletion, eutrophication, acidification, and photochemical oxidation. We found that the concrete used for the foundations, and the cement-based soil stabilizer used for ground reinforcement accounted for 42% of the greenhouse gas (GHG) emissions. The construction site was previously used as a seedbed field, necessitating ground reinforcement. Furthermore, the large foundations were designed in order to raise the low height of the wooden structure from the ground level. Developing and applying methods with lower environmental impacts for ground reinforcement and building foundations is recommended. In addition, we found that by using biomass-derived electricity in CLT manufacturing, the environmental impacts of CLT manufacturing could be reduced, thus reducing the environmental impacts of the entire building. The biogenic carbon fixed in the wooden parts during the building usage accounted for 32% of the total GHG emissions of the building construction. Since this biogenic carbon will be released to the atmosphere at the end-of-life stage of the building, a long-term usage of the CLT buildings and/or reuse of the CLT is recommended.</t>
  </si>
  <si>
    <t>10.3390/su12062220</t>
  </si>
  <si>
    <t>Changes in energy production for CLT manufacturing</t>
  </si>
  <si>
    <t xml:space="preserve">grid electricity and steam provided by biomass fuel </t>
  </si>
  <si>
    <t>cogeneration system using biomass fuel</t>
  </si>
  <si>
    <t>GHG emissions</t>
  </si>
  <si>
    <t>t/CO2e</t>
  </si>
  <si>
    <t>ANNALS OF THE ASSOCIATION OF AMERICAN GEOGRAPHERS</t>
  </si>
  <si>
    <t>carbon labels; emissions; land use change; life cycle assessment; paper industry</t>
  </si>
  <si>
    <t>GREENHOUSE-GAS EMISSIONS; LIFE-CYCLE INVENTORY; OLD-GROWTH FORESTS; LAND-USE; IMPACT ASSESSMENT; POLITICS; GOVERNANCE; BIOFUELS; STORAGE</t>
  </si>
  <si>
    <t>Newell, JP; Vos, RO</t>
  </si>
  <si>
    <t>Papering Over Space and Place: Product Carbon Footprint Modeling in the Global Paper Industry</t>
  </si>
  <si>
    <t>We are witnessing an explosion in carbon calculators for estimating the greenhouse gas (GHG) emissions (i.e., carbon footprint) of households, buildings, cities, and processes. Seeking to capitalize on the emergent ogreeno consumer, corporations are leading the next iteration in carbon footprinting: consumer products. This potentially lucrative low-carbon frontier, however, faces steep challenges due to complexities of scale, largely a function of the number of actors and geographies involved in globalized commodity and energy networks, and scope, which increasingly demands inclusion of emissions due to land use change (e.g., biofuel production, timber harvest, livestock grazing, mining). Life cycle assessment (LCA)the principal method behind product-level GHG emissions footprint protocolsfrequently avoids these challenges by narrowly delineating system boundaries, thereby excluding the omessinesso of space and place. Through a comparative model of energy sources and emissions in the globalized paper industry, this article reveals how complexities associated with geographic variation and land use change create indeterminacy in footprints based on these protocols. Using industry and trade data, the authors develop geographic information system transportation and energy models to map the globally dispersed pulp supply networks and to rescale Intergovernmental Panel on Climate Change GHG inventory guidelines to include carbon loss associated with land use change in the carbon footprint of coated paper. Given their integrative abilities to conceptualize and model coupled human-ecological systems, sophisticated understanding of time-space dynamics and critical theoretical insights, geographers have much to contribute to the LCA and product carbon footprinting enterprise, which to date has been largely the intellectual domain of engineers.</t>
  </si>
  <si>
    <t>Ann. Assoc. Am. Geogr.</t>
  </si>
  <si>
    <t>10.1080/00045608.2011.567929</t>
  </si>
  <si>
    <t>Land use change USA</t>
  </si>
  <si>
    <t>Scenario 2 (forests converted to plantation forest)</t>
  </si>
  <si>
    <t>Scenario 1 (forestland-to-annual-cropland)</t>
  </si>
  <si>
    <t>One metric of finished paper</t>
  </si>
  <si>
    <t>See onglet Newell_2021</t>
  </si>
  <si>
    <t xml:space="preserve">tCO2 per finished metric ton </t>
  </si>
  <si>
    <t>Land use change China</t>
  </si>
  <si>
    <t>Same land use but different importation between two countries</t>
  </si>
  <si>
    <t>Scenario 1 - USA</t>
  </si>
  <si>
    <t>Scenario 1 - China</t>
  </si>
  <si>
    <t>Scenario 2 - China</t>
  </si>
  <si>
    <t>Scenario 2 - USA</t>
  </si>
  <si>
    <t>Life Cycle Assessment; Dynamic LCA; Wood construction; Biogenic carbon dioxide; Climate impact assessment</t>
  </si>
  <si>
    <t>LIFE-CYCLE ASSESSMENT; CARBON SEQUESTRATION; ENERGY BUILDINGS; LCA; SECTOR; WOOD</t>
  </si>
  <si>
    <t>Penaloza, D; Erlandsson, M; Falk, A</t>
  </si>
  <si>
    <t>Exploring the climate impact effects of increased use of bio-based materials in buildings</t>
  </si>
  <si>
    <t>Whenever Life Cycle Assessment (LCA) is used to assess the climate impact of buildings, those with high content of biobased materials result with the lowest impact. Traditional approaches to LCA fail to capture aspects such as biogenic carbon exchanges, their timing and the effects from carbon storage. This paper explores a prospective increase of biobased materials in Swedish buildings, using traditional and dynamic LCA to assess the climate impact effects of this increase. Three alternative designs are analysed; one without biobased material content, a CLT building and an alternative timber design with increased bio. Different scenario setups explore the sensitivity to key assumptions such as the building's service life, end-of-life scenario, setting of forest sequestration before (growth) or after (regrowth) harvesting and time horizon of the dynamic LCA. Results show that increasing the biobased material content in a building reduces its climate impact when biogenic sequestration and emissions are accounted for using traditional or dynamic LCA in all the scenarios explored. The extent of these reductions is significantly sensitive to the end-of-life scenario assumed, the timing of the forest growth or regrowth and the time horizon of the integrated global warming impact in a dynamic LCA. A time horizon longer than one hundred years is necessary if biogenic flows from forest carbon sequestration and the building's life cycle are accounted for. Further climate impact reductions can be obtained by keeping the biogenic carbon dioxide stored after end-of-life or by extending the building's service life, but the time horizon and impact allocation among different life cycles must be properly addressed. (C) 2016 Elsevier Ltd. All rights reserved.</t>
  </si>
  <si>
    <t>10.1016/j.conbuildmat.2016.08.041</t>
  </si>
  <si>
    <t>Wood material + extended lifespan of material</t>
  </si>
  <si>
    <t>Concrete house + extended lifespan</t>
  </si>
  <si>
    <t>kgCO2 per m2 of living area</t>
  </si>
  <si>
    <t xml:space="preserve">Sweden </t>
  </si>
  <si>
    <t>Wood material +landfilling</t>
  </si>
  <si>
    <t>Concrete house + landfilling</t>
  </si>
  <si>
    <t>Wood material and indoor design + extended lifespan of material</t>
  </si>
  <si>
    <t>Wood material and indoor design+ landfilling</t>
  </si>
  <si>
    <t>Wood material + Dynamic LCA (forest growth)</t>
  </si>
  <si>
    <t xml:space="preserve">Concrete house + forest growth </t>
  </si>
  <si>
    <t>Wood material and indoor design + Dynamic LCA (forest growth)</t>
  </si>
  <si>
    <t>Wood material in construction</t>
  </si>
  <si>
    <t xml:space="preserve">Concrete house </t>
  </si>
  <si>
    <t>Wood material in construction and indoor design</t>
  </si>
  <si>
    <t>C sequestration; Tree biomass; Soil organic matter; CO(2)Fix</t>
  </si>
  <si>
    <t>SOIL ORGANIC-CARBON; LAND-USE CHANGE; FOREST MANAGEMENT; EUCALYPTUS-NITENS; RADIATA PINE; ABOVEGROUND BIOMASS; EMPIRICAL-MODELS; WOOD PRODUCTS; PLANTATIONS; SEQUESTRATION</t>
  </si>
  <si>
    <t>Perez-Cruzado, C; Mohren, GMJ; Merino, A; Rodriguez-Soalleiro, R</t>
  </si>
  <si>
    <t>Carbon balance for different management practices for fast growing tree species planted on former pastureland in southern Europe: a case study using the CO(2)Fix model</t>
  </si>
  <si>
    <t>Although it is known that forestry mitigates carbon emissions to some degree, there is still a need to investigate the extent to which changes in forest management regimes affect the carbon cycle. In a climate-change scenario, forest management schemes must be optimized to maximize product supply and minimize environmental impacts. It is difficult to predict the mitigating effects of different silvicultural regimes because of differences in the growth characteristics of each species, destination of products, and industrial efficiencies. The objective of the present study was to use a modeling approach to evaluate the effects of different management regimes for fast growing species in southern temperate Europe in relation to mitigating climate change. A comprehensive study was carried out considering the C sink effect in biomass, soil and wood products, the substitutive effect of bioenergy, and particular conditions of the forest industry in southern Europe. The mechanistic CO(2)Fix model was parameterized for three species used in fast growing plantations in southern Europe: Eucalyptus globulus, Eucalyptus nitens, and Pinus radiata. Data from 120 plots covering the complete age range observed for each species were used to calculate changes in C stocks in aboveground biomass and organic and mineral soil and to validate the parameterized model for these conditions. Additional information about the efficiency of forest industry processes in the region was also considered. A strong bias in soil organic carbon estimation was observed and attributed to overestimations in the decomposition rates of soil compartments. Slight bias was also observed in the carbon biomass estimation when forest-specific yield models were used to simulate afforestation over former pastureland. As regards the model sensitivity, the Yasso model was strongly robust to turnover of leaves, roots, and branches. The chip wood production alternative yielded higher carbon stock in biomass and products, as well as in bioenergy substitution effect, than the sawn wood production alternative. Nevertheless, the sawn wood alternative was the most effective as regards the C stock in the soil. Site index had an important effect for all species, alternatives, and compartments, and mitigating effects increased with site index. Harvesting of clearcutting and thinning slash for bioenergy use led to a slight decrease in the soil carbon equilibrium but significantly increased the mitigation effect through bioenergy use.</t>
  </si>
  <si>
    <t>10.1007/s10342-012-0609-6</t>
  </si>
  <si>
    <t xml:space="preserve">Species change </t>
  </si>
  <si>
    <t>E. globus (B-H)</t>
  </si>
  <si>
    <t>E. nitens (B-H)</t>
  </si>
  <si>
    <t>Table 9</t>
  </si>
  <si>
    <t>Mg C ha-1</t>
  </si>
  <si>
    <t>Spain</t>
  </si>
  <si>
    <t>P. radiata (A-H)</t>
  </si>
  <si>
    <t>Use the wood for bioenergy instead of timber</t>
  </si>
  <si>
    <t>P. radiata (B-H)</t>
  </si>
  <si>
    <t>E. nitens (A-H)</t>
  </si>
  <si>
    <t xml:space="preserve">E. globus (A-H) </t>
  </si>
  <si>
    <t>50% of the slash is harvested</t>
  </si>
  <si>
    <t>E. globus (A-H)</t>
  </si>
  <si>
    <t>E. globus (A-H) 50% slash</t>
  </si>
  <si>
    <t>E. nitens (A-H) 50% slash</t>
  </si>
  <si>
    <t>P. radiata (A-H) 50% slash</t>
  </si>
  <si>
    <t>CLIMATE-CHANGE; STOCK CHANGES; MODEL; IMPACTS; BOREAL; BIODIVERSITY; TEMPERATE; INVENTORY; DYNAMICS; CBM-CFS3</t>
  </si>
  <si>
    <t>Pilli, R; Grassi, G; Kurz, WA; Fiorese, G; Cescatti, A</t>
  </si>
  <si>
    <t>The European forest sector: past and future carbon budget and fluxes under different management scenarios</t>
  </si>
  <si>
    <t>The comprehensive analysis of carbon stocks and fluxes of managed European forests is a prerequisite to quantify their role in biomass production and climate change mitigation. We applied the Carbon Budget Model (CBM) to 26 European countries, parameterized with country information on the historical forest age structure, management practices, harvest regimes and the main natural disturbances. We modeled the C stocks for the five forest pools plus harvested wood products (HWPs) and the fluxes among these pools from 2000 to 2030. The aim is to quantify, using a consistent modeling framework for all 26 countries, the main C fluxes as affected by land-use changes, natural disturbances and forest management and to assess the impact of specific harvest and afforestation scenarios after 2012 on the mitigation potential of the EU forest sector. Substitution effects and the possible impacts of climate are not included in this analysis. Results show that for the historical period from 2000 to 2012 the net primary productivity (NPP) of the forest pools at the EU level is on average equal to 639 Tg Cyr(-1). The losses are dominated by heterotrophic respiration (409 Tg Cyr(-1)) and removals (110 Tg Cyr(-1)), with direct fire emissions being only 1 Tg Cyr(-1), leading to a net carbon stock change (i.e., sink) of 110 Tg Cyr(-1). Fellings also transferred 28 Tg Cyr(-1) of harvest residues from biomass to dead organic matter pools. The average annual net sector exchange (NSE) of the forest system, including HWP, equals a sink of 122 Tg C yr(-1) (i.e., about 19% of the NPP) for the historical period, and in 2030 it reaches 126, 101 and 151 TgC yr(-1), assuming constant, increasing (C 20 %) and decreasing (20 %) scenarios, respectively, of both harvest and afforestation rates compared to the historical period. Under the constant harvest rate scenario, our findings show an incipient aging process of the forests existing in 1990: although NPP increases ( +7 %), heterotrophic respiration increases at a greater rate ( +13 %) and this leads to a decrease in the sink in the forest pools ( 6 %) in 2030 compared to the historical period. By comparing the evolution of the biomass as a function of the NPP (i.e., the turnover time) for each country, we highlighted at least three groups of countries and turnover times. This means that, contrary to the assumptions proposed by other authors, this relationship cannot be assumed as a constant for all the EU countries, but specific conditions, such as the harvest rate, the current age structure and the forest composition, may contribute to the country-specific evolution of biomass stocks. The detailed picture of the C fluxes condensed in this study, and their evolution under different harvest scenarios, may represent both a benchmark for similar studies and a basis for broader analyses (e.g., including substitution effects of wood) on the mitigation potential of the EU forest sector.</t>
  </si>
  <si>
    <t>10.5194/bg-14-2387-2017</t>
  </si>
  <si>
    <t>Harvest Rate</t>
  </si>
  <si>
    <t>Constant Harvest</t>
  </si>
  <si>
    <t>Increase Harvest 20%</t>
  </si>
  <si>
    <t>TgC_per_Year</t>
  </si>
  <si>
    <t>Decrease Harvest 20%</t>
  </si>
  <si>
    <t>Carbon storage; Wall; Fast-growing materials; Biogenic materials; Dynamic life cycle assessment; LCA</t>
  </si>
  <si>
    <t>LIFE-CYCLE ASSESSMENT; FOREST MANAGEMENT-PRACTICES; BIOGENIC CARBON; CLIMATE IMPACT; CO2 EMISSIONS; WOOD; LIME; TIME; DIFFUSION; STORAGE</t>
  </si>
  <si>
    <t>Pittau, F; Krause, F; Lumia, G; Habert, G</t>
  </si>
  <si>
    <t>Fast-growing bio-based materials as an opportunity for storing carbon in exterior walls</t>
  </si>
  <si>
    <t>Storing carbon in construction products and building components seems a particularly attractive strategy for compensating the initial greenhouse gas (GHG) emissions from production and construction. Typically, in LCA methods, when a sustainable forestry management is assumed, biogenic carbon is not included in the calculation since forest products are considered as carbon neutral due to the full regeneration of biomass in forest at the end of a rotation period. The purpose of this article is to investigate the effect of storing carbon in biogenic materials and lime-based products when they are used as construction materials and left long in a building. Five different alternative exterior walls with different construction technologies are compared. In the first two alternatives (STR and HEM), a significant amount of fast-growing biogenic material is used as thermal insulation, while the third (TIM) represents a typical timber frame structure with mineral insulation. The last two are traditional wall alternatives based on bricks (BRI) and cast concrete (CON) with an additional external thermal insulation composite system (ETICS) in EPS. A model based on a dynamic LCA is adopted to include timing in the calculation. The results, expressed in terms of radiative forcing in the atmosphere, show that storing carbon in fast-growing biogenic materials is much more efficient than in timber elements. The carbon stored in fast-growing biogenic materials is fully captured by crop regrowth only one year after construction, while a longer time is expected for forest products due to the long rotation period required for forest regrowth.</t>
  </si>
  <si>
    <t>10.1016/j.buildenv.2017.12.006</t>
  </si>
  <si>
    <t>Hempcrete_Landfill_EOL</t>
  </si>
  <si>
    <t>Concrete_EnergyRecovery_incineratinOfEPSInsulation</t>
  </si>
  <si>
    <t>kgC02</t>
  </si>
  <si>
    <t>Straw_Landfill_EOL</t>
  </si>
  <si>
    <t>Timber_Landfill_EOL</t>
  </si>
  <si>
    <t>Bricks_Landfill_EOL</t>
  </si>
  <si>
    <t>Straw_Recycling_EOL</t>
  </si>
  <si>
    <t>Hempcrete_Recycling_EOL</t>
  </si>
  <si>
    <t>Hempcrete_EnergyRecovery_EOL</t>
  </si>
  <si>
    <t>Straw_EnergyRecovery_EOL (Incineration with Energy Recovery)</t>
  </si>
  <si>
    <t>Timber_Recycling_EOL</t>
  </si>
  <si>
    <t>Timber_EnergyRecovery_EOL</t>
  </si>
  <si>
    <t>Concrete_Landfill_EOL</t>
  </si>
  <si>
    <t>Concrete_Recycling_EOL</t>
  </si>
  <si>
    <t>Bricks_Recycling_EOL</t>
  </si>
  <si>
    <t>Bricks_EnergyRecovery_EOL</t>
  </si>
  <si>
    <t>SUSTAINABLE BUILT ENVIRONMENT D-A-CH CONFERENCE 2019 (SBE19 GRAZ)</t>
  </si>
  <si>
    <t>Pittau, F; Dotelli, G; Arrigoni, A; Habert, G; Iannaccone, G</t>
  </si>
  <si>
    <t>Massive timber building vs. conventional masonry building. A comparative life cycle assessment of an Italian case study</t>
  </si>
  <si>
    <t>This work aims to investigate the environmental friendliness of building materials, and in particular the benefit of using biogenic products as replacement of conventional materials. The sustainability of wood as a construction material is a complex issue since the environmental impacts are strongly related to forest management, service life and, finally, to end-of-life scenarios and waste treatment processes. In this study, a Life Cycle Assessment (LCA) comparison was carried out between a semi-detached house out of cross-laminated timber (CLT) and a conventional building with similar geometric characteristics and equal thermal performance (U-value), out of light-clay bricks with a reinforced concrete structure. Particularly, the environmental impacts from raw materials supply, transportation and product processing (cradle to gate) were investigated and the Recipe mid-point method was adopted for the impact assessment to compare the environmental burdens of the two equivalent buildings. The positive environmental values resulted in the massive timber building are mainly connected to the replacement of the reinforced concrete mass used in the structure. The outcome, in terms of global warming potential, show that the use of wood as a building material instead of conventional materials results in a reduction of greenhouse gas emissions of roughly 25%. This material replacement, if extended on a large scale, could give a valid contribution on achieving the community goals of reducing emissions from the construction sector.</t>
  </si>
  <si>
    <t>IOP Conf. Ser. Earth Envir. Sci.</t>
  </si>
  <si>
    <t>Proceedings Paper</t>
  </si>
  <si>
    <t>10.1088/1755-1315/323/1/012016</t>
  </si>
  <si>
    <t>MassTimber versus Concrete</t>
  </si>
  <si>
    <t>MassTimber(CLT)</t>
  </si>
  <si>
    <t>EcoInvent</t>
  </si>
  <si>
    <t>refurbishment; demolition; reconstruction; LCA; construction materials</t>
  </si>
  <si>
    <t>BUILDINGS; ENERGY</t>
  </si>
  <si>
    <t>Pittau, F; Giacomel, D; Iannaccone, G; Malighetti, L</t>
  </si>
  <si>
    <t>ENVIRONMENTAL CONSEQUENCES OF REFURBISHMENT VERSUS DEMOLITION AND RECONSTRUCTION: A COMPARATIVE LIFE CYCLE ASSESSMENT OF AN ITALIAN CASE STUDY</t>
  </si>
  <si>
    <t>In the building sector, new standards for energy efficiency are reducing the energy consumption and the carbon emissions for building operation to nearly zero. As a result, the greenhouse gas emissions and related environmental impacts from materials production, and especially insulation, are becoming key factors. In the near future, most of the building stock is expected to be refurbished and a great amount of construction materials will be consequently required. A relevant share of waste is generated from building construction and demolition and limiting the volume is a priority of the EU community. In this work the renovation of industrial buildings in a dismissed area located in Lecco, Italy, was considered as a case study. Five alternative construction systems (EPS, WOOD, ROCK, PU, HEMP) for renovating the building envelopes were assumed, and a life cycle assessment (LCA) adopted in order to measure the environmental impact of each alternative. The results were compared with a scenario which included demolition and reconstruction of a similar building with the same net volume and thermal resistance. The results showed that timber and concrete are the most environmentally friendly materials to rebuild the structures in case of demolition, contrary to steel which leads generally to higher environmental impacts, except land use. In general, EPS, WOOD and HEMP technological alternatives accounted for the highest scores, both in terms of burdens on the ecosystems and on depletion of resources, while ROCK accounted for the lowest scores. Finally, refurbishment scenarios generally accounted for a lower global warming potential (GWP) even if demolition, waste treatment and the benefit from recycling/reuse are taken into account.</t>
  </si>
  <si>
    <t>J. Green Build.</t>
  </si>
  <si>
    <t>10.1088/1755-1315/296/1/012037</t>
  </si>
  <si>
    <t>NewConstruction_Wood fiber insulation boards (WOOD) applied on the exterior surface of the envelope</t>
  </si>
  <si>
    <t>NewConstruction_Expanded Polystirene (EPS) boards applied on the exterior surface of the envelope;</t>
  </si>
  <si>
    <t>N_WOOD</t>
  </si>
  <si>
    <t>Refurbished_Wood fiber insulation boards (WOOD) applied on the exterior surface of the envelope</t>
  </si>
  <si>
    <t>R_WOOD</t>
  </si>
  <si>
    <t>NewConstruction_Hempcrete blocks (HEMP) applied on the exterior surface</t>
  </si>
  <si>
    <t>N_HEMP</t>
  </si>
  <si>
    <t>NewConstruction_Polyurethane rigid boards (PU) applied on the exterior surface of the envelope</t>
  </si>
  <si>
    <t>N_PU</t>
  </si>
  <si>
    <t>NewConstruction_Mineral wool panels (ROCK) applied on the exterior surface of the envelope</t>
  </si>
  <si>
    <t>N_ROCK</t>
  </si>
  <si>
    <t>Refurbished_Expanded Polystirene (EPS) boards applied on the exterior surface of the envelope</t>
  </si>
  <si>
    <t>R_EPS</t>
  </si>
  <si>
    <t>Refurbished_Hempcrete blocks (HEMP) applied on the exterior surface</t>
  </si>
  <si>
    <t>R_HEMP</t>
  </si>
  <si>
    <t>Refurbished_Polyurethane rigid boards (PU) applied on the exterior surface of the envelope</t>
  </si>
  <si>
    <t>R_PU</t>
  </si>
  <si>
    <t>Refurbished_Mineral wool panels (ROCK) applied on the exterior surface of the envelope</t>
  </si>
  <si>
    <t>R_ROCK</t>
  </si>
  <si>
    <t>WORLD MULTIDISCIPLINARY EARTH SCIENCES SYMPOSIUM (WMESS 2016), PTS 1-4</t>
  </si>
  <si>
    <t>OPERATIONS; IMPACTS</t>
  </si>
  <si>
    <t>Plch, R; Pulkrab, K; Bukacek, J; Sloup, R; Cudlin, P</t>
  </si>
  <si>
    <t>Effect of Forest Management of Picea abies and Fagus sylvatica with Different Types of Felling on Carbon and Economic Balances in the Czech Republic</t>
  </si>
  <si>
    <t>The selection of the most sustainable forest management under given site conditions needs suitable criteria and indicators. For this purpose, carbon and economic balance assessment, completed with environmental impact computation using the Life Cycle Assessment (LCA) were used. The aim of this study was to compare forestry operations and wood production of selected forest stands with different i) tree species composition (Norway spruce - Picea abies and European beech - Fagus sylvatica) and ii) type of felling (chainsaw and harvester). Carbon and economic balance methods consist in the comparison of quantified inputs (fossil fuels, electricity, used machinery, fertilizers, etc., converted into emission units of carbon in Mg of C-CO2-eq. or EUR) with quantified outputs (biomass production in Mg of carbon or EUR). In this contribution, similar forest stands (forest site complexes) in the 4th forest vegetation zone (in the Czech Republic approximately 400-700 m above sea-level) were selected. Forestry operations were divided into 5 main stages: i) seedling production, ii) stand establishment and pruning, iii) thinning and final cutting, iv) skidding, and v) secondary timber transport and modelled for one rotation period of timber production (ca. 100 years). The differences between Norway spruce and European beech forest stands in the carbon efficiency were relatively small while higher differences were achieved in the economic efficiency (forest stands with Norway spruce had a higher economic efficiency). Concerning the comparison of different types of felling in Norway spruce forest stands, the harvester use proved to induce significantly higher environmental impacts (emission of carbon) and lower economic costs. The comparison of forestry operation stages showed that the main part of carbon emissions, originating from fuel production and combustion, is connected with a thinning and final cutting, skidding and secondary timber transport in relations to different types of felling.</t>
  </si>
  <si>
    <t>10.1088/1755-1315/44/5/052042</t>
  </si>
  <si>
    <t>Harvester Felling</t>
  </si>
  <si>
    <t>Harvester</t>
  </si>
  <si>
    <t>Chainsaw Felling</t>
  </si>
  <si>
    <t>kgCO2eq_per_m3Wood</t>
  </si>
  <si>
    <t>Std</t>
  </si>
  <si>
    <t>Czech Republic</t>
  </si>
  <si>
    <t>Double skin facade; Structural timber; Embodied carbon; Whole life carbon; Energy savings; Life cycle assessment (LCA)</t>
  </si>
  <si>
    <t>OFFICE BUILDINGS; NATURAL VENTILATION; ENERGY PERFORMANCE; EMBODIED CARBON; REDUCTION</t>
  </si>
  <si>
    <t>Pomponi, F; D'Amico, B</t>
  </si>
  <si>
    <t>Holistic study of a timber double skin facade: Whole life carbon emissions and structural optimisation</t>
  </si>
  <si>
    <t>The upkeep of existing buildings has a great role to play in reducing the carbon emissions of the built environment. Facade upgrade represents one of the most effective interventions to improve both thermal efficiency and aesthetic appeal of existing buildings. Double Skin Facades (DSFs) have much to offer due to their use of solar and wind energy to passively heat and cool indoor spaces, whilst guaranteeing freedom and flexibility in the aesthetic design of the refurbished building. However, DSFs also bear an increase in the embodied energy and carbon due to the additional materials required for the extra skin throughout all life cycle stages. In this article, life cycle assessment (LCA) and dynamic energy modelling have been combined through a parametric approach to obtain figures for the whole-life cycle carbon assessment of 384 different configurations of an innovative, timber-made DSF for UK low-carbon refurbishments. Additionally, the structural design of the facade was also investigated through a structural optimisation procedure which takes into account all relevant loads and ensures minimal use of the structural material. Results show that operational savings outweigh the embodied impacts and therefore the proposed DSF is a viable and effective solution for net carbon-negative refurbishments. The operational energy modelling also contributes to the characterisation of DSFs thermal behaviour in temperate climates. (C) 2017 Elsevier Ltd. All rights reserved.</t>
  </si>
  <si>
    <t>10.1016/j.buildenv.2017.07.046</t>
  </si>
  <si>
    <t>Aluminum Double Skin Façade (DSF)</t>
  </si>
  <si>
    <t>Aluminum</t>
  </si>
  <si>
    <t>Timber DSF Climate Zone 1</t>
  </si>
  <si>
    <t>kgCO2e</t>
  </si>
  <si>
    <t>ELCD</t>
  </si>
  <si>
    <t>IPCC</t>
  </si>
  <si>
    <t>Steel Double Skin Façade (DSF)</t>
  </si>
  <si>
    <t>Timber DSF Climate Zone 2</t>
  </si>
  <si>
    <t>Timber DSF Climate Zone 3</t>
  </si>
  <si>
    <t>WOOD AND FIBER SCIENCE</t>
  </si>
  <si>
    <t>LCA; sustainable; renewable; flooring; cork; cement; CLT</t>
  </si>
  <si>
    <t>CROSS-LAMINATED TIMBER</t>
  </si>
  <si>
    <t>Portugal, RSE; Lawrence, B; Laleicke, PF; Sinha, A</t>
  </si>
  <si>
    <t>TECHNICAL NOTE: A PRELIMINARY STUDY TO QUANTIFY THE ENVIRONMENTAL IMPACTS OF CONCRETE AND CORK FLOORING</t>
  </si>
  <si>
    <t>Cross-laminated timber (CLT) is currently sought as a sustainable and green building material. It does not meet the International Building Code sound insulating requirements, and either a concrete slab or hardwood flooring is needed to meet the acoustic and vibrational performance benchmark. Cork, the bark of the cork oak, is well known for its sound insulating properties and often used for flooring applications in Europe. The cork-based flooring system is a potential solution to the acoustic problem faced by the CLT building industry. The goal of this preliminary study was to quantify the environmental impacts of a concrete and a cork-based flooring system that includes CLT. A life-cycle analysis (LCA) is conducted to focus on a cradle-to-gate comparison of a cork flooring system with a locally sourced concrete flooring system for use in a proposed CLT structure in Portland, OR. The LCA reveals that the global warming potential (GWP) of concrete is 25% higher for the concrete flooring system. For cork flooring, the GWP is mainly driven by inorganic compounds in the flooring assembly. The main source for cork is Portugal, which increases the GWP of the cork flooring system, in contrast to that of concrete flooring, which typically has a regional production and supply system. As environmental abatement costs increase, the profitability of cork flooring can increase to justify the creation of an appropriate system to close the loop.</t>
  </si>
  <si>
    <t>Wood Fiber Sci.</t>
  </si>
  <si>
    <t>10.22382/wfs-2018-011</t>
  </si>
  <si>
    <t>cork floor instead of concrete</t>
  </si>
  <si>
    <t>Concrete floor</t>
  </si>
  <si>
    <t>Cork floor</t>
  </si>
  <si>
    <t>the cork floor is made from cork stopper pruduction waste. There is no information regarding how much cork tree wood is needed to create the 11 square meters of floor</t>
  </si>
  <si>
    <t>Harvested wood products; Carbon sequestration; Product lifetime; Thinning from above; Thinning from below</t>
  </si>
  <si>
    <t>SUBSTITUTION; INVENTORIES; QUALITY; IMPACTS; NORWAY; SECTOR; DEBRIS; STOCKS; TRADE</t>
  </si>
  <si>
    <t>Profft, I; Mund, M; Weber, GE; Weller, E; Schulze, ED</t>
  </si>
  <si>
    <t>Forest management and carbon sequestration in wood products</t>
  </si>
  <si>
    <t>Wood products are considered to contribute to the mitigation of carbon dioxide emissions. A critical gap in the life cycle of wood products is to transfer the raw timber from the forest to the processing wood industry and, thus, the primary wood products. Therefore, often rough estimates are used for this step to obtain total forestry carbon balances. The objectives of this study were (1) to examine the fate of timber harvested in Thuringian state forests (central Germany), representing a large, intensively managed forested region, and (2) to quantify carbon stocks and the lifetime of primary wood products made from this timber. The analyses were based on the amount and assortments of actually sold timber, and production parameters of the companies that bought and processed this timber. In addition, for coniferous stands of a selected Thuringian forest district, we calculated potential effects of management, as expressed by different thinning regimes on wood products and their lifetimes. Total annual timber sale of soft- and hardwoods from Thuringian state forests (195,000 ha) increased from about 136,893 t C (similar to 0.7 t C ha(-1) year(-1)) in 1996 to 280,194 t C (similar to 1.4 t C ha(-1) year(-1)) in 2005. About 47% of annual total timber harvest went into short-lived wood products with a mean residence time (MRT) &lt; 25 years. Thirty-one per cent of the total harvest went into wood products with an MRT of 25-43 years, and only 22% was used as construction wood and glued wood, products with the longest MRT (50 years). The average MRT of carbon in harvested wood products was 20 years. Thinning from above throughout the rotation of spruce forests would lead to an average MRT in harvested wood products of about 23 years, thinning from below of about 18 years. A comparison of our calculations with estimates that resulted from the products module of the CO2FIX model (Nabuurs et al. 2001) demonstrates the influence of regional differences in forest management and wood processing industry on the lifetime of harvested wood products. To our knowledge, the present study provides for the first time real carbon inputs of a defined forest management unit to the wood product sector by linking data on raw timber production, timber sales and wood processing. With this new approach and using this data, it should be possible to substantially improve the net-carbon balance of the entire forestry sector.</t>
  </si>
  <si>
    <t>10.1007/s10342-009-0283-5</t>
  </si>
  <si>
    <t>Thin from below</t>
  </si>
  <si>
    <t>Thin Below</t>
  </si>
  <si>
    <t>Thin from above</t>
  </si>
  <si>
    <t>MgC_hectare_year</t>
  </si>
  <si>
    <t>TRANSPORTATION RESEARCH PART D-TRANSPORT AND ENVIRONMENT</t>
  </si>
  <si>
    <t>Life cycle assessment; Life cycle costing; Carbon footprint; Greenhouse gas emissions; Rail track; Railway sleepers</t>
  </si>
  <si>
    <t>LIFE-CYCLE ASSESSMENT; GREENHOUSE-GAS EMISSIONS; CONCRETE</t>
  </si>
  <si>
    <t>Rempelos, G; Preston, J; Blainey, S</t>
  </si>
  <si>
    <t>A carbon footprint analysis of railway sleepers in the United Kingdom</t>
  </si>
  <si>
    <t>This paper provides an assessment of the lifecycle Greenhouse Gas (GHG) emissions associated with the four most common sleeper (railroad tie or cross-tie in North America) types present in the UK rail network. It estimates the embodied material, process and transport emissions linked with the lifecycle activities of construction, relay/renewal and end-of-life of these variants at low and high traffic tonnage. The analysis suggests that at low traffic loads, the softwood sleepers perform the best over the whole simulated-period. At high traffic loads, the concrete sleepers outperform all other variants in terms of lifecycle CO(2)e emissions, followed by hardwood, softwood and steel. Regardless of the scenario examined, the steel sleepers perform the worst due to the carbon intensive nature of their manufacturing process. This performance gap is amplified at high traffic loads, as their service life is excessively compromised. The analysis reveals that the end-of-life pathway of timber is a critical determinant of its footprint. Results suggest that the impact of disposing of these sleepers results in their footprint being magnified. Nevertheless, if a minimum of 50% follows the combustion pathway with subsequent heat recuperation, then a GHG reduction potential of between 11% and 18% of their footprint is feasible. From a whole-lifecycle cost lens, for higher tonnage routes, the choice of concrete sleepers results in considerable financial savings. If the infrastructure manager was to install sleepers with stiff under sleeper pads (USPs), it may achieve additional economic and GHG savings, with potential for increasing the latter using recycled carbon-neutral USPs.</t>
  </si>
  <si>
    <t>Transport. Res. Part D-Transport. Environ.</t>
  </si>
  <si>
    <t>10.1016/j.trd.2020.102285</t>
  </si>
  <si>
    <t>low tonnage use</t>
  </si>
  <si>
    <t xml:space="preserve">steel </t>
  </si>
  <si>
    <t>hardwood</t>
  </si>
  <si>
    <t>Fig 5</t>
  </si>
  <si>
    <t>t CO2 e stkm</t>
  </si>
  <si>
    <t>high tonnage use</t>
  </si>
  <si>
    <t>softwood</t>
  </si>
  <si>
    <t xml:space="preserve">Repo, A., Känkänen, R., Tuovinen, J. P., Antikainen, R., Tuomi, M., Vanhala, P., &amp; Liski, J. </t>
  </si>
  <si>
    <t xml:space="preserve"> Forest bioenergy climate impact can be improved by allocating forest residue removal</t>
  </si>
  <si>
    <t>10.1111/j.1757-1707.2011.01124.x</t>
  </si>
  <si>
    <t>young stand thinnings (Fig. 5b)</t>
  </si>
  <si>
    <t>branches (Fig 5b)</t>
  </si>
  <si>
    <t xml:space="preserve"> gCO2eq/MJ</t>
  </si>
  <si>
    <t>stumps (Fig 5b)</t>
  </si>
  <si>
    <t>energy type</t>
  </si>
  <si>
    <t>PEERJ</t>
  </si>
  <si>
    <t>Climate change; Nature-based; Natural climate solutions; Mitigation; Justice; Equity; Distribution; Resiliency; Adaptation; Washington</t>
  </si>
  <si>
    <t>CLIMATE SOLUTIONS; MITIGATION; RESTORATION</t>
  </si>
  <si>
    <t>Robertson, JC; Randrup, KV; Howe, ER; Case, MJ; Levin, PS</t>
  </si>
  <si>
    <t>Leveraging the potential of nature to meet net zero greenhouse gas emissions in Washington State</t>
  </si>
  <si>
    <t>The State of Washington, USA, has set a goal to reach net zero greenhouse gas emissions by 2050, the year around which the Intergovernmental Panel on Climate Change (IPCC) recommended we must limit global warming to 1.5 degrees C above that of pre-industrial times or face catastrophic changes. We employed existing approaches to calculate the potential for a suite of Natural Climate Solution (NCS) pathways to reduce Washington's net emissions under three implementation scenarios: Limited, Moderate, and Ambitious. We found that NCS could reduce emissions between 4.3 and 8.8 MMT CO(2)e(yr-1) in thirty-one years, accounting for 4% to 9% of the State's net zero goal. These potential reductions largely rely on changing forest management practices on portions of private and public timber lands. We also mapped the distribution of each pathway's Ambitious potential emissions reductions by county, revealing spatial clustering of high potential reductions in three regions closely tied to major business sectors: private industrial forestry in southwestern coastal forests, cropland agriculture in the Columbia Basin, and urban and rural development in the Puget Trough. Overall, potential emissions reductions are provided largely by a single pathway, Extended Timber Harvest Rotations, which mostly clusters in southwestern counties. However, mapping distribution of each of the other pathways reveals wider distribution of each pathway's unique geographic relevance to support fair, just, and efficient deployment. Although the relative potential for a single pathway to contribute to statewide emissions reductions may be small, they could provide co-benefits to people, communities, economies, and nature for adaptation and resiliency across the state.</t>
  </si>
  <si>
    <t>PeerJ</t>
  </si>
  <si>
    <t>10.7717/peerj.11802</t>
  </si>
  <si>
    <t>Reforestation: low</t>
  </si>
  <si>
    <t>reforest</t>
  </si>
  <si>
    <t>Reforestation:medium</t>
  </si>
  <si>
    <t>Reforestation:high</t>
  </si>
  <si>
    <t>Avoided deforestation:low</t>
  </si>
  <si>
    <t>Avoided deforestation:med</t>
  </si>
  <si>
    <t>Avoided deforestation: High</t>
  </si>
  <si>
    <t>Replanting after wildfire: low</t>
  </si>
  <si>
    <t>Replanting after wildfire: medium</t>
  </si>
  <si>
    <t>Replanting after wildfire: high</t>
  </si>
  <si>
    <t>Extended harvest rotations: med, up to 50% counties</t>
  </si>
  <si>
    <t>Extended harvest rotations: low, less counties</t>
  </si>
  <si>
    <t>Extended harvest rotations: high, most counties</t>
  </si>
  <si>
    <t>CO2 emissions; energy balance; energy biomass; fertilization; forestmanagement; wood energy</t>
  </si>
  <si>
    <t>NITROGEN SATURATION; BOREAL FORESTS; ECOSYSTEMS; NORTHERN; IMPACT; SOILS; FERTILIZATION; COMPUTATIONS; ACCUMULATION; TEMPERATE</t>
  </si>
  <si>
    <t>Routa, J; Kellomaki, S; Kilpelainen, A; Peltola, H; Strandman, H</t>
  </si>
  <si>
    <t>Effects of forest management on the carbon dioxide emissions of wood energy in integrated production of timber and energy biomass</t>
  </si>
  <si>
    <t>The aim of this work was to study the sensitivity of carbon dioxide (CO2) emissions from wood energy to different forest management regimes when aiming at an integrated production of timber and energy biomass. For this purpose, the production of timber and energy biomass in Norway spruce [Picea abies (L.) Karst] and Scots pine (Pinus sylvestris L.) stands was simulated using an ecosystem model (SIMA) on sites of varying fertility under different management regimes, including various thinning and fertilization treatments over a fixed simulation period of 80 years. The simulations included timber (sawlogs, pulp), energy biomass (small-sized stem wood) and/or logging residues (top part of stem, branches and needles) from first thinning, and logging residues and stumps from final felling for energy production. In this context, a life cycle analysis/emission calculation tool was used to assess the CO2 emissions per unit of energy (kg CO2 MW h(-1)) which was produced based on the use of wood energy. The energy balance (GJ ha(-1)) of the supply chain was also calculated. The evaluation of CO2 emissions and energy balance of the supply chain considered the whole forest bioenergy production chain, representing all operations needed to grow and harvest biomass and transport it to a power plant for energy production. Fertilization and high precommercial stand density clearly increased stem wood production (i.e. sawlogs, pulp and small-sized stem wood), but also the amount of logging residues, stump wood and roots for energy use. Similarly, the lowest CO2 emissions per unit of energy were obtained, regardless of tree species and site fertility, when applying extremely or very dense precommercial stand density, as well as fertilization three times during the rotation. For Norway spruce such management also provided a high energy balance (GJ ha(-1)). On the other hand, the highest energy balance for Scots pine was obtained concurrently with extremely dense precommercial stands without fertilization on the medium-fertility site, while on the low-fertility site fertilization three times during the rotation was needed to attain this balance. Thus, clear differences existed between species and sites. In general, the forest bioenergy supply chain seemed to be effective; i.e. the fossil fuel energy consumption varied between 2.2% and 2.8% of the energy produced based on the forest biomass. To conclude, the primary energy use and CO2 emissions related to the forest operations, including the production and application of fertilizer, were small in relation to the increased potential of energy biomass.</t>
  </si>
  <si>
    <t>10.1111/j.1757-1707.2011.01106.x</t>
  </si>
  <si>
    <t>NorwaySpruce; Late energy wood thinning extremeleydense precommercial stand; Fertilized</t>
  </si>
  <si>
    <t>NorwaySpruce; Late energy wood thinning very dense precommercial stand; Fertilized</t>
  </si>
  <si>
    <t>NorwaySpruce; Late energy wood thinning with dense precommercial stand; Fertilized</t>
  </si>
  <si>
    <t>NorwaySpruce; Late energy wood thinning with moderate dense precommercial stand; Fertilized</t>
  </si>
  <si>
    <t>NorwaySpruce; Early energy wood thinning with moderate dense precommercial stand; Fertilized</t>
  </si>
  <si>
    <t>NorwaySpruce; Early energy wood thinning with very dense precommercial stand; Fertilized</t>
  </si>
  <si>
    <t>NorwaySpruce; Early energy wood thinning with dense precommercial stand; Fertilized</t>
  </si>
  <si>
    <t>NorwaySpruce; Early energy wood thinning with extremely dense precommercial stand; Fertilized</t>
  </si>
  <si>
    <t>ScotsPine; Early energy wood thinning with very dense precommercial stand; Fertilized</t>
  </si>
  <si>
    <t>ScotsPine; Late energy wood thinning with dense precommercial stand; Fertilized</t>
  </si>
  <si>
    <t>ScotsPine; Late energy wood thinning very dense precommercial stand; Fertilized</t>
  </si>
  <si>
    <t>ScotsPine; Early energy wood thinning with extremely dense precommercial stand; Fertilized</t>
  </si>
  <si>
    <t>ScotsPine; Late energy wood thinning with moderate dense precommercial stand; Fertilized</t>
  </si>
  <si>
    <t>NorwaySpruce; Late energy wood thinning extremeleydense precommercial stand; Unfertilized</t>
  </si>
  <si>
    <t>ScotsPine; Late energy wood thinning extremeleydense precommercial stand; Fertilized</t>
  </si>
  <si>
    <t>ScotsPine; Early energy wood thinning with dense precommercial stand; Fertilized</t>
  </si>
  <si>
    <t>NorwaySpruce; Late energy wood thinning with dense precommercial stand; Unfertilized</t>
  </si>
  <si>
    <t>NorwaySpruce; Early energy wood thinning with extremely dense precommercial stand; Unfertilized</t>
  </si>
  <si>
    <t>NorwaySpruce; Early energy wood thinning with very dense precommercial stand; Unfertilized</t>
  </si>
  <si>
    <t>NorwaySpruce; Late energy wood thinning very dense precommercial stand; Unfertilized</t>
  </si>
  <si>
    <t>NorwaySpruce; Early energy wood thinning with moderate dense precommercial stand; Unfertilized</t>
  </si>
  <si>
    <t>NorwaySpruce; Early energy wood thinning with dense precommercial stand; Unfertilized</t>
  </si>
  <si>
    <t>ScotsPine; Late energy wood thinning very dense precommercial stand; Unfertilized</t>
  </si>
  <si>
    <t>ScotsPine; Early energy wood thinning with moderate dense precommercial stand; Fertilized</t>
  </si>
  <si>
    <t>NorwaySpruce; Late energy wood thinning with moderate dense precommercial stand; Unfertilized</t>
  </si>
  <si>
    <t>ScotsPine; Late energy wood thinning extremeleydense precommercial stand; Unfertilized</t>
  </si>
  <si>
    <t>ScotsPine; Late energy wood thinning with dense precommercial stand; Unfertilized</t>
  </si>
  <si>
    <t>ScotsPine; Early energy wood thinning with very dense precommercial stand; Unfertilized</t>
  </si>
  <si>
    <t>ScotsPine; Late energy wood thinning with moderate dense precommercial stand; Unfertilized</t>
  </si>
  <si>
    <t>ScotsPine; Early energy wood thinning with extremely dense precommercial stand; Unfertilized</t>
  </si>
  <si>
    <t>ScotsPine; Early energy wood thinning with dense precommercial stand; Unfertilized</t>
  </si>
  <si>
    <t>ScotsPine; Early energy wood thinning with moderate dense precommercial stand; Unfertilized</t>
  </si>
  <si>
    <t>ECOLOGICAL ECONOMICS</t>
  </si>
  <si>
    <t>Carbon accounting; Forest residue based biomass heating; Carbon lifecycle analysis; Carbon markets; Economic cluster analysis; Bioenergy</t>
  </si>
  <si>
    <t>SITKA SPRUCE STANDS; WESTERN HEMLOCK; UNDERSTORY VEGETATION; FOREST; MANAGEMENT; BIOMASS; FOOTPRINT; GROWTH; CONSERVATION; FEASIBILITY</t>
  </si>
  <si>
    <t>Saah, D; Patterson, T; Buchholz, T; Ganz, D; Albert, D; Rush, K</t>
  </si>
  <si>
    <t>Modeling economic and carbon consequences of a shift to wood-based energy in a rural 'cluster'; a network analysis in southeast Alaska</t>
  </si>
  <si>
    <t>Integrated ecological and economic solutions are increasingly sought after by communities to provide basic energy needs such as home heating, transport, and electricity, while reducing drivers of and vulnerability to climate change. Small rural communities may require a coordinated approach to overcome the limitations of economies of scale. Low-carbon development strategies present potential for large payoffs at a household and community scale. Southeast Alaskan forests previously harvested for timber are currently re-growing and require thinning to maintain ecosystem service benefits such as wildlife habitat and hunting. Thinned material presents a potential biofuel source. However, without verification among decision alternatives, communities may not have the momentum, vision, or conviction to stimulate a shift to a new energy source. We present a network approach to evaluating multiple energy delivery pathways, and a calculation of carbon, energy, and dollar savings presented by each pathway. We quantify chain of production impacts; from the point of energy extraction and transport (upstream), through consumption and emission accounting (downstream). Our findings suggest substantial greenhouse gas emission savings of over 70% as well as heating cost savings for all bioenergy scenarios compared to fossil fuel scenarios. Outputs can facilitate dialog between land managers, planners, community members and decision-makers. (C) 2014 Elsevier B.V. All rights reserved.</t>
  </si>
  <si>
    <t>Ecol. Econ.</t>
  </si>
  <si>
    <t>10.1016/j.ecolecon.2014.08.011</t>
  </si>
  <si>
    <t>WesternShoreCraigSortingLot_HybridTransport</t>
  </si>
  <si>
    <t>MgCO2e</t>
  </si>
  <si>
    <t>WesternShoreCraigSortingLot_BargeTransport</t>
  </si>
  <si>
    <t>CentrallyLocatedLakeCrossroads_BargeTransport</t>
  </si>
  <si>
    <t>EasternShoreThornSortingLot_BargeTransport</t>
  </si>
  <si>
    <t>EasternShoreThornSortingLot_HybridTransport</t>
  </si>
  <si>
    <t>CentrallyLocatedLakeCrossroads_HybridTransport</t>
  </si>
  <si>
    <t>CentrallyLocatedLakeCrossroads_RoadTransport</t>
  </si>
  <si>
    <t>WesternShoreCraigSortingLot_RoadTransport</t>
  </si>
  <si>
    <t>EasternShoreThornSortingLot_RoadTransport</t>
  </si>
  <si>
    <t>APPLIED ENERGY</t>
  </si>
  <si>
    <t>Climate change mitigation; Wood products; Social cost of carbon; Energy tax; Building materials; Economic competitiveness</t>
  </si>
  <si>
    <t>CARBON TAXES; LIFE-CYCLE; BIOMASS; CONCRETE; BALANCES; ENERGY</t>
  </si>
  <si>
    <t>Sathre, R; Gustavsson, L</t>
  </si>
  <si>
    <t>Using wood products to mitigate climate change: External costs and structural change</t>
  </si>
  <si>
    <t>In this study we examine the use of wood products as a means to mitigate climate change. We describe the life cycle of wood products including forest growth, wood harvest and processing, and product use and disposal, focusing on the multiple roles of wood as both material and fuel. We present a comparative case study of a building constructed with either a wood or a reinforced concrete frame. We find that the production of wood building material uses less energy and emits less carbon than the production of reinforced concrete material. We compare the relative cost of the two building methods without environmental taxation, under the Current Swedish industrial energy taxation regime, and in scenarios that incorporate estimates of the full social cost of carbon emission. We find that the inclusion of climate-related external costs improves the economic standing of wood construction vis-A-vis concrete construction. We conclude that policy instruments that internalise the external costs of carbon emission should encourage a structural change toward the increased use of sustainability produced wood products. (c) 2008 Elsevier Ltd. All rights reserved.</t>
  </si>
  <si>
    <t>Appl. Energy</t>
  </si>
  <si>
    <t>10.1016/j.apenergy.2008.04.007</t>
  </si>
  <si>
    <t>Wood Building versus Concrete/Steel</t>
  </si>
  <si>
    <t>multi-objective optimization; beetle-killed biomass; forest products; supply chain; production scenario comparison; bioenergy; salvage logging</t>
  </si>
  <si>
    <t>MOUNTAIN PINE-BEETLE; FUEL-REDUCTION TREATMENTS; LODGEPOLE PINE; ROCKY-MOUNTAINS; KEY ISSUES; BIOMASS; WOOD; ENERGY; RESIDUES; BIOFUEL</t>
  </si>
  <si>
    <t>She, J; Chung, W; Han, H</t>
  </si>
  <si>
    <t>Economic and Environmental Optimization of the Forest Supply Chain for Timber and Bioenergy Production from Beetle-Killed Forests in Northern Colorado</t>
  </si>
  <si>
    <t>Harvesting mountain pine beetle-infested forest stands in the northern Colorado Rocky Mountains provides an opportunity to utilize otherwise wasted resources, generate net revenues, and minimize greenhouse gas (GHG) emissions. Timber and bioenergy production are commonly managed separately, and their integration is seldom considered. Yet, degraded wood and logging residues can provide a feedstock for bioenergy, while the sound wood from beetle-killed stands can still be used for traditional timber products. In addition, beneficial greenhouse gas emission (GHG) savings are often realized only by compromising net revenues during salvage harvest where beetle-killed wood has a relatively low market value and high harvesting cost. In this study we compared Sequential and Integrated decision-making scenarios for managing the supply chain from beetle-killed forest salvage operations. In the Sequential scenario, timber and bioenergy production was managed sequentially in two separate processes, where salvage harvest was conducted without considering influences on or from bioenergy production. Biomass availability was assessed next as an outcome from timber production managed to produce bioenergy products. In the Integrated scenario, timber and bioenergy production were managed jointly, where collective decisions were made regarding tree salvage harvest, residue treatment, and bioenergy product selection and production. We applied a multi-objective optimization approach to integrate the economic and environmental objectives of producing timber and bioenergy, and measured results by total net revenues and total net GHG emission savings, respectively. The optimization model results show that distinctively different decisions are made in selecting the harvesting system and residue treatment under the two scenarios. When the optimization is fully economic-oriented, 49.6% more forest areas are harvested under the Integrated scenario than the Sequential scenario, generating 12.3% more net revenues and 50.5% more net GHG emission savings. Comparison of modelled Pareto fronts also indicate the Integrated decision scenario provides more efficient trade-offs between the two objectives and performs better than the Sequential scenario in both objectives.</t>
  </si>
  <si>
    <t>10.3390/f10080689</t>
  </si>
  <si>
    <t>Salvage Logging Beetle-Kill; Integrated Timber and Bionergy Supply Chains; Maximize net GHG savings of Timber and Bioenergy Supply Chain (forest supply chain)</t>
  </si>
  <si>
    <t>Salvage Logging Beetle-Kill; Sequential Timber and Bionergy Supply Chains; Maximize net revenue of Timber Supply Chain; Maximize Net revenue of Bioenergy Supply Chain</t>
  </si>
  <si>
    <t>; https://meridian.allenpress.com/fpj/article/62/4/289/136357/Life-Cycle-Inventory-of-Wood-Pellet-Manufacturing; https://www.fs.usda.gov/treesearch/pubs/54276; https://www.nature.com/articles/srep39857</t>
  </si>
  <si>
    <t>?</t>
  </si>
  <si>
    <t>Salvage Logging Beetle-Kill; Sequential Timber and Bionergy Supply Chains; Maximize net GHG savings of Timber Supply Chain; Maximize Net revenue of Bioenergy Supply Chain</t>
  </si>
  <si>
    <t>Salvage Logging Beetle-Kill; Sequential Timber and Bionergy Supply Chains; Maximize net GHG savings of Timber Supply Chain; Maximize Net GHG savings of Bioenergy Supply Chain</t>
  </si>
  <si>
    <t>C_alternative values checked from file Valade_2018_data</t>
  </si>
  <si>
    <t>Salvage Logging Beetle-Kill; Integrated Timber and Bionergy Supply Chains; Maximize net revenue of Timber and Bioenergy Supply Chain (forest supply chain)</t>
  </si>
  <si>
    <t>Salvage Logging Beetle-Kill; Sequential Timber and Bionergy Supply Chains; Maximize net revenue of Timber Supply Chain; Maximize Net GHG savings of Bioenergy Supply Chain</t>
  </si>
  <si>
    <t>The real reference scenario should be fossil energy and products but the paper didn't include the baseline emissions</t>
  </si>
  <si>
    <t xml:space="preserve">Smyth, C. E., Smiley, B. P., Magnan, M., Birdsey, R., Dugan, A. J., Olguin, M., ... &amp; Kurz, W. A. </t>
  </si>
  <si>
    <t xml:space="preserve"> Climate change mitigation in Canada’s forest sector: a spatially explicit case study for two regions</t>
  </si>
  <si>
    <t>10.1186/s13021-018-0099-z</t>
  </si>
  <si>
    <t>Gg CO2 eq. y-1</t>
  </si>
  <si>
    <t>harvest residues for bioenergy</t>
  </si>
  <si>
    <t>No slashburning</t>
  </si>
  <si>
    <t>Higher utilisation</t>
  </si>
  <si>
    <t>long lived products</t>
  </si>
  <si>
    <t>JOURNAL OF ENVIRONMENTAL QUALITY</t>
  </si>
  <si>
    <t>MONTE-CARLO-SIMULATION; CARBON STORAGE; MANAGEMENT; SEQUESTRATION; INVENTORY</t>
  </si>
  <si>
    <t>Sonne, E</t>
  </si>
  <si>
    <t>Greenhouse gas emissions from forestry operations: A life cycle assessment</t>
  </si>
  <si>
    <t>Most forest carbon assessments focus only on biomass carbon and assume that greenhouse gas (GHG) emissions from forestry activities are minimal. This study took an in-depth look at the direct and indirect emissions from Pacific Northwest (PNW) Douglas-fir [Pseudotsuga menziesii (Mirbel) Franco] forestry activities to support or deny this claim. Greenhouse gas budgets for 408 management regimes were calculated using Life Cycle Assessment (LCA) methodology. These management regimes were comprised of different combinations of three types of seedlings (P + 1, 1 + 1, and large plug), two types of site preparation (pile and burn, and chemical), 17 combinations of management intensity including fertilization, herbicide treatment, precommercial thinning (PCT), commercial thinning (CT), and nothing, and four different rotation ages (30, 40, 50, and 60 yr). Normalized to 50 yr, average direct GHG emissions were 8.6 megagrams (Mg) carbon dioxide equivalents (CO(2)e) ha(-1), which accounted for 84% of total GHG emissions from the average of 408 management regimes. Harvesting (PCT, CT, and clear cuffing) contributed the most to total GHG emissions (5.9 Mg CO(2)e per 700 m(3) harvested timber), followed by pile and burn site preparation (4.0 Mg CO(2)e ha(-1) or 32% of total GHG emissions) and then fertilization (1.9 Mg CO(2)e, ha(-1) or 15% of total GHG emissions). Seedling production, seedling transportation, chemical site preparation, and herbicide treatment each contributed less than 1% of total GHG emissions when assessed per hectare of planted timberland. Total emissions per 100 m(3) averaged 1.6 Mg CO(2)e ha(-1) over all 408 management regimes. An uncertainty analysis using Monte Carlo simulations revealed that there are significant differences between most alternative management regimes.</t>
  </si>
  <si>
    <t>J. Environ. Qual.</t>
  </si>
  <si>
    <t>10.2134/jeq2005.0159</t>
  </si>
  <si>
    <t>Number of thinnings</t>
  </si>
  <si>
    <t>No thinning</t>
  </si>
  <si>
    <t>One Pre commercial thinning</t>
  </si>
  <si>
    <t xml:space="preserve">tCO2/m3 of wood harvested </t>
  </si>
  <si>
    <t xml:space="preserve">One pre commercial thinning + one commercial thinning </t>
  </si>
  <si>
    <t>No fertilisation</t>
  </si>
  <si>
    <t xml:space="preserve">Fertilisation </t>
  </si>
  <si>
    <t>Density at plantation</t>
  </si>
  <si>
    <t>865 seedlings per ha</t>
  </si>
  <si>
    <t>1235 seedlings per ha</t>
  </si>
  <si>
    <t xml:space="preserve">60 years </t>
  </si>
  <si>
    <t xml:space="preserve">40 years </t>
  </si>
  <si>
    <t xml:space="preserve">50 years </t>
  </si>
  <si>
    <t xml:space="preserve">30 years </t>
  </si>
  <si>
    <t>bioenergy; biofuels; wood pellets; greenhouse gas emissions; climate change; system dynamics</t>
  </si>
  <si>
    <t>FOREST BIOMASS; CARBON; POLICY; GROWTH</t>
  </si>
  <si>
    <t>Sterman, JD; Siegel, L; Rooney-Varga, JN</t>
  </si>
  <si>
    <t>Does replacing coal with wood lower CO2 emissions? Dynamic lifecycle analysis of wood bioenergy</t>
  </si>
  <si>
    <t>Bioenergy is booming as nations seek to cut their greenhouse gas emissions. The European Union declared biofuels to be carbon-neutral, triggering a surge in wood use. But do biofuels actually reduce emissions? A molecule of CO2 emitted today has the same impact on radiative forcing whether it comes from coal or biomass. Biofuels can only reduce atmospheric CO2 over time through post-harvest increases in net primary production (NPP). The climate impact of biofuels therefore depends on CO2 emissions from combustion of biofuels versus fossil fuels, the fate of the harvested land and dynamics of NPP. Here we develop a model for dynamic bioenergy lifecycle analysis. The model tracks carbon stocks and fluxes among the atmosphere, biomass, and soils, is extensible to multiple land types and regions, and runs in approximate to 1s, enabling rapid, interactive policy design and sensitivity testing. We simulate substitution of wood for coal in power generation, estimating the parameters governing NPP and other fluxes using data for forests in the eastern US and using published estimates for supply chain emissions. Because combustion and processing efficiencies for wood are less than coal, the immediate impact of substituting wood for coal is an increase in atmospheric CO2 relative to coal. The payback time for this carbon debt ranges from 44-104 years after clearcut, depending on forest type-assuming the land remains forest. Surprisingly, replanting hardwood forests with fast-growing pine plantations raises the CO2 impact of wood because the equilibrium carbon density of plantations is lower than natural forests. Further, projected growth in wood harvest for bioenergy would increase atmospheric CO2 for at least a century because new carbon debt continuously exceeds NPP. Assuming biofuels are carbon neutral may worsen irreversible impacts of climate change before benefits accrue. Instead, explicit dynamic models should be used to assess the climate impacts of biofuels.</t>
  </si>
  <si>
    <t>10.1088/1748-9326/aaa512</t>
  </si>
  <si>
    <t>Change in atmospheric CO2 if 1 EJ of end-use energy from coal were orfset by zero carbon energy source (e.g. solar)</t>
  </si>
  <si>
    <t>BAU (coal)</t>
  </si>
  <si>
    <t>Solar</t>
  </si>
  <si>
    <t>ppm</t>
  </si>
  <si>
    <t>Several self-calculated based on conversion of wood to energy versus coal, however Sterman calculates that wood pellets emit approximately 0.071 tC more CO2 per GJ of end-use energy than coal</t>
  </si>
  <si>
    <t>this paper</t>
  </si>
  <si>
    <t>Bioenergy assumed to have greater emissions than coal; Realistic combustion and processing efficiency in supply chain emissions; 95% removal of biomass with clearcut; NOT ALLOWED TO REGROW; WITH decomp emissions; Oak Hickory forest</t>
  </si>
  <si>
    <t>Bioenergy assumed to have greater emissions than coal; Realistic combustion and processing efficiency in supply chain emissions; 95% removal of biomass with clearcut; NOT ALLOWED TO REGROW; WITH decomp emissions;  Loblolly pine forest</t>
  </si>
  <si>
    <t>Bioenergy assumed to have greater emissions than coal; Realistic combustion and processing efficiency in supply chain emissions; 95% removal of biomass with clearcut; NOT ALLOWED TO REGROW; no decomp emissions; Oak Hickory forest</t>
  </si>
  <si>
    <t>Bioenergy assumed to have greater emissions than coal; Realistic combustion and processing efficiency in supply chain emissions; 95% removal of biomass with clearcut; NOT ALLOWED TO REGROW; no decomp emissions;  Loblolly pine forest</t>
  </si>
  <si>
    <t>Bioenergy assumed to have greater emissions than coal; Realistic combustion and processing efficiency in supply chain emissions; 95% removal of biomass with clearcut; Oak Hickory forest</t>
  </si>
  <si>
    <t>Bioenergy assumed to have greater emissions than coal; Realistic combustion and processing efficiency in supply chain emissions; 25% removal of biomass with thinning; Oak Hickory forest</t>
  </si>
  <si>
    <t>Bioenergy assumed to have same emissions as coal, same combustion and processing efficiency in supply chain emissions; 25% removal of biomass with thinning; Oak Hickory forest</t>
  </si>
  <si>
    <t>Bioenergy assumed to have greater emissions than coal; Realistic combustion and processing efficiency in supply chain emissions; 25% removal of biomass with thinning;  Loblolly pine forest</t>
  </si>
  <si>
    <t>Bioenergy assumed to have greater emissions than coal; Realistic combustion and processing efficiency in supply chain emissions; 95% removal of biomass with clearcut;  Loblolly pine forest</t>
  </si>
  <si>
    <t>Bioenergy assumed to have same emissions as coal, same combustion and processing efficiency in supply chain emissions; 25% removal of biomass with thinning; Loblolly pine forest</t>
  </si>
  <si>
    <t>ENERGY REPORTS</t>
  </si>
  <si>
    <t>Life cycle net zero carbon building; Building information modelling; Building energy simulation; Life cycle assessment; Life cycle cost; Compact house</t>
  </si>
  <si>
    <t>LCA; CONSTRUCTION</t>
  </si>
  <si>
    <t>Szalay, Z; Szagri, D; Bihari, A; Nagy, B; Kiss, B; Horvath, M; Medgyasszay, P</t>
  </si>
  <si>
    <t>Development of a life cycle net zero carbon compact house concept</t>
  </si>
  <si>
    <t>The paper presents the development process of an innovative, prefabricated compact house, which aims at creating a net zero greenhouse gas emission building design over the whole life cycle. Building Information Modelling helped to quantify the required building materials. Dynamic building simulations were performed in DesignBuilder to calculate the energy demand of the building for the operational period. To evaluate the financial feasibility and the carbon balance of the building, life cycle assessment and life cycle costing were used. A heat and moisture transfer simulation was carried out to provide a more accurate analysis and to identify possible moisture problems.The assessment showed that the ratio of embodied impacts and operational impacts is typically 1:2 for wooden buildings and 1:1.5 for brick buildings. Life cycle carbon neutrality could be achieved in both cases with additional photovoltaic panels installed on the roof. However, a major difference between timber and brick buildings is the time factor: while the initial emissions from the production of brick buildings are gradually offset with excess solar energy, timber buildings act as carbon storage with negative emissions over the study period and the carbon is only released at the eventual end -of-life stage. The necessary size of photovoltaics is largely influenced by the avoided grid impact: if dynamic decarbonization of the electricity mix is considered, the size of photovoltaics required is about 1.5 times larger to offset the environmental load of the construction due to the diminishing benefits.(c) 2022 The Author(s). Published by Elsevier Ltd. This is an open access article under the CC BY-NC-ND license (http://creativecommons.org/licenses/by-nc-nd/4.0/).</t>
  </si>
  <si>
    <t>Energy Rep.</t>
  </si>
  <si>
    <t>10.1016/j.egyr.2022.09.197</t>
  </si>
  <si>
    <t>brick_V02_same</t>
  </si>
  <si>
    <t>CC_V02_wood</t>
  </si>
  <si>
    <t>Hungary</t>
  </si>
  <si>
    <t>INTERNATIONAL HIGH-PERFORMANCE BUILT ENVIRONMENT CONFERENCE - A SUSTAINABLE BUILT ENVIRONMENT CONFERENCE 2016 SERIES (SBE16), IHBE 2016</t>
  </si>
  <si>
    <t>construction materials; construction industry; engineered wood products; input-output modelling; residential and non-residential buildings</t>
  </si>
  <si>
    <t>LIFE-CYCLE ASSESSMENT; CARBON FOOTPRINT; OUTPUT; GEOPOLYMER; EMISSIONS; CONCRETE</t>
  </si>
  <si>
    <t>Teh, SH; Wiedmann, T; Schinabeck, J; Moore, S</t>
  </si>
  <si>
    <t>Replacement scenarios for construction materials based on economy-wide hybrid LCA</t>
  </si>
  <si>
    <t>As part of the Integrated Carbon Metrics project, which comprehensively quantifies embodied GHG emissions related to the built environment in Australia, this contribution evaluates construction material replacement scenarios at the economy-wide scale. We investigate the potential use of Engineered Wood Products (EWPs) in new building stock to assess the carbon outcomes of a potentially significant shift in the use of construction materials. This becomes increasingly relevant as Australia moves forward with augmenting the National Construction Code to allow the construction of mid-rise buildings utilizing timber. The selection of low-carbon and sustainable building materials is crucial in reducing the built environment's carbon footprint. The main objective of the replacement scenario analysis is to assess the potential reduction in future GHG emissions by replacing the use of reinforced concrete with EWPs. The scenarios include the comparison of mid-rise buildings (10- story) with standard reference buildings (using reinforced concrete) at the national scale. The analysis considers the full cradle-to-gate carbon footprint of construction materials embedded in buildings. Since the scenarios are implemented in an input-output model of the Australian economy, changes in the use of construction materials can also be evaluated with respect to indirect effects on industries involved in the production chain of these materials as well as their respective GHG emissions. (C) 2017 The Authors. Published by Elsevier Ltd.</t>
  </si>
  <si>
    <t>10.1016/j.proeng.2017.04.177</t>
  </si>
  <si>
    <t>% of CLT buildings in the residential "building stock" (total amount of buildings built in a given year)</t>
  </si>
  <si>
    <t>Timber with sequestration</t>
  </si>
  <si>
    <t>Not available</t>
  </si>
  <si>
    <t>Implicit reference scenario for wood = it is not harvested (otherwise, storage in HWP should deduct what would have happened to harvested wood without rise in CLT buildings). Interestingly, the effect on the entire economy of the substitution of concrete by CLT in buildings is much higher (last two lines) than the effect on the sole building sector (sum of lines 1 and 3 or 2 and 4). I'm not sure I understand why. If useful, a "non-zero" BAU can be selected for the first four lines: linear growth of CLT share from 0 to 100% is simulated.</t>
  </si>
  <si>
    <t>% of CLT buildings in the "building stock" (total amount of buildings built in a given year)</t>
  </si>
  <si>
    <t>% of CLT buildings in the commercial "building stock" (total amount of buildings built in a given year)</t>
  </si>
  <si>
    <t>Timber without sequestration</t>
  </si>
  <si>
    <t>INTERNATIONAL JOURNAL OF FOREST ENGINEERING</t>
  </si>
  <si>
    <t>Bioenergy; technological innovations; value chains; sustainability; Renewable Energy Directive targets</t>
  </si>
  <si>
    <t>ENERGY; PRODUCTIVITY; OPERATIONS; HARVEST; FINLAND; STUMPS; FUELS; CHIPS; COST; WOOD</t>
  </si>
  <si>
    <t>Tuomasjukka, D; Martire, S; Lindner, M; Athanassiadis, D; Kuhmaier, M; Tumajer, J; Vis, M; Spinelli, R; Dees, M; Prinz, R; Routa, J; Asikainen, A</t>
  </si>
  <si>
    <t>Sustainability impacts of increased forest biomass feedstock supply - a comparative assessment of technological solutions</t>
  </si>
  <si>
    <t>Sustainably managed forests provide renewable raw material that can be used for primary/secondary conversion products and as biomass for energy generation. The potentially available amounts of timber, which are still lower than annual increments, have been published earlier. Access to this timber can be challenging for small-dimensioned assortments; however, technologically improved value chains can make them accessible while fulfilling economic and environment criteria. This paper evaluates the economic, environmental and social sustainability impacts of making the potentially available timber available with current and technologically improved value chains. This paper focuses on increasing the biomass feedstock supply for energy generation. Quantified impact assessments show which improvements - in terms of costs, employment, fuel and energy use, and reduced greenhouse gas emissions - can be expected if better mechanized machines are provided. Using three different methods - Sustainability Impacts Assessment (SIA), Life Cycle Assessment (LCA), and Emission Saving Criteria (ESC) - we calculated current and innovative machine solutions in terms of fuel use, energy use, and greenhouse gas emissions, to quantify the impact of the technology choice and also the effect of the choice of assessment method. Absolute stand-alone values can be misleading in analyses, and the use of different impact calculation approaches in parallel is clarifying the limits of using LCA-based approaches. The ESC has been discussed for the recast of the Renewable Energy Directive. Potential EU-wide results are presented.</t>
  </si>
  <si>
    <t>Int. J. Forest Eng.</t>
  </si>
  <si>
    <t>10.1080/14942119.2018.1459372</t>
  </si>
  <si>
    <t>Improvement in harvest machinery</t>
  </si>
  <si>
    <t>CEU Thinning with harvester
with MAMA head in CTL
system</t>
  </si>
  <si>
    <t>gCO2/MJ</t>
  </si>
  <si>
    <t>Improvement in chipping machinery</t>
  </si>
  <si>
    <t>Chipping with Hybrid chipper</t>
  </si>
  <si>
    <t>Chipping with Pezzolato chipper</t>
  </si>
  <si>
    <t>Improvement in harvest and chipping machinery</t>
  </si>
  <si>
    <t>Harvesting with combi harvester and chipper</t>
  </si>
  <si>
    <t>LIFE-CYCLE INVENTORY; CARBON SEQUESTRATION; EMISSIONS; SUSTAINABILITY; RESOURCES; OPTIONS; TERMS</t>
  </si>
  <si>
    <t>Ullah, N; Bano, SA; Habiba, U; Sabir, M; Akhtar, A; Ramzan, S; Shoukat, A; Israr, M; Shah, S; Nizami, SM; Hussain, M</t>
  </si>
  <si>
    <t>Environmental impacts, water footprint and cumulative energy demand of match industry in Pakistan</t>
  </si>
  <si>
    <t>A comprehensive life cycle assessment (LCA) was conducted for the matchsticks industry in the Khyber Pakhtunkhwa province of Pakistan to quantify environmental footprint, water footprint, cumulative energy use, and to identify improvement opportunities in the matchsticks manufacturing process. One carton of matchsticks was used as reference unit for this study. Foreground data was collected from the matchsticks industry through questionnaire surveys, personal meetings, and field measurements. The collected data was transformed into potential environmental impacts through the Centre for Environment Studies (CML) 2000 v.2.05 method present by default in the SimaPro v.9.1 software. Water footprint was calculated using methodology developed by Hoekstra et al., 2012 (water scarcity index) V1.02 and cumulative energy demand by SimaPro v.9.1 software. The results showed that transport of primary material (wood logs), sawn wood for matchsticks, red phosphorous, acrylic varnish, and kerosene fuel oil contributed to the overall environmental impacts. Transport of primary materials and sawn timber for matchsticks contributed significantly to abiotic depletion, global warming, eutrophication potential, ozone depletion, corrosion, human toxicity, and aquatic ecotoxicity effects. The total water footprint for manufacturing one carton of matchsticks was 0.265332 m(3), whereas the total cumulative energy demand was 715.860 Mega Joules (MJ), mainly sourced from non-renewable fossil fuels (708.979 MJ). Scenario analysis was also conducted for 20% and 30% reduction in the primary material distance covered by trucks and revealed that reducing direct material transport distances could diminish environmental impacts and energy consumption. Therefore, environmental footprint could be minimized through diverting matchsticks industries freight from indigenous routes to high mobility highways and by promoting industrial forestry close to industrial zones in Pakistan. Many industries did not have emissions control systems, exceeding the permissible limit for emissions established by the National Environmental Quality Standards (NEQS) of Pakistan. Thus, installation of emissions control system could also diminish emissions from match industry in Pakistan.</t>
  </si>
  <si>
    <t>10.1371/journal.pone.0251928</t>
  </si>
  <si>
    <t>Reduction in primary transport (transport of logs)</t>
  </si>
  <si>
    <t>20% reduction</t>
  </si>
  <si>
    <t>kg CO2e</t>
  </si>
  <si>
    <t>Pakistan</t>
  </si>
  <si>
    <t>30% reduction</t>
  </si>
  <si>
    <t>ACTA FACULTATIS XYLOLOGIAE ZVOLEN</t>
  </si>
  <si>
    <t>environmental impact; structural wood; eco-design; life cycle assessment; glulam; plywood; three-layer solid wood panel</t>
  </si>
  <si>
    <t>LIFE-CYCLE; TIMBER; LCA; BENEFITS</t>
  </si>
  <si>
    <t>Vanova, R; Stefko, J</t>
  </si>
  <si>
    <t>ASSESSMENT OF SELECTED TYPES OF THE STRUCTURAL ENGINEERED WOOD PRODUCTION FROM THE ENVIRONMENTAL POINT OF VIEW</t>
  </si>
  <si>
    <t>According to recent findings, the construction industry contributes to almost 40% of global CO2 emissions. Life Cycle Assessment is one of the methods assessing the anthropogenic impact on the environment. This paper compares the production of selected types of structural wood-glued laminated timber (glulam), plywood and three-layer solid wood panel (SWP) in terms of their environmental impact. The results of this analysis are important especially for designers and architects, who can reduce the environmental footprint by choosing materials already in the design phase and thus be part of the building eco-design creation. This direction is becoming increasingly popular in the world and, in addition, it increases market competitiveness. The selected structural wood products were compared using the IMPACT 2002+ method and SimaPro 8.5.2 software was used for the assessment. Characterization and single score results were assessed. Glulam for indoor use achieved the lowest total environmental impact. On the other side, plywood for outdoor use was found the worst one of the assessed products. The two most affected impact category for all evaluated wood products was the impact on Human health and Ecosystem quality, respectively. Generally, plywood products present a considerable environmental burden, therefore it could be replaced by SWP. The study also showed the importance of production technology in the environmental context.</t>
  </si>
  <si>
    <t>Acta Fac.Xylol. Zvolen</t>
  </si>
  <si>
    <t>10.17423/afx.2021.63.2.10</t>
  </si>
  <si>
    <t>Type of board manufacturing technique</t>
  </si>
  <si>
    <t>Softwood board planned and undried</t>
  </si>
  <si>
    <t>Softwood board unplanned and dried</t>
  </si>
  <si>
    <t>kg CO2e m-3 of product</t>
  </si>
  <si>
    <t>Type of engineered wood</t>
  </si>
  <si>
    <t>Glulam, indoor use</t>
  </si>
  <si>
    <t>SWP</t>
  </si>
  <si>
    <t>Glulam, outdoor use</t>
  </si>
  <si>
    <t>Species type (softwood vs hardwood) for veneer</t>
  </si>
  <si>
    <t>Hardwood veneer</t>
  </si>
  <si>
    <t>Softwood veneer</t>
  </si>
  <si>
    <t>Plywood, indoor use</t>
  </si>
  <si>
    <t>Plywood, outdoor use</t>
  </si>
  <si>
    <t>BIORESOURCES</t>
  </si>
  <si>
    <t>Solid wood bed; Dijkstra algorithms; Greenhouse gas; Sawn timber; Laminated timber</t>
  </si>
  <si>
    <t>LIFE-CYCLE ASSESSMENT; SUSTAINABILITY; DESIGN; FORMULATION; PRODUCTS; EMISSION; IMPACT; COST</t>
  </si>
  <si>
    <t>Wang, H; Wu, JZ; Chen, ZL</t>
  </si>
  <si>
    <t>Carbon Footprint Accounting and Low-Carbon Path Optimization for Imported Timber-based Wooden Furniture Supply Chains</t>
  </si>
  <si>
    <t>Using an imported timber-based solid wood box bed (2000 mm x 1800 mm) as the functional unit, the ILCD 2011 midpoint assessment method was used to measure the life cycle carbon emissions of the product. Using this assessment, the Dijkstra algorithm was adopted to determine the shortest supply chain path and to obtain the minimum carbon footprint of the supply chain. Results showed that the total carbon footprint of the wood bed was 464 kg for the control case. For experimental cases, the carbon footprint ranged from 456 kg to 517 kg CO2-eq. The upstream process was identified as the primary contributor to the carbon footprint, accounting for 74.6% to 80.7% of the total carbon footprint, followed by the downstream and the core-stream processes. Configuration of a timber harvesting system with lower fuel consumption, purchasing timber from areas within shorter transportation distance, and reducing the proportion of incineration for waste treatment were feasible solutions to reduce the carbon footprint of the product. A case study optimizing the low-carbon path for the wooden furniture supply chain determined the shortest path for the participants in each link, such that the minimum total carbon footprint of the supply chain was 463 kg CO2-eq.</t>
  </si>
  <si>
    <t>BioResources</t>
  </si>
  <si>
    <t>10.15376/biores.16.4.6870-6890</t>
  </si>
  <si>
    <t>waste treatment</t>
  </si>
  <si>
    <t>90% incineration/10% landfill</t>
  </si>
  <si>
    <t>60% incineration/40% landfill</t>
  </si>
  <si>
    <t>volume of timber consumed</t>
  </si>
  <si>
    <t>text p6875</t>
  </si>
  <si>
    <t>fig4d</t>
  </si>
  <si>
    <t>S5</t>
  </si>
  <si>
    <t>text p6882</t>
  </si>
  <si>
    <t>domestic transportation distance</t>
  </si>
  <si>
    <t>400km</t>
  </si>
  <si>
    <t>800km</t>
  </si>
  <si>
    <t>origins of imported timber</t>
  </si>
  <si>
    <t>PROCEEDINGS OF THE INSTITUTION OF CIVIL ENGINEERS-ENERGY</t>
  </si>
  <si>
    <t>energy; environment; waste management &amp; disposal</t>
  </si>
  <si>
    <t>WOOD</t>
  </si>
  <si>
    <t>Weight, DH</t>
  </si>
  <si>
    <t>Embodied through-life carbon dioxide equivalent assessment for timber products</t>
  </si>
  <si>
    <t>This study illustrates the relative importance of embodied energy to buildings and summarises the broad merits of various material types. It then focuses on timber, being the most abundant bio-renewable material used. An audit is carried out on carbon flows from forest to end of life for timber products, initially based on the assumption that the timber will be disposed of to landfill at the end of life, and then considering alternative scenarios. The author challenges a common view that, when landfilled, nearly all the embodied carbon dioxide will be eventually released by rotting and that carbon dioxide sequestration should therefore be excluded. Two opposing arguments are given. Firstly, when landfilled, only a relatively small percentage of the embodied carbon will be released by rotting. Secondly, it is very probable that in the future most waste wood, rather than being landfilled, will be used as fuel, when it will displace some fossil fuel that would otherwise have been used. The study includes a sensitivity analysis of carbon dioxide equivalent emissions per final kilogramme of product and provides a summary of six scenarios, covering manufacturing complexity, various end-of-life scenarios and, most importantly, the provenance of the timber and the effect of sustainable forest management. A further sensitivity study is carried out for all scenarios on different levels of economic allocation and fossil fuel displacement.</t>
  </si>
  <si>
    <t>Proc. Inst. Civ. Eng.-Energy</t>
  </si>
  <si>
    <t>10.1680/ener.2011.164.4.167</t>
  </si>
  <si>
    <t>Type of timber product (raw sawn structural timber vs highly engineered wooden windows)</t>
  </si>
  <si>
    <t>Scenario C: structural timber (EoL = incineration for electricity)</t>
  </si>
  <si>
    <t>Scenario E: highly engineered wooden windows (EoL = incineration for electricity)</t>
  </si>
  <si>
    <t>kgCO2e m-3 of dry harvested timber wood</t>
  </si>
  <si>
    <t>Surprising functional unit (m3 of dry harvested timber wood, followed by economic allocation of impacts between timber and co-products, the reported impact being that of timber). Scenario F Excluded: the deforestation scenario double counts emissions from wood (once when deforestation occurs and a second time at the EoL of wood products whereas the reference scenario counts them only once, and counts storage as the cleared forest stand is assumed to regrow</t>
  </si>
  <si>
    <t>End of life (landfill vs methane capture and burning for electricity)</t>
  </si>
  <si>
    <t>Scenario A: uncovered landfill</t>
  </si>
  <si>
    <t>Scenario B: landfill with methane capture and burning for electricity</t>
  </si>
  <si>
    <t>okAV</t>
  </si>
  <si>
    <t>End of life (landfill vs incineration for electricity)</t>
  </si>
  <si>
    <t>Scenario C: incineration for electricity</t>
  </si>
  <si>
    <t>End of life (landfill vs incineration for CHP)</t>
  </si>
  <si>
    <t>Scenario D: incineration for CHP</t>
  </si>
  <si>
    <t>carbon dioxide (CO2) emissions; greenhouse gas (GHG) emissions; harvested wood products (HWPs); industrial ecology; power grid; wastepaper recycling</t>
  </si>
  <si>
    <t>LIFE-CYCLE ASSESSMENT; TECHNOLOGY</t>
  </si>
  <si>
    <t>Wells, JR; Boucher, JF; Laurent, AB; Villeneuve, C</t>
  </si>
  <si>
    <t>Carbon Footprint Assessment of a Paperback Book Can Planned Integration of Deinked Market Pulp be Detrimental to Climate?</t>
  </si>
  <si>
    <t>This study presents the carbon footprint of a paperback book for which the cover and inside papers were produced in the United States and printed in Canada. The choice of paper mills for both cover and page papers was based on criteria such as percentage of recycled content in the pulp mix, transport distances (pulp mill to paper mill, paper mill to print), and technologies. The cradle-to-gate assessment of greenhouse gas (GHG) emissions follows recognized guidelines for carbon footprint assessment. The results show that the production of 400,000 books, mainly distributed in North America, would generate 1,084 tonnes carbon dioxide equivalent (CO2-eq), or 2.71 kilograms (kg) CO2-eq per book. The impact of using deinked market pulp (DMP) is shown here to be detrimental, accounting for 54% of total GHG emissions and being 32% higher than reference virgin Kraft pulp. This supports findings that DMP mill GHG emissions strongly correlate with the carbon intensity of the power grid supplying the pulp mill and that virgin Kraft mills that reuse wood residue and black liquor to produce heat and electricity can achieve lower GHG emissions per tonne of pulp produced. Although contrary to common thinking, this is consistent with the Paper Task Force 2002 conclusion for office paper (the closest paper grade to writing paper or fine paper) (EDF 2002a). To get a cradle-to-grave perspective, three different end-of-life (EOL) scenarios were analyzed, all of which included a harvested wood product (HWP) carbon storage benefit for 25 years. The GHG offset concept within the context of the book editor's carbon-neutral paper claims is also discussed.</t>
  </si>
  <si>
    <t>10.1111/j.1530-9290.2011.00414.x</t>
  </si>
  <si>
    <t>Share of recycled books</t>
  </si>
  <si>
    <t>EOL-A: 100% landfill</t>
  </si>
  <si>
    <t>EOL-B: 100% recycling</t>
  </si>
  <si>
    <t>kgCO2e per book</t>
  </si>
  <si>
    <t>There are also four other scenarios compared, involving virgin pulp, but it's difficult to understand what are the scenarios and how the results add up to something comparable.</t>
  </si>
  <si>
    <t>EOL-C: 50% recycling, 50% landfill</t>
  </si>
  <si>
    <t>FRONTIERS IN ENVIRONMENTAL SCIENCE</t>
  </si>
  <si>
    <t>climate change mitigation; harvested wood products; production approach; recovered paper; IPCC; carbon stock</t>
  </si>
  <si>
    <t>BUDGET; FORESTS; CYCLE; SEQUESTRATION; CONSEQUENCES; CONSTRUCTION; STORAGE; MODELS; SECTOR; SINK</t>
  </si>
  <si>
    <t>Yu, ZH; Zhang, H; Tu, QS; Yang, HQ</t>
  </si>
  <si>
    <t>Methodological Comparison of the Production Approach 2013 and 2019 for Quantifying the Carbon Stock in Harvested Wood Products in China</t>
  </si>
  <si>
    <t>Harvested wood products (HWP) play an important role in global climate change mitigation. The Production Approach, an internationally accepted HWP carbon accounting approach by the Intergovernmental Panel on Climate Change (IPCC), has been revised several times to enhance the accuracy of the accounting results. This study compared the methodological differences in the Production Approach elaborated in the 2013 Revised Supplementary Methods and Good Practice Guidance Arising from the Kyoto Protocol (PA2013) and 2019 Refinement to the 2006 IPCC Guidelines for National Greenhouse Gas Inventories (PA2019). We used PA2019 to calculate the HWP carbon stock in China under different wood utilization scenarios. In terms of recycling and reusing of recovered paper, we found that PA2019 has a more accurate representation of the increasing proportion of paper and paperboard materials produced using recovered paper in the world. In 2019, the HWP carbon stock in China was 815.94 Mt (1 Mt = 10(6) t) using PA2019. In detail, the carbon stock of sawnwood, wood-based panels, and paper and paperboard were 208.52 Mt, 559.73 Mt, and 47.69 Mt, respectively. Scenario simulation results show that half-life was an important factor that affecting HWP carbon stock. China can improve HWP carbon stock by increasing the recovered paper utilization rate for paper products or increasing the utilization rate of HWP with long half-life in construction (structural material). The additional carbon stock obtained by changing the utilization structure of wood and improve the half-life of HWP will not be large until decades later but nonetheless important.</t>
  </si>
  <si>
    <t>Front. Environ. Sci.</t>
  </si>
  <si>
    <t>10.3389/fenvs.2022.758857</t>
  </si>
  <si>
    <t>scenario of wood utilization</t>
  </si>
  <si>
    <t>bau</t>
  </si>
  <si>
    <t>Clinker; Greenhouse gas; Landfill; Life cycle assessment; Low carbon fuel</t>
  </si>
  <si>
    <t>ENVIRONMENTAL ASSESSMENT; ALTERNATIVE FUELS; LCA; ENERGY; TOOL</t>
  </si>
  <si>
    <t>Zhang, LH; Mabee, WE</t>
  </si>
  <si>
    <t>Comparative study on the life-cycle greenhouse gas emissions of the utilization of potential low carbon fuels for the cement industry</t>
  </si>
  <si>
    <t>A life cycle assessment (LCA) model has been developed to evaluate the greenhouse gas (GHG) emissions associated with the use of alternative fuels in the production of clinker, an intermediate product in the manufacture of cement, and to confirm the categorization of these alternatives as low carbon fuels (LCFs) compared to the conventional use of fossil fuels. This model has included all GHG emission sources associated with clinker production, such as the kiln process, production and transportation of raw materials and fuels, and electricity production. Four potential LCFs are investigated including construction and demolition (C&amp;D) wood waste, asphalt shingles, railway ties, and plastics. At the case study plant (Lafarge Cement in Bath, Ontario), the model estimates that the production of 1 metric tonne (t) of clinker produces a total of 971.4 kg of carbon dioxide equivalents (including all GHGs from fuels and raw materials), of which 388.6 kg CO2-e are associated with combustion of fossil fuels at a mixture of 99 wt% petroleum coke and 1 wt% coal. Emissions are decreased to 582.6 kg CO2-eit clinker (a 40% reduction) when 100% fossil fuels are replaced with C&amp;D wood waste, in which all carbon is from biogenic sources. If the volume of C&amp;D waste required to fuel 100% of cement plant operation were to be diverted from a typical landfill (with no flaring or energy recovery), emissions equivalent to 488.6 kg of CO2-eit clinker would be avoided. Using 100% C&amp;D waste, the reduced emissions in energy production coupled with avoided emissions at the landfill would effectively reduce total emissions at the plant by more than 90% compared to the baseline emissions associated with fossil fuel use. All four of the alternative fuels examined with the model provided significant GHG emission reductions at higher substitution rates, confirming their characterization as LCFs, and suggesting that the use of LCFs in cement manufacture can be effective in reducing emissions associated with global warming. Since the LCA model is able to predict the global warming potential (GWP) for any potential LCFs at any substitution ratios, it may be used as a pre-screening tool for the selection of future LCFs for the cement and other carbon-intensive industries, facilitating increased LCF usage and hence contributing to GHG reductions across the cement sector. (C) 2016 Elsevier Ltd. All rights reserved.</t>
  </si>
  <si>
    <t>10.1016/j.jclepro.2016.02.019</t>
  </si>
  <si>
    <t>Recycling wood from building demolition as fuel for clinker production instead of landfilling with methane flaring</t>
  </si>
  <si>
    <t>C&amp;D wood waste</t>
  </si>
  <si>
    <t>kgCO2e/t clinker</t>
  </si>
  <si>
    <t>One could probably deduct the amount of wood based on the amount of landfill methane but it is not a straightforward estimate and there is no way in the article to check the order of magnitude of the result.</t>
  </si>
  <si>
    <t>Recycling wood from building demolition as fuel for clinker production instead of landfilling with methane capture and burning for electricity</t>
  </si>
  <si>
    <t>Recycling wood from railway ties as fuel for clinker production instead of landfilling with methane flaring</t>
  </si>
  <si>
    <t>Recycling wood from railway ties as fuel for clinker production instead of landfilling with methane capture and burning for electricity</t>
  </si>
  <si>
    <t>Recycling wood from building demolition as fuel for clinker production instead of landfilling</t>
  </si>
  <si>
    <t>Recycling wood from railway ties as fuel for clinker production instead of landfilling</t>
  </si>
  <si>
    <t>FRESENIUS ENVIRONMENTAL BULLETIN</t>
  </si>
  <si>
    <t>Timber production; Operation models; GHG emissions; Life cycle assessment; Emission reduction; Energy consumption</t>
  </si>
  <si>
    <t>CARBON FOOTPRINT; ENERGY-CONSUMPTION; TEMPERATURE-DEPENDENCE; FOREST; ELECTRICITY; NETWORK; SEQUESTRATION; DYNAMICS; MIGRANTS; INDUSTRY</t>
  </si>
  <si>
    <t>Zhou, Y; Zheng, LF; Zhou, XN; Hu, XS; Wu, ZL; Zhou, CJ; Li, D</t>
  </si>
  <si>
    <t>GREENHOUSE GAS (GHG) EMISSIONS AND THE OPTIMUM OPERATION MODEL OF TIMBER PRODUCTION SYSTEMS IN SOUTHERN CHINA</t>
  </si>
  <si>
    <t>Deforestation as an activity of forest management is an intermediate link in timber production. Different models of timber production make a difference in GHG emissions and to a certain extent affect the sustainable development of the ecological environment. Accordingly, due to global climate change, energy conservation and emission reduction have become critical issues concerning all humans. This paper taking the operating systems of timber production in the southern China, as a case study, and GHG emissions and the optimum operation model of timber production are analysed with the B2B model of life cycle assessment (LCA) and the current forest industry standard. The results indicate that the total emissions of GHG range between 11.600 9 kg/m(3) and 15.303 6 kg/m(3), accounting for approximately 4.5 percent to 5.5 percent of their carbon sequestration abilities. Direct GHG emissions generated by fuel consumption during harvesting, skidding, loading, transportation and production are the primary emissions, accounting for approximately 69.1 percent to 91.5 percent of the total emissions. Moreover, the emission of every type of GHG is lowest under model IV (which included chainsaw cutting, cableway skidding, winch loading, diesel vehicle transportation and vehicle transmission). From the perspective of ecology, therefore, model IV is the optimal operation model. On the other hand, the emission from timber transportation is highest, accounting for approximately 61.5 percent to 72.3 percent. Therefore, appropriate operation models should be choose according to the mechanical production and management, production tasks and scales, foundations of forest mechanization and economic conditions. In terms of carbon reduction, improvement of the mechanical equipment efficiency, operation skills and utilization of new energy resources should be considered.</t>
  </si>
  <si>
    <t>Fresenius Environ. Bull.</t>
  </si>
  <si>
    <t>Zhou_2015_no_DOI</t>
  </si>
  <si>
    <t>Transport vehicle efficiency</t>
  </si>
  <si>
    <t>kgCO2/m3 of harvestable wood</t>
  </si>
  <si>
    <t>Skidding technology</t>
  </si>
  <si>
    <t>Skidding technology &amp; transport vehicle efficiency</t>
  </si>
  <si>
    <t>no delta wood</t>
  </si>
  <si>
    <t>ecosystem services; biodiversity; wood production; carbon sequestration; forest management; sustainability; simulation; Europe</t>
  </si>
  <si>
    <t>ECOSYSTEM SERVICES; CLIMATE-CHANGE; TREE MORTALITY; MANAGEMENT; IMPACTS; MONOCULTURES; STRATEGIES; DIVERSITY; CONFLICTS; DROUGHT</t>
  </si>
  <si>
    <t>Biber, P; Felton, A; Nieuwenhuis, M; Lindbladh, M; Black, K; Bahyl, J; Bingol, O; Borges, JG; Botequim, B; Brukas, V; Bugalho, MN; Corradini, G; Eriksson, LO; Forsell, N; Hengeveld, GM; Hoogstra-Klein, MA; Kadiogullari, AI; Karahalil, U; Lodin, I; Lundholm, A; Makrickiene, E; Masiero, M; Mozgeris, G; Pivoriunas, N; Poschenrieder, W; Pretzsch, H; Sedmak, R; Tucek, J</t>
  </si>
  <si>
    <t>Forest Biodiversity, Carbon Sequestration, and Wood Production: Modeling Synergies and Trade-Offs for Ten Forest Landscapes Across Europe</t>
  </si>
  <si>
    <t>Europe&amp;apos;s forests provide vital habitat for biodiversity and essential ecosystem services whose provision must be sustained or enhanced over the coming century. However, the potential to secure or increase forest ecosystem services, while securing the habitat requirements of taxa remains unclear, especially within the context of uncertain climate and socio-economic developments. To tease out the associated trade-offs and synergies, we used 10 case study landscapes within nine countries throughout Europe. Starting with the current status of the forests in the case study landscapes, we simulated forest development 100 years into the future. Simulations were embedded in three combined climate and socio-economic frame scenarios based on global and European policies which varied in their climate change mitigation efficiency. Scenarios were translated into country specific projections of climate variables, and resultant demands for wood products. Forest management regimes were projected to vary in response to these scenarios at local scales. The specific combinations of alternative forest management practices were based on parallel research and input from local forest stakeholders. For each case study, a specific forest growth simulator was used. In general, the climate scenarios applied did not cause fundamentally different ecosystem service outputs at the case study level. Our results revealed almost no reduction in outcomes for biodiversity indicators with an increase in wood production, and in some cases synergistic results occurred when diversity was actively promoted as part of the management concept. Net carbon uptake was not strongly correlated with biodiversity, indicating that biodiversity-friendly forest management doesn&amp;apos;t need to curtail carbon sequestration. Notably, we obtained heterogeneous results for the relation between sustainable wood production and net carbon uptake. Most scenarios resulted in a more or less reduced net carbon uptake over the long term, often due to stand age class distribution shifts. Levels of sustainable wood production varied widely during the simulation period, from significant increases (Sweden, Lithuania) to minor changes (Slovakia, Turkey) and slight decreases (Ireland, Netherlands). We place our results within the larger context of European forest policy and the challenges of simulating and contrasting forest biodiversity and the ecosystem services that societies depend on.</t>
  </si>
  <si>
    <t>10.3389/fevo.2020.547696</t>
  </si>
  <si>
    <t>changed_to_C_output_cannot_be_cumulated</t>
  </si>
  <si>
    <t>bioenergy; climate impact; forest biomass; forest management; radiative forcing; substitution</t>
  </si>
  <si>
    <t>ENERGY WOOD PRODUCTION; CARBON NEUTRALITY; NORWAY SPRUCE; BIOENERGY; EMISSIONS; TIMBER; RESIDUES; FINLAND; STAND; DEBT</t>
  </si>
  <si>
    <t>Kilpelainen, A; Torssonen, P; Strandman, H; Kellomaki, S; Asikainen, A; Peltola, H</t>
  </si>
  <si>
    <t>Net climate impacts of forest biomass production and utilization in managed boreal forests</t>
  </si>
  <si>
    <t>In this work, we studied the potentials offered by managed boreal forests and forestry to mitigate the climate change using forest-based materials and energy in substituting fossil-based materials (concrete and plastic) and energy (coal and oil). For this purpose, we calculated the net climate impacts (radiative forcing) of forest biomass production and utilization in the managed Finnish boreal forests (60 degrees-70 degrees N) over a 90-year period based on integrated use forest ecosystem model simulations (on carbon sequestration and biomass production of forests) and life-cycle assessment (LCA) tool. When studying the effects of management on the radiative forcing in a system integrating the carbon sink/sources dynamics in both biosystem and technosystem, the current forest management (baseline management) was used a reference management. Our results showed that the use of forest-based materials and energy in substituting fossil-based materials and energy would provide an effective option for mitigating climate change. The negative climate impacts could be further decreased by maintaining forest stocking higher over the rotation compared to the baseline management and by harvesting stumps and coarse roots in addition to logging residues in the final felling. However, the climate impacts varied substantially over time depending on the prevailing forest structure and biomass assortment (timber, energy biomass) used in substitution.</t>
  </si>
  <si>
    <t>10.1111/gcbb.12243</t>
  </si>
  <si>
    <t>Biogenic carbon; Climate change mitigation; Time-dynamic LCA; Transport sector; Partial-equilibrium model</t>
  </si>
  <si>
    <t>LIFE-CYCLE ASSESSMENT; BIOMASS SUPPLY CHAINS; IMPACT ASSESSMENT; CLIMATE IMPACTS; SYSTEM BOUNDARIES; BIOENERGY SYSTEMS; TEMPORARY-STORAGE; CONSEQUENTIAL LCA; FOREST RESIDUES; KEY ISSUES</t>
  </si>
  <si>
    <t>Albers, A; Collet, P; Lorne, D; Benoist, A; Helias, A</t>
  </si>
  <si>
    <t>Coupling partial-equilibrium and dynamic biogenic carbon models to assess future transport scenarios in France</t>
  </si>
  <si>
    <t>Bioenergy systems are promoted in an effort to mitigate climate change, and policies are defined accordingly to be implemented in the coming decades. Life Cycle Assessment (LCA) is used to assess the environmental performance of bioenergy systems, yet subject to the limitations of static approaches. In classical LCA, no temporal differentiation is undertaken: all inventoried instant to long-term greenhouse gases emissions (GHG) are aggregated and characterised in the same way, over a fixed time horizon, by means of fixed characterisation factors. Positive and negative impact contributions of dynamic biogenic carbon (C-bio) sum up to zero, yielding the same result as carbon neutral estimates. Climate mitigation results are biased without the temporal consideration of these flows. The purpose of the study is to highlight the time-sensitive potential climatic consequences of policy-driven transport strategies for metropolitan France, in the specific context of the dynamic LCA framework and climate change mitigation. We therefore propose a dynamic approach coupling a partial equilibrium model (PEM) with dynamic C-bio models. The PEM analyses in detail the techno-economic performance of the metropolitan French energy-transport sector. It explores prospective optimization options (supply demand equilibrium) of emerging commodity and energy process pathways in response to a policy in question. The C-bio model generates dynamic inventories of the C-bio embedded in the primary renewable biomass outputs of the PEM. It captures the dynamic C-bio exchange flows between the atmosphere and the technosphere over time: negative emissions from fixation (sequestration) and positive emissions from release (e.g. combustion or decay). A dynamic impact method is applied to evaluate the mitigation effects of C-bio from forest wood residues by comparing the climate change impacts from complete carbon (fossil + biogenic) with carbon neutral inventories across scenarios. Two sets of results are computed concerning the overall transport (all emissions) and bioethanol (wood-to-fuel emissions) systems. The mitigation effect from long-term historic sequestration allocated to bioethanol (462%) is significantly larger than for transport (3%), expressed as the difference with carbon neutral estimates. The fossil-sourced emissions from bioethanol production represents only 5.4%. In contrast, a comparison with an alternative reference scenario involving wood decay demonstrated higher impacts (i.e. an increase of 316%) than carbon neutral estimates. The representation of the actual climatic consequences depends on the chosen fixed end-year of the dynamic impact assessment. Moreover, the mitigation effect is proven sensitive to the rotation length of forestry wood: the shorter the length the lower the mitigation from using renewable forest resources. Other energy-policy scenarios, C-bio modelling approaches and consequences of indirect effects should be further studied and contrasted.</t>
  </si>
  <si>
    <t>10.1016/j.apenergy.2019.01.186</t>
  </si>
  <si>
    <t>The "unharvested" forest compartment of the BAU scenario is not accounted. A sensitivity analysis on rotation length could possibly be exploited, but it is not the core of the article and there is little detail about it (amount of harvested wood, …).</t>
  </si>
  <si>
    <t>whole building; cross-laminated timber (CLT); environmental impacts; embodied carbon; cradle-to-grave</t>
  </si>
  <si>
    <t>WOOD; SUBSTITUTION; CONSTRUCTION; LCA</t>
  </si>
  <si>
    <t>Chen, ZJ; Gu, HM; Bergman, RD; Liang, SB</t>
  </si>
  <si>
    <t>Comparative Life-Cycle Assessment of a High-Rise Mass Timber Building with an Equivalent Reinforced Concrete Alternative Using the Athena Impact Estimator for Buildings</t>
  </si>
  <si>
    <t>Buildings consume large amounts of materials and energy, making them one of the highest environmental impactors. Quantifying the impact of building materials can be critical to developing an effective greenhouse gas mitigation strategy. Using Athena Impact Estimator for Buildings (IE4B), this paper compares cradle-to-grave life-cycle assessment (LCA) results for a 12-story building constructed from cross-laminated timber (CLT) and a functionally equivalent reinforced concrete (RC) building. Following EN 15978 framework, environmental impacts for stages A1-A5 (product to construction), B2, B4, and B6 (use), C1-C4 (end of life), and D (beyond the building life) were evaluated in detail along resource efficiency. For material resource efficiency, total mass of the CLT building was 33.2% less than the alternative RC building. For modules A to C and not considering operational energy use (B6), LCA results show a 20.6% reduction in embodied carbon achieved for the CLT building, compared to the RC building. For modules A to D and not considering B6, the embodied carbon assessment revealed that for the CLT building, 6.57 x 10(5) kg CO2 eq was emitted, whereas for the equivalent RC building, 2.16 x 10(6) kg CO2 eq was emitted, and emissions from CLT building was 70% lower than that from RC building. Additionally, 1.84 x 10(6) kg of CO2 eq was stored in the wood material used in the CLT building during its lifetime. Building material selection should be considered for the urgent need to reduce global climate change impacts.</t>
  </si>
  <si>
    <t>10.3390/su12114709</t>
  </si>
  <si>
    <t xml:space="preserve"> actually live biomass C is only accounted for in the alternative system (regrowth) but not in the reference system (no accounting of loss in growth from harvest)</t>
  </si>
  <si>
    <t>IFOREST-BIOGEOSCIENCES AND FORESTRY</t>
  </si>
  <si>
    <t>Bioenergy policy; Carbon sinks; Disposed thinned wood; Thinning; Woody biomass</t>
  </si>
  <si>
    <t>BIOMASS; ENERGY</t>
  </si>
  <si>
    <t>Etoh, H; Sasaki, N; Chay, S; Ninomiya, H</t>
  </si>
  <si>
    <t>Carbon emission reduction potentials through thinned wood in Japan</t>
  </si>
  <si>
    <t>Substituting fossil fuel with woody biomass for bioelectricity production has great potentials for carbon emission reductions while increasing forest productivity to increase carbon sequestration and improve ecological functionalities. Until recently, study on such potentials was very limited. Beginning in 2007, Japan's special budgets were allocated for a 6-year intensive thinning on about 3.3 million ha of young stands for increasing carbon sinks in Japanese forests to meet the capped amount of 47.7 Tg CO2 year(-1) allowed under the Marrakesh Accord. Because of only 30% of the thinned wood were used for sawntimber, CO2 and CH4 must have been emitted from the disposed thinned wood and wood waste. Such emissions and reduction potentials need to be assessed to provide future alternatives for climate change mitigation. We assessed carbon emission reduction potentials when woody biomass from thinned wood is fully utilized for bioelectricity production as compared with the generation of the same amount of energy produced under coal, oil, and natural gas scenarios. Our analytical results show that if all disposed thinned wood and wood waste are utilized to generate energy, about 62.6, 58.3, and 37.8 Tg CO2 year-1 could be prevented from emitting depending on emission scenarios or about 33.2, 30.9, and 20.0% of Japan's reduction commitment to the Kyoto Protocol. On the other hand, if thinned wood and wood waste are not utilized, about 13.4 Tg CO2 year(-1) would be released due to thinning. Our results suggest that incentives to reducing emission reductions in forest sector in the future climate change mitigation agreements will likely lead to large emission reductions, otherwise leakages due to thinning are unavoidable.</t>
  </si>
  <si>
    <t>iForest</t>
  </si>
  <si>
    <t>10.3832/ifor0574-004</t>
  </si>
  <si>
    <t>disagree: losses from the forest compartments are clearly ignored, but they are equally ignored in the 3 scenarios (coal, gas, oil), as in many "LCA" papers</t>
  </si>
  <si>
    <t>Engineered wood products; Policy drivers; Scenario modelling; Potential GHG emission savings</t>
  </si>
  <si>
    <t>OPPORTUNITIES; INNOVATION; GERMANY</t>
  </si>
  <si>
    <t>Hildebrandt, J; Hagemann, N; Thran, D</t>
  </si>
  <si>
    <t>The contribution of wood-based construction materials for leveraging a low carbon building sector in europe</t>
  </si>
  <si>
    <t>Increasing the use of engineered wood products in the European Union can contribute to leveraging a shift towards a more emission-efficient production of construction materials. Engineered timber products have already been substituted for carbon and energy intensive concrete and steel-based building constructions, but they still lack the capacities and market demand to be more than just a niche market. However, in the post-crisis period after 2008 the consumption of engineered wood products began rising in Europe. In this paper we analyse options for the future development of engineered wood products taking into consideration policy barriers and technical and environmental potentials for accelerating market introduction as part of a comprehensive scenario approach. For the European building sector we assessed an achievable potential for net carbon storage of about 46 million tonnes CO2-eqv. per year in 2030. To unlock this potential a bundle of instruments is necessary for increasing the market share for engineered wood products against the backdrop of existing policy instruments such as the gradual introduction of stricter rules for carbon emissions trading or more incentives for the voluntary use of innovative wood construction materials.</t>
  </si>
  <si>
    <t>10.1016/j.scs.2017.06.013</t>
  </si>
  <si>
    <t>Two scenarios are compared but only emissions and storage from wood materials are accounted for, which results in different perimeters for the two scenarios (the scenario with less wood misses emissions from alternative materials).</t>
  </si>
  <si>
    <t>changed_to_different_perimeters</t>
  </si>
  <si>
    <t>ECOSYSTEM SERVICES</t>
  </si>
  <si>
    <t>Scenario analysis; Land-use and cover change; Raral landscape; Ecosystem service trade-offs</t>
  </si>
  <si>
    <t>IMPACT; PHILIPPINES; SYSTEMS; FUTURE; MODELS</t>
  </si>
  <si>
    <t>Shoyama, K; Yamagata, Y</t>
  </si>
  <si>
    <t>Predicting land-use change for biodiversity conservation and climate-change mitigation and its effect on ecosystem services in a watershed in Japan</t>
  </si>
  <si>
    <t>Potential conflicts between biodiversity conservation and climate-change mitigation can result in trade-offs in multiple-use land management. This study aimed to detect possible changes in land-use patterns in response to biodiversity conservation and climate-change mitigation measures and the effects on ecosystem services across a watershed. We analyzed land-cover change based on past and future scenarios in the rural Kushiro watershed in northern japan. The analysis showed that if no conservation measures were implemented and the timber and agricultural industry remained small until 2060, supporting and provisioning services would decline due to less land management. Although biodiversity conservation measures are predicted to improve three of the ecosystem services that we studied, carbon sequestration and timber production would be improved to a greater degree by climate-change mitigation measures. The greatest land-cover changes are likely to occur in the unprotected area around the middle reaches of the Kushiro River, and such changes could affect the provision of ecosystem services throughout the entire watershed. Thus, our findings indicate that landuse decisions for the middle reaches of the watershed are particularly important for managing the integrated ecosystem services of the entire watershed for the future. (C) 2014 Elsevier B.V. All rights reserved.</t>
  </si>
  <si>
    <t>Ecosyst. Serv.</t>
  </si>
  <si>
    <t>10.1016/j.ecoser.2014.02.004</t>
  </si>
  <si>
    <t xml:space="preserve">No details on where the C andharvest data come from. Exclude </t>
  </si>
  <si>
    <t>timber; harvest residues; ethanol; GHG savings; Michigan</t>
  </si>
  <si>
    <t>WOODY BIOMASS; ETHANOL-PRODUCTION; UNITED-STATES; ENERGY; MICHIGAN; RESOURCES; BIOENERGY; USA; PERSPECTIVES; EMISSIONS</t>
  </si>
  <si>
    <t>Zhang, FL; Johnson, DM; Wang, JJ; Liu, SH; Zhang, SM</t>
  </si>
  <si>
    <t>Measuring the Regional Availability of Forest Biomass for Biofuels and the Potential of GHG Reduction</t>
  </si>
  <si>
    <t>Forest biomass is an important resource for producing bioenergy and reducing greenhouse gas (GHG) emissions. The State of Michigan in the United States (U.S.) is one region recognized for its high potential of supplying forest biomass; however, the long-term availability of timber harvests and the associated harvest residues from this area has not been fully explored. In this study time trend analyses was employed for long term timber assessment and developed mathematical models for harvest residue estimation, as well as the implications of use for ethanol. The GHG savings potential of ethanol over gasoline was also modeled. The methods were applied in Michigan under scenarios of different harvest solutions, harvest types, transportation distances, conversion technologies, and higher heating values over a 50-year period. Our results indicate that the study region has the potential to supply 0.75-1.4 Megatonnes (Mt) dry timber annually and less than 0.05 Mt of dry residue produced from these harvests. This amount of forest biomass could generate 0.15-1.01 Mt of ethanol, which contains 0.68-17.32 GJ of energy. The substitution of ethanol for gasoline as transportation fuel has potential to reduce emissions by 0.043-1.09 Mt CO2eq annually. The developed method is generalizable in other similar regions of different countries for bioenergy related analyses.</t>
  </si>
  <si>
    <t>10.3390/en11010198</t>
  </si>
  <si>
    <t>Surprisingly large difference between technologies. Article looks more like a coarse draft than like a peer-reviewed article. Journal published by MDPI: beware!!!</t>
  </si>
  <si>
    <t>ENVIRONMENTAL IMPACT ASSESSMENT REVIEW</t>
  </si>
  <si>
    <t>Forest carbon; Land use change; Land use modification; Product carbon footprint protocols; Biogenic carbon; Wood life cycle inventories</t>
  </si>
  <si>
    <t>LIFE-CYCLE ASSESSMENT; OLD-GROWTH FORESTS; LAND-USE CHANGE; WOOD PRODUCTS; NET FLUX; STORAGE; MANAGEMENT; EMISSIONS; BIOMASS; MODEL</t>
  </si>
  <si>
    <t>Accounting for forest carbon pool dynamics in product carbon footprints: Challenges and opportunities</t>
  </si>
  <si>
    <t>Modification and loss of forests due to natural and anthropogenic disturbance contribute an estimated 20% of annual greenhouse gas (GHG) emissions worldwide. Although forest carbon pool modeling rarely suggests a 'carbon neutral' flux profile, the life cycle assessment community and associated product carbon footprint protocols have struggled to account for the GHG emissions associated with forestry, specifically, and land use generally. Principally, this is due to underdeveloped linkages between life cycle inventory (LCI) modeling for wood and forest carbon modeling for a full range of forest types and harvest practices, as well as a lack of transparency in globalized forest supply chains. In this paper, through a comparative study of U.S. and Chinese coated freesheet paper, we develop the initial foundations for a methodology that rescales IPCC methods from the national to the product level, with reference to the approaches in three international product carbon footprint protocols. Due to differences in geographic origin of the wood fiber, the results for two scenarios are highly divergent. This suggests that both wood LCI models and the protocols need further development to capture the range of spatial and temporal dimensions for supply chains (and the associated land use change and modification) for specific product systems. The paper concludes by outlining opportunities to measure and reduce uncertainty in accounting for net emissions of biogenic carbon from forestland, where timber is harvested for consumer products. (C) 2012 Elsevier Inc. All rights reserved.</t>
  </si>
  <si>
    <t>Environ. Impact Assess. Rev.</t>
  </si>
  <si>
    <t>10.1016/j.eiar.2012.03.005</t>
  </si>
  <si>
    <t>US FOREST; CARBON; IMPACTS</t>
  </si>
  <si>
    <t>Alig, RJ; Bair, LS</t>
  </si>
  <si>
    <t>Forest environmental investments and implications for climate change mitigation</t>
  </si>
  <si>
    <t>Forest environmental conditions are affected by climate change, but investments in forest environmental quality can be used as part of the climate change mitigation strategy. A key question involving the potential use of forests to store more carbon as part of climate change mitigation is the impact of forest investments on the timing and quantity of forest volumes that affect carbon storage. Using an economic optimization model, we project levels of U.S. forest volumes as indicators of carbon storage for a wide range of private forest investment scenarios. Results show that economic opportunities exist to further intensify timber management on some hectares and reduce the average timber rotation length such that the national volume of standing timber stocks could be reduced relative to projections reflecting historical trends. The national amount of timber volume is projected to increase over the next 50 yr, but then is projected to decline if private owners follow an economic optimization path, such as with more forest type conversions and shorter timber rotations. With perfect foresight, future forest investments can affect current timber harvest levels, with intertemporal linkages based on adjustments through markets. Forest investments that boost regenerated timber yields per hectare would act to enhance ecosystem services (e.g., forest carbon storage) if they are related to the rate of growth and extent of growing stock inventory.</t>
  </si>
  <si>
    <t>10.2134/jeq2005.0154</t>
  </si>
  <si>
    <t>ENGINEERING GEOLOGY</t>
  </si>
  <si>
    <t>Forestry; Climate variability and change; Modeling; Pacific Northwest; Landslides; Slope stability; Mass wasting</t>
  </si>
  <si>
    <t>OREGON COAST RANGE; BRITISH-COLUMBIA; SLOPE STABILITY; ROOT REINFORCEMENT; PACIFIC-NORTHWEST; HAZARD EVALUATION; VEGETATION MODEL; CHANGE SCENARIOS; RISK-ASSESSMENT; UNITED-STATES</t>
  </si>
  <si>
    <t>Barik, MG; Adam, JC; Barber, ME; Muhunthan, B</t>
  </si>
  <si>
    <t>Improved landslide susceptibility prediction for sustainable forest management in an altered climate</t>
  </si>
  <si>
    <t>Landslide occurrences, which result in significant casualties, economic losses, and ecological impacts, have been increasing worldwide over the last few decades. Thus, it is crucial for future landslide susceptibility to be considered when making long-term plans for timber extraction. Two factors that are known to reduce soil strength and increase landslide susceptibility are clear cutting (due to reduced root contributions to soil strength) and degree of soil saturation. Therefore, as projected climate change is expected to result in storms with higher intensity precipitation in many mountainous regions, these areas are likely to become more susceptible to landslide activity resulting in potentially severe consequences to aquatic habitat due to increased sediment loads. There is a need to investigate potential management plans that simultaneously protect the economic viability of the forest industry and the ecosystem services of the forest. The primary objectives of this study are to explore the impact of timber harvesting on landslide susceptibility under climate change and to create high resolution (10 m) landslide susceptibility maps to inform land management decisions in an altered climate. The Distributed Hydrology Soil Vegetation Model (DHSVM), a physically-based hydrology model that has been improved to incorporate mass wasting and erosion processes, was used to assess the sensitivity of landslide susceptibility to timber extraction. To investigate the impacts of climate change on landslide susceptibility we applied down scaled output from two General Circulation Models (GCMs) with two greenhouse gas (GHG) emission scenarios, MB and B1, for the year 2045. The areal extent classified with a high landslide susceptibility increased on average by 7.1% and 10.7% for the B1 and A1B GHG emissions scenarios, respectively. The landslide susceptibility maps produced in this study can enable forest managers to plan for climate change by identifying areas that are more prone to landslide activity under altered climate conditions. The methodologies developed herein can be used by forest managers around the world to better assess landslide potential.</t>
  </si>
  <si>
    <t>Eng. Geol.</t>
  </si>
  <si>
    <t>10.1016/j.enggeo.2017.09.026</t>
  </si>
  <si>
    <t>climate cooling impact; displacement factor; forest landscape; initial age structure; mitigation efficiency; radiative forcing</t>
  </si>
  <si>
    <t>GAS DISPLACEMENT FACTORS; HARVESTED WOOD PRODUCTS; NET CLIMATE IMPACTS; LIFE-CYCLE IMPACTS; FOSSIL-FUEL; CARBON; ENERGY; SUBSTITUTION; BIOENERGY; MANAGEMENT</t>
  </si>
  <si>
    <t>Baul, TK; Alam, A; Strandman, H; Seppala, J; Peltola, H; Kilpelainen, A</t>
  </si>
  <si>
    <t>Radiative forcing of forest biomass production and use under different thinning regimes and initial age structures of a Norway spruce forest landscape</t>
  </si>
  <si>
    <t>We studied how different thinning regimes and initial age structures of a Norway spruce (Picea abies (L.) Karst.) forest landscape affect the radiative forcing of forest biomass production and use. We considered the effects of forest carbon sequestration, substitution of materials and fossil fuels with forest biomass, and timber use efficiency. The initial age structures of our hypothetical forest landscapes in the middle boreal zone in Finland were young, middle-aged, and mature. Forest landscapes were thinned using either the current thinning recommendations (baseline) or maintaining 20% higher or 20% lower stocking over the 80-year study period. We employed forest ecosystem model simulations together with a life cycle assessment tool. The highest carbon sequestration was obtained by maintaining higher stocking in the landscapes. The initially middle-aged and mature age structures resulted in the strongest cooling of the climate in the first three decades of the simulation, but the highest cooling was found in the young age structure. However, radiative forcing was less sensitive to the thinning than to the substitution or timber use efficiency. Our results indicate that modeled climate impacts are affected by both initial age structure and forest management, which should be considered when generalizing the climate change mitigation potential of forests and forestry.</t>
  </si>
  <si>
    <t>10.1139/cjfr-2019-0286</t>
  </si>
  <si>
    <t>removed extraction because no C output and cumulative raditive forcing not convertible to tCO2</t>
  </si>
  <si>
    <r>
      <t xml:space="preserve">Borjesson, M., Athanassiadis, D., Lundmark, R., &amp; Ahlgren, E. O. . . , </t>
    </r>
    <r>
      <rPr>
        <i/>
        <sz val="12"/>
        <color theme="1"/>
        <rFont val="Calibri"/>
        <family val="2"/>
        <scheme val="minor"/>
      </rPr>
      <t>7</t>
    </r>
    <r>
      <rPr>
        <sz val="12"/>
        <color theme="1"/>
        <rFont val="Calibri"/>
        <family val="2"/>
        <scheme val="minor"/>
      </rPr>
      <t>(5), 1118-1135.</t>
    </r>
  </si>
  <si>
    <t>Bioenergy futures in Sweden–system effects of CO 2 reduction and fossil fuel phase‐out policies</t>
  </si>
  <si>
    <t>Gcb Bioenergy</t>
  </si>
  <si>
    <t>10.1111/gcbb.12225</t>
  </si>
  <si>
    <t>INTERFACE FOCUS</t>
  </si>
  <si>
    <t>indirect land-use change; biofuels; greenhouse gas; ecosystem services; environmental economics; feedstocks</t>
  </si>
  <si>
    <t>GREENHOUSE-GAS EMISSIONS; ORGANIC-CARBON; CLIMATE-CHANGE; BIOFUELS; ENERGY; AGRICULTURE; AGAVE</t>
  </si>
  <si>
    <t>Davis, SC; House, JI; Diaz-Chavez, RA; Molnar, A; Valin, H; DeLucia, EH</t>
  </si>
  <si>
    <t>How can land-use modelling tools inform bioenergy policies?</t>
  </si>
  <si>
    <t>Targets for bioenergy have been set worldwide to mitigate climate change. Although feedstock sources are often ambiguous, pledges in European nations, the United States and Brazil amount to more than 100 Mtoe of biorenewable fuel production by 2020. As a consequence, the biofuel sector is developing rapidly, and it is increasingly important to distinguish bioenergy options that can address energy security and greenhouse gas mitigation from those that cannot. This paper evaluates how bioenergy production affects land-use change (LUC), and to what extent land-use modelling can inform sound decision-making. We identified local and global internalities and externalities of biofuel development scenarios, reviewed relevant data sources and modelling approaches, identified sources of controversy about indirect LUC (iLUC) and then suggested a framework for comprehensive assessments of bioenergy. Ultimately, plant biomass must be managed to produce energy in a way that is consistent with the management of food, feed, fibre, timber and environmental services. Bioenergy production provides opportunities for improved energy security, climate mitigation and rural development, but the environmental and social consequences depend on feedstock choices and geographical location. The most desirable solutions for bioenergy production will include policies that incentivize regionally integrated management of diverse resources with low inputs, high yields, co-products, multiple benefits and minimal risks of iLUC. Many integrated assessment models include energy resources, trade, technological development and regional environmental conditions, but do not account for biodiversity and lack detailed data on the location of degraded and underproductive lands that would be ideal for bioenergy production. Specific practices that would maximize the benefits of bioenergy production regionally need to be identified before a global analysis of bioenergy-related LUC can be accomplished.</t>
  </si>
  <si>
    <t>Interface Focus</t>
  </si>
  <si>
    <t>10.1098/rsfs.2010.0023</t>
  </si>
  <si>
    <t>Forest; Nutrient balance; Timber harvesting; Nutrient availability; Harvesting guidelines; Harvest residues; Netherlands</t>
  </si>
  <si>
    <t>NORWAY SPRUCE; NITROGEN DEPOSITION; RESIDUE REMOVAL; SCOTS PINE; CARBON; IMPACTS; PHOSPHORUS; CHEMISTRY; BOREAL; ACIDIFICATION</t>
  </si>
  <si>
    <t>de Vries, W; de Jong, A; Kros, J; Spijker, J</t>
  </si>
  <si>
    <t>The use of soil nutrient balances in deriving forest biomass harvesting guidelines specific to region, tree species and soil type in the Netherlands</t>
  </si>
  <si>
    <t>The substitution of biomass for fossil fuels in energy consumption is a measure to decrease the emissions of greenhouse gases and thereby mitigate global warming. During recent years, this has led to an increasing interest to use tree harvest residues as feedstock for bioenergy. An important concern related to the removal of har vesting residues is, however, the potential adverse effects on soil fertility caused by increased nutrient removal, relative to conventional stem-only harvesting. In the Netherlands this is a major concern, since most forests are located on poor sandy soils. To develop forest harvesting guidelines, we applied a mass balance approach comparing nutrient inputs by deposition and weathering with nutrient outputs by harvesting and leaching for various timber harvesting scenarios, including both stem-only harvesting and additional removal of tree tops and branches. A distinction was made in seven major tree species, six soil types (three sandy soils, loam, clay and peat soils) and nine regions, with clear variations in atmospheric deposition of phosphorus (P), calcium (Ca), magnesium (Mg) and potassium (K). For each region-tree-soil combination we calculated the maximum amounts that can be harvested such that the output of the nutrients Ca, Mg, K and P is balanced with the inputs. Results showed that at current harvesting rates, a negative balance of Ca, Mg, K or P is hardly calculated for the richer loamy to clayey soil types, while depletion can occur for the poorer sandy soils, particularly of P and K. Results are used to derive forest biomass harvesting guidelines, taking the uncertainties in the mass balance approach into account. The role of mitigating management approaches is also discussed.</t>
  </si>
  <si>
    <t>10.1016/j.foreco.2020.118591</t>
  </si>
  <si>
    <t>Avoided carbon emissions; Carbon in wood products; Faustmann model; Life-cycle assessment; Optimal rotation age; Southern United States</t>
  </si>
  <si>
    <t>UNITED-STATES; LIFE-CYCLE; FOREST; SEQUESTRATION; TIMBER; MANAGEMENT; BIOENERGY; PINE</t>
  </si>
  <si>
    <t>Dwivedi, P; Bailis, R; Stainback, A; Carter, DR</t>
  </si>
  <si>
    <t>Impact of payments for carbon sequestered in wood products and avoided carbon emissions on the profitability of NIPF landowners in the US South</t>
  </si>
  <si>
    <t>This study determines economic impact of payments for carbon sequestered in wood products and avoided carbon emissions due to use of forest biomass for electricity generation instead of fossil fuels on the profitability of non-industrial private forest (NIPF) landowners in the US South. Penalties for carbon emitted at the time of undertaking various silvicultural activities and exponential decay of wood products were also considered. We used life-cycle assessment to evaluate carbon emissions from various silvicultural activities. We modified the traditional Faustmann forest rotation model to incorporate identified carbon payments and penalties. Slash pine (Pinus elliottii) was selected as a representative species. We found that the overall global warming impact (GWI) for managing a hectare of intensively managed slash pine plantation was 6539 kg carbon dioxide equivalent. The maximum land expectation value (LEV) for the scenario when all carbon payments and penalties along with payments for timber products were considered was $1299/ha using a 20 year rotation age. This value is about 71% higher than the LEV when only payments for timber products were taken into account ($760/ha using a 21 year rotation age). Our results clearly indicate that emerging carbon markets could greatly benefit southern NIPF landowners. (C) 2012 Elsevier B.V. All rights reserved.</t>
  </si>
  <si>
    <t>10.1016/j.ecolecon.2012.03.014</t>
  </si>
  <si>
    <t>Mathematical modelling; Sustainability; Cross-laminated; Timber; Construction</t>
  </si>
  <si>
    <t>Fernandez, M; Martinez, A; Alonso, A; Lizondo, L</t>
  </si>
  <si>
    <t>A mathematical model for the sustainability of the use of cross-laminated timber in the construction industry: the case of Spain</t>
  </si>
  <si>
    <t>In recent years, computerized mathematical modelling has enabled construction-related problems to be resolved and predictions to be made regarding the behaviours of buildings and their environments in a more rigorous fashion than was the case with the deterministic models used until now. This model enables the analysis of a simulation of the sustainability of the use of timber as a major structural component in construction. Thus, using a unique model, which could be adapted to the particular characteristics of any country, the viability of a sustainable use of woodland can be verified, with extraction rates below 100 %, in order to supply an industry which accounts for a high percentage of the carbon dioxide emissions released into the atmosphere. In the specific case of Spain, the demographic forecasts for the next 40 years were used as the basis on which to establish the operational period of the model. For this period, the different variables involved in the natural production of wood were compared, along with felling strategies. The results point to sustainable scenarios for the most part during the target period in Spain, with the most unfavourable combinations of the variables preventing the sustainability of the use of timber from being achieved.</t>
  </si>
  <si>
    <t>10.1007/s10098-014-0738-3</t>
  </si>
  <si>
    <t>NEW ZEALAND JOURNAL OF AGRICULTURAL RESEARCH</t>
  </si>
  <si>
    <t>Agriculture; emissions trading scheme; forestry carbon sequestration; general equilibrium; global timber model; linking; New Zealand; pricing</t>
  </si>
  <si>
    <t>Fernandez, MA; Daigneault, A</t>
  </si>
  <si>
    <t>The Paris Agreement and its impact on cattle and food sectors of New Zealand</t>
  </si>
  <si>
    <t>The Paris Agreement asserts that greenhouse gas emission pathways should be consistent with holding the increase in global temperature below 1.5 degrees C, or 2 degrees C above pre-industrial levels. The purpose of this paper is to assess the economic impact of this agreement on the cattle and food product sectors of New Zealand. We used a general equilibrium approach to evaluate the economic impacts, and the Global Timber Model to estimate forestry carbon sequestration. We simulated eight scenarios where we allow accounting/not accounting for sequestration, pricing/not pricing agricultural emissions, and linking/not linking the New Zealand Emissions Trading Scheme (ETS) with the European Union ETS. We found that significant negative impacts occur if sequestration is not accounted, the ETS remains unlinked and agriculture is priced. Competitiveness, in turn, is not significantly affected if sequestration is accounted, regardless of the linking scheme of the ETS.</t>
  </si>
  <si>
    <t>N. Z. J. Agric. Res.</t>
  </si>
  <si>
    <t>10.1080/00288233.2016.1215335</t>
  </si>
  <si>
    <t>bioproductive area; electronic products; environmental indicator; industrial ecology; information and communications technology (ICT); natural capital accounting</t>
  </si>
  <si>
    <t>Frey, SD; Harrison, DJ; Billett, EH</t>
  </si>
  <si>
    <t>Ecological footprint analysis applied to mobile phones</t>
  </si>
  <si>
    <t>Ecological footprints (EF) have been used for more than 15 yr as an aggregate measure of sustainability of geographical regions, but also for certain products and activities. EF analysis measures the bioproductive areas required to produce resources such as crops and timber, the directly occupied areas for infrastructure, and areas for absorbing waste flows (mostly limited to carbon dioxide) in a given year for a defined population. The need to extend ecological footprint analysis to electronic products arose because so far, mobile phones have mainly been evaluated using life-cycle assessments with a focus on toxicity, end-of-life management, and energy use, thus ignoring the wider sustainability implications. This article presents the footprint results from three mobile phone case studies. To establish the land areas consumed by the mined materials used in electronic products, a database was developed based on literature data and on approximations from the density and overburden of materials. The relationship between abundance and overburden values was used in a regression analysis to estimate energy requirements in materials extraction where other data were not available. Using a life-cycle assessment approach, environmental burdens for producing and using a mobile phone were calculated and transformed into the instantaneous rate of resource consumption. Key results were that different electronic products have different ecological footprints and that the methodology proved sensitive enough to reveal differences in small electronic products and for monitoring technologies that use bioproductive space efficiently.</t>
  </si>
  <si>
    <t>10.1162/108819806775545330</t>
  </si>
  <si>
    <t>Fuelwood; Timber market; Forest sector model; Partial equilibrium model</t>
  </si>
  <si>
    <t>BIOENERGY DEMAND; TRADE IMPACTS; UNITED-STATES; MARKET MODEL; WOOD; CARBON; SUBSTITUTION; EUROPE; ENERGY; ROUNDWOOD</t>
  </si>
  <si>
    <t>Guo, JG; Gong, PC</t>
  </si>
  <si>
    <t>Assessing the impacts of rising fuelwood demand on Swedish forest sector: An intertemporal optimization approach</t>
  </si>
  <si>
    <t>An increase in the demand for fuelwood has the potential to affect traditional timber production. Based on a partial equilibrium model of the Swedish forest sector, this paper evaluates the supply and price of sawlogs, pulpwood and fuelwood under differing levels of future fuelwood demand. The results indicate that an increasing demand for fuelwood would intensify the competition between pulpwood and fuelwood, which would cause the prices of pulpwood and fuelwood to increase. The pulpwood supply would decrease and the fuelwood supply would increase in response to fuelwood demand expansion. An increasing demand for fuelwood would affect the harvest of sawlogs positively, though the effect would be small. It is concluded that an increase in the use of fuelwood would affect mainly the pulp and paper industry in terms of the provision of raw materials. Besides, the annual increment of forest standing volume would exceed the harvest in all the scenarios analyzed, implying that the Swedish forests are a carbon sink.</t>
  </si>
  <si>
    <t>10.1016/j.forpol.2019.05.020</t>
  </si>
  <si>
    <t>disagree: driver = unspecified harvest increase + gdp/pop/consumption, C output (in situ forest C) can be obtaine from fig 1</t>
  </si>
  <si>
    <t>the paper studies the price response to changes in the demand for fuelwood. Wood stocks and/or emissions are not reported in the study.</t>
  </si>
  <si>
    <t>Building retrofit; Hygrothermics; Energy efficiency; Indoor air quality; Occupant comfort; Mould growth</t>
  </si>
  <si>
    <t>CLOSED ENVIRONMENTS; PERFORMANCE; UNCERTAINTY; SAVINGS; SYSTEM</t>
  </si>
  <si>
    <t>Hall, MR; Casey, SP; Loveday, DL; Gillott, M</t>
  </si>
  <si>
    <t>Analysis of UK domestic building retrofit scenarios based on the E.ON Retrofit Research House using energetic hygrothermics simulation - Energy efficiency, indoor air quality, occupant comfort, and mould growth potential</t>
  </si>
  <si>
    <t>The work forms part of the CALEBRE project (2008-2013), the aim of which was to investigate a suite of technologies and staged approaches for retrofit upgrades for 'hard-to-treat' solid/thin cavity masonry-walled UK domestic buildings that would i) reduce operational energy demand/carbon emissions, and ii) be acceptable and appealing to the building occupants. The E.ON Retrofit Research House (Nottingham, UK) was used as an instrumented test platform as part of this study. The retrofitting phases (and technologies) have been used as the basis for the modelling methodology in this paper, together with the corresponding envelope assemblies, material properties, climate, and internal load parameters. The approach to retrofit was to increase air tightness (reduce ACH), decrease static U-values of the external envelope (wall, floor and glazing), and upgrade heating system efficiency. This was complemented by a combination of options that included a whole-building system of mechanical ventilation with heat recovery (MVHR). These interventions were analysed alongside simulated passive buffering of variations in indoor air psychrometric conditions using conventional (clay, timber) and advanced (mesoporous silica) wall surface treatments. Each retrofit scenario was modelled using an energetic hygrothermics building performance simulation (BPS) approach to determine the combined effects of retrofit packages on indoor air psychrometric conditions, external envelope (dynamic) heat transfer, operational energy efficiency, occupant comfort, and mould growth potential. It is proposed that this approach can provide the basis for an intelligent risk management strategy to inform both the design and deployment of retrofit upgrade packages intended for residential buildings. (C) 2013 Elsevier Ltd. All rights reserved.</t>
  </si>
  <si>
    <t>10.1016/j.buildenv.2013.08.015</t>
  </si>
  <si>
    <t>IPCC default approach; Stock-change approach; Atmospheric-flow approach; Production approach; Simple decay approach; Forest carbon stock; Substitution</t>
  </si>
  <si>
    <t>LIFE-CYCLE ASSESSMENT; LAND-USE CHANGE; CARBON STORAGE; MANAGED FORESTS; FUEL ETHANOL; ENERGY; EMISSIONS; BIOMASS; CO2; SEQUESTRATION</t>
  </si>
  <si>
    <t>Hashimoto, S</t>
  </si>
  <si>
    <t>Different accounting approaches to harvested wood products in national greenhouse gas inventories: their incentives to achievement of major policy goals</t>
  </si>
  <si>
    <t>The 2006 IPCC Guidelines for National Greenhouse Gas Inventories provide four accounting approaches to harvested wood products (HWP). These differ in the way they define system boundaries. Therefore, reported national carbon emissions differ according to the accounting approach used, and the implications of each accounting approach differ for different countries. This paper investigates four IPCC accounting approaches, as well as the 1996 IPCC default approach, to determine whether they provide incentives to achievement of major policy goals related to climate, forest, trade, and waste, taking into account indirect effects of wood use change (i.e., the effects on forest carbon stocks and on carbon emissions from the use of other fuels and materials). Conclusions are as follows: (1) The analyses produced many different results from those of previous studies. These differences appear to be attributable to whether or not the indirect effects of wood use change are taken into account and the reference scenarios that are assumed; (2) The best approaches for achieving each policy goal differ, and the best approaches for particular policy goals might pose problems for other policy goals; (3) Overall, the IPCC default approach is the best accounting approach from the viewpoint of greater compatibility with, or integration across, the array of policy goals, although it does not address the issue of an increasing global carbon stock in HWP. (C) 2008 Elsevier Ltd. All rights reserved.</t>
  </si>
  <si>
    <t>10.1016/j.envsci.2008.08.002</t>
  </si>
  <si>
    <t>GLOBAL ENVIRONMENTAL CHANGE-HUMAN AND POLICY DIMENSIONS</t>
  </si>
  <si>
    <t>Forestry; Bioenergy; SSP; Climate change mitigation; Regression models</t>
  </si>
  <si>
    <t>LAND-USE; SCENARIO FRAMEWORK; IMPACTS; PRODUCTIVITY; MITIGATION; BIOENERGY; DEMAND</t>
  </si>
  <si>
    <t>Hu, XP; Iordan, CM; Cherubini, F</t>
  </si>
  <si>
    <t>Estimating future wood outtakes in the Norwegian forestry sector under the shared socioeconomic pathways</t>
  </si>
  <si>
    <t>The forest sector plays a key role in achieving low temperature stabilization targets, as woody biomass represents a cost-efficient alternative to fossil fuels for energy and material production. Estimates of future woody biomass demands vary in the Shared Socioeconomic Pathways (SSPs), depending on societal development trends, climate model projections, socioeconomic conditions, and climate and energy policies. The SSPs are qualitatively and quantitatively defined at global and macro-regional level, and their implementation for individual sectors at a national basis is challenging. In this paper, we provide estimates for forest wood outtakes in Norway until 2100 using key drivers from the SSPs such as population and Gross Domestic Product (GDP) and specific aspects of developments in the land use sector. First, we analyze historical wood harvest trends from 1960 to 2016 for the main tree species and wood classes and construct a regression model based on population, GDP and time. The model framework is based on a statistical approach that does not explicitly include market adjustments, but it is adapted to an interpretation of the salient characteristics of the different SSP scenarios to estimate future outtake volumes for each combination of tree species and wood classes in Norway. The SSP characteristics implemented in the model framework are GDP and population, land-use change regulation, participation of the land-use sector to climate change mitigation, and starting year of international cooperation for climate change mitigation. The produced estimates span a range of possible harvest rates and resource use potentials. Results show that SSP1 achieves a maximum mean extraction rate of 17.7 million m(3) (in 2090). Forest wood outtake volumes are the lowest in SSP3, reaching a maximum of about 11.9 million m(3) in 2040 and then declining. SSP2 and SSP4 generally lie in between SSP1 and SSP3. SSP5 is the most resource intensive scenario, with harvest rates achieving 27.5 million m(3) in 2100. Driven by high population and GDP, SSP5 far exceeds the forest maximum harvest potential in Norway. Variability in the estimates is larger when land use regulation is weak and market fluctuations are high, such as in SSP2, SSP3 and SSP5. The proposed model framework is an approach to interpret and translate the global qualitative SSP narratives into quantitative projections at a finer scale, and can favor the use of a consistent background setting such as the SSPs in interdisciplinary research activities across different spatial scales of analysis.</t>
  </si>
  <si>
    <t>Glob. Environ. Change-Human Policy Dimens.</t>
  </si>
  <si>
    <t>10.1016/j.gloenvcha.2018.03.004</t>
  </si>
  <si>
    <t xml:space="preserve">Kirkinen, J., Palosuo, T., Holmgren, K., &amp; Savolainen, I. </t>
  </si>
  <si>
    <t xml:space="preserve"> Greenhouse impact due to the use of combustible fuels: life cycle viewpoint and relative radiative forcing commitment</t>
  </si>
  <si>
    <t xml:space="preserve"> Environmental management</t>
  </si>
  <si>
    <t>10.1007/s00267-008-9145-z</t>
  </si>
  <si>
    <t>INTERNATIONAL BIODETERIORATION &amp; BIODEGRADATION</t>
  </si>
  <si>
    <t>Beech wood in-ground; Fungal degradation; Enzymatic activities; Predictive model; NIRS; Mechanical properties</t>
  </si>
  <si>
    <t>ARBUSCULAR-MYCORRHIZAL FUNGI; NEAR-INFRARED SPECTROSCOPY; PINUS-SYLVESTRIS L.; WHITE-ROT FUNGUS; ARCHAEOLOGICAL WOOD; FOUNDATION PILES; DURABILITY; ENZYMES; COLONIZATION; DEGRADATION</t>
  </si>
  <si>
    <t>Kleindienst, Q; Besserer, A; Antoine, ML; Perrin, C; Bocquet, JF; Bleron, L</t>
  </si>
  <si>
    <t>Predicting the beech wood decay and strength loss in-ground</t>
  </si>
  <si>
    <t>In the context of reduction of CO2 emissions and costs in the construction industry, substitution of concrete by wood for foundation piles seems to be a promising alternative. To promote the use of local wood in pile foundation, diagnostic and prediction methodology of wood decay in soil need to be improved. Outdoor mesocosm decay experiments were performed to evaluate the potential use of beech wood as foundation piles. The stochastic occurrence of soil fungal inoculum in contact with mini-stakes and water gradient in wood explained the observed patchy wood decay pattern. Various patterns of wood rotting fungi were identified. The correlation between measured strength loss and mass loss was weak. Multivariate analyses using biochemical and physico-chemical data as inputs allowed section categorizations and prediction of wood strength. Accuracy of the prediction was validated by experimental measurement of the compression parallel to the grain (f(c),(o)).The categorization of unknown sections was computed by PLS-DA and provided clues inferring their service life. The described procedure has the potential to be transferred to on-site measurements to predict the f(c,o) of wood foundation pile or any potentially damaged timber structure. (C) 2017 Elsevier Ltd. All rights reserved.</t>
  </si>
  <si>
    <t>Int. Biodeterior. Biodegrad.</t>
  </si>
  <si>
    <t>10.1016/j.ibiod.2017.06.006</t>
  </si>
  <si>
    <t>AUTOMATION IN CONSTRUCTION</t>
  </si>
  <si>
    <t>Robotic timber construction; Layered assembly; Reversible structure; Design automation; Digital twin; Human-robot collaboration</t>
  </si>
  <si>
    <t>Kunic, A; Naboni, R; Kramberger, A; Schlette, C</t>
  </si>
  <si>
    <t>Design and assembly automation of the Robotic Reversible Timber Beam</t>
  </si>
  <si>
    <t>The field of architecture is more and more referring to wood as a sustainable solution for satisfying the need of new buildings while offsetting carbon emissions. In parallel, the research in Robotic Timber Construction (RTC) has evolved rapidly, focusing both on fabrication and assembly processes in order to improve the productivity of the construction industry and extend the production digital chain. This paper presents an original workflow for the automation from design to layered robotic assembly of reversible timber structures, aided by human-robot collaboration. An advanced digital design workflow for non-standard timber structures is established, shifting the focus towards the assembly of a kit of discrete wood elements into larger configurations that can be reconfigured in time. Linked to this, collaborative robots are employed for grasping, positioning and fixing of discrete timber elements, with the introduction of a multi-phase end effector that connects wood elements through reversible joinery. As such, the work introduces fundamental design and manufacturing concepts for an automated construction process that extends the material life cycle of wood, and consequently, its carbon store. The enhancement of robotic assembly is here achieved with the (1) integration of a feedback system based on location and force signals, and (2) human collaboration to provide immediate assistance to the robot in the case the signals do not match the defined assembly conditions. The various developments are applied to a research demonstrator which crystallizes the various design, constructional, and manufacturing inputs into a physical output, which is discussed from multiple viewpoints, in order to delineate relevant areas for future studies.</t>
  </si>
  <si>
    <t>Autom. Constr.</t>
  </si>
  <si>
    <t>10.1016/j.autcon.2020.103531</t>
  </si>
  <si>
    <t>SCIENTIFIC REPORTS</t>
  </si>
  <si>
    <t>NET CLIMATE IMPACTS; FOSSIL-FUEL; CARBON SEQUESTRATION; FOREST; GREENHOUSE; MITIGATION; BIOMASS; BIODIVERSITY; DEBT</t>
  </si>
  <si>
    <t>Leturcq, P</t>
  </si>
  <si>
    <t>GHG displacement factors of harvested wood products: the myth of substitution</t>
  </si>
  <si>
    <t>A common idea is that substituting wood for fossil fuels and energy intensive materials is a better strategy in mitigating climate change than storing more carbon in forests. This opinion remains highly questionable for at least two reasons. Firstly, the carbon footprints of wood-products are underestimated as far as the biomass carbon neutrality assumption is involved in their determination, as it is often the case. When taking into account the forest carbon dynamics consecutive to wood harvest, and the limited lifetime of products, these carbon footprints are time-dependent and their presumed values under the carbon neutrality assumption are achieved only in steady-state conditions. Secondly, even if carbon footprints are correctly assessed, the benefit of substitutions is overestimated when all or parts of the wood products are supposed to replace non-wood products whatever the market conditions. Indeed, substitutions are effective only if an increase in wood product consumption implies verifiably a global reduction in non-wood productions. When these flaws in the evaluation of wood substitution effects are avoided, one must conclude that increased harvesting and wood utilization may be counter-productive for climate change mitigation objectives, especially when wood is used as a fuel.</t>
  </si>
  <si>
    <t>Sci Rep</t>
  </si>
  <si>
    <t>10.1038/s41598-020-77527-8</t>
  </si>
  <si>
    <t>This is an opinion paper. No useful numbers are given.</t>
  </si>
  <si>
    <t>co-products; ecoinvent database; economic allocation; hardwood; Poland; softwood; wooden products</t>
  </si>
  <si>
    <t>Lewandowska, A; Wawrzynkiewicz, Z; Noskowiak, A; Foltynowicz, Z</t>
  </si>
  <si>
    <t>Adaptation of ecoinvent database to Polish conditions - The case of wood production in the forest</t>
  </si>
  <si>
    <t>Background, aims and scope This paper is based on the results of a project sponsored by the Ministry of Science and Higher Education and carried out by the Wood Technology Institute in Poznan, Poland. The main purpose of the project was to assess the environmental impact generated during the entire life cycles of chosen wood products. Most of the data came from the Polish wood industry, but some of it was taken from the ecoinvent database, particularly data relating to forest processes. The data were not used as presented in the database but were properly adapted. The aim of the paper is to show how the ecoinvent&amp;apos;s initial assumptions have been changed and how the data were adapted. The influence of the adaptation on the characterization results is presented as well. Materials and methods The adaptation was performed in several steps: obtaining information about the principal assumptions of the ecoinvent database, gathering data appropriate to Polish conditions, changing the principal assumptions to include the Polish situation, calculating the new allocation and correction factors, forming the new inventory tables for round, industrial, and residual wood (softwood and hardwood), and calculating the characterization results to check the influence of the data adaptation on the life cycle assessment (LCA) final results. The following methods have been used: the economic allocation with the allocation correction to include mass, energy, and carbon dioxide uptake from nature and Ecoindicator99 method to assess the environmental impact. Results The study shows that differences exist between ecoinvent and Polish data for the wood production. Some of the differences are important and significantly impact the final results. The data differ in relation to many factors, for example: tree species, yield of forest, time from planting trees to final harvesting, length and width of forest roads or total area, and land use. The differences in the initial assumptions and further in the allocation factors result in changes of the inventory points and the characterization results. The relevant differences for round hardwood and residual hardwood are not observed. It is not, however, the case of the industrial hardwood where the visible difference exist. The results for all sorts of softwood are completely different and any similarities cannot be observed. Discussion At present, the total area of forest land in Poland is 9.0 million ha. This is equivalent to 28.8% of the country&amp;apos;s area. This means that the forest processes are important for the country. The study could be a part of a more general discussion about the suitability of data recognized by the database&amp;apos;s generators as representative for larger areas (Europe, Asia, the world). Conclusions The following conclusions could be formulated based on the results of the project: differences between countries always exist, and they can be a source of uncertainty, particularly if unspecific data are used. On the other hand, it is impossible to collect specific data for all inventory items included in the product system which is why LCA databases are needed. The following questions should be asked: how important is the discrepancy? What is its influence on the final results? Is it acceptable? There are some activities like electricity production where differences between countries can be crucial for the LCA final results. Recommendations and perspectives Two main recommendations could be formulated: the data taken from LCA databases should always be critically analyzed and reviewed to check if they are suitable for our case study, and, if possible, the adaptation to local or national conditions should be made. In Poland, the interest in LCA continues to grow; however, it is not easy for LCA practitioners to conduct LCAs because of companies&amp;apos; skepticism and their reluctance to provide data. LCA databases are important sources of information. A review of the most popular LCA databases could be a good line of further improvement to make LCA studies more relevant and reliable.</t>
  </si>
  <si>
    <t>10.1007/s11367-008-0010-3</t>
  </si>
  <si>
    <t>The paper discusses how a ecoinvent could be adjusted to the Polish conditions. I did not use Table 8 and 9 because I couldn't find the units. Else the treatment could have been "different location".
VB: the unit is RECIPE points but it's not clear how to convert it to tCO2e. It's not even clear in the text whether the difference identified in climat change impact between the two locations is more or less emission.</t>
  </si>
  <si>
    <t>Dendrochronology; Tree rings; Climate change; Climate-growth relationships; Tropical dry forests; South America</t>
  </si>
  <si>
    <t>TREE GROWTH; RADIAL GROWTH; RAINFALL; MANAGEMENT; CERRADO; DROUGHT; RINGS; AGE</t>
  </si>
  <si>
    <t>Lopez, L; Villalba, R</t>
  </si>
  <si>
    <t>Climate-growth relationships for Aspidosperma tomentosum Mart. in South American tropical dry forests</t>
  </si>
  <si>
    <t>Key messageThe precise demarcation and cross-dating of tree rings inAspidosperma tomentosumMart., a valuable timber species in the tropical dry forests of South America, were used to develop the first well-replicated chronology covering the period 1843-2015.A. tomentosumMart. tree growth is strongly regulated by soil water availability prior to and during the current growing season. In the context of increased drought severity due to climate change, determining of climate influences onA. tomentosumMart. radial growth is necessary to establish appropriate guidelines for the management, conservation and restoration of this species, currently affected by extreme weather events, extensive fires and deforestation in the Chiquitania forests, Bolivia.ContextTropical forest ecosystems play a critical role in the functioning of the Earth; thus, a better understanding of the influences of climate on tree growth is needed to estimate changes in forest productivity and consequently in carbon sink variations at regional and global scales.AimsIn the context of global environmental changes, our study aimed at using the growth rings of A. tomentosum Mart. to establish the relationships between radial growth and climatic variations.MethodsThe anatomical characterization of the wood elements facilitated the precise annual band delimitation and the rejection of samples with false rings and growth anomalies. A tree-ring chronology was developed using traditional dendrochronological methods and the relationships with climate determined using correlation functions.ResultsThe chronology is based on 20 individuals and covers the period 1843-2015. Tree-ring statistics indicate an important common signal in growth variations between trees (R-bar = 0.31, EPS = 0.90). Interannual variations in A. tomentosum Mart. are directly related to total annual precipitation (r = 0.76) and inversely to mean annual temperature (r = - 0.44). These relationships are similar to those documented for other commercial species (Centrolobium microchaete, Schinopsis brasiliensis) from tropical dry forests in South America, suggesting a consistent climatic influence on tree growth at a regional scale.ConclusionThe strong dependence of tree growth on climate variability is a major concern, as climate change scenarios for tropical dry forests in South America predict an increase in the frequency and intensity of droughts, which in turn would reduce the A. tomentosum Mart. growth during the twenty-first century.</t>
  </si>
  <si>
    <t>10.1007/s13595-020-01001-8</t>
  </si>
  <si>
    <t>This study investigates the relationship between climate and radial tree growth (= tree ring width)</t>
  </si>
  <si>
    <t>ENERGY FOR SUSTAINABLE DEVELOPMENT</t>
  </si>
  <si>
    <t>Energy planning; Rural community; Sustainable energy</t>
  </si>
  <si>
    <t>TECHNOLOGY-TRANSFER</t>
  </si>
  <si>
    <t>Lopez-Sosa, LB; Garcia, CA</t>
  </si>
  <si>
    <t>Towards the construction of a sustainable rural energy system: Case study of an indigenous community in Mexico</t>
  </si>
  <si>
    <t>One of the challenges that rural communities face is the satisfaction of their energy demand through sustainable processes, where the production, distribution and final consumption of energy are involved in an efficient, affordable, and non-polluting way. This proposal analyzes, for a rural community in Mexico, the economic and environmental impacts associated with meeting the energy demand for lighting, cooking, entertainment and technology needs, hygiene, education and mobility; by formulating three different scenarios: (a) estimation of current energy consumption (baseline) (b) satisfaction of said needs through locally available renewable energy resources, and (c) satisfaction of needs and their potential impacts by making use of efficient technologies with respect to current technologies, for refrigeration, firewood combustion, and lighting. The results show a current distribution in energy consumption of 66.8 % for cooking, 26.2 % for hygiene, 6.6 % for mobility, 0.8 % for lighting, 0.6 % for entertainment and technology, and 0.03 % for education. In total economic expenditure, the percentages by type of need are 58 % for mobility, 28 % for cooking, 11 % for hygiene, 2 % for lighting, 1 % for entertainment and technology, and 0.1 % for education. The environmental impact in terms of nitrogen oxide (NOx), methane (CH4), and carbon dioxide (CO2) emissions is, like the energy consumption, oriented to a greater extent towards energy needs that require thermal energy. Our evaluation of these scenarios has shown that the available energy resources are sufficient to supply all the local energy demand, through technologies such as solar panels, LED lights and efficient combustion stoves; and only less than 5 % of the total production of wood residues that the community generates is required to achieve this satisfaction. Finally, some guidelines are suggested for an energy management strategy that is based on the scenarios proposed for the studied community. This article provides information for the construction of sustainable rural energy systems and for the development of energy management schemes in rural and self-governing communities.(c) 2022 International Energy Initiative. Published by Elsevier Inc. All rights reserved.</t>
  </si>
  <si>
    <t>Energy Sustain Dev.</t>
  </si>
  <si>
    <t>10.1016/j.esd.2022.08.022</t>
  </si>
  <si>
    <t>ANNALS OF FOREST RESEARCH</t>
  </si>
  <si>
    <t>forest strategy; forest inventory; forest ecosystem services; biodiversity; wood production; carbon sequestration</t>
  </si>
  <si>
    <t>CARBON; RETENTION</t>
  </si>
  <si>
    <t>Lorenz, M; Englert, H; Dieter, M</t>
  </si>
  <si>
    <t>The German Forest Strategy 2020: Target achievement control using National Forest Inventory results</t>
  </si>
  <si>
    <t>In the year 2011 the German Federal Government adopted its Forest Strategy 2020. This strategy includes 60 goal formulations in nine action fields. The present paper analyses to which extent the results of the German National Forest Inventory (BWI) prove achievements of those of the 60 goals, which are quantitatively verifiable. The results reveal that forestry in Germany in general meets its own standard of multi-functionality, securing that forests fulfil manifold demands of the society. However, while the objectives of nature and climate protection are on track for being achieved, the prospects for objectives related to employment, income and value added are less encouraging. Total forest area and forest growth are increasing, forests currently constitute a carbon sink, and the naturalness and structural diversity of forests are growing. Also the high but sustainable use of the wood fosters currently the income of and employment in forest enterprises and timber industries. But the ongoing regeneration of forest stands predominantly with deciduous tree species is expected to cause a long-term lack of faster growing and higher valuated coniferous stands. The resulting lack of highly demanded softwood of small or medium-sized diameters will raise problems to timber industries. Moreover, shrinking timber production due to a decreasing share of coniferous forests has adverse consequences not only from the economic point of view. It will also decrease the climate-friendly use of wood products, in particular due to the foregone substitution effect. The results of the study also show that BWI is an indispensable source of information for forest politics and forest science particularly in view of its long-term time series. The preservations of time series must be kept in mind whenever changes in the methods of BWI are considered.</t>
  </si>
  <si>
    <t>Ann. For. Res.</t>
  </si>
  <si>
    <t>10.15287/afr.2018.1185</t>
  </si>
  <si>
    <t>This is a description of the state of the German forests between 2002 and 2012. No drivers and/or C-outputs.</t>
  </si>
  <si>
    <t>TROPICS</t>
  </si>
  <si>
    <t>Maxent; climate change; species distribution model</t>
  </si>
  <si>
    <t>POTENTIAL DISTRIBUTION; PLANT; INDIA</t>
  </si>
  <si>
    <t>Mandal, MSH; Okuda, T; Mon, SM; Chew, WC; Shigematsu, C; Hosaka, T</t>
  </si>
  <si>
    <t>Habitat suitability mapping for a high-value non-timber forest product: A case study of Rauvolfia serpentina</t>
  </si>
  <si>
    <t>Non-timber forest products (NTFPs) are essential for rural livelihoods but are often threatened by deforestation and overexploitation. Rauvolfia serpentina is a critical NTFP species; however, there have been no studies on the impact of future climate change on its potential habitat distribution. We used the Maxent modeling approach to address this knowledge gap and determine this species' current and future suitability under climate change scenarios. The areas more suitable to its occurrence were mainly located near the southwestern coastal regions of Myanmar and India. Based on our predictions, these 'very high' suitability areas are likely to decrease in 2070 under both low and high CO2 emission scenarios, indicating the future vulnerability of this species' habitat to the impact of climate change. This species is a highly valued NTFP species in the study region; therefore, such a reduction in habitat suitability may result in reductions in NTFP production and economic benefits for the dependent populations. Our findings can help define and conserve areas containing the natural habitats of this high-valued NTFP species.</t>
  </si>
  <si>
    <t>Tropics</t>
  </si>
  <si>
    <t>10.3759/tropics.SINT04</t>
  </si>
  <si>
    <t>GLOBAL ECOLOGY AND CONSERVATION</t>
  </si>
  <si>
    <t>Biomod2; Climate change; Conservation planning; IPCC; Species distribution modelling; Southeast Asia</t>
  </si>
  <si>
    <t>CLIMATE-CHANGE; DISTRIBUTIONS; CONSERVATION; CARNIVORES; ACCURACY; IMPACTS; RECORDS</t>
  </si>
  <si>
    <t>Mathai, J; Niedballa, J; Radchuk, V; Sollmann, R; Heckmann, I; Brodie, J; Struebig, M; Hearn, AJ; Ross, J; Macdonald, DW; Hon, J; Wilting, A</t>
  </si>
  <si>
    <t>Identifying refuges for Borneo's elusive Hose's civet</t>
  </si>
  <si>
    <t>Human-induced environmental changes, particularly climate change, pose a threat to many tropical montane species, making the identification of optimal future habitat a conservation priority. Here we used maximum entropy (Maxent) and boosted regression trees to predict suitable habitat of the threatened Bornean highland endemic Hose&amp;apos;s civet (Diplogale hosei), that is currently available, and for future time periods (2050s and 2080s), considering future land cover and climate change predictions. Next, we identified areas that were consistently suitable under current and future model predictions as forest refuges. Our analysis predicted that Hose&amp;apos;s civet is restricted mainly to the highlands of Borneo to an area less than 20,000 km(2) (about 2% of the entire island of Borneo). Changes in land cover have little impact on predicted suitable area for the species. However, we predicted habitat loss due to climate change to approximate 86% by 2080, except under a green economy scenario which showed stable or increasing suitable habitat. Refuges were small, about 11% of 2010 habitat, and mostly restricted to lower montane forest. About 28-35% of refuges lie within the current protected area network though much is designated as commercial forests within the proposed Heart of Borneo (HoB). For the conservation of Hose&amp;apos;s civet and likely other Bornean highland endemics, we recommend increased wildlife and forest law enforcement in identified protected refuges and sustainable timber harvesting practices in surrounding commercial forests, both within the HoB and the extensions we identified. Results of our green model showed that efforts to reduce greenhouse gas emissions will likely contribute immensely to the long-term conservation of highland species such as Hose&amp;apos;s civet. (C) 2019 The Authors. Published by Elsevier B.V.</t>
  </si>
  <si>
    <t>Glob. Ecol. Conserv.</t>
  </si>
  <si>
    <t>10.1016/j.gecco.2019.e00531</t>
  </si>
  <si>
    <t>Study about the effect of diferent scenarios on the habitat of the civet. No C output.</t>
  </si>
  <si>
    <t>Forest management; Scenarios; Modelling; Economic assessment</t>
  </si>
  <si>
    <t>ECOSYSTEM SERVICES; FOREST; AVAILABILITY; POLICY</t>
  </si>
  <si>
    <t>Mozgeris, G; Kavaliauskas, M; Brukas, V; Stanislovaitis, A</t>
  </si>
  <si>
    <t>Assessment of timber supply under alternative contextual scenarios</t>
  </si>
  <si>
    <t>Forest planners in former Eastern Block countries tend to provide conservative forecasts of timber supply, based on a rigid area control under the legislated rotation ages, and often assuming uniform forest management behaviour irrespective of the owner type. This study, in contrast, explores timber supply in a multi-disciplinary approach that analyses contextual factors and expands the space of future forest management options. Methodological steps include: (i) participatory development of qualitative scenarios, following different trajectories of contextual factors affecting forest management; (ii) identification of forest management programmes at the stand level; and (iii) modelling and economic assessment of future flows of timber at the landscape level. This research is carried out in a case study area (CSA) in central Lithuania containing 37,000 ha of forest, of which 80% is under state ownership. The development of forest resources was simulated for four contextualised scenarios: Business as Usual, Efficiency and Reforms, Ecology, and Climate Change Mitigation. Six forest-management programs were constructed together with stakeholders to describe the behaviour of state forest managers and private forest owners under each scenario. All four scenarios led to increased timber supply, largely due to the high proportion of middle-aged and premature stands in current forests. Notably, the present-day approach of rigid area control prioritises a steady timber supply through an evener age-class structure but largely fails on the last point. Our scenario analysis shows that relaxation of legislative requirements not only leads to increased long-term contribution to economic welfare but also enables achievement of evener age-class distributions.</t>
  </si>
  <si>
    <t>10.1016/j.forpol.2018.01.002</t>
  </si>
  <si>
    <t>Il y a des stocks de bois prélevé sous différents scénarios mais il n'y a pas d'émissions CO2 associés</t>
  </si>
  <si>
    <t>CO2; carbon neutrality; supply chain management; wood procurement</t>
  </si>
  <si>
    <t>SUPPLY CHAIN MANAGEMENT; ENVIRONMENTAL BENEFITS; OPERATIONS-RESEARCH; PLANNING-MODELS; EFFICIENCY; SECTOR; ISSUES; TIMBER; PULP</t>
  </si>
  <si>
    <t>Palander, T; Vesa, L</t>
  </si>
  <si>
    <t>Data-Driven Optimization of Forestry and Wood Procurement toward Carbon-Neutral Logistics of Forest Industry</t>
  </si>
  <si>
    <t>Investments toward a carbon-neutral forest industry will change forestry and wood procurement in Northern Finland. The changing market situation requires data-driven DSSs for the strategic management of logistics. Using this software, logistics were described by a continuing wood flow model and optimized by a dynamic method. Three logistics scenarios described wood flows in the present and in the future. The optimization minimized the economic and environmental costs, which decreased by 4.9%. However, synchronized multimodal transportation costs increased by 23.3%. Therefore, maximum logistics efficiency necessitates increases in railway transport capacity. The change would also decrease CO2 emission costs. Under scenario-specific circumstances, logistics operations could be focused on four profitable regions, increasing market shares at municipalities. To guarantee environmental sustainability of these municipalities, optimization of timber markets between forest owners and forest industry must be developed further by driving data from the EU's emission allowance price compensation mechanism to the optimization process.</t>
  </si>
  <si>
    <t>10.3390/f13050759</t>
  </si>
  <si>
    <t>mass timber; carbon storage; lifecycle analysis; regional demand assessments; global trade modelling; climate change; forest impact assessments; sustainable forest management</t>
  </si>
  <si>
    <t>LIFE-CYCLE ASSESSMENT; MANAGEMENT</t>
  </si>
  <si>
    <t>Pasternack, R; Wishnie, M; Clarke, C; Wang, YY; Belair, E; Marshall, S; Gu, HM; Nepal, P; Dolezal, F; Lomax, G; Johnston, C; Felmer, G; Morales-Vera, R; Puettmann, M; van den Huevel, R</t>
  </si>
  <si>
    <t>What Is the Impact of Mass Timber Utilization on Climate and Forests?</t>
  </si>
  <si>
    <t>As the need to address climate change grows more urgent, policymakers, businesses, and others are seeking innovative approaches to remove carbon dioxide emissions from the atmosphere and decarbonize hard-to-abate sectors. Forests can play a role in reducing atmospheric carbon. However, there is disagreement over whether forests are most effective in reducing carbon emissions when left alone versus managed for sustainable harvesting and wood product production. Cross-laminated timber is at the forefront of the mass timber movement, which is enabling designers, engineers, and other stakeholders to build taller wood buildings. Several recent studies have shown that substituting mass timber for steel and concrete in mid-rise buildings can reduce the emissions associated with manufacturing, transporting, and installing building materials by 13%-26.5%. However, the prospect of increased utilization of wood products as a climate solution also raises questions about the impact of increased demand for wood on forest carbon stocks, on forest condition, and on the provision of the many other critical social and environmental benefits that healthy forests can provide. A holistic assessment of the total climate impact of forest product demand across product substitution, carbon storage in materials, current and future forest carbon stock, and forest area and condition is challenging, but it is important to understand the impact of increased mass timber utilization on forests and climate, and therefore also on which safeguards might be necessary to ensure positive outcomes. To thus assess the potential impacts, both positive and negative, of greater mass timber utilization on forests ecosystems and emissions associated with the built environment, The Nature Conservancy (TNC) initiated a global mass timber impact assessment (GMTIA), a five-part, highly collaborative research program focused on understanding the potential benefits and risks of increased demand for mass timber products on forests and identifying appropriate safeguards to ensure positive outcomes.</t>
  </si>
  <si>
    <t>10.3390/su14020758</t>
  </si>
  <si>
    <t>JOURNAL OF POLYMERS AND THE ENVIRONMENT</t>
  </si>
  <si>
    <t>LCA; Biorefinery; Wood residues; LUC</t>
  </si>
  <si>
    <t>BIOFUELS</t>
  </si>
  <si>
    <t>Piemonte, V</t>
  </si>
  <si>
    <t>Wood Residues as Raw Material for Biorefinery Systems: LCA Case Study on Bioethanol and Electricity Production</t>
  </si>
  <si>
    <t>Fossil energy and chemical sources are depleting. There is a critical need to change the current industry and human civilization to a sustainable manner, assuring that our way of life actual continues on the path of improvement after the depletion of fossil energy sources. The utilization of agricultural residues as raw materials in a biorefinery is a promising alternative to fossil resources for production of energy carriers and chemicals, thus mitigating climate change and enhancing energy security. Biorefinery is a concept of converting lignocellulosic biomass or grains (such as corn) to chemicals, materials and energy on which human civilization runs, replacing the need for petroleum, coal, natural gas, and other nonrenewable energy and chemical sources. Lignocellulosic biomass is renewable, that is plant synthesizes chemicals (by drawing energy from the sun and carbon dioxide) and water from the environment, while releasing oxygen. Combustion of biomass releases energy, carbon dioxide and water. Therefore, biorefinery plays a key role in satisfying human needs for energy and chemicals by using the biomass production and consumption cycle. This paper focuses on a biorefinery concept and in particular on the bioethanol production from wood residues. In order to evaluate the environmental reliability of the system under study, the biorefinery plant (producing bioethanol and electricity from wood residues) was compared, by using the LCA methodology, to both conventional refinery system (producing light fuel oil and electricity from petroleum) and biorefinery plant based on corn feedstock producing the same goods. Interesting considerations about LUC emissions effect on biorefinery sustainability are also reported. The obtained results show that by assigning reasonable values to the three damage categories used in the eco-indicator 99 methodology the biorefinery system is preferable, from an environmental point of view, to the conventional refinery system analysed. This finding confirms the high potentials of this innovative plant technology.</t>
  </si>
  <si>
    <t>J. Polym. Environ.</t>
  </si>
  <si>
    <t>10.1007/s10924-011-0396-z</t>
  </si>
  <si>
    <t>bioenergy; linear programming; optimization; sustainability; woody biomass; pellets; torrefied pellet</t>
  </si>
  <si>
    <t>BIOENERGY SYSTEMS; DEBRIS RETENTION; CLIMATE-CHANGE; TRADE; SUSTAINABILITY; RESIDUES; BIOFUELS; HEALTH; MARKET; COSTS</t>
  </si>
  <si>
    <t>Radics, RI; Dasmohapatra, S; Kelley, SS</t>
  </si>
  <si>
    <t>Use of linear programming to -optimize the social, -environmental, and economic impacts of using woody feedstocks for pellet and -torrefied pellet production</t>
  </si>
  <si>
    <t>Linear programming was used to optimize the economic, environmental, and social impacts of forest biomass used for bioenergy production. Sixteen scenarios (combinations of feedstocks, products, markets, and end use) were studied. Two feedstocks (roundwood and wood residues), two densified bioenergy products (white pellet, torrefied pellet), two markets (domestic, international), and two end uses (power generation, district heating) were evaluated. The social, environmental, and economic sustainability attributes were quantified and monetized using peer-reviewed literature to analyze the trade-offs. Using the economic criteria alone, the model showed that the best solution was use of 70% roundwood and 30% forest residue feedstock to produce torrefied pellets (TP) sold for district heating in the EU. The model predicts $5.4 million annual profit which is driven by the use of lower cost forest residue feedstocks, and relatively higher prices for the heating market in the EU. Inclusion of all three sustainability attributes led to a different optimized solution. TP produced from roundwood and sold to the EU market for heating was the optimum, due to the social benefits derived from increased local income to landowners and reduced shipping costs. It also had added benefits of reductions in emissions across the transportation system on an energy basis. TP consistently had higher social benefits than WP due to the need for more biomass per unit of final product, and providing more local jobs and income from feedstock production. The increasing costs of carbon emissions increased the environmental benefits of TP compared to WP or coal. (c) 2016 Society of Chemical Industry and John Wiley &amp; Sons, Ltd</t>
  </si>
  <si>
    <t>10.1002/bbb.1658</t>
  </si>
  <si>
    <t>ECOTOXICOLOGY AND ENVIRONMENTAL SAFETY</t>
  </si>
  <si>
    <t>Environment; GHG emission; Biorefinery; Black liquor; Biomass</t>
  </si>
  <si>
    <t>PRE-EXTRACTION; LIGNIN; WATER; PULP; RECOVERY; PRODUCTS; BIOMASS; PINE</t>
  </si>
  <si>
    <t>Sharma, N; Nainwal, S; Jain, S; Jain, S</t>
  </si>
  <si>
    <t>Emerging biorefinery technologies for Indian forest industry to reduce GHG emissions</t>
  </si>
  <si>
    <t>The production of biofuels as alternative energy source over fossil fuels has gained immense interest over the years as it can contribute significantly to reduce the greenhouse gas (GHG) emissions from energy production and utilization. Also with rapidly increasing fuel price and fall in oil wells, the present scenario forces us to look for an alternative source of energy that will help us in the operation of industrial as well as the transportation sector. The pulp mills in India are one of the many options. The pulp mills in India can help us to produce bio-fuels by thermo-chemical/biochemical conversion of black liquor and wood residues. These technologies include extraction of hemi-cellulose from wooden chips and black liquor, lignin from black liquor, methanol from evaporator condensates, biogas production from waste sludge, syngas production from biomass using gasification and bio-oil production from biomass using pyrolysis. The objective of this paper is to overview these emerging bio-refinery technologies that can be implemented in Indian Forest Industry to get bio-fuels, bio-chemicals and bio-energy to reduce GHG emissions. (C) 2015 Elsevier Inc. All rights reserved.</t>
  </si>
  <si>
    <t>Ecotox. Environ. Safe.</t>
  </si>
  <si>
    <t>10.1016/j.ecoenv.2015.04.050</t>
  </si>
  <si>
    <t>Clean Development Mechanism; forest carbon; forest management; Kyoto Protocol; reduced impact logging; tropical forests</t>
  </si>
  <si>
    <t>INDICATORS; BIOMASS; FIRE</t>
  </si>
  <si>
    <t>Smith, J; Applegate, G</t>
  </si>
  <si>
    <t>Could payments for forest carbon contribute to improved tropical forest management?</t>
  </si>
  <si>
    <t>Under the Kyoto Protocol industrialized countries will be able to meet carbon emission reduction commitments by financing forestry projects that sequester carbon in developing countries. While this mechanism would compensate for missing markets in forest environmental services, it could also enable industrialized countries to avoid reducing energy use. This paper assesses whether such projects could contribute to improved logging practices in the tropics. Results from studies primarily in Asia and Latin America are analyzed in the context of the modalities of the Kyoto Protocol. Results show that the opportunity cost of shifting from conventional logging to improved practices may have been underestimated. At the same time the long-term carbon and biodiversity benefits of improved forest management may have been underestimated. These results follow primarily from the fact that most previous studies assume that a permanent forest estate is maintained under conventional logging and that cutting cycles are as long as 30-60 years. A more realistic scenario, however, consists of repeated harvesting at short intervals during the first few decades, resulting in the degradation of the forest into shrub and grassland. The implications of these results are that forest management projects may be less cost-effective than previously assumed. Therefore, expectations about their potential contribution to improved management should be scaled down. At the same time, the extent to which such projects will enable industrialized countries to avoid reducing industrial pollution is also unlikely to be significant. Cost-effectiveness is likely to be highest where timber volumes in the first few decades after initial logging are comparable under conventional and improved logging. This is likely where topography is relatively flat, biodiversity values are low, wastage of felled timber is high and the policy environment is favorable. A number of proactive measures are suggested to expand the niche for forest management carbon projects. These measures are justified because the incremental carbon and biodiversity benefits in the long run may be higher than previous studies have indicated. (C) 2002 Elsevier Science B.V. All rights reserved.</t>
  </si>
  <si>
    <t>10.1016/S1389-9341(02)00102-8</t>
  </si>
  <si>
    <t>FALL CHINOOK SALMON; STREAM TEMPERATURE; STEELHEAD TROUT; TEMPORAL VARIABILITY; POTENTIAL IMPACTS; WATER TEMPERATURE; THERMAL REGIMES; DISCHARGE; DYNAMICS; SURVIVAL</t>
  </si>
  <si>
    <t>Spanjer, AR; Gendaszek, AS; Wulfkuhle, EJ; Black, RW; Jaeger, KL</t>
  </si>
  <si>
    <t>Assessing climate change impacts on Pacific salmon and trout using bioenergetics and spatiotemporal explicit river temperature predictions under varying riparian conditions</t>
  </si>
  <si>
    <t>Pacific salmon and trout populations are affected by timber harvest, the removal and alteration of riparian vegetation, and the resulting physical changes to water quality, temperature, and associated delivery of high-quality terrestrial prey. Juvenile salmon and trout growth, a key predictor of survival, is poorly understood in the context of current and future (climate-change mediated) conditions, with resource managers needing information on how land use will impact future river conditions for these commercially and culturally important species. We used the Heat Source water temperature modeling framework to develop a spatiotemporal model to assess how riparian canopy and vegetation preservation and addition could influence river temperatures under future climate predictions in a coastal river fed by a moraine-dammed lake: the Quinault River in Washington State. The model predicted higher water temperatures under future carbon emission projections, representative concentration pathway (RCP) 4.5 and 8.5, with varying magnitude based on different riparian vegetation scenarios. We used the daily average temperature output from these scenarios to predict potential juvenile fish growth using the Wisconsin bioenergetics model. A combination of riparian vegetation removal and continued high carbon emissions resulted in a predicted seven-day average daily maximum temperature (7DADM) increase of 1.7 degrees C in the lower river by 2080; increases in riparian shading mitigate this 7DADM increase to only 0.9 degrees C. Under the current thermal regime, bioenergetics modeling predicts juvenile fish lose weight in the lower river; this loss of potential growth worsens by an average of 20-83% in the lower river by 2080, increasing with the loss of riparian shading. This study assess the impact of riparian vegetation management on future thermal habitat for Pacific salmon and trout under warming climates and provide a useful spatially explicit modeling framework that managers can use to make decisions regarding riparian vegetation management and its mechanistic impact to water temperature and rearing juvenile fish.</t>
  </si>
  <si>
    <t>10.1371/journal.pone.0266871</t>
  </si>
  <si>
    <t>air-dry wood density; annual radial increment; cambial age; dendroecology; emmeans; high-frequency densitometry; linear mixed-effects models; lme4; lmerTest</t>
  </si>
  <si>
    <t>HIGH-FREQUENCY DENSITOMETRY; NORWAY SPRUCE; RING WIDTH; IMAGE-ANALYSIS; RADIAL GROWTH; LATEWOOD DENSITY; TREE-RINGS; SCOTS PINE; TEMPERATURE; CLIMATE</t>
  </si>
  <si>
    <t>Sprengel, L; Cheng, ZQ; Hipler, SM; Wu, SR; Spiecker, H</t>
  </si>
  <si>
    <t>Mean Annual Wood Density Variations of Larix gmelinii (Rupr.), Quercus mongolica Fisch. ex Ledeb., and Pinus tabulaeformis Carr. at Two Different Stem Heights</t>
  </si>
  <si>
    <t>Forests are a large carbon sink with an additional substitution effect in the merchantable timber compartment of harvested trees, where carbon stored within the same volume of wood varies depending on wood density. Here, we investigated mean annual air-dry wood density variations depending on cambial age, annual radial increment, and two different stem heights of Larix gmelinii (Rupr.), Quercus mongolica Fisch. ex. Ledeb., and Pinus tabulaeformis Carr. from a first climatic region (Mulan Forest) and exclusively of P. tabulaeformis from a second climatic region (Zhongtiaoshan Forest) in the temperate zone of China. We applied linear mixed-effects models with partly transformed variables and estimated marginal means for pairwise comparisons. Results showed that mean wood density was not significantly different between L. gmelinii (0.626 g cm(-3)) and Q. mongolica (0.596 g cm(-3)), but significantly different between P. tabulaeformis from the two different climatic regions (0.445 g cm(-3) in Mulan Forest and 0.521 g cm(-3) in Zhongtiaoshan Forest). Mean annual wood density within trees except for P. tabulaeformis from Mulan Forest was initially increasing until an intermediate cambial age, after which it decreased again to lower values. These findings showed that tree age had to be considered in assessing carbon sequestration in wood. It also could play an important role in decision making for forest management in Mulan Forest and show the benefit of the wood properties and carbon storage potential of the faster growing L. gmelinii compared to Q. mongolica. Furthermore, these findings gave an indication that intermediate old forest stands for some tree species accumulated more carbon per year within their woody biomass than young stands or old growth forests. Our results may have an impact on the planning of rotation lengths and of tree species composition for forest stands in Mulan Forest and Zhongtiaoshan Forest.</t>
  </si>
  <si>
    <t>10.3390/f11040394</t>
  </si>
  <si>
    <t>Technical efficiency; Allocative efficiency; Profit efficiency; Data envelopment analysis; Ecosystem services; Climate change</t>
  </si>
  <si>
    <t>DATA ENVELOPMENT ANALYSIS; ECOSYSTEM SERVICES; BIODIVERSITY; FRAMEWORK; IMPACTS; MODEL</t>
  </si>
  <si>
    <t>Susaeta, A; Adams, DC; Carter, DR; Gonzalez-Benecke, C; Dwivedi, P</t>
  </si>
  <si>
    <t>Technical, allocative, and total profit efficiency of loblolly pine forests under changing climatic conditions</t>
  </si>
  <si>
    <t>Forest ecosystem services (ES) provide significant value to society. Without means to adequately capture that value, societal ES values have little influence on landowners' management decisions, leading to inefficiencies in forest-based ES provision. To understand these inefficiencies, we employ data envelopment analysis (DEA) to assess three types of efficiency - technical, allocative and total profit - of planted pine forests using loblolly pine (Pines taeda L.) in the Southern US as an example. Field data from n = 28 plots are used to assess stand level efficiency in the production of timber, carbon sequestration, and species richness considering inputs such as site index, age and number of trees, precipitation and temperatures. Given the impacts of climate change on key inputs, we also assess efficiency under climate scenarios representing moderate (RCP4.5) and high (RCP8.5) greenhouse gas emissions pathways. We find that 96% of forest plots are technically efficient in providing timber, carbon sequestration and species richness and 75% are allocative or total profit efficient With climate change, allocative or total profit efficiency remains similar to the initial conditions, and total profit substantially increases (42.8% and 45.6% for RCP4.5 and RCP8.5). These findings highlight the increasingly important role that forests play in providing sodally valuable ES. (C) 2016 Elsevier B.V. All rights reserved.</t>
  </si>
  <si>
    <t>10.1016/j.forpol.2016.06.021</t>
  </si>
  <si>
    <t>LAND</t>
  </si>
  <si>
    <t>renewable energy; land demand; fuelwood; carbon sequestration; ecosystem services</t>
  </si>
  <si>
    <t>EMISSIONS</t>
  </si>
  <si>
    <t>Syrbe, RU; Han, TT; Grunewald, K; Xiao, SL; Wende, W</t>
  </si>
  <si>
    <t>Residential Heating Using Woody Biomass in Germany-Supply, Demand, and Spatial Implications</t>
  </si>
  <si>
    <t>Low-carbon energy requires more land than the non-renewable resources. This paper balances holistic assessments of the land demands for biomass heating and their ecosystem services. It is predicted that biomass will continue to play an important role in the heating sector in Germany by 2050, as it is one way to increase the use of renewable energy and reduce CO2 emissions. To balance this out, it is important to ensure that the substitution of fossil fuels with fuelwood does not result in losses in biodiversity, natural forest, and agricultural land. Based on the observed types of fuel demand, the need for space in terms of the growing area is characterized as the corresponding land under the consideration of a given land-use type. Formulas have been applied at the federal level in Germany. The area required to supply an average German household is 0.64 ha if all the wood harvested is used for energy purposes, but this is in competition with all other types of timber use. Fuelwood from thinning alone cannot meet the domestic demand. However, a sustainable supply of woody biomass is possible if residues mainly from forestry and the wood processing industry are used, causing a land demand of 2.69 ha per house, possibly in combination with smaller shares of the above-mentioned types of use. Thus, the shares of pellets and wood chips for heating purposes should be expanded, which would also bring ecological advantages. The qualitative consideration of forest ecosystem services shows that changing the forest composition or management may increase the fuelwood supply but does not necessarily decrease forest ecological services.</t>
  </si>
  <si>
    <t>Land</t>
  </si>
  <si>
    <t>10.3390/land11111937</t>
  </si>
  <si>
    <t>INTERNATIONAL JOURNAL OF GEOMATE</t>
  </si>
  <si>
    <t>Advanced Materials; Sustainability; Innovation; Civil Engineering; Construction</t>
  </si>
  <si>
    <t>Thorpe, DS</t>
  </si>
  <si>
    <t>UPTAKE OF ADVANCED AND SUSTAINABLE ENGINEERING MATERIALS IN CIVIL INFRASTRUCTURE PROJECTS</t>
  </si>
  <si>
    <t>Advanced and sustainable engineering materials, such as engineered fibre composites, geoploymer cement, and recycled concrete have the potential to reduce demand on scarce resources, improve safety, reduce greenhouse gas emissions and contribute to positive initiatives in civil engineering design and construction in areas like foundations and structural members. For example, engineered fibre composites can replace other materials (such as timber), because of their high strength to weight ratio, light weight and ease of installation. They can also have positive impacts on sustainability. While advanced materials have several advantages, their take-up by industry, and in particular small and medium enterprise companies (SMEs), has in a number of cases been relatively slow. This is likely to be the result of a number of factors, such as relatively high cost, financial risk in using an unproven technology, lack of suitable design standards, an unproven life cycle, uncertainty over long-term sustainability issues, and possible changed building and construction methods. Advantages and disadvantages of the use of selected advanced and sustainable materials in civil engineering projects are investigated. A weighted scoring methodology for improved evaluation of their advantages and disadvantages, with a view to aiding decisions, is proposed.</t>
  </si>
  <si>
    <t>Int. J. GEOMATE</t>
  </si>
  <si>
    <t>10.21660/2015.15.4239</t>
  </si>
  <si>
    <t>No C output according to the abstract.</t>
  </si>
  <si>
    <t>LAND USE POLICY</t>
  </si>
  <si>
    <t>Agroforestry; Atlantic Forest; Biodiversity conservation; Environmental legislation; Forest certification; Land use policy</t>
  </si>
  <si>
    <t>EUTERPE-EDULIS MART.; ARAUCARIA-ANGUSTIFOLIA; CLIMATE-CHANGE; CONSERVATION; MANAGEMENT; BIODIVERSITY; RESTORATION</t>
  </si>
  <si>
    <t>Urruth, LM; Bassi, JB; Chemello, D</t>
  </si>
  <si>
    <t>Policies to encourage agroforestry in the Southern Atlantic Forest</t>
  </si>
  <si>
    <t>Agroforestry is recognized as a friendly land-management practice because it can contribute to improve soil productivity, biodiversity conservation, ecosystem functions, climate change mitigation, landscape connectivity and the delivery of ecosystem services, optimizing livelihood benefits for people. The Atlantic Forest, a worldwide biodiversity hotspot, which presents large areas in natural regeneration and a promising scenario for ecological restoration has great potential for agroforestry. According to Brazilian legislation, the agroforestry conducted on remnants of Atlantic Forest depends on previous environmental authorization regarding both the vegetation management and the commercialization of native flora products. Although Brazilian legislation provides incentives for agroforestry, there are important barriers to its development regarding to the vegetation management for production, processing (enforcement of health and sanitation laws), and trading of timber and non-timber products. In the Rio Grande do Sul, the procedures for obtaining environmental authorization concerning the management and trading of native plants were too bureaucratic, unattractive, and infeasible for small rural landowners because the environmental legislation was not translated into effective public policies. Since the agroforestry and extraction of native flora products needs to comply with legislation and the key point is to guarantee the legal and sustainable origin of the products, and the management carried out, the appropriate procedure for the regularization of such practices is a certification of forest management. The SEMA's agroforestry certification (SAC) is a simplified procedure to legal compliance and sustainable management of native vegetation and mainly attends family farmers, indigenous peoples, maroons, and traditional populations. Until September 2019, nearly 130 landowners requested the SAC from 65 municipalities of Rio Grande do Sul. According to the applicants, around 99% of rural properties are considered small, ranging from 1.3 to 156 ha. Altogether, they add up to almost 380 ha of agroforestry in anthropic areas, some of them degraded by intense historical land use. The extraction of fruits and seeds and the planting of native tree species (59% and 48%, respectively) were the most mentioned agroforestry management by the applicants. The main products or species of interest mentioned were fruits and heart of palm from Euterpe edulis (52%), fruits of Citrus spp. (51%), native timber (49%), non-native fruits (44%), native Myrtaceae fruits (39%), other native fruits (32%), banana crops (29%), Yerba-mate (26%), non-native timber (16%), other non-native plants (9%), ornamental plants (9%), Butia catarinensis fruits (7%), and Butia odorata fruits (2%). The SAC has brought stakeholders (farmers, technical assistants, and researchers) closer to the environmental agency, creating a broad new regional agenda on agroforestry, and a myriad of conservation opportunities. The strengthening of agroforestry-support policies must be an important conservation strategy in the Atlantic Forest. However, to carry out such policies, it is necessary to create conditions and incentives beyond the legislative scope, translating the legal provisions to procedures and actions.</t>
  </si>
  <si>
    <t>Land Use Pol.</t>
  </si>
  <si>
    <t>10.1016/j.lusepol.2021.105802</t>
  </si>
  <si>
    <t>Out of scope: paper about barriers to agroforestry in Brazil</t>
  </si>
  <si>
    <t>SCANDINAVIAN JOURNAL OF FOREST RESEARCH</t>
  </si>
  <si>
    <t>Carbon stock; Chinese fir; site specific-based scenario; mixed forest-based scenario</t>
  </si>
  <si>
    <t>LEAF-LITTER DECOMPOSITION; NUTRIENT RETURN; FIR; PLANTATIONS; DYNAMICS</t>
  </si>
  <si>
    <t>Wang, B; Wei, WJ; Xing, ZK; You, WZ; Niu, X; Ren, XX; Liu, CJ</t>
  </si>
  <si>
    <t>Biomass carbon pools of Cunninghamia lanceolata (Lamb.) Hook. forests in subtropical China: Characteristics and potential</t>
  </si>
  <si>
    <t>Chinese fir (Cunninghamia lanceolata ( Lamb.) Hook.) is one of the most important indigenous tree species in China. Owing to their rapid growth, good timber quality and short rotation time, increasing numbers of plantations are being established with successive rotations. Numerous competing hypotheses have been described to explain the decline in yield that occurs with successive rotations of the plantations. In addition, there are some uncertainties regarding the changes and characteristics of biomass carbon pools in Chinese fir forests in subtropical China, and information is lacking regarding how to improve carbon sequestration by this biomass sink. The total biomass carbon stock of the Chinese fir forest in China increased from 91.57 Tg C in 1977-1981 to 238.50 Tg C in 2004-2008, accounting for 2.48-4.32% of the national forest biomass carbon in the corresponding period. Due to the decreased yield during successive rotation for Chinese fir plantations before the 1990s, the biomass carbon stock of Chinese fir forests decreased in several regions in China during the 1980s and 1990s, and increased in the 2000s when several silvicultural measures were implemented to improving the quality of Chinese fir plantations. When compared with the age-based volume to biomass (V-B) method of determining biomass carbon stock in Chinese fir forests in Jiangxi Province, the site specific-based and the mixed forests-based scenarios would both help offset CO2 emissions by sequestrating more CO2 from the atmosphere.</t>
  </si>
  <si>
    <t>Scand. J. Forest Res.</t>
  </si>
  <si>
    <t>10.1080/02827581.2012.672585</t>
  </si>
  <si>
    <t>The paper is poorly written. It seems that three scenarios with different species mixes are studied, but even this is unclear. What the C outputs displayed correspond to is even less clear.</t>
  </si>
  <si>
    <t>changedAV excluded, the C output is the application of a substitution coefficient without clear explanation of boundaries used to define the coefficient</t>
  </si>
  <si>
    <t>biodiesel production; carbon sequestration; environmental economic analysis; oleaginous trees; renewable energy</t>
  </si>
  <si>
    <t>CARBON SEQUESTRATION; ECONOMIC-ANALYSIS; OIL PALM; FOREST; BIOENERGY; EMISSIONS; BIOGAS; YIELD; MODEL; WOOD</t>
  </si>
  <si>
    <t>Zhang, J; Cong, RG; Hasler, B</t>
  </si>
  <si>
    <t>Sustainable Management of Oleaginous Trees as a Source for Renewable Energy Supply and Climate Change Mitigation: A Case Study in China</t>
  </si>
  <si>
    <t>Forests provide a range of ecosystem services, including bioenergy supply and carbon sequestration, both contributing to significant climate change mitigation. Oleaginous trees have potential to provide bioenergy supplies through biodiesel-producing seed yield as well as contributing to carbon sequestration. This paper aims to show the provisions of bioenergy and carbon savings through forest rotation management and it will investigate the potential of oleaginous forest management in China. We use the land expectation value (LEV) model to calculate the optimal joint values of timber, seed and total carbon savings, including carbon sequestration from forest and carbon reductions through energy substitutions. The results indicate that combining both values of seeds and carbon savings increase the LEV and rotation age (167,611 Yuan/ha, 78 years) compared to sole timber value (26,053 Yuan/ha, 55 years). The optimization of the LEVs and the resulting optimal rotation ages are significantly sensitive to the discounting rate. Annual biodiesel potential production from Pistacia chinensis can take up 1.7% of the national diesel consumption in China. We conclude that China can use improved forest rotation management as an effective means for achieving goals in its low-carbon energy strategy.</t>
  </si>
  <si>
    <t>10.3390/en11051123</t>
  </si>
  <si>
    <t>Only C output is a map of GHG savings per Chinese province based on biodiesel production. Results cannot be extracted. Even if they could, it would be difficult to identify the baseline scenario.</t>
  </si>
  <si>
    <t>INTERNATIONAL JOURNAL OF BUILDING PATHOLOGY AND ADAPTATION</t>
  </si>
  <si>
    <t>Buildings; Aluminium; Sustainability; Life cycle assessment; Timber; Windows</t>
  </si>
  <si>
    <t>CONSTRUCTION SECTOR; BUILDING ENERGY; ASSESSMENT LCA; SAUDI-ARABIA</t>
  </si>
  <si>
    <t>Asif, M</t>
  </si>
  <si>
    <t>An empirical study on life cycle assessment of double-glazed aluminium-clad timber windows</t>
  </si>
  <si>
    <t>Purpose Life cycle assessment (LCA) is a useful tool to determine the environmental performance of materials and products. The purpose of this paper is to undertake the LCA of double-glazed aluminium-clad timber windows in order to determine their environmental performance. Design/methodology/approach The scope of the LCA study covers the production and the use of windows over a 30-year life span. The LCA exercise has been carried out by auditing the materials and processes involved in the making of the windows. Windows production facilities were visited to investigate the respective quantities and embodied energy of the major constituting materials, i.e. timber, aluminium, glass, infill gases and auxiliary components. The main processes involved, i.e. powder coating of aluminium cladding profiles, glazing unit production and window assembly, were also examined. SimaPro software was used to calculate the environmental impacts associated with the windows for three types of glazing infills: Argon (Ar), Krypton (Kr) and Xenon (Xe). Findings Embodied energy of a standard sized (1.2 mx1.2 m) double-glazed aluminium-clad timber window is found to be 899, 1,402 and 5,400 MJ for Argon (Ar), Krypton (Kr) and Xenon (Xe) infill gases, respectively. It is also found that an Argon-filled window can lose 95,130 kWh of energy resulting into over 37,000 kg of CO2 emissions. Originality/value Besides carrying value for research community, the findings of this study can help the building and construction industry adopt windows that are energy-efficient and environmentally less burdensome. It can also help the concerned legislative bodied.</t>
  </si>
  <si>
    <t>Int. J. Build. Pathol. Adapt.</t>
  </si>
  <si>
    <t>10.1108/IJBPA-01-2019-0001</t>
  </si>
  <si>
    <t>the paper compares different gass-filled windows but the construction of these different types of windows use the same amount of wood.</t>
  </si>
  <si>
    <t>SOIL CARBON; FOREST; DECOMPOSITION; DYNAMICS; 3-PG; PRODUCTIVITY; ICBM; PARAMETERIZATION; PHOTOSYNTHESIS; CHRONOSEQUENCE</t>
  </si>
  <si>
    <t>Minunno, F; Xenakis, G; Perks, MP; Mencuccini, M</t>
  </si>
  <si>
    <t>Calibration and validation of a simplified process-based model for the prediction of the carbon balance of Scottish Sitka spruce (Picea sitchensis) plantations</t>
  </si>
  <si>
    <t>There is increasing recognition that forestry provides a low cost and robust means of climate change abatement through carbon sequestration and substitution. However, current understanding of forest ecosystem carbon exchange and forest-atmosphere interactions are often inadequately characterized by existing empirical growth models with resulting poor representation for regional extrapolations. In this paper, we describe the parameterisation and independent validation, against both eddy covariance and forest growth experimental data, of a process-oriented model 3PGN to provide assessments of carbon sequestration of Sitka spruce (Picea sitchensis (Bong.) Carriere) plantations across Scotland. In comparison with eddy covariance measurements, the model predicted all of the major annual carbon fluxes, i.e., gross primary production (P-G), net ecosystem production (P-E), and ecosystem respiration (R-E), with biases lower than 10%. At a monthly time step, only P-G and P-E were accurately estimated, whereas R-E was not. At longer time scales (i.e., several decades), the model reliably represented the major patterns of the carbon balance. Soil type was identified as the important factor influencing site productivity; fertilization practices did not alter long-term site nutritional status. The analyses also highlighted the potential impact of carbon loss from carbon-rich soils, which can result in differences between optimal rotation length for carbon sequestration and for timber production.</t>
  </si>
  <si>
    <t>10.1139/X10-181</t>
  </si>
  <si>
    <t>EUROPEAN JOURNAL OF WOOD AND WOOD PRODUCTS</t>
  </si>
  <si>
    <t>BUILDINGS; CONTEXT; IMPACT</t>
  </si>
  <si>
    <t>Achenbach, H; Wenker, JL; Ruter, S</t>
  </si>
  <si>
    <t>Life cycle assessment of product- and construction stage of prefabricated timber houses: a sector representative approach for Germany according to EN 15804, EN 15978 and EN 16485</t>
  </si>
  <si>
    <t>Energy savings in the use phase of a building's life cycle increased the relative importance of environmental impacts of the product-, construction- and end-of-life stages of a building. The European Committee for Standardization (CEN) thus developed horizontal standards to enable the sustainability assessment of construction works over their entire life cycle. Consistent with the European standards EN 15804, EN 15978 and EN 16485, a life cycle assessment (LCA) was carried out to determine the environmental impacts of the production and construction stages of an average prefabricated timber house produced in Germany as well as its particular building elements (1 mA(2) inner/outer wall, 1 mA(2) roof element, 1 mA(2) ceiling element). The life cycle inventories (LCIs) were compiled on the basis of annual data of 12 participating manufacturers of prefabricated timber houses. A specific LCA model was developed for the calculation of the input- and output flows referring to the functional units on factory level. Furthermore, one focus was laid on the application of the modular principle according to EN 15804/15978 to construction systems with a high level of prefabrication. The normalization to the overall German impacts shows that the contributions to the environmental categories global warming potential (GWP), acidification (AP) and to the abiotic depletion potential (ADPe) are most important. The highest impacts originate from the manufacturing of the building materials. However, for the categories GWP and AP, around 30% of the impacts originate from the prefabrication of the building elements, their transport and the processes at the construction site.</t>
  </si>
  <si>
    <t>Eur. J. Wood Wood Prod.</t>
  </si>
  <si>
    <t>10.1007/s00107-017-1236-1</t>
  </si>
  <si>
    <t>SUSTAINABLE ENERGY TECHNOLOGIES AND ASSESSMENTS</t>
  </si>
  <si>
    <t>Life cycle assessment; LCA; Bioenergy; Gasification; CHP; Industry</t>
  </si>
  <si>
    <t>Adams, PWR; McManus, MC</t>
  </si>
  <si>
    <t>Small-scale biomass gasification CHP utilisation in industry: Energy and environmental evaluation</t>
  </si>
  <si>
    <t>Biomass gasification is regarded as a sustainable energy technology used for waste management and producing renewable fuel. Using the techniques of life cycle assessment (LCA) and net energy analysis this study quantifies the energy, resource, and emission flows. The purpose of the research is to assess the net energy produced and potential environmental effects of biomass gasification using wood waste. This paper outlines a case study that uses waste wood from a factory for use in an entrained flow gasification CHP plant. Results show that environmental impacts may arise from toxicity, particulates, and resource depletion. Toxicity is a potential issue through the disposal of ash. Particulate matter arises from the combustion of syngas therefore effective gas cleaning and emission control is required. Assessment of resource depletion shows natural gas, electricity, fossil fuels, metals, and water are all crucial components of the system. The energy gain ratio is 4.71MJdelivered/MJprimary when only electricity is considered, this increases to 13.94MJdelivered/MJprimary if 100% of the available heat is utilised. Greenhouse gas emissions are very low (7-15 g CO2-e/kWh(e)) although this would increase if the biomass feedstock was not a waste and needed to be cultivated and transported. Overall small-scale biomass gasification is an attractive technology if the high capital costs and operational difficulties can be overcome, and a consistent feedstock source is available. (C) 2014 Elsevier Ltd. All rights reserved.</t>
  </si>
  <si>
    <t>Sustain. Energy Technol. Assess.</t>
  </si>
  <si>
    <t>10.1016/j.seta.2014.02.002</t>
  </si>
  <si>
    <t>deforestation; management regimes; historic emissions; counter appraoches; Pakistan</t>
  </si>
  <si>
    <t>LAND-USE CHANGE; HIMALAYA; BIOMASS; STOCKS; DEFORESTATION; DEGRADATION; ATMOSPHERE; PATTERNS; TRENDS; SINK</t>
  </si>
  <si>
    <t>Ahmad, A; Ahmad, S; Nabi, G; Zeb, A; Rajpar, MN; Ullah, S; Khalid, F; Rahman, M; Liu, QJ; Zu, KL; Guo, XL; Wanghe, K</t>
  </si>
  <si>
    <t>Carbon Emissions With Forest Cover Change and Wood Harvest in the Dry Temperate Region of Pakistan Between 1908 and 2015</t>
  </si>
  <si>
    <t>Regional carbon emissions related to forest cover change (FCC) and wood harvest (WH) are critical for the accurate estimates of global carbon balance over an extended time period. Using remote sensing and inventory data, this study provides a comprehensive record of FCC, WH, and their integrated carbon emissions between 1908 and 2015 in the dry temperate regions of Pakistan. Results demonstrate a significant decline in forest area (21,034 ha) at an annual rate of 0.56% from 1973 to 2015. The total WH was 24.84 million m(3) (0.23 million m(3) yr(-1)) between 1908 and 2015. Deforestation was responsible for a net loss of 1.39 million Mg C (0.018 million Mg C yr(-1)), while WH-related carbon emissions accounted for 11.29 million Mg C (0.52 million Mg C yr(-1)). The present results indicate that under the existing FCC and WH harvest scenario, the forests are acting as a net source of 0.29 million Mg C yr(-1). Agriculture expansion and the heavy dependency of local communities on the forest's resources, exclusion of conservation and local communities from forest management, insufficient monitoring, and weak law-enforcement were the striking drivers of FCC, WH, and their related emissions. These findings suggest that to maintain forest carbon and meet the communities' requirements, counter approaches such as agriculture incentives, agroforestry, trophy hunting, alternative energy sources, and inclusion of conservation and secure community-based management are needed.</t>
  </si>
  <si>
    <t>10.3389/fenvs.2022.876225</t>
  </si>
  <si>
    <t>Wood-based materials; In-use carbon stocks; Carbon sequestration; Material flow analysis; Dynamic stock modeling; Climate change mitigation</t>
  </si>
  <si>
    <t>RESIDENTIAL BUILDINGS; ENERGY; FLOW; EMISSIONS; ECONOMY; STEEL; PRODUCTS; DYNAMICS; IMPACTS; JAKARTA</t>
  </si>
  <si>
    <t>Estimating in-use wood-based materials carbon stocks in Indonesia: Towards a contribution to the national climate mitigation effort</t>
  </si>
  <si>
    <t>The carbon sequestered in harvested wood products (HWP) can contribute to climate change mitigation. As a fast-growing country with abundant forest resources, Indonesia potentially has vast HWP carbon stocks that need to be accurately assessed as a first step towards understanding the extent of their potential contribution in climate change mitigation. In this study, a dynamic materials stock and flow analysis for carbon in wood-based products in Indonesia was conducted, covering six end-use sectors. In general, only around 30.3% of the harvested wood (carbon mass) was converted into end-use materials in 2014, indicating a significantly low harvested wood conversion rate in Indonesia. There was a significant increase of wood-based products' carbon stocks in Indonesia from 1961 to 2016. There were 72 (-17/+15) Mt-C of wood stocks in Indonesian society in 2016, or equivalent to 0.28 t-C/capita. Buildings (42%) and infrastructure (31%) were the largest contributors to in-use carbon stocks. The product lifetime uncertainty had a significant influence on the estimate of total society's wood-based carbon stock. Indonesia's in-use stock of wood-based products in 2008 was below its stock level of steel (1.2 times smaller) and cement (5.3 times smaller). Both wood-steel and wood-cement stock ratios showed declining trends, indicating a shifting trend to non-renewable materials use over the past decades. This is the first study that accounts for the in-use wood-based carbon stocks in a developing country. Its results can facilitate further quantitative environmental assessments of non-renewable materials substitution and could help framing materials use policies for climate change mitigation.</t>
  </si>
  <si>
    <t>10.1016/j.resconrec.2019.06.010</t>
  </si>
  <si>
    <t>TREES FORESTS AND PEOPLE</t>
  </si>
  <si>
    <t>Avoided emissions; conservation; coastal protection; ecosystem services; income; tree biomass</t>
  </si>
  <si>
    <t>HOMESTEAD FORESTS; CLIMATE-CHANGE; CO-BENEFITS; DIVERSITY; BIODIVERSITY; TREES; AGROFORESTRY; HOUSEHOLD; BIOENERGY; KNOWLEDGE</t>
  </si>
  <si>
    <t>Baul, TK; Chakraborty, A; Nandi, R; Nath, TK; Mohiuddin, M</t>
  </si>
  <si>
    <t>Phytosociological attributes and ecosystem services of homegardens of Maheshkhali island of Bangladesh</t>
  </si>
  <si>
    <t>Homegardens with diverse plants have the potential to generate ecosystem services. We investigated phytosociological attributes and ecosystem services, and thereof economic benefits, and how attributes of homegardens and socioeconomic characteristics of the households influencing the economic benefits and regulating services of homegardens of Maheshkhali Island in South-Western Bangladesh. We randomly surveyed and interviewed a total of 239 homegardens and respective households located in the hillside (67), beachside (69), and inland (103) of Maheshkhali island, and conducted three focus group discussions. Tree species diversity and tree individuals per household were significantly higher in the hillside and inland in comparison to beachside. We found 56 tree species which have a wide range of regulating services. About 31-37%, 31-46%, 31-39%, and 37-42% of tree species across the three locations provide shade, coastal protection, soil improvement, and conservation services, respectively, with more species on the beachside for coastal protection. The responses of regulating services were significantly affected by respondents' age and gender. About 40-44% of tree species provide multiple provisioning services. These services of homegardens contributed to the household economy (income, utilization, and sale of tree biomass fuels, fruits, timber, and bamboo) and avoided CO2 emissions, which were higher in inland and hillside than the beachside, where households were relatively poor. These sale revenues and utilization values increased with the increasing size of landholdings and homegardens, tree and bamboo individuals, and species diversity, contributed to increasing income. The attributes of homegardens were also positively correlated with the harvesting of biomass fuels and avoided emissions, and had a positive contribution to total energy supply. Having a wide range of economic and ecological values, it is important to ensure the sustainability of homegardens. Authorities (e.g., Local government councils, forest department) may provide incentives such as technical advice and material support for the conservation of homegardens.</t>
  </si>
  <si>
    <t>Trees For. People</t>
  </si>
  <si>
    <t>10.1016/j.tfp.2021.100092</t>
  </si>
  <si>
    <t>The paper is about trees in homegardens</t>
  </si>
  <si>
    <t>changed_to_no_driver</t>
  </si>
  <si>
    <t>INTERNATIONAL WOOD PRODUCTS JOURNAL</t>
  </si>
  <si>
    <t>Mass timber; CLT; sustainable supply; robustness; durability; end of life; net zero carbon; embodied carbon</t>
  </si>
  <si>
    <t>Campbell, A</t>
  </si>
  <si>
    <t>What engineers (still) do not know about wood: an engineer's perspective on key knowledge gaps in the use of mass timber</t>
  </si>
  <si>
    <t>An engineer's viewpoint on key areas for further research and industry initiatives to support the increased use of mass timber, particularly Cross Laminated Timber. The paper identifies issues related to project delivery in UK and global construction markets including design for durability, approaches to building design complexity, sustainable supply and the end of life scenarios of buildings, and emerging net zero carbon emissions strategies and the role of forestry for products.</t>
  </si>
  <si>
    <t>Int. Wood Prod. J.</t>
  </si>
  <si>
    <t>10.1080/20426445.2020.1730047</t>
  </si>
  <si>
    <t>BOREAL FOREST; FIRE FREQUENCY; WOOD; SUPPRESSION; IMPACTS; BALANCE; GROWTH</t>
  </si>
  <si>
    <t>Chen, JX; Colombo, SJ; Ter-Mikaelian, MT; Heath, LS</t>
  </si>
  <si>
    <t>Carbon Profile of the Managed Forest Sector in Canada in the 20th Century: Sink or Source?</t>
  </si>
  <si>
    <t>Canada contains 10% of global forests and has been one of the world's largest harvested wood products (HWP) producers. Therefore, Canada's managed forest sector, the managed forest area and HWP, has the potential to significantly increase or reduce atmospheric greenhouse gases. Using the most comprehensive carbon balance analysis to date, this study shows Canada's managed forest area and resulting HWP were a sink of 7510 and 849 teragrams carbon (TgC), respectively, in the period 1901-2010, exceeding Canada's fossil fuel-based emissions over this period (7333 TgC). If Canadian HWP were not produced and used for residential construction, and instead more energy intensive materials were used, there would have been an additional 790 TgC fossil fuel-based emissions. Because the forest carbon increases in the 20th century were mainly due to younger growing forests that resulted from disturbances in the 19th century, and future increases in forest carbon stocks appear uncertain, in coming decades most of the mitigation contribution from Canadian forests will likely accrue from wood substitution that reduces fossil fuel-based emissions and stores carbon, so long as those forests are managed sustainably.</t>
  </si>
  <si>
    <t>10.1021/es5005957</t>
  </si>
  <si>
    <t>Bamboo; Sustainability; Housing projects; CO2</t>
  </si>
  <si>
    <t>LIFE-CYCLE; CONSTRUCTION MATERIALS; RESIDENTIAL BUILDINGS; EMISSIONS; IMPACTS</t>
  </si>
  <si>
    <t>Escamilla, EZ; Habert, G; Wohlmuth, E</t>
  </si>
  <si>
    <t>When CO2 counts: Sustainability assessment of industrialized bamboo as an alternative for social housing programs in the Philippines</t>
  </si>
  <si>
    <t>The growth of human populations in urban areas has introduced an increasing demand for housing solutions. The housing demand in the Philippines is further increased by the severity and number of natural disasters afflicting the country every year. Organizations that focus on social housing programs tend to use conventional construction materials. These materials are known for high levels of emissions related to their production. Bio-based construction materials, such as bamboo or wood, can capture CO2 during their growth phase and can store it in their durable products. This storage phase becomes important when it spans decades, as occurs with buildings. The present research aims to evaluate the sustainability of industrialized bamboo solutions in housing projects. Three categories were used for the sustainability assessment: environmental impact considering CO2 emissions, economic considering potential revenue from CO2 credits and social considering the job creation potential. The results show that the most important variables are the life span of the bamboo-based buildings and their end-of-life scenarios. The results show that the transition toward a more sustainable built environment will be much faster with the implementation of industrialized bamboo production than with the use of industrial wood production. However, bamboo -based buildings require careful management regarding their end-of-life circumstances to efficiently store CO2. (C) 2016 Elsevier Ltd. All rights reserved.</t>
  </si>
  <si>
    <t>10.1016/j.buildenv.2016.04.003</t>
  </si>
  <si>
    <t>CO2 value is incorrect with the addition of stock and flux. Displayed results do not allow a robust data extraction.</t>
  </si>
  <si>
    <t>exclude paper</t>
  </si>
  <si>
    <t>economic-environmental sustainability; life cycle costing; life cycle assessment; CO2 emissions; environmental externalities; green public procurement; sustainable public procurement; public-private partnership (PPP)</t>
  </si>
  <si>
    <t>ENERGY; LIFE; COST; EFFICIENCY; MARKET</t>
  </si>
  <si>
    <t>Fregonara, E; Ferrando, DG; Tulliani, JM</t>
  </si>
  <si>
    <t>Sustainable Public Procurement in the Building Construction Sector</t>
  </si>
  <si>
    <t>Considering that in the E.U. public procurement in the construction sector is highly represented, the Directive 2014/24/EU is implemented for harmonizing procurement processes across European countries. The Directive is transposed in Italy, through the Sustainable Public Procurement (SPP) national action plan, for supporting public procurement and public-private partnership (PPP) interventions. SPP is founded on two pillars: according to an economic viewpoint, the financial efficiency is the key aspect to verify, and, according to a sustainability viewpoint, externalities are a key element in the environmental evaluation, despite the fact that their monetary quantification into the global cost calculation is quite complex. Thus, this work aims to explore a methodology for the joint evaluation of economic-environmental sustainability of project options, in the tender evaluation phase of the SPP. The methodology is based on the life cycle costing (LCC) and CO2 emissions joint assessment, including criteria weighting and uncertainty components. Two alternative technologies-a timber and an aluminum window frame-are assumed as a case for a simulation, implemented with the software Smart SPP LCC-CO2 Tool (developed through the research Smart SPP-Innovation through sustainable procurement, supported by Intelligent Energy Europe). The simulation demonstrates that the methodology is a fast and effective modality for selecting alternative options, introducing sustainability in the decision-making process. The work is a contribution to the growing literature on the topic, and for giving support to subjects (public authorities and private operators) involved in public procurement processes/PPP interventions.</t>
  </si>
  <si>
    <t>10.3390/su141811616</t>
  </si>
  <si>
    <t>Redwood lumber; Life cycle analysis; Environmental impacts; Fuel consumption in timber harvesting; Air quality impacts</t>
  </si>
  <si>
    <t>ENVIRONMENTAL IMPACTS; WOOD PRODUCTS; DECAY RESISTANCE; INLAND NORTHWEST; PERFORMANCE; INVENTORY; HEARTWOOD; DECKING</t>
  </si>
  <si>
    <t>Han, HS; Oneil, E; Bergman, RD; Eastin, IL; Johnson, LR</t>
  </si>
  <si>
    <t>Cradle-to-gate life cycle impacts of redwood forest resource harvesting in northern California</t>
  </si>
  <si>
    <t>The first life cycle impact assessment for redwood (Sequoia sempervirens) forest management activities (i.e. a cradle-to-sawmill gate input) including the growing, harvesting, and hauling of redwood sawlogs to a sawmill was completed. In the stump-to-truck timber harvesting analysis, primary transport activities such as skidding and yarding consumed the largest amount of fuel and consequently generated the greatest environmental impacts (50% of the total) compared with the other harvesting stages (felling, processing, and loading). Hauling sawlogs to the sawmill was also a major contributor to total greenhouse gas emissions, representing 20% of total emissions. The most efficient harvest method in terms of fuel consumption per m(3) of wood harvested was the manual ground-based system used in even-aged silvicultural operations, followed by the skyline harvesting methods. Relative to even-aged silvicultural systems, uneven-aged systems, often prescribed to meet environmental goals such as maintaining biodiversity and protecting wildlife habitats, used 20% more fuel per m(3) of redwood sawlogs harvested. This was because uneven-aged systems required an increased number of entries to harvest the same amount of wood as even-aged systems. The cradle-to-gate GHG emissions from redwood forest management activities including growing, harvesting and hauling the logs represent only 14% (17.13 kg CO(2)e/m(3)) of the total GHG emissions (i.e. cradle-to-grave) associated with redwood decking lumber. The study results showed substantial differences in environmental impacts for the various harvesting operations and silvicultural systems for redwood forest management and operations. Therefore, the life cycle impact assessment results for the various redwood harvesting and silvicultural systems should be carefully considered when evaluating environmental performance of forest management activities along with other objectives. (C) 2015 Elsevier Ltd. All rights reserved.</t>
  </si>
  <si>
    <t>10.1016/j.jclepro.2015.02.088</t>
  </si>
  <si>
    <t>One could compare even vs uneven aged managements, but it's clearly not the aim of the paper (the comparison is neither mentionned in the abstract nor in the conclusion).</t>
  </si>
  <si>
    <t>EARTH SYSTEM DYNAMICS</t>
  </si>
  <si>
    <t>CARBON BUDGET; COVER CHANGE; USE TRANSITIONS; WOOD-HARVEST; EMISSIONS; HOLOCENE; HARMONIZATION; MANAGEMENT; CO2</t>
  </si>
  <si>
    <t>Hartung, K; Bastos, A; Chini, L; Ganzenmuller, R; Havermann, F; Hurtt, GC; Loughran, T; Nabel, JEMS; Nutzel, T; Obermeier, WA; Pongratz, J</t>
  </si>
  <si>
    <t>Bookkeeping estimates of the net land-use change flux - a sensitivity study with the CMIP6 land-use dataset</t>
  </si>
  <si>
    <t>The carbon flux due to land-use and land-cover change (net LULCC flux) historically contributed to a large fraction of anthropogenic carbon emissions while at the same time being associated with large uncertainties. This study aims to compare the contribution of several sensitivities underlying the net LULCC flux by assessing their relative importance in a bookkeeping model (Bookkeeping of Land Use Emissions, BLUE) based on a LULCC dataset including uncertainty estimates (the Land-Use Harmonization 2 (LUH2) dataset). The sensitivity experiments build upon the approach of Hurtt et al. (2011) and compare the impacts of LULCC uncertainty (a high, baseline and low land-use estimate), the starting time of the bookkeeping model simulation (850, 1700 and 1850), net area transitions versus gross area transitions (shifting cultivation) and neglecting wood harvest on estimates of the net LULCC flux. Additional factorial experiments isolate the impact of uncertainty from initial conditions and transitions on the net LULCC flux. Finally, historical simulations are extended with future land-use scenarios to assess the impact of past LULCC uncertainty in future projections. Over the period 1850-2014, baseline and low LULCC scenarios produce a comparable cumulative net LULCC flux, while the high LULCC estimate initially produces a larger net LULCC flux which decreases towards the end of the period and even becomes smaller than in the baseline estimate. LULCC uncertainty leads to slightly higher sensitivity in the cumulative net LULCC flux (up to 22 %; references are the baseline simulations) compared to the starting year of a model simulation (up to 15 %). The contribution from neglecting wood harvest activities (up to 28% cumulative net LULCC flux) is larger than that from LULCC uncertainty, and the implementation of land-cover transitions (gross or net transitions) exhibits the smallest sensitivity (up to 13 %). At the end of the historical LULCC dataset in 2014, the LULCC uncertainty retains some impact on the net LULCC flux (+/- 0.15 PgC yr(-1) at an estimate of 1.7 PgC yr(-1)). Of the past uncertainties in LULCC, a small impact persists in 2099, mainly due to uncertainty of harvest remaining in 2014. However, compared to the uncertainty range of the LULCC flux estimated today, the estimates in 2099 appear to be indistinguishable. These results, albeit from a single model, are important for CMIP6 as they compare the relative importance of starting year, uncertainty of LULCC, applying gross transitions and wood harvest on the net LULCC flux. For the cumulative net LULCC flux over the industrial period, the uncertainty of LULCC is as relevant as applying wood harvest and gross transitions. However, LULCC uncertainty matters less (by about a factor of 3) than the other two factors for the net LULCC flux in 2014, and historical LULCC uncertainty is negligible for estimates of future scenarios.</t>
  </si>
  <si>
    <t>Earth Syst. Dynam.</t>
  </si>
  <si>
    <t>10.5194/esd-12-763-2021</t>
  </si>
  <si>
    <t>Global land use model with little details on the scenarios =&gt; difficult to identify drivers</t>
  </si>
  <si>
    <t>Negative CO2 emissions; Forest wood products; Carbon balance; Biomass; Forest management; Bioenergy; Life-cycle assessment</t>
  </si>
  <si>
    <t>CLIMATE-CHANGE; CARBON; IMPACTS; MITIGATION; MANAGEMENT; BIOENERGY; CYCLE; CONSISTENT; SCENARIOS; SCIENCE</t>
  </si>
  <si>
    <t>Iordan, CM; Hu, XP; Arvesen, A; Kauppi, P; Cherubini, F</t>
  </si>
  <si>
    <t>Contribution of forest wood products to negative emissions: historical comparative analysis from 1960 to 2015 in Norway, Sweden and Finland</t>
  </si>
  <si>
    <t>Background: Forests and forest products can significantly contribute to climate change mitigation by stabilizing and even potentially decreasing the concentration of carbon dioxide (CO2) in the atmosphere. Harvested wood products (HWP) represent a common widespread and cost-efficient opportunity for negative emissions. After harvest, a significant fraction of the wood remains stored in HWPs for a period that can vary from some months to many decades, whereas atmospheric carbon (C) is immediately sequestered by vegetation re-growth. This temporal mismatch between oxidation of HWPs and C uptake by vegetation generates a net sink that lasts over time. The role of temporary carbon storage in forest products has been analysed and debated in the scientific literature, but detailed bottomup studies mapping the fate of harvested materials and quantifying the associated emission profiles at national scales are rare. In this work, we quantify the net CO2 emissions and the temporary carbon storage in forest products in Norway, Sweden and Finland for the period 1960-2015, and investigate their correlation. We use a Chi square probability distribution to model the oxidation rate of C over time in HWPs, taking into consideration specific half-lives of each category of products. We model the forest regrowth and estimate the time-distributed C removal. We also integrate the specific HWP flows with an emission inventory database to quantify the associated life-cycle emissions of fossil CO2, CH4 and N2O. Results: We find that assuming an instantaneous oxidation of HWPs would overestimate emissions of about 1.18 billion t CO2 (cumulative values for the three countries over the period 1960-2015).We also find that about 40 years after 1960, the starting year of our analysis, are sufficient to detect signs of negative emissions. The total amount of net CO2 emissions achieved in 2015 are about -3.8 million t CO2, -27.9 t CO2 and -43.6 t CO2 in Norway, Sweden, and Finland, respectively. Conclusion: We argue for a more explicit accounting of the actual emission rates from HWPs in carbon balance studies and climate impact analysis of forestry systems and products, and a more transparent inclusion of the potential of HWP as negative emissions in perspective studies and scenarios. Simply assuming that all harvested carbon is instantaneously oxidized can lead to large biases and ultimately overlook the benefits of negative emissions of HWPs.</t>
  </si>
  <si>
    <t>10.1186/s13021-018-0101-9</t>
  </si>
  <si>
    <t>JURNAL MANAJEMEN HUTAN TROPIKA</t>
  </si>
  <si>
    <t>acidification; eutrophication; greenhouse gases; life cycle assessment</t>
  </si>
  <si>
    <t>BIOMASS</t>
  </si>
  <si>
    <t>Iswanto; Nurrochmat, DR; Siregar, UJ</t>
  </si>
  <si>
    <t>Life Cycle Assessment (LCA) of Wood Pellet Production at Korintiga Hutani Company, Central Kalimantan, Indonesia</t>
  </si>
  <si>
    <t>Climate change has forced human being to adapt in fulfilling their energy needs sustainably. In Indonesia, forestry activities has been considered as an emission rather than carbon sink. This study aims to analyze the inputs, outputs, and potential environmental impacts of wood pellet production in a forest company using life cycle assessment (LCA). The wood pellet is made from Eucalyptus pellita plantation. Analysis was made for I planting cycle or 6 years, and allometric equations were used to estimate the ability of industrial timber plantation forest to absorb CO2, Production of wood pellet starting from plantation requires inputs as follows: diesel fuel, electricity, NPK and other fertilizers, pesticides, and electrical energy. Those inputs produced emissions, of which the largest was N2O of 551.2927 kg, followed by NH3 of 7.5275 kg generated from NPK fertilizer Another was PO43- amounted at 0.1792-0.2229 kg from liquid fertilizers and pesticides. Potential acidification came from 13.3675 kg SO2 eq, and eutrophication of 0.4021 kg PO43-. eq. The greenhouse gas (GHG) emission was 678.0270 kg CO2 eq from the plantation activities, especially from diesel-based energy consumption, while wood pellet mills only released 0.1053 kg CO2 eq of GHG emissions. Thus, total emissions from 6 years' time of wood pellet production are much lower compared to the average CO2 absorbed by the plantation forest, of which annually is 36.34-67.69 ton ha(-1) year(-1).</t>
  </si>
  <si>
    <t>J. Manaj. Hutan Tropika</t>
  </si>
  <si>
    <t>10.7226/jtfm.27.3.200</t>
  </si>
  <si>
    <t>Only one scenario</t>
  </si>
  <si>
    <t>CONSERVATION BIOLOGY</t>
  </si>
  <si>
    <t>integrated assessment model; IPCC; species-area relationship; IPCC; modelo de evaluacion integrada; relacion especies-area</t>
  </si>
  <si>
    <t>BIRD EXTINCTIONS; USE TRANSITIONS; WOOD-HARVEST; SPECIES LOSS; DEFORESTATION; CONSERVATION; STABILIZATION; IMPACTS; PATHWAY</t>
  </si>
  <si>
    <t>Jantz, SM; Barker, B; Brooks, TM; Chini, LP; Huang, QY; Moore, RM; Noel, J; Hurtt, GC</t>
  </si>
  <si>
    <t>Future habitat loss and extinctions driven by land-use change in biodiversity hotspots under four scenarios of climate-change mitigation</t>
  </si>
  <si>
    <t>Numerous species have been pushed into extinction as an increasing portion of Earth's land surface has been appropriated for human enterprise. In the future, global biodiversity will be affected by both climate change and land-use change, the latter of which is currently the primary driver of species extinctions. How societies address climate change will critically affect biodiversity because climate-change mitigation policies will reduce direct climate-change impacts; however, these policies will influence land-use decisions, which could have negative impacts on habitat for a substantial number of species. We assessed the potential impact future climate policy could have on the loss of habitable area in biodiversity hotspots due to associated land-use changes. We estimated past extinctions from historical land-use changes (1500-2005) based on the global gridded land-use data used for the Intergovernmental Panel on Climate Change Fifth Assessment Report and habitat extent and species data for each hotspot. We then estimated potential extinctions due to future land-use changes under alternative climate-change scenarios (2005-2100). Future land-use changes are projected to reduce natural vegetative cover by 26-58% in the hotspots. As a consequence, the number of additional species extinctions, relative to those already incurred between 1500 and 2005, due to land-use change by 2100 across all hotspots ranged from about 220 to 21000 (0.2% to 16%), depending on the climate-change mitigation scenario and biological factors such as the slope of the species-area relationship and the contribution of wood harvest to extinctions. These estimates of potential future extinctions were driven by land-use change only and likely would have been higher if the direct effects of climate change had been considered. Future extinctions could potentially be reduced by incorporating habitat preservation into scenario development to reduce projected future land-use changes in hotspots or by lessening the impact of future land-use activities on biodiversity within hotspots. La Futura Perdida de Habitat y Extinciones Causados por el Cambio en el Uso de Suelo en los Puntos Clave de Biodiversidad bajo Cuatro Escenarios de Mitigacion de Cambio Climatico Se ha llevado a numerosas especies a la extincion conforme una porcion creciente de la superficie terrestre ha sido aduenada por actividades humanas. En el futuro, la biodiversidad global se vera afectada tanto por el cambio climatico como por el cambio en el uso de suelo, de los cuales el ultimo es actualmente el principal conductor de la extincion de especies. La manera en que las sociedades aborden el cambio climatico afectara criticamente a la biodiversidad ya que las politicas de mitigacion de cambio climatico reduciran directamente los impactos del cambio climatico; sin embargo, estas politicas influenciaran las decisiones de uso de suelo, lo que podria tener impactos negativos sobre el habitat de numerosas especies. Evaluamos el impacto potencial que podrian tener las futuras politicas de clima sobre la perdida del area habitable en los puntos clave de biodiversidad debido al cambio asociado en el uso de suelo. Estimamos las extinciones pasadas a partir de cambios historicos en el uso de suelo (1500 - 2005) con base en la extension del habitat, los datos de especies para cada punto clave, y la cuadricula global de datos sobre uso de suelo, la cual fue utilizada para el Reporte de la Quinta Evaluacion del Panel Intergubernamental sobre Cambio Climatico. Despues estimamos las extinciones potenciales causadas por futuros cambios en el uso de suelo bajo escenarios alternativos de cambio climatico (2005 - 2100). El numero de extinciones de especies adicionales, en relacion con aquellas ya provocadas entre 1500 y 2005, causadas por el cambio en el uso de suelo para 2100 en todos los puntos clave, vario aproximadamente de 220 a 21, 000 (0.2% a 16%), dependiendo del escenario de mitigacion de cambio climatico y factores biologicos, como la pendiente de la relacion especies-area y la contribucion de la tala a las extinciones. Estas estimaciones de las extinciones potenciales en el futuro fueron causadas solamente por el cambio en el uso de suelo y probablemente habrian sido mas altas si se hubiesen considerado los efectos directos del cambio climatico. Las extinciones futuras podrian reducirse potencialmente al incorporar la preservacion del habitat al desarrollo del escenario para reducir los futuros cambios en el uso de suelo en los puntos clave o al disminuir el impacto de las futuras actividades de uso de suelo sobre la biodiversidad dentro de los puntos clave. Resumen</t>
  </si>
  <si>
    <t>Conserv. Biol.</t>
  </si>
  <si>
    <t>10.1111/cobi.12549</t>
  </si>
  <si>
    <t>ECOLOGICAL INDICATORS</t>
  </si>
  <si>
    <t>Sustainable forest management; Timber utilization; Carbon offsets; Timber harvesting; C-Balance; Displacement factor</t>
  </si>
  <si>
    <t>LIFE-CYCLE; WOOD; BIOENERGY; IMPACTS; COSTS</t>
  </si>
  <si>
    <t>Kohl, M; Ehrhart, HP; Knauf, M; Neupane, PR</t>
  </si>
  <si>
    <t>A viable indicator approach for assessing sustainable forest management in terms of carbon emissions and removals</t>
  </si>
  <si>
    <t>In forest management, the sustainability of a multitude of economic, ecological and socio-economic impacts and services is assessed. The role of forests in the global carbon (C) cycle is almost exclusively assessed through an ecosystem approach that relates emissions from timber harvesting and removals through biomass growth and C sequestration. While harvested wood leads to a reduction in the C-stock in forest C-pools, the use of wood for energy and production of wood-based materials results in significant emission reductions by substituting in place of greenhouse gas (GHG) intensive fuels and energy-intensive non-wood materials respectively. We present a new indicator approach for the assessment of sustainable forest management that includes the entire emissions and removals associated with the harvested wood along the wood product value chain and thus represents represents C-sustainability with respect to emissions and removals. The indicator is implemented in two variants. If information available on wood use and the carbon offsets associated with it is sufficient, the indicator can be derived by presenting emissions from wood harvesting and removals from wood use in the form of a carbon balance (C-balance indicator). If the balance is even or if removals predominate, forest management fulfills the requirement of C-sustainability. If the information is insufficient, the emissions from the wood harvest and possible wood processing losses are summed up, and the necessary displacement factor (DF) is calculated, which is necessary to compensate the corresponding emissions by carbon offsets of the wood use (DF-indicator). A comparison of the necessary displacement factor with common carbon offsets of typical wood uses allows an assessment of C-sustainability. The effectiveness of the C-indicator for assessing sustainable forest management is illustrated by two case studies. We found that in order to achieve carbon neutrality, substitution factors between 1.9 (lignite) and 2.5 (gas) are necessary, depending on the fossil fuel substituted. If no energetic substitution is assumed, the DF increases to a value of 3.3. In situations with high harvest losses, the necessary DFs well exceed values that can be achieved even under very positive assumptions; C-sustainability is therefore not met. Both approaches allow an assessment of C-sustainability beyond forest boundaries by giving appropriate weight to the importance of wood use in the carbon cycle. In addition to the implication of the indicator to evaluate SFM, we claim that this indicator is responsive to the emerging global forest related international processes and their reporting requirements such as Reducing Emissions from Deforestation and forest Degradation in Developing Countries (REDD + ) as well as nationally appropriate mitigation actions (NDCs, Low Emission Development Strategy).</t>
  </si>
  <si>
    <t>Ecol. Indic.</t>
  </si>
  <si>
    <t>10.1016/j.ecolind.2019.106057</t>
  </si>
  <si>
    <t>ecosystem modeling; environmental drivers; carbon sink; lagged response; ecosystem equilibrium; committed change</t>
  </si>
  <si>
    <t>EARTH SYSTEM MODEL; LAND-USE CHANGE; CO2 FERTILIZATION; CLIMATE; NITROGEN; DIVERGENCE; MANAGEMENT; SINK</t>
  </si>
  <si>
    <t>Krause, A; Arneth, A; Anthoni, P; Rammig, A</t>
  </si>
  <si>
    <t>Legacy Effects from Historical Environmental Changes Dominate Future Terrestrial Carbon Uptake</t>
  </si>
  <si>
    <t>Ecosystems continuously adapt to interacting environmental drivers that change over time. Consequently, the carbon balance of terrestrial ecosystem may presently still be affected by past anthropogenic disturbances (e.g., deforestation) and other environmental changes (e.g., climate change). However, even though such so-called legacy effects are implicitly included in many carbon cycle modeling studies, they are typically not explicitly quantified and therefore scientists might not be aware of their long-term importance. Here, we use the ecosystem model LPJ-GUESS to quantify legacy effects for the 21st century and the respective contributions of the following environmental drivers: climate change, CO2 fertilization, land use change, wood harvest, nitrogen deposition, and nitrogen fertilization. According to our simulations, the combined legacy effects of historical (1850-2015) environmental changes result in a land carbon uptake of +126 Gt C over the future (2015-2099) period. This by far exceeds the impacts of future environmental changes (range -53 Gt C to +16 Gt C for three scenarios) and is comparable in magnitude to historical carbon losses (-154 Gt C). Legacy effects can mainly be attributed to ecosystems still adapting to historical increases in atmospheric CO2 (+65 Gt C) and nitrogen deposition (+33 Gt C), but long-term vegetation regrowth following agricultural abandonment (+8 Gt C) and wood harvest (+19 Gt C) also play a role. The response of the biosphere to historical environmental changes dominates future terrestrial carbon cycling at least until midcentury. Legacy effects persist many decades after environmental changes occurred and need to be considered when interpreting changes and estimating terrestrial carbon uptake potentials.</t>
  </si>
  <si>
    <t>10.1029/2020EF001674</t>
  </si>
  <si>
    <t>climate change; greenhouse gas emissions; life cycle assessment; forestry; timber harvesting</t>
  </si>
  <si>
    <t>LIFE-CYCLE ASSESSMENT; SHORT-ROTATION COPPICE; ENVIRONMENTAL-IMPACT; BIOENERGY PRODUCTION; ROUNDWOOD PRODUCTION; CARBON STORAGE; CLIMATE-CHANGE; OPERATIONS; WOOD; ENERGY</t>
  </si>
  <si>
    <t>Kuhmaier, M; Kral, I; Kanzian, C</t>
  </si>
  <si>
    <t>Greenhouse Gas Emissions of the Forest Supply Chain in Austria in the Year 2018</t>
  </si>
  <si>
    <t>Wood is a renewable product, but for the supply of wood non-renewable materials are also necessary, which can have negative environmental impacts. The objective of this study was to analyze the greenhouse gas (GHG) emissions caused by the forest supply chain in Austria using Life Cycle Assessment (LCA) methods. The forest supply chain consists of several processes like site preparation and tending, harvesting, and transport. In total, 30 relevant forest processes from seedling production until delivery of wood to the plant gate were considered. Results show that in the year 2018, a total of 492,096 t of CO2 eq. were emitted in Austria for harvesting and transportation of 19.2 hm(3) of timber. This corresponds to 25.63 kg CO2 eq. per m(3). At 77%, transport accounts for the largest share of emissions within the supply chain. Extraction causes 14% of emissions, felling and processing cause 5%, and chipping causes 4%. GHG emissions for felling, delimbing, and crosscutting are much lower when using a chainsaw compared to harvester. The high numbers for the transport can be explained by the high transportation distances. Especially for the transportation of wood, it is necessary to find more climate-friendly solutions from a technical and organizational point of view. The provision of wood is climate-friendly, and its use enables the substitution of fossil fuels or materials with higher negative effects on climate change such as aluminum, steel, or concrete.</t>
  </si>
  <si>
    <t>10.3390/su14020792</t>
  </si>
  <si>
    <t>Harvested wood product; Life-cycle assessment; Biogenic carbon; Boreal forest; Construction materials</t>
  </si>
  <si>
    <t>WOOD; INVENTORY; ENERGY</t>
  </si>
  <si>
    <t>Laurent, AB; Menard, JF; Lesage, P; Beauregard, R</t>
  </si>
  <si>
    <t>Cradle-to-Gate Environmental Life Cycle Assessment of the Portfolio of an Innovative Forest Products Manufacturing Unit</t>
  </si>
  <si>
    <t>Manufacturing companies are under pressure from consumers and legislation to reduce their environmental impacts. In some sectors where competition is particularly fierce, the ability to offer a product with a lighter environmental impact than the competition can be useful in significantly increasing market share. The forest industry, which harvests and processes wood, a renewable resource, also aims at being part of this trend towards transparency. Life cycle assessment (LCA) is often used to quantify the environmental footprint of harvested wood products (HWP). Based on a primary data inventory of four years of activity, this study presents an LCA of the portfolio of an innovative forest products manufacturer. The functional unit of that assessment is a cubic meter. A sensitive analysis on an economic allocation was also conducted. Because of loops in the studied system and flow conservation constraint, results of the portfolio LCA was verified using an organizational footprint assessment. From the material flow and the half-life of products, a bottom-up accounting method is suggested for integrating HWP in national greenhouse gas (GHG) inventories.</t>
  </si>
  <si>
    <t>10.15376/biores.11.4.8981-9001</t>
  </si>
  <si>
    <t>The paper lists different wood products. They cannot be compared.</t>
  </si>
  <si>
    <t>climate change adaptation; scenario analysis; growth model; simulation; mixed species stands; carbon sequestration; rotation cycle</t>
  </si>
  <si>
    <t>AREA INCREMENT MODEL; NITROGEN DEPOSITION; IMPACTS; SECTOR; SEQUESTRATION; DYNAMICS; CLIMATE; VULNERABILITY; STANDS; YIELD</t>
  </si>
  <si>
    <t>Ledermann, T; Braun, M; Kindermann, G; Jandl, R; Ludvig, A; Schadauer, K; Schwarzbauer, P; Weiss, P</t>
  </si>
  <si>
    <t>Effects of Silvicultural Adaptation Measures on Carbon Stock of Austrian Forests</t>
  </si>
  <si>
    <t>We present the results of a simulation experiment that evaluated three scenarios of forest management in the context of climate change mitigation. Two scenarios refer to climate change adaptation measures. The third scenario was a business-as-usual scenario representing the continuation of current forest management. We wanted to know whether a change in tree species composition or the implementation of shorter rotation cycles is in accordance with the objectives of climate change mitigation. Our simulation experiment was based on data of the Austrian National Forest Inventory. A forest sector simulation model was used to derive timber demand and potential harvesting rates. Forest dynamics were simulated with an individual-tree growth model. We compared carbon stocks, harvesting rates, current annual increment, salvage logging, and forest structure. Compared to the business-as-usual scenario, a change in tree species composition and shorter rotation cycles reduce salvage logging by 14% and 32%, respectively. However, shorter rotation cycles reduce the carbon stock by 27%, but increase the harvesting rate by 4.8% within the simulation period of 140 years. For changes in the tree species composition, the results were the opposite. Here, the carbon stock is increased by 47%, but the harvesting rate is reduced by 15%. Thus, there are clear tradeoffs between the different ecosystem services depending on the climate change adaptation scenario. We also show that a fundamental change in forest management must be accompanied by a transformation in wood processing technology and innovation in wood utilization.</t>
  </si>
  <si>
    <t>10.3390/f13040565</t>
  </si>
  <si>
    <t>EU; Carbon Budget Model; Forest management; Afforestation; Deforestation; Harvest; Natural disturbances; GHGI</t>
  </si>
  <si>
    <t>Pilli, R; Grassi, G; Kurz, WA; Moris, JV; Vinas, RA</t>
  </si>
  <si>
    <t>Modelling forest carbon stock changes as affected by harvest and natural disturbances. II. EU-level analysis</t>
  </si>
  <si>
    <t>Background: Forests and the forest sector may play an important role in mitigating climate change. The Paris Agreement and the recent legislative proposal to include the land use sector in the EU 2030 climate targets reflect this expectation. However, greater confidence on estimates from national greenhouse gas inventories (GHGI) and more comprehensive analyses of mitigation options are needed to seize this mitigation potential. The aim of this paper is to provide a tool at EU level for verifying the EU GHGI and for simulating specific policy and forest management scenarios. Therefore, the Carbon Budget Model (CBM) was applied for an integrated assessment of the EU forest carbon (C) balance from 2000 to 2012, including: (i) estimates of the C stock and net CO2 emissions for forest management (FM), afforestation/reforestation (AR) and deforestation (D), covering carbon in both the forest and the harvest wood product (HWP) pools; (ii) an overall analysis of the C dynamics associated with harvest and natural disturbances (mainly storms and fires); (iii) a comparison of our estimates with the data reported in the EU GHGI. Results: Overall, the average annual FM sink (-365 Mt CO2 year(-1)) estimated by the CBM in the period 2000-2012 corresponds to about 7 % of total GHG emissions at the EU level for the same period (excluding land use, land-use change and forestry). The HWP pool sink (-44 Mt CO2 year(-1)) contributes an additional 1 %. Emissions from D (about 33 Mt CO2 year(-1)) are more than compensated by the sink in AR (about 43 Mt CO2 year(-1) over the period). For FM, the estimates from the CBM were about 8 % lower than the EU GHGI, a value well within the typical uncertainty range of the EU forest sink estimates. For AR and D the match with the EU GHGI was nearly perfect (difference &lt;+/- 2 % in the period 2008-2012). Our analysis on harvest and natural disturbances shows that: (i) the impact of harvest is much greater than natural disturbances but, because of salvage logging (often very relevant), the impact of natural disturbances is often not easily distinguishable from the impact of harvest, and (ii) the impact of storms on the biomass C stock is 5-10 times greater than fires, but while storms cause only indirect emissions (i.e., a transfer of C from living biomass to dead organic matter), fires cause both direct and indirect emissions. Conclusions: This study presents the application of a consistent methodological approach, based on an inventory-based model, adapted to the forest management conditions of EU countries. The approach captures, with satisfactory detail, the C sink reported in the EU GHGI and the country-specific variability due to harvest, natural disturbances and land-use changes. To our knowledge, this is the most comprehensive study of its kind at EU level, i.e., including all the forest pools, HWP and natural disturbances, and a comparison with the EU GHGI.The results provide the basis for possible future policy-relevant applications of this model, e.g., as a tool to support GHGIs (e.g., on accounting for natural disturbances) and to verify the EU GHGI, and for the simulation of specific scenarios at EU level.</t>
  </si>
  <si>
    <t>10.1186/s13021-016-0059-4</t>
  </si>
  <si>
    <t>TELLUS SERIES B-CHEMICAL AND PHYSICAL METEOROLOGY</t>
  </si>
  <si>
    <t>land use change; carbon cycle; carbon budget; wood harvest; shifting cultivation; terrestrial carbon sink</t>
  </si>
  <si>
    <t>COVER CHANGE; ATMOSPHERIC CO2; SOIL CARBON; USE TRANSITIONS; SYSTEM MODEL; 3 CENTURIES; CLIMATE; EMISSIONS; NITROGEN; BUDGET</t>
  </si>
  <si>
    <t>Stocker, BD; Feissli, F; Strassmann, KM; Spahni, R; Joos, F</t>
  </si>
  <si>
    <t>Past and future carbon fluxes from land use change, shifting cultivation and wood harvest</t>
  </si>
  <si>
    <t>Carbon emissions from anthropogenic land use (LU) and land use change (LUC) are quantified with a Dynamic Global Vegetation Model for the past and the 21st century following Representative Concentration Pathways (RCPs). Wood harvesting and parallel abandonment and expansion of agricultural land in areas of shifting cultivation are explicitly simulated (gross LUC) based on the Land Use Harmonization (LUH) dataset and a proposed alternative method that relies on minimum input data and generically accounts for gross LUC. Cumulative global LUC emissions are 72 GtC by 1850 and 243 GtC by 2004 and 27-151 GtC for the next 95 yr following the different RCP scenarios. The alternative method reproduces results based on LUH data with full transition information within &lt;0.1 GtC/yr over the last decades and bears potential for applications in combination with other LU scenarios. In the last decade, shifting cultivation and wood harvest within remaining forests including slash each contributed 19% to the mean annual emissions of 1.2 GtC/yr. These factors, in combination with amplification effects under elevated CO2, contribute substantially to future emissions from LUC in all RCPs.</t>
  </si>
  <si>
    <t>Tellus Ser. B-Chem. Phys. Meteorol.</t>
  </si>
  <si>
    <t>10.3402/tellusb.v66.23188</t>
  </si>
  <si>
    <t>More specifically, all drivers (climate change, land use, harvest, …) are moving simultaneously in the different scenarios which makes the results useless to single out a given effect.</t>
  </si>
  <si>
    <t>prefabrication; masonry; connections; life cycle analysis; design; reinforced masonry; post-tensioned masonry; thin layered mortared masonry</t>
  </si>
  <si>
    <t>MORTARED CONCRETE MASONRY; LIFE-CYCLE PERFORMANCE; OF-THE-ART; MODULAR BUILDINGS; FLEXURAL STRENGTH; RESIDENTIAL BUILDINGS; STRUCTURAL RESPONSE; SHEAR WALLS; BEHAVIOR; CONSTRUCTION</t>
  </si>
  <si>
    <t>Thamboo, J; Zahra, T; Navaratnam, S; Asad, M; Poologanathan, K</t>
  </si>
  <si>
    <t>Prospects of Developing Prefabricated Masonry Walling Systems in Australia</t>
  </si>
  <si>
    <t>Prefabrication has been shown to be an effective way of construction in the modern-day context. Although much progress has been made in developing reinforced concrete (RC), timber and steel prefabricated elements/structures, prefabrication of masonry walling systems has received limited attention in the past. Conventional masonry construction is labour-intensive and time-consuming; therefore, prefabrication can be an effective solution to accelerate the masonry construction to make it more cost-effective. Therefore, in this paper, an attempt has been made to evaluate the effectiveness of prefabricated masonry systems (PMS) in terms of their structural characteristics and sustainability perspectives in an Australian context. Subsequently, the available studies related to PMS and the prospects of developing prefabricated masonry walling systems were appraised and reported. In order to assess the applicability of PMS, a case study was carried out by designing four types of prospective prefabricated masonry walling systems for a typical housing unit in Australia. It was shown that the reinforced (RM), post-tensioned (PT) and thin layered mortared (TLM) masonry systems are better suited for prefabrication. Later, in order to assess the sustainability of the considered masonry walling systems, life cycle energy analyses were carried using the Environmental Performance in Construction (EPIC) database. It was found that there can be nearly 30% and 15% savings, respectively, in terms of energy saving and CO2 emissions in prefabricated construction than the conventional masonry construction. Finally, the prospects of developing PMS and the need for future research studies on these systems are highlighted.</t>
  </si>
  <si>
    <t>10.3390/buildings11070294</t>
  </si>
  <si>
    <t>Compares different masonries for a house but without any element on which masonry uses more wood, or even whether they use wood at all (the word "wood" appears only once in the text).</t>
  </si>
  <si>
    <t>Carbon footprint; Greenhouse gas emissions; LCA; LCI; Norwegian forestry; Timber transport</t>
  </si>
  <si>
    <t>LIFE-CYCLE ASSESSMENT; LAND-USE; OPERATIONS; WOOD; IMPACT; BENEFITS; ENERGY; BIODIVERSITY; PRODUCTS; RESIDUES</t>
  </si>
  <si>
    <t>Timmermann, V; Dibdiakova, J</t>
  </si>
  <si>
    <t>Greenhouse gas emissions from forestry in East Norway</t>
  </si>
  <si>
    <t>So far no calculations have been made for greenhouse gas (GHG) emissions from forestry in East Norway. This region stands for 80 % of the Norwegian timber production. The aim of this study was to assess the annual GHG emissions of Norwegian forestry in the eastern parts of the country from seed production to final felling and transport of timber to sawmill and wood processing industry (cradle-to-gate inventory), based on specific Norwegian data. The life cycle inventory was conducted with SimaPro applying primary and secondary data from Norwegian forestry. GHG emissions of fossil-related inputs from the technosphere were calculated for the functional unit of 1 m(3) timber extracted and delivered to industry gate in East Norway in 2010. The analysis includes seed and seedling production, silvicultural operations, forest road construction and upgrading, thinning, final felling, timber forwarding and timber transport on road and rail from the forest to the industry. Norwegian time studies of forestry machines and operations were used to calculate efficiency, fuel consumption and transport distances. Due to the lack of specific Norwegian data in Ecoinvent, we designed and constructed unit processes based on primary and secondary data from forestry in East Norway. GHG emissions from forestry in East Norway amounted to 17.893 kg CO2-equivalents per m(3) of timber delivered to industry gate in 2010. Road transport of timber accounted for almost half of the total GHG emissions, final felling and forwarding for nearly one third of the GHG emissions. Due to longer road transport distances, pulpwood had higher impact on the climate change category than saw timber. The construction of forest roads had the highest impact on the natural land transformation category. The net CO2 emissions of fossil CO2 corresponded to 2.3 % of the CO2 sequestered by 1 m(3) of growing forest trees and were compared to a calculation of biogenic CO2 release from the forest floor as a direct consequence of harvesting. Shorter forwarding and road transport distances, increased logging truck size and higher proportion of railway transport may result in lower emissions per volume of transported timber. A life cycle assessment of forestry may also consider impacts on environmental categories other than climate change. Biogenic CO2 emissions from the soil may be up to 10 times higher than the fossil-related emissions, at least in a short-term perspective, and are highly dependent on stand rotation length.</t>
  </si>
  <si>
    <t>10.1007/s11367-014-0773-7</t>
  </si>
  <si>
    <t>LCA of the forestry sector in Eastern Norway: single scenario, no alternatives to current practices are assessed</t>
  </si>
  <si>
    <t>Greenhouse gas emissions; Harvested wood products (HWPs); Carbon stocks; Stock changes climate change mitigation; IPCC models</t>
  </si>
  <si>
    <t>PLANTED FOREST; INVENTORY</t>
  </si>
  <si>
    <t>Wakelin, SJ; Searles, N; Lawrence, D; Paul, TSH</t>
  </si>
  <si>
    <t>Estimating New Zealand's harvested wood products carbon stocks and stock changes</t>
  </si>
  <si>
    <t>Background Reducing net greenhouse gas emissions through conserving existing forest carbon stocks and encouraging additional uptake of carbon in existing and new forests have become important climate change mitigation tools. The contribution of harvested wood products (HWPs) to increasing carbon uptake has been recognised and approaches to quantifying this pool developed. In New Zealand, harvesting has more than doubled since 1990 while log exports have increased by a factor of 11 due to past afforestation and comparatively little expansion in domestic processing. This paper documents New Zealand's application of the IPCC approaches for reporting contributions of the HWP pool to net emissions, in order to meet international greenhouse gas inventory reporting requirements. We examine the implications of the different approaches and assumptions used in calculating the HWP contribution and highlight model limitations. Results Choice of system boundary has a large impact for a country with a small domestic market and significant HWP exports. Under the Production approach used for New Zealand's greenhouse gas inventory reporting, stock changes in planted forests and in HWPs both rank highly as key categories. The contribution from HWPs is even greater under the Atmospheric Flow approach, because emissions from exported HWPs are not included. Conversely the Stock Change approach minimises the contribution of HWPs because the domestic market is small. The use of country-specific data to backfill the time series from 1900 to 1960 has little impact but using country-specific parameters in place of IPCC defaults results in a smaller HWP sink for New Zealand. This is because of the dominance of plantation forestry based on a softwood mainly used in relatively short-lived products. Conclusions The NZ HWP Model currently meets international inventory reporting requirements. Further disaggregation of the semi-finished HWP end uses both within New Zealand and in export markets is required to improve accuracy. Product end-uses and lifespans need to be continually assessed to capture changes. More extensive analyses that include the benefits of avoided emissions through product substitution and life cycle emissions from the forestry sector are required to fully assess the contribution of forests and forest products to climate change mitigation and a low emissions future.</t>
  </si>
  <si>
    <t>10.1186/s13021-020-00144-5</t>
  </si>
  <si>
    <t>This paper documents the impact of different reporting approaches on New Zealand's UNFCCC accounting</t>
  </si>
  <si>
    <t>China; Office building; CO2 emission; Energy consumption; Life cycle assessment</t>
  </si>
  <si>
    <t>ENVIRONMENTAL PERFORMANCE; EMBODIED ENERGY; WOOD; CONCRETE; CONSTRUCTION; SYSTEMS; DESIGN; LCA; CHALLENGES; EFFICIENCY</t>
  </si>
  <si>
    <t>Wu, HJJ; Yuan, ZWW; Zhang, L; Bi, J</t>
  </si>
  <si>
    <t>Life cycle energy consumption and CO2 emission of an office building in China</t>
  </si>
  <si>
    <t>Building is one of the main factors of energy use and greenhouse gas emissions. Reducing energy consumption and carbon dioxide (CO2) emission from building is urgent for environmental protection and sustainable development. The objective of this study is to develop a life cycle assessment (LCA) model for an office building in China to assess its energy consumption and CO2 emission, determine the whole life cycle phases, and the significant environmental aspects that contribute most to the impact. A process-based LCA has been used to identify and quantify the energy consumption and CO2 emission of the office building. The LCA is conducted in accordance with the Environmental Protection Agency, The Society of Environmental Toxicology and Chemistry, and the International Organization for Standardization standards for life cycle assessments. The entire life cycle including building materials production, construction, operation, and demolition of the building is studied. A service life of 50 years is assumed and the major construction materials such as concrete, cement, brick, steel, timber, glass, and plastic are selected for the building. The results show that building operation uses the largest share of energy and contributes most to CO2 emission. The cooling and heating system in building operation strongly influence the energy consumption and CO2 emission of the building. In addition, the large quantity use of concrete and steel in materials production, and the treatment of end-of-life building materials are also the important aspects impacting the environmental performance of the building. Based on the results of the study, some environmental improvements aiming at reducing energy consumption and CO2 emission throughout the life cycle of the building are provided. This study provides an LCA of the energy consumption and CO2 emission of a typical office building in China. It determines the whole life cycle phases that contribute most to the impact and defines the significant environmental aspects of the building. This study also shows the importance of using a life cycle perspective when evaluating energy consumption and CO2 emission of building and also lays the groundwork for LCA studying of other office buildings in China.</t>
  </si>
  <si>
    <t>10.1007/s11367-011-0342-2</t>
  </si>
  <si>
    <t>LCA of an office building in China, but without alternative scenarios in terms of wood use/use efficiency.</t>
  </si>
  <si>
    <t>Value engineering; Building; Embodied greenhouse gas emissions; Capital cost; Hybrid life cycle assessment; Environmentally-extended input-output analysis</t>
  </si>
  <si>
    <t>SUSTAINABLE STRUCTURAL DESIGN; CARBON-DIOXIDE EQUIVALENT; COST-ANALYSIS; CO2 EMISSION; ENERGY; BUILDINGS; FRAMEWORK; SYSTEM; OPTIMIZATION; PERFORMANCE</t>
  </si>
  <si>
    <t>Yu, M; Robati, M; Oldfield, P; Wiedmann, T; Crawford, R; Nezhad, AA; Carmichael, D</t>
  </si>
  <si>
    <t>The impact of value engineering on embodied greenhouse gas emissions in the built environment: A hybrid life cycle assessment</t>
  </si>
  <si>
    <t>While traditional value engineering (VE) is primarily driven by cost saving, this study aims to comprehensively and reliably investigating the impact of traditional VE on the embodied greenhouse gas (GHG) emissions in the Australian built environment. An Australian-specific hybrid life cycle assessment (LCA) is developed and applied to a mixed-use building complex located in central Sydney, Australia. A list of GHG emissions intensities (GEIs) for 118 construction products is derived from hybrid LCA, demonstrating an average increase of 20% than the corresponding process-based GEIs. By applying the hybrid GEIs, the assessment of the case study building proves that traditional VE can potentially provide environmental benefits through the dematerialisation of the building. These benefits are small in this instance, with a capital cost reduction of 0.72% equating to an embodied GHG reduction of 0.32%, or a total of 267 t CO2e (i.e. -3 kg CO2e/m2 gross floor area), but if such savings were rolled out across the entirety of new building stock in Australia, the accumulated GHG emissions reduction would be significant. Concrete, reinforcing steel and timber formwork are the hotspots for cost and embodied GHG emissions reduction. Manufacturing and electricity are the originating industries that jointly contribute to more than 80% of the embodied GHG emissions.</t>
  </si>
  <si>
    <t>10.1016/j.buildenv.2019.106452</t>
  </si>
  <si>
    <t>New LCA technique ("hybrid") applied to buildings. No scenarios implying a difference in wood use.</t>
  </si>
  <si>
    <t>CURRENT FORESTRY REPORTS</t>
  </si>
  <si>
    <t>Industrial ecology; Forest products; Life cycle assessment; Input-output analysis; Material flow analysis; Industrial symbiosis</t>
  </si>
  <si>
    <t>LIFE-CYCLE ASSESSMENT; INTEGRATED SUSTAINABILITY MODEL; SUPPLY CHAIN; SYSTEM; WOOD; LCA; ENERGY; BIOREFINERIES; TECHNOLOGIES; RESIDUES</t>
  </si>
  <si>
    <t>Zargar, S; Roy, BB; Li, QP; Gan, JL; Ke, JM; Liu, XY; Tu, QS</t>
  </si>
  <si>
    <t>The Application of Industrial Ecology Methods to Understand the Environmental and Economic Implications of the Forest Product Industries</t>
  </si>
  <si>
    <t>Purpose of Review Industrial ecology (IE) methods have been widely applied to understand the sustainability implications of forest product industries, yet a comprehensive review of these applications is not available. We aim to (1) summarize the major questions that the IE methods were applied to answer, (2) highlight the major conclusions, and (3) identify advantages, limitations, and research gaps. Recent Findings Life cycle assessment (LCA) was the most frequently used among all IE methods reviewed in this study. LCA has primarily applied to evaluate the climate change mitigation potential of forest products. The application of input-output analysis (IOA) is focused on the aggregated forest sector where individual products are not differentiable. The results of IOA can inform the economic implications of changes in supply-demand relationships between the forest sector and other sectors of the economy. System dynamic (SD) modeling is often applied to study the consequences (e.g., economic, environmental) of decision-making along the supply chain of forest bioenergy and biofuels. Material flow analysis (MFA) is applied to estimate the stock and flows of wood in different formats (e.g., timber, residues). Industrial symbiosis (IS) practices are found to minimize waste generation, stabilize material and energy supply, and reduce climate change impacts for the participants from different forest product industries. Overall, the LCA studies showed that forest products could reduce climate change impacts compared to the fossil-based benchmark. The IOA studies revealed the important role of forestry and forest product industries in a nation's economy. The drivers promoting the forest product industries (illustrated by the SD studies) and the detailed flows of wood among different industries (by MFA studies) can provide crucial insights for the design of a forest-based bioeconomy. The applications of these IE methods in forest product industries are expected to grow in the future, considering the global development of bioeconomy where forest products are essential. Data availability and quality, lack of harmonized modeling assumptions, and a need to integrate different methods are the common gaps for future research.</t>
  </si>
  <si>
    <t>Curr. For. Rep.</t>
  </si>
  <si>
    <t>10.1007/s40725-022-00174-x</t>
  </si>
  <si>
    <t>Carbon budget; Harvested wood products; Life cycle perspective; Carbon stock; Carbon emission; Stock-change approach</t>
  </si>
  <si>
    <t>GREENHOUSE-GAS INVENTORIES; FOREST SECTOR; INTERNATIONAL-TRADE; SEQUESTRATION; SUBSTITUTION; COUNTRIES; IRELAND; CANADA; STOCK; IPCC</t>
  </si>
  <si>
    <t>Zhang, XB; Yang, HQ; Chen, JX</t>
  </si>
  <si>
    <t>Life-cycle carbon budget of China's harvested wood products in 1900-2015</t>
  </si>
  <si>
    <t>Harvested wood products (HWP) are essential carbon pool of the forestry sector and can play an important role in climate change mitigation. Since the 10th Conference of Parties to the United Nations Framework Conversion on Climate Change in 2009, HWP have been required to be included in forest management as an additional carbon pool in national greenhouse gas (GHG) inventory reports. China is the largest consumer of end-use HWP and the largest importer of primary HWP in the world. Thus, the carbon stocks and emissions of China's HWP must be accurately assessed for evaluating their contribution to the climate change mitigation potential of global HWP. We developed an analysis framework by using Stock-Change Approach to estimate China's HWP carbon stocks/emissions from a life-cycle perspective, which covers three HWP life-cycle stages, namely, manufacture, end use, and end-of-life disposal. Using this framework, we produced the first-ever life-cycle carbon budget for HWP consumed by China in the period 1900-2015, based on a comprehensive analysis of China-specific data. From 1900 to 2015, total wood fiber input to the HWP carbon system in China was estimated to be 8049 teragrams of carbon dioxide-equivalent (Tg CO2-eq). Of the total wood fiber input, discarded mill residue, in-use HWP, and HWP disposed of at solid waste disposal sites retained 513, 3284, and 659 Tg CO2-eq of carbon, respectively, with the remaining 3591 Tg CO2-eq of wood carbon released back to the atmosphere. Of the total emission, combustion and decomposition of mill residue, burning of fuelwood, and combustion and decomposition of retired HWP accounted for 36.5%, 24.6%, and 38.9%, respectively. Landfill methane emissions were estimated to be 780 Tg CO2-eq after considering the global warming potential of this greenhouse gas. The net HWP carbon stocks, the sum of the carbon retained by discarded mill residue and the carbon stocks of HWP in use and in landfills, minus landfill methane emissions, increased from 297 Tg CO2-eq in 1950 to 4456 Tg CO2-eq in 2015.</t>
  </si>
  <si>
    <t>10.1016/j.forpol.2018.05.005</t>
  </si>
  <si>
    <t>c</t>
  </si>
  <si>
    <t>LCA of all HWP in China based on historical data, no alternative scenario.</t>
  </si>
  <si>
    <t>PROCEEDINGS OF THE INSTITUTION OF CIVIL ENGINEERS-STRUCTURES AND BUILDINGS</t>
  </si>
  <si>
    <t>built environment; embodied carbon; embodied energy; energy efficiency; renewable energy; statistical analysis; structural materials; sustainability</t>
  </si>
  <si>
    <t>Anderson, J; Moncaster, A</t>
  </si>
  <si>
    <t>Embodied carbon, embodied energy and renewable energy: a review of environmental product declarations</t>
  </si>
  <si>
    <t>Environmental product declarations (EPD) to EN 15804 provide information about the embodied carbon dioxide of construction products - their life cycle greenhouse gas emissions - alongside reporting the use of renewable and non-renewable primary energy and secondary fuels, among the other environmental indicators. As the number of EPD to EN 15804 increases, they become a useful data resource to consider these impacts. In moving towards a reduction in the embodied carbon of products, it is necessary to use renewable energy resources efficiently to allow the transition to net zero; this is because of the increasing demands on renewable energy to decarbonise industry, transport and domestic energy consumption and the limited capacity to expand renewable generation. This paper reviews published EPD data for structural and reinforcing steels, cement, bricks and structural timber products, and considers, for the cradle to gate 'product' life cycle stage, exploring the relationship of embodied carbon with embodied energy (total energy used), the balance of renewable and non-renewable energy, and the efficient use of energy. It is found, for bricks and timber, that EPD show products that use a greater percentage of renewable energy have higher embodied energy, suggesting a less efficient use of renewable energy for these products.</t>
  </si>
  <si>
    <t>Proc. Inst. Civil Eng.-Struct. Build.</t>
  </si>
  <si>
    <t>Review; Early Access</t>
  </si>
  <si>
    <t>10.1680/jstbu.21.00160</t>
  </si>
  <si>
    <t>NAFTA-GAZ</t>
  </si>
  <si>
    <t>biohydrogen; biofuel; reforming; gasification; GHG emissions</t>
  </si>
  <si>
    <t>HYDROGEN-PRODUCTION; GASIFICATION; BIOMASS</t>
  </si>
  <si>
    <t>Berdechowski, K</t>
  </si>
  <si>
    <t>Analysis of biohydrogen production methods in terms of GHG emission value</t>
  </si>
  <si>
    <t>One of the fuels which will be used in the future to a much greater extent than currently is hydrogen. Many of the implemented technologies will allow this kind of fuel to drive motor vehicles without major obstacles. However, hydrogen has long been an indispensable raw material for many installations for the production of traditional fuels and used primarily for the so-called hydrogen catalytic processes (including hydrocracking, hydrotreating). Traditional hydrogen production based on natural gas steam reforming, generates high GHG emissions over the life cycle. The reason for this is the use of fossil raw material, from which CO2 is generated at the production stage (treated as emission from fossil fuel and included in the GHG emission balance). The second reason is the high energy consumption of the process, which translates into additional greenhouse gas emissions generated in the life cycle. Given this aspect, it is advisable to use alternative methods of obtaining hydrogen and known processes, but using waste biomass as the starting raw material. Such processes lead to obtaining hydrogen, which due to the origin of the raw material from which it was created, is treated as a biofuel. Current legislation allows the possibility to qualify the biohydrogen used in the abovementioned refinery processes as a biogenic component of traditional fuel. However, according to the current regulations, each biofuel must meet the sustainability criteria. One of them is the minimum level of greenhouse gas emission reduction calculated in the whole life cycle. Therefore, as part of this work, three production paths have been analyzed. The following pathways were analyzed: biohydrogen from biogas, biohydrogen from wood residues and biohydrogen from raw glycerine. Of the three, the most advantageous variant turned out to be biogas reforming, which showed a GEG emission reduction of around 77%. In addition, only this production path met the requirements for biofuels obtained on new installations.</t>
  </si>
  <si>
    <t>Naft.-Gaz</t>
  </si>
  <si>
    <t>10.18668/NG.2019.04.05</t>
  </si>
  <si>
    <t>excluded because written in polish</t>
  </si>
  <si>
    <t>18TH WORLD IMACS CONGRESS AND MODSIM09 INTERNATIONAL CONGRESS ON MODELLING AND SIMULATION: INTERFACING MODELLING AND SIMULATION WITH MATHEMATICAL AND COMPUTATIONAL SCIENCES</t>
  </si>
  <si>
    <t>Climate change; plantation species selection; probability of fire; carbon sequestration</t>
  </si>
  <si>
    <t>Buchanan, G; Kennedy, J</t>
  </si>
  <si>
    <t>Optimal selection of plantation tree species accounting for climate change</t>
  </si>
  <si>
    <t>The Australian plantation forestry industry, including the manufacture of forest products will be affected directly by climate change, since changes in weather variables such as temperature and rainfall directly impact timber yields. Furthermore, increased CO(2) concentrations and risk of fire are also likely to directly result in altered yields from forested land. This analysis aims to examine the future viability and profitability of the two most widely planted and financially important plantation species in Australia, Pinus Radiata and Eucalyptus Globulus. These two species of plantation tree have proved successful in the environment of Australia; however whether this continues to be the case in a changing climate is unclear. Examination of this question is facilitated through the use of a Central Victorian case study. The most recent National Plantation Inventory (1996) of the Bureau of Rural Sciences (BRS) defines Central Victoria as the region located immediately west of Melbourne, stretching from the Otway Ranges, north to Castlemaine, and to just west of the Grampians. The main areas of significance for plantation centre on Ballarat, Beaufort, Colac and Geelong which are also major centres for timber processing (and shipping in Geelong). Central Victoria has a reported total plantation area of 57,185 hectares, of which the two most planted species are Pinus Radiata which comprise 53.7 % of plantation land, and Eucalyptus Globulus which constitutes 43.2 %. Australia wide the two most widely planted plantation species are also Pinus Radiata which accounts for 42.6 % of the total land in Australia under plantation, and Eucalyptus Globulus which accounts for 21.6 % of total plantings in Australia. The data used in this study concentrates on these two species since they are central to the plantation industry in the region and in the country as a whole. The expected long-run value of the two species, Pinus Radiata and Eucalyptus Globulus, are estimated, in two ways: first assuming current growing conditions continue indefinitely; and secondly assuming changing growing conditions as a result of projected climate change. The plantation region considered is Central Victoria, split into three productivity areas based on historical seasonal rainfall. Estimates of the effect of climate change, represented by changes in atmospheric carbon dioxide concentration, ambient temperature and rainfall, on timber yields for the two species are used in the second part of the study. Maximum net present values of plantation returns with respect to rotation length are determined in the first part based on the Faustmann formula for infinite rotations with no changes in growth parameters. In the second part, maximum net present values are calculated with respect to rotation length the same for each rotation, over 20 rotations, allowing for changing growth parameters. For the base rate of discount of 3 per cent per annum the net present values over a planning horizon of 20 rotations closely approximate the present values over infinite rotations. Plantation returns include payments from carbon sequestration calculated for a range of carbon prices. Allowance is made for the changing probability of fire destroying a plantation in any year by adding a suitable element to the rate of discount. It is concluded that for the base case climate-change scenario, Eucalyptus Globulus dominates Pinus Radiata as the preferred species, but this is subject to a number of caveats. The modelling of how the net present value (NPV) of each species changes under climate change provides insight for management practices (including selection of plantation species) to better anticipate the challenges of climate change.</t>
  </si>
  <si>
    <t>EXPANDING BOUNDARIES: SYSTEMS THINKING IN THE BUILT ENVIRONMENT</t>
  </si>
  <si>
    <t>Life-cycle assessment; Post-tensioned timber; Reinforced concrete; Costs; Construction time; Greenhouse gas emissions</t>
  </si>
  <si>
    <t>Cattarinussi, L; Hofstetter, K; Ryffel, R; Zumstein, K; Ioannidou, D; Klippel, M</t>
  </si>
  <si>
    <t>LIFE CYCLE ASSESSMENT OF A POST-TENSIONED TIMBER FRAME IN COMPARISON TO A REINFORCED CONCRETE FRAME FOR TALL BUILDINGS</t>
  </si>
  <si>
    <t>This paper summarises a recently conducted project to investigate the sustainability of high-rise timber buildings. In particular, an innovative post-tensioned timber frame structure using glued laminated timber was compared to a functionally equivalent traditional reinforced concrete frame by means of a cradle-to-gate Life Cycle Assessment (LCA). Further, the two structures were compared with regard to costs and time for the construction. The assessment showed that the post-tensioned timber frame structure contributes about 44% less on greenhouse gas emissions compared to the traditional reinforced concrete structure. Additional performed analysis estimating the construction costs and construction time showed the great potential when using timber in comparison to reinforced concrete.</t>
  </si>
  <si>
    <t>WORLD HERITAGE AND LEGACY: CULTURE, CREATIVITY, CONTAMINATION</t>
  </si>
  <si>
    <t>LCA; FEM analysis; reinforced concrete structures; timber structures; thermal analysis</t>
  </si>
  <si>
    <t>CARBON</t>
  </si>
  <si>
    <t>Chiaia, B; Fantilli, AP; Mancinelli, O</t>
  </si>
  <si>
    <t>Comparison between the environmental performance of buildings made of reinforced concrete and timber</t>
  </si>
  <si>
    <t>In order to reduce the environmental impact of the construction industry, the case of natural material (such as timber) is pursued. However, is the use of low-impact materials sufficient to decrease the overall environmental impact of a building? The answer is not trivial, because there are many parameters that affect sustainability, in addition to the unitary environmental impact of the building materials. Through this article, an evaluation of the total CO2 emission in buildings made of reinforced concrete and CLT panels is carried out. The entire life cycle (LCA) of the materials is considered, as well as the CO2 emissions derived from heating and chilling. The relationship between CO2 emissions and building height is also taken into account along with weather conditions. The structures and envelopes of a three - storey family house and of a multi-storey residential building are designed from a structural and thermal point of view, respectively. In order to consider the climatic effects, three locations with very different weather conditions are assumed (i.e. Catania, Turin, Oslo). The carbon footprint of three different structures is considered, namely RC frame made with cast-in-situ structural elements, precast RC panels and timber CLT structure. The quantification of the carbon footprint allows to notice how the overall structural and thermal performances, including the thermal mass, affect the environment performance.</t>
  </si>
  <si>
    <t>LIFE-CYCLE ANALYSIS AND ASSESSMENT IN CIVIL ENGINEERING: TOWARDS AN INTEGRATED VISION</t>
  </si>
  <si>
    <t>De Wolf, C; Davies, D</t>
  </si>
  <si>
    <t>Benchmarking embodied carbon in structural materials</t>
  </si>
  <si>
    <t>To inspire structural engineers to contribute towards the vision of zero carbon buildings by 2050, this paper discusses the Structural Engineers 2050 Commitment. To participate, structural engineers are encouraged to share their progress with data on material quantities and embodied carbon in their structures within the database of embodied Quantity outputs (deQo). The literature reviews the variations in carbon emissions (Embodied Carbon Coefficients expressed in kg of CO2 equivalent or CO(2)e per kg of material) for common structural materials. These variations illustrate why it is necessary to collect data on material quantities in buildings rather than the end result in terms of carbon emissions of building structures: once the ECCs of materials become more accurate, the collected material quantities can be used to update the Global Warming Potential (expressed in kg of CO(2)e per m(2) of floor area or another functional unit) of the building structure. This is needed to create benchmarks of embodied carbon in building structures. To align methodologies for evaluating embodied carbon in industry practice and in deQo, an LCA specification guide is being published by the Carbon Leadership Forum. From the presented benchmarking efforts, strategies to lower embodied carbon are derived: structural optimization and low-carbon material choices. Compared to conventional practices in concrete, steel and timber structures, these strategies are applied to project case studies provided by Magnusson Klemencic Associates. In particular, new lower carbon construction materials under development are explored to illustrate the potential reductions toward the goal of zero carbon buildings by 2050.</t>
  </si>
  <si>
    <t>INNOVATIVE SOLUTIONS FOR ENERGY TRANSITIONS</t>
  </si>
  <si>
    <t>Post-use building material; end-of-life; primary energy; carbon dioxide emissions; recyclig</t>
  </si>
  <si>
    <t>CYCLE ASSESSMENT; WOOD; CONCRETE; CONSTRUCTION; IMPACTS</t>
  </si>
  <si>
    <t>Dodoo, A; Gustaysson, L; Tettey, UYA</t>
  </si>
  <si>
    <t>Effects of end-of-life management options for materials on primary energy and greenhouse gas balances of building systems</t>
  </si>
  <si>
    <t>In this study we have analysed the life cycle primary energy and greenhouse gas (GHG) balances of concrete-frame and timber frame multi-storey building alternatives, designed to meet the current Swedish building code, considering different end-of-life scenarios. The scenarios include recycling of concrete and steel, cascading by recycling of wood into particle board and energy recovery at the end-of-life of the board, energy recovery of wood by combustion, and landfilling of wood with and without landfill gas (LFG) recovery. The energy recovered is assumed to replace fossil coal or gas. Our analysis accounts for energy and GHG flows in the production and end-of-life phases. We estimate the GHG emission changes achieved per unit of difference in finished wood in buildings or in harvest forest biomass between the timber buildings and the concrete building. The results show that the timber building systems give significantly lower life cycle primary energy balances than the concrete building system for all the end-of-life options. The concrete building system gives higher life cycle GHG balances than the timber alternatives for all the end-of-life options, except when wood is landfill without LFG recovery. The end-of-life primary energy and GHG benefit of wood materials is most significant for energy recovery while the benefit of cascading is low. However, replacing fossil gas instead of fossil coal significantly reduce the carbon benefits of the timber alternatives. The benefits of recycling steel and concrete are small. This study shows that end-of-life options for building materials can offer opportunities to reduce energy use and GHG emissions in the built environment. (C) 2019 The Authors. Published by Elsevier Ltd.</t>
  </si>
  <si>
    <t>10.1016/j.egypro.2019.01.802</t>
  </si>
  <si>
    <t>Forster, EJ; Healey, JR; Dymond, CC; Newman, G; Davies, G; Styles, D</t>
  </si>
  <si>
    <t>Linking construction timber carbon storage with land use and forestry management practices</t>
  </si>
  <si>
    <t>Consequential life cycle assessment was applied to forestry systems to evaluate the environmental balance of expanding forestry onto marginal agricultural land to supply more timber for the built environment, accounting for land use effects and product substitution. Forestry expansion to supply timber buildings could mitigate UK greenhouse gas (GHG) emissions by 2.4 Gg CO2 eq. per ha of forest over 100 years, though net mitigation could be halved if beef production were displaced to Brazil. Forest thinning increases wood yields and percentage conversion of harvested wood to construction sawnwood, resulting in 5% greater net GHG mitigation compared with unthinned systems. Optimising the environmental sustainability of construction timber value chains in a circular, bio-based economy will require holistic accounting of land use (change), forestry management and complex flows of wood.</t>
  </si>
  <si>
    <t>10.1088/1755-1315/323/1/012142</t>
  </si>
  <si>
    <t>PAPERS OF THE 25TH EUROPEAN BIOMASS CONFERENCE</t>
  </si>
  <si>
    <t>life cycle assessment; wood-based bioeconomy; integrated industrial production networks; lignocellulosic biorefineries</t>
  </si>
  <si>
    <t>Hildebrandt, J; Budzinski, M; Thran, D; Bezama, A</t>
  </si>
  <si>
    <t>ASSESSING A BIOECONOMY NETWORK FROM AN INTEGRATED LIFE CYCLE PERSPECTIVE</t>
  </si>
  <si>
    <t>The production of wood fibres, bio-based polymers and engineered wood products within integrated industrial production networks can be organized by industrial decision makers in future production planning with a varying degree in the integration of cross company supply and conversion chains. For instance, the supply with wood fibres in future composite and wood panel production lines can rely on individual or cooperative operation of refinery plants. Also, the feedstock of lignocellulosic biorefineries can primarily be mobilized from raw wood resources or can be sourced from saw mill by-products and/or secondary wood resources. Finally, a major option for coupled use and integration of value added chains between biorefineries and wood manufacturing industries is the production of intermediary and auxiliary materials such as bio-based resins and adhesives for glue-laminated and cross-laminated timber products. Considering these scenarios of varying intensity in coupled use and cascade use of wood resources a baseline scenario was developed and assessed in this study, which serves as a basis for further LCA studies on extended scenarios. If these horizontal and vertical integration options really contribute to favourable reduction of environmental impacts along the bio-based value chains in bioeconomy regions, thereby remains a major question for further in-depth assessments. A life cycle-based approach has been used to model and evaluate the technological processes that take part in wood-based bio-polymer and wood processing supply chains. This work analyses the negative environmental impacts of a future wood-based bioeconomy network and compares its impacts with those of a traditional fossil-based production system. Results show that for the future bioeconomy system for seven out of 11 impact categories a relative advantage between 25 % to 130% of the initial impacts of fossil-based counterparts is attainable. As expected the global warming potential and the abiotic depletion potentials are building the top group with 130 % and 70 % respectively. The inventory analysis shows that the integration of regional and cross company supply chains and the minimization of fossil-based additives and auxiliaries and utility service installations offer further options for leveraging optimization scenarios.</t>
  </si>
  <si>
    <t>27TH EUROPEAN SYMPOSIUM ON COMPUTER AIDED PROCESS ENGINEERING, PT B</t>
  </si>
  <si>
    <t>Biomass; Bioenergy; Cogeneration; Multigeneration; Renewable resources</t>
  </si>
  <si>
    <t>Kanematsu, Y; Oosawa, K; Okubo, T; Kikuchi, Y</t>
  </si>
  <si>
    <t>A design of rural energy system by industrial symbiosis considering availability of regional resources</t>
  </si>
  <si>
    <t>This paper performed the design of rural energy system by industrial symbiosis considering long-term availability of forest resources, As for the case examples, alternatives of energy system in Tanegashima, a remote island in Japan, were examined, where two types of combined heating and power (CHP) were designed. In the first option, bagasse-based CHP at the cane sugar mill was enhanced to use woody biomass as additional fuel and generate energy for district heating and cooling (DHC). In another option, small scale biomass-CHP was designed for DHC in city center. Both options were mathematically modeled and simulated for examining the resource requirements and life cycle greenhouse gas emission. A constraint on total availability of woody biomass was taken into account, which was calculated through a simulation on forestry. The effect of total timber availability and allocation to the two CHP systems was quantified. A design of rural energy system by industrial symbiosis can be facilitated by simulation-based analysis to visualize the impacts of such energy networks among involved multiple players such as industry, residential, and commercial sectors,</t>
  </si>
  <si>
    <t>10.1016/B978-0-444-63965-3.50333-0</t>
  </si>
  <si>
    <t>changed_to_nojournal</t>
  </si>
  <si>
    <t>4TH WORLD MULTIDISCIPLINARY CIVIL ENGINEERING-ARCHITECTURE-URBAN PLANNING SYMPOSIUM - WMCAUS</t>
  </si>
  <si>
    <t>Karas, A; Idem, R</t>
  </si>
  <si>
    <t>The Dilemmas of Choosing a Suitable Technology for Low Energy and Passive Houses in the Context of their Overheating Issues</t>
  </si>
  <si>
    <t>In compliance with European Union directives, numerous countries are introducing increasingly stricter legal limits on the estimated energy consumption of newly designed residential buildings. However, the fact, that regulations and designers' efforts are focused on decreasing energy consumption (and consequently carbon dioxide emissions) only at the post-occupancy stage, may lead to a significant increase in the carbon footprint of the buildings during their entire life cycle. A frequent criticism levelled at low-energy and passive buildings is that they are susceptible to the phenomenon of overheating. The reduction of overheating through the choice of massive technologies, materials with high thermal capacity as well as a high heat dispersion coefficient, stands in opposition to the requirement to choose the technologies that ensure a low ecological footprint (i.e. timber frame technologies). The development of a tool facilitating decision making in this issue seems to be a challenge. Life Cycle Assessment (LCA) is a well-known, optimal method for forecasting buildings' carbon footprint, however, it is an expensive and time-consuming method. Life Cycle Assessment is a method dedicated to large investments. In practice, such analysis are not carried out for residential buildings. The purpose of this paper is to analyse the foregoing problem on the example of detached single-family houses and to propose a method and tool that can assist architectural design in this regard.</t>
  </si>
  <si>
    <t>10.1088/1757-899X/603/4/042024</t>
  </si>
  <si>
    <t>19TH INTERNATIONAL CONGRESS ON MODELLING AND SIMULATION (MODSIM2011)</t>
  </si>
  <si>
    <t>Intertemporal general equilibrium; optimal forest management; mixed complementarity</t>
  </si>
  <si>
    <t>Lennox, JA; Turner, JA; Daigneault, A; Jhunjhnuwala, K</t>
  </si>
  <si>
    <t>Global forestry and land use change dynamics in intertemporal general equilibrium</t>
  </si>
  <si>
    <t>Management of forests for timber and other values, deforestation and afforestation are subjects of major policy interest, with important implications for climate change and food security inter alia. To robustly quantify impacts of policies on forests and on land use generally requires accounting for economic interactions not only between agricultural and forestry, but also energy and other sectors. At larger scales, these interactions may include linkages via international trade. General equilibrium models are well suited to capture such interactions; however, adequate representation of land use change and forestry in these models remains challenging. We present a dynamic bottom-up representation of forestry within a top-down intertemporal general equilibrium model that is formulated as a mixed complementarity problem (Mathiesen, 1985; Lau et al., 2002). Intertemporally optimal management of forests and optimal harvest ages are determined endogenously within the model, bringing into an intertemporal general equilibrium farmework features hitherto limited to partial equilibrium models (e. g. the Global Timber Model Sedjo and Lyon, 1990; Sohngen et al., 1999) or recursive dynamic general equilibrium models (Pant, H. M. 2010). Planted or naturally regenerating production forests are represented by a set of multiperiod production functions corresponding to a discrete set of harvest ages. Complementarity between negative profits and output allow for the endogenous selection of the optimal age(s) at any time under conditions of perfect foresight. A comparable bottom-up treatment of timber production from and clearance of primary forests is the subject of ongoing research. These dynamic representations of forestry in a general equilibrium framework will allow for more robust assessments of policies such as domestic greenhouse gas emissions trading schemes or Reducing Emissions from Degradation and Deforestation (REDD) Plus in developed and developing countries. Computational limitations on direct bottom-up integration may be prohibited for models with more sectoral or regional detail. However, larger models should be tractable with the aid of decomposition techniques, which allow for tight and theoretically consistent linking of a top-down general equilibrium model with bottom-up partial equilibrium sub-models. This is also the subject of our own-going research An illustrative scenario using a four-region version of our CliMAT-DGE model with bottom-up forestry showed the effects of carbon credits for HWPs in the US, within a wider context of CO2 emissions pricing by developed countries. We showed not only a significant expansion of forestland and output in the US, but changes in age composition of the forest estate and harvest ages during a six decade transition. Marginal flow-on effects of the US HWP credits were small, but larger effects could be expected for policies affecting a larger share of global forest production, or in regions where forestry is economically more important. Computational considerations limit the number of regions and the level of bottom-up detail achievable through direct bottom-up integration. However, larger models should be solvable with the aid of decomposition techniques, which allow tight and theoretically consistent linking of a top-down model with bottom-up sub-models. This is another focus of our own-going research.</t>
  </si>
  <si>
    <t>changed_to_no_journal</t>
  </si>
  <si>
    <t>PROCEEDINGS OF AICCE&amp;apos;19: TRANSFORMING THE NATION FOR A SUSTAINABLE TOMORROW</t>
  </si>
  <si>
    <t>Carbon footprint; Industrialised building system; Life cycle assessment</t>
  </si>
  <si>
    <t>Lip, YY; Teo, FY; Tang, IYH</t>
  </si>
  <si>
    <t>Carbon Footprint Analysis of Industrialised Building System in Malaysia</t>
  </si>
  <si>
    <t>The topic on sustainability of Industrialised Building System (IBS) in the construction industry of Malaysia is always debatable and questionable. This study is carried out to determine the carbon footprint of a typical commercial project with the application of IBS. In this paper, IBS is classified to aluminium formwork system and fully precast concrete structure. The carbon footprint is quantified with life cycle assessment (LCA) of the building dividing into production phase of materials, transportation phase and construction phase. Whereas the study adopted data of embodied carbon of materials and carbon emission factor from reliable external source to estimate the total carbon emission of the project with the application of IBS. The outcome of carbon footprint is compared with conventional building method to identify the sustainability of each building method. Based on the data analysis, the application of precast concrete has the lowest carbon footprint as compared to cast-in situ with aluminium formwork and timber formwork. Although the carbon emission from the transportation of precast concrete elements is relatively high, but the overall carbon footprint is still the lowest among the other building method. The amount of carbon emission of the commercial project with IBS construction is 0.342 tonnes CO2 per meter square. The production of construction materials that contributed the most to the carbon footprint is concrete, followed by steel rebar and formwork. The findings in this study is very useful for future research on carbon footprint of construction in Malaysia. The study also helps to raise awareness towards sustainable construction with the application of IBS in Malaysia.</t>
  </si>
  <si>
    <t>10.1007/978-3-030-32816-0_59</t>
  </si>
  <si>
    <t>The Study deals with an LCA of prefab aluminum components. The word "wood" or "forest" were not mentioned in the manuscript.</t>
  </si>
  <si>
    <t>LESNOY ZHURNAL-FORESTRY JOURNAL</t>
  </si>
  <si>
    <t>boiler; wood pellet fuel; harmful substances; numerical modeling; heat losses; efficiency</t>
  </si>
  <si>
    <t>COMBUSTION; GRATE</t>
  </si>
  <si>
    <t>Lyubov, VK; Vladimirov, AM</t>
  </si>
  <si>
    <t>COMPLEX EFFICIENCY OF USING WOOD PELLETS IN POWER PLANTS</t>
  </si>
  <si>
    <t>In advanced countries, the dramatic impact of greenhouse gases on the global climate is reduced by replacing fossil fuels with biofuels. This method is being actively encouraged. However, by-products of logging, processing and conversion of wood are classified as difficult to burn fuels due to their high moisture content, low energy density and extremely heterogeneous granulometric composition. A promising direction to increase the energy density and transportability of the timber industry by-products is their granulation. Wood pellet fuel burning in heat-generating plants results in significant increase in their energy and environmental performance. The purpose of the paper is an experimental and calculation study of the energy and environmental performance of 4 MW hot water boilers produced by Polytechnik Luft- und Feuerungstechnik GmbH in the process of burning pine and spruce wood pellets obtained from by-products woodworking. When performing studies, the components of the boiler&amp;apos;s heat balance, gas release, and particulate emissions were determined. Numerical modeling of thermochemical and aerodynamic processes taking place in the boiler combustion chamber was carried out by using the Ansys Fluent three-dimensional simulation software. Together with industrial-operational tests it showed the possibility to reduce the total share of flue gas recirculation into combustion chambers of boiler units to values not exceeding 0.45, in providing an acceptable temperature of combustion products at the combustion chamber outlet and maintaining minimum emissions of carbon and nitrogen monoxides. At the same time, the share of gases fed by recirculation smoke exhausters to the over-bed area of the burner should have higher values than under the reciprocating grates of boilers. Guidelines for comprehensive improvement of wood pellet combustion efficiency in combustion chamber of 4 MW hot water boilers have been developed and implemented. The priorities are: using the air passed through the cooling channels of the setting as secondary air; reducing the rarefaction in the combustion chambers to 30-70 Pa; optimizing the ratio of primary and secondary air, herewith, the share of primary air in the total flow should be 0.26-0.35. Implementation of the developed guidelines allowed to increase the boiler gross efficiency by 0.5-1.8 %, to reduce the aerodynamic resistance of the gas path by 15-20 % and to ensure consistently low emissions of carbon and nitrogen monoxides and soot particles. When designing boiler units for burning wood pellet fuel it is advisable to place heating surfaces in the combustion chamber, included in the circulation circuit of the boiler. This will increase the efficiency and life cycle of the boiler unit.</t>
  </si>
  <si>
    <t>Lesnoy Zh.</t>
  </si>
  <si>
    <t>10.37482/0536-1036-2021-1-159-172</t>
  </si>
  <si>
    <t>It is written in Russian.</t>
  </si>
  <si>
    <t>GREENHOUSE GAS CONTROL TECHNOLOGIES, VOLS I AND II, PROCEEDINGS</t>
  </si>
  <si>
    <t>Read, P; Lermit, J; Kathirgamanathan, P</t>
  </si>
  <si>
    <t>Modelling bio-energy with carbon storage (BECS) in a multi-region version of flames</t>
  </si>
  <si>
    <t>Global FLAMES [1,2] demonstrates the potential of the combined evolution of the stock and flow effects from temporary sequestration and subsequent fossil fuel displacement due to plantation based bio-energy, in reducing greenhouse gas levels below those widely thought to be feasible [3]. This surprising effectiveness can be further enhanced by linking plantation bio-energy to carbon capture and storage [4]. Such 'BECS' technology yields, potentially, a negative emissions energy system and control of CO2 levels on a few decade time-scale. The effect of BECS is illustrated using global FLAMES. To provide relevance to country level scenario building and decision taking, FLAMES has been developed [5] into a multi-region dynamic market model simulating trade in fossil fuel, biofuel, and timber products. Results are illustrated in the case of three notional regions, 'rich', 'landed' and 'popet' (populous with petroleum) - broadly equivalent to the 'North', South Sahara Africa with Southern America, and Asia plus OPEC.</t>
  </si>
  <si>
    <t>FARM MACHINERY AND PROCESSES MANAGEMENT IN SUSTAINABLE AGRICULTURE</t>
  </si>
  <si>
    <t>greenhouse gas emissions; bioenergy; short rotation coppice; willow</t>
  </si>
  <si>
    <t>Rodzkin, A; Kostukevich, S; Tanas, W; Szymanek, M; Kassar, FH</t>
  </si>
  <si>
    <t>ASSESSMENT OF THE BALANCE OF GREENHOUSE GASES IN THE PRODUCTION OF RENEWABLE BIOMASS FROM SHORT-CYCLE ENERGY PLANTATIONS OF WILLOW</t>
  </si>
  <si>
    <t>Greenhouse gas control it is the key aspect for climate protection. As climate regulation became inevitable, companies started adopting more proactive strategies. One of the effective methods for greenhouse gas emission calculation is based on life cycle analysis. A carbon footprint is defined as the sum of greenhouse gas emissions caused by an organization, event, or product and is expressed in terms of CO2 equivalents. The investigations were devoted to greenhouse emission assessment during life cycle of willow wood production from short rotation coppice plantations. In accordance with results about 48% of carbon dioxide gas from all life cycle of willow was emitted during wood harvesting and transportation to energy plants.</t>
  </si>
  <si>
    <t>10.24326/fmpmsa.2017.60</t>
  </si>
  <si>
    <t>PAPERS OF THE 22ND EUROPEAN BIOMASS CONFERENCE: SETTING THE COURSE FOR A BIOBASED ECONOMY</t>
  </si>
  <si>
    <t>Canada; managed forest; harvested wood product (HWP); wood pellets; life cycle analysis; cascade</t>
  </si>
  <si>
    <t>Sikkema, R; Junginger, HM; Faaij, APC; McFarlane, P</t>
  </si>
  <si>
    <t>THE CASCADED USE OF HARVESTED WOOD PRODUCTS COMPARED WITH THE USE OF WOOD FOR ENERGY - A GHG INVENTORY ON AVAILABLE FOREST RESOURCES IN CANADA</t>
  </si>
  <si>
    <t>Some Parties (Countries) to the UNFCCC decided to include the carbon uptake by harvested wood products (HWP) in a new general accounting framework after 2012 (post Kyoto). We combine the new HWP framework with an assumed increased 5 0 million m(3) harvest level in Canada and evaluate the impact of the GHG emissions over a 100 year period. Our reference case assumes all harvested wood is an immediate CO2 emission (IPCC default) and no substitution effects, i.e. annual GHG emissions of 41 million tonnes CO2eq. In our wood utilisation scenarios, harvested trees are allocated to three end-products: construction wood, paper products and pellets for power production. In comparison with our base case, a combination of fossil fuel substitution, material substitution and temporary carbon uptake by HWP leads to significant decreases in GHG emissions. A similar approach is intended for future EU-28 harvesting.</t>
  </si>
  <si>
    <t>STRUCTURES AND ARCHITECTURE: CONCEPTS: APPLICATIONS AND CHALLENGES</t>
  </si>
  <si>
    <t>Spinelli, A</t>
  </si>
  <si>
    <t>Convertible city: light wood prefab systems in the extension of built environment</t>
  </si>
  <si>
    <t>The research work proposes a reflection about transforming existing city. The paper focus about transformation projects which considering the addition of part and volumes an opportunity to redefine performance and architectural appeal of existent building and renovate the whole city functioning. The research refers to urban living context and housing quality, by using timber technology as method to read the change towards new smart urban environment. This topic becomes the driving force at the center of development actions in many European medium cities, promoting a new research approach against soil consumption. Thus represent an opportunity to experiment new forms of living and search further directions for the building sector. Wood can be seen as the most suitable material for these interventions, it offers the opportunity to reduce energy consumption and CO2 emissions during the entire construction process and the building life cycle.</t>
  </si>
  <si>
    <t>STAHLBAU</t>
  </si>
  <si>
    <t>sustainability; embodied emissions; resource efficiency; lightweight structures; circular construction; life cycle expansion; material use; infra-lightweight-concrete</t>
  </si>
  <si>
    <t>Stockhusen, K; Erichsen, J</t>
  </si>
  <si>
    <t>The net zero as a target: examples for building in line with the reduce-reuse-recycle principle</t>
  </si>
  <si>
    <t>The building sector is currently facing an unprecedented challenge: How can we drastically reduce emissions of climate-damaging greenhouse gases and still meet the growing global demand for a built environment? It is certain that sustainability can only be achieved through a holistic architectural approach. Just as important as taking into account operational emissions are the emissions generated during construction itself. After all, the amount of these embodied emissions produced by 2050 is crucial to achieving the United Nations' climate goals. The three R's of Reduce - Reuse - Recycle are essential for the building industry to be able to meet these objectives. In the following, projects are presented that are guided by these three R's and successfully demonstrate how innovative approaches and concepts can drive the change to net-zero. Among these are the roof of the Olympic Stadium in Munich as a pioneering model for all light-weight structures, the hanging timber canopy for the 2024 Olympic Aquatics Center in Paris as an example of materials-based design, the free-form steel and glass domes of the Moynihan Train Hall in New York City, as well as the modular container stadium serving as examples for preserving and extending the life cycle of structures or entire building components, the City of Dream Pavilion Cast &amp; Place made of recycled aluminum, and the youth facility Betonoase in Berlin, whose exterior walls and porches are made of the particularly recycling-friendly infra-light concrete (ILC).</t>
  </si>
  <si>
    <t>Stahlbau</t>
  </si>
  <si>
    <t>10.1002/stab.202200006</t>
  </si>
  <si>
    <t>ECOLOGY, ECONOMICS, EDUCATION AND LEGISLATION, VOL I</t>
  </si>
  <si>
    <t>civil engineering; timber products; sustainable; GFRP; LCA</t>
  </si>
  <si>
    <t>Taranu, N; Maxineasa, SG; Entuc, IS; Oprisan, G; Secu, A</t>
  </si>
  <si>
    <t>Assessing the environmental impact of a glass fibre reinforced polymer strengthening solution for timber beams</t>
  </si>
  <si>
    <t>It is common knowledge that forests represent the most proficient tool of the planet Earth for improving air quality, by sequestering and replacing a significant volume of carbon dioxide (CO2) with oxygen (O-2). Moreover, wood plantations are known to provide a natural habitat for animals, making them an important element in the global efforts of protecting the fauna. Due to the crucial influence of trees in ensuring such life conditions, during the latest years, international debates concerning the protection of old-growth forests by reducing the consumption of trees as a material in different economic industries have intensified. World-wide, a significant amount of wood is processed in order to be utilised in the civil engineering sector. Even if the utilization of trees from certified forests is encouraged, at the moment, only a small part of the amount of timber products used in this sector is fabricated by processing materials originated from sustainable wood plantations. Therefore, besides increasing the volume of the processed certified trees, the construction field should also implement new solutions in order to minimize the environmental load resulted from using uncertified timber solutions. The reusing of existing timber structures by applying different fibre reinforced polymer (FRP) composites strengthening solutions can represent an efficient approach for achieving this goal. The present paper evaluates the environmental impact of a glass fibre reinforced polymer (GFRP) strengthening technique utilized on a timber beam by using the Life Cycle Assessment (LCA) methodology and the GaBi 6 software. The resulted values point to the fact that despite their negative influence, FRP materials can have an important role in protecting and improving the condition of the natural environment by reducing the quantity of timber used in this sector.</t>
  </si>
  <si>
    <t>Carbon emissions; structural frames; low energy building; building materials; concrete; wood</t>
  </si>
  <si>
    <t>LIFE-CYCLE; WOOD; CONCRETE</t>
  </si>
  <si>
    <t>Tettey, UYA; Dodoo, A; Gustavsson, L</t>
  </si>
  <si>
    <t>Carbon balances for a low energy apartment building with different structural frame materials</t>
  </si>
  <si>
    <t>We analyse the life cycle carbon implications of a building, with structural frame of prefabricated concrete, prefabricated modular timber or cross laminated timber (CLT) elements, designed to meet the Swedish passive house criteria. The analysis covers non-biogenic carbon flows related to the building alternatives, over an assumed life time of 80 years. The building alternatives are all modelled to have the same housing service and operation energy demand. Substitution factors, showing the efficiency of CO2 emissions reductions when wood alternatives are used instead of non-wood alternatives, are calculated for the CLT and modular alternatives with reference to the concrete alternative. The results show that the CLT and modular buildings give less carbon emissions to the atmosphere during production and when the buildings are demolished at the end-of-life. Moreover, the wood residues from the production and end-of-life activities for the timber alternatives far exceed that for the concrete alternative. The substitution factors differ slightly between the CLT and the modular alternatives, and are significantly lower when fossil gas is substituted by wood residues instead of fossil coal. In summary, the life cycle carbon emissions are significantly lower for the timber alternatives. (C) 2019 The Authors. Published by Elsevier Ltd.</t>
  </si>
  <si>
    <t>10.1016/j.egypro.2019.01.801</t>
  </si>
  <si>
    <t>17TH INTERNATIONAL SCIENTIFIC CONFERENCE: ENGINEERING FOR RURAL DEVELOPMENT</t>
  </si>
  <si>
    <t>biomass; climate-friendly; moisture; compression; pellets</t>
  </si>
  <si>
    <t>WOOD PELLETS; FUEL PELLETS; QUALITY; ENERGY; DENSIFICATION; TEMPERATURE; PRESSURE; RESIDUES; DURABILITY; PARAMETERS</t>
  </si>
  <si>
    <t>Ungureanu, N; Vladut, V; Voicu, G; Dinca, MN; Zabava, BS</t>
  </si>
  <si>
    <t>INFLUENCE OF BIOMASS MOISTURE CONTENT ON PELLET PROPERTIES - REVIEW</t>
  </si>
  <si>
    <t>Seeking to become more climate-friendly and less energy-consuming, the European Union has pledged to cut its greenhouse gas emissions and milestones to achieve this are set to 20 % by 2020, 40 % by 2030, 60 % by 2040 and 80 % by 2050. Due to its abundance, biomass is gaining more and more importance both for the production of thermal energy by direct combustion or gasification of vegetal materials, for electricity and for the production of biofuels. Direct combustion of biomass generates CO2, but the process is neutral in terms of greenhouse gas emissions, because the same amount of CO2 was absorbed by plants from the air during their life cycle. Ecological solid fuels such as pellets have become rapidly a viable alternative to fossil fuels, due to their high energy content, which makes them suitable for use by both small households and industrial consumers. Pellets are obtained from a variety of raw materials such as: agricultural residues, energy crops, forestry and wood residues, used exclusively or mixed and having different physical-chemical properties. This paper presents a summary of literature on the effect of the moisture content on the properties of pellets obtained from various types of biomass. Moisture content of raw material is one of the most important factors that influence negatively the properties of pellets, such as bulk density or mechanical durability during storage and transportation. Energy consumption increases during pelletizing of high moisture biomass, as moisture is a lubricant that lowers friction in the die. Other studies found a positive correlation between pellets durability and optimal moisture (10 %), because water together with the die temperature, pressure and chemical composition of raw material acts like a binding agent that increases pellet quality. Pellets with 5 % moisture have low strength, become brittle, and large amounts of dust are produced during their storage and transportation. Moisture higher than 15 % damages pellets during storage.</t>
  </si>
  <si>
    <t>10.22616/ERDev2018.17.N449</t>
  </si>
  <si>
    <t>EKONOMICHESKAYA POLITIKA</t>
  </si>
  <si>
    <t>Paris Agreement; the role of boreal forests in carbon balance; carbon neutrality; Canada</t>
  </si>
  <si>
    <t>DYNAMICS</t>
  </si>
  <si>
    <t>Shvarts, EA; Ptichnikov, AV; Kokorin, AO; Krenke, AN</t>
  </si>
  <si>
    <t>Cross-Border Carbon Regulation and Forests in Russia: From Expectations and Myth to Realization of Interests</t>
  </si>
  <si>
    <t>Introduction of the EU Carbon Border Adjustment Mechanism over the period from 2023 to 2026 together with corporate commitments to achieve carbon neutrality and carry out commercial decarbonization have markedly increased interest in assessing the potential of carbon sequestration by Russian forests as a possible way to achieve decarbonization and facilitate Russian exports. The prevailing opinion in business circles is that a signi ficant net positive carbon balance from Russia's forests could circumvent the need for businesses to make costly reductions in their direct CO2 emissions. However, international decarbonization strategies and standards do not concur with that idea. Direct emissions will have to be reduced. Offset mechanisms, whose benefits are calculated as the difference between a baseline and an improved scenario for forest management (the principle of additionality), will compensate for only a part of the emissions. The experience of Canada is indicative, as it consistently implements measures to decarbonize industry without regard to the absorption of CO2 by its forests. Even though Canada has climatic conditions, forest growth, and population density similar to Russia's, its policy is not dependent upon revising estimates of net CO2 absorption by forests upward. Forestry priorities in Russia, including reforestation, should instead be gradually shifted from managing commercial forests for harvesting timber to reducing all forest fires. Leased and non-leased forests should both be included, and reforestation that favors deciduous species and mixed forests should be given a higher priority. It is also necessary to remove barriers to forestry in agricultural forests and to plan for implementation of projects directed at improving both forestry and climate on the land leased out from the holdings of the State Forest Fund as well as on agricultural tracts, including those now overgrown by forests.</t>
  </si>
  <si>
    <t>EKONOMICHESKAYA POLIT.</t>
  </si>
  <si>
    <t>10.18288/1994-5124-2022-5-54-77</t>
  </si>
  <si>
    <t>not english</t>
  </si>
  <si>
    <t>forests; climate; environment; policy; bioenergy</t>
  </si>
  <si>
    <t>HARVEST RESIDUES; CARBON; LAND</t>
  </si>
  <si>
    <t>Birdsey, R; Duffy, P; Smyth, C; Akurz, W; Dugan, AJ; Houghton, R</t>
  </si>
  <si>
    <t>Climate, economic, and environmental impacts of producing wood for bioenergy</t>
  </si>
  <si>
    <t>Increasing combustion of woody biomass for electricity has raised concerns and produced conflicting statements about impacts on atmospheric greenhouse gas (GHG) concentrations, climate, and other forest values such as timber supply and biodiversity. The purposes of this concise review of current literature are to (1) examine impacts on net GHG emissions and climate from increasing bioenergy production from forests and exporting wood pellets to Europe from North America, (2) develop a set of science-based recommendations about the circumstances that would result in GHG reductions or increases in the atmosphere, and (3) identify economic and environmental impacts of increasing bioenergy use of forests. We find that increasing bioenergy production and pellet exports often increase net emissions of GHGs for decades or longer, depending on source of feedstock and its alternate fate, time horizon of analysis, energy emissions associated with the supply chain and fuel substitution, and impacts on carbon cycling of forest ecosystems. Alternative uses of roundwood often offer larger reductions in GHGs, in particular long-lived wood products that store carbon for longer periods of time and can achieve greater substitution benefits than bioenergy. Other effects of using wood for bioenergy may be considerable including induced land-use change, changes in supplies of wood and other materials for construction, albedo and non-radiative effects of land-cover change on climate, and long-term impacts on soil productivity. Changes in biodiversity and other ecosystem attributes may be strongly affected by increasing biofuel production, depending on source of material and the projected scale of biofuel production increases.</t>
  </si>
  <si>
    <t>10.1088/1748-9326/aab9d5</t>
  </si>
  <si>
    <t>GLOBAL CHANGE BIOLOGY</t>
  </si>
  <si>
    <t>carbon retention curve; carbon sequestration; cascading; climate change; first-order decay; half-life; low-carbon economy; mitigation; wood industry</t>
  </si>
  <si>
    <t>FOREST MANAGEMENT-PRACTICES; LIFE-CYCLE ASSESSMENT; GREENHOUSE-GAS; CLIMATE-CHANGE; ROTATION LENGTH; SEQUESTRATION; STORAGE; IMPACTS; DECOMPOSITION; DYNAMICS</t>
  </si>
  <si>
    <t>Brunet-Navarro, P; Jochheim, H; Muys, B</t>
  </si>
  <si>
    <t>Modelling carbon stocks and fluxes in the wood product sector: a comparative review</t>
  </si>
  <si>
    <t>In addition to forest ecosystems, wood products are carbon pools that can be strategically managed to mitigate climate change. Wood product models (WPMs) simulating the carbon balance of wood production, use and end of life can complement forest growth models to evaluate the mitigation potential of the forest sector as a whole. WPMs can be used to compare scenarios of product use and explore mitigation strategies. A considerable number of WPMs have been developed in the last three decades, but there is no review available analysing their functionality and performance. This study analyses and compares 41 WPMs. One surprising initial result was that we discovered the erroneous implementation of a few concepts and assumptions in some of the models. We further described and compared the models using six model characteristics (bucking allocation, industrial processes, carbon pools, product removal, recycling and substitution effects) and three model-use characteristics (system boundaries, model initialization and evaluation of results). Using a set of indicators based on the model characteristics, we classified models using a hierarchical clustering technique and differentiated them according to their increasing degrees of complexity and varying levels of user support. For purposes of simulating carbon stock in wood products, models with a simple structure may be sufficient, but to compare climate change mitigation options, complex models are needed. The number of models has increased substantially over the last ten years, introducing more diversity and accuracy. Calculation of substitution effects and recycling has also become more prominent. However, the lack of data is still an important constraint for a more realistic estimation of carbon stocks and fluxes. Therefore, if the sector wants to demonstrate the environmental quality of its products, it should make it a priority to provide reliable life cycle inventory data, particularly regarding aspects of time and location.</t>
  </si>
  <si>
    <t>Glob. Change Biol.</t>
  </si>
  <si>
    <t>10.1111/gcb.13235</t>
  </si>
  <si>
    <t>REVISTA BRASILEIRA DE ZOOTECNIA-BRAZILIAN JOURNAL OF ANIMAL SCIENCE</t>
  </si>
  <si>
    <t>biological N-2 fixation; ecosystem services; grassland; nutrient cycling; tropical</t>
  </si>
  <si>
    <t>LEUCAENA-LEUCOCEPHALA; GLIRICIDIA-SEPIUM; ECOSYSTEM SERVICES; CONDENSED TANNINS; TROPICAL TREE; NUTRITION SECURITY; BIOMASS PRODUCTION; NITROGEN-FIXATION; FODDER TREES; N-2 FIXATION</t>
  </si>
  <si>
    <t>Dubeux, JCB; Muir, JP; Apolinario, VXD; Nair, PKR; Lira, MD; Sollenberger, LE</t>
  </si>
  <si>
    <t>Tree legumes: an underexploited resource in warm-climate silvopastures</t>
  </si>
  <si>
    <t>Tree legumes are an underexploited resource in warm-climate silvopastures. Perceived benefits of tree legumes include provisioning (browse/mast, timber, fuel, human food, natural medicines, and ornamentals), regulating (C sequestration, greenhouse gas mitigation, soil erosion control and riparian buffers, shade, windbreaks, and habitat for pollinators), supporting (biological N-2-fixation, nutrient cycling, soil fertility and soil health, photosynthesis, and primary productivity), and cultural ecosystem services. Tree legumes, however, have not been assessed to the same extent as herbaceous legumes. Once tree legumes are established, they are often more persistent than most herbaceous legumes. There are limitations for extended research with tree legume silvopastures, but extensive research has been done in Africa and Australia and recent efforts have been reported in South America. Economic benefits must be demonstrated to land managers to increase adoption. These benefits are apparent in the research and successes already available, but more long-term research, including the livestock component is necessary. Other factors that reduce adoption include paucity of domesticated germplasm, lag in research/technology, challenges of multipurpose trees and management complexity, challenges to mechanization, dangers of invasive weeds, and social and cultural barriers. In the current scenario of climate change and the need to increase food security, tree legumes are a key component for the sustainable intensification of livestock systems in warm-climate regions.</t>
  </si>
  <si>
    <t>Rev. Bras. Zootecn.</t>
  </si>
  <si>
    <t>10.1590/S1806-92902017000800010</t>
  </si>
  <si>
    <t>Ghanaian timber sector; Environmental performance indicators; Functional units; Life cycle impact assessment (LCIA); Tropical wood</t>
  </si>
  <si>
    <t>LAND-USE IMPACT; ENVIRONMENTAL-IMPACT; WOOD WASTES; INVENTORY; BIODIVERSITY; METHODOLOGY; PRODUCTS</t>
  </si>
  <si>
    <t>LCA of the timber sector in Ghana: preliminary life cycle impact assessment (LCIA)</t>
  </si>
  <si>
    <t>Purpose Most life cycle impact assessment (LCIA) approaches in life cycle assessment (LCA) are developed for western countries. Their LCIA approaches and characterization methodologies for different impact categories may not be necessarily relevant to African environmental conditions and particularly not for the timber sector in Ghana. This study reviews the relevance of existing impact categories and LCIA approaches, and uses the most relevant for the timber sector of Ghana. Materials and methods The study reviewed 23 life cycle inventories (LCIs) and LCAs on forestry, timber, and wood products for relevant impact categories and LCIA approaches for their relevance to the specific conditions in Ghana. This study uses an earlier LCI study of the timber industry as a starting point for an additional LCIA. We next performed a correlation and regression analysis to learn whether wood wastes may function as a reasonable single indicator for land use as proxy for biodiversity loss and the other impact categories. Results and discussion The literature review shows that no LCI or LCA studies were developed for Africa or the tropics. The LCIA approaches in the reviewed LCAs are indeed shown to take their basis in the environmental problems in western countries and characterization methodologies relating to how these problems manifest themselves in the western world. Characterization methodologies for different impact categories in CML-2000 and other LCIA approaches may not be necessarily relevant to African tropical environmental conditions and particularly not for the timber sector in Ghana. This situation hampers the reliability of our LCIA and points to a serious research gap in LCIA development in general. We applied the scientifically well-recognized CML 2000 to the earlier LCI results and characterized the preliminary selected impact categories of global warming, acidification, eutrophication, photochemical oxidant formation, and human toxicity. The correlation analysis indicated that wood waste is indeed strongly correlated with land use as proxy for biodiversity loss and also positively correlated with the other five potential impact results. It can be concluded that wood waste production is a major driving force for biodiversity loss and a sufficiently good single indicator for all other environmental performance indicators in the timber sector of Ghana. Conclusions This study and the previous LCI paper are pioneering a field not yet explored, since the correct environmental performance indicators are not yet developed or adapted to tropical conditions. The development of LCIA approaches in the tropics may be the start of a never-ending journey in LCA research in Africa, particularly Ghana.</t>
  </si>
  <si>
    <t>10.1007/s11367-011-0307-5</t>
  </si>
  <si>
    <t>not a review per se but duplicates results from Eshun 2010</t>
  </si>
  <si>
    <t>Climate change; Harvested wood products; Carbon stocks and emissions; Wood substitute</t>
  </si>
  <si>
    <t>FOREST BIOENERGY; LIFE-CYCLE; ENERGY USE; EMISSIONS; SEQUESTRATION; CONSTRUCTION; MANAGEMENT; IMPACTS; CLIMATE; BUDGET</t>
  </si>
  <si>
    <t>Geng, AX; Yang, HQ; Chen, JX; Hong, YX</t>
  </si>
  <si>
    <t>Review of carbon storage function of harvested wood products and the potential of wood substitution in greenhouse gas mitigation</t>
  </si>
  <si>
    <t>Global forests have the potential to significantly increase or reduce atmospheric greenhouse gas (GHG) concentration. Harvested wood products (HWP) are an important part of the forest-atmosphere carbon cycle. On the one hand, HWP can retain the carbon for various periods of time, depending on the end uses. On the other hand, using HWP in place of more GHG-intensive materials and using wood bioenergy to substitute for fossil fuels result in reduced fossil fuel emissions. However, critical methodological differences exist in existing literature in assessing the GHG effects of HWP and wood bioenergy substitution, and large diversity in system boundary, substitution scenario, study period, and reference baseline results in large difference in reported GHG effects of wood substitution. In the present study, we conducted a comprehensive literature review to (a) clarify the methodological issues in GHG effects assessments of HWP and wood bioenergy substitution, (b) summarize and compare the reported GHG effects, and (c) identify knowledge gaps to inform future research. We support the conclusion that to accurately assess the GHG effects, HWP and wood bioenergy life-cycle carbon analysis needs to be integrated with forest carbon balance analysis. Substituting HWP for non-wood materials appears to be more effective in reducing GHG emissions than substituting wood for fossil fuels. The time required to obtain net emission reduction for wood bioenergy in place of fossil fuels can be 0 years, decades or more than a century, depending on forest biomass sources (e.g., harvest residue, standing live trees) and fossil fuels displaced. For HWP used to replace non-wood material, however, the time required to obtain net emission reduction largely remains a future research need. Overall, HWP and wood bioenergy originated from sustainably managed forests can significantly contribute to GHG emissions reduction in the long term.</t>
  </si>
  <si>
    <t>10.1016/j.forpol.2017.08.007</t>
  </si>
  <si>
    <t>disagree: it is an original LCA paper. It combines existing LCAs on raw materials to compare a baseline with a "high HWP" scenario</t>
  </si>
  <si>
    <t>cross-laminated timber; life-cycle assessment; mass timber building; whole-building LCA methodology</t>
  </si>
  <si>
    <t>Gu, HM; Liang, SB; Pierobon, F; Puettmann, M; Ganguly, I; Chen, CY; Pasternack, R; Wishnie, M; Jones, S; Maples, I</t>
  </si>
  <si>
    <t>Mass Timber Building Life Cycle Assessment Methodology for the US Regional Case Studies</t>
  </si>
  <si>
    <t>The building industry currently consumes over a third of energy produced and emits 39% of greenhouse gases globally produced by human activities. The manufacturing of building materials and the construction of buildings make up 11% of those emissions within the sector. Whole-building life-cycle assessment is a holistic and scientific tool to assess multiple environmental impacts with internationally accepted inventory databases. A comparison of the building life-cycle assessment results would help to select materials and designs to reduce total environmental impacts at the early planning stage for architects and developers, and to revise the building code to improve environmental performance. The Nature Conservancy convened a group of researchers and policymakers from governments and non-profit organizations with expertise across wood product life-cycle assessment, forest carbon, and forest products market analysis to address emissions and energy consumption associated with mass timber building solutions. The study disclosed a series of detailed, comparative life-cycle assessments of pairs of buildings using both mass timber and conventional materials. The methodologies used in this study are clearly laid out in this paper for transparency and accountability. A plethora of data exists on the favorable environmental performance of wood as a building material and energy source, and many opportunities appear for research to improve on current practices.</t>
  </si>
  <si>
    <t>10.3390/su132414034</t>
  </si>
  <si>
    <t>structural and engineered timber; life cycle assessment; harvested wood products; carbon storage; built environment; climate change mitigation</t>
  </si>
  <si>
    <t>LIFE-CYCLE ASSESSMENT; CLIMATE-CHANGE; CARBON MITIGATION; BUILT ENVIRONMENT; EMBODIED CARBON; BIOGENIC CARBON; COMPARATIVE LCA; WOOD PRODUCTS; LAND-USE; IMPACT</t>
  </si>
  <si>
    <t>Hart, J; Pomponi, F</t>
  </si>
  <si>
    <t>More Timber in Construction: Unanswered Questions and Future Challenges</t>
  </si>
  <si>
    <t>The built environment is one of the greatest contributors to carbon emissions, climate change, and to the unsustainable pressure on the natural environment and its ecosystems. The use of more timber in construction is one possible response, and an authoritative contribution to this growing movement comes from the UK's Committee on Climate Change, which identifies a substantial increase in the use of wood in the construction of buildings as a top priority. However, a global encouragement of such a strategy raises some difficult questions. Given the urgency of effective solutions for low-carbon built environments, and the likely continued growth in demand for timber in construction, this article reviews its sustainability and identifies future challenges and unanswered questions. Existing evidence points indeed towards timber as the lower carbon option when modelled through life cycle assessment without having to draw on arguments around carbon storage. Issues however remain on the timing of carbon emissions, land allocation, and the environmental loads and benefits associated with the end-of-life options: analysis of environmental product declarations for engineered timber suggests that landfill might either be the best or the worst option from a climate change perspective, depending on assumptions.</t>
  </si>
  <si>
    <t>10.3390/su12083473</t>
  </si>
  <si>
    <t>wood-based products; circular bioeconomy; market development; climate change impacts; environmental sustainability</t>
  </si>
  <si>
    <t>LIFE-CYCLE ASSESSMENT; KRAFT PULP-MILL; CRUDE TALL OIL; GREENHOUSE-GAS; GLOBAL PAPER; MARKET; BIODIVERSITY; CHEMICALS; INDUSTRY; IMPACTS</t>
  </si>
  <si>
    <t>Hassegawa, M; Van Brusselen, J; Cramm, M; Verkerk, PJ</t>
  </si>
  <si>
    <t>Wood-Based Products in the Circular Bioeconomy: Status and Opportunities towards Environmental Sustainability</t>
  </si>
  <si>
    <t>The circular bioeconomy offers solutions to curb the effects of climate change by focusing on the use of renewable, biological resources to produce food, energy, materials, and services. The substitution of fossil products by wood-based products can help avoid or reduce greenhouse gas emissions over the life cycle of products. However, it is important to understand the potential impacts of large-scale material substitution at the market level. This study aimed to assess the role of selected wood-based products in the circular bioeconomy, the possible changes in their markets, and investigate which elements could ensure the environmental sustainability of these products. The demand for graphic paper has declined over the last 15 years, while the demand for packaging has increased. Cross-laminated timber and man-made cellulosic fibres have seen their global consumption increase over the last decade. While there are benefits associated with the substitution of non-renewable materials by wood-based products, there is still limited understanding of the substitution effects at market-, country- and global level. Some factors enabling the further uptake of wood-based products include initiatives that stimulate technological change, incentives to produce or consume less fossil-based and more bio-based alternatives, and the promotion and marketing of wood-based products as viable alternatives to non-renewable materials.</t>
  </si>
  <si>
    <t>10.3390/land11122131</t>
  </si>
  <si>
    <t>circular economy; climate change mitigation; life cycle assessment; industrial policy; resource efficiency; cement; iron and steel</t>
  </si>
  <si>
    <t>LIFE-CYCLE ASSESSMENT; COMPARING ENVIRONMENTAL IMPACTS; PRINTED-CIRCUIT BOARDS; MATERIAL FLOW-ANALYSIS; DEMOLITION WASTE; ENERGY DEMAND; STEEL REUSE; RESIDENTIAL BUILDINGS; BUILT ENVIRONMENT; EMBODIED ENERGY</t>
  </si>
  <si>
    <t>Hertwich, EG; Ali, S; Ciacci, L; Fishman, T; Heeren, N; Masanet, E; Asghari, FN; Olivetti, E; Pauliuk, S; Tu, QS; Wolfram, P</t>
  </si>
  <si>
    <t>Material efficiency strategies to reducing greenhouse gas emissions associated with buildings, vehicles, and electronics-a review</t>
  </si>
  <si>
    <t>As one quarter of global energy use serves the production of materials, the more efficient use of these materials presents a significant opportunity for the mitigation of greenhouse gas (GHG) emissions. With the renewed interest of policy makers in the circular economy, material efficiency (ME) strategies such as light-weighting and downsizing of and lifetime extension for products, reuse and recycling of materials, and appropriate material choice are being promoted. Yet, the emissions savings from ME remain poorly understood, owing in part to the multitude of material uses and diversity of circumstances and in part to a lack of analytical effort. We have reviewed emissions reductions from ME strategies applied to buildings, cars, and electronics. We find that there can be a systematic trade-off between material use in the production of buildings, vehicles, and appliances and energy use in their operation, requiring a careful life cycle assessment of ME strategies. We find that the largest potential emission reductions quantified in the literature result from more intensive use of and lifetime extension for buildings and the light-weighting and reduced size of vehicles. Replacing metals and concrete with timber in construction can result in significant GHG benefits, but trade-offs and limitations to the potential supply of timber need to be recognized. Repair and remanufacturing of products can also result in emission reductions, which have been quantified only on a case-by-case basis and are difficult to generalize. The recovery of steel, aluminum, and copper from building demolition waste and the end-of-life vehicles and appliances already results in the recycling of base metals, which achieves significant emission reductions. Higher collection rates, sorting efficiencies, and the alloy-specific sorting of metals to preserve the function of alloying elements while avoiding the contamination of base metals are important steps to further reduce emissions.</t>
  </si>
  <si>
    <t>10.1088/1748-9326/ab0fe3</t>
  </si>
  <si>
    <t xml:space="preserve">Hurmekoski, E., Smyth, C., Stern, T., Verkerk, P. J., &amp; Asada, R. </t>
  </si>
  <si>
    <t xml:space="preserve"> Substitution impacts of wood use at the market level: a systematic review</t>
  </si>
  <si>
    <t>10.1088/1748-9326/ac386f</t>
  </si>
  <si>
    <t>ENVIRONMENTAL REVIEWS</t>
  </si>
  <si>
    <t>boreal forest; Canada; carbon; climate change; mitigation</t>
  </si>
  <si>
    <t>LAND-USE CHANGE; GREENHOUSE-GAS-MITIGATION; GROWING POPLAR PLANTATIONS; MOUNTAIN PINE-BEETLE; LIFE-CYCLE ANALYSIS; OLD-GROWTH FORESTS; CARBON SEQUESTRATION; WOOD PRODUCTS; AGRICULTURAL LAND; BLACK SPRUCE</t>
  </si>
  <si>
    <t>Lempriere, TC; Kurz, WA; Hogg, EH; Schmoll, C; Rampley, GJ; Yemshanov, D; McKenney, DW; Gilsenan, R; Beatch, A; Blain, D; Bhatti, JS; Krcmar, E</t>
  </si>
  <si>
    <t>Canadian boreal forests and climate change mitigation</t>
  </si>
  <si>
    <t>Quantitative assessment of Canada&amp;apos;s boreal forest mitigation potential is not yet possible, though the range of mitigation activities is known, requirements for sound analyses of options are increasingly understood, and there is emerging recognition that biogeophysical effects need greater attention. Use of a systems perspective highlights trade-offs between activities aimed at increasing carbon storage in the ecosystem, increasing carbon storage in harvested wood products (HWPs), or increasing the substitution benefits of using wood in place of fossil fuels or more emissions-intensive products. A systems perspective also suggests that erroneous conclusions about mitigation potential could result if analyses assume that HWP carbon is emitted at harvest, or bioenergy is carbon neutral. The greatest short-run boreal mitigation benefit generally would be achieved by avoiding greenhouse gas emissions; but over the longer run, there could be significant potential in activities that increase carbon removals. Mitigation activities could maximize landscape carbon uptake or maximize landscape carbon density, but not both simultaneously. The difference between the two is the rate at which HWPs are produced to meet society&amp;apos;s demands, and mitigation activities could seek to delay or reduce HWP emissions and increase substitution benefits. Use of forest biomass for bioenergy could also contribute though the point in time at which this produces a net mitigation benefit relative to a fossil fuel alternative will be situation-specific. Key knowledge gaps exist in understanding boreal mitigation strategies that are robust to climate change and how mitigation could be integrated with adaptation to climate change.</t>
  </si>
  <si>
    <t>Environ. Rev.</t>
  </si>
  <si>
    <t>10.1139/er-2013-0039</t>
  </si>
  <si>
    <t>JOURNAL OF FORESTRY</t>
  </si>
  <si>
    <t>forest management; forest policy; forest carbon dynamics; carbon accounting; carbon offsets; life cycle assessment; building products substitution; bioenergy</t>
  </si>
  <si>
    <t>SOIL ORGANIC-MATTER; LIFE-CYCLE INVENTORY; MOUNTAIN PINE-BEETLE; UNITED-STATES; CLIMATE-CHANGE; BOREAL FOREST; ENVIRONMENTAL PERFORMANCE; PACIFIC-NORTHWEST; SOFTWOOD LUMBER; OFFSET PROJECTS</t>
  </si>
  <si>
    <t>Malmsheimer, RW; Bowyer, JL; Fried, JS; Gee, E; Izlar, RL; Miner, RA; Munn, IA; Oneil, E; Stewart, WC</t>
  </si>
  <si>
    <t>Managing Forests because Carbon Matters: Integrating Energy, Products, and Land Management Policy</t>
  </si>
  <si>
    <t>The United States needs many different types of forests: some managed for wood products plus other benefits, and some managed for nonconsumptive uses and benefits. The objective of reducing global greenhouse gases (GHG) requires increasing carbon storage in pools other than the atmosphere. Growing more forests and keeping forests as forests are only part of the solution, because focusing solely on the sequestration benefits of the forests misses the important (and substantial) carbon storage and substitution GHG benefits of harvested forest products, as well as other benefits of active forest management. Forests and global climate are closely linked in terms of carbon storage and releases, water fluxes from the soil and into the atmosphere, and solar energy capture. Understanding how carbon dynamics are affected by stand age, density, and management and will evolve with climate change is fundamental to exploiting the capacity for sustainably managed forests to remove carbon dioxide from the atmosphere. For example, even though emperate forests continue to be carbon sinks, in western North America forest fires and tree mortality from insects are converting some forests into net carbon sources. Expanding forest biomass use for biofuels and energy generation will compete with traditional forest products, but it may also produce benefits through competition and market efficiency. Short-rotation woody crops, as well as landowners&amp;apos; preferences-based on investment-return expectations and environmental considerations, both of which will be affected by energy and environmental policies-have the potential to increase biomass supply. Unlike metals, concrete, and plastic, forest products store atmospheric carbon and have low embodied energy (the amount of energy it takes to make products), so there is a substitution effect when wood is used in place of other building materials. Wood used for energy production also provides substitution benefits by reducing the flow of fossil fuel based carbon emissions to the atmosphere. The value of carbon credits generated by forest carbon offset projects differs dramatically, depending on the sets of carbon pods allowed by the protocol and baseline employed. The costs associated with establishing and maintaining offset projects depend largely on the protocols&amp;apos; specific.. Measurement challenges and relatively high transaction costs needed for forest carbon offsets warrant consideration of other policies that promote climate benefits from forests and forest products but do not require project-specific accounting. Policies can foster changes in forest management and product manufacture that reduce carbon emissions over time while maintaining forests for environmental and societal benefits. US policymakers should take to heart the finding of the Intergovernmental Panel on Climate Change in its Fourth Assessment Report when it concluded that In the long term, a sustainable forest management strategy aimed at maintaining or increasing forest carbon stocks, while producing on annual sustained yield of timber, fibre, or energy from the forest, will generate the largest sustained mitigation benefit. A rational energy and environmental policy framework must be based on the premise that atmospheric greenhouse gas levels are increasing primarily because of the addition of geologic fossil fuel-based carbon into the carbon cycle. Forest carbon policy that builds on the scientific information summarized in this article can be a significant and important part of a comprehensive energy policy that provides for energy independence and carbon benefits while simultaneously providing clean water, wildlife habitat, recreation, and other uses and values.</t>
  </si>
  <si>
    <t>J. For.</t>
  </si>
  <si>
    <t>10.1093/jof/109.s1.S7</t>
  </si>
  <si>
    <t>More an overview than a review, but there are no original results</t>
  </si>
  <si>
    <t>changed_to_review</t>
  </si>
  <si>
    <t>CLIMATE-CHANGE MITIGATION; LIFE-CYCLE ASSESSMENT; FOREST SECTOR; ALTERNATIVE MATERIALS; CARBON EMISSIONS; PRODUCTS; IMPACTS; MANAGEMENT; BIOENERGY; BENEFITS</t>
  </si>
  <si>
    <t>Myllyviita, T; Soimakallio, S; Judl, J; Seppala, J</t>
  </si>
  <si>
    <t>Wood substitution potential in greenhouse gas emission reduction-review on current state and application of displacement factors</t>
  </si>
  <si>
    <t>Background Replacing non-renewable materials and energy with wood offers a potential strategy to mitigate climate change if the net emissions of ecosystem and technosystem are reduced in a considered time period. Displacement factors (DFs) describe an emission reduction for a wood-based product or fuel which is used in place of a non-wood alternative. The aims of this review were to map and assess DFs from scientific literature and to provide findings on how to harmonise practices behind them and to support coherent application. Results Most of the reviewed DFs were positive, implying decreasing fossil GHG emissions in the technosystem. The vast majority of the reviewed DFs describe avoided fossil emissions either both in processing and use of wood or only in the latter when wood processing emissions were considered separately. Some of the reviewed DFs included emissions avoided in post-use of harvested wood products (HWPs). Changes in forest and product carbon stocks were not included in DFs except in a few single cases. However, in most of the reviewed studies they were considered separately in a consistent way along with DFs. DFs for wood energy, construction and material substitution were widely available, whereas DFs for packaging products, chemicals and textiles were scarce. More than half of DFs were calculated by the authors of the reviewed articles while the rest of them were adopted from other articles. Conclusions Most of the reviewed DFs describe the avoided fossil GHG emissions. These DFs may provide insights on the wood-based products with a potential to replace emissions intensive alternatives but they do not reveal the actual climate change mitigation effects of wood use. The way DFs should be applied and interpreted depends on what has been included in them. If the aim of DFs is to describe the overall climate effects of wood use, DFs should include all the relevant GHG flows, including changes in forest and HWP carbon stock and post-use of HWPs, however, based on this literature review this is not a common practice. DFs including only fossil emissions should be applied together with a coherent assessment of changes in forest and HWP carbon stocks, as was the case in most of the reviewed studies. To increase robustness and transparency and to decrease misuse, we recommend that system boundaries and other assumptions behind DFs should be clearly documented.</t>
  </si>
  <si>
    <t>10.1186/s40663-021-00326-8</t>
  </si>
  <si>
    <t xml:space="preserve">Niles, J. O., &amp; Schwarze, R. </t>
  </si>
  <si>
    <t xml:space="preserve"> The value of careful carbon accounting in wood products</t>
  </si>
  <si>
    <t>10.1023/A:1010655806130</t>
  </si>
  <si>
    <t>WILEY INTERDISCIPLINARY REVIEWS-ENERGY AND ENVIRONMENT</t>
  </si>
  <si>
    <t>biodiversity; climate; soil; stump biomass; water</t>
  </si>
  <si>
    <t>COARSE WOODY DEBRIS; LOGGING RESIDUE EXTRACTION; SWEDISH FOREST SOILS; CONTROL ROOT-ROT; NORWAY SPRUCE; PICEA-ABIES; SCOTS PINE; ORGANIC-CARBON; METHYL-MERCURY; BOREAL FOREST</t>
  </si>
  <si>
    <t>Persson, T; Egnell, G</t>
  </si>
  <si>
    <t>Stump harvesting for bioenergy: A review of climatic and environmental impacts in northern Europe and America</t>
  </si>
  <si>
    <t>Stump harvesting is defined as an intensification of forest management in comparison with stem-only harvesting and removal of tops and branches. It increases soil mixing and the proportion of bare soil. In contrast to earlier hypotheses, stump harvesting was found to reduce emissions of carbon dioxide (CO2), nitrous oxide, and methane in the short term. In the long term, heterotrophic soil CO2 evolution is reduced. Both model and empirical studies indicate that stump removal can reduce the soil organic carbon (SOC) pool in the short term, but long-term experiments (32-39 years) could not verify any SOC decline. Life cycle assessment studies showed that stumps as fuel resulted in markedly lower emissions of CO2 into the atmosphere, viewed over a whole forest rotation compared to heating by natural gas and coal. Stump removal does not seem to affect timber production in the next forest rotation and often reduces the infection rate of root rot. It increases the natural regeneration of birch and pine, it can increase nitrate leaching at N-rich sites, and it can increase the number of water-filled cavities where methylmercury is formed. Stump extraction decreases the amount of dwarf shrubs in young clear-cuts, but after 1-2 decades, these species are generally recovered. Many species dependent on dead wood are adversely affected by intense stump harvest. Model studies suggest that the risk of species extinction is small when only 10% of the total clear-cut area in the forest landscape is stump harvested, but the risk of extinction rises at increasing extraction intensities. This article is categorized under: Bioenergy &gt; Climate and Environment Energy and Climate &gt; Climate and Environment Energy and Development &gt; Climate and Environment</t>
  </si>
  <si>
    <t>Wiley Interdiscip. Rev. Energy Environ.</t>
  </si>
  <si>
    <t>10.1002/wene.307</t>
  </si>
  <si>
    <t>life-cycle-assessment (LCA); substitution; cost-effectiveness; economics; wood; steel; concrete</t>
  </si>
  <si>
    <t>LIFE-CYCLE</t>
  </si>
  <si>
    <t>Petersen, AK; Solberg, B</t>
  </si>
  <si>
    <t>Environmental and economic impacts of substitution between wood products and alternative materials: a review of micro-level analyses from Norway and Sweden</t>
  </si>
  <si>
    <t>This article gives a state of the art overview on quantitative analyses from Norway and Sweden of Life cycle analyses (LCA), which compare the environmental impacts of substitution between wood and alternative materials, with emphasis on greenhouse gas (GHG) emissions, economics and methodological issues. In all studies referred to this overview, wood is a better alternative than other materials with regard to GHG emissions. Furthermore, wood is causing less emissions of SO2 and generates less waste compared to the alternative materials. Preservative treated wood, on the other hand, might have toxicological impacts on human health and ecosystems. Impacts on acidification, eutrofication and creation of photochemical ozone vary in different comparisons. Amount of greenhouse gases avoided due to substitution between wood and steel is in the range of 36-530 kg CO2-equivalents per in 3 input of timber with 4% discount rate; depending on waste management of the materials, and how carbon fixation on forest land is included. This amount is 93-1062 kg CO2-equivalents for substitution between wood and concrete, if the wood is not landfilled after use. Many of the LCAs could be considerably improved, if the analyses were done with several alternative assumptions regarding boundaries of the system used in the LCA. This is important, not least to map what are the main assumptions for the results obtained and to compare with other studies. It is also important to consider the time-profile of the GHG emissions and other impacts over the life-cycle-it is surprising that this is not taken more seriously. Wood as a building material is competitive on price in those studies that include costs. It is a weak point of many LCAs that costs as well as other economic aspects influencing product substitution are not included, and a major research challenge is to combine traditional LCA with economic analysis in order to make both more policy relevant. In particular, one should develop dynamic input/output models where price and income substitutions as well as technological changes and cost components are included endogenously. (c) 2003 Elsevier B.V. All rights reserved.</t>
  </si>
  <si>
    <t>10.1016/S1389-9341(03)00063-7</t>
  </si>
  <si>
    <t>Buildings; Life cycle assessment; Embodied emissions; Dynamic; Biogenic; Carbonation</t>
  </si>
  <si>
    <t>LIFE-CYCLE ASSESSMENT; BIOGENIC CARBON; SENSITIVITY-ANALYSIS; IMPACT ASSESSMENT; LCA; FRAMEWORK; STORAGE; TIME</t>
  </si>
  <si>
    <t>Resch, E; Andresen, I; Cherubini, F; Brattebo, H</t>
  </si>
  <si>
    <t>Estimating dynamic climate change effects of material use in buildings-Timing, uncertainty, and emission sources</t>
  </si>
  <si>
    <t>Material use in buildings affects the climate over centuries, however, temporal aspects are often ignored in Life Cycle Assessment (LCA). Results too often promise uncontested precision of impacts occurring far into the future. Additionally, the validity of building LCAs is being questioned over inadequate scope and inventory. A dynamic LCA method for material use in buildings that addresses those concerns is presented, along with a case study of 20 buildings. In particular, a novel solution to account for delayed emissions is presented, along with future technological improvements. Climate change effects of material use in construction, operation, and end-of-life phases are estimated, from production, transport, construction-waste incineration, biogenic carbon sequestration, and cement carbonation. Building subpart metrics reveal drivers of impacts and are used for generating statistical emission profiles. Application on a bottom-up harmonized dataset produces statistical results for building types (typology, timber/concrete) and building subparts (building elements, material categories). Global warming policy targets requires that the building industry focuses on interventions with short-term effects, such as low-impact materials in the construction phase and reduced construction waste. Uncertainty is estimated, and parameter influence assessed with global sensitivity analysis. Time horizon (TH), building lifetime, and construction waste parameters are found most sensitive. The method reduces uncertainty of postulated future impacts; an important step in the direction of policy-relevant modeling. We recommend that building LCA modeling practice adopts the presented methodological concepts to gain trust and policy-relevance.</t>
  </si>
  <si>
    <t>10.1016/j.buildenv.2020.107399</t>
  </si>
  <si>
    <t>The review actually retreats LCA data from 20 buildings to incorporate in situ forest emissions/storage, finds that time horizon is key and proposes a distribution of C footprint depending on time horizon -&gt; to be quoted!</t>
  </si>
  <si>
    <t>climate change mitigation; forest carbon; forest management; life cycle assessment; modelling; scenarios; tree harvest</t>
  </si>
  <si>
    <t>TRADE-OFFS; MANAGEMENT SCENARIOS; CHANGING CLIMATE; BOREAL FORESTS; WOOD PRODUCTS; TIMBER; SEQUESTRATION; BIODIVERSITY; EMISSIONS; BIOENERGY</t>
  </si>
  <si>
    <t>Soimakallio, S; Bottcher, H; Niemi, J; Mosley, F; Turunen, S; Hennenberg, KJ; Reise, J; Fehrenbach, H</t>
  </si>
  <si>
    <t>Closing an open balance: The impact of increased tree harvest on forest carbon</t>
  </si>
  <si>
    <t>Fossil-based emissions can be avoided by using wood in place of non-renewable raw materials as energy and materials. However, wood harvest influences forest carbon stocks. Increased harvest may reduce the overall climate benefit of wood use significantly, but is widely overlooked. We reviewed selected simulation studies and compared differences in forest carbon and amount of wood harvested between harvest scenarios of different intensities for three different time perspectives: short- (1-30 years), mid- (31-70 years), and long-term (71-100 years). Out of more than 450 reviewed studies 45 provided adequate data. Our results show that increased harvest reduces carbon stocks over 100 years in temperate and boreal forests by about 1.6 (stdev 0.9) t(C) per t(C) harvested (referred to as carbon balance indicator (CBI)). CBI proved to be robust when outliers explicitly influenced by factors other than changes in the harvest rate, such as fertilization or increase in forest area, were removed. The carbon impacts tend to be greatest in the mid-term, but no significant difference in was found for average values between short and long time-horizons. CBI can be interpreted as carbon opportunity costs of wood harvest in forests. Our results indicate that even after 100 years, CBI is significant compared to the typical GHG credits expected in the technosphere by avoiding fossil emissions in substitution and increasing carbon stocks in harvested wood products. Our estimates provide typical values that can directly be included in GHG balances of products or assessments of mitigation policies and measures related to wood use. However, more systematic scenarios with transparent information on influencing factors for forest carbon stocks are required to provide better constrained estimates for specific forest types.</t>
  </si>
  <si>
    <t>10.1111/gcbb.12981</t>
  </si>
  <si>
    <t>alternative management; biodiversity; fire hazard abatement; forest residues; mammal habitat; piles and windrows; smoke emissions; woody debris</t>
  </si>
  <si>
    <t>UNDERSTORY PLANT-COMMUNITIES; GREEN-TREE RETENTION; DOWNED WOOD; POPULATION-DYNAMICS; LOGGING DEBRIS; TIMBER HARVEST; AIR-POLLUTION; RESPONSES; FIRE; BIODIVERSITY</t>
  </si>
  <si>
    <t>Sullivan, TP; Sullivan, DS; Klenner, W</t>
  </si>
  <si>
    <t>Fate of Postharvest Woody Debris, Mammal Habitat, and Alternative Management of Forest Residues on Clearcuts: A Synthesis</t>
  </si>
  <si>
    <t>Coarse woody debris on the forest floor contributes to maintenance of forest biodiversity and long-term ecosystem productivity. Down wood is often dispersed over harvested sites during logging activities, thereby leaving piles of postharvest debris as excess material at landings and roadsides. These wood residues may be burned in most jurisdictions in North America to reduce a perceived fire hazard. The fire hazard debate needs to acknowledge the documented benefits of woody debris retention while striking a balance among biodiversity, bioenergy, and alternative uses for debris, while reducing ignitions by humans. The burning of excess woody debris also creates smoke, causes the release of greenhouse gas (GHG) emissions, and creates human health issues, particularly for vulnerable individuals. The relationship of wildfire smoke to human health problems is well documented. However, there is no scientific evidence showing that postharvest debris piles are ignition points for forest fires, other than those caused by humans. Wood residues from forest harvesting or natural disturbance wood from wildfire and insect outbreaks may be used as renewable biomass feedstocks that could help improve energy supplies and reduce GHG emissions. If not marketable, the management of postharvest debris should seek alternative outlets that do not dispose of debris by burning, but still meet fire hazard abatement requirements. The construction of woody debris structures (e.g., piles and windrows) built at the time of forest harvesting and log processing, or later at the site preparation stages, has positive benefits for wildlife habitat and forest biodiversity. A windrow or series of piles may connect patches and reserves of mature forest and riparian areas on clearcut openings. Piles and windrows have consistently provided habitat on new clearcuts for southern red-backed voles (Myodes gapperi) and Microtus voles, as well as a host of other forest-floor small mammal species, at least up to 12 years postconstruction. Woody debris provides important habitat for foraging and cover attributes for marten (Martes americana), weasels (Mustela spp.), and other furbearers. A list of What to do? and When and Where? with options for construction of woody debris habitats: poorest, good, better, and best are given. In the cases where fire risk from humans is minimized and there are no marketable wood products, eight alternative management scenarios for postharvest woody debris are provided. These include: (1) piles for wildlife habitat; (2) distribution of debris in partial cut forests; (3) machinery to break up and crush debris; (4) protection of riparian zones with barriers for cattle; (5) construction of range fencing; (6) reclamation of landings and skid-trails; (7) soil fertility and reduction in weed competition and drought for planted conifers; and (8) slope stabilization and revegetation. Advantages and disadvantages (if known) are given for each alternative. A flow chart for the fate of excess postharvest woody debris with respect to fire hazard abatement and markets or nonmarkets is given.</t>
  </si>
  <si>
    <t>10.3390/f12050551</t>
  </si>
  <si>
    <t>Cross-laminated timber; Carbon footprint; Life cycle assessment; Climate change; Sustainable multi-story construction</t>
  </si>
  <si>
    <t>CONCRETE; LCA; FUTURE; ENERGY; CARBON; SUSTAINABILITY; ALTERNATIVES; METHODOLOGY; MITIGATION; SCENARIOS</t>
  </si>
  <si>
    <t>Younis, A; Dodoo, A</t>
  </si>
  <si>
    <t>Cross-laminated timber for building construction: A life-cycle-assessment overview</t>
  </si>
  <si>
    <t>The building industry is a large contributor to greenhouse gas (GHG) emissions and a vast con -sumer of natural resources. It is estimated that, in the next 40 years, around 415 Gt of CO2 will be released as a result of global construction activities. Therefore, improvements in construction technologies are essential to reduce GHG emissions and thereby attain national and international goals to mitigate climate change. Cross-laminated timber (CLT) has emerged as an innovative alternative material to steel/concrete in building construction, given its relatively low carbon footprint, not to mention its high strength-to-weight ratio, simple installation, and aesthetic features. CLT is a structural composite panel product developed in the early 1990s, and the contemporary generation of CLT buildings are yet to reach the end of their service life. Accord-ingly, there has been growing interest to understand and optimize the performance of CLT in building construction. In view of that, this paper presents an overview on the feasibility of using CLT in buildings from a life-cycle assessment (LCA) standpoint. The authors performed a brief review on LCA studies conducted in the past decade pertaining to the carbon footprint of CLT buildings. On average, the findings of these studies revealed about 40% reduction in carbon footprint when using CLT in lieu of conventional construction materials (steel/concrete) for multi-story buildings. Furthermore, the paper explores the challenges associated with conducting LCA on CLT buildings, identifies the gaps in knowledge, and outlines directions for future research.</t>
  </si>
  <si>
    <t>10.1016/j.jobe.2022.104482</t>
  </si>
  <si>
    <t>Reconstituted decorative lumber; Life cycle; Ecological civilization; Sustainable development</t>
  </si>
  <si>
    <t>WOOD; DESIGN; SUSTAINABILITY; CARBON</t>
  </si>
  <si>
    <t>Zhou, CM; Shi, ZY; Kaner, J</t>
  </si>
  <si>
    <t>Life Cycle Analysis for Reconstituted Decorative Lumber from an Ecological Perspective: A Review</t>
  </si>
  <si>
    <t>In response to global Sustainable Development Goals (SDGs), the Chinese government has pledged to curtail increased carbon dioxide emissions beyond 2030 and to achieve carbon neutrality by 2060, thus achieving a status of an ecological civilization. Reconstituted decorative lumber, with rotary-cut (or planed) veneer from plantation or common species timber as the main raw material, has beneficial development opportunities for forestry from the perspective of an ecological civilization. This paper first discusses China's current state of ecological civilization, then researches the various life cycles of reconstituted decorative lumber using the life cycle theory and provides a reference for the Chinese reconstituted decorative lumber industry's development by analyzing progress in related fields. The eco-friendliness of reconstituted decorative lumber is explained via systematic combing, and proposals for the use and promotion of reconstituted decorative lumber in the new period are presented. Research and analysis findings show that it is necessary to comprehensively regulate the production chain of reconstituted decorative lumber based on life cycle. Research on the development and utilization of reconstituted decorative lumber needs to be strengthened. The promotion and marketing of reconstituted decorative lumber can be promoted by emphasizing its ecological significance.</t>
  </si>
  <si>
    <t>10.15376/biores.17.3.Zhou</t>
  </si>
  <si>
    <t>duplicate data</t>
  </si>
  <si>
    <t>Silviculture for removals</t>
  </si>
  <si>
    <t>Silviculture for productivity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</si>
</sst>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0"/>
    <numFmt numFmtId="166" formatCode="#,##0.000"/>
  </numFmts>
  <fonts count="55">
    <font>
      <sz val="12"/>
      <color theme="1"/>
      <name val="Calibri"/>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2"/>
      <color theme="10"/>
      <name val="Calibri"/>
      <family val="2"/>
      <scheme val="minor"/>
    </font>
    <font>
      <b/>
      <sz val="12"/>
      <color theme="1"/>
      <name val="Calibri"/>
      <family val="2"/>
      <scheme val="minor"/>
    </font>
    <font>
      <sz val="10"/>
      <name val="Arial"/>
      <family val="2"/>
    </font>
    <font>
      <sz val="9"/>
      <color theme="1"/>
      <name val="Calibri"/>
      <family val="2"/>
      <scheme val="minor"/>
    </font>
    <font>
      <sz val="12"/>
      <name val="Calibri"/>
      <family val="2"/>
      <scheme val="minor"/>
    </font>
    <font>
      <b/>
      <sz val="10"/>
      <name val="Arial"/>
      <family val="2"/>
    </font>
    <font>
      <sz val="10"/>
      <color theme="1"/>
      <name val="Arial"/>
      <family val="2"/>
    </font>
    <font>
      <b/>
      <sz val="10"/>
      <color theme="1"/>
      <name val="Arial"/>
      <family val="2"/>
    </font>
    <font>
      <b/>
      <sz val="12"/>
      <color theme="4"/>
      <name val="Calibri"/>
      <family val="2"/>
      <scheme val="minor"/>
    </font>
    <font>
      <sz val="11"/>
      <color theme="1"/>
      <name val="Linux Libertine"/>
    </font>
    <font>
      <sz val="12"/>
      <color indexed="2"/>
      <name val="Calibri"/>
      <family val="2"/>
      <scheme val="minor"/>
    </font>
    <font>
      <sz val="8"/>
      <color theme="1"/>
      <name val="AdvTimes"/>
    </font>
    <font>
      <sz val="12"/>
      <color theme="0" tint="-0.14999847407452621"/>
      <name val="Calibri"/>
      <family val="2"/>
      <scheme val="minor"/>
    </font>
    <font>
      <b/>
      <sz val="12"/>
      <name val="Calibri"/>
      <family val="2"/>
      <scheme val="minor"/>
    </font>
    <font>
      <b/>
      <sz val="12"/>
      <name val="Calibri"/>
      <family val="2"/>
    </font>
    <font>
      <sz val="12"/>
      <name val="Calibri"/>
      <family val="2"/>
    </font>
    <font>
      <sz val="10"/>
      <color theme="0" tint="-0.14999847407452621"/>
      <name val="Arial"/>
      <family val="2"/>
    </font>
    <font>
      <sz val="8.5"/>
      <color rgb="FF131413"/>
      <name val="Times New Roman"/>
      <family val="1"/>
    </font>
    <font>
      <b/>
      <sz val="12"/>
      <color rgb="FF4472C4"/>
      <name val="Calibri"/>
      <family val="2"/>
      <scheme val="minor"/>
    </font>
    <font>
      <sz val="10"/>
      <color indexed="2"/>
      <name val="Arial"/>
      <family val="2"/>
    </font>
    <font>
      <sz val="12"/>
      <color theme="8"/>
      <name val="Calibri"/>
      <family val="2"/>
      <scheme val="minor"/>
    </font>
    <font>
      <sz val="10"/>
      <color theme="8"/>
      <name val="Arial"/>
      <family val="2"/>
    </font>
    <font>
      <b/>
      <sz val="12"/>
      <color theme="8"/>
      <name val="Calibri"/>
      <family val="2"/>
      <scheme val="minor"/>
    </font>
    <font>
      <b/>
      <sz val="11"/>
      <name val="Arial"/>
      <family val="2"/>
    </font>
    <font>
      <u/>
      <sz val="12"/>
      <color theme="1"/>
      <name val="Calibri"/>
      <family val="2"/>
      <scheme val="minor"/>
    </font>
    <font>
      <sz val="12"/>
      <color rgb="FFD9D9D9"/>
      <name val="Calibri"/>
      <family val="2"/>
      <scheme val="minor"/>
    </font>
    <font>
      <sz val="10"/>
      <color theme="1"/>
      <name val="AdvOTc20ddc96"/>
    </font>
    <font>
      <sz val="12"/>
      <color theme="4"/>
      <name val="Calibri"/>
      <family val="2"/>
      <scheme val="minor"/>
    </font>
    <font>
      <sz val="6"/>
      <name val="Helvetica"/>
      <family val="2"/>
    </font>
    <font>
      <sz val="7"/>
      <color theme="1"/>
      <name val="AdvOTc20ddc96"/>
    </font>
    <font>
      <b/>
      <sz val="9"/>
      <name val="Tahoma"/>
      <family val="2"/>
    </font>
    <font>
      <sz val="9"/>
      <name val="Tahoma"/>
      <family val="2"/>
    </font>
    <font>
      <sz val="12"/>
      <color rgb="FFFF0000"/>
      <name val="Calibri"/>
      <family val="2"/>
      <scheme val="minor"/>
    </font>
    <font>
      <sz val="12"/>
      <color rgb="FF000000"/>
      <name val="Calibri"/>
      <family val="2"/>
      <scheme val="minor"/>
    </font>
    <font>
      <b/>
      <sz val="12"/>
      <color rgb="FFFF0000"/>
      <name val="Calibri"/>
      <family val="2"/>
      <scheme val="minor"/>
    </font>
    <font>
      <b/>
      <sz val="9"/>
      <color rgb="FF000000"/>
      <name val="Tahoma"/>
      <family val="2"/>
    </font>
    <font>
      <sz val="9"/>
      <color rgb="FF000000"/>
      <name val="Tahoma"/>
      <family val="2"/>
    </font>
    <font>
      <sz val="11"/>
      <color rgb="FF000000"/>
      <name val="Times"/>
    </font>
    <font>
      <sz val="12"/>
      <color indexed="64"/>
      <name val="Calibri"/>
      <family val="2"/>
      <scheme val="minor"/>
    </font>
    <font>
      <sz val="12"/>
      <color theme="1" tint="4.9989318521683403E-2"/>
      <name val="Calibri"/>
      <family val="2"/>
      <scheme val="minor"/>
    </font>
    <font>
      <b/>
      <sz val="12"/>
      <color indexed="2"/>
      <name val="Calibri"/>
      <family val="2"/>
      <scheme val="minor"/>
    </font>
    <font>
      <sz val="9"/>
      <color theme="1"/>
      <name val="Times"/>
      <family val="1"/>
    </font>
    <font>
      <b/>
      <sz val="9"/>
      <color indexed="81"/>
      <name val="Tahoma"/>
      <family val="2"/>
    </font>
    <font>
      <sz val="9"/>
      <color indexed="81"/>
      <name val="Tahoma"/>
      <family val="2"/>
    </font>
    <font>
      <i/>
      <sz val="12"/>
      <color theme="1"/>
      <name val="Calibri"/>
      <family val="2"/>
      <scheme val="minor"/>
    </font>
    <font>
      <b/>
      <sz val="12"/>
      <color theme="0" tint="-0.14999847407452621"/>
      <name val="Calibri"/>
      <family val="2"/>
      <scheme val="minor"/>
    </font>
  </fonts>
  <fills count="68">
    <fill>
      <patternFill patternType="none"/>
    </fill>
    <fill>
      <patternFill patternType="gray125"/>
    </fill>
    <fill>
      <patternFill patternType="solid">
        <fgColor theme="0" tint="-0.14999847407452621"/>
        <bgColor indexed="65"/>
      </patternFill>
    </fill>
    <fill>
      <patternFill patternType="solid">
        <fgColor theme="7" tint="-0.249977111117893"/>
        <bgColor indexed="65"/>
      </patternFill>
    </fill>
    <fill>
      <patternFill patternType="solid">
        <fgColor rgb="FF90C987"/>
        <bgColor rgb="FF90C987"/>
      </patternFill>
    </fill>
    <fill>
      <patternFill patternType="solid">
        <fgColor rgb="FF90C987"/>
      </patternFill>
    </fill>
    <fill>
      <patternFill patternType="solid">
        <fgColor theme="0" tint="-0.249977111117893"/>
        <bgColor indexed="65"/>
      </patternFill>
    </fill>
    <fill>
      <patternFill patternType="solid">
        <fgColor theme="7" tint="-0.249977111117893"/>
        <bgColor theme="0" tint="-0.14999847407452621"/>
      </patternFill>
    </fill>
    <fill>
      <patternFill patternType="solid">
        <fgColor theme="0" tint="-0.14999847407452621"/>
        <bgColor theme="0" tint="-0.14999847407452621"/>
      </patternFill>
    </fill>
    <fill>
      <patternFill patternType="solid">
        <fgColor rgb="FFCAACCB"/>
        <bgColor rgb="FFF4A736"/>
      </patternFill>
    </fill>
    <fill>
      <patternFill patternType="solid">
        <fgColor rgb="FFCAACCB"/>
        <bgColor rgb="FFCAACCB"/>
      </patternFill>
    </fill>
    <fill>
      <patternFill patternType="solid">
        <fgColor rgb="FF994F88"/>
        <bgColor rgb="FF994F88"/>
      </patternFill>
    </fill>
    <fill>
      <patternFill patternType="solid">
        <fgColor theme="0" tint="-0.14999847407452621"/>
        <bgColor rgb="FFCAACCB"/>
      </patternFill>
    </fill>
    <fill>
      <patternFill patternType="solid">
        <fgColor theme="0" tint="-0.14999847407452621"/>
        <bgColor rgb="FF994F88"/>
      </patternFill>
    </fill>
    <fill>
      <patternFill patternType="solid">
        <fgColor rgb="FFA5170E"/>
        <bgColor rgb="FFA5170E"/>
      </patternFill>
    </fill>
    <fill>
      <patternFill patternType="solid">
        <fgColor rgb="FFC00000"/>
        <bgColor rgb="FFA5170E"/>
      </patternFill>
    </fill>
    <fill>
      <patternFill patternType="solid">
        <fgColor rgb="FFE65518"/>
        <bgColor rgb="FFCAE0AB"/>
      </patternFill>
    </fill>
    <fill>
      <patternFill patternType="solid">
        <fgColor theme="0" tint="-0.14999847407452621"/>
        <bgColor rgb="FFDC050C"/>
      </patternFill>
    </fill>
    <fill>
      <patternFill patternType="solid">
        <fgColor rgb="FF90C987"/>
        <bgColor theme="0" tint="-0.14999847407452621"/>
      </patternFill>
    </fill>
    <fill>
      <patternFill patternType="solid">
        <fgColor theme="0" tint="-0.14999847407452621"/>
        <bgColor rgb="FF90C987"/>
      </patternFill>
    </fill>
    <fill>
      <patternFill patternType="solid">
        <fgColor rgb="FFD9D9D9"/>
        <bgColor rgb="FFD9D9D9"/>
      </patternFill>
    </fill>
    <fill>
      <patternFill patternType="solid">
        <fgColor theme="0" tint="-0.14999847407452621"/>
        <bgColor indexed="5"/>
      </patternFill>
    </fill>
    <fill>
      <patternFill patternType="solid">
        <fgColor rgb="FFCAACCB"/>
        <bgColor rgb="FFF7CB45"/>
      </patternFill>
    </fill>
    <fill>
      <patternFill patternType="solid">
        <fgColor rgb="FFD9CCE3"/>
        <bgColor rgb="FFD9CCE3"/>
      </patternFill>
    </fill>
    <fill>
      <patternFill patternType="solid">
        <fgColor rgb="FFBA8DB4"/>
        <bgColor rgb="FFBA8DB4"/>
      </patternFill>
    </fill>
    <fill>
      <patternFill patternType="solid">
        <fgColor rgb="FF882E72"/>
        <bgColor rgb="FF882E72"/>
      </patternFill>
    </fill>
    <fill>
      <patternFill patternType="solid">
        <fgColor theme="0" tint="-0.14999847407452621"/>
        <bgColor rgb="FFBA8DB4"/>
      </patternFill>
    </fill>
    <fill>
      <patternFill patternType="solid">
        <fgColor theme="0" tint="-0.14999847407452621"/>
        <bgColor rgb="FF882E72"/>
      </patternFill>
    </fill>
    <fill>
      <patternFill patternType="solid">
        <fgColor rgb="FFDC050C"/>
        <bgColor rgb="FFDC050C"/>
      </patternFill>
    </fill>
    <fill>
      <patternFill patternType="solid">
        <fgColor rgb="FF72190E"/>
        <bgColor rgb="FF72190E"/>
      </patternFill>
    </fill>
    <fill>
      <patternFill patternType="solid">
        <fgColor rgb="FFE65518"/>
        <bgColor rgb="FF90C987"/>
      </patternFill>
    </fill>
    <fill>
      <patternFill patternType="solid">
        <fgColor theme="0" tint="-0.14999847407452621"/>
        <bgColor rgb="FFA5170E"/>
      </patternFill>
    </fill>
    <fill>
      <patternFill patternType="solid">
        <fgColor rgb="FFCAE1AB"/>
        <bgColor theme="0" tint="-0.14999847407452621"/>
      </patternFill>
    </fill>
    <fill>
      <patternFill patternType="solid">
        <fgColor rgb="FF4EB265"/>
        <bgColor rgb="FF1965B0"/>
      </patternFill>
    </fill>
    <fill>
      <patternFill patternType="solid">
        <fgColor theme="3" tint="0.79998168889431442"/>
        <bgColor theme="3" tint="0.79998168889431442"/>
      </patternFill>
    </fill>
    <fill>
      <patternFill patternType="solid">
        <fgColor rgb="FFD9CCE3"/>
        <bgColor rgb="FFCAACCB"/>
      </patternFill>
    </fill>
    <fill>
      <patternFill patternType="solid">
        <fgColor rgb="FFCAE0AB"/>
        <bgColor rgb="FFCAE0AB"/>
      </patternFill>
    </fill>
    <fill>
      <patternFill patternType="solid">
        <fgColor theme="0" tint="-0.14999847407452621"/>
        <bgColor rgb="FFCAE0AB"/>
      </patternFill>
    </fill>
    <fill>
      <patternFill patternType="solid">
        <fgColor rgb="FF4EB265"/>
        <bgColor rgb="FF4EB265"/>
      </patternFill>
    </fill>
    <fill>
      <patternFill patternType="solid">
        <fgColor theme="0" tint="-0.249977111117893"/>
        <bgColor rgb="FF90C987"/>
      </patternFill>
    </fill>
    <fill>
      <patternFill patternType="solid">
        <fgColor theme="0" tint="-0.249977111117893"/>
        <bgColor theme="0" tint="-0.14999847407452621"/>
      </patternFill>
    </fill>
    <fill>
      <patternFill patternType="solid">
        <fgColor rgb="FF90C987"/>
        <bgColor rgb="FF4EB265"/>
      </patternFill>
    </fill>
    <fill>
      <patternFill patternType="solid">
        <fgColor indexed="5"/>
      </patternFill>
    </fill>
    <fill>
      <patternFill patternType="solid">
        <fgColor theme="7" tint="-0.249977111117893"/>
        <bgColor indexed="5"/>
      </patternFill>
    </fill>
    <fill>
      <patternFill patternType="solid">
        <fgColor rgb="FFD9D9D9"/>
        <bgColor indexed="5"/>
      </patternFill>
    </fill>
    <fill>
      <patternFill patternType="solid">
        <fgColor rgb="FFD9D9D9"/>
      </patternFill>
    </fill>
    <fill>
      <patternFill patternType="solid">
        <fgColor indexed="5"/>
        <bgColor indexed="5"/>
      </patternFill>
    </fill>
    <fill>
      <patternFill patternType="solid">
        <fgColor rgb="FF777777"/>
        <bgColor rgb="FF777777"/>
      </patternFill>
    </fill>
    <fill>
      <patternFill patternType="solid">
        <fgColor rgb="FF437DBF"/>
        <bgColor rgb="FF437DBF"/>
      </patternFill>
    </fill>
    <fill>
      <patternFill patternType="solid">
        <fgColor rgb="FF7BAFDE"/>
        <bgColor rgb="FF7BAFDE"/>
      </patternFill>
    </fill>
    <fill>
      <patternFill patternType="solid">
        <fgColor rgb="FF1965B0"/>
        <bgColor rgb="FF1965B0"/>
      </patternFill>
    </fill>
    <fill>
      <patternFill patternType="solid">
        <fgColor rgb="FFF4A736"/>
        <bgColor rgb="FFF4A736"/>
      </patternFill>
    </fill>
    <fill>
      <patternFill patternType="solid">
        <fgColor rgb="FFFFC000"/>
      </patternFill>
    </fill>
    <fill>
      <patternFill patternType="solid">
        <fgColor rgb="FF70AD47"/>
      </patternFill>
    </fill>
    <fill>
      <patternFill patternType="solid">
        <fgColor rgb="FF7030A0"/>
      </patternFill>
    </fill>
    <fill>
      <patternFill patternType="solid">
        <fgColor rgb="FFE7E6E6"/>
      </patternFill>
    </fill>
    <fill>
      <patternFill patternType="solid">
        <fgColor rgb="FFC65911"/>
      </patternFill>
    </fill>
    <fill>
      <patternFill patternType="solid">
        <fgColor theme="5" tint="0.79998168889431442"/>
        <bgColor indexed="65"/>
      </patternFill>
    </fill>
    <fill>
      <patternFill patternType="solid">
        <fgColor theme="7" tint="0.79998168889431442"/>
        <bgColor indexed="65"/>
      </patternFill>
    </fill>
    <fill>
      <patternFill patternType="solid">
        <fgColor theme="4" tint="0.79998168889431442"/>
        <bgColor indexed="65"/>
      </patternFill>
    </fill>
    <fill>
      <patternFill patternType="solid">
        <fgColor theme="9" tint="0.79998168889431442"/>
        <bgColor indexed="65"/>
      </patternFill>
    </fill>
    <fill>
      <patternFill patternType="solid">
        <fgColor theme="2"/>
      </patternFill>
    </fill>
    <fill>
      <patternFill patternType="solid">
        <fgColor theme="8" tint="0.79998168889431442"/>
        <bgColor theme="8" tint="0.79998168889431442"/>
      </patternFill>
    </fill>
    <fill>
      <patternFill patternType="solid">
        <fgColor rgb="FFFFFF00"/>
        <bgColor indexed="64"/>
      </patternFill>
    </fill>
    <fill>
      <patternFill patternType="solid">
        <fgColor theme="9" tint="0.39997558519241921"/>
        <bgColor indexed="64"/>
      </patternFill>
    </fill>
    <fill>
      <patternFill patternType="solid">
        <fgColor theme="5"/>
        <bgColor indexed="64"/>
      </patternFill>
    </fill>
    <fill>
      <patternFill patternType="solid">
        <fgColor theme="9"/>
        <bgColor indexed="64"/>
      </patternFill>
    </fill>
    <fill>
      <patternFill patternType="solid">
        <fgColor rgb="FFFFC000"/>
        <bgColor indexed="64"/>
      </patternFill>
    </fill>
  </fills>
  <borders count="24">
    <border>
      <left/>
      <right/>
      <top/>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s>
  <cellStyleXfs count="3">
    <xf numFmtId="0" fontId="0" fillId="0" borderId="0"/>
    <xf numFmtId="0" fontId="9" fillId="0" borderId="0" applyNumberFormat="0" applyFill="0" applyBorder="0" applyProtection="0"/>
    <xf numFmtId="0" fontId="8" fillId="0" borderId="0"/>
  </cellStyleXfs>
  <cellXfs count="344">
    <xf numFmtId="0" fontId="0" fillId="0" borderId="0" xfId="0"/>
    <xf numFmtId="0" fontId="0" fillId="0" borderId="1" xfId="0" applyBorder="1"/>
    <xf numFmtId="0" fontId="0" fillId="0" borderId="2" xfId="0" applyBorder="1"/>
    <xf numFmtId="0" fontId="0" fillId="2" borderId="0" xfId="0" applyFill="1"/>
    <xf numFmtId="0" fontId="0" fillId="2" borderId="2" xfId="0" applyFill="1" applyBorder="1"/>
    <xf numFmtId="0" fontId="0" fillId="0" borderId="3" xfId="0" applyBorder="1"/>
    <xf numFmtId="49" fontId="0" fillId="3" borderId="4" xfId="0" applyNumberFormat="1" applyFill="1" applyBorder="1"/>
    <xf numFmtId="49" fontId="10" fillId="3" borderId="5" xfId="0" applyNumberFormat="1" applyFont="1" applyFill="1" applyBorder="1"/>
    <xf numFmtId="49" fontId="10" fillId="2" borderId="5" xfId="0" applyNumberFormat="1" applyFont="1" applyFill="1" applyBorder="1"/>
    <xf numFmtId="0" fontId="0" fillId="2" borderId="5" xfId="0" applyFill="1" applyBorder="1"/>
    <xf numFmtId="0" fontId="0" fillId="2" borderId="6" xfId="0" applyFill="1" applyBorder="1"/>
    <xf numFmtId="0" fontId="0" fillId="0" borderId="4" xfId="0" applyBorder="1"/>
    <xf numFmtId="0" fontId="0" fillId="0" borderId="5" xfId="0" applyBorder="1"/>
    <xf numFmtId="49" fontId="0" fillId="4" borderId="4" xfId="0" applyNumberFormat="1" applyFill="1" applyBorder="1"/>
    <xf numFmtId="49" fontId="0" fillId="4" borderId="5" xfId="0" applyNumberFormat="1" applyFill="1" applyBorder="1"/>
    <xf numFmtId="0" fontId="0" fillId="5" borderId="5" xfId="0" applyFill="1" applyBorder="1"/>
    <xf numFmtId="0" fontId="0" fillId="5" borderId="6" xfId="0" applyFill="1" applyBorder="1"/>
    <xf numFmtId="0" fontId="0" fillId="6" borderId="4" xfId="0" applyFill="1" applyBorder="1"/>
    <xf numFmtId="0" fontId="0" fillId="6" borderId="5" xfId="0" applyFill="1" applyBorder="1"/>
    <xf numFmtId="0" fontId="0" fillId="6" borderId="6" xfId="0" applyFill="1" applyBorder="1"/>
    <xf numFmtId="0" fontId="0" fillId="0" borderId="7" xfId="0" applyBorder="1"/>
    <xf numFmtId="0" fontId="0" fillId="0" borderId="8" xfId="0" applyBorder="1"/>
    <xf numFmtId="49" fontId="0" fillId="0" borderId="3" xfId="0" applyNumberFormat="1" applyBorder="1"/>
    <xf numFmtId="49" fontId="0" fillId="7" borderId="9" xfId="0" applyNumberFormat="1" applyFill="1" applyBorder="1"/>
    <xf numFmtId="49" fontId="0" fillId="7" borderId="3" xfId="0" applyNumberFormat="1" applyFill="1" applyBorder="1"/>
    <xf numFmtId="49" fontId="0" fillId="8" borderId="3" xfId="0" applyNumberFormat="1" applyFill="1" applyBorder="1"/>
    <xf numFmtId="49" fontId="0" fillId="2" borderId="3" xfId="0" applyNumberFormat="1" applyFill="1" applyBorder="1" applyAlignment="1">
      <alignment wrapText="1"/>
    </xf>
    <xf numFmtId="49" fontId="0" fillId="2" borderId="10" xfId="0" applyNumberFormat="1" applyFill="1" applyBorder="1" applyAlignment="1">
      <alignment wrapText="1"/>
    </xf>
    <xf numFmtId="49" fontId="0" fillId="9" borderId="9" xfId="0" applyNumberFormat="1" applyFill="1" applyBorder="1"/>
    <xf numFmtId="49" fontId="0" fillId="9" borderId="3" xfId="0" applyNumberFormat="1" applyFill="1" applyBorder="1"/>
    <xf numFmtId="49" fontId="0" fillId="10" borderId="3" xfId="0" applyNumberFormat="1" applyFill="1" applyBorder="1"/>
    <xf numFmtId="49" fontId="11" fillId="11" borderId="3" xfId="0" applyNumberFormat="1" applyFont="1" applyFill="1" applyBorder="1" applyAlignment="1">
      <alignment wrapText="1"/>
    </xf>
    <xf numFmtId="49" fontId="0" fillId="12" borderId="3" xfId="0" applyNumberFormat="1" applyFill="1" applyBorder="1"/>
    <xf numFmtId="49" fontId="11" fillId="13" borderId="3" xfId="0" applyNumberFormat="1" applyFont="1" applyFill="1" applyBorder="1" applyAlignment="1">
      <alignment wrapText="1"/>
    </xf>
    <xf numFmtId="49" fontId="11" fillId="13" borderId="10" xfId="0" applyNumberFormat="1" applyFont="1" applyFill="1" applyBorder="1" applyAlignment="1">
      <alignment wrapText="1"/>
    </xf>
    <xf numFmtId="49" fontId="0" fillId="14" borderId="9" xfId="0" applyNumberFormat="1" applyFill="1" applyBorder="1"/>
    <xf numFmtId="49" fontId="0" fillId="14" borderId="3" xfId="0" applyNumberFormat="1" applyFill="1" applyBorder="1"/>
    <xf numFmtId="49" fontId="0" fillId="15" borderId="3" xfId="0" applyNumberFormat="1" applyFill="1" applyBorder="1"/>
    <xf numFmtId="49" fontId="12" fillId="16" borderId="3" xfId="0" applyNumberFormat="1" applyFont="1" applyFill="1" applyBorder="1"/>
    <xf numFmtId="49" fontId="10" fillId="17" borderId="3" xfId="0" applyNumberFormat="1" applyFont="1" applyFill="1" applyBorder="1" applyAlignment="1">
      <alignment wrapText="1"/>
    </xf>
    <xf numFmtId="49" fontId="10" fillId="17" borderId="10" xfId="0" applyNumberFormat="1" applyFont="1" applyFill="1" applyBorder="1" applyAlignment="1">
      <alignment wrapText="1"/>
    </xf>
    <xf numFmtId="49" fontId="0" fillId="18" borderId="9" xfId="0" applyNumberFormat="1" applyFill="1" applyBorder="1"/>
    <xf numFmtId="49" fontId="0" fillId="18" borderId="3" xfId="0" applyNumberFormat="1" applyFill="1" applyBorder="1"/>
    <xf numFmtId="49" fontId="0" fillId="19" borderId="3" xfId="0" applyNumberFormat="1" applyFill="1" applyBorder="1"/>
    <xf numFmtId="49" fontId="0" fillId="4" borderId="3" xfId="0" applyNumberFormat="1" applyFill="1" applyBorder="1"/>
    <xf numFmtId="49" fontId="0" fillId="4" borderId="10" xfId="0" applyNumberFormat="1" applyFill="1" applyBorder="1"/>
    <xf numFmtId="49" fontId="0" fillId="6" borderId="9" xfId="0" applyNumberFormat="1" applyFill="1" applyBorder="1"/>
    <xf numFmtId="49" fontId="0" fillId="6" borderId="3" xfId="0" applyNumberFormat="1" applyFill="1" applyBorder="1"/>
    <xf numFmtId="49" fontId="0" fillId="6" borderId="10" xfId="0" applyNumberFormat="1" applyFill="1" applyBorder="1"/>
    <xf numFmtId="49" fontId="13" fillId="20" borderId="7" xfId="0" applyNumberFormat="1" applyFont="1" applyFill="1" applyBorder="1"/>
    <xf numFmtId="49" fontId="13" fillId="20" borderId="3" xfId="0" applyNumberFormat="1" applyFont="1" applyFill="1" applyBorder="1"/>
    <xf numFmtId="49" fontId="0" fillId="0" borderId="8" xfId="0" applyNumberFormat="1" applyBorder="1" applyAlignment="1">
      <alignment wrapText="1"/>
    </xf>
    <xf numFmtId="49" fontId="0" fillId="0" borderId="7" xfId="0" applyNumberFormat="1" applyBorder="1"/>
    <xf numFmtId="49" fontId="0" fillId="11" borderId="3" xfId="0" applyNumberFormat="1" applyFill="1" applyBorder="1"/>
    <xf numFmtId="49" fontId="0" fillId="3" borderId="9" xfId="0" applyNumberFormat="1" applyFill="1" applyBorder="1" applyAlignment="1">
      <alignment horizontal="center"/>
    </xf>
    <xf numFmtId="49" fontId="0" fillId="3" borderId="3" xfId="0" applyNumberFormat="1" applyFill="1" applyBorder="1" applyAlignment="1">
      <alignment horizontal="center"/>
    </xf>
    <xf numFmtId="49" fontId="0" fillId="3" borderId="3" xfId="0" applyNumberFormat="1" applyFill="1" applyBorder="1" applyAlignment="1">
      <alignment wrapText="1"/>
    </xf>
    <xf numFmtId="49" fontId="0" fillId="21" borderId="3" xfId="0" applyNumberFormat="1" applyFill="1" applyBorder="1" applyAlignment="1">
      <alignment horizontal="center" wrapText="1"/>
    </xf>
    <xf numFmtId="49" fontId="11" fillId="21" borderId="3" xfId="0" applyNumberFormat="1" applyFont="1" applyFill="1" applyBorder="1" applyAlignment="1">
      <alignment wrapText="1"/>
    </xf>
    <xf numFmtId="49" fontId="0" fillId="2" borderId="3" xfId="0" applyNumberFormat="1" applyFill="1" applyBorder="1"/>
    <xf numFmtId="49" fontId="0" fillId="2" borderId="10" xfId="0" applyNumberFormat="1" applyFill="1" applyBorder="1"/>
    <xf numFmtId="49" fontId="0" fillId="22" borderId="9" xfId="0" applyNumberFormat="1" applyFill="1" applyBorder="1"/>
    <xf numFmtId="49" fontId="0" fillId="22" borderId="3" xfId="0" applyNumberFormat="1" applyFill="1" applyBorder="1"/>
    <xf numFmtId="49" fontId="0" fillId="22" borderId="3" xfId="0" applyNumberFormat="1" applyFill="1" applyBorder="1" applyAlignment="1">
      <alignment wrapText="1"/>
    </xf>
    <xf numFmtId="49" fontId="11" fillId="23" borderId="3" xfId="0" applyNumberFormat="1" applyFont="1" applyFill="1" applyBorder="1" applyAlignment="1">
      <alignment wrapText="1"/>
    </xf>
    <xf numFmtId="49" fontId="11" fillId="10" borderId="3" xfId="0" applyNumberFormat="1" applyFont="1" applyFill="1" applyBorder="1" applyAlignment="1">
      <alignment wrapText="1"/>
    </xf>
    <xf numFmtId="49" fontId="14" fillId="24" borderId="3" xfId="0" applyNumberFormat="1" applyFont="1" applyFill="1" applyBorder="1" applyAlignment="1">
      <alignment wrapText="1"/>
    </xf>
    <xf numFmtId="49" fontId="11" fillId="25" borderId="3" xfId="0" applyNumberFormat="1" applyFont="1" applyFill="1" applyBorder="1" applyAlignment="1">
      <alignment wrapText="1"/>
    </xf>
    <xf numFmtId="49" fontId="11" fillId="8" borderId="3" xfId="0" applyNumberFormat="1" applyFont="1" applyFill="1" applyBorder="1" applyAlignment="1">
      <alignment wrapText="1"/>
    </xf>
    <xf numFmtId="49" fontId="14" fillId="26" borderId="3" xfId="0" applyNumberFormat="1" applyFont="1" applyFill="1" applyBorder="1" applyAlignment="1">
      <alignment wrapText="1"/>
    </xf>
    <xf numFmtId="49" fontId="11" fillId="27" borderId="3" xfId="0" applyNumberFormat="1" applyFont="1" applyFill="1" applyBorder="1" applyAlignment="1">
      <alignment wrapText="1"/>
    </xf>
    <xf numFmtId="49" fontId="11" fillId="27" borderId="10" xfId="0" applyNumberFormat="1" applyFont="1" applyFill="1" applyBorder="1" applyAlignment="1">
      <alignment wrapText="1"/>
    </xf>
    <xf numFmtId="49" fontId="10" fillId="28" borderId="9" xfId="0" applyNumberFormat="1" applyFont="1" applyFill="1" applyBorder="1" applyAlignment="1">
      <alignment wrapText="1"/>
    </xf>
    <xf numFmtId="49" fontId="10" fillId="28" borderId="3" xfId="0" applyNumberFormat="1" applyFont="1" applyFill="1" applyBorder="1" applyAlignment="1">
      <alignment wrapText="1"/>
    </xf>
    <xf numFmtId="49" fontId="0" fillId="14" borderId="3" xfId="0" applyNumberFormat="1" applyFill="1" applyBorder="1" applyAlignment="1">
      <alignment wrapText="1"/>
    </xf>
    <xf numFmtId="49" fontId="0" fillId="29" borderId="3" xfId="0" applyNumberFormat="1" applyFill="1" applyBorder="1" applyAlignment="1">
      <alignment wrapText="1"/>
    </xf>
    <xf numFmtId="49" fontId="0" fillId="30" borderId="3" xfId="0" applyNumberFormat="1" applyFill="1" applyBorder="1"/>
    <xf numFmtId="49" fontId="0" fillId="31" borderId="3" xfId="0" applyNumberFormat="1" applyFill="1" applyBorder="1"/>
    <xf numFmtId="49" fontId="0" fillId="31" borderId="10" xfId="0" applyNumberFormat="1" applyFill="1" applyBorder="1"/>
    <xf numFmtId="49" fontId="0" fillId="18" borderId="9" xfId="0" applyNumberFormat="1" applyFill="1" applyBorder="1" applyAlignment="1">
      <alignment wrapText="1"/>
    </xf>
    <xf numFmtId="49" fontId="0" fillId="18" borderId="3" xfId="0" applyNumberFormat="1" applyFill="1" applyBorder="1" applyAlignment="1">
      <alignment wrapText="1"/>
    </xf>
    <xf numFmtId="49" fontId="0" fillId="8" borderId="3" xfId="0" applyNumberFormat="1" applyFill="1" applyBorder="1" applyAlignment="1">
      <alignment wrapText="1"/>
    </xf>
    <xf numFmtId="49" fontId="0" fillId="32" borderId="3" xfId="0" applyNumberFormat="1" applyFill="1" applyBorder="1"/>
    <xf numFmtId="49" fontId="14" fillId="4" borderId="3" xfId="0" applyNumberFormat="1" applyFont="1" applyFill="1" applyBorder="1" applyAlignment="1">
      <alignment wrapText="1"/>
    </xf>
    <xf numFmtId="49" fontId="11" fillId="33" borderId="3" xfId="0" applyNumberFormat="1" applyFont="1" applyFill="1" applyBorder="1" applyAlignment="1">
      <alignment wrapText="1"/>
    </xf>
    <xf numFmtId="49" fontId="11" fillId="33" borderId="10" xfId="0" applyNumberFormat="1" applyFont="1" applyFill="1" applyBorder="1" applyAlignment="1">
      <alignment wrapText="1"/>
    </xf>
    <xf numFmtId="49" fontId="0" fillId="34" borderId="7" xfId="0" applyNumberFormat="1" applyFill="1" applyBorder="1"/>
    <xf numFmtId="49" fontId="0" fillId="34" borderId="3" xfId="0" applyNumberFormat="1" applyFill="1" applyBorder="1"/>
    <xf numFmtId="49" fontId="0" fillId="0" borderId="8" xfId="0" applyNumberFormat="1" applyBorder="1"/>
    <xf numFmtId="49" fontId="0" fillId="35" borderId="3" xfId="0" applyNumberFormat="1" applyFill="1" applyBorder="1"/>
    <xf numFmtId="49" fontId="0" fillId="24" borderId="3" xfId="0" applyNumberFormat="1" applyFill="1" applyBorder="1"/>
    <xf numFmtId="49" fontId="13" fillId="25" borderId="3" xfId="0" applyNumberFormat="1" applyFont="1" applyFill="1" applyBorder="1"/>
    <xf numFmtId="49" fontId="12" fillId="36" borderId="3" xfId="0" applyNumberFormat="1" applyFont="1" applyFill="1" applyBorder="1"/>
    <xf numFmtId="49" fontId="14" fillId="19" borderId="3" xfId="0" applyNumberFormat="1" applyFont="1" applyFill="1" applyBorder="1" applyAlignment="1">
      <alignment wrapText="1"/>
    </xf>
    <xf numFmtId="49" fontId="0" fillId="36" borderId="3" xfId="0" applyNumberFormat="1" applyFill="1" applyBorder="1"/>
    <xf numFmtId="49" fontId="0" fillId="37" borderId="3" xfId="0" applyNumberFormat="1" applyFill="1" applyBorder="1"/>
    <xf numFmtId="49" fontId="0" fillId="38" borderId="3" xfId="0" applyNumberFormat="1" applyFill="1" applyBorder="1"/>
    <xf numFmtId="49" fontId="0" fillId="38" borderId="10" xfId="0" applyNumberFormat="1" applyFill="1" applyBorder="1"/>
    <xf numFmtId="49" fontId="0" fillId="39" borderId="3" xfId="0" applyNumberFormat="1" applyFill="1" applyBorder="1"/>
    <xf numFmtId="49" fontId="0" fillId="40" borderId="3" xfId="0" applyNumberFormat="1" applyFill="1" applyBorder="1"/>
    <xf numFmtId="49" fontId="14" fillId="41" borderId="3" xfId="0" applyNumberFormat="1" applyFont="1" applyFill="1" applyBorder="1" applyAlignment="1">
      <alignment wrapText="1"/>
    </xf>
    <xf numFmtId="0" fontId="0" fillId="6" borderId="3" xfId="0" applyFill="1" applyBorder="1"/>
    <xf numFmtId="0" fontId="0" fillId="6" borderId="10" xfId="0" applyFill="1" applyBorder="1"/>
    <xf numFmtId="49" fontId="0" fillId="42" borderId="7" xfId="0" applyNumberFormat="1" applyFill="1" applyBorder="1"/>
    <xf numFmtId="49" fontId="0" fillId="0" borderId="3" xfId="0" applyNumberFormat="1" applyBorder="1" applyAlignment="1">
      <alignment wrapText="1"/>
    </xf>
    <xf numFmtId="49" fontId="15" fillId="3" borderId="9" xfId="0" applyNumberFormat="1" applyFont="1" applyFill="1" applyBorder="1" applyAlignment="1">
      <alignment horizontal="center" vertical="top" textRotation="90"/>
    </xf>
    <xf numFmtId="49" fontId="15" fillId="3" borderId="3" xfId="0" applyNumberFormat="1" applyFont="1" applyFill="1" applyBorder="1" applyAlignment="1">
      <alignment horizontal="center" vertical="top" textRotation="90"/>
    </xf>
    <xf numFmtId="49" fontId="16" fillId="3" borderId="3" xfId="0" applyNumberFormat="1" applyFont="1" applyFill="1" applyBorder="1" applyAlignment="1">
      <alignment horizontal="center" vertical="top" textRotation="90"/>
    </xf>
    <xf numFmtId="49" fontId="15" fillId="43" borderId="3" xfId="0" applyNumberFormat="1" applyFont="1" applyFill="1" applyBorder="1" applyAlignment="1">
      <alignment horizontal="center" vertical="top" textRotation="90"/>
    </xf>
    <xf numFmtId="49" fontId="15" fillId="7" borderId="3" xfId="0" applyNumberFormat="1" applyFont="1" applyFill="1" applyBorder="1" applyAlignment="1">
      <alignment horizontal="center" vertical="top" textRotation="90"/>
    </xf>
    <xf numFmtId="49" fontId="0" fillId="0" borderId="3" xfId="0" applyNumberFormat="1" applyBorder="1" applyAlignment="1">
      <alignment horizontal="center" vertical="top" textRotation="90" wrapText="1"/>
    </xf>
    <xf numFmtId="49" fontId="11" fillId="44" borderId="3" xfId="0" applyNumberFormat="1" applyFont="1" applyFill="1" applyBorder="1" applyAlignment="1">
      <alignment horizontal="center" vertical="top" textRotation="90"/>
    </xf>
    <xf numFmtId="49" fontId="11" fillId="45" borderId="3" xfId="0" applyNumberFormat="1" applyFont="1" applyFill="1" applyBorder="1" applyAlignment="1">
      <alignment horizontal="center" vertical="top" textRotation="90"/>
    </xf>
    <xf numFmtId="49" fontId="15" fillId="2" borderId="3" xfId="0" applyNumberFormat="1" applyFont="1" applyFill="1" applyBorder="1" applyAlignment="1">
      <alignment horizontal="center" vertical="top" textRotation="90"/>
    </xf>
    <xf numFmtId="49" fontId="15" fillId="2" borderId="10" xfId="0" applyNumberFormat="1" applyFont="1" applyFill="1" applyBorder="1" applyAlignment="1">
      <alignment horizontal="center" vertical="top" textRotation="90"/>
    </xf>
    <xf numFmtId="49" fontId="0" fillId="0" borderId="9" xfId="0" applyNumberFormat="1" applyBorder="1" applyAlignment="1">
      <alignment horizontal="center" vertical="top" textRotation="90"/>
    </xf>
    <xf numFmtId="49" fontId="0" fillId="0" borderId="3" xfId="0" applyNumberFormat="1" applyBorder="1" applyAlignment="1">
      <alignment horizontal="center" vertical="top" textRotation="90"/>
    </xf>
    <xf numFmtId="49" fontId="10" fillId="0" borderId="3" xfId="0" applyNumberFormat="1" applyFont="1" applyBorder="1" applyAlignment="1">
      <alignment horizontal="center" vertical="top" textRotation="90" wrapText="1"/>
    </xf>
    <xf numFmtId="49" fontId="15" fillId="0" borderId="3" xfId="0" applyNumberFormat="1" applyFont="1" applyBorder="1" applyAlignment="1">
      <alignment horizontal="center" vertical="top" textRotation="90"/>
    </xf>
    <xf numFmtId="49" fontId="16" fillId="0" borderId="3" xfId="0" applyNumberFormat="1" applyFont="1" applyBorder="1" applyAlignment="1">
      <alignment horizontal="center" vertical="top" textRotation="90"/>
    </xf>
    <xf numFmtId="49" fontId="16" fillId="2" borderId="3" xfId="0" applyNumberFormat="1" applyFont="1" applyFill="1" applyBorder="1" applyAlignment="1">
      <alignment horizontal="center" vertical="top" textRotation="90"/>
    </xf>
    <xf numFmtId="49" fontId="16" fillId="21" borderId="3" xfId="0" applyNumberFormat="1" applyFont="1" applyFill="1" applyBorder="1" applyAlignment="1">
      <alignment horizontal="center" vertical="top" textRotation="90"/>
    </xf>
    <xf numFmtId="49" fontId="14" fillId="0" borderId="9" xfId="0" applyNumberFormat="1" applyFont="1" applyBorder="1" applyAlignment="1">
      <alignment horizontal="center" vertical="top" textRotation="90" wrapText="1"/>
    </xf>
    <xf numFmtId="49" fontId="11" fillId="0" borderId="3" xfId="0" applyNumberFormat="1" applyFont="1" applyBorder="1" applyAlignment="1">
      <alignment horizontal="center" vertical="top" textRotation="90" wrapText="1"/>
    </xf>
    <xf numFmtId="49" fontId="14" fillId="0" borderId="3" xfId="0" applyNumberFormat="1" applyFont="1" applyBorder="1" applyAlignment="1">
      <alignment horizontal="center" vertical="top" textRotation="90" wrapText="1"/>
    </xf>
    <xf numFmtId="49" fontId="14" fillId="46" borderId="3" xfId="0" applyNumberFormat="1" applyFont="1" applyFill="1" applyBorder="1" applyAlignment="1">
      <alignment horizontal="center" vertical="top" textRotation="90" wrapText="1"/>
    </xf>
    <xf numFmtId="49" fontId="14" fillId="2" borderId="3" xfId="0" applyNumberFormat="1" applyFont="1" applyFill="1" applyBorder="1" applyAlignment="1">
      <alignment horizontal="center" vertical="top" textRotation="90" wrapText="1"/>
    </xf>
    <xf numFmtId="49" fontId="11" fillId="2" borderId="3" xfId="0" applyNumberFormat="1" applyFont="1" applyFill="1" applyBorder="1" applyAlignment="1">
      <alignment horizontal="center" vertical="top" textRotation="90" wrapText="1"/>
    </xf>
    <xf numFmtId="49" fontId="15" fillId="0" borderId="9" xfId="0" applyNumberFormat="1" applyFont="1" applyBorder="1" applyAlignment="1">
      <alignment horizontal="center" vertical="top" textRotation="90"/>
    </xf>
    <xf numFmtId="49" fontId="10" fillId="2" borderId="3" xfId="0" applyNumberFormat="1" applyFont="1" applyFill="1" applyBorder="1" applyAlignment="1">
      <alignment horizontal="center" vertical="top" textRotation="90" wrapText="1"/>
    </xf>
    <xf numFmtId="49" fontId="15" fillId="6" borderId="3" xfId="0" applyNumberFormat="1" applyFont="1" applyFill="1" applyBorder="1" applyAlignment="1">
      <alignment horizontal="center" vertical="top" textRotation="90"/>
    </xf>
    <xf numFmtId="49" fontId="15" fillId="42" borderId="3" xfId="0" applyNumberFormat="1" applyFont="1" applyFill="1" applyBorder="1" applyAlignment="1">
      <alignment horizontal="center" vertical="top" textRotation="90"/>
    </xf>
    <xf numFmtId="49" fontId="15" fillId="0" borderId="10" xfId="0" applyNumberFormat="1" applyFont="1" applyBorder="1" applyAlignment="1">
      <alignment horizontal="center" vertical="top" textRotation="90"/>
    </xf>
    <xf numFmtId="49" fontId="0" fillId="6" borderId="9" xfId="0" applyNumberFormat="1" applyFill="1" applyBorder="1" applyAlignment="1">
      <alignment wrapText="1"/>
    </xf>
    <xf numFmtId="49" fontId="0" fillId="6" borderId="3" xfId="0" applyNumberFormat="1" applyFill="1" applyBorder="1" applyAlignment="1">
      <alignment wrapText="1"/>
    </xf>
    <xf numFmtId="49" fontId="0" fillId="6" borderId="10" xfId="0" applyNumberFormat="1" applyFill="1" applyBorder="1" applyAlignment="1">
      <alignment wrapText="1"/>
    </xf>
    <xf numFmtId="49" fontId="15" fillId="0" borderId="7" xfId="0" applyNumberFormat="1" applyFont="1" applyBorder="1" applyAlignment="1">
      <alignment horizontal="center" vertical="top" textRotation="90"/>
    </xf>
    <xf numFmtId="49" fontId="15" fillId="0" borderId="8" xfId="0" applyNumberFormat="1" applyFont="1" applyBorder="1" applyAlignment="1">
      <alignment horizontal="center" vertical="top" textRotation="90"/>
    </xf>
    <xf numFmtId="49" fontId="0" fillId="42" borderId="7" xfId="0" applyNumberFormat="1" applyFill="1" applyBorder="1" applyAlignment="1">
      <alignment wrapText="1"/>
    </xf>
    <xf numFmtId="49" fontId="15" fillId="0" borderId="0" xfId="0" applyNumberFormat="1" applyFont="1" applyAlignment="1">
      <alignment horizontal="center" vertical="top" textRotation="90"/>
    </xf>
    <xf numFmtId="0" fontId="17" fillId="0" borderId="0" xfId="0" applyFont="1"/>
    <xf numFmtId="0" fontId="13" fillId="0" borderId="0" xfId="0" applyFont="1"/>
    <xf numFmtId="0" fontId="10" fillId="0" borderId="1" xfId="0" applyFont="1" applyBorder="1"/>
    <xf numFmtId="0" fontId="10" fillId="0" borderId="0" xfId="0" applyFont="1"/>
    <xf numFmtId="4" fontId="0" fillId="0" borderId="0" xfId="0" applyNumberFormat="1"/>
    <xf numFmtId="0" fontId="15" fillId="0" borderId="0" xfId="0" applyFont="1"/>
    <xf numFmtId="0" fontId="18" fillId="0" borderId="0" xfId="0" applyFont="1" applyAlignment="1">
      <alignment vertical="center"/>
    </xf>
    <xf numFmtId="49" fontId="0" fillId="34" borderId="0" xfId="0" applyNumberFormat="1" applyFill="1"/>
    <xf numFmtId="2" fontId="0" fillId="0" borderId="0" xfId="0" applyNumberFormat="1" applyAlignment="1">
      <alignment horizontal="center" vertical="center"/>
    </xf>
    <xf numFmtId="49" fontId="0" fillId="0" borderId="0" xfId="0" applyNumberFormat="1"/>
    <xf numFmtId="0" fontId="9" fillId="0" borderId="0" xfId="1"/>
    <xf numFmtId="0" fontId="19" fillId="0" borderId="0" xfId="0" applyFont="1"/>
    <xf numFmtId="2" fontId="0" fillId="0" borderId="0" xfId="0" applyNumberFormat="1"/>
    <xf numFmtId="49" fontId="0" fillId="14" borderId="0" xfId="0" applyNumberFormat="1" applyFill="1" applyAlignment="1">
      <alignment wrapText="1"/>
    </xf>
    <xf numFmtId="49" fontId="0" fillId="0" borderId="1" xfId="0" applyNumberFormat="1" applyBorder="1"/>
    <xf numFmtId="49" fontId="0" fillId="0" borderId="0" xfId="0" applyNumberFormat="1" applyAlignment="1">
      <alignment wrapText="1"/>
    </xf>
    <xf numFmtId="0" fontId="20" fillId="0" borderId="0" xfId="0" applyFont="1"/>
    <xf numFmtId="0" fontId="21" fillId="0" borderId="0" xfId="0" applyFont="1"/>
    <xf numFmtId="3" fontId="22" fillId="0" borderId="0" xfId="0" applyNumberFormat="1" applyFont="1"/>
    <xf numFmtId="3" fontId="10" fillId="0" borderId="0" xfId="0" applyNumberFormat="1" applyFont="1"/>
    <xf numFmtId="49" fontId="10" fillId="0" borderId="0" xfId="0" applyNumberFormat="1" applyFont="1" applyAlignment="1">
      <alignment wrapText="1"/>
    </xf>
    <xf numFmtId="49" fontId="0" fillId="0" borderId="0" xfId="0" applyNumberFormat="1" applyAlignment="1">
      <alignment horizontal="center" wrapText="1"/>
    </xf>
    <xf numFmtId="49" fontId="0" fillId="0" borderId="1" xfId="0" applyNumberFormat="1" applyBorder="1" applyAlignment="1">
      <alignment wrapText="1"/>
    </xf>
    <xf numFmtId="0" fontId="22" fillId="0" borderId="0" xfId="0" applyFont="1"/>
    <xf numFmtId="0" fontId="23" fillId="0" borderId="1" xfId="0" applyFont="1" applyBorder="1" applyAlignment="1">
      <alignment horizontal="left"/>
    </xf>
    <xf numFmtId="0" fontId="24" fillId="0" borderId="0" xfId="0" applyFont="1" applyAlignment="1">
      <alignment horizontal="left"/>
    </xf>
    <xf numFmtId="0" fontId="23" fillId="0" borderId="0" xfId="0" applyFont="1" applyAlignment="1">
      <alignment horizontal="left"/>
    </xf>
    <xf numFmtId="11" fontId="24" fillId="0" borderId="0" xfId="0" applyNumberFormat="1" applyFont="1" applyAlignment="1">
      <alignment horizontal="right"/>
    </xf>
    <xf numFmtId="0" fontId="23" fillId="0" borderId="0" xfId="0" applyFont="1" applyAlignment="1">
      <alignment horizontal="right"/>
    </xf>
    <xf numFmtId="11" fontId="0" fillId="0" borderId="0" xfId="0" applyNumberFormat="1"/>
    <xf numFmtId="11" fontId="13" fillId="0" borderId="0" xfId="0" applyNumberFormat="1" applyFont="1"/>
    <xf numFmtId="0" fontId="25" fillId="0" borderId="0" xfId="0" applyFont="1"/>
    <xf numFmtId="2" fontId="26" fillId="0" borderId="0" xfId="0" applyNumberFormat="1" applyFont="1" applyAlignment="1">
      <alignment horizontal="left" vertical="center" wrapText="1" indent="2"/>
    </xf>
    <xf numFmtId="0" fontId="22" fillId="0" borderId="1" xfId="0" applyFont="1" applyBorder="1"/>
    <xf numFmtId="0" fontId="13" fillId="0" borderId="1" xfId="0" applyFont="1" applyBorder="1"/>
    <xf numFmtId="0" fontId="27" fillId="0" borderId="0" xfId="0" applyFont="1"/>
    <xf numFmtId="3" fontId="13" fillId="0" borderId="0" xfId="0" applyNumberFormat="1" applyFont="1"/>
    <xf numFmtId="0" fontId="13" fillId="0" borderId="2" xfId="0" applyFont="1" applyBorder="1"/>
    <xf numFmtId="49" fontId="10" fillId="0" borderId="1" xfId="0" applyNumberFormat="1" applyFont="1" applyBorder="1" applyAlignment="1">
      <alignment wrapText="1"/>
    </xf>
    <xf numFmtId="1" fontId="0" fillId="0" borderId="0" xfId="0" applyNumberFormat="1"/>
    <xf numFmtId="49" fontId="11" fillId="0" borderId="0" xfId="0" applyNumberFormat="1" applyFont="1" applyAlignment="1">
      <alignment wrapText="1"/>
    </xf>
    <xf numFmtId="0" fontId="28" fillId="0" borderId="0" xfId="0" applyFont="1"/>
    <xf numFmtId="49" fontId="15" fillId="0" borderId="1" xfId="0" applyNumberFormat="1" applyFont="1" applyBorder="1" applyAlignment="1">
      <alignment horizontal="center" vertical="top" textRotation="90"/>
    </xf>
    <xf numFmtId="9" fontId="10" fillId="0" borderId="0" xfId="0" applyNumberFormat="1" applyFont="1"/>
    <xf numFmtId="0" fontId="0" fillId="0" borderId="0" xfId="0" applyAlignment="1">
      <alignment wrapText="1"/>
    </xf>
    <xf numFmtId="0" fontId="29" fillId="0" borderId="0" xfId="0" applyFont="1"/>
    <xf numFmtId="0" fontId="29" fillId="0" borderId="1" xfId="0" applyFont="1" applyBorder="1"/>
    <xf numFmtId="0" fontId="30" fillId="0" borderId="0" xfId="0" applyFont="1"/>
    <xf numFmtId="0" fontId="29" fillId="0" borderId="2" xfId="0" applyFont="1" applyBorder="1"/>
    <xf numFmtId="4" fontId="29" fillId="0" borderId="0" xfId="0" applyNumberFormat="1" applyFont="1"/>
    <xf numFmtId="0" fontId="29" fillId="0" borderId="0" xfId="0" applyFont="1" applyAlignment="1">
      <alignment wrapText="1"/>
    </xf>
    <xf numFmtId="0" fontId="31" fillId="0" borderId="0" xfId="0" applyFont="1"/>
    <xf numFmtId="0" fontId="32" fillId="0" borderId="0" xfId="0" applyFont="1"/>
    <xf numFmtId="49" fontId="11" fillId="0" borderId="0" xfId="0" applyNumberFormat="1" applyFont="1"/>
    <xf numFmtId="49" fontId="10" fillId="0" borderId="1" xfId="0" applyNumberFormat="1" applyFont="1" applyBorder="1"/>
    <xf numFmtId="49" fontId="10" fillId="0" borderId="0" xfId="0" applyNumberFormat="1" applyFont="1"/>
    <xf numFmtId="0" fontId="10" fillId="0" borderId="2" xfId="0" applyFont="1" applyBorder="1"/>
    <xf numFmtId="0" fontId="0" fillId="0" borderId="0" xfId="0" quotePrefix="1"/>
    <xf numFmtId="3" fontId="0" fillId="0" borderId="0" xfId="0" applyNumberFormat="1"/>
    <xf numFmtId="0" fontId="0" fillId="46" borderId="0" xfId="0" applyFill="1"/>
    <xf numFmtId="49" fontId="0" fillId="47" borderId="0" xfId="0" applyNumberFormat="1" applyFill="1"/>
    <xf numFmtId="0" fontId="33" fillId="0" borderId="0" xfId="0" applyFont="1"/>
    <xf numFmtId="49" fontId="0" fillId="4" borderId="0" xfId="0" applyNumberFormat="1" applyFill="1"/>
    <xf numFmtId="49" fontId="0" fillId="36" borderId="0" xfId="0" applyNumberFormat="1" applyFill="1"/>
    <xf numFmtId="49" fontId="0" fillId="48" borderId="0" xfId="0" applyNumberFormat="1" applyFill="1"/>
    <xf numFmtId="49" fontId="0" fillId="49" borderId="0" xfId="0" applyNumberFormat="1" applyFill="1"/>
    <xf numFmtId="49" fontId="0" fillId="50" borderId="0" xfId="0" applyNumberFormat="1" applyFill="1"/>
    <xf numFmtId="49" fontId="0" fillId="10" borderId="0" xfId="0" applyNumberFormat="1" applyFill="1"/>
    <xf numFmtId="49" fontId="0" fillId="23" borderId="0" xfId="0" applyNumberFormat="1" applyFill="1"/>
    <xf numFmtId="49" fontId="0" fillId="24" borderId="0" xfId="0" applyNumberFormat="1" applyFill="1"/>
    <xf numFmtId="49" fontId="0" fillId="11" borderId="0" xfId="0" applyNumberFormat="1" applyFill="1"/>
    <xf numFmtId="49" fontId="0" fillId="25" borderId="0" xfId="0" applyNumberFormat="1" applyFill="1"/>
    <xf numFmtId="49" fontId="0" fillId="51" borderId="0" xfId="0" applyNumberFormat="1" applyFill="1"/>
    <xf numFmtId="49" fontId="0" fillId="28" borderId="0" xfId="0" applyNumberFormat="1" applyFill="1"/>
    <xf numFmtId="49" fontId="0" fillId="14" borderId="0" xfId="0" applyNumberFormat="1" applyFill="1"/>
    <xf numFmtId="49" fontId="0" fillId="29" borderId="0" xfId="0" applyNumberFormat="1" applyFill="1"/>
    <xf numFmtId="0" fontId="0" fillId="52" borderId="0" xfId="0" applyFill="1"/>
    <xf numFmtId="0" fontId="13" fillId="52" borderId="0" xfId="0" applyFont="1" applyFill="1"/>
    <xf numFmtId="0" fontId="34" fillId="0" borderId="0" xfId="0" applyFont="1"/>
    <xf numFmtId="0" fontId="13" fillId="53" borderId="0" xfId="0" applyFont="1" applyFill="1"/>
    <xf numFmtId="164" fontId="13" fillId="53" borderId="0" xfId="0" applyNumberFormat="1" applyFont="1" applyFill="1"/>
    <xf numFmtId="0" fontId="13" fillId="54" borderId="0" xfId="0" applyFont="1" applyFill="1"/>
    <xf numFmtId="164" fontId="13" fillId="0" borderId="0" xfId="0" applyNumberFormat="1" applyFont="1"/>
    <xf numFmtId="0" fontId="13" fillId="55" borderId="0" xfId="0" applyFont="1" applyFill="1"/>
    <xf numFmtId="164" fontId="13" fillId="55" borderId="0" xfId="0" applyNumberFormat="1" applyFont="1" applyFill="1"/>
    <xf numFmtId="0" fontId="13" fillId="56" borderId="0" xfId="0" applyFont="1" applyFill="1"/>
    <xf numFmtId="164" fontId="13" fillId="54" borderId="0" xfId="0" applyNumberFormat="1" applyFont="1" applyFill="1"/>
    <xf numFmtId="165"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57" borderId="0" xfId="0" applyFill="1"/>
    <xf numFmtId="0" fontId="0" fillId="58" borderId="0" xfId="0" applyFill="1"/>
    <xf numFmtId="0" fontId="0" fillId="0" borderId="15" xfId="0" applyBorder="1"/>
    <xf numFmtId="0" fontId="0" fillId="0" borderId="16" xfId="0" applyBorder="1"/>
    <xf numFmtId="0" fontId="0" fillId="0" borderId="17" xfId="0" applyBorder="1"/>
    <xf numFmtId="0" fontId="0" fillId="59" borderId="0" xfId="0" applyFill="1"/>
    <xf numFmtId="0" fontId="0" fillId="42" borderId="0" xfId="0" applyFill="1"/>
    <xf numFmtId="0" fontId="0" fillId="60" borderId="0" xfId="0" applyFill="1"/>
    <xf numFmtId="0" fontId="0" fillId="0" borderId="18" xfId="0" applyBorder="1"/>
    <xf numFmtId="0" fontId="0" fillId="0" borderId="19" xfId="0" applyBorder="1"/>
    <xf numFmtId="0" fontId="0" fillId="0" borderId="20" xfId="0" applyBorder="1"/>
    <xf numFmtId="0" fontId="0" fillId="0" borderId="21" xfId="0" applyBorder="1"/>
    <xf numFmtId="0" fontId="0" fillId="61" borderId="0" xfId="0" applyFill="1"/>
    <xf numFmtId="0" fontId="13" fillId="62" borderId="0" xfId="0" applyFont="1" applyFill="1"/>
    <xf numFmtId="0" fontId="13" fillId="46" borderId="0" xfId="0" applyFont="1" applyFill="1"/>
    <xf numFmtId="0" fontId="35" fillId="0" borderId="0" xfId="0" applyFont="1"/>
    <xf numFmtId="1" fontId="19" fillId="0" borderId="0" xfId="0" applyNumberFormat="1" applyFont="1"/>
    <xf numFmtId="2" fontId="19" fillId="0" borderId="0" xfId="0" applyNumberFormat="1" applyFont="1"/>
    <xf numFmtId="0" fontId="13" fillId="0" borderId="22" xfId="0" applyFont="1" applyBorder="1"/>
    <xf numFmtId="0" fontId="13" fillId="0" borderId="23" xfId="0" applyFont="1" applyBorder="1"/>
    <xf numFmtId="164" fontId="19" fillId="0" borderId="0" xfId="0" applyNumberFormat="1" applyFont="1"/>
    <xf numFmtId="0" fontId="36" fillId="0" borderId="0" xfId="0" applyFont="1"/>
    <xf numFmtId="0" fontId="37" fillId="0" borderId="0" xfId="0" applyFont="1"/>
    <xf numFmtId="0" fontId="0" fillId="63" borderId="2" xfId="0" applyFill="1" applyBorder="1"/>
    <xf numFmtId="0" fontId="8" fillId="0" borderId="1" xfId="2" applyBorder="1"/>
    <xf numFmtId="0" fontId="8" fillId="0" borderId="0" xfId="2"/>
    <xf numFmtId="0" fontId="8" fillId="0" borderId="2" xfId="2" applyBorder="1"/>
    <xf numFmtId="4" fontId="8" fillId="0" borderId="0" xfId="2" applyNumberFormat="1"/>
    <xf numFmtId="0" fontId="41" fillId="0" borderId="0" xfId="0" applyFont="1"/>
    <xf numFmtId="0" fontId="43" fillId="0" borderId="0" xfId="0" applyFont="1"/>
    <xf numFmtId="0" fontId="7" fillId="63" borderId="2" xfId="0" applyFont="1" applyFill="1" applyBorder="1"/>
    <xf numFmtId="0" fontId="7" fillId="0" borderId="1" xfId="0" applyFont="1" applyBorder="1"/>
    <xf numFmtId="0" fontId="7" fillId="0" borderId="0" xfId="0" applyFont="1"/>
    <xf numFmtId="49" fontId="10" fillId="28" borderId="0" xfId="0" applyNumberFormat="1" applyFont="1" applyFill="1" applyAlignment="1">
      <alignment wrapText="1"/>
    </xf>
    <xf numFmtId="0" fontId="46" fillId="0" borderId="0" xfId="0" applyFont="1"/>
    <xf numFmtId="49" fontId="7" fillId="14" borderId="0" xfId="0" applyNumberFormat="1" applyFont="1" applyFill="1" applyAlignment="1">
      <alignment wrapText="1"/>
    </xf>
    <xf numFmtId="0" fontId="7" fillId="63" borderId="0" xfId="0" applyFont="1" applyFill="1"/>
    <xf numFmtId="0" fontId="7" fillId="0" borderId="2" xfId="0" applyFont="1" applyBorder="1"/>
    <xf numFmtId="49" fontId="7" fillId="0" borderId="0" xfId="0" applyNumberFormat="1" applyFont="1" applyAlignment="1">
      <alignment wrapText="1"/>
    </xf>
    <xf numFmtId="0" fontId="0" fillId="64" borderId="0" xfId="0" applyFill="1"/>
    <xf numFmtId="0" fontId="0" fillId="65" borderId="0" xfId="0" applyFill="1"/>
    <xf numFmtId="0" fontId="0" fillId="66" borderId="0" xfId="0" applyFill="1"/>
    <xf numFmtId="0" fontId="0" fillId="67" borderId="0" xfId="0" applyFill="1"/>
    <xf numFmtId="0" fontId="17" fillId="0" borderId="0" xfId="2" applyFont="1"/>
    <xf numFmtId="0" fontId="10" fillId="0" borderId="0" xfId="2" applyFont="1"/>
    <xf numFmtId="0" fontId="13" fillId="0" borderId="0" xfId="2" applyFont="1"/>
    <xf numFmtId="0" fontId="10" fillId="0" borderId="1" xfId="2" applyFont="1" applyBorder="1"/>
    <xf numFmtId="0" fontId="19" fillId="0" borderId="0" xfId="2" applyFont="1"/>
    <xf numFmtId="0" fontId="47" fillId="0" borderId="0" xfId="0" applyFont="1" applyAlignment="1">
      <alignment vertical="center" wrapText="1"/>
    </xf>
    <xf numFmtId="49" fontId="15" fillId="0" borderId="0" xfId="2" applyNumberFormat="1" applyFont="1" applyAlignment="1">
      <alignment horizontal="center" vertical="top" textRotation="90"/>
    </xf>
    <xf numFmtId="49" fontId="19" fillId="0" borderId="0" xfId="0" applyNumberFormat="1" applyFont="1" applyAlignment="1">
      <alignment wrapText="1"/>
    </xf>
    <xf numFmtId="0" fontId="0" fillId="42" borderId="2" xfId="0" applyFill="1" applyBorder="1"/>
    <xf numFmtId="2" fontId="13" fillId="0" borderId="0" xfId="0" applyNumberFormat="1" applyFont="1"/>
    <xf numFmtId="4" fontId="13" fillId="0" borderId="0" xfId="0" applyNumberFormat="1" applyFont="1"/>
    <xf numFmtId="0" fontId="13" fillId="67" borderId="2" xfId="0" applyFont="1" applyFill="1" applyBorder="1"/>
    <xf numFmtId="4" fontId="41" fillId="0" borderId="0" xfId="0" applyNumberFormat="1" applyFont="1"/>
    <xf numFmtId="4" fontId="7" fillId="0" borderId="0" xfId="0" applyNumberFormat="1" applyFont="1"/>
    <xf numFmtId="2" fontId="41" fillId="0" borderId="0" xfId="0" applyNumberFormat="1" applyFont="1"/>
    <xf numFmtId="0" fontId="13" fillId="63" borderId="2" xfId="0" applyFont="1" applyFill="1" applyBorder="1"/>
    <xf numFmtId="1" fontId="41" fillId="0" borderId="0" xfId="0" applyNumberFormat="1" applyFont="1"/>
    <xf numFmtId="0" fontId="49" fillId="0" borderId="0" xfId="0" applyFont="1"/>
    <xf numFmtId="0" fontId="0" fillId="67" borderId="2" xfId="0" applyFill="1" applyBorder="1"/>
    <xf numFmtId="49" fontId="7" fillId="0" borderId="0" xfId="0" applyNumberFormat="1" applyFont="1"/>
    <xf numFmtId="0" fontId="9" fillId="0" borderId="0" xfId="1" applyFill="1" applyBorder="1"/>
    <xf numFmtId="0" fontId="50" fillId="0" borderId="0" xfId="0" applyFont="1"/>
    <xf numFmtId="49" fontId="7" fillId="0" borderId="1" xfId="0" applyNumberFormat="1" applyFont="1" applyBorder="1"/>
    <xf numFmtId="49" fontId="7" fillId="0" borderId="1" xfId="0" applyNumberFormat="1" applyFont="1" applyBorder="1" applyAlignment="1">
      <alignment wrapText="1"/>
    </xf>
    <xf numFmtId="0" fontId="42" fillId="0" borderId="0" xfId="0" applyFont="1"/>
    <xf numFmtId="0" fontId="41" fillId="0" borderId="15" xfId="0" applyFont="1" applyBorder="1"/>
    <xf numFmtId="0" fontId="7" fillId="0" borderId="15" xfId="0" applyFont="1" applyBorder="1"/>
    <xf numFmtId="0" fontId="48" fillId="0" borderId="0" xfId="0" applyFont="1"/>
    <xf numFmtId="49" fontId="0" fillId="14" borderId="15" xfId="0" applyNumberFormat="1" applyFill="1" applyBorder="1" applyAlignment="1">
      <alignment wrapText="1"/>
    </xf>
    <xf numFmtId="49" fontId="41" fillId="0" borderId="0" xfId="0" applyNumberFormat="1" applyFont="1" applyAlignment="1">
      <alignment wrapText="1"/>
    </xf>
    <xf numFmtId="0" fontId="6" fillId="0" borderId="0" xfId="0" applyFont="1"/>
    <xf numFmtId="0" fontId="5" fillId="0" borderId="0" xfId="0" applyFont="1"/>
    <xf numFmtId="49" fontId="5" fillId="14" borderId="0" xfId="0" applyNumberFormat="1" applyFont="1" applyFill="1" applyAlignment="1">
      <alignment wrapText="1"/>
    </xf>
    <xf numFmtId="0" fontId="5" fillId="0" borderId="1" xfId="0" applyFont="1" applyBorder="1"/>
    <xf numFmtId="0" fontId="3" fillId="0" borderId="0" xfId="0" applyFont="1"/>
    <xf numFmtId="49" fontId="4" fillId="14" borderId="0" xfId="0" applyNumberFormat="1" applyFont="1" applyFill="1" applyAlignment="1">
      <alignment wrapText="1"/>
    </xf>
    <xf numFmtId="0" fontId="10" fillId="0" borderId="15" xfId="0" applyFont="1" applyBorder="1"/>
    <xf numFmtId="0" fontId="2" fillId="0" borderId="0" xfId="0" applyFont="1"/>
    <xf numFmtId="0" fontId="2" fillId="0" borderId="2" xfId="0" applyFont="1" applyBorder="1"/>
    <xf numFmtId="49" fontId="2" fillId="0" borderId="0" xfId="0" applyNumberFormat="1" applyFont="1"/>
    <xf numFmtId="2" fontId="24" fillId="0" borderId="0" xfId="0" applyNumberFormat="1" applyFont="1" applyAlignment="1">
      <alignment horizontal="center"/>
    </xf>
    <xf numFmtId="0" fontId="10" fillId="0" borderId="0" xfId="0" applyFont="1" applyAlignment="1">
      <alignment horizontal="left"/>
    </xf>
    <xf numFmtId="0" fontId="23" fillId="0" borderId="0" xfId="0" applyFont="1" applyAlignment="1">
      <alignment horizontal="center"/>
    </xf>
    <xf numFmtId="49" fontId="2" fillId="0" borderId="0" xfId="0" applyNumberFormat="1" applyFont="1" applyAlignment="1">
      <alignment wrapText="1"/>
    </xf>
    <xf numFmtId="0" fontId="2" fillId="0" borderId="1" xfId="0" applyFont="1" applyBorder="1"/>
    <xf numFmtId="0" fontId="24" fillId="0" borderId="0" xfId="0" applyFont="1" applyAlignment="1">
      <alignment horizontal="center"/>
    </xf>
    <xf numFmtId="0" fontId="0" fillId="0" borderId="0" xfId="0" applyAlignment="1">
      <alignment horizontal="left"/>
    </xf>
    <xf numFmtId="49" fontId="2" fillId="0" borderId="1" xfId="0" applyNumberFormat="1" applyFont="1" applyBorder="1"/>
    <xf numFmtId="166" fontId="10" fillId="0" borderId="0" xfId="0" applyNumberFormat="1" applyFont="1"/>
    <xf numFmtId="166" fontId="0" fillId="0" borderId="0" xfId="0" applyNumberFormat="1"/>
    <xf numFmtId="0" fontId="22" fillId="0" borderId="0" xfId="0" applyFont="1" applyAlignment="1">
      <alignment horizontal="left"/>
    </xf>
    <xf numFmtId="3" fontId="23" fillId="0" borderId="0" xfId="0" applyNumberFormat="1" applyFont="1" applyAlignment="1">
      <alignment horizontal="right"/>
    </xf>
    <xf numFmtId="0" fontId="2" fillId="0" borderId="0" xfId="0" applyFont="1" applyAlignment="1">
      <alignment wrapText="1"/>
    </xf>
    <xf numFmtId="0" fontId="54" fillId="0" borderId="0" xfId="0" applyFont="1"/>
    <xf numFmtId="0" fontId="11" fillId="0" borderId="0" xfId="0" applyFont="1"/>
    <xf numFmtId="0" fontId="0" fillId="0" borderId="0" xfId="0" applyAlignment="1">
      <alignment horizontal="center"/>
    </xf>
    <xf numFmtId="0" fontId="0" fillId="0" borderId="0" xfId="0" applyAlignment="1">
      <alignment horizontal="center" wrapText="1"/>
    </xf>
    <xf numFmtId="0" fontId="13" fillId="0" borderId="0" xfId="0" applyFont="1" applyAlignment="1">
      <alignment horizontal="center"/>
    </xf>
    <xf numFmtId="0" fontId="0" fillId="0" borderId="0" xfId="0" applyBorder="1"/>
    <xf numFmtId="49" fontId="10" fillId="28" borderId="15" xfId="0" applyNumberFormat="1" applyFont="1" applyFill="1" applyBorder="1" applyAlignment="1">
      <alignment wrapText="1"/>
    </xf>
    <xf numFmtId="0" fontId="7" fillId="0" borderId="0" xfId="0" applyFont="1" applyBorder="1"/>
    <xf numFmtId="49" fontId="0" fillId="0" borderId="15" xfId="0" applyNumberFormat="1" applyBorder="1" applyAlignment="1">
      <alignment wrapText="1"/>
    </xf>
    <xf numFmtId="49" fontId="0" fillId="14" borderId="0" xfId="0" applyNumberFormat="1" applyFill="1" applyBorder="1" applyAlignment="1">
      <alignment wrapText="1"/>
    </xf>
    <xf numFmtId="49" fontId="7" fillId="14" borderId="15" xfId="0" applyNumberFormat="1" applyFont="1" applyFill="1" applyBorder="1" applyAlignment="1">
      <alignment wrapText="1"/>
    </xf>
    <xf numFmtId="0" fontId="41" fillId="0" borderId="0" xfId="0" applyFont="1" applyBorder="1"/>
    <xf numFmtId="0" fontId="29" fillId="0" borderId="15" xfId="0" applyFont="1" applyBorder="1"/>
    <xf numFmtId="0" fontId="19" fillId="0" borderId="0" xfId="2" applyFont="1" applyBorder="1"/>
    <xf numFmtId="0" fontId="10" fillId="0" borderId="0" xfId="0" applyFont="1" applyBorder="1"/>
    <xf numFmtId="49" fontId="7" fillId="0" borderId="15" xfId="0" applyNumberFormat="1" applyFont="1" applyBorder="1" applyAlignment="1">
      <alignment wrapText="1"/>
    </xf>
  </cellXfs>
  <cellStyles count="3">
    <cellStyle name="Hyperlink" xfId="1" builtinId="8"/>
    <cellStyle name="Normal" xfId="0" builtinId="0"/>
    <cellStyle name="Normal 2" xfId="2" xr:uid="{418F03ED-F283-C94E-BADD-E0877E52EFE1}"/>
  </cellStyles>
  <dxfs count="216">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png"/><Relationship Id="rId26" Type="http://schemas.openxmlformats.org/officeDocument/2006/relationships/image" Target="../media/image26.emf"/><Relationship Id="rId39" Type="http://schemas.openxmlformats.org/officeDocument/2006/relationships/image" Target="../media/image39.emf"/><Relationship Id="rId21" Type="http://schemas.openxmlformats.org/officeDocument/2006/relationships/image" Target="../media/image21.emf"/><Relationship Id="rId34" Type="http://schemas.openxmlformats.org/officeDocument/2006/relationships/image" Target="../media/image34.emf"/><Relationship Id="rId7" Type="http://schemas.openxmlformats.org/officeDocument/2006/relationships/image" Target="../media/image7.emf"/><Relationship Id="rId2" Type="http://schemas.openxmlformats.org/officeDocument/2006/relationships/image" Target="../media/image2.emf"/><Relationship Id="rId16" Type="http://schemas.openxmlformats.org/officeDocument/2006/relationships/image" Target="../media/image16.png"/><Relationship Id="rId20" Type="http://schemas.openxmlformats.org/officeDocument/2006/relationships/image" Target="../media/image20.emf"/><Relationship Id="rId29" Type="http://schemas.openxmlformats.org/officeDocument/2006/relationships/image" Target="../media/image29.emf"/><Relationship Id="rId41" Type="http://schemas.openxmlformats.org/officeDocument/2006/relationships/image" Target="../media/image41.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png"/><Relationship Id="rId24" Type="http://schemas.openxmlformats.org/officeDocument/2006/relationships/image" Target="../media/image24.emf"/><Relationship Id="rId32" Type="http://schemas.openxmlformats.org/officeDocument/2006/relationships/image" Target="../media/image32.emf"/><Relationship Id="rId37" Type="http://schemas.openxmlformats.org/officeDocument/2006/relationships/image" Target="../media/image37.emf"/><Relationship Id="rId40" Type="http://schemas.openxmlformats.org/officeDocument/2006/relationships/image" Target="../media/image40.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png"/><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8" Type="http://schemas.openxmlformats.org/officeDocument/2006/relationships/image" Target="../media/image8.emf"/><Relationship Id="rId3" Type="http://schemas.openxmlformats.org/officeDocument/2006/relationships/image" Target="../media/image3.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389</xdr:row>
      <xdr:rowOff>32658</xdr:rowOff>
    </xdr:from>
    <xdr:to>
      <xdr:col>10</xdr:col>
      <xdr:colOff>815340</xdr:colOff>
      <xdr:row>414</xdr:row>
      <xdr:rowOff>185057</xdr:rowOff>
    </xdr:to>
    <xdr:pic>
      <xdr:nvPicPr>
        <xdr:cNvPr id="2" name="Image 36">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stretch/>
      </xdr:blipFill>
      <xdr:spPr bwMode="auto">
        <a:xfrm>
          <a:off x="0" y="79077458"/>
          <a:ext cx="9070340" cy="5232399"/>
        </a:xfrm>
        <a:prstGeom prst="rect">
          <a:avLst/>
        </a:prstGeom>
        <a:noFill/>
      </xdr:spPr>
    </xdr:pic>
    <xdr:clientData/>
  </xdr:twoCellAnchor>
  <xdr:twoCellAnchor editAs="oneCell">
    <xdr:from>
      <xdr:col>0</xdr:col>
      <xdr:colOff>152400</xdr:colOff>
      <xdr:row>2</xdr:row>
      <xdr:rowOff>15240</xdr:rowOff>
    </xdr:from>
    <xdr:to>
      <xdr:col>6</xdr:col>
      <xdr:colOff>517372</xdr:colOff>
      <xdr:row>14</xdr:row>
      <xdr:rowOff>144780</xdr:rowOff>
    </xdr:to>
    <xdr:pic>
      <xdr:nvPicPr>
        <xdr:cNvPr id="3" name="Image 1">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stretch/>
      </xdr:blipFill>
      <xdr:spPr bwMode="auto">
        <a:xfrm>
          <a:off x="152400" y="421640"/>
          <a:ext cx="5317972" cy="2567940"/>
        </a:xfrm>
        <a:prstGeom prst="rect">
          <a:avLst/>
        </a:prstGeom>
        <a:noFill/>
      </xdr:spPr>
    </xdr:pic>
    <xdr:clientData/>
  </xdr:twoCellAnchor>
  <xdr:twoCellAnchor editAs="oneCell">
    <xdr:from>
      <xdr:col>0</xdr:col>
      <xdr:colOff>68580</xdr:colOff>
      <xdr:row>17</xdr:row>
      <xdr:rowOff>45720</xdr:rowOff>
    </xdr:from>
    <xdr:to>
      <xdr:col>4</xdr:col>
      <xdr:colOff>618314</xdr:colOff>
      <xdr:row>28</xdr:row>
      <xdr:rowOff>167640</xdr:rowOff>
    </xdr:to>
    <xdr:pic>
      <xdr:nvPicPr>
        <xdr:cNvPr id="4" name="Image 2">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stretch/>
      </xdr:blipFill>
      <xdr:spPr bwMode="auto">
        <a:xfrm>
          <a:off x="68580" y="3500120"/>
          <a:ext cx="3851735" cy="2357120"/>
        </a:xfrm>
        <a:prstGeom prst="rect">
          <a:avLst/>
        </a:prstGeom>
        <a:noFill/>
      </xdr:spPr>
    </xdr:pic>
    <xdr:clientData/>
  </xdr:twoCellAnchor>
  <xdr:twoCellAnchor editAs="oneCell">
    <xdr:from>
      <xdr:col>0</xdr:col>
      <xdr:colOff>327659</xdr:colOff>
      <xdr:row>24</xdr:row>
      <xdr:rowOff>83820</xdr:rowOff>
    </xdr:from>
    <xdr:to>
      <xdr:col>4</xdr:col>
      <xdr:colOff>483974</xdr:colOff>
      <xdr:row>34</xdr:row>
      <xdr:rowOff>175260</xdr:rowOff>
    </xdr:to>
    <xdr:pic>
      <xdr:nvPicPr>
        <xdr:cNvPr id="5" name="Image 3">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4"/>
        <a:stretch/>
      </xdr:blipFill>
      <xdr:spPr bwMode="auto">
        <a:xfrm>
          <a:off x="327660" y="4960620"/>
          <a:ext cx="3458315" cy="2123440"/>
        </a:xfrm>
        <a:prstGeom prst="rect">
          <a:avLst/>
        </a:prstGeom>
        <a:noFill/>
      </xdr:spPr>
    </xdr:pic>
    <xdr:clientData/>
  </xdr:twoCellAnchor>
  <xdr:twoCellAnchor editAs="oneCell">
    <xdr:from>
      <xdr:col>1</xdr:col>
      <xdr:colOff>534720</xdr:colOff>
      <xdr:row>18</xdr:row>
      <xdr:rowOff>15240</xdr:rowOff>
    </xdr:from>
    <xdr:to>
      <xdr:col>7</xdr:col>
      <xdr:colOff>640080</xdr:colOff>
      <xdr:row>33</xdr:row>
      <xdr:rowOff>91440</xdr:rowOff>
    </xdr:to>
    <xdr:pic>
      <xdr:nvPicPr>
        <xdr:cNvPr id="6" name="Image 4">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5"/>
        <a:stretch/>
      </xdr:blipFill>
      <xdr:spPr bwMode="auto">
        <a:xfrm>
          <a:off x="1360220" y="3672839"/>
          <a:ext cx="5058360" cy="3124200"/>
        </a:xfrm>
        <a:prstGeom prst="rect">
          <a:avLst/>
        </a:prstGeom>
        <a:noFill/>
      </xdr:spPr>
    </xdr:pic>
    <xdr:clientData/>
  </xdr:twoCellAnchor>
  <xdr:twoCellAnchor editAs="oneCell">
    <xdr:from>
      <xdr:col>0</xdr:col>
      <xdr:colOff>0</xdr:colOff>
      <xdr:row>37</xdr:row>
      <xdr:rowOff>0</xdr:rowOff>
    </xdr:from>
    <xdr:to>
      <xdr:col>5</xdr:col>
      <xdr:colOff>785762</xdr:colOff>
      <xdr:row>49</xdr:row>
      <xdr:rowOff>15240</xdr:rowOff>
    </xdr:to>
    <xdr:pic>
      <xdr:nvPicPr>
        <xdr:cNvPr id="7" name="Image 5">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6"/>
        <a:stretch/>
      </xdr:blipFill>
      <xdr:spPr bwMode="auto">
        <a:xfrm>
          <a:off x="0" y="7518400"/>
          <a:ext cx="4913262" cy="2453640"/>
        </a:xfrm>
        <a:prstGeom prst="rect">
          <a:avLst/>
        </a:prstGeom>
        <a:noFill/>
      </xdr:spPr>
    </xdr:pic>
    <xdr:clientData/>
  </xdr:twoCellAnchor>
  <xdr:twoCellAnchor editAs="oneCell">
    <xdr:from>
      <xdr:col>1</xdr:col>
      <xdr:colOff>76200</xdr:colOff>
      <xdr:row>40</xdr:row>
      <xdr:rowOff>53340</xdr:rowOff>
    </xdr:from>
    <xdr:to>
      <xdr:col>7</xdr:col>
      <xdr:colOff>1272</xdr:colOff>
      <xdr:row>62</xdr:row>
      <xdr:rowOff>114300</xdr:rowOff>
    </xdr:to>
    <xdr:pic>
      <xdr:nvPicPr>
        <xdr:cNvPr id="8" name="Image 6">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7"/>
        <a:stretch/>
      </xdr:blipFill>
      <xdr:spPr bwMode="auto">
        <a:xfrm>
          <a:off x="901700" y="8181340"/>
          <a:ext cx="4878073" cy="4531360"/>
        </a:xfrm>
        <a:prstGeom prst="rect">
          <a:avLst/>
        </a:prstGeom>
        <a:noFill/>
      </xdr:spPr>
    </xdr:pic>
    <xdr:clientData/>
  </xdr:twoCellAnchor>
  <xdr:twoCellAnchor editAs="oneCell">
    <xdr:from>
      <xdr:col>1</xdr:col>
      <xdr:colOff>7620</xdr:colOff>
      <xdr:row>64</xdr:row>
      <xdr:rowOff>129538</xdr:rowOff>
    </xdr:from>
    <xdr:to>
      <xdr:col>4</xdr:col>
      <xdr:colOff>265824</xdr:colOff>
      <xdr:row>86</xdr:row>
      <xdr:rowOff>91440</xdr:rowOff>
    </xdr:to>
    <xdr:pic>
      <xdr:nvPicPr>
        <xdr:cNvPr id="9" name="Image 7">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8"/>
        <a:stretch/>
      </xdr:blipFill>
      <xdr:spPr bwMode="auto">
        <a:xfrm>
          <a:off x="833120" y="13134340"/>
          <a:ext cx="2734704" cy="4432300"/>
        </a:xfrm>
        <a:prstGeom prst="rect">
          <a:avLst/>
        </a:prstGeom>
        <a:noFill/>
      </xdr:spPr>
    </xdr:pic>
    <xdr:clientData/>
  </xdr:twoCellAnchor>
  <xdr:twoCellAnchor editAs="oneCell">
    <xdr:from>
      <xdr:col>1</xdr:col>
      <xdr:colOff>350520</xdr:colOff>
      <xdr:row>1</xdr:row>
      <xdr:rowOff>68580</xdr:rowOff>
    </xdr:from>
    <xdr:to>
      <xdr:col>6</xdr:col>
      <xdr:colOff>144780</xdr:colOff>
      <xdr:row>15</xdr:row>
      <xdr:rowOff>91314</xdr:rowOff>
    </xdr:to>
    <xdr:pic>
      <xdr:nvPicPr>
        <xdr:cNvPr id="10" name="Image 8">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9"/>
        <a:stretch/>
      </xdr:blipFill>
      <xdr:spPr bwMode="auto">
        <a:xfrm>
          <a:off x="1176020" y="271780"/>
          <a:ext cx="3921760" cy="2867535"/>
        </a:xfrm>
        <a:prstGeom prst="rect">
          <a:avLst/>
        </a:prstGeom>
        <a:noFill/>
      </xdr:spPr>
    </xdr:pic>
    <xdr:clientData/>
  </xdr:twoCellAnchor>
  <xdr:twoCellAnchor editAs="oneCell">
    <xdr:from>
      <xdr:col>0</xdr:col>
      <xdr:colOff>304800</xdr:colOff>
      <xdr:row>125</xdr:row>
      <xdr:rowOff>137160</xdr:rowOff>
    </xdr:from>
    <xdr:to>
      <xdr:col>4</xdr:col>
      <xdr:colOff>510540</xdr:colOff>
      <xdr:row>139</xdr:row>
      <xdr:rowOff>106680</xdr:rowOff>
    </xdr:to>
    <xdr:pic>
      <xdr:nvPicPr>
        <xdr:cNvPr id="11" name="Imag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10"/>
        <a:stretch/>
      </xdr:blipFill>
      <xdr:spPr bwMode="auto">
        <a:xfrm>
          <a:off x="304800" y="25537160"/>
          <a:ext cx="3507740" cy="2814320"/>
        </a:xfrm>
        <a:prstGeom prst="rect">
          <a:avLst/>
        </a:prstGeom>
        <a:noFill/>
      </xdr:spPr>
    </xdr:pic>
    <xdr:clientData/>
  </xdr:twoCellAnchor>
  <xdr:twoCellAnchor editAs="oneCell">
    <xdr:from>
      <xdr:col>0</xdr:col>
      <xdr:colOff>365760</xdr:colOff>
      <xdr:row>127</xdr:row>
      <xdr:rowOff>190500</xdr:rowOff>
    </xdr:from>
    <xdr:to>
      <xdr:col>5</xdr:col>
      <xdr:colOff>198121</xdr:colOff>
      <xdr:row>142</xdr:row>
      <xdr:rowOff>89251</xdr:rowOff>
    </xdr:to>
    <xdr:pic>
      <xdr:nvPicPr>
        <xdr:cNvPr id="12" name="Imag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xdr:blipFill>
      <xdr:spPr bwMode="auto">
        <a:xfrm>
          <a:off x="365761" y="25996900"/>
          <a:ext cx="3959860" cy="2946751"/>
        </a:xfrm>
        <a:prstGeom prst="rect">
          <a:avLst/>
        </a:prstGeom>
      </xdr:spPr>
    </xdr:pic>
    <xdr:clientData/>
  </xdr:twoCellAnchor>
  <xdr:twoCellAnchor editAs="oneCell">
    <xdr:from>
      <xdr:col>1</xdr:col>
      <xdr:colOff>304800</xdr:colOff>
      <xdr:row>129</xdr:row>
      <xdr:rowOff>38100</xdr:rowOff>
    </xdr:from>
    <xdr:to>
      <xdr:col>5</xdr:col>
      <xdr:colOff>601980</xdr:colOff>
      <xdr:row>142</xdr:row>
      <xdr:rowOff>160020</xdr:rowOff>
    </xdr:to>
    <xdr:pic>
      <xdr:nvPicPr>
        <xdr:cNvPr id="13" name="Image 12">
          <a:extLst>
            <a:ext uri="{FF2B5EF4-FFF2-40B4-BE49-F238E27FC236}">
              <a16:creationId xmlns:a16="http://schemas.microsoft.com/office/drawing/2014/main" id="{00000000-0008-0000-0500-00000D000000}"/>
            </a:ext>
          </a:extLst>
        </xdr:cNvPr>
        <xdr:cNvPicPr>
          <a:picLocks noChangeAspect="1" noChangeArrowheads="1"/>
        </xdr:cNvPicPr>
      </xdr:nvPicPr>
      <xdr:blipFill>
        <a:blip xmlns:r="http://schemas.openxmlformats.org/officeDocument/2006/relationships" r:embed="rId12"/>
        <a:stretch/>
      </xdr:blipFill>
      <xdr:spPr bwMode="auto">
        <a:xfrm>
          <a:off x="1130300" y="26250900"/>
          <a:ext cx="3599180" cy="2763520"/>
        </a:xfrm>
        <a:prstGeom prst="rect">
          <a:avLst/>
        </a:prstGeom>
        <a:noFill/>
      </xdr:spPr>
    </xdr:pic>
    <xdr:clientData/>
  </xdr:twoCellAnchor>
  <xdr:twoCellAnchor editAs="oneCell">
    <xdr:from>
      <xdr:col>1</xdr:col>
      <xdr:colOff>228600</xdr:colOff>
      <xdr:row>130</xdr:row>
      <xdr:rowOff>167640</xdr:rowOff>
    </xdr:from>
    <xdr:to>
      <xdr:col>5</xdr:col>
      <xdr:colOff>495299</xdr:colOff>
      <xdr:row>143</xdr:row>
      <xdr:rowOff>190500</xdr:rowOff>
    </xdr:to>
    <xdr:pic>
      <xdr:nvPicPr>
        <xdr:cNvPr id="14" name="Image 13">
          <a:extLst>
            <a:ext uri="{FF2B5EF4-FFF2-40B4-BE49-F238E27FC236}">
              <a16:creationId xmlns:a16="http://schemas.microsoft.com/office/drawing/2014/main" id="{00000000-0008-0000-0500-00000E000000}"/>
            </a:ext>
          </a:extLst>
        </xdr:cNvPr>
        <xdr:cNvPicPr>
          <a:picLocks noChangeAspect="1" noChangeArrowheads="1"/>
        </xdr:cNvPicPr>
      </xdr:nvPicPr>
      <xdr:blipFill>
        <a:blip xmlns:r="http://schemas.openxmlformats.org/officeDocument/2006/relationships" r:embed="rId13"/>
        <a:stretch/>
      </xdr:blipFill>
      <xdr:spPr bwMode="auto">
        <a:xfrm>
          <a:off x="1054100" y="26583640"/>
          <a:ext cx="3568700" cy="2664459"/>
        </a:xfrm>
        <a:prstGeom prst="rect">
          <a:avLst/>
        </a:prstGeom>
        <a:noFill/>
      </xdr:spPr>
    </xdr:pic>
    <xdr:clientData/>
  </xdr:twoCellAnchor>
  <xdr:twoCellAnchor editAs="oneCell">
    <xdr:from>
      <xdr:col>0</xdr:col>
      <xdr:colOff>541019</xdr:colOff>
      <xdr:row>121</xdr:row>
      <xdr:rowOff>76200</xdr:rowOff>
    </xdr:from>
    <xdr:to>
      <xdr:col>4</xdr:col>
      <xdr:colOff>777240</xdr:colOff>
      <xdr:row>134</xdr:row>
      <xdr:rowOff>38100</xdr:rowOff>
    </xdr:to>
    <xdr:pic>
      <xdr:nvPicPr>
        <xdr:cNvPr id="15" name="Image 9">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14"/>
        <a:stretch/>
      </xdr:blipFill>
      <xdr:spPr bwMode="auto">
        <a:xfrm>
          <a:off x="541020" y="24663400"/>
          <a:ext cx="3538220" cy="2603500"/>
        </a:xfrm>
        <a:prstGeom prst="rect">
          <a:avLst/>
        </a:prstGeom>
        <a:noFill/>
      </xdr:spPr>
    </xdr:pic>
    <xdr:clientData/>
  </xdr:twoCellAnchor>
  <xdr:twoCellAnchor editAs="oneCell">
    <xdr:from>
      <xdr:col>0</xdr:col>
      <xdr:colOff>104776</xdr:colOff>
      <xdr:row>147</xdr:row>
      <xdr:rowOff>57150</xdr:rowOff>
    </xdr:from>
    <xdr:to>
      <xdr:col>5</xdr:col>
      <xdr:colOff>554668</xdr:colOff>
      <xdr:row>158</xdr:row>
      <xdr:rowOff>180975</xdr:rowOff>
    </xdr:to>
    <xdr:pic>
      <xdr:nvPicPr>
        <xdr:cNvPr id="16" name="Image 14">
          <a:extLst>
            <a:ext uri="{FF2B5EF4-FFF2-40B4-BE49-F238E27FC236}">
              <a16:creationId xmlns:a16="http://schemas.microsoft.com/office/drawing/2014/main" id="{00000000-0008-0000-0500-000010000000}"/>
            </a:ext>
          </a:extLst>
        </xdr:cNvPr>
        <xdr:cNvPicPr>
          <a:picLocks noChangeAspect="1" noChangeArrowheads="1"/>
        </xdr:cNvPicPr>
      </xdr:nvPicPr>
      <xdr:blipFill>
        <a:blip xmlns:r="http://schemas.openxmlformats.org/officeDocument/2006/relationships" r:embed="rId15"/>
        <a:stretch/>
      </xdr:blipFill>
      <xdr:spPr bwMode="auto">
        <a:xfrm>
          <a:off x="104776" y="29927550"/>
          <a:ext cx="4577392" cy="2359025"/>
        </a:xfrm>
        <a:prstGeom prst="rect">
          <a:avLst/>
        </a:prstGeom>
        <a:noFill/>
      </xdr:spPr>
    </xdr:pic>
    <xdr:clientData/>
  </xdr:twoCellAnchor>
  <xdr:twoCellAnchor editAs="oneCell">
    <xdr:from>
      <xdr:col>0</xdr:col>
      <xdr:colOff>0</xdr:colOff>
      <xdr:row>161</xdr:row>
      <xdr:rowOff>95250</xdr:rowOff>
    </xdr:from>
    <xdr:to>
      <xdr:col>5</xdr:col>
      <xdr:colOff>617005</xdr:colOff>
      <xdr:row>170</xdr:row>
      <xdr:rowOff>9183</xdr:rowOff>
    </xdr:to>
    <xdr:pic>
      <xdr:nvPicPr>
        <xdr:cNvPr id="17" name="Image 15">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6"/>
        <a:stretch/>
      </xdr:blipFill>
      <xdr:spPr bwMode="auto">
        <a:xfrm>
          <a:off x="0" y="32810450"/>
          <a:ext cx="4744505" cy="1742733"/>
        </a:xfrm>
        <a:prstGeom prst="rect">
          <a:avLst/>
        </a:prstGeom>
      </xdr:spPr>
    </xdr:pic>
    <xdr:clientData/>
  </xdr:twoCellAnchor>
  <xdr:twoCellAnchor editAs="oneCell">
    <xdr:from>
      <xdr:col>1</xdr:col>
      <xdr:colOff>818484</xdr:colOff>
      <xdr:row>194</xdr:row>
      <xdr:rowOff>43894</xdr:rowOff>
    </xdr:from>
    <xdr:to>
      <xdr:col>6</xdr:col>
      <xdr:colOff>402115</xdr:colOff>
      <xdr:row>205</xdr:row>
      <xdr:rowOff>171958</xdr:rowOff>
    </xdr:to>
    <xdr:pic>
      <xdr:nvPicPr>
        <xdr:cNvPr id="18" name="Image 16">
          <a:extLst>
            <a:ext uri="{FF2B5EF4-FFF2-40B4-BE49-F238E27FC236}">
              <a16:creationId xmlns:a16="http://schemas.microsoft.com/office/drawing/2014/main" id="{00000000-0008-0000-0500-000012000000}"/>
            </a:ext>
          </a:extLst>
        </xdr:cNvPr>
        <xdr:cNvPicPr>
          <a:picLocks noChangeAspect="1" noChangeArrowheads="1"/>
        </xdr:cNvPicPr>
      </xdr:nvPicPr>
      <xdr:blipFill>
        <a:blip xmlns:r="http://schemas.openxmlformats.org/officeDocument/2006/relationships" r:embed="rId17"/>
        <a:stretch/>
      </xdr:blipFill>
      <xdr:spPr bwMode="auto">
        <a:xfrm>
          <a:off x="1643984" y="39464694"/>
          <a:ext cx="3711130" cy="2363265"/>
        </a:xfrm>
        <a:prstGeom prst="rect">
          <a:avLst/>
        </a:prstGeom>
        <a:noFill/>
      </xdr:spPr>
    </xdr:pic>
    <xdr:clientData/>
  </xdr:twoCellAnchor>
  <xdr:twoCellAnchor editAs="oneCell">
    <xdr:from>
      <xdr:col>0</xdr:col>
      <xdr:colOff>746014</xdr:colOff>
      <xdr:row>194</xdr:row>
      <xdr:rowOff>147892</xdr:rowOff>
    </xdr:from>
    <xdr:to>
      <xdr:col>4</xdr:col>
      <xdr:colOff>293939</xdr:colOff>
      <xdr:row>207</xdr:row>
      <xdr:rowOff>128430</xdr:rowOff>
    </xdr:to>
    <xdr:pic>
      <xdr:nvPicPr>
        <xdr:cNvPr id="19" name="Image 17">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8"/>
        <a:stretch/>
      </xdr:blipFill>
      <xdr:spPr bwMode="auto">
        <a:xfrm>
          <a:off x="746014" y="39568692"/>
          <a:ext cx="2849925" cy="2622139"/>
        </a:xfrm>
        <a:prstGeom prst="rect">
          <a:avLst/>
        </a:prstGeom>
      </xdr:spPr>
    </xdr:pic>
    <xdr:clientData/>
  </xdr:twoCellAnchor>
  <xdr:twoCellAnchor editAs="oneCell">
    <xdr:from>
      <xdr:col>4</xdr:col>
      <xdr:colOff>579849</xdr:colOff>
      <xdr:row>197</xdr:row>
      <xdr:rowOff>189211</xdr:rowOff>
    </xdr:from>
    <xdr:to>
      <xdr:col>8</xdr:col>
      <xdr:colOff>668800</xdr:colOff>
      <xdr:row>214</xdr:row>
      <xdr:rowOff>141587</xdr:rowOff>
    </xdr:to>
    <xdr:pic>
      <xdr:nvPicPr>
        <xdr:cNvPr id="20" name="Image 18">
          <a:extLst>
            <a:ext uri="{FF2B5EF4-FFF2-40B4-BE49-F238E27FC236}">
              <a16:creationId xmlns:a16="http://schemas.microsoft.com/office/drawing/2014/main" id="{00000000-0008-0000-0500-000014000000}"/>
            </a:ext>
          </a:extLst>
        </xdr:cNvPr>
        <xdr:cNvPicPr>
          <a:picLocks noChangeAspect="1" noChangeArrowheads="1"/>
        </xdr:cNvPicPr>
      </xdr:nvPicPr>
      <xdr:blipFill>
        <a:blip xmlns:r="http://schemas.openxmlformats.org/officeDocument/2006/relationships" r:embed="rId19"/>
        <a:stretch/>
      </xdr:blipFill>
      <xdr:spPr bwMode="auto">
        <a:xfrm>
          <a:off x="3881849" y="40219612"/>
          <a:ext cx="3390952" cy="3406775"/>
        </a:xfrm>
        <a:prstGeom prst="rect">
          <a:avLst/>
        </a:prstGeom>
        <a:noFill/>
      </xdr:spPr>
    </xdr:pic>
    <xdr:clientData/>
  </xdr:twoCellAnchor>
  <xdr:twoCellAnchor editAs="oneCell">
    <xdr:from>
      <xdr:col>26</xdr:col>
      <xdr:colOff>549874</xdr:colOff>
      <xdr:row>197</xdr:row>
      <xdr:rowOff>95250</xdr:rowOff>
    </xdr:from>
    <xdr:to>
      <xdr:col>30</xdr:col>
      <xdr:colOff>18389</xdr:colOff>
      <xdr:row>214</xdr:row>
      <xdr:rowOff>152400</xdr:rowOff>
    </xdr:to>
    <xdr:pic>
      <xdr:nvPicPr>
        <xdr:cNvPr id="21" name="Image 19">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20"/>
        <a:stretch/>
      </xdr:blipFill>
      <xdr:spPr bwMode="auto">
        <a:xfrm>
          <a:off x="21962074" y="40125649"/>
          <a:ext cx="3316615" cy="3511550"/>
        </a:xfrm>
        <a:prstGeom prst="rect">
          <a:avLst/>
        </a:prstGeom>
        <a:noFill/>
      </xdr:spPr>
    </xdr:pic>
    <xdr:clientData/>
  </xdr:twoCellAnchor>
  <xdr:twoCellAnchor editAs="oneCell">
    <xdr:from>
      <xdr:col>28</xdr:col>
      <xdr:colOff>593125</xdr:colOff>
      <xdr:row>197</xdr:row>
      <xdr:rowOff>19183</xdr:rowOff>
    </xdr:from>
    <xdr:to>
      <xdr:col>33</xdr:col>
      <xdr:colOff>119076</xdr:colOff>
      <xdr:row>212</xdr:row>
      <xdr:rowOff>128197</xdr:rowOff>
    </xdr:to>
    <xdr:pic>
      <xdr:nvPicPr>
        <xdr:cNvPr id="22" name="Image 20">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21"/>
        <a:stretch/>
      </xdr:blipFill>
      <xdr:spPr bwMode="auto">
        <a:xfrm>
          <a:off x="23656325" y="40049583"/>
          <a:ext cx="4199551" cy="3157015"/>
        </a:xfrm>
        <a:prstGeom prst="rect">
          <a:avLst/>
        </a:prstGeom>
        <a:noFill/>
      </xdr:spPr>
    </xdr:pic>
    <xdr:clientData/>
  </xdr:twoCellAnchor>
  <xdr:twoCellAnchor editAs="oneCell">
    <xdr:from>
      <xdr:col>1</xdr:col>
      <xdr:colOff>0</xdr:colOff>
      <xdr:row>220</xdr:row>
      <xdr:rowOff>0</xdr:rowOff>
    </xdr:from>
    <xdr:to>
      <xdr:col>7</xdr:col>
      <xdr:colOff>520608</xdr:colOff>
      <xdr:row>243</xdr:row>
      <xdr:rowOff>160020</xdr:rowOff>
    </xdr:to>
    <xdr:pic>
      <xdr:nvPicPr>
        <xdr:cNvPr id="23" name="Image 21">
          <a:extLst>
            <a:ext uri="{FF2B5EF4-FFF2-40B4-BE49-F238E27FC236}">
              <a16:creationId xmlns:a16="http://schemas.microsoft.com/office/drawing/2014/main" id="{00000000-0008-0000-0500-000017000000}"/>
            </a:ext>
          </a:extLst>
        </xdr:cNvPr>
        <xdr:cNvPicPr>
          <a:picLocks noChangeAspect="1" noChangeArrowheads="1"/>
        </xdr:cNvPicPr>
      </xdr:nvPicPr>
      <xdr:blipFill>
        <a:blip xmlns:r="http://schemas.openxmlformats.org/officeDocument/2006/relationships" r:embed="rId22"/>
        <a:stretch/>
      </xdr:blipFill>
      <xdr:spPr bwMode="auto">
        <a:xfrm>
          <a:off x="825500" y="44704000"/>
          <a:ext cx="5473609" cy="4833620"/>
        </a:xfrm>
        <a:prstGeom prst="rect">
          <a:avLst/>
        </a:prstGeom>
        <a:noFill/>
      </xdr:spPr>
    </xdr:pic>
    <xdr:clientData/>
  </xdr:twoCellAnchor>
  <xdr:twoCellAnchor editAs="oneCell">
    <xdr:from>
      <xdr:col>1</xdr:col>
      <xdr:colOff>304800</xdr:colOff>
      <xdr:row>221</xdr:row>
      <xdr:rowOff>99060</xdr:rowOff>
    </xdr:from>
    <xdr:to>
      <xdr:col>7</xdr:col>
      <xdr:colOff>687626</xdr:colOff>
      <xdr:row>242</xdr:row>
      <xdr:rowOff>137160</xdr:rowOff>
    </xdr:to>
    <xdr:pic>
      <xdr:nvPicPr>
        <xdr:cNvPr id="24" name="Image 22">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23"/>
        <a:stretch/>
      </xdr:blipFill>
      <xdr:spPr bwMode="auto">
        <a:xfrm>
          <a:off x="1130300" y="45006260"/>
          <a:ext cx="5335826" cy="4305300"/>
        </a:xfrm>
        <a:prstGeom prst="rect">
          <a:avLst/>
        </a:prstGeom>
        <a:noFill/>
      </xdr:spPr>
    </xdr:pic>
    <xdr:clientData/>
  </xdr:twoCellAnchor>
  <xdr:twoCellAnchor editAs="oneCell">
    <xdr:from>
      <xdr:col>1</xdr:col>
      <xdr:colOff>518159</xdr:colOff>
      <xdr:row>222</xdr:row>
      <xdr:rowOff>149062</xdr:rowOff>
    </xdr:from>
    <xdr:to>
      <xdr:col>7</xdr:col>
      <xdr:colOff>571500</xdr:colOff>
      <xdr:row>243</xdr:row>
      <xdr:rowOff>99058</xdr:rowOff>
    </xdr:to>
    <xdr:pic>
      <xdr:nvPicPr>
        <xdr:cNvPr id="25" name="Image 23">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24"/>
        <a:stretch/>
      </xdr:blipFill>
      <xdr:spPr bwMode="auto">
        <a:xfrm>
          <a:off x="1343660" y="45259462"/>
          <a:ext cx="5006340" cy="4217197"/>
        </a:xfrm>
        <a:prstGeom prst="rect">
          <a:avLst/>
        </a:prstGeom>
        <a:noFill/>
      </xdr:spPr>
    </xdr:pic>
    <xdr:clientData/>
  </xdr:twoCellAnchor>
  <xdr:twoCellAnchor editAs="oneCell">
    <xdr:from>
      <xdr:col>1</xdr:col>
      <xdr:colOff>708660</xdr:colOff>
      <xdr:row>224</xdr:row>
      <xdr:rowOff>45720</xdr:rowOff>
    </xdr:from>
    <xdr:to>
      <xdr:col>7</xdr:col>
      <xdr:colOff>535298</xdr:colOff>
      <xdr:row>243</xdr:row>
      <xdr:rowOff>167640</xdr:rowOff>
    </xdr:to>
    <xdr:pic>
      <xdr:nvPicPr>
        <xdr:cNvPr id="26" name="Image 24">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25"/>
        <a:stretch/>
      </xdr:blipFill>
      <xdr:spPr bwMode="auto">
        <a:xfrm>
          <a:off x="1534159" y="45562520"/>
          <a:ext cx="4779638" cy="3982720"/>
        </a:xfrm>
        <a:prstGeom prst="rect">
          <a:avLst/>
        </a:prstGeom>
        <a:noFill/>
      </xdr:spPr>
    </xdr:pic>
    <xdr:clientData/>
  </xdr:twoCellAnchor>
  <xdr:twoCellAnchor editAs="oneCell">
    <xdr:from>
      <xdr:col>1</xdr:col>
      <xdr:colOff>259976</xdr:colOff>
      <xdr:row>246</xdr:row>
      <xdr:rowOff>116542</xdr:rowOff>
    </xdr:from>
    <xdr:to>
      <xdr:col>6</xdr:col>
      <xdr:colOff>526676</xdr:colOff>
      <xdr:row>267</xdr:row>
      <xdr:rowOff>185122</xdr:rowOff>
    </xdr:to>
    <xdr:pic>
      <xdr:nvPicPr>
        <xdr:cNvPr id="27" name="Image 25">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26"/>
        <a:stretch/>
      </xdr:blipFill>
      <xdr:spPr bwMode="auto">
        <a:xfrm>
          <a:off x="1085476" y="50103742"/>
          <a:ext cx="4394200" cy="4335780"/>
        </a:xfrm>
        <a:prstGeom prst="rect">
          <a:avLst/>
        </a:prstGeom>
        <a:noFill/>
      </xdr:spPr>
    </xdr:pic>
    <xdr:clientData/>
  </xdr:twoCellAnchor>
  <xdr:twoCellAnchor editAs="oneCell">
    <xdr:from>
      <xdr:col>2</xdr:col>
      <xdr:colOff>358588</xdr:colOff>
      <xdr:row>248</xdr:row>
      <xdr:rowOff>179294</xdr:rowOff>
    </xdr:from>
    <xdr:to>
      <xdr:col>7</xdr:col>
      <xdr:colOff>655768</xdr:colOff>
      <xdr:row>272</xdr:row>
      <xdr:rowOff>81131</xdr:rowOff>
    </xdr:to>
    <xdr:pic>
      <xdr:nvPicPr>
        <xdr:cNvPr id="28" name="Image 26">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27"/>
        <a:stretch/>
      </xdr:blipFill>
      <xdr:spPr bwMode="auto">
        <a:xfrm>
          <a:off x="2009587" y="50572894"/>
          <a:ext cx="4424680" cy="4778637"/>
        </a:xfrm>
        <a:prstGeom prst="rect">
          <a:avLst/>
        </a:prstGeom>
        <a:noFill/>
      </xdr:spPr>
    </xdr:pic>
    <xdr:clientData/>
  </xdr:twoCellAnchor>
  <xdr:twoCellAnchor editAs="oneCell">
    <xdr:from>
      <xdr:col>1</xdr:col>
      <xdr:colOff>185057</xdr:colOff>
      <xdr:row>274</xdr:row>
      <xdr:rowOff>160083</xdr:rowOff>
    </xdr:from>
    <xdr:to>
      <xdr:col>6</xdr:col>
      <xdr:colOff>451757</xdr:colOff>
      <xdr:row>287</xdr:row>
      <xdr:rowOff>138119</xdr:rowOff>
    </xdr:to>
    <xdr:pic>
      <xdr:nvPicPr>
        <xdr:cNvPr id="29" name="Image 27">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28"/>
        <a:stretch/>
      </xdr:blipFill>
      <xdr:spPr bwMode="auto">
        <a:xfrm>
          <a:off x="1010557" y="55836883"/>
          <a:ext cx="4394200" cy="2619636"/>
        </a:xfrm>
        <a:prstGeom prst="rect">
          <a:avLst/>
        </a:prstGeom>
        <a:noFill/>
      </xdr:spPr>
    </xdr:pic>
    <xdr:clientData/>
  </xdr:twoCellAnchor>
  <xdr:twoCellAnchor editAs="oneCell">
    <xdr:from>
      <xdr:col>1</xdr:col>
      <xdr:colOff>403412</xdr:colOff>
      <xdr:row>276</xdr:row>
      <xdr:rowOff>44825</xdr:rowOff>
    </xdr:from>
    <xdr:to>
      <xdr:col>6</xdr:col>
      <xdr:colOff>670113</xdr:colOff>
      <xdr:row>288</xdr:row>
      <xdr:rowOff>105783</xdr:rowOff>
    </xdr:to>
    <xdr:pic>
      <xdr:nvPicPr>
        <xdr:cNvPr id="30" name="Image 28">
          <a:extLst>
            <a:ext uri="{FF2B5EF4-FFF2-40B4-BE49-F238E27FC236}">
              <a16:creationId xmlns:a16="http://schemas.microsoft.com/office/drawing/2014/main" id="{00000000-0008-0000-0500-00001E000000}"/>
            </a:ext>
          </a:extLst>
        </xdr:cNvPr>
        <xdr:cNvPicPr>
          <a:picLocks noChangeAspect="1" noChangeArrowheads="1"/>
        </xdr:cNvPicPr>
      </xdr:nvPicPr>
      <xdr:blipFill>
        <a:blip xmlns:r="http://schemas.openxmlformats.org/officeDocument/2006/relationships" r:embed="rId29"/>
        <a:stretch/>
      </xdr:blipFill>
      <xdr:spPr bwMode="auto">
        <a:xfrm>
          <a:off x="1228912" y="56128025"/>
          <a:ext cx="4394201" cy="2499360"/>
        </a:xfrm>
        <a:prstGeom prst="rect">
          <a:avLst/>
        </a:prstGeom>
        <a:noFill/>
      </xdr:spPr>
    </xdr:pic>
    <xdr:clientData/>
  </xdr:twoCellAnchor>
  <xdr:twoCellAnchor editAs="oneCell">
    <xdr:from>
      <xdr:col>1</xdr:col>
      <xdr:colOff>744070</xdr:colOff>
      <xdr:row>277</xdr:row>
      <xdr:rowOff>62752</xdr:rowOff>
    </xdr:from>
    <xdr:to>
      <xdr:col>6</xdr:col>
      <xdr:colOff>797411</xdr:colOff>
      <xdr:row>289</xdr:row>
      <xdr:rowOff>56029</xdr:rowOff>
    </xdr:to>
    <xdr:pic>
      <xdr:nvPicPr>
        <xdr:cNvPr id="31" name="Image 29">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30"/>
        <a:stretch/>
      </xdr:blipFill>
      <xdr:spPr bwMode="auto">
        <a:xfrm>
          <a:off x="1569570" y="56349153"/>
          <a:ext cx="4180841" cy="2431676"/>
        </a:xfrm>
        <a:prstGeom prst="rect">
          <a:avLst/>
        </a:prstGeom>
        <a:noFill/>
      </xdr:spPr>
    </xdr:pic>
    <xdr:clientData/>
  </xdr:twoCellAnchor>
  <xdr:twoCellAnchor editAs="oneCell">
    <xdr:from>
      <xdr:col>2</xdr:col>
      <xdr:colOff>130627</xdr:colOff>
      <xdr:row>278</xdr:row>
      <xdr:rowOff>130627</xdr:rowOff>
    </xdr:from>
    <xdr:to>
      <xdr:col>7</xdr:col>
      <xdr:colOff>214448</xdr:colOff>
      <xdr:row>290</xdr:row>
      <xdr:rowOff>102322</xdr:rowOff>
    </xdr:to>
    <xdr:pic>
      <xdr:nvPicPr>
        <xdr:cNvPr id="32" name="Image 30">
          <a:extLst>
            <a:ext uri="{FF2B5EF4-FFF2-40B4-BE49-F238E27FC236}">
              <a16:creationId xmlns:a16="http://schemas.microsoft.com/office/drawing/2014/main" id="{00000000-0008-0000-0500-000020000000}"/>
            </a:ext>
          </a:extLst>
        </xdr:cNvPr>
        <xdr:cNvPicPr>
          <a:picLocks noChangeAspect="1" noChangeArrowheads="1"/>
        </xdr:cNvPicPr>
      </xdr:nvPicPr>
      <xdr:blipFill>
        <a:blip xmlns:r="http://schemas.openxmlformats.org/officeDocument/2006/relationships" r:embed="rId31"/>
        <a:stretch/>
      </xdr:blipFill>
      <xdr:spPr bwMode="auto">
        <a:xfrm>
          <a:off x="1781628" y="56620228"/>
          <a:ext cx="4211320" cy="2410096"/>
        </a:xfrm>
        <a:prstGeom prst="rect">
          <a:avLst/>
        </a:prstGeom>
        <a:noFill/>
      </xdr:spPr>
    </xdr:pic>
    <xdr:clientData/>
  </xdr:twoCellAnchor>
  <xdr:twoCellAnchor editAs="oneCell">
    <xdr:from>
      <xdr:col>2</xdr:col>
      <xdr:colOff>348341</xdr:colOff>
      <xdr:row>280</xdr:row>
      <xdr:rowOff>0</xdr:rowOff>
    </xdr:from>
    <xdr:to>
      <xdr:col>7</xdr:col>
      <xdr:colOff>432162</xdr:colOff>
      <xdr:row>292</xdr:row>
      <xdr:rowOff>53340</xdr:rowOff>
    </xdr:to>
    <xdr:pic>
      <xdr:nvPicPr>
        <xdr:cNvPr id="33" name="Image 31">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32"/>
        <a:stretch/>
      </xdr:blipFill>
      <xdr:spPr bwMode="auto">
        <a:xfrm>
          <a:off x="1999342" y="56896000"/>
          <a:ext cx="4211320" cy="2491740"/>
        </a:xfrm>
        <a:prstGeom prst="rect">
          <a:avLst/>
        </a:prstGeom>
        <a:noFill/>
      </xdr:spPr>
    </xdr:pic>
    <xdr:clientData/>
  </xdr:twoCellAnchor>
  <xdr:twoCellAnchor editAs="oneCell">
    <xdr:from>
      <xdr:col>0</xdr:col>
      <xdr:colOff>337457</xdr:colOff>
      <xdr:row>359</xdr:row>
      <xdr:rowOff>174172</xdr:rowOff>
    </xdr:from>
    <xdr:to>
      <xdr:col>8</xdr:col>
      <xdr:colOff>695596</xdr:colOff>
      <xdr:row>382</xdr:row>
      <xdr:rowOff>69670</xdr:rowOff>
    </xdr:to>
    <xdr:pic>
      <xdr:nvPicPr>
        <xdr:cNvPr id="34" name="Image 32">
          <a:extLst>
            <a:ext uri="{FF2B5EF4-FFF2-40B4-BE49-F238E27FC236}">
              <a16:creationId xmlns:a16="http://schemas.microsoft.com/office/drawing/2014/main" id="{00000000-0008-0000-0500-000022000000}"/>
            </a:ext>
          </a:extLst>
        </xdr:cNvPr>
        <xdr:cNvPicPr>
          <a:picLocks noChangeAspect="1" noChangeArrowheads="1"/>
        </xdr:cNvPicPr>
      </xdr:nvPicPr>
      <xdr:blipFill>
        <a:blip xmlns:r="http://schemas.openxmlformats.org/officeDocument/2006/relationships" r:embed="rId33"/>
        <a:stretch/>
      </xdr:blipFill>
      <xdr:spPr bwMode="auto">
        <a:xfrm>
          <a:off x="337457" y="73122972"/>
          <a:ext cx="6962140" cy="4569098"/>
        </a:xfrm>
        <a:prstGeom prst="rect">
          <a:avLst/>
        </a:prstGeom>
        <a:noFill/>
      </xdr:spPr>
    </xdr:pic>
    <xdr:clientData/>
  </xdr:twoCellAnchor>
  <xdr:twoCellAnchor editAs="oneCell">
    <xdr:from>
      <xdr:col>0</xdr:col>
      <xdr:colOff>729342</xdr:colOff>
      <xdr:row>360</xdr:row>
      <xdr:rowOff>10886</xdr:rowOff>
    </xdr:from>
    <xdr:to>
      <xdr:col>9</xdr:col>
      <xdr:colOff>177438</xdr:colOff>
      <xdr:row>382</xdr:row>
      <xdr:rowOff>186146</xdr:rowOff>
    </xdr:to>
    <xdr:pic>
      <xdr:nvPicPr>
        <xdr:cNvPr id="35" name="Image 33">
          <a:extLst>
            <a:ext uri="{FF2B5EF4-FFF2-40B4-BE49-F238E27FC236}">
              <a16:creationId xmlns:a16="http://schemas.microsoft.com/office/drawing/2014/main" id="{00000000-0008-0000-0500-000023000000}"/>
            </a:ext>
          </a:extLst>
        </xdr:cNvPr>
        <xdr:cNvPicPr>
          <a:picLocks noChangeAspect="1" noChangeArrowheads="1"/>
        </xdr:cNvPicPr>
      </xdr:nvPicPr>
      <xdr:blipFill>
        <a:blip xmlns:r="http://schemas.openxmlformats.org/officeDocument/2006/relationships" r:embed="rId34"/>
        <a:stretch/>
      </xdr:blipFill>
      <xdr:spPr bwMode="auto">
        <a:xfrm>
          <a:off x="729343" y="73162886"/>
          <a:ext cx="6877595" cy="4645660"/>
        </a:xfrm>
        <a:prstGeom prst="rect">
          <a:avLst/>
        </a:prstGeom>
        <a:noFill/>
      </xdr:spPr>
    </xdr:pic>
    <xdr:clientData/>
  </xdr:twoCellAnchor>
  <xdr:twoCellAnchor editAs="oneCell">
    <xdr:from>
      <xdr:col>1</xdr:col>
      <xdr:colOff>141514</xdr:colOff>
      <xdr:row>360</xdr:row>
      <xdr:rowOff>0</xdr:rowOff>
    </xdr:from>
    <xdr:to>
      <xdr:col>10</xdr:col>
      <xdr:colOff>103414</xdr:colOff>
      <xdr:row>383</xdr:row>
      <xdr:rowOff>175260</xdr:rowOff>
    </xdr:to>
    <xdr:pic>
      <xdr:nvPicPr>
        <xdr:cNvPr id="36" name="Image 34">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35"/>
        <a:stretch/>
      </xdr:blipFill>
      <xdr:spPr bwMode="auto">
        <a:xfrm>
          <a:off x="967014" y="73152000"/>
          <a:ext cx="7391400" cy="4848860"/>
        </a:xfrm>
        <a:prstGeom prst="rect">
          <a:avLst/>
        </a:prstGeom>
        <a:noFill/>
      </xdr:spPr>
    </xdr:pic>
    <xdr:clientData/>
  </xdr:twoCellAnchor>
  <xdr:twoCellAnchor editAs="oneCell">
    <xdr:from>
      <xdr:col>0</xdr:col>
      <xdr:colOff>500742</xdr:colOff>
      <xdr:row>379</xdr:row>
      <xdr:rowOff>97971</xdr:rowOff>
    </xdr:from>
    <xdr:to>
      <xdr:col>7</xdr:col>
      <xdr:colOff>661905</xdr:colOff>
      <xdr:row>392</xdr:row>
      <xdr:rowOff>84047</xdr:rowOff>
    </xdr:to>
    <xdr:pic>
      <xdr:nvPicPr>
        <xdr:cNvPr id="37" name="Image 35">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6"/>
        <a:stretch/>
      </xdr:blipFill>
      <xdr:spPr bwMode="auto">
        <a:xfrm>
          <a:off x="500743" y="77110771"/>
          <a:ext cx="5939662" cy="2627676"/>
        </a:xfrm>
        <a:prstGeom prst="rect">
          <a:avLst/>
        </a:prstGeom>
      </xdr:spPr>
    </xdr:pic>
    <xdr:clientData/>
  </xdr:twoCellAnchor>
  <xdr:twoCellAnchor editAs="oneCell">
    <xdr:from>
      <xdr:col>0</xdr:col>
      <xdr:colOff>0</xdr:colOff>
      <xdr:row>417</xdr:row>
      <xdr:rowOff>81642</xdr:rowOff>
    </xdr:from>
    <xdr:to>
      <xdr:col>9</xdr:col>
      <xdr:colOff>17689</xdr:colOff>
      <xdr:row>439</xdr:row>
      <xdr:rowOff>10884</xdr:rowOff>
    </xdr:to>
    <xdr:pic>
      <xdr:nvPicPr>
        <xdr:cNvPr id="38" name="Image 37">
          <a:extLst>
            <a:ext uri="{FF2B5EF4-FFF2-40B4-BE49-F238E27FC236}">
              <a16:creationId xmlns:a16="http://schemas.microsoft.com/office/drawing/2014/main" id="{00000000-0008-0000-0500-000026000000}"/>
            </a:ext>
          </a:extLst>
        </xdr:cNvPr>
        <xdr:cNvPicPr>
          <a:picLocks noChangeAspect="1" noChangeArrowheads="1"/>
        </xdr:cNvPicPr>
      </xdr:nvPicPr>
      <xdr:blipFill>
        <a:blip xmlns:r="http://schemas.openxmlformats.org/officeDocument/2006/relationships" r:embed="rId37"/>
        <a:stretch/>
      </xdr:blipFill>
      <xdr:spPr bwMode="auto">
        <a:xfrm>
          <a:off x="0" y="84816041"/>
          <a:ext cx="7447189" cy="4399643"/>
        </a:xfrm>
        <a:prstGeom prst="rect">
          <a:avLst/>
        </a:prstGeom>
        <a:noFill/>
      </xdr:spPr>
    </xdr:pic>
    <xdr:clientData/>
  </xdr:twoCellAnchor>
  <xdr:twoCellAnchor editAs="oneCell">
    <xdr:from>
      <xdr:col>0</xdr:col>
      <xdr:colOff>0</xdr:colOff>
      <xdr:row>423</xdr:row>
      <xdr:rowOff>95250</xdr:rowOff>
    </xdr:from>
    <xdr:to>
      <xdr:col>8</xdr:col>
      <xdr:colOff>741590</xdr:colOff>
      <xdr:row>444</xdr:row>
      <xdr:rowOff>114300</xdr:rowOff>
    </xdr:to>
    <xdr:pic>
      <xdr:nvPicPr>
        <xdr:cNvPr id="39" name="Image 38">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38"/>
        <a:stretch/>
      </xdr:blipFill>
      <xdr:spPr bwMode="auto">
        <a:xfrm>
          <a:off x="0" y="86048850"/>
          <a:ext cx="7345590" cy="4286250"/>
        </a:xfrm>
        <a:prstGeom prst="rect">
          <a:avLst/>
        </a:prstGeom>
        <a:noFill/>
      </xdr:spPr>
    </xdr:pic>
    <xdr:clientData/>
  </xdr:twoCellAnchor>
  <xdr:twoCellAnchor editAs="oneCell">
    <xdr:from>
      <xdr:col>0</xdr:col>
      <xdr:colOff>1</xdr:colOff>
      <xdr:row>428</xdr:row>
      <xdr:rowOff>176895</xdr:rowOff>
    </xdr:from>
    <xdr:to>
      <xdr:col>8</xdr:col>
      <xdr:colOff>469576</xdr:colOff>
      <xdr:row>448</xdr:row>
      <xdr:rowOff>176894</xdr:rowOff>
    </xdr:to>
    <xdr:pic>
      <xdr:nvPicPr>
        <xdr:cNvPr id="40" name="Image 39">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39"/>
        <a:stretch/>
      </xdr:blipFill>
      <xdr:spPr bwMode="auto">
        <a:xfrm>
          <a:off x="1" y="87146495"/>
          <a:ext cx="7073575" cy="4063999"/>
        </a:xfrm>
        <a:prstGeom prst="rect">
          <a:avLst/>
        </a:prstGeom>
        <a:noFill/>
      </xdr:spPr>
    </xdr:pic>
    <xdr:clientData/>
  </xdr:twoCellAnchor>
  <xdr:twoCellAnchor editAs="oneCell">
    <xdr:from>
      <xdr:col>0</xdr:col>
      <xdr:colOff>0</xdr:colOff>
      <xdr:row>433</xdr:row>
      <xdr:rowOff>40823</xdr:rowOff>
    </xdr:from>
    <xdr:to>
      <xdr:col>8</xdr:col>
      <xdr:colOff>1346</xdr:colOff>
      <xdr:row>451</xdr:row>
      <xdr:rowOff>108858</xdr:rowOff>
    </xdr:to>
    <xdr:pic>
      <xdr:nvPicPr>
        <xdr:cNvPr id="41" name="Image 40">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40"/>
        <a:stretch/>
      </xdr:blipFill>
      <xdr:spPr bwMode="auto">
        <a:xfrm>
          <a:off x="0" y="88026423"/>
          <a:ext cx="6605346" cy="3725636"/>
        </a:xfrm>
        <a:prstGeom prst="rect">
          <a:avLst/>
        </a:prstGeom>
        <a:noFill/>
      </xdr:spPr>
    </xdr:pic>
    <xdr:clientData/>
  </xdr:twoCellAnchor>
  <xdr:twoCellAnchor editAs="oneCell">
    <xdr:from>
      <xdr:col>0</xdr:col>
      <xdr:colOff>87086</xdr:colOff>
      <xdr:row>453</xdr:row>
      <xdr:rowOff>76200</xdr:rowOff>
    </xdr:from>
    <xdr:to>
      <xdr:col>7</xdr:col>
      <xdr:colOff>53340</xdr:colOff>
      <xdr:row>471</xdr:row>
      <xdr:rowOff>190500</xdr:rowOff>
    </xdr:to>
    <xdr:pic>
      <xdr:nvPicPr>
        <xdr:cNvPr id="42" name="Image 41">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41"/>
        <a:stretch/>
      </xdr:blipFill>
      <xdr:spPr bwMode="auto">
        <a:xfrm>
          <a:off x="87086" y="92125800"/>
          <a:ext cx="5744754" cy="3771900"/>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database_substitution_metaanalysis.v5.v6.QC7_AV.xlsx" TargetMode="External"/><Relationship Id="rId1" Type="http://schemas.openxmlformats.org/officeDocument/2006/relationships/externalLinkPath" Target="/Users/valade/EcoSols_Nextcloud2/Substitution/Metaanalysis/Data_extraction/V7_QC/database_substitution_metaanalysis.v5.v6.QC7_AV.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database_substitution_metaanalysis.v5.v6.QC7_KN2805.xlsx" TargetMode="External"/><Relationship Id="rId1" Type="http://schemas.openxmlformats.org/officeDocument/2006/relationships/externalLinkPath" Target="/Users/valade/EcoSols_Nextcloud2/Substitution/Metaanalysis/Data_extraction/V7_QC/database_substitution_metaanalysis.v5.v6.QC7_KN2805.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assignment/database_substitution_metaanalysis.v5.v6.QC7.init.xlsx" TargetMode="External"/><Relationship Id="rId1" Type="http://schemas.openxmlformats.org/officeDocument/2006/relationships/externalLinkPath" Target="/Users/valade/EcoSols_Nextcloud2/Substitution/Metaanalysis/Data_extraction/V7_QC/assignment/database_substitution_metaanalysis.v5.v6.QC7.init.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database_substitution_metaanalysis.v5.v6.QC7_SL.xlsx" TargetMode="External"/><Relationship Id="rId1" Type="http://schemas.openxmlformats.org/officeDocument/2006/relationships/externalLinkPath" Target="/Users/valade/EcoSols_Nextcloud2/Substitution/Metaanalysis/Data_extraction/V7_QC/database_substitution_metaanalysis.v5.v6.QC7_SL.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Users/valade/Documents/GitHub/Wood-Carbon/rawData/database_substitution_metaanalysis.v5.v6.QC7.init.xlsx" TargetMode="External"/><Relationship Id="rId1" Type="http://schemas.openxmlformats.org/officeDocument/2006/relationships/externalLinkPath" Target="database_substitution_metaanalysis.v5.v6.QC7.ini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_extractions"/>
      <sheetName val="QC_indicators"/>
      <sheetName val="TO DO"/>
    </sheetNames>
    <sheetDataSet>
      <sheetData sheetId="0"/>
      <sheetData sheetId="1"/>
      <sheetData sheetId="2"/>
      <sheetData sheetId="3"/>
      <sheetData sheetId="4"/>
      <sheetData sheetId="5"/>
      <sheetData sheetId="6"/>
      <sheetData sheetId="7">
        <row r="1">
          <cell r="B1">
            <v>-776.37754144405631</v>
          </cell>
          <cell r="C1">
            <v>7576.0701064399027</v>
          </cell>
        </row>
        <row r="2">
          <cell r="B2">
            <v>1.0543044868334877</v>
          </cell>
          <cell r="C2">
            <v>3.3613684057037871</v>
          </cell>
        </row>
      </sheetData>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
      <sheetName val="QC_indicators"/>
      <sheetName val="TO DO"/>
    </sheetNames>
    <sheetDataSet>
      <sheetData sheetId="0"/>
      <sheetData sheetId="1"/>
      <sheetData sheetId="2"/>
      <sheetData sheetId="3"/>
      <sheetData sheetId="4"/>
      <sheetData sheetId="5"/>
      <sheetData sheetId="6"/>
      <sheetData sheetId="7">
        <row r="1">
          <cell r="B1">
            <v>0.37295525093000825</v>
          </cell>
          <cell r="C1">
            <v>2.6877997053052463</v>
          </cell>
        </row>
        <row r="2">
          <cell r="B2">
            <v>0.64039315597979518</v>
          </cell>
          <cell r="C2">
            <v>0.56852465477793612</v>
          </cell>
        </row>
      </sheetData>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
      <sheetName val="QC_indicators"/>
      <sheetName val="TO DO"/>
    </sheetNames>
    <sheetDataSet>
      <sheetData sheetId="0"/>
      <sheetData sheetId="1"/>
      <sheetData sheetId="2"/>
      <sheetData sheetId="3"/>
      <sheetData sheetId="4"/>
      <sheetData sheetId="5"/>
      <sheetData sheetId="6"/>
      <sheetData sheetId="7">
        <row r="1">
          <cell r="B1">
            <v>1.0775197499982896E-2</v>
          </cell>
          <cell r="C1">
            <v>1.8910205397060962</v>
          </cell>
        </row>
        <row r="2">
          <cell r="B2">
            <v>1.095600793497254</v>
          </cell>
          <cell r="C2">
            <v>17.240381284500241</v>
          </cell>
        </row>
      </sheetData>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
      <sheetName val="QC_indicators"/>
      <sheetName val="TO DO"/>
    </sheetNames>
    <sheetDataSet>
      <sheetData sheetId="0"/>
      <sheetData sheetId="1"/>
      <sheetData sheetId="2"/>
      <sheetData sheetId="3"/>
      <sheetData sheetId="4"/>
      <sheetData sheetId="5"/>
      <sheetData sheetId="6"/>
      <sheetData sheetId="7">
        <row r="1">
          <cell r="B1">
            <v>-1.8997365780877833E-2</v>
          </cell>
          <cell r="C1">
            <v>1.6411993046763687</v>
          </cell>
        </row>
        <row r="2">
          <cell r="B2">
            <v>0.79395189651467302</v>
          </cell>
          <cell r="C2">
            <v>5.7175504813569882</v>
          </cell>
        </row>
      </sheetData>
      <sheetData sheetId="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
      <sheetName val="QC_indicators"/>
      <sheetName val="TO DO"/>
    </sheetNames>
    <sheetDataSet>
      <sheetData sheetId="0"/>
      <sheetData sheetId="1"/>
      <sheetData sheetId="2"/>
      <sheetData sheetId="3"/>
      <sheetData sheetId="4"/>
      <sheetData sheetId="5"/>
      <sheetData sheetId="6"/>
      <sheetData sheetId="7">
        <row r="1">
          <cell r="B1">
            <v>1.0775197499982896E-2</v>
          </cell>
          <cell r="C1">
            <v>1.8910205397060962</v>
          </cell>
        </row>
        <row r="2">
          <cell r="B2">
            <v>1.095600793497254</v>
          </cell>
          <cell r="C2">
            <v>17.240381284500241</v>
          </cell>
        </row>
      </sheetData>
      <sheetData sheetId="8"/>
    </sheetDataSet>
  </externalBook>
</externalLink>
</file>

<file path=xl/persons/person.xml><?xml version="1.0" encoding="utf-8"?>
<personList xmlns="http://schemas.microsoft.com/office/spreadsheetml/2018/threadedcomments" xmlns:x="http://schemas.openxmlformats.org/spreadsheetml/2006/main">
  <person displayName="chaste" id="{B4A1B9F9-4F05-4929-52AF-3BFD274CC250}"/>
  <person displayName="Microsoft Office User" id="{C7A66F49-825B-E7AC-4D5D-DD5B3A1D23DA}"/>
  <person displayName="vbellassen" id="{9DD4F19F-4D62-70CC-6F05-7D4DA1931E33}"/>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D1026" personId="{B4A1B9F9-4F05-4929-52AF-3BFD274CC250}" id="{00DE0036-0060-421B-8E4B-00E500630047}" done="0">
    <text xml:space="preserve">Il y a aussi un scenario "Upstream" dont les données émissions sont disponibles mais pas les données Qwood. Fait-on la somme des autres Qwood? 
</text>
  </threadedComment>
  <threadedComment ref="DO1026" personId="{B4A1B9F9-4F05-4929-52AF-3BFD274CC250}" id="{00270063-00AA-4C40-B979-000800430066}" done="0">
    <text xml:space="preserve">They evaluated reductions in carbon emissions by substituting wood for fossil fuels for energy production = scenario "heavy oil". See page 8 of the document: 
"We evaluated reductions in carbon emissions by substituting wood for fossil fuels for energy production. Assuming the displacement of heavy oil, we calculated the substitution amounts (L) of heavy oil by multiplying the energy use amounts (m3) of logging residues; wood residues from processing, construction, and furniture production; and waste wood after use in building and furniture by the specific gravity in absolute dry condition (t/m3) (see Table S-1) and the calorific value of wood (GJ/t) (Kayo et al., 2011). We then divided that product by the calorific value of heavy oil (GJ/L) (Kayo et al.,2011). We estimated reductions of carbon emissions (tC) from heavy oil consumption by multiplying the displaced amounts (L) of heavy oil by the carbon emission intensity (tC/L) for the combustion of heavy oil (Kayo et al., 2011)."
But this scenario is not well explicited in the document with explicit values so this requires some calculations. I put values for this substitution evaluated in the Onglet "Kayo_2014", lines 23 and 45 extracted from Figure 4 and 5.
</text>
  </threadedComment>
  <threadedComment ref="AD1106" personId="{B4A1B9F9-4F05-4929-52AF-3BFD274CC250}" id="{007B00A0-002F-43CD-9B94-007100A60047}" done="0">
    <text xml:space="preserve">Il y a un scenario de machine manuelle et machine motorisée mais il n'y a pas les résultats pour les deux (partie 2.2.2). C'est un scénario mixte alors je ne sais pas si je dois l'indiquer. 
</text>
  </threadedComment>
  <threadedComment ref="EB1113" personId="{B4A1B9F9-4F05-4929-52AF-3BFD274CC250}" id="{00C40065-0007-457C-AB2B-009800900003}" done="0">
    <text xml:space="preserve">The scope of this study includes forest growth and cultivation, collection and processing of wood products and by-products, densification (chipping and bundling) and combustion in bioenergy facility to generate electricity.
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ext>
  </threadedComment>
  <threadedComment ref="EC1113" personId="{B4A1B9F9-4F05-4929-52AF-3BFD274CC250}" id="{00110064-0039-4EAB-80D9-0003004B006A}" done="0">
    <text xml:space="preserve">The scope of this study includes forest growth and cultivation, collection and processing of wood products and by-products, densification (chipping and bundling) and combustion in bioenergy facility to generate electricity.
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ext>
  </threadedComment>
  <threadedComment ref="DX1116" personId="{B4A1B9F9-4F05-4929-52AF-3BFD274CC250}" id="{005D00E3-0093-4D16-8B68-002F006C007C}" done="0">
    <text xml:space="preserve">Juste aboveground
</text>
  </threadedComment>
  <threadedComment ref="V1116" personId="{B4A1B9F9-4F05-4929-52AF-3BFD274CC250}" id="{00870082-0006-4C84-B620-006600550039}" done="0">
    <text xml:space="preserve">J'ai mis oui ici car entre 
</text>
  </threadedComment>
  <threadedComment ref="DX1117" personId="{B4A1B9F9-4F05-4929-52AF-3BFD274CC250}" id="{008C00D7-009B-4B21-B96F-0035001A0096}" done="0">
    <text xml:space="preserve">Juste aboveground
</text>
  </threadedComment>
  <threadedComment ref="DX1118" personId="{B4A1B9F9-4F05-4929-52AF-3BFD274CC250}" id="{009000A2-0075-4314-825E-001100DA00E6}" done="0">
    <text xml:space="preserve">Juste aboveground
</text>
  </threadedComment>
  <threadedComment ref="DX1119" personId="{B4A1B9F9-4F05-4929-52AF-3BFD274CC250}" id="{009E0054-0030-4264-B934-004D00D100E1}" done="0">
    <text xml:space="preserve">Juste aboveground
</text>
  </threadedComment>
  <threadedComment ref="DX1588" personId="{B4A1B9F9-4F05-4929-52AF-3BFD274CC250}" id="{00570091-0027-42C1-9526-00A500BA0085}" done="0">
    <text xml:space="preserve">Juste aboveground
</text>
  </threadedComment>
  <threadedComment ref="V1588" personId="{B4A1B9F9-4F05-4929-52AF-3BFD274CC250}" id="{004700EF-0041-4F61-82E0-006A00C60041}" done="0">
    <text xml:space="preserve">j'ai mis oui dans ce cas là car entre les deux pays ce qui change c'est les importations de bois et donc ce qui est extrait sur place
</text>
  </threadedComment>
  <threadedComment ref="DX1589" personId="{B4A1B9F9-4F05-4929-52AF-3BFD274CC250}" id="{005700C0-007A-4676-8B85-00D80000001C}" done="0">
    <text xml:space="preserve">Juste aboveground
</text>
  </threadedComment>
  <threadedComment ref="DX1590" personId="{B4A1B9F9-4F05-4929-52AF-3BFD274CC250}" id="{00C3004E-00A3-4F3E-8181-004F000D004C}" done="0">
    <text xml:space="preserve">Juste aboveground
</text>
  </threadedComment>
  <threadedComment ref="DX1591" personId="{B4A1B9F9-4F05-4929-52AF-3BFD274CC250}" id="{005C0076-005E-4D1A-97EC-00CD00F3005E}" done="0">
    <text xml:space="preserve">Juste aboveground
</text>
  </threadedComment>
  <threadedComment ref="DZ7" personId="{C7A66F49-825B-E7AC-4D5D-DD5B3A1D23DA}" id="{003E00CD-00AE-4422-B5D5-00BF00E10024}" done="0">
    <text xml:space="preserve">ie : C-neutrality of wood assumed = 0, C-emissions of wood at eol accounted = 1
</text>
  </threadedComment>
  <threadedComment ref="EA7" personId="{C7A66F49-825B-E7AC-4D5D-DD5B3A1D23DA}" id="{006C007C-002F-4F20-B8B1-006E00A600AE}" done="0">
    <text xml:space="preserve">accounts for avoided emissions,wood reuseor recycling outside of the lifetime of the product itself
</text>
  </threadedComment>
  <threadedComment ref="EB7" personId="{C7A66F49-825B-E7AC-4D5D-DD5B3A1D23DA}" id="{00CC003E-006B-456E-AD65-001D00CB003C}" done="0">
    <text xml:space="preserve">may be accounted for through the use of a displacement factor
</text>
  </threadedComment>
  <threadedComment ref="AF653" personId="{C7A66F49-825B-E7AC-4D5D-DD5B3A1D23DA}" id="{00DD0084-00A9-4338-AA26-004000E4002E}" done="0">
    <text xml:space="preserve">to be listed as a secondary driver
</text>
  </threadedComment>
  <threadedComment ref="AF654" personId="{C7A66F49-825B-E7AC-4D5D-DD5B3A1D23DA}" id="{00AC0038-00B8-45C0-BBCC-00AF0097006C}" done="0">
    <text xml:space="preserve">to be listed as a secondary driver
</text>
  </threadedComment>
  <threadedComment ref="M971" personId="{B4A1B9F9-4F05-4929-52AF-3BFD274CC250}" id="{008D00D5-0062-4869-9F4F-00EB000B005F}" done="0">
    <text xml:space="preserve">Hart et al. 2021
</text>
  </threadedComment>
  <threadedComment ref="M972" personId="{B4A1B9F9-4F05-4929-52AF-3BFD274CC250}" id="{00F100A4-00E1-4D42-8B8A-001300940043}" done="0">
    <text xml:space="preserve">Hart et al. 2021
</text>
  </threadedComment>
  <threadedComment ref="M973" personId="{B4A1B9F9-4F05-4929-52AF-3BFD274CC250}" id="{007E0014-0091-4E41-B67E-001500120087}" done="0">
    <text xml:space="preserve">Hart et al. 2021
</text>
  </threadedComment>
  <threadedComment ref="M974" personId="{B4A1B9F9-4F05-4929-52AF-3BFD274CC250}" id="{00FB0097-0036-449C-B525-00F80031005C}" done="0">
    <text xml:space="preserve">Hart et al. 2021
</text>
  </threadedComment>
  <threadedComment ref="M975" personId="{B4A1B9F9-4F05-4929-52AF-3BFD274CC250}" id="{00280038-004A-41E5-98D9-007500830041}" done="0">
    <text xml:space="preserve">Hart et al. 2021
</text>
  </threadedComment>
  <threadedComment ref="M976" personId="{B4A1B9F9-4F05-4929-52AF-3BFD274CC250}" id="{00B30012-0031-4E2C-8FFC-008D004B00DF}" done="0">
    <text xml:space="preserve">Hart et al. 2021
</text>
  </threadedComment>
  <threadedComment ref="EB992" personId="{B4A1B9F9-4F05-4929-52AF-3BFD274CC250}" id="{00160003-006F-4FB9-8562-005B00280044}" done="0">
    <text xml:space="preserve">Change on domestic demand
</text>
  </threadedComment>
  <threadedComment ref="DL993" personId="{B4A1B9F9-4F05-4929-52AF-3BFD274CC250}" id="{00740038-0078-4532-BD0F-00E100FC00A0}"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M993" personId="{B4A1B9F9-4F05-4929-52AF-3BFD274CC250}" id="{00D60008-0056-4AF7-8779-001E00AD00FB}" done="0">
    <text xml:space="preserve">page 4: 
Logging residue supply curves are based on regional supply curve functions estimated using the spatial allocation optimization routine described in Baker et al. (2018).
</text>
  </threadedComment>
  <threadedComment ref="DN993" personId="{B4A1B9F9-4F05-4929-52AF-3BFD274CC250}" id="{000B0082-000A-43C7-9AF8-00F8009600A2}" done="0">
    <text xml:space="preserve">reflecting of hauling forest biomass from plot to final demand point post-harvest.
</text>
  </threadedComment>
  <threadedComment ref="EB993" personId="{B4A1B9F9-4F05-4929-52AF-3BFD274CC250}" id="{00EC0002-0094-4E4C-8F8B-009100DD0032}" done="0">
    <text xml:space="preserve">Change on domestic demand
</text>
  </threadedComment>
  <threadedComment ref="DV994" personId="{B4A1B9F9-4F05-4929-52AF-3BFD274CC250}" id="{00570037-0060-4A5B-9D16-002800E30090}"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4" personId="{B4A1B9F9-4F05-4929-52AF-3BFD274CC250}" id="{004E00DB-0040-4DAC-81A5-00370055000D}" done="0">
    <text xml:space="preserve">page 4: 
Logging residue supply curves are based on regional supply curve functions estimated using the spatial allocation optimization routine described in Baker et al. (2018).
</text>
  </threadedComment>
  <threadedComment ref="DX994" personId="{B4A1B9F9-4F05-4929-52AF-3BFD274CC250}" id="{001000A9-009E-41DE-8B04-001C00D300D6}" done="0">
    <text xml:space="preserve">reflecting of hauling forest biomass from plot to final demand point post-harvest.
</text>
  </threadedComment>
  <threadedComment ref="DY994" personId="{B4A1B9F9-4F05-4929-52AF-3BFD274CC250}" id="{005F00B3-00FE-4BCE-B865-00FC003A007B}" done="0">
    <text xml:space="preserve">Je ne suis pas sûre
</text>
  </threadedComment>
  <threadedComment ref="EB994" personId="{B4A1B9F9-4F05-4929-52AF-3BFD274CC250}" id="{004A0094-0059-413C-B21F-002200DC00E1}" done="0">
    <text xml:space="preserve">Change on domestic demand
</text>
  </threadedComment>
  <threadedComment ref="DV995" personId="{B4A1B9F9-4F05-4929-52AF-3BFD274CC250}" id="{00E100A8-002A-400B-8BB2-004F00CB00AE}"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5" personId="{B4A1B9F9-4F05-4929-52AF-3BFD274CC250}" id="{00DF00EC-0028-4963-8234-007F00C500FE}" done="0">
    <text xml:space="preserve">page 4: 
Logging residue supply curves are based on regional supply curve functions estimated using the spatial allocation optimization routine described in Baker et al. (2018).
</text>
  </threadedComment>
  <threadedComment ref="DX995" personId="{B4A1B9F9-4F05-4929-52AF-3BFD274CC250}" id="{00C9008F-005A-44E7-B9C6-00A600E90062}" done="0">
    <text xml:space="preserve">reflecting of hauling forest biomass from plot to final demand point post-harvest.
</text>
  </threadedComment>
  <threadedComment ref="DY995" personId="{B4A1B9F9-4F05-4929-52AF-3BFD274CC250}" id="{00B900BC-009A-4E0A-825C-000600B10036}" done="0">
    <text xml:space="preserve">Je ne suis pas sûre
</text>
  </threadedComment>
  <threadedComment ref="EC995" personId="{B4A1B9F9-4F05-4929-52AF-3BFD274CC250}" id="{00340052-00BC-4436-A913-0013000B0065}" done="0">
    <text xml:space="preserve">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ext>
  </threadedComment>
  <threadedComment ref="Y995" personId="{B4A1B9F9-4F05-4929-52AF-3BFD274CC250}" id="{005B00C3-00FC-47F9-BA73-001000D10081}" done="0">
    <text xml:space="preserve">Change on domestic demand
</text>
  </threadedComment>
  <threadedComment ref="DV996" personId="{B4A1B9F9-4F05-4929-52AF-3BFD274CC250}" id="{00FA0096-001B-4FC4-BFEA-008C006A00E5}"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6" personId="{B4A1B9F9-4F05-4929-52AF-3BFD274CC250}" id="{009B0090-0029-4236-B3AC-006C009C00CD}" done="0">
    <text xml:space="preserve">page 4: 
Logging residue supply curves are based on regional supply curve functions estimated using the spatial allocation optimization routine described in Baker et al. (2018).
</text>
  </threadedComment>
  <threadedComment ref="DX996" personId="{B4A1B9F9-4F05-4929-52AF-3BFD274CC250}" id="{00E1009E-005F-4360-ACD1-000C00A40034}" done="0">
    <text xml:space="preserve">reflecting of hauling forest biomass from plot to final demand point post-harvest.
</text>
  </threadedComment>
  <threadedComment ref="DY996" personId="{B4A1B9F9-4F05-4929-52AF-3BFD274CC250}" id="{00900085-0089-4EAB-A222-00C500AE0030}" done="0">
    <text xml:space="preserve">Je ne suis pas sûre
</text>
  </threadedComment>
  <threadedComment ref="EC996" personId="{B4A1B9F9-4F05-4929-52AF-3BFD274CC250}" id="{00FA00B1-00F3-4D2D-A49A-005D001100F3}" done="0">
    <text xml:space="preserve">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ext>
  </threadedComment>
  <threadedComment ref="Y996" personId="{B4A1B9F9-4F05-4929-52AF-3BFD274CC250}" id="{007B0061-0062-4646-94B8-00D1001D008F}" done="0">
    <text xml:space="preserve">Change on domestic demand
</text>
  </threadedComment>
  <threadedComment ref="DV997" personId="{B4A1B9F9-4F05-4929-52AF-3BFD274CC250}" id="{00FD0047-0084-47CC-B6C9-00E5006D0006}"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7" personId="{B4A1B9F9-4F05-4929-52AF-3BFD274CC250}" id="{0088006E-00AC-4395-95C7-0027000C0032}" done="0">
    <text xml:space="preserve">page 4: 
Logging residue supply curves are based on regional supply curve functions estimated using the spatial allocation optimization routine described in Baker et al. (2018).
</text>
  </threadedComment>
  <threadedComment ref="DX997" personId="{B4A1B9F9-4F05-4929-52AF-3BFD274CC250}" id="{004E00E5-00F0-43BF-A9B1-003F00CB00BE}" done="0">
    <text xml:space="preserve">reflecting of hauling forest biomass from plot to final demand point post-harvest.
</text>
  </threadedComment>
  <threadedComment ref="DY997" personId="{B4A1B9F9-4F05-4929-52AF-3BFD274CC250}" id="{001E00CF-0075-4C18-8205-001400B6000E}" done="0">
    <text xml:space="preserve">Je ne suis pas sûre
</text>
  </threadedComment>
  <threadedComment ref="EC997" personId="{B4A1B9F9-4F05-4929-52AF-3BFD274CC250}" id="{006B00AC-00CB-4139-9E9A-008400B500E2}" done="0">
    <text xml:space="preserve">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ext>
  </threadedComment>
  <threadedComment ref="Y997" personId="{B4A1B9F9-4F05-4929-52AF-3BFD274CC250}" id="{003D00F6-00B7-487F-B561-004900D300D8}" done="0">
    <text xml:space="preserve">Change on domestic demand
</text>
  </threadedComment>
</ThreadedComments>
</file>

<file path=xl/threadedComments/threadedComment2.xml><?xml version="1.0" encoding="utf-8"?>
<ThreadedComments xmlns="http://schemas.microsoft.com/office/spreadsheetml/2018/threadedcomments" xmlns:x="http://schemas.openxmlformats.org/spreadsheetml/2006/main">
  <threadedComment ref="E2" personId="{9DD4F19F-4D62-70CC-6F05-7D4DA1931E33}" id="{00B60088-0080-489A-8313-00FA007800FE}" done="0">
    <text xml:space="preserve">400 pour du résineux mais pour du feuillu on est plutôt à 580. Moyenne des deux ?
</text>
  </threadedComment>
</ThreadedComments>
</file>

<file path=xl/worksheets/_rels/sheet1.xml.rels><?xml version="1.0" encoding="UTF-8" standalone="yes"?>
<Relationships xmlns="http://schemas.openxmlformats.org/package/2006/relationships"><Relationship Id="rId26" Type="http://schemas.openxmlformats.org/officeDocument/2006/relationships/hyperlink" Target="https://doi.org/10.1139/x03-020" TargetMode="External"/><Relationship Id="rId21" Type="http://schemas.openxmlformats.org/officeDocument/2006/relationships/hyperlink" Target="https://doi.org/10.1088/1748-9326/aaaa03" TargetMode="External"/><Relationship Id="rId34" Type="http://schemas.openxmlformats.org/officeDocument/2006/relationships/hyperlink" Target="https://doi.org/10.1139/x03-020" TargetMode="External"/><Relationship Id="rId42" Type="http://schemas.openxmlformats.org/officeDocument/2006/relationships/hyperlink" Target="https://doi.org/10.1111/j.1757-1707.2012.01161.x" TargetMode="External"/><Relationship Id="rId47" Type="http://schemas.openxmlformats.org/officeDocument/2006/relationships/hyperlink" Target="https://www.sciencedirect.com/science/article/abs/pii/S0306261913005771?via%3Dihub" TargetMode="External"/><Relationship Id="rId50" Type="http://schemas.openxmlformats.org/officeDocument/2006/relationships/hyperlink" Target="https://doi.org/10.1016/j.biombioe.2014.04.012" TargetMode="External"/><Relationship Id="rId55" Type="http://schemas.openxmlformats.org/officeDocument/2006/relationships/hyperlink" Target="https://doi.org/10.1016/j.biombioe.2014.04.012" TargetMode="External"/><Relationship Id="rId63" Type="http://schemas.openxmlformats.org/officeDocument/2006/relationships/hyperlink" Target="http://dx.doi.org/10.21660/2015.15.4239" TargetMode="External"/><Relationship Id="rId68" Type="http://schemas.microsoft.com/office/2017/10/relationships/threadedComment" Target="../threadedComments/threadedComment1.xml"/><Relationship Id="rId7" Type="http://schemas.openxmlformats.org/officeDocument/2006/relationships/hyperlink" Target="https://doi.org/10.1088/1748-9326/aaaa03" TargetMode="External"/><Relationship Id="rId2" Type="http://schemas.openxmlformats.org/officeDocument/2006/relationships/hyperlink" Target="https://doi.org/10.1088/1748-9326/aaaa03" TargetMode="External"/><Relationship Id="rId16" Type="http://schemas.openxmlformats.org/officeDocument/2006/relationships/hyperlink" Target="https://doi.org/10.1088/1748-9326/aaaa03" TargetMode="External"/><Relationship Id="rId29" Type="http://schemas.openxmlformats.org/officeDocument/2006/relationships/hyperlink" Target="https://doi.org/10.1016/S1462-9011(01)00044-2" TargetMode="External"/><Relationship Id="rId11" Type="http://schemas.openxmlformats.org/officeDocument/2006/relationships/hyperlink" Target="https://doi.org/10.1088/1748-9326/aaaa03" TargetMode="External"/><Relationship Id="rId24" Type="http://schemas.openxmlformats.org/officeDocument/2006/relationships/hyperlink" Target="https://doi.org/10.1088/1748-9326/aaaa03" TargetMode="External"/><Relationship Id="rId32" Type="http://schemas.openxmlformats.org/officeDocument/2006/relationships/hyperlink" Target="https://doi.org/10.1016/S1462-9011(01)00044-2" TargetMode="External"/><Relationship Id="rId37" Type="http://schemas.openxmlformats.org/officeDocument/2006/relationships/hyperlink" Target="https://doi.org/10.1139/x03-020" TargetMode="External"/><Relationship Id="rId40" Type="http://schemas.openxmlformats.org/officeDocument/2006/relationships/hyperlink" Target="https://doi.org/10.1139/X06-257" TargetMode="External"/><Relationship Id="rId45" Type="http://schemas.openxmlformats.org/officeDocument/2006/relationships/hyperlink" Target="https://www.sciencedirect.com/science/article/abs/pii/S0306261913005771?via%3Dihub" TargetMode="External"/><Relationship Id="rId53" Type="http://schemas.openxmlformats.org/officeDocument/2006/relationships/hyperlink" Target="https://doi.org/10.1016/j.biombioe.2014.04.012" TargetMode="External"/><Relationship Id="rId58" Type="http://schemas.openxmlformats.org/officeDocument/2006/relationships/hyperlink" Target="https://doi.org/10.1016/j.biombioe.2014.04.012" TargetMode="External"/><Relationship Id="rId66" Type="http://schemas.openxmlformats.org/officeDocument/2006/relationships/vmlDrawing" Target="../drawings/vmlDrawing1.vml"/><Relationship Id="rId5" Type="http://schemas.openxmlformats.org/officeDocument/2006/relationships/hyperlink" Target="https://doi.org/10.1088/1748-9326/aaaa03" TargetMode="External"/><Relationship Id="rId61" Type="http://schemas.openxmlformats.org/officeDocument/2006/relationships/hyperlink" Target="https://doi.org/10.1016/j.jenvman.2013.07.021" TargetMode="External"/><Relationship Id="rId19" Type="http://schemas.openxmlformats.org/officeDocument/2006/relationships/hyperlink" Target="https://doi.org/10.1088/1748-9326/aaaa03" TargetMode="External"/><Relationship Id="rId14" Type="http://schemas.openxmlformats.org/officeDocument/2006/relationships/hyperlink" Target="https://doi.org/10.1088/1748-9326/aaaa03" TargetMode="External"/><Relationship Id="rId22" Type="http://schemas.openxmlformats.org/officeDocument/2006/relationships/hyperlink" Target="https://doi.org/10.1088/1748-9326/aaaa03" TargetMode="External"/><Relationship Id="rId27" Type="http://schemas.openxmlformats.org/officeDocument/2006/relationships/hyperlink" Target="https://doi.org/10.1016/S1462-9011(01)00044-2" TargetMode="External"/><Relationship Id="rId30" Type="http://schemas.openxmlformats.org/officeDocument/2006/relationships/hyperlink" Target="https://doi.org/10.1016/S1462-9011(01)00044-2" TargetMode="External"/><Relationship Id="rId35" Type="http://schemas.openxmlformats.org/officeDocument/2006/relationships/hyperlink" Target="https://doi.org/10.1139/x03-020" TargetMode="External"/><Relationship Id="rId43" Type="http://schemas.openxmlformats.org/officeDocument/2006/relationships/hyperlink" Target="https://www.sciencedirect.com/science/article/abs/pii/S0306261913005771?via%3Dihub" TargetMode="External"/><Relationship Id="rId48" Type="http://schemas.openxmlformats.org/officeDocument/2006/relationships/hyperlink" Target="https://doi.org/10.1016/j.biombioe.2014.04.012" TargetMode="External"/><Relationship Id="rId56" Type="http://schemas.openxmlformats.org/officeDocument/2006/relationships/hyperlink" Target="https://doi.org/10.1016/j.biombioe.2014.04.012" TargetMode="External"/><Relationship Id="rId64" Type="http://schemas.openxmlformats.org/officeDocument/2006/relationships/hyperlink" Target="http://dx.doi.org/10.1023/A:1010655806130" TargetMode="External"/><Relationship Id="rId8" Type="http://schemas.openxmlformats.org/officeDocument/2006/relationships/hyperlink" Target="https://doi.org/10.1088/1748-9326/aaaa03" TargetMode="External"/><Relationship Id="rId51" Type="http://schemas.openxmlformats.org/officeDocument/2006/relationships/hyperlink" Target="https://doi.org/10.1016/j.biombioe.2014.04.012" TargetMode="External"/><Relationship Id="rId3" Type="http://schemas.openxmlformats.org/officeDocument/2006/relationships/hyperlink" Target="https://doi.org/10.1088/1748-9326/aaaa03" TargetMode="External"/><Relationship Id="rId12" Type="http://schemas.openxmlformats.org/officeDocument/2006/relationships/hyperlink" Target="https://doi.org/10.1088/1748-9326/aaaa03" TargetMode="External"/><Relationship Id="rId17" Type="http://schemas.openxmlformats.org/officeDocument/2006/relationships/hyperlink" Target="https://doi.org/10.1088/1748-9326/aaaa03" TargetMode="External"/><Relationship Id="rId25" Type="http://schemas.openxmlformats.org/officeDocument/2006/relationships/hyperlink" Target="https://doi.org/10.1016/j.apenergy.2014.10.013" TargetMode="External"/><Relationship Id="rId33" Type="http://schemas.openxmlformats.org/officeDocument/2006/relationships/hyperlink" Target="https://doi.org/10.1016/S1462-9011(01)00044-2" TargetMode="External"/><Relationship Id="rId38" Type="http://schemas.openxmlformats.org/officeDocument/2006/relationships/hyperlink" Target="https://doi.org/10.1139/x03-020" TargetMode="External"/><Relationship Id="rId46" Type="http://schemas.openxmlformats.org/officeDocument/2006/relationships/hyperlink" Target="https://www.sciencedirect.com/science/article/abs/pii/S0306261913005771?via%3Dihub" TargetMode="External"/><Relationship Id="rId59" Type="http://schemas.openxmlformats.org/officeDocument/2006/relationships/hyperlink" Target="https://doi.org/10.1016/j.biombioe.2014.04.012" TargetMode="External"/><Relationship Id="rId67" Type="http://schemas.openxmlformats.org/officeDocument/2006/relationships/comments" Target="../comments1.xml"/><Relationship Id="rId20" Type="http://schemas.openxmlformats.org/officeDocument/2006/relationships/hyperlink" Target="https://doi.org/10.1088/1748-9326/aaaa03" TargetMode="External"/><Relationship Id="rId41" Type="http://schemas.openxmlformats.org/officeDocument/2006/relationships/hyperlink" Target="https://doi.org/10.1139/X06-257" TargetMode="External"/><Relationship Id="rId54" Type="http://schemas.openxmlformats.org/officeDocument/2006/relationships/hyperlink" Target="https://doi.org/10.1016/j.biombioe.2014.04.012" TargetMode="External"/><Relationship Id="rId62" Type="http://schemas.openxmlformats.org/officeDocument/2006/relationships/hyperlink" Target="https://doi.org/10.1111/gcbb.12225" TargetMode="External"/><Relationship Id="rId1" Type="http://schemas.openxmlformats.org/officeDocument/2006/relationships/hyperlink" Target="https://doi.org/10.1088/1748-9326/aaaa03" TargetMode="External"/><Relationship Id="rId6" Type="http://schemas.openxmlformats.org/officeDocument/2006/relationships/hyperlink" Target="https://doi.org/10.1088/1748-9326/aaaa03" TargetMode="External"/><Relationship Id="rId15" Type="http://schemas.openxmlformats.org/officeDocument/2006/relationships/hyperlink" Target="https://doi.org/10.1088/1748-9326/aaaa03" TargetMode="External"/><Relationship Id="rId23" Type="http://schemas.openxmlformats.org/officeDocument/2006/relationships/hyperlink" Target="https://doi.org/10.1088/1748-9326/aaaa03" TargetMode="External"/><Relationship Id="rId28" Type="http://schemas.openxmlformats.org/officeDocument/2006/relationships/hyperlink" Target="https://doi.org/10.1016/S1462-9011(01)00044-2" TargetMode="External"/><Relationship Id="rId36" Type="http://schemas.openxmlformats.org/officeDocument/2006/relationships/hyperlink" Target="https://doi.org/10.1139/x03-020" TargetMode="External"/><Relationship Id="rId49" Type="http://schemas.openxmlformats.org/officeDocument/2006/relationships/hyperlink" Target="https://doi.org/10.1016/j.biombioe.2014.04.012" TargetMode="External"/><Relationship Id="rId57" Type="http://schemas.openxmlformats.org/officeDocument/2006/relationships/hyperlink" Target="https://doi.org/10.1016/j.biombioe.2014.04.012" TargetMode="External"/><Relationship Id="rId10" Type="http://schemas.openxmlformats.org/officeDocument/2006/relationships/hyperlink" Target="https://doi.org/10.1088/1748-9326/aaaa03" TargetMode="External"/><Relationship Id="rId31" Type="http://schemas.openxmlformats.org/officeDocument/2006/relationships/hyperlink" Target="https://doi.org/10.1016/S1462-9011(01)00044-2" TargetMode="External"/><Relationship Id="rId44" Type="http://schemas.openxmlformats.org/officeDocument/2006/relationships/hyperlink" Target="https://www.sciencedirect.com/science/article/abs/pii/S0306261913005771?via%3Dihub" TargetMode="External"/><Relationship Id="rId52" Type="http://schemas.openxmlformats.org/officeDocument/2006/relationships/hyperlink" Target="https://doi.org/10.1016/j.biombioe.2014.04.012" TargetMode="External"/><Relationship Id="rId60" Type="http://schemas.openxmlformats.org/officeDocument/2006/relationships/hyperlink" Target="http://dx.doi.org/10.22382/wfs-2018-011" TargetMode="External"/><Relationship Id="rId65" Type="http://schemas.openxmlformats.org/officeDocument/2006/relationships/hyperlink" Target="https://doi.org/10.1093/jof/109.s1.S7" TargetMode="External"/><Relationship Id="rId4" Type="http://schemas.openxmlformats.org/officeDocument/2006/relationships/hyperlink" Target="https://doi.org/10.1088/1748-9326/aaaa03" TargetMode="External"/><Relationship Id="rId9" Type="http://schemas.openxmlformats.org/officeDocument/2006/relationships/hyperlink" Target="https://doi.org/10.1088/1748-9326/aaaa03" TargetMode="External"/><Relationship Id="rId13" Type="http://schemas.openxmlformats.org/officeDocument/2006/relationships/hyperlink" Target="https://doi.org/10.1088/1748-9326/aaaa03" TargetMode="External"/><Relationship Id="rId18" Type="http://schemas.openxmlformats.org/officeDocument/2006/relationships/hyperlink" Target="https://doi.org/10.1088/1748-9326/aaaa03" TargetMode="External"/><Relationship Id="rId39" Type="http://schemas.openxmlformats.org/officeDocument/2006/relationships/hyperlink" Target="https://doi.org/10.1016/j.jenvman.2013.07.021" TargetMode="Externa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U1968"/>
  <sheetViews>
    <sheetView tabSelected="1" zoomScale="125" workbookViewId="0">
      <pane xSplit="13" ySplit="7" topLeftCell="S20" activePane="bottomRight" state="frozen"/>
      <selection activeCell="M1410" sqref="M1410"/>
      <selection pane="topRight"/>
      <selection pane="bottomLeft"/>
      <selection pane="bottomRight" activeCell="AA4" sqref="AA4"/>
    </sheetView>
  </sheetViews>
  <sheetFormatPr baseColWidth="10" defaultColWidth="10.6640625" defaultRowHeight="16"/>
  <cols>
    <col min="1" max="1" width="1.6640625" style="1" customWidth="1"/>
    <col min="2" max="2" width="2.83203125" customWidth="1"/>
    <col min="3" max="3" width="1.83203125" customWidth="1"/>
    <col min="4" max="4" width="2.83203125" customWidth="1"/>
    <col min="5" max="5" width="3.5" customWidth="1"/>
    <col min="6" max="6" width="3" customWidth="1"/>
    <col min="7" max="7" width="3.5" customWidth="1"/>
    <col min="8" max="9" width="3.6640625" customWidth="1"/>
    <col min="10" max="10" width="2.33203125" customWidth="1"/>
    <col min="11" max="11" width="2.83203125" customWidth="1"/>
    <col min="12" max="12" width="2.5" customWidth="1"/>
    <col min="13" max="13" width="19.33203125" customWidth="1"/>
    <col min="14" max="14" width="10.6640625" customWidth="1"/>
    <col min="17" max="17" width="10.83203125" bestFit="1" customWidth="1"/>
    <col min="18" max="18" width="10.83203125" style="2" customWidth="1"/>
    <col min="19" max="19" width="17.6640625" style="1" customWidth="1"/>
    <col min="20" max="20" width="20.6640625" customWidth="1"/>
    <col min="21" max="21" width="21.33203125" customWidth="1"/>
    <col min="22" max="49" width="3.33203125" customWidth="1"/>
    <col min="52" max="56" width="5.83203125" customWidth="1"/>
    <col min="57" max="57" width="14.6640625" style="3" customWidth="1"/>
    <col min="58" max="58" width="10.6640625" style="4"/>
    <col min="59" max="59" width="5.5" style="1" customWidth="1"/>
    <col min="60" max="60" width="7" customWidth="1"/>
    <col min="61" max="61" width="5.5" customWidth="1"/>
    <col min="62" max="62" width="4" customWidth="1"/>
    <col min="63" max="63" width="15.5" customWidth="1"/>
    <col min="64" max="64" width="12.83203125" customWidth="1"/>
    <col min="65" max="65" width="3.33203125" customWidth="1"/>
    <col min="66" max="66" width="6.1640625" customWidth="1"/>
    <col min="67" max="67" width="13" customWidth="1"/>
    <col min="68" max="68" width="12" customWidth="1"/>
    <col min="69" max="69" width="7.83203125" customWidth="1"/>
    <col min="70" max="70" width="3.1640625" customWidth="1"/>
    <col min="71" max="71" width="11.6640625" customWidth="1"/>
    <col min="72" max="72" width="12.5" customWidth="1"/>
    <col min="73" max="73" width="9.6640625" customWidth="1"/>
    <col min="74" max="74" width="10.1640625" customWidth="1"/>
    <col min="75" max="75" width="11.6640625" customWidth="1"/>
    <col min="76" max="76" width="13.6640625" customWidth="1"/>
    <col min="77" max="77" width="12.1640625" bestFit="1" customWidth="1"/>
    <col min="78" max="88" width="2.83203125" customWidth="1"/>
    <col min="89" max="89" width="18.6640625" bestFit="1" customWidth="1"/>
    <col min="90" max="90" width="17.83203125" bestFit="1" customWidth="1"/>
    <col min="91" max="91" width="19" bestFit="1" customWidth="1"/>
    <col min="92" max="94" width="10.6640625" style="3"/>
    <col min="95" max="95" width="13.33203125" style="3" bestFit="1" customWidth="1"/>
    <col min="96" max="97" width="10.6640625" style="3"/>
    <col min="98" max="99" width="13.6640625" style="3" customWidth="1"/>
    <col min="100" max="100" width="13.6640625" style="4" customWidth="1"/>
    <col min="101" max="101" width="10.6640625" style="1"/>
    <col min="102" max="102" width="15.6640625" style="3" bestFit="1" customWidth="1"/>
    <col min="107" max="107" width="15.6640625" style="3" bestFit="1" customWidth="1"/>
    <col min="113" max="113" width="5.33203125" style="3" customWidth="1"/>
    <col min="114" max="114" width="10.6640625" style="3"/>
    <col min="115" max="115" width="8.33203125" style="3" customWidth="1"/>
    <col min="116" max="116" width="5.83203125" style="3" customWidth="1"/>
    <col min="117" max="117" width="5.1640625" style="3" customWidth="1"/>
    <col min="118" max="118" width="5.6640625" style="3" customWidth="1"/>
    <col min="121" max="121" width="14.5" customWidth="1"/>
    <col min="123" max="123" width="18.1640625" customWidth="1"/>
    <col min="124" max="125" width="10.6640625" style="3"/>
    <col min="126" max="126" width="8.5" customWidth="1"/>
    <col min="127" max="127" width="6.6640625" customWidth="1"/>
    <col min="128" max="128" width="6.83203125" customWidth="1"/>
    <col min="129" max="129" width="6.6640625" customWidth="1"/>
    <col min="130" max="131" width="7.33203125" customWidth="1"/>
    <col min="132" max="132" width="6.5" customWidth="1"/>
    <col min="133" max="134" width="6.6640625" customWidth="1"/>
    <col min="135" max="135" width="7.83203125" customWidth="1"/>
    <col min="136" max="136" width="5.1640625" customWidth="1"/>
    <col min="137" max="137" width="4.33203125" customWidth="1"/>
    <col min="138" max="138" width="5.1640625" customWidth="1"/>
    <col min="139" max="139" width="7.1640625" style="2" customWidth="1"/>
    <col min="140" max="140" width="10.6640625" style="1"/>
    <col min="143" max="143" width="10.6640625" style="2"/>
    <col min="149" max="149" width="12.33203125" bestFit="1" customWidth="1"/>
  </cols>
  <sheetData>
    <row r="1" spans="1:151" s="5" customFormat="1">
      <c r="A1" s="6" t="s">
        <v>0</v>
      </c>
      <c r="B1" s="7" t="s">
        <v>0</v>
      </c>
      <c r="C1" s="7" t="s">
        <v>0</v>
      </c>
      <c r="D1" s="7" t="s">
        <v>0</v>
      </c>
      <c r="E1" s="7" t="s">
        <v>0</v>
      </c>
      <c r="F1" s="7" t="s">
        <v>0</v>
      </c>
      <c r="G1" s="7" t="s">
        <v>0</v>
      </c>
      <c r="H1" s="7" t="s">
        <v>0</v>
      </c>
      <c r="I1" s="7" t="s">
        <v>0</v>
      </c>
      <c r="J1" s="7" t="s">
        <v>0</v>
      </c>
      <c r="K1" s="7" t="s">
        <v>0</v>
      </c>
      <c r="L1" s="7" t="s">
        <v>0</v>
      </c>
      <c r="M1" s="7" t="s">
        <v>0</v>
      </c>
      <c r="N1" s="7" t="s">
        <v>0</v>
      </c>
      <c r="O1" s="8" t="s">
        <v>1</v>
      </c>
      <c r="P1" s="8" t="s">
        <v>1</v>
      </c>
      <c r="Q1" s="9"/>
      <c r="R1" s="10"/>
      <c r="S1" s="11" t="s">
        <v>2</v>
      </c>
      <c r="T1" s="12" t="s">
        <v>2</v>
      </c>
      <c r="U1" s="12" t="s">
        <v>2</v>
      </c>
      <c r="V1" s="12" t="s">
        <v>2</v>
      </c>
      <c r="W1" s="12" t="s">
        <v>2</v>
      </c>
      <c r="X1" s="12" t="s">
        <v>2</v>
      </c>
      <c r="Y1" s="12" t="s">
        <v>2</v>
      </c>
      <c r="Z1" s="12" t="s">
        <v>2</v>
      </c>
      <c r="AA1" s="12" t="s">
        <v>2</v>
      </c>
      <c r="AB1" s="12" t="s">
        <v>2</v>
      </c>
      <c r="AC1" s="12" t="s">
        <v>2</v>
      </c>
      <c r="AD1" s="12" t="s">
        <v>2</v>
      </c>
      <c r="AE1" s="12" t="s">
        <v>2</v>
      </c>
      <c r="AF1" s="12" t="s">
        <v>2</v>
      </c>
      <c r="AG1" s="12" t="s">
        <v>2</v>
      </c>
      <c r="AH1" s="12" t="s">
        <v>2</v>
      </c>
      <c r="AI1" s="12" t="s">
        <v>2</v>
      </c>
      <c r="AJ1" s="12" t="s">
        <v>2</v>
      </c>
      <c r="AK1" s="12" t="s">
        <v>2</v>
      </c>
      <c r="AL1" s="12" t="s">
        <v>2</v>
      </c>
      <c r="AM1" s="12" t="s">
        <v>2</v>
      </c>
      <c r="AN1" s="12" t="s">
        <v>2</v>
      </c>
      <c r="AO1" s="12" t="s">
        <v>2</v>
      </c>
      <c r="AP1" s="12" t="s">
        <v>2</v>
      </c>
      <c r="AQ1" s="12" t="s">
        <v>2</v>
      </c>
      <c r="AR1" s="12" t="s">
        <v>2</v>
      </c>
      <c r="AS1" s="12" t="s">
        <v>2</v>
      </c>
      <c r="AT1" s="12" t="s">
        <v>2</v>
      </c>
      <c r="AU1" s="12" t="s">
        <v>2</v>
      </c>
      <c r="AV1" s="12" t="s">
        <v>2</v>
      </c>
      <c r="AW1" s="12" t="s">
        <v>2</v>
      </c>
      <c r="AX1" s="12" t="s">
        <v>1</v>
      </c>
      <c r="AY1" s="12" t="s">
        <v>1</v>
      </c>
      <c r="AZ1" s="12"/>
      <c r="BA1" s="12"/>
      <c r="BB1" s="12"/>
      <c r="BC1" s="12" t="s">
        <v>1</v>
      </c>
      <c r="BD1" s="12" t="s">
        <v>1</v>
      </c>
      <c r="BE1" s="9" t="s">
        <v>2</v>
      </c>
      <c r="BF1" s="10" t="s">
        <v>2</v>
      </c>
      <c r="BG1" s="11" t="s">
        <v>3</v>
      </c>
      <c r="BH1" s="12" t="s">
        <v>3</v>
      </c>
      <c r="BI1" s="12"/>
      <c r="BJ1" s="12" t="s">
        <v>3</v>
      </c>
      <c r="BK1" s="12" t="s">
        <v>3</v>
      </c>
      <c r="BL1" s="12" t="s">
        <v>3</v>
      </c>
      <c r="BM1" s="12" t="s">
        <v>3</v>
      </c>
      <c r="BN1" s="12" t="s">
        <v>3</v>
      </c>
      <c r="BO1" s="12" t="s">
        <v>3</v>
      </c>
      <c r="BP1" s="12" t="s">
        <v>3</v>
      </c>
      <c r="BQ1" s="12"/>
      <c r="BR1" s="12" t="s">
        <v>3</v>
      </c>
      <c r="BS1" s="12" t="s">
        <v>3</v>
      </c>
      <c r="BT1" s="12" t="s">
        <v>3</v>
      </c>
      <c r="BU1" s="12" t="s">
        <v>3</v>
      </c>
      <c r="BV1" s="12" t="s">
        <v>3</v>
      </c>
      <c r="BW1" s="12"/>
      <c r="BX1" s="12" t="s">
        <v>3</v>
      </c>
      <c r="BY1" s="12" t="s">
        <v>3</v>
      </c>
      <c r="BZ1" s="12" t="s">
        <v>3</v>
      </c>
      <c r="CA1" s="12" t="s">
        <v>3</v>
      </c>
      <c r="CB1" s="12" t="s">
        <v>3</v>
      </c>
      <c r="CC1" s="12" t="s">
        <v>3</v>
      </c>
      <c r="CD1" s="12" t="s">
        <v>3</v>
      </c>
      <c r="CE1" s="12" t="s">
        <v>3</v>
      </c>
      <c r="CF1" s="12" t="s">
        <v>3</v>
      </c>
      <c r="CG1" s="12" t="s">
        <v>3</v>
      </c>
      <c r="CH1" s="12" t="s">
        <v>3</v>
      </c>
      <c r="CI1" s="12" t="s">
        <v>3</v>
      </c>
      <c r="CJ1" s="12" t="s">
        <v>3</v>
      </c>
      <c r="CK1" s="12" t="s">
        <v>3</v>
      </c>
      <c r="CL1" s="12" t="s">
        <v>3</v>
      </c>
      <c r="CM1" s="12" t="s">
        <v>3</v>
      </c>
      <c r="CN1" s="9" t="s">
        <v>3</v>
      </c>
      <c r="CO1" s="9" t="s">
        <v>3</v>
      </c>
      <c r="CP1" s="9" t="s">
        <v>3</v>
      </c>
      <c r="CQ1" s="9" t="s">
        <v>3</v>
      </c>
      <c r="CR1" s="9" t="s">
        <v>3</v>
      </c>
      <c r="CS1" s="9" t="s">
        <v>3</v>
      </c>
      <c r="CT1" s="9" t="s">
        <v>3</v>
      </c>
      <c r="CU1" s="9" t="s">
        <v>3</v>
      </c>
      <c r="CV1" s="10" t="s">
        <v>3</v>
      </c>
      <c r="CW1" s="13" t="s">
        <v>4</v>
      </c>
      <c r="CX1" s="14" t="s">
        <v>4</v>
      </c>
      <c r="CY1" s="14" t="s">
        <v>4</v>
      </c>
      <c r="CZ1" s="14" t="s">
        <v>4</v>
      </c>
      <c r="DA1" s="14" t="s">
        <v>4</v>
      </c>
      <c r="DB1" s="14" t="s">
        <v>4</v>
      </c>
      <c r="DC1" s="14" t="s">
        <v>4</v>
      </c>
      <c r="DD1" s="14" t="s">
        <v>4</v>
      </c>
      <c r="DE1" s="14" t="s">
        <v>4</v>
      </c>
      <c r="DF1" s="14" t="s">
        <v>4</v>
      </c>
      <c r="DG1" s="14" t="s">
        <v>4</v>
      </c>
      <c r="DH1" s="14" t="s">
        <v>4</v>
      </c>
      <c r="DI1" s="14" t="s">
        <v>4</v>
      </c>
      <c r="DJ1" s="14" t="s">
        <v>4</v>
      </c>
      <c r="DK1" s="14" t="s">
        <v>4</v>
      </c>
      <c r="DL1" s="14" t="s">
        <v>4</v>
      </c>
      <c r="DM1" s="14" t="s">
        <v>4</v>
      </c>
      <c r="DN1" s="14" t="s">
        <v>4</v>
      </c>
      <c r="DO1" s="14" t="s">
        <v>4</v>
      </c>
      <c r="DP1" s="14" t="s">
        <v>4</v>
      </c>
      <c r="DQ1" s="14" t="s">
        <v>4</v>
      </c>
      <c r="DR1" s="14" t="s">
        <v>4</v>
      </c>
      <c r="DS1" s="14" t="s">
        <v>4</v>
      </c>
      <c r="DT1" s="14" t="s">
        <v>4</v>
      </c>
      <c r="DU1" s="14" t="s">
        <v>4</v>
      </c>
      <c r="DV1" s="14" t="s">
        <v>4</v>
      </c>
      <c r="DW1" s="14" t="s">
        <v>4</v>
      </c>
      <c r="DX1" s="14" t="s">
        <v>4</v>
      </c>
      <c r="DY1" s="14" t="s">
        <v>4</v>
      </c>
      <c r="DZ1" s="14" t="s">
        <v>4</v>
      </c>
      <c r="EA1" s="14" t="s">
        <v>4</v>
      </c>
      <c r="EB1" s="14" t="s">
        <v>4</v>
      </c>
      <c r="EC1" s="14" t="s">
        <v>4</v>
      </c>
      <c r="ED1" s="14" t="s">
        <v>4</v>
      </c>
      <c r="EE1" s="14" t="s">
        <v>4</v>
      </c>
      <c r="EF1" s="15" t="s">
        <v>4</v>
      </c>
      <c r="EG1" s="15" t="s">
        <v>4</v>
      </c>
      <c r="EH1" s="15" t="s">
        <v>4</v>
      </c>
      <c r="EI1" s="16" t="s">
        <v>4</v>
      </c>
      <c r="EJ1" s="17"/>
      <c r="EK1" s="18"/>
      <c r="EL1" s="18"/>
      <c r="EM1" s="19"/>
      <c r="EN1" s="20" t="s">
        <v>1</v>
      </c>
      <c r="EO1" s="5" t="s">
        <v>1</v>
      </c>
      <c r="EP1" s="5" t="s">
        <v>1</v>
      </c>
      <c r="EQ1" s="5" t="s">
        <v>1</v>
      </c>
      <c r="ER1" s="5" t="s">
        <v>1</v>
      </c>
      <c r="ES1" s="21" t="s">
        <v>1</v>
      </c>
      <c r="ET1" s="20"/>
    </row>
    <row r="2" spans="1:151" s="22" customFormat="1" ht="26" hidden="1" customHeight="1">
      <c r="A2" s="23" t="s">
        <v>5</v>
      </c>
      <c r="B2" s="24" t="s">
        <v>5</v>
      </c>
      <c r="C2" s="24" t="s">
        <v>5</v>
      </c>
      <c r="D2" s="24" t="s">
        <v>5</v>
      </c>
      <c r="E2" s="24" t="s">
        <v>5</v>
      </c>
      <c r="F2" s="24" t="s">
        <v>5</v>
      </c>
      <c r="G2" s="24" t="s">
        <v>5</v>
      </c>
      <c r="H2" s="24" t="s">
        <v>5</v>
      </c>
      <c r="I2" s="24" t="s">
        <v>5</v>
      </c>
      <c r="J2" s="24" t="s">
        <v>5</v>
      </c>
      <c r="K2" s="24" t="s">
        <v>5</v>
      </c>
      <c r="L2" s="24" t="s">
        <v>5</v>
      </c>
      <c r="M2" s="24" t="s">
        <v>5</v>
      </c>
      <c r="N2" s="24" t="s">
        <v>1</v>
      </c>
      <c r="O2" s="25" t="s">
        <v>6</v>
      </c>
      <c r="P2" s="25" t="s">
        <v>7</v>
      </c>
      <c r="Q2" s="26" t="s">
        <v>8</v>
      </c>
      <c r="R2" s="27"/>
      <c r="S2" s="28" t="s">
        <v>9</v>
      </c>
      <c r="T2" s="29" t="s">
        <v>9</v>
      </c>
      <c r="U2" s="29" t="s">
        <v>9</v>
      </c>
      <c r="V2" s="30" t="s">
        <v>10</v>
      </c>
      <c r="W2" s="30" t="s">
        <v>10</v>
      </c>
      <c r="X2" s="30" t="s">
        <v>10</v>
      </c>
      <c r="Y2" s="30" t="s">
        <v>10</v>
      </c>
      <c r="Z2" s="30" t="s">
        <v>10</v>
      </c>
      <c r="AA2" s="30" t="s">
        <v>10</v>
      </c>
      <c r="AB2" s="30" t="s">
        <v>10</v>
      </c>
      <c r="AC2" s="30" t="s">
        <v>10</v>
      </c>
      <c r="AD2" s="30" t="s">
        <v>10</v>
      </c>
      <c r="AE2" s="30" t="s">
        <v>10</v>
      </c>
      <c r="AF2" s="30" t="s">
        <v>10</v>
      </c>
      <c r="AG2" s="30" t="s">
        <v>10</v>
      </c>
      <c r="AH2" s="30" t="s">
        <v>10</v>
      </c>
      <c r="AI2" s="30" t="s">
        <v>10</v>
      </c>
      <c r="AJ2" s="30" t="s">
        <v>10</v>
      </c>
      <c r="AK2" s="30" t="s">
        <v>10</v>
      </c>
      <c r="AL2" s="30" t="s">
        <v>10</v>
      </c>
      <c r="AM2" s="31" t="s">
        <v>11</v>
      </c>
      <c r="AN2" s="31" t="s">
        <v>11</v>
      </c>
      <c r="AO2" s="31" t="s">
        <v>11</v>
      </c>
      <c r="AP2" s="31" t="s">
        <v>11</v>
      </c>
      <c r="AQ2" s="31" t="s">
        <v>11</v>
      </c>
      <c r="AR2" s="31" t="s">
        <v>11</v>
      </c>
      <c r="AS2" s="31" t="s">
        <v>11</v>
      </c>
      <c r="AT2" s="31" t="s">
        <v>11</v>
      </c>
      <c r="AU2" s="31" t="s">
        <v>11</v>
      </c>
      <c r="AV2" s="31" t="s">
        <v>11</v>
      </c>
      <c r="AW2" s="31" t="s">
        <v>11</v>
      </c>
      <c r="AX2" s="25" t="s">
        <v>7</v>
      </c>
      <c r="AY2" s="32" t="s">
        <v>12</v>
      </c>
      <c r="AZ2" s="33"/>
      <c r="BA2" s="33"/>
      <c r="BB2" s="33"/>
      <c r="BC2" s="33" t="s">
        <v>12</v>
      </c>
      <c r="BD2" s="33" t="s">
        <v>12</v>
      </c>
      <c r="BE2" s="33" t="s">
        <v>9</v>
      </c>
      <c r="BF2" s="34" t="s">
        <v>9</v>
      </c>
      <c r="BG2" s="35" t="s">
        <v>13</v>
      </c>
      <c r="BH2" s="36" t="s">
        <v>13</v>
      </c>
      <c r="BI2" s="36"/>
      <c r="BJ2" s="36" t="s">
        <v>13</v>
      </c>
      <c r="BK2" s="36" t="s">
        <v>13</v>
      </c>
      <c r="BL2" s="36" t="s">
        <v>13</v>
      </c>
      <c r="BM2" s="36" t="s">
        <v>13</v>
      </c>
      <c r="BN2" s="36" t="s">
        <v>13</v>
      </c>
      <c r="BO2" s="36" t="s">
        <v>13</v>
      </c>
      <c r="BP2" s="36" t="s">
        <v>13</v>
      </c>
      <c r="BQ2" s="36"/>
      <c r="BR2" s="36" t="s">
        <v>13</v>
      </c>
      <c r="BS2" s="36" t="s">
        <v>13</v>
      </c>
      <c r="BT2" s="36" t="s">
        <v>13</v>
      </c>
      <c r="BU2" s="36" t="s">
        <v>13</v>
      </c>
      <c r="BV2" s="36" t="s">
        <v>13</v>
      </c>
      <c r="BW2" s="36"/>
      <c r="BX2" s="36" t="s">
        <v>13</v>
      </c>
      <c r="BY2" s="37"/>
      <c r="BZ2" s="38" t="s">
        <v>14</v>
      </c>
      <c r="CA2" s="38" t="s">
        <v>14</v>
      </c>
      <c r="CB2" s="38" t="s">
        <v>14</v>
      </c>
      <c r="CC2" s="38" t="s">
        <v>14</v>
      </c>
      <c r="CD2" s="38" t="s">
        <v>14</v>
      </c>
      <c r="CE2" s="38" t="s">
        <v>14</v>
      </c>
      <c r="CF2" s="38" t="s">
        <v>14</v>
      </c>
      <c r="CG2" s="38" t="s">
        <v>14</v>
      </c>
      <c r="CH2" s="38" t="s">
        <v>14</v>
      </c>
      <c r="CI2" s="38" t="s">
        <v>14</v>
      </c>
      <c r="CJ2" s="38" t="s">
        <v>14</v>
      </c>
      <c r="CK2" s="38" t="s">
        <v>14</v>
      </c>
      <c r="CL2" s="38" t="s">
        <v>14</v>
      </c>
      <c r="CM2" s="38" t="s">
        <v>14</v>
      </c>
      <c r="CN2" s="39" t="s">
        <v>15</v>
      </c>
      <c r="CO2" s="39" t="s">
        <v>15</v>
      </c>
      <c r="CP2" s="39" t="s">
        <v>15</v>
      </c>
      <c r="CQ2" s="39" t="s">
        <v>15</v>
      </c>
      <c r="CR2" s="39" t="s">
        <v>15</v>
      </c>
      <c r="CS2" s="39" t="s">
        <v>15</v>
      </c>
      <c r="CT2" s="39" t="s">
        <v>15</v>
      </c>
      <c r="CU2" s="39" t="s">
        <v>15</v>
      </c>
      <c r="CV2" s="40" t="s">
        <v>15</v>
      </c>
      <c r="CW2" s="41" t="s">
        <v>16</v>
      </c>
      <c r="CX2" s="42" t="s">
        <v>16</v>
      </c>
      <c r="CY2" s="42" t="s">
        <v>16</v>
      </c>
      <c r="CZ2" s="42" t="s">
        <v>16</v>
      </c>
      <c r="DA2" s="42" t="s">
        <v>16</v>
      </c>
      <c r="DB2" s="42" t="s">
        <v>16</v>
      </c>
      <c r="DC2" s="42" t="s">
        <v>16</v>
      </c>
      <c r="DD2" s="42" t="s">
        <v>16</v>
      </c>
      <c r="DE2" s="42" t="s">
        <v>16</v>
      </c>
      <c r="DF2" s="42" t="s">
        <v>16</v>
      </c>
      <c r="DG2" s="42" t="s">
        <v>16</v>
      </c>
      <c r="DH2" s="42" t="s">
        <v>16</v>
      </c>
      <c r="DI2" s="43" t="s">
        <v>12</v>
      </c>
      <c r="DJ2" s="42" t="s">
        <v>16</v>
      </c>
      <c r="DK2" s="42" t="s">
        <v>16</v>
      </c>
      <c r="DL2" s="42" t="s">
        <v>16</v>
      </c>
      <c r="DM2" s="42" t="s">
        <v>16</v>
      </c>
      <c r="DN2" s="42" t="s">
        <v>16</v>
      </c>
      <c r="DO2" s="44" t="s">
        <v>17</v>
      </c>
      <c r="DP2" s="44" t="s">
        <v>17</v>
      </c>
      <c r="DQ2" s="44" t="s">
        <v>18</v>
      </c>
      <c r="DR2" s="44" t="s">
        <v>18</v>
      </c>
      <c r="DS2" s="44" t="s">
        <v>18</v>
      </c>
      <c r="DT2" s="43" t="s">
        <v>12</v>
      </c>
      <c r="DU2" s="43" t="s">
        <v>7</v>
      </c>
      <c r="DV2" s="44" t="s">
        <v>17</v>
      </c>
      <c r="DW2" s="44" t="s">
        <v>17</v>
      </c>
      <c r="DX2" s="44" t="s">
        <v>17</v>
      </c>
      <c r="DY2" s="44" t="s">
        <v>17</v>
      </c>
      <c r="DZ2" s="44" t="s">
        <v>17</v>
      </c>
      <c r="EA2" s="44" t="s">
        <v>17</v>
      </c>
      <c r="EB2" s="44" t="s">
        <v>17</v>
      </c>
      <c r="EC2" s="44" t="s">
        <v>17</v>
      </c>
      <c r="ED2" s="44" t="s">
        <v>17</v>
      </c>
      <c r="EE2" s="44" t="s">
        <v>17</v>
      </c>
      <c r="EF2" s="44" t="s">
        <v>17</v>
      </c>
      <c r="EG2" s="44" t="s">
        <v>17</v>
      </c>
      <c r="EH2" s="44" t="s">
        <v>17</v>
      </c>
      <c r="EI2" s="45" t="s">
        <v>17</v>
      </c>
      <c r="EJ2" s="46"/>
      <c r="EK2" s="47"/>
      <c r="EL2" s="47"/>
      <c r="EM2" s="48"/>
      <c r="EN2" s="49" t="s">
        <v>7</v>
      </c>
      <c r="EO2" s="50" t="s">
        <v>7</v>
      </c>
      <c r="EP2" s="50" t="s">
        <v>7</v>
      </c>
      <c r="EQ2" s="50" t="s">
        <v>7</v>
      </c>
      <c r="ER2" s="50" t="s">
        <v>7</v>
      </c>
      <c r="ES2" s="51" t="s">
        <v>12</v>
      </c>
      <c r="ET2" s="52"/>
    </row>
    <row r="3" spans="1:151" s="22" customFormat="1" ht="16" hidden="1" customHeight="1">
      <c r="A3" s="23"/>
      <c r="B3" s="24"/>
      <c r="C3" s="24"/>
      <c r="D3" s="24"/>
      <c r="E3" s="24"/>
      <c r="F3" s="24"/>
      <c r="G3" s="24"/>
      <c r="H3" s="24"/>
      <c r="I3" s="24"/>
      <c r="J3" s="24"/>
      <c r="K3" s="24"/>
      <c r="L3" s="24"/>
      <c r="M3" s="24"/>
      <c r="N3" s="24"/>
      <c r="O3" s="25"/>
      <c r="P3" s="25"/>
      <c r="Q3" s="26"/>
      <c r="R3" s="27"/>
      <c r="S3" s="28"/>
      <c r="T3" s="29"/>
      <c r="U3" s="29"/>
      <c r="V3" s="30" t="s">
        <v>19</v>
      </c>
      <c r="W3" s="30" t="s">
        <v>19</v>
      </c>
      <c r="X3" s="30" t="s">
        <v>19</v>
      </c>
      <c r="Y3" s="30" t="s">
        <v>19</v>
      </c>
      <c r="Z3" s="30" t="s">
        <v>19</v>
      </c>
      <c r="AA3" s="30" t="s">
        <v>19</v>
      </c>
      <c r="AB3" s="30" t="s">
        <v>19</v>
      </c>
      <c r="AC3" s="30" t="s">
        <v>19</v>
      </c>
      <c r="AD3" s="30" t="s">
        <v>19</v>
      </c>
      <c r="AE3" s="30" t="s">
        <v>19</v>
      </c>
      <c r="AF3" s="30" t="s">
        <v>19</v>
      </c>
      <c r="AG3" s="30" t="s">
        <v>19</v>
      </c>
      <c r="AH3" s="30" t="s">
        <v>19</v>
      </c>
      <c r="AI3" s="30" t="s">
        <v>19</v>
      </c>
      <c r="AJ3" s="30" t="s">
        <v>19</v>
      </c>
      <c r="AK3" s="30" t="s">
        <v>19</v>
      </c>
      <c r="AL3" s="30" t="s">
        <v>19</v>
      </c>
      <c r="AM3" s="53" t="s">
        <v>20</v>
      </c>
      <c r="AN3" s="53" t="s">
        <v>20</v>
      </c>
      <c r="AO3" s="53" t="s">
        <v>20</v>
      </c>
      <c r="AP3" s="53" t="s">
        <v>20</v>
      </c>
      <c r="AQ3" s="53" t="s">
        <v>20</v>
      </c>
      <c r="AR3" s="53" t="s">
        <v>20</v>
      </c>
      <c r="AS3" s="53" t="s">
        <v>20</v>
      </c>
      <c r="AT3" s="53" t="s">
        <v>20</v>
      </c>
      <c r="AU3" s="53" t="s">
        <v>20</v>
      </c>
      <c r="AV3" s="53" t="s">
        <v>20</v>
      </c>
      <c r="AW3" s="53" t="s">
        <v>20</v>
      </c>
      <c r="AX3" s="25"/>
      <c r="AY3" s="32"/>
      <c r="AZ3" s="33"/>
      <c r="BA3" s="33"/>
      <c r="BB3" s="33"/>
      <c r="BC3" s="33"/>
      <c r="BD3" s="33"/>
      <c r="BE3" s="33"/>
      <c r="BF3" s="34"/>
      <c r="BG3" s="35"/>
      <c r="BH3" s="36"/>
      <c r="BI3" s="36"/>
      <c r="BJ3" s="36"/>
      <c r="BK3" s="36"/>
      <c r="BL3" s="36"/>
      <c r="BM3" s="36"/>
      <c r="BN3" s="36"/>
      <c r="BO3" s="36"/>
      <c r="BP3" s="36"/>
      <c r="BQ3" s="36"/>
      <c r="BR3" s="36"/>
      <c r="BS3" s="36"/>
      <c r="BT3" s="36"/>
      <c r="BU3" s="36"/>
      <c r="BV3" s="36"/>
      <c r="BW3" s="36"/>
      <c r="BX3" s="36"/>
      <c r="BY3" s="37"/>
      <c r="BZ3" s="38"/>
      <c r="CA3" s="38"/>
      <c r="CB3" s="38"/>
      <c r="CC3" s="38"/>
      <c r="CD3" s="38"/>
      <c r="CE3" s="38"/>
      <c r="CF3" s="38"/>
      <c r="CG3" s="38"/>
      <c r="CH3" s="38"/>
      <c r="CI3" s="38"/>
      <c r="CJ3" s="38"/>
      <c r="CK3" s="38"/>
      <c r="CL3" s="38"/>
      <c r="CM3" s="38"/>
      <c r="CN3" s="39"/>
      <c r="CO3" s="39"/>
      <c r="CP3" s="39"/>
      <c r="CQ3" s="39"/>
      <c r="CR3" s="39"/>
      <c r="CS3" s="39"/>
      <c r="CT3" s="39"/>
      <c r="CU3" s="39"/>
      <c r="CV3" s="40"/>
      <c r="CW3" s="41"/>
      <c r="CX3" s="42"/>
      <c r="CY3" s="42"/>
      <c r="CZ3" s="42"/>
      <c r="DA3" s="42"/>
      <c r="DB3" s="42"/>
      <c r="DC3" s="42"/>
      <c r="DD3" s="42"/>
      <c r="DE3" s="42"/>
      <c r="DF3" s="42"/>
      <c r="DG3" s="42"/>
      <c r="DH3" s="44"/>
      <c r="DI3" s="43" t="s">
        <v>21</v>
      </c>
      <c r="DJ3" s="43"/>
      <c r="DK3" s="43"/>
      <c r="DL3" s="43"/>
      <c r="DM3" s="43"/>
      <c r="DN3" s="43"/>
      <c r="DO3" s="44" t="s">
        <v>22</v>
      </c>
      <c r="DP3" s="44" t="s">
        <v>22</v>
      </c>
      <c r="DQ3" s="44" t="s">
        <v>22</v>
      </c>
      <c r="DR3" s="44" t="s">
        <v>22</v>
      </c>
      <c r="DS3" s="44" t="s">
        <v>22</v>
      </c>
      <c r="DT3" s="43" t="s">
        <v>21</v>
      </c>
      <c r="DU3" s="43"/>
      <c r="DV3" s="44" t="s">
        <v>22</v>
      </c>
      <c r="DW3" s="44" t="s">
        <v>22</v>
      </c>
      <c r="DX3" s="44" t="s">
        <v>22</v>
      </c>
      <c r="DY3" s="44" t="s">
        <v>22</v>
      </c>
      <c r="DZ3" s="44" t="s">
        <v>22</v>
      </c>
      <c r="EA3" s="44" t="s">
        <v>22</v>
      </c>
      <c r="EB3" s="44" t="s">
        <v>22</v>
      </c>
      <c r="EC3" s="44" t="s">
        <v>22</v>
      </c>
      <c r="ED3" s="44" t="s">
        <v>22</v>
      </c>
      <c r="EE3" s="44" t="s">
        <v>22</v>
      </c>
      <c r="EF3" s="44" t="s">
        <v>23</v>
      </c>
      <c r="EG3" s="44" t="s">
        <v>24</v>
      </c>
      <c r="EH3" s="44" t="s">
        <v>25</v>
      </c>
      <c r="EI3" s="45" t="s">
        <v>26</v>
      </c>
      <c r="EJ3" s="46"/>
      <c r="EK3" s="47"/>
      <c r="EL3" s="47"/>
      <c r="EM3" s="48"/>
      <c r="EN3" s="49"/>
      <c r="EO3" s="50"/>
      <c r="EP3" s="50"/>
      <c r="EQ3" s="50"/>
      <c r="ER3" s="50"/>
      <c r="ES3" s="51"/>
      <c r="ET3" s="52"/>
    </row>
    <row r="4" spans="1:151" s="22" customFormat="1" ht="170">
      <c r="A4" s="54" t="s">
        <v>27</v>
      </c>
      <c r="B4" s="55" t="s">
        <v>28</v>
      </c>
      <c r="C4" s="55" t="s">
        <v>28</v>
      </c>
      <c r="D4" s="55" t="s">
        <v>29</v>
      </c>
      <c r="E4" s="55" t="s">
        <v>28</v>
      </c>
      <c r="F4" s="55" t="s">
        <v>28</v>
      </c>
      <c r="G4" s="55" t="s">
        <v>30</v>
      </c>
      <c r="H4" s="55" t="s">
        <v>27</v>
      </c>
      <c r="I4" s="55" t="s">
        <v>27</v>
      </c>
      <c r="J4" s="55" t="s">
        <v>27</v>
      </c>
      <c r="K4" s="55" t="s">
        <v>27</v>
      </c>
      <c r="L4" s="55" t="s">
        <v>27</v>
      </c>
      <c r="M4" s="55" t="s">
        <v>29</v>
      </c>
      <c r="N4" s="56" t="s">
        <v>31</v>
      </c>
      <c r="O4" s="57" t="s">
        <v>32</v>
      </c>
      <c r="P4" s="58" t="s">
        <v>33</v>
      </c>
      <c r="Q4" s="59"/>
      <c r="R4" s="60"/>
      <c r="S4" s="61" t="s">
        <v>34</v>
      </c>
      <c r="T4" s="62" t="s">
        <v>34</v>
      </c>
      <c r="U4" s="63" t="s">
        <v>34</v>
      </c>
      <c r="V4" s="64" t="s">
        <v>5204</v>
      </c>
      <c r="W4" s="64" t="s">
        <v>5204</v>
      </c>
      <c r="X4" s="64" t="s">
        <v>5204</v>
      </c>
      <c r="Y4" s="64" t="s">
        <v>5204</v>
      </c>
      <c r="Z4" s="64" t="s">
        <v>5205</v>
      </c>
      <c r="AA4" s="64" t="s">
        <v>5205</v>
      </c>
      <c r="AB4" s="64" t="s">
        <v>5205</v>
      </c>
      <c r="AC4" s="64" t="s">
        <v>5205</v>
      </c>
      <c r="AD4" s="65" t="s">
        <v>35</v>
      </c>
      <c r="AE4" s="65" t="s">
        <v>35</v>
      </c>
      <c r="AF4" s="65" t="s">
        <v>35</v>
      </c>
      <c r="AG4" s="65" t="s">
        <v>35</v>
      </c>
      <c r="AH4" s="65" t="s">
        <v>35</v>
      </c>
      <c r="AI4" s="65" t="s">
        <v>35</v>
      </c>
      <c r="AJ4" s="66" t="s">
        <v>36</v>
      </c>
      <c r="AK4" s="66" t="s">
        <v>36</v>
      </c>
      <c r="AL4" s="66" t="s">
        <v>36</v>
      </c>
      <c r="AM4" s="31" t="s">
        <v>11</v>
      </c>
      <c r="AN4" s="31" t="s">
        <v>11</v>
      </c>
      <c r="AO4" s="31" t="s">
        <v>11</v>
      </c>
      <c r="AP4" s="31" t="s">
        <v>11</v>
      </c>
      <c r="AQ4" s="31" t="s">
        <v>11</v>
      </c>
      <c r="AR4" s="31" t="s">
        <v>11</v>
      </c>
      <c r="AS4" s="67" t="s">
        <v>37</v>
      </c>
      <c r="AT4" s="67" t="s">
        <v>37</v>
      </c>
      <c r="AU4" s="67" t="s">
        <v>37</v>
      </c>
      <c r="AV4" s="67" t="s">
        <v>37</v>
      </c>
      <c r="AW4" s="67" t="s">
        <v>37</v>
      </c>
      <c r="AX4" s="68" t="s">
        <v>12</v>
      </c>
      <c r="AY4" s="68" t="s">
        <v>38</v>
      </c>
      <c r="AZ4" s="69"/>
      <c r="BA4" s="69"/>
      <c r="BB4" s="69"/>
      <c r="BC4" s="69" t="s">
        <v>39</v>
      </c>
      <c r="BD4" s="69" t="s">
        <v>39</v>
      </c>
      <c r="BE4" s="70" t="s">
        <v>40</v>
      </c>
      <c r="BF4" s="71" t="s">
        <v>40</v>
      </c>
      <c r="BG4" s="72" t="s">
        <v>41</v>
      </c>
      <c r="BH4" s="73" t="s">
        <v>41</v>
      </c>
      <c r="BI4" s="73"/>
      <c r="BJ4" s="73" t="s">
        <v>41</v>
      </c>
      <c r="BK4" s="73" t="s">
        <v>41</v>
      </c>
      <c r="BL4" s="73" t="s">
        <v>41</v>
      </c>
      <c r="BM4" s="73" t="s">
        <v>41</v>
      </c>
      <c r="BN4" s="73" t="s">
        <v>41</v>
      </c>
      <c r="BO4" s="73" t="s">
        <v>41</v>
      </c>
      <c r="BP4" s="74" t="s">
        <v>42</v>
      </c>
      <c r="BQ4" s="74" t="s">
        <v>42</v>
      </c>
      <c r="BR4" s="74" t="s">
        <v>42</v>
      </c>
      <c r="BS4" s="74" t="s">
        <v>42</v>
      </c>
      <c r="BT4" s="74" t="s">
        <v>42</v>
      </c>
      <c r="BU4" s="74" t="s">
        <v>42</v>
      </c>
      <c r="BV4" s="74" t="s">
        <v>42</v>
      </c>
      <c r="BW4" s="74"/>
      <c r="BX4" s="74" t="s">
        <v>42</v>
      </c>
      <c r="BY4" s="75" t="s">
        <v>43</v>
      </c>
      <c r="BZ4" s="22" t="s">
        <v>44</v>
      </c>
      <c r="CA4" s="76" t="s">
        <v>45</v>
      </c>
      <c r="CB4" s="76" t="s">
        <v>45</v>
      </c>
      <c r="CC4" s="76" t="s">
        <v>45</v>
      </c>
      <c r="CD4" s="76" t="s">
        <v>45</v>
      </c>
      <c r="CE4" s="76" t="s">
        <v>45</v>
      </c>
      <c r="CF4" s="76" t="s">
        <v>45</v>
      </c>
      <c r="CG4" s="76" t="s">
        <v>46</v>
      </c>
      <c r="CH4" s="76" t="s">
        <v>46</v>
      </c>
      <c r="CI4" s="76" t="s">
        <v>46</v>
      </c>
      <c r="CJ4" s="76" t="s">
        <v>46</v>
      </c>
      <c r="CK4" s="76" t="s">
        <v>46</v>
      </c>
      <c r="CL4" s="76" t="s">
        <v>47</v>
      </c>
      <c r="CM4" s="76" t="s">
        <v>48</v>
      </c>
      <c r="CN4" s="77" t="s">
        <v>34</v>
      </c>
      <c r="CO4" s="39" t="s">
        <v>41</v>
      </c>
      <c r="CP4" s="77" t="s">
        <v>13</v>
      </c>
      <c r="CQ4" s="77" t="s">
        <v>13</v>
      </c>
      <c r="CR4" s="77" t="s">
        <v>13</v>
      </c>
      <c r="CS4" s="77" t="s">
        <v>13</v>
      </c>
      <c r="CT4" s="77" t="s">
        <v>13</v>
      </c>
      <c r="CU4" s="77" t="s">
        <v>13</v>
      </c>
      <c r="CV4" s="78" t="s">
        <v>13</v>
      </c>
      <c r="CW4" s="79" t="s">
        <v>49</v>
      </c>
      <c r="CX4" s="26" t="s">
        <v>49</v>
      </c>
      <c r="CY4" s="80" t="s">
        <v>49</v>
      </c>
      <c r="CZ4" s="80" t="s">
        <v>50</v>
      </c>
      <c r="DA4" s="80" t="s">
        <v>50</v>
      </c>
      <c r="DB4" s="80" t="s">
        <v>50</v>
      </c>
      <c r="DC4" s="81"/>
      <c r="DD4" s="42" t="s">
        <v>51</v>
      </c>
      <c r="DE4" s="42" t="s">
        <v>51</v>
      </c>
      <c r="DF4" s="42" t="s">
        <v>51</v>
      </c>
      <c r="DG4" s="42" t="s">
        <v>51</v>
      </c>
      <c r="DH4" s="44" t="s">
        <v>52</v>
      </c>
      <c r="DI4" s="43" t="s">
        <v>12</v>
      </c>
      <c r="DJ4" s="42" t="s">
        <v>51</v>
      </c>
      <c r="DK4" s="42" t="s">
        <v>51</v>
      </c>
      <c r="DL4" s="42" t="s">
        <v>51</v>
      </c>
      <c r="DM4" s="42" t="s">
        <v>51</v>
      </c>
      <c r="DN4" s="42" t="s">
        <v>51</v>
      </c>
      <c r="DO4" s="82" t="s">
        <v>53</v>
      </c>
      <c r="DP4" s="82" t="s">
        <v>53</v>
      </c>
      <c r="DQ4" s="82" t="s">
        <v>53</v>
      </c>
      <c r="DR4" s="82" t="s">
        <v>53</v>
      </c>
      <c r="DS4" s="82" t="s">
        <v>53</v>
      </c>
      <c r="DT4" s="43" t="s">
        <v>12</v>
      </c>
      <c r="DU4" s="25" t="s">
        <v>53</v>
      </c>
      <c r="DV4" s="83" t="s">
        <v>54</v>
      </c>
      <c r="DW4" s="83" t="s">
        <v>54</v>
      </c>
      <c r="DX4" s="83" t="s">
        <v>54</v>
      </c>
      <c r="DY4" s="83" t="s">
        <v>54</v>
      </c>
      <c r="DZ4" s="83" t="s">
        <v>54</v>
      </c>
      <c r="EA4" s="83" t="s">
        <v>54</v>
      </c>
      <c r="EB4" s="83" t="s">
        <v>54</v>
      </c>
      <c r="EC4" s="83" t="s">
        <v>54</v>
      </c>
      <c r="ED4" s="83" t="s">
        <v>54</v>
      </c>
      <c r="EE4" s="83" t="s">
        <v>54</v>
      </c>
      <c r="EF4" s="84" t="s">
        <v>55</v>
      </c>
      <c r="EG4" s="84" t="s">
        <v>55</v>
      </c>
      <c r="EH4" s="84" t="s">
        <v>55</v>
      </c>
      <c r="EI4" s="85" t="s">
        <v>55</v>
      </c>
      <c r="EJ4" s="46"/>
      <c r="EK4" s="47"/>
      <c r="EL4" s="47"/>
      <c r="EM4" s="48"/>
      <c r="EN4" s="86" t="s">
        <v>12</v>
      </c>
      <c r="EO4" s="87" t="s">
        <v>12</v>
      </c>
      <c r="EP4" s="87" t="s">
        <v>12</v>
      </c>
      <c r="EQ4" s="87" t="s">
        <v>12</v>
      </c>
      <c r="ER4" s="87" t="s">
        <v>12</v>
      </c>
      <c r="ES4" s="88" t="s">
        <v>56</v>
      </c>
      <c r="ET4" s="52"/>
    </row>
    <row r="5" spans="1:151" s="22" customFormat="1">
      <c r="A5" s="54"/>
      <c r="B5" s="55"/>
      <c r="C5" s="55"/>
      <c r="D5" s="55"/>
      <c r="E5" s="55"/>
      <c r="F5" s="55"/>
      <c r="G5" s="55"/>
      <c r="H5" s="55"/>
      <c r="I5" s="55"/>
      <c r="J5" s="55"/>
      <c r="K5" s="55"/>
      <c r="L5" s="55"/>
      <c r="M5" s="55"/>
      <c r="N5" s="56"/>
      <c r="O5" s="57"/>
      <c r="P5" s="58"/>
      <c r="Q5" s="59"/>
      <c r="R5" s="60"/>
      <c r="S5" s="61"/>
      <c r="T5" s="62"/>
      <c r="U5" s="63"/>
      <c r="V5" s="89" t="s">
        <v>57</v>
      </c>
      <c r="W5" s="89" t="s">
        <v>57</v>
      </c>
      <c r="X5" s="89" t="s">
        <v>57</v>
      </c>
      <c r="Y5" s="89" t="s">
        <v>57</v>
      </c>
      <c r="Z5" s="89" t="s">
        <v>57</v>
      </c>
      <c r="AA5" s="89" t="s">
        <v>57</v>
      </c>
      <c r="AB5" s="89" t="s">
        <v>57</v>
      </c>
      <c r="AC5" s="89" t="s">
        <v>57</v>
      </c>
      <c r="AD5" s="30" t="s">
        <v>19</v>
      </c>
      <c r="AE5" s="30" t="s">
        <v>19</v>
      </c>
      <c r="AF5" s="30" t="s">
        <v>19</v>
      </c>
      <c r="AG5" s="30" t="s">
        <v>19</v>
      </c>
      <c r="AH5" s="30" t="s">
        <v>19</v>
      </c>
      <c r="AI5" s="30" t="s">
        <v>19</v>
      </c>
      <c r="AJ5" s="90" t="s">
        <v>58</v>
      </c>
      <c r="AK5" s="90" t="s">
        <v>58</v>
      </c>
      <c r="AL5" s="90" t="s">
        <v>58</v>
      </c>
      <c r="AM5" s="53" t="s">
        <v>59</v>
      </c>
      <c r="AN5" s="53" t="s">
        <v>59</v>
      </c>
      <c r="AO5" s="53" t="s">
        <v>59</v>
      </c>
      <c r="AP5" s="53" t="s">
        <v>59</v>
      </c>
      <c r="AQ5" s="53" t="s">
        <v>59</v>
      </c>
      <c r="AR5" s="53" t="s">
        <v>59</v>
      </c>
      <c r="AS5" s="91" t="s">
        <v>60</v>
      </c>
      <c r="AT5" s="91" t="s">
        <v>60</v>
      </c>
      <c r="AU5" s="91" t="s">
        <v>60</v>
      </c>
      <c r="AV5" s="91" t="s">
        <v>60</v>
      </c>
      <c r="AW5" s="91" t="s">
        <v>60</v>
      </c>
      <c r="AX5" s="68"/>
      <c r="AY5" s="68"/>
      <c r="AZ5" s="69"/>
      <c r="BA5" s="69"/>
      <c r="BB5" s="69"/>
      <c r="BC5" s="69"/>
      <c r="BD5" s="69"/>
      <c r="BE5" s="70"/>
      <c r="BF5" s="71"/>
      <c r="BG5" s="72"/>
      <c r="BH5" s="73"/>
      <c r="BI5" s="73"/>
      <c r="BJ5" s="73"/>
      <c r="BK5" s="73"/>
      <c r="BL5" s="73"/>
      <c r="BM5" s="73"/>
      <c r="BN5" s="73"/>
      <c r="BO5" s="73"/>
      <c r="BP5" s="74"/>
      <c r="BQ5" s="74"/>
      <c r="BR5" s="74"/>
      <c r="BS5" s="74"/>
      <c r="BT5" s="74"/>
      <c r="BU5" s="74"/>
      <c r="BV5" s="74"/>
      <c r="BW5" s="74"/>
      <c r="BX5" s="74"/>
      <c r="BY5" s="75"/>
      <c r="CA5" s="76"/>
      <c r="CB5" s="76"/>
      <c r="CC5" s="76"/>
      <c r="CD5" s="76"/>
      <c r="CE5" s="76"/>
      <c r="CF5" s="76"/>
      <c r="CG5" s="76"/>
      <c r="CH5" s="76"/>
      <c r="CI5" s="76"/>
      <c r="CJ5" s="76"/>
      <c r="CK5" s="76"/>
      <c r="CL5" s="76"/>
      <c r="CM5" s="76"/>
      <c r="CN5" s="77"/>
      <c r="CO5" s="39"/>
      <c r="CP5" s="77"/>
      <c r="CQ5" s="77"/>
      <c r="CR5" s="77"/>
      <c r="CS5" s="77"/>
      <c r="CT5" s="77"/>
      <c r="CU5" s="77"/>
      <c r="CV5" s="78"/>
      <c r="CW5" s="79"/>
      <c r="CX5" s="26"/>
      <c r="CY5" s="80"/>
      <c r="CZ5" s="80"/>
      <c r="DA5" s="80"/>
      <c r="DB5" s="80"/>
      <c r="DC5" s="81"/>
      <c r="DD5" s="42"/>
      <c r="DE5" s="42"/>
      <c r="DF5" s="42"/>
      <c r="DG5" s="42"/>
      <c r="DH5" s="92"/>
      <c r="DI5" s="43" t="s">
        <v>21</v>
      </c>
      <c r="DJ5" s="93"/>
      <c r="DK5" s="93"/>
      <c r="DL5" s="93"/>
      <c r="DM5" s="93"/>
      <c r="DN5" s="93"/>
      <c r="DO5" s="94" t="s">
        <v>61</v>
      </c>
      <c r="DP5" s="94" t="s">
        <v>61</v>
      </c>
      <c r="DQ5" s="94" t="s">
        <v>61</v>
      </c>
      <c r="DR5" s="94" t="s">
        <v>61</v>
      </c>
      <c r="DS5" s="94" t="s">
        <v>61</v>
      </c>
      <c r="DT5" s="43" t="s">
        <v>21</v>
      </c>
      <c r="DU5" s="95"/>
      <c r="DV5" s="44" t="s">
        <v>22</v>
      </c>
      <c r="DW5" s="44" t="s">
        <v>22</v>
      </c>
      <c r="DX5" s="44" t="s">
        <v>22</v>
      </c>
      <c r="DY5" s="44" t="s">
        <v>22</v>
      </c>
      <c r="DZ5" s="44" t="s">
        <v>22</v>
      </c>
      <c r="EA5" s="44" t="s">
        <v>22</v>
      </c>
      <c r="EB5" s="44" t="s">
        <v>22</v>
      </c>
      <c r="EC5" s="44" t="s">
        <v>22</v>
      </c>
      <c r="ED5" s="44" t="s">
        <v>22</v>
      </c>
      <c r="EE5" s="44" t="s">
        <v>22</v>
      </c>
      <c r="EF5" s="96" t="s">
        <v>62</v>
      </c>
      <c r="EG5" s="96" t="s">
        <v>62</v>
      </c>
      <c r="EH5" s="96" t="s">
        <v>62</v>
      </c>
      <c r="EI5" s="97" t="s">
        <v>62</v>
      </c>
      <c r="EJ5" s="46"/>
      <c r="EK5" s="47"/>
      <c r="EL5" s="47"/>
      <c r="EM5" s="48"/>
      <c r="EN5" s="86"/>
      <c r="EO5" s="87"/>
      <c r="EP5" s="87"/>
      <c r="EQ5" s="87"/>
      <c r="ER5" s="87"/>
      <c r="ES5" s="88"/>
      <c r="ET5" s="52"/>
    </row>
    <row r="6" spans="1:151" s="22" customFormat="1" ht="44" customHeight="1">
      <c r="A6" s="54" t="s">
        <v>27</v>
      </c>
      <c r="B6" s="55" t="s">
        <v>28</v>
      </c>
      <c r="C6" s="55" t="s">
        <v>28</v>
      </c>
      <c r="D6" s="55" t="s">
        <v>29</v>
      </c>
      <c r="E6" s="55" t="s">
        <v>28</v>
      </c>
      <c r="F6" s="55" t="s">
        <v>28</v>
      </c>
      <c r="G6" s="55" t="s">
        <v>30</v>
      </c>
      <c r="H6" s="55" t="s">
        <v>27</v>
      </c>
      <c r="I6" s="55" t="s">
        <v>27</v>
      </c>
      <c r="J6" s="55" t="s">
        <v>27</v>
      </c>
      <c r="K6" s="55" t="s">
        <v>27</v>
      </c>
      <c r="L6" s="55" t="s">
        <v>27</v>
      </c>
      <c r="M6" s="55" t="s">
        <v>29</v>
      </c>
      <c r="N6" s="56" t="s">
        <v>31</v>
      </c>
      <c r="O6" s="57" t="s">
        <v>32</v>
      </c>
      <c r="P6" s="58" t="s">
        <v>33</v>
      </c>
      <c r="Q6" s="59"/>
      <c r="R6" s="60" t="s">
        <v>12</v>
      </c>
      <c r="S6" s="61" t="s">
        <v>34</v>
      </c>
      <c r="T6" s="62" t="s">
        <v>34</v>
      </c>
      <c r="U6" s="63" t="s">
        <v>34</v>
      </c>
      <c r="V6" s="64" t="s">
        <v>5204</v>
      </c>
      <c r="W6" s="64" t="s">
        <v>5204</v>
      </c>
      <c r="X6" s="64" t="s">
        <v>5204</v>
      </c>
      <c r="Y6" s="64" t="s">
        <v>5204</v>
      </c>
      <c r="Z6" s="64" t="s">
        <v>5205</v>
      </c>
      <c r="AA6" s="64" t="s">
        <v>5205</v>
      </c>
      <c r="AB6" s="64" t="s">
        <v>5205</v>
      </c>
      <c r="AC6" s="64" t="s">
        <v>5205</v>
      </c>
      <c r="AD6" s="65" t="s">
        <v>35</v>
      </c>
      <c r="AE6" s="65" t="s">
        <v>35</v>
      </c>
      <c r="AF6" s="65" t="s">
        <v>35</v>
      </c>
      <c r="AG6" s="65" t="s">
        <v>35</v>
      </c>
      <c r="AH6" s="65" t="s">
        <v>35</v>
      </c>
      <c r="AI6" s="65" t="s">
        <v>35</v>
      </c>
      <c r="AJ6" s="66" t="s">
        <v>36</v>
      </c>
      <c r="AK6" s="66" t="s">
        <v>36</v>
      </c>
      <c r="AL6" s="66" t="s">
        <v>36</v>
      </c>
      <c r="AM6" s="31" t="s">
        <v>11</v>
      </c>
      <c r="AN6" s="31" t="s">
        <v>11</v>
      </c>
      <c r="AO6" s="31" t="s">
        <v>11</v>
      </c>
      <c r="AP6" s="31" t="s">
        <v>11</v>
      </c>
      <c r="AQ6" s="31" t="s">
        <v>11</v>
      </c>
      <c r="AR6" s="31" t="s">
        <v>11</v>
      </c>
      <c r="AS6" s="67" t="s">
        <v>37</v>
      </c>
      <c r="AT6" s="67" t="s">
        <v>37</v>
      </c>
      <c r="AU6" s="67" t="s">
        <v>37</v>
      </c>
      <c r="AV6" s="67" t="s">
        <v>37</v>
      </c>
      <c r="AW6" s="67" t="s">
        <v>37</v>
      </c>
      <c r="AX6" s="68" t="s">
        <v>12</v>
      </c>
      <c r="AY6" s="68" t="s">
        <v>38</v>
      </c>
      <c r="AZ6" s="69"/>
      <c r="BA6" s="69"/>
      <c r="BB6" s="69"/>
      <c r="BC6" s="69" t="s">
        <v>39</v>
      </c>
      <c r="BD6" s="69" t="s">
        <v>39</v>
      </c>
      <c r="BE6" s="70" t="s">
        <v>40</v>
      </c>
      <c r="BF6" s="71" t="s">
        <v>40</v>
      </c>
      <c r="BG6" s="72" t="s">
        <v>41</v>
      </c>
      <c r="BH6" s="73" t="s">
        <v>41</v>
      </c>
      <c r="BI6" s="73"/>
      <c r="BJ6" s="73" t="s">
        <v>41</v>
      </c>
      <c r="BK6" s="73" t="s">
        <v>41</v>
      </c>
      <c r="BL6" s="73" t="s">
        <v>41</v>
      </c>
      <c r="BM6" s="73" t="s">
        <v>41</v>
      </c>
      <c r="BN6" s="73" t="s">
        <v>41</v>
      </c>
      <c r="BO6" s="73" t="s">
        <v>41</v>
      </c>
      <c r="BP6" s="74" t="s">
        <v>42</v>
      </c>
      <c r="BQ6" s="74" t="s">
        <v>42</v>
      </c>
      <c r="BR6" s="74" t="s">
        <v>42</v>
      </c>
      <c r="BS6" s="74" t="s">
        <v>42</v>
      </c>
      <c r="BT6" s="74" t="s">
        <v>42</v>
      </c>
      <c r="BU6" s="74" t="s">
        <v>42</v>
      </c>
      <c r="BV6" s="74" t="s">
        <v>42</v>
      </c>
      <c r="BW6" s="74"/>
      <c r="BX6" s="74" t="s">
        <v>42</v>
      </c>
      <c r="BY6" s="75" t="s">
        <v>43</v>
      </c>
      <c r="BZ6" s="22" t="s">
        <v>44</v>
      </c>
      <c r="CA6" s="76" t="s">
        <v>45</v>
      </c>
      <c r="CB6" s="76" t="s">
        <v>45</v>
      </c>
      <c r="CC6" s="76" t="s">
        <v>45</v>
      </c>
      <c r="CD6" s="76" t="s">
        <v>45</v>
      </c>
      <c r="CE6" s="76" t="s">
        <v>45</v>
      </c>
      <c r="CF6" s="76" t="s">
        <v>45</v>
      </c>
      <c r="CG6" s="76" t="s">
        <v>46</v>
      </c>
      <c r="CH6" s="76" t="s">
        <v>46</v>
      </c>
      <c r="CI6" s="76" t="s">
        <v>46</v>
      </c>
      <c r="CJ6" s="76" t="s">
        <v>46</v>
      </c>
      <c r="CK6" s="76" t="s">
        <v>46</v>
      </c>
      <c r="CL6" s="76" t="s">
        <v>47</v>
      </c>
      <c r="CM6" s="76" t="s">
        <v>48</v>
      </c>
      <c r="CN6" s="77" t="s">
        <v>34</v>
      </c>
      <c r="CO6" s="39" t="s">
        <v>41</v>
      </c>
      <c r="CP6" s="77" t="s">
        <v>13</v>
      </c>
      <c r="CQ6" s="77" t="s">
        <v>13</v>
      </c>
      <c r="CR6" s="77" t="s">
        <v>13</v>
      </c>
      <c r="CS6" s="77" t="s">
        <v>13</v>
      </c>
      <c r="CT6" s="77" t="s">
        <v>13</v>
      </c>
      <c r="CU6" s="77" t="s">
        <v>13</v>
      </c>
      <c r="CV6" s="78" t="s">
        <v>13</v>
      </c>
      <c r="CW6" s="79" t="s">
        <v>49</v>
      </c>
      <c r="CX6" s="26" t="s">
        <v>49</v>
      </c>
      <c r="CY6" s="80" t="s">
        <v>49</v>
      </c>
      <c r="CZ6" s="80" t="s">
        <v>50</v>
      </c>
      <c r="DA6" s="80" t="s">
        <v>50</v>
      </c>
      <c r="DB6" s="80" t="s">
        <v>50</v>
      </c>
      <c r="DC6" s="81"/>
      <c r="DD6" s="42" t="s">
        <v>51</v>
      </c>
      <c r="DE6" s="42" t="s">
        <v>51</v>
      </c>
      <c r="DF6" s="42" t="s">
        <v>51</v>
      </c>
      <c r="DG6" s="42" t="s">
        <v>51</v>
      </c>
      <c r="DH6" s="44" t="s">
        <v>52</v>
      </c>
      <c r="DI6" s="98" t="s">
        <v>12</v>
      </c>
      <c r="DJ6" s="99" t="s">
        <v>51</v>
      </c>
      <c r="DK6" s="99" t="s">
        <v>51</v>
      </c>
      <c r="DL6" s="99" t="s">
        <v>51</v>
      </c>
      <c r="DM6" s="99" t="s">
        <v>51</v>
      </c>
      <c r="DN6" s="99" t="s">
        <v>51</v>
      </c>
      <c r="DO6" s="82" t="s">
        <v>53</v>
      </c>
      <c r="DP6" s="82" t="s">
        <v>53</v>
      </c>
      <c r="DQ6" s="82" t="s">
        <v>53</v>
      </c>
      <c r="DR6" s="82" t="s">
        <v>53</v>
      </c>
      <c r="DS6" s="82" t="s">
        <v>53</v>
      </c>
      <c r="DT6" s="43" t="s">
        <v>12</v>
      </c>
      <c r="DU6" s="25" t="s">
        <v>53</v>
      </c>
      <c r="DV6" s="100" t="s">
        <v>63</v>
      </c>
      <c r="DW6" s="100" t="s">
        <v>63</v>
      </c>
      <c r="DX6" s="100" t="s">
        <v>63</v>
      </c>
      <c r="DY6" s="100" t="s">
        <v>64</v>
      </c>
      <c r="DZ6" s="100" t="s">
        <v>64</v>
      </c>
      <c r="EA6" s="100" t="s">
        <v>64</v>
      </c>
      <c r="EB6" s="83" t="s">
        <v>65</v>
      </c>
      <c r="EC6" s="83" t="s">
        <v>66</v>
      </c>
      <c r="ED6" s="83" t="s">
        <v>66</v>
      </c>
      <c r="EE6" s="83" t="s">
        <v>66</v>
      </c>
      <c r="EF6" s="84" t="s">
        <v>67</v>
      </c>
      <c r="EG6" s="84" t="s">
        <v>67</v>
      </c>
      <c r="EH6" s="84" t="s">
        <v>68</v>
      </c>
      <c r="EI6" s="85" t="s">
        <v>68</v>
      </c>
      <c r="EJ6" s="46"/>
      <c r="EK6" s="101">
        <f>COUNTIF(EK8:EK1732,"Whole sector")</f>
        <v>489</v>
      </c>
      <c r="EL6" s="101">
        <f>COUNTIF(EL8:EL1732,"Ecosystem approach")</f>
        <v>229</v>
      </c>
      <c r="EM6" s="102">
        <f>COUNTIF($EM8:EM1732,"Technology approach")</f>
        <v>348</v>
      </c>
      <c r="EN6" s="86" t="s">
        <v>12</v>
      </c>
      <c r="EO6" s="87" t="s">
        <v>12</v>
      </c>
      <c r="EP6" s="87" t="s">
        <v>12</v>
      </c>
      <c r="EQ6" s="87" t="s">
        <v>12</v>
      </c>
      <c r="ER6" s="87" t="s">
        <v>12</v>
      </c>
      <c r="ES6" s="88" t="s">
        <v>56</v>
      </c>
      <c r="ET6" s="103" t="s">
        <v>69</v>
      </c>
    </row>
    <row r="7" spans="1:151" s="104" customFormat="1" ht="100" customHeight="1">
      <c r="A7" s="105" t="s">
        <v>70</v>
      </c>
      <c r="B7" s="106" t="s">
        <v>71</v>
      </c>
      <c r="C7" s="106" t="s">
        <v>72</v>
      </c>
      <c r="D7" s="107" t="s">
        <v>29</v>
      </c>
      <c r="E7" s="106" t="s">
        <v>73</v>
      </c>
      <c r="F7" s="106" t="s">
        <v>74</v>
      </c>
      <c r="G7" s="106" t="s">
        <v>75</v>
      </c>
      <c r="H7" s="106" t="s">
        <v>76</v>
      </c>
      <c r="I7" s="106" t="s">
        <v>77</v>
      </c>
      <c r="J7" s="106" t="s">
        <v>78</v>
      </c>
      <c r="K7" s="106" t="s">
        <v>79</v>
      </c>
      <c r="L7" s="108" t="s">
        <v>80</v>
      </c>
      <c r="M7" s="109" t="s">
        <v>81</v>
      </c>
      <c r="N7" s="110" t="s">
        <v>31</v>
      </c>
      <c r="O7" s="111" t="s">
        <v>82</v>
      </c>
      <c r="P7" s="112" t="s">
        <v>83</v>
      </c>
      <c r="Q7" s="113" t="s">
        <v>8</v>
      </c>
      <c r="R7" s="114" t="s">
        <v>84</v>
      </c>
      <c r="S7" s="115" t="s">
        <v>85</v>
      </c>
      <c r="T7" s="116" t="s">
        <v>86</v>
      </c>
      <c r="U7" s="117" t="s">
        <v>87</v>
      </c>
      <c r="V7" s="118" t="s">
        <v>88</v>
      </c>
      <c r="W7" s="118" t="s">
        <v>89</v>
      </c>
      <c r="X7" s="118" t="s">
        <v>90</v>
      </c>
      <c r="Y7" s="119" t="s">
        <v>91</v>
      </c>
      <c r="Z7" s="118" t="s">
        <v>92</v>
      </c>
      <c r="AA7" s="119" t="s">
        <v>93</v>
      </c>
      <c r="AB7" s="118" t="s">
        <v>94</v>
      </c>
      <c r="AC7" s="119" t="s">
        <v>95</v>
      </c>
      <c r="AD7" s="118" t="s">
        <v>96</v>
      </c>
      <c r="AE7" s="119" t="s">
        <v>97</v>
      </c>
      <c r="AF7" s="118" t="s">
        <v>98</v>
      </c>
      <c r="AG7" s="119" t="s">
        <v>99</v>
      </c>
      <c r="AH7" s="118" t="s">
        <v>100</v>
      </c>
      <c r="AI7" s="119" t="s">
        <v>101</v>
      </c>
      <c r="AJ7" s="119" t="s">
        <v>102</v>
      </c>
      <c r="AK7" s="119" t="s">
        <v>103</v>
      </c>
      <c r="AL7" s="118" t="s">
        <v>104</v>
      </c>
      <c r="AM7" s="118" t="s">
        <v>105</v>
      </c>
      <c r="AN7" s="118" t="s">
        <v>106</v>
      </c>
      <c r="AO7" s="119" t="s">
        <v>107</v>
      </c>
      <c r="AP7" s="118" t="s">
        <v>108</v>
      </c>
      <c r="AQ7" s="119" t="s">
        <v>109</v>
      </c>
      <c r="AR7" s="118" t="s">
        <v>110</v>
      </c>
      <c r="AS7" s="118" t="s">
        <v>111</v>
      </c>
      <c r="AT7" s="119" t="s">
        <v>112</v>
      </c>
      <c r="AU7" s="118" t="s">
        <v>113</v>
      </c>
      <c r="AV7" s="119" t="s">
        <v>114</v>
      </c>
      <c r="AW7" s="118" t="s">
        <v>115</v>
      </c>
      <c r="AX7" s="120" t="s">
        <v>116</v>
      </c>
      <c r="AY7" s="121" t="s">
        <v>117</v>
      </c>
      <c r="AZ7" s="113" t="s">
        <v>118</v>
      </c>
      <c r="BA7" s="113" t="s">
        <v>119</v>
      </c>
      <c r="BB7" s="113" t="s">
        <v>120</v>
      </c>
      <c r="BC7" s="113" t="s">
        <v>121</v>
      </c>
      <c r="BD7" s="113" t="s">
        <v>122</v>
      </c>
      <c r="BE7" s="113" t="s">
        <v>123</v>
      </c>
      <c r="BF7" s="114" t="s">
        <v>124</v>
      </c>
      <c r="BG7" s="122" t="s">
        <v>125</v>
      </c>
      <c r="BH7" s="123" t="s">
        <v>126</v>
      </c>
      <c r="BI7" s="123" t="s">
        <v>127</v>
      </c>
      <c r="BJ7" s="124" t="s">
        <v>128</v>
      </c>
      <c r="BK7" s="123" t="s">
        <v>129</v>
      </c>
      <c r="BL7" s="124" t="s">
        <v>130</v>
      </c>
      <c r="BM7" s="124" t="s">
        <v>131</v>
      </c>
      <c r="BN7" s="124" t="s">
        <v>132</v>
      </c>
      <c r="BO7" s="124" t="s">
        <v>133</v>
      </c>
      <c r="BP7" s="125" t="s">
        <v>134</v>
      </c>
      <c r="BQ7" s="125" t="s">
        <v>135</v>
      </c>
      <c r="BR7" s="123" t="s">
        <v>136</v>
      </c>
      <c r="BS7" s="124" t="s">
        <v>137</v>
      </c>
      <c r="BT7" s="123" t="s">
        <v>138</v>
      </c>
      <c r="BU7" s="123" t="s">
        <v>139</v>
      </c>
      <c r="BV7" s="118" t="s">
        <v>140</v>
      </c>
      <c r="BW7" s="118"/>
      <c r="BX7" s="118" t="s">
        <v>141</v>
      </c>
      <c r="BY7" s="118" t="s">
        <v>142</v>
      </c>
      <c r="BZ7" s="119" t="s">
        <v>143</v>
      </c>
      <c r="CA7" s="118" t="s">
        <v>144</v>
      </c>
      <c r="CB7" s="119" t="s">
        <v>145</v>
      </c>
      <c r="CC7" s="118" t="s">
        <v>146</v>
      </c>
      <c r="CD7" s="119" t="s">
        <v>147</v>
      </c>
      <c r="CE7" s="118" t="s">
        <v>148</v>
      </c>
      <c r="CF7" s="119" t="s">
        <v>149</v>
      </c>
      <c r="CG7" s="118" t="s">
        <v>150</v>
      </c>
      <c r="CH7" s="119" t="s">
        <v>151</v>
      </c>
      <c r="CI7" s="118" t="s">
        <v>152</v>
      </c>
      <c r="CJ7" s="118" t="s">
        <v>153</v>
      </c>
      <c r="CK7" s="118" t="s">
        <v>154</v>
      </c>
      <c r="CL7" s="118" t="s">
        <v>155</v>
      </c>
      <c r="CM7" s="119" t="s">
        <v>156</v>
      </c>
      <c r="CN7" s="126" t="s">
        <v>157</v>
      </c>
      <c r="CO7" s="126" t="s">
        <v>158</v>
      </c>
      <c r="CP7" s="126" t="s">
        <v>159</v>
      </c>
      <c r="CQ7" s="126" t="s">
        <v>160</v>
      </c>
      <c r="CR7" s="127" t="s">
        <v>161</v>
      </c>
      <c r="CS7" s="127" t="s">
        <v>162</v>
      </c>
      <c r="CT7" s="113" t="s">
        <v>141</v>
      </c>
      <c r="CU7" s="113" t="s">
        <v>163</v>
      </c>
      <c r="CV7" s="114" t="s">
        <v>164</v>
      </c>
      <c r="CW7" s="128" t="s">
        <v>165</v>
      </c>
      <c r="CX7" s="113" t="s">
        <v>166</v>
      </c>
      <c r="CY7" s="123" t="s">
        <v>167</v>
      </c>
      <c r="CZ7" s="123" t="s">
        <v>168</v>
      </c>
      <c r="DA7" s="117" t="s">
        <v>169</v>
      </c>
      <c r="DB7" s="117" t="s">
        <v>170</v>
      </c>
      <c r="DC7" s="129" t="s">
        <v>171</v>
      </c>
      <c r="DD7" s="118" t="s">
        <v>172</v>
      </c>
      <c r="DE7" s="119" t="s">
        <v>173</v>
      </c>
      <c r="DF7" s="118" t="s">
        <v>174</v>
      </c>
      <c r="DG7" s="119" t="s">
        <v>175</v>
      </c>
      <c r="DH7" s="118" t="s">
        <v>176</v>
      </c>
      <c r="DI7" s="130" t="s">
        <v>177</v>
      </c>
      <c r="DJ7" s="130" t="s">
        <v>178</v>
      </c>
      <c r="DK7" s="130" t="s">
        <v>179</v>
      </c>
      <c r="DL7" s="130" t="s">
        <v>180</v>
      </c>
      <c r="DM7" s="130" t="s">
        <v>181</v>
      </c>
      <c r="DN7" s="130" t="s">
        <v>182</v>
      </c>
      <c r="DO7" s="118" t="s">
        <v>183</v>
      </c>
      <c r="DP7" s="119" t="s">
        <v>184</v>
      </c>
      <c r="DQ7" s="119" t="s">
        <v>185</v>
      </c>
      <c r="DR7" s="118" t="s">
        <v>186</v>
      </c>
      <c r="DS7" s="119" t="s">
        <v>187</v>
      </c>
      <c r="DT7" s="113" t="s">
        <v>188</v>
      </c>
      <c r="DU7" s="120" t="s">
        <v>189</v>
      </c>
      <c r="DV7" s="119" t="s">
        <v>190</v>
      </c>
      <c r="DW7" s="119" t="s">
        <v>191</v>
      </c>
      <c r="DX7" s="118" t="s">
        <v>192</v>
      </c>
      <c r="DY7" s="118" t="s">
        <v>193</v>
      </c>
      <c r="DZ7" s="118" t="s">
        <v>194</v>
      </c>
      <c r="EA7" s="131" t="s">
        <v>195</v>
      </c>
      <c r="EB7" s="119" t="s">
        <v>196</v>
      </c>
      <c r="EC7" s="118" t="s">
        <v>197</v>
      </c>
      <c r="ED7" s="119" t="s">
        <v>198</v>
      </c>
      <c r="EE7" s="118" t="s">
        <v>199</v>
      </c>
      <c r="EF7" s="118" t="s">
        <v>200</v>
      </c>
      <c r="EG7" s="119" t="s">
        <v>201</v>
      </c>
      <c r="EH7" s="119" t="s">
        <v>202</v>
      </c>
      <c r="EI7" s="132" t="s">
        <v>203</v>
      </c>
      <c r="EJ7" s="133" t="s">
        <v>204</v>
      </c>
      <c r="EK7" s="134" t="s">
        <v>205</v>
      </c>
      <c r="EL7" s="134" t="s">
        <v>206</v>
      </c>
      <c r="EM7" s="135" t="s">
        <v>207</v>
      </c>
      <c r="EN7" s="136" t="s">
        <v>208</v>
      </c>
      <c r="EO7" s="118" t="s">
        <v>209</v>
      </c>
      <c r="EP7" s="118" t="s">
        <v>210</v>
      </c>
      <c r="EQ7" s="118" t="s">
        <v>211</v>
      </c>
      <c r="ER7" s="118" t="s">
        <v>212</v>
      </c>
      <c r="ES7" s="137" t="s">
        <v>213</v>
      </c>
      <c r="ET7" s="138"/>
    </row>
    <row r="8" spans="1:151" s="139" customFormat="1" ht="15" customHeight="1">
      <c r="A8" s="1" t="s">
        <v>926</v>
      </c>
      <c r="B8" t="s">
        <v>1849</v>
      </c>
      <c r="C8" t="s">
        <v>1850</v>
      </c>
      <c r="D8" t="s">
        <v>1851</v>
      </c>
      <c r="E8" t="s">
        <v>1852</v>
      </c>
      <c r="F8" t="s">
        <v>1853</v>
      </c>
      <c r="G8" t="s">
        <v>932</v>
      </c>
      <c r="H8" t="s">
        <v>254</v>
      </c>
      <c r="I8">
        <v>2019</v>
      </c>
      <c r="J8">
        <v>8</v>
      </c>
      <c r="K8" t="s">
        <v>1854</v>
      </c>
      <c r="L8"/>
      <c r="M8" t="str">
        <f>LEFT($D8,FIND(",",$D8)-1)&amp;"_"&amp;I8&amp;L8</f>
        <v>Kogler_2019</v>
      </c>
      <c r="N8" t="s">
        <v>2582</v>
      </c>
      <c r="O8" s="171" t="s">
        <v>513</v>
      </c>
      <c r="P8" t="s">
        <v>960</v>
      </c>
      <c r="Q8" t="s">
        <v>389</v>
      </c>
      <c r="R8" s="262" t="s">
        <v>223</v>
      </c>
      <c r="S8" s="1" t="s">
        <v>1867</v>
      </c>
      <c r="T8" t="s">
        <v>1857</v>
      </c>
      <c r="U8" t="s">
        <v>1865</v>
      </c>
      <c r="V8">
        <v>0</v>
      </c>
      <c r="W8">
        <v>0</v>
      </c>
      <c r="X8">
        <v>0</v>
      </c>
      <c r="Y8">
        <v>0</v>
      </c>
      <c r="Z8">
        <v>0</v>
      </c>
      <c r="AA8">
        <v>0</v>
      </c>
      <c r="AB8">
        <v>0</v>
      </c>
      <c r="AC8">
        <v>0</v>
      </c>
      <c r="AD8">
        <v>0</v>
      </c>
      <c r="AE8">
        <v>0</v>
      </c>
      <c r="AF8">
        <v>1</v>
      </c>
      <c r="AG8">
        <v>0</v>
      </c>
      <c r="AH8">
        <v>0</v>
      </c>
      <c r="AI8">
        <v>0</v>
      </c>
      <c r="AJ8">
        <v>0</v>
      </c>
      <c r="AK8">
        <v>0</v>
      </c>
      <c r="AL8">
        <v>0</v>
      </c>
      <c r="AM8">
        <v>0</v>
      </c>
      <c r="AN8">
        <v>0</v>
      </c>
      <c r="AO8">
        <v>0</v>
      </c>
      <c r="AP8">
        <v>0</v>
      </c>
      <c r="AQ8">
        <v>0</v>
      </c>
      <c r="AR8">
        <v>0</v>
      </c>
      <c r="AS8">
        <v>0</v>
      </c>
      <c r="AT8">
        <v>0</v>
      </c>
      <c r="AU8">
        <v>0</v>
      </c>
      <c r="AV8">
        <v>0</v>
      </c>
      <c r="AW8">
        <v>0</v>
      </c>
      <c r="AX8" s="141">
        <f>COUNTIF(V8:AW8,"&lt;&gt;0")</f>
        <v>1</v>
      </c>
      <c r="AY8" s="141">
        <f>COUNTIF(V8:AL8,"&lt;&gt;0")</f>
        <v>1</v>
      </c>
      <c r="AZ8">
        <f>COUNTIF(V8:AC8,"&lt;&gt;0")</f>
        <v>0</v>
      </c>
      <c r="BA8">
        <f>COUNTIF(AD8:AI8,"&lt;&gt;0")</f>
        <v>1</v>
      </c>
      <c r="BB8">
        <f>COUNTIF(AJ8:AL8,"&lt;&gt;0")</f>
        <v>0</v>
      </c>
      <c r="BC8">
        <f>COUNTIF(AS8:AW8,"&lt;&gt;0")</f>
        <v>0</v>
      </c>
      <c r="BD8">
        <f>COUNTIF(AM8:AR8,"&lt;&gt;0")</f>
        <v>0</v>
      </c>
      <c r="BE8" t="str">
        <f t="array" ref="BE8">IF(AY8=1,INDEX($V$7:$AL$7,MATCH(TRUE,INDEX($V8:$AW8&lt;&gt;0,),0)),IF(AY8=0,INDEX($AM$7:$AW$7,MATCH(1,$AM8:$AW8,0)),IF(BF8="Multiple strategies","mixed drivers",IF(BF8="Supply chain","multiple supply","multiple silviculture"))))</f>
        <v>supply chain organization</v>
      </c>
      <c r="BF8" s="2" t="str" cm="1">
        <f t="array" ref="BF8">IF(COUNTIF(AZ8:BB8,"&lt;&gt;0")=1,INDEX($V$4:$AW$4,MATCH(TRUE,INDEX($V8:$AW8&lt;&gt;0,),0)),IF(COUNTIF(AZ8:BB8,"&lt;&gt;0")=0,INDEX($AM$4:$AW$4,MATCH(1,$AM8:$AW8,0)),"Multiple strategies"))</f>
        <v>Supply chain</v>
      </c>
      <c r="BG8" s="1" t="s">
        <v>321</v>
      </c>
      <c r="BH8" s="333" t="s">
        <v>1858</v>
      </c>
      <c r="BI8" t="s">
        <v>611</v>
      </c>
      <c r="BJ8" t="s">
        <v>498</v>
      </c>
      <c r="BK8">
        <v>37563</v>
      </c>
      <c r="BL8">
        <v>39771</v>
      </c>
      <c r="BM8">
        <v>1.0587812475041929</v>
      </c>
      <c r="BN8">
        <f>BL8-BK8</f>
        <v>2208</v>
      </c>
      <c r="BO8">
        <f>BN8</f>
        <v>2208</v>
      </c>
      <c r="BP8" t="s">
        <v>395</v>
      </c>
      <c r="BQ8" t="s">
        <v>1859</v>
      </c>
      <c r="BR8" s="264" t="s">
        <v>3149</v>
      </c>
      <c r="BS8">
        <v>579</v>
      </c>
      <c r="BT8">
        <v>762</v>
      </c>
      <c r="BU8" s="144">
        <v>1.3160621761658031</v>
      </c>
      <c r="BV8" s="152">
        <f>BT8-BS8</f>
        <v>183</v>
      </c>
      <c r="BW8"/>
      <c r="BX8">
        <f>BV8*10^6</f>
        <v>183000000</v>
      </c>
      <c r="BY8">
        <f>IFERROR(BX8/BO8,"")</f>
        <v>82880.434782608689</v>
      </c>
      <c r="BZ8">
        <v>0</v>
      </c>
      <c r="CA8">
        <v>0</v>
      </c>
      <c r="CB8">
        <v>0</v>
      </c>
      <c r="CC8">
        <v>0</v>
      </c>
      <c r="CD8">
        <v>0</v>
      </c>
      <c r="CE8">
        <v>0</v>
      </c>
      <c r="CF8">
        <v>0</v>
      </c>
      <c r="CG8">
        <v>0</v>
      </c>
      <c r="CH8">
        <v>0</v>
      </c>
      <c r="CI8">
        <v>0</v>
      </c>
      <c r="CJ8">
        <v>0</v>
      </c>
      <c r="CK8">
        <v>0</v>
      </c>
      <c r="CL8">
        <v>0</v>
      </c>
      <c r="CM8">
        <v>0</v>
      </c>
      <c r="CN8" t="str">
        <f>IF($BL8&lt;$BK8,"refNeedCorrection","refOK")</f>
        <v>refOK</v>
      </c>
      <c r="CO8">
        <f>IF($CN8="refOK",$BK8,$BL8)</f>
        <v>37563</v>
      </c>
      <c r="CP8">
        <f>IF($CN8="refOK",$BL8,$BK8)</f>
        <v>39771</v>
      </c>
      <c r="CQ8">
        <f>IF($CN8="refOK",$BO8,-$BO8)</f>
        <v>2208</v>
      </c>
      <c r="CR8">
        <f>IF($CN8="refOK",$BS8,$BT8)*IF($BP8="Emissions positive",-1,1)</f>
        <v>-579</v>
      </c>
      <c r="CS8">
        <f>IF($CN8="refOK",$BT8,$BS8)*IF($BP8="Emissions positive",-1,1)</f>
        <v>-762</v>
      </c>
      <c r="CT8">
        <f>IF($CN8="refNeedCorrection",-BX8,BX8)*IF($BP8="Emissions positive",-1,1)</f>
        <v>-183000000</v>
      </c>
      <c r="CU8">
        <f>IFERROR(CT8/CQ8,"")</f>
        <v>-82880.434782608689</v>
      </c>
      <c r="CV8" s="2">
        <f>IFERROR((CS8-CR8)/ABS(CR8),"")</f>
        <v>-0.31606217616580312</v>
      </c>
      <c r="CW8" s="1" t="s">
        <v>1203</v>
      </c>
      <c r="CX8" t="str">
        <f>IF(OR($CW8="prd",$CW8="std",$CW8="cit"),"loc",IF(OR($CW8="eur",$CW8="reg",$CW8="coy"),"reg",$CW8))</f>
        <v>reg</v>
      </c>
      <c r="CY8" t="s">
        <v>666</v>
      </c>
      <c r="CZ8">
        <v>0</v>
      </c>
      <c r="DA8">
        <v>0</v>
      </c>
      <c r="DB8">
        <v>0</v>
      </c>
      <c r="DC8" t="str">
        <f>IF(DB8=0,"0",IF(AND(DB8&gt;=1,DB8&lt;=30),"1-30",IF(AND(DB8&gt;30,DB8&lt;=70),"31-70",IF(AND(DB8&gt;70,DB8&lt;=100),"71-100",IF(DB8&gt;100,"+100")))))</f>
        <v>0</v>
      </c>
      <c r="DD8">
        <v>1</v>
      </c>
      <c r="DE8">
        <v>0</v>
      </c>
      <c r="DF8">
        <v>0</v>
      </c>
      <c r="DG8">
        <v>0</v>
      </c>
      <c r="DH8"/>
      <c r="DI8">
        <v>1</v>
      </c>
      <c r="DJ8" t="str">
        <f>IF(DI8=1,INDEX($DD$7:$DG$7,MATCH(1,$DD8:$DG8,0)),"mixedProduct")</f>
        <v>UpstreamInput</v>
      </c>
      <c r="DK8" t="str">
        <f>IF(DD8=1,DK$7,0)</f>
        <v>Upstream</v>
      </c>
      <c r="DL8">
        <f>IF(DE8=1,DL$7,0)</f>
        <v>0</v>
      </c>
      <c r="DM8">
        <f>IF(DF8=1,DM$7,0)</f>
        <v>0</v>
      </c>
      <c r="DN8">
        <f>IF(DG8=1,DN$7,0)</f>
        <v>0</v>
      </c>
      <c r="DO8">
        <v>0</v>
      </c>
      <c r="DP8">
        <v>0</v>
      </c>
      <c r="DQ8">
        <v>0</v>
      </c>
      <c r="DR8">
        <v>0</v>
      </c>
      <c r="DS8">
        <v>0</v>
      </c>
      <c r="DT8">
        <f>SUM(DO8:DP8)</f>
        <v>0</v>
      </c>
      <c r="DU8" s="143" t="s">
        <v>962</v>
      </c>
      <c r="DV8">
        <v>0</v>
      </c>
      <c r="DW8">
        <v>0</v>
      </c>
      <c r="DX8">
        <v>0</v>
      </c>
      <c r="DY8">
        <v>0</v>
      </c>
      <c r="DZ8">
        <v>0</v>
      </c>
      <c r="EA8" s="143">
        <v>0</v>
      </c>
      <c r="EB8">
        <v>1</v>
      </c>
      <c r="EC8">
        <v>0</v>
      </c>
      <c r="ED8">
        <v>0</v>
      </c>
      <c r="EE8">
        <v>0</v>
      </c>
      <c r="EF8">
        <v>0</v>
      </c>
      <c r="EG8">
        <v>0</v>
      </c>
      <c r="EH8">
        <v>0</v>
      </c>
      <c r="EI8" s="2">
        <v>0</v>
      </c>
      <c r="EJ8" s="1"/>
      <c r="EK8" t="str">
        <f>IF(AND(AND(AND(OR($DX8=1,$DW8=1),OR($EC8=1,$EA8=1)),SUM($DV8:$DZ8,$EF8)&gt;=4),SUM($EA8:$EE8)&gt;=2),"Whole sector","")</f>
        <v/>
      </c>
      <c r="EL8" t="str">
        <f>IF(AND(AND(OR($DX8=1,$DW8=1),AND($EC8=0,$EA8=0)),SUM($DV8:$DZ8,$EF8)&gt;=4),"Ecosystem approach","")</f>
        <v/>
      </c>
      <c r="EM8" s="2" t="str">
        <f>IF(AND(AND(AND($DX8=0,$DW8=0),OR($EC8=1,$EA8=1)),SUM($EB8:$EE8)&gt;=2),"Technology approach","")</f>
        <v/>
      </c>
      <c r="EN8"/>
      <c r="EO8"/>
      <c r="EP8" t="str">
        <f>IF(ISNUMBER(BU8),IF(ABS(BU8-[1]QC_indicators!$B$2)&gt;3*[1]QC_indicators!$C$2,"C ratio",IF(ISNUMBER(BY8),IF(ABS(BY8-[1]QC_indicators!$B$1)&gt;3*[1]QC_indicators!$C$1,"DF","no"))),IF(ISNUMBER(BY8),IF(ABS(BY8-[1]QC_indicators!$B$1)&gt;3*[1]QC_indicators!$C$1,"DF","no")))</f>
        <v>DF</v>
      </c>
      <c r="EQ8"/>
      <c r="ER8"/>
      <c r="ES8"/>
      <c r="ET8" s="264" t="s">
        <v>3150</v>
      </c>
      <c r="EU8"/>
    </row>
    <row r="9" spans="1:151" s="139" customFormat="1" ht="15" customHeight="1">
      <c r="A9" s="1" t="s">
        <v>926</v>
      </c>
      <c r="B9" t="s">
        <v>1849</v>
      </c>
      <c r="C9" t="s">
        <v>1850</v>
      </c>
      <c r="D9" t="s">
        <v>1851</v>
      </c>
      <c r="E9" t="s">
        <v>1852</v>
      </c>
      <c r="F9" t="s">
        <v>1853</v>
      </c>
      <c r="G9" t="s">
        <v>932</v>
      </c>
      <c r="H9" t="s">
        <v>254</v>
      </c>
      <c r="I9">
        <v>2019</v>
      </c>
      <c r="J9">
        <v>8</v>
      </c>
      <c r="K9" t="s">
        <v>1854</v>
      </c>
      <c r="L9"/>
      <c r="M9" t="str">
        <f>LEFT($D9,FIND(",",$D9)-1)&amp;"_"&amp;I9&amp;L9</f>
        <v>Kogler_2019</v>
      </c>
      <c r="N9" t="s">
        <v>2582</v>
      </c>
      <c r="O9" s="171" t="s">
        <v>513</v>
      </c>
      <c r="P9" t="s">
        <v>960</v>
      </c>
      <c r="Q9" t="s">
        <v>389</v>
      </c>
      <c r="R9" s="262" t="s">
        <v>223</v>
      </c>
      <c r="S9" s="1" t="s">
        <v>1867</v>
      </c>
      <c r="T9" t="s">
        <v>1856</v>
      </c>
      <c r="U9" t="s">
        <v>1868</v>
      </c>
      <c r="V9">
        <v>0</v>
      </c>
      <c r="W9">
        <v>0</v>
      </c>
      <c r="X9">
        <v>0</v>
      </c>
      <c r="Y9">
        <v>0</v>
      </c>
      <c r="Z9">
        <v>0</v>
      </c>
      <c r="AA9">
        <v>0</v>
      </c>
      <c r="AB9">
        <v>0</v>
      </c>
      <c r="AC9">
        <v>0</v>
      </c>
      <c r="AD9">
        <v>0</v>
      </c>
      <c r="AE9">
        <v>0</v>
      </c>
      <c r="AF9">
        <v>1</v>
      </c>
      <c r="AG9">
        <v>0</v>
      </c>
      <c r="AH9">
        <v>0</v>
      </c>
      <c r="AI9">
        <v>0</v>
      </c>
      <c r="AJ9">
        <v>0</v>
      </c>
      <c r="AK9">
        <v>0</v>
      </c>
      <c r="AL9">
        <v>0</v>
      </c>
      <c r="AM9">
        <v>0</v>
      </c>
      <c r="AN9">
        <v>0</v>
      </c>
      <c r="AO9">
        <v>0</v>
      </c>
      <c r="AP9">
        <v>0</v>
      </c>
      <c r="AQ9">
        <v>0</v>
      </c>
      <c r="AR9">
        <v>0</v>
      </c>
      <c r="AS9">
        <v>0</v>
      </c>
      <c r="AT9">
        <v>0</v>
      </c>
      <c r="AU9">
        <v>0</v>
      </c>
      <c r="AV9">
        <v>0</v>
      </c>
      <c r="AW9">
        <v>0</v>
      </c>
      <c r="AX9" s="141">
        <f>COUNTIF(V9:AW9,"&lt;&gt;0")</f>
        <v>1</v>
      </c>
      <c r="AY9" s="141">
        <f>COUNTIF(V9:AL9,"&lt;&gt;0")</f>
        <v>1</v>
      </c>
      <c r="AZ9">
        <f>COUNTIF(V9:AC9,"&lt;&gt;0")</f>
        <v>0</v>
      </c>
      <c r="BA9">
        <f>COUNTIF(AD9:AI9,"&lt;&gt;0")</f>
        <v>1</v>
      </c>
      <c r="BB9">
        <f>COUNTIF(AJ9:AL9,"&lt;&gt;0")</f>
        <v>0</v>
      </c>
      <c r="BC9">
        <f>COUNTIF(AS9:AW9,"&lt;&gt;0")</f>
        <v>0</v>
      </c>
      <c r="BD9">
        <f>COUNTIF(AM9:AR9,"&lt;&gt;0")</f>
        <v>0</v>
      </c>
      <c r="BE9" t="str">
        <f t="array" ref="BE9">IF(AY9=1,INDEX($V$7:$AL$7,MATCH(TRUE,INDEX($V9:$AW9&lt;&gt;0,),0)),IF(AY9=0,INDEX($AM$7:$AW$7,MATCH(1,$AM9:$AW9,0)),IF(BF9="Multiple strategies","mixed drivers",IF(BF9="Supply chain","multiple supply","multiple silviculture"))))</f>
        <v>supply chain organization</v>
      </c>
      <c r="BF9" s="2" t="str" cm="1">
        <f t="array" ref="BF9">IF(COUNTIF(AZ9:BB9,"&lt;&gt;0")=1,INDEX($V$4:$AW$4,MATCH(TRUE,INDEX($V9:$AW9&lt;&gt;0,),0)),IF(COUNTIF(AZ9:BB9,"&lt;&gt;0")=0,INDEX($AM$4:$AW$4,MATCH(1,$AM9:$AW9,0)),"Multiple strategies"))</f>
        <v>Supply chain</v>
      </c>
      <c r="BG9" s="1" t="s">
        <v>321</v>
      </c>
      <c r="BH9" t="s">
        <v>1858</v>
      </c>
      <c r="BI9" t="s">
        <v>611</v>
      </c>
      <c r="BJ9" t="s">
        <v>498</v>
      </c>
      <c r="BK9">
        <v>35082</v>
      </c>
      <c r="BL9">
        <v>37628</v>
      </c>
      <c r="BM9">
        <v>1.0725728293711876</v>
      </c>
      <c r="BN9">
        <f>BL9-BK9</f>
        <v>2546</v>
      </c>
      <c r="BO9">
        <f>BN9</f>
        <v>2546</v>
      </c>
      <c r="BP9" t="s">
        <v>395</v>
      </c>
      <c r="BQ9" t="s">
        <v>1859</v>
      </c>
      <c r="BR9" s="264" t="s">
        <v>3149</v>
      </c>
      <c r="BS9">
        <v>541</v>
      </c>
      <c r="BT9">
        <v>721</v>
      </c>
      <c r="BU9" s="144">
        <v>1.33271719038817</v>
      </c>
      <c r="BV9" s="152">
        <f>BT9-BS9</f>
        <v>180</v>
      </c>
      <c r="BW9"/>
      <c r="BX9">
        <f>BV9*10^6</f>
        <v>180000000</v>
      </c>
      <c r="BY9">
        <f>IFERROR(BX9/BO9,"")</f>
        <v>70699.135899450121</v>
      </c>
      <c r="BZ9">
        <v>0</v>
      </c>
      <c r="CA9">
        <v>0</v>
      </c>
      <c r="CB9">
        <v>0</v>
      </c>
      <c r="CC9">
        <v>0</v>
      </c>
      <c r="CD9">
        <v>0</v>
      </c>
      <c r="CE9">
        <v>0</v>
      </c>
      <c r="CF9">
        <v>0</v>
      </c>
      <c r="CG9">
        <v>0</v>
      </c>
      <c r="CH9">
        <v>0</v>
      </c>
      <c r="CI9">
        <v>0</v>
      </c>
      <c r="CJ9">
        <v>0</v>
      </c>
      <c r="CK9">
        <v>0</v>
      </c>
      <c r="CL9">
        <v>0</v>
      </c>
      <c r="CM9">
        <v>0</v>
      </c>
      <c r="CN9" t="str">
        <f>IF($BL9&lt;$BK9,"refNeedCorrection","refOK")</f>
        <v>refOK</v>
      </c>
      <c r="CO9">
        <f>IF($CN9="refOK",$BK9,$BL9)</f>
        <v>35082</v>
      </c>
      <c r="CP9">
        <f>IF($CN9="refOK",$BL9,$BK9)</f>
        <v>37628</v>
      </c>
      <c r="CQ9">
        <f>IF($CN9="refOK",$BO9,-$BO9)</f>
        <v>2546</v>
      </c>
      <c r="CR9">
        <f>IF($CN9="refOK",$BS9,$BT9)*IF($BP9="Emissions positive",-1,1)</f>
        <v>-541</v>
      </c>
      <c r="CS9">
        <f>IF($CN9="refOK",$BT9,$BS9)*IF($BP9="Emissions positive",-1,1)</f>
        <v>-721</v>
      </c>
      <c r="CT9">
        <f>IF($CN9="refNeedCorrection",-BX9,BX9)*IF($BP9="Emissions positive",-1,1)</f>
        <v>-180000000</v>
      </c>
      <c r="CU9">
        <f>IFERROR(CT9/CQ9,"")</f>
        <v>-70699.135899450121</v>
      </c>
      <c r="CV9" s="2">
        <f>IFERROR((CS9-CR9)/ABS(CR9),"")</f>
        <v>-0.33271719038817005</v>
      </c>
      <c r="CW9" s="1" t="s">
        <v>1203</v>
      </c>
      <c r="CX9" t="str">
        <f>IF(OR($CW9="prd",$CW9="std",$CW9="cit"),"loc",IF(OR($CW9="eur",$CW9="reg",$CW9="coy"),"reg",$CW9))</f>
        <v>reg</v>
      </c>
      <c r="CY9" t="s">
        <v>666</v>
      </c>
      <c r="CZ9">
        <v>0</v>
      </c>
      <c r="DA9">
        <v>0</v>
      </c>
      <c r="DB9">
        <v>0</v>
      </c>
      <c r="DC9" t="str">
        <f>IF(DB9=0,"0",IF(AND(DB9&gt;=1,DB9&lt;=30),"1-30",IF(AND(DB9&gt;30,DB9&lt;=70),"31-70",IF(AND(DB9&gt;70,DB9&lt;=100),"71-100",IF(DB9&gt;100,"+100")))))</f>
        <v>0</v>
      </c>
      <c r="DD9">
        <v>1</v>
      </c>
      <c r="DE9">
        <v>0</v>
      </c>
      <c r="DF9">
        <v>0</v>
      </c>
      <c r="DG9">
        <v>0</v>
      </c>
      <c r="DH9"/>
      <c r="DI9">
        <v>1</v>
      </c>
      <c r="DJ9" t="str">
        <f>IF(DI9=1,INDEX($DD$7:$DG$7,MATCH(1,$DD9:$DG9,0)),"mixedProduct")</f>
        <v>UpstreamInput</v>
      </c>
      <c r="DK9" t="str">
        <f>IF(DD9=1,DK$7,0)</f>
        <v>Upstream</v>
      </c>
      <c r="DL9">
        <f>IF(DE9=1,DL$7,0)</f>
        <v>0</v>
      </c>
      <c r="DM9">
        <f>IF(DF9=1,DM$7,0)</f>
        <v>0</v>
      </c>
      <c r="DN9">
        <f>IF(DG9=1,DN$7,0)</f>
        <v>0</v>
      </c>
      <c r="DO9">
        <v>0</v>
      </c>
      <c r="DP9">
        <v>0</v>
      </c>
      <c r="DQ9">
        <v>0</v>
      </c>
      <c r="DR9">
        <v>0</v>
      </c>
      <c r="DS9">
        <v>0</v>
      </c>
      <c r="DT9">
        <f>SUM(DO9:DP9)</f>
        <v>0</v>
      </c>
      <c r="DU9" s="143" t="s">
        <v>962</v>
      </c>
      <c r="DV9">
        <v>0</v>
      </c>
      <c r="DW9">
        <v>0</v>
      </c>
      <c r="DX9">
        <v>0</v>
      </c>
      <c r="DY9">
        <v>0</v>
      </c>
      <c r="DZ9">
        <v>0</v>
      </c>
      <c r="EA9" s="143">
        <v>0</v>
      </c>
      <c r="EB9">
        <v>1</v>
      </c>
      <c r="EC9">
        <v>0</v>
      </c>
      <c r="ED9">
        <v>0</v>
      </c>
      <c r="EE9">
        <v>0</v>
      </c>
      <c r="EF9">
        <v>0</v>
      </c>
      <c r="EG9">
        <v>0</v>
      </c>
      <c r="EH9">
        <v>0</v>
      </c>
      <c r="EI9" s="2">
        <v>0</v>
      </c>
      <c r="EJ9" s="1"/>
      <c r="EK9" t="str">
        <f>IF(AND(AND(AND(OR($DX9=1,$DW9=1),OR($EC9=1,$EA9=1)),SUM($DV9:$DZ9,$EF9)&gt;=4),SUM($EA9:$EE9)&gt;=2),"Whole sector","")</f>
        <v/>
      </c>
      <c r="EL9" t="str">
        <f>IF(AND(AND(OR($DX9=1,$DW9=1),AND($EC9=0,$EA9=0)),SUM($DV9:$DZ9,$EF9)&gt;=4),"Ecosystem approach","")</f>
        <v/>
      </c>
      <c r="EM9" s="2" t="str">
        <f>IF(AND(AND(AND($DX9=0,$DW9=0),OR($EC9=1,$EA9=1)),SUM($EB9:$EE9)&gt;=2),"Technology approach","")</f>
        <v/>
      </c>
      <c r="EN9"/>
      <c r="EO9"/>
      <c r="EP9" t="str">
        <f>IF(ISNUMBER(BU9),IF(ABS(BU9-[1]QC_indicators!$B$2)&gt;3*[1]QC_indicators!$C$2,"C ratio",IF(ISNUMBER(BY9),IF(ABS(BY9-[1]QC_indicators!$B$1)&gt;3*[1]QC_indicators!$C$1,"DF","no"))),IF(ISNUMBER(BY9),IF(ABS(BY9-[1]QC_indicators!$B$1)&gt;3*[1]QC_indicators!$C$1,"DF","no")))</f>
        <v>DF</v>
      </c>
      <c r="EQ9"/>
      <c r="ER9"/>
      <c r="ES9"/>
      <c r="ET9" s="264" t="s">
        <v>3150</v>
      </c>
      <c r="EU9"/>
    </row>
    <row r="10" spans="1:151" s="139" customFormat="1" ht="15" customHeight="1">
      <c r="A10" s="1" t="s">
        <v>926</v>
      </c>
      <c r="B10" t="s">
        <v>1849</v>
      </c>
      <c r="C10" t="s">
        <v>1850</v>
      </c>
      <c r="D10" t="s">
        <v>1851</v>
      </c>
      <c r="E10" t="s">
        <v>1852</v>
      </c>
      <c r="F10" t="s">
        <v>1853</v>
      </c>
      <c r="G10" t="s">
        <v>932</v>
      </c>
      <c r="H10" t="s">
        <v>254</v>
      </c>
      <c r="I10">
        <v>2019</v>
      </c>
      <c r="J10">
        <v>8</v>
      </c>
      <c r="K10" t="s">
        <v>1854</v>
      </c>
      <c r="L10"/>
      <c r="M10" t="str">
        <f>LEFT($D10,FIND(",",$D10)-1)&amp;"_"&amp;I10&amp;L10</f>
        <v>Kogler_2019</v>
      </c>
      <c r="N10" t="s">
        <v>2582</v>
      </c>
      <c r="O10" s="171" t="s">
        <v>513</v>
      </c>
      <c r="P10" t="s">
        <v>960</v>
      </c>
      <c r="Q10" t="s">
        <v>389</v>
      </c>
      <c r="R10" s="262" t="s">
        <v>223</v>
      </c>
      <c r="S10" s="1" t="s">
        <v>1867</v>
      </c>
      <c r="T10" t="s">
        <v>1856</v>
      </c>
      <c r="U10" t="s">
        <v>1861</v>
      </c>
      <c r="V10">
        <v>0</v>
      </c>
      <c r="W10">
        <v>0</v>
      </c>
      <c r="X10">
        <v>0</v>
      </c>
      <c r="Y10">
        <v>0</v>
      </c>
      <c r="Z10">
        <v>0</v>
      </c>
      <c r="AA10">
        <v>0</v>
      </c>
      <c r="AB10">
        <v>0</v>
      </c>
      <c r="AC10">
        <v>0</v>
      </c>
      <c r="AD10">
        <v>0</v>
      </c>
      <c r="AE10">
        <v>0</v>
      </c>
      <c r="AF10">
        <v>1</v>
      </c>
      <c r="AG10">
        <v>0</v>
      </c>
      <c r="AH10">
        <v>0</v>
      </c>
      <c r="AI10">
        <v>0</v>
      </c>
      <c r="AJ10">
        <v>0</v>
      </c>
      <c r="AK10">
        <v>0</v>
      </c>
      <c r="AL10">
        <v>0</v>
      </c>
      <c r="AM10">
        <v>0</v>
      </c>
      <c r="AN10">
        <v>0</v>
      </c>
      <c r="AO10">
        <v>0</v>
      </c>
      <c r="AP10">
        <v>0</v>
      </c>
      <c r="AQ10">
        <v>0</v>
      </c>
      <c r="AR10">
        <v>0</v>
      </c>
      <c r="AS10">
        <v>0</v>
      </c>
      <c r="AT10">
        <v>0</v>
      </c>
      <c r="AU10">
        <v>0</v>
      </c>
      <c r="AV10">
        <v>0</v>
      </c>
      <c r="AW10">
        <v>0</v>
      </c>
      <c r="AX10" s="141">
        <f>COUNTIF(V10:AW10,"&lt;&gt;0")</f>
        <v>1</v>
      </c>
      <c r="AY10" s="141">
        <f>COUNTIF(V10:AL10,"&lt;&gt;0")</f>
        <v>1</v>
      </c>
      <c r="AZ10">
        <f>COUNTIF(V10:AC10,"&lt;&gt;0")</f>
        <v>0</v>
      </c>
      <c r="BA10">
        <f>COUNTIF(AD10:AI10,"&lt;&gt;0")</f>
        <v>1</v>
      </c>
      <c r="BB10">
        <f>COUNTIF(AJ10:AL10,"&lt;&gt;0")</f>
        <v>0</v>
      </c>
      <c r="BC10">
        <f>COUNTIF(AS10:AW10,"&lt;&gt;0")</f>
        <v>0</v>
      </c>
      <c r="BD10">
        <f>COUNTIF(AM10:AR10,"&lt;&gt;0")</f>
        <v>0</v>
      </c>
      <c r="BE10" t="str">
        <f t="array" ref="BE10">IF(AY10=1,INDEX($V$7:$AL$7,MATCH(TRUE,INDEX($V10:$AW10&lt;&gt;0,),0)),IF(AY10=0,INDEX($AM$7:$AW$7,MATCH(1,$AM10:$AW10,0)),IF(BF10="Multiple strategies","mixed drivers",IF(BF10="Supply chain","multiple supply","multiple silviculture"))))</f>
        <v>supply chain organization</v>
      </c>
      <c r="BF10" s="2" t="str" cm="1">
        <f t="array" ref="BF10">IF(COUNTIF(AZ10:BB10,"&lt;&gt;0")=1,INDEX($V$4:$AW$4,MATCH(TRUE,INDEX($V10:$AW10&lt;&gt;0,),0)),IF(COUNTIF(AZ10:BB10,"&lt;&gt;0")=0,INDEX($AM$4:$AW$4,MATCH(1,$AM10:$AW10,0)),"Multiple strategies"))</f>
        <v>Supply chain</v>
      </c>
      <c r="BG10" s="1" t="s">
        <v>321</v>
      </c>
      <c r="BH10" t="s">
        <v>1858</v>
      </c>
      <c r="BI10" t="s">
        <v>611</v>
      </c>
      <c r="BJ10" t="s">
        <v>498</v>
      </c>
      <c r="BK10">
        <v>35082</v>
      </c>
      <c r="BL10">
        <v>38360</v>
      </c>
      <c r="BM10">
        <v>1.0934382304315604</v>
      </c>
      <c r="BN10">
        <f>BL10-BK10</f>
        <v>3278</v>
      </c>
      <c r="BO10">
        <f>BN10</f>
        <v>3278</v>
      </c>
      <c r="BP10" t="s">
        <v>395</v>
      </c>
      <c r="BQ10" t="s">
        <v>1859</v>
      </c>
      <c r="BR10" s="264" t="s">
        <v>3149</v>
      </c>
      <c r="BS10">
        <v>541</v>
      </c>
      <c r="BT10">
        <v>665</v>
      </c>
      <c r="BU10" s="144">
        <v>1.2292051756007394</v>
      </c>
      <c r="BV10" s="152">
        <f>BT10-BS10</f>
        <v>124</v>
      </c>
      <c r="BW10"/>
      <c r="BX10">
        <f>BV10*10^6</f>
        <v>124000000</v>
      </c>
      <c r="BY10">
        <f>IFERROR(BX10/BO10,"")</f>
        <v>37827.943868212322</v>
      </c>
      <c r="BZ10">
        <v>0</v>
      </c>
      <c r="CA10">
        <v>0</v>
      </c>
      <c r="CB10">
        <v>0</v>
      </c>
      <c r="CC10">
        <v>0</v>
      </c>
      <c r="CD10">
        <v>0</v>
      </c>
      <c r="CE10">
        <v>0</v>
      </c>
      <c r="CF10">
        <v>0</v>
      </c>
      <c r="CG10">
        <v>0</v>
      </c>
      <c r="CH10">
        <v>0</v>
      </c>
      <c r="CI10">
        <v>0</v>
      </c>
      <c r="CJ10">
        <v>0</v>
      </c>
      <c r="CK10">
        <v>0</v>
      </c>
      <c r="CL10">
        <v>0</v>
      </c>
      <c r="CM10">
        <v>0</v>
      </c>
      <c r="CN10" t="str">
        <f>IF($BL10&lt;$BK10,"refNeedCorrection","refOK")</f>
        <v>refOK</v>
      </c>
      <c r="CO10">
        <f>IF($CN10="refOK",$BK10,$BL10)</f>
        <v>35082</v>
      </c>
      <c r="CP10">
        <f>IF($CN10="refOK",$BL10,$BK10)</f>
        <v>38360</v>
      </c>
      <c r="CQ10">
        <f>IF($CN10="refOK",$BO10,-$BO10)</f>
        <v>3278</v>
      </c>
      <c r="CR10">
        <f>IF($CN10="refOK",$BS10,$BT10)*IF($BP10="Emissions positive",-1,1)</f>
        <v>-541</v>
      </c>
      <c r="CS10">
        <f>IF($CN10="refOK",$BT10,$BS10)*IF($BP10="Emissions positive",-1,1)</f>
        <v>-665</v>
      </c>
      <c r="CT10">
        <f>IF($CN10="refNeedCorrection",-BX10,BX10)*IF($BP10="Emissions positive",-1,1)</f>
        <v>-124000000</v>
      </c>
      <c r="CU10">
        <f>IFERROR(CT10/CQ10,"")</f>
        <v>-37827.943868212322</v>
      </c>
      <c r="CV10" s="2">
        <f>IFERROR((CS10-CR10)/ABS(CR10),"")</f>
        <v>-0.22920517560073936</v>
      </c>
      <c r="CW10" s="1" t="s">
        <v>1203</v>
      </c>
      <c r="CX10" t="str">
        <f>IF(OR($CW10="prd",$CW10="std",$CW10="cit"),"loc",IF(OR($CW10="eur",$CW10="reg",$CW10="coy"),"reg",$CW10))</f>
        <v>reg</v>
      </c>
      <c r="CY10" t="s">
        <v>666</v>
      </c>
      <c r="CZ10">
        <v>0</v>
      </c>
      <c r="DA10">
        <v>0</v>
      </c>
      <c r="DB10">
        <v>0</v>
      </c>
      <c r="DC10" t="str">
        <f>IF(DB10=0,"0",IF(AND(DB10&gt;=1,DB10&lt;=30),"1-30",IF(AND(DB10&gt;30,DB10&lt;=70),"31-70",IF(AND(DB10&gt;70,DB10&lt;=100),"71-100",IF(DB10&gt;100,"+100")))))</f>
        <v>0</v>
      </c>
      <c r="DD10">
        <v>1</v>
      </c>
      <c r="DE10">
        <v>0</v>
      </c>
      <c r="DF10">
        <v>0</v>
      </c>
      <c r="DG10">
        <v>0</v>
      </c>
      <c r="DH10"/>
      <c r="DI10">
        <v>1</v>
      </c>
      <c r="DJ10" t="str">
        <f>IF(DI10=1,INDEX($DD$7:$DG$7,MATCH(1,$DD10:$DG10,0)),"mixedProduct")</f>
        <v>UpstreamInput</v>
      </c>
      <c r="DK10" t="str">
        <f>IF(DD10=1,DK$7,0)</f>
        <v>Upstream</v>
      </c>
      <c r="DL10">
        <f>IF(DE10=1,DL$7,0)</f>
        <v>0</v>
      </c>
      <c r="DM10">
        <f>IF(DF10=1,DM$7,0)</f>
        <v>0</v>
      </c>
      <c r="DN10">
        <f>IF(DG10=1,DN$7,0)</f>
        <v>0</v>
      </c>
      <c r="DO10">
        <v>0</v>
      </c>
      <c r="DP10">
        <v>0</v>
      </c>
      <c r="DQ10">
        <v>0</v>
      </c>
      <c r="DR10">
        <v>0</v>
      </c>
      <c r="DS10">
        <v>0</v>
      </c>
      <c r="DT10">
        <f>SUM(DO10:DP10)</f>
        <v>0</v>
      </c>
      <c r="DU10" s="143" t="s">
        <v>962</v>
      </c>
      <c r="DV10">
        <v>0</v>
      </c>
      <c r="DW10">
        <v>0</v>
      </c>
      <c r="DX10">
        <v>0</v>
      </c>
      <c r="DY10">
        <v>0</v>
      </c>
      <c r="DZ10">
        <v>0</v>
      </c>
      <c r="EA10" s="143">
        <v>0</v>
      </c>
      <c r="EB10">
        <v>1</v>
      </c>
      <c r="EC10">
        <v>0</v>
      </c>
      <c r="ED10">
        <v>0</v>
      </c>
      <c r="EE10">
        <v>0</v>
      </c>
      <c r="EF10">
        <v>0</v>
      </c>
      <c r="EG10">
        <v>0</v>
      </c>
      <c r="EH10">
        <v>0</v>
      </c>
      <c r="EI10" s="2">
        <v>0</v>
      </c>
      <c r="EJ10" s="1"/>
      <c r="EK10" t="str">
        <f>IF(AND(AND(AND(OR($DX10=1,$DW10=1),OR($EC10=1,$EA10=1)),SUM($DV10:$DZ10,$EF10)&gt;=4),SUM($EA10:$EE10)&gt;=2),"Whole sector","")</f>
        <v/>
      </c>
      <c r="EL10" t="str">
        <f>IF(AND(AND(OR($DX10=1,$DW10=1),AND($EC10=0,$EA10=0)),SUM($DV10:$DZ10,$EF10)&gt;=4),"Ecosystem approach","")</f>
        <v/>
      </c>
      <c r="EM10" s="2" t="str">
        <f>IF(AND(AND(AND($DX10=0,$DW10=0),OR($EC10=1,$EA10=1)),SUM($EB10:$EE10)&gt;=2),"Technology approach","")</f>
        <v/>
      </c>
      <c r="EN10"/>
      <c r="EO10"/>
      <c r="EP10" t="str">
        <f>IF(ISNUMBER(BU10),IF(ABS(BU10-[1]QC_indicators!$B$2)&gt;3*[1]QC_indicators!$C$2,"C ratio",IF(ISNUMBER(BY10),IF(ABS(BY10-[1]QC_indicators!$B$1)&gt;3*[1]QC_indicators!$C$1,"DF","no"))),IF(ISNUMBER(BY10),IF(ABS(BY10-[1]QC_indicators!$B$1)&gt;3*[1]QC_indicators!$C$1,"DF","no")))</f>
        <v>DF</v>
      </c>
      <c r="EQ10"/>
      <c r="ER10"/>
      <c r="ES10"/>
      <c r="ET10" s="264" t="s">
        <v>3150</v>
      </c>
      <c r="EU10"/>
    </row>
    <row r="11" spans="1:151" s="139" customFormat="1" ht="15" customHeight="1">
      <c r="A11" s="1" t="s">
        <v>926</v>
      </c>
      <c r="B11" t="s">
        <v>1849</v>
      </c>
      <c r="C11" t="s">
        <v>1850</v>
      </c>
      <c r="D11" t="s">
        <v>1851</v>
      </c>
      <c r="E11" t="s">
        <v>1852</v>
      </c>
      <c r="F11" t="s">
        <v>1853</v>
      </c>
      <c r="G11" t="s">
        <v>932</v>
      </c>
      <c r="H11" t="s">
        <v>254</v>
      </c>
      <c r="I11">
        <v>2019</v>
      </c>
      <c r="J11">
        <v>8</v>
      </c>
      <c r="K11" t="s">
        <v>1854</v>
      </c>
      <c r="L11"/>
      <c r="M11" t="str">
        <f>LEFT($D11,FIND(",",$D11)-1)&amp;"_"&amp;I11&amp;L11</f>
        <v>Kogler_2019</v>
      </c>
      <c r="N11" t="s">
        <v>2582</v>
      </c>
      <c r="O11" s="171" t="s">
        <v>513</v>
      </c>
      <c r="P11" t="s">
        <v>960</v>
      </c>
      <c r="Q11" t="s">
        <v>389</v>
      </c>
      <c r="R11" s="262" t="s">
        <v>223</v>
      </c>
      <c r="S11" s="1" t="s">
        <v>1867</v>
      </c>
      <c r="T11" t="s">
        <v>1860</v>
      </c>
      <c r="U11" t="s">
        <v>1863</v>
      </c>
      <c r="V11">
        <v>0</v>
      </c>
      <c r="W11">
        <v>0</v>
      </c>
      <c r="X11">
        <v>0</v>
      </c>
      <c r="Y11">
        <v>0</v>
      </c>
      <c r="Z11">
        <v>0</v>
      </c>
      <c r="AA11">
        <v>0</v>
      </c>
      <c r="AB11">
        <v>0</v>
      </c>
      <c r="AC11">
        <v>0</v>
      </c>
      <c r="AD11">
        <v>0</v>
      </c>
      <c r="AE11">
        <v>0</v>
      </c>
      <c r="AF11">
        <v>1</v>
      </c>
      <c r="AG11">
        <v>0</v>
      </c>
      <c r="AH11">
        <v>0</v>
      </c>
      <c r="AI11">
        <v>0</v>
      </c>
      <c r="AJ11">
        <v>0</v>
      </c>
      <c r="AK11">
        <v>0</v>
      </c>
      <c r="AL11">
        <v>0</v>
      </c>
      <c r="AM11">
        <v>0</v>
      </c>
      <c r="AN11">
        <v>0</v>
      </c>
      <c r="AO11">
        <v>0</v>
      </c>
      <c r="AP11">
        <v>0</v>
      </c>
      <c r="AQ11">
        <v>0</v>
      </c>
      <c r="AR11">
        <v>0</v>
      </c>
      <c r="AS11">
        <v>0</v>
      </c>
      <c r="AT11">
        <v>0</v>
      </c>
      <c r="AU11">
        <v>0</v>
      </c>
      <c r="AV11">
        <v>0</v>
      </c>
      <c r="AW11">
        <v>0</v>
      </c>
      <c r="AX11" s="141">
        <f>COUNTIF(V11:AW11,"&lt;&gt;0")</f>
        <v>1</v>
      </c>
      <c r="AY11" s="141">
        <f>COUNTIF(V11:AL11,"&lt;&gt;0")</f>
        <v>1</v>
      </c>
      <c r="AZ11">
        <f>COUNTIF(V11:AC11,"&lt;&gt;0")</f>
        <v>0</v>
      </c>
      <c r="BA11">
        <f>COUNTIF(AD11:AI11,"&lt;&gt;0")</f>
        <v>1</v>
      </c>
      <c r="BB11">
        <f>COUNTIF(AJ11:AL11,"&lt;&gt;0")</f>
        <v>0</v>
      </c>
      <c r="BC11">
        <f>COUNTIF(AS11:AW11,"&lt;&gt;0")</f>
        <v>0</v>
      </c>
      <c r="BD11">
        <f>COUNTIF(AM11:AR11,"&lt;&gt;0")</f>
        <v>0</v>
      </c>
      <c r="BE11" t="str">
        <f t="array" ref="BE11">IF(AY11=1,INDEX($V$7:$AL$7,MATCH(TRUE,INDEX($V11:$AW11&lt;&gt;0,),0)),IF(AY11=0,INDEX($AM$7:$AW$7,MATCH(1,$AM11:$AW11,0)),IF(BF11="Multiple strategies","mixed drivers",IF(BF11="Supply chain","multiple supply","multiple silviculture"))))</f>
        <v>supply chain organization</v>
      </c>
      <c r="BF11" s="2" t="str" cm="1">
        <f t="array" ref="BF11">IF(COUNTIF(AZ11:BB11,"&lt;&gt;0")=1,INDEX($V$4:$AW$4,MATCH(TRUE,INDEX($V11:$AW11&lt;&gt;0,),0)),IF(COUNTIF(AZ11:BB11,"&lt;&gt;0")=0,INDEX($AM$4:$AW$4,MATCH(1,$AM11:$AW11,0)),"Multiple strategies"))</f>
        <v>Supply chain</v>
      </c>
      <c r="BG11" s="1" t="s">
        <v>321</v>
      </c>
      <c r="BH11" t="s">
        <v>1858</v>
      </c>
      <c r="BI11" t="s">
        <v>611</v>
      </c>
      <c r="BJ11" t="s">
        <v>498</v>
      </c>
      <c r="BK11">
        <v>80258</v>
      </c>
      <c r="BL11">
        <v>86651</v>
      </c>
      <c r="BM11">
        <v>1.0796556106556356</v>
      </c>
      <c r="BN11">
        <f>BL11-BK11</f>
        <v>6393</v>
      </c>
      <c r="BO11">
        <f>BN11</f>
        <v>6393</v>
      </c>
      <c r="BP11" t="s">
        <v>395</v>
      </c>
      <c r="BQ11" s="333" t="s">
        <v>1859</v>
      </c>
      <c r="BR11" s="264" t="s">
        <v>3149</v>
      </c>
      <c r="BS11">
        <v>1270</v>
      </c>
      <c r="BT11">
        <v>1500</v>
      </c>
      <c r="BU11" s="144">
        <v>1.1811023622047243</v>
      </c>
      <c r="BV11" s="152">
        <f>BT11-BS11</f>
        <v>230</v>
      </c>
      <c r="BW11"/>
      <c r="BX11">
        <f>BV11*10^6</f>
        <v>230000000</v>
      </c>
      <c r="BY11">
        <f>IFERROR(BX11/BO11,"")</f>
        <v>35976.849679336774</v>
      </c>
      <c r="BZ11">
        <v>0</v>
      </c>
      <c r="CA11">
        <v>0</v>
      </c>
      <c r="CB11">
        <v>0</v>
      </c>
      <c r="CC11">
        <v>0</v>
      </c>
      <c r="CD11">
        <v>0</v>
      </c>
      <c r="CE11">
        <v>0</v>
      </c>
      <c r="CF11">
        <v>0</v>
      </c>
      <c r="CG11">
        <v>0</v>
      </c>
      <c r="CH11">
        <v>0</v>
      </c>
      <c r="CI11">
        <v>0</v>
      </c>
      <c r="CJ11">
        <v>0</v>
      </c>
      <c r="CK11">
        <v>0</v>
      </c>
      <c r="CL11">
        <v>0</v>
      </c>
      <c r="CM11">
        <v>0</v>
      </c>
      <c r="CN11" t="str">
        <f>IF($BL11&lt;$BK11,"refNeedCorrection","refOK")</f>
        <v>refOK</v>
      </c>
      <c r="CO11">
        <f>IF($CN11="refOK",$BK11,$BL11)</f>
        <v>80258</v>
      </c>
      <c r="CP11">
        <f>IF($CN11="refOK",$BL11,$BK11)</f>
        <v>86651</v>
      </c>
      <c r="CQ11">
        <f>IF($CN11="refOK",$BO11,-$BO11)</f>
        <v>6393</v>
      </c>
      <c r="CR11">
        <f>IF($CN11="refOK",$BS11,$BT11)*IF($BP11="Emissions positive",-1,1)</f>
        <v>-1270</v>
      </c>
      <c r="CS11">
        <f>IF($CN11="refOK",$BT11,$BS11)*IF($BP11="Emissions positive",-1,1)</f>
        <v>-1500</v>
      </c>
      <c r="CT11">
        <f>IF($CN11="refNeedCorrection",-BX11,BX11)*IF($BP11="Emissions positive",-1,1)</f>
        <v>-230000000</v>
      </c>
      <c r="CU11">
        <f>IFERROR(CT11/CQ11,"")</f>
        <v>-35976.849679336774</v>
      </c>
      <c r="CV11" s="2">
        <f>IFERROR((CS11-CR11)/ABS(CR11),"")</f>
        <v>-0.18110236220472442</v>
      </c>
      <c r="CW11" s="1" t="s">
        <v>1203</v>
      </c>
      <c r="CX11" t="str">
        <f>IF(OR($CW11="prd",$CW11="std",$CW11="cit"),"loc",IF(OR($CW11="eur",$CW11="reg",$CW11="coy"),"reg",$CW11))</f>
        <v>reg</v>
      </c>
      <c r="CY11" t="s">
        <v>666</v>
      </c>
      <c r="CZ11">
        <v>0</v>
      </c>
      <c r="DA11">
        <v>0</v>
      </c>
      <c r="DB11">
        <v>0</v>
      </c>
      <c r="DC11" t="str">
        <f>IF(DB11=0,"0",IF(AND(DB11&gt;=1,DB11&lt;=30),"1-30",IF(AND(DB11&gt;30,DB11&lt;=70),"31-70",IF(AND(DB11&gt;70,DB11&lt;=100),"71-100",IF(DB11&gt;100,"+100")))))</f>
        <v>0</v>
      </c>
      <c r="DD11">
        <v>1</v>
      </c>
      <c r="DE11">
        <v>0</v>
      </c>
      <c r="DF11">
        <v>0</v>
      </c>
      <c r="DG11">
        <v>0</v>
      </c>
      <c r="DH11"/>
      <c r="DI11">
        <v>1</v>
      </c>
      <c r="DJ11" t="str">
        <f>IF(DI11=1,INDEX($DD$7:$DG$7,MATCH(1,$DD11:$DG11,0)),"mixedProduct")</f>
        <v>UpstreamInput</v>
      </c>
      <c r="DK11" t="str">
        <f>IF(DD11=1,DK$7,0)</f>
        <v>Upstream</v>
      </c>
      <c r="DL11">
        <f>IF(DE11=1,DL$7,0)</f>
        <v>0</v>
      </c>
      <c r="DM11">
        <f>IF(DF11=1,DM$7,0)</f>
        <v>0</v>
      </c>
      <c r="DN11">
        <f>IF(DG11=1,DN$7,0)</f>
        <v>0</v>
      </c>
      <c r="DO11">
        <v>0</v>
      </c>
      <c r="DP11">
        <v>0</v>
      </c>
      <c r="DQ11">
        <v>0</v>
      </c>
      <c r="DR11">
        <v>0</v>
      </c>
      <c r="DS11">
        <v>0</v>
      </c>
      <c r="DT11">
        <f>SUM(DO11:DP11)</f>
        <v>0</v>
      </c>
      <c r="DU11" s="143" t="s">
        <v>962</v>
      </c>
      <c r="DV11">
        <v>0</v>
      </c>
      <c r="DW11">
        <v>0</v>
      </c>
      <c r="DX11">
        <v>0</v>
      </c>
      <c r="DY11">
        <v>0</v>
      </c>
      <c r="DZ11">
        <v>0</v>
      </c>
      <c r="EA11" s="143">
        <v>0</v>
      </c>
      <c r="EB11">
        <v>1</v>
      </c>
      <c r="EC11">
        <v>0</v>
      </c>
      <c r="ED11">
        <v>0</v>
      </c>
      <c r="EE11">
        <v>0</v>
      </c>
      <c r="EF11">
        <v>0</v>
      </c>
      <c r="EG11">
        <v>0</v>
      </c>
      <c r="EH11">
        <v>0</v>
      </c>
      <c r="EI11" s="2">
        <v>0</v>
      </c>
      <c r="EJ11" s="1"/>
      <c r="EK11" t="str">
        <f>IF(AND(AND(AND(OR($DX11=1,$DW11=1),OR($EC11=1,$EA11=1)),SUM($DV11:$DZ11,$EF11)&gt;=4),SUM($EA11:$EE11)&gt;=2),"Whole sector","")</f>
        <v/>
      </c>
      <c r="EL11" t="str">
        <f>IF(AND(AND(OR($DX11=1,$DW11=1),AND($EC11=0,$EA11=0)),SUM($DV11:$DZ11,$EF11)&gt;=4),"Ecosystem approach","")</f>
        <v/>
      </c>
      <c r="EM11" s="2" t="str">
        <f>IF(AND(AND(AND($DX11=0,$DW11=0),OR($EC11=1,$EA11=1)),SUM($EB11:$EE11)&gt;=2),"Technology approach","")</f>
        <v/>
      </c>
      <c r="EN11"/>
      <c r="EO11"/>
      <c r="EP11" t="str">
        <f>IF(ISNUMBER(BU11),IF(ABS(BU11-[1]QC_indicators!$B$2)&gt;3*[1]QC_indicators!$C$2,"C ratio",IF(ISNUMBER(BY11),IF(ABS(BY11-[1]QC_indicators!$B$1)&gt;3*[1]QC_indicators!$C$1,"DF","no"))),IF(ISNUMBER(BY11),IF(ABS(BY11-[1]QC_indicators!$B$1)&gt;3*[1]QC_indicators!$C$1,"DF","no")))</f>
        <v>DF</v>
      </c>
      <c r="EQ11"/>
      <c r="ER11"/>
      <c r="ES11"/>
      <c r="ET11" s="264" t="s">
        <v>3150</v>
      </c>
      <c r="EU11"/>
    </row>
    <row r="12" spans="1:151" s="139" customFormat="1" ht="15" customHeight="1">
      <c r="A12" s="1" t="s">
        <v>926</v>
      </c>
      <c r="B12" t="s">
        <v>1849</v>
      </c>
      <c r="C12" t="s">
        <v>1850</v>
      </c>
      <c r="D12" t="s">
        <v>1851</v>
      </c>
      <c r="E12" t="s">
        <v>1852</v>
      </c>
      <c r="F12" t="s">
        <v>1853</v>
      </c>
      <c r="G12" t="s">
        <v>932</v>
      </c>
      <c r="H12" t="s">
        <v>254</v>
      </c>
      <c r="I12">
        <v>2019</v>
      </c>
      <c r="J12">
        <v>8</v>
      </c>
      <c r="K12" t="s">
        <v>1854</v>
      </c>
      <c r="L12"/>
      <c r="M12" t="str">
        <f>LEFT($D12,FIND(",",$D12)-1)&amp;"_"&amp;I12&amp;L12</f>
        <v>Kogler_2019</v>
      </c>
      <c r="N12" t="s">
        <v>2582</v>
      </c>
      <c r="O12" s="171" t="s">
        <v>513</v>
      </c>
      <c r="P12" t="s">
        <v>960</v>
      </c>
      <c r="Q12" t="s">
        <v>389</v>
      </c>
      <c r="R12" s="262" t="s">
        <v>223</v>
      </c>
      <c r="S12" s="1" t="s">
        <v>1867</v>
      </c>
      <c r="T12" t="s">
        <v>1857</v>
      </c>
      <c r="U12" t="s">
        <v>1862</v>
      </c>
      <c r="V12">
        <v>0</v>
      </c>
      <c r="W12">
        <v>0</v>
      </c>
      <c r="X12">
        <v>0</v>
      </c>
      <c r="Y12">
        <v>0</v>
      </c>
      <c r="Z12">
        <v>0</v>
      </c>
      <c r="AA12">
        <v>0</v>
      </c>
      <c r="AB12">
        <v>0</v>
      </c>
      <c r="AC12">
        <v>0</v>
      </c>
      <c r="AD12">
        <v>0</v>
      </c>
      <c r="AE12">
        <v>0</v>
      </c>
      <c r="AF12">
        <v>1</v>
      </c>
      <c r="AG12">
        <v>0</v>
      </c>
      <c r="AH12">
        <v>0</v>
      </c>
      <c r="AI12">
        <v>0</v>
      </c>
      <c r="AJ12">
        <v>0</v>
      </c>
      <c r="AK12">
        <v>0</v>
      </c>
      <c r="AL12">
        <v>0</v>
      </c>
      <c r="AM12">
        <v>0</v>
      </c>
      <c r="AN12">
        <v>0</v>
      </c>
      <c r="AO12">
        <v>0</v>
      </c>
      <c r="AP12">
        <v>0</v>
      </c>
      <c r="AQ12">
        <v>0</v>
      </c>
      <c r="AR12">
        <v>0</v>
      </c>
      <c r="AS12">
        <v>0</v>
      </c>
      <c r="AT12">
        <v>0</v>
      </c>
      <c r="AU12">
        <v>0</v>
      </c>
      <c r="AV12">
        <v>0</v>
      </c>
      <c r="AW12">
        <v>0</v>
      </c>
      <c r="AX12" s="141">
        <f>COUNTIF(V12:AW12,"&lt;&gt;0")</f>
        <v>1</v>
      </c>
      <c r="AY12" s="141">
        <f>COUNTIF(V12:AL12,"&lt;&gt;0")</f>
        <v>1</v>
      </c>
      <c r="AZ12">
        <f>COUNTIF(V12:AC12,"&lt;&gt;0")</f>
        <v>0</v>
      </c>
      <c r="BA12">
        <f>COUNTIF(AD12:AI12,"&lt;&gt;0")</f>
        <v>1</v>
      </c>
      <c r="BB12">
        <f>COUNTIF(AJ12:AL12,"&lt;&gt;0")</f>
        <v>0</v>
      </c>
      <c r="BC12">
        <f>COUNTIF(AS12:AW12,"&lt;&gt;0")</f>
        <v>0</v>
      </c>
      <c r="BD12">
        <f>COUNTIF(AM12:AR12,"&lt;&gt;0")</f>
        <v>0</v>
      </c>
      <c r="BE12" t="str">
        <f t="array" ref="BE12">IF(AY12=1,INDEX($V$7:$AL$7,MATCH(TRUE,INDEX($V12:$AW12&lt;&gt;0,),0)),IF(AY12=0,INDEX($AM$7:$AW$7,MATCH(1,$AM12:$AW12,0)),IF(BF12="Multiple strategies","mixed drivers",IF(BF12="Supply chain","multiple supply","multiple silviculture"))))</f>
        <v>supply chain organization</v>
      </c>
      <c r="BF12" s="2" t="str" cm="1">
        <f t="array" ref="BF12">IF(COUNTIF(AZ12:BB12,"&lt;&gt;0")=1,INDEX($V$4:$AW$4,MATCH(TRUE,INDEX($V12:$AW12&lt;&gt;0,),0)),IF(COUNTIF(AZ12:BB12,"&lt;&gt;0")=0,INDEX($AM$4:$AW$4,MATCH(1,$AM12:$AW12,0)),"Multiple strategies"))</f>
        <v>Supply chain</v>
      </c>
      <c r="BG12" s="1" t="s">
        <v>321</v>
      </c>
      <c r="BH12" t="s">
        <v>1858</v>
      </c>
      <c r="BI12" t="s">
        <v>611</v>
      </c>
      <c r="BJ12" t="s">
        <v>498</v>
      </c>
      <c r="BK12">
        <v>37563</v>
      </c>
      <c r="BL12">
        <v>41581</v>
      </c>
      <c r="BM12">
        <v>1.1069669621702207</v>
      </c>
      <c r="BN12">
        <f>BL12-BK12</f>
        <v>4018</v>
      </c>
      <c r="BO12">
        <f>BN12</f>
        <v>4018</v>
      </c>
      <c r="BP12" t="s">
        <v>395</v>
      </c>
      <c r="BQ12" t="s">
        <v>1859</v>
      </c>
      <c r="BR12" s="264" t="s">
        <v>3149</v>
      </c>
      <c r="BS12">
        <v>579</v>
      </c>
      <c r="BT12">
        <v>719</v>
      </c>
      <c r="BU12" s="144">
        <v>1.241796200345423</v>
      </c>
      <c r="BV12" s="152">
        <f>BT12-BS12</f>
        <v>140</v>
      </c>
      <c r="BW12"/>
      <c r="BX12">
        <f>BV12*10^6</f>
        <v>140000000</v>
      </c>
      <c r="BY12">
        <f>IFERROR(BX12/BO12,"")</f>
        <v>34843.205574912892</v>
      </c>
      <c r="BZ12">
        <v>0</v>
      </c>
      <c r="CA12">
        <v>0</v>
      </c>
      <c r="CB12">
        <v>0</v>
      </c>
      <c r="CC12">
        <v>0</v>
      </c>
      <c r="CD12">
        <v>0</v>
      </c>
      <c r="CE12">
        <v>0</v>
      </c>
      <c r="CF12">
        <v>0</v>
      </c>
      <c r="CG12">
        <v>0</v>
      </c>
      <c r="CH12">
        <v>0</v>
      </c>
      <c r="CI12">
        <v>0</v>
      </c>
      <c r="CJ12">
        <v>0</v>
      </c>
      <c r="CK12">
        <v>0</v>
      </c>
      <c r="CL12">
        <v>0</v>
      </c>
      <c r="CM12">
        <v>0</v>
      </c>
      <c r="CN12" t="str">
        <f>IF($BL12&lt;$BK12,"refNeedCorrection","refOK")</f>
        <v>refOK</v>
      </c>
      <c r="CO12">
        <f>IF($CN12="refOK",$BK12,$BL12)</f>
        <v>37563</v>
      </c>
      <c r="CP12">
        <f>IF($CN12="refOK",$BL12,$BK12)</f>
        <v>41581</v>
      </c>
      <c r="CQ12">
        <f>IF($CN12="refOK",$BO12,-$BO12)</f>
        <v>4018</v>
      </c>
      <c r="CR12">
        <f>IF($CN12="refOK",$BS12,$BT12)*IF($BP12="Emissions positive",-1,1)</f>
        <v>-579</v>
      </c>
      <c r="CS12">
        <f>IF($CN12="refOK",$BT12,$BS12)*IF($BP12="Emissions positive",-1,1)</f>
        <v>-719</v>
      </c>
      <c r="CT12">
        <f>IF($CN12="refNeedCorrection",-BX12,BX12)*IF($BP12="Emissions positive",-1,1)</f>
        <v>-140000000</v>
      </c>
      <c r="CU12">
        <f>IFERROR(CT12/CQ12,"")</f>
        <v>-34843.205574912892</v>
      </c>
      <c r="CV12" s="2">
        <f>IFERROR((CS12-CR12)/ABS(CR12),"")</f>
        <v>-0.24179620034542315</v>
      </c>
      <c r="CW12" s="1" t="s">
        <v>1203</v>
      </c>
      <c r="CX12" t="str">
        <f>IF(OR($CW12="prd",$CW12="std",$CW12="cit"),"loc",IF(OR($CW12="eur",$CW12="reg",$CW12="coy"),"reg",$CW12))</f>
        <v>reg</v>
      </c>
      <c r="CY12" t="s">
        <v>666</v>
      </c>
      <c r="CZ12">
        <v>0</v>
      </c>
      <c r="DA12">
        <v>0</v>
      </c>
      <c r="DB12">
        <v>0</v>
      </c>
      <c r="DC12" t="str">
        <f>IF(DB12=0,"0",IF(AND(DB12&gt;=1,DB12&lt;=30),"1-30",IF(AND(DB12&gt;30,DB12&lt;=70),"31-70",IF(AND(DB12&gt;70,DB12&lt;=100),"71-100",IF(DB12&gt;100,"+100")))))</f>
        <v>0</v>
      </c>
      <c r="DD12">
        <v>1</v>
      </c>
      <c r="DE12">
        <v>0</v>
      </c>
      <c r="DF12">
        <v>0</v>
      </c>
      <c r="DG12">
        <v>0</v>
      </c>
      <c r="DH12"/>
      <c r="DI12">
        <v>1</v>
      </c>
      <c r="DJ12" t="str">
        <f>IF(DI12=1,INDEX($DD$7:$DG$7,MATCH(1,$DD12:$DG12,0)),"mixedProduct")</f>
        <v>UpstreamInput</v>
      </c>
      <c r="DK12" t="str">
        <f>IF(DD12=1,DK$7,0)</f>
        <v>Upstream</v>
      </c>
      <c r="DL12">
        <f>IF(DE12=1,DL$7,0)</f>
        <v>0</v>
      </c>
      <c r="DM12">
        <f>IF(DF12=1,DM$7,0)</f>
        <v>0</v>
      </c>
      <c r="DN12">
        <f>IF(DG12=1,DN$7,0)</f>
        <v>0</v>
      </c>
      <c r="DO12">
        <v>0</v>
      </c>
      <c r="DP12">
        <v>0</v>
      </c>
      <c r="DQ12">
        <v>0</v>
      </c>
      <c r="DR12">
        <v>0</v>
      </c>
      <c r="DS12">
        <v>0</v>
      </c>
      <c r="DT12">
        <f>SUM(DO12:DP12)</f>
        <v>0</v>
      </c>
      <c r="DU12" s="143" t="s">
        <v>962</v>
      </c>
      <c r="DV12">
        <v>0</v>
      </c>
      <c r="DW12">
        <v>0</v>
      </c>
      <c r="DX12">
        <v>0</v>
      </c>
      <c r="DY12">
        <v>0</v>
      </c>
      <c r="DZ12">
        <v>0</v>
      </c>
      <c r="EA12" s="143">
        <v>0</v>
      </c>
      <c r="EB12">
        <v>1</v>
      </c>
      <c r="EC12">
        <v>0</v>
      </c>
      <c r="ED12">
        <v>0</v>
      </c>
      <c r="EE12">
        <v>0</v>
      </c>
      <c r="EF12">
        <v>0</v>
      </c>
      <c r="EG12">
        <v>0</v>
      </c>
      <c r="EH12">
        <v>0</v>
      </c>
      <c r="EI12" s="2">
        <v>0</v>
      </c>
      <c r="EJ12" s="1"/>
      <c r="EK12" t="str">
        <f>IF(AND(AND(AND(OR($DX12=1,$DW12=1),OR($EC12=1,$EA12=1)),SUM($DV12:$DZ12,$EF12)&gt;=4),SUM($EA12:$EE12)&gt;=2),"Whole sector","")</f>
        <v/>
      </c>
      <c r="EL12" t="str">
        <f>IF(AND(AND(OR($DX12=1,$DW12=1),AND($EC12=0,$EA12=0)),SUM($DV12:$DZ12,$EF12)&gt;=4),"Ecosystem approach","")</f>
        <v/>
      </c>
      <c r="EM12" s="2" t="str">
        <f>IF(AND(AND(AND($DX12=0,$DW12=0),OR($EC12=1,$EA12=1)),SUM($EB12:$EE12)&gt;=2),"Technology approach","")</f>
        <v/>
      </c>
      <c r="EN12"/>
      <c r="EO12"/>
      <c r="EP12" t="str">
        <f>IF(ISNUMBER(BU12),IF(ABS(BU12-[1]QC_indicators!$B$2)&gt;3*[1]QC_indicators!$C$2,"C ratio",IF(ISNUMBER(BY12),IF(ABS(BY12-[1]QC_indicators!$B$1)&gt;3*[1]QC_indicators!$C$1,"DF","no"))),IF(ISNUMBER(BY12),IF(ABS(BY12-[1]QC_indicators!$B$1)&gt;3*[1]QC_indicators!$C$1,"DF","no")))</f>
        <v>DF</v>
      </c>
      <c r="EQ12"/>
      <c r="ER12"/>
      <c r="ES12"/>
      <c r="ET12" s="264" t="s">
        <v>3150</v>
      </c>
      <c r="EU12"/>
    </row>
    <row r="13" spans="1:151" s="139" customFormat="1" ht="15" customHeight="1">
      <c r="A13" s="1" t="s">
        <v>926</v>
      </c>
      <c r="B13" t="s">
        <v>1849</v>
      </c>
      <c r="C13" t="s">
        <v>1850</v>
      </c>
      <c r="D13" t="s">
        <v>1851</v>
      </c>
      <c r="E13" t="s">
        <v>1852</v>
      </c>
      <c r="F13" t="s">
        <v>1853</v>
      </c>
      <c r="G13" t="s">
        <v>932</v>
      </c>
      <c r="H13" t="s">
        <v>254</v>
      </c>
      <c r="I13">
        <v>2019</v>
      </c>
      <c r="J13">
        <v>8</v>
      </c>
      <c r="K13" t="s">
        <v>1854</v>
      </c>
      <c r="L13"/>
      <c r="M13" t="str">
        <f>LEFT($D13,FIND(",",$D13)-1)&amp;"_"&amp;I13&amp;L13</f>
        <v>Kogler_2019</v>
      </c>
      <c r="N13" t="s">
        <v>2582</v>
      </c>
      <c r="O13" s="171" t="s">
        <v>513</v>
      </c>
      <c r="P13" t="s">
        <v>960</v>
      </c>
      <c r="Q13" t="s">
        <v>389</v>
      </c>
      <c r="R13" s="262" t="s">
        <v>223</v>
      </c>
      <c r="S13" s="1" t="s">
        <v>1855</v>
      </c>
      <c r="T13" t="s">
        <v>1865</v>
      </c>
      <c r="U13" t="s">
        <v>1866</v>
      </c>
      <c r="V13">
        <v>0</v>
      </c>
      <c r="W13">
        <v>0</v>
      </c>
      <c r="X13">
        <v>0</v>
      </c>
      <c r="Y13">
        <v>1</v>
      </c>
      <c r="Z13">
        <v>0</v>
      </c>
      <c r="AA13">
        <v>0</v>
      </c>
      <c r="AB13">
        <v>0</v>
      </c>
      <c r="AC13">
        <v>0</v>
      </c>
      <c r="AD13">
        <v>0</v>
      </c>
      <c r="AE13">
        <v>0</v>
      </c>
      <c r="AF13">
        <v>0</v>
      </c>
      <c r="AG13">
        <v>0</v>
      </c>
      <c r="AH13">
        <v>0</v>
      </c>
      <c r="AI13">
        <v>0</v>
      </c>
      <c r="AJ13">
        <v>0</v>
      </c>
      <c r="AK13">
        <v>0</v>
      </c>
      <c r="AL13">
        <v>0</v>
      </c>
      <c r="AM13">
        <v>0</v>
      </c>
      <c r="AN13">
        <v>0</v>
      </c>
      <c r="AO13">
        <v>0</v>
      </c>
      <c r="AP13">
        <v>0</v>
      </c>
      <c r="AQ13">
        <v>2</v>
      </c>
      <c r="AR13">
        <v>0</v>
      </c>
      <c r="AS13">
        <v>0</v>
      </c>
      <c r="AT13">
        <v>0</v>
      </c>
      <c r="AU13">
        <v>0</v>
      </c>
      <c r="AV13">
        <v>0</v>
      </c>
      <c r="AW13">
        <v>0</v>
      </c>
      <c r="AX13" s="141">
        <f>COUNTIF(V13:AW13,"&lt;&gt;0")</f>
        <v>2</v>
      </c>
      <c r="AY13" s="141">
        <f>COUNTIF(V13:AL13,"&lt;&gt;0")</f>
        <v>1</v>
      </c>
      <c r="AZ13">
        <f>COUNTIF(V13:AC13,"&lt;&gt;0")</f>
        <v>1</v>
      </c>
      <c r="BA13">
        <f>COUNTIF(AD13:AI13,"&lt;&gt;0")</f>
        <v>0</v>
      </c>
      <c r="BB13">
        <f>COUNTIF(AJ13:AL13,"&lt;&gt;0")</f>
        <v>0</v>
      </c>
      <c r="BC13">
        <f>COUNTIF(AS13:AW13,"&lt;&gt;0")</f>
        <v>0</v>
      </c>
      <c r="BD13">
        <f>COUNTIF(AM13:AR13,"&lt;&gt;0")</f>
        <v>1</v>
      </c>
      <c r="BE13" t="str">
        <f t="array" ref="BE13">IF(AY13=1,INDEX($V$7:$AL$7,MATCH(TRUE,INDEX($V13:$AW13&lt;&gt;0,),0)),IF(AY13=0,INDEX($AM$7:$AW$7,MATCH(1,$AM13:$AW13,0)),IF(BF13="Multiple strategies","mixed drivers",IF(BF13="Supply chain","multiple supply","multiple silviculture"))))</f>
        <v xml:space="preserve">cutting intensity </v>
      </c>
      <c r="BF13" s="2" t="str" cm="1">
        <f t="array" ref="BF13">IF(COUNTIF(AZ13:BB13,"&lt;&gt;0")=1,INDEX($V$4:$AW$4,MATCH(TRUE,INDEX($V13:$AW13&lt;&gt;0,),0)),IF(COUNTIF(AZ13:BB13,"&lt;&gt;0")=0,INDEX($AM$4:$AW$4,MATCH(1,$AM13:$AW13,0)),"Multiple strategies"))</f>
        <v>Silviculture for removals</v>
      </c>
      <c r="BG13" s="1" t="s">
        <v>321</v>
      </c>
      <c r="BH13" t="s">
        <v>1858</v>
      </c>
      <c r="BI13" t="s">
        <v>611</v>
      </c>
      <c r="BJ13" t="s">
        <v>498</v>
      </c>
      <c r="BK13">
        <v>39771</v>
      </c>
      <c r="BL13">
        <v>75469</v>
      </c>
      <c r="BM13" t="s">
        <v>544</v>
      </c>
      <c r="BN13">
        <f>BL13-BK13</f>
        <v>35698</v>
      </c>
      <c r="BO13">
        <f>BN13</f>
        <v>35698</v>
      </c>
      <c r="BP13" t="s">
        <v>395</v>
      </c>
      <c r="BQ13" t="s">
        <v>1859</v>
      </c>
      <c r="BR13" s="264" t="s">
        <v>3149</v>
      </c>
      <c r="BS13">
        <v>762</v>
      </c>
      <c r="BT13">
        <v>1447</v>
      </c>
      <c r="BU13" s="144">
        <v>1.8989501312335959</v>
      </c>
      <c r="BV13" s="152">
        <f>BT13-BS13</f>
        <v>685</v>
      </c>
      <c r="BW13"/>
      <c r="BX13">
        <f>BV13*10^6</f>
        <v>685000000</v>
      </c>
      <c r="BY13">
        <f>IFERROR(BX13/BO13,"")</f>
        <v>19188.750070031936</v>
      </c>
      <c r="BZ13">
        <v>0</v>
      </c>
      <c r="CA13">
        <v>0</v>
      </c>
      <c r="CB13">
        <v>0</v>
      </c>
      <c r="CC13">
        <v>0</v>
      </c>
      <c r="CD13">
        <v>0</v>
      </c>
      <c r="CE13">
        <v>0</v>
      </c>
      <c r="CF13">
        <v>0</v>
      </c>
      <c r="CG13">
        <v>0</v>
      </c>
      <c r="CH13">
        <v>0</v>
      </c>
      <c r="CI13">
        <v>0</v>
      </c>
      <c r="CJ13">
        <v>0</v>
      </c>
      <c r="CK13">
        <v>0</v>
      </c>
      <c r="CL13">
        <v>0</v>
      </c>
      <c r="CM13">
        <v>0</v>
      </c>
      <c r="CN13" t="str">
        <f>IF($BL13&lt;$BK13,"refNeedCorrection","refOK")</f>
        <v>refOK</v>
      </c>
      <c r="CO13">
        <f>IF($CN13="refOK",$BK13,$BL13)</f>
        <v>39771</v>
      </c>
      <c r="CP13">
        <f>IF($CN13="refOK",$BL13,$BK13)</f>
        <v>75469</v>
      </c>
      <c r="CQ13">
        <f>IF($CN13="refOK",$BO13,-$BO13)</f>
        <v>35698</v>
      </c>
      <c r="CR13">
        <f>IF($CN13="refOK",$BS13,$BT13)*IF($BP13="Emissions positive",-1,1)</f>
        <v>-762</v>
      </c>
      <c r="CS13">
        <f>IF($CN13="refOK",$BT13,$BS13)*IF($BP13="Emissions positive",-1,1)</f>
        <v>-1447</v>
      </c>
      <c r="CT13">
        <f>IF($CN13="refNeedCorrection",-BX13,BX13)*IF($BP13="Emissions positive",-1,1)</f>
        <v>-685000000</v>
      </c>
      <c r="CU13">
        <f>IFERROR(CT13/CQ13,"")</f>
        <v>-19188.750070031936</v>
      </c>
      <c r="CV13" s="2">
        <f>IFERROR((CS13-CR13)/ABS(CR13),"")</f>
        <v>-0.89895013123359579</v>
      </c>
      <c r="CW13" s="1" t="s">
        <v>1203</v>
      </c>
      <c r="CX13" t="str">
        <f>IF(OR($CW13="prd",$CW13="std",$CW13="cit"),"loc",IF(OR($CW13="eur",$CW13="reg",$CW13="coy"),"reg",$CW13))</f>
        <v>reg</v>
      </c>
      <c r="CY13" t="s">
        <v>666</v>
      </c>
      <c r="CZ13">
        <v>0</v>
      </c>
      <c r="DA13">
        <v>0</v>
      </c>
      <c r="DB13">
        <v>0</v>
      </c>
      <c r="DC13" t="str">
        <f>IF(DB13=0,"0",IF(AND(DB13&gt;=1,DB13&lt;=30),"1-30",IF(AND(DB13&gt;30,DB13&lt;=70),"31-70",IF(AND(DB13&gt;70,DB13&lt;=100),"71-100",IF(DB13&gt;100,"+100")))))</f>
        <v>0</v>
      </c>
      <c r="DD13">
        <v>1</v>
      </c>
      <c r="DE13">
        <v>0</v>
      </c>
      <c r="DF13">
        <v>0</v>
      </c>
      <c r="DG13">
        <v>0</v>
      </c>
      <c r="DH13"/>
      <c r="DI13">
        <v>1</v>
      </c>
      <c r="DJ13" t="str">
        <f>IF(DI13=1,INDEX($DD$7:$DG$7,MATCH(1,$DD13:$DG13,0)),"mixedProduct")</f>
        <v>UpstreamInput</v>
      </c>
      <c r="DK13" t="str">
        <f>IF(DD13=1,DK$7,0)</f>
        <v>Upstream</v>
      </c>
      <c r="DL13">
        <f>IF(DE13=1,DL$7,0)</f>
        <v>0</v>
      </c>
      <c r="DM13">
        <f>IF(DF13=1,DM$7,0)</f>
        <v>0</v>
      </c>
      <c r="DN13">
        <f>IF(DG13=1,DN$7,0)</f>
        <v>0</v>
      </c>
      <c r="DO13">
        <v>0</v>
      </c>
      <c r="DP13">
        <v>0</v>
      </c>
      <c r="DQ13">
        <v>0</v>
      </c>
      <c r="DR13">
        <v>0</v>
      </c>
      <c r="DS13">
        <v>0</v>
      </c>
      <c r="DT13">
        <f>SUM(DO13:DP13)</f>
        <v>0</v>
      </c>
      <c r="DU13" s="143" t="s">
        <v>962</v>
      </c>
      <c r="DV13">
        <v>0</v>
      </c>
      <c r="DW13">
        <v>0</v>
      </c>
      <c r="DX13">
        <v>0</v>
      </c>
      <c r="DY13">
        <v>0</v>
      </c>
      <c r="DZ13">
        <v>0</v>
      </c>
      <c r="EA13" s="143">
        <v>0</v>
      </c>
      <c r="EB13">
        <v>1</v>
      </c>
      <c r="EC13">
        <v>0</v>
      </c>
      <c r="ED13">
        <v>0</v>
      </c>
      <c r="EE13">
        <v>0</v>
      </c>
      <c r="EF13">
        <v>0</v>
      </c>
      <c r="EG13">
        <v>0</v>
      </c>
      <c r="EH13">
        <v>0</v>
      </c>
      <c r="EI13" s="2">
        <v>0</v>
      </c>
      <c r="EJ13" s="1"/>
      <c r="EK13" t="str">
        <f>IF(AND(AND(AND(OR($DX13=1,$DW13=1),OR($EC13=1,$EA13=1)),SUM($DV13:$DZ13,$EF13)&gt;=4),SUM($EA13:$EE13)&gt;=2),"Whole sector","")</f>
        <v/>
      </c>
      <c r="EL13" t="str">
        <f>IF(AND(AND(OR($DX13=1,$DW13=1),AND($EC13=0,$EA13=0)),SUM($DV13:$DZ13,$EF13)&gt;=4),"Ecosystem approach","")</f>
        <v/>
      </c>
      <c r="EM13" s="2" t="str">
        <f>IF(AND(AND(AND($DX13=0,$DW13=0),OR($EC13=1,$EA13=1)),SUM($EB13:$EE13)&gt;=2),"Technology approach","")</f>
        <v/>
      </c>
      <c r="EN13"/>
      <c r="EO13"/>
      <c r="EP13" t="str">
        <f>IF(ISNUMBER(BU13),IF(ABS(BU13-[1]QC_indicators!$B$2)&gt;3*[1]QC_indicators!$C$2,"C ratio",IF(ISNUMBER(BY13),IF(ABS(BY13-[1]QC_indicators!$B$1)&gt;3*[1]QC_indicators!$C$1,"DF","no"))),IF(ISNUMBER(BY13),IF(ABS(BY13-[1]QC_indicators!$B$1)&gt;3*[1]QC_indicators!$C$1,"DF","no")))</f>
        <v>no</v>
      </c>
      <c r="EQ13"/>
      <c r="ER13"/>
      <c r="ES13"/>
      <c r="ET13" s="264" t="s">
        <v>3150</v>
      </c>
      <c r="EU13"/>
    </row>
    <row r="14" spans="1:151" s="139" customFormat="1" ht="15" customHeight="1">
      <c r="A14" s="1" t="s">
        <v>926</v>
      </c>
      <c r="B14" t="s">
        <v>1849</v>
      </c>
      <c r="C14" t="s">
        <v>1850</v>
      </c>
      <c r="D14" t="s">
        <v>1851</v>
      </c>
      <c r="E14" t="s">
        <v>1852</v>
      </c>
      <c r="F14" t="s">
        <v>1853</v>
      </c>
      <c r="G14" t="s">
        <v>932</v>
      </c>
      <c r="H14" t="s">
        <v>254</v>
      </c>
      <c r="I14">
        <v>2019</v>
      </c>
      <c r="J14">
        <v>8</v>
      </c>
      <c r="K14" t="s">
        <v>1854</v>
      </c>
      <c r="L14"/>
      <c r="M14" t="str">
        <f>LEFT($D14,FIND(",",$D14)-1)&amp;"_"&amp;I14&amp;L14</f>
        <v>Kogler_2019</v>
      </c>
      <c r="N14" t="s">
        <v>2582</v>
      </c>
      <c r="O14" s="171" t="s">
        <v>513</v>
      </c>
      <c r="P14" t="s">
        <v>960</v>
      </c>
      <c r="Q14" t="s">
        <v>389</v>
      </c>
      <c r="R14" s="262" t="s">
        <v>223</v>
      </c>
      <c r="S14" s="1" t="s">
        <v>1855</v>
      </c>
      <c r="T14" t="s">
        <v>1864</v>
      </c>
      <c r="U14" t="s">
        <v>1866</v>
      </c>
      <c r="V14">
        <v>0</v>
      </c>
      <c r="W14">
        <v>0</v>
      </c>
      <c r="X14">
        <v>0</v>
      </c>
      <c r="Y14">
        <v>1</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s="141">
        <f>COUNTIF(V14:AW14,"&lt;&gt;0")</f>
        <v>1</v>
      </c>
      <c r="AY14" s="141">
        <f>COUNTIF(V14:AL14,"&lt;&gt;0")</f>
        <v>1</v>
      </c>
      <c r="AZ14">
        <f>COUNTIF(V14:AC14,"&lt;&gt;0")</f>
        <v>1</v>
      </c>
      <c r="BA14">
        <f>COUNTIF(AD14:AI14,"&lt;&gt;0")</f>
        <v>0</v>
      </c>
      <c r="BB14">
        <f>COUNTIF(AJ14:AL14,"&lt;&gt;0")</f>
        <v>0</v>
      </c>
      <c r="BC14">
        <f>COUNTIF(AS14:AW14,"&lt;&gt;0")</f>
        <v>0</v>
      </c>
      <c r="BD14">
        <f>COUNTIF(AM14:AR14,"&lt;&gt;0")</f>
        <v>0</v>
      </c>
      <c r="BE14" t="str">
        <f t="array" ref="BE14">IF(AY14=1,INDEX($V$7:$AL$7,MATCH(TRUE,INDEX($V14:$AW14&lt;&gt;0,),0)),IF(AY14=0,INDEX($AM$7:$AW$7,MATCH(1,$AM14:$AW14,0)),IF(BF14="Multiple strategies","mixed drivers",IF(BF14="Supply chain","multiple supply","multiple silviculture"))))</f>
        <v xml:space="preserve">cutting intensity </v>
      </c>
      <c r="BF14" s="2" t="str" cm="1">
        <f t="array" ref="BF14">IF(COUNTIF(AZ14:BB14,"&lt;&gt;0")=1,INDEX($V$4:$AW$4,MATCH(TRUE,INDEX($V14:$AW14&lt;&gt;0,),0)),IF(COUNTIF(AZ14:BB14,"&lt;&gt;0")=0,INDEX($AM$4:$AW$4,MATCH(1,$AM14:$AW14,0)),"Multiple strategies"))</f>
        <v>Silviculture for removals</v>
      </c>
      <c r="BG14" s="1" t="s">
        <v>321</v>
      </c>
      <c r="BH14" t="s">
        <v>1858</v>
      </c>
      <c r="BI14" t="s">
        <v>611</v>
      </c>
      <c r="BJ14" t="s">
        <v>498</v>
      </c>
      <c r="BK14">
        <v>37628</v>
      </c>
      <c r="BL14">
        <v>75469</v>
      </c>
      <c r="BM14" t="s">
        <v>544</v>
      </c>
      <c r="BN14">
        <f>BL14-BK14</f>
        <v>37841</v>
      </c>
      <c r="BO14">
        <f>BN14</f>
        <v>37841</v>
      </c>
      <c r="BP14" t="s">
        <v>395</v>
      </c>
      <c r="BQ14" t="s">
        <v>1859</v>
      </c>
      <c r="BR14" s="264" t="s">
        <v>3149</v>
      </c>
      <c r="BS14">
        <v>721</v>
      </c>
      <c r="BT14">
        <v>1447</v>
      </c>
      <c r="BU14" s="144">
        <v>2.0069348127600555</v>
      </c>
      <c r="BV14" s="152">
        <f>BT14-BS14</f>
        <v>726</v>
      </c>
      <c r="BW14"/>
      <c r="BX14">
        <f>BV14*10^6</f>
        <v>726000000</v>
      </c>
      <c r="BY14">
        <f>IFERROR(BX14/BO14,"")</f>
        <v>19185.539494199413</v>
      </c>
      <c r="BZ14">
        <v>0</v>
      </c>
      <c r="CA14">
        <v>0</v>
      </c>
      <c r="CB14">
        <v>0</v>
      </c>
      <c r="CC14">
        <v>0</v>
      </c>
      <c r="CD14">
        <v>0</v>
      </c>
      <c r="CE14">
        <v>0</v>
      </c>
      <c r="CF14">
        <v>0</v>
      </c>
      <c r="CG14">
        <v>0</v>
      </c>
      <c r="CH14">
        <v>0</v>
      </c>
      <c r="CI14">
        <v>0</v>
      </c>
      <c r="CJ14">
        <v>0</v>
      </c>
      <c r="CK14">
        <v>0</v>
      </c>
      <c r="CL14">
        <v>0</v>
      </c>
      <c r="CM14">
        <v>0</v>
      </c>
      <c r="CN14" t="str">
        <f>IF($BL14&lt;$BK14,"refNeedCorrection","refOK")</f>
        <v>refOK</v>
      </c>
      <c r="CO14">
        <f>IF($CN14="refOK",$BK14,$BL14)</f>
        <v>37628</v>
      </c>
      <c r="CP14">
        <f>IF($CN14="refOK",$BL14,$BK14)</f>
        <v>75469</v>
      </c>
      <c r="CQ14">
        <f>IF($CN14="refOK",$BO14,-$BO14)</f>
        <v>37841</v>
      </c>
      <c r="CR14">
        <f>IF($CN14="refOK",$BS14,$BT14)*IF($BP14="Emissions positive",-1,1)</f>
        <v>-721</v>
      </c>
      <c r="CS14">
        <f>IF($CN14="refOK",$BT14,$BS14)*IF($BP14="Emissions positive",-1,1)</f>
        <v>-1447</v>
      </c>
      <c r="CT14">
        <f>IF($CN14="refNeedCorrection",-BX14,BX14)*IF($BP14="Emissions positive",-1,1)</f>
        <v>-726000000</v>
      </c>
      <c r="CU14">
        <f>IFERROR(CT14/CQ14,"")</f>
        <v>-19185.539494199413</v>
      </c>
      <c r="CV14" s="2">
        <f>IFERROR((CS14-CR14)/ABS(CR14),"")</f>
        <v>-1.0069348127600555</v>
      </c>
      <c r="CW14" s="1" t="s">
        <v>1203</v>
      </c>
      <c r="CX14" t="str">
        <f>IF(OR($CW14="prd",$CW14="std",$CW14="cit"),"loc",IF(OR($CW14="eur",$CW14="reg",$CW14="coy"),"reg",$CW14))</f>
        <v>reg</v>
      </c>
      <c r="CY14" t="s">
        <v>666</v>
      </c>
      <c r="CZ14">
        <v>0</v>
      </c>
      <c r="DA14">
        <v>0</v>
      </c>
      <c r="DB14">
        <v>0</v>
      </c>
      <c r="DC14" t="str">
        <f>IF(DB14=0,"0",IF(AND(DB14&gt;=1,DB14&lt;=30),"1-30",IF(AND(DB14&gt;30,DB14&lt;=70),"31-70",IF(AND(DB14&gt;70,DB14&lt;=100),"71-100",IF(DB14&gt;100,"+100")))))</f>
        <v>0</v>
      </c>
      <c r="DD14">
        <v>1</v>
      </c>
      <c r="DE14">
        <v>0</v>
      </c>
      <c r="DF14">
        <v>0</v>
      </c>
      <c r="DG14">
        <v>0</v>
      </c>
      <c r="DH14"/>
      <c r="DI14">
        <v>1</v>
      </c>
      <c r="DJ14" t="str">
        <f>IF(DI14=1,INDEX($DD$7:$DG$7,MATCH(1,$DD14:$DG14,0)),"mixedProduct")</f>
        <v>UpstreamInput</v>
      </c>
      <c r="DK14" t="str">
        <f>IF(DD14=1,DK$7,0)</f>
        <v>Upstream</v>
      </c>
      <c r="DL14">
        <f>IF(DE14=1,DL$7,0)</f>
        <v>0</v>
      </c>
      <c r="DM14">
        <f>IF(DF14=1,DM$7,0)</f>
        <v>0</v>
      </c>
      <c r="DN14">
        <f>IF(DG14=1,DN$7,0)</f>
        <v>0</v>
      </c>
      <c r="DO14">
        <v>0</v>
      </c>
      <c r="DP14">
        <v>0</v>
      </c>
      <c r="DQ14">
        <v>0</v>
      </c>
      <c r="DR14">
        <v>0</v>
      </c>
      <c r="DS14">
        <v>0</v>
      </c>
      <c r="DT14">
        <f>SUM(DO14:DP14)</f>
        <v>0</v>
      </c>
      <c r="DU14" s="143" t="s">
        <v>962</v>
      </c>
      <c r="DV14">
        <v>0</v>
      </c>
      <c r="DW14">
        <v>0</v>
      </c>
      <c r="DX14">
        <v>0</v>
      </c>
      <c r="DY14">
        <v>0</v>
      </c>
      <c r="DZ14">
        <v>0</v>
      </c>
      <c r="EA14" s="143">
        <v>0</v>
      </c>
      <c r="EB14">
        <v>1</v>
      </c>
      <c r="EC14">
        <v>0</v>
      </c>
      <c r="ED14">
        <v>0</v>
      </c>
      <c r="EE14">
        <v>0</v>
      </c>
      <c r="EF14">
        <v>0</v>
      </c>
      <c r="EG14">
        <v>0</v>
      </c>
      <c r="EH14">
        <v>0</v>
      </c>
      <c r="EI14" s="2">
        <v>0</v>
      </c>
      <c r="EJ14" s="1"/>
      <c r="EK14" t="str">
        <f>IF(AND(AND(AND(OR($DX14=1,$DW14=1),OR($EC14=1,$EA14=1)),SUM($DV14:$DZ14,$EF14)&gt;=4),SUM($EA14:$EE14)&gt;=2),"Whole sector","")</f>
        <v/>
      </c>
      <c r="EL14" t="str">
        <f>IF(AND(AND(OR($DX14=1,$DW14=1),AND($EC14=0,$EA14=0)),SUM($DV14:$DZ14,$EF14)&gt;=4),"Ecosystem approach","")</f>
        <v/>
      </c>
      <c r="EM14" s="2" t="str">
        <f>IF(AND(AND(AND($DX14=0,$DW14=0),OR($EC14=1,$EA14=1)),SUM($EB14:$EE14)&gt;=2),"Technology approach","")</f>
        <v/>
      </c>
      <c r="EN14"/>
      <c r="EO14"/>
      <c r="EP14" t="str">
        <f>IF(ISNUMBER(BU14),IF(ABS(BU14-[1]QC_indicators!$B$2)&gt;3*[1]QC_indicators!$C$2,"C ratio",IF(ISNUMBER(BY14),IF(ABS(BY14-[1]QC_indicators!$B$1)&gt;3*[1]QC_indicators!$C$1,"DF","no"))),IF(ISNUMBER(BY14),IF(ABS(BY14-[1]QC_indicators!$B$1)&gt;3*[1]QC_indicators!$C$1,"DF","no")))</f>
        <v>no</v>
      </c>
      <c r="EQ14"/>
      <c r="ER14"/>
      <c r="ES14"/>
      <c r="ET14" s="264" t="s">
        <v>3150</v>
      </c>
      <c r="EU14"/>
    </row>
    <row r="15" spans="1:151" s="139" customFormat="1" ht="15" customHeight="1">
      <c r="A15" s="1" t="s">
        <v>926</v>
      </c>
      <c r="B15" t="s">
        <v>1849</v>
      </c>
      <c r="C15" t="s">
        <v>1850</v>
      </c>
      <c r="D15" t="s">
        <v>1851</v>
      </c>
      <c r="E15" t="s">
        <v>1852</v>
      </c>
      <c r="F15" t="s">
        <v>1853</v>
      </c>
      <c r="G15" t="s">
        <v>932</v>
      </c>
      <c r="H15" t="s">
        <v>254</v>
      </c>
      <c r="I15">
        <v>2019</v>
      </c>
      <c r="J15">
        <v>8</v>
      </c>
      <c r="K15" t="s">
        <v>1854</v>
      </c>
      <c r="L15"/>
      <c r="M15" t="str">
        <f>LEFT($D15,FIND(",",$D15)-1)&amp;"_"&amp;I15&amp;L15</f>
        <v>Kogler_2019</v>
      </c>
      <c r="N15" t="s">
        <v>2582</v>
      </c>
      <c r="O15" s="171" t="s">
        <v>513</v>
      </c>
      <c r="P15" t="s">
        <v>960</v>
      </c>
      <c r="Q15" t="s">
        <v>389</v>
      </c>
      <c r="R15" s="262" t="s">
        <v>223</v>
      </c>
      <c r="S15" s="1" t="s">
        <v>1855</v>
      </c>
      <c r="T15" t="s">
        <v>1864</v>
      </c>
      <c r="U15" t="s">
        <v>1865</v>
      </c>
      <c r="V15">
        <v>0</v>
      </c>
      <c r="W15">
        <v>0</v>
      </c>
      <c r="X15">
        <v>0</v>
      </c>
      <c r="Y15">
        <v>1</v>
      </c>
      <c r="Z15">
        <v>0</v>
      </c>
      <c r="AA15">
        <v>0</v>
      </c>
      <c r="AB15">
        <v>0</v>
      </c>
      <c r="AC15">
        <v>0</v>
      </c>
      <c r="AD15">
        <v>0</v>
      </c>
      <c r="AE15">
        <v>0</v>
      </c>
      <c r="AF15">
        <v>0</v>
      </c>
      <c r="AG15">
        <v>0</v>
      </c>
      <c r="AH15">
        <v>0</v>
      </c>
      <c r="AI15">
        <v>0</v>
      </c>
      <c r="AJ15">
        <v>0</v>
      </c>
      <c r="AK15">
        <v>0</v>
      </c>
      <c r="AL15">
        <v>0</v>
      </c>
      <c r="AM15">
        <v>0</v>
      </c>
      <c r="AN15">
        <v>0</v>
      </c>
      <c r="AO15">
        <v>2</v>
      </c>
      <c r="AP15">
        <v>0</v>
      </c>
      <c r="AQ15">
        <v>0</v>
      </c>
      <c r="AR15">
        <v>0</v>
      </c>
      <c r="AS15">
        <v>0</v>
      </c>
      <c r="AT15">
        <v>0</v>
      </c>
      <c r="AU15">
        <v>0</v>
      </c>
      <c r="AV15">
        <v>0</v>
      </c>
      <c r="AW15">
        <v>0</v>
      </c>
      <c r="AX15" s="141">
        <f>COUNTIF(V15:AW15,"&lt;&gt;0")</f>
        <v>2</v>
      </c>
      <c r="AY15" s="141">
        <f>COUNTIF(V15:AL15,"&lt;&gt;0")</f>
        <v>1</v>
      </c>
      <c r="AZ15">
        <f>COUNTIF(V15:AC15,"&lt;&gt;0")</f>
        <v>1</v>
      </c>
      <c r="BA15">
        <f>COUNTIF(AD15:AI15,"&lt;&gt;0")</f>
        <v>0</v>
      </c>
      <c r="BB15">
        <f>COUNTIF(AJ15:AL15,"&lt;&gt;0")</f>
        <v>0</v>
      </c>
      <c r="BC15">
        <f>COUNTIF(AS15:AW15,"&lt;&gt;0")</f>
        <v>0</v>
      </c>
      <c r="BD15">
        <f>COUNTIF(AM15:AR15,"&lt;&gt;0")</f>
        <v>1</v>
      </c>
      <c r="BE15" t="str">
        <f t="array" ref="BE15">IF(AY15=1,INDEX($V$7:$AL$7,MATCH(TRUE,INDEX($V15:$AW15&lt;&gt;0,),0)),IF(AY15=0,INDEX($AM$7:$AW$7,MATCH(1,$AM15:$AW15,0)),IF(BF15="Multiple strategies","mixed drivers",IF(BF15="Supply chain","multiple supply","multiple silviculture"))))</f>
        <v xml:space="preserve">cutting intensity </v>
      </c>
      <c r="BF15" s="2" t="str" cm="1">
        <f t="array" ref="BF15">IF(COUNTIF(AZ15:BB15,"&lt;&gt;0")=1,INDEX($V$4:$AW$4,MATCH(TRUE,INDEX($V15:$AW15&lt;&gt;0,),0)),IF(COUNTIF(AZ15:BB15,"&lt;&gt;0")=0,INDEX($AM$4:$AW$4,MATCH(1,$AM15:$AW15,0)),"Multiple strategies"))</f>
        <v>Silviculture for removals</v>
      </c>
      <c r="BG15" s="1" t="s">
        <v>321</v>
      </c>
      <c r="BH15" t="s">
        <v>1858</v>
      </c>
      <c r="BI15" t="s">
        <v>611</v>
      </c>
      <c r="BJ15" t="s">
        <v>498</v>
      </c>
      <c r="BK15">
        <v>37628</v>
      </c>
      <c r="BL15">
        <v>39771</v>
      </c>
      <c r="BM15" t="s">
        <v>544</v>
      </c>
      <c r="BN15">
        <f>BL15-BK15</f>
        <v>2143</v>
      </c>
      <c r="BO15">
        <f>BN15</f>
        <v>2143</v>
      </c>
      <c r="BP15" t="s">
        <v>395</v>
      </c>
      <c r="BQ15" t="s">
        <v>1859</v>
      </c>
      <c r="BR15" s="264" t="s">
        <v>3149</v>
      </c>
      <c r="BS15">
        <v>721</v>
      </c>
      <c r="BT15">
        <v>762</v>
      </c>
      <c r="BU15" s="144">
        <v>1.0568654646324549</v>
      </c>
      <c r="BV15" s="152">
        <f>BT15-BS15</f>
        <v>41</v>
      </c>
      <c r="BW15"/>
      <c r="BX15">
        <f>BV15*10^6</f>
        <v>41000000</v>
      </c>
      <c r="BY15">
        <f>IFERROR(BX15/BO15,"")</f>
        <v>19132.057862809146</v>
      </c>
      <c r="BZ15">
        <v>0</v>
      </c>
      <c r="CA15">
        <v>0</v>
      </c>
      <c r="CB15">
        <v>0</v>
      </c>
      <c r="CC15">
        <v>0</v>
      </c>
      <c r="CD15">
        <v>0</v>
      </c>
      <c r="CE15">
        <v>0</v>
      </c>
      <c r="CF15">
        <v>0</v>
      </c>
      <c r="CG15">
        <v>0</v>
      </c>
      <c r="CH15">
        <v>0</v>
      </c>
      <c r="CI15">
        <v>0</v>
      </c>
      <c r="CJ15">
        <v>0</v>
      </c>
      <c r="CK15">
        <v>0</v>
      </c>
      <c r="CL15">
        <v>0</v>
      </c>
      <c r="CM15">
        <v>0</v>
      </c>
      <c r="CN15" t="str">
        <f>IF($BL15&lt;$BK15,"refNeedCorrection","refOK")</f>
        <v>refOK</v>
      </c>
      <c r="CO15">
        <f>IF($CN15="refOK",$BK15,$BL15)</f>
        <v>37628</v>
      </c>
      <c r="CP15">
        <f>IF($CN15="refOK",$BL15,$BK15)</f>
        <v>39771</v>
      </c>
      <c r="CQ15">
        <f>IF($CN15="refOK",$BO15,-$BO15)</f>
        <v>2143</v>
      </c>
      <c r="CR15">
        <f>IF($CN15="refOK",$BS15,$BT15)*IF($BP15="Emissions positive",-1,1)</f>
        <v>-721</v>
      </c>
      <c r="CS15">
        <f>IF($CN15="refOK",$BT15,$BS15)*IF($BP15="Emissions positive",-1,1)</f>
        <v>-762</v>
      </c>
      <c r="CT15">
        <f>IF($CN15="refNeedCorrection",-BX15,BX15)*IF($BP15="Emissions positive",-1,1)</f>
        <v>-41000000</v>
      </c>
      <c r="CU15">
        <f>IFERROR(CT15/CQ15,"")</f>
        <v>-19132.057862809146</v>
      </c>
      <c r="CV15" s="2">
        <f>IFERROR((CS15-CR15)/ABS(CR15),"")</f>
        <v>-5.6865464632454926E-2</v>
      </c>
      <c r="CW15" s="1" t="s">
        <v>1203</v>
      </c>
      <c r="CX15" t="str">
        <f>IF(OR($CW15="prd",$CW15="std",$CW15="cit"),"loc",IF(OR($CW15="eur",$CW15="reg",$CW15="coy"),"reg",$CW15))</f>
        <v>reg</v>
      </c>
      <c r="CY15" t="s">
        <v>666</v>
      </c>
      <c r="CZ15">
        <v>0</v>
      </c>
      <c r="DA15">
        <v>0</v>
      </c>
      <c r="DB15">
        <v>0</v>
      </c>
      <c r="DC15" t="str">
        <f>IF(DB15=0,"0",IF(AND(DB15&gt;=1,DB15&lt;=30),"1-30",IF(AND(DB15&gt;30,DB15&lt;=70),"31-70",IF(AND(DB15&gt;70,DB15&lt;=100),"71-100",IF(DB15&gt;100,"+100")))))</f>
        <v>0</v>
      </c>
      <c r="DD15">
        <v>1</v>
      </c>
      <c r="DE15">
        <v>0</v>
      </c>
      <c r="DF15">
        <v>0</v>
      </c>
      <c r="DG15">
        <v>0</v>
      </c>
      <c r="DH15"/>
      <c r="DI15">
        <v>1</v>
      </c>
      <c r="DJ15" t="str">
        <f>IF(DI15=1,INDEX($DD$7:$DG$7,MATCH(1,$DD15:$DG15,0)),"mixedProduct")</f>
        <v>UpstreamInput</v>
      </c>
      <c r="DK15" t="str">
        <f>IF(DD15=1,DK$7,0)</f>
        <v>Upstream</v>
      </c>
      <c r="DL15">
        <f>IF(DE15=1,DL$7,0)</f>
        <v>0</v>
      </c>
      <c r="DM15">
        <f>IF(DF15=1,DM$7,0)</f>
        <v>0</v>
      </c>
      <c r="DN15">
        <f>IF(DG15=1,DN$7,0)</f>
        <v>0</v>
      </c>
      <c r="DO15">
        <v>0</v>
      </c>
      <c r="DP15">
        <v>0</v>
      </c>
      <c r="DQ15">
        <v>0</v>
      </c>
      <c r="DR15">
        <v>0</v>
      </c>
      <c r="DS15">
        <v>0</v>
      </c>
      <c r="DT15">
        <f>SUM(DO15:DP15)</f>
        <v>0</v>
      </c>
      <c r="DU15" s="143" t="s">
        <v>962</v>
      </c>
      <c r="DV15">
        <v>0</v>
      </c>
      <c r="DW15">
        <v>0</v>
      </c>
      <c r="DX15">
        <v>0</v>
      </c>
      <c r="DY15">
        <v>0</v>
      </c>
      <c r="DZ15">
        <v>0</v>
      </c>
      <c r="EA15" s="143">
        <v>0</v>
      </c>
      <c r="EB15">
        <v>1</v>
      </c>
      <c r="EC15">
        <v>0</v>
      </c>
      <c r="ED15">
        <v>0</v>
      </c>
      <c r="EE15">
        <v>0</v>
      </c>
      <c r="EF15">
        <v>0</v>
      </c>
      <c r="EG15">
        <v>0</v>
      </c>
      <c r="EH15">
        <v>0</v>
      </c>
      <c r="EI15" s="2">
        <v>0</v>
      </c>
      <c r="EJ15" s="1"/>
      <c r="EK15" t="str">
        <f>IF(AND(AND(AND(OR($DX15=1,$DW15=1),OR($EC15=1,$EA15=1)),SUM($DV15:$DZ15,$EF15)&gt;=4),SUM($EA15:$EE15)&gt;=2),"Whole sector","")</f>
        <v/>
      </c>
      <c r="EL15" t="str">
        <f>IF(AND(AND(OR($DX15=1,$DW15=1),AND($EC15=0,$EA15=0)),SUM($DV15:$DZ15,$EF15)&gt;=4),"Ecosystem approach","")</f>
        <v/>
      </c>
      <c r="EM15" s="2" t="str">
        <f>IF(AND(AND(AND($DX15=0,$DW15=0),OR($EC15=1,$EA15=1)),SUM($EB15:$EE15)&gt;=2),"Technology approach","")</f>
        <v/>
      </c>
      <c r="EN15"/>
      <c r="EO15"/>
      <c r="EP15" t="str">
        <f>IF(ISNUMBER(BU15),IF(ABS(BU15-[1]QC_indicators!$B$2)&gt;3*[1]QC_indicators!$C$2,"C ratio",IF(ISNUMBER(BY15),IF(ABS(BY15-[1]QC_indicators!$B$1)&gt;3*[1]QC_indicators!$C$1,"DF","no"))),IF(ISNUMBER(BY15),IF(ABS(BY15-[1]QC_indicators!$B$1)&gt;3*[1]QC_indicators!$C$1,"DF","no")))</f>
        <v>no</v>
      </c>
      <c r="EQ15"/>
      <c r="ER15"/>
      <c r="ES15"/>
      <c r="ET15" s="264" t="s">
        <v>3150</v>
      </c>
      <c r="EU15"/>
    </row>
    <row r="16" spans="1:151" s="139" customFormat="1" ht="15" customHeight="1">
      <c r="A16" s="1" t="s">
        <v>926</v>
      </c>
      <c r="B16" t="s">
        <v>1849</v>
      </c>
      <c r="C16" t="s">
        <v>1850</v>
      </c>
      <c r="D16" t="s">
        <v>1851</v>
      </c>
      <c r="E16" t="s">
        <v>1852</v>
      </c>
      <c r="F16" t="s">
        <v>1853</v>
      </c>
      <c r="G16" t="s">
        <v>932</v>
      </c>
      <c r="H16" t="s">
        <v>254</v>
      </c>
      <c r="I16">
        <v>2019</v>
      </c>
      <c r="J16">
        <v>8</v>
      </c>
      <c r="K16" t="s">
        <v>1854</v>
      </c>
      <c r="L16"/>
      <c r="M16" t="str">
        <f>LEFT($D16,FIND(",",$D16)-1)&amp;"_"&amp;I16&amp;L16</f>
        <v>Kogler_2019</v>
      </c>
      <c r="N16" t="s">
        <v>2582</v>
      </c>
      <c r="O16" s="171" t="s">
        <v>513</v>
      </c>
      <c r="P16" t="s">
        <v>960</v>
      </c>
      <c r="Q16" t="s">
        <v>389</v>
      </c>
      <c r="R16" s="262" t="s">
        <v>223</v>
      </c>
      <c r="S16" s="1" t="s">
        <v>1855</v>
      </c>
      <c r="T16" t="s">
        <v>1862</v>
      </c>
      <c r="U16" t="s">
        <v>1863</v>
      </c>
      <c r="V16">
        <v>0</v>
      </c>
      <c r="W16">
        <v>0</v>
      </c>
      <c r="X16">
        <v>0</v>
      </c>
      <c r="Y16">
        <v>1</v>
      </c>
      <c r="Z16">
        <v>0</v>
      </c>
      <c r="AA16">
        <v>0</v>
      </c>
      <c r="AB16">
        <v>0</v>
      </c>
      <c r="AC16">
        <v>0</v>
      </c>
      <c r="AD16">
        <v>0</v>
      </c>
      <c r="AE16">
        <v>0</v>
      </c>
      <c r="AF16">
        <v>0</v>
      </c>
      <c r="AG16">
        <v>0</v>
      </c>
      <c r="AH16">
        <v>0</v>
      </c>
      <c r="AI16">
        <v>0</v>
      </c>
      <c r="AJ16">
        <v>0</v>
      </c>
      <c r="AK16">
        <v>0</v>
      </c>
      <c r="AL16">
        <v>0</v>
      </c>
      <c r="AM16">
        <v>0</v>
      </c>
      <c r="AN16">
        <v>0</v>
      </c>
      <c r="AO16">
        <v>0</v>
      </c>
      <c r="AP16">
        <v>0</v>
      </c>
      <c r="AQ16">
        <v>2</v>
      </c>
      <c r="AR16">
        <v>0</v>
      </c>
      <c r="AS16">
        <v>0</v>
      </c>
      <c r="AT16">
        <v>0</v>
      </c>
      <c r="AU16">
        <v>0</v>
      </c>
      <c r="AV16">
        <v>0</v>
      </c>
      <c r="AW16">
        <v>0</v>
      </c>
      <c r="AX16" s="141">
        <f>COUNTIF(V16:AW16,"&lt;&gt;0")</f>
        <v>2</v>
      </c>
      <c r="AY16" s="141">
        <f>COUNTIF(V16:AL16,"&lt;&gt;0")</f>
        <v>1</v>
      </c>
      <c r="AZ16">
        <f>COUNTIF(V16:AC16,"&lt;&gt;0")</f>
        <v>1</v>
      </c>
      <c r="BA16">
        <f>COUNTIF(AD16:AI16,"&lt;&gt;0")</f>
        <v>0</v>
      </c>
      <c r="BB16">
        <f>COUNTIF(AJ16:AL16,"&lt;&gt;0")</f>
        <v>0</v>
      </c>
      <c r="BC16">
        <f>COUNTIF(AS16:AW16,"&lt;&gt;0")</f>
        <v>0</v>
      </c>
      <c r="BD16">
        <f>COUNTIF(AM16:AR16,"&lt;&gt;0")</f>
        <v>1</v>
      </c>
      <c r="BE16" t="str">
        <f t="array" ref="BE16">IF(AY16=1,INDEX($V$7:$AL$7,MATCH(TRUE,INDEX($V16:$AW16&lt;&gt;0,),0)),IF(AY16=0,INDEX($AM$7:$AW$7,MATCH(1,$AM16:$AW16,0)),IF(BF16="Multiple strategies","mixed drivers",IF(BF16="Supply chain","multiple supply","multiple silviculture"))))</f>
        <v xml:space="preserve">cutting intensity </v>
      </c>
      <c r="BF16" s="2" t="str" cm="1">
        <f t="array" ref="BF16">IF(COUNTIF(AZ16:BB16,"&lt;&gt;0")=1,INDEX($V$4:$AW$4,MATCH(TRUE,INDEX($V16:$AW16&lt;&gt;0,),0)),IF(COUNTIF(AZ16:BB16,"&lt;&gt;0")=0,INDEX($AM$4:$AW$4,MATCH(1,$AM16:$AW16,0)),"Multiple strategies"))</f>
        <v>Silviculture for removals</v>
      </c>
      <c r="BG16" s="1" t="s">
        <v>321</v>
      </c>
      <c r="BH16" t="s">
        <v>1858</v>
      </c>
      <c r="BI16" t="s">
        <v>611</v>
      </c>
      <c r="BJ16" t="s">
        <v>498</v>
      </c>
      <c r="BK16">
        <v>41581</v>
      </c>
      <c r="BL16">
        <v>86651</v>
      </c>
      <c r="BM16" t="s">
        <v>544</v>
      </c>
      <c r="BN16">
        <f>BL16-BK16</f>
        <v>45070</v>
      </c>
      <c r="BO16">
        <f>BN16</f>
        <v>45070</v>
      </c>
      <c r="BP16" t="s">
        <v>395</v>
      </c>
      <c r="BQ16" t="s">
        <v>1859</v>
      </c>
      <c r="BR16" s="264" t="s">
        <v>3149</v>
      </c>
      <c r="BS16">
        <v>719</v>
      </c>
      <c r="BT16">
        <v>1500</v>
      </c>
      <c r="BU16" s="144">
        <v>2.0862308762169679</v>
      </c>
      <c r="BV16" s="152">
        <f>BT16-BS16</f>
        <v>781</v>
      </c>
      <c r="BW16"/>
      <c r="BX16">
        <f>BV16*10^6</f>
        <v>781000000</v>
      </c>
      <c r="BY16">
        <f>IFERROR(BX16/BO16,"")</f>
        <v>17328.599955624584</v>
      </c>
      <c r="BZ16">
        <v>0</v>
      </c>
      <c r="CA16">
        <v>0</v>
      </c>
      <c r="CB16">
        <v>0</v>
      </c>
      <c r="CC16">
        <v>0</v>
      </c>
      <c r="CD16">
        <v>0</v>
      </c>
      <c r="CE16">
        <v>0</v>
      </c>
      <c r="CF16">
        <v>0</v>
      </c>
      <c r="CG16">
        <v>0</v>
      </c>
      <c r="CH16">
        <v>0</v>
      </c>
      <c r="CI16">
        <v>0</v>
      </c>
      <c r="CJ16">
        <v>0</v>
      </c>
      <c r="CK16">
        <v>0</v>
      </c>
      <c r="CL16">
        <v>0</v>
      </c>
      <c r="CM16">
        <v>0</v>
      </c>
      <c r="CN16" t="str">
        <f>IF($BL16&lt;$BK16,"refNeedCorrection","refOK")</f>
        <v>refOK</v>
      </c>
      <c r="CO16">
        <f>IF($CN16="refOK",$BK16,$BL16)</f>
        <v>41581</v>
      </c>
      <c r="CP16">
        <f>IF($CN16="refOK",$BL16,$BK16)</f>
        <v>86651</v>
      </c>
      <c r="CQ16">
        <f>IF($CN16="refOK",$BO16,-$BO16)</f>
        <v>45070</v>
      </c>
      <c r="CR16">
        <f>IF($CN16="refOK",$BS16,$BT16)*IF($BP16="Emissions positive",-1,1)</f>
        <v>-719</v>
      </c>
      <c r="CS16">
        <f>IF($CN16="refOK",$BT16,$BS16)*IF($BP16="Emissions positive",-1,1)</f>
        <v>-1500</v>
      </c>
      <c r="CT16">
        <f>IF($CN16="refNeedCorrection",-BX16,BX16)*IF($BP16="Emissions positive",-1,1)</f>
        <v>-781000000</v>
      </c>
      <c r="CU16">
        <f>IFERROR(CT16/CQ16,"")</f>
        <v>-17328.599955624584</v>
      </c>
      <c r="CV16" s="2">
        <f>IFERROR((CS16-CR16)/ABS(CR16),"")</f>
        <v>-1.0862308762169681</v>
      </c>
      <c r="CW16" s="1" t="s">
        <v>1203</v>
      </c>
      <c r="CX16" t="str">
        <f>IF(OR($CW16="prd",$CW16="std",$CW16="cit"),"loc",IF(OR($CW16="eur",$CW16="reg",$CW16="coy"),"reg",$CW16))</f>
        <v>reg</v>
      </c>
      <c r="CY16" t="s">
        <v>666</v>
      </c>
      <c r="CZ16">
        <v>0</v>
      </c>
      <c r="DA16">
        <v>0</v>
      </c>
      <c r="DB16">
        <v>0</v>
      </c>
      <c r="DC16" t="str">
        <f>IF(DB16=0,"0",IF(AND(DB16&gt;=1,DB16&lt;=30),"1-30",IF(AND(DB16&gt;30,DB16&lt;=70),"31-70",IF(AND(DB16&gt;70,DB16&lt;=100),"71-100",IF(DB16&gt;100,"+100")))))</f>
        <v>0</v>
      </c>
      <c r="DD16">
        <v>1</v>
      </c>
      <c r="DE16">
        <v>0</v>
      </c>
      <c r="DF16">
        <v>0</v>
      </c>
      <c r="DG16">
        <v>0</v>
      </c>
      <c r="DH16"/>
      <c r="DI16">
        <v>1</v>
      </c>
      <c r="DJ16" t="str">
        <f>IF(DI16=1,INDEX($DD$7:$DG$7,MATCH(1,$DD16:$DG16,0)),"mixedProduct")</f>
        <v>UpstreamInput</v>
      </c>
      <c r="DK16" t="str">
        <f>IF(DD16=1,DK$7,0)</f>
        <v>Upstream</v>
      </c>
      <c r="DL16">
        <f>IF(DE16=1,DL$7,0)</f>
        <v>0</v>
      </c>
      <c r="DM16">
        <f>IF(DF16=1,DM$7,0)</f>
        <v>0</v>
      </c>
      <c r="DN16">
        <f>IF(DG16=1,DN$7,0)</f>
        <v>0</v>
      </c>
      <c r="DO16">
        <v>0</v>
      </c>
      <c r="DP16">
        <v>0</v>
      </c>
      <c r="DQ16">
        <v>0</v>
      </c>
      <c r="DR16">
        <v>0</v>
      </c>
      <c r="DS16">
        <v>0</v>
      </c>
      <c r="DT16">
        <f>SUM(DO16:DP16)</f>
        <v>0</v>
      </c>
      <c r="DU16" s="143" t="s">
        <v>962</v>
      </c>
      <c r="DV16">
        <v>0</v>
      </c>
      <c r="DW16">
        <v>0</v>
      </c>
      <c r="DX16">
        <v>0</v>
      </c>
      <c r="DY16">
        <v>0</v>
      </c>
      <c r="DZ16">
        <v>0</v>
      </c>
      <c r="EA16" s="143">
        <v>0</v>
      </c>
      <c r="EB16">
        <v>1</v>
      </c>
      <c r="EC16">
        <v>0</v>
      </c>
      <c r="ED16">
        <v>0</v>
      </c>
      <c r="EE16">
        <v>0</v>
      </c>
      <c r="EF16">
        <v>0</v>
      </c>
      <c r="EG16">
        <v>0</v>
      </c>
      <c r="EH16">
        <v>0</v>
      </c>
      <c r="EI16" s="2">
        <v>0</v>
      </c>
      <c r="EJ16" s="1"/>
      <c r="EK16" t="str">
        <f>IF(AND(AND(AND(OR($DX16=1,$DW16=1),OR($EC16=1,$EA16=1)),SUM($DV16:$DZ16,$EF16)&gt;=4),SUM($EA16:$EE16)&gt;=2),"Whole sector","")</f>
        <v/>
      </c>
      <c r="EL16" t="str">
        <f>IF(AND(AND(OR($DX16=1,$DW16=1),AND($EC16=0,$EA16=0)),SUM($DV16:$DZ16,$EF16)&gt;=4),"Ecosystem approach","")</f>
        <v/>
      </c>
      <c r="EM16" s="2" t="str">
        <f>IF(AND(AND(AND($DX16=0,$DW16=0),OR($EC16=1,$EA16=1)),SUM($EB16:$EE16)&gt;=2),"Technology approach","")</f>
        <v/>
      </c>
      <c r="EN16"/>
      <c r="EO16"/>
      <c r="EP16" t="str">
        <f>IF(ISNUMBER(BU16),IF(ABS(BU16-[1]QC_indicators!$B$2)&gt;3*[1]QC_indicators!$C$2,"C ratio",IF(ISNUMBER(BY16),IF(ABS(BY16-[1]QC_indicators!$B$1)&gt;3*[1]QC_indicators!$C$1,"DF","no"))),IF(ISNUMBER(BY16),IF(ABS(BY16-[1]QC_indicators!$B$1)&gt;3*[1]QC_indicators!$C$1,"DF","no")))</f>
        <v>no</v>
      </c>
      <c r="EQ16"/>
      <c r="ER16"/>
      <c r="ES16"/>
      <c r="ET16" s="264" t="s">
        <v>3150</v>
      </c>
      <c r="EU16"/>
    </row>
    <row r="17" spans="1:151" s="139" customFormat="1" ht="15" customHeight="1">
      <c r="A17" s="1" t="s">
        <v>926</v>
      </c>
      <c r="B17" t="s">
        <v>1849</v>
      </c>
      <c r="C17" t="s">
        <v>1850</v>
      </c>
      <c r="D17" t="s">
        <v>1851</v>
      </c>
      <c r="E17" t="s">
        <v>1852</v>
      </c>
      <c r="F17" t="s">
        <v>1853</v>
      </c>
      <c r="G17" t="s">
        <v>932</v>
      </c>
      <c r="H17" t="s">
        <v>254</v>
      </c>
      <c r="I17">
        <v>2019</v>
      </c>
      <c r="J17">
        <v>8</v>
      </c>
      <c r="K17" t="s">
        <v>1854</v>
      </c>
      <c r="L17"/>
      <c r="M17" t="str">
        <f>LEFT($D17,FIND(",",$D17)-1)&amp;"_"&amp;I17&amp;L17</f>
        <v>Kogler_2019</v>
      </c>
      <c r="N17" t="s">
        <v>2582</v>
      </c>
      <c r="O17" s="171" t="s">
        <v>513</v>
      </c>
      <c r="P17" t="s">
        <v>960</v>
      </c>
      <c r="Q17" t="s">
        <v>389</v>
      </c>
      <c r="R17" s="262" t="s">
        <v>223</v>
      </c>
      <c r="S17" s="1" t="s">
        <v>1855</v>
      </c>
      <c r="T17" t="s">
        <v>1861</v>
      </c>
      <c r="U17" t="s">
        <v>1863</v>
      </c>
      <c r="V17">
        <v>0</v>
      </c>
      <c r="W17">
        <v>0</v>
      </c>
      <c r="X17">
        <v>0</v>
      </c>
      <c r="Y17">
        <v>1</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s="141">
        <f>COUNTIF(V17:AW17,"&lt;&gt;0")</f>
        <v>1</v>
      </c>
      <c r="AY17" s="141">
        <f>COUNTIF(V17:AL17,"&lt;&gt;0")</f>
        <v>1</v>
      </c>
      <c r="AZ17">
        <f>COUNTIF(V17:AC17,"&lt;&gt;0")</f>
        <v>1</v>
      </c>
      <c r="BA17">
        <f>COUNTIF(AD17:AI17,"&lt;&gt;0")</f>
        <v>0</v>
      </c>
      <c r="BB17">
        <f>COUNTIF(AJ17:AL17,"&lt;&gt;0")</f>
        <v>0</v>
      </c>
      <c r="BC17">
        <f>COUNTIF(AS17:AW17,"&lt;&gt;0")</f>
        <v>0</v>
      </c>
      <c r="BD17">
        <f>COUNTIF(AM17:AR17,"&lt;&gt;0")</f>
        <v>0</v>
      </c>
      <c r="BE17" t="str">
        <f t="array" ref="BE17">IF(AY17=1,INDEX($V$7:$AL$7,MATCH(TRUE,INDEX($V17:$AW17&lt;&gt;0,),0)),IF(AY17=0,INDEX($AM$7:$AW$7,MATCH(1,$AM17:$AW17,0)),IF(BF17="Multiple strategies","mixed drivers",IF(BF17="Supply chain","multiple supply","multiple silviculture"))))</f>
        <v xml:space="preserve">cutting intensity </v>
      </c>
      <c r="BF17" s="2" t="str" cm="1">
        <f t="array" ref="BF17">IF(COUNTIF(AZ17:BB17,"&lt;&gt;0")=1,INDEX($V$4:$AW$4,MATCH(TRUE,INDEX($V17:$AW17&lt;&gt;0,),0)),IF(COUNTIF(AZ17:BB17,"&lt;&gt;0")=0,INDEX($AM$4:$AW$4,MATCH(1,$AM17:$AW17,0)),"Multiple strategies"))</f>
        <v>Silviculture for removals</v>
      </c>
      <c r="BG17" s="1" t="s">
        <v>321</v>
      </c>
      <c r="BH17" t="s">
        <v>1858</v>
      </c>
      <c r="BI17" t="s">
        <v>611</v>
      </c>
      <c r="BJ17" t="s">
        <v>498</v>
      </c>
      <c r="BK17">
        <v>38360</v>
      </c>
      <c r="BL17">
        <v>86651</v>
      </c>
      <c r="BM17" t="s">
        <v>544</v>
      </c>
      <c r="BN17">
        <f>BL17-BK17</f>
        <v>48291</v>
      </c>
      <c r="BO17">
        <f>BN17</f>
        <v>48291</v>
      </c>
      <c r="BP17" t="s">
        <v>395</v>
      </c>
      <c r="BQ17" t="s">
        <v>1859</v>
      </c>
      <c r="BR17" s="264" t="s">
        <v>3149</v>
      </c>
      <c r="BS17">
        <v>665</v>
      </c>
      <c r="BT17">
        <v>1500</v>
      </c>
      <c r="BU17" s="144">
        <v>2.255639097744361</v>
      </c>
      <c r="BV17" s="152">
        <f>BT17-BS17</f>
        <v>835</v>
      </c>
      <c r="BW17"/>
      <c r="BX17">
        <f>BV17*10^6</f>
        <v>835000000</v>
      </c>
      <c r="BY17">
        <f>IFERROR(BX17/BO17,"")</f>
        <v>17291.006605785758</v>
      </c>
      <c r="BZ17">
        <v>0</v>
      </c>
      <c r="CA17">
        <v>0</v>
      </c>
      <c r="CB17">
        <v>0</v>
      </c>
      <c r="CC17">
        <v>0</v>
      </c>
      <c r="CD17">
        <v>0</v>
      </c>
      <c r="CE17">
        <v>0</v>
      </c>
      <c r="CF17">
        <v>0</v>
      </c>
      <c r="CG17">
        <v>0</v>
      </c>
      <c r="CH17">
        <v>0</v>
      </c>
      <c r="CI17">
        <v>0</v>
      </c>
      <c r="CJ17">
        <v>0</v>
      </c>
      <c r="CK17">
        <v>0</v>
      </c>
      <c r="CL17">
        <v>0</v>
      </c>
      <c r="CM17">
        <v>0</v>
      </c>
      <c r="CN17" t="str">
        <f>IF($BL17&lt;$BK17,"refNeedCorrection","refOK")</f>
        <v>refOK</v>
      </c>
      <c r="CO17">
        <f>IF($CN17="refOK",$BK17,$BL17)</f>
        <v>38360</v>
      </c>
      <c r="CP17">
        <f>IF($CN17="refOK",$BL17,$BK17)</f>
        <v>86651</v>
      </c>
      <c r="CQ17">
        <f>IF($CN17="refOK",$BO17,-$BO17)</f>
        <v>48291</v>
      </c>
      <c r="CR17">
        <f>IF($CN17="refOK",$BS17,$BT17)*IF($BP17="Emissions positive",-1,1)</f>
        <v>-665</v>
      </c>
      <c r="CS17">
        <f>IF($CN17="refOK",$BT17,$BS17)*IF($BP17="Emissions positive",-1,1)</f>
        <v>-1500</v>
      </c>
      <c r="CT17">
        <f>IF($CN17="refNeedCorrection",-BX17,BX17)*IF($BP17="Emissions positive",-1,1)</f>
        <v>-835000000</v>
      </c>
      <c r="CU17">
        <f>IFERROR(CT17/CQ17,"")</f>
        <v>-17291.006605785758</v>
      </c>
      <c r="CV17" s="2">
        <f>IFERROR((CS17-CR17)/ABS(CR17),"")</f>
        <v>-1.255639097744361</v>
      </c>
      <c r="CW17" s="1" t="s">
        <v>1203</v>
      </c>
      <c r="CX17" t="str">
        <f>IF(OR($CW17="prd",$CW17="std",$CW17="cit"),"loc",IF(OR($CW17="eur",$CW17="reg",$CW17="coy"),"reg",$CW17))</f>
        <v>reg</v>
      </c>
      <c r="CY17" t="s">
        <v>666</v>
      </c>
      <c r="CZ17">
        <v>0</v>
      </c>
      <c r="DA17">
        <v>0</v>
      </c>
      <c r="DB17">
        <v>0</v>
      </c>
      <c r="DC17" t="str">
        <f>IF(DB17=0,"0",IF(AND(DB17&gt;=1,DB17&lt;=30),"1-30",IF(AND(DB17&gt;30,DB17&lt;=70),"31-70",IF(AND(DB17&gt;70,DB17&lt;=100),"71-100",IF(DB17&gt;100,"+100")))))</f>
        <v>0</v>
      </c>
      <c r="DD17">
        <v>1</v>
      </c>
      <c r="DE17">
        <v>0</v>
      </c>
      <c r="DF17">
        <v>0</v>
      </c>
      <c r="DG17">
        <v>0</v>
      </c>
      <c r="DH17"/>
      <c r="DI17">
        <v>1</v>
      </c>
      <c r="DJ17" t="str">
        <f>IF(DI17=1,INDEX($DD$7:$DG$7,MATCH(1,$DD17:$DG17,0)),"mixedProduct")</f>
        <v>UpstreamInput</v>
      </c>
      <c r="DK17" t="str">
        <f>IF(DD17=1,DK$7,0)</f>
        <v>Upstream</v>
      </c>
      <c r="DL17">
        <f>IF(DE17=1,DL$7,0)</f>
        <v>0</v>
      </c>
      <c r="DM17">
        <f>IF(DF17=1,DM$7,0)</f>
        <v>0</v>
      </c>
      <c r="DN17">
        <f>IF(DG17=1,DN$7,0)</f>
        <v>0</v>
      </c>
      <c r="DO17">
        <v>0</v>
      </c>
      <c r="DP17">
        <v>0</v>
      </c>
      <c r="DQ17">
        <v>0</v>
      </c>
      <c r="DR17">
        <v>0</v>
      </c>
      <c r="DS17">
        <v>0</v>
      </c>
      <c r="DT17">
        <f>SUM(DO17:DP17)</f>
        <v>0</v>
      </c>
      <c r="DU17" s="143" t="s">
        <v>962</v>
      </c>
      <c r="DV17">
        <v>0</v>
      </c>
      <c r="DW17">
        <v>0</v>
      </c>
      <c r="DX17">
        <v>0</v>
      </c>
      <c r="DY17">
        <v>0</v>
      </c>
      <c r="DZ17">
        <v>0</v>
      </c>
      <c r="EA17" s="143">
        <v>0</v>
      </c>
      <c r="EB17">
        <v>1</v>
      </c>
      <c r="EC17">
        <v>0</v>
      </c>
      <c r="ED17">
        <v>0</v>
      </c>
      <c r="EE17">
        <v>0</v>
      </c>
      <c r="EF17">
        <v>0</v>
      </c>
      <c r="EG17">
        <v>0</v>
      </c>
      <c r="EH17">
        <v>0</v>
      </c>
      <c r="EI17" s="2">
        <v>0</v>
      </c>
      <c r="EJ17" s="1"/>
      <c r="EK17" t="str">
        <f>IF(AND(AND(AND(OR($DX17=1,$DW17=1),OR($EC17=1,$EA17=1)),SUM($DV17:$DZ17,$EF17)&gt;=4),SUM($EA17:$EE17)&gt;=2),"Whole sector","")</f>
        <v/>
      </c>
      <c r="EL17" t="str">
        <f>IF(AND(AND(OR($DX17=1,$DW17=1),AND($EC17=0,$EA17=0)),SUM($DV17:$DZ17,$EF17)&gt;=4),"Ecosystem approach","")</f>
        <v/>
      </c>
      <c r="EM17" s="2" t="str">
        <f>IF(AND(AND(AND($DX17=0,$DW17=0),OR($EC17=1,$EA17=1)),SUM($EB17:$EE17)&gt;=2),"Technology approach","")</f>
        <v/>
      </c>
      <c r="EN17"/>
      <c r="EO17"/>
      <c r="EP17" t="str">
        <f>IF(ISNUMBER(BU17),IF(ABS(BU17-[1]QC_indicators!$B$2)&gt;3*[1]QC_indicators!$C$2,"C ratio",IF(ISNUMBER(BY17),IF(ABS(BY17-[1]QC_indicators!$B$1)&gt;3*[1]QC_indicators!$C$1,"DF","no"))),IF(ISNUMBER(BY17),IF(ABS(BY17-[1]QC_indicators!$B$1)&gt;3*[1]QC_indicators!$C$1,"DF","no")))</f>
        <v>no</v>
      </c>
      <c r="EQ17"/>
      <c r="ER17"/>
      <c r="ES17"/>
      <c r="ET17" s="264" t="s">
        <v>3150</v>
      </c>
      <c r="EU17"/>
    </row>
    <row r="18" spans="1:151" s="139" customFormat="1" ht="15" customHeight="1">
      <c r="A18" s="1" t="s">
        <v>926</v>
      </c>
      <c r="B18" t="s">
        <v>1849</v>
      </c>
      <c r="C18" t="s">
        <v>1850</v>
      </c>
      <c r="D18" t="s">
        <v>1851</v>
      </c>
      <c r="E18" t="s">
        <v>1852</v>
      </c>
      <c r="F18" t="s">
        <v>1853</v>
      </c>
      <c r="G18" t="s">
        <v>932</v>
      </c>
      <c r="H18" t="s">
        <v>254</v>
      </c>
      <c r="I18">
        <v>2019</v>
      </c>
      <c r="J18">
        <v>8</v>
      </c>
      <c r="K18" t="s">
        <v>1854</v>
      </c>
      <c r="L18"/>
      <c r="M18" t="str">
        <f>LEFT($D18,FIND(",",$D18)-1)&amp;"_"&amp;I18&amp;L18</f>
        <v>Kogler_2019</v>
      </c>
      <c r="N18" t="s">
        <v>2582</v>
      </c>
      <c r="O18" s="171" t="s">
        <v>513</v>
      </c>
      <c r="P18" t="s">
        <v>960</v>
      </c>
      <c r="Q18" t="s">
        <v>389</v>
      </c>
      <c r="R18" s="262" t="s">
        <v>223</v>
      </c>
      <c r="S18" s="1" t="s">
        <v>1855</v>
      </c>
      <c r="T18" t="s">
        <v>1861</v>
      </c>
      <c r="U18" t="s">
        <v>1862</v>
      </c>
      <c r="V18">
        <v>0</v>
      </c>
      <c r="W18">
        <v>0</v>
      </c>
      <c r="X18">
        <v>0</v>
      </c>
      <c r="Y18">
        <v>1</v>
      </c>
      <c r="Z18">
        <v>0</v>
      </c>
      <c r="AA18">
        <v>0</v>
      </c>
      <c r="AB18">
        <v>0</v>
      </c>
      <c r="AC18">
        <v>0</v>
      </c>
      <c r="AD18">
        <v>0</v>
      </c>
      <c r="AE18">
        <v>0</v>
      </c>
      <c r="AF18">
        <v>0</v>
      </c>
      <c r="AG18">
        <v>0</v>
      </c>
      <c r="AH18">
        <v>0</v>
      </c>
      <c r="AI18">
        <v>0</v>
      </c>
      <c r="AJ18">
        <v>0</v>
      </c>
      <c r="AK18">
        <v>0</v>
      </c>
      <c r="AL18">
        <v>0</v>
      </c>
      <c r="AM18">
        <v>0</v>
      </c>
      <c r="AN18">
        <v>0</v>
      </c>
      <c r="AO18">
        <v>2</v>
      </c>
      <c r="AP18">
        <v>0</v>
      </c>
      <c r="AQ18">
        <v>0</v>
      </c>
      <c r="AR18">
        <v>0</v>
      </c>
      <c r="AS18">
        <v>0</v>
      </c>
      <c r="AT18">
        <v>0</v>
      </c>
      <c r="AU18">
        <v>0</v>
      </c>
      <c r="AV18">
        <v>0</v>
      </c>
      <c r="AW18">
        <v>0</v>
      </c>
      <c r="AX18" s="141">
        <f>COUNTIF(V18:AW18,"&lt;&gt;0")</f>
        <v>2</v>
      </c>
      <c r="AY18" s="141">
        <f>COUNTIF(V18:AL18,"&lt;&gt;0")</f>
        <v>1</v>
      </c>
      <c r="AZ18">
        <f>COUNTIF(V18:AC18,"&lt;&gt;0")</f>
        <v>1</v>
      </c>
      <c r="BA18">
        <f>COUNTIF(AD18:AI18,"&lt;&gt;0")</f>
        <v>0</v>
      </c>
      <c r="BB18">
        <f>COUNTIF(AJ18:AL18,"&lt;&gt;0")</f>
        <v>0</v>
      </c>
      <c r="BC18">
        <f>COUNTIF(AS18:AW18,"&lt;&gt;0")</f>
        <v>0</v>
      </c>
      <c r="BD18">
        <f>COUNTIF(AM18:AR18,"&lt;&gt;0")</f>
        <v>1</v>
      </c>
      <c r="BE18" t="str">
        <f t="array" ref="BE18">IF(AY18=1,INDEX($V$7:$AL$7,MATCH(TRUE,INDEX($V18:$AW18&lt;&gt;0,),0)),IF(AY18=0,INDEX($AM$7:$AW$7,MATCH(1,$AM18:$AW18,0)),IF(BF18="Multiple strategies","mixed drivers",IF(BF18="Supply chain","multiple supply","multiple silviculture"))))</f>
        <v xml:space="preserve">cutting intensity </v>
      </c>
      <c r="BF18" s="2" t="str" cm="1">
        <f t="array" ref="BF18">IF(COUNTIF(AZ18:BB18,"&lt;&gt;0")=1,INDEX($V$4:$AW$4,MATCH(TRUE,INDEX($V18:$AW18&lt;&gt;0,),0)),IF(COUNTIF(AZ18:BB18,"&lt;&gt;0")=0,INDEX($AM$4:$AW$4,MATCH(1,$AM18:$AW18,0)),"Multiple strategies"))</f>
        <v>Silviculture for removals</v>
      </c>
      <c r="BG18" s="1" t="s">
        <v>321</v>
      </c>
      <c r="BH18" t="s">
        <v>1858</v>
      </c>
      <c r="BI18" t="s">
        <v>611</v>
      </c>
      <c r="BJ18" t="s">
        <v>498</v>
      </c>
      <c r="BK18">
        <v>38360</v>
      </c>
      <c r="BL18">
        <v>41581</v>
      </c>
      <c r="BM18" t="s">
        <v>544</v>
      </c>
      <c r="BN18">
        <f>BL18-BK18</f>
        <v>3221</v>
      </c>
      <c r="BO18">
        <f>BN18</f>
        <v>3221</v>
      </c>
      <c r="BP18" t="s">
        <v>395</v>
      </c>
      <c r="BQ18" t="s">
        <v>1859</v>
      </c>
      <c r="BR18" s="264" t="s">
        <v>3149</v>
      </c>
      <c r="BS18">
        <v>665</v>
      </c>
      <c r="BT18">
        <v>719</v>
      </c>
      <c r="BU18" s="144">
        <v>1.0812030075187971</v>
      </c>
      <c r="BV18" s="152">
        <f>BT18-BS18</f>
        <v>54</v>
      </c>
      <c r="BW18"/>
      <c r="BX18">
        <f>BV18*10^6</f>
        <v>54000000</v>
      </c>
      <c r="BY18">
        <f>IFERROR(BX18/BO18,"")</f>
        <v>16764.979819931697</v>
      </c>
      <c r="BZ18">
        <v>0</v>
      </c>
      <c r="CA18">
        <v>0</v>
      </c>
      <c r="CB18">
        <v>0</v>
      </c>
      <c r="CC18">
        <v>0</v>
      </c>
      <c r="CD18">
        <v>0</v>
      </c>
      <c r="CE18">
        <v>0</v>
      </c>
      <c r="CF18">
        <v>0</v>
      </c>
      <c r="CG18">
        <v>0</v>
      </c>
      <c r="CH18">
        <v>0</v>
      </c>
      <c r="CI18">
        <v>0</v>
      </c>
      <c r="CJ18">
        <v>0</v>
      </c>
      <c r="CK18">
        <v>0</v>
      </c>
      <c r="CL18">
        <v>0</v>
      </c>
      <c r="CM18">
        <v>0</v>
      </c>
      <c r="CN18" t="str">
        <f>IF($BL18&lt;$BK18,"refNeedCorrection","refOK")</f>
        <v>refOK</v>
      </c>
      <c r="CO18">
        <f>IF($CN18="refOK",$BK18,$BL18)</f>
        <v>38360</v>
      </c>
      <c r="CP18">
        <f>IF($CN18="refOK",$BL18,$BK18)</f>
        <v>41581</v>
      </c>
      <c r="CQ18">
        <f>IF($CN18="refOK",$BO18,-$BO18)</f>
        <v>3221</v>
      </c>
      <c r="CR18">
        <f>IF($CN18="refOK",$BS18,$BT18)*IF($BP18="Emissions positive",-1,1)</f>
        <v>-665</v>
      </c>
      <c r="CS18">
        <f>IF($CN18="refOK",$BT18,$BS18)*IF($BP18="Emissions positive",-1,1)</f>
        <v>-719</v>
      </c>
      <c r="CT18">
        <f>IF($CN18="refNeedCorrection",-BX18,BX18)*IF($BP18="Emissions positive",-1,1)</f>
        <v>-54000000</v>
      </c>
      <c r="CU18">
        <f>IFERROR(CT18/CQ18,"")</f>
        <v>-16764.979819931697</v>
      </c>
      <c r="CV18" s="2">
        <f>IFERROR((CS18-CR18)/ABS(CR18),"")</f>
        <v>-8.1203007518796999E-2</v>
      </c>
      <c r="CW18" s="1" t="s">
        <v>1203</v>
      </c>
      <c r="CX18" t="str">
        <f>IF(OR($CW18="prd",$CW18="std",$CW18="cit"),"loc",IF(OR($CW18="eur",$CW18="reg",$CW18="coy"),"reg",$CW18))</f>
        <v>reg</v>
      </c>
      <c r="CY18" t="s">
        <v>666</v>
      </c>
      <c r="CZ18">
        <v>0</v>
      </c>
      <c r="DA18">
        <v>0</v>
      </c>
      <c r="DB18">
        <v>0</v>
      </c>
      <c r="DC18" t="str">
        <f>IF(DB18=0,"0",IF(AND(DB18&gt;=1,DB18&lt;=30),"1-30",IF(AND(DB18&gt;30,DB18&lt;=70),"31-70",IF(AND(DB18&gt;70,DB18&lt;=100),"71-100",IF(DB18&gt;100,"+100")))))</f>
        <v>0</v>
      </c>
      <c r="DD18">
        <v>1</v>
      </c>
      <c r="DE18">
        <v>0</v>
      </c>
      <c r="DF18">
        <v>0</v>
      </c>
      <c r="DG18">
        <v>0</v>
      </c>
      <c r="DH18"/>
      <c r="DI18">
        <v>1</v>
      </c>
      <c r="DJ18" t="str">
        <f>IF(DI18=1,INDEX($DD$7:$DG$7,MATCH(1,$DD18:$DG18,0)),"mixedProduct")</f>
        <v>UpstreamInput</v>
      </c>
      <c r="DK18" t="str">
        <f>IF(DD18=1,DK$7,0)</f>
        <v>Upstream</v>
      </c>
      <c r="DL18">
        <f>IF(DE18=1,DL$7,0)</f>
        <v>0</v>
      </c>
      <c r="DM18">
        <f>IF(DF18=1,DM$7,0)</f>
        <v>0</v>
      </c>
      <c r="DN18">
        <f>IF(DG18=1,DN$7,0)</f>
        <v>0</v>
      </c>
      <c r="DO18">
        <v>0</v>
      </c>
      <c r="DP18">
        <v>0</v>
      </c>
      <c r="DQ18">
        <v>0</v>
      </c>
      <c r="DR18">
        <v>0</v>
      </c>
      <c r="DS18">
        <v>0</v>
      </c>
      <c r="DT18">
        <f>SUM(DO18:DP18)</f>
        <v>0</v>
      </c>
      <c r="DU18" s="143" t="s">
        <v>962</v>
      </c>
      <c r="DV18">
        <v>0</v>
      </c>
      <c r="DW18">
        <v>0</v>
      </c>
      <c r="DX18">
        <v>0</v>
      </c>
      <c r="DY18">
        <v>0</v>
      </c>
      <c r="DZ18">
        <v>0</v>
      </c>
      <c r="EA18" s="143">
        <v>0</v>
      </c>
      <c r="EB18">
        <v>1</v>
      </c>
      <c r="EC18">
        <v>0</v>
      </c>
      <c r="ED18">
        <v>0</v>
      </c>
      <c r="EE18">
        <v>0</v>
      </c>
      <c r="EF18">
        <v>0</v>
      </c>
      <c r="EG18">
        <v>0</v>
      </c>
      <c r="EH18">
        <v>0</v>
      </c>
      <c r="EI18" s="2">
        <v>0</v>
      </c>
      <c r="EJ18" s="1"/>
      <c r="EK18" t="str">
        <f>IF(AND(AND(AND(OR($DX18=1,$DW18=1),OR($EC18=1,$EA18=1)),SUM($DV18:$DZ18,$EF18)&gt;=4),SUM($EA18:$EE18)&gt;=2),"Whole sector","")</f>
        <v/>
      </c>
      <c r="EL18" t="str">
        <f>IF(AND(AND(OR($DX18=1,$DW18=1),AND($EC18=0,$EA18=0)),SUM($DV18:$DZ18,$EF18)&gt;=4),"Ecosystem approach","")</f>
        <v/>
      </c>
      <c r="EM18" s="2" t="str">
        <f>IF(AND(AND(AND($DX18=0,$DW18=0),OR($EC18=1,$EA18=1)),SUM($EB18:$EE18)&gt;=2),"Technology approach","")</f>
        <v/>
      </c>
      <c r="EN18"/>
      <c r="EO18"/>
      <c r="EP18" t="str">
        <f>IF(ISNUMBER(BU18),IF(ABS(BU18-[1]QC_indicators!$B$2)&gt;3*[1]QC_indicators!$C$2,"C ratio",IF(ISNUMBER(BY18),IF(ABS(BY18-[1]QC_indicators!$B$1)&gt;3*[1]QC_indicators!$C$1,"DF","no"))),IF(ISNUMBER(BY18),IF(ABS(BY18-[1]QC_indicators!$B$1)&gt;3*[1]QC_indicators!$C$1,"DF","no")))</f>
        <v>no</v>
      </c>
      <c r="EQ18"/>
      <c r="ER18"/>
      <c r="ES18"/>
      <c r="ET18" s="264" t="s">
        <v>3150</v>
      </c>
      <c r="EU18"/>
    </row>
    <row r="19" spans="1:151" s="139" customFormat="1" ht="15" customHeight="1">
      <c r="A19" s="1" t="s">
        <v>926</v>
      </c>
      <c r="B19" t="s">
        <v>1849</v>
      </c>
      <c r="C19" t="s">
        <v>1850</v>
      </c>
      <c r="D19" t="s">
        <v>1851</v>
      </c>
      <c r="E19" t="s">
        <v>1852</v>
      </c>
      <c r="F19" t="s">
        <v>1853</v>
      </c>
      <c r="G19" t="s">
        <v>932</v>
      </c>
      <c r="H19" t="s">
        <v>254</v>
      </c>
      <c r="I19">
        <v>2019</v>
      </c>
      <c r="J19">
        <v>8</v>
      </c>
      <c r="K19" t="s">
        <v>1854</v>
      </c>
      <c r="L19"/>
      <c r="M19" t="str">
        <f>LEFT($D19,FIND(",",$D19)-1)&amp;"_"&amp;I19&amp;L19</f>
        <v>Kogler_2019</v>
      </c>
      <c r="N19" t="s">
        <v>2582</v>
      </c>
      <c r="O19" s="171" t="s">
        <v>513</v>
      </c>
      <c r="P19" t="s">
        <v>960</v>
      </c>
      <c r="Q19" t="s">
        <v>389</v>
      </c>
      <c r="R19" s="262" t="s">
        <v>223</v>
      </c>
      <c r="S19" s="1" t="s">
        <v>1855</v>
      </c>
      <c r="T19" t="s">
        <v>1857</v>
      </c>
      <c r="U19" t="s">
        <v>1860</v>
      </c>
      <c r="V19">
        <v>0</v>
      </c>
      <c r="W19">
        <v>0</v>
      </c>
      <c r="X19">
        <v>0</v>
      </c>
      <c r="Y19">
        <v>1</v>
      </c>
      <c r="Z19">
        <v>0</v>
      </c>
      <c r="AA19">
        <v>0</v>
      </c>
      <c r="AB19">
        <v>0</v>
      </c>
      <c r="AC19">
        <v>0</v>
      </c>
      <c r="AD19">
        <v>0</v>
      </c>
      <c r="AE19">
        <v>0</v>
      </c>
      <c r="AF19">
        <v>0</v>
      </c>
      <c r="AG19">
        <v>0</v>
      </c>
      <c r="AH19">
        <v>0</v>
      </c>
      <c r="AI19">
        <v>0</v>
      </c>
      <c r="AJ19">
        <v>0</v>
      </c>
      <c r="AK19">
        <v>0</v>
      </c>
      <c r="AL19">
        <v>0</v>
      </c>
      <c r="AM19">
        <v>0</v>
      </c>
      <c r="AN19">
        <v>0</v>
      </c>
      <c r="AO19">
        <v>0</v>
      </c>
      <c r="AP19">
        <v>0</v>
      </c>
      <c r="AQ19">
        <v>2</v>
      </c>
      <c r="AR19">
        <v>0</v>
      </c>
      <c r="AS19">
        <v>0</v>
      </c>
      <c r="AT19">
        <v>0</v>
      </c>
      <c r="AU19">
        <v>0</v>
      </c>
      <c r="AV19">
        <v>0</v>
      </c>
      <c r="AW19">
        <v>0</v>
      </c>
      <c r="AX19" s="141">
        <f>COUNTIF(V19:AW19,"&lt;&gt;0")</f>
        <v>2</v>
      </c>
      <c r="AY19" s="141">
        <f>COUNTIF(V19:AL19,"&lt;&gt;0")</f>
        <v>1</v>
      </c>
      <c r="AZ19">
        <f>COUNTIF(V19:AC19,"&lt;&gt;0")</f>
        <v>1</v>
      </c>
      <c r="BA19">
        <f>COUNTIF(AD19:AI19,"&lt;&gt;0")</f>
        <v>0</v>
      </c>
      <c r="BB19">
        <f>COUNTIF(AJ19:AL19,"&lt;&gt;0")</f>
        <v>0</v>
      </c>
      <c r="BC19">
        <f>COUNTIF(AS19:AW19,"&lt;&gt;0")</f>
        <v>0</v>
      </c>
      <c r="BD19">
        <f>COUNTIF(AM19:AR19,"&lt;&gt;0")</f>
        <v>1</v>
      </c>
      <c r="BE19" t="str">
        <f t="array" ref="BE19">IF(AY19=1,INDEX($V$7:$AL$7,MATCH(TRUE,INDEX($V19:$AW19&lt;&gt;0,),0)),IF(AY19=0,INDEX($AM$7:$AW$7,MATCH(1,$AM19:$AW19,0)),IF(BF19="Multiple strategies","mixed drivers",IF(BF19="Supply chain","multiple supply","multiple silviculture"))))</f>
        <v xml:space="preserve">cutting intensity </v>
      </c>
      <c r="BF19" s="2" t="str" cm="1">
        <f t="array" ref="BF19">IF(COUNTIF(AZ19:BB19,"&lt;&gt;0")=1,INDEX($V$4:$AW$4,MATCH(TRUE,INDEX($V19:$AW19&lt;&gt;0,),0)),IF(COUNTIF(AZ19:BB19,"&lt;&gt;0")=0,INDEX($AM$4:$AW$4,MATCH(1,$AM19:$AW19,0)),"Multiple strategies"))</f>
        <v>Silviculture for removals</v>
      </c>
      <c r="BG19" s="1" t="s">
        <v>321</v>
      </c>
      <c r="BH19" t="s">
        <v>1858</v>
      </c>
      <c r="BI19" t="s">
        <v>611</v>
      </c>
      <c r="BJ19" t="s">
        <v>498</v>
      </c>
      <c r="BK19">
        <v>37563</v>
      </c>
      <c r="BL19">
        <v>80258</v>
      </c>
      <c r="BM19" t="s">
        <v>544</v>
      </c>
      <c r="BN19">
        <f>BL19-BK19</f>
        <v>42695</v>
      </c>
      <c r="BO19">
        <f>BN19</f>
        <v>42695</v>
      </c>
      <c r="BP19" t="s">
        <v>395</v>
      </c>
      <c r="BQ19" t="s">
        <v>1859</v>
      </c>
      <c r="BR19" s="264" t="s">
        <v>3149</v>
      </c>
      <c r="BS19">
        <v>579</v>
      </c>
      <c r="BT19">
        <v>1270</v>
      </c>
      <c r="BU19" s="144">
        <v>2.1934369602763386</v>
      </c>
      <c r="BV19" s="152">
        <f>BT19-BS19</f>
        <v>691</v>
      </c>
      <c r="BW19"/>
      <c r="BX19">
        <f>BV19*10^6</f>
        <v>691000000</v>
      </c>
      <c r="BY19">
        <f>IFERROR(BX19/BO19,"")</f>
        <v>16184.564937346293</v>
      </c>
      <c r="BZ19">
        <v>0</v>
      </c>
      <c r="CA19">
        <v>0</v>
      </c>
      <c r="CB19">
        <v>0</v>
      </c>
      <c r="CC19">
        <v>0</v>
      </c>
      <c r="CD19">
        <v>0</v>
      </c>
      <c r="CE19">
        <v>0</v>
      </c>
      <c r="CF19">
        <v>0</v>
      </c>
      <c r="CG19">
        <v>0</v>
      </c>
      <c r="CH19">
        <v>0</v>
      </c>
      <c r="CI19">
        <v>0</v>
      </c>
      <c r="CJ19">
        <v>0</v>
      </c>
      <c r="CK19">
        <v>0</v>
      </c>
      <c r="CL19">
        <v>0</v>
      </c>
      <c r="CM19">
        <v>0</v>
      </c>
      <c r="CN19" t="str">
        <f>IF($BL19&lt;$BK19,"refNeedCorrection","refOK")</f>
        <v>refOK</v>
      </c>
      <c r="CO19">
        <f>IF($CN19="refOK",$BK19,$BL19)</f>
        <v>37563</v>
      </c>
      <c r="CP19">
        <f>IF($CN19="refOK",$BL19,$BK19)</f>
        <v>80258</v>
      </c>
      <c r="CQ19">
        <f>IF($CN19="refOK",$BO19,-$BO19)</f>
        <v>42695</v>
      </c>
      <c r="CR19">
        <f>IF($CN19="refOK",$BS19,$BT19)*IF($BP19="Emissions positive",-1,1)</f>
        <v>-579</v>
      </c>
      <c r="CS19">
        <f>IF($CN19="refOK",$BT19,$BS19)*IF($BP19="Emissions positive",-1,1)</f>
        <v>-1270</v>
      </c>
      <c r="CT19">
        <f>IF($CN19="refNeedCorrection",-BX19,BX19)*IF($BP19="Emissions positive",-1,1)</f>
        <v>-691000000</v>
      </c>
      <c r="CU19">
        <f>IFERROR(CT19/CQ19,"")</f>
        <v>-16184.564937346293</v>
      </c>
      <c r="CV19" s="2">
        <f>IFERROR((CS19-CR19)/ABS(CR19),"")</f>
        <v>-1.1934369602763386</v>
      </c>
      <c r="CW19" s="1" t="s">
        <v>1203</v>
      </c>
      <c r="CX19" t="str">
        <f>IF(OR($CW19="prd",$CW19="std",$CW19="cit"),"loc",IF(OR($CW19="eur",$CW19="reg",$CW19="coy"),"reg",$CW19))</f>
        <v>reg</v>
      </c>
      <c r="CY19" t="s">
        <v>666</v>
      </c>
      <c r="CZ19">
        <v>0</v>
      </c>
      <c r="DA19">
        <v>0</v>
      </c>
      <c r="DB19">
        <v>0</v>
      </c>
      <c r="DC19" t="str">
        <f>IF(DB19=0,"0",IF(AND(DB19&gt;=1,DB19&lt;=30),"1-30",IF(AND(DB19&gt;30,DB19&lt;=70),"31-70",IF(AND(DB19&gt;70,DB19&lt;=100),"71-100",IF(DB19&gt;100,"+100")))))</f>
        <v>0</v>
      </c>
      <c r="DD19">
        <v>1</v>
      </c>
      <c r="DE19">
        <v>0</v>
      </c>
      <c r="DF19">
        <v>0</v>
      </c>
      <c r="DG19">
        <v>0</v>
      </c>
      <c r="DH19"/>
      <c r="DI19">
        <v>1</v>
      </c>
      <c r="DJ19" t="str">
        <f>IF(DI19=1,INDEX($DD$7:$DG$7,MATCH(1,$DD19:$DG19,0)),"mixedProduct")</f>
        <v>UpstreamInput</v>
      </c>
      <c r="DK19" t="str">
        <f>IF(DD19=1,DK$7,0)</f>
        <v>Upstream</v>
      </c>
      <c r="DL19">
        <f>IF(DE19=1,DL$7,0)</f>
        <v>0</v>
      </c>
      <c r="DM19">
        <f>IF(DF19=1,DM$7,0)</f>
        <v>0</v>
      </c>
      <c r="DN19">
        <f>IF(DG19=1,DN$7,0)</f>
        <v>0</v>
      </c>
      <c r="DO19">
        <v>0</v>
      </c>
      <c r="DP19">
        <v>0</v>
      </c>
      <c r="DQ19">
        <v>0</v>
      </c>
      <c r="DR19">
        <v>0</v>
      </c>
      <c r="DS19">
        <v>0</v>
      </c>
      <c r="DT19">
        <f>SUM(DO19:DP19)</f>
        <v>0</v>
      </c>
      <c r="DU19" s="143" t="s">
        <v>962</v>
      </c>
      <c r="DV19">
        <v>0</v>
      </c>
      <c r="DW19">
        <v>0</v>
      </c>
      <c r="DX19">
        <v>0</v>
      </c>
      <c r="DY19">
        <v>0</v>
      </c>
      <c r="DZ19">
        <v>0</v>
      </c>
      <c r="EA19" s="143">
        <v>0</v>
      </c>
      <c r="EB19">
        <v>1</v>
      </c>
      <c r="EC19">
        <v>0</v>
      </c>
      <c r="ED19">
        <v>0</v>
      </c>
      <c r="EE19">
        <v>0</v>
      </c>
      <c r="EF19">
        <v>0</v>
      </c>
      <c r="EG19">
        <v>0</v>
      </c>
      <c r="EH19">
        <v>0</v>
      </c>
      <c r="EI19" s="2">
        <v>0</v>
      </c>
      <c r="EJ19" s="1"/>
      <c r="EK19" t="str">
        <f>IF(AND(AND(AND(OR($DX19=1,$DW19=1),OR($EC19=1,$EA19=1)),SUM($DV19:$DZ19,$EF19)&gt;=4),SUM($EA19:$EE19)&gt;=2),"Whole sector","")</f>
        <v/>
      </c>
      <c r="EL19" t="str">
        <f>IF(AND(AND(OR($DX19=1,$DW19=1),AND($EC19=0,$EA19=0)),SUM($DV19:$DZ19,$EF19)&gt;=4),"Ecosystem approach","")</f>
        <v/>
      </c>
      <c r="EM19" s="2" t="str">
        <f>IF(AND(AND(AND($DX19=0,$DW19=0),OR($EC19=1,$EA19=1)),SUM($EB19:$EE19)&gt;=2),"Technology approach","")</f>
        <v/>
      </c>
      <c r="EN19"/>
      <c r="EO19"/>
      <c r="EP19" t="str">
        <f>IF(ISNUMBER(BU19),IF(ABS(BU19-[1]QC_indicators!$B$2)&gt;3*[1]QC_indicators!$C$2,"C ratio",IF(ISNUMBER(BY19),IF(ABS(BY19-[1]QC_indicators!$B$1)&gt;3*[1]QC_indicators!$C$1,"DF","no"))),IF(ISNUMBER(BY19),IF(ABS(BY19-[1]QC_indicators!$B$1)&gt;3*[1]QC_indicators!$C$1,"DF","no")))</f>
        <v>no</v>
      </c>
      <c r="EQ19"/>
      <c r="ER19"/>
      <c r="ES19"/>
      <c r="ET19" s="264" t="s">
        <v>3150</v>
      </c>
      <c r="EU19"/>
    </row>
    <row r="20" spans="1:151" s="139" customFormat="1" ht="15" customHeight="1">
      <c r="A20" s="1" t="s">
        <v>926</v>
      </c>
      <c r="B20" t="s">
        <v>1849</v>
      </c>
      <c r="C20" t="s">
        <v>1850</v>
      </c>
      <c r="D20" t="s">
        <v>1851</v>
      </c>
      <c r="E20" t="s">
        <v>1852</v>
      </c>
      <c r="F20" t="s">
        <v>1853</v>
      </c>
      <c r="G20" t="s">
        <v>932</v>
      </c>
      <c r="H20" t="s">
        <v>254</v>
      </c>
      <c r="I20">
        <v>2019</v>
      </c>
      <c r="J20">
        <v>8</v>
      </c>
      <c r="K20" t="s">
        <v>1854</v>
      </c>
      <c r="L20"/>
      <c r="M20" t="str">
        <f>LEFT($D20,FIND(",",$D20)-1)&amp;"_"&amp;I20&amp;L20</f>
        <v>Kogler_2019</v>
      </c>
      <c r="N20" t="s">
        <v>2582</v>
      </c>
      <c r="O20" s="171" t="s">
        <v>513</v>
      </c>
      <c r="P20" t="s">
        <v>960</v>
      </c>
      <c r="Q20" t="s">
        <v>389</v>
      </c>
      <c r="R20" s="262" t="s">
        <v>223</v>
      </c>
      <c r="S20" s="1" t="s">
        <v>1855</v>
      </c>
      <c r="T20" t="s">
        <v>1856</v>
      </c>
      <c r="U20" t="s">
        <v>1860</v>
      </c>
      <c r="V20">
        <v>0</v>
      </c>
      <c r="W20">
        <v>0</v>
      </c>
      <c r="X20">
        <v>0</v>
      </c>
      <c r="Y20">
        <v>1</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s="141">
        <f>COUNTIF(V20:AW20,"&lt;&gt;0")</f>
        <v>1</v>
      </c>
      <c r="AY20" s="141">
        <f>COUNTIF(V20:AL20,"&lt;&gt;0")</f>
        <v>1</v>
      </c>
      <c r="AZ20">
        <f>COUNTIF(V20:AC20,"&lt;&gt;0")</f>
        <v>1</v>
      </c>
      <c r="BA20">
        <f>COUNTIF(AD20:AI20,"&lt;&gt;0")</f>
        <v>0</v>
      </c>
      <c r="BB20">
        <f>COUNTIF(AJ20:AL20,"&lt;&gt;0")</f>
        <v>0</v>
      </c>
      <c r="BC20">
        <f>COUNTIF(AS20:AW20,"&lt;&gt;0")</f>
        <v>0</v>
      </c>
      <c r="BD20">
        <f>COUNTIF(AM20:AR20,"&lt;&gt;0")</f>
        <v>0</v>
      </c>
      <c r="BE20" t="str">
        <f t="array" ref="BE20">IF(AY20=1,INDEX($V$7:$AL$7,MATCH(TRUE,INDEX($V20:$AW20&lt;&gt;0,),0)),IF(AY20=0,INDEX($AM$7:$AW$7,MATCH(1,$AM20:$AW20,0)),IF(BF20="Multiple strategies","mixed drivers",IF(BF20="Supply chain","multiple supply","multiple silviculture"))))</f>
        <v xml:space="preserve">cutting intensity </v>
      </c>
      <c r="BF20" s="2" t="str" cm="1">
        <f t="array" ref="BF20">IF(COUNTIF(AZ20:BB20,"&lt;&gt;0")=1,INDEX($V$4:$AW$4,MATCH(TRUE,INDEX($V20:$AW20&lt;&gt;0,),0)),IF(COUNTIF(AZ20:BB20,"&lt;&gt;0")=0,INDEX($AM$4:$AW$4,MATCH(1,$AM20:$AW20,0)),"Multiple strategies"))</f>
        <v>Silviculture for removals</v>
      </c>
      <c r="BG20" s="1" t="s">
        <v>321</v>
      </c>
      <c r="BH20" s="234" t="s">
        <v>1858</v>
      </c>
      <c r="BI20" t="s">
        <v>611</v>
      </c>
      <c r="BJ20" t="s">
        <v>498</v>
      </c>
      <c r="BK20">
        <v>35082</v>
      </c>
      <c r="BL20">
        <v>80258</v>
      </c>
      <c r="BM20" t="s">
        <v>544</v>
      </c>
      <c r="BN20">
        <f>BL20-BK20</f>
        <v>45176</v>
      </c>
      <c r="BO20">
        <f>BN20</f>
        <v>45176</v>
      </c>
      <c r="BP20" t="s">
        <v>395</v>
      </c>
      <c r="BQ20" t="s">
        <v>1859</v>
      </c>
      <c r="BR20" s="264" t="s">
        <v>3149</v>
      </c>
      <c r="BS20">
        <v>541</v>
      </c>
      <c r="BT20">
        <v>1270</v>
      </c>
      <c r="BU20" s="144">
        <v>2.3475046210720887</v>
      </c>
      <c r="BV20" s="152">
        <f>BT20-BS20</f>
        <v>729</v>
      </c>
      <c r="BW20"/>
      <c r="BX20">
        <f>BV20*10^6</f>
        <v>729000000</v>
      </c>
      <c r="BY20">
        <f>IFERROR(BX20/BO20,"")</f>
        <v>16136.886842571277</v>
      </c>
      <c r="BZ20">
        <v>0</v>
      </c>
      <c r="CA20">
        <v>0</v>
      </c>
      <c r="CB20">
        <v>0</v>
      </c>
      <c r="CC20">
        <v>0</v>
      </c>
      <c r="CD20">
        <v>0</v>
      </c>
      <c r="CE20">
        <v>0</v>
      </c>
      <c r="CF20">
        <v>0</v>
      </c>
      <c r="CG20">
        <v>0</v>
      </c>
      <c r="CH20">
        <v>0</v>
      </c>
      <c r="CI20">
        <v>0</v>
      </c>
      <c r="CJ20">
        <v>0</v>
      </c>
      <c r="CK20">
        <v>0</v>
      </c>
      <c r="CL20">
        <v>0</v>
      </c>
      <c r="CM20">
        <v>0</v>
      </c>
      <c r="CN20" t="str">
        <f>IF($BL20&lt;$BK20,"refNeedCorrection","refOK")</f>
        <v>refOK</v>
      </c>
      <c r="CO20">
        <f>IF($CN20="refOK",$BK20,$BL20)</f>
        <v>35082</v>
      </c>
      <c r="CP20">
        <f>IF($CN20="refOK",$BL20,$BK20)</f>
        <v>80258</v>
      </c>
      <c r="CQ20">
        <f>IF($CN20="refOK",$BO20,-$BO20)</f>
        <v>45176</v>
      </c>
      <c r="CR20">
        <f>IF($CN20="refOK",$BS20,$BT20)*IF($BP20="Emissions positive",-1,1)</f>
        <v>-541</v>
      </c>
      <c r="CS20">
        <f>IF($CN20="refOK",$BT20,$BS20)*IF($BP20="Emissions positive",-1,1)</f>
        <v>-1270</v>
      </c>
      <c r="CT20">
        <f>IF($CN20="refNeedCorrection",-BX20,BX20)*IF($BP20="Emissions positive",-1,1)</f>
        <v>-729000000</v>
      </c>
      <c r="CU20">
        <f>IFERROR(CT20/CQ20,"")</f>
        <v>-16136.886842571277</v>
      </c>
      <c r="CV20" s="2">
        <f>IFERROR((CS20-CR20)/ABS(CR20),"")</f>
        <v>-1.3475046210720887</v>
      </c>
      <c r="CW20" s="1" t="s">
        <v>1203</v>
      </c>
      <c r="CX20" t="str">
        <f>IF(OR($CW20="prd",$CW20="std",$CW20="cit"),"loc",IF(OR($CW20="eur",$CW20="reg",$CW20="coy"),"reg",$CW20))</f>
        <v>reg</v>
      </c>
      <c r="CY20" t="s">
        <v>666</v>
      </c>
      <c r="CZ20">
        <v>0</v>
      </c>
      <c r="DA20">
        <v>0</v>
      </c>
      <c r="DB20">
        <v>0</v>
      </c>
      <c r="DC20" t="str">
        <f>IF(DB20=0,"0",IF(AND(DB20&gt;=1,DB20&lt;=30),"1-30",IF(AND(DB20&gt;30,DB20&lt;=70),"31-70",IF(AND(DB20&gt;70,DB20&lt;=100),"71-100",IF(DB20&gt;100,"+100")))))</f>
        <v>0</v>
      </c>
      <c r="DD20">
        <v>1</v>
      </c>
      <c r="DE20">
        <v>0</v>
      </c>
      <c r="DF20">
        <v>0</v>
      </c>
      <c r="DG20">
        <v>0</v>
      </c>
      <c r="DH20"/>
      <c r="DI20">
        <v>1</v>
      </c>
      <c r="DJ20" t="str">
        <f>IF(DI20=1,INDEX($DD$7:$DG$7,MATCH(1,$DD20:$DG20,0)),"mixedProduct")</f>
        <v>UpstreamInput</v>
      </c>
      <c r="DK20" t="str">
        <f>IF(DD20=1,DK$7,0)</f>
        <v>Upstream</v>
      </c>
      <c r="DL20">
        <f>IF(DE20=1,DL$7,0)</f>
        <v>0</v>
      </c>
      <c r="DM20">
        <f>IF(DF20=1,DM$7,0)</f>
        <v>0</v>
      </c>
      <c r="DN20">
        <f>IF(DG20=1,DN$7,0)</f>
        <v>0</v>
      </c>
      <c r="DO20">
        <v>0</v>
      </c>
      <c r="DP20">
        <v>0</v>
      </c>
      <c r="DQ20">
        <v>0</v>
      </c>
      <c r="DR20">
        <v>0</v>
      </c>
      <c r="DS20">
        <v>0</v>
      </c>
      <c r="DT20">
        <f>SUM(DO20:DP20)</f>
        <v>0</v>
      </c>
      <c r="DU20" s="143" t="s">
        <v>962</v>
      </c>
      <c r="DV20">
        <v>0</v>
      </c>
      <c r="DW20">
        <v>0</v>
      </c>
      <c r="DX20">
        <v>0</v>
      </c>
      <c r="DY20">
        <v>0</v>
      </c>
      <c r="DZ20">
        <v>0</v>
      </c>
      <c r="EA20" s="143">
        <v>0</v>
      </c>
      <c r="EB20">
        <v>1</v>
      </c>
      <c r="EC20">
        <v>0</v>
      </c>
      <c r="ED20">
        <v>0</v>
      </c>
      <c r="EE20">
        <v>0</v>
      </c>
      <c r="EF20">
        <v>0</v>
      </c>
      <c r="EG20">
        <v>0</v>
      </c>
      <c r="EH20">
        <v>0</v>
      </c>
      <c r="EI20" s="2">
        <v>0</v>
      </c>
      <c r="EJ20" s="1"/>
      <c r="EK20" t="str">
        <f>IF(AND(AND(AND(OR($DX20=1,$DW20=1),OR($EC20=1,$EA20=1)),SUM($DV20:$DZ20,$EF20)&gt;=4),SUM($EA20:$EE20)&gt;=2),"Whole sector","")</f>
        <v/>
      </c>
      <c r="EL20" t="str">
        <f>IF(AND(AND(OR($DX20=1,$DW20=1),AND($EC20=0,$EA20=0)),SUM($DV20:$DZ20,$EF20)&gt;=4),"Ecosystem approach","")</f>
        <v/>
      </c>
      <c r="EM20" s="2" t="str">
        <f>IF(AND(AND(AND($DX20=0,$DW20=0),OR($EC20=1,$EA20=1)),SUM($EB20:$EE20)&gt;=2),"Technology approach","")</f>
        <v/>
      </c>
      <c r="EN20"/>
      <c r="EO20"/>
      <c r="EP20" t="str">
        <f>IF(ISNUMBER(BU20),IF(ABS(BU20-[1]QC_indicators!$B$2)&gt;3*[1]QC_indicators!$C$2,"C ratio",IF(ISNUMBER(BY20),IF(ABS(BY20-[1]QC_indicators!$B$1)&gt;3*[1]QC_indicators!$C$1,"DF","no"))),IF(ISNUMBER(BY20),IF(ABS(BY20-[1]QC_indicators!$B$1)&gt;3*[1]QC_indicators!$C$1,"DF","no")))</f>
        <v>no</v>
      </c>
      <c r="EQ20"/>
      <c r="ER20"/>
      <c r="ES20"/>
      <c r="ET20" s="264" t="s">
        <v>3150</v>
      </c>
      <c r="EU20"/>
    </row>
    <row r="21" spans="1:151" s="139" customFormat="1" ht="15" customHeight="1">
      <c r="A21" s="1" t="s">
        <v>926</v>
      </c>
      <c r="B21" t="s">
        <v>1849</v>
      </c>
      <c r="C21" t="s">
        <v>1850</v>
      </c>
      <c r="D21" t="s">
        <v>1851</v>
      </c>
      <c r="E21" t="s">
        <v>1852</v>
      </c>
      <c r="F21" t="s">
        <v>1853</v>
      </c>
      <c r="G21" t="s">
        <v>932</v>
      </c>
      <c r="H21" t="s">
        <v>254</v>
      </c>
      <c r="I21">
        <v>2019</v>
      </c>
      <c r="J21">
        <v>8</v>
      </c>
      <c r="K21" t="s">
        <v>1854</v>
      </c>
      <c r="L21"/>
      <c r="M21" t="str">
        <f>LEFT($D21,FIND(",",$D21)-1)&amp;"_"&amp;I21&amp;L21</f>
        <v>Kogler_2019</v>
      </c>
      <c r="N21" t="s">
        <v>2582</v>
      </c>
      <c r="O21" s="171" t="s">
        <v>513</v>
      </c>
      <c r="P21" t="s">
        <v>960</v>
      </c>
      <c r="Q21" t="s">
        <v>389</v>
      </c>
      <c r="R21" s="262" t="s">
        <v>223</v>
      </c>
      <c r="S21" s="1" t="s">
        <v>1855</v>
      </c>
      <c r="T21" t="s">
        <v>1856</v>
      </c>
      <c r="U21" t="s">
        <v>1857</v>
      </c>
      <c r="V21">
        <v>0</v>
      </c>
      <c r="W21">
        <v>0</v>
      </c>
      <c r="X21">
        <v>0</v>
      </c>
      <c r="Y21">
        <v>1</v>
      </c>
      <c r="Z21">
        <v>0</v>
      </c>
      <c r="AA21">
        <v>0</v>
      </c>
      <c r="AB21">
        <v>0</v>
      </c>
      <c r="AC21">
        <v>0</v>
      </c>
      <c r="AD21">
        <v>0</v>
      </c>
      <c r="AE21">
        <v>0</v>
      </c>
      <c r="AF21">
        <v>0</v>
      </c>
      <c r="AG21">
        <v>0</v>
      </c>
      <c r="AH21">
        <v>0</v>
      </c>
      <c r="AI21">
        <v>0</v>
      </c>
      <c r="AJ21">
        <v>0</v>
      </c>
      <c r="AK21">
        <v>0</v>
      </c>
      <c r="AL21">
        <v>0</v>
      </c>
      <c r="AM21">
        <v>0</v>
      </c>
      <c r="AN21">
        <v>0</v>
      </c>
      <c r="AO21">
        <v>2</v>
      </c>
      <c r="AP21">
        <v>0</v>
      </c>
      <c r="AQ21">
        <v>0</v>
      </c>
      <c r="AR21">
        <v>0</v>
      </c>
      <c r="AS21">
        <v>0</v>
      </c>
      <c r="AT21">
        <v>0</v>
      </c>
      <c r="AU21">
        <v>0</v>
      </c>
      <c r="AV21">
        <v>0</v>
      </c>
      <c r="AW21">
        <v>0</v>
      </c>
      <c r="AX21" s="141">
        <f>COUNTIF(V21:AW21,"&lt;&gt;0")</f>
        <v>2</v>
      </c>
      <c r="AY21" s="141">
        <f>COUNTIF(V21:AL21,"&lt;&gt;0")</f>
        <v>1</v>
      </c>
      <c r="AZ21">
        <f>COUNTIF(V21:AC21,"&lt;&gt;0")</f>
        <v>1</v>
      </c>
      <c r="BA21">
        <f>COUNTIF(AD21:AI21,"&lt;&gt;0")</f>
        <v>0</v>
      </c>
      <c r="BB21">
        <f>COUNTIF(AJ21:AL21,"&lt;&gt;0")</f>
        <v>0</v>
      </c>
      <c r="BC21">
        <f>COUNTIF(AS21:AW21,"&lt;&gt;0")</f>
        <v>0</v>
      </c>
      <c r="BD21">
        <f>COUNTIF(AM21:AR21,"&lt;&gt;0")</f>
        <v>1</v>
      </c>
      <c r="BE21" t="str">
        <f t="array" ref="BE21">IF(AY21=1,INDEX($V$7:$AL$7,MATCH(TRUE,INDEX($V21:$AW21&lt;&gt;0,),0)),IF(AY21=0,INDEX($AM$7:$AW$7,MATCH(1,$AM21:$AW21,0)),IF(BF21="Multiple strategies","mixed drivers",IF(BF21="Supply chain","multiple supply","multiple silviculture"))))</f>
        <v xml:space="preserve">cutting intensity </v>
      </c>
      <c r="BF21" s="2" t="str" cm="1">
        <f t="array" ref="BF21">IF(COUNTIF(AZ21:BB21,"&lt;&gt;0")=1,INDEX($V$4:$AW$4,MATCH(TRUE,INDEX($V21:$AW21&lt;&gt;0,),0)),IF(COUNTIF(AZ21:BB21,"&lt;&gt;0")=0,INDEX($AM$4:$AW$4,MATCH(1,$AM21:$AW21,0)),"Multiple strategies"))</f>
        <v>Silviculture for removals</v>
      </c>
      <c r="BG21" s="1" t="s">
        <v>321</v>
      </c>
      <c r="BH21" s="234" t="s">
        <v>1858</v>
      </c>
      <c r="BI21" t="s">
        <v>611</v>
      </c>
      <c r="BJ21" t="s">
        <v>498</v>
      </c>
      <c r="BK21">
        <v>35082</v>
      </c>
      <c r="BL21">
        <v>37563</v>
      </c>
      <c r="BM21" t="s">
        <v>544</v>
      </c>
      <c r="BN21">
        <f>BL21-BK21</f>
        <v>2481</v>
      </c>
      <c r="BO21">
        <f>BN21</f>
        <v>2481</v>
      </c>
      <c r="BP21" t="s">
        <v>395</v>
      </c>
      <c r="BQ21" t="s">
        <v>1859</v>
      </c>
      <c r="BR21" s="264" t="s">
        <v>3149</v>
      </c>
      <c r="BS21">
        <v>541</v>
      </c>
      <c r="BT21">
        <v>579</v>
      </c>
      <c r="BU21" s="144">
        <v>1.0702402957486137</v>
      </c>
      <c r="BV21" s="152">
        <f>BT21-BS21</f>
        <v>38</v>
      </c>
      <c r="BW21"/>
      <c r="BX21">
        <f>BV21*10^6</f>
        <v>38000000</v>
      </c>
      <c r="BY21">
        <f>IFERROR(BX21/BO21,"")</f>
        <v>15316.404675534059</v>
      </c>
      <c r="BZ21">
        <v>0</v>
      </c>
      <c r="CA21">
        <v>0</v>
      </c>
      <c r="CB21">
        <v>0</v>
      </c>
      <c r="CC21">
        <v>0</v>
      </c>
      <c r="CD21">
        <v>0</v>
      </c>
      <c r="CE21">
        <v>0</v>
      </c>
      <c r="CF21">
        <v>0</v>
      </c>
      <c r="CG21">
        <v>0</v>
      </c>
      <c r="CH21">
        <v>0</v>
      </c>
      <c r="CI21">
        <v>0</v>
      </c>
      <c r="CJ21">
        <v>0</v>
      </c>
      <c r="CK21">
        <v>0</v>
      </c>
      <c r="CL21">
        <v>0</v>
      </c>
      <c r="CM21">
        <v>0</v>
      </c>
      <c r="CN21" t="str">
        <f>IF($BL21&lt;$BK21,"refNeedCorrection","refOK")</f>
        <v>refOK</v>
      </c>
      <c r="CO21">
        <f>IF($CN21="refOK",$BK21,$BL21)</f>
        <v>35082</v>
      </c>
      <c r="CP21">
        <f>IF($CN21="refOK",$BL21,$BK21)</f>
        <v>37563</v>
      </c>
      <c r="CQ21">
        <f>IF($CN21="refOK",$BO21,-$BO21)</f>
        <v>2481</v>
      </c>
      <c r="CR21">
        <f>IF($CN21="refOK",$BS21,$BT21)*IF($BP21="Emissions positive",-1,1)</f>
        <v>-541</v>
      </c>
      <c r="CS21">
        <f>IF($CN21="refOK",$BT21,$BS21)*IF($BP21="Emissions positive",-1,1)</f>
        <v>-579</v>
      </c>
      <c r="CT21">
        <f>IF($CN21="refNeedCorrection",-BX21,BX21)*IF($BP21="Emissions positive",-1,1)</f>
        <v>-38000000</v>
      </c>
      <c r="CU21">
        <f>IFERROR(CT21/CQ21,"")</f>
        <v>-15316.404675534059</v>
      </c>
      <c r="CV21" s="2">
        <f>IFERROR((CS21-CR21)/ABS(CR21),"")</f>
        <v>-7.0240295748613679E-2</v>
      </c>
      <c r="CW21" s="1" t="s">
        <v>1203</v>
      </c>
      <c r="CX21" t="str">
        <f>IF(OR($CW21="prd",$CW21="std",$CW21="cit"),"loc",IF(OR($CW21="eur",$CW21="reg",$CW21="coy"),"reg",$CW21))</f>
        <v>reg</v>
      </c>
      <c r="CY21" t="s">
        <v>666</v>
      </c>
      <c r="CZ21">
        <v>0</v>
      </c>
      <c r="DA21">
        <v>0</v>
      </c>
      <c r="DB21">
        <v>0</v>
      </c>
      <c r="DC21" t="str">
        <f>IF(DB21=0,"0",IF(AND(DB21&gt;=1,DB21&lt;=30),"1-30",IF(AND(DB21&gt;30,DB21&lt;=70),"31-70",IF(AND(DB21&gt;70,DB21&lt;=100),"71-100",IF(DB21&gt;100,"+100")))))</f>
        <v>0</v>
      </c>
      <c r="DD21">
        <v>1</v>
      </c>
      <c r="DE21">
        <v>0</v>
      </c>
      <c r="DF21">
        <v>0</v>
      </c>
      <c r="DG21">
        <v>0</v>
      </c>
      <c r="DH21"/>
      <c r="DI21">
        <v>1</v>
      </c>
      <c r="DJ21" t="str">
        <f>IF(DI21=1,INDEX($DD$7:$DG$7,MATCH(1,$DD21:$DG21,0)),"mixedProduct")</f>
        <v>UpstreamInput</v>
      </c>
      <c r="DK21" t="str">
        <f>IF(DD21=1,DK$7,0)</f>
        <v>Upstream</v>
      </c>
      <c r="DL21">
        <f>IF(DE21=1,DL$7,0)</f>
        <v>0</v>
      </c>
      <c r="DM21">
        <f>IF(DF21=1,DM$7,0)</f>
        <v>0</v>
      </c>
      <c r="DN21">
        <f>IF(DG21=1,DN$7,0)</f>
        <v>0</v>
      </c>
      <c r="DO21">
        <v>0</v>
      </c>
      <c r="DP21">
        <v>0</v>
      </c>
      <c r="DQ21">
        <v>0</v>
      </c>
      <c r="DR21">
        <v>0</v>
      </c>
      <c r="DS21">
        <v>0</v>
      </c>
      <c r="DT21">
        <f>SUM(DO21:DP21)</f>
        <v>0</v>
      </c>
      <c r="DU21" s="143" t="s">
        <v>962</v>
      </c>
      <c r="DV21">
        <v>0</v>
      </c>
      <c r="DW21">
        <v>0</v>
      </c>
      <c r="DX21">
        <v>0</v>
      </c>
      <c r="DY21">
        <v>0</v>
      </c>
      <c r="DZ21">
        <v>0</v>
      </c>
      <c r="EA21" s="143">
        <v>0</v>
      </c>
      <c r="EB21">
        <v>1</v>
      </c>
      <c r="EC21">
        <v>0</v>
      </c>
      <c r="ED21">
        <v>0</v>
      </c>
      <c r="EE21">
        <v>0</v>
      </c>
      <c r="EF21">
        <v>0</v>
      </c>
      <c r="EG21">
        <v>0</v>
      </c>
      <c r="EH21">
        <v>0</v>
      </c>
      <c r="EI21" s="2">
        <v>0</v>
      </c>
      <c r="EJ21" s="1"/>
      <c r="EK21" t="str">
        <f>IF(AND(AND(AND(OR($DX21=1,$DW21=1),OR($EC21=1,$EA21=1)),SUM($DV21:$DZ21,$EF21)&gt;=4),SUM($EA21:$EE21)&gt;=2),"Whole sector","")</f>
        <v/>
      </c>
      <c r="EL21" t="str">
        <f>IF(AND(AND(OR($DX21=1,$DW21=1),AND($EC21=0,$EA21=0)),SUM($DV21:$DZ21,$EF21)&gt;=4),"Ecosystem approach","")</f>
        <v/>
      </c>
      <c r="EM21" s="2" t="str">
        <f>IF(AND(AND(AND($DX21=0,$DW21=0),OR($EC21=1,$EA21=1)),SUM($EB21:$EE21)&gt;=2),"Technology approach","")</f>
        <v/>
      </c>
      <c r="EN21"/>
      <c r="EO21"/>
      <c r="EP21" t="str">
        <f>IF(ISNUMBER(BU21),IF(ABS(BU21-[1]QC_indicators!$B$2)&gt;3*[1]QC_indicators!$C$2,"C ratio",IF(ISNUMBER(BY21),IF(ABS(BY21-[1]QC_indicators!$B$1)&gt;3*[1]QC_indicators!$C$1,"DF","no"))),IF(ISNUMBER(BY21),IF(ABS(BY21-[1]QC_indicators!$B$1)&gt;3*[1]QC_indicators!$C$1,"DF","no")))</f>
        <v>no</v>
      </c>
      <c r="EQ21"/>
      <c r="ER21"/>
      <c r="ES21"/>
      <c r="ET21" s="264" t="s">
        <v>3150</v>
      </c>
      <c r="EU21"/>
    </row>
    <row r="22" spans="1:151" s="139" customFormat="1" ht="15" customHeight="1">
      <c r="A22" s="1" t="s">
        <v>926</v>
      </c>
      <c r="B22" t="s">
        <v>1849</v>
      </c>
      <c r="C22" t="s">
        <v>1850</v>
      </c>
      <c r="D22" t="s">
        <v>1851</v>
      </c>
      <c r="E22" t="s">
        <v>1852</v>
      </c>
      <c r="F22" t="s">
        <v>1853</v>
      </c>
      <c r="G22" t="s">
        <v>932</v>
      </c>
      <c r="H22" t="s">
        <v>254</v>
      </c>
      <c r="I22">
        <v>2019</v>
      </c>
      <c r="J22">
        <v>8</v>
      </c>
      <c r="K22" t="s">
        <v>1854</v>
      </c>
      <c r="L22"/>
      <c r="M22" t="str">
        <f>LEFT($D22,FIND(",",$D22)-1)&amp;"_"&amp;I22&amp;L22</f>
        <v>Kogler_2019</v>
      </c>
      <c r="N22" t="s">
        <v>2582</v>
      </c>
      <c r="O22" s="171" t="s">
        <v>513</v>
      </c>
      <c r="P22" t="s">
        <v>960</v>
      </c>
      <c r="Q22" t="s">
        <v>389</v>
      </c>
      <c r="R22" s="262" t="s">
        <v>223</v>
      </c>
      <c r="S22" s="1" t="s">
        <v>1867</v>
      </c>
      <c r="T22" t="s">
        <v>1866</v>
      </c>
      <c r="U22" t="s">
        <v>1863</v>
      </c>
      <c r="V22">
        <v>0</v>
      </c>
      <c r="W22">
        <v>0</v>
      </c>
      <c r="X22">
        <v>0</v>
      </c>
      <c r="Y22">
        <v>0</v>
      </c>
      <c r="Z22">
        <v>0</v>
      </c>
      <c r="AA22">
        <v>0</v>
      </c>
      <c r="AB22">
        <v>0</v>
      </c>
      <c r="AC22">
        <v>0</v>
      </c>
      <c r="AD22">
        <v>0</v>
      </c>
      <c r="AE22">
        <v>0</v>
      </c>
      <c r="AF22">
        <v>1</v>
      </c>
      <c r="AG22">
        <v>0</v>
      </c>
      <c r="AH22">
        <v>0</v>
      </c>
      <c r="AI22">
        <v>0</v>
      </c>
      <c r="AJ22">
        <v>0</v>
      </c>
      <c r="AK22">
        <v>0</v>
      </c>
      <c r="AL22">
        <v>0</v>
      </c>
      <c r="AM22">
        <v>0</v>
      </c>
      <c r="AN22">
        <v>0</v>
      </c>
      <c r="AO22">
        <v>0</v>
      </c>
      <c r="AP22">
        <v>0</v>
      </c>
      <c r="AQ22">
        <v>0</v>
      </c>
      <c r="AR22">
        <v>0</v>
      </c>
      <c r="AS22">
        <v>0</v>
      </c>
      <c r="AT22">
        <v>0</v>
      </c>
      <c r="AU22">
        <v>0</v>
      </c>
      <c r="AV22">
        <v>0</v>
      </c>
      <c r="AW22">
        <v>0</v>
      </c>
      <c r="AX22" s="141">
        <f>COUNTIF(V22:AW22,"&lt;&gt;0")</f>
        <v>1</v>
      </c>
      <c r="AY22" s="141">
        <f>COUNTIF(V22:AL22,"&lt;&gt;0")</f>
        <v>1</v>
      </c>
      <c r="AZ22">
        <f>COUNTIF(V22:AC22,"&lt;&gt;0")</f>
        <v>0</v>
      </c>
      <c r="BA22">
        <f>COUNTIF(AD22:AI22,"&lt;&gt;0")</f>
        <v>1</v>
      </c>
      <c r="BB22">
        <f>COUNTIF(AJ22:AL22,"&lt;&gt;0")</f>
        <v>0</v>
      </c>
      <c r="BC22">
        <f>COUNTIF(AS22:AW22,"&lt;&gt;0")</f>
        <v>0</v>
      </c>
      <c r="BD22">
        <f>COUNTIF(AM22:AR22,"&lt;&gt;0")</f>
        <v>0</v>
      </c>
      <c r="BE22" t="str">
        <f t="array" ref="BE22">IF(AY22=1,INDEX($V$7:$AL$7,MATCH(TRUE,INDEX($V22:$AW22&lt;&gt;0,),0)),IF(AY22=0,INDEX($AM$7:$AW$7,MATCH(1,$AM22:$AW22,0)),IF(BF22="Multiple strategies","mixed drivers",IF(BF22="Supply chain","multiple supply","multiple silviculture"))))</f>
        <v>supply chain organization</v>
      </c>
      <c r="BF22" s="2" t="str" cm="1">
        <f t="array" ref="BF22">IF(COUNTIF(AZ22:BB22,"&lt;&gt;0")=1,INDEX($V$4:$AW$4,MATCH(TRUE,INDEX($V22:$AW22&lt;&gt;0,),0)),IF(COUNTIF(AZ22:BB22,"&lt;&gt;0")=0,INDEX($AM$4:$AW$4,MATCH(1,$AM22:$AW22,0)),"Multiple strategies"))</f>
        <v>Supply chain</v>
      </c>
      <c r="BG22" s="1" t="s">
        <v>321</v>
      </c>
      <c r="BH22" s="234" t="s">
        <v>1858</v>
      </c>
      <c r="BI22" t="s">
        <v>611</v>
      </c>
      <c r="BJ22" t="s">
        <v>498</v>
      </c>
      <c r="BK22">
        <v>75469</v>
      </c>
      <c r="BL22">
        <v>86651</v>
      </c>
      <c r="BM22">
        <v>1.1481667969629914</v>
      </c>
      <c r="BN22">
        <f>BL22-BK22</f>
        <v>11182</v>
      </c>
      <c r="BO22">
        <f>BN22</f>
        <v>11182</v>
      </c>
      <c r="BP22" t="s">
        <v>395</v>
      </c>
      <c r="BQ22" s="333" t="s">
        <v>1859</v>
      </c>
      <c r="BR22" s="264" t="s">
        <v>3149</v>
      </c>
      <c r="BS22">
        <v>1447</v>
      </c>
      <c r="BT22">
        <v>1500</v>
      </c>
      <c r="BU22" s="144">
        <v>1.0366275051831375</v>
      </c>
      <c r="BV22" s="152">
        <f>BT22-BS22</f>
        <v>53</v>
      </c>
      <c r="BW22"/>
      <c r="BX22">
        <f>BV22*10^6</f>
        <v>53000000</v>
      </c>
      <c r="BY22">
        <f>IFERROR(BX22/BO22,"")</f>
        <v>4739.7603291003397</v>
      </c>
      <c r="BZ22">
        <v>0</v>
      </c>
      <c r="CA22">
        <v>0</v>
      </c>
      <c r="CB22">
        <v>0</v>
      </c>
      <c r="CC22">
        <v>0</v>
      </c>
      <c r="CD22">
        <v>0</v>
      </c>
      <c r="CE22">
        <v>0</v>
      </c>
      <c r="CF22">
        <v>0</v>
      </c>
      <c r="CG22">
        <v>0</v>
      </c>
      <c r="CH22">
        <v>0</v>
      </c>
      <c r="CI22">
        <v>0</v>
      </c>
      <c r="CJ22">
        <v>0</v>
      </c>
      <c r="CK22">
        <v>0</v>
      </c>
      <c r="CL22">
        <v>0</v>
      </c>
      <c r="CM22">
        <v>0</v>
      </c>
      <c r="CN22" t="str">
        <f>IF($BL22&lt;$BK22,"refNeedCorrection","refOK")</f>
        <v>refOK</v>
      </c>
      <c r="CO22">
        <f>IF($CN22="refOK",$BK22,$BL22)</f>
        <v>75469</v>
      </c>
      <c r="CP22">
        <f>IF($CN22="refOK",$BL22,$BK22)</f>
        <v>86651</v>
      </c>
      <c r="CQ22">
        <f>IF($CN22="refOK",$BO22,-$BO22)</f>
        <v>11182</v>
      </c>
      <c r="CR22">
        <f>IF($CN22="refOK",$BS22,$BT22)*IF($BP22="Emissions positive",-1,1)</f>
        <v>-1447</v>
      </c>
      <c r="CS22">
        <f>IF($CN22="refOK",$BT22,$BS22)*IF($BP22="Emissions positive",-1,1)</f>
        <v>-1500</v>
      </c>
      <c r="CT22">
        <f>IF($CN22="refNeedCorrection",-BX22,BX22)*IF($BP22="Emissions positive",-1,1)</f>
        <v>-53000000</v>
      </c>
      <c r="CU22">
        <f>IFERROR(CT22/CQ22,"")</f>
        <v>-4739.7603291003397</v>
      </c>
      <c r="CV22" s="2">
        <f>IFERROR((CS22-CR22)/ABS(CR22),"")</f>
        <v>-3.6627505183137524E-2</v>
      </c>
      <c r="CW22" s="1" t="s">
        <v>1203</v>
      </c>
      <c r="CX22" t="str">
        <f>IF(OR($CW22="prd",$CW22="std",$CW22="cit"),"loc",IF(OR($CW22="eur",$CW22="reg",$CW22="coy"),"reg",$CW22))</f>
        <v>reg</v>
      </c>
      <c r="CY22" t="s">
        <v>666</v>
      </c>
      <c r="CZ22">
        <v>0</v>
      </c>
      <c r="DA22">
        <v>0</v>
      </c>
      <c r="DB22">
        <v>0</v>
      </c>
      <c r="DC22" t="str">
        <f>IF(DB22=0,"0",IF(AND(DB22&gt;=1,DB22&lt;=30),"1-30",IF(AND(DB22&gt;30,DB22&lt;=70),"31-70",IF(AND(DB22&gt;70,DB22&lt;=100),"71-100",IF(DB22&gt;100,"+100")))))</f>
        <v>0</v>
      </c>
      <c r="DD22">
        <v>1</v>
      </c>
      <c r="DE22">
        <v>0</v>
      </c>
      <c r="DF22">
        <v>0</v>
      </c>
      <c r="DG22">
        <v>0</v>
      </c>
      <c r="DH22"/>
      <c r="DI22">
        <v>1</v>
      </c>
      <c r="DJ22" t="str">
        <f>IF(DI22=1,INDEX($DD$7:$DG$7,MATCH(1,$DD22:$DG22,0)),"mixedProduct")</f>
        <v>UpstreamInput</v>
      </c>
      <c r="DK22" t="str">
        <f>IF(DD22=1,DK$7,0)</f>
        <v>Upstream</v>
      </c>
      <c r="DL22">
        <f>IF(DE22=1,DL$7,0)</f>
        <v>0</v>
      </c>
      <c r="DM22">
        <f>IF(DF22=1,DM$7,0)</f>
        <v>0</v>
      </c>
      <c r="DN22">
        <f>IF(DG22=1,DN$7,0)</f>
        <v>0</v>
      </c>
      <c r="DO22">
        <v>0</v>
      </c>
      <c r="DP22">
        <v>0</v>
      </c>
      <c r="DQ22">
        <v>0</v>
      </c>
      <c r="DR22">
        <v>0</v>
      </c>
      <c r="DS22">
        <v>0</v>
      </c>
      <c r="DT22">
        <f>SUM(DO22:DP22)</f>
        <v>0</v>
      </c>
      <c r="DU22" s="143" t="s">
        <v>962</v>
      </c>
      <c r="DV22">
        <v>0</v>
      </c>
      <c r="DW22">
        <v>0</v>
      </c>
      <c r="DX22">
        <v>0</v>
      </c>
      <c r="DY22">
        <v>0</v>
      </c>
      <c r="DZ22">
        <v>0</v>
      </c>
      <c r="EA22" s="143">
        <v>0</v>
      </c>
      <c r="EB22">
        <v>1</v>
      </c>
      <c r="EC22">
        <v>0</v>
      </c>
      <c r="ED22">
        <v>0</v>
      </c>
      <c r="EE22">
        <v>0</v>
      </c>
      <c r="EF22">
        <v>0</v>
      </c>
      <c r="EG22">
        <v>0</v>
      </c>
      <c r="EH22">
        <v>0</v>
      </c>
      <c r="EI22" s="2">
        <v>0</v>
      </c>
      <c r="EJ22" s="1"/>
      <c r="EK22" t="str">
        <f>IF(AND(AND(AND(OR($DX22=1,$DW22=1),OR($EC22=1,$EA22=1)),SUM($DV22:$DZ22,$EF22)&gt;=4),SUM($EA22:$EE22)&gt;=2),"Whole sector","")</f>
        <v/>
      </c>
      <c r="EL22" t="str">
        <f>IF(AND(AND(OR($DX22=1,$DW22=1),AND($EC22=0,$EA22=0)),SUM($DV22:$DZ22,$EF22)&gt;=4),"Ecosystem approach","")</f>
        <v/>
      </c>
      <c r="EM22" s="2" t="str">
        <f>IF(AND(AND(AND($DX22=0,$DW22=0),OR($EC22=1,$EA22=1)),SUM($EB22:$EE22)&gt;=2),"Technology approach","")</f>
        <v/>
      </c>
      <c r="EN22"/>
      <c r="EO22"/>
      <c r="EP22" t="str">
        <f>IF(ISNUMBER(BU22),IF(ABS(BU22-[1]QC_indicators!$B$2)&gt;3*[1]QC_indicators!$C$2,"C ratio",IF(ISNUMBER(BY22),IF(ABS(BY22-[1]QC_indicators!$B$1)&gt;3*[1]QC_indicators!$C$1,"DF","no"))),IF(ISNUMBER(BY22),IF(ABS(BY22-[1]QC_indicators!$B$1)&gt;3*[1]QC_indicators!$C$1,"DF","no")))</f>
        <v>no</v>
      </c>
      <c r="EQ22"/>
      <c r="ER22"/>
      <c r="ES22"/>
      <c r="ET22" s="264" t="s">
        <v>3150</v>
      </c>
      <c r="EU22"/>
    </row>
    <row r="23" spans="1:151" s="139" customFormat="1" ht="15" customHeight="1">
      <c r="A23" s="1" t="s">
        <v>1378</v>
      </c>
      <c r="B23" t="s">
        <v>1922</v>
      </c>
      <c r="C23" t="s">
        <v>1923</v>
      </c>
      <c r="D23" t="s">
        <v>1924</v>
      </c>
      <c r="E23" t="s">
        <v>1925</v>
      </c>
      <c r="F23" t="s">
        <v>1926</v>
      </c>
      <c r="G23" t="s">
        <v>1384</v>
      </c>
      <c r="H23" t="s">
        <v>254</v>
      </c>
      <c r="I23">
        <v>2016</v>
      </c>
      <c r="J23">
        <v>12</v>
      </c>
      <c r="K23" t="s">
        <v>1927</v>
      </c>
      <c r="L23"/>
      <c r="M23" t="str">
        <f>LEFT($D23,FIND(",",$D23)-1)&amp;"_"&amp;I23&amp;L23</f>
        <v>Lobianco_2016</v>
      </c>
      <c r="N23" t="s">
        <v>222</v>
      </c>
      <c r="O23" s="145" t="s">
        <v>225</v>
      </c>
      <c r="P23" t="s">
        <v>513</v>
      </c>
      <c r="Q23" t="s">
        <v>256</v>
      </c>
      <c r="R23" s="262" t="s">
        <v>223</v>
      </c>
      <c r="S23" s="1" t="s">
        <v>1933</v>
      </c>
      <c r="T23" s="143" t="s">
        <v>1934</v>
      </c>
      <c r="U23" s="143" t="s">
        <v>3171</v>
      </c>
      <c r="V23">
        <v>0</v>
      </c>
      <c r="W23">
        <v>0</v>
      </c>
      <c r="X23">
        <v>0</v>
      </c>
      <c r="Y23">
        <v>0</v>
      </c>
      <c r="Z23">
        <v>0</v>
      </c>
      <c r="AA23">
        <v>0</v>
      </c>
      <c r="AB23">
        <v>0</v>
      </c>
      <c r="AC23">
        <v>1</v>
      </c>
      <c r="AD23">
        <v>0</v>
      </c>
      <c r="AE23">
        <v>0</v>
      </c>
      <c r="AF23">
        <v>0</v>
      </c>
      <c r="AG23">
        <v>0</v>
      </c>
      <c r="AH23">
        <v>0</v>
      </c>
      <c r="AI23">
        <v>0</v>
      </c>
      <c r="AJ23">
        <v>0</v>
      </c>
      <c r="AK23">
        <v>0</v>
      </c>
      <c r="AL23">
        <v>0</v>
      </c>
      <c r="AM23">
        <v>0</v>
      </c>
      <c r="AN23">
        <v>1</v>
      </c>
      <c r="AO23">
        <v>0</v>
      </c>
      <c r="AP23">
        <v>0</v>
      </c>
      <c r="AQ23">
        <v>0</v>
      </c>
      <c r="AR23">
        <v>0</v>
      </c>
      <c r="AS23">
        <v>0</v>
      </c>
      <c r="AT23">
        <v>0</v>
      </c>
      <c r="AU23">
        <v>1</v>
      </c>
      <c r="AV23">
        <v>0</v>
      </c>
      <c r="AW23">
        <v>0</v>
      </c>
      <c r="AX23" s="141">
        <f>COUNTIF(V23:AW23,"&lt;&gt;0")</f>
        <v>3</v>
      </c>
      <c r="AY23" s="141">
        <f>COUNTIF(V23:AL23,"&lt;&gt;0")</f>
        <v>1</v>
      </c>
      <c r="AZ23">
        <f>COUNTIF(V23:AC23,"&lt;&gt;0")</f>
        <v>1</v>
      </c>
      <c r="BA23">
        <f>COUNTIF(AD23:AI23,"&lt;&gt;0")</f>
        <v>0</v>
      </c>
      <c r="BB23">
        <f>COUNTIF(AJ23:AL23,"&lt;&gt;0")</f>
        <v>0</v>
      </c>
      <c r="BC23">
        <f>COUNTIF(AS23:AW23,"&lt;&gt;0")</f>
        <v>1</v>
      </c>
      <c r="BD23">
        <f>COUNTIF(AM23:AR23,"&lt;&gt;0")</f>
        <v>1</v>
      </c>
      <c r="BE23" t="str">
        <f t="array" ref="BE23">IF(AY23=1,INDEX($V$7:$AL$7,MATCH(TRUE,INDEX($V23:$AW23&lt;&gt;0,),0)),IF(AY23=0,INDEX($AM$7:$AW$7,MATCH(1,$AM23:$AW23,0)),IF(BF23="Multiple strategies","mixed drivers",IF(BF23="Supply chain","multiple supply","multiple silviculture"))))</f>
        <v>site fertility</v>
      </c>
      <c r="BF23" s="2" t="str" cm="1">
        <f t="array" ref="BF23">IF(COUNTIF(AZ23:BB23,"&lt;&gt;0")=1,INDEX($V$4:$AW$4,MATCH(TRUE,INDEX($V23:$AW23&lt;&gt;0,),0)),IF(COUNTIF(AZ23:BB23,"&lt;&gt;0")=0,INDEX($AM$4:$AW$4,MATCH(1,$AM23:$AW23,0)),"Multiple strategies"))</f>
        <v>Silviculture for productivity</v>
      </c>
      <c r="BG23" s="142" t="s">
        <v>321</v>
      </c>
      <c r="BH23" s="334" t="s">
        <v>3163</v>
      </c>
      <c r="BI23" s="264" t="s">
        <v>3172</v>
      </c>
      <c r="BJ23" s="143" t="s">
        <v>3165</v>
      </c>
      <c r="BK23">
        <v>52.988999999999997</v>
      </c>
      <c r="BL23">
        <f>53.247</f>
        <v>53.247</v>
      </c>
      <c r="BM23"/>
      <c r="BN23">
        <f>BL23-BK23</f>
        <v>0.25800000000000267</v>
      </c>
      <c r="BO23" s="143">
        <f>BN23*10^6</f>
        <v>258000.00000000268</v>
      </c>
      <c r="BP23" t="s">
        <v>232</v>
      </c>
      <c r="BQ23" s="264" t="s">
        <v>3173</v>
      </c>
      <c r="BR23" s="143" t="s">
        <v>1929</v>
      </c>
      <c r="BS23">
        <v>149.31399999999999</v>
      </c>
      <c r="BT23" s="144">
        <v>117.962</v>
      </c>
      <c r="BU23" s="144">
        <f>IFERROR(BT23/BS23,"")</f>
        <v>0.79002638734479025</v>
      </c>
      <c r="BV23">
        <f>BT23-BS23</f>
        <v>-31.35199999999999</v>
      </c>
      <c r="BW23"/>
      <c r="BX23">
        <f>BV23*10^6</f>
        <v>-31351999.999999989</v>
      </c>
      <c r="BY23">
        <f>IFERROR(BX23/BO23,"")</f>
        <v>-121.51937984495994</v>
      </c>
      <c r="BZ23">
        <v>0</v>
      </c>
      <c r="CA23">
        <v>0</v>
      </c>
      <c r="CB23">
        <v>0</v>
      </c>
      <c r="CC23">
        <v>0</v>
      </c>
      <c r="CD23">
        <v>0</v>
      </c>
      <c r="CE23">
        <v>0</v>
      </c>
      <c r="CF23">
        <v>0</v>
      </c>
      <c r="CG23">
        <v>0</v>
      </c>
      <c r="CH23">
        <v>0</v>
      </c>
      <c r="CI23">
        <v>0</v>
      </c>
      <c r="CJ23">
        <v>0</v>
      </c>
      <c r="CK23">
        <v>0</v>
      </c>
      <c r="CL23">
        <v>0</v>
      </c>
      <c r="CM23">
        <v>0</v>
      </c>
      <c r="CN23" t="str">
        <f>IF($BL23&lt;$BK23,"refNeedCorrection","refOK")</f>
        <v>refOK</v>
      </c>
      <c r="CO23">
        <f>IF($CN23="refOK",$BK23,$BL23)</f>
        <v>52.988999999999997</v>
      </c>
      <c r="CP23">
        <f>IF($CN23="refOK",$BL23,$BK23)</f>
        <v>53.247</v>
      </c>
      <c r="CQ23">
        <f>IF($CN23="refOK",$BO23,-$BO23)</f>
        <v>258000.00000000268</v>
      </c>
      <c r="CR23">
        <f>IF($CN23="refOK",$BS23,$BT23)*IF($BP23="Emissions positive",-1,1)</f>
        <v>149.31399999999999</v>
      </c>
      <c r="CS23">
        <f>IF($CN23="refOK",$BS23,#REF!)*IF($BP23="Emissions positive",-1,1)</f>
        <v>149.31399999999999</v>
      </c>
      <c r="CT23">
        <f>IF($CN23="refNeedCorrection",-BX23,BX23)*IF($BP23="Emissions positive",-1,1)</f>
        <v>-31351999.999999989</v>
      </c>
      <c r="CU23">
        <f>IFERROR(CT23/CQ23,"")</f>
        <v>-121.51937984495994</v>
      </c>
      <c r="CV23" s="2">
        <f>IFERROR((CS23-CR23)/ABS(CR23),"")</f>
        <v>0</v>
      </c>
      <c r="CW23" s="1" t="s">
        <v>1199</v>
      </c>
      <c r="CX23" t="str">
        <f>IF(OR($CW23="prd",$CW23="std",$CW23="cit"),"loc",IF(OR($CW23="eur",$CW23="reg",$CW23="coy"),"reg",$CW23))</f>
        <v>reg</v>
      </c>
      <c r="CY23" t="s">
        <v>729</v>
      </c>
      <c r="CZ23">
        <v>2007</v>
      </c>
      <c r="DA23" s="143">
        <v>2100</v>
      </c>
      <c r="DB23" s="143">
        <f>DA23-CZ23</f>
        <v>93</v>
      </c>
      <c r="DC23" t="str">
        <f>IF(DB23=0,"0",IF(AND(DB23&gt;=1,DB23&lt;=30),"1-30",IF(AND(DB23&gt;30,DB23&lt;=70),"31-70",IF(AND(DB23&gt;70,DB23&lt;=100),"71-100",IF(DB23&gt;100,"+100")))))</f>
        <v>71-100</v>
      </c>
      <c r="DD23">
        <v>0</v>
      </c>
      <c r="DE23">
        <v>1</v>
      </c>
      <c r="DF23">
        <v>0</v>
      </c>
      <c r="DG23">
        <v>1</v>
      </c>
      <c r="DH23">
        <v>1</v>
      </c>
      <c r="DI23">
        <f>SUM(DD23:DG23)</f>
        <v>2</v>
      </c>
      <c r="DJ23" t="str">
        <f>IF(DI23=1,INDEX($DD$7:$DG$7,MATCH(1,$DD23:$DG23,0)),"mixedProduct")</f>
        <v>mixedProduct</v>
      </c>
      <c r="DK23">
        <f>IF(DD23=1,DK$7,0)</f>
        <v>0</v>
      </c>
      <c r="DL23" t="str">
        <f>IF(DE23=1,DL$7,0)</f>
        <v>Energy</v>
      </c>
      <c r="DM23">
        <f>IF(DF23=1,DM$7,0)</f>
        <v>0</v>
      </c>
      <c r="DN23" t="str">
        <f>IF(DG23=1,DN$7,0)</f>
        <v>Timber</v>
      </c>
      <c r="DO23">
        <v>0</v>
      </c>
      <c r="DP23" s="143">
        <v>0</v>
      </c>
      <c r="DQ23" s="143">
        <v>0</v>
      </c>
      <c r="DR23">
        <v>0</v>
      </c>
      <c r="DS23" s="143">
        <v>0</v>
      </c>
      <c r="DT23">
        <f>SUM(DO23:DP23)</f>
        <v>0</v>
      </c>
      <c r="DU23" s="143" t="str">
        <f>IF(DO23=1,"self-calculated DF",IF(DP23=1,"external DF used","explicit C balance"))</f>
        <v>explicit C balance</v>
      </c>
      <c r="DV23" s="143">
        <v>0</v>
      </c>
      <c r="DW23" s="143">
        <v>0</v>
      </c>
      <c r="DX23" s="143">
        <v>1</v>
      </c>
      <c r="DY23" s="143">
        <v>1</v>
      </c>
      <c r="DZ23">
        <v>0</v>
      </c>
      <c r="EA23" s="143">
        <v>1</v>
      </c>
      <c r="EB23" s="143">
        <v>1</v>
      </c>
      <c r="EC23" s="143">
        <v>0</v>
      </c>
      <c r="ED23" s="143">
        <v>0</v>
      </c>
      <c r="EE23">
        <v>0</v>
      </c>
      <c r="EF23">
        <v>1</v>
      </c>
      <c r="EG23" s="143">
        <v>0</v>
      </c>
      <c r="EH23">
        <v>0</v>
      </c>
      <c r="EI23" s="2">
        <v>1</v>
      </c>
      <c r="EJ23" s="1"/>
      <c r="EK23" t="str">
        <f>IF(AND(AND(AND(OR($DX23=1,$DW23=1),OR($EC23=1,$EA23=1)),SUM($DV23:$DZ23,$EF23)&gt;=4),SUM($EA23:$EE23)&gt;=2),"Whole sector","")</f>
        <v/>
      </c>
      <c r="EL23" t="str">
        <f>IF(AND(AND(OR($DX23=1,$DW23=1),AND($EC23=0,$EA23=0)),SUM($DV23:$DZ23,$EF23)&gt;=4),"Ecosystem approach","")</f>
        <v/>
      </c>
      <c r="EM23" s="2" t="str">
        <f>IF(AND(AND(AND($DX23=0,$DW23=0),OR($EC23=1,$EA23=1)),SUM($EB23:$EE23)&gt;=2),"Technology approach","")</f>
        <v/>
      </c>
      <c r="EN23"/>
      <c r="EO23"/>
      <c r="EP23" t="str">
        <f>IF(ISNUMBER(BT23),IF(ABS(BT23-[1]QC_indicators!$B$2)&gt;3*[1]QC_indicators!$C$2,"C ratio",IF(ISNUMBER(BY23),IF(ABS(BY23-[1]QC_indicators!$B$1)&gt;3*[1]QC_indicators!$C$1,"DF","no"))),IF(ISNUMBER(BY23),IF(ABS(BY23-[1]QC_indicators!$B$1)&gt;3*[1]QC_indicators!$C$1,"DF","no")))</f>
        <v>C ratio</v>
      </c>
      <c r="EQ23"/>
      <c r="ER23"/>
      <c r="ES23"/>
      <c r="ET23" s="264" t="s">
        <v>3167</v>
      </c>
      <c r="EU23"/>
    </row>
    <row r="24" spans="1:151" s="139" customFormat="1" ht="15" customHeight="1">
      <c r="A24" s="1" t="s">
        <v>1378</v>
      </c>
      <c r="B24" t="s">
        <v>1922</v>
      </c>
      <c r="C24" t="s">
        <v>1923</v>
      </c>
      <c r="D24" t="s">
        <v>1924</v>
      </c>
      <c r="E24" t="s">
        <v>1925</v>
      </c>
      <c r="F24" t="s">
        <v>1926</v>
      </c>
      <c r="G24" t="s">
        <v>1384</v>
      </c>
      <c r="H24" t="s">
        <v>254</v>
      </c>
      <c r="I24">
        <v>2016</v>
      </c>
      <c r="J24">
        <v>12</v>
      </c>
      <c r="K24" t="s">
        <v>1927</v>
      </c>
      <c r="L24"/>
      <c r="M24" t="str">
        <f>LEFT($D24,FIND(",",$D24)-1)&amp;"_"&amp;I24&amp;L24</f>
        <v>Lobianco_2016</v>
      </c>
      <c r="N24" t="s">
        <v>222</v>
      </c>
      <c r="O24" s="145" t="s">
        <v>225</v>
      </c>
      <c r="P24" t="s">
        <v>513</v>
      </c>
      <c r="Q24" t="s">
        <v>256</v>
      </c>
      <c r="R24" s="262" t="s">
        <v>223</v>
      </c>
      <c r="S24" s="1" t="s">
        <v>1933</v>
      </c>
      <c r="T24" s="143" t="s">
        <v>1934</v>
      </c>
      <c r="U24" s="143" t="s">
        <v>3171</v>
      </c>
      <c r="V24">
        <v>0</v>
      </c>
      <c r="W24">
        <v>0</v>
      </c>
      <c r="X24">
        <v>0</v>
      </c>
      <c r="Y24">
        <v>0</v>
      </c>
      <c r="Z24">
        <v>0</v>
      </c>
      <c r="AA24">
        <v>0</v>
      </c>
      <c r="AB24">
        <v>0</v>
      </c>
      <c r="AC24">
        <v>1</v>
      </c>
      <c r="AD24">
        <v>0</v>
      </c>
      <c r="AE24">
        <v>0</v>
      </c>
      <c r="AF24">
        <v>0</v>
      </c>
      <c r="AG24">
        <v>0</v>
      </c>
      <c r="AH24">
        <v>0</v>
      </c>
      <c r="AI24">
        <v>0</v>
      </c>
      <c r="AJ24">
        <v>0</v>
      </c>
      <c r="AK24">
        <v>0</v>
      </c>
      <c r="AL24">
        <v>0</v>
      </c>
      <c r="AM24">
        <v>0</v>
      </c>
      <c r="AN24">
        <v>1</v>
      </c>
      <c r="AO24">
        <v>0</v>
      </c>
      <c r="AP24">
        <v>0</v>
      </c>
      <c r="AQ24">
        <v>0</v>
      </c>
      <c r="AR24">
        <v>0</v>
      </c>
      <c r="AS24">
        <v>0</v>
      </c>
      <c r="AT24">
        <v>0</v>
      </c>
      <c r="AU24">
        <v>1</v>
      </c>
      <c r="AV24">
        <v>0</v>
      </c>
      <c r="AW24">
        <v>0</v>
      </c>
      <c r="AX24" s="141">
        <f>COUNTIF(V24:AW24,"&lt;&gt;0")</f>
        <v>3</v>
      </c>
      <c r="AY24" s="141">
        <f>COUNTIF(V24:AL24,"&lt;&gt;0")</f>
        <v>1</v>
      </c>
      <c r="AZ24">
        <f>COUNTIF(V24:AC24,"&lt;&gt;0")</f>
        <v>1</v>
      </c>
      <c r="BA24">
        <f>COUNTIF(AD24:AI24,"&lt;&gt;0")</f>
        <v>0</v>
      </c>
      <c r="BB24">
        <f>COUNTIF(AJ24:AL24,"&lt;&gt;0")</f>
        <v>0</v>
      </c>
      <c r="BC24">
        <f>COUNTIF(AS24:AW24,"&lt;&gt;0")</f>
        <v>1</v>
      </c>
      <c r="BD24">
        <f>COUNTIF(AM24:AR24,"&lt;&gt;0")</f>
        <v>1</v>
      </c>
      <c r="BE24" t="str">
        <f t="array" ref="BE24">IF(AY24=1,INDEX($V$7:$AL$7,MATCH(TRUE,INDEX($V24:$AW24&lt;&gt;0,),0)),IF(AY24=0,INDEX($AM$7:$AW$7,MATCH(1,$AM24:$AW24,0)),IF(BF24="Multiple strategies","mixed drivers",IF(BF24="Supply chain","multiple supply","multiple silviculture"))))</f>
        <v>site fertility</v>
      </c>
      <c r="BF24" s="2" t="str" cm="1">
        <f t="array" ref="BF24">IF(COUNTIF(AZ24:BB24,"&lt;&gt;0")=1,INDEX($V$4:$AW$4,MATCH(TRUE,INDEX($V24:$AW24&lt;&gt;0,),0)),IF(COUNTIF(AZ24:BB24,"&lt;&gt;0")=0,INDEX($AM$4:$AW$4,MATCH(1,$AM24:$AW24,0)),"Multiple strategies"))</f>
        <v>Silviculture for productivity</v>
      </c>
      <c r="BG24" s="142" t="s">
        <v>321</v>
      </c>
      <c r="BH24" s="265" t="s">
        <v>3163</v>
      </c>
      <c r="BI24" s="264" t="s">
        <v>3172</v>
      </c>
      <c r="BJ24" s="143" t="s">
        <v>3165</v>
      </c>
      <c r="BK24">
        <v>52.988999999999997</v>
      </c>
      <c r="BL24">
        <f>53.247</f>
        <v>53.247</v>
      </c>
      <c r="BM24"/>
      <c r="BN24">
        <f>BL24-BK24</f>
        <v>0.25800000000000267</v>
      </c>
      <c r="BO24" s="143">
        <f>BN24*10^6</f>
        <v>258000.00000000268</v>
      </c>
      <c r="BP24" t="s">
        <v>232</v>
      </c>
      <c r="BQ24" s="301" t="s">
        <v>3173</v>
      </c>
      <c r="BR24" s="143" t="s">
        <v>1929</v>
      </c>
      <c r="BS24">
        <v>97.120999999999995</v>
      </c>
      <c r="BT24">
        <v>89.468999999999994</v>
      </c>
      <c r="BU24" s="144">
        <f>IFERROR(BT24/BS24,"")</f>
        <v>0.9212116843936945</v>
      </c>
      <c r="BV24">
        <f>BT24-BS24</f>
        <v>-7.652000000000001</v>
      </c>
      <c r="BW24"/>
      <c r="BX24">
        <f>BV24*10^6</f>
        <v>-7652000.0000000009</v>
      </c>
      <c r="BY24">
        <f>IFERROR(BX24/BO24,"")</f>
        <v>-29.658914728681868</v>
      </c>
      <c r="BZ24">
        <v>0</v>
      </c>
      <c r="CA24">
        <v>0</v>
      </c>
      <c r="CB24">
        <v>0</v>
      </c>
      <c r="CC24">
        <v>0</v>
      </c>
      <c r="CD24">
        <v>0</v>
      </c>
      <c r="CE24">
        <v>0</v>
      </c>
      <c r="CF24">
        <v>0</v>
      </c>
      <c r="CG24">
        <v>0</v>
      </c>
      <c r="CH24">
        <v>0</v>
      </c>
      <c r="CI24">
        <v>0</v>
      </c>
      <c r="CJ24">
        <v>0</v>
      </c>
      <c r="CK24">
        <v>0</v>
      </c>
      <c r="CL24">
        <v>0</v>
      </c>
      <c r="CM24">
        <v>0</v>
      </c>
      <c r="CN24" t="str">
        <f>IF($BL24&lt;$BK24,"refNeedCorrection","refOK")</f>
        <v>refOK</v>
      </c>
      <c r="CO24">
        <f>IF($CN24="refOK",$BK24,$BL24)</f>
        <v>52.988999999999997</v>
      </c>
      <c r="CP24">
        <f>IF($CN24="refOK",$BL24,$BK24)</f>
        <v>53.247</v>
      </c>
      <c r="CQ24">
        <f>IF($CN24="refOK",$BO24,-$BO24)</f>
        <v>258000.00000000268</v>
      </c>
      <c r="CR24">
        <f>IF($CN24="refOK",$BS24,$BT24)*IF($BP24="Emissions positive",-1,1)</f>
        <v>97.120999999999995</v>
      </c>
      <c r="CS24">
        <f>IF($CN24="refOK",$BT24,$BS24)*IF($BP24="Emissions positive",-1,1)</f>
        <v>89.468999999999994</v>
      </c>
      <c r="CT24">
        <f>IF($CN24="refNeedCorrection",-BX24,BX24)*IF($BP24="Emissions positive",-1,1)</f>
        <v>-7652000.0000000009</v>
      </c>
      <c r="CU24">
        <f>IFERROR(CT24/CQ24,"")</f>
        <v>-29.658914728681868</v>
      </c>
      <c r="CV24" s="2">
        <f>IFERROR((CS24-CR24)/ABS(CR24),"")</f>
        <v>-7.8788315606305545E-2</v>
      </c>
      <c r="CW24" s="1" t="s">
        <v>1199</v>
      </c>
      <c r="CX24" t="str">
        <f>IF(OR($CW24="prd",$CW24="std",$CW24="cit"),"loc",IF(OR($CW24="eur",$CW24="reg",$CW24="coy"),"reg",$CW24))</f>
        <v>reg</v>
      </c>
      <c r="CY24" t="s">
        <v>729</v>
      </c>
      <c r="CZ24">
        <v>2007</v>
      </c>
      <c r="DA24" s="143">
        <v>2100</v>
      </c>
      <c r="DB24" s="143">
        <f>DA24-CZ24</f>
        <v>93</v>
      </c>
      <c r="DC24" t="str">
        <f>IF(DB24=0,"0",IF(AND(DB24&gt;=1,DB24&lt;=30),"1-30",IF(AND(DB24&gt;30,DB24&lt;=70),"31-70",IF(AND(DB24&gt;70,DB24&lt;=100),"71-100",IF(DB24&gt;100,"+100")))))</f>
        <v>71-100</v>
      </c>
      <c r="DD24">
        <v>0</v>
      </c>
      <c r="DE24">
        <v>1</v>
      </c>
      <c r="DF24">
        <v>0</v>
      </c>
      <c r="DG24">
        <v>1</v>
      </c>
      <c r="DH24">
        <v>1</v>
      </c>
      <c r="DI24">
        <f>SUM(DD24:DG24)</f>
        <v>2</v>
      </c>
      <c r="DJ24" t="str">
        <f>IF(DI24=1,INDEX($DD$7:$DG$7,MATCH(1,$DD24:$DG24,0)),"mixedProduct")</f>
        <v>mixedProduct</v>
      </c>
      <c r="DK24">
        <f>IF(DD24=1,DK$7,0)</f>
        <v>0</v>
      </c>
      <c r="DL24" t="str">
        <f>IF(DE24=1,DL$7,0)</f>
        <v>Energy</v>
      </c>
      <c r="DM24">
        <f>IF(DF24=1,DM$7,0)</f>
        <v>0</v>
      </c>
      <c r="DN24" t="str">
        <f>IF(DG24=1,DN$7,0)</f>
        <v>Timber</v>
      </c>
      <c r="DO24">
        <v>0</v>
      </c>
      <c r="DP24" s="143">
        <v>0</v>
      </c>
      <c r="DQ24" s="143">
        <v>0</v>
      </c>
      <c r="DR24">
        <v>0</v>
      </c>
      <c r="DS24" s="143">
        <v>0</v>
      </c>
      <c r="DT24">
        <f>SUM(DO24:DP24)</f>
        <v>0</v>
      </c>
      <c r="DU24" s="143" t="str">
        <f>IF(DO24=1,"self-calculated DF",IF(DP24=1,"external DF used","explicit C balance"))</f>
        <v>explicit C balance</v>
      </c>
      <c r="DV24" s="143">
        <v>0</v>
      </c>
      <c r="DW24" s="143">
        <v>0</v>
      </c>
      <c r="DX24" s="143">
        <v>1</v>
      </c>
      <c r="DY24" s="143">
        <v>1</v>
      </c>
      <c r="DZ24">
        <v>0</v>
      </c>
      <c r="EA24" s="143">
        <v>0</v>
      </c>
      <c r="EB24" s="143">
        <v>0</v>
      </c>
      <c r="EC24" s="143">
        <v>0</v>
      </c>
      <c r="ED24" s="143">
        <v>0</v>
      </c>
      <c r="EE24">
        <v>0</v>
      </c>
      <c r="EF24">
        <v>1</v>
      </c>
      <c r="EG24" s="143">
        <v>0</v>
      </c>
      <c r="EH24">
        <v>0</v>
      </c>
      <c r="EI24" s="2">
        <v>1</v>
      </c>
      <c r="EJ24" s="1"/>
      <c r="EK24" t="str">
        <f>IF(AND(AND(AND(OR($DX24=1,$DW24=1),OR($EC24=1,$EA24=1)),SUM($DV24:$DZ24,$EF24)&gt;=4),SUM($EA24:$EE24)&gt;=2),"Whole sector","")</f>
        <v/>
      </c>
      <c r="EL24" t="str">
        <f>IF(AND(AND(OR($DX24=1,$DW24=1),AND($EC24=0,$EA24=0)),SUM($DV24:$DZ24,$EF24)&gt;=4),"Ecosystem approach","")</f>
        <v/>
      </c>
      <c r="EM24" s="2" t="str">
        <f>IF(AND(AND(AND($DX24=0,$DW24=0),OR($EC24=1,$EA24=1)),SUM($EB24:$EE24)&gt;=2),"Technology approach","")</f>
        <v/>
      </c>
      <c r="EN24"/>
      <c r="EO24"/>
      <c r="EP24" t="str">
        <f>IF(ISNUMBER(BU24),IF(ABS(BU24-[1]QC_indicators!$B$2)&gt;3*[1]QC_indicators!$C$2,"C ratio",IF(ISNUMBER(BY24),IF(ABS(BY24-[1]QC_indicators!$B$1)&gt;3*[1]QC_indicators!$C$1,"DF","no"))),IF(ISNUMBER(BY24),IF(ABS(BY24-[1]QC_indicators!$B$1)&gt;3*[1]QC_indicators!$C$1,"DF","no")))</f>
        <v>no</v>
      </c>
      <c r="EQ24"/>
      <c r="ER24"/>
      <c r="ES24"/>
      <c r="ET24" s="264" t="s">
        <v>3167</v>
      </c>
      <c r="EU24"/>
    </row>
    <row r="25" spans="1:151" s="139" customFormat="1" ht="15" customHeight="1">
      <c r="A25" s="1" t="s">
        <v>2541</v>
      </c>
      <c r="B25" t="s">
        <v>2542</v>
      </c>
      <c r="C25" t="s">
        <v>2543</v>
      </c>
      <c r="D25" t="s">
        <v>2544</v>
      </c>
      <c r="E25" t="s">
        <v>2545</v>
      </c>
      <c r="F25" t="s">
        <v>2546</v>
      </c>
      <c r="G25" t="s">
        <v>2547</v>
      </c>
      <c r="H25" t="s">
        <v>254</v>
      </c>
      <c r="I25">
        <v>2018</v>
      </c>
      <c r="J25">
        <v>16</v>
      </c>
      <c r="K25" t="s">
        <v>2548</v>
      </c>
      <c r="L25"/>
      <c r="M25" t="str">
        <f>LEFT($D25,FIND(",",$D25)-1)&amp;"_"&amp;I25&amp;L25</f>
        <v>Lawrence_2018</v>
      </c>
      <c r="N25" t="s">
        <v>222</v>
      </c>
      <c r="O25" s="145" t="s">
        <v>225</v>
      </c>
      <c r="P25"/>
      <c r="Q25" s="264" t="s">
        <v>256</v>
      </c>
      <c r="R25" s="269" t="s">
        <v>1154</v>
      </c>
      <c r="S25" s="1" t="s">
        <v>2549</v>
      </c>
      <c r="T25" t="s">
        <v>2550</v>
      </c>
      <c r="U25" t="s">
        <v>2551</v>
      </c>
      <c r="V25">
        <v>2</v>
      </c>
      <c r="W25">
        <v>0</v>
      </c>
      <c r="X25">
        <v>0</v>
      </c>
      <c r="Y25">
        <v>0</v>
      </c>
      <c r="Z25">
        <v>0</v>
      </c>
      <c r="AA25">
        <v>0</v>
      </c>
      <c r="AB25">
        <v>0</v>
      </c>
      <c r="AC25">
        <v>0</v>
      </c>
      <c r="AD25">
        <v>0</v>
      </c>
      <c r="AE25">
        <v>0</v>
      </c>
      <c r="AF25">
        <v>0</v>
      </c>
      <c r="AG25">
        <v>0</v>
      </c>
      <c r="AH25">
        <v>0</v>
      </c>
      <c r="AI25">
        <v>0</v>
      </c>
      <c r="AJ25">
        <v>0</v>
      </c>
      <c r="AK25">
        <v>0</v>
      </c>
      <c r="AL25">
        <v>0</v>
      </c>
      <c r="AM25">
        <v>0</v>
      </c>
      <c r="AN25">
        <v>1</v>
      </c>
      <c r="AO25">
        <v>2</v>
      </c>
      <c r="AP25">
        <v>2</v>
      </c>
      <c r="AQ25">
        <v>0</v>
      </c>
      <c r="AR25">
        <v>2</v>
      </c>
      <c r="AS25">
        <v>0</v>
      </c>
      <c r="AT25">
        <v>0</v>
      </c>
      <c r="AU25">
        <v>0</v>
      </c>
      <c r="AV25">
        <v>0</v>
      </c>
      <c r="AW25">
        <v>0</v>
      </c>
      <c r="AX25" s="141">
        <f>COUNTIF(V25:AW25,"&lt;&gt;0")</f>
        <v>5</v>
      </c>
      <c r="AY25" s="141">
        <f>COUNTIF(V25:AL25,"&lt;&gt;0")</f>
        <v>1</v>
      </c>
      <c r="AZ25">
        <f>COUNTIF(V25:AC25,"&lt;&gt;0")</f>
        <v>1</v>
      </c>
      <c r="BA25">
        <f>COUNTIF(AD25:AI25,"&lt;&gt;0")</f>
        <v>0</v>
      </c>
      <c r="BB25">
        <f>COUNTIF(AJ25:AL25,"&lt;&gt;0")</f>
        <v>0</v>
      </c>
      <c r="BC25">
        <f>COUNTIF(AS25:AW25,"&lt;&gt;0")</f>
        <v>0</v>
      </c>
      <c r="BD25">
        <f>COUNTIF(AM25:AR25,"&lt;&gt;0")</f>
        <v>4</v>
      </c>
      <c r="BE25" t="str" cm="1">
        <f t="array" ref="BE25">IF(AY25=1,INDEX($V$7:$AL$7,MATCH(TRUE,INDEX($V25:$AW25&lt;&gt;0,),0)),IF(AY25=0,INDEX($AM$7:$AW$7,MATCH(1,$AM25:$AW25,0)),IF(BF25="Multiple strategies","mixed drivers",IF(BF25="Supply chain","multiple supply","multiple silviculture"))))</f>
        <v>area subject to harvest</v>
      </c>
      <c r="BF25" s="2" t="str" cm="1">
        <f t="array" ref="BF25">IF(COUNTIF(AZ25:BB25,"&lt;&gt;0")=1,INDEX($V$4:$AW$4,MATCH(TRUE,INDEX($V25:$AW25&lt;&gt;0,),0)),IF(COUNTIF(AZ25:BB25,"&lt;&gt;0")=0,INDEX($AM$4:$AW$4,MATCH(1,$AM25:$AW25,0)),"Multiple strategies"))</f>
        <v>Silviculture for removals</v>
      </c>
      <c r="BG25" s="1" t="s">
        <v>321</v>
      </c>
      <c r="BH25" t="s">
        <v>2552</v>
      </c>
      <c r="BI25"/>
      <c r="BJ25" t="s">
        <v>2553</v>
      </c>
      <c r="BK25">
        <v>1.7809999999999999</v>
      </c>
      <c r="BL25">
        <v>4.0309999999999997</v>
      </c>
      <c r="BM25" s="163">
        <v>2.2633352049410442</v>
      </c>
      <c r="BN25">
        <f>BL25-BK25</f>
        <v>2.25</v>
      </c>
      <c r="BO25" s="143">
        <f>BN25*10^9*tC_to_m3</f>
        <v>9769865392.9656982</v>
      </c>
      <c r="BP25" s="264" t="s">
        <v>232</v>
      </c>
      <c r="BQ25" s="301"/>
      <c r="BR25" t="s">
        <v>2553</v>
      </c>
      <c r="BS25" s="143">
        <v>-1225</v>
      </c>
      <c r="BT25">
        <v>-1287</v>
      </c>
      <c r="BU25" s="144">
        <v>1.0506122448979591</v>
      </c>
      <c r="BV25" s="169">
        <v>-62</v>
      </c>
      <c r="BW25"/>
      <c r="BX25" s="169">
        <f>BV25*10^9*C_to_CO2</f>
        <v>-227540000000</v>
      </c>
      <c r="BY25">
        <f>IFERROR(BX25/BO25,"")</f>
        <v>-23.289983111111109</v>
      </c>
      <c r="BZ25">
        <v>0</v>
      </c>
      <c r="CA25">
        <v>0</v>
      </c>
      <c r="CB25">
        <v>0</v>
      </c>
      <c r="CC25">
        <v>0</v>
      </c>
      <c r="CD25">
        <v>0</v>
      </c>
      <c r="CE25">
        <v>0</v>
      </c>
      <c r="CF25">
        <v>0</v>
      </c>
      <c r="CG25">
        <v>0</v>
      </c>
      <c r="CH25">
        <v>0</v>
      </c>
      <c r="CI25">
        <v>0</v>
      </c>
      <c r="CJ25">
        <v>0</v>
      </c>
      <c r="CK25">
        <v>0</v>
      </c>
      <c r="CL25">
        <v>0</v>
      </c>
      <c r="CM25">
        <v>0</v>
      </c>
      <c r="CN25" t="str">
        <f>IF($BL25&lt;$BK25,"refNeedCorrection","refOK")</f>
        <v>refOK</v>
      </c>
      <c r="CO25">
        <f>IF($CN25="refOK",$BK25,$BL25)</f>
        <v>1.7809999999999999</v>
      </c>
      <c r="CP25">
        <f>IF($CN25="refOK",$BL25,$BK25)</f>
        <v>4.0309999999999997</v>
      </c>
      <c r="CQ25">
        <f>IF($CN25="refOK",$BO25,-$BO25)</f>
        <v>9769865392.9656982</v>
      </c>
      <c r="CR25">
        <f>IF($CN25="refOK",$BS25,$BT25)*IF($BP25="Emissions positive",-1,1)</f>
        <v>-1225</v>
      </c>
      <c r="CS25">
        <f>IF($CN25="refOK",$BT25,$BS25)*IF($BP25="Emissions positive",-1,1)</f>
        <v>-1287</v>
      </c>
      <c r="CT25">
        <f>IF($CN25="refNeedCorrection",-BX25,BX25)*IF($BP25="Emissions positive",-1,1)</f>
        <v>-227540000000</v>
      </c>
      <c r="CU25">
        <f>IFERROR(CT25/CQ25,"")</f>
        <v>-23.289983111111109</v>
      </c>
      <c r="CV25" s="2">
        <f>IFERROR((CS25-CR25)/ABS(CR25),"")</f>
        <v>-5.0612244897959187E-2</v>
      </c>
      <c r="CW25" s="1" t="s">
        <v>2539</v>
      </c>
      <c r="CX25" s="264" t="str">
        <f>IF(OR($CW25="prd",$CW25="std",$CW25="cit"),"loc",IF(OR($CW25="eur",$CW25="reg",$CW25="coy"),"reg",$CW25))</f>
        <v>w</v>
      </c>
      <c r="CY25" s="264" t="s">
        <v>2540</v>
      </c>
      <c r="CZ25">
        <v>2011</v>
      </c>
      <c r="DA25" s="143">
        <v>2100</v>
      </c>
      <c r="DB25" s="143">
        <v>90</v>
      </c>
      <c r="DC25" t="str">
        <f>IF(DB25=0,"0",IF(AND(DB25&gt;=1,DB25&lt;=30),"1-30",IF(AND(DB25&gt;30,DB25&lt;=70),"31-70",IF(AND(DB25&gt;70,DB25&lt;=100),"71-100",IF(DB25&gt;100,"+100")))))</f>
        <v>71-100</v>
      </c>
      <c r="DD25">
        <v>0</v>
      </c>
      <c r="DE25">
        <v>0</v>
      </c>
      <c r="DF25">
        <v>0</v>
      </c>
      <c r="DG25">
        <v>0</v>
      </c>
      <c r="DH25"/>
      <c r="DI25">
        <f>SUM(DD25:DG25)</f>
        <v>0</v>
      </c>
      <c r="DJ25" t="str">
        <f>IF(DI25=1,INDEX($DD$7:$DG$7,MATCH(1,$DD25:$DG25,0)),"mixedProduct")</f>
        <v>mixedProduct</v>
      </c>
      <c r="DK25">
        <f>IF(DD25=1,DK$7,0)</f>
        <v>0</v>
      </c>
      <c r="DL25">
        <f>IF(DE25=1,DL$7,0)</f>
        <v>0</v>
      </c>
      <c r="DM25">
        <f>IF(DF25=1,DM$7,0)</f>
        <v>0</v>
      </c>
      <c r="DN25">
        <f>IF(DG25=1,DN$7,0)</f>
        <v>0</v>
      </c>
      <c r="DO25">
        <v>0</v>
      </c>
      <c r="DP25" s="143">
        <v>0</v>
      </c>
      <c r="DQ25" s="143">
        <v>0</v>
      </c>
      <c r="DR25">
        <v>0</v>
      </c>
      <c r="DS25" s="143">
        <v>0</v>
      </c>
      <c r="DT25">
        <f>SUM(DO25:DP25)</f>
        <v>0</v>
      </c>
      <c r="DU25" s="143" t="str">
        <f>IF(DO25=1,"self-calculated DF",IF(DP25=1,"external DF used","explicit C balance"))</f>
        <v>explicit C balance</v>
      </c>
      <c r="DV25" s="143">
        <v>1</v>
      </c>
      <c r="DW25" s="143">
        <v>1</v>
      </c>
      <c r="DX25" s="143">
        <v>1</v>
      </c>
      <c r="DY25" s="143">
        <v>1</v>
      </c>
      <c r="DZ25">
        <v>0</v>
      </c>
      <c r="EA25" s="143">
        <v>0</v>
      </c>
      <c r="EB25" s="143">
        <v>0</v>
      </c>
      <c r="EC25" s="143">
        <v>0</v>
      </c>
      <c r="ED25" s="143">
        <v>0</v>
      </c>
      <c r="EE25">
        <v>0</v>
      </c>
      <c r="EF25">
        <v>0</v>
      </c>
      <c r="EG25" s="143">
        <v>0</v>
      </c>
      <c r="EH25">
        <v>0</v>
      </c>
      <c r="EI25" s="2">
        <v>0</v>
      </c>
      <c r="EJ25" s="1"/>
      <c r="EK25" t="str">
        <f>IF(AND(AND(AND(OR($DX25=1,$DW25=1),OR($EC25=1,$EA25=1)),SUM($DV25:$DZ25,$EF25)&gt;=4),SUM($EA25:$EE25)&gt;=2),"Whole sector","")</f>
        <v/>
      </c>
      <c r="EL25" t="str">
        <f>IF(AND(AND(OR($DX25=1,$DW25=1),AND($EC25=0,$EA25=0)),SUM($DV25:$DZ25,$EF25)&gt;=4),"Ecosystem approach","")</f>
        <v>Ecosystem approach</v>
      </c>
      <c r="EM25" s="2" t="str">
        <f>IF(AND(AND(AND($DX25=0,$DW25=0),OR($EC25=1,$EA25=1)),SUM($EB25:$EE25)&gt;=2),"Technology approach","")</f>
        <v/>
      </c>
      <c r="EN25"/>
      <c r="EO25"/>
      <c r="EP25" t="str">
        <f>IF(ISNUMBER(BU25),IF(ABS(BU25-[3]QC_indicators!$B$2)&gt;3*[3]QC_indicators!$C$2,"C ratio",IF(ISNUMBER(BY25),IF(ABS(BY25-[3]QC_indicators!$B$1)&gt;3*[3]QC_indicators!$C$1,"DF","no"))),IF(ISNUMBER(BY25),IF(ABS(BY25-[3]QC_indicators!$B$1)&gt;3*[3]QC_indicators!$C$1,"DF","no")))</f>
        <v>DF</v>
      </c>
      <c r="EQ25"/>
      <c r="ER25" s="294" t="s">
        <v>349</v>
      </c>
      <c r="ES25"/>
      <c r="ET25" s="264" t="s">
        <v>3407</v>
      </c>
      <c r="EU25"/>
    </row>
    <row r="26" spans="1:151" s="139" customFormat="1" ht="15" customHeight="1">
      <c r="A26" s="1" t="s">
        <v>1138</v>
      </c>
      <c r="B26" t="s">
        <v>1691</v>
      </c>
      <c r="C26" t="s">
        <v>1692</v>
      </c>
      <c r="D26" t="s">
        <v>1693</v>
      </c>
      <c r="E26" t="s">
        <v>1694</v>
      </c>
      <c r="F26" t="s">
        <v>1695</v>
      </c>
      <c r="G26" t="s">
        <v>1139</v>
      </c>
      <c r="H26" t="s">
        <v>254</v>
      </c>
      <c r="I26">
        <v>2020</v>
      </c>
      <c r="J26">
        <v>4</v>
      </c>
      <c r="K26" t="s">
        <v>1696</v>
      </c>
      <c r="L26"/>
      <c r="M26" t="str">
        <f>LEFT($D26,FIND(",",$D26)-1)&amp;"_"&amp;I26&amp;L26</f>
        <v>Gusti_2020</v>
      </c>
      <c r="N26" t="s">
        <v>222</v>
      </c>
      <c r="O26" s="181" t="s">
        <v>341</v>
      </c>
      <c r="P26"/>
      <c r="Q26" t="s">
        <v>256</v>
      </c>
      <c r="R26" s="283" t="s">
        <v>225</v>
      </c>
      <c r="S26" s="1" t="s">
        <v>1703</v>
      </c>
      <c r="T26" s="151" t="s">
        <v>1111</v>
      </c>
      <c r="U26" t="s">
        <v>3081</v>
      </c>
      <c r="V26">
        <v>0</v>
      </c>
      <c r="W26">
        <v>0</v>
      </c>
      <c r="X26">
        <v>1</v>
      </c>
      <c r="Y26">
        <v>1</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s="141">
        <f>COUNTIF(V26:AW26,"&lt;&gt;0")</f>
        <v>2</v>
      </c>
      <c r="AY26" s="141">
        <f>COUNTIF(V26:AL26,"&lt;&gt;0")</f>
        <v>2</v>
      </c>
      <c r="AZ26">
        <f>COUNTIF(V26:AC26,"&lt;&gt;0")</f>
        <v>2</v>
      </c>
      <c r="BA26">
        <f>COUNTIF(AD26:AI26,"&lt;&gt;0")</f>
        <v>0</v>
      </c>
      <c r="BB26">
        <f>COUNTIF(AJ26:AL26,"&lt;&gt;0")</f>
        <v>0</v>
      </c>
      <c r="BC26">
        <f>COUNTIF(AS26:AW26,"&lt;&gt;0")</f>
        <v>0</v>
      </c>
      <c r="BD26">
        <f>COUNTIF(AM26:AR26,"&lt;&gt;0")</f>
        <v>0</v>
      </c>
      <c r="BE26" t="str">
        <f t="array" ref="BE26">IF(AY26=1,INDEX($V$7:$AL$7,MATCH(TRUE,INDEX($V26:$AW26&lt;&gt;0,),0)),IF(AY26=0,INDEX($AM$7:$AW$7,MATCH(1,$AM26:$AW26,0)),IF(BF26="Multiple strategies","mixed drivers",IF(BF26="Supply chain","multiple supply","multiple silviculture"))))</f>
        <v>multiple silviculture</v>
      </c>
      <c r="BF26" s="2" t="str" cm="1">
        <f t="array" ref="BF26">IF(COUNTIF(AZ26:BB26,"&lt;&gt;0")=1,INDEX($V$4:$AW$4,MATCH(TRUE,INDEX($V26:$AW26&lt;&gt;0,),0)),IF(COUNTIF(AZ26:BB26,"&lt;&gt;0")=0,INDEX($AM$4:$AW$4,MATCH(1,$AM26:$AW26,0)),"Multiple strategies"))</f>
        <v>Silviculture for removals</v>
      </c>
      <c r="BG26" s="1" t="s">
        <v>321</v>
      </c>
      <c r="BH26" t="s">
        <v>1322</v>
      </c>
      <c r="BI26" t="s">
        <v>581</v>
      </c>
      <c r="BJ26" t="s">
        <v>1698</v>
      </c>
      <c r="BK26">
        <f>BL26-2861</f>
        <v>527284</v>
      </c>
      <c r="BL26">
        <v>530145</v>
      </c>
      <c r="BM26">
        <f>BL26/BK26</f>
        <v>1.0054259184803636</v>
      </c>
      <c r="BN26" s="151">
        <v>2774</v>
      </c>
      <c r="BO26">
        <f>BN26*1000</f>
        <v>2774000</v>
      </c>
      <c r="BP26" t="s">
        <v>232</v>
      </c>
      <c r="BQ26" s="234" t="s">
        <v>581</v>
      </c>
      <c r="BR26" t="s">
        <v>1699</v>
      </c>
      <c r="BS26">
        <v>428</v>
      </c>
      <c r="BT26">
        <v>366</v>
      </c>
      <c r="BU26" s="144">
        <f>IFERROR(BT26/BS26,"")</f>
        <v>0.85514018691588789</v>
      </c>
      <c r="BV26">
        <f>BT26-BS26</f>
        <v>-62</v>
      </c>
      <c r="BW26"/>
      <c r="BX26">
        <f>BV26*10^6</f>
        <v>-62000000</v>
      </c>
      <c r="BY26">
        <f>IFERROR(BX26/BO26,"")</f>
        <v>-22.350396539293438</v>
      </c>
      <c r="BZ26">
        <v>0</v>
      </c>
      <c r="CA26">
        <v>0</v>
      </c>
      <c r="CB26">
        <v>0</v>
      </c>
      <c r="CC26">
        <v>0</v>
      </c>
      <c r="CD26">
        <v>0</v>
      </c>
      <c r="CE26">
        <v>0</v>
      </c>
      <c r="CF26">
        <v>0</v>
      </c>
      <c r="CG26">
        <v>0</v>
      </c>
      <c r="CH26">
        <v>0</v>
      </c>
      <c r="CI26">
        <v>0</v>
      </c>
      <c r="CJ26">
        <v>0</v>
      </c>
      <c r="CK26">
        <v>0</v>
      </c>
      <c r="CL26">
        <v>0</v>
      </c>
      <c r="CM26">
        <v>0</v>
      </c>
      <c r="CN26" t="str">
        <f>IF($BL26&lt;$BK26,"refNeedCorrection","refOK")</f>
        <v>refOK</v>
      </c>
      <c r="CO26">
        <f>IF($CN26="refNeedCorrection",BK26,BL26)</f>
        <v>530145</v>
      </c>
      <c r="CP26">
        <f>IF($CN26="refNeedCorrection",BL26,BK26)</f>
        <v>527284</v>
      </c>
      <c r="CQ26">
        <f>IF($CN26="refOK",$BO26,-$BO26)</f>
        <v>2774000</v>
      </c>
      <c r="CR26">
        <f>IF($CN26="refOK",$BS26,$BT26)*IF($BP26="Emissions positive",-1,1)</f>
        <v>428</v>
      </c>
      <c r="CS26">
        <f>IF($CN26="refOK",$BT26,$BS26)*IF($BP26="Emissions positive",-1,1)</f>
        <v>366</v>
      </c>
      <c r="CT26">
        <f>IF($CN26="refNeedCorrection",-BX26,BX26)*IF($BP26="Emissions positive",-1,1)</f>
        <v>-62000000</v>
      </c>
      <c r="CU26">
        <f>IFERROR(CT26/CQ26,"")</f>
        <v>-22.350396539293438</v>
      </c>
      <c r="CV26" s="2">
        <f>IFERROR((CS26-CR26)/ABS(CR26),"")</f>
        <v>-0.14485981308411214</v>
      </c>
      <c r="CW26" s="1" t="s">
        <v>1231</v>
      </c>
      <c r="CX26" t="str">
        <f>IF(OR($CW26="prd",$CW26="std",$CW26="cit"),"loc",IF(OR($CW26="eur",$CW26="reg",$CW26="coy"),"reg",$CW26))</f>
        <v>reg</v>
      </c>
      <c r="CY26" t="s">
        <v>743</v>
      </c>
      <c r="CZ26">
        <v>2026</v>
      </c>
      <c r="DA26">
        <v>2030</v>
      </c>
      <c r="DB26">
        <v>5</v>
      </c>
      <c r="DC26" t="str">
        <f>IF(DB26=0,"0",IF(AND(DB26&gt;=1,DB26&lt;=30),"1-30",IF(AND(DB26&gt;30,DB26&lt;=70),"31-70",IF(AND(DB26&gt;70,DB26&lt;=100),"71-100",IF(DB26&gt;100,"+100")))))</f>
        <v>1-30</v>
      </c>
      <c r="DD26">
        <v>1</v>
      </c>
      <c r="DE26">
        <v>0</v>
      </c>
      <c r="DF26">
        <v>0</v>
      </c>
      <c r="DG26">
        <v>0</v>
      </c>
      <c r="DH26"/>
      <c r="DI26">
        <f>SUM(DD26:DG26)</f>
        <v>1</v>
      </c>
      <c r="DJ26" t="str">
        <f>IF(DI26=1,INDEX($DD$7:$DG$7,MATCH(1,$DD26:$DG26,0)),"mixedProduct")</f>
        <v>UpstreamInput</v>
      </c>
      <c r="DK26" t="str">
        <f>IF(DD26=1,DK$7,0)</f>
        <v>Upstream</v>
      </c>
      <c r="DL26">
        <f>IF(DE26=1,DL$7,0)</f>
        <v>0</v>
      </c>
      <c r="DM26">
        <f>IF(DF26=1,DM$7,0)</f>
        <v>0</v>
      </c>
      <c r="DN26">
        <f>IF(DG26=1,DN$7,0)</f>
        <v>0</v>
      </c>
      <c r="DO26">
        <v>0</v>
      </c>
      <c r="DP26">
        <v>0</v>
      </c>
      <c r="DQ26">
        <v>0</v>
      </c>
      <c r="DR26">
        <v>0</v>
      </c>
      <c r="DS26">
        <v>0</v>
      </c>
      <c r="DT26">
        <f>SUM(DO26:DP26)</f>
        <v>0</v>
      </c>
      <c r="DU26" s="143" t="str">
        <f>IF(DO26=1,"self-calculated DF",IF(DP26=1,"external DF used","explicit C balance"))</f>
        <v>explicit C balance</v>
      </c>
      <c r="DV26">
        <v>1</v>
      </c>
      <c r="DW26">
        <v>0</v>
      </c>
      <c r="DX26">
        <v>1</v>
      </c>
      <c r="DY26">
        <v>0</v>
      </c>
      <c r="DZ26">
        <v>0</v>
      </c>
      <c r="EA26" s="143">
        <v>0</v>
      </c>
      <c r="EB26">
        <v>0</v>
      </c>
      <c r="EC26">
        <v>0</v>
      </c>
      <c r="ED26">
        <v>0</v>
      </c>
      <c r="EE26">
        <v>0</v>
      </c>
      <c r="EF26">
        <v>1</v>
      </c>
      <c r="EG26">
        <v>0</v>
      </c>
      <c r="EH26">
        <v>0</v>
      </c>
      <c r="EI26" s="2">
        <v>0</v>
      </c>
      <c r="EJ26" s="1"/>
      <c r="EK26" t="str">
        <f>IF(AND(AND(AND(OR($DX26=1,$DW26=1),OR($EC26=1,$EA26=1)),SUM($DV26:$DZ26,$EF26)&gt;=4),SUM($EA26:$EE26)&gt;=2),"Whole sector","")</f>
        <v/>
      </c>
      <c r="EL26" t="str">
        <f>IF(AND(AND(OR($DX26=1,$DW26=1),AND($EC26=0,$EA26=0)),SUM($DV26:$DZ26,$EF26)&gt;=4),"Ecosystem approach","")</f>
        <v/>
      </c>
      <c r="EM26" s="2" t="str">
        <f>IF(AND(AND(AND($DX26=0,$DW26=0),OR($EC26=1,$EA26=1)),SUM($EB26:$EE26)&gt;=2),"Technology approach","")</f>
        <v/>
      </c>
      <c r="EN26" s="149" t="s">
        <v>1702</v>
      </c>
      <c r="EO26"/>
      <c r="EP26" t="str">
        <f>IF(ISNUMBER(BU26),IF(ABS(BU26-[4]QC_indicators!$B$2)&gt;3*[4]QC_indicators!$C$2,"C ratio",IF(ISNUMBER(BY26),IF(ABS(BY26-[4]QC_indicators!$B$1)&gt;3*[4]QC_indicators!$C$1,"DF","no"))),IF(ISNUMBER(BY26),IF(ABS(BY26-[4]QC_indicators!$B$1)&gt;3*[4]QC_indicators!$C$1,"DF","no")))</f>
        <v>DF</v>
      </c>
      <c r="EQ26"/>
      <c r="ER26" s="149" t="s">
        <v>349</v>
      </c>
      <c r="ES26"/>
      <c r="ET26" s="264" t="s">
        <v>3273</v>
      </c>
      <c r="EU26"/>
    </row>
    <row r="27" spans="1:151" s="139" customFormat="1" ht="15" customHeight="1">
      <c r="A27" s="1" t="s">
        <v>562</v>
      </c>
      <c r="B27" t="s">
        <v>544</v>
      </c>
      <c r="C27" t="s">
        <v>563</v>
      </c>
      <c r="D27" t="s">
        <v>564</v>
      </c>
      <c r="E27" t="s">
        <v>565</v>
      </c>
      <c r="F27" t="s">
        <v>566</v>
      </c>
      <c r="G27" t="s">
        <v>567</v>
      </c>
      <c r="H27" t="s">
        <v>254</v>
      </c>
      <c r="I27">
        <v>2009</v>
      </c>
      <c r="J27">
        <v>16</v>
      </c>
      <c r="K27" t="s">
        <v>568</v>
      </c>
      <c r="L27"/>
      <c r="M27" t="str">
        <f>LEFT($D27,FIND(",",$D27)-1)&amp;"_"&amp;I27&amp;L27</f>
        <v>Crawford_2009</v>
      </c>
      <c r="N27" t="s">
        <v>222</v>
      </c>
      <c r="O27" s="145" t="s">
        <v>223</v>
      </c>
      <c r="P27"/>
      <c r="Q27" s="264" t="s">
        <v>256</v>
      </c>
      <c r="R27" s="269" t="s">
        <v>1154</v>
      </c>
      <c r="S27" s="1" t="s">
        <v>579</v>
      </c>
      <c r="T27" s="264" t="s">
        <v>580</v>
      </c>
      <c r="U27" s="264" t="s">
        <v>571</v>
      </c>
      <c r="V27">
        <v>0</v>
      </c>
      <c r="W27">
        <v>0</v>
      </c>
      <c r="X27">
        <v>0</v>
      </c>
      <c r="Y27">
        <v>0</v>
      </c>
      <c r="Z27">
        <v>0</v>
      </c>
      <c r="AA27">
        <v>0</v>
      </c>
      <c r="AB27">
        <v>0</v>
      </c>
      <c r="AC27">
        <v>0</v>
      </c>
      <c r="AD27">
        <v>0</v>
      </c>
      <c r="AE27">
        <v>0</v>
      </c>
      <c r="AF27">
        <v>0</v>
      </c>
      <c r="AG27">
        <v>0</v>
      </c>
      <c r="AH27">
        <v>0</v>
      </c>
      <c r="AI27">
        <v>0</v>
      </c>
      <c r="AJ27">
        <v>0</v>
      </c>
      <c r="AK27">
        <v>1</v>
      </c>
      <c r="AL27">
        <v>0</v>
      </c>
      <c r="AM27">
        <v>0</v>
      </c>
      <c r="AN27">
        <v>0</v>
      </c>
      <c r="AO27">
        <v>0</v>
      </c>
      <c r="AP27">
        <v>0</v>
      </c>
      <c r="AQ27">
        <v>0</v>
      </c>
      <c r="AR27">
        <v>0</v>
      </c>
      <c r="AS27">
        <v>0</v>
      </c>
      <c r="AT27">
        <v>0</v>
      </c>
      <c r="AU27">
        <v>0</v>
      </c>
      <c r="AV27">
        <v>0</v>
      </c>
      <c r="AW27">
        <v>0</v>
      </c>
      <c r="AX27" s="141">
        <f>COUNTIF(V27:AW27,"&lt;&gt;0")</f>
        <v>1</v>
      </c>
      <c r="AY27" s="141">
        <f>COUNTIF(V27:AL27,"&lt;&gt;0")</f>
        <v>1</v>
      </c>
      <c r="AZ27">
        <f>COUNTIF(V27:AC27,"&lt;&gt;0")</f>
        <v>0</v>
      </c>
      <c r="BA27">
        <f>COUNTIF(AD27:AI27,"&lt;&gt;0")</f>
        <v>0</v>
      </c>
      <c r="BB27">
        <f>COUNTIF(AJ27:AL27,"&lt;&gt;0")</f>
        <v>1</v>
      </c>
      <c r="BC27">
        <f>COUNTIF(AS27:AW27,"&lt;&gt;0")</f>
        <v>0</v>
      </c>
      <c r="BD27">
        <f>COUNTIF(AM27:AR27,"&lt;&gt;0")</f>
        <v>0</v>
      </c>
      <c r="BE27" t="str" cm="1">
        <f t="array" ref="BE27">IF(AY27=1,INDEX($V$7:$AL$7,MATCH(TRUE,INDEX($V27:$AW27&lt;&gt;0,),0)),IF(AY27=0,INDEX($AM$7:$AW$7,MATCH(1,$AM27:$AW27,0)),IF(BF27="Multiple strategies","mixed drivers",IF(BF27="Supply chain","multiple supply","multiple silviculture"))))</f>
        <v>technologies/design switch</v>
      </c>
      <c r="BF27" s="2" t="str" cm="1">
        <f t="array" ref="BF27">IF(COUNTIF(AZ27:BB27,"&lt;&gt;0")=1,INDEX($V$4:$AW$4,MATCH(TRUE,INDEX($V27:$AW27&lt;&gt;0,),0)),IF(COUNTIF(AZ27:BB27,"&lt;&gt;0")=0,INDEX($AM$4:$AW$4,MATCH(1,$AM27:$AW27,0)),"Multiple strategies"))</f>
        <v>Technology</v>
      </c>
      <c r="BG27" s="1" t="s">
        <v>229</v>
      </c>
      <c r="BH27" t="s">
        <v>572</v>
      </c>
      <c r="BI27"/>
      <c r="BJ27" t="s">
        <v>345</v>
      </c>
      <c r="BK27">
        <v>0</v>
      </c>
      <c r="BL27">
        <f>80.2*1460</f>
        <v>117092</v>
      </c>
      <c r="BM27"/>
      <c r="BN27">
        <f>BL27-BK27</f>
        <v>117092</v>
      </c>
      <c r="BO27">
        <f>BN27*kg_to_m3</f>
        <v>238.96326530612248</v>
      </c>
      <c r="BP27" s="264" t="s">
        <v>232</v>
      </c>
      <c r="BQ27" s="301" t="s">
        <v>581</v>
      </c>
      <c r="BR27" t="s">
        <v>573</v>
      </c>
      <c r="BS27">
        <v>-1491</v>
      </c>
      <c r="BT27">
        <v>-3656</v>
      </c>
      <c r="BU27" s="144">
        <v>3.2421193829644532</v>
      </c>
      <c r="BV27">
        <v>-3343</v>
      </c>
      <c r="BW27"/>
      <c r="BX27">
        <f>BV27</f>
        <v>-3343</v>
      </c>
      <c r="BY27">
        <f>IFERROR(BX27/BO27,"")</f>
        <v>-13.989597923000716</v>
      </c>
      <c r="BZ27">
        <v>0</v>
      </c>
      <c r="CA27">
        <v>0</v>
      </c>
      <c r="CB27">
        <v>0</v>
      </c>
      <c r="CC27">
        <v>0</v>
      </c>
      <c r="CD27">
        <v>0</v>
      </c>
      <c r="CE27">
        <v>0</v>
      </c>
      <c r="CF27">
        <v>0</v>
      </c>
      <c r="CG27">
        <v>0</v>
      </c>
      <c r="CH27">
        <v>0</v>
      </c>
      <c r="CI27">
        <v>0</v>
      </c>
      <c r="CJ27">
        <v>0</v>
      </c>
      <c r="CK27">
        <v>0</v>
      </c>
      <c r="CL27">
        <v>0</v>
      </c>
      <c r="CM27">
        <v>0</v>
      </c>
      <c r="CN27" t="str">
        <f>IF($BL27&lt;$BK27,"refNeedCorrection","refOK")</f>
        <v>refOK</v>
      </c>
      <c r="CO27">
        <f>IF($CN27="refNeedCorrection",BL27,BK27)</f>
        <v>0</v>
      </c>
      <c r="CP27">
        <f>IF($CN27="refNeedCorrection",BK27,BL27)</f>
        <v>117092</v>
      </c>
      <c r="CQ27">
        <f>IF($CN27="refOK",$BO27,-$BO27)</f>
        <v>238.96326530612248</v>
      </c>
      <c r="CR27">
        <f>IF($CN27="refOK",$BS27,$BT27)*IF($BP27="Emissions positive",-1,1)</f>
        <v>-1491</v>
      </c>
      <c r="CS27">
        <f>IF($CN27="refOK",$BT27,$BS27)*IF($BP27="Emissions positive",-1,1)</f>
        <v>-3656</v>
      </c>
      <c r="CT27">
        <f>IF($CN27="refNeedCorrection",-BX27,BX27)*IF($BP27="Emissions positive",-1,1)</f>
        <v>-3343</v>
      </c>
      <c r="CU27">
        <f>IFERROR(CT27/CQ27,"")</f>
        <v>-13.989597923000716</v>
      </c>
      <c r="CV27" s="2">
        <f>IFERROR((CS27-CR27)/ABS(CR27),"")</f>
        <v>-1.4520456069751844</v>
      </c>
      <c r="CW27" s="1" t="s">
        <v>263</v>
      </c>
      <c r="CX27" s="264" t="str">
        <f>IF(OR($CW27="prd",$CW27="std",$CW27="cit"),"loc",IF(OR($CW27="eur",$CW27="reg",$CW27="coy"),"reg",$CW27))</f>
        <v>loc</v>
      </c>
      <c r="CY27" t="s">
        <v>574</v>
      </c>
      <c r="CZ27"/>
      <c r="DA27"/>
      <c r="DB27">
        <v>100</v>
      </c>
      <c r="DC27" t="str">
        <f>IF(DB27=0,"0",IF(AND(DB27&gt;=1,DB27&lt;=30),"1-30",IF(AND(DB27&gt;30,DB27&lt;=70),"31-70",IF(AND(DB27&gt;70,DB27&lt;=100),"71-100",IF(DB27&gt;100,"+100")))))</f>
        <v>71-100</v>
      </c>
      <c r="DD27">
        <v>0</v>
      </c>
      <c r="DE27">
        <v>0</v>
      </c>
      <c r="DF27">
        <v>0</v>
      </c>
      <c r="DG27">
        <v>1</v>
      </c>
      <c r="DH27"/>
      <c r="DI27">
        <f>SUM(DD27:DG27)</f>
        <v>1</v>
      </c>
      <c r="DJ27" t="str">
        <f>IF(DI27=1,INDEX($DD$7:$DG$7,MATCH(1,$DD27:$DG27,0)),"mixedProduct")</f>
        <v>TimberInput</v>
      </c>
      <c r="DK27">
        <f>IF(DD27=1,DK$7,0)</f>
        <v>0</v>
      </c>
      <c r="DL27">
        <f>IF(DE27=1,DL$7,0)</f>
        <v>0</v>
      </c>
      <c r="DM27">
        <f>IF(DF27=1,DM$7,0)</f>
        <v>0</v>
      </c>
      <c r="DN27" t="str">
        <f>IF(DG27=1,DN$7,0)</f>
        <v>Timber</v>
      </c>
      <c r="DO27">
        <v>0</v>
      </c>
      <c r="DP27">
        <v>0</v>
      </c>
      <c r="DQ27">
        <v>0</v>
      </c>
      <c r="DR27">
        <v>0</v>
      </c>
      <c r="DS27">
        <v>0</v>
      </c>
      <c r="DT27">
        <f>SUM(DO27:DP27)</f>
        <v>0</v>
      </c>
      <c r="DU27" s="143" t="str">
        <f>IF(DO27=1,"self-calculated DF",IF(DP27=1,"external DF used","explicit C balance"))</f>
        <v>explicit C balance</v>
      </c>
      <c r="DV27">
        <v>0</v>
      </c>
      <c r="DW27">
        <v>1</v>
      </c>
      <c r="DX27">
        <v>0</v>
      </c>
      <c r="DY27">
        <v>1</v>
      </c>
      <c r="DZ27">
        <v>1</v>
      </c>
      <c r="EA27" s="143">
        <v>0</v>
      </c>
      <c r="EB27">
        <v>1</v>
      </c>
      <c r="EC27">
        <v>1</v>
      </c>
      <c r="ED27">
        <v>0</v>
      </c>
      <c r="EE27">
        <v>1</v>
      </c>
      <c r="EF27">
        <v>0</v>
      </c>
      <c r="EG27">
        <v>0</v>
      </c>
      <c r="EH27">
        <v>0</v>
      </c>
      <c r="EI27" s="2">
        <v>0</v>
      </c>
      <c r="EJ27" s="1"/>
      <c r="EK27" t="str">
        <f>IF(AND(AND(AND(OR($DX27=1,$DW27=1),OR($EC27=1,$EA27=1)),SUM($DV27:$DZ27,$EF27)&gt;=4),SUM($EA27:$EE27)&gt;=2),"Whole sector","")</f>
        <v/>
      </c>
      <c r="EL27" t="str">
        <f>IF(AND(AND(OR($DX27=1,$DW27=1),AND($EC27=0,$EA27=0)),SUM($DV27:$DZ27,$EF27)&gt;=4),"Ecosystem approach","")</f>
        <v/>
      </c>
      <c r="EM27" s="2" t="str">
        <f>IF(AND(AND(AND($DX27=0,$DW27=0),OR($EC27=1,$EA27=1)),SUM($EB27:$EE27)&gt;=2),"Technology approach","")</f>
        <v/>
      </c>
      <c r="EN27"/>
      <c r="EO27"/>
      <c r="EP27" t="str">
        <f>IF(ISNUMBER(BU27),IF(ABS(BU27-[3]QC_indicators!$B$2)&gt;3*[3]QC_indicators!$C$2,"C ratio",IF(ISNUMBER(BY27),IF(ABS(BY27-[3]QC_indicators!$B$1)&gt;3*[3]QC_indicators!$C$1,"DF","no"))),IF(ISNUMBER(BY27),IF(ABS(BY27-[3]QC_indicators!$B$1)&gt;3*[3]QC_indicators!$C$1,"DF","no")))</f>
        <v>DF</v>
      </c>
      <c r="EQ27"/>
      <c r="ER27" s="294" t="s">
        <v>349</v>
      </c>
      <c r="ES27"/>
      <c r="ET27" s="264" t="s">
        <v>3407</v>
      </c>
      <c r="EU27"/>
    </row>
    <row r="28" spans="1:151" s="139" customFormat="1" ht="15" customHeight="1">
      <c r="A28" s="1" t="s">
        <v>562</v>
      </c>
      <c r="B28" t="s">
        <v>544</v>
      </c>
      <c r="C28" t="s">
        <v>563</v>
      </c>
      <c r="D28" t="s">
        <v>564</v>
      </c>
      <c r="E28" t="s">
        <v>565</v>
      </c>
      <c r="F28" t="s">
        <v>566</v>
      </c>
      <c r="G28" t="s">
        <v>567</v>
      </c>
      <c r="H28" t="s">
        <v>254</v>
      </c>
      <c r="I28">
        <v>2009</v>
      </c>
      <c r="J28">
        <v>16</v>
      </c>
      <c r="K28" t="s">
        <v>568</v>
      </c>
      <c r="L28"/>
      <c r="M28" t="str">
        <f>LEFT($D28,FIND(",",$D28)-1)&amp;"_"&amp;I28&amp;L28</f>
        <v>Crawford_2009</v>
      </c>
      <c r="N28" t="s">
        <v>222</v>
      </c>
      <c r="O28" s="145" t="s">
        <v>223</v>
      </c>
      <c r="P28"/>
      <c r="Q28" s="264" t="s">
        <v>256</v>
      </c>
      <c r="R28" s="269" t="s">
        <v>1154</v>
      </c>
      <c r="S28" s="1" t="s">
        <v>579</v>
      </c>
      <c r="T28" s="264" t="s">
        <v>582</v>
      </c>
      <c r="U28" s="264" t="s">
        <v>571</v>
      </c>
      <c r="V28">
        <v>0</v>
      </c>
      <c r="W28">
        <v>0</v>
      </c>
      <c r="X28">
        <v>0</v>
      </c>
      <c r="Y28">
        <v>0</v>
      </c>
      <c r="Z28">
        <v>0</v>
      </c>
      <c r="AA28">
        <v>0</v>
      </c>
      <c r="AB28">
        <v>0</v>
      </c>
      <c r="AC28">
        <v>0</v>
      </c>
      <c r="AD28">
        <v>0</v>
      </c>
      <c r="AE28">
        <v>0</v>
      </c>
      <c r="AF28">
        <v>0</v>
      </c>
      <c r="AG28">
        <v>0</v>
      </c>
      <c r="AH28">
        <v>0</v>
      </c>
      <c r="AI28">
        <v>0</v>
      </c>
      <c r="AJ28">
        <v>0</v>
      </c>
      <c r="AK28">
        <v>1</v>
      </c>
      <c r="AL28">
        <v>0</v>
      </c>
      <c r="AM28">
        <v>0</v>
      </c>
      <c r="AN28">
        <v>0</v>
      </c>
      <c r="AO28">
        <v>0</v>
      </c>
      <c r="AP28">
        <v>0</v>
      </c>
      <c r="AQ28">
        <v>0</v>
      </c>
      <c r="AR28">
        <v>0</v>
      </c>
      <c r="AS28">
        <v>0</v>
      </c>
      <c r="AT28">
        <v>0</v>
      </c>
      <c r="AU28">
        <v>0</v>
      </c>
      <c r="AV28">
        <v>0</v>
      </c>
      <c r="AW28">
        <v>0</v>
      </c>
      <c r="AX28" s="141">
        <f>COUNTIF(V28:AW28,"&lt;&gt;0")</f>
        <v>1</v>
      </c>
      <c r="AY28" s="141">
        <f>COUNTIF(V28:AL28,"&lt;&gt;0")</f>
        <v>1</v>
      </c>
      <c r="AZ28">
        <f>COUNTIF(V28:AC28,"&lt;&gt;0")</f>
        <v>0</v>
      </c>
      <c r="BA28">
        <f>COUNTIF(AD28:AI28,"&lt;&gt;0")</f>
        <v>0</v>
      </c>
      <c r="BB28">
        <f>COUNTIF(AJ28:AL28,"&lt;&gt;0")</f>
        <v>1</v>
      </c>
      <c r="BC28">
        <f>COUNTIF(AS28:AW28,"&lt;&gt;0")</f>
        <v>0</v>
      </c>
      <c r="BD28">
        <f>COUNTIF(AM28:AR28,"&lt;&gt;0")</f>
        <v>0</v>
      </c>
      <c r="BE28" t="str" cm="1">
        <f t="array" ref="BE28">IF(AY28=1,INDEX($V$7:$AL$7,MATCH(TRUE,INDEX($V28:$AW28&lt;&gt;0,),0)),IF(AY28=0,INDEX($AM$7:$AW$7,MATCH(1,$AM28:$AW28,0)),IF(BF28="Multiple strategies","mixed drivers",IF(BF28="Supply chain","multiple supply","multiple silviculture"))))</f>
        <v>technologies/design switch</v>
      </c>
      <c r="BF28" s="2" t="str" cm="1">
        <f t="array" ref="BF28">IF(COUNTIF(AZ28:BB28,"&lt;&gt;0")=1,INDEX($V$4:$AW$4,MATCH(TRUE,INDEX($V28:$AW28&lt;&gt;0,),0)),IF(COUNTIF(AZ28:BB28,"&lt;&gt;0")=0,INDEX($AM$4:$AW$4,MATCH(1,$AM28:$AW28,0)),"Multiple strategies"))</f>
        <v>Technology</v>
      </c>
      <c r="BG28" s="1" t="s">
        <v>229</v>
      </c>
      <c r="BH28" t="s">
        <v>572</v>
      </c>
      <c r="BI28"/>
      <c r="BJ28" t="s">
        <v>345</v>
      </c>
      <c r="BK28">
        <v>0</v>
      </c>
      <c r="BL28">
        <f>80.2*1460</f>
        <v>117092</v>
      </c>
      <c r="BM28"/>
      <c r="BN28">
        <f>BL28-BK28</f>
        <v>117092</v>
      </c>
      <c r="BO28">
        <f>BN28*kg_to_m3</f>
        <v>238.96326530612248</v>
      </c>
      <c r="BP28" s="264" t="s">
        <v>232</v>
      </c>
      <c r="BQ28" s="264"/>
      <c r="BR28" t="s">
        <v>573</v>
      </c>
      <c r="BS28">
        <v>-822</v>
      </c>
      <c r="BT28">
        <v>-3656</v>
      </c>
      <c r="BU28" s="144">
        <v>4.447688564476886</v>
      </c>
      <c r="BV28">
        <v>-2834</v>
      </c>
      <c r="BW28"/>
      <c r="BX28">
        <f>BV28</f>
        <v>-2834</v>
      </c>
      <c r="BY28">
        <f>IFERROR(BX28/BO28,"")</f>
        <v>-11.859563420216581</v>
      </c>
      <c r="BZ28">
        <v>0</v>
      </c>
      <c r="CA28">
        <v>0</v>
      </c>
      <c r="CB28">
        <v>0</v>
      </c>
      <c r="CC28">
        <v>0</v>
      </c>
      <c r="CD28">
        <v>0</v>
      </c>
      <c r="CE28">
        <v>0</v>
      </c>
      <c r="CF28">
        <v>0</v>
      </c>
      <c r="CG28">
        <v>0</v>
      </c>
      <c r="CH28">
        <v>0</v>
      </c>
      <c r="CI28">
        <v>0</v>
      </c>
      <c r="CJ28">
        <v>0</v>
      </c>
      <c r="CK28">
        <v>0</v>
      </c>
      <c r="CL28">
        <v>0</v>
      </c>
      <c r="CM28">
        <v>0</v>
      </c>
      <c r="CN28" t="str">
        <f>IF($BL28&lt;$BK28,"refNeedCorrection","refOK")</f>
        <v>refOK</v>
      </c>
      <c r="CO28">
        <f>IF($CN28="refNeedCorrection",BL28,BK28)</f>
        <v>0</v>
      </c>
      <c r="CP28">
        <f>IF($CN28="refNeedCorrection",BK28,BL28)</f>
        <v>117092</v>
      </c>
      <c r="CQ28">
        <f>IF($CN28="refOK",$BO28,-$BO28)</f>
        <v>238.96326530612248</v>
      </c>
      <c r="CR28">
        <f>IF($CN28="refOK",$BS28,$BT28)*IF($BP28="Emissions positive",-1,1)</f>
        <v>-822</v>
      </c>
      <c r="CS28">
        <f>IF($CN28="refOK",$BT28,$BS28)*IF($BP28="Emissions positive",-1,1)</f>
        <v>-3656</v>
      </c>
      <c r="CT28">
        <f>IF($CN28="refNeedCorrection",-BX28,BX28)*IF($BP28="Emissions positive",-1,1)</f>
        <v>-2834</v>
      </c>
      <c r="CU28">
        <f>IFERROR(CT28/CQ28,"")</f>
        <v>-11.859563420216581</v>
      </c>
      <c r="CV28" s="2">
        <f>IFERROR((CS28-CR28)/ABS(CR28),"")</f>
        <v>-3.4476885644768855</v>
      </c>
      <c r="CW28" s="1" t="s">
        <v>263</v>
      </c>
      <c r="CX28" s="264" t="str">
        <f>IF(OR($CW28="prd",$CW28="std",$CW28="cit"),"loc",IF(OR($CW28="eur",$CW28="reg",$CW28="coy"),"reg",$CW28))</f>
        <v>loc</v>
      </c>
      <c r="CY28" t="s">
        <v>574</v>
      </c>
      <c r="CZ28"/>
      <c r="DA28"/>
      <c r="DB28">
        <v>100</v>
      </c>
      <c r="DC28" t="str">
        <f>IF(DB28=0,"0",IF(AND(DB28&gt;=1,DB28&lt;=30),"1-30",IF(AND(DB28&gt;30,DB28&lt;=70),"31-70",IF(AND(DB28&gt;70,DB28&lt;=100),"71-100",IF(DB28&gt;100,"+100")))))</f>
        <v>71-100</v>
      </c>
      <c r="DD28">
        <v>0</v>
      </c>
      <c r="DE28">
        <v>0</v>
      </c>
      <c r="DF28">
        <v>0</v>
      </c>
      <c r="DG28">
        <v>1</v>
      </c>
      <c r="DH28"/>
      <c r="DI28">
        <f>SUM(DD28:DG28)</f>
        <v>1</v>
      </c>
      <c r="DJ28" t="str">
        <f>IF(DI28=1,INDEX($DD$7:$DG$7,MATCH(1,$DD28:$DG28,0)),"mixedProduct")</f>
        <v>TimberInput</v>
      </c>
      <c r="DK28">
        <f>IF(DD28=1,DK$7,0)</f>
        <v>0</v>
      </c>
      <c r="DL28">
        <f>IF(DE28=1,DL$7,0)</f>
        <v>0</v>
      </c>
      <c r="DM28">
        <f>IF(DF28=1,DM$7,0)</f>
        <v>0</v>
      </c>
      <c r="DN28" t="str">
        <f>IF(DG28=1,DN$7,0)</f>
        <v>Timber</v>
      </c>
      <c r="DO28">
        <v>0</v>
      </c>
      <c r="DP28">
        <v>0</v>
      </c>
      <c r="DQ28">
        <v>0</v>
      </c>
      <c r="DR28">
        <v>0</v>
      </c>
      <c r="DS28">
        <v>0</v>
      </c>
      <c r="DT28">
        <f>SUM(DO28:DP28)</f>
        <v>0</v>
      </c>
      <c r="DU28" s="143" t="str">
        <f>IF(DO28=1,"self-calculated DF",IF(DP28=1,"external DF used","explicit C balance"))</f>
        <v>explicit C balance</v>
      </c>
      <c r="DV28">
        <v>0</v>
      </c>
      <c r="DW28">
        <v>1</v>
      </c>
      <c r="DX28">
        <v>0</v>
      </c>
      <c r="DY28">
        <v>1</v>
      </c>
      <c r="DZ28">
        <v>1</v>
      </c>
      <c r="EA28" s="143">
        <v>0</v>
      </c>
      <c r="EB28">
        <v>1</v>
      </c>
      <c r="EC28">
        <v>1</v>
      </c>
      <c r="ED28">
        <v>0</v>
      </c>
      <c r="EE28">
        <v>1</v>
      </c>
      <c r="EF28">
        <v>0</v>
      </c>
      <c r="EG28">
        <v>0</v>
      </c>
      <c r="EH28">
        <v>0</v>
      </c>
      <c r="EI28" s="2">
        <v>0</v>
      </c>
      <c r="EJ28" s="1"/>
      <c r="EK28" t="str">
        <f>IF(AND(AND(AND(OR($DX28=1,$DW28=1),OR($EC28=1,$EA28=1)),SUM($DV28:$DZ28,$EF28)&gt;=4),SUM($EA28:$EE28)&gt;=2),"Whole sector","")</f>
        <v/>
      </c>
      <c r="EL28" t="str">
        <f>IF(AND(AND(OR($DX28=1,$DW28=1),AND($EC28=0,$EA28=0)),SUM($DV28:$DZ28,$EF28)&gt;=4),"Ecosystem approach","")</f>
        <v/>
      </c>
      <c r="EM28" s="2" t="str">
        <f>IF(AND(AND(AND($DX28=0,$DW28=0),OR($EC28=1,$EA28=1)),SUM($EB28:$EE28)&gt;=2),"Technology approach","")</f>
        <v/>
      </c>
      <c r="EN28"/>
      <c r="EO28"/>
      <c r="EP28" t="str">
        <f>IF(ISNUMBER(BU28),IF(ABS(BU28-[3]QC_indicators!$B$2)&gt;3*[3]QC_indicators!$C$2,"C ratio",IF(ISNUMBER(BY28),IF(ABS(BY28-[3]QC_indicators!$B$1)&gt;3*[3]QC_indicators!$C$1,"DF","no"))),IF(ISNUMBER(BY28),IF(ABS(BY28-[3]QC_indicators!$B$1)&gt;3*[3]QC_indicators!$C$1,"DF","no")))</f>
        <v>DF</v>
      </c>
      <c r="EQ28"/>
      <c r="ER28" s="294" t="s">
        <v>349</v>
      </c>
      <c r="ES28"/>
      <c r="ET28" s="264" t="s">
        <v>3407</v>
      </c>
      <c r="EU28"/>
    </row>
    <row r="29" spans="1:151" s="139" customFormat="1" ht="15" customHeight="1">
      <c r="A29" s="1" t="s">
        <v>1270</v>
      </c>
      <c r="B29" t="s">
        <v>1869</v>
      </c>
      <c r="C29" t="s">
        <v>1870</v>
      </c>
      <c r="D29" t="s">
        <v>1871</v>
      </c>
      <c r="E29" t="s">
        <v>1872</v>
      </c>
      <c r="F29" t="s">
        <v>1873</v>
      </c>
      <c r="G29" t="s">
        <v>1276</v>
      </c>
      <c r="H29" t="s">
        <v>254</v>
      </c>
      <c r="I29">
        <v>2019</v>
      </c>
      <c r="J29">
        <v>2</v>
      </c>
      <c r="K29" t="s">
        <v>1874</v>
      </c>
      <c r="L29"/>
      <c r="M29" t="str">
        <f>LEFT($D29,FIND(",",$D29)-1)&amp;"_"&amp;I29&amp;L29</f>
        <v>Kucuker_2019</v>
      </c>
      <c r="N29" t="s">
        <v>222</v>
      </c>
      <c r="O29" s="145" t="s">
        <v>225</v>
      </c>
      <c r="P29"/>
      <c r="Q29" s="264" t="s">
        <v>256</v>
      </c>
      <c r="R29" s="269" t="s">
        <v>1154</v>
      </c>
      <c r="S29" s="1" t="s">
        <v>1883</v>
      </c>
      <c r="T29" t="s">
        <v>1884</v>
      </c>
      <c r="U29" t="s">
        <v>1885</v>
      </c>
      <c r="V29">
        <v>0</v>
      </c>
      <c r="W29">
        <v>0</v>
      </c>
      <c r="X29">
        <v>0</v>
      </c>
      <c r="Y29">
        <v>0</v>
      </c>
      <c r="Z29">
        <v>1</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s="141">
        <f>COUNTIF(V29:AW29,"&lt;&gt;0")</f>
        <v>1</v>
      </c>
      <c r="AY29" s="141">
        <f>COUNTIF(V29:AL29,"&lt;&gt;0")</f>
        <v>1</v>
      </c>
      <c r="AZ29">
        <f>COUNTIF(V29:AC29,"&lt;&gt;0")</f>
        <v>1</v>
      </c>
      <c r="BA29">
        <f>COUNTIF(AD29:AI29,"&lt;&gt;0")</f>
        <v>0</v>
      </c>
      <c r="BB29">
        <f>COUNTIF(AJ29:AL29,"&lt;&gt;0")</f>
        <v>0</v>
      </c>
      <c r="BC29">
        <f>COUNTIF(AS29:AW29,"&lt;&gt;0")</f>
        <v>0</v>
      </c>
      <c r="BD29">
        <f>COUNTIF(AM29:AR29,"&lt;&gt;0")</f>
        <v>0</v>
      </c>
      <c r="BE29" t="str" cm="1">
        <f t="array" ref="BE29">IF(AY29=1,INDEX($V$7:$AL$7,MATCH(TRUE,INDEX($V29:$AW29&lt;&gt;0,),0)),IF(AY29=0,INDEX($AM$7:$AW$7,MATCH(1,$AM29:$AW29,0)),IF(BF29="Multiple strategies","mixed drivers",IF(BF29="Supply chain","multiple supply","multiple silviculture"))))</f>
        <v>species</v>
      </c>
      <c r="BF29" s="2" t="str" cm="1">
        <f t="array" ref="BF29">IF(COUNTIF(AZ29:BB29,"&lt;&gt;0")=1,INDEX($V$4:$AW$4,MATCH(TRUE,INDEX($V29:$AW29&lt;&gt;0,),0)),IF(COUNTIF(AZ29:BB29,"&lt;&gt;0")=0,INDEX($AM$4:$AW$4,MATCH(1,$AM29:$AW29,0)),"Multiple strategies"))</f>
        <v>Silviculture for productivity</v>
      </c>
      <c r="BG29" s="173" t="s">
        <v>321</v>
      </c>
      <c r="BH29" t="s">
        <v>182</v>
      </c>
      <c r="BI29"/>
      <c r="BJ29" t="s">
        <v>1770</v>
      </c>
      <c r="BK29" s="143">
        <v>6710</v>
      </c>
      <c r="BL29">
        <v>6758</v>
      </c>
      <c r="BM29" s="264">
        <f>BL29/BK29</f>
        <v>1.0071535022354694</v>
      </c>
      <c r="BN29">
        <f>BL29-BK29</f>
        <v>48</v>
      </c>
      <c r="BO29" s="143">
        <f>BN29*10^3</f>
        <v>48000</v>
      </c>
      <c r="BP29" t="s">
        <v>232</v>
      </c>
      <c r="BQ29"/>
      <c r="BR29" t="s">
        <v>1877</v>
      </c>
      <c r="BS29">
        <v>3139</v>
      </c>
      <c r="BT29" s="143">
        <v>2990</v>
      </c>
      <c r="BU29" s="144">
        <f>IFERROR(BT29/BS29,"")</f>
        <v>0.95253265371137308</v>
      </c>
      <c r="BV29">
        <f>BT29-BS29</f>
        <v>-149</v>
      </c>
      <c r="BW29"/>
      <c r="BX29">
        <f>BV29*10^9/10^6*C_to_CO2</f>
        <v>-546830</v>
      </c>
      <c r="BY29">
        <f>IFERROR(BX29/BO29,"")</f>
        <v>-11.392291666666667</v>
      </c>
      <c r="BZ29">
        <v>0</v>
      </c>
      <c r="CA29">
        <v>0</v>
      </c>
      <c r="CB29">
        <v>0</v>
      </c>
      <c r="CC29">
        <v>0</v>
      </c>
      <c r="CD29">
        <v>0</v>
      </c>
      <c r="CE29">
        <v>0</v>
      </c>
      <c r="CF29">
        <v>0</v>
      </c>
      <c r="CG29">
        <v>0</v>
      </c>
      <c r="CH29">
        <v>0</v>
      </c>
      <c r="CI29">
        <v>0</v>
      </c>
      <c r="CJ29">
        <v>0</v>
      </c>
      <c r="CK29">
        <v>0</v>
      </c>
      <c r="CL29">
        <v>0</v>
      </c>
      <c r="CM29">
        <v>0</v>
      </c>
      <c r="CN29" t="str">
        <f>IF($BL29&lt;$BK29,"refNeedCorrection","refOK")</f>
        <v>refOK</v>
      </c>
      <c r="CO29">
        <f>IF($CN29="refNeedCorrection",BK29,BL29)</f>
        <v>6758</v>
      </c>
      <c r="CP29">
        <f>IF($CN29="refNeedCorrection",BL29,BK29)</f>
        <v>6710</v>
      </c>
      <c r="CQ29">
        <f>IF($CN29="refOK",$BO29,-$BO29)</f>
        <v>48000</v>
      </c>
      <c r="CR29">
        <f>IF($CN29="refOK",$BS29,$BT29)*IF($BP29="Emissions positive",-1,1)</f>
        <v>3139</v>
      </c>
      <c r="CS29">
        <f>IF($CN29="refOK",$BT29,$BS29)*IF($BP29="Emissions positive",-1,1)</f>
        <v>2990</v>
      </c>
      <c r="CT29">
        <f>IF($CN29="refNeedCorrection",-BX29,BX29)*IF($BP29="Emissions positive",-1,1)</f>
        <v>-546830</v>
      </c>
      <c r="CU29">
        <f>IFERROR(CT29/CQ29,"")</f>
        <v>-11.392291666666667</v>
      </c>
      <c r="CV29" s="2">
        <f>IFERROR((CS29-CR29)/ABS(CR29),"")</f>
        <v>-4.7467346288626949E-2</v>
      </c>
      <c r="CW29" s="1" t="s">
        <v>1203</v>
      </c>
      <c r="CX29" s="264" t="str">
        <f>IF(OR($CW29="prd",$CW29="std",$CW29="cit"),"loc",IF(OR($CW29="eur",$CW29="reg",$CW29="coy"),"reg",$CW29))</f>
        <v>reg</v>
      </c>
      <c r="CY29" t="s">
        <v>1281</v>
      </c>
      <c r="CZ29"/>
      <c r="DA29" s="143"/>
      <c r="DB29">
        <v>100</v>
      </c>
      <c r="DC29" t="str">
        <f>IF(DB29=0,"0",IF(AND(DB29&gt;=1,DB29&lt;=30),"1-30",IF(AND(DB29&gt;30,DB29&lt;=70),"31-70",IF(AND(DB29&gt;70,DB29&lt;=100),"71-100",IF(DB29&gt;100,"+100")))))</f>
        <v>71-100</v>
      </c>
      <c r="DD29">
        <v>0</v>
      </c>
      <c r="DE29">
        <v>0</v>
      </c>
      <c r="DF29">
        <v>0</v>
      </c>
      <c r="DG29">
        <v>1</v>
      </c>
      <c r="DH29"/>
      <c r="DI29">
        <f>SUM(DD29:DG29)</f>
        <v>1</v>
      </c>
      <c r="DJ29" t="str">
        <f>IF(DI29=1,INDEX($DD$7:$DG$7,MATCH(1,$DD29:$DG29,0)),"mixedProduct")</f>
        <v>TimberInput</v>
      </c>
      <c r="DK29">
        <f>IF(DD29=1,DK$7,0)</f>
        <v>0</v>
      </c>
      <c r="DL29">
        <f>IF(DE29=1,DL$7,0)</f>
        <v>0</v>
      </c>
      <c r="DM29">
        <f>IF(DF29=1,DM$7,0)</f>
        <v>0</v>
      </c>
      <c r="DN29" t="str">
        <f>IF(DG29=1,DN$7,0)</f>
        <v>Timber</v>
      </c>
      <c r="DO29">
        <v>0</v>
      </c>
      <c r="DP29" s="143">
        <v>0</v>
      </c>
      <c r="DQ29" s="143">
        <v>0</v>
      </c>
      <c r="DR29">
        <v>0</v>
      </c>
      <c r="DS29" s="143">
        <v>0</v>
      </c>
      <c r="DT29">
        <f>SUM(DO29:DP29)</f>
        <v>0</v>
      </c>
      <c r="DU29" s="143" t="str">
        <f>IF(DO29=1,"self-calculated DF",IF(DP29=1,"external DF used","explicit C balance"))</f>
        <v>explicit C balance</v>
      </c>
      <c r="DV29" s="143">
        <v>0</v>
      </c>
      <c r="DW29" s="143">
        <v>0</v>
      </c>
      <c r="DX29" s="143">
        <v>1</v>
      </c>
      <c r="DY29" s="143">
        <v>0</v>
      </c>
      <c r="DZ29">
        <v>0</v>
      </c>
      <c r="EA29" s="143">
        <v>0</v>
      </c>
      <c r="EB29" s="143">
        <v>0</v>
      </c>
      <c r="EC29" s="143">
        <v>0</v>
      </c>
      <c r="ED29" s="143">
        <v>0</v>
      </c>
      <c r="EE29">
        <v>0</v>
      </c>
      <c r="EF29">
        <v>0</v>
      </c>
      <c r="EG29" s="143">
        <v>0</v>
      </c>
      <c r="EH29">
        <v>0</v>
      </c>
      <c r="EI29" s="2">
        <v>0</v>
      </c>
      <c r="EJ29" s="1"/>
      <c r="EK29" t="str">
        <f>IF(AND(AND(AND(OR($DX29=1,$DW29=1),OR($EC29=1,$EA29=1)),SUM($DV29:$DZ29,$EF29)&gt;=4),SUM($EA29:$EE29)&gt;=2),"Whole sector","")</f>
        <v/>
      </c>
      <c r="EL29" t="str">
        <f>IF(AND(AND(OR($DX29=1,$DW29=1),AND($EC29=0,$EA29=0)),SUM($DV29:$DZ29,$EF29)&gt;=4),"Ecosystem approach","")</f>
        <v/>
      </c>
      <c r="EM29" s="2" t="str">
        <f>IF(AND(AND(AND($DX29=0,$DW29=0),OR($EC29=1,$EA29=1)),SUM($EB29:$EE29)&gt;=2),"Technology approach","")</f>
        <v/>
      </c>
      <c r="EN29" t="s">
        <v>1886</v>
      </c>
      <c r="EO29"/>
      <c r="EP29" t="str">
        <f>IF(ISNUMBER(BU29),IF(ABS(BU29-[3]QC_indicators!$B$2)&gt;3*[3]QC_indicators!$C$2,"C ratio",IF(ISNUMBER(BY29),IF(ABS(BY29-[3]QC_indicators!$B$1)&gt;3*[3]QC_indicators!$C$1,"DF","no"))),IF(ISNUMBER(BY29),IF(ABS(BY29-[3]QC_indicators!$B$1)&gt;3*[3]QC_indicators!$C$1,"DF","no")))</f>
        <v>DF</v>
      </c>
      <c r="EQ29" t="s">
        <v>1878</v>
      </c>
      <c r="ER29"/>
      <c r="ES29"/>
      <c r="ET29" s="264" t="s">
        <v>3407</v>
      </c>
      <c r="EU29"/>
    </row>
    <row r="30" spans="1:151" s="139" customFormat="1" ht="15" customHeight="1">
      <c r="A30" s="1" t="s">
        <v>562</v>
      </c>
      <c r="B30" t="s">
        <v>544</v>
      </c>
      <c r="C30" t="s">
        <v>563</v>
      </c>
      <c r="D30" t="s">
        <v>564</v>
      </c>
      <c r="E30" t="s">
        <v>565</v>
      </c>
      <c r="F30" t="s">
        <v>566</v>
      </c>
      <c r="G30" t="s">
        <v>567</v>
      </c>
      <c r="H30" t="s">
        <v>254</v>
      </c>
      <c r="I30">
        <v>2009</v>
      </c>
      <c r="J30">
        <v>16</v>
      </c>
      <c r="K30" t="s">
        <v>568</v>
      </c>
      <c r="L30"/>
      <c r="M30" t="str">
        <f>LEFT($D30,FIND(",",$D30)-1)&amp;"_"&amp;I30&amp;L30</f>
        <v>Crawford_2009</v>
      </c>
      <c r="N30" t="s">
        <v>222</v>
      </c>
      <c r="O30" s="145" t="s">
        <v>223</v>
      </c>
      <c r="P30"/>
      <c r="Q30" s="264" t="s">
        <v>256</v>
      </c>
      <c r="R30" s="269" t="s">
        <v>1154</v>
      </c>
      <c r="S30" s="1" t="s">
        <v>579</v>
      </c>
      <c r="T30" s="264" t="s">
        <v>580</v>
      </c>
      <c r="U30" s="264" t="s">
        <v>575</v>
      </c>
      <c r="V30">
        <v>0</v>
      </c>
      <c r="W30">
        <v>0</v>
      </c>
      <c r="X30">
        <v>0</v>
      </c>
      <c r="Y30">
        <v>0</v>
      </c>
      <c r="Z30">
        <v>0</v>
      </c>
      <c r="AA30">
        <v>0</v>
      </c>
      <c r="AB30">
        <v>0</v>
      </c>
      <c r="AC30">
        <v>0</v>
      </c>
      <c r="AD30">
        <v>0</v>
      </c>
      <c r="AE30">
        <v>0</v>
      </c>
      <c r="AF30">
        <v>0</v>
      </c>
      <c r="AG30">
        <v>0</v>
      </c>
      <c r="AH30">
        <v>0</v>
      </c>
      <c r="AI30">
        <v>0</v>
      </c>
      <c r="AJ30">
        <v>0</v>
      </c>
      <c r="AK30">
        <v>1</v>
      </c>
      <c r="AL30">
        <v>0</v>
      </c>
      <c r="AM30">
        <v>0</v>
      </c>
      <c r="AN30">
        <v>0</v>
      </c>
      <c r="AO30">
        <v>0</v>
      </c>
      <c r="AP30">
        <v>0</v>
      </c>
      <c r="AQ30">
        <v>0</v>
      </c>
      <c r="AR30">
        <v>0</v>
      </c>
      <c r="AS30">
        <v>0</v>
      </c>
      <c r="AT30">
        <v>0</v>
      </c>
      <c r="AU30">
        <v>0</v>
      </c>
      <c r="AV30">
        <v>0</v>
      </c>
      <c r="AW30">
        <v>0</v>
      </c>
      <c r="AX30" s="141">
        <f>COUNTIF(V30:AW30,"&lt;&gt;0")</f>
        <v>1</v>
      </c>
      <c r="AY30" s="141">
        <f>COUNTIF(V30:AL30,"&lt;&gt;0")</f>
        <v>1</v>
      </c>
      <c r="AZ30">
        <f>COUNTIF(V30:AC30,"&lt;&gt;0")</f>
        <v>0</v>
      </c>
      <c r="BA30">
        <f>COUNTIF(AD30:AI30,"&lt;&gt;0")</f>
        <v>0</v>
      </c>
      <c r="BB30">
        <f>COUNTIF(AJ30:AL30,"&lt;&gt;0")</f>
        <v>1</v>
      </c>
      <c r="BC30">
        <f>COUNTIF(AS30:AW30,"&lt;&gt;0")</f>
        <v>0</v>
      </c>
      <c r="BD30">
        <f>COUNTIF(AM30:AR30,"&lt;&gt;0")</f>
        <v>0</v>
      </c>
      <c r="BE30" t="str" cm="1">
        <f t="array" ref="BE30">IF(AY30=1,INDEX($V$7:$AL$7,MATCH(TRUE,INDEX($V30:$AW30&lt;&gt;0,),0)),IF(AY30=0,INDEX($AM$7:$AW$7,MATCH(1,$AM30:$AW30,0)),IF(BF30="Multiple strategies","mixed drivers",IF(BF30="Supply chain","multiple supply","multiple silviculture"))))</f>
        <v>technologies/design switch</v>
      </c>
      <c r="BF30" s="2" t="str" cm="1">
        <f t="array" ref="BF30">IF(COUNTIF(AZ30:BB30,"&lt;&gt;0")=1,INDEX($V$4:$AW$4,MATCH(TRUE,INDEX($V30:$AW30&lt;&gt;0,),0)),IF(COUNTIF(AZ30:BB30,"&lt;&gt;0")=0,INDEX($AM$4:$AW$4,MATCH(1,$AM30:$AW30,0)),"Multiple strategies"))</f>
        <v>Technology</v>
      </c>
      <c r="BG30" s="1" t="s">
        <v>229</v>
      </c>
      <c r="BH30" t="s">
        <v>572</v>
      </c>
      <c r="BI30"/>
      <c r="BJ30" t="s">
        <v>345</v>
      </c>
      <c r="BK30">
        <v>0</v>
      </c>
      <c r="BL30">
        <f>80.2*1460</f>
        <v>117092</v>
      </c>
      <c r="BM30"/>
      <c r="BN30">
        <f>BL30-BK30</f>
        <v>117092</v>
      </c>
      <c r="BO30">
        <f>BN30*kg_to_m3</f>
        <v>238.96326530612248</v>
      </c>
      <c r="BP30" s="264" t="s">
        <v>232</v>
      </c>
      <c r="BQ30" s="264"/>
      <c r="BR30" t="s">
        <v>573</v>
      </c>
      <c r="BS30">
        <v>-1491</v>
      </c>
      <c r="BT30">
        <v>-4208</v>
      </c>
      <c r="BU30" s="144">
        <v>2.8222669349429914</v>
      </c>
      <c r="BV30">
        <v>-2717</v>
      </c>
      <c r="BW30"/>
      <c r="BX30">
        <f>BV30</f>
        <v>-2717</v>
      </c>
      <c r="BY30">
        <f>IFERROR(BX30/BO30,"")</f>
        <v>-11.369948416629658</v>
      </c>
      <c r="BZ30">
        <v>0</v>
      </c>
      <c r="CA30">
        <v>0</v>
      </c>
      <c r="CB30">
        <v>0</v>
      </c>
      <c r="CC30">
        <v>0</v>
      </c>
      <c r="CD30">
        <v>0</v>
      </c>
      <c r="CE30">
        <v>0</v>
      </c>
      <c r="CF30">
        <v>0</v>
      </c>
      <c r="CG30">
        <v>0</v>
      </c>
      <c r="CH30">
        <v>0</v>
      </c>
      <c r="CI30">
        <v>0</v>
      </c>
      <c r="CJ30">
        <v>0</v>
      </c>
      <c r="CK30">
        <v>0</v>
      </c>
      <c r="CL30">
        <v>0</v>
      </c>
      <c r="CM30">
        <v>0</v>
      </c>
      <c r="CN30" t="str">
        <f>IF($BL30&lt;$BK30,"refNeedCorrection","refOK")</f>
        <v>refOK</v>
      </c>
      <c r="CO30">
        <f>IF($CN30="refNeedCorrection",BL30,BK30)</f>
        <v>0</v>
      </c>
      <c r="CP30">
        <f>IF($CN30="refNeedCorrection",BK30,BL30)</f>
        <v>117092</v>
      </c>
      <c r="CQ30">
        <f>IF($CN30="refOK",$BO30,-$BO30)</f>
        <v>238.96326530612248</v>
      </c>
      <c r="CR30">
        <f>IF($CN30="refOK",$BS30,$BT30)*IF($BP30="Emissions positive",-1,1)</f>
        <v>-1491</v>
      </c>
      <c r="CS30">
        <f>IF($CN30="refOK",$BT30,$BS30)*IF($BP30="Emissions positive",-1,1)</f>
        <v>-4208</v>
      </c>
      <c r="CT30">
        <f>IF($CN30="refNeedCorrection",-BX30,BX30)*IF($BP30="Emissions positive",-1,1)</f>
        <v>-2717</v>
      </c>
      <c r="CU30">
        <f>IFERROR(CT30/CQ30,"")</f>
        <v>-11.369948416629658</v>
      </c>
      <c r="CV30" s="2">
        <f>IFERROR((CS30-CR30)/ABS(CR30),"")</f>
        <v>-1.8222669349429912</v>
      </c>
      <c r="CW30" s="1" t="s">
        <v>263</v>
      </c>
      <c r="CX30" s="264" t="str">
        <f>IF(OR($CW30="prd",$CW30="std",$CW30="cit"),"loc",IF(OR($CW30="eur",$CW30="reg",$CW30="coy"),"reg",$CW30))</f>
        <v>loc</v>
      </c>
      <c r="CY30" t="s">
        <v>574</v>
      </c>
      <c r="CZ30"/>
      <c r="DA30"/>
      <c r="DB30">
        <v>100</v>
      </c>
      <c r="DC30" t="str">
        <f>IF(DB30=0,"0",IF(AND(DB30&gt;=1,DB30&lt;=30),"1-30",IF(AND(DB30&gt;30,DB30&lt;=70),"31-70",IF(AND(DB30&gt;70,DB30&lt;=100),"71-100",IF(DB30&gt;100,"+100")))))</f>
        <v>71-100</v>
      </c>
      <c r="DD30">
        <v>0</v>
      </c>
      <c r="DE30">
        <v>0</v>
      </c>
      <c r="DF30">
        <v>0</v>
      </c>
      <c r="DG30">
        <v>1</v>
      </c>
      <c r="DH30"/>
      <c r="DI30">
        <f>SUM(DD30:DG30)</f>
        <v>1</v>
      </c>
      <c r="DJ30" t="str">
        <f>IF(DI30=1,INDEX($DD$7:$DG$7,MATCH(1,$DD30:$DG30,0)),"mixedProduct")</f>
        <v>TimberInput</v>
      </c>
      <c r="DK30">
        <f>IF(DD30=1,DK$7,0)</f>
        <v>0</v>
      </c>
      <c r="DL30">
        <f>IF(DE30=1,DL$7,0)</f>
        <v>0</v>
      </c>
      <c r="DM30">
        <f>IF(DF30=1,DM$7,0)</f>
        <v>0</v>
      </c>
      <c r="DN30" t="str">
        <f>IF(DG30=1,DN$7,0)</f>
        <v>Timber</v>
      </c>
      <c r="DO30">
        <v>0</v>
      </c>
      <c r="DP30">
        <v>0</v>
      </c>
      <c r="DQ30">
        <v>0</v>
      </c>
      <c r="DR30">
        <v>0</v>
      </c>
      <c r="DS30">
        <v>0</v>
      </c>
      <c r="DT30">
        <f>SUM(DO30:DP30)</f>
        <v>0</v>
      </c>
      <c r="DU30" s="143" t="str">
        <f>IF(DO30=1,"self-calculated DF",IF(DP30=1,"external DF used","explicit C balance"))</f>
        <v>explicit C balance</v>
      </c>
      <c r="DV30">
        <v>0</v>
      </c>
      <c r="DW30">
        <v>1</v>
      </c>
      <c r="DX30">
        <v>0</v>
      </c>
      <c r="DY30">
        <v>1</v>
      </c>
      <c r="DZ30">
        <v>1</v>
      </c>
      <c r="EA30" s="143">
        <v>0</v>
      </c>
      <c r="EB30">
        <v>1</v>
      </c>
      <c r="EC30">
        <v>1</v>
      </c>
      <c r="ED30">
        <v>0</v>
      </c>
      <c r="EE30">
        <v>1</v>
      </c>
      <c r="EF30">
        <v>0</v>
      </c>
      <c r="EG30">
        <v>0</v>
      </c>
      <c r="EH30">
        <v>0</v>
      </c>
      <c r="EI30" s="2">
        <v>0</v>
      </c>
      <c r="EJ30" s="1"/>
      <c r="EK30" t="str">
        <f>IF(AND(AND(AND(OR($DX30=1,$DW30=1),OR($EC30=1,$EA30=1)),SUM($DV30:$DZ30,$EF30)&gt;=4),SUM($EA30:$EE30)&gt;=2),"Whole sector","")</f>
        <v/>
      </c>
      <c r="EL30" t="str">
        <f>IF(AND(AND(OR($DX30=1,$DW30=1),AND($EC30=0,$EA30=0)),SUM($DV30:$DZ30,$EF30)&gt;=4),"Ecosystem approach","")</f>
        <v/>
      </c>
      <c r="EM30" s="2" t="str">
        <f>IF(AND(AND(AND($DX30=0,$DW30=0),OR($EC30=1,$EA30=1)),SUM($EB30:$EE30)&gt;=2),"Technology approach","")</f>
        <v/>
      </c>
      <c r="EN30" t="s">
        <v>583</v>
      </c>
      <c r="EO30"/>
      <c r="EP30" t="str">
        <f>IF(ISNUMBER(BU30),IF(ABS(BU30-[3]QC_indicators!$B$2)&gt;3*[3]QC_indicators!$C$2,"C ratio",IF(ISNUMBER(BY30),IF(ABS(BY30-[3]QC_indicators!$B$1)&gt;3*[3]QC_indicators!$C$1,"DF","no"))),IF(ISNUMBER(BY30),IF(ABS(BY30-[3]QC_indicators!$B$1)&gt;3*[3]QC_indicators!$C$1,"DF","no")))</f>
        <v>DF</v>
      </c>
      <c r="EQ30"/>
      <c r="ER30" s="294" t="s">
        <v>349</v>
      </c>
      <c r="ES30"/>
      <c r="ET30" s="264" t="s">
        <v>3407</v>
      </c>
      <c r="EU30"/>
    </row>
    <row r="31" spans="1:151" s="139" customFormat="1" ht="15" customHeight="1">
      <c r="A31" s="1" t="s">
        <v>1270</v>
      </c>
      <c r="B31" t="s">
        <v>1271</v>
      </c>
      <c r="C31" t="s">
        <v>1272</v>
      </c>
      <c r="D31" t="s">
        <v>1273</v>
      </c>
      <c r="E31" t="s">
        <v>1274</v>
      </c>
      <c r="F31" t="s">
        <v>1275</v>
      </c>
      <c r="G31" t="s">
        <v>1276</v>
      </c>
      <c r="H31"/>
      <c r="I31">
        <v>2019</v>
      </c>
      <c r="J31"/>
      <c r="K31" t="s">
        <v>1277</v>
      </c>
      <c r="L31"/>
      <c r="M31" t="str">
        <f>LEFT($D31,FIND(",",$D31)-1)&amp;"_"&amp;I31&amp;L31</f>
        <v>Baskent_2019</v>
      </c>
      <c r="N31" t="s">
        <v>222</v>
      </c>
      <c r="O31" s="140" t="s">
        <v>513</v>
      </c>
      <c r="P31"/>
      <c r="Q31" t="s">
        <v>224</v>
      </c>
      <c r="R31" s="269" t="s">
        <v>274</v>
      </c>
      <c r="S31" s="1" t="s">
        <v>1278</v>
      </c>
      <c r="T31" s="143" t="s">
        <v>1279</v>
      </c>
      <c r="U31" t="s">
        <v>1111</v>
      </c>
      <c r="V31" s="143">
        <v>0</v>
      </c>
      <c r="W31" s="143">
        <v>0</v>
      </c>
      <c r="X31" s="143">
        <v>0</v>
      </c>
      <c r="Y31" s="143">
        <v>1</v>
      </c>
      <c r="Z31" s="143">
        <v>2</v>
      </c>
      <c r="AA31" s="143">
        <v>0</v>
      </c>
      <c r="AB31" s="143">
        <v>0</v>
      </c>
      <c r="AC31" s="143">
        <v>0</v>
      </c>
      <c r="AD31">
        <v>0</v>
      </c>
      <c r="AE31">
        <v>0</v>
      </c>
      <c r="AF31">
        <v>2</v>
      </c>
      <c r="AG31">
        <v>0</v>
      </c>
      <c r="AH31">
        <v>0</v>
      </c>
      <c r="AI31">
        <v>0</v>
      </c>
      <c r="AJ31">
        <v>2</v>
      </c>
      <c r="AK31">
        <v>0</v>
      </c>
      <c r="AL31">
        <v>0</v>
      </c>
      <c r="AM31">
        <v>0</v>
      </c>
      <c r="AN31">
        <v>2</v>
      </c>
      <c r="AO31">
        <v>2</v>
      </c>
      <c r="AP31">
        <v>0</v>
      </c>
      <c r="AQ31">
        <v>0</v>
      </c>
      <c r="AR31">
        <v>0</v>
      </c>
      <c r="AS31">
        <v>2</v>
      </c>
      <c r="AT31">
        <v>0</v>
      </c>
      <c r="AU31">
        <v>0</v>
      </c>
      <c r="AV31">
        <v>0</v>
      </c>
      <c r="AW31">
        <v>2</v>
      </c>
      <c r="AX31" s="141">
        <f>COUNTIF(V31:AW31,"&lt;&gt;0")</f>
        <v>8</v>
      </c>
      <c r="AY31" s="141">
        <f>COUNTIF(V31:AL31,"&lt;&gt;0")</f>
        <v>4</v>
      </c>
      <c r="AZ31">
        <f>COUNTIF(V31:AC31,"&lt;&gt;0")</f>
        <v>2</v>
      </c>
      <c r="BA31">
        <f>COUNTIF(AD31:AI31,"&lt;&gt;0")</f>
        <v>1</v>
      </c>
      <c r="BB31">
        <f>COUNTIF(AJ31:AL31,"&lt;&gt;0")</f>
        <v>1</v>
      </c>
      <c r="BC31">
        <f>COUNTIF(AS31:AW31,"&lt;&gt;0")</f>
        <v>2</v>
      </c>
      <c r="BD31">
        <f>COUNTIF(AM31:AR31,"&lt;&gt;0")</f>
        <v>2</v>
      </c>
      <c r="BE31" t="str">
        <f t="array" ref="BE31">IF(AY31=1,INDEX($V$7:$AL$7,MATCH(TRUE,INDEX($V31:$AW31&lt;&gt;0,),0)),IF(AY31=0,INDEX($AM$7:$AW$7,MATCH(1,$AM31:$AW31,0)),IF(BF31="Multiple strategies","mixed drivers",IF(BF31="Supply chain","multiple supply","multiple silviculture"))))</f>
        <v>mixed drivers</v>
      </c>
      <c r="BF31" s="2" t="str" cm="1">
        <f t="array" ref="BF31">IF(COUNTIF(AZ31:BB31,"&lt;&gt;0")=1,INDEX($V$4:$AW$4,MATCH(TRUE,INDEX($V31:$AW31&lt;&gt;0,),0)),IF(COUNTIF(AZ31:BB31,"&lt;&gt;0")=0,INDEX($AM$4:$AW$4,MATCH(1,$AM31:$AW31,0)),"Multiple strategies"))</f>
        <v>Multiple strategies</v>
      </c>
      <c r="BG31" s="1" t="s">
        <v>321</v>
      </c>
      <c r="BH31" t="s">
        <v>1280</v>
      </c>
      <c r="BI31"/>
      <c r="BJ31" s="143" t="s">
        <v>278</v>
      </c>
      <c r="BK31">
        <v>21.305418719211811</v>
      </c>
      <c r="BL31">
        <v>22.204433497536925</v>
      </c>
      <c r="BM31">
        <f>BL31/BK31</f>
        <v>1.0421965317919071</v>
      </c>
      <c r="BN31">
        <f>BL31-BK31</f>
        <v>0.89901477832511389</v>
      </c>
      <c r="BO31" s="143">
        <f>BN31*tC_to_m3</f>
        <v>3.9036681646770037</v>
      </c>
      <c r="BP31" t="s">
        <v>232</v>
      </c>
      <c r="BQ31" s="333" t="s">
        <v>787</v>
      </c>
      <c r="BR31" s="143" t="s">
        <v>278</v>
      </c>
      <c r="BS31">
        <v>54.215357944132023</v>
      </c>
      <c r="BT31">
        <v>42.123971298234274</v>
      </c>
      <c r="BU31" s="144">
        <f>IFERROR(BT31/BS31,"")</f>
        <v>0.77697488120695035</v>
      </c>
      <c r="BV31">
        <f>BT31-BS31</f>
        <v>-12.091386645897749</v>
      </c>
      <c r="BW31"/>
      <c r="BX31">
        <f>BV31*C_to_CO2</f>
        <v>-44.375388990444741</v>
      </c>
      <c r="BY31">
        <f>IFERROR(BX31/BO31,"")</f>
        <v>-11.367613003580297</v>
      </c>
      <c r="BZ31" s="143">
        <v>0</v>
      </c>
      <c r="CA31" s="143">
        <v>0</v>
      </c>
      <c r="CB31" s="143">
        <v>0</v>
      </c>
      <c r="CC31" s="143">
        <v>0</v>
      </c>
      <c r="CD31" s="143">
        <v>0</v>
      </c>
      <c r="CE31" s="143">
        <v>0</v>
      </c>
      <c r="CF31" s="143">
        <v>0</v>
      </c>
      <c r="CG31" s="143">
        <v>1</v>
      </c>
      <c r="CH31" s="143">
        <v>0</v>
      </c>
      <c r="CI31" s="143">
        <v>1</v>
      </c>
      <c r="CJ31" s="143">
        <v>1</v>
      </c>
      <c r="CK31" s="143">
        <v>0</v>
      </c>
      <c r="CL31" s="143">
        <v>1</v>
      </c>
      <c r="CM31" s="143">
        <v>0</v>
      </c>
      <c r="CN31" t="str">
        <f>IF($BL31&lt;$BK31,"refNeedCorrection","refOK")</f>
        <v>refOK</v>
      </c>
      <c r="CO31">
        <f>IF($CN31="refOK",$BK31,$BL31)</f>
        <v>21.305418719211811</v>
      </c>
      <c r="CP31">
        <f>IF($CN31="refOK",$BL31,$BK31)</f>
        <v>22.204433497536925</v>
      </c>
      <c r="CQ31">
        <f>IF($CN31="refOK",$BO31,-$BO31)</f>
        <v>3.9036681646770037</v>
      </c>
      <c r="CR31">
        <f>IF($CN31="refOK",$BS31,$BT31)*IF($BP31="Emissions positive",-1,1)</f>
        <v>54.215357944132023</v>
      </c>
      <c r="CS31">
        <f>IF($CN31="refOK",$BT31,$BS31)*IF($BP31="Emissions positive",-1,1)</f>
        <v>42.123971298234274</v>
      </c>
      <c r="CT31">
        <f>IF($CN31="refNeedCorrection",-BX31,BX31)*IF($BP31="Emissions positive",-1,1)</f>
        <v>-44.375388990444741</v>
      </c>
      <c r="CU31">
        <f>IFERROR(CT31/CQ31,"")</f>
        <v>-11.367613003580297</v>
      </c>
      <c r="CV31" s="2">
        <f>IFERROR((CS31-CR31)/ABS(CR31),"")</f>
        <v>-0.22302511879304959</v>
      </c>
      <c r="CW31" s="1" t="s">
        <v>1199</v>
      </c>
      <c r="CX31" t="str">
        <f>IF(OR($CW31="prd",$CW31="std",$CW31="cit"),"loc",IF(OR($CW31="eur",$CW31="reg",$CW31="coy"),"reg",$CW31))</f>
        <v>reg</v>
      </c>
      <c r="CY31" t="s">
        <v>1281</v>
      </c>
      <c r="CZ31">
        <v>2010</v>
      </c>
      <c r="DA31" s="143">
        <v>2100</v>
      </c>
      <c r="DB31" s="143">
        <f>DA31-CZ31</f>
        <v>90</v>
      </c>
      <c r="DC31" t="str">
        <f>IF(DB31=0,"0",IF(AND(DB31&gt;=1,DB31&lt;=30),"1-30",IF(AND(DB31&gt;30,DB31&lt;=70),"31-70",IF(AND(DB31&gt;70,DB31&lt;=100),"71-100",IF(DB31&gt;100,"+100")))))</f>
        <v>71-100</v>
      </c>
      <c r="DD31">
        <v>1</v>
      </c>
      <c r="DE31">
        <v>1</v>
      </c>
      <c r="DF31">
        <v>1</v>
      </c>
      <c r="DG31">
        <v>1</v>
      </c>
      <c r="DH31"/>
      <c r="DI31">
        <f>SUM(DD31:DG31)</f>
        <v>4</v>
      </c>
      <c r="DJ31" t="str">
        <f>IF(DI31=1,INDEX($DD$7:$DG$7,MATCH(1,$DD31:$DG31,0)),"mixedProduct")</f>
        <v>mixedProduct</v>
      </c>
      <c r="DK31" t="str">
        <f>IF(DD31=1,DK$7,0)</f>
        <v>Upstream</v>
      </c>
      <c r="DL31" t="str">
        <f>IF(DE31=1,DL$7,0)</f>
        <v>Energy</v>
      </c>
      <c r="DM31" t="str">
        <f>IF(DF31=1,DM$7,0)</f>
        <v>Pulp/Paper</v>
      </c>
      <c r="DN31" t="str">
        <f>IF(DG31=1,DN$7,0)</f>
        <v>Timber</v>
      </c>
      <c r="DO31" s="143">
        <v>1</v>
      </c>
      <c r="DP31">
        <v>0</v>
      </c>
      <c r="DQ31" s="143">
        <v>0</v>
      </c>
      <c r="DR31" s="143">
        <v>0</v>
      </c>
      <c r="DS31" s="143" t="s">
        <v>1282</v>
      </c>
      <c r="DT31">
        <f>SUM(DO31:DP31)</f>
        <v>1</v>
      </c>
      <c r="DU31" s="143" t="str">
        <f>IF(DO31=1,"self-calculated DF",IF(DP31=1,"external DF used","explicit C balance"))</f>
        <v>self-calculated DF</v>
      </c>
      <c r="DV31" s="143">
        <v>0</v>
      </c>
      <c r="DW31">
        <v>1</v>
      </c>
      <c r="DX31" s="143">
        <v>1</v>
      </c>
      <c r="DY31" s="143">
        <v>1</v>
      </c>
      <c r="DZ31">
        <v>1</v>
      </c>
      <c r="EA31">
        <v>0</v>
      </c>
      <c r="EB31" s="143">
        <v>0</v>
      </c>
      <c r="EC31">
        <v>0</v>
      </c>
      <c r="ED31" s="143">
        <v>0</v>
      </c>
      <c r="EE31">
        <v>0</v>
      </c>
      <c r="EF31">
        <v>1</v>
      </c>
      <c r="EG31" s="143">
        <v>0</v>
      </c>
      <c r="EH31">
        <v>0</v>
      </c>
      <c r="EI31" s="2">
        <v>0</v>
      </c>
      <c r="EJ31" s="1"/>
      <c r="EK31" t="str">
        <f>IF(AND(AND(AND(OR($DX31=1,$DW31=1),OR($EC31=1,$EA31=1)),SUM($DV31:$DZ31,$EF31)&gt;=4),SUM($EA31:$EE31)&gt;=2),"Whole sector","")</f>
        <v/>
      </c>
      <c r="EL31" t="str">
        <f>IF(AND(AND(OR($DX31=1,$DW31=1),AND($EC31=0,$EA31=0)),SUM($DV31:$DZ31,$EF31)&gt;=4),"Ecosystem approach","")</f>
        <v>Ecosystem approach</v>
      </c>
      <c r="EM31" s="2" t="str">
        <f>IF(AND(AND(AND($DX31=0,$DW31=0),OR($EC31=1,$EA31=1)),SUM($EB31:$EE31)&gt;=2),"Technology approach","")</f>
        <v/>
      </c>
      <c r="EN31" t="s">
        <v>1283</v>
      </c>
      <c r="EO31"/>
      <c r="EP31" t="str">
        <f>IF(ISNUMBER(BU31),IF(ABS(BU31-[2]QC_indicators!$B$2)&gt;3*[2]QC_indicators!$C$2,"C ratio",IF(ISNUMBER(BY31),IF(ABS(BY31-[2]QC_indicators!$B$1)&gt;3*[2]QC_indicators!$C$1,"DF","no"))),IF(ISNUMBER(BY31),IF(ABS(BY31-[2]QC_indicators!$B$1)&gt;3*[2]QC_indicators!$C$1,"DF","no")))</f>
        <v>DF</v>
      </c>
      <c r="EQ31" t="s">
        <v>286</v>
      </c>
      <c r="ER31" t="s">
        <v>1284</v>
      </c>
      <c r="ES31"/>
      <c r="ET31" s="264" t="s">
        <v>3273</v>
      </c>
      <c r="EU31"/>
    </row>
    <row r="32" spans="1:151" s="139" customFormat="1" ht="15" customHeight="1">
      <c r="A32" s="1" t="s">
        <v>1045</v>
      </c>
      <c r="B32" t="s">
        <v>1046</v>
      </c>
      <c r="C32" t="s">
        <v>1047</v>
      </c>
      <c r="D32" t="s">
        <v>1048</v>
      </c>
      <c r="E32" t="s">
        <v>1049</v>
      </c>
      <c r="F32" t="s">
        <v>1050</v>
      </c>
      <c r="G32" t="s">
        <v>1051</v>
      </c>
      <c r="H32" t="s">
        <v>254</v>
      </c>
      <c r="I32">
        <v>2014</v>
      </c>
      <c r="J32">
        <v>23</v>
      </c>
      <c r="K32" t="s">
        <v>1052</v>
      </c>
      <c r="L32"/>
      <c r="M32" t="str">
        <f>LEFT($D32,FIND(",",$D32)-1)&amp;"_"&amp;I32&amp;L32</f>
        <v>Pyorala_2014</v>
      </c>
      <c r="N32" t="s">
        <v>222</v>
      </c>
      <c r="O32" s="171" t="s">
        <v>341</v>
      </c>
      <c r="P32" t="s">
        <v>225</v>
      </c>
      <c r="Q32" s="264" t="s">
        <v>389</v>
      </c>
      <c r="R32" s="269" t="s">
        <v>1154</v>
      </c>
      <c r="S32" s="1" t="s">
        <v>1053</v>
      </c>
      <c r="T32" s="264" t="s">
        <v>1054</v>
      </c>
      <c r="U32" s="264" t="s">
        <v>1055</v>
      </c>
      <c r="V32">
        <v>0</v>
      </c>
      <c r="W32">
        <v>0</v>
      </c>
      <c r="X32">
        <v>0</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s="141">
        <f>COUNTIF(V32:AW32,"&lt;&gt;0")</f>
        <v>1</v>
      </c>
      <c r="AY32" s="141">
        <f>COUNTIF(V32:AL32,"&lt;&gt;0")</f>
        <v>1</v>
      </c>
      <c r="AZ32">
        <f>COUNTIF(V32:AC32,"&lt;&gt;0")</f>
        <v>1</v>
      </c>
      <c r="BA32">
        <f>COUNTIF(AD32:AI32,"&lt;&gt;0")</f>
        <v>0</v>
      </c>
      <c r="BB32">
        <f>COUNTIF(AJ32:AL32,"&lt;&gt;0")</f>
        <v>0</v>
      </c>
      <c r="BC32">
        <f>COUNTIF(AS32:AW32,"&lt;&gt;0")</f>
        <v>0</v>
      </c>
      <c r="BD32">
        <f>COUNTIF(AM32:AR32,"&lt;&gt;0")</f>
        <v>0</v>
      </c>
      <c r="BE32" t="str" cm="1">
        <f t="array" ref="BE32">IF(AY32=1,INDEX($V$7:$AL$7,MATCH(TRUE,INDEX($V32:$AW32&lt;&gt;0,),0)),IF(AY32=0,INDEX($AM$7:$AW$7,MATCH(1,$AM32:$AW32,0)),IF(BF32="Multiple strategies","mixed drivers",IF(BF32="Supply chain","multiple supply","multiple silviculture"))))</f>
        <v xml:space="preserve">cutting intensity </v>
      </c>
      <c r="BF32" s="2" t="str" cm="1">
        <f t="array" ref="BF32">IF(COUNTIF(AZ32:BB32,"&lt;&gt;0")=1,INDEX($V$4:$AW$4,MATCH(TRUE,INDEX($V32:$AW32&lt;&gt;0,),0)),IF(COUNTIF(AZ32:BB32,"&lt;&gt;0")=0,INDEX($AM$4:$AW$4,MATCH(1,$AM32:$AW32,0)),"Multiple strategies"))</f>
        <v>Silviculture for removals</v>
      </c>
      <c r="BG32" s="1" t="s">
        <v>321</v>
      </c>
      <c r="BH32" t="s">
        <v>1056</v>
      </c>
      <c r="BI32" s="264" t="s">
        <v>1057</v>
      </c>
      <c r="BJ32" s="264" t="s">
        <v>1058</v>
      </c>
      <c r="BK32">
        <v>3.45</v>
      </c>
      <c r="BL32">
        <v>3.5</v>
      </c>
      <c r="BM32">
        <f>IFERROR(BL32/BK32,"")</f>
        <v>1.0144927536231882</v>
      </c>
      <c r="BN32">
        <f>BL32-BK32</f>
        <v>4.9999999999999822E-2</v>
      </c>
      <c r="BO32">
        <f>BN32*t_to_m3</f>
        <v>0.10204081632653025</v>
      </c>
      <c r="BP32" t="s">
        <v>395</v>
      </c>
      <c r="BQ32" t="s">
        <v>972</v>
      </c>
      <c r="BR32" t="s">
        <v>1059</v>
      </c>
      <c r="BS32" s="172">
        <v>-129</v>
      </c>
      <c r="BT32" s="172">
        <v>-19.5</v>
      </c>
      <c r="BU32" s="144"/>
      <c r="BV32">
        <f>BT32-BS32</f>
        <v>109.5</v>
      </c>
      <c r="BW32"/>
      <c r="BX32">
        <f>BV32*10^-6*10^4</f>
        <v>1.095</v>
      </c>
      <c r="BY32">
        <f>IFERROR(BX32/BO32,"")</f>
        <v>10.731000000000037</v>
      </c>
      <c r="BZ32">
        <v>0</v>
      </c>
      <c r="CA32">
        <v>0</v>
      </c>
      <c r="CB32">
        <v>0</v>
      </c>
      <c r="CC32">
        <v>0</v>
      </c>
      <c r="CD32">
        <v>0</v>
      </c>
      <c r="CE32">
        <v>0</v>
      </c>
      <c r="CF32">
        <v>0</v>
      </c>
      <c r="CG32">
        <v>0</v>
      </c>
      <c r="CH32">
        <v>0</v>
      </c>
      <c r="CI32">
        <v>0</v>
      </c>
      <c r="CJ32">
        <v>0</v>
      </c>
      <c r="CK32">
        <v>0</v>
      </c>
      <c r="CL32">
        <v>0</v>
      </c>
      <c r="CM32">
        <v>0</v>
      </c>
      <c r="CN32" t="str">
        <f>IF($BL32&lt;$BK32,"refNeedCorrection","refOK")</f>
        <v>refOK</v>
      </c>
      <c r="CO32">
        <f>IF($CN32="refOK",$BK32,$BL32)</f>
        <v>3.45</v>
      </c>
      <c r="CP32">
        <f>IF($CN32="refOK",$BL32,$BK32)</f>
        <v>3.5</v>
      </c>
      <c r="CQ32">
        <f>IF($CN32="refOK",$BO32,-$BO32)</f>
        <v>0.10204081632653025</v>
      </c>
      <c r="CR32">
        <f>IF($CN32="refOK",$BS32,$BT32)*IF($BP32="Emissions positive",-1,1)</f>
        <v>129</v>
      </c>
      <c r="CS32">
        <f>IF($CN32="refOK",$BT32,$BS32)*IF($BP32="Emissions positive",-1,1)</f>
        <v>19.5</v>
      </c>
      <c r="CT32">
        <f>IF($CN32="refNeedCorrection",-BX32,BX32)*IF($BP32="Emissions positive",-1,1)</f>
        <v>-1.095</v>
      </c>
      <c r="CU32">
        <f>IFERROR(CT32/CQ32,"")</f>
        <v>-10.731000000000037</v>
      </c>
      <c r="CV32" s="2">
        <f>IFERROR((CS32-CR32)/ABS(CR32),"")</f>
        <v>-0.84883720930232553</v>
      </c>
      <c r="CW32" s="1" t="s">
        <v>263</v>
      </c>
      <c r="CX32" s="264" t="str">
        <f>IF(OR($CW32="prd",$CW32="std",$CW32="cit"),"loc",IF(OR($CW32="eur",$CW32="reg",$CW32="coy"),"reg",$CW32))</f>
        <v>loc</v>
      </c>
      <c r="CY32" t="s">
        <v>235</v>
      </c>
      <c r="CZ32"/>
      <c r="DA32"/>
      <c r="DB32">
        <v>50</v>
      </c>
      <c r="DC32" t="str">
        <f>IF(DB32=0,"0",IF(AND(DB32&gt;=1,DB32&lt;=30),"1-30",IF(AND(DB32&gt;30,DB32&lt;=70),"31-70",IF(AND(DB32&gt;70,DB32&lt;=100),"71-100",IF(DB32&gt;100,"+100")))))</f>
        <v>31-70</v>
      </c>
      <c r="DD32">
        <v>0</v>
      </c>
      <c r="DE32">
        <v>1</v>
      </c>
      <c r="DF32">
        <v>0</v>
      </c>
      <c r="DG32">
        <v>1</v>
      </c>
      <c r="DH32"/>
      <c r="DI32">
        <f>SUM(DD32:DG32)</f>
        <v>2</v>
      </c>
      <c r="DJ32" t="str">
        <f>IF(DI32=1,INDEX($DD$7:$DG$7,MATCH(1,$DD32:$DG32,0)),"mixedProduct")</f>
        <v>mixedProduct</v>
      </c>
      <c r="DK32">
        <f>IF(DD32=1,DK$7,0)</f>
        <v>0</v>
      </c>
      <c r="DL32" t="str">
        <f>IF(DE32=1,DL$7,0)</f>
        <v>Energy</v>
      </c>
      <c r="DM32">
        <f>IF(DF32=1,DM$7,0)</f>
        <v>0</v>
      </c>
      <c r="DN32" t="str">
        <f>IF(DG32=1,DN$7,0)</f>
        <v>Timber</v>
      </c>
      <c r="DO32">
        <v>0</v>
      </c>
      <c r="DP32">
        <v>1</v>
      </c>
      <c r="DQ32" t="s">
        <v>1060</v>
      </c>
      <c r="DR32"/>
      <c r="DS32"/>
      <c r="DT32">
        <f>SUM(DO32:DP32)</f>
        <v>1</v>
      </c>
      <c r="DU32" s="143" t="str">
        <f>IF(DO32=1,"self-calculated DF",IF(DP32=1,"external DF used","explicit C balance"))</f>
        <v>external DF used</v>
      </c>
      <c r="DV32">
        <v>1</v>
      </c>
      <c r="DW32">
        <v>1</v>
      </c>
      <c r="DX32">
        <v>1</v>
      </c>
      <c r="DY32">
        <v>0</v>
      </c>
      <c r="DZ32">
        <v>0</v>
      </c>
      <c r="EA32" s="143">
        <v>0</v>
      </c>
      <c r="EB32">
        <v>1</v>
      </c>
      <c r="EC32">
        <v>1</v>
      </c>
      <c r="ED32">
        <v>0</v>
      </c>
      <c r="EE32">
        <v>0</v>
      </c>
      <c r="EF32">
        <v>1</v>
      </c>
      <c r="EG32">
        <v>0</v>
      </c>
      <c r="EH32">
        <v>0</v>
      </c>
      <c r="EI32" s="2">
        <v>0</v>
      </c>
      <c r="EJ32" s="1"/>
      <c r="EK32" t="str">
        <f>IF(AND(AND(AND(OR($DX32=1,$DW32=1),OR($EC32=1,$EA32=1)),SUM($DV32:$DZ32,$EF32)&gt;=4),SUM($EA32:$EE32)&gt;=2),"Whole sector","")</f>
        <v>Whole sector</v>
      </c>
      <c r="EL32" t="str">
        <f>IF(AND(AND(OR($DX32=1,$DW32=1),AND($EC32=0,$EA32=0)),SUM($DV32:$DZ32,$EF32)&gt;=4),"Ecosystem approach","")</f>
        <v/>
      </c>
      <c r="EM32" s="2" t="str">
        <f>IF(AND(AND(AND($DX32=0,$DW32=0),OR($EC32=1,$EA32=1)),SUM($EB32:$EE32)&gt;=2),"Technology approach","")</f>
        <v/>
      </c>
      <c r="EN32"/>
      <c r="EO32"/>
      <c r="EP32" t="str">
        <f>IF(ISNUMBER(BU32),IF(ABS(BU32-[3]QC_indicators!$B$2)&gt;3*[3]QC_indicators!$C$2,"C ratio",IF(ISNUMBER(BY32),IF(ABS(BY32-[3]QC_indicators!$B$1)&gt;3*[3]QC_indicators!$C$1,"DF","no"))),IF(ISNUMBER(BY32),IF(ABS(BY32-[3]QC_indicators!$B$1)&gt;3*[3]QC_indicators!$C$1,"DF","no")))</f>
        <v>DF</v>
      </c>
      <c r="EQ32"/>
      <c r="ER32" s="264" t="s">
        <v>1061</v>
      </c>
      <c r="ES32"/>
      <c r="ET32" s="264" t="s">
        <v>3407</v>
      </c>
      <c r="EU32"/>
    </row>
    <row r="33" spans="1:151" s="139" customFormat="1" ht="15" customHeight="1">
      <c r="A33" s="1" t="s">
        <v>562</v>
      </c>
      <c r="B33" t="s">
        <v>544</v>
      </c>
      <c r="C33" t="s">
        <v>563</v>
      </c>
      <c r="D33" t="s">
        <v>564</v>
      </c>
      <c r="E33" t="s">
        <v>565</v>
      </c>
      <c r="F33" t="s">
        <v>566</v>
      </c>
      <c r="G33" t="s">
        <v>567</v>
      </c>
      <c r="H33" t="s">
        <v>254</v>
      </c>
      <c r="I33">
        <v>2009</v>
      </c>
      <c r="J33">
        <v>16</v>
      </c>
      <c r="K33" t="s">
        <v>568</v>
      </c>
      <c r="L33"/>
      <c r="M33" t="str">
        <f>LEFT($D33,FIND(",",$D33)-1)&amp;"_"&amp;I33&amp;L33</f>
        <v>Crawford_2009</v>
      </c>
      <c r="N33" t="s">
        <v>222</v>
      </c>
      <c r="O33" s="145" t="s">
        <v>223</v>
      </c>
      <c r="P33"/>
      <c r="Q33" s="264" t="s">
        <v>256</v>
      </c>
      <c r="R33" s="269" t="s">
        <v>1154</v>
      </c>
      <c r="S33" s="1" t="s">
        <v>579</v>
      </c>
      <c r="T33" s="264" t="s">
        <v>582</v>
      </c>
      <c r="U33" s="264" t="s">
        <v>576</v>
      </c>
      <c r="V33">
        <v>0</v>
      </c>
      <c r="W33">
        <v>0</v>
      </c>
      <c r="X33">
        <v>0</v>
      </c>
      <c r="Y33">
        <v>0</v>
      </c>
      <c r="Z33">
        <v>0</v>
      </c>
      <c r="AA33">
        <v>0</v>
      </c>
      <c r="AB33">
        <v>0</v>
      </c>
      <c r="AC33">
        <v>0</v>
      </c>
      <c r="AD33">
        <v>0</v>
      </c>
      <c r="AE33">
        <v>0</v>
      </c>
      <c r="AF33">
        <v>0</v>
      </c>
      <c r="AG33">
        <v>0</v>
      </c>
      <c r="AH33">
        <v>0</v>
      </c>
      <c r="AI33">
        <v>0</v>
      </c>
      <c r="AJ33">
        <v>0</v>
      </c>
      <c r="AK33">
        <v>1</v>
      </c>
      <c r="AL33">
        <v>0</v>
      </c>
      <c r="AM33">
        <v>0</v>
      </c>
      <c r="AN33">
        <v>0</v>
      </c>
      <c r="AO33">
        <v>0</v>
      </c>
      <c r="AP33">
        <v>0</v>
      </c>
      <c r="AQ33">
        <v>0</v>
      </c>
      <c r="AR33">
        <v>0</v>
      </c>
      <c r="AS33">
        <v>0</v>
      </c>
      <c r="AT33">
        <v>0</v>
      </c>
      <c r="AU33">
        <v>0</v>
      </c>
      <c r="AV33">
        <v>0</v>
      </c>
      <c r="AW33">
        <v>0</v>
      </c>
      <c r="AX33" s="141">
        <f>COUNTIF(V33:AW33,"&lt;&gt;0")</f>
        <v>1</v>
      </c>
      <c r="AY33" s="141">
        <f>COUNTIF(V33:AL33,"&lt;&gt;0")</f>
        <v>1</v>
      </c>
      <c r="AZ33">
        <f>COUNTIF(V33:AC33,"&lt;&gt;0")</f>
        <v>0</v>
      </c>
      <c r="BA33">
        <f>COUNTIF(AD33:AI33,"&lt;&gt;0")</f>
        <v>0</v>
      </c>
      <c r="BB33">
        <f>COUNTIF(AJ33:AL33,"&lt;&gt;0")</f>
        <v>1</v>
      </c>
      <c r="BC33">
        <f>COUNTIF(AS33:AW33,"&lt;&gt;0")</f>
        <v>0</v>
      </c>
      <c r="BD33">
        <f>COUNTIF(AM33:AR33,"&lt;&gt;0")</f>
        <v>0</v>
      </c>
      <c r="BE33" t="str" cm="1">
        <f t="array" ref="BE33">IF(AY33=1,INDEX($V$7:$AL$7,MATCH(TRUE,INDEX($V33:$AW33&lt;&gt;0,),0)),IF(AY33=0,INDEX($AM$7:$AW$7,MATCH(1,$AM33:$AW33,0)),IF(BF33="Multiple strategies","mixed drivers",IF(BF33="Supply chain","multiple supply","multiple silviculture"))))</f>
        <v>technologies/design switch</v>
      </c>
      <c r="BF33" s="2" t="str" cm="1">
        <f t="array" ref="BF33">IF(COUNTIF(AZ33:BB33,"&lt;&gt;0")=1,INDEX($V$4:$AW$4,MATCH(TRUE,INDEX($V33:$AW33&lt;&gt;0,),0)),IF(COUNTIF(AZ33:BB33,"&lt;&gt;0")=0,INDEX($AM$4:$AW$4,MATCH(1,$AM33:$AW33,0)),"Multiple strategies"))</f>
        <v>Technology</v>
      </c>
      <c r="BG33" s="1" t="s">
        <v>229</v>
      </c>
      <c r="BH33" t="s">
        <v>572</v>
      </c>
      <c r="BI33"/>
      <c r="BJ33" t="s">
        <v>345</v>
      </c>
      <c r="BK33">
        <v>0</v>
      </c>
      <c r="BL33">
        <f>80.2*1460</f>
        <v>117092</v>
      </c>
      <c r="BM33"/>
      <c r="BN33">
        <f>BL33-BK33</f>
        <v>117092</v>
      </c>
      <c r="BO33">
        <f>BN33*kg_to_m3</f>
        <v>238.96326530612248</v>
      </c>
      <c r="BP33" s="264" t="s">
        <v>232</v>
      </c>
      <c r="BQ33" s="264"/>
      <c r="BR33" t="s">
        <v>573</v>
      </c>
      <c r="BS33">
        <v>-822</v>
      </c>
      <c r="BT33">
        <v>-3185</v>
      </c>
      <c r="BU33" s="144">
        <v>3.8746958637469588</v>
      </c>
      <c r="BV33">
        <v>-2363</v>
      </c>
      <c r="BW33"/>
      <c r="BX33">
        <f>BV33</f>
        <v>-2363</v>
      </c>
      <c r="BY33">
        <f>IFERROR(BX33/BO33,"")</f>
        <v>-9.8885491750076842</v>
      </c>
      <c r="BZ33">
        <v>0</v>
      </c>
      <c r="CA33">
        <v>0</v>
      </c>
      <c r="CB33">
        <v>0</v>
      </c>
      <c r="CC33">
        <v>0</v>
      </c>
      <c r="CD33">
        <v>0</v>
      </c>
      <c r="CE33">
        <v>0</v>
      </c>
      <c r="CF33">
        <v>0</v>
      </c>
      <c r="CG33">
        <v>0</v>
      </c>
      <c r="CH33">
        <v>0</v>
      </c>
      <c r="CI33">
        <v>0</v>
      </c>
      <c r="CJ33">
        <v>0</v>
      </c>
      <c r="CK33">
        <v>0</v>
      </c>
      <c r="CL33">
        <v>0</v>
      </c>
      <c r="CM33">
        <v>0</v>
      </c>
      <c r="CN33" t="str">
        <f>IF($BL33&lt;$BK33,"refNeedCorrection","refOK")</f>
        <v>refOK</v>
      </c>
      <c r="CO33">
        <f>IF($CN33="refNeedCorrection",BL33,BK33)</f>
        <v>0</v>
      </c>
      <c r="CP33">
        <f>IF($CN33="refNeedCorrection",BK33,BL33)</f>
        <v>117092</v>
      </c>
      <c r="CQ33">
        <f>IF($CN33="refOK",$BO33,-$BO33)</f>
        <v>238.96326530612248</v>
      </c>
      <c r="CR33">
        <f>IF($CN33="refOK",$BS33,$BT33)*IF($BP33="Emissions positive",-1,1)</f>
        <v>-822</v>
      </c>
      <c r="CS33">
        <f>IF($CN33="refOK",$BT33,$BS33)*IF($BP33="Emissions positive",-1,1)</f>
        <v>-3185</v>
      </c>
      <c r="CT33">
        <f>IF($CN33="refNeedCorrection",-BX33,BX33)*IF($BP33="Emissions positive",-1,1)</f>
        <v>-2363</v>
      </c>
      <c r="CU33">
        <f>IFERROR(CT33/CQ33,"")</f>
        <v>-9.8885491750076842</v>
      </c>
      <c r="CV33" s="2">
        <f>IFERROR((CS33-CR33)/ABS(CR33),"")</f>
        <v>-2.8746958637469588</v>
      </c>
      <c r="CW33" s="1" t="s">
        <v>263</v>
      </c>
      <c r="CX33" s="264" t="str">
        <f>IF(OR($CW33="prd",$CW33="std",$CW33="cit"),"loc",IF(OR($CW33="eur",$CW33="reg",$CW33="coy"),"reg",$CW33))</f>
        <v>loc</v>
      </c>
      <c r="CY33" t="s">
        <v>574</v>
      </c>
      <c r="CZ33"/>
      <c r="DA33"/>
      <c r="DB33">
        <v>100</v>
      </c>
      <c r="DC33" t="str">
        <f>IF(DB33=0,"0",IF(AND(DB33&gt;=1,DB33&lt;=30),"1-30",IF(AND(DB33&gt;30,DB33&lt;=70),"31-70",IF(AND(DB33&gt;70,DB33&lt;=100),"71-100",IF(DB33&gt;100,"+100")))))</f>
        <v>71-100</v>
      </c>
      <c r="DD33">
        <v>0</v>
      </c>
      <c r="DE33">
        <v>0</v>
      </c>
      <c r="DF33">
        <v>0</v>
      </c>
      <c r="DG33">
        <v>1</v>
      </c>
      <c r="DH33"/>
      <c r="DI33">
        <f>SUM(DD33:DG33)</f>
        <v>1</v>
      </c>
      <c r="DJ33" t="str">
        <f>IF(DI33=1,INDEX($DD$7:$DG$7,MATCH(1,$DD33:$DG33,0)),"mixedProduct")</f>
        <v>TimberInput</v>
      </c>
      <c r="DK33">
        <f>IF(DD33=1,DK$7,0)</f>
        <v>0</v>
      </c>
      <c r="DL33">
        <f>IF(DE33=1,DL$7,0)</f>
        <v>0</v>
      </c>
      <c r="DM33">
        <f>IF(DF33=1,DM$7,0)</f>
        <v>0</v>
      </c>
      <c r="DN33" t="str">
        <f>IF(DG33=1,DN$7,0)</f>
        <v>Timber</v>
      </c>
      <c r="DO33">
        <v>0</v>
      </c>
      <c r="DP33">
        <v>0</v>
      </c>
      <c r="DQ33">
        <v>0</v>
      </c>
      <c r="DR33">
        <v>0</v>
      </c>
      <c r="DS33">
        <v>0</v>
      </c>
      <c r="DT33">
        <f>SUM(DO33:DP33)</f>
        <v>0</v>
      </c>
      <c r="DU33" s="143" t="str">
        <f>IF(DO33=1,"self-calculated DF",IF(DP33=1,"external DF used","explicit C balance"))</f>
        <v>explicit C balance</v>
      </c>
      <c r="DV33">
        <v>0</v>
      </c>
      <c r="DW33">
        <v>1</v>
      </c>
      <c r="DX33">
        <v>0</v>
      </c>
      <c r="DY33">
        <v>1</v>
      </c>
      <c r="DZ33">
        <v>1</v>
      </c>
      <c r="EA33" s="143">
        <v>0</v>
      </c>
      <c r="EB33">
        <v>1</v>
      </c>
      <c r="EC33">
        <v>1</v>
      </c>
      <c r="ED33">
        <v>0</v>
      </c>
      <c r="EE33">
        <v>1</v>
      </c>
      <c r="EF33">
        <v>0</v>
      </c>
      <c r="EG33">
        <v>0</v>
      </c>
      <c r="EH33">
        <v>0</v>
      </c>
      <c r="EI33" s="2">
        <v>0</v>
      </c>
      <c r="EJ33" s="1"/>
      <c r="EK33" t="str">
        <f>IF(AND(AND(AND(OR($DX33=1,$DW33=1),OR($EC33=1,$EA33=1)),SUM($DV33:$DZ33,$EF33)&gt;=4),SUM($EA33:$EE33)&gt;=2),"Whole sector","")</f>
        <v/>
      </c>
      <c r="EL33" t="str">
        <f>IF(AND(AND(OR($DX33=1,$DW33=1),AND($EC33=0,$EA33=0)),SUM($DV33:$DZ33,$EF33)&gt;=4),"Ecosystem approach","")</f>
        <v/>
      </c>
      <c r="EM33" s="2" t="str">
        <f>IF(AND(AND(AND($DX33=0,$DW33=0),OR($EC33=1,$EA33=1)),SUM($EB33:$EE33)&gt;=2),"Technology approach","")</f>
        <v/>
      </c>
      <c r="EN33" t="s">
        <v>583</v>
      </c>
      <c r="EO33"/>
      <c r="EP33" t="str">
        <f>IF(ISNUMBER(BU33),IF(ABS(BU33-[3]QC_indicators!$B$2)&gt;3*[3]QC_indicators!$C$2,"C ratio",IF(ISNUMBER(BY33),IF(ABS(BY33-[3]QC_indicators!$B$1)&gt;3*[3]QC_indicators!$C$1,"DF","no"))),IF(ISNUMBER(BY33),IF(ABS(BY33-[3]QC_indicators!$B$1)&gt;3*[3]QC_indicators!$C$1,"DF","no")))</f>
        <v>DF</v>
      </c>
      <c r="EQ33"/>
      <c r="ER33" s="294" t="s">
        <v>349</v>
      </c>
      <c r="ES33"/>
      <c r="ET33" s="264" t="s">
        <v>3407</v>
      </c>
      <c r="EU33"/>
    </row>
    <row r="34" spans="1:151" s="139" customFormat="1" ht="15" customHeight="1">
      <c r="A34" s="1" t="s">
        <v>1270</v>
      </c>
      <c r="B34" t="s">
        <v>1271</v>
      </c>
      <c r="C34" t="s">
        <v>1272</v>
      </c>
      <c r="D34" t="s">
        <v>1273</v>
      </c>
      <c r="E34" t="s">
        <v>1274</v>
      </c>
      <c r="F34" t="s">
        <v>1275</v>
      </c>
      <c r="G34" t="s">
        <v>1276</v>
      </c>
      <c r="H34"/>
      <c r="I34">
        <v>2019</v>
      </c>
      <c r="J34"/>
      <c r="K34" s="264" t="s">
        <v>1277</v>
      </c>
      <c r="L34"/>
      <c r="M34" t="str">
        <f>LEFT($D34,FIND(",",$D34)-1)&amp;"_"&amp;I34&amp;L34</f>
        <v>Baskent_2019</v>
      </c>
      <c r="N34" t="s">
        <v>222</v>
      </c>
      <c r="O34" s="140" t="s">
        <v>513</v>
      </c>
      <c r="P34"/>
      <c r="Q34" t="s">
        <v>224</v>
      </c>
      <c r="R34" s="269" t="s">
        <v>274</v>
      </c>
      <c r="S34" s="1" t="s">
        <v>1278</v>
      </c>
      <c r="T34" s="143" t="s">
        <v>1279</v>
      </c>
      <c r="U34" t="s">
        <v>1111</v>
      </c>
      <c r="V34" s="143">
        <v>0</v>
      </c>
      <c r="W34" s="143">
        <v>0</v>
      </c>
      <c r="X34" s="143">
        <v>0</v>
      </c>
      <c r="Y34" s="143">
        <v>1</v>
      </c>
      <c r="Z34" s="143">
        <v>2</v>
      </c>
      <c r="AA34" s="143">
        <v>0</v>
      </c>
      <c r="AB34" s="143">
        <v>0</v>
      </c>
      <c r="AC34" s="143">
        <v>0</v>
      </c>
      <c r="AD34">
        <v>0</v>
      </c>
      <c r="AE34">
        <v>0</v>
      </c>
      <c r="AF34">
        <v>2</v>
      </c>
      <c r="AG34">
        <v>0</v>
      </c>
      <c r="AH34">
        <v>0</v>
      </c>
      <c r="AI34">
        <v>0</v>
      </c>
      <c r="AJ34">
        <v>2</v>
      </c>
      <c r="AK34">
        <v>0</v>
      </c>
      <c r="AL34">
        <v>0</v>
      </c>
      <c r="AM34">
        <v>0</v>
      </c>
      <c r="AN34">
        <v>2</v>
      </c>
      <c r="AO34">
        <v>2</v>
      </c>
      <c r="AP34">
        <v>0</v>
      </c>
      <c r="AQ34">
        <v>0</v>
      </c>
      <c r="AR34">
        <v>0</v>
      </c>
      <c r="AS34">
        <v>2</v>
      </c>
      <c r="AT34">
        <v>0</v>
      </c>
      <c r="AU34">
        <v>0</v>
      </c>
      <c r="AV34">
        <v>0</v>
      </c>
      <c r="AW34">
        <v>2</v>
      </c>
      <c r="AX34" s="141">
        <f>COUNTIF(V34:AW34,"&lt;&gt;0")</f>
        <v>8</v>
      </c>
      <c r="AY34" s="141">
        <f>COUNTIF(V34:AL34,"&lt;&gt;0")</f>
        <v>4</v>
      </c>
      <c r="AZ34">
        <f>COUNTIF(V34:AC34,"&lt;&gt;0")</f>
        <v>2</v>
      </c>
      <c r="BA34">
        <f>COUNTIF(AD34:AI34,"&lt;&gt;0")</f>
        <v>1</v>
      </c>
      <c r="BB34">
        <f>COUNTIF(AJ34:AL34,"&lt;&gt;0")</f>
        <v>1</v>
      </c>
      <c r="BC34">
        <f>COUNTIF(AS34:AW34,"&lt;&gt;0")</f>
        <v>2</v>
      </c>
      <c r="BD34">
        <f>COUNTIF(AM34:AR34,"&lt;&gt;0")</f>
        <v>2</v>
      </c>
      <c r="BE34" t="str">
        <f t="array" ref="BE34">IF(AY34=1,INDEX($V$7:$AL$7,MATCH(TRUE,INDEX($V34:$AW34&lt;&gt;0,),0)),IF(AY34=0,INDEX($AM$7:$AW$7,MATCH(1,$AM34:$AW34,0)),IF(BF34="Multiple strategies","mixed drivers",IF(BF34="Supply chain","multiple supply","multiple silviculture"))))</f>
        <v>mixed drivers</v>
      </c>
      <c r="BF34" s="2" t="str" cm="1">
        <f t="array" ref="BF34">IF(COUNTIF(AZ34:BB34,"&lt;&gt;0")=1,INDEX($V$4:$AW$4,MATCH(TRUE,INDEX($V34:$AW34&lt;&gt;0,),0)),IF(COUNTIF(AZ34:BB34,"&lt;&gt;0")=0,INDEX($AM$4:$AW$4,MATCH(1,$AM34:$AW34,0)),"Multiple strategies"))</f>
        <v>Multiple strategies</v>
      </c>
      <c r="BG34" s="1" t="s">
        <v>321</v>
      </c>
      <c r="BH34" t="s">
        <v>1280</v>
      </c>
      <c r="BI34"/>
      <c r="BJ34" s="143" t="s">
        <v>278</v>
      </c>
      <c r="BK34">
        <v>21.305418719211811</v>
      </c>
      <c r="BL34">
        <v>22.204433497536925</v>
      </c>
      <c r="BM34">
        <f>BL34/BK34</f>
        <v>1.0421965317919071</v>
      </c>
      <c r="BN34">
        <f>BL34-BK34</f>
        <v>0.89901477832511389</v>
      </c>
      <c r="BO34" s="143">
        <f>BN34*tC_to_m3</f>
        <v>3.9036681646770037</v>
      </c>
      <c r="BP34" t="s">
        <v>232</v>
      </c>
      <c r="BQ34" s="333" t="s">
        <v>787</v>
      </c>
      <c r="BR34" s="143" t="s">
        <v>278</v>
      </c>
      <c r="BS34">
        <v>42.671145411137601</v>
      </c>
      <c r="BT34">
        <v>32.530120481927703</v>
      </c>
      <c r="BU34" s="144">
        <f>IFERROR(BT34/BS34,"")</f>
        <v>0.76234467503740855</v>
      </c>
      <c r="BV34">
        <f>BT34-BS34</f>
        <v>-10.141024929209898</v>
      </c>
      <c r="BW34"/>
      <c r="BX34">
        <f>BV34*C_to_CO2</f>
        <v>-37.217561490200325</v>
      </c>
      <c r="BY34">
        <f>IFERROR(BX34/BO34,"")</f>
        <v>-9.5339972354642413</v>
      </c>
      <c r="BZ34" s="143">
        <v>0</v>
      </c>
      <c r="CA34" s="143">
        <v>0</v>
      </c>
      <c r="CB34" s="143">
        <v>0</v>
      </c>
      <c r="CC34" s="143">
        <v>0</v>
      </c>
      <c r="CD34" s="143">
        <v>0</v>
      </c>
      <c r="CE34" s="143">
        <v>0</v>
      </c>
      <c r="CF34" s="143">
        <v>0</v>
      </c>
      <c r="CG34" s="143">
        <v>1</v>
      </c>
      <c r="CH34" s="143">
        <v>0</v>
      </c>
      <c r="CI34" s="143">
        <v>1</v>
      </c>
      <c r="CJ34" s="143">
        <v>1</v>
      </c>
      <c r="CK34" s="143">
        <v>0</v>
      </c>
      <c r="CL34" s="143">
        <v>1</v>
      </c>
      <c r="CM34" s="143">
        <v>0</v>
      </c>
      <c r="CN34" t="str">
        <f>IF($BL34&lt;$BK34,"refNeedCorrection","refOK")</f>
        <v>refOK</v>
      </c>
      <c r="CO34">
        <f>IF($CN34="refOK",$BK34,$BL34)</f>
        <v>21.305418719211811</v>
      </c>
      <c r="CP34">
        <f>IF($CN34="refOK",$BL34,$BK34)</f>
        <v>22.204433497536925</v>
      </c>
      <c r="CQ34">
        <f>IF($CN34="refOK",$BO34,-$BO34)</f>
        <v>3.9036681646770037</v>
      </c>
      <c r="CR34">
        <f>IF($CN34="refOK",$BS34,$BT34)*IF($BP34="Emissions positive",-1,1)</f>
        <v>42.671145411137601</v>
      </c>
      <c r="CS34">
        <f>IF($CN34="refOK",$BT34,$BS34)*IF($BP34="Emissions positive",-1,1)</f>
        <v>32.530120481927703</v>
      </c>
      <c r="CT34">
        <f>IF($CN34="refNeedCorrection",-BX34,BX34)*IF($BP34="Emissions positive",-1,1)</f>
        <v>-37.217561490200325</v>
      </c>
      <c r="CU34">
        <f>IFERROR(CT34/CQ34,"")</f>
        <v>-9.5339972354642413</v>
      </c>
      <c r="CV34" s="2">
        <f>IFERROR((CS34-CR34)/ABS(CR34),"")</f>
        <v>-0.23765532496259142</v>
      </c>
      <c r="CW34" s="1" t="s">
        <v>1199</v>
      </c>
      <c r="CX34" t="str">
        <f>IF(OR($CW34="prd",$CW34="std",$CW34="cit"),"loc",IF(OR($CW34="eur",$CW34="reg",$CW34="coy"),"reg",$CW34))</f>
        <v>reg</v>
      </c>
      <c r="CY34" t="s">
        <v>1281</v>
      </c>
      <c r="CZ34">
        <v>2010</v>
      </c>
      <c r="DA34" s="143">
        <v>2100</v>
      </c>
      <c r="DB34" s="143">
        <f>DA34-CZ34</f>
        <v>90</v>
      </c>
      <c r="DC34" t="str">
        <f>IF(DB34=0,"0",IF(AND(DB34&gt;=1,DB34&lt;=30),"1-30",IF(AND(DB34&gt;30,DB34&lt;=70),"31-70",IF(AND(DB34&gt;70,DB34&lt;=100),"71-100",IF(DB34&gt;100,"+100")))))</f>
        <v>71-100</v>
      </c>
      <c r="DD34">
        <v>1</v>
      </c>
      <c r="DE34">
        <v>0</v>
      </c>
      <c r="DF34">
        <v>0</v>
      </c>
      <c r="DG34">
        <v>0</v>
      </c>
      <c r="DH34"/>
      <c r="DI34">
        <f>SUM(DD34:DG34)</f>
        <v>1</v>
      </c>
      <c r="DJ34" t="str">
        <f>IF(DI34=1,INDEX($DD$7:$DG$7,MATCH(1,$DD34:$DG34,0)),"mixedProduct")</f>
        <v>UpstreamInput</v>
      </c>
      <c r="DK34" t="str">
        <f>IF(DD34=1,DK$7,0)</f>
        <v>Upstream</v>
      </c>
      <c r="DL34">
        <f>IF(DE34=1,DL$7,0)</f>
        <v>0</v>
      </c>
      <c r="DM34">
        <f>IF(DF34=1,DM$7,0)</f>
        <v>0</v>
      </c>
      <c r="DN34">
        <f>IF(DG34=1,DN$7,0)</f>
        <v>0</v>
      </c>
      <c r="DO34" s="143">
        <v>1</v>
      </c>
      <c r="DP34">
        <v>0</v>
      </c>
      <c r="DQ34" s="143">
        <v>0</v>
      </c>
      <c r="DR34" s="143">
        <v>0</v>
      </c>
      <c r="DS34" s="143" t="s">
        <v>1282</v>
      </c>
      <c r="DT34">
        <f>SUM(DO34:DP34)</f>
        <v>1</v>
      </c>
      <c r="DU34" s="143" t="str">
        <f>IF(DO34=1,"self-calculated DF",IF(DP34=1,"external DF used","explicit C balance"))</f>
        <v>self-calculated DF</v>
      </c>
      <c r="DV34" s="143">
        <v>0</v>
      </c>
      <c r="DW34">
        <v>1</v>
      </c>
      <c r="DX34" s="143">
        <v>1</v>
      </c>
      <c r="DY34" s="143">
        <v>0</v>
      </c>
      <c r="DZ34">
        <v>0</v>
      </c>
      <c r="EA34">
        <v>0</v>
      </c>
      <c r="EB34" s="143">
        <v>0</v>
      </c>
      <c r="EC34">
        <v>0</v>
      </c>
      <c r="ED34" s="143">
        <v>0</v>
      </c>
      <c r="EE34">
        <v>0</v>
      </c>
      <c r="EF34">
        <v>1</v>
      </c>
      <c r="EG34" s="143">
        <v>0</v>
      </c>
      <c r="EH34">
        <v>0</v>
      </c>
      <c r="EI34" s="2">
        <v>0</v>
      </c>
      <c r="EJ34" s="1"/>
      <c r="EK34" t="str">
        <f>IF(AND(AND(AND(OR($DX34=1,$DW34=1),OR($EC34=1,$EA34=1)),SUM($DV34:$DZ34,$EF34)&gt;=4),SUM($EA34:$EE34)&gt;=2),"Whole sector","")</f>
        <v/>
      </c>
      <c r="EL34" t="str">
        <f>IF(AND(AND(OR($DX34=1,$DW34=1),AND($EC34=0,$EA34=0)),SUM($DV34:$DZ34,$EF34)&gt;=4),"Ecosystem approach","")</f>
        <v/>
      </c>
      <c r="EM34" s="2" t="str">
        <f>IF(AND(AND(AND($DX34=0,$DW34=0),OR($EC34=1,$EA34=1)),SUM($EB34:$EE34)&gt;=2),"Technology approach","")</f>
        <v/>
      </c>
      <c r="EN34" t="s">
        <v>1283</v>
      </c>
      <c r="EO34"/>
      <c r="EP34" t="str">
        <f>IF(ISNUMBER(BU34),IF(ABS(BU34-[2]QC_indicators!$B$2)&gt;3*[2]QC_indicators!$C$2,"C ratio",IF(ISNUMBER(BY34),IF(ABS(BY34-[2]QC_indicators!$B$1)&gt;3*[2]QC_indicators!$C$1,"DF","no"))),IF(ISNUMBER(BY34),IF(ABS(BY34-[2]QC_indicators!$B$1)&gt;3*[2]QC_indicators!$C$1,"DF","no")))</f>
        <v>DF</v>
      </c>
      <c r="EQ34" t="s">
        <v>286</v>
      </c>
      <c r="ER34" t="s">
        <v>1284</v>
      </c>
      <c r="ES34"/>
      <c r="ET34" s="264" t="s">
        <v>3273</v>
      </c>
      <c r="EU34"/>
    </row>
    <row r="35" spans="1:151" s="139" customFormat="1" ht="15" customHeight="1">
      <c r="A35" s="1" t="s">
        <v>2114</v>
      </c>
      <c r="B35" t="s">
        <v>544</v>
      </c>
      <c r="C35" t="s">
        <v>2277</v>
      </c>
      <c r="D35" t="s">
        <v>2278</v>
      </c>
      <c r="E35" t="s">
        <v>2279</v>
      </c>
      <c r="F35" t="s">
        <v>2280</v>
      </c>
      <c r="G35" t="s">
        <v>2115</v>
      </c>
      <c r="H35" t="s">
        <v>254</v>
      </c>
      <c r="I35">
        <v>2014</v>
      </c>
      <c r="J35">
        <v>96</v>
      </c>
      <c r="K35" t="s">
        <v>2281</v>
      </c>
      <c r="L35"/>
      <c r="M35" t="str">
        <f>LEFT($D35,FIND(",",$D35)-1)&amp;"_"&amp;I35&amp;L35</f>
        <v>Smyth_2014</v>
      </c>
      <c r="N35" t="s">
        <v>222</v>
      </c>
      <c r="O35" s="145" t="s">
        <v>341</v>
      </c>
      <c r="P35"/>
      <c r="Q35" t="s">
        <v>256</v>
      </c>
      <c r="R35" s="262" t="s">
        <v>223</v>
      </c>
      <c r="S35" s="1" t="s">
        <v>2290</v>
      </c>
      <c r="T35" t="s">
        <v>1155</v>
      </c>
      <c r="U35" s="264" t="s">
        <v>2286</v>
      </c>
      <c r="V35">
        <v>0</v>
      </c>
      <c r="W35">
        <v>0</v>
      </c>
      <c r="X35">
        <v>0</v>
      </c>
      <c r="Y35">
        <v>1</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s="141">
        <f>COUNTIF(V35:AW35,"&lt;&gt;0")</f>
        <v>1</v>
      </c>
      <c r="AY35" s="141">
        <f>COUNTIF(V35:AL35,"&lt;&gt;0")</f>
        <v>1</v>
      </c>
      <c r="AZ35">
        <f>COUNTIF(V35:AC35,"&lt;&gt;0")</f>
        <v>1</v>
      </c>
      <c r="BA35">
        <f>COUNTIF(AD35:AI35,"&lt;&gt;0")</f>
        <v>0</v>
      </c>
      <c r="BB35">
        <f>COUNTIF(AJ35:AL35,"&lt;&gt;0")</f>
        <v>0</v>
      </c>
      <c r="BC35">
        <f>COUNTIF(AS35:AW35,"&lt;&gt;0")</f>
        <v>0</v>
      </c>
      <c r="BD35">
        <f>COUNTIF(AM35:AR35,"&lt;&gt;0")</f>
        <v>0</v>
      </c>
      <c r="BE35" t="str">
        <f t="array" ref="BE35">IF(AY35=1,INDEX($V$7:$AL$7,MATCH(TRUE,INDEX($V35:$AW35&lt;&gt;0,),0)),IF(AY35=0,INDEX($AM$7:$AW$7,MATCH(1,$AM35:$AW35,0)),IF(BF35="Multiple strategies","mixed drivers",IF(BF35="Supply chain","multiple supply","multiple silviculture"))))</f>
        <v xml:space="preserve">cutting intensity </v>
      </c>
      <c r="BF35" s="2" t="str" cm="1">
        <f t="array" ref="BF35">IF(COUNTIF(AZ35:BB35,"&lt;&gt;0")=1,INDEX($V$4:$AW$4,MATCH(TRUE,INDEX($V35:$AW35&lt;&gt;0,),0)),IF(COUNTIF(AZ35:BB35,"&lt;&gt;0")=0,INDEX($AM$4:$AW$4,MATCH(1,$AM35:$AW35,0)),"Multiple strategies"))</f>
        <v>Silviculture for removals</v>
      </c>
      <c r="BG35" s="1" t="s">
        <v>321</v>
      </c>
      <c r="BH35" t="s">
        <v>2287</v>
      </c>
      <c r="BI35" t="s">
        <v>1036</v>
      </c>
      <c r="BJ35" t="s">
        <v>2288</v>
      </c>
      <c r="BK35">
        <v>0</v>
      </c>
      <c r="BL35">
        <v>2.9000000000000001E-2</v>
      </c>
      <c r="BM35"/>
      <c r="BN35">
        <f>BL35-BK35</f>
        <v>2.9000000000000001E-2</v>
      </c>
      <c r="BO35">
        <f>BN35*10^6*tC_to_m3</f>
        <v>125922.70950933566</v>
      </c>
      <c r="BP35" t="s">
        <v>232</v>
      </c>
      <c r="BQ35" s="267" t="s">
        <v>783</v>
      </c>
      <c r="BR35" s="264" t="s">
        <v>3244</v>
      </c>
      <c r="BS35"/>
      <c r="BT35"/>
      <c r="BU35" s="144"/>
      <c r="BV35">
        <f>-41.7/35</f>
        <v>-1.1914285714285715</v>
      </c>
      <c r="BW35"/>
      <c r="BX35">
        <f>BV35*10^6</f>
        <v>-1191428.5714285716</v>
      </c>
      <c r="BY35">
        <f>IFERROR(BX35/BO35,"")</f>
        <v>-9.4615862068965519</v>
      </c>
      <c r="BZ35">
        <v>0</v>
      </c>
      <c r="CA35">
        <v>1</v>
      </c>
      <c r="CB35">
        <v>1</v>
      </c>
      <c r="CC35">
        <v>1</v>
      </c>
      <c r="CD35">
        <v>0</v>
      </c>
      <c r="CE35">
        <v>0</v>
      </c>
      <c r="CF35">
        <v>0</v>
      </c>
      <c r="CG35">
        <v>0</v>
      </c>
      <c r="CH35">
        <v>0</v>
      </c>
      <c r="CI35">
        <v>0</v>
      </c>
      <c r="CJ35">
        <v>0</v>
      </c>
      <c r="CK35">
        <v>0</v>
      </c>
      <c r="CL35">
        <v>0</v>
      </c>
      <c r="CM35">
        <v>0</v>
      </c>
      <c r="CN35" t="str">
        <f>IF($BL35&lt;$BK35,"refNeedCorrection","refOK")</f>
        <v>refOK</v>
      </c>
      <c r="CO35">
        <f>IF($CN35="refOK",$BK35,$BL35)</f>
        <v>0</v>
      </c>
      <c r="CP35">
        <f>IF($CN35="refOK",$BL35,$BK35)</f>
        <v>2.9000000000000001E-2</v>
      </c>
      <c r="CQ35">
        <f>IF($CN35="refOK",$BO35,-$BO35)</f>
        <v>125922.70950933566</v>
      </c>
      <c r="CR35">
        <f>IF($CN35="refOK",$BS35,$BT35)*IF($BP35="Emissions positive",-1,1)</f>
        <v>0</v>
      </c>
      <c r="CS35">
        <f>IF($CN35="refOK",$BT35,$BS35)*IF($BP35="Emissions positive",-1,1)</f>
        <v>0</v>
      </c>
      <c r="CT35">
        <f>IF($CN35="refNeedCorrection",-BX35,BX35)*IF($BP35="Emissions positive",-1,1)</f>
        <v>-1191428.5714285716</v>
      </c>
      <c r="CU35">
        <f>IFERROR(CT35/CQ35,"")</f>
        <v>-9.4615862068965519</v>
      </c>
      <c r="CV35" s="2" t="str">
        <f>IFERROR((CS35-CR35)/ABS(CR35),"")</f>
        <v/>
      </c>
      <c r="CW35" s="1" t="s">
        <v>1203</v>
      </c>
      <c r="CX35" t="str">
        <f>IF(OR($CW35="prd",$CW35="std",$CW35="cit"),"loc",IF(OR($CW35="eur",$CW35="reg",$CW35="coy"),"reg",$CW35))</f>
        <v>reg</v>
      </c>
      <c r="CY35" t="s">
        <v>540</v>
      </c>
      <c r="CZ35">
        <v>2015</v>
      </c>
      <c r="DA35">
        <v>2050</v>
      </c>
      <c r="DB35">
        <v>35</v>
      </c>
      <c r="DC35" t="str">
        <f>IF(DB35=0,"0",IF(AND(DB35&gt;=1,DB35&lt;=30),"1-30",IF(AND(DB35&gt;30,DB35&lt;=70),"31-70",IF(AND(DB35&gt;70,DB35&lt;=100),"71-100",IF(DB35&gt;100,"+100")))))</f>
        <v>31-70</v>
      </c>
      <c r="DD35">
        <v>0</v>
      </c>
      <c r="DE35">
        <v>1</v>
      </c>
      <c r="DF35">
        <v>1</v>
      </c>
      <c r="DG35">
        <v>1</v>
      </c>
      <c r="DH35"/>
      <c r="DI35">
        <f>SUM(DD35:DG35)</f>
        <v>3</v>
      </c>
      <c r="DJ35" t="str">
        <f>IF(DI35=1,INDEX($DD$7:$DG$7,MATCH(1,$DD35:$DG35,0)),"mixedProduct")</f>
        <v>mixedProduct</v>
      </c>
      <c r="DK35">
        <f>IF(DD35=1,DK$7,0)</f>
        <v>0</v>
      </c>
      <c r="DL35" t="str">
        <f>IF(DE35=1,DL$7,0)</f>
        <v>Energy</v>
      </c>
      <c r="DM35" t="str">
        <f>IF(DF35=1,DM$7,0)</f>
        <v>Pulp/Paper</v>
      </c>
      <c r="DN35" t="str">
        <f>IF(DG35=1,DN$7,0)</f>
        <v>Timber</v>
      </c>
      <c r="DO35">
        <v>0</v>
      </c>
      <c r="DP35">
        <v>0</v>
      </c>
      <c r="DQ35"/>
      <c r="DR35">
        <v>0</v>
      </c>
      <c r="DS35">
        <v>0</v>
      </c>
      <c r="DT35">
        <f>SUM(DO35:DP35)</f>
        <v>0</v>
      </c>
      <c r="DU35" s="143" t="str">
        <f>IF(DO35=1,"self-calculated DF",IF(DP35=1,"external DF used","explicit C balance"))</f>
        <v>explicit C balance</v>
      </c>
      <c r="DV35">
        <v>1</v>
      </c>
      <c r="DW35">
        <v>1</v>
      </c>
      <c r="DX35">
        <v>1</v>
      </c>
      <c r="DY35">
        <v>1</v>
      </c>
      <c r="DZ35">
        <v>1</v>
      </c>
      <c r="EA35">
        <v>0</v>
      </c>
      <c r="EB35">
        <v>0</v>
      </c>
      <c r="EC35">
        <v>0</v>
      </c>
      <c r="ED35">
        <v>0</v>
      </c>
      <c r="EE35">
        <v>0</v>
      </c>
      <c r="EF35">
        <v>1</v>
      </c>
      <c r="EG35">
        <v>0</v>
      </c>
      <c r="EH35">
        <v>0</v>
      </c>
      <c r="EI35" s="2">
        <v>0</v>
      </c>
      <c r="EJ35" s="1"/>
      <c r="EK35" t="str">
        <f>IF(AND(AND(AND(OR($DX35=1,$DW35=1),OR($EC35=1,$EA35=1)),SUM($DV35:$DZ35,$EF35)&gt;=4),SUM($EA35:$EE35)&gt;=2),"Whole sector","")</f>
        <v/>
      </c>
      <c r="EL35" t="str">
        <f>IF(AND(AND(OR($DX35=1,$DW35=1),AND($EC35=0,$EA35=0)),SUM($DV35:$DZ35,$EF35)&gt;=4),"Ecosystem approach","")</f>
        <v>Ecosystem approach</v>
      </c>
      <c r="EM35" s="2" t="str">
        <f>IF(AND(AND(AND($DX35=0,$DW35=0),OR($EC35=1,$EA35=1)),SUM($EB35:$EE35)&gt;=2),"Technology approach","")</f>
        <v/>
      </c>
      <c r="EN35"/>
      <c r="EO35"/>
      <c r="EP35" t="str">
        <f>IF(ISNUMBER(BU35),IF(ABS(BU35-[1]QC_indicators!$B$2)&gt;3*[1]QC_indicators!$C$2,"C ratio",IF(ISNUMBER(BY35),IF(ABS(BY35-[1]QC_indicators!$B$1)&gt;3*[1]QC_indicators!$C$1,"DF","no"))),IF(ISNUMBER(BY35),IF(ABS(BY35-[1]QC_indicators!$B$1)&gt;3*[1]QC_indicators!$C$1,"DF","no")))</f>
        <v>no</v>
      </c>
      <c r="EQ35"/>
      <c r="ER35"/>
      <c r="ES35"/>
      <c r="ET35" s="268" t="s">
        <v>3242</v>
      </c>
      <c r="EU35"/>
    </row>
    <row r="36" spans="1:151" s="139" customFormat="1" ht="15" customHeight="1">
      <c r="A36" s="1" t="s">
        <v>562</v>
      </c>
      <c r="B36" t="s">
        <v>544</v>
      </c>
      <c r="C36" t="s">
        <v>563</v>
      </c>
      <c r="D36" t="s">
        <v>564</v>
      </c>
      <c r="E36" t="s">
        <v>565</v>
      </c>
      <c r="F36" t="s">
        <v>566</v>
      </c>
      <c r="G36" t="s">
        <v>567</v>
      </c>
      <c r="H36" t="s">
        <v>254</v>
      </c>
      <c r="I36">
        <v>2009</v>
      </c>
      <c r="J36">
        <v>16</v>
      </c>
      <c r="K36" t="s">
        <v>568</v>
      </c>
      <c r="L36"/>
      <c r="M36" t="str">
        <f>LEFT($D36,FIND(",",$D36)-1)&amp;"_"&amp;I36&amp;L36</f>
        <v>Crawford_2009</v>
      </c>
      <c r="N36" t="s">
        <v>222</v>
      </c>
      <c r="O36" s="145" t="s">
        <v>223</v>
      </c>
      <c r="P36"/>
      <c r="Q36" s="264" t="s">
        <v>256</v>
      </c>
      <c r="R36" s="269" t="s">
        <v>1154</v>
      </c>
      <c r="S36" s="1" t="s">
        <v>579</v>
      </c>
      <c r="T36" s="264" t="s">
        <v>584</v>
      </c>
      <c r="U36" s="264" t="s">
        <v>571</v>
      </c>
      <c r="V36">
        <v>0</v>
      </c>
      <c r="W36">
        <v>0</v>
      </c>
      <c r="X36">
        <v>0</v>
      </c>
      <c r="Y36">
        <v>0</v>
      </c>
      <c r="Z36">
        <v>0</v>
      </c>
      <c r="AA36">
        <v>0</v>
      </c>
      <c r="AB36">
        <v>0</v>
      </c>
      <c r="AC36">
        <v>0</v>
      </c>
      <c r="AD36">
        <v>0</v>
      </c>
      <c r="AE36">
        <v>0</v>
      </c>
      <c r="AF36">
        <v>0</v>
      </c>
      <c r="AG36">
        <v>0</v>
      </c>
      <c r="AH36">
        <v>0</v>
      </c>
      <c r="AI36">
        <v>0</v>
      </c>
      <c r="AJ36">
        <v>0</v>
      </c>
      <c r="AK36">
        <v>1</v>
      </c>
      <c r="AL36">
        <v>0</v>
      </c>
      <c r="AM36">
        <v>0</v>
      </c>
      <c r="AN36">
        <v>0</v>
      </c>
      <c r="AO36">
        <v>0</v>
      </c>
      <c r="AP36">
        <v>0</v>
      </c>
      <c r="AQ36">
        <v>0</v>
      </c>
      <c r="AR36">
        <v>0</v>
      </c>
      <c r="AS36">
        <v>0</v>
      </c>
      <c r="AT36">
        <v>0</v>
      </c>
      <c r="AU36">
        <v>0</v>
      </c>
      <c r="AV36">
        <v>0</v>
      </c>
      <c r="AW36">
        <v>0</v>
      </c>
      <c r="AX36" s="141">
        <f>COUNTIF(V36:AW36,"&lt;&gt;0")</f>
        <v>1</v>
      </c>
      <c r="AY36" s="141">
        <f>COUNTIF(V36:AL36,"&lt;&gt;0")</f>
        <v>1</v>
      </c>
      <c r="AZ36">
        <f>COUNTIF(V36:AC36,"&lt;&gt;0")</f>
        <v>0</v>
      </c>
      <c r="BA36">
        <f>COUNTIF(AD36:AI36,"&lt;&gt;0")</f>
        <v>0</v>
      </c>
      <c r="BB36">
        <f>COUNTIF(AJ36:AL36,"&lt;&gt;0")</f>
        <v>1</v>
      </c>
      <c r="BC36">
        <f>COUNTIF(AS36:AW36,"&lt;&gt;0")</f>
        <v>0</v>
      </c>
      <c r="BD36">
        <f>COUNTIF(AM36:AR36,"&lt;&gt;0")</f>
        <v>0</v>
      </c>
      <c r="BE36" t="str" cm="1">
        <f t="array" ref="BE36">IF(AY36=1,INDEX($V$7:$AL$7,MATCH(TRUE,INDEX($V36:$AW36&lt;&gt;0,),0)),IF(AY36=0,INDEX($AM$7:$AW$7,MATCH(1,$AM36:$AW36,0)),IF(BF36="Multiple strategies","mixed drivers",IF(BF36="Supply chain","multiple supply","multiple silviculture"))))</f>
        <v>technologies/design switch</v>
      </c>
      <c r="BF36" s="2" t="str" cm="1">
        <f t="array" ref="BF36">IF(COUNTIF(AZ36:BB36,"&lt;&gt;0")=1,INDEX($V$4:$AW$4,MATCH(TRUE,INDEX($V36:$AW36&lt;&gt;0,),0)),IF(COUNTIF(AZ36:BB36,"&lt;&gt;0")=0,INDEX($AM$4:$AW$4,MATCH(1,$AM36:$AW36,0)),"Multiple strategies"))</f>
        <v>Technology</v>
      </c>
      <c r="BG36" s="1" t="s">
        <v>229</v>
      </c>
      <c r="BH36" t="s">
        <v>572</v>
      </c>
      <c r="BI36"/>
      <c r="BJ36" t="s">
        <v>345</v>
      </c>
      <c r="BK36">
        <v>0</v>
      </c>
      <c r="BL36">
        <f>80.2*1460</f>
        <v>117092</v>
      </c>
      <c r="BM36"/>
      <c r="BN36">
        <f>BL36-BK36</f>
        <v>117092</v>
      </c>
      <c r="BO36">
        <f>BN36*kg_to_m3</f>
        <v>238.96326530612248</v>
      </c>
      <c r="BP36" s="264" t="s">
        <v>232</v>
      </c>
      <c r="BQ36" s="264"/>
      <c r="BR36" t="s">
        <v>573</v>
      </c>
      <c r="BS36">
        <v>-1491</v>
      </c>
      <c r="BT36">
        <v>-3656</v>
      </c>
      <c r="BU36" s="144">
        <v>2.4352783366867872</v>
      </c>
      <c r="BV36">
        <v>-2140</v>
      </c>
      <c r="BW36"/>
      <c r="BX36">
        <f>BV36</f>
        <v>-2140</v>
      </c>
      <c r="BY36">
        <f>IFERROR(BX36/BO36,"")</f>
        <v>-8.9553513476582509</v>
      </c>
      <c r="BZ36">
        <v>0</v>
      </c>
      <c r="CA36">
        <v>0</v>
      </c>
      <c r="CB36">
        <v>0</v>
      </c>
      <c r="CC36">
        <v>0</v>
      </c>
      <c r="CD36">
        <v>0</v>
      </c>
      <c r="CE36">
        <v>0</v>
      </c>
      <c r="CF36">
        <v>0</v>
      </c>
      <c r="CG36">
        <v>0</v>
      </c>
      <c r="CH36">
        <v>0</v>
      </c>
      <c r="CI36">
        <v>0</v>
      </c>
      <c r="CJ36">
        <v>0</v>
      </c>
      <c r="CK36">
        <v>0</v>
      </c>
      <c r="CL36">
        <v>0</v>
      </c>
      <c r="CM36">
        <v>0</v>
      </c>
      <c r="CN36" t="str">
        <f>IF($BL36&lt;$BK36,"refNeedCorrection","refOK")</f>
        <v>refOK</v>
      </c>
      <c r="CO36">
        <f>IF($CN36="refNeedCorrection",BL36,BK36)</f>
        <v>0</v>
      </c>
      <c r="CP36">
        <f>IF($CN36="refNeedCorrection",BK36,BL36)</f>
        <v>117092</v>
      </c>
      <c r="CQ36">
        <f>IF($CN36="refOK",$BO36,-$BO36)</f>
        <v>238.96326530612248</v>
      </c>
      <c r="CR36">
        <f>IF($CN36="refOK",$BS36,$BT36)*IF($BP36="Emissions positive",-1,1)</f>
        <v>-1491</v>
      </c>
      <c r="CS36">
        <f>IF($CN36="refOK",$BT36,$BS36)*IF($BP36="Emissions positive",-1,1)</f>
        <v>-3656</v>
      </c>
      <c r="CT36">
        <f>IF($CN36="refNeedCorrection",-BX36,BX36)*IF($BP36="Emissions positive",-1,1)</f>
        <v>-2140</v>
      </c>
      <c r="CU36">
        <f>IFERROR(CT36/CQ36,"")</f>
        <v>-8.9553513476582509</v>
      </c>
      <c r="CV36" s="2">
        <f>IFERROR((CS36-CR36)/ABS(CR36),"")</f>
        <v>-1.4520456069751844</v>
      </c>
      <c r="CW36" s="1" t="s">
        <v>263</v>
      </c>
      <c r="CX36" s="264" t="str">
        <f>IF(OR($CW36="prd",$CW36="std",$CW36="cit"),"loc",IF(OR($CW36="eur",$CW36="reg",$CW36="coy"),"reg",$CW36))</f>
        <v>loc</v>
      </c>
      <c r="CY36" t="s">
        <v>574</v>
      </c>
      <c r="CZ36"/>
      <c r="DA36"/>
      <c r="DB36">
        <v>100</v>
      </c>
      <c r="DC36" t="str">
        <f>IF(DB36=0,"0",IF(AND(DB36&gt;=1,DB36&lt;=30),"1-30",IF(AND(DB36&gt;30,DB36&lt;=70),"31-70",IF(AND(DB36&gt;70,DB36&lt;=100),"71-100",IF(DB36&gt;100,"+100")))))</f>
        <v>71-100</v>
      </c>
      <c r="DD36">
        <v>0</v>
      </c>
      <c r="DE36">
        <v>0</v>
      </c>
      <c r="DF36">
        <v>0</v>
      </c>
      <c r="DG36">
        <v>1</v>
      </c>
      <c r="DH36"/>
      <c r="DI36">
        <f>SUM(DD36:DG36)</f>
        <v>1</v>
      </c>
      <c r="DJ36" t="str">
        <f>IF(DI36=1,INDEX($DD$7:$DG$7,MATCH(1,$DD36:$DG36,0)),"mixedProduct")</f>
        <v>TimberInput</v>
      </c>
      <c r="DK36">
        <f>IF(DD36=1,DK$7,0)</f>
        <v>0</v>
      </c>
      <c r="DL36">
        <f>IF(DE36=1,DL$7,0)</f>
        <v>0</v>
      </c>
      <c r="DM36">
        <f>IF(DF36=1,DM$7,0)</f>
        <v>0</v>
      </c>
      <c r="DN36" t="str">
        <f>IF(DG36=1,DN$7,0)</f>
        <v>Timber</v>
      </c>
      <c r="DO36">
        <v>0</v>
      </c>
      <c r="DP36">
        <v>0</v>
      </c>
      <c r="DQ36">
        <v>0</v>
      </c>
      <c r="DR36">
        <v>0</v>
      </c>
      <c r="DS36">
        <v>0</v>
      </c>
      <c r="DT36">
        <f>SUM(DO36:DP36)</f>
        <v>0</v>
      </c>
      <c r="DU36" s="143" t="str">
        <f>IF(DO36=1,"self-calculated DF",IF(DP36=1,"external DF used","explicit C balance"))</f>
        <v>explicit C balance</v>
      </c>
      <c r="DV36">
        <v>0</v>
      </c>
      <c r="DW36">
        <v>1</v>
      </c>
      <c r="DX36">
        <v>0</v>
      </c>
      <c r="DY36">
        <v>1</v>
      </c>
      <c r="DZ36">
        <v>1</v>
      </c>
      <c r="EA36" s="143">
        <v>0</v>
      </c>
      <c r="EB36">
        <v>1</v>
      </c>
      <c r="EC36">
        <v>1</v>
      </c>
      <c r="ED36">
        <v>0</v>
      </c>
      <c r="EE36">
        <v>1</v>
      </c>
      <c r="EF36">
        <v>0</v>
      </c>
      <c r="EG36">
        <v>0</v>
      </c>
      <c r="EH36">
        <v>0</v>
      </c>
      <c r="EI36" s="2">
        <v>0</v>
      </c>
      <c r="EJ36" s="1"/>
      <c r="EK36" t="str">
        <f>IF(AND(AND(AND(OR($DX36=1,$DW36=1),OR($EC36=1,$EA36=1)),SUM($DV36:$DZ36,$EF36)&gt;=4),SUM($EA36:$EE36)&gt;=2),"Whole sector","")</f>
        <v/>
      </c>
      <c r="EL36" t="str">
        <f>IF(AND(AND(OR($DX36=1,$DW36=1),AND($EC36=0,$EA36=0)),SUM($DV36:$DZ36,$EF36)&gt;=4),"Ecosystem approach","")</f>
        <v/>
      </c>
      <c r="EM36" s="2" t="str">
        <f>IF(AND(AND(AND($DX36=0,$DW36=0),OR($EC36=1,$EA36=1)),SUM($EB36:$EE36)&gt;=2),"Technology approach","")</f>
        <v/>
      </c>
      <c r="EN36" t="s">
        <v>583</v>
      </c>
      <c r="EO36"/>
      <c r="EP36" t="str">
        <f>IF(ISNUMBER(BU36),IF(ABS(BU36-[3]QC_indicators!$B$2)&gt;3*[3]QC_indicators!$C$2,"C ratio",IF(ISNUMBER(BY36),IF(ABS(BY36-[3]QC_indicators!$B$1)&gt;3*[3]QC_indicators!$C$1,"DF","no"))),IF(ISNUMBER(BY36),IF(ABS(BY36-[3]QC_indicators!$B$1)&gt;3*[3]QC_indicators!$C$1,"DF","no")))</f>
        <v>DF</v>
      </c>
      <c r="EQ36"/>
      <c r="ER36" s="294" t="s">
        <v>349</v>
      </c>
      <c r="ES36"/>
      <c r="ET36" s="264" t="s">
        <v>3407</v>
      </c>
      <c r="EU36"/>
    </row>
    <row r="37" spans="1:151" s="139" customFormat="1" ht="15" customHeight="1">
      <c r="A37" s="1" t="s">
        <v>562</v>
      </c>
      <c r="B37" t="s">
        <v>544</v>
      </c>
      <c r="C37" t="s">
        <v>563</v>
      </c>
      <c r="D37" t="s">
        <v>564</v>
      </c>
      <c r="E37" t="s">
        <v>565</v>
      </c>
      <c r="F37" t="s">
        <v>566</v>
      </c>
      <c r="G37" t="s">
        <v>567</v>
      </c>
      <c r="H37" t="s">
        <v>254</v>
      </c>
      <c r="I37">
        <v>2009</v>
      </c>
      <c r="J37">
        <v>16</v>
      </c>
      <c r="K37" t="s">
        <v>568</v>
      </c>
      <c r="L37"/>
      <c r="M37" t="str">
        <f>LEFT($D37,FIND(",",$D37)-1)&amp;"_"&amp;I37&amp;L37</f>
        <v>Crawford_2009</v>
      </c>
      <c r="N37" t="s">
        <v>222</v>
      </c>
      <c r="O37" s="145" t="s">
        <v>223</v>
      </c>
      <c r="P37"/>
      <c r="Q37" s="264" t="s">
        <v>256</v>
      </c>
      <c r="R37" s="269" t="s">
        <v>1154</v>
      </c>
      <c r="S37" s="1" t="s">
        <v>579</v>
      </c>
      <c r="T37" s="264" t="s">
        <v>585</v>
      </c>
      <c r="U37" s="264" t="s">
        <v>578</v>
      </c>
      <c r="V37">
        <v>0</v>
      </c>
      <c r="W37">
        <v>0</v>
      </c>
      <c r="X37">
        <v>0</v>
      </c>
      <c r="Y37">
        <v>0</v>
      </c>
      <c r="Z37">
        <v>0</v>
      </c>
      <c r="AA37">
        <v>0</v>
      </c>
      <c r="AB37">
        <v>0</v>
      </c>
      <c r="AC37">
        <v>0</v>
      </c>
      <c r="AD37">
        <v>0</v>
      </c>
      <c r="AE37">
        <v>0</v>
      </c>
      <c r="AF37">
        <v>0</v>
      </c>
      <c r="AG37">
        <v>0</v>
      </c>
      <c r="AH37">
        <v>0</v>
      </c>
      <c r="AI37">
        <v>0</v>
      </c>
      <c r="AJ37">
        <v>0</v>
      </c>
      <c r="AK37">
        <v>1</v>
      </c>
      <c r="AL37">
        <v>0</v>
      </c>
      <c r="AM37">
        <v>0</v>
      </c>
      <c r="AN37">
        <v>0</v>
      </c>
      <c r="AO37">
        <v>0</v>
      </c>
      <c r="AP37">
        <v>0</v>
      </c>
      <c r="AQ37">
        <v>0</v>
      </c>
      <c r="AR37">
        <v>0</v>
      </c>
      <c r="AS37">
        <v>0</v>
      </c>
      <c r="AT37">
        <v>0</v>
      </c>
      <c r="AU37">
        <v>0</v>
      </c>
      <c r="AV37">
        <v>0</v>
      </c>
      <c r="AW37">
        <v>0</v>
      </c>
      <c r="AX37" s="141">
        <f>COUNTIF(V37:AW37,"&lt;&gt;0")</f>
        <v>1</v>
      </c>
      <c r="AY37" s="141">
        <f>COUNTIF(V37:AL37,"&lt;&gt;0")</f>
        <v>1</v>
      </c>
      <c r="AZ37">
        <f>COUNTIF(V37:AC37,"&lt;&gt;0")</f>
        <v>0</v>
      </c>
      <c r="BA37">
        <f>COUNTIF(AD37:AI37,"&lt;&gt;0")</f>
        <v>0</v>
      </c>
      <c r="BB37">
        <f>COUNTIF(AJ37:AL37,"&lt;&gt;0")</f>
        <v>1</v>
      </c>
      <c r="BC37">
        <f>COUNTIF(AS37:AW37,"&lt;&gt;0")</f>
        <v>0</v>
      </c>
      <c r="BD37">
        <f>COUNTIF(AM37:AR37,"&lt;&gt;0")</f>
        <v>0</v>
      </c>
      <c r="BE37" t="str" cm="1">
        <f t="array" ref="BE37">IF(AY37=1,INDEX($V$7:$AL$7,MATCH(TRUE,INDEX($V37:$AW37&lt;&gt;0,),0)),IF(AY37=0,INDEX($AM$7:$AW$7,MATCH(1,$AM37:$AW37,0)),IF(BF37="Multiple strategies","mixed drivers",IF(BF37="Supply chain","multiple supply","multiple silviculture"))))</f>
        <v>technologies/design switch</v>
      </c>
      <c r="BF37" s="2" t="str" cm="1">
        <f t="array" ref="BF37">IF(COUNTIF(AZ37:BB37,"&lt;&gt;0")=1,INDEX($V$4:$AW$4,MATCH(TRUE,INDEX($V37:$AW37&lt;&gt;0,),0)),IF(COUNTIF(AZ37:BB37,"&lt;&gt;0")=0,INDEX($AM$4:$AW$4,MATCH(1,$AM37:$AW37,0)),"Multiple strategies"))</f>
        <v>Technology</v>
      </c>
      <c r="BG37" s="1" t="s">
        <v>229</v>
      </c>
      <c r="BH37" t="s">
        <v>572</v>
      </c>
      <c r="BI37"/>
      <c r="BJ37" t="s">
        <v>345</v>
      </c>
      <c r="BK37">
        <v>0</v>
      </c>
      <c r="BL37">
        <f>80.2*1460</f>
        <v>117092</v>
      </c>
      <c r="BM37"/>
      <c r="BN37">
        <f>BL37-BK37</f>
        <v>117092</v>
      </c>
      <c r="BO37">
        <f>BN37*kg_to_m3</f>
        <v>238.96326530612248</v>
      </c>
      <c r="BP37" s="264" t="s">
        <v>232</v>
      </c>
      <c r="BQ37" s="264"/>
      <c r="BR37" t="s">
        <v>573</v>
      </c>
      <c r="BS37">
        <v>-822</v>
      </c>
      <c r="BT37">
        <v>-2751</v>
      </c>
      <c r="BU37" s="144">
        <v>3.3467153284671531</v>
      </c>
      <c r="BV37">
        <v>-1929</v>
      </c>
      <c r="BW37"/>
      <c r="BX37">
        <f>BV37</f>
        <v>-1929</v>
      </c>
      <c r="BY37">
        <f>IFERROR(BX37/BO37,"")</f>
        <v>-8.0723704437536288</v>
      </c>
      <c r="BZ37">
        <v>0</v>
      </c>
      <c r="CA37">
        <v>0</v>
      </c>
      <c r="CB37">
        <v>0</v>
      </c>
      <c r="CC37">
        <v>0</v>
      </c>
      <c r="CD37">
        <v>0</v>
      </c>
      <c r="CE37">
        <v>0</v>
      </c>
      <c r="CF37">
        <v>0</v>
      </c>
      <c r="CG37">
        <v>0</v>
      </c>
      <c r="CH37">
        <v>0</v>
      </c>
      <c r="CI37">
        <v>0</v>
      </c>
      <c r="CJ37">
        <v>0</v>
      </c>
      <c r="CK37">
        <v>0</v>
      </c>
      <c r="CL37">
        <v>0</v>
      </c>
      <c r="CM37">
        <v>0</v>
      </c>
      <c r="CN37" t="str">
        <f>IF($BL37&lt;$BK37,"refNeedCorrection","refOK")</f>
        <v>refOK</v>
      </c>
      <c r="CO37">
        <f>IF($CN37="refNeedCorrection",BL37,BK37)</f>
        <v>0</v>
      </c>
      <c r="CP37">
        <f>IF($CN37="refNeedCorrection",BK37,BL37)</f>
        <v>117092</v>
      </c>
      <c r="CQ37">
        <f>IF($CN37="refOK",$BO37,-$BO37)</f>
        <v>238.96326530612248</v>
      </c>
      <c r="CR37">
        <f>IF($CN37="refOK",$BS37,$BT37)*IF($BP37="Emissions positive",-1,1)</f>
        <v>-822</v>
      </c>
      <c r="CS37">
        <f>IF($CN37="refOK",$BT37,$BS37)*IF($BP37="Emissions positive",-1,1)</f>
        <v>-2751</v>
      </c>
      <c r="CT37">
        <f>IF($CN37="refNeedCorrection",-BX37,BX37)*IF($BP37="Emissions positive",-1,1)</f>
        <v>-1929</v>
      </c>
      <c r="CU37">
        <f>IFERROR(CT37/CQ37,"")</f>
        <v>-8.0723704437536288</v>
      </c>
      <c r="CV37" s="2">
        <f>IFERROR((CS37-CR37)/ABS(CR37),"")</f>
        <v>-2.3467153284671531</v>
      </c>
      <c r="CW37" s="1" t="s">
        <v>263</v>
      </c>
      <c r="CX37" s="264" t="str">
        <f>IF(OR($CW37="prd",$CW37="std",$CW37="cit"),"loc",IF(OR($CW37="eur",$CW37="reg",$CW37="coy"),"reg",$CW37))</f>
        <v>loc</v>
      </c>
      <c r="CY37" t="s">
        <v>574</v>
      </c>
      <c r="CZ37"/>
      <c r="DA37"/>
      <c r="DB37">
        <v>100</v>
      </c>
      <c r="DC37" t="str">
        <f>IF(DB37=0,"0",IF(AND(DB37&gt;=1,DB37&lt;=30),"1-30",IF(AND(DB37&gt;30,DB37&lt;=70),"31-70",IF(AND(DB37&gt;70,DB37&lt;=100),"71-100",IF(DB37&gt;100,"+100")))))</f>
        <v>71-100</v>
      </c>
      <c r="DD37">
        <v>0</v>
      </c>
      <c r="DE37">
        <v>0</v>
      </c>
      <c r="DF37">
        <v>0</v>
      </c>
      <c r="DG37">
        <v>1</v>
      </c>
      <c r="DH37"/>
      <c r="DI37">
        <f>SUM(DD37:DG37)</f>
        <v>1</v>
      </c>
      <c r="DJ37" t="str">
        <f>IF(DI37=1,INDEX($DD$7:$DG$7,MATCH(1,$DD37:$DG37,0)),"mixedProduct")</f>
        <v>TimberInput</v>
      </c>
      <c r="DK37">
        <f>IF(DD37=1,DK$7,0)</f>
        <v>0</v>
      </c>
      <c r="DL37">
        <f>IF(DE37=1,DL$7,0)</f>
        <v>0</v>
      </c>
      <c r="DM37">
        <f>IF(DF37=1,DM$7,0)</f>
        <v>0</v>
      </c>
      <c r="DN37" t="str">
        <f>IF(DG37=1,DN$7,0)</f>
        <v>Timber</v>
      </c>
      <c r="DO37">
        <v>0</v>
      </c>
      <c r="DP37">
        <v>0</v>
      </c>
      <c r="DQ37">
        <v>0</v>
      </c>
      <c r="DR37">
        <v>0</v>
      </c>
      <c r="DS37">
        <v>0</v>
      </c>
      <c r="DT37">
        <f>SUM(DO37:DP37)</f>
        <v>0</v>
      </c>
      <c r="DU37" s="143" t="str">
        <f>IF(DO37=1,"self-calculated DF",IF(DP37=1,"external DF used","explicit C balance"))</f>
        <v>explicit C balance</v>
      </c>
      <c r="DV37">
        <v>0</v>
      </c>
      <c r="DW37">
        <v>1</v>
      </c>
      <c r="DX37">
        <v>0</v>
      </c>
      <c r="DY37">
        <v>1</v>
      </c>
      <c r="DZ37">
        <v>1</v>
      </c>
      <c r="EA37" s="143">
        <v>0</v>
      </c>
      <c r="EB37">
        <v>1</v>
      </c>
      <c r="EC37">
        <v>1</v>
      </c>
      <c r="ED37">
        <v>0</v>
      </c>
      <c r="EE37">
        <v>1</v>
      </c>
      <c r="EF37">
        <v>0</v>
      </c>
      <c r="EG37">
        <v>0</v>
      </c>
      <c r="EH37">
        <v>0</v>
      </c>
      <c r="EI37" s="2">
        <v>0</v>
      </c>
      <c r="EJ37" s="1"/>
      <c r="EK37" t="str">
        <f>IF(AND(AND(AND(OR($DX37=1,$DW37=1),OR($EC37=1,$EA37=1)),SUM($DV37:$DZ37,$EF37)&gt;=4),SUM($EA37:$EE37)&gt;=2),"Whole sector","")</f>
        <v/>
      </c>
      <c r="EL37" t="str">
        <f>IF(AND(AND(OR($DX37=1,$DW37=1),AND($EC37=0,$EA37=0)),SUM($DV37:$DZ37,$EF37)&gt;=4),"Ecosystem approach","")</f>
        <v/>
      </c>
      <c r="EM37" s="2" t="str">
        <f>IF(AND(AND(AND($DX37=0,$DW37=0),OR($EC37=1,$EA37=1)),SUM($EB37:$EE37)&gt;=2),"Technology approach","")</f>
        <v/>
      </c>
      <c r="EN37" t="s">
        <v>583</v>
      </c>
      <c r="EO37"/>
      <c r="EP37" t="str">
        <f>IF(ISNUMBER(BU37),IF(ABS(BU37-[3]QC_indicators!$B$2)&gt;3*[3]QC_indicators!$C$2,"C ratio",IF(ISNUMBER(BY37),IF(ABS(BY37-[3]QC_indicators!$B$1)&gt;3*[3]QC_indicators!$C$1,"DF","no"))),IF(ISNUMBER(BY37),IF(ABS(BY37-[3]QC_indicators!$B$1)&gt;3*[3]QC_indicators!$C$1,"DF","no")))</f>
        <v>DF</v>
      </c>
      <c r="EQ37"/>
      <c r="ER37" s="294" t="s">
        <v>349</v>
      </c>
      <c r="ES37"/>
      <c r="ET37" s="264" t="s">
        <v>3407</v>
      </c>
      <c r="EU37"/>
    </row>
    <row r="38" spans="1:151" s="139" customFormat="1" ht="15" customHeight="1">
      <c r="A38" s="1" t="s">
        <v>1138</v>
      </c>
      <c r="B38" t="s">
        <v>1691</v>
      </c>
      <c r="C38" t="s">
        <v>1692</v>
      </c>
      <c r="D38" t="s">
        <v>1693</v>
      </c>
      <c r="E38" t="s">
        <v>1694</v>
      </c>
      <c r="F38" t="s">
        <v>1695</v>
      </c>
      <c r="G38" t="s">
        <v>1139</v>
      </c>
      <c r="H38" t="s">
        <v>254</v>
      </c>
      <c r="I38">
        <v>2020</v>
      </c>
      <c r="J38">
        <v>4</v>
      </c>
      <c r="K38" t="s">
        <v>1696</v>
      </c>
      <c r="L38"/>
      <c r="M38" t="str">
        <f>LEFT($D38,FIND(",",$D38)-1)&amp;"_"&amp;I38&amp;L38</f>
        <v>Gusti_2020</v>
      </c>
      <c r="N38" t="s">
        <v>222</v>
      </c>
      <c r="O38" s="181" t="s">
        <v>341</v>
      </c>
      <c r="P38"/>
      <c r="Q38" t="s">
        <v>256</v>
      </c>
      <c r="R38" s="283" t="s">
        <v>225</v>
      </c>
      <c r="S38" s="1" t="s">
        <v>1704</v>
      </c>
      <c r="T38" s="151" t="s">
        <v>1111</v>
      </c>
      <c r="U38" t="s">
        <v>1817</v>
      </c>
      <c r="V38">
        <v>0</v>
      </c>
      <c r="W38">
        <v>0</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s="141">
        <f>COUNTIF(V38:AW38,"&lt;&gt;0")</f>
        <v>2</v>
      </c>
      <c r="AY38" s="141">
        <f>COUNTIF(V38:AL38,"&lt;&gt;0")</f>
        <v>2</v>
      </c>
      <c r="AZ38">
        <f>COUNTIF(V38:AC38,"&lt;&gt;0")</f>
        <v>2</v>
      </c>
      <c r="BA38">
        <f>COUNTIF(AD38:AI38,"&lt;&gt;0")</f>
        <v>0</v>
      </c>
      <c r="BB38">
        <f>COUNTIF(AJ38:AL38,"&lt;&gt;0")</f>
        <v>0</v>
      </c>
      <c r="BC38">
        <f>COUNTIF(AS38:AW38,"&lt;&gt;0")</f>
        <v>0</v>
      </c>
      <c r="BD38">
        <f>COUNTIF(AM38:AR38,"&lt;&gt;0")</f>
        <v>0</v>
      </c>
      <c r="BE38" t="str">
        <f t="array" ref="BE38">IF(AY38=1,INDEX($V$7:$AL$7,MATCH(TRUE,INDEX($V38:$AW38&lt;&gt;0,),0)),IF(AY38=0,INDEX($AM$7:$AW$7,MATCH(1,$AM38:$AW38,0)),IF(BF38="Multiple strategies","mixed drivers",IF(BF38="Supply chain","multiple supply","multiple silviculture"))))</f>
        <v>multiple silviculture</v>
      </c>
      <c r="BF38" s="2" t="str" cm="1">
        <f t="array" ref="BF38">IF(COUNTIF(AZ38:BB38,"&lt;&gt;0")=1,INDEX($V$4:$AW$4,MATCH(TRUE,INDEX($V38:$AW38&lt;&gt;0,),0)),IF(COUNTIF(AZ38:BB38,"&lt;&gt;0")=0,INDEX($AM$4:$AW$4,MATCH(1,$AM38:$AW38,0)),"Multiple strategies"))</f>
        <v>Silviculture for removals</v>
      </c>
      <c r="BG38" s="1" t="s">
        <v>321</v>
      </c>
      <c r="BH38" t="s">
        <v>1322</v>
      </c>
      <c r="BI38" t="s">
        <v>581</v>
      </c>
      <c r="BJ38" t="s">
        <v>1698</v>
      </c>
      <c r="BK38">
        <f>BL38-2774</f>
        <v>527371</v>
      </c>
      <c r="BL38">
        <v>530145</v>
      </c>
      <c r="BM38">
        <f>BL38/BK38</f>
        <v>1.0052600541174999</v>
      </c>
      <c r="BN38" s="151">
        <v>2861</v>
      </c>
      <c r="BO38">
        <f>BN38*1000</f>
        <v>2861000</v>
      </c>
      <c r="BP38" t="s">
        <v>232</v>
      </c>
      <c r="BQ38" t="s">
        <v>581</v>
      </c>
      <c r="BR38" t="s">
        <v>1699</v>
      </c>
      <c r="BS38">
        <v>389</v>
      </c>
      <c r="BT38">
        <v>366</v>
      </c>
      <c r="BU38" s="144">
        <f>IFERROR(BT38/BS38,"")</f>
        <v>0.94087403598971719</v>
      </c>
      <c r="BV38">
        <f>BT38-BS38</f>
        <v>-23</v>
      </c>
      <c r="BW38"/>
      <c r="BX38">
        <f>BV38*10^6</f>
        <v>-23000000</v>
      </c>
      <c r="BY38">
        <f>IFERROR(BX38/BO38,"")</f>
        <v>-8.0391471513456825</v>
      </c>
      <c r="BZ38">
        <v>0</v>
      </c>
      <c r="CA38">
        <v>0</v>
      </c>
      <c r="CB38">
        <v>0</v>
      </c>
      <c r="CC38">
        <v>0</v>
      </c>
      <c r="CD38">
        <v>0</v>
      </c>
      <c r="CE38">
        <v>0</v>
      </c>
      <c r="CF38">
        <v>0</v>
      </c>
      <c r="CG38">
        <v>0</v>
      </c>
      <c r="CH38">
        <v>0</v>
      </c>
      <c r="CI38">
        <v>0</v>
      </c>
      <c r="CJ38">
        <v>0</v>
      </c>
      <c r="CK38">
        <v>0</v>
      </c>
      <c r="CL38">
        <v>0</v>
      </c>
      <c r="CM38">
        <v>0</v>
      </c>
      <c r="CN38" t="str">
        <f>IF($BL38&lt;$BK38,"refNeedCorrection","refOK")</f>
        <v>refOK</v>
      </c>
      <c r="CO38">
        <f>IF($CN38="refNeedCorrection",BK38,BL38)</f>
        <v>530145</v>
      </c>
      <c r="CP38">
        <f>IF($CN38="refNeedCorrection",BL38,BK38)</f>
        <v>527371</v>
      </c>
      <c r="CQ38">
        <f>IF($CN38="refOK",$BO38,-$BO38)</f>
        <v>2861000</v>
      </c>
      <c r="CR38">
        <f>IF($CN38="refOK",$BS38,$BT38)*IF($BP38="Emissions positive",-1,1)</f>
        <v>389</v>
      </c>
      <c r="CS38">
        <f>IF($CN38="refOK",$BT38,$BS38)*IF($BP38="Emissions positive",-1,1)</f>
        <v>366</v>
      </c>
      <c r="CT38">
        <f>IF($CN38="refNeedCorrection",-BX38,BX38)*IF($BP38="Emissions positive",-1,1)</f>
        <v>-23000000</v>
      </c>
      <c r="CU38">
        <f>IFERROR(CT38/CQ38,"")</f>
        <v>-8.0391471513456825</v>
      </c>
      <c r="CV38" s="2">
        <f>IFERROR((CS38-CR38)/ABS(CR38),"")</f>
        <v>-5.9125964010282778E-2</v>
      </c>
      <c r="CW38" s="1" t="s">
        <v>1231</v>
      </c>
      <c r="CX38" t="str">
        <f>IF(OR($CW38="prd",$CW38="std",$CW38="cit"),"loc",IF(OR($CW38="eur",$CW38="reg",$CW38="coy"),"reg",$CW38))</f>
        <v>reg</v>
      </c>
      <c r="CY38" t="s">
        <v>743</v>
      </c>
      <c r="CZ38">
        <v>2026</v>
      </c>
      <c r="DA38">
        <v>2030</v>
      </c>
      <c r="DB38">
        <v>5</v>
      </c>
      <c r="DC38" t="str">
        <f>IF(DB38=0,"0",IF(AND(DB38&gt;=1,DB38&lt;=30),"1-30",IF(AND(DB38&gt;30,DB38&lt;=70),"31-70",IF(AND(DB38&gt;70,DB38&lt;=100),"71-100",IF(DB38&gt;100,"+100")))))</f>
        <v>1-30</v>
      </c>
      <c r="DD38">
        <v>1</v>
      </c>
      <c r="DE38">
        <v>0</v>
      </c>
      <c r="DF38">
        <v>0</v>
      </c>
      <c r="DG38">
        <v>0</v>
      </c>
      <c r="DH38"/>
      <c r="DI38">
        <f>SUM(DD38:DG38)</f>
        <v>1</v>
      </c>
      <c r="DJ38" t="str">
        <f>IF(DI38=1,INDEX($DD$7:$DG$7,MATCH(1,$DD38:$DG38,0)),"mixedProduct")</f>
        <v>UpstreamInput</v>
      </c>
      <c r="DK38" t="str">
        <f>IF(DD38=1,DK$7,0)</f>
        <v>Upstream</v>
      </c>
      <c r="DL38">
        <f>IF(DE38=1,DL$7,0)</f>
        <v>0</v>
      </c>
      <c r="DM38">
        <f>IF(DF38=1,DM$7,0)</f>
        <v>0</v>
      </c>
      <c r="DN38">
        <f>IF(DG38=1,DN$7,0)</f>
        <v>0</v>
      </c>
      <c r="DO38">
        <v>0</v>
      </c>
      <c r="DP38">
        <v>0</v>
      </c>
      <c r="DQ38">
        <v>0</v>
      </c>
      <c r="DR38">
        <v>0</v>
      </c>
      <c r="DS38">
        <v>0</v>
      </c>
      <c r="DT38">
        <f>SUM(DO38:DP38)</f>
        <v>0</v>
      </c>
      <c r="DU38" s="143" t="str">
        <f>IF(DO38=1,"self-calculated DF",IF(DP38=1,"external DF used","explicit C balance"))</f>
        <v>explicit C balance</v>
      </c>
      <c r="DV38">
        <v>1</v>
      </c>
      <c r="DW38">
        <v>0</v>
      </c>
      <c r="DX38">
        <v>1</v>
      </c>
      <c r="DY38">
        <v>0</v>
      </c>
      <c r="DZ38">
        <v>0</v>
      </c>
      <c r="EA38" s="143">
        <v>0</v>
      </c>
      <c r="EB38">
        <v>0</v>
      </c>
      <c r="EC38">
        <v>0</v>
      </c>
      <c r="ED38">
        <v>0</v>
      </c>
      <c r="EE38">
        <v>0</v>
      </c>
      <c r="EF38">
        <v>1</v>
      </c>
      <c r="EG38">
        <v>0</v>
      </c>
      <c r="EH38">
        <v>0</v>
      </c>
      <c r="EI38" s="2">
        <v>0</v>
      </c>
      <c r="EJ38" s="1"/>
      <c r="EK38" t="str">
        <f>IF(AND(AND(AND(OR($DX38=1,$DW38=1),OR($EC38=1,$EA38=1)),SUM($DV38:$DZ38,$EF38)&gt;=4),SUM($EA38:$EE38)&gt;=2),"Whole sector","")</f>
        <v/>
      </c>
      <c r="EL38" t="str">
        <f>IF(AND(AND(OR($DX38=1,$DW38=1),AND($EC38=0,$EA38=0)),SUM($DV38:$DZ38,$EF38)&gt;=4),"Ecosystem approach","")</f>
        <v/>
      </c>
      <c r="EM38" s="2" t="str">
        <f>IF(AND(AND(AND($DX38=0,$DW38=0),OR($EC38=1,$EA38=1)),SUM($EB38:$EE38)&gt;=2),"Technology approach","")</f>
        <v/>
      </c>
      <c r="EN38" s="149" t="s">
        <v>1702</v>
      </c>
      <c r="EO38"/>
      <c r="EP38" t="str">
        <f>IF(ISNUMBER(BU38),IF(ABS(BU38-[4]QC_indicators!$B$2)&gt;3*[4]QC_indicators!$C$2,"C ratio",IF(ISNUMBER(BY38),IF(ABS(BY38-[4]QC_indicators!$B$1)&gt;3*[4]QC_indicators!$C$1,"DF","no"))),IF(ISNUMBER(BY38),IF(ABS(BY38-[4]QC_indicators!$B$1)&gt;3*[4]QC_indicators!$C$1,"DF","no")))</f>
        <v>DF</v>
      </c>
      <c r="EQ38"/>
      <c r="ER38" s="149" t="s">
        <v>349</v>
      </c>
      <c r="ES38"/>
      <c r="ET38" s="264" t="s">
        <v>3273</v>
      </c>
      <c r="EU38"/>
    </row>
    <row r="39" spans="1:151" s="139" customFormat="1" ht="15" customHeight="1">
      <c r="A39" s="1" t="s">
        <v>1423</v>
      </c>
      <c r="B39" t="s">
        <v>2490</v>
      </c>
      <c r="C39" t="s">
        <v>2491</v>
      </c>
      <c r="D39" t="s">
        <v>2492</v>
      </c>
      <c r="E39" t="s">
        <v>2493</v>
      </c>
      <c r="F39" t="s">
        <v>2494</v>
      </c>
      <c r="G39" t="s">
        <v>1429</v>
      </c>
      <c r="H39" t="s">
        <v>254</v>
      </c>
      <c r="I39">
        <v>2016</v>
      </c>
      <c r="J39">
        <v>24</v>
      </c>
      <c r="K39" t="s">
        <v>2495</v>
      </c>
      <c r="L39"/>
      <c r="M39" t="str">
        <f>LEFT($D39,FIND(",",$D39)-1)&amp;"_"&amp;I39&amp;L39</f>
        <v>Zubizarreta-Gerendiain_2016</v>
      </c>
      <c r="N39" t="s">
        <v>222</v>
      </c>
      <c r="O39" s="145" t="s">
        <v>1154</v>
      </c>
      <c r="P39"/>
      <c r="Q39" t="s">
        <v>256</v>
      </c>
      <c r="R39" s="262" t="s">
        <v>223</v>
      </c>
      <c r="S39" s="1" t="s">
        <v>2496</v>
      </c>
      <c r="T39" t="s">
        <v>2497</v>
      </c>
      <c r="U39" t="s">
        <v>2498</v>
      </c>
      <c r="V39">
        <v>0</v>
      </c>
      <c r="W39">
        <v>0</v>
      </c>
      <c r="X39">
        <v>0</v>
      </c>
      <c r="Y39">
        <v>1</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s="141">
        <f>COUNTIF(V39:AW39,"&lt;&gt;0")</f>
        <v>1</v>
      </c>
      <c r="AY39" s="141">
        <f>COUNTIF(V39:AL39,"&lt;&gt;0")</f>
        <v>1</v>
      </c>
      <c r="AZ39">
        <f>COUNTIF(V39:AC39,"&lt;&gt;0")</f>
        <v>1</v>
      </c>
      <c r="BA39">
        <f>COUNTIF(AD39:AI39,"&lt;&gt;0")</f>
        <v>0</v>
      </c>
      <c r="BB39">
        <f>COUNTIF(AJ39:AL39,"&lt;&gt;0")</f>
        <v>0</v>
      </c>
      <c r="BC39">
        <f>COUNTIF(AS39:AW39,"&lt;&gt;0")</f>
        <v>0</v>
      </c>
      <c r="BD39">
        <f>COUNTIF(AM39:AR39,"&lt;&gt;0")</f>
        <v>0</v>
      </c>
      <c r="BE39" t="str">
        <f t="array" ref="BE39">IF(AY39=1,INDEX($V$7:$AL$7,MATCH(TRUE,INDEX($V39:$AW39&lt;&gt;0,),0)),IF(AY39=0,INDEX($AM$7:$AW$7,MATCH(1,$AM39:$AW39,0)),IF(BF39="Multiple strategies","mixed drivers",IF(BF39="Supply chain","multiple supply","multiple silviculture"))))</f>
        <v xml:space="preserve">cutting intensity </v>
      </c>
      <c r="BF39" s="2" t="str" cm="1">
        <f t="array" ref="BF39">IF(COUNTIF(AZ39:BB39,"&lt;&gt;0")=1,INDEX($V$4:$AW$4,MATCH(TRUE,INDEX($V39:$AW39&lt;&gt;0,),0)),IF(COUNTIF(AZ39:BB39,"&lt;&gt;0")=0,INDEX($AM$4:$AW$4,MATCH(1,$AM39:$AW39,0)),"Multiple strategies"))</f>
        <v>Silviculture for removals</v>
      </c>
      <c r="BG39" s="1" t="s">
        <v>321</v>
      </c>
      <c r="BH39" t="s">
        <v>2499</v>
      </c>
      <c r="BI39" s="264" t="s">
        <v>2113</v>
      </c>
      <c r="BJ39" t="s">
        <v>2500</v>
      </c>
      <c r="BK39">
        <v>77.868338557993695</v>
      </c>
      <c r="BL39">
        <v>82.946708463949804</v>
      </c>
      <c r="BM39" s="143">
        <f>BL39/BK39</f>
        <v>1.0652173913043479</v>
      </c>
      <c r="BN39">
        <f>BL39-BK39</f>
        <v>5.0783699059561087</v>
      </c>
      <c r="BO39">
        <f>BN39*1000*t_to_m3</f>
        <v>10364.020216236957</v>
      </c>
      <c r="BP39" s="143" t="s">
        <v>232</v>
      </c>
      <c r="BQ39" s="143" t="s">
        <v>3256</v>
      </c>
      <c r="BR39" t="s">
        <v>1195</v>
      </c>
      <c r="BS39">
        <v>22260.374748603492</v>
      </c>
      <c r="BT39">
        <v>-46788.009888268192</v>
      </c>
      <c r="BU39" s="144">
        <f>IFERROR(BT39/BS39,"")</f>
        <v>-2.1018518518518401</v>
      </c>
      <c r="BV39" s="144">
        <f>BT39-BS39</f>
        <v>-69048.384636871691</v>
      </c>
      <c r="BW39" s="144"/>
      <c r="BX39" s="144">
        <f>BV39</f>
        <v>-69048.384636871691</v>
      </c>
      <c r="BY39">
        <f>IFERROR(BX39/BO39,"")</f>
        <v>-6.6623166682650758</v>
      </c>
      <c r="BZ39">
        <v>0</v>
      </c>
      <c r="CA39">
        <v>0</v>
      </c>
      <c r="CB39">
        <v>0</v>
      </c>
      <c r="CC39">
        <v>0</v>
      </c>
      <c r="CD39">
        <v>0</v>
      </c>
      <c r="CE39">
        <v>0</v>
      </c>
      <c r="CF39">
        <v>0</v>
      </c>
      <c r="CG39">
        <v>0</v>
      </c>
      <c r="CH39">
        <v>0</v>
      </c>
      <c r="CI39">
        <v>0</v>
      </c>
      <c r="CJ39">
        <v>0</v>
      </c>
      <c r="CK39">
        <v>0</v>
      </c>
      <c r="CL39">
        <v>0</v>
      </c>
      <c r="CM39">
        <v>1</v>
      </c>
      <c r="CN39" t="str">
        <f>IF($BL39&lt;$BK39,"refNeedCorrection","refOK")</f>
        <v>refOK</v>
      </c>
      <c r="CO39">
        <f>IF($CN39="refOK",$BK39,$BL39)</f>
        <v>77.868338557993695</v>
      </c>
      <c r="CP39">
        <f>IF($CN39="refOK",$BL39,$BK39)</f>
        <v>82.946708463949804</v>
      </c>
      <c r="CQ39">
        <f>IF($CN39="refOK",$BO39,-$BO39)</f>
        <v>10364.020216236957</v>
      </c>
      <c r="CR39">
        <f>IF($CN39="refOK",$BS39,$BT39)*IF($BP39="Emissions positive",-1,1)</f>
        <v>22260.374748603492</v>
      </c>
      <c r="CS39">
        <f>IF($CN39="refOK",$BT39,$BS39)*IF($BP39="Emissions positive",-1,1)</f>
        <v>-46788.009888268192</v>
      </c>
      <c r="CT39">
        <f>IF($CN39="refNeedCorrection",-BX39,BX39)*IF($BP39="Emissions positive",-1,1)</f>
        <v>-69048.384636871691</v>
      </c>
      <c r="CU39">
        <f>IFERROR(CT39/CQ39,"")</f>
        <v>-6.6623166682650758</v>
      </c>
      <c r="CV39" s="2">
        <f>IFERROR((CS39-CR39)/ABS(CR39),"")</f>
        <v>-3.1018518518518405</v>
      </c>
      <c r="CW39" s="1" t="s">
        <v>1199</v>
      </c>
      <c r="CX39" t="str">
        <f>IF(OR($CW39="prd",$CW39="std",$CW39="cit"),"loc",IF(OR($CW39="eur",$CW39="reg",$CW39="coy"),"reg",$CW39))</f>
        <v>reg</v>
      </c>
      <c r="CY39" t="s">
        <v>235</v>
      </c>
      <c r="CZ39">
        <v>2010</v>
      </c>
      <c r="DA39">
        <v>2070</v>
      </c>
      <c r="DB39">
        <f>DA39-CZ39</f>
        <v>60</v>
      </c>
      <c r="DC39" t="str">
        <f>IF(DB39=0,"0",IF(AND(DB39&gt;=1,DB39&lt;=30),"1-30",IF(AND(DB39&gt;30,DB39&lt;=70),"31-70",IF(AND(DB39&gt;70,DB39&lt;=100),"71-100",IF(DB39&gt;100,"+100")))))</f>
        <v>31-70</v>
      </c>
      <c r="DD39">
        <v>1</v>
      </c>
      <c r="DE39">
        <v>0</v>
      </c>
      <c r="DF39">
        <v>0</v>
      </c>
      <c r="DG39">
        <v>0</v>
      </c>
      <c r="DH39">
        <v>0</v>
      </c>
      <c r="DI39">
        <f>SUM(DD39:DG39)</f>
        <v>1</v>
      </c>
      <c r="DJ39" t="str">
        <f>IF(DI39=1,INDEX($DD$7:$DG$7,MATCH(1,$DD39:$DG39,0)),"mixedProduct")</f>
        <v>UpstreamInput</v>
      </c>
      <c r="DK39" t="str">
        <f>IF(DD39=1,DK$7,0)</f>
        <v>Upstream</v>
      </c>
      <c r="DL39">
        <f>IF(DE39=1,DL$7,0)</f>
        <v>0</v>
      </c>
      <c r="DM39">
        <f>IF(DF39=1,DM$7,0)</f>
        <v>0</v>
      </c>
      <c r="DN39">
        <f>IF(DG39=1,DN$7,0)</f>
        <v>0</v>
      </c>
      <c r="DO39">
        <v>0</v>
      </c>
      <c r="DP39">
        <v>0</v>
      </c>
      <c r="DQ39">
        <v>0</v>
      </c>
      <c r="DR39">
        <v>0</v>
      </c>
      <c r="DS39">
        <v>0</v>
      </c>
      <c r="DT39">
        <f>SUM(DO39:DP39)</f>
        <v>0</v>
      </c>
      <c r="DU39" s="143" t="str">
        <f>IF(DO39=1,"self-calculated DF",IF(DP39=1,"external DF used","explicit C balance"))</f>
        <v>explicit C balance</v>
      </c>
      <c r="DV39">
        <v>1</v>
      </c>
      <c r="DW39">
        <v>1</v>
      </c>
      <c r="DX39">
        <v>1</v>
      </c>
      <c r="DY39">
        <v>1</v>
      </c>
      <c r="DZ39">
        <v>0</v>
      </c>
      <c r="EA39" s="143">
        <v>0</v>
      </c>
      <c r="EB39">
        <v>0</v>
      </c>
      <c r="EC39">
        <v>0</v>
      </c>
      <c r="ED39">
        <v>0</v>
      </c>
      <c r="EE39">
        <v>0</v>
      </c>
      <c r="EF39">
        <v>1</v>
      </c>
      <c r="EG39">
        <v>0</v>
      </c>
      <c r="EH39">
        <v>0</v>
      </c>
      <c r="EI39" s="2">
        <v>0</v>
      </c>
      <c r="EJ39" s="1"/>
      <c r="EK39" t="str">
        <f>IF(AND(AND(AND(OR($DX39=1,$DW39=1),OR($EC39=1,$EA39=1)),SUM($DV39:$DZ39,$EF39)&gt;=4),SUM($EA39:$EE39)&gt;=2),"Whole sector","")</f>
        <v/>
      </c>
      <c r="EL39" t="str">
        <f>IF(AND(AND(OR($DX39=1,$DW39=1),AND($EC39=0,$EA39=0)),SUM($DV39:$DZ39,$EF39)&gt;=4),"Ecosystem approach","")</f>
        <v>Ecosystem approach</v>
      </c>
      <c r="EM39" s="2" t="str">
        <f>IF(AND(AND(AND($DX39=0,$DW39=0),OR($EC39=1,$EA39=1)),SUM($EB39:$EE39)&gt;=2),"Technology approach","")</f>
        <v/>
      </c>
      <c r="EN39"/>
      <c r="EO39"/>
      <c r="EP39" t="str">
        <f>IF(ISNUMBER(BU39),IF(ABS(BU39-[1]QC_indicators!$B$2)&gt;3*[1]QC_indicators!$C$2,"C ratio",IF(ISNUMBER(BY39),IF(ABS(BY39-[1]QC_indicators!$B$1)&gt;3*[1]QC_indicators!$C$1,"DF","no"))),IF(ISNUMBER(BY39),IF(ABS(BY39-[1]QC_indicators!$B$1)&gt;3*[1]QC_indicators!$C$1,"DF","no")))</f>
        <v>no</v>
      </c>
      <c r="EQ39" t="s">
        <v>2501</v>
      </c>
      <c r="ER39"/>
      <c r="ES39"/>
      <c r="ET39" s="264" t="s">
        <v>3257</v>
      </c>
      <c r="EU39"/>
    </row>
    <row r="40" spans="1:151" s="139" customFormat="1" ht="15" customHeight="1">
      <c r="A40" s="1" t="s">
        <v>1378</v>
      </c>
      <c r="B40" t="s">
        <v>1922</v>
      </c>
      <c r="C40" t="s">
        <v>1923</v>
      </c>
      <c r="D40" t="s">
        <v>1924</v>
      </c>
      <c r="E40" t="s">
        <v>1925</v>
      </c>
      <c r="F40" t="s">
        <v>1926</v>
      </c>
      <c r="G40" t="s">
        <v>1384</v>
      </c>
      <c r="H40" t="s">
        <v>254</v>
      </c>
      <c r="I40">
        <v>2016</v>
      </c>
      <c r="J40">
        <v>12</v>
      </c>
      <c r="K40" t="s">
        <v>1927</v>
      </c>
      <c r="L40"/>
      <c r="M40" t="str">
        <f>LEFT($D40,FIND(",",$D40)-1)&amp;"_"&amp;I40&amp;L40</f>
        <v>Lobianco_2016</v>
      </c>
      <c r="N40" t="s">
        <v>222</v>
      </c>
      <c r="O40" s="145" t="s">
        <v>225</v>
      </c>
      <c r="P40" t="s">
        <v>513</v>
      </c>
      <c r="Q40" t="s">
        <v>256</v>
      </c>
      <c r="R40" s="262" t="s">
        <v>223</v>
      </c>
      <c r="S40" s="1" t="s">
        <v>1932</v>
      </c>
      <c r="T40" s="143" t="s">
        <v>3170</v>
      </c>
      <c r="U40" s="143" t="s">
        <v>1155</v>
      </c>
      <c r="V40">
        <v>0</v>
      </c>
      <c r="W40">
        <v>0</v>
      </c>
      <c r="X40">
        <v>1</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1</v>
      </c>
      <c r="AV40">
        <v>0</v>
      </c>
      <c r="AW40">
        <v>0</v>
      </c>
      <c r="AX40" s="141">
        <f>COUNTIF(V40:AW40,"&lt;&gt;0")</f>
        <v>2</v>
      </c>
      <c r="AY40" s="141">
        <f>COUNTIF(V40:AL40,"&lt;&gt;0")</f>
        <v>1</v>
      </c>
      <c r="AZ40">
        <f>COUNTIF(V40:AC40,"&lt;&gt;0")</f>
        <v>1</v>
      </c>
      <c r="BA40">
        <f>COUNTIF(AD40:AI40,"&lt;&gt;0")</f>
        <v>0</v>
      </c>
      <c r="BB40">
        <f>COUNTIF(AJ40:AL40,"&lt;&gt;0")</f>
        <v>0</v>
      </c>
      <c r="BC40">
        <f>COUNTIF(AS40:AW40,"&lt;&gt;0")</f>
        <v>1</v>
      </c>
      <c r="BD40">
        <f>COUNTIF(AM40:AR40,"&lt;&gt;0")</f>
        <v>0</v>
      </c>
      <c r="BE40" t="str">
        <f t="array" ref="BE40">IF(AY40=1,INDEX($V$7:$AL$7,MATCH(TRUE,INDEX($V40:$AW40&lt;&gt;0,),0)),IF(AY40=0,INDEX($AM$7:$AW$7,MATCH(1,$AM40:$AW40,0)),IF(BF40="Multiple strategies","mixed drivers",IF(BF40="Supply chain","multiple supply","multiple silviculture"))))</f>
        <v>rotation length</v>
      </c>
      <c r="BF40" s="2" t="str" cm="1">
        <f t="array" ref="BF40">IF(COUNTIF(AZ40:BB40,"&lt;&gt;0")=1,INDEX($V$4:$AW$4,MATCH(TRUE,INDEX($V40:$AW40&lt;&gt;0,),0)),IF(COUNTIF(AZ40:BB40,"&lt;&gt;0")=0,INDEX($AM$4:$AW$4,MATCH(1,$AM40:$AW40,0)),"Multiple strategies"))</f>
        <v>Silviculture for removals</v>
      </c>
      <c r="BG40" s="142" t="s">
        <v>321</v>
      </c>
      <c r="BH40" s="265" t="s">
        <v>3163</v>
      </c>
      <c r="BI40" s="264" t="s">
        <v>3164</v>
      </c>
      <c r="BJ40" s="143" t="s">
        <v>3165</v>
      </c>
      <c r="BK40">
        <f>53.247*(1-0.06/100)</f>
        <v>53.215051799999998</v>
      </c>
      <c r="BL40">
        <f>53.247</f>
        <v>53.247</v>
      </c>
      <c r="BM40"/>
      <c r="BN40">
        <f>BL40-BK40</f>
        <v>3.1948200000002203E-2</v>
      </c>
      <c r="BO40" s="143">
        <f>BN40*10^6</f>
        <v>31948.200000002202</v>
      </c>
      <c r="BP40" t="s">
        <v>232</v>
      </c>
      <c r="BQ40" s="264" t="s">
        <v>3166</v>
      </c>
      <c r="BR40" s="143" t="s">
        <v>1929</v>
      </c>
      <c r="BS40">
        <f>117.96*(100.18/100)</f>
        <v>118.17232799999999</v>
      </c>
      <c r="BT40" s="144">
        <v>117.962</v>
      </c>
      <c r="BU40"/>
      <c r="BV40">
        <f>BT40-BS40</f>
        <v>-0.21032799999998986</v>
      </c>
      <c r="BW40"/>
      <c r="BX40">
        <f>BV40*10^6</f>
        <v>-210327.99999998984</v>
      </c>
      <c r="BY40">
        <f>IFERROR(BX40/BO40,"")</f>
        <v>-6.5834068899022586</v>
      </c>
      <c r="BZ40">
        <v>0</v>
      </c>
      <c r="CA40">
        <v>0</v>
      </c>
      <c r="CB40">
        <v>0</v>
      </c>
      <c r="CC40">
        <v>0</v>
      </c>
      <c r="CD40">
        <v>0</v>
      </c>
      <c r="CE40">
        <v>0</v>
      </c>
      <c r="CF40">
        <v>0</v>
      </c>
      <c r="CG40">
        <v>0</v>
      </c>
      <c r="CH40">
        <v>0</v>
      </c>
      <c r="CI40">
        <v>0</v>
      </c>
      <c r="CJ40">
        <v>0</v>
      </c>
      <c r="CK40">
        <v>0</v>
      </c>
      <c r="CL40">
        <v>0</v>
      </c>
      <c r="CM40">
        <v>0</v>
      </c>
      <c r="CN40" t="str">
        <f>IF($BL40&lt;$BK40,"refNeedCorrection","refOK")</f>
        <v>refOK</v>
      </c>
      <c r="CO40">
        <f>IF($CN40="refOK",$BK40,$BL40)</f>
        <v>53.215051799999998</v>
      </c>
      <c r="CP40">
        <f>IF($CN40="refOK",$BL40,$BK40)</f>
        <v>53.247</v>
      </c>
      <c r="CQ40">
        <f>IF($CN40="refOK",$BO40,-$BO40)</f>
        <v>31948.200000002202</v>
      </c>
      <c r="CR40">
        <f>IF($CN40="refOK",$BS40,$BT40)*IF($BP40="Emissions positive",-1,1)</f>
        <v>118.17232799999999</v>
      </c>
      <c r="CS40">
        <f>IF($CN40="refOK",$BS40,#REF!)*IF($BP40="Emissions positive",-1,1)</f>
        <v>118.17232799999999</v>
      </c>
      <c r="CT40">
        <f>IF($CN40="refNeedCorrection",-BX40,BX40)*IF($BP40="Emissions positive",-1,1)</f>
        <v>-210327.99999998984</v>
      </c>
      <c r="CU40">
        <f>IFERROR(CT40/CQ40,"")</f>
        <v>-6.5834068899022586</v>
      </c>
      <c r="CV40" s="2">
        <f>IFERROR((CS40-CR40)/ABS(CR40),"")</f>
        <v>0</v>
      </c>
      <c r="CW40" s="1" t="s">
        <v>1199</v>
      </c>
      <c r="CX40" t="str">
        <f>IF(OR($CW40="prd",$CW40="std",$CW40="cit"),"loc",IF(OR($CW40="eur",$CW40="reg",$CW40="coy"),"reg",$CW40))</f>
        <v>reg</v>
      </c>
      <c r="CY40" t="s">
        <v>729</v>
      </c>
      <c r="CZ40">
        <v>2007</v>
      </c>
      <c r="DA40" s="143">
        <v>2100</v>
      </c>
      <c r="DB40" s="143">
        <f>DA40-CZ40</f>
        <v>93</v>
      </c>
      <c r="DC40" t="str">
        <f>IF(DB40=0,"0",IF(AND(DB40&gt;=1,DB40&lt;=30),"1-30",IF(AND(DB40&gt;30,DB40&lt;=70),"31-70",IF(AND(DB40&gt;70,DB40&lt;=100),"71-100",IF(DB40&gt;100,"+100")))))</f>
        <v>71-100</v>
      </c>
      <c r="DD40">
        <v>0</v>
      </c>
      <c r="DE40">
        <v>1</v>
      </c>
      <c r="DF40">
        <v>0</v>
      </c>
      <c r="DG40">
        <v>1</v>
      </c>
      <c r="DH40">
        <v>1</v>
      </c>
      <c r="DI40">
        <f>SUM(DD40:DG40)</f>
        <v>2</v>
      </c>
      <c r="DJ40" t="str">
        <f>IF(DI40=1,INDEX($DD$7:$DG$7,MATCH(1,$DD40:$DG40,0)),"mixedProduct")</f>
        <v>mixedProduct</v>
      </c>
      <c r="DK40">
        <f>IF(DD40=1,DK$7,0)</f>
        <v>0</v>
      </c>
      <c r="DL40" t="str">
        <f>IF(DE40=1,DL$7,0)</f>
        <v>Energy</v>
      </c>
      <c r="DM40">
        <f>IF(DF40=1,DM$7,0)</f>
        <v>0</v>
      </c>
      <c r="DN40" t="str">
        <f>IF(DG40=1,DN$7,0)</f>
        <v>Timber</v>
      </c>
      <c r="DO40">
        <v>0</v>
      </c>
      <c r="DP40" s="143">
        <v>0</v>
      </c>
      <c r="DQ40" s="143">
        <v>0</v>
      </c>
      <c r="DR40">
        <v>0</v>
      </c>
      <c r="DS40" s="143">
        <v>0</v>
      </c>
      <c r="DT40">
        <f>SUM(DO40:DP40)</f>
        <v>0</v>
      </c>
      <c r="DU40" s="143" t="str">
        <f>IF(DO40=1,"self-calculated DF",IF(DP40=1,"external DF used","explicit C balance"))</f>
        <v>explicit C balance</v>
      </c>
      <c r="DV40" s="143">
        <v>0</v>
      </c>
      <c r="DW40" s="143">
        <v>0</v>
      </c>
      <c r="DX40" s="143">
        <v>1</v>
      </c>
      <c r="DY40" s="143">
        <v>1</v>
      </c>
      <c r="DZ40">
        <v>0</v>
      </c>
      <c r="EA40" s="143">
        <v>1</v>
      </c>
      <c r="EB40" s="143">
        <v>1</v>
      </c>
      <c r="EC40" s="143">
        <v>0</v>
      </c>
      <c r="ED40" s="143">
        <v>0</v>
      </c>
      <c r="EE40">
        <v>0</v>
      </c>
      <c r="EF40">
        <v>1</v>
      </c>
      <c r="EG40" s="143">
        <v>0</v>
      </c>
      <c r="EH40">
        <v>0</v>
      </c>
      <c r="EI40" s="2">
        <v>1</v>
      </c>
      <c r="EJ40" s="1"/>
      <c r="EK40" t="str">
        <f>IF(AND(AND(AND(OR($DX40=1,$DW40=1),OR($EC40=1,$EA40=1)),SUM($DV40:$DZ40,$EF40)&gt;=4),SUM($EA40:$EE40)&gt;=2),"Whole sector","")</f>
        <v/>
      </c>
      <c r="EL40" t="str">
        <f>IF(AND(AND(OR($DX40=1,$DW40=1),AND($EC40=0,$EA40=0)),SUM($DV40:$DZ40,$EF40)&gt;=4),"Ecosystem approach","")</f>
        <v/>
      </c>
      <c r="EM40" s="2" t="str">
        <f>IF(AND(AND(AND($DX40=0,$DW40=0),OR($EC40=1,$EA40=1)),SUM($EB40:$EE40)&gt;=2),"Technology approach","")</f>
        <v/>
      </c>
      <c r="EN40"/>
      <c r="EO40"/>
      <c r="EP40" t="str">
        <f>IF(ISNUMBER(BT40),IF(ABS(BT40-[1]QC_indicators!$B$2)&gt;3*[1]QC_indicators!$C$2,"C ratio",IF(ISNUMBER(BY40),IF(ABS(BY40-[1]QC_indicators!$B$1)&gt;3*[1]QC_indicators!$C$1,"DF","no"))),IF(ISNUMBER(BY40),IF(ABS(BY40-[1]QC_indicators!$B$1)&gt;3*[1]QC_indicators!$C$1,"DF","no")))</f>
        <v>C ratio</v>
      </c>
      <c r="EQ40"/>
      <c r="ER40"/>
      <c r="ES40"/>
      <c r="ET40" s="264" t="s">
        <v>3167</v>
      </c>
      <c r="EU40"/>
    </row>
    <row r="41" spans="1:151" s="139" customFormat="1" ht="15" customHeight="1">
      <c r="A41" s="1" t="s">
        <v>1423</v>
      </c>
      <c r="B41" t="s">
        <v>2490</v>
      </c>
      <c r="C41" t="s">
        <v>2491</v>
      </c>
      <c r="D41" t="s">
        <v>2492</v>
      </c>
      <c r="E41" t="s">
        <v>2493</v>
      </c>
      <c r="F41" t="s">
        <v>2494</v>
      </c>
      <c r="G41" t="s">
        <v>1429</v>
      </c>
      <c r="H41" t="s">
        <v>254</v>
      </c>
      <c r="I41">
        <v>2016</v>
      </c>
      <c r="J41">
        <v>24</v>
      </c>
      <c r="K41" t="s">
        <v>2495</v>
      </c>
      <c r="L41"/>
      <c r="M41" t="str">
        <f>LEFT($D41,FIND(",",$D41)-1)&amp;"_"&amp;I41&amp;L41</f>
        <v>Zubizarreta-Gerendiain_2016</v>
      </c>
      <c r="N41" t="s">
        <v>222</v>
      </c>
      <c r="O41" s="145" t="s">
        <v>1154</v>
      </c>
      <c r="P41"/>
      <c r="Q41" t="s">
        <v>256</v>
      </c>
      <c r="R41" s="262" t="s">
        <v>223</v>
      </c>
      <c r="S41" s="1" t="s">
        <v>2496</v>
      </c>
      <c r="T41" t="s">
        <v>2497</v>
      </c>
      <c r="U41" t="s">
        <v>2498</v>
      </c>
      <c r="V41">
        <v>0</v>
      </c>
      <c r="W41">
        <v>0</v>
      </c>
      <c r="X41">
        <v>0</v>
      </c>
      <c r="Y41">
        <v>2</v>
      </c>
      <c r="Z41">
        <v>0</v>
      </c>
      <c r="AA41">
        <v>0</v>
      </c>
      <c r="AB41">
        <v>0</v>
      </c>
      <c r="AC41">
        <v>0</v>
      </c>
      <c r="AD41">
        <v>0</v>
      </c>
      <c r="AE41">
        <v>0</v>
      </c>
      <c r="AF41">
        <v>1</v>
      </c>
      <c r="AG41">
        <v>0</v>
      </c>
      <c r="AH41">
        <v>0</v>
      </c>
      <c r="AI41">
        <v>0</v>
      </c>
      <c r="AJ41">
        <v>0</v>
      </c>
      <c r="AK41">
        <v>0</v>
      </c>
      <c r="AL41">
        <v>0</v>
      </c>
      <c r="AM41">
        <v>0</v>
      </c>
      <c r="AN41">
        <v>0</v>
      </c>
      <c r="AO41">
        <v>0</v>
      </c>
      <c r="AP41">
        <v>0</v>
      </c>
      <c r="AQ41">
        <v>0</v>
      </c>
      <c r="AR41">
        <v>0</v>
      </c>
      <c r="AS41">
        <v>0</v>
      </c>
      <c r="AT41">
        <v>0</v>
      </c>
      <c r="AU41">
        <v>0</v>
      </c>
      <c r="AV41">
        <v>0</v>
      </c>
      <c r="AW41">
        <v>0</v>
      </c>
      <c r="AX41" s="141">
        <f>COUNTIF(V41:AW41,"&lt;&gt;0")</f>
        <v>2</v>
      </c>
      <c r="AY41" s="141">
        <f>COUNTIF(V41:AL41,"&lt;&gt;0")</f>
        <v>2</v>
      </c>
      <c r="AZ41">
        <f>COUNTIF(V41:AC41,"&lt;&gt;0")</f>
        <v>1</v>
      </c>
      <c r="BA41">
        <f>COUNTIF(AD41:AI41,"&lt;&gt;0")</f>
        <v>1</v>
      </c>
      <c r="BB41">
        <f>COUNTIF(AJ41:AL41,"&lt;&gt;0")</f>
        <v>0</v>
      </c>
      <c r="BC41">
        <f>COUNTIF(AS41:AW41,"&lt;&gt;0")</f>
        <v>0</v>
      </c>
      <c r="BD41">
        <f>COUNTIF(AM41:AR41,"&lt;&gt;0")</f>
        <v>0</v>
      </c>
      <c r="BE41" t="str">
        <f t="array" ref="BE41">IF(AY41=1,INDEX($V$7:$AL$7,MATCH(TRUE,INDEX($V41:$AW41&lt;&gt;0,),0)),IF(AY41=0,INDEX($AM$7:$AW$7,MATCH(1,$AM41:$AW41,0)),IF(BF41="Multiple strategies","mixed drivers",IF(BF41="Supply chain","multiple supply","multiple silviculture"))))</f>
        <v>mixed drivers</v>
      </c>
      <c r="BF41" s="2" t="str" cm="1">
        <f t="array" ref="BF41">IF(COUNTIF(AZ41:BB41,"&lt;&gt;0")=1,INDEX($V$4:$AW$4,MATCH(TRUE,INDEX($V41:$AW41&lt;&gt;0,),0)),IF(COUNTIF(AZ41:BB41,"&lt;&gt;0")=0,INDEX($AM$4:$AW$4,MATCH(1,$AM41:$AW41,0)),"Multiple strategies"))</f>
        <v>Multiple strategies</v>
      </c>
      <c r="BG41" s="1" t="s">
        <v>321</v>
      </c>
      <c r="BH41" t="s">
        <v>2499</v>
      </c>
      <c r="BI41" s="264" t="s">
        <v>2113</v>
      </c>
      <c r="BJ41" t="s">
        <v>2500</v>
      </c>
      <c r="BK41">
        <v>77.868338557993695</v>
      </c>
      <c r="BL41">
        <v>82.946708463949804</v>
      </c>
      <c r="BM41" s="143">
        <f>BL41/BK41</f>
        <v>1.0652173913043479</v>
      </c>
      <c r="BN41">
        <f>BL41-BK41</f>
        <v>5.0783699059561087</v>
      </c>
      <c r="BO41">
        <f>BN41*1000*t_to_m3</f>
        <v>10364.020216236957</v>
      </c>
      <c r="BP41" s="143" t="s">
        <v>232</v>
      </c>
      <c r="BQ41" s="143" t="s">
        <v>3256</v>
      </c>
      <c r="BR41" t="s">
        <v>1195</v>
      </c>
      <c r="BS41">
        <v>-52765.33273743005</v>
      </c>
      <c r="BT41">
        <v>-114599.70703910608</v>
      </c>
      <c r="BU41" s="144">
        <f>IFERROR(BT41/BS41,"")</f>
        <v>2.1718750000000036</v>
      </c>
      <c r="BV41" s="144">
        <f>BT41-BS41</f>
        <v>-61834.374301676035</v>
      </c>
      <c r="BW41" s="144"/>
      <c r="BX41" s="144">
        <f>BV41</f>
        <v>-61834.374301676035</v>
      </c>
      <c r="BY41">
        <f>IFERROR(BX41/BO41,"")</f>
        <v>-5.9662537327746845</v>
      </c>
      <c r="BZ41">
        <v>0</v>
      </c>
      <c r="CA41">
        <v>0</v>
      </c>
      <c r="CB41">
        <v>0</v>
      </c>
      <c r="CC41">
        <v>0</v>
      </c>
      <c r="CD41">
        <v>0</v>
      </c>
      <c r="CE41">
        <v>0</v>
      </c>
      <c r="CF41">
        <v>0</v>
      </c>
      <c r="CG41">
        <v>0</v>
      </c>
      <c r="CH41">
        <v>0</v>
      </c>
      <c r="CI41">
        <v>0</v>
      </c>
      <c r="CJ41">
        <v>0</v>
      </c>
      <c r="CK41">
        <v>0</v>
      </c>
      <c r="CL41">
        <v>0</v>
      </c>
      <c r="CM41">
        <v>1</v>
      </c>
      <c r="CN41" t="str">
        <f>IF($BL41&lt;$BK41,"refNeedCorrection","refOK")</f>
        <v>refOK</v>
      </c>
      <c r="CO41">
        <f>IF($CN41="refOK",$BK41,$BL41)</f>
        <v>77.868338557993695</v>
      </c>
      <c r="CP41">
        <f>IF($CN41="refOK",$BL41,$BK41)</f>
        <v>82.946708463949804</v>
      </c>
      <c r="CQ41">
        <f>IF($CN41="refOK",$BO41,-$BO41)</f>
        <v>10364.020216236957</v>
      </c>
      <c r="CR41">
        <f>IF($CN41="refOK",$BS41,$BT41)*IF($BP41="Emissions positive",-1,1)</f>
        <v>-52765.33273743005</v>
      </c>
      <c r="CS41">
        <f>IF($CN41="refOK",$BT41,$BS41)*IF($BP41="Emissions positive",-1,1)</f>
        <v>-114599.70703910608</v>
      </c>
      <c r="CT41">
        <f>IF($CN41="refNeedCorrection",-BX41,BX41)*IF($BP41="Emissions positive",-1,1)</f>
        <v>-61834.374301676035</v>
      </c>
      <c r="CU41">
        <f>IFERROR(CT41/CQ41,"")</f>
        <v>-5.9662537327746845</v>
      </c>
      <c r="CV41" s="2">
        <f>IFERROR((CS41-CR41)/ABS(CR41),"")</f>
        <v>-1.1718750000000038</v>
      </c>
      <c r="CW41" s="1" t="s">
        <v>1199</v>
      </c>
      <c r="CX41" t="str">
        <f>IF(OR($CW41="prd",$CW41="std",$CW41="cit"),"loc",IF(OR($CW41="eur",$CW41="reg",$CW41="coy"),"reg",$CW41))</f>
        <v>reg</v>
      </c>
      <c r="CY41" t="s">
        <v>235</v>
      </c>
      <c r="CZ41">
        <v>2010</v>
      </c>
      <c r="DA41">
        <v>2070</v>
      </c>
      <c r="DB41">
        <f>DA41-CZ41</f>
        <v>60</v>
      </c>
      <c r="DC41" t="str">
        <f>IF(DB41=0,"0",IF(AND(DB41&gt;=1,DB41&lt;=30),"1-30",IF(AND(DB41&gt;30,DB41&lt;=70),"31-70",IF(AND(DB41&gt;70,DB41&lt;=100),"71-100",IF(DB41&gt;100,"+100")))))</f>
        <v>31-70</v>
      </c>
      <c r="DD41">
        <v>1</v>
      </c>
      <c r="DE41">
        <v>1</v>
      </c>
      <c r="DF41">
        <v>1</v>
      </c>
      <c r="DG41">
        <v>1</v>
      </c>
      <c r="DH41">
        <v>0</v>
      </c>
      <c r="DI41">
        <f>SUM(DD41:DG41)</f>
        <v>4</v>
      </c>
      <c r="DJ41" t="str">
        <f>IF(DI41=1,INDEX($DD$7:$DG$7,MATCH(1,$DD41:$DG41,0)),"mixedProduct")</f>
        <v>mixedProduct</v>
      </c>
      <c r="DK41" t="str">
        <f>IF(DD41=1,DK$7,0)</f>
        <v>Upstream</v>
      </c>
      <c r="DL41" t="str">
        <f>IF(DE41=1,DL$7,0)</f>
        <v>Energy</v>
      </c>
      <c r="DM41" t="str">
        <f>IF(DF41=1,DM$7,0)</f>
        <v>Pulp/Paper</v>
      </c>
      <c r="DN41" t="str">
        <f>IF(DG41=1,DN$7,0)</f>
        <v>Timber</v>
      </c>
      <c r="DO41">
        <v>0</v>
      </c>
      <c r="DP41">
        <v>0</v>
      </c>
      <c r="DQ41">
        <v>0</v>
      </c>
      <c r="DR41">
        <v>0</v>
      </c>
      <c r="DS41">
        <v>0</v>
      </c>
      <c r="DT41">
        <f>SUM(DO41:DP41)</f>
        <v>0</v>
      </c>
      <c r="DU41" s="143" t="str">
        <f>IF(DO41=1,"self-calculated DF",IF(DP41=1,"external DF used","explicit C balance"))</f>
        <v>explicit C balance</v>
      </c>
      <c r="DV41">
        <v>1</v>
      </c>
      <c r="DW41">
        <v>1</v>
      </c>
      <c r="DX41">
        <v>1</v>
      </c>
      <c r="DY41">
        <v>0</v>
      </c>
      <c r="DZ41">
        <v>0</v>
      </c>
      <c r="EA41" s="143">
        <v>0</v>
      </c>
      <c r="EB41">
        <v>1</v>
      </c>
      <c r="EC41">
        <v>1</v>
      </c>
      <c r="ED41">
        <v>0</v>
      </c>
      <c r="EE41">
        <v>0</v>
      </c>
      <c r="EF41">
        <v>1</v>
      </c>
      <c r="EG41">
        <v>0</v>
      </c>
      <c r="EH41">
        <v>0</v>
      </c>
      <c r="EI41" s="2">
        <v>0</v>
      </c>
      <c r="EJ41" s="1"/>
      <c r="EK41" t="str">
        <f>IF(AND(AND(AND(OR($DX41=1,$DW41=1),OR($EC41=1,$EA41=1)),SUM($DV41:$DZ41,$EF41)&gt;=4),SUM($EA41:$EE41)&gt;=2),"Whole sector","")</f>
        <v>Whole sector</v>
      </c>
      <c r="EL41" t="str">
        <f>IF(AND(AND(OR($DX41=1,$DW41=1),AND($EC41=0,$EA41=0)),SUM($DV41:$DZ41,$EF41)&gt;=4),"Ecosystem approach","")</f>
        <v/>
      </c>
      <c r="EM41" s="2" t="str">
        <f>IF(AND(AND(AND($DX41=0,$DW41=0),OR($EC41=1,$EA41=1)),SUM($EB41:$EE41)&gt;=2),"Technology approach","")</f>
        <v/>
      </c>
      <c r="EN41"/>
      <c r="EO41"/>
      <c r="EP41" t="str">
        <f>IF(ISNUMBER(BU41),IF(ABS(BU41-[1]QC_indicators!$B$2)&gt;3*[1]QC_indicators!$C$2,"C ratio",IF(ISNUMBER(BY41),IF(ABS(BY41-[1]QC_indicators!$B$1)&gt;3*[1]QC_indicators!$C$1,"DF","no"))),IF(ISNUMBER(BY41),IF(ABS(BY41-[1]QC_indicators!$B$1)&gt;3*[1]QC_indicators!$C$1,"DF","no")))</f>
        <v>no</v>
      </c>
      <c r="EQ41" t="s">
        <v>2501</v>
      </c>
      <c r="ER41"/>
      <c r="ES41"/>
      <c r="ET41" s="264" t="s">
        <v>3257</v>
      </c>
      <c r="EU41"/>
    </row>
    <row r="42" spans="1:151" s="139" customFormat="1" ht="15" customHeight="1">
      <c r="A42" s="1" t="s">
        <v>1378</v>
      </c>
      <c r="B42" t="s">
        <v>1379</v>
      </c>
      <c r="C42" t="s">
        <v>1380</v>
      </c>
      <c r="D42" t="s">
        <v>1381</v>
      </c>
      <c r="E42" t="s">
        <v>1382</v>
      </c>
      <c r="F42" t="s">
        <v>1383</v>
      </c>
      <c r="G42" t="s">
        <v>1384</v>
      </c>
      <c r="H42" t="s">
        <v>254</v>
      </c>
      <c r="I42">
        <v>2021</v>
      </c>
      <c r="J42">
        <v>0</v>
      </c>
      <c r="K42" t="s">
        <v>1385</v>
      </c>
      <c r="L42"/>
      <c r="M42" t="str">
        <f>LEFT($D42,FIND(",",$D42)-1)&amp;"_"&amp;I42&amp;L42</f>
        <v>Delacote_2021</v>
      </c>
      <c r="N42" t="s">
        <v>222</v>
      </c>
      <c r="O42" s="145" t="s">
        <v>223</v>
      </c>
      <c r="P42"/>
      <c r="Q42" s="264" t="s">
        <v>256</v>
      </c>
      <c r="R42" s="269" t="s">
        <v>1154</v>
      </c>
      <c r="S42" s="1" t="s">
        <v>1397</v>
      </c>
      <c r="T42" t="s">
        <v>1398</v>
      </c>
      <c r="U42" t="s">
        <v>1387</v>
      </c>
      <c r="V42">
        <v>0</v>
      </c>
      <c r="W42">
        <v>0</v>
      </c>
      <c r="X42">
        <v>0</v>
      </c>
      <c r="Y42">
        <v>0</v>
      </c>
      <c r="Z42">
        <v>0</v>
      </c>
      <c r="AA42">
        <v>0</v>
      </c>
      <c r="AB42">
        <v>0</v>
      </c>
      <c r="AC42">
        <v>0</v>
      </c>
      <c r="AD42">
        <v>0</v>
      </c>
      <c r="AE42">
        <v>0</v>
      </c>
      <c r="AF42">
        <v>0</v>
      </c>
      <c r="AG42">
        <v>0</v>
      </c>
      <c r="AH42">
        <v>0</v>
      </c>
      <c r="AI42">
        <v>0</v>
      </c>
      <c r="AJ42">
        <v>0</v>
      </c>
      <c r="AK42">
        <v>0</v>
      </c>
      <c r="AL42">
        <v>0</v>
      </c>
      <c r="AM42">
        <v>0</v>
      </c>
      <c r="AN42">
        <v>1</v>
      </c>
      <c r="AO42">
        <v>2</v>
      </c>
      <c r="AP42">
        <v>0</v>
      </c>
      <c r="AQ42">
        <v>0</v>
      </c>
      <c r="AR42">
        <v>0</v>
      </c>
      <c r="AS42">
        <v>0</v>
      </c>
      <c r="AT42">
        <v>0</v>
      </c>
      <c r="AU42">
        <v>0</v>
      </c>
      <c r="AV42">
        <v>0</v>
      </c>
      <c r="AW42">
        <v>0</v>
      </c>
      <c r="AX42" s="141">
        <f>COUNTIF(V42:AW42,"&lt;&gt;0")</f>
        <v>2</v>
      </c>
      <c r="AY42" s="141">
        <f>COUNTIF(V42:AL42,"&lt;&gt;0")</f>
        <v>0</v>
      </c>
      <c r="AZ42">
        <f>COUNTIF(V42:AC42,"&lt;&gt;0")</f>
        <v>0</v>
      </c>
      <c r="BA42">
        <f>COUNTIF(AD42:AI42,"&lt;&gt;0")</f>
        <v>0</v>
      </c>
      <c r="BB42">
        <f>COUNTIF(AJ42:AL42,"&lt;&gt;0")</f>
        <v>0</v>
      </c>
      <c r="BC42">
        <f>COUNTIF(AS42:AW42,"&lt;&gt;0")</f>
        <v>0</v>
      </c>
      <c r="BD42">
        <f>COUNTIF(AM42:AR42,"&lt;&gt;0")</f>
        <v>2</v>
      </c>
      <c r="BE42" t="str" cm="1">
        <f t="array" ref="BE42">IF(AY42=1,INDEX($V$7:$AL$7,MATCH(TRUE,INDEX($V42:$AW42&lt;&gt;0,),0)),IF(AY42=0,INDEX($AM$7:$AW$7,MATCH(1,$AM42:$AW42,0)),IF(BF42="Multiple strategies","mixed drivers",IF(BF42="Supply chain","multiple supply","multiple silviculture"))))</f>
        <v>Temperature</v>
      </c>
      <c r="BF42" s="2" t="str" cm="1">
        <f t="array" ref="BF42">IF(COUNTIF(AZ42:BB42,"&lt;&gt;0")=1,INDEX($V$4:$AW$4,MATCH(TRUE,INDEX($V42:$AW42&lt;&gt;0,),0)),IF(COUNTIF(AZ42:BB42,"&lt;&gt;0")=0,INDEX($AM$4:$AW$4,MATCH(1,$AM42:$AW42,0)),"Multiple strategies"))</f>
        <v>Environmental change</v>
      </c>
      <c r="BG42" s="1" t="s">
        <v>321</v>
      </c>
      <c r="BH42" t="s">
        <v>1297</v>
      </c>
      <c r="BI42"/>
      <c r="BJ42" t="s">
        <v>1214</v>
      </c>
      <c r="BK42">
        <v>51.780999999999999</v>
      </c>
      <c r="BL42">
        <v>58.277999999999999</v>
      </c>
      <c r="BM42">
        <f>BL42/BK42</f>
        <v>1.1254707325080628</v>
      </c>
      <c r="BN42">
        <f>BL42-BK42</f>
        <v>6.4969999999999999</v>
      </c>
      <c r="BO42">
        <f>BN42*10^6</f>
        <v>6497000</v>
      </c>
      <c r="BP42" t="s">
        <v>232</v>
      </c>
      <c r="BQ42"/>
      <c r="BR42" t="s">
        <v>1230</v>
      </c>
      <c r="BS42">
        <v>94.81</v>
      </c>
      <c r="BT42">
        <v>56.534999999999997</v>
      </c>
      <c r="BU42" s="144">
        <f>IFERROR(BT42/BS42,"")</f>
        <v>0.59629785887564601</v>
      </c>
      <c r="BV42">
        <f>BT42-BS42</f>
        <v>-38.275000000000006</v>
      </c>
      <c r="BW42"/>
      <c r="BX42">
        <f>BV42*10^6</f>
        <v>-38275000.000000007</v>
      </c>
      <c r="BY42">
        <f>IFERROR(BX42/BO42,"")</f>
        <v>-5.891180544866863</v>
      </c>
      <c r="BZ42">
        <v>0</v>
      </c>
      <c r="CA42">
        <v>0</v>
      </c>
      <c r="CB42">
        <v>0</v>
      </c>
      <c r="CC42">
        <v>0</v>
      </c>
      <c r="CD42">
        <v>0</v>
      </c>
      <c r="CE42">
        <v>0</v>
      </c>
      <c r="CF42">
        <v>0</v>
      </c>
      <c r="CG42">
        <v>0</v>
      </c>
      <c r="CH42">
        <v>0</v>
      </c>
      <c r="CI42">
        <v>0</v>
      </c>
      <c r="CJ42">
        <v>0</v>
      </c>
      <c r="CK42">
        <v>0</v>
      </c>
      <c r="CL42">
        <v>0</v>
      </c>
      <c r="CM42">
        <v>1</v>
      </c>
      <c r="CN42" t="str">
        <f>IF($BL42&lt;$BK42,"refNeedCorrection","refOK")</f>
        <v>refOK</v>
      </c>
      <c r="CO42">
        <f>IF($CN42="refOK",$BK42,$BL42)</f>
        <v>51.780999999999999</v>
      </c>
      <c r="CP42">
        <f>IF($CN42="refOK",$BL42,$BK42)</f>
        <v>58.277999999999999</v>
      </c>
      <c r="CQ42">
        <f>IF($CN42="refOK",$BO42,-$BO42)</f>
        <v>6497000</v>
      </c>
      <c r="CR42">
        <f>IF($CN42="refOK",$BS42,$BT42)*IF($BP42="Emissions positive",-1,1)</f>
        <v>94.81</v>
      </c>
      <c r="CS42">
        <f>IF($CN42="refOK",$BT42,$BS42)*IF($BP42="Emissions positive",-1,1)</f>
        <v>56.534999999999997</v>
      </c>
      <c r="CT42">
        <f>IF($CN42="refNeedCorrection",-BX42,BX42)*IF($BP42="Emissions positive",-1,1)</f>
        <v>-38275000.000000007</v>
      </c>
      <c r="CU42">
        <f>IFERROR(CT42/CQ42,"")</f>
        <v>-5.891180544866863</v>
      </c>
      <c r="CV42" s="2">
        <f>IFERROR((CS42-CR42)/ABS(CR42),"")</f>
        <v>-0.40370214112435404</v>
      </c>
      <c r="CW42" s="1" t="s">
        <v>1203</v>
      </c>
      <c r="CX42" s="264" t="str">
        <f>IF(OR($CW42="prd",$CW42="std",$CW42="cit"),"loc",IF(OR($CW42="eur",$CW42="reg",$CW42="coy"),"reg",$CW42))</f>
        <v>reg</v>
      </c>
      <c r="CY42" t="s">
        <v>729</v>
      </c>
      <c r="CZ42">
        <v>2015</v>
      </c>
      <c r="DA42">
        <v>2100</v>
      </c>
      <c r="DB42">
        <f>DA42-CZ42</f>
        <v>85</v>
      </c>
      <c r="DC42" t="str">
        <f>IF(DB42=0,"0",IF(AND(DB42&gt;=1,DB42&lt;=30),"1-30",IF(AND(DB42&gt;30,DB42&lt;=70),"31-70",IF(AND(DB42&gt;70,DB42&lt;=100),"71-100",IF(DB42&gt;100,"+100")))))</f>
        <v>71-100</v>
      </c>
      <c r="DD42">
        <v>0</v>
      </c>
      <c r="DE42">
        <v>1</v>
      </c>
      <c r="DF42">
        <v>1</v>
      </c>
      <c r="DG42">
        <v>1</v>
      </c>
      <c r="DH42"/>
      <c r="DI42">
        <f>SUM(DD42:DG42)</f>
        <v>3</v>
      </c>
      <c r="DJ42" t="str">
        <f>IF(DI42=1,INDEX($DD$7:$DG$7,MATCH(1,$DD42:$DG42,0)),"mixedProduct")</f>
        <v>mixedProduct</v>
      </c>
      <c r="DK42">
        <f>IF(DD42=1,DK$7,0)</f>
        <v>0</v>
      </c>
      <c r="DL42" t="str">
        <f>IF(DE42=1,DL$7,0)</f>
        <v>Energy</v>
      </c>
      <c r="DM42" t="str">
        <f>IF(DF42=1,DM$7,0)</f>
        <v>Pulp/Paper</v>
      </c>
      <c r="DN42" t="str">
        <f>IF(DG42=1,DN$7,0)</f>
        <v>Timber</v>
      </c>
      <c r="DO42">
        <v>0</v>
      </c>
      <c r="DP42">
        <v>0</v>
      </c>
      <c r="DQ42">
        <v>0</v>
      </c>
      <c r="DR42">
        <v>0</v>
      </c>
      <c r="DS42">
        <v>0</v>
      </c>
      <c r="DT42">
        <f>SUM(DO42:DP42)</f>
        <v>0</v>
      </c>
      <c r="DU42" s="143" t="str">
        <f>IF(DO42=1,"self-calculated DF",IF(DP42=1,"external DF used","explicit C balance"))</f>
        <v>explicit C balance</v>
      </c>
      <c r="DV42">
        <v>0</v>
      </c>
      <c r="DW42">
        <v>1</v>
      </c>
      <c r="DX42">
        <v>1</v>
      </c>
      <c r="DY42">
        <v>1</v>
      </c>
      <c r="DZ42">
        <v>0</v>
      </c>
      <c r="EA42">
        <v>0</v>
      </c>
      <c r="EB42">
        <v>0</v>
      </c>
      <c r="EC42">
        <v>0</v>
      </c>
      <c r="ED42">
        <v>0</v>
      </c>
      <c r="EE42">
        <v>0</v>
      </c>
      <c r="EF42">
        <v>1</v>
      </c>
      <c r="EG42">
        <v>0</v>
      </c>
      <c r="EH42">
        <v>1</v>
      </c>
      <c r="EI42" s="2">
        <v>1</v>
      </c>
      <c r="EJ42" s="1"/>
      <c r="EK42" t="str">
        <f>IF(AND(AND(AND(OR($DX42=1,$DW42=1),OR($EC42=1,$EA42=1)),SUM($DV42:$DZ42,$EF42)&gt;=4),SUM($EA42:$EE42)&gt;=2),"Whole sector","")</f>
        <v/>
      </c>
      <c r="EL42" t="str">
        <f>IF(AND(AND(OR($DX42=1,$DW42=1),AND($EC42=0,$EA42=0)),SUM($DV42:$DZ42,$EF42)&gt;=4),"Ecosystem approach","")</f>
        <v>Ecosystem approach</v>
      </c>
      <c r="EM42" s="2" t="str">
        <f>IF(AND(AND(AND($DX42=0,$DW42=0),OR($EC42=1,$EA42=1)),SUM($EB42:$EE42)&gt;=2),"Technology approach","")</f>
        <v/>
      </c>
      <c r="EN42"/>
      <c r="EO42"/>
      <c r="EP42" t="str">
        <f>IF(ISNUMBER(BU42),IF(ABS(BU42-[3]QC_indicators!$B$2)&gt;3*[3]QC_indicators!$C$2,"C ratio",IF(ISNUMBER(BY42),IF(ABS(BY42-[3]QC_indicators!$B$1)&gt;3*[3]QC_indicators!$C$1,"DF","no"))),IF(ISNUMBER(BY42),IF(ABS(BY42-[3]QC_indicators!$B$1)&gt;3*[3]QC_indicators!$C$1,"DF","no")))</f>
        <v>DF</v>
      </c>
      <c r="EQ42"/>
      <c r="ER42"/>
      <c r="ES42"/>
      <c r="ET42" s="264" t="s">
        <v>3407</v>
      </c>
      <c r="EU42"/>
    </row>
    <row r="43" spans="1:151" s="139" customFormat="1" ht="15" customHeight="1">
      <c r="A43" s="1" t="s">
        <v>1378</v>
      </c>
      <c r="B43" t="s">
        <v>1379</v>
      </c>
      <c r="C43" t="s">
        <v>1380</v>
      </c>
      <c r="D43" t="s">
        <v>1381</v>
      </c>
      <c r="E43" t="s">
        <v>1382</v>
      </c>
      <c r="F43" t="s">
        <v>1383</v>
      </c>
      <c r="G43" t="s">
        <v>1384</v>
      </c>
      <c r="H43" t="s">
        <v>254</v>
      </c>
      <c r="I43">
        <v>2021</v>
      </c>
      <c r="J43">
        <v>0</v>
      </c>
      <c r="K43" t="s">
        <v>1385</v>
      </c>
      <c r="L43"/>
      <c r="M43" t="str">
        <f>LEFT($D43,FIND(",",$D43)-1)&amp;"_"&amp;I43&amp;L43</f>
        <v>Delacote_2021</v>
      </c>
      <c r="N43" t="s">
        <v>222</v>
      </c>
      <c r="O43" s="145" t="s">
        <v>223</v>
      </c>
      <c r="P43"/>
      <c r="Q43" s="264" t="s">
        <v>256</v>
      </c>
      <c r="R43" s="269" t="s">
        <v>1154</v>
      </c>
      <c r="S43" s="1" t="s">
        <v>1397</v>
      </c>
      <c r="T43" t="s">
        <v>1398</v>
      </c>
      <c r="U43" t="s">
        <v>1387</v>
      </c>
      <c r="V43">
        <v>0</v>
      </c>
      <c r="W43">
        <v>0</v>
      </c>
      <c r="X43">
        <v>0</v>
      </c>
      <c r="Y43">
        <v>0</v>
      </c>
      <c r="Z43">
        <v>0</v>
      </c>
      <c r="AA43">
        <v>0</v>
      </c>
      <c r="AB43">
        <v>0</v>
      </c>
      <c r="AC43">
        <v>0</v>
      </c>
      <c r="AD43">
        <v>0</v>
      </c>
      <c r="AE43">
        <v>0</v>
      </c>
      <c r="AF43">
        <v>0</v>
      </c>
      <c r="AG43">
        <v>0</v>
      </c>
      <c r="AH43">
        <v>0</v>
      </c>
      <c r="AI43">
        <v>0</v>
      </c>
      <c r="AJ43">
        <v>0</v>
      </c>
      <c r="AK43">
        <v>0</v>
      </c>
      <c r="AL43">
        <v>0</v>
      </c>
      <c r="AM43">
        <v>0</v>
      </c>
      <c r="AN43">
        <v>1</v>
      </c>
      <c r="AO43">
        <v>2</v>
      </c>
      <c r="AP43">
        <v>0</v>
      </c>
      <c r="AQ43">
        <v>0</v>
      </c>
      <c r="AR43">
        <v>0</v>
      </c>
      <c r="AS43">
        <v>0</v>
      </c>
      <c r="AT43">
        <v>0</v>
      </c>
      <c r="AU43">
        <v>0</v>
      </c>
      <c r="AV43">
        <v>0</v>
      </c>
      <c r="AW43">
        <v>0</v>
      </c>
      <c r="AX43" s="141">
        <f>COUNTIF(V43:AW43,"&lt;&gt;0")</f>
        <v>2</v>
      </c>
      <c r="AY43" s="141">
        <f>COUNTIF(V43:AL43,"&lt;&gt;0")</f>
        <v>0</v>
      </c>
      <c r="AZ43">
        <f>COUNTIF(V43:AC43,"&lt;&gt;0")</f>
        <v>0</v>
      </c>
      <c r="BA43">
        <f>COUNTIF(AD43:AI43,"&lt;&gt;0")</f>
        <v>0</v>
      </c>
      <c r="BB43">
        <f>COUNTIF(AJ43:AL43,"&lt;&gt;0")</f>
        <v>0</v>
      </c>
      <c r="BC43">
        <f>COUNTIF(AS43:AW43,"&lt;&gt;0")</f>
        <v>0</v>
      </c>
      <c r="BD43">
        <f>COUNTIF(AM43:AR43,"&lt;&gt;0")</f>
        <v>2</v>
      </c>
      <c r="BE43" t="str" cm="1">
        <f t="array" ref="BE43">IF(AY43=1,INDEX($V$7:$AL$7,MATCH(TRUE,INDEX($V43:$AW43&lt;&gt;0,),0)),IF(AY43=0,INDEX($AM$7:$AW$7,MATCH(1,$AM43:$AW43,0)),IF(BF43="Multiple strategies","mixed drivers",IF(BF43="Supply chain","multiple supply","multiple silviculture"))))</f>
        <v>Temperature</v>
      </c>
      <c r="BF43" s="2" t="str" cm="1">
        <f t="array" ref="BF43">IF(COUNTIF(AZ43:BB43,"&lt;&gt;0")=1,INDEX($V$4:$AW$4,MATCH(TRUE,INDEX($V43:$AW43&lt;&gt;0,),0)),IF(COUNTIF(AZ43:BB43,"&lt;&gt;0")=0,INDEX($AM$4:$AW$4,MATCH(1,$AM43:$AW43,0)),"Multiple strategies"))</f>
        <v>Environmental change</v>
      </c>
      <c r="BG43" s="1" t="s">
        <v>321</v>
      </c>
      <c r="BH43" t="s">
        <v>1297</v>
      </c>
      <c r="BI43"/>
      <c r="BJ43" t="s">
        <v>1214</v>
      </c>
      <c r="BK43">
        <v>51.780999999999999</v>
      </c>
      <c r="BL43">
        <v>58.277999999999999</v>
      </c>
      <c r="BM43">
        <f>BL43/BK43</f>
        <v>1.1254707325080628</v>
      </c>
      <c r="BN43">
        <f>BL43-BK43</f>
        <v>6.4969999999999999</v>
      </c>
      <c r="BO43">
        <f>BN43*10^6</f>
        <v>6497000</v>
      </c>
      <c r="BP43" t="s">
        <v>232</v>
      </c>
      <c r="BQ43"/>
      <c r="BR43" t="s">
        <v>1230</v>
      </c>
      <c r="BS43">
        <v>123.172</v>
      </c>
      <c r="BT43">
        <f>BS43*(1-29.85/100)</f>
        <v>86.405158</v>
      </c>
      <c r="BU43" s="144">
        <f>IFERROR(BT43/BS43,"")</f>
        <v>0.70150000000000001</v>
      </c>
      <c r="BV43">
        <f>BT43-BS43</f>
        <v>-36.766841999999997</v>
      </c>
      <c r="BW43"/>
      <c r="BX43">
        <f>BV43*10^6</f>
        <v>-36766842</v>
      </c>
      <c r="BY43">
        <f>IFERROR(BX43/BO43,"")</f>
        <v>-5.6590490995844238</v>
      </c>
      <c r="BZ43">
        <v>0</v>
      </c>
      <c r="CA43">
        <v>0</v>
      </c>
      <c r="CB43">
        <v>0</v>
      </c>
      <c r="CC43">
        <v>0</v>
      </c>
      <c r="CD43">
        <v>0</v>
      </c>
      <c r="CE43">
        <v>0</v>
      </c>
      <c r="CF43">
        <v>0</v>
      </c>
      <c r="CG43">
        <v>0</v>
      </c>
      <c r="CH43">
        <v>0</v>
      </c>
      <c r="CI43">
        <v>0</v>
      </c>
      <c r="CJ43">
        <v>0</v>
      </c>
      <c r="CK43">
        <v>0</v>
      </c>
      <c r="CL43">
        <v>0</v>
      </c>
      <c r="CM43">
        <v>1</v>
      </c>
      <c r="CN43" t="str">
        <f>IF($BL43&lt;$BK43,"refNeedCorrection","refOK")</f>
        <v>refOK</v>
      </c>
      <c r="CO43">
        <f>IF($CN43="refOK",$BK43,$BL43)</f>
        <v>51.780999999999999</v>
      </c>
      <c r="CP43">
        <f>IF($CN43="refOK",$BL43,$BK43)</f>
        <v>58.277999999999999</v>
      </c>
      <c r="CQ43">
        <f>IF($CN43="refOK",$BO43,-$BO43)</f>
        <v>6497000</v>
      </c>
      <c r="CR43">
        <f>IF($CN43="refOK",$BS43,$BT43)*IF($BP43="Emissions positive",-1,1)</f>
        <v>123.172</v>
      </c>
      <c r="CS43">
        <f>IF($CN43="refOK",$BT43,$BS43)*IF($BP43="Emissions positive",-1,1)</f>
        <v>86.405158</v>
      </c>
      <c r="CT43">
        <f>IF($CN43="refNeedCorrection",-BX43,BX43)*IF($BP43="Emissions positive",-1,1)</f>
        <v>-36766842</v>
      </c>
      <c r="CU43">
        <f>IFERROR(CT43/CQ43,"")</f>
        <v>-5.6590490995844238</v>
      </c>
      <c r="CV43" s="2">
        <f>IFERROR((CS43-CR43)/ABS(CR43),"")</f>
        <v>-0.29849999999999999</v>
      </c>
      <c r="CW43" s="1" t="s">
        <v>1203</v>
      </c>
      <c r="CX43" s="264" t="str">
        <f>IF(OR($CW43="prd",$CW43="std",$CW43="cit"),"loc",IF(OR($CW43="eur",$CW43="reg",$CW43="coy"),"reg",$CW43))</f>
        <v>reg</v>
      </c>
      <c r="CY43" t="s">
        <v>729</v>
      </c>
      <c r="CZ43">
        <v>2015</v>
      </c>
      <c r="DA43">
        <v>2100</v>
      </c>
      <c r="DB43">
        <f>DA43-CZ43</f>
        <v>85</v>
      </c>
      <c r="DC43" t="str">
        <f>IF(DB43=0,"0",IF(AND(DB43&gt;=1,DB43&lt;=30),"1-30",IF(AND(DB43&gt;30,DB43&lt;=70),"31-70",IF(AND(DB43&gt;70,DB43&lt;=100),"71-100",IF(DB43&gt;100,"+100")))))</f>
        <v>71-100</v>
      </c>
      <c r="DD43">
        <v>0</v>
      </c>
      <c r="DE43">
        <v>1</v>
      </c>
      <c r="DF43">
        <v>1</v>
      </c>
      <c r="DG43">
        <v>1</v>
      </c>
      <c r="DH43"/>
      <c r="DI43">
        <f>SUM(DD43:DG43)</f>
        <v>3</v>
      </c>
      <c r="DJ43" t="str">
        <f>IF(DI43=1,INDEX($DD$7:$DG$7,MATCH(1,$DD43:$DG43,0)),"mixedProduct")</f>
        <v>mixedProduct</v>
      </c>
      <c r="DK43">
        <f>IF(DD43=1,DK$7,0)</f>
        <v>0</v>
      </c>
      <c r="DL43" t="str">
        <f>IF(DE43=1,DL$7,0)</f>
        <v>Energy</v>
      </c>
      <c r="DM43" t="str">
        <f>IF(DF43=1,DM$7,0)</f>
        <v>Pulp/Paper</v>
      </c>
      <c r="DN43" t="str">
        <f>IF(DG43=1,DN$7,0)</f>
        <v>Timber</v>
      </c>
      <c r="DO43">
        <v>0</v>
      </c>
      <c r="DP43">
        <v>1</v>
      </c>
      <c r="DQ43" t="s">
        <v>1389</v>
      </c>
      <c r="DR43" t="s">
        <v>1389</v>
      </c>
      <c r="DS43" t="s">
        <v>1389</v>
      </c>
      <c r="DT43">
        <f>SUM(DO43:DP43)</f>
        <v>1</v>
      </c>
      <c r="DU43" s="143" t="str">
        <f>IF(DO43=1,"self-calculated DF",IF(DP43=1,"external DF used","explicit C balance"))</f>
        <v>external DF used</v>
      </c>
      <c r="DV43">
        <v>0</v>
      </c>
      <c r="DW43">
        <v>1</v>
      </c>
      <c r="DX43">
        <v>1</v>
      </c>
      <c r="DY43">
        <v>1</v>
      </c>
      <c r="DZ43">
        <v>0</v>
      </c>
      <c r="EA43">
        <v>1</v>
      </c>
      <c r="EB43">
        <v>1</v>
      </c>
      <c r="EC43">
        <v>1</v>
      </c>
      <c r="ED43">
        <v>0</v>
      </c>
      <c r="EE43">
        <v>0</v>
      </c>
      <c r="EF43">
        <v>1</v>
      </c>
      <c r="EG43">
        <v>0</v>
      </c>
      <c r="EH43">
        <v>1</v>
      </c>
      <c r="EI43" s="2">
        <v>1</v>
      </c>
      <c r="EJ43" s="1"/>
      <c r="EK43" t="str">
        <f>IF(AND(AND(AND(OR($DX43=1,$DW43=1),OR($EC43=1,$EA43=1)),SUM($DV43:$DZ43,$EF43)&gt;=4),SUM($EA43:$EE43)&gt;=2),"Whole sector","")</f>
        <v>Whole sector</v>
      </c>
      <c r="EL43" t="str">
        <f>IF(AND(AND(OR($DX43=1,$DW43=1),AND($EC43=0,$EA43=0)),SUM($DV43:$DZ43,$EF43)&gt;=4),"Ecosystem approach","")</f>
        <v/>
      </c>
      <c r="EM43" s="2" t="str">
        <f>IF(AND(AND(AND($DX43=0,$DW43=0),OR($EC43=1,$EA43=1)),SUM($EB43:$EE43)&gt;=2),"Technology approach","")</f>
        <v/>
      </c>
      <c r="EN43"/>
      <c r="EO43"/>
      <c r="EP43" t="str">
        <f>IF(ISNUMBER(BU43),IF(ABS(BU43-[3]QC_indicators!$B$2)&gt;3*[3]QC_indicators!$C$2,"C ratio",IF(ISNUMBER(BY43),IF(ABS(BY43-[3]QC_indicators!$B$1)&gt;3*[3]QC_indicators!$C$1,"DF","no"))),IF(ISNUMBER(BY43),IF(ABS(BY43-[3]QC_indicators!$B$1)&gt;3*[3]QC_indicators!$C$1,"DF","no")))</f>
        <v>no</v>
      </c>
      <c r="EQ43"/>
      <c r="ER43"/>
      <c r="ES43"/>
      <c r="ET43" s="264" t="s">
        <v>3407</v>
      </c>
      <c r="EU43"/>
    </row>
    <row r="44" spans="1:151" s="139" customFormat="1" ht="15" customHeight="1">
      <c r="A44" s="1" t="s">
        <v>1360</v>
      </c>
      <c r="B44" t="s">
        <v>2098</v>
      </c>
      <c r="C44" t="s">
        <v>2099</v>
      </c>
      <c r="D44" t="s">
        <v>2100</v>
      </c>
      <c r="E44" t="s">
        <v>2101</v>
      </c>
      <c r="F44" t="s">
        <v>2102</v>
      </c>
      <c r="G44" t="s">
        <v>1366</v>
      </c>
      <c r="H44" t="s">
        <v>1628</v>
      </c>
      <c r="I44">
        <v>2004</v>
      </c>
      <c r="J44">
        <v>53</v>
      </c>
      <c r="K44" t="s">
        <v>2103</v>
      </c>
      <c r="L44"/>
      <c r="M44" t="str">
        <f>LEFT($D44,FIND(",",$D44)-1)&amp;"_"&amp;I44&amp;L44</f>
        <v>Phat_2004</v>
      </c>
      <c r="N44" t="s">
        <v>222</v>
      </c>
      <c r="O44" s="171" t="s">
        <v>513</v>
      </c>
      <c r="P44" s="141" t="s">
        <v>225</v>
      </c>
      <c r="Q44" t="s">
        <v>389</v>
      </c>
      <c r="R44" s="2" t="s">
        <v>274</v>
      </c>
      <c r="S44" s="1" t="s">
        <v>2111</v>
      </c>
      <c r="T44" t="s">
        <v>2112</v>
      </c>
      <c r="U44" t="s">
        <v>2106</v>
      </c>
      <c r="V44">
        <v>0</v>
      </c>
      <c r="W44">
        <v>0</v>
      </c>
      <c r="X44">
        <v>0</v>
      </c>
      <c r="Y44">
        <v>1</v>
      </c>
      <c r="Z44">
        <v>0</v>
      </c>
      <c r="AA44">
        <v>0</v>
      </c>
      <c r="AB44">
        <v>0</v>
      </c>
      <c r="AC44">
        <v>0</v>
      </c>
      <c r="AD44">
        <v>1</v>
      </c>
      <c r="AE44">
        <v>0</v>
      </c>
      <c r="AF44">
        <v>0</v>
      </c>
      <c r="AG44">
        <v>0</v>
      </c>
      <c r="AH44">
        <v>0</v>
      </c>
      <c r="AI44">
        <v>0</v>
      </c>
      <c r="AJ44">
        <v>1</v>
      </c>
      <c r="AK44">
        <v>0</v>
      </c>
      <c r="AL44">
        <v>0</v>
      </c>
      <c r="AM44">
        <v>0</v>
      </c>
      <c r="AN44">
        <v>0</v>
      </c>
      <c r="AO44">
        <v>0</v>
      </c>
      <c r="AP44">
        <v>0</v>
      </c>
      <c r="AQ44">
        <v>0</v>
      </c>
      <c r="AR44">
        <v>0</v>
      </c>
      <c r="AS44">
        <v>0</v>
      </c>
      <c r="AT44">
        <v>0</v>
      </c>
      <c r="AU44">
        <v>0</v>
      </c>
      <c r="AV44">
        <v>0</v>
      </c>
      <c r="AW44">
        <v>0</v>
      </c>
      <c r="AX44" s="141">
        <f>COUNTIF(V44:AW44,"&lt;&gt;0")</f>
        <v>3</v>
      </c>
      <c r="AY44" s="141">
        <f>COUNTIF(V44:AL44,"&lt;&gt;0")</f>
        <v>3</v>
      </c>
      <c r="AZ44">
        <f>COUNTIF(V44:AC44,"&lt;&gt;0")</f>
        <v>1</v>
      </c>
      <c r="BA44">
        <f>COUNTIF(AD44:AI44,"&lt;&gt;0")</f>
        <v>1</v>
      </c>
      <c r="BB44">
        <f>COUNTIF(AJ44:AL44,"&lt;&gt;0")</f>
        <v>1</v>
      </c>
      <c r="BC44">
        <f>COUNTIF(AS44:AW44,"&lt;&gt;0")</f>
        <v>0</v>
      </c>
      <c r="BD44">
        <f>COUNTIF(AM44:AR44,"&lt;&gt;0")</f>
        <v>0</v>
      </c>
      <c r="BE44" t="str">
        <f t="array" ref="BE44">IF(AY44=1,INDEX($V$7:$AL$7,MATCH(TRUE,INDEX($V44:$AW44&lt;&gt;0,),0)),IF(AY44=0,INDEX($AM$7:$AW$7,MATCH(1,$AM44:$AW44,0)),IF(BF44="Multiple strategies","mixed drivers",IF(BF44="Supply chain","multiple supply","multiple silviculture"))))</f>
        <v>mixed drivers</v>
      </c>
      <c r="BF44" s="2" t="str" cm="1">
        <f t="array" ref="BF44">IF(COUNTIF(AZ44:BB44,"&lt;&gt;0")=1,INDEX($V$4:$AW$4,MATCH(TRUE,INDEX($V44:$AW44&lt;&gt;0,),0)),IF(COUNTIF(AZ44:BB44,"&lt;&gt;0")=0,INDEX($AM$4:$AW$4,MATCH(1,$AM44:$AW44,0)),"Multiple strategies"))</f>
        <v>Multiple strategies</v>
      </c>
      <c r="BG44" s="142" t="s">
        <v>321</v>
      </c>
      <c r="BH44" t="s">
        <v>2107</v>
      </c>
      <c r="BI44" t="s">
        <v>2108</v>
      </c>
      <c r="BJ44" t="s">
        <v>498</v>
      </c>
      <c r="BK44">
        <v>7280000000</v>
      </c>
      <c r="BL44">
        <v>10857500000</v>
      </c>
      <c r="BM44">
        <f>IFERROR(BL44/BK44,"")</f>
        <v>1.4914148351648351</v>
      </c>
      <c r="BN44">
        <f>BL44-BK44</f>
        <v>3577500000</v>
      </c>
      <c r="BO44">
        <f>BL44-BK44</f>
        <v>3577500000</v>
      </c>
      <c r="BP44" t="s">
        <v>232</v>
      </c>
      <c r="BQ44" t="s">
        <v>2113</v>
      </c>
      <c r="BR44" t="s">
        <v>2109</v>
      </c>
      <c r="BS44">
        <v>9.8000000000000007</v>
      </c>
      <c r="BT44">
        <v>4.3</v>
      </c>
      <c r="BU44" s="144"/>
      <c r="BV44">
        <f>(BT44-BS44)*1000000000</f>
        <v>-5500000000.000001</v>
      </c>
      <c r="BW44"/>
      <c r="BX44">
        <f>BV44*C_to_CO2</f>
        <v>-20185000000.000004</v>
      </c>
      <c r="BY44">
        <f>IFERROR(BX44/BO44,"")</f>
        <v>-5.6422082459818323</v>
      </c>
      <c r="BZ44">
        <v>0</v>
      </c>
      <c r="CA44">
        <v>0</v>
      </c>
      <c r="CB44">
        <v>0</v>
      </c>
      <c r="CC44">
        <v>0</v>
      </c>
      <c r="CD44">
        <v>0</v>
      </c>
      <c r="CE44">
        <v>0</v>
      </c>
      <c r="CF44">
        <v>0</v>
      </c>
      <c r="CG44">
        <v>0</v>
      </c>
      <c r="CH44">
        <v>0</v>
      </c>
      <c r="CI44">
        <v>0</v>
      </c>
      <c r="CJ44">
        <v>0</v>
      </c>
      <c r="CK44">
        <v>0</v>
      </c>
      <c r="CL44">
        <v>0</v>
      </c>
      <c r="CM44">
        <v>0</v>
      </c>
      <c r="CN44" t="str">
        <f>IF($BL44&lt;$BK44,"refNeedCorrection","refOK")</f>
        <v>refOK</v>
      </c>
      <c r="CO44">
        <f>IF($CN44="refOK",$BK44,$BL44)</f>
        <v>7280000000</v>
      </c>
      <c r="CP44">
        <f>IF($CN44="refOK",$BL44,$BK44)</f>
        <v>10857500000</v>
      </c>
      <c r="CQ44">
        <f>IF($CN44="refOK",$BO44,-$BO44)</f>
        <v>3577500000</v>
      </c>
      <c r="CR44">
        <f>IF($CN44="refOK",$BS44,$BT44)*IF($BP44="Emissions positive",-1,1)</f>
        <v>9.8000000000000007</v>
      </c>
      <c r="CS44">
        <f>IF($CN44="refOK",$BT44,$BS44)*IF($BP44="Emissions positive",-1,1)</f>
        <v>4.3</v>
      </c>
      <c r="CT44">
        <f>IF($CN44="refNeedCorrection",-BX44,BX44)*IF($BP44="Emissions positive",-1,1)</f>
        <v>-20185000000.000004</v>
      </c>
      <c r="CU44">
        <f>IFERROR(CT44/CQ44,"")</f>
        <v>-5.6422082459818323</v>
      </c>
      <c r="CV44" s="2">
        <f>IFERROR((CS44-CR44)/ABS(CR44),"")</f>
        <v>-0.56122448979591844</v>
      </c>
      <c r="CW44" s="1" t="s">
        <v>1199</v>
      </c>
      <c r="CX44" t="str">
        <f>IF(OR($CW44="prd",$CW44="std",$CW44="cit"),"loc",IF(OR($CW44="eur",$CW44="reg",$CW44="coy"),"reg",$CW44))</f>
        <v>reg</v>
      </c>
      <c r="CY44" t="s">
        <v>2110</v>
      </c>
      <c r="CZ44">
        <v>2000</v>
      </c>
      <c r="DA44">
        <v>2050</v>
      </c>
      <c r="DB44">
        <v>50</v>
      </c>
      <c r="DC44" t="str">
        <f>IF(DB44=0,"0",IF(AND(DB44&gt;=1,DB44&lt;=30),"1-30",IF(AND(DB44&gt;30,DB44&lt;=70),"31-70",IF(AND(DB44&gt;70,DB44&lt;=100),"71-100",IF(DB44&gt;100,"+100")))))</f>
        <v>31-70</v>
      </c>
      <c r="DD44">
        <v>1</v>
      </c>
      <c r="DE44">
        <v>0</v>
      </c>
      <c r="DF44">
        <v>0</v>
      </c>
      <c r="DG44">
        <v>0</v>
      </c>
      <c r="DH44"/>
      <c r="DI44">
        <f>SUM(DD44:DG44)</f>
        <v>1</v>
      </c>
      <c r="DJ44" t="str">
        <f>IF(DI44=1,INDEX($DD$7:$DG$7,MATCH(1,$DD44:$DG44,0)),"mixedProduct")</f>
        <v>UpstreamInput</v>
      </c>
      <c r="DK44" t="str">
        <f>IF(DD44=1,DK$7,0)</f>
        <v>Upstream</v>
      </c>
      <c r="DL44">
        <f>IF(DE44=1,DL$7,0)</f>
        <v>0</v>
      </c>
      <c r="DM44">
        <f>IF(DF44=1,DM$7,0)</f>
        <v>0</v>
      </c>
      <c r="DN44">
        <f>IF(DG44=1,DN$7,0)</f>
        <v>0</v>
      </c>
      <c r="DO44">
        <v>0</v>
      </c>
      <c r="DP44">
        <v>0</v>
      </c>
      <c r="DQ44">
        <v>0</v>
      </c>
      <c r="DR44">
        <v>0</v>
      </c>
      <c r="DS44">
        <v>0</v>
      </c>
      <c r="DT44">
        <f>SUM(DO44:DP44)</f>
        <v>0</v>
      </c>
      <c r="DU44" s="143" t="str">
        <f>IF(DO44=1,"self-calculated DF",IF(DP44=1,"external DF used","explicit C balance"))</f>
        <v>explicit C balance</v>
      </c>
      <c r="DV44">
        <v>0</v>
      </c>
      <c r="DW44">
        <v>0</v>
      </c>
      <c r="DX44">
        <v>1</v>
      </c>
      <c r="DY44">
        <v>1</v>
      </c>
      <c r="DZ44">
        <v>1</v>
      </c>
      <c r="EA44" s="143">
        <v>0</v>
      </c>
      <c r="EB44">
        <v>0</v>
      </c>
      <c r="EC44">
        <v>0</v>
      </c>
      <c r="ED44">
        <v>0</v>
      </c>
      <c r="EE44">
        <v>0</v>
      </c>
      <c r="EF44">
        <v>0</v>
      </c>
      <c r="EG44" s="143">
        <v>0</v>
      </c>
      <c r="EH44" s="143">
        <v>1</v>
      </c>
      <c r="EI44" s="2">
        <v>0</v>
      </c>
      <c r="EJ44" s="1"/>
      <c r="EK44" t="str">
        <f>IF(AND(AND(AND(OR($DX44=1,$DW44=1),OR($EC44=1,$EA44=1)),SUM($DV44:$DZ44,$EF44)&gt;=4),SUM($EA44:$EE44)&gt;=2),"Whole sector","")</f>
        <v/>
      </c>
      <c r="EL44" t="str">
        <f>IF(AND(AND(OR($DX44=1,$DW44=1),AND($EC44=0,$EA44=0)),SUM($DV44:$DZ44,$EF44)&gt;=4),"Ecosystem approach","")</f>
        <v/>
      </c>
      <c r="EM44" s="2" t="str">
        <f>IF(AND(AND(AND($DX44=0,$DW44=0),OR($EC44=1,$EA44=1)),SUM($EB44:$EE44)&gt;=2),"Technology approach","")</f>
        <v/>
      </c>
      <c r="EN44"/>
      <c r="EO44"/>
      <c r="EP44" t="str">
        <f>IF(ISNUMBER(BU44),IF(ABS(BU44-[2]QC_indicators!$B$2)&gt;3*[2]QC_indicators!$C$2,"C ratio",IF(ISNUMBER(BY44),IF(ABS(BY44-[2]QC_indicators!$B$1)&gt;3*[2]QC_indicators!$C$1,"DF","no"))),IF(ISNUMBER(BY44),IF(ABS(BY44-[2]QC_indicators!$B$1)&gt;3*[2]QC_indicators!$C$1,"DF","no")))</f>
        <v>no</v>
      </c>
      <c r="EQ44"/>
      <c r="ER44"/>
      <c r="ES44"/>
      <c r="ET44" s="264" t="s">
        <v>3271</v>
      </c>
      <c r="EU44" s="264"/>
    </row>
    <row r="45" spans="1:151" s="139" customFormat="1" ht="15" customHeight="1">
      <c r="A45" s="1" t="s">
        <v>265</v>
      </c>
      <c r="B45" t="s">
        <v>266</v>
      </c>
      <c r="C45" t="s">
        <v>267</v>
      </c>
      <c r="D45" t="s">
        <v>268</v>
      </c>
      <c r="E45" t="s">
        <v>269</v>
      </c>
      <c r="F45" t="s">
        <v>270</v>
      </c>
      <c r="G45" t="s">
        <v>271</v>
      </c>
      <c r="H45" t="s">
        <v>254</v>
      </c>
      <c r="I45">
        <v>2022</v>
      </c>
      <c r="J45">
        <v>0</v>
      </c>
      <c r="K45" t="s">
        <v>272</v>
      </c>
      <c r="L45"/>
      <c r="M45" t="s">
        <v>273</v>
      </c>
      <c r="N45" t="s">
        <v>222</v>
      </c>
      <c r="O45" s="145" t="s">
        <v>274</v>
      </c>
      <c r="P45"/>
      <c r="Q45" t="s">
        <v>224</v>
      </c>
      <c r="R45" s="262" t="s">
        <v>223</v>
      </c>
      <c r="S45" s="263" t="s">
        <v>3109</v>
      </c>
      <c r="T45" t="s">
        <v>275</v>
      </c>
      <c r="U45" t="s">
        <v>276</v>
      </c>
      <c r="V45">
        <v>1</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s="141">
        <f>COUNTIF(V45:AW45,"&lt;&gt;0")</f>
        <v>1</v>
      </c>
      <c r="AY45" s="141">
        <f>COUNTIF(V45:AL45,"&lt;&gt;0")</f>
        <v>1</v>
      </c>
      <c r="AZ45">
        <f>COUNTIF(V45:AC45,"&lt;&gt;0")</f>
        <v>1</v>
      </c>
      <c r="BA45">
        <f>COUNTIF(AD45:AI45,"&lt;&gt;0")</f>
        <v>0</v>
      </c>
      <c r="BB45">
        <f>COUNTIF(AJ45:AL45,"&lt;&gt;0")</f>
        <v>0</v>
      </c>
      <c r="BC45">
        <f>COUNTIF(AS45:AW45,"&lt;&gt;0")</f>
        <v>0</v>
      </c>
      <c r="BD45">
        <f>COUNTIF(AM45:AR45,"&lt;&gt;0")</f>
        <v>0</v>
      </c>
      <c r="BE45" t="str">
        <f t="array" ref="BE45">IF(AY45=1,INDEX($V$7:$AL$7,MATCH(TRUE,INDEX($V45:$AW45&lt;&gt;0,),0)),IF(AY45=0,INDEX($AM$7:$AW$7,MATCH(1,$AM45:$AW45,0)),IF(BF45="Multiple strategies","mixed drivers",IF(BF45="Supply chain","multiple supply","multiple silviculture"))))</f>
        <v>area subject to harvest</v>
      </c>
      <c r="BF45" s="2" t="str" cm="1">
        <f t="array" ref="BF45">IF(COUNTIF(AZ45:BB45,"&lt;&gt;0")=1,INDEX($V$4:$AW$4,MATCH(TRUE,INDEX($V45:$AW45&lt;&gt;0,),0)),IF(COUNTIF(AZ45:BB45,"&lt;&gt;0")=0,INDEX($AM$4:$AW$4,MATCH(1,$AM45:$AW45,0)),"Multiple strategies"))</f>
        <v>Silviculture for removals</v>
      </c>
      <c r="BG45" s="1" t="s">
        <v>229</v>
      </c>
      <c r="BH45" t="s">
        <v>277</v>
      </c>
      <c r="BI45" s="264" t="s">
        <v>3106</v>
      </c>
      <c r="BJ45" t="s">
        <v>278</v>
      </c>
      <c r="BK45" s="141">
        <v>135.58000000000001</v>
      </c>
      <c r="BL45">
        <v>145.3587976415094</v>
      </c>
      <c r="BM45"/>
      <c r="BN45">
        <f>BL45-BK45</f>
        <v>9.7787976415093851</v>
      </c>
      <c r="BO45">
        <f>BN45*tC_to_m3</f>
        <v>42.461127405598724</v>
      </c>
      <c r="BP45" t="s">
        <v>232</v>
      </c>
      <c r="BQ45" s="153" t="s">
        <v>3107</v>
      </c>
      <c r="BR45" t="s">
        <v>279</v>
      </c>
      <c r="BS45">
        <v>-430.22235574765915</v>
      </c>
      <c r="BT45">
        <v>-654.85817268246092</v>
      </c>
      <c r="BU45" s="144">
        <f>IFERROR(BT45/BS45,"")</f>
        <v>1.5221388752437559</v>
      </c>
      <c r="BV45">
        <f>BT45-BS45</f>
        <v>-224.63581693480177</v>
      </c>
      <c r="BW45"/>
      <c r="BX45">
        <f>BV45</f>
        <v>-224.63581693480177</v>
      </c>
      <c r="BY45">
        <f>IFERROR(BX45/BO45,"")</f>
        <v>-5.2903874828623216</v>
      </c>
      <c r="BZ45"/>
      <c r="CA45"/>
      <c r="CB45"/>
      <c r="CC45"/>
      <c r="CD45"/>
      <c r="CE45"/>
      <c r="CF45"/>
      <c r="CG45"/>
      <c r="CH45"/>
      <c r="CI45"/>
      <c r="CJ45"/>
      <c r="CK45"/>
      <c r="CL45"/>
      <c r="CM45"/>
      <c r="CN45" t="str">
        <f>IF($BL45&lt;$BK45,"refNeedCorrection","refOK")</f>
        <v>refOK</v>
      </c>
      <c r="CO45">
        <f>IF($CN45="refOK",$BK45,$BL45)</f>
        <v>135.58000000000001</v>
      </c>
      <c r="CP45">
        <f>IF($CN45="refOK",$BL45,$BK45)</f>
        <v>145.3587976415094</v>
      </c>
      <c r="CQ45">
        <f>IF($CN45="refOK",$BO45,-$BO45)</f>
        <v>42.461127405598724</v>
      </c>
      <c r="CR45">
        <f>IF($CN45="refOK",$BS45,$BT45)*IF($BP45="Emissions positive",-1,1)</f>
        <v>-430.22235574765915</v>
      </c>
      <c r="CS45">
        <f>IF($CN45="refOK",$BT45,$BS45)*IF($BP45="Emissions positive",-1,1)</f>
        <v>-654.85817268246092</v>
      </c>
      <c r="CT45">
        <f>IF($CN45="refNeedCorrection",-BX45,BX45)*IF($BP45="Emissions positive",-1,1)</f>
        <v>-224.63581693480177</v>
      </c>
      <c r="CU45">
        <f>IFERROR(CT45/CQ45,"")</f>
        <v>-5.2903874828623216</v>
      </c>
      <c r="CV45" s="2">
        <f>IFERROR((CS45-CR45)/ABS(CR45),"")</f>
        <v>-0.52213887524375591</v>
      </c>
      <c r="CW45" s="1" t="s">
        <v>234</v>
      </c>
      <c r="CX45" t="str">
        <f>IF(OR($CW45="prd",$CW45="std",$CW45="cit"),"loc",IF(OR($CW45="eur",$CW45="reg",$CW45="coy"),"reg",$CW45))</f>
        <v>loc</v>
      </c>
      <c r="CY45" t="s">
        <v>280</v>
      </c>
      <c r="CZ45"/>
      <c r="DA45"/>
      <c r="DB45">
        <v>50</v>
      </c>
      <c r="DC45" t="str">
        <f>IF(DB45=0,"0",IF(AND(DB45&gt;=1,DB45&lt;=30),"1-30",IF(AND(DB45&gt;30,DB45&lt;=70),"31-70",IF(AND(DB45&gt;70,DB45&lt;=100),"71-100",IF(DB45&gt;100,"+100")))))</f>
        <v>31-70</v>
      </c>
      <c r="DD45">
        <v>0</v>
      </c>
      <c r="DE45">
        <v>0</v>
      </c>
      <c r="DF45">
        <v>0</v>
      </c>
      <c r="DG45">
        <v>1</v>
      </c>
      <c r="DH45"/>
      <c r="DI45">
        <v>1</v>
      </c>
      <c r="DJ45" t="s">
        <v>175</v>
      </c>
      <c r="DK45">
        <v>0</v>
      </c>
      <c r="DL45">
        <v>0</v>
      </c>
      <c r="DM45">
        <v>0</v>
      </c>
      <c r="DN45" t="s">
        <v>182</v>
      </c>
      <c r="DO45">
        <v>0</v>
      </c>
      <c r="DP45">
        <v>1</v>
      </c>
      <c r="DQ45">
        <v>0</v>
      </c>
      <c r="DR45" t="s">
        <v>281</v>
      </c>
      <c r="DS45">
        <v>0</v>
      </c>
      <c r="DT45">
        <v>1</v>
      </c>
      <c r="DU45" s="143" t="s">
        <v>282</v>
      </c>
      <c r="DV45">
        <v>0</v>
      </c>
      <c r="DW45">
        <v>1</v>
      </c>
      <c r="DX45">
        <v>1</v>
      </c>
      <c r="DY45">
        <v>1</v>
      </c>
      <c r="DZ45">
        <v>1</v>
      </c>
      <c r="EA45" s="143">
        <v>0</v>
      </c>
      <c r="EB45">
        <v>1</v>
      </c>
      <c r="EC45">
        <v>1</v>
      </c>
      <c r="ED45">
        <v>0</v>
      </c>
      <c r="EE45">
        <v>1</v>
      </c>
      <c r="EF45">
        <v>1</v>
      </c>
      <c r="EG45">
        <v>1</v>
      </c>
      <c r="EH45">
        <v>0</v>
      </c>
      <c r="EI45" s="2">
        <v>0</v>
      </c>
      <c r="EJ45" s="1"/>
      <c r="EK45" t="str">
        <f>IF(AND(AND(AND(OR($DX45=1,$DW45=1),OR($EC45=1,$EA45=1)),SUM($DV45:$DZ45,$EF45)&gt;=4),SUM($EA45:$EE45)&gt;=2),"Whole sector","")</f>
        <v>Whole sector</v>
      </c>
      <c r="EL45" t="str">
        <f>IF(AND(AND(OR($DX45=1,$DW45=1),AND($EC45=0,$EA45=0)),SUM($DV45:$DZ45,$EF45)&gt;=4),"Ecosystem approach","")</f>
        <v/>
      </c>
      <c r="EM45" s="2" t="str">
        <f>IF(AND(AND(AND($DX45=0,$DW45=0),OR($EC45=1,$EA45=1)),SUM($EB45:$EE45)&gt;=2),"Technology approach","")</f>
        <v/>
      </c>
      <c r="EN45"/>
      <c r="EO45"/>
      <c r="EP45"/>
      <c r="EQ45"/>
      <c r="ER45"/>
      <c r="ES45"/>
      <c r="ET45" s="264" t="s">
        <v>3273</v>
      </c>
      <c r="EU45"/>
    </row>
    <row r="46" spans="1:151" s="139" customFormat="1" ht="15" customHeight="1">
      <c r="A46" s="1" t="s">
        <v>2114</v>
      </c>
      <c r="B46" t="s">
        <v>544</v>
      </c>
      <c r="C46" t="s">
        <v>2277</v>
      </c>
      <c r="D46" t="s">
        <v>2278</v>
      </c>
      <c r="E46" t="s">
        <v>2279</v>
      </c>
      <c r="F46" t="s">
        <v>2280</v>
      </c>
      <c r="G46" t="s">
        <v>2115</v>
      </c>
      <c r="H46" t="s">
        <v>254</v>
      </c>
      <c r="I46">
        <v>2014</v>
      </c>
      <c r="J46">
        <v>96</v>
      </c>
      <c r="K46" t="s">
        <v>2281</v>
      </c>
      <c r="L46"/>
      <c r="M46" t="str">
        <f>LEFT($D46,FIND(",",$D46)-1)&amp;"_"&amp;I46&amp;L46</f>
        <v>Smyth_2014</v>
      </c>
      <c r="N46" t="s">
        <v>222</v>
      </c>
      <c r="O46" s="145" t="s">
        <v>341</v>
      </c>
      <c r="P46"/>
      <c r="Q46" t="s">
        <v>256</v>
      </c>
      <c r="R46" s="262" t="s">
        <v>223</v>
      </c>
      <c r="S46" s="1" t="s">
        <v>2290</v>
      </c>
      <c r="T46" t="s">
        <v>1155</v>
      </c>
      <c r="U46" s="264" t="s">
        <v>2286</v>
      </c>
      <c r="V46">
        <v>0</v>
      </c>
      <c r="W46">
        <v>0</v>
      </c>
      <c r="X46">
        <v>0</v>
      </c>
      <c r="Y46">
        <v>1</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s="141">
        <f>COUNTIF(V46:AW46,"&lt;&gt;0")</f>
        <v>1</v>
      </c>
      <c r="AY46" s="141">
        <f>COUNTIF(V46:AL46,"&lt;&gt;0")</f>
        <v>1</v>
      </c>
      <c r="AZ46">
        <f>COUNTIF(V46:AC46,"&lt;&gt;0")</f>
        <v>1</v>
      </c>
      <c r="BA46">
        <f>COUNTIF(AD46:AI46,"&lt;&gt;0")</f>
        <v>0</v>
      </c>
      <c r="BB46">
        <f>COUNTIF(AJ46:AL46,"&lt;&gt;0")</f>
        <v>0</v>
      </c>
      <c r="BC46">
        <f>COUNTIF(AS46:AW46,"&lt;&gt;0")</f>
        <v>0</v>
      </c>
      <c r="BD46">
        <f>COUNTIF(AM46:AR46,"&lt;&gt;0")</f>
        <v>0</v>
      </c>
      <c r="BE46" t="str">
        <f t="array" ref="BE46">IF(AY46=1,INDEX($V$7:$AL$7,MATCH(TRUE,INDEX($V46:$AW46&lt;&gt;0,),0)),IF(AY46=0,INDEX($AM$7:$AW$7,MATCH(1,$AM46:$AW46,0)),IF(BF46="Multiple strategies","mixed drivers",IF(BF46="Supply chain","multiple supply","multiple silviculture"))))</f>
        <v xml:space="preserve">cutting intensity </v>
      </c>
      <c r="BF46" s="2" t="str" cm="1">
        <f t="array" ref="BF46">IF(COUNTIF(AZ46:BB46,"&lt;&gt;0")=1,INDEX($V$4:$AW$4,MATCH(TRUE,INDEX($V46:$AW46&lt;&gt;0,),0)),IF(COUNTIF(AZ46:BB46,"&lt;&gt;0")=0,INDEX($AM$4:$AW$4,MATCH(1,$AM46:$AW46,0)),"Multiple strategies"))</f>
        <v>Silviculture for removals</v>
      </c>
      <c r="BG46" s="1" t="s">
        <v>321</v>
      </c>
      <c r="BH46" t="s">
        <v>2287</v>
      </c>
      <c r="BI46" t="s">
        <v>1036</v>
      </c>
      <c r="BJ46" t="s">
        <v>2288</v>
      </c>
      <c r="BK46">
        <v>0</v>
      </c>
      <c r="BL46">
        <v>2.9000000000000001E-2</v>
      </c>
      <c r="BM46"/>
      <c r="BN46">
        <f>BL46-BK46</f>
        <v>2.9000000000000001E-2</v>
      </c>
      <c r="BO46">
        <f>BN46*10^6*tC_to_m3</f>
        <v>125922.70950933566</v>
      </c>
      <c r="BP46" t="s">
        <v>232</v>
      </c>
      <c r="BQ46" s="267" t="s">
        <v>783</v>
      </c>
      <c r="BR46" s="264" t="s">
        <v>3244</v>
      </c>
      <c r="BS46"/>
      <c r="BT46"/>
      <c r="BU46" s="144"/>
      <c r="BV46">
        <f>-22.7/35</f>
        <v>-0.64857142857142858</v>
      </c>
      <c r="BW46"/>
      <c r="BX46">
        <f>BV46*10^6</f>
        <v>-648571.42857142852</v>
      </c>
      <c r="BY46">
        <f>IFERROR(BX46/BO46,"")</f>
        <v>-5.1505517241379302</v>
      </c>
      <c r="BZ46">
        <v>0</v>
      </c>
      <c r="CA46">
        <v>1</v>
      </c>
      <c r="CB46">
        <v>1</v>
      </c>
      <c r="CC46">
        <v>1</v>
      </c>
      <c r="CD46">
        <v>0</v>
      </c>
      <c r="CE46">
        <v>0</v>
      </c>
      <c r="CF46">
        <v>0</v>
      </c>
      <c r="CG46">
        <v>0</v>
      </c>
      <c r="CH46">
        <v>0</v>
      </c>
      <c r="CI46">
        <v>0</v>
      </c>
      <c r="CJ46">
        <v>0</v>
      </c>
      <c r="CK46">
        <v>0</v>
      </c>
      <c r="CL46">
        <v>0</v>
      </c>
      <c r="CM46">
        <v>0</v>
      </c>
      <c r="CN46" t="str">
        <f>IF($BL46&lt;$BK46,"refNeedCorrection","refOK")</f>
        <v>refOK</v>
      </c>
      <c r="CO46">
        <f>IF($CN46="refOK",$BK46,$BL46)</f>
        <v>0</v>
      </c>
      <c r="CP46">
        <f>IF($CN46="refOK",$BL46,$BK46)</f>
        <v>2.9000000000000001E-2</v>
      </c>
      <c r="CQ46">
        <f>IF($CN46="refOK",$BO46,-$BO46)</f>
        <v>125922.70950933566</v>
      </c>
      <c r="CR46">
        <f>IF($CN46="refOK",$BS46,$BT46)*IF($BP46="Emissions positive",-1,1)</f>
        <v>0</v>
      </c>
      <c r="CS46">
        <f>IF($CN46="refOK",$BT46,$BS46)*IF($BP46="Emissions positive",-1,1)</f>
        <v>0</v>
      </c>
      <c r="CT46">
        <f>IF($CN46="refNeedCorrection",-BX46,BX46)*IF($BP46="Emissions positive",-1,1)</f>
        <v>-648571.42857142852</v>
      </c>
      <c r="CU46">
        <f>IFERROR(CT46/CQ46,"")</f>
        <v>-5.1505517241379302</v>
      </c>
      <c r="CV46" s="2" t="str">
        <f>IFERROR((CS46-CR46)/ABS(CR46),"")</f>
        <v/>
      </c>
      <c r="CW46" s="1" t="s">
        <v>1203</v>
      </c>
      <c r="CX46" t="str">
        <f>IF(OR($CW46="prd",$CW46="std",$CW46="cit"),"loc",IF(OR($CW46="eur",$CW46="reg",$CW46="coy"),"reg",$CW46))</f>
        <v>reg</v>
      </c>
      <c r="CY46" t="s">
        <v>540</v>
      </c>
      <c r="CZ46">
        <v>2015</v>
      </c>
      <c r="DA46">
        <v>2050</v>
      </c>
      <c r="DB46">
        <v>35</v>
      </c>
      <c r="DC46" t="str">
        <f>IF(DB46=0,"0",IF(AND(DB46&gt;=1,DB46&lt;=30),"1-30",IF(AND(DB46&gt;30,DB46&lt;=70),"31-70",IF(AND(DB46&gt;70,DB46&lt;=100),"71-100",IF(DB46&gt;100,"+100")))))</f>
        <v>31-70</v>
      </c>
      <c r="DD46">
        <v>0</v>
      </c>
      <c r="DE46">
        <v>1</v>
      </c>
      <c r="DF46">
        <v>1</v>
      </c>
      <c r="DG46">
        <v>1</v>
      </c>
      <c r="DH46"/>
      <c r="DI46">
        <f>SUM(DD46:DG46)</f>
        <v>3</v>
      </c>
      <c r="DJ46" t="str">
        <f>IF(DI46=1,INDEX($DD$7:$DG$7,MATCH(1,$DD46:$DG46,0)),"mixedProduct")</f>
        <v>mixedProduct</v>
      </c>
      <c r="DK46">
        <f>IF(DD46=1,DK$7,0)</f>
        <v>0</v>
      </c>
      <c r="DL46" t="str">
        <f>IF(DE46=1,DL$7,0)</f>
        <v>Energy</v>
      </c>
      <c r="DM46" t="str">
        <f>IF(DF46=1,DM$7,0)</f>
        <v>Pulp/Paper</v>
      </c>
      <c r="DN46" t="str">
        <f>IF(DG46=1,DN$7,0)</f>
        <v>Timber</v>
      </c>
      <c r="DO46">
        <v>0</v>
      </c>
      <c r="DP46">
        <v>0</v>
      </c>
      <c r="DQ46"/>
      <c r="DR46">
        <v>0</v>
      </c>
      <c r="DS46">
        <v>0</v>
      </c>
      <c r="DT46">
        <f>SUM(DO46:DP46)</f>
        <v>0</v>
      </c>
      <c r="DU46" s="143" t="str">
        <f>IF(DO46=1,"self-calculated DF",IF(DP46=1,"external DF used","explicit C balance"))</f>
        <v>explicit C balance</v>
      </c>
      <c r="DV46">
        <v>1</v>
      </c>
      <c r="DW46">
        <v>1</v>
      </c>
      <c r="DX46">
        <v>1</v>
      </c>
      <c r="DY46">
        <v>0</v>
      </c>
      <c r="DZ46">
        <v>0</v>
      </c>
      <c r="EA46">
        <v>0</v>
      </c>
      <c r="EB46">
        <v>0</v>
      </c>
      <c r="EC46">
        <v>0</v>
      </c>
      <c r="ED46">
        <v>0</v>
      </c>
      <c r="EE46">
        <v>0</v>
      </c>
      <c r="EF46">
        <v>1</v>
      </c>
      <c r="EG46">
        <v>0</v>
      </c>
      <c r="EH46">
        <v>0</v>
      </c>
      <c r="EI46" s="2">
        <v>0</v>
      </c>
      <c r="EJ46" s="1"/>
      <c r="EK46" t="str">
        <f>IF(AND(AND(AND(OR($DX46=1,$DW46=1),OR($EC46=1,$EA46=1)),SUM($DV46:$DZ46,$EF46)&gt;=4),SUM($EA46:$EE46)&gt;=2),"Whole sector","")</f>
        <v/>
      </c>
      <c r="EL46" t="str">
        <f>IF(AND(AND(OR($DX46=1,$DW46=1),AND($EC46=0,$EA46=0)),SUM($DV46:$DZ46,$EF46)&gt;=4),"Ecosystem approach","")</f>
        <v>Ecosystem approach</v>
      </c>
      <c r="EM46" s="2" t="str">
        <f>IF(AND(AND(AND($DX46=0,$DW46=0),OR($EC46=1,$EA46=1)),SUM($EB46:$EE46)&gt;=2),"Technology approach","")</f>
        <v/>
      </c>
      <c r="EN46"/>
      <c r="EO46"/>
      <c r="EP46" t="str">
        <f>IF(ISNUMBER(BU46),IF(ABS(BU46-[1]QC_indicators!$B$2)&gt;3*[1]QC_indicators!$C$2,"C ratio",IF(ISNUMBER(BY46),IF(ABS(BY46-[1]QC_indicators!$B$1)&gt;3*[1]QC_indicators!$C$1,"DF","no"))),IF(ISNUMBER(BY46),IF(ABS(BY46-[1]QC_indicators!$B$1)&gt;3*[1]QC_indicators!$C$1,"DF","no")))</f>
        <v>no</v>
      </c>
      <c r="EQ46"/>
      <c r="ER46"/>
      <c r="ES46"/>
      <c r="ET46" s="268" t="s">
        <v>3242</v>
      </c>
      <c r="EU46"/>
    </row>
    <row r="47" spans="1:151" s="139" customFormat="1" ht="15" customHeight="1">
      <c r="A47" s="1" t="s">
        <v>1423</v>
      </c>
      <c r="B47" t="s">
        <v>2490</v>
      </c>
      <c r="C47" t="s">
        <v>2491</v>
      </c>
      <c r="D47" t="s">
        <v>2492</v>
      </c>
      <c r="E47" t="s">
        <v>2493</v>
      </c>
      <c r="F47" t="s">
        <v>2494</v>
      </c>
      <c r="G47" t="s">
        <v>1429</v>
      </c>
      <c r="H47" t="s">
        <v>254</v>
      </c>
      <c r="I47">
        <v>2016</v>
      </c>
      <c r="J47">
        <v>24</v>
      </c>
      <c r="K47" t="s">
        <v>2495</v>
      </c>
      <c r="L47"/>
      <c r="M47" t="str">
        <f>LEFT($D47,FIND(",",$D47)-1)&amp;"_"&amp;I47&amp;L47</f>
        <v>Zubizarreta-Gerendiain_2016</v>
      </c>
      <c r="N47" t="s">
        <v>222</v>
      </c>
      <c r="O47" s="145" t="s">
        <v>1154</v>
      </c>
      <c r="P47"/>
      <c r="Q47" t="s">
        <v>256</v>
      </c>
      <c r="R47" s="262" t="s">
        <v>223</v>
      </c>
      <c r="S47" s="1" t="s">
        <v>2496</v>
      </c>
      <c r="T47" t="s">
        <v>2497</v>
      </c>
      <c r="U47" t="s">
        <v>2498</v>
      </c>
      <c r="V47">
        <v>0</v>
      </c>
      <c r="W47">
        <v>0</v>
      </c>
      <c r="X47">
        <v>0</v>
      </c>
      <c r="Y47">
        <v>2</v>
      </c>
      <c r="Z47">
        <v>0</v>
      </c>
      <c r="AA47">
        <v>0</v>
      </c>
      <c r="AB47">
        <v>0</v>
      </c>
      <c r="AC47">
        <v>0</v>
      </c>
      <c r="AD47">
        <v>0</v>
      </c>
      <c r="AE47">
        <v>0</v>
      </c>
      <c r="AF47">
        <v>1</v>
      </c>
      <c r="AG47">
        <v>0</v>
      </c>
      <c r="AH47">
        <v>0</v>
      </c>
      <c r="AI47">
        <v>0</v>
      </c>
      <c r="AJ47">
        <v>0</v>
      </c>
      <c r="AK47">
        <v>0</v>
      </c>
      <c r="AL47">
        <v>0</v>
      </c>
      <c r="AM47">
        <v>0</v>
      </c>
      <c r="AN47">
        <v>0</v>
      </c>
      <c r="AO47">
        <v>0</v>
      </c>
      <c r="AP47">
        <v>0</v>
      </c>
      <c r="AQ47">
        <v>0</v>
      </c>
      <c r="AR47">
        <v>0</v>
      </c>
      <c r="AS47">
        <v>0</v>
      </c>
      <c r="AT47">
        <v>0</v>
      </c>
      <c r="AU47">
        <v>0</v>
      </c>
      <c r="AV47">
        <v>0</v>
      </c>
      <c r="AW47">
        <v>0</v>
      </c>
      <c r="AX47" s="141">
        <f>COUNTIF(V47:AW47,"&lt;&gt;0")</f>
        <v>2</v>
      </c>
      <c r="AY47" s="141">
        <f>COUNTIF(V47:AL47,"&lt;&gt;0")</f>
        <v>2</v>
      </c>
      <c r="AZ47">
        <f>COUNTIF(V47:AC47,"&lt;&gt;0")</f>
        <v>1</v>
      </c>
      <c r="BA47">
        <f>COUNTIF(AD47:AI47,"&lt;&gt;0")</f>
        <v>1</v>
      </c>
      <c r="BB47">
        <f>COUNTIF(AJ47:AL47,"&lt;&gt;0")</f>
        <v>0</v>
      </c>
      <c r="BC47">
        <f>COUNTIF(AS47:AW47,"&lt;&gt;0")</f>
        <v>0</v>
      </c>
      <c r="BD47">
        <f>COUNTIF(AM47:AR47,"&lt;&gt;0")</f>
        <v>0</v>
      </c>
      <c r="BE47" t="str">
        <f t="array" ref="BE47">IF(AY47=1,INDEX($V$7:$AL$7,MATCH(TRUE,INDEX($V47:$AW47&lt;&gt;0,),0)),IF(AY47=0,INDEX($AM$7:$AW$7,MATCH(1,$AM47:$AW47,0)),IF(BF47="Multiple strategies","mixed drivers",IF(BF47="Supply chain","multiple supply","multiple silviculture"))))</f>
        <v>mixed drivers</v>
      </c>
      <c r="BF47" s="2" t="str" cm="1">
        <f t="array" ref="BF47">IF(COUNTIF(AZ47:BB47,"&lt;&gt;0")=1,INDEX($V$4:$AW$4,MATCH(TRUE,INDEX($V47:$AW47&lt;&gt;0,),0)),IF(COUNTIF(AZ47:BB47,"&lt;&gt;0")=0,INDEX($AM$4:$AW$4,MATCH(1,$AM47:$AW47,0)),"Multiple strategies"))</f>
        <v>Multiple strategies</v>
      </c>
      <c r="BG47" s="1" t="s">
        <v>321</v>
      </c>
      <c r="BH47" t="s">
        <v>2499</v>
      </c>
      <c r="BI47" s="264" t="s">
        <v>2113</v>
      </c>
      <c r="BJ47" t="s">
        <v>2500</v>
      </c>
      <c r="BK47">
        <v>77.868338557993695</v>
      </c>
      <c r="BL47">
        <v>82.946708463949804</v>
      </c>
      <c r="BM47" s="143">
        <f>BL47/BK47</f>
        <v>1.0652173913043479</v>
      </c>
      <c r="BN47">
        <f>BL47-BK47</f>
        <v>5.0783699059561087</v>
      </c>
      <c r="BO47">
        <f>BN47*1000*t_to_m3</f>
        <v>10364.020216236957</v>
      </c>
      <c r="BP47" s="143" t="s">
        <v>232</v>
      </c>
      <c r="BQ47" s="143" t="s">
        <v>3256</v>
      </c>
      <c r="BR47" t="s">
        <v>1195</v>
      </c>
      <c r="BS47">
        <v>22397.784469273742</v>
      </c>
      <c r="BT47">
        <v>-27756.76357541895</v>
      </c>
      <c r="BU47" s="144">
        <f>IFERROR(BT47/BS47,"")</f>
        <v>-1.2392638036809798</v>
      </c>
      <c r="BV47" s="144">
        <f>BT47-BS47</f>
        <v>-50154.548044692696</v>
      </c>
      <c r="BW47" s="144"/>
      <c r="BX47" s="144">
        <f>BV47</f>
        <v>-50154.548044692696</v>
      </c>
      <c r="BY47">
        <f>IFERROR(BX47/BO47,"")</f>
        <v>-4.8392946943616799</v>
      </c>
      <c r="BZ47">
        <v>0</v>
      </c>
      <c r="CA47">
        <v>0</v>
      </c>
      <c r="CB47">
        <v>0</v>
      </c>
      <c r="CC47">
        <v>0</v>
      </c>
      <c r="CD47">
        <v>0</v>
      </c>
      <c r="CE47">
        <v>0</v>
      </c>
      <c r="CF47">
        <v>0</v>
      </c>
      <c r="CG47">
        <v>0</v>
      </c>
      <c r="CH47">
        <v>0</v>
      </c>
      <c r="CI47">
        <v>0</v>
      </c>
      <c r="CJ47">
        <v>0</v>
      </c>
      <c r="CK47">
        <v>0</v>
      </c>
      <c r="CL47">
        <v>0</v>
      </c>
      <c r="CM47">
        <v>1</v>
      </c>
      <c r="CN47" t="str">
        <f>IF($BL47&lt;$BK47,"refNeedCorrection","refOK")</f>
        <v>refOK</v>
      </c>
      <c r="CO47">
        <f>IF($CN47="refOK",$BK47,$BL47)</f>
        <v>77.868338557993695</v>
      </c>
      <c r="CP47">
        <f>IF($CN47="refOK",$BL47,$BK47)</f>
        <v>82.946708463949804</v>
      </c>
      <c r="CQ47">
        <f>IF($CN47="refOK",$BO47,-$BO47)</f>
        <v>10364.020216236957</v>
      </c>
      <c r="CR47">
        <f>IF($CN47="refOK",$BS47,$BT47)*IF($BP47="Emissions positive",-1,1)</f>
        <v>22397.784469273742</v>
      </c>
      <c r="CS47">
        <f>IF($CN47="refOK",$BT47,$BS47)*IF($BP47="Emissions positive",-1,1)</f>
        <v>-27756.76357541895</v>
      </c>
      <c r="CT47">
        <f>IF($CN47="refNeedCorrection",-BX47,BX47)*IF($BP47="Emissions positive",-1,1)</f>
        <v>-50154.548044692696</v>
      </c>
      <c r="CU47">
        <f>IFERROR(CT47/CQ47,"")</f>
        <v>-4.8392946943616799</v>
      </c>
      <c r="CV47" s="2">
        <f>IFERROR((CS47-CR47)/ABS(CR47),"")</f>
        <v>-2.2392638036809798</v>
      </c>
      <c r="CW47" s="1" t="s">
        <v>1199</v>
      </c>
      <c r="CX47" t="str">
        <f>IF(OR($CW47="prd",$CW47="std",$CW47="cit"),"loc",IF(OR($CW47="eur",$CW47="reg",$CW47="coy"),"reg",$CW47))</f>
        <v>reg</v>
      </c>
      <c r="CY47" t="s">
        <v>235</v>
      </c>
      <c r="CZ47">
        <v>2010</v>
      </c>
      <c r="DA47">
        <v>2070</v>
      </c>
      <c r="DB47">
        <f>DA47-CZ47</f>
        <v>60</v>
      </c>
      <c r="DC47" t="str">
        <f>IF(DB47=0,"0",IF(AND(DB47&gt;=1,DB47&lt;=30),"1-30",IF(AND(DB47&gt;30,DB47&lt;=70),"31-70",IF(AND(DB47&gt;70,DB47&lt;=100),"71-100",IF(DB47&gt;100,"+100")))))</f>
        <v>31-70</v>
      </c>
      <c r="DD47">
        <v>1</v>
      </c>
      <c r="DE47">
        <v>1</v>
      </c>
      <c r="DF47">
        <v>1</v>
      </c>
      <c r="DG47">
        <v>1</v>
      </c>
      <c r="DH47">
        <v>0</v>
      </c>
      <c r="DI47">
        <f>SUM(DD47:DG47)</f>
        <v>4</v>
      </c>
      <c r="DJ47" t="str">
        <f>IF(DI47=1,INDEX($DD$7:$DG$7,MATCH(1,$DD47:$DG47,0)),"mixedProduct")</f>
        <v>mixedProduct</v>
      </c>
      <c r="DK47" t="str">
        <f>IF(DD47=1,DK$7,0)</f>
        <v>Upstream</v>
      </c>
      <c r="DL47" t="str">
        <f>IF(DE47=1,DL$7,0)</f>
        <v>Energy</v>
      </c>
      <c r="DM47" t="str">
        <f>IF(DF47=1,DM$7,0)</f>
        <v>Pulp/Paper</v>
      </c>
      <c r="DN47" t="str">
        <f>IF(DG47=1,DN$7,0)</f>
        <v>Timber</v>
      </c>
      <c r="DO47">
        <v>0</v>
      </c>
      <c r="DP47">
        <v>1</v>
      </c>
      <c r="DQ47" t="s">
        <v>2524</v>
      </c>
      <c r="DR47" t="s">
        <v>2525</v>
      </c>
      <c r="DS47">
        <v>0</v>
      </c>
      <c r="DT47">
        <f>SUM(DO47:DP47)</f>
        <v>1</v>
      </c>
      <c r="DU47" s="143" t="str">
        <f>IF(DO47=1,"self-calculated DF",IF(DP47=1,"external DF used","explicit C balance"))</f>
        <v>external DF used</v>
      </c>
      <c r="DV47">
        <v>1</v>
      </c>
      <c r="DW47">
        <v>1</v>
      </c>
      <c r="DX47">
        <v>1</v>
      </c>
      <c r="DY47">
        <v>1</v>
      </c>
      <c r="DZ47">
        <v>0</v>
      </c>
      <c r="EA47" s="143">
        <v>1</v>
      </c>
      <c r="EB47">
        <v>1</v>
      </c>
      <c r="EC47">
        <v>1</v>
      </c>
      <c r="ED47">
        <v>0</v>
      </c>
      <c r="EE47">
        <v>0</v>
      </c>
      <c r="EF47">
        <v>1</v>
      </c>
      <c r="EG47">
        <v>0</v>
      </c>
      <c r="EH47">
        <v>0</v>
      </c>
      <c r="EI47" s="2">
        <v>0</v>
      </c>
      <c r="EJ47" s="1"/>
      <c r="EK47" t="str">
        <f>IF(AND(AND(AND(OR($DX47=1,$DW47=1),OR($EC47=1,$EA47=1)),SUM($DV47:$DZ47,$EF47)&gt;=4),SUM($EA47:$EE47)&gt;=2),"Whole sector","")</f>
        <v>Whole sector</v>
      </c>
      <c r="EL47" t="str">
        <f>IF(AND(AND(OR($DX47=1,$DW47=1),AND($EC47=0,$EA47=0)),SUM($DV47:$DZ47,$EF47)&gt;=4),"Ecosystem approach","")</f>
        <v/>
      </c>
      <c r="EM47" s="2" t="str">
        <f>IF(AND(AND(AND($DX47=0,$DW47=0),OR($EC47=1,$EA47=1)),SUM($EB47:$EE47)&gt;=2),"Technology approach","")</f>
        <v/>
      </c>
      <c r="EN47"/>
      <c r="EO47"/>
      <c r="EP47" t="str">
        <f>IF(ISNUMBER(BU47),IF(ABS(BU47-[1]QC_indicators!$B$2)&gt;3*[1]QC_indicators!$C$2,"C ratio",IF(ISNUMBER(BY47),IF(ABS(BY47-[1]QC_indicators!$B$1)&gt;3*[1]QC_indicators!$C$1,"DF","no"))),IF(ISNUMBER(BY47),IF(ABS(BY47-[1]QC_indicators!$B$1)&gt;3*[1]QC_indicators!$C$1,"DF","no")))</f>
        <v>no</v>
      </c>
      <c r="EQ47" t="s">
        <v>2501</v>
      </c>
      <c r="ER47"/>
      <c r="ES47"/>
      <c r="ET47" s="264" t="s">
        <v>3257</v>
      </c>
      <c r="EU47"/>
    </row>
    <row r="48" spans="1:151" s="139" customFormat="1" ht="15" customHeight="1">
      <c r="A48" s="1" t="s">
        <v>1423</v>
      </c>
      <c r="B48" t="s">
        <v>2490</v>
      </c>
      <c r="C48" t="s">
        <v>2491</v>
      </c>
      <c r="D48" t="s">
        <v>2492</v>
      </c>
      <c r="E48" t="s">
        <v>2493</v>
      </c>
      <c r="F48" t="s">
        <v>2494</v>
      </c>
      <c r="G48" t="s">
        <v>1429</v>
      </c>
      <c r="H48" t="s">
        <v>254</v>
      </c>
      <c r="I48">
        <v>2016</v>
      </c>
      <c r="J48">
        <v>24</v>
      </c>
      <c r="K48" t="s">
        <v>2495</v>
      </c>
      <c r="L48"/>
      <c r="M48" t="str">
        <f>LEFT($D48,FIND(",",$D48)-1)&amp;"_"&amp;I48&amp;L48</f>
        <v>Zubizarreta-Gerendiain_2016</v>
      </c>
      <c r="N48" t="s">
        <v>222</v>
      </c>
      <c r="O48" s="145" t="s">
        <v>1154</v>
      </c>
      <c r="P48"/>
      <c r="Q48" t="s">
        <v>256</v>
      </c>
      <c r="R48" s="262" t="s">
        <v>223</v>
      </c>
      <c r="S48" s="1" t="s">
        <v>2496</v>
      </c>
      <c r="T48" t="s">
        <v>2502</v>
      </c>
      <c r="U48" t="s">
        <v>2498</v>
      </c>
      <c r="V48">
        <v>0</v>
      </c>
      <c r="W48">
        <v>0</v>
      </c>
      <c r="X48">
        <v>0</v>
      </c>
      <c r="Y48">
        <v>2</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s="141">
        <f>COUNTIF(V48:AW48,"&lt;&gt;0")</f>
        <v>2</v>
      </c>
      <c r="AY48" s="141">
        <f>COUNTIF(V48:AL48,"&lt;&gt;0")</f>
        <v>2</v>
      </c>
      <c r="AZ48">
        <f>COUNTIF(V48:AC48,"&lt;&gt;0")</f>
        <v>1</v>
      </c>
      <c r="BA48">
        <f>COUNTIF(AD48:AI48,"&lt;&gt;0")</f>
        <v>1</v>
      </c>
      <c r="BB48">
        <f>COUNTIF(AJ48:AL48,"&lt;&gt;0")</f>
        <v>0</v>
      </c>
      <c r="BC48">
        <f>COUNTIF(AS48:AW48,"&lt;&gt;0")</f>
        <v>0</v>
      </c>
      <c r="BD48">
        <f>COUNTIF(AM48:AR48,"&lt;&gt;0")</f>
        <v>0</v>
      </c>
      <c r="BE48" t="str">
        <f t="array" ref="BE48">IF(AY48=1,INDEX($V$7:$AL$7,MATCH(TRUE,INDEX($V48:$AW48&lt;&gt;0,),0)),IF(AY48=0,INDEX($AM$7:$AW$7,MATCH(1,$AM48:$AW48,0)),IF(BF48="Multiple strategies","mixed drivers",IF(BF48="Supply chain","multiple supply","multiple silviculture"))))</f>
        <v>mixed drivers</v>
      </c>
      <c r="BF48" s="2" t="str" cm="1">
        <f t="array" ref="BF48">IF(COUNTIF(AZ48:BB48,"&lt;&gt;0")=1,INDEX($V$4:$AW$4,MATCH(TRUE,INDEX($V48:$AW48&lt;&gt;0,),0)),IF(COUNTIF(AZ48:BB48,"&lt;&gt;0")=0,INDEX($AM$4:$AW$4,MATCH(1,$AM48:$AW48,0)),"Multiple strategies"))</f>
        <v>Multiple strategies</v>
      </c>
      <c r="BG48" s="1" t="s">
        <v>321</v>
      </c>
      <c r="BH48" t="s">
        <v>2499</v>
      </c>
      <c r="BI48" s="264" t="s">
        <v>2113</v>
      </c>
      <c r="BJ48" t="s">
        <v>2500</v>
      </c>
      <c r="BK48">
        <v>70.532915360501505</v>
      </c>
      <c r="BL48">
        <v>82.946708463949804</v>
      </c>
      <c r="BM48" s="143">
        <f>BL48/BK48</f>
        <v>1.1760000000000004</v>
      </c>
      <c r="BN48">
        <f>BL48-BK48</f>
        <v>12.413793103448299</v>
      </c>
      <c r="BO48">
        <f>BN48*1000*t_to_m3</f>
        <v>25334.271639690407</v>
      </c>
      <c r="BP48" s="143" t="s">
        <v>232</v>
      </c>
      <c r="BQ48" s="143" t="s">
        <v>3256</v>
      </c>
      <c r="BR48" t="s">
        <v>1195</v>
      </c>
      <c r="BS48">
        <v>64513.863854748583</v>
      </c>
      <c r="BT48">
        <v>-46788.009888268192</v>
      </c>
      <c r="BU48" s="144">
        <f>IFERROR(BT48/BS48,"")</f>
        <v>-0.72523961661341929</v>
      </c>
      <c r="BV48" s="144">
        <f>BT48-BS48</f>
        <v>-111301.87374301677</v>
      </c>
      <c r="BW48" s="144"/>
      <c r="BX48" s="144">
        <f>BV48</f>
        <v>-111301.87374301677</v>
      </c>
      <c r="BY48">
        <f>IFERROR(BX48/BO48,"")</f>
        <v>-4.39333229413407</v>
      </c>
      <c r="BZ48">
        <v>0</v>
      </c>
      <c r="CA48">
        <v>0</v>
      </c>
      <c r="CB48">
        <v>0</v>
      </c>
      <c r="CC48">
        <v>0</v>
      </c>
      <c r="CD48">
        <v>0</v>
      </c>
      <c r="CE48">
        <v>0</v>
      </c>
      <c r="CF48">
        <v>0</v>
      </c>
      <c r="CG48">
        <v>0</v>
      </c>
      <c r="CH48">
        <v>0</v>
      </c>
      <c r="CI48">
        <v>0</v>
      </c>
      <c r="CJ48">
        <v>0</v>
      </c>
      <c r="CK48">
        <v>0</v>
      </c>
      <c r="CL48">
        <v>0</v>
      </c>
      <c r="CM48">
        <v>1</v>
      </c>
      <c r="CN48" t="str">
        <f>IF($BL48&lt;$BK48,"refNeedCorrection","refOK")</f>
        <v>refOK</v>
      </c>
      <c r="CO48">
        <f>IF($CN48="refOK",$BK48,$BL48)</f>
        <v>70.532915360501505</v>
      </c>
      <c r="CP48">
        <f>IF($CN48="refOK",$BL48,$BK48)</f>
        <v>82.946708463949804</v>
      </c>
      <c r="CQ48">
        <f>IF($CN48="refOK",$BO48,-$BO48)</f>
        <v>25334.271639690407</v>
      </c>
      <c r="CR48">
        <f>IF($CN48="refOK",$BS48,$BT48)*IF($BP48="Emissions positive",-1,1)</f>
        <v>64513.863854748583</v>
      </c>
      <c r="CS48">
        <f>IF($CN48="refOK",$BT48,$BS48)*IF($BP48="Emissions positive",-1,1)</f>
        <v>-46788.009888268192</v>
      </c>
      <c r="CT48">
        <f>IF($CN48="refNeedCorrection",-BX48,BX48)*IF($BP48="Emissions positive",-1,1)</f>
        <v>-111301.87374301677</v>
      </c>
      <c r="CU48">
        <f>IFERROR(CT48/CQ48,"")</f>
        <v>-4.39333229413407</v>
      </c>
      <c r="CV48" s="2">
        <f>IFERROR((CS48-CR48)/ABS(CR48),"")</f>
        <v>-1.7252396166134192</v>
      </c>
      <c r="CW48" s="1" t="s">
        <v>1199</v>
      </c>
      <c r="CX48" t="str">
        <f>IF(OR($CW48="prd",$CW48="std",$CW48="cit"),"loc",IF(OR($CW48="eur",$CW48="reg",$CW48="coy"),"reg",$CW48))</f>
        <v>reg</v>
      </c>
      <c r="CY48" t="s">
        <v>235</v>
      </c>
      <c r="CZ48">
        <v>2010</v>
      </c>
      <c r="DA48">
        <v>2070</v>
      </c>
      <c r="DB48">
        <f>DA48-CZ48</f>
        <v>60</v>
      </c>
      <c r="DC48" t="str">
        <f>IF(DB48=0,"0",IF(AND(DB48&gt;=1,DB48&lt;=30),"1-30",IF(AND(DB48&gt;30,DB48&lt;=70),"31-70",IF(AND(DB48&gt;70,DB48&lt;=100),"71-100",IF(DB48&gt;100,"+100")))))</f>
        <v>31-70</v>
      </c>
      <c r="DD48">
        <v>1</v>
      </c>
      <c r="DE48">
        <v>0</v>
      </c>
      <c r="DF48">
        <v>0</v>
      </c>
      <c r="DG48">
        <v>0</v>
      </c>
      <c r="DH48">
        <v>0</v>
      </c>
      <c r="DI48">
        <f>SUM(DD48:DG48)</f>
        <v>1</v>
      </c>
      <c r="DJ48" t="str">
        <f>IF(DI48=1,INDEX($DD$7:$DG$7,MATCH(1,$DD48:$DG48,0)),"mixedProduct")</f>
        <v>UpstreamInput</v>
      </c>
      <c r="DK48" t="str">
        <f>IF(DD48=1,DK$7,0)</f>
        <v>Upstream</v>
      </c>
      <c r="DL48">
        <f>IF(DE48=1,DL$7,0)</f>
        <v>0</v>
      </c>
      <c r="DM48">
        <f>IF(DF48=1,DM$7,0)</f>
        <v>0</v>
      </c>
      <c r="DN48">
        <f>IF(DG48=1,DN$7,0)</f>
        <v>0</v>
      </c>
      <c r="DO48">
        <v>0</v>
      </c>
      <c r="DP48">
        <v>0</v>
      </c>
      <c r="DQ48">
        <v>0</v>
      </c>
      <c r="DR48">
        <v>0</v>
      </c>
      <c r="DS48">
        <v>0</v>
      </c>
      <c r="DT48">
        <f>SUM(DO48:DP48)</f>
        <v>0</v>
      </c>
      <c r="DU48" s="143" t="str">
        <f>IF(DO48=1,"self-calculated DF",IF(DP48=1,"external DF used","explicit C balance"))</f>
        <v>explicit C balance</v>
      </c>
      <c r="DV48">
        <v>1</v>
      </c>
      <c r="DW48">
        <v>1</v>
      </c>
      <c r="DX48">
        <v>1</v>
      </c>
      <c r="DY48">
        <v>1</v>
      </c>
      <c r="DZ48">
        <v>0</v>
      </c>
      <c r="EA48" s="143">
        <v>0</v>
      </c>
      <c r="EB48">
        <v>0</v>
      </c>
      <c r="EC48">
        <v>0</v>
      </c>
      <c r="ED48">
        <v>0</v>
      </c>
      <c r="EE48">
        <v>0</v>
      </c>
      <c r="EF48">
        <v>1</v>
      </c>
      <c r="EG48">
        <v>0</v>
      </c>
      <c r="EH48">
        <v>0</v>
      </c>
      <c r="EI48" s="2">
        <v>0</v>
      </c>
      <c r="EJ48" s="1"/>
      <c r="EK48" t="str">
        <f>IF(AND(AND(AND(OR($DX48=1,$DW48=1),OR($EC48=1,$EA48=1)),SUM($DV48:$DZ48,$EF48)&gt;=4),SUM($EA48:$EE48)&gt;=2),"Whole sector","")</f>
        <v/>
      </c>
      <c r="EL48" t="str">
        <f>IF(AND(AND(OR($DX48=1,$DW48=1),AND($EC48=0,$EA48=0)),SUM($DV48:$DZ48,$EF48)&gt;=4),"Ecosystem approach","")</f>
        <v>Ecosystem approach</v>
      </c>
      <c r="EM48" s="2" t="str">
        <f>IF(AND(AND(AND($DX48=0,$DW48=0),OR($EC48=1,$EA48=1)),SUM($EB48:$EE48)&gt;=2),"Technology approach","")</f>
        <v/>
      </c>
      <c r="EN48"/>
      <c r="EO48"/>
      <c r="EP48" t="str">
        <f>IF(ISNUMBER(BU48),IF(ABS(BU48-[1]QC_indicators!$B$2)&gt;3*[1]QC_indicators!$C$2,"C ratio",IF(ISNUMBER(BY48),IF(ABS(BY48-[1]QC_indicators!$B$1)&gt;3*[1]QC_indicators!$C$1,"DF","no"))),IF(ISNUMBER(BY48),IF(ABS(BY48-[1]QC_indicators!$B$1)&gt;3*[1]QC_indicators!$C$1,"DF","no")))</f>
        <v>no</v>
      </c>
      <c r="EQ48" t="s">
        <v>2501</v>
      </c>
      <c r="ER48"/>
      <c r="ES48"/>
      <c r="ET48" s="264" t="s">
        <v>3257</v>
      </c>
      <c r="EU48"/>
    </row>
    <row r="49" spans="1:151" s="139" customFormat="1" ht="15" customHeight="1">
      <c r="A49" s="1" t="s">
        <v>1423</v>
      </c>
      <c r="B49" t="s">
        <v>2490</v>
      </c>
      <c r="C49" t="s">
        <v>2491</v>
      </c>
      <c r="D49" t="s">
        <v>2492</v>
      </c>
      <c r="E49" t="s">
        <v>2493</v>
      </c>
      <c r="F49" t="s">
        <v>2494</v>
      </c>
      <c r="G49" t="s">
        <v>1429</v>
      </c>
      <c r="H49" t="s">
        <v>254</v>
      </c>
      <c r="I49">
        <v>2016</v>
      </c>
      <c r="J49">
        <v>24</v>
      </c>
      <c r="K49" t="s">
        <v>2495</v>
      </c>
      <c r="L49"/>
      <c r="M49" t="str">
        <f>LEFT($D49,FIND(",",$D49)-1)&amp;"_"&amp;I49&amp;L49</f>
        <v>Zubizarreta-Gerendiain_2016</v>
      </c>
      <c r="N49" t="s">
        <v>222</v>
      </c>
      <c r="O49" s="145" t="s">
        <v>1154</v>
      </c>
      <c r="P49"/>
      <c r="Q49" t="s">
        <v>256</v>
      </c>
      <c r="R49" s="262" t="s">
        <v>223</v>
      </c>
      <c r="S49" s="1" t="s">
        <v>2496</v>
      </c>
      <c r="T49" t="s">
        <v>2503</v>
      </c>
      <c r="U49" t="s">
        <v>2504</v>
      </c>
      <c r="V49">
        <v>0</v>
      </c>
      <c r="W49">
        <v>0</v>
      </c>
      <c r="X49">
        <v>0</v>
      </c>
      <c r="Y49">
        <v>2</v>
      </c>
      <c r="Z49">
        <v>0</v>
      </c>
      <c r="AA49">
        <v>0</v>
      </c>
      <c r="AB49">
        <v>0</v>
      </c>
      <c r="AC49">
        <v>0</v>
      </c>
      <c r="AD49">
        <v>0</v>
      </c>
      <c r="AE49">
        <v>0</v>
      </c>
      <c r="AF49">
        <v>1</v>
      </c>
      <c r="AG49">
        <v>0</v>
      </c>
      <c r="AH49">
        <v>0</v>
      </c>
      <c r="AI49">
        <v>0</v>
      </c>
      <c r="AJ49">
        <v>0</v>
      </c>
      <c r="AK49">
        <v>0</v>
      </c>
      <c r="AL49">
        <v>0</v>
      </c>
      <c r="AM49">
        <v>0</v>
      </c>
      <c r="AN49">
        <v>0</v>
      </c>
      <c r="AO49">
        <v>0</v>
      </c>
      <c r="AP49">
        <v>0</v>
      </c>
      <c r="AQ49">
        <v>0</v>
      </c>
      <c r="AR49">
        <v>0</v>
      </c>
      <c r="AS49">
        <v>0</v>
      </c>
      <c r="AT49">
        <v>0</v>
      </c>
      <c r="AU49">
        <v>0</v>
      </c>
      <c r="AV49">
        <v>0</v>
      </c>
      <c r="AW49">
        <v>0</v>
      </c>
      <c r="AX49" s="141">
        <f>COUNTIF(V49:AW49,"&lt;&gt;0")</f>
        <v>2</v>
      </c>
      <c r="AY49" s="141">
        <f>COUNTIF(V49:AL49,"&lt;&gt;0")</f>
        <v>2</v>
      </c>
      <c r="AZ49">
        <f>COUNTIF(V49:AC49,"&lt;&gt;0")</f>
        <v>1</v>
      </c>
      <c r="BA49">
        <f>COUNTIF(AD49:AI49,"&lt;&gt;0")</f>
        <v>1</v>
      </c>
      <c r="BB49">
        <f>COUNTIF(AJ49:AL49,"&lt;&gt;0")</f>
        <v>0</v>
      </c>
      <c r="BC49">
        <f>COUNTIF(AS49:AW49,"&lt;&gt;0")</f>
        <v>0</v>
      </c>
      <c r="BD49">
        <f>COUNTIF(AM49:AR49,"&lt;&gt;0")</f>
        <v>0</v>
      </c>
      <c r="BE49" t="str">
        <f t="array" ref="BE49">IF(AY49=1,INDEX($V$7:$AL$7,MATCH(TRUE,INDEX($V49:$AW49&lt;&gt;0,),0)),IF(AY49=0,INDEX($AM$7:$AW$7,MATCH(1,$AM49:$AW49,0)),IF(BF49="Multiple strategies","mixed drivers",IF(BF49="Supply chain","multiple supply","multiple silviculture"))))</f>
        <v>mixed drivers</v>
      </c>
      <c r="BF49" s="2" t="str" cm="1">
        <f t="array" ref="BF49">IF(COUNTIF(AZ49:BB49,"&lt;&gt;0")=1,INDEX($V$4:$AW$4,MATCH(TRUE,INDEX($V49:$AW49&lt;&gt;0,),0)),IF(COUNTIF(AZ49:BB49,"&lt;&gt;0")=0,INDEX($AM$4:$AW$4,MATCH(1,$AM49:$AW49,0)),"Multiple strategies"))</f>
        <v>Multiple strategies</v>
      </c>
      <c r="BG49" s="1" t="s">
        <v>321</v>
      </c>
      <c r="BH49" t="s">
        <v>2499</v>
      </c>
      <c r="BI49" s="264" t="s">
        <v>2113</v>
      </c>
      <c r="BJ49" t="s">
        <v>2500</v>
      </c>
      <c r="BK49">
        <v>74.117647058823493</v>
      </c>
      <c r="BL49">
        <v>82.634271099744197</v>
      </c>
      <c r="BM49" s="143">
        <f>BL49/BK49</f>
        <v>1.1149068322981366</v>
      </c>
      <c r="BN49">
        <f>BL49-BK49</f>
        <v>8.5166240409207035</v>
      </c>
      <c r="BO49">
        <f>BN49*1000*t_to_m3</f>
        <v>17380.865389634091</v>
      </c>
      <c r="BP49" t="s">
        <v>232</v>
      </c>
      <c r="BQ49" s="143" t="s">
        <v>3256</v>
      </c>
      <c r="BR49" t="s">
        <v>1195</v>
      </c>
      <c r="BS49">
        <v>52731.920127795442</v>
      </c>
      <c r="BT49">
        <v>-22456.178913738113</v>
      </c>
      <c r="BU49" s="144">
        <f>IFERROR(BT49/BS49,"")</f>
        <v>-0.42585551330798727</v>
      </c>
      <c r="BV49" s="144">
        <f>BT49-BS49</f>
        <v>-75188.099041533555</v>
      </c>
      <c r="BW49" s="144"/>
      <c r="BX49" s="144">
        <f>BV49</f>
        <v>-75188.099041533555</v>
      </c>
      <c r="BY49">
        <f>IFERROR(BX49/BO49,"")</f>
        <v>-4.3259122808911208</v>
      </c>
      <c r="BZ49">
        <v>0</v>
      </c>
      <c r="CA49">
        <v>0</v>
      </c>
      <c r="CB49">
        <v>0</v>
      </c>
      <c r="CC49">
        <v>0</v>
      </c>
      <c r="CD49">
        <v>0</v>
      </c>
      <c r="CE49">
        <v>0</v>
      </c>
      <c r="CF49">
        <v>0</v>
      </c>
      <c r="CG49">
        <v>0</v>
      </c>
      <c r="CH49">
        <v>0</v>
      </c>
      <c r="CI49">
        <v>0</v>
      </c>
      <c r="CJ49">
        <v>0</v>
      </c>
      <c r="CK49">
        <v>0</v>
      </c>
      <c r="CL49">
        <v>0</v>
      </c>
      <c r="CM49">
        <v>1</v>
      </c>
      <c r="CN49" t="str">
        <f>IF($BL49&lt;$BK49,"refNeedCorrection","refOK")</f>
        <v>refOK</v>
      </c>
      <c r="CO49">
        <f>IF($CN49="refOK",$BK49,$BL49)</f>
        <v>74.117647058823493</v>
      </c>
      <c r="CP49">
        <f>IF($CN49="refOK",$BL49,$BK49)</f>
        <v>82.634271099744197</v>
      </c>
      <c r="CQ49">
        <f>IF($CN49="refOK",$BO49,-$BO49)</f>
        <v>17380.865389634091</v>
      </c>
      <c r="CR49">
        <f>IF($CN49="refOK",$BS49,$BT49)*IF($BP49="Emissions positive",-1,1)</f>
        <v>52731.920127795442</v>
      </c>
      <c r="CS49">
        <f>IF($CN49="refOK",$BT49,$BS49)*IF($BP49="Emissions positive",-1,1)</f>
        <v>-22456.178913738113</v>
      </c>
      <c r="CT49">
        <f>IF($CN49="refNeedCorrection",-BX49,BX49)*IF($BP49="Emissions positive",-1,1)</f>
        <v>-75188.099041533555</v>
      </c>
      <c r="CU49">
        <f>IFERROR(CT49/CQ49,"")</f>
        <v>-4.3259122808911208</v>
      </c>
      <c r="CV49" s="2">
        <f>IFERROR((CS49-CR49)/ABS(CR49),"")</f>
        <v>-1.4258555133079873</v>
      </c>
      <c r="CW49" s="1" t="s">
        <v>1199</v>
      </c>
      <c r="CX49" t="str">
        <f>IF(OR($CW49="prd",$CW49="std",$CW49="cit"),"loc",IF(OR($CW49="eur",$CW49="reg",$CW49="coy"),"reg",$CW49))</f>
        <v>reg</v>
      </c>
      <c r="CY49" t="s">
        <v>235</v>
      </c>
      <c r="CZ49">
        <v>2010</v>
      </c>
      <c r="DA49">
        <v>2070</v>
      </c>
      <c r="DB49">
        <f>DA49-CZ49</f>
        <v>60</v>
      </c>
      <c r="DC49" t="str">
        <f>IF(DB49=0,"0",IF(AND(DB49&gt;=1,DB49&lt;=30),"1-30",IF(AND(DB49&gt;30,DB49&lt;=70),"31-70",IF(AND(DB49&gt;70,DB49&lt;=100),"71-100",IF(DB49&gt;100,"+100")))))</f>
        <v>31-70</v>
      </c>
      <c r="DD49">
        <v>1</v>
      </c>
      <c r="DE49">
        <v>0</v>
      </c>
      <c r="DF49">
        <v>0</v>
      </c>
      <c r="DG49">
        <v>0</v>
      </c>
      <c r="DH49">
        <v>0</v>
      </c>
      <c r="DI49">
        <f>SUM(DD49:DG49)</f>
        <v>1</v>
      </c>
      <c r="DJ49" t="str">
        <f>IF(DI49=1,INDEX($DD$7:$DG$7,MATCH(1,$DD49:$DG49,0)),"mixedProduct")</f>
        <v>UpstreamInput</v>
      </c>
      <c r="DK49" t="str">
        <f>IF(DD49=1,DK$7,0)</f>
        <v>Upstream</v>
      </c>
      <c r="DL49">
        <f>IF(DE49=1,DL$7,0)</f>
        <v>0</v>
      </c>
      <c r="DM49">
        <f>IF(DF49=1,DM$7,0)</f>
        <v>0</v>
      </c>
      <c r="DN49">
        <f>IF(DG49=1,DN$7,0)</f>
        <v>0</v>
      </c>
      <c r="DO49">
        <v>0</v>
      </c>
      <c r="DP49">
        <v>0</v>
      </c>
      <c r="DQ49">
        <v>0</v>
      </c>
      <c r="DR49">
        <v>0</v>
      </c>
      <c r="DS49">
        <v>0</v>
      </c>
      <c r="DT49">
        <f>SUM(DO49:DP49)</f>
        <v>0</v>
      </c>
      <c r="DU49" s="143" t="str">
        <f>IF(DO49=1,"self-calculated DF",IF(DP49=1,"external DF used","explicit C balance"))</f>
        <v>explicit C balance</v>
      </c>
      <c r="DV49">
        <v>1</v>
      </c>
      <c r="DW49">
        <v>1</v>
      </c>
      <c r="DX49">
        <v>1</v>
      </c>
      <c r="DY49">
        <v>1</v>
      </c>
      <c r="DZ49">
        <v>0</v>
      </c>
      <c r="EA49" s="143">
        <v>0</v>
      </c>
      <c r="EB49">
        <v>0</v>
      </c>
      <c r="EC49">
        <v>0</v>
      </c>
      <c r="ED49">
        <v>0</v>
      </c>
      <c r="EE49">
        <v>0</v>
      </c>
      <c r="EF49">
        <v>1</v>
      </c>
      <c r="EG49">
        <v>0</v>
      </c>
      <c r="EH49">
        <v>0</v>
      </c>
      <c r="EI49" s="2">
        <v>0</v>
      </c>
      <c r="EJ49" s="1"/>
      <c r="EK49" t="str">
        <f>IF(AND(AND(AND(OR($DX49=1,$DW49=1),OR($EC49=1,$EA49=1)),SUM($DV49:$DZ49,$EF49)&gt;=4),SUM($EA49:$EE49)&gt;=2),"Whole sector","")</f>
        <v/>
      </c>
      <c r="EL49" t="str">
        <f>IF(AND(AND(OR($DX49=1,$DW49=1),AND($EC49=0,$EA49=0)),SUM($DV49:$DZ49,$EF49)&gt;=4),"Ecosystem approach","")</f>
        <v>Ecosystem approach</v>
      </c>
      <c r="EM49" s="2" t="str">
        <f>IF(AND(AND(AND($DX49=0,$DW49=0),OR($EC49=1,$EA49=1)),SUM($EB49:$EE49)&gt;=2),"Technology approach","")</f>
        <v/>
      </c>
      <c r="EN49"/>
      <c r="EO49"/>
      <c r="EP49" t="str">
        <f>IF(ISNUMBER(BU49),IF(ABS(BU49-[1]QC_indicators!$B$2)&gt;3*[1]QC_indicators!$C$2,"C ratio",IF(ISNUMBER(BY49),IF(ABS(BY49-[1]QC_indicators!$B$1)&gt;3*[1]QC_indicators!$C$1,"DF","no"))),IF(ISNUMBER(BY49),IF(ABS(BY49-[1]QC_indicators!$B$1)&gt;3*[1]QC_indicators!$C$1,"DF","no")))</f>
        <v>no</v>
      </c>
      <c r="EQ49" t="s">
        <v>2501</v>
      </c>
      <c r="ER49"/>
      <c r="ES49"/>
      <c r="ET49" s="264" t="s">
        <v>3257</v>
      </c>
      <c r="EU49"/>
    </row>
    <row r="50" spans="1:151" s="139" customFormat="1" ht="15" customHeight="1">
      <c r="A50" s="1" t="s">
        <v>1423</v>
      </c>
      <c r="B50" t="s">
        <v>2490</v>
      </c>
      <c r="C50" t="s">
        <v>2491</v>
      </c>
      <c r="D50" t="s">
        <v>2492</v>
      </c>
      <c r="E50" t="s">
        <v>2493</v>
      </c>
      <c r="F50" t="s">
        <v>2494</v>
      </c>
      <c r="G50" t="s">
        <v>1429</v>
      </c>
      <c r="H50" t="s">
        <v>254</v>
      </c>
      <c r="I50">
        <v>2016</v>
      </c>
      <c r="J50">
        <v>24</v>
      </c>
      <c r="K50" t="s">
        <v>2495</v>
      </c>
      <c r="L50"/>
      <c r="M50" t="str">
        <f>LEFT($D50,FIND(",",$D50)-1)&amp;"_"&amp;I50&amp;L50</f>
        <v>Zubizarreta-Gerendiain_2016</v>
      </c>
      <c r="N50" t="s">
        <v>222</v>
      </c>
      <c r="O50" s="145" t="s">
        <v>1154</v>
      </c>
      <c r="P50"/>
      <c r="Q50" t="s">
        <v>256</v>
      </c>
      <c r="R50" s="262" t="s">
        <v>223</v>
      </c>
      <c r="S50" s="1" t="s">
        <v>2496</v>
      </c>
      <c r="T50" t="s">
        <v>2502</v>
      </c>
      <c r="U50" t="s">
        <v>2498</v>
      </c>
      <c r="V50">
        <v>0</v>
      </c>
      <c r="W50">
        <v>0</v>
      </c>
      <c r="X50">
        <v>0</v>
      </c>
      <c r="Y50">
        <v>2</v>
      </c>
      <c r="Z50">
        <v>0</v>
      </c>
      <c r="AA50">
        <v>0</v>
      </c>
      <c r="AB50">
        <v>0</v>
      </c>
      <c r="AC50">
        <v>0</v>
      </c>
      <c r="AD50">
        <v>0</v>
      </c>
      <c r="AE50">
        <v>0</v>
      </c>
      <c r="AF50">
        <v>1</v>
      </c>
      <c r="AG50">
        <v>0</v>
      </c>
      <c r="AH50">
        <v>0</v>
      </c>
      <c r="AI50">
        <v>0</v>
      </c>
      <c r="AJ50">
        <v>0</v>
      </c>
      <c r="AK50">
        <v>0</v>
      </c>
      <c r="AL50">
        <v>0</v>
      </c>
      <c r="AM50">
        <v>0</v>
      </c>
      <c r="AN50">
        <v>0</v>
      </c>
      <c r="AO50">
        <v>0</v>
      </c>
      <c r="AP50">
        <v>0</v>
      </c>
      <c r="AQ50">
        <v>0</v>
      </c>
      <c r="AR50">
        <v>0</v>
      </c>
      <c r="AS50">
        <v>0</v>
      </c>
      <c r="AT50">
        <v>0</v>
      </c>
      <c r="AU50">
        <v>0</v>
      </c>
      <c r="AV50">
        <v>0</v>
      </c>
      <c r="AW50">
        <v>0</v>
      </c>
      <c r="AX50" s="141">
        <f>COUNTIF(V50:AW50,"&lt;&gt;0")</f>
        <v>2</v>
      </c>
      <c r="AY50" s="141">
        <f>COUNTIF(V50:AL50,"&lt;&gt;0")</f>
        <v>2</v>
      </c>
      <c r="AZ50">
        <f>COUNTIF(V50:AC50,"&lt;&gt;0")</f>
        <v>1</v>
      </c>
      <c r="BA50">
        <f>COUNTIF(AD50:AI50,"&lt;&gt;0")</f>
        <v>1</v>
      </c>
      <c r="BB50">
        <f>COUNTIF(AJ50:AL50,"&lt;&gt;0")</f>
        <v>0</v>
      </c>
      <c r="BC50">
        <f>COUNTIF(AS50:AW50,"&lt;&gt;0")</f>
        <v>0</v>
      </c>
      <c r="BD50">
        <f>COUNTIF(AM50:AR50,"&lt;&gt;0")</f>
        <v>0</v>
      </c>
      <c r="BE50" t="str">
        <f t="array" ref="BE50">IF(AY50=1,INDEX($V$7:$AL$7,MATCH(TRUE,INDEX($V50:$AW50&lt;&gt;0,),0)),IF(AY50=0,INDEX($AM$7:$AW$7,MATCH(1,$AM50:$AW50,0)),IF(BF50="Multiple strategies","mixed drivers",IF(BF50="Supply chain","multiple supply","multiple silviculture"))))</f>
        <v>mixed drivers</v>
      </c>
      <c r="BF50" s="2" t="str" cm="1">
        <f t="array" ref="BF50">IF(COUNTIF(AZ50:BB50,"&lt;&gt;0")=1,INDEX($V$4:$AW$4,MATCH(TRUE,INDEX($V50:$AW50&lt;&gt;0,),0)),IF(COUNTIF(AZ50:BB50,"&lt;&gt;0")=0,INDEX($AM$4:$AW$4,MATCH(1,$AM50:$AW50,0)),"Multiple strategies"))</f>
        <v>Multiple strategies</v>
      </c>
      <c r="BG50" s="1" t="s">
        <v>321</v>
      </c>
      <c r="BH50" t="s">
        <v>2499</v>
      </c>
      <c r="BI50" s="264" t="s">
        <v>2113</v>
      </c>
      <c r="BJ50" t="s">
        <v>2500</v>
      </c>
      <c r="BK50">
        <v>70.532915360501505</v>
      </c>
      <c r="BL50">
        <v>82.946708463949804</v>
      </c>
      <c r="BM50" s="143">
        <f>BL50/BK50</f>
        <v>1.1760000000000004</v>
      </c>
      <c r="BN50">
        <f>BL50-BK50</f>
        <v>12.413793103448299</v>
      </c>
      <c r="BO50">
        <f>BN50*1000*t_to_m3</f>
        <v>25334.271639690407</v>
      </c>
      <c r="BP50" s="143" t="s">
        <v>232</v>
      </c>
      <c r="BQ50" s="143" t="s">
        <v>3256</v>
      </c>
      <c r="BR50" t="s">
        <v>1195</v>
      </c>
      <c r="BS50">
        <v>-7420.1249162010854</v>
      </c>
      <c r="BT50">
        <v>-114599.70703910608</v>
      </c>
      <c r="BU50" s="144">
        <f>IFERROR(BT50/BS50,"")</f>
        <v>15.444444444444503</v>
      </c>
      <c r="BV50" s="144">
        <f>BT50-BS50</f>
        <v>-107179.58212290501</v>
      </c>
      <c r="BW50" s="144"/>
      <c r="BX50" s="144">
        <f>BV50</f>
        <v>-107179.58212290501</v>
      </c>
      <c r="BY50">
        <f>IFERROR(BX50/BO50,"")</f>
        <v>-4.2306162832402148</v>
      </c>
      <c r="BZ50">
        <v>0</v>
      </c>
      <c r="CA50">
        <v>0</v>
      </c>
      <c r="CB50">
        <v>0</v>
      </c>
      <c r="CC50">
        <v>0</v>
      </c>
      <c r="CD50">
        <v>0</v>
      </c>
      <c r="CE50">
        <v>0</v>
      </c>
      <c r="CF50">
        <v>0</v>
      </c>
      <c r="CG50">
        <v>0</v>
      </c>
      <c r="CH50">
        <v>0</v>
      </c>
      <c r="CI50">
        <v>0</v>
      </c>
      <c r="CJ50">
        <v>0</v>
      </c>
      <c r="CK50">
        <v>0</v>
      </c>
      <c r="CL50">
        <v>0</v>
      </c>
      <c r="CM50">
        <v>1</v>
      </c>
      <c r="CN50" t="str">
        <f>IF($BL50&lt;$BK50,"refNeedCorrection","refOK")</f>
        <v>refOK</v>
      </c>
      <c r="CO50">
        <f>IF($CN50="refOK",$BK50,$BL50)</f>
        <v>70.532915360501505</v>
      </c>
      <c r="CP50">
        <f>IF($CN50="refOK",$BL50,$BK50)</f>
        <v>82.946708463949804</v>
      </c>
      <c r="CQ50">
        <f>IF($CN50="refOK",$BO50,-$BO50)</f>
        <v>25334.271639690407</v>
      </c>
      <c r="CR50">
        <f>IF($CN50="refOK",$BS50,$BT50)*IF($BP50="Emissions positive",-1,1)</f>
        <v>-7420.1249162010854</v>
      </c>
      <c r="CS50">
        <f>IF($CN50="refOK",$BT50,$BS50)*IF($BP50="Emissions positive",-1,1)</f>
        <v>-114599.70703910608</v>
      </c>
      <c r="CT50">
        <f>IF($CN50="refNeedCorrection",-BX50,BX50)*IF($BP50="Emissions positive",-1,1)</f>
        <v>-107179.58212290501</v>
      </c>
      <c r="CU50">
        <f>IFERROR(CT50/CQ50,"")</f>
        <v>-4.2306162832402148</v>
      </c>
      <c r="CV50" s="2">
        <f>IFERROR((CS50-CR50)/ABS(CR50),"")</f>
        <v>-14.444444444444503</v>
      </c>
      <c r="CW50" s="1" t="s">
        <v>1199</v>
      </c>
      <c r="CX50" t="str">
        <f>IF(OR($CW50="prd",$CW50="std",$CW50="cit"),"loc",IF(OR($CW50="eur",$CW50="reg",$CW50="coy"),"reg",$CW50))</f>
        <v>reg</v>
      </c>
      <c r="CY50" t="s">
        <v>235</v>
      </c>
      <c r="CZ50">
        <v>2010</v>
      </c>
      <c r="DA50">
        <v>2070</v>
      </c>
      <c r="DB50">
        <f>DA50-CZ50</f>
        <v>60</v>
      </c>
      <c r="DC50" t="str">
        <f>IF(DB50=0,"0",IF(AND(DB50&gt;=1,DB50&lt;=30),"1-30",IF(AND(DB50&gt;30,DB50&lt;=70),"31-70",IF(AND(DB50&gt;70,DB50&lt;=100),"71-100",IF(DB50&gt;100,"+100")))))</f>
        <v>31-70</v>
      </c>
      <c r="DD50">
        <v>1</v>
      </c>
      <c r="DE50">
        <v>1</v>
      </c>
      <c r="DF50">
        <v>1</v>
      </c>
      <c r="DG50">
        <v>1</v>
      </c>
      <c r="DH50">
        <v>0</v>
      </c>
      <c r="DI50">
        <f>SUM(DD50:DG50)</f>
        <v>4</v>
      </c>
      <c r="DJ50" t="str">
        <f>IF(DI50=1,INDEX($DD$7:$DG$7,MATCH(1,$DD50:$DG50,0)),"mixedProduct")</f>
        <v>mixedProduct</v>
      </c>
      <c r="DK50" t="str">
        <f>IF(DD50=1,DK$7,0)</f>
        <v>Upstream</v>
      </c>
      <c r="DL50" t="str">
        <f>IF(DE50=1,DL$7,0)</f>
        <v>Energy</v>
      </c>
      <c r="DM50" t="str">
        <f>IF(DF50=1,DM$7,0)</f>
        <v>Pulp/Paper</v>
      </c>
      <c r="DN50" t="str">
        <f>IF(DG50=1,DN$7,0)</f>
        <v>Timber</v>
      </c>
      <c r="DO50">
        <v>0</v>
      </c>
      <c r="DP50">
        <v>0</v>
      </c>
      <c r="DQ50">
        <v>0</v>
      </c>
      <c r="DR50">
        <v>0</v>
      </c>
      <c r="DS50">
        <v>0</v>
      </c>
      <c r="DT50">
        <f>SUM(DO50:DP50)</f>
        <v>0</v>
      </c>
      <c r="DU50" s="143" t="str">
        <f>IF(DO50=1,"self-calculated DF",IF(DP50=1,"external DF used","explicit C balance"))</f>
        <v>explicit C balance</v>
      </c>
      <c r="DV50">
        <v>1</v>
      </c>
      <c r="DW50">
        <v>1</v>
      </c>
      <c r="DX50">
        <v>1</v>
      </c>
      <c r="DY50">
        <v>0</v>
      </c>
      <c r="DZ50">
        <v>0</v>
      </c>
      <c r="EA50" s="143">
        <v>0</v>
      </c>
      <c r="EB50">
        <v>1</v>
      </c>
      <c r="EC50">
        <v>1</v>
      </c>
      <c r="ED50">
        <v>0</v>
      </c>
      <c r="EE50">
        <v>0</v>
      </c>
      <c r="EF50">
        <v>1</v>
      </c>
      <c r="EG50">
        <v>0</v>
      </c>
      <c r="EH50">
        <v>0</v>
      </c>
      <c r="EI50" s="2">
        <v>0</v>
      </c>
      <c r="EJ50" s="1"/>
      <c r="EK50" t="str">
        <f>IF(AND(AND(AND(OR($DX50=1,$DW50=1),OR($EC50=1,$EA50=1)),SUM($DV50:$DZ50,$EF50)&gt;=4),SUM($EA50:$EE50)&gt;=2),"Whole sector","")</f>
        <v>Whole sector</v>
      </c>
      <c r="EL50" t="str">
        <f>IF(AND(AND(OR($DX50=1,$DW50=1),AND($EC50=0,$EA50=0)),SUM($DV50:$DZ50,$EF50)&gt;=4),"Ecosystem approach","")</f>
        <v/>
      </c>
      <c r="EM50" s="2" t="str">
        <f>IF(AND(AND(AND($DX50=0,$DW50=0),OR($EC50=1,$EA50=1)),SUM($EB50:$EE50)&gt;=2),"Technology approach","")</f>
        <v/>
      </c>
      <c r="EN50"/>
      <c r="EO50"/>
      <c r="EP50" t="str">
        <f>IF(ISNUMBER(BU50),IF(ABS(BU50-[1]QC_indicators!$B$2)&gt;3*[1]QC_indicators!$C$2,"C ratio",IF(ISNUMBER(BY50),IF(ABS(BY50-[1]QC_indicators!$B$1)&gt;3*[1]QC_indicators!$C$1,"DF","no"))),IF(ISNUMBER(BY50),IF(ABS(BY50-[1]QC_indicators!$B$1)&gt;3*[1]QC_indicators!$C$1,"DF","no")))</f>
        <v>C ratio</v>
      </c>
      <c r="EQ50" t="s">
        <v>2501</v>
      </c>
      <c r="ER50"/>
      <c r="ES50"/>
      <c r="ET50" s="264" t="s">
        <v>3257</v>
      </c>
      <c r="EU50"/>
    </row>
    <row r="51" spans="1:151" s="139" customFormat="1" ht="15" customHeight="1">
      <c r="A51" s="1" t="s">
        <v>1423</v>
      </c>
      <c r="B51" t="s">
        <v>2490</v>
      </c>
      <c r="C51" t="s">
        <v>2491</v>
      </c>
      <c r="D51" t="s">
        <v>2492</v>
      </c>
      <c r="E51" t="s">
        <v>2493</v>
      </c>
      <c r="F51" t="s">
        <v>2494</v>
      </c>
      <c r="G51" t="s">
        <v>1429</v>
      </c>
      <c r="H51" t="s">
        <v>254</v>
      </c>
      <c r="I51">
        <v>2016</v>
      </c>
      <c r="J51">
        <v>24</v>
      </c>
      <c r="K51" t="s">
        <v>2495</v>
      </c>
      <c r="L51"/>
      <c r="M51" t="str">
        <f>LEFT($D51,FIND(",",$D51)-1)&amp;"_"&amp;I51&amp;L51</f>
        <v>Zubizarreta-Gerendiain_2016</v>
      </c>
      <c r="N51" t="s">
        <v>222</v>
      </c>
      <c r="O51" s="145" t="s">
        <v>1154</v>
      </c>
      <c r="P51"/>
      <c r="Q51" t="s">
        <v>256</v>
      </c>
      <c r="R51" s="262" t="s">
        <v>223</v>
      </c>
      <c r="S51" s="1" t="s">
        <v>2496</v>
      </c>
      <c r="T51" t="s">
        <v>2505</v>
      </c>
      <c r="U51" t="s">
        <v>2504</v>
      </c>
      <c r="V51">
        <v>0</v>
      </c>
      <c r="W51">
        <v>0</v>
      </c>
      <c r="X51">
        <v>0</v>
      </c>
      <c r="Y51">
        <v>2</v>
      </c>
      <c r="Z51">
        <v>0</v>
      </c>
      <c r="AA51">
        <v>0</v>
      </c>
      <c r="AB51">
        <v>0</v>
      </c>
      <c r="AC51">
        <v>0</v>
      </c>
      <c r="AD51">
        <v>0</v>
      </c>
      <c r="AE51">
        <v>0</v>
      </c>
      <c r="AF51">
        <v>1</v>
      </c>
      <c r="AG51">
        <v>0</v>
      </c>
      <c r="AH51">
        <v>0</v>
      </c>
      <c r="AI51">
        <v>0</v>
      </c>
      <c r="AJ51">
        <v>0</v>
      </c>
      <c r="AK51">
        <v>0</v>
      </c>
      <c r="AL51">
        <v>0</v>
      </c>
      <c r="AM51">
        <v>0</v>
      </c>
      <c r="AN51">
        <v>0</v>
      </c>
      <c r="AO51">
        <v>0</v>
      </c>
      <c r="AP51">
        <v>0</v>
      </c>
      <c r="AQ51">
        <v>0</v>
      </c>
      <c r="AR51">
        <v>0</v>
      </c>
      <c r="AS51">
        <v>0</v>
      </c>
      <c r="AT51">
        <v>0</v>
      </c>
      <c r="AU51">
        <v>0</v>
      </c>
      <c r="AV51">
        <v>0</v>
      </c>
      <c r="AW51">
        <v>0</v>
      </c>
      <c r="AX51" s="141">
        <f>COUNTIF(V51:AW51,"&lt;&gt;0")</f>
        <v>2</v>
      </c>
      <c r="AY51" s="141">
        <f>COUNTIF(V51:AL51,"&lt;&gt;0")</f>
        <v>2</v>
      </c>
      <c r="AZ51">
        <f>COUNTIF(V51:AC51,"&lt;&gt;0")</f>
        <v>1</v>
      </c>
      <c r="BA51">
        <f>COUNTIF(AD51:AI51,"&lt;&gt;0")</f>
        <v>1</v>
      </c>
      <c r="BB51">
        <f>COUNTIF(AJ51:AL51,"&lt;&gt;0")</f>
        <v>0</v>
      </c>
      <c r="BC51">
        <f>COUNTIF(AS51:AW51,"&lt;&gt;0")</f>
        <v>0</v>
      </c>
      <c r="BD51">
        <f>COUNTIF(AM51:AR51,"&lt;&gt;0")</f>
        <v>0</v>
      </c>
      <c r="BE51" t="str">
        <f t="array" ref="BE51">IF(AY51=1,INDEX($V$7:$AL$7,MATCH(TRUE,INDEX($V51:$AW51&lt;&gt;0,),0)),IF(AY51=0,INDEX($AM$7:$AW$7,MATCH(1,$AM51:$AW51,0)),IF(BF51="Multiple strategies","mixed drivers",IF(BF51="Supply chain","multiple supply","multiple silviculture"))))</f>
        <v>mixed drivers</v>
      </c>
      <c r="BF51" s="2" t="str" cm="1">
        <f t="array" ref="BF51">IF(COUNTIF(AZ51:BB51,"&lt;&gt;0")=1,INDEX($V$4:$AW$4,MATCH(TRUE,INDEX($V51:$AW51&lt;&gt;0,),0)),IF(COUNTIF(AZ51:BB51,"&lt;&gt;0")=0,INDEX($AM$4:$AW$4,MATCH(1,$AM51:$AW51,0)),"Multiple strategies"))</f>
        <v>Multiple strategies</v>
      </c>
      <c r="BG51" s="1" t="s">
        <v>321</v>
      </c>
      <c r="BH51" t="s">
        <v>2499</v>
      </c>
      <c r="BI51" s="264" t="s">
        <v>2113</v>
      </c>
      <c r="BJ51" t="s">
        <v>2500</v>
      </c>
      <c r="BK51">
        <v>70.434782608695599</v>
      </c>
      <c r="BL51">
        <v>82.634271099744197</v>
      </c>
      <c r="BM51" s="143">
        <f>BL51/BK51</f>
        <v>1.1732026143790852</v>
      </c>
      <c r="BN51">
        <f>BL51-BK51</f>
        <v>12.199488491048598</v>
      </c>
      <c r="BO51">
        <f>BN51*1000*t_to_m3</f>
        <v>24896.915287854281</v>
      </c>
      <c r="BP51" s="143" t="s">
        <v>232</v>
      </c>
      <c r="BQ51" s="143" t="s">
        <v>3256</v>
      </c>
      <c r="BR51" t="s">
        <v>1195</v>
      </c>
      <c r="BS51">
        <v>82807.159744408913</v>
      </c>
      <c r="BT51">
        <v>-22456.178913738113</v>
      </c>
      <c r="BU51" s="144">
        <f>IFERROR(BT51/BS51,"")</f>
        <v>-0.27118644067796732</v>
      </c>
      <c r="BV51" s="144">
        <f>BT51-BS51</f>
        <v>-105263.33865814703</v>
      </c>
      <c r="BW51" s="144"/>
      <c r="BX51" s="144">
        <f>BV51</f>
        <v>-105263.33865814703</v>
      </c>
      <c r="BY51">
        <f>IFERROR(BX51/BO51,"")</f>
        <v>-4.2279670971728267</v>
      </c>
      <c r="BZ51">
        <v>0</v>
      </c>
      <c r="CA51">
        <v>0</v>
      </c>
      <c r="CB51">
        <v>0</v>
      </c>
      <c r="CC51">
        <v>0</v>
      </c>
      <c r="CD51">
        <v>0</v>
      </c>
      <c r="CE51">
        <v>0</v>
      </c>
      <c r="CF51">
        <v>0</v>
      </c>
      <c r="CG51">
        <v>0</v>
      </c>
      <c r="CH51">
        <v>0</v>
      </c>
      <c r="CI51">
        <v>0</v>
      </c>
      <c r="CJ51">
        <v>0</v>
      </c>
      <c r="CK51">
        <v>0</v>
      </c>
      <c r="CL51">
        <v>0</v>
      </c>
      <c r="CM51">
        <v>1</v>
      </c>
      <c r="CN51" t="str">
        <f>IF($BL51&lt;$BK51,"refNeedCorrection","refOK")</f>
        <v>refOK</v>
      </c>
      <c r="CO51">
        <f>IF($CN51="refOK",$BK51,$BL51)</f>
        <v>70.434782608695599</v>
      </c>
      <c r="CP51">
        <f>IF($CN51="refOK",$BL51,$BK51)</f>
        <v>82.634271099744197</v>
      </c>
      <c r="CQ51">
        <f>IF($CN51="refOK",$BO51,-$BO51)</f>
        <v>24896.915287854281</v>
      </c>
      <c r="CR51">
        <f>IF($CN51="refOK",$BS51,$BT51)*IF($BP51="Emissions positive",-1,1)</f>
        <v>82807.159744408913</v>
      </c>
      <c r="CS51">
        <f>IF($CN51="refOK",$BT51,$BS51)*IF($BP51="Emissions positive",-1,1)</f>
        <v>-22456.178913738113</v>
      </c>
      <c r="CT51">
        <f>IF($CN51="refNeedCorrection",-BX51,BX51)*IF($BP51="Emissions positive",-1,1)</f>
        <v>-105263.33865814703</v>
      </c>
      <c r="CU51">
        <f>IFERROR(CT51/CQ51,"")</f>
        <v>-4.2279670971728267</v>
      </c>
      <c r="CV51" s="2">
        <f>IFERROR((CS51-CR51)/ABS(CR51),"")</f>
        <v>-1.2711864406779674</v>
      </c>
      <c r="CW51" s="1" t="s">
        <v>1199</v>
      </c>
      <c r="CX51" t="str">
        <f>IF(OR($CW51="prd",$CW51="std",$CW51="cit"),"loc",IF(OR($CW51="eur",$CW51="reg",$CW51="coy"),"reg",$CW51))</f>
        <v>reg</v>
      </c>
      <c r="CY51" t="s">
        <v>235</v>
      </c>
      <c r="CZ51">
        <v>2010</v>
      </c>
      <c r="DA51">
        <v>2070</v>
      </c>
      <c r="DB51">
        <f>DA51-CZ51</f>
        <v>60</v>
      </c>
      <c r="DC51" t="str">
        <f>IF(DB51=0,"0",IF(AND(DB51&gt;=1,DB51&lt;=30),"1-30",IF(AND(DB51&gt;30,DB51&lt;=70),"31-70",IF(AND(DB51&gt;70,DB51&lt;=100),"71-100",IF(DB51&gt;100,"+100")))))</f>
        <v>31-70</v>
      </c>
      <c r="DD51">
        <v>1</v>
      </c>
      <c r="DE51">
        <v>0</v>
      </c>
      <c r="DF51">
        <v>0</v>
      </c>
      <c r="DG51">
        <v>0</v>
      </c>
      <c r="DH51">
        <v>0</v>
      </c>
      <c r="DI51">
        <f>SUM(DD51:DG51)</f>
        <v>1</v>
      </c>
      <c r="DJ51" t="str">
        <f>IF(DI51=1,INDEX($DD$7:$DG$7,MATCH(1,$DD51:$DG51,0)),"mixedProduct")</f>
        <v>UpstreamInput</v>
      </c>
      <c r="DK51" t="str">
        <f>IF(DD51=1,DK$7,0)</f>
        <v>Upstream</v>
      </c>
      <c r="DL51">
        <f>IF(DE51=1,DL$7,0)</f>
        <v>0</v>
      </c>
      <c r="DM51">
        <f>IF(DF51=1,DM$7,0)</f>
        <v>0</v>
      </c>
      <c r="DN51">
        <f>IF(DG51=1,DN$7,0)</f>
        <v>0</v>
      </c>
      <c r="DO51">
        <v>0</v>
      </c>
      <c r="DP51">
        <v>0</v>
      </c>
      <c r="DQ51">
        <v>0</v>
      </c>
      <c r="DR51">
        <v>0</v>
      </c>
      <c r="DS51">
        <v>0</v>
      </c>
      <c r="DT51">
        <f>SUM(DO51:DP51)</f>
        <v>0</v>
      </c>
      <c r="DU51" s="143" t="str">
        <f>IF(DO51=1,"self-calculated DF",IF(DP51=1,"external DF used","explicit C balance"))</f>
        <v>explicit C balance</v>
      </c>
      <c r="DV51">
        <v>1</v>
      </c>
      <c r="DW51">
        <v>1</v>
      </c>
      <c r="DX51">
        <v>1</v>
      </c>
      <c r="DY51">
        <v>1</v>
      </c>
      <c r="DZ51">
        <v>0</v>
      </c>
      <c r="EA51" s="143">
        <v>0</v>
      </c>
      <c r="EB51">
        <v>0</v>
      </c>
      <c r="EC51">
        <v>0</v>
      </c>
      <c r="ED51">
        <v>0</v>
      </c>
      <c r="EE51">
        <v>0</v>
      </c>
      <c r="EF51">
        <v>1</v>
      </c>
      <c r="EG51">
        <v>0</v>
      </c>
      <c r="EH51">
        <v>0</v>
      </c>
      <c r="EI51" s="2">
        <v>0</v>
      </c>
      <c r="EJ51" s="1"/>
      <c r="EK51" t="str">
        <f>IF(AND(AND(AND(OR($DX51=1,$DW51=1),OR($EC51=1,$EA51=1)),SUM($DV51:$DZ51,$EF51)&gt;=4),SUM($EA51:$EE51)&gt;=2),"Whole sector","")</f>
        <v/>
      </c>
      <c r="EL51" t="str">
        <f>IF(AND(AND(OR($DX51=1,$DW51=1),AND($EC51=0,$EA51=0)),SUM($DV51:$DZ51,$EF51)&gt;=4),"Ecosystem approach","")</f>
        <v>Ecosystem approach</v>
      </c>
      <c r="EM51" s="2" t="str">
        <f>IF(AND(AND(AND($DX51=0,$DW51=0),OR($EC51=1,$EA51=1)),SUM($EB51:$EE51)&gt;=2),"Technology approach","")</f>
        <v/>
      </c>
      <c r="EN51"/>
      <c r="EO51"/>
      <c r="EP51" t="str">
        <f>IF(ISNUMBER(BU51),IF(ABS(BU51-[1]QC_indicators!$B$2)&gt;3*[1]QC_indicators!$C$2,"C ratio",IF(ISNUMBER(BY51),IF(ABS(BY51-[1]QC_indicators!$B$1)&gt;3*[1]QC_indicators!$C$1,"DF","no"))),IF(ISNUMBER(BY51),IF(ABS(BY51-[1]QC_indicators!$B$1)&gt;3*[1]QC_indicators!$C$1,"DF","no")))</f>
        <v>no</v>
      </c>
      <c r="EQ51" t="s">
        <v>2501</v>
      </c>
      <c r="ER51"/>
      <c r="ES51"/>
      <c r="ET51" s="264" t="s">
        <v>3257</v>
      </c>
      <c r="EU51"/>
    </row>
    <row r="52" spans="1:151" s="139" customFormat="1" ht="15" customHeight="1">
      <c r="A52" s="1" t="s">
        <v>1423</v>
      </c>
      <c r="B52" t="s">
        <v>2490</v>
      </c>
      <c r="C52" t="s">
        <v>2491</v>
      </c>
      <c r="D52" t="s">
        <v>2492</v>
      </c>
      <c r="E52" t="s">
        <v>2493</v>
      </c>
      <c r="F52" t="s">
        <v>2494</v>
      </c>
      <c r="G52" t="s">
        <v>1429</v>
      </c>
      <c r="H52" t="s">
        <v>254</v>
      </c>
      <c r="I52">
        <v>2016</v>
      </c>
      <c r="J52">
        <v>24</v>
      </c>
      <c r="K52" t="s">
        <v>2495</v>
      </c>
      <c r="L52"/>
      <c r="M52" t="str">
        <f>LEFT($D52,FIND(",",$D52)-1)&amp;"_"&amp;I52&amp;L52</f>
        <v>Zubizarreta-Gerendiain_2016</v>
      </c>
      <c r="N52" t="s">
        <v>222</v>
      </c>
      <c r="O52" s="145" t="s">
        <v>1154</v>
      </c>
      <c r="P52"/>
      <c r="Q52" t="s">
        <v>256</v>
      </c>
      <c r="R52" s="262" t="s">
        <v>223</v>
      </c>
      <c r="S52" s="1" t="s">
        <v>2496</v>
      </c>
      <c r="T52" t="s">
        <v>2503</v>
      </c>
      <c r="U52" t="s">
        <v>2504</v>
      </c>
      <c r="V52">
        <v>0</v>
      </c>
      <c r="W52">
        <v>0</v>
      </c>
      <c r="X52">
        <v>0</v>
      </c>
      <c r="Y52">
        <v>2</v>
      </c>
      <c r="Z52">
        <v>0</v>
      </c>
      <c r="AA52">
        <v>0</v>
      </c>
      <c r="AB52">
        <v>0</v>
      </c>
      <c r="AC52">
        <v>0</v>
      </c>
      <c r="AD52">
        <v>0</v>
      </c>
      <c r="AE52">
        <v>0</v>
      </c>
      <c r="AF52">
        <v>1</v>
      </c>
      <c r="AG52">
        <v>0</v>
      </c>
      <c r="AH52">
        <v>0</v>
      </c>
      <c r="AI52">
        <v>0</v>
      </c>
      <c r="AJ52">
        <v>0</v>
      </c>
      <c r="AK52">
        <v>0</v>
      </c>
      <c r="AL52">
        <v>0</v>
      </c>
      <c r="AM52">
        <v>0</v>
      </c>
      <c r="AN52">
        <v>0</v>
      </c>
      <c r="AO52">
        <v>0</v>
      </c>
      <c r="AP52">
        <v>0</v>
      </c>
      <c r="AQ52">
        <v>0</v>
      </c>
      <c r="AR52">
        <v>0</v>
      </c>
      <c r="AS52">
        <v>0</v>
      </c>
      <c r="AT52">
        <v>0</v>
      </c>
      <c r="AU52">
        <v>0</v>
      </c>
      <c r="AV52">
        <v>0</v>
      </c>
      <c r="AW52">
        <v>0</v>
      </c>
      <c r="AX52" s="141">
        <f>COUNTIF(V52:AW52,"&lt;&gt;0")</f>
        <v>2</v>
      </c>
      <c r="AY52" s="141">
        <f>COUNTIF(V52:AL52,"&lt;&gt;0")</f>
        <v>2</v>
      </c>
      <c r="AZ52">
        <f>COUNTIF(V52:AC52,"&lt;&gt;0")</f>
        <v>1</v>
      </c>
      <c r="BA52">
        <f>COUNTIF(AD52:AI52,"&lt;&gt;0")</f>
        <v>1</v>
      </c>
      <c r="BB52">
        <f>COUNTIF(AJ52:AL52,"&lt;&gt;0")</f>
        <v>0</v>
      </c>
      <c r="BC52">
        <f>COUNTIF(AS52:AW52,"&lt;&gt;0")</f>
        <v>0</v>
      </c>
      <c r="BD52">
        <f>COUNTIF(AM52:AR52,"&lt;&gt;0")</f>
        <v>0</v>
      </c>
      <c r="BE52" t="str">
        <f t="array" ref="BE52">IF(AY52=1,INDEX($V$7:$AL$7,MATCH(TRUE,INDEX($V52:$AW52&lt;&gt;0,),0)),IF(AY52=0,INDEX($AM$7:$AW$7,MATCH(1,$AM52:$AW52,0)),IF(BF52="Multiple strategies","mixed drivers",IF(BF52="Supply chain","multiple supply","multiple silviculture"))))</f>
        <v>mixed drivers</v>
      </c>
      <c r="BF52" s="2" t="str" cm="1">
        <f t="array" ref="BF52">IF(COUNTIF(AZ52:BB52,"&lt;&gt;0")=1,INDEX($V$4:$AW$4,MATCH(TRUE,INDEX($V52:$AW52&lt;&gt;0,),0)),IF(COUNTIF(AZ52:BB52,"&lt;&gt;0")=0,INDEX($AM$4:$AW$4,MATCH(1,$AM52:$AW52,0)),"Multiple strategies"))</f>
        <v>Multiple strategies</v>
      </c>
      <c r="BG52" s="1" t="s">
        <v>321</v>
      </c>
      <c r="BH52" t="s">
        <v>2499</v>
      </c>
      <c r="BI52" s="264" t="s">
        <v>2113</v>
      </c>
      <c r="BJ52" t="s">
        <v>2500</v>
      </c>
      <c r="BK52">
        <v>74.117647058823493</v>
      </c>
      <c r="BL52">
        <v>82.634271099744197</v>
      </c>
      <c r="BM52" s="143">
        <f>BL52/BK52</f>
        <v>1.1149068322981366</v>
      </c>
      <c r="BN52">
        <f>BL52-BK52</f>
        <v>8.5166240409207035</v>
      </c>
      <c r="BO52">
        <f>BN52*1000*t_to_m3</f>
        <v>17380.865389634091</v>
      </c>
      <c r="BP52" t="s">
        <v>232</v>
      </c>
      <c r="BQ52" s="143" t="s">
        <v>3256</v>
      </c>
      <c r="BR52" t="s">
        <v>1195</v>
      </c>
      <c r="BS52">
        <v>-14436.115015974412</v>
      </c>
      <c r="BT52">
        <v>-87418.696485623019</v>
      </c>
      <c r="BU52" s="144">
        <f>IFERROR(BT52/BS52,"")</f>
        <v>6.0555555555555687</v>
      </c>
      <c r="BV52" s="144">
        <f>BT52-BS52</f>
        <v>-72982.581469648605</v>
      </c>
      <c r="BW52" s="144"/>
      <c r="BX52" s="144">
        <f>BV52</f>
        <v>-72982.581469648605</v>
      </c>
      <c r="BY52">
        <f>IFERROR(BX52/BO52,"")</f>
        <v>-4.1990188539849838</v>
      </c>
      <c r="BZ52">
        <v>0</v>
      </c>
      <c r="CA52">
        <v>0</v>
      </c>
      <c r="CB52">
        <v>0</v>
      </c>
      <c r="CC52">
        <v>0</v>
      </c>
      <c r="CD52">
        <v>0</v>
      </c>
      <c r="CE52">
        <v>0</v>
      </c>
      <c r="CF52">
        <v>0</v>
      </c>
      <c r="CG52">
        <v>0</v>
      </c>
      <c r="CH52">
        <v>0</v>
      </c>
      <c r="CI52">
        <v>0</v>
      </c>
      <c r="CJ52">
        <v>0</v>
      </c>
      <c r="CK52">
        <v>0</v>
      </c>
      <c r="CL52">
        <v>0</v>
      </c>
      <c r="CM52">
        <v>1</v>
      </c>
      <c r="CN52" t="str">
        <f>IF($BL52&lt;$BK52,"refNeedCorrection","refOK")</f>
        <v>refOK</v>
      </c>
      <c r="CO52">
        <f>IF($CN52="refOK",$BK52,$BL52)</f>
        <v>74.117647058823493</v>
      </c>
      <c r="CP52">
        <f>IF($CN52="refOK",$BL52,$BK52)</f>
        <v>82.634271099744197</v>
      </c>
      <c r="CQ52">
        <f>IF($CN52="refOK",$BO52,-$BO52)</f>
        <v>17380.865389634091</v>
      </c>
      <c r="CR52">
        <f>IF($CN52="refOK",$BS52,$BT52)*IF($BP52="Emissions positive",-1,1)</f>
        <v>-14436.115015974412</v>
      </c>
      <c r="CS52">
        <f>IF($CN52="refOK",$BT52,$BS52)*IF($BP52="Emissions positive",-1,1)</f>
        <v>-87418.696485623019</v>
      </c>
      <c r="CT52">
        <f>IF($CN52="refNeedCorrection",-BX52,BX52)*IF($BP52="Emissions positive",-1,1)</f>
        <v>-72982.581469648605</v>
      </c>
      <c r="CU52">
        <f>IFERROR(CT52/CQ52,"")</f>
        <v>-4.1990188539849838</v>
      </c>
      <c r="CV52" s="2">
        <f>IFERROR((CS52-CR52)/ABS(CR52),"")</f>
        <v>-5.0555555555555687</v>
      </c>
      <c r="CW52" s="1" t="s">
        <v>1199</v>
      </c>
      <c r="CX52" t="str">
        <f>IF(OR($CW52="prd",$CW52="std",$CW52="cit"),"loc",IF(OR($CW52="eur",$CW52="reg",$CW52="coy"),"reg",$CW52))</f>
        <v>reg</v>
      </c>
      <c r="CY52" t="s">
        <v>235</v>
      </c>
      <c r="CZ52">
        <v>2010</v>
      </c>
      <c r="DA52">
        <v>2070</v>
      </c>
      <c r="DB52">
        <f>DA52-CZ52</f>
        <v>60</v>
      </c>
      <c r="DC52" t="str">
        <f>IF(DB52=0,"0",IF(AND(DB52&gt;=1,DB52&lt;=30),"1-30",IF(AND(DB52&gt;30,DB52&lt;=70),"31-70",IF(AND(DB52&gt;70,DB52&lt;=100),"71-100",IF(DB52&gt;100,"+100")))))</f>
        <v>31-70</v>
      </c>
      <c r="DD52">
        <v>1</v>
      </c>
      <c r="DE52">
        <v>1</v>
      </c>
      <c r="DF52">
        <v>1</v>
      </c>
      <c r="DG52">
        <v>1</v>
      </c>
      <c r="DH52">
        <v>0</v>
      </c>
      <c r="DI52">
        <f>SUM(DD52:DG52)</f>
        <v>4</v>
      </c>
      <c r="DJ52" t="str">
        <f>IF(DI52=1,INDEX($DD$7:$DG$7,MATCH(1,$DD52:$DG52,0)),"mixedProduct")</f>
        <v>mixedProduct</v>
      </c>
      <c r="DK52" t="str">
        <f>IF(DD52=1,DK$7,0)</f>
        <v>Upstream</v>
      </c>
      <c r="DL52" t="str">
        <f>IF(DE52=1,DL$7,0)</f>
        <v>Energy</v>
      </c>
      <c r="DM52" t="str">
        <f>IF(DF52=1,DM$7,0)</f>
        <v>Pulp/Paper</v>
      </c>
      <c r="DN52" t="str">
        <f>IF(DG52=1,DN$7,0)</f>
        <v>Timber</v>
      </c>
      <c r="DO52">
        <v>0</v>
      </c>
      <c r="DP52">
        <v>0</v>
      </c>
      <c r="DQ52">
        <v>0</v>
      </c>
      <c r="DR52">
        <v>0</v>
      </c>
      <c r="DS52">
        <v>0</v>
      </c>
      <c r="DT52">
        <f>SUM(DO52:DP52)</f>
        <v>0</v>
      </c>
      <c r="DU52" s="143" t="str">
        <f>IF(DO52=1,"self-calculated DF",IF(DP52=1,"external DF used","explicit C balance"))</f>
        <v>explicit C balance</v>
      </c>
      <c r="DV52">
        <v>1</v>
      </c>
      <c r="DW52">
        <v>1</v>
      </c>
      <c r="DX52">
        <v>1</v>
      </c>
      <c r="DY52">
        <v>0</v>
      </c>
      <c r="DZ52">
        <v>0</v>
      </c>
      <c r="EA52" s="143">
        <v>0</v>
      </c>
      <c r="EB52">
        <v>1</v>
      </c>
      <c r="EC52">
        <v>1</v>
      </c>
      <c r="ED52">
        <v>0</v>
      </c>
      <c r="EE52">
        <v>0</v>
      </c>
      <c r="EF52">
        <v>1</v>
      </c>
      <c r="EG52">
        <v>0</v>
      </c>
      <c r="EH52">
        <v>0</v>
      </c>
      <c r="EI52" s="2">
        <v>0</v>
      </c>
      <c r="EJ52" s="1"/>
      <c r="EK52" t="str">
        <f>IF(AND(AND(AND(OR($DX52=1,$DW52=1),OR($EC52=1,$EA52=1)),SUM($DV52:$DZ52,$EF52)&gt;=4),SUM($EA52:$EE52)&gt;=2),"Whole sector","")</f>
        <v>Whole sector</v>
      </c>
      <c r="EL52" t="str">
        <f>IF(AND(AND(OR($DX52=1,$DW52=1),AND($EC52=0,$EA52=0)),SUM($DV52:$DZ52,$EF52)&gt;=4),"Ecosystem approach","")</f>
        <v/>
      </c>
      <c r="EM52" s="2" t="str">
        <f>IF(AND(AND(AND($DX52=0,$DW52=0),OR($EC52=1,$EA52=1)),SUM($EB52:$EE52)&gt;=2),"Technology approach","")</f>
        <v/>
      </c>
      <c r="EN52"/>
      <c r="EO52"/>
      <c r="EP52" t="str">
        <f>IF(ISNUMBER(BU52),IF(ABS(BU52-[1]QC_indicators!$B$2)&gt;3*[1]QC_indicators!$C$2,"C ratio",IF(ISNUMBER(BY52),IF(ABS(BY52-[1]QC_indicators!$B$1)&gt;3*[1]QC_indicators!$C$1,"DF","no"))),IF(ISNUMBER(BY52),IF(ABS(BY52-[1]QC_indicators!$B$1)&gt;3*[1]QC_indicators!$C$1,"DF","no")))</f>
        <v>no</v>
      </c>
      <c r="EQ52" t="s">
        <v>2501</v>
      </c>
      <c r="ER52"/>
      <c r="ES52"/>
      <c r="ET52" s="264" t="s">
        <v>3257</v>
      </c>
      <c r="EU52"/>
    </row>
    <row r="53" spans="1:151" s="139" customFormat="1" ht="15" customHeight="1">
      <c r="A53" s="1" t="s">
        <v>1423</v>
      </c>
      <c r="B53" t="s">
        <v>2490</v>
      </c>
      <c r="C53" t="s">
        <v>2491</v>
      </c>
      <c r="D53" t="s">
        <v>2492</v>
      </c>
      <c r="E53" t="s">
        <v>2493</v>
      </c>
      <c r="F53" t="s">
        <v>2494</v>
      </c>
      <c r="G53" t="s">
        <v>1429</v>
      </c>
      <c r="H53" t="s">
        <v>254</v>
      </c>
      <c r="I53">
        <v>2016</v>
      </c>
      <c r="J53">
        <v>24</v>
      </c>
      <c r="K53" t="s">
        <v>2495</v>
      </c>
      <c r="L53"/>
      <c r="M53" t="str">
        <f>LEFT($D53,FIND(",",$D53)-1)&amp;"_"&amp;I53&amp;L53</f>
        <v>Zubizarreta-Gerendiain_2016</v>
      </c>
      <c r="N53" t="s">
        <v>222</v>
      </c>
      <c r="O53" s="145" t="s">
        <v>1154</v>
      </c>
      <c r="P53"/>
      <c r="Q53" t="s">
        <v>256</v>
      </c>
      <c r="R53" s="262" t="s">
        <v>223</v>
      </c>
      <c r="S53" s="1" t="s">
        <v>2496</v>
      </c>
      <c r="T53" t="s">
        <v>2505</v>
      </c>
      <c r="U53" t="s">
        <v>2504</v>
      </c>
      <c r="V53">
        <v>0</v>
      </c>
      <c r="W53">
        <v>0</v>
      </c>
      <c r="X53">
        <v>0</v>
      </c>
      <c r="Y53">
        <v>2</v>
      </c>
      <c r="Z53">
        <v>0</v>
      </c>
      <c r="AA53">
        <v>0</v>
      </c>
      <c r="AB53">
        <v>0</v>
      </c>
      <c r="AC53">
        <v>0</v>
      </c>
      <c r="AD53">
        <v>0</v>
      </c>
      <c r="AE53">
        <v>0</v>
      </c>
      <c r="AF53">
        <v>1</v>
      </c>
      <c r="AG53">
        <v>0</v>
      </c>
      <c r="AH53">
        <v>0</v>
      </c>
      <c r="AI53">
        <v>0</v>
      </c>
      <c r="AJ53">
        <v>0</v>
      </c>
      <c r="AK53">
        <v>0</v>
      </c>
      <c r="AL53">
        <v>0</v>
      </c>
      <c r="AM53">
        <v>0</v>
      </c>
      <c r="AN53">
        <v>0</v>
      </c>
      <c r="AO53">
        <v>0</v>
      </c>
      <c r="AP53">
        <v>0</v>
      </c>
      <c r="AQ53">
        <v>0</v>
      </c>
      <c r="AR53">
        <v>0</v>
      </c>
      <c r="AS53">
        <v>0</v>
      </c>
      <c r="AT53">
        <v>0</v>
      </c>
      <c r="AU53">
        <v>0</v>
      </c>
      <c r="AV53">
        <v>0</v>
      </c>
      <c r="AW53">
        <v>0</v>
      </c>
      <c r="AX53" s="141">
        <f>COUNTIF(V53:AW53,"&lt;&gt;0")</f>
        <v>2</v>
      </c>
      <c r="AY53" s="141">
        <f>COUNTIF(V53:AL53,"&lt;&gt;0")</f>
        <v>2</v>
      </c>
      <c r="AZ53">
        <f>COUNTIF(V53:AC53,"&lt;&gt;0")</f>
        <v>1</v>
      </c>
      <c r="BA53">
        <f>COUNTIF(AD53:AI53,"&lt;&gt;0")</f>
        <v>1</v>
      </c>
      <c r="BB53">
        <f>COUNTIF(AJ53:AL53,"&lt;&gt;0")</f>
        <v>0</v>
      </c>
      <c r="BC53">
        <f>COUNTIF(AS53:AW53,"&lt;&gt;0")</f>
        <v>0</v>
      </c>
      <c r="BD53">
        <f>COUNTIF(AM53:AR53,"&lt;&gt;0")</f>
        <v>0</v>
      </c>
      <c r="BE53" t="str">
        <f t="array" ref="BE53">IF(AY53=1,INDEX($V$7:$AL$7,MATCH(TRUE,INDEX($V53:$AW53&lt;&gt;0,),0)),IF(AY53=0,INDEX($AM$7:$AW$7,MATCH(1,$AM53:$AW53,0)),IF(BF53="Multiple strategies","mixed drivers",IF(BF53="Supply chain","multiple supply","multiple silviculture"))))</f>
        <v>mixed drivers</v>
      </c>
      <c r="BF53" s="2" t="str" cm="1">
        <f t="array" ref="BF53">IF(COUNTIF(AZ53:BB53,"&lt;&gt;0")=1,INDEX($V$4:$AW$4,MATCH(TRUE,INDEX($V53:$AW53&lt;&gt;0,),0)),IF(COUNTIF(AZ53:BB53,"&lt;&gt;0")=0,INDEX($AM$4:$AW$4,MATCH(1,$AM53:$AW53,0)),"Multiple strategies"))</f>
        <v>Multiple strategies</v>
      </c>
      <c r="BG53" s="1" t="s">
        <v>321</v>
      </c>
      <c r="BH53" t="s">
        <v>2499</v>
      </c>
      <c r="BI53" s="264" t="s">
        <v>2113</v>
      </c>
      <c r="BJ53" t="s">
        <v>2500</v>
      </c>
      <c r="BK53">
        <v>70.434782608695599</v>
      </c>
      <c r="BL53">
        <v>82.634271099744197</v>
      </c>
      <c r="BM53" s="143">
        <f>BL53/BK53</f>
        <v>1.1732026143790852</v>
      </c>
      <c r="BN53">
        <f>BL53-BK53</f>
        <v>12.199488491048598</v>
      </c>
      <c r="BO53">
        <f>BN53*1000*t_to_m3</f>
        <v>24896.915287854281</v>
      </c>
      <c r="BP53" t="s">
        <v>232</v>
      </c>
      <c r="BQ53" s="143" t="s">
        <v>3256</v>
      </c>
      <c r="BR53" t="s">
        <v>1195</v>
      </c>
      <c r="BS53">
        <v>15639.124600638877</v>
      </c>
      <c r="BT53">
        <v>-87418.696485623019</v>
      </c>
      <c r="BU53" s="144">
        <f>IFERROR(BT53/BS53,"")</f>
        <v>-5.5897435897436267</v>
      </c>
      <c r="BV53" s="144">
        <f>BT53-BS53</f>
        <v>-103057.8210862619</v>
      </c>
      <c r="BW53" s="144"/>
      <c r="BX53" s="144">
        <f>BV53</f>
        <v>-103057.8210862619</v>
      </c>
      <c r="BY53">
        <f>IFERROR(BX53/BO53,"")</f>
        <v>-4.1393811198987231</v>
      </c>
      <c r="BZ53">
        <v>0</v>
      </c>
      <c r="CA53">
        <v>0</v>
      </c>
      <c r="CB53">
        <v>0</v>
      </c>
      <c r="CC53">
        <v>0</v>
      </c>
      <c r="CD53">
        <v>0</v>
      </c>
      <c r="CE53">
        <v>0</v>
      </c>
      <c r="CF53">
        <v>0</v>
      </c>
      <c r="CG53">
        <v>0</v>
      </c>
      <c r="CH53">
        <v>0</v>
      </c>
      <c r="CI53">
        <v>0</v>
      </c>
      <c r="CJ53">
        <v>0</v>
      </c>
      <c r="CK53">
        <v>0</v>
      </c>
      <c r="CL53">
        <v>0</v>
      </c>
      <c r="CM53">
        <v>1</v>
      </c>
      <c r="CN53" t="str">
        <f>IF($BL53&lt;$BK53,"refNeedCorrection","refOK")</f>
        <v>refOK</v>
      </c>
      <c r="CO53">
        <f>IF($CN53="refOK",$BK53,$BL53)</f>
        <v>70.434782608695599</v>
      </c>
      <c r="CP53">
        <f>IF($CN53="refOK",$BL53,$BK53)</f>
        <v>82.634271099744197</v>
      </c>
      <c r="CQ53">
        <f>IF($CN53="refOK",$BO53,-$BO53)</f>
        <v>24896.915287854281</v>
      </c>
      <c r="CR53">
        <f>IF($CN53="refOK",$BS53,$BT53)*IF($BP53="Emissions positive",-1,1)</f>
        <v>15639.124600638877</v>
      </c>
      <c r="CS53">
        <f>IF($CN53="refOK",$BT53,$BS53)*IF($BP53="Emissions positive",-1,1)</f>
        <v>-87418.696485623019</v>
      </c>
      <c r="CT53">
        <f>IF($CN53="refNeedCorrection",-BX53,BX53)*IF($BP53="Emissions positive",-1,1)</f>
        <v>-103057.8210862619</v>
      </c>
      <c r="CU53">
        <f>IFERROR(CT53/CQ53,"")</f>
        <v>-4.1393811198987231</v>
      </c>
      <c r="CV53" s="2">
        <f>IFERROR((CS53-CR53)/ABS(CR53),"")</f>
        <v>-6.5897435897436267</v>
      </c>
      <c r="CW53" s="1" t="s">
        <v>1199</v>
      </c>
      <c r="CX53" t="str">
        <f>IF(OR($CW53="prd",$CW53="std",$CW53="cit"),"loc",IF(OR($CW53="eur",$CW53="reg",$CW53="coy"),"reg",$CW53))</f>
        <v>reg</v>
      </c>
      <c r="CY53" t="s">
        <v>235</v>
      </c>
      <c r="CZ53">
        <v>2010</v>
      </c>
      <c r="DA53">
        <v>2070</v>
      </c>
      <c r="DB53">
        <f>DA53-CZ53</f>
        <v>60</v>
      </c>
      <c r="DC53" t="str">
        <f>IF(DB53=0,"0",IF(AND(DB53&gt;=1,DB53&lt;=30),"1-30",IF(AND(DB53&gt;30,DB53&lt;=70),"31-70",IF(AND(DB53&gt;70,DB53&lt;=100),"71-100",IF(DB53&gt;100,"+100")))))</f>
        <v>31-70</v>
      </c>
      <c r="DD53">
        <v>1</v>
      </c>
      <c r="DE53">
        <v>1</v>
      </c>
      <c r="DF53">
        <v>1</v>
      </c>
      <c r="DG53">
        <v>1</v>
      </c>
      <c r="DH53">
        <v>0</v>
      </c>
      <c r="DI53">
        <f>SUM(DD53:DG53)</f>
        <v>4</v>
      </c>
      <c r="DJ53" t="str">
        <f>IF(DI53=1,INDEX($DD$7:$DG$7,MATCH(1,$DD53:$DG53,0)),"mixedProduct")</f>
        <v>mixedProduct</v>
      </c>
      <c r="DK53" t="str">
        <f>IF(DD53=1,DK$7,0)</f>
        <v>Upstream</v>
      </c>
      <c r="DL53" t="str">
        <f>IF(DE53=1,DL$7,0)</f>
        <v>Energy</v>
      </c>
      <c r="DM53" t="str">
        <f>IF(DF53=1,DM$7,0)</f>
        <v>Pulp/Paper</v>
      </c>
      <c r="DN53" t="str">
        <f>IF(DG53=1,DN$7,0)</f>
        <v>Timber</v>
      </c>
      <c r="DO53">
        <v>0</v>
      </c>
      <c r="DP53">
        <v>0</v>
      </c>
      <c r="DQ53">
        <v>0</v>
      </c>
      <c r="DR53">
        <v>0</v>
      </c>
      <c r="DS53">
        <v>0</v>
      </c>
      <c r="DT53">
        <f>SUM(DO53:DP53)</f>
        <v>0</v>
      </c>
      <c r="DU53" s="143" t="str">
        <f>IF(DO53=1,"self-calculated DF",IF(DP53=1,"external DF used","explicit C balance"))</f>
        <v>explicit C balance</v>
      </c>
      <c r="DV53">
        <v>1</v>
      </c>
      <c r="DW53">
        <v>1</v>
      </c>
      <c r="DX53">
        <v>1</v>
      </c>
      <c r="DY53">
        <v>0</v>
      </c>
      <c r="DZ53">
        <v>0</v>
      </c>
      <c r="EA53" s="143">
        <v>0</v>
      </c>
      <c r="EB53">
        <v>1</v>
      </c>
      <c r="EC53">
        <v>1</v>
      </c>
      <c r="ED53">
        <v>0</v>
      </c>
      <c r="EE53">
        <v>0</v>
      </c>
      <c r="EF53">
        <v>1</v>
      </c>
      <c r="EG53">
        <v>0</v>
      </c>
      <c r="EH53">
        <v>0</v>
      </c>
      <c r="EI53" s="2">
        <v>0</v>
      </c>
      <c r="EJ53" s="1"/>
      <c r="EK53" t="str">
        <f>IF(AND(AND(AND(OR($DX53=1,$DW53=1),OR($EC53=1,$EA53=1)),SUM($DV53:$DZ53,$EF53)&gt;=4),SUM($EA53:$EE53)&gt;=2),"Whole sector","")</f>
        <v>Whole sector</v>
      </c>
      <c r="EL53" t="str">
        <f>IF(AND(AND(OR($DX53=1,$DW53=1),AND($EC53=0,$EA53=0)),SUM($DV53:$DZ53,$EF53)&gt;=4),"Ecosystem approach","")</f>
        <v/>
      </c>
      <c r="EM53" s="2" t="str">
        <f>IF(AND(AND(AND($DX53=0,$DW53=0),OR($EC53=1,$EA53=1)),SUM($EB53:$EE53)&gt;=2),"Technology approach","")</f>
        <v/>
      </c>
      <c r="EN53"/>
      <c r="EO53"/>
      <c r="EP53" t="str">
        <f>IF(ISNUMBER(BU53),IF(ABS(BU53-[1]QC_indicators!$B$2)&gt;3*[1]QC_indicators!$C$2,"C ratio",IF(ISNUMBER(BY53),IF(ABS(BY53-[1]QC_indicators!$B$1)&gt;3*[1]QC_indicators!$C$1,"DF","no"))),IF(ISNUMBER(BY53),IF(ABS(BY53-[1]QC_indicators!$B$1)&gt;3*[1]QC_indicators!$C$1,"DF","no")))</f>
        <v>no</v>
      </c>
      <c r="EQ53" t="s">
        <v>2501</v>
      </c>
      <c r="ER53"/>
      <c r="ES53"/>
      <c r="ET53" s="264" t="s">
        <v>3257</v>
      </c>
      <c r="EU53"/>
    </row>
    <row r="54" spans="1:151" s="139" customFormat="1" ht="15" customHeight="1">
      <c r="A54" s="1" t="s">
        <v>1760</v>
      </c>
      <c r="B54" t="s">
        <v>1761</v>
      </c>
      <c r="C54" t="s">
        <v>1762</v>
      </c>
      <c r="D54" t="s">
        <v>1763</v>
      </c>
      <c r="E54" t="s">
        <v>1764</v>
      </c>
      <c r="F54" t="s">
        <v>1765</v>
      </c>
      <c r="G54" t="s">
        <v>1766</v>
      </c>
      <c r="H54" t="s">
        <v>254</v>
      </c>
      <c r="I54">
        <v>2021</v>
      </c>
      <c r="J54">
        <v>6</v>
      </c>
      <c r="K54" t="s">
        <v>1767</v>
      </c>
      <c r="L54"/>
      <c r="M54" t="str">
        <f>LEFT($D54,FIND(",",$D54)-1)&amp;"_"&amp;I54&amp;L54</f>
        <v>Jonsson_2021</v>
      </c>
      <c r="N54" t="s">
        <v>222</v>
      </c>
      <c r="O54" s="145" t="s">
        <v>513</v>
      </c>
      <c r="P54"/>
      <c r="Q54" t="s">
        <v>256</v>
      </c>
      <c r="R54" s="2" t="s">
        <v>274</v>
      </c>
      <c r="S54" s="1" t="s">
        <v>1777</v>
      </c>
      <c r="T54" t="s">
        <v>1111</v>
      </c>
      <c r="U54" t="s">
        <v>1778</v>
      </c>
      <c r="V54">
        <v>0</v>
      </c>
      <c r="W54">
        <v>1</v>
      </c>
      <c r="X54">
        <v>0</v>
      </c>
      <c r="Y54">
        <v>0</v>
      </c>
      <c r="Z54">
        <v>0</v>
      </c>
      <c r="AA54">
        <v>0</v>
      </c>
      <c r="AB54">
        <v>0</v>
      </c>
      <c r="AC54">
        <v>0</v>
      </c>
      <c r="AD54">
        <v>0</v>
      </c>
      <c r="AE54">
        <v>0</v>
      </c>
      <c r="AF54">
        <v>2</v>
      </c>
      <c r="AG54">
        <v>0</v>
      </c>
      <c r="AH54">
        <v>0</v>
      </c>
      <c r="AI54">
        <v>0</v>
      </c>
      <c r="AJ54">
        <v>0</v>
      </c>
      <c r="AK54">
        <v>0</v>
      </c>
      <c r="AL54">
        <v>0</v>
      </c>
      <c r="AM54">
        <v>0</v>
      </c>
      <c r="AN54">
        <v>0</v>
      </c>
      <c r="AO54">
        <v>0</v>
      </c>
      <c r="AP54">
        <v>0</v>
      </c>
      <c r="AQ54">
        <v>0</v>
      </c>
      <c r="AR54">
        <v>0</v>
      </c>
      <c r="AS54">
        <v>0</v>
      </c>
      <c r="AT54">
        <v>0</v>
      </c>
      <c r="AU54">
        <v>0</v>
      </c>
      <c r="AV54">
        <v>0</v>
      </c>
      <c r="AW54">
        <v>0</v>
      </c>
      <c r="AX54" s="141">
        <f>COUNTIF(V54:AW54,"&lt;&gt;0")</f>
        <v>2</v>
      </c>
      <c r="AY54" s="141">
        <f>COUNTIF(V54:AL54,"&lt;&gt;0")</f>
        <v>2</v>
      </c>
      <c r="AZ54">
        <f>COUNTIF(V54:AC54,"&lt;&gt;0")</f>
        <v>1</v>
      </c>
      <c r="BA54">
        <f>COUNTIF(AD54:AI54,"&lt;&gt;0")</f>
        <v>1</v>
      </c>
      <c r="BB54">
        <f>COUNTIF(AJ54:AL54,"&lt;&gt;0")</f>
        <v>0</v>
      </c>
      <c r="BC54">
        <f>COUNTIF(AS54:AW54,"&lt;&gt;0")</f>
        <v>0</v>
      </c>
      <c r="BD54">
        <f>COUNTIF(AM54:AR54,"&lt;&gt;0")</f>
        <v>0</v>
      </c>
      <c r="BE54" t="str">
        <f t="array" ref="BE54">IF(AY54=1,INDEX($V$7:$AL$7,MATCH(TRUE,INDEX($V54:$AW54&lt;&gt;0,),0)),IF(AY54=0,INDEX($AM$7:$AW$7,MATCH(1,$AM54:$AW54,0)),IF(BF54="Multiple strategies","mixed drivers",IF(BF54="Supply chain","multiple supply","multiple silviculture"))))</f>
        <v>mixed drivers</v>
      </c>
      <c r="BF54" s="2" t="str" cm="1">
        <f t="array" ref="BF54">IF(COUNTIF(AZ54:BB54,"&lt;&gt;0")=1,INDEX($V$4:$AW$4,MATCH(TRUE,INDEX($V54:$AW54&lt;&gt;0,),0)),IF(COUNTIF(AZ54:BB54,"&lt;&gt;0")=0,INDEX($AM$4:$AW$4,MATCH(1,$AM54:$AW54,0)),"Multiple strategies"))</f>
        <v>Multiple strategies</v>
      </c>
      <c r="BG54" s="1" t="s">
        <v>229</v>
      </c>
      <c r="BH54" t="s">
        <v>229</v>
      </c>
      <c r="BI54" s="264" t="s">
        <v>2128</v>
      </c>
      <c r="BJ54" t="s">
        <v>1770</v>
      </c>
      <c r="BK54">
        <v>284950</v>
      </c>
      <c r="BL54">
        <v>286950</v>
      </c>
      <c r="BM54" t="e">
        <f>#REF!</f>
        <v>#REF!</v>
      </c>
      <c r="BN54">
        <f>BL54-BK54</f>
        <v>2000</v>
      </c>
      <c r="BO54">
        <f>BN54*1000</f>
        <v>2000000</v>
      </c>
      <c r="BP54" t="s">
        <v>232</v>
      </c>
      <c r="BQ54" t="s">
        <v>3269</v>
      </c>
      <c r="BR54" t="s">
        <v>1300</v>
      </c>
      <c r="BS54">
        <v>367</v>
      </c>
      <c r="BT54">
        <v>359</v>
      </c>
      <c r="BU54" s="144">
        <f>IFERROR(BT54/BS54,"")</f>
        <v>0.97820163487738421</v>
      </c>
      <c r="BV54">
        <f>BT54-BS54</f>
        <v>-8</v>
      </c>
      <c r="BW54"/>
      <c r="BX54">
        <f>BV54*10^6</f>
        <v>-8000000</v>
      </c>
      <c r="BY54">
        <f>IFERROR(BX54/BO54,"")</f>
        <v>-4</v>
      </c>
      <c r="BZ54">
        <v>0</v>
      </c>
      <c r="CA54">
        <v>0</v>
      </c>
      <c r="CB54">
        <v>0</v>
      </c>
      <c r="CC54">
        <v>0</v>
      </c>
      <c r="CD54">
        <v>0</v>
      </c>
      <c r="CE54">
        <v>0</v>
      </c>
      <c r="CF54">
        <v>0</v>
      </c>
      <c r="CG54">
        <v>0</v>
      </c>
      <c r="CH54">
        <v>0</v>
      </c>
      <c r="CI54">
        <v>0</v>
      </c>
      <c r="CJ54">
        <v>0</v>
      </c>
      <c r="CK54">
        <v>0</v>
      </c>
      <c r="CL54">
        <v>0</v>
      </c>
      <c r="CM54">
        <v>1</v>
      </c>
      <c r="CN54" t="str">
        <f>IF($BL54&lt;$BK54,"refNeedCorrection","refOK")</f>
        <v>refOK</v>
      </c>
      <c r="CO54">
        <f>IF($CN54="refNeedCorrection",BL54,BK54)</f>
        <v>284950</v>
      </c>
      <c r="CP54">
        <f>IF($CN54="refNeedCorrection",BK54,BL54)</f>
        <v>286950</v>
      </c>
      <c r="CQ54">
        <f>IF($CN54="refOK",$BO54,-$BO54)</f>
        <v>2000000</v>
      </c>
      <c r="CR54">
        <f>IF($CN54="refOK",$BS54,$BT54)*IF($BP54="Emissions positive",-1,1)</f>
        <v>367</v>
      </c>
      <c r="CS54">
        <f>IF($CN54="refOK",$BT54,$BS54)*IF($BP54="Emissions positive",-1,1)</f>
        <v>359</v>
      </c>
      <c r="CT54">
        <f>IF($CN54="refNeedCorrection",-BX54,BX54)*IF($BP54="Emissions positive",-1,1)</f>
        <v>-8000000</v>
      </c>
      <c r="CU54">
        <f>IFERROR(CT54/CQ54,"")</f>
        <v>-4</v>
      </c>
      <c r="CV54" s="2">
        <f>IFERROR((CS54-CR54)/ABS(CR54),"")</f>
        <v>-2.1798365122615803E-2</v>
      </c>
      <c r="CW54" s="1" t="s">
        <v>1231</v>
      </c>
      <c r="CX54" t="str">
        <f>IF(OR($CW54="prd",$CW54="std",$CW54="cit"),"loc",IF(OR($CW54="eur",$CW54="reg",$CW54="coy"),"reg",$CW54))</f>
        <v>reg</v>
      </c>
      <c r="CY54" t="s">
        <v>743</v>
      </c>
      <c r="CZ54">
        <v>2000</v>
      </c>
      <c r="DA54">
        <v>2030</v>
      </c>
      <c r="DB54">
        <v>30</v>
      </c>
      <c r="DC54" t="str">
        <f>IF(DB54=0,"0",IF(AND(DB54&gt;=1,DB54&lt;=30),"1-30",IF(AND(DB54&gt;30,DB54&lt;=70),"31-70",IF(AND(DB54&gt;70,DB54&lt;=100),"71-100",IF(DB54&gt;100,"+100")))))</f>
        <v>1-30</v>
      </c>
      <c r="DD54">
        <v>0</v>
      </c>
      <c r="DE54">
        <v>1</v>
      </c>
      <c r="DF54">
        <v>0</v>
      </c>
      <c r="DG54">
        <v>0</v>
      </c>
      <c r="DH54">
        <v>1</v>
      </c>
      <c r="DI54">
        <f>SUM(DD54:DG54)</f>
        <v>1</v>
      </c>
      <c r="DJ54" t="str">
        <f>IF(DI54=1,INDEX($DD$7:$DG$7,MATCH(1,$DD54:$DG54,0)),"mixedProduct")</f>
        <v>EnergyInput</v>
      </c>
      <c r="DK54">
        <f>IF(DD54=1,DK$7,0)</f>
        <v>0</v>
      </c>
      <c r="DL54" t="str">
        <f>IF(DE54=1,DL$7,0)</f>
        <v>Energy</v>
      </c>
      <c r="DM54">
        <f>IF(DF54=1,DM$7,0)</f>
        <v>0</v>
      </c>
      <c r="DN54">
        <f>IF(DG54=1,DN$7,0)</f>
        <v>0</v>
      </c>
      <c r="DO54">
        <v>0</v>
      </c>
      <c r="DP54">
        <v>1</v>
      </c>
      <c r="DQ54" t="s">
        <v>1771</v>
      </c>
      <c r="DR54" t="s">
        <v>1771</v>
      </c>
      <c r="DS54">
        <v>0</v>
      </c>
      <c r="DT54">
        <f>SUM(DO54:DP54)</f>
        <v>1</v>
      </c>
      <c r="DU54" s="143" t="str">
        <f>IF(DO54=1,"self-calculated DF",IF(DP54=1,"external DF used","explicit C balance"))</f>
        <v>external DF used</v>
      </c>
      <c r="DV54">
        <v>1</v>
      </c>
      <c r="DW54">
        <v>0</v>
      </c>
      <c r="DX54">
        <v>1</v>
      </c>
      <c r="DY54">
        <v>1</v>
      </c>
      <c r="DZ54">
        <v>0</v>
      </c>
      <c r="EA54" s="143">
        <v>0</v>
      </c>
      <c r="EB54">
        <v>0</v>
      </c>
      <c r="EC54">
        <v>0</v>
      </c>
      <c r="ED54">
        <v>0</v>
      </c>
      <c r="EE54">
        <v>0</v>
      </c>
      <c r="EF54">
        <v>1</v>
      </c>
      <c r="EG54">
        <v>0</v>
      </c>
      <c r="EH54">
        <v>0</v>
      </c>
      <c r="EI54" s="2">
        <v>0</v>
      </c>
      <c r="EJ54" s="1" t="s">
        <v>1772</v>
      </c>
      <c r="EK54" t="str">
        <f>IF(AND(AND(AND(OR($DX54=1,$DW54=1),OR($EC54=1,$EA54=1)),SUM($DV54:$DZ54,$EF54)&gt;=4),SUM($EA54:$EE54)&gt;=2),"Whole sector","")</f>
        <v/>
      </c>
      <c r="EL54" t="str">
        <f>IF(AND(AND(OR($DX54=1,$DW54=1),AND($EC54=0,$EA54=0)),SUM($DV54:$DZ54,$EF54)&gt;=4),"Ecosystem approach","")</f>
        <v>Ecosystem approach</v>
      </c>
      <c r="EM54" s="2" t="str">
        <f>IF(AND(AND(AND($DX54=0,$DW54=0),OR($EC54=1,$EA54=1)),SUM($EB54:$EE54)&gt;=2),"Technology approach","")</f>
        <v/>
      </c>
      <c r="EN54"/>
      <c r="EO54"/>
      <c r="EP54" t="str">
        <f>IF(ISNUMBER(BU54),IF(ABS(BU54-[2]QC_indicators!$B$2)&gt;3*[2]QC_indicators!$C$2,"C ratio",IF(ISNUMBER(BY54),IF(ABS(BY54-[2]QC_indicators!$B$1)&gt;3*[2]QC_indicators!$C$1,"DF","no"))),IF(ISNUMBER(BY54),IF(ABS(BY54-[2]QC_indicators!$B$1)&gt;3*[2]QC_indicators!$C$1,"DF","no")))</f>
        <v>no</v>
      </c>
      <c r="EQ54"/>
      <c r="ER54"/>
      <c r="ES54"/>
      <c r="ET54" s="264" t="s">
        <v>3151</v>
      </c>
      <c r="EU54"/>
    </row>
    <row r="55" spans="1:151" s="139" customFormat="1" ht="15" customHeight="1">
      <c r="A55" s="1" t="s">
        <v>505</v>
      </c>
      <c r="B55" t="s">
        <v>2027</v>
      </c>
      <c r="C55" t="s">
        <v>2028</v>
      </c>
      <c r="D55" t="s">
        <v>2029</v>
      </c>
      <c r="E55" s="264" t="s">
        <v>2030</v>
      </c>
      <c r="F55" t="s">
        <v>2031</v>
      </c>
      <c r="G55" t="s">
        <v>511</v>
      </c>
      <c r="H55" t="s">
        <v>254</v>
      </c>
      <c r="I55">
        <v>2017</v>
      </c>
      <c r="J55">
        <v>17</v>
      </c>
      <c r="K55" t="s">
        <v>2032</v>
      </c>
      <c r="L55"/>
      <c r="M55" t="str">
        <f>LEFT($D55,FIND(",",$D55)-1)&amp;"_"&amp;I55&amp;L55</f>
        <v>Numazawa_2017</v>
      </c>
      <c r="N55" t="s">
        <v>222</v>
      </c>
      <c r="O55" s="157" t="s">
        <v>274</v>
      </c>
      <c r="P55" t="s">
        <v>513</v>
      </c>
      <c r="Q55" s="264" t="s">
        <v>389</v>
      </c>
      <c r="R55" s="269" t="s">
        <v>1154</v>
      </c>
      <c r="S55" s="1" t="s">
        <v>1741</v>
      </c>
      <c r="T55" t="s">
        <v>2033</v>
      </c>
      <c r="U55" t="s">
        <v>2034</v>
      </c>
      <c r="V55">
        <v>0</v>
      </c>
      <c r="W55">
        <v>0</v>
      </c>
      <c r="X55">
        <v>0</v>
      </c>
      <c r="Y55">
        <v>1</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s="141">
        <f>COUNTIF(V55:AW55,"&lt;&gt;0")</f>
        <v>1</v>
      </c>
      <c r="AY55" s="141">
        <f>COUNTIF(V55:AL55,"&lt;&gt;0")</f>
        <v>1</v>
      </c>
      <c r="AZ55">
        <f>COUNTIF(V55:AC55,"&lt;&gt;0")</f>
        <v>1</v>
      </c>
      <c r="BA55">
        <f>COUNTIF(AD55:AI55,"&lt;&gt;0")</f>
        <v>0</v>
      </c>
      <c r="BB55">
        <f>COUNTIF(AJ55:AL55,"&lt;&gt;0")</f>
        <v>0</v>
      </c>
      <c r="BC55">
        <f>COUNTIF(AS55:AW55,"&lt;&gt;0")</f>
        <v>0</v>
      </c>
      <c r="BD55">
        <f>COUNTIF(AM55:AR55,"&lt;&gt;0")</f>
        <v>0</v>
      </c>
      <c r="BE55" t="str" cm="1">
        <f t="array" ref="BE55">IF(AY55=1,INDEX($V$7:$AL$7,MATCH(TRUE,INDEX($V55:$AW55&lt;&gt;0,),0)),IF(AY55=0,INDEX($AM$7:$AW$7,MATCH(1,$AM55:$AW55,0)),IF(BF55="Multiple strategies","mixed drivers",IF(BF55="Supply chain","multiple supply","multiple silviculture"))))</f>
        <v xml:space="preserve">cutting intensity </v>
      </c>
      <c r="BF55" s="2" t="str" cm="1">
        <f t="array" ref="BF55">IF(COUNTIF(AZ55:BB55,"&lt;&gt;0")=1,INDEX($V$4:$AW$4,MATCH(TRUE,INDEX($V55:$AW55&lt;&gt;0,),0)),IF(COUNTIF(AZ55:BB55,"&lt;&gt;0")=0,INDEX($AM$4:$AW$4,MATCH(1,$AM55:$AW55,0)),"Multiple strategies"))</f>
        <v>Silviculture for removals</v>
      </c>
      <c r="BG55" s="1" t="s">
        <v>321</v>
      </c>
      <c r="BH55"/>
      <c r="BI55"/>
      <c r="BJ55" t="s">
        <v>784</v>
      </c>
      <c r="BK55">
        <v>10.199999999999999</v>
      </c>
      <c r="BL55">
        <v>19.5</v>
      </c>
      <c r="BM55">
        <f>IFERROR(BL55/BK55,"")</f>
        <v>1.911764705882353</v>
      </c>
      <c r="BN55">
        <f>BL55-BK55</f>
        <v>9.3000000000000007</v>
      </c>
      <c r="BO55">
        <f>BN55*t_to_m3</f>
        <v>18.979591836734695</v>
      </c>
      <c r="BP55" s="264" t="s">
        <v>232</v>
      </c>
      <c r="BQ55"/>
      <c r="BR55" t="s">
        <v>2035</v>
      </c>
      <c r="BS55">
        <v>80</v>
      </c>
      <c r="BT55">
        <v>5</v>
      </c>
      <c r="BU55" s="144">
        <f>BT55/BS55</f>
        <v>6.25E-2</v>
      </c>
      <c r="BV55">
        <f>BT55-BS55</f>
        <v>-75</v>
      </c>
      <c r="BW55"/>
      <c r="BX55">
        <f>BV55</f>
        <v>-75</v>
      </c>
      <c r="BY55">
        <f>IFERROR(BX55/BO55,"")</f>
        <v>-3.9516129032258061</v>
      </c>
      <c r="BZ55">
        <v>0</v>
      </c>
      <c r="CA55">
        <v>0</v>
      </c>
      <c r="CB55">
        <v>0</v>
      </c>
      <c r="CC55">
        <v>0</v>
      </c>
      <c r="CD55">
        <v>0</v>
      </c>
      <c r="CE55">
        <v>0</v>
      </c>
      <c r="CF55">
        <v>0</v>
      </c>
      <c r="CG55">
        <v>0</v>
      </c>
      <c r="CH55">
        <v>0</v>
      </c>
      <c r="CI55">
        <v>0</v>
      </c>
      <c r="CJ55">
        <v>0</v>
      </c>
      <c r="CK55">
        <v>0</v>
      </c>
      <c r="CL55">
        <v>0</v>
      </c>
      <c r="CM55">
        <v>0</v>
      </c>
      <c r="CN55" t="str">
        <f>IF($BL55&lt;$BK55,"refNeedCorrection","refOK")</f>
        <v>refOK</v>
      </c>
      <c r="CO55">
        <f>IF($CN55="refOK",$BK55,$BL55)</f>
        <v>10.199999999999999</v>
      </c>
      <c r="CP55">
        <f>IF($CN55="refOK",$BL55,$BK55)</f>
        <v>19.5</v>
      </c>
      <c r="CQ55">
        <f>IF($CN55="refOK",$BO55,-$BO55)</f>
        <v>18.979591836734695</v>
      </c>
      <c r="CR55">
        <f>IF($CN55="refOK",$BS55,$BT55)*IF($BP55="Emissions positive",-1,1)</f>
        <v>80</v>
      </c>
      <c r="CS55">
        <f>IF($CN55="refOK",$BT55,$BS55)*IF($BP55="Emissions positive",-1,1)</f>
        <v>5</v>
      </c>
      <c r="CT55">
        <f>IF($CN55="refNeedCorrection",-BX55,BX55)*IF($BP55="Emissions positive",-1,1)</f>
        <v>-75</v>
      </c>
      <c r="CU55">
        <f>IFERROR(CT55/CQ55,"")</f>
        <v>-3.9516129032258061</v>
      </c>
      <c r="CV55" s="2">
        <f>IFERROR((CS55-CR55)/ABS(CR55),"")</f>
        <v>-0.9375</v>
      </c>
      <c r="CW55" s="1" t="s">
        <v>2036</v>
      </c>
      <c r="CX55" s="264" t="str">
        <f>IF(OR($CW55="prd",$CW55="std",$CW55="cit"),"loc",IF(OR($CW55="eur",$CW55="reg",$CW55="coy"),"reg",$CW55))</f>
        <v>reg</v>
      </c>
      <c r="CY55" t="s">
        <v>520</v>
      </c>
      <c r="CZ55"/>
      <c r="DA55"/>
      <c r="DB55">
        <v>120</v>
      </c>
      <c r="DC55" t="str">
        <f>IF(DB55=0,"0",IF(AND(DB55&gt;=1,DB55&lt;=30),"1-30",IF(AND(DB55&gt;30,DB55&lt;=70),"31-70",IF(AND(DB55&gt;70,DB55&lt;=100),"71-100",IF(DB55&gt;100,"+100")))))</f>
        <v>+100</v>
      </c>
      <c r="DD55">
        <v>1</v>
      </c>
      <c r="DE55">
        <v>0</v>
      </c>
      <c r="DF55">
        <v>0</v>
      </c>
      <c r="DG55">
        <v>0</v>
      </c>
      <c r="DH55">
        <v>0</v>
      </c>
      <c r="DI55">
        <f>SUM(DD55:DH55)</f>
        <v>1</v>
      </c>
      <c r="DJ55" t="str">
        <f>IF(DI55=1,INDEX($DD$7:$DG$7,MATCH(1,$DD55:$DG55,0)),"mixedProduct")</f>
        <v>UpstreamInput</v>
      </c>
      <c r="DK55" t="str">
        <f>IF(DD55=1,DK$7,0)</f>
        <v>Upstream</v>
      </c>
      <c r="DL55">
        <f>IF(DE55=1,DL$7,0)</f>
        <v>0</v>
      </c>
      <c r="DM55">
        <f>IF(DF55=1,DM$7,0)</f>
        <v>0</v>
      </c>
      <c r="DN55">
        <f>IF(DG55=1,DN$7,0)</f>
        <v>0</v>
      </c>
      <c r="DO55">
        <v>0</v>
      </c>
      <c r="DP55">
        <v>0</v>
      </c>
      <c r="DQ55">
        <v>0</v>
      </c>
      <c r="DR55">
        <v>0</v>
      </c>
      <c r="DS55">
        <v>0</v>
      </c>
      <c r="DT55"/>
      <c r="DU55" s="143" t="str">
        <f>IF(DO55=1,"self-calculated DF",IF(DP55=1,"external DF used","explicit C balance"))</f>
        <v>explicit C balance</v>
      </c>
      <c r="DV55">
        <v>0</v>
      </c>
      <c r="DW55">
        <v>1</v>
      </c>
      <c r="DX55">
        <v>1</v>
      </c>
      <c r="DY55">
        <v>1</v>
      </c>
      <c r="DZ55">
        <v>0</v>
      </c>
      <c r="EA55" s="143">
        <v>0</v>
      </c>
      <c r="EB55">
        <v>1</v>
      </c>
      <c r="EC55">
        <v>0</v>
      </c>
      <c r="ED55">
        <v>0</v>
      </c>
      <c r="EE55">
        <v>0</v>
      </c>
      <c r="EF55">
        <v>1</v>
      </c>
      <c r="EG55">
        <v>0</v>
      </c>
      <c r="EH55">
        <v>0</v>
      </c>
      <c r="EI55" s="2">
        <v>0</v>
      </c>
      <c r="EJ55" s="1"/>
      <c r="EK55" t="str">
        <f>IF(AND(AND(AND(OR($DX55=1,$DW55=1),OR($EC55=1,$EA55=1)),SUM($DV55:$DZ55,$EF55)&gt;=4),SUM($EA55:$EE55)&gt;=2),"Whole sector","")</f>
        <v/>
      </c>
      <c r="EL55" t="str">
        <f>IF(AND(AND(OR($DX55=1,$DW55=1),AND($EC55=0,$EA55=0)),SUM($DV55:$DZ55,$EF55)&gt;=4),"Ecosystem approach","")</f>
        <v>Ecosystem approach</v>
      </c>
      <c r="EM55" s="2" t="str">
        <f>IF(AND(AND(AND($DX55=0,$DW55=0),OR($EC55=1,$EA55=1)),SUM($EB55:$EE55)&gt;=2),"Technology approach","")</f>
        <v/>
      </c>
      <c r="EN55"/>
      <c r="EO55"/>
      <c r="EP55" t="str">
        <f>IF(ISNUMBER(BU55),IF(ABS(BU55-[3]QC_indicators!$B$2)&gt;3*[3]QC_indicators!$C$2,"C ratio",IF(ISNUMBER(BY55),IF(ABS(BY55-[3]QC_indicators!$B$1)&gt;3*[3]QC_indicators!$C$1,"DF","no"))),IF(ISNUMBER(BY55),IF(ABS(BY55-[3]QC_indicators!$B$1)&gt;3*[3]QC_indicators!$C$1,"DF","no")))</f>
        <v>no</v>
      </c>
      <c r="EQ55"/>
      <c r="ER55"/>
      <c r="ES55"/>
      <c r="ET55" s="264" t="s">
        <v>3407</v>
      </c>
      <c r="EU55"/>
    </row>
    <row r="56" spans="1:151" s="139" customFormat="1" ht="15" customHeight="1">
      <c r="A56" s="1" t="s">
        <v>656</v>
      </c>
      <c r="B56" t="s">
        <v>2080</v>
      </c>
      <c r="C56" t="s">
        <v>2081</v>
      </c>
      <c r="D56" t="s">
        <v>2082</v>
      </c>
      <c r="E56" t="s">
        <v>2083</v>
      </c>
      <c r="F56" t="s">
        <v>2084</v>
      </c>
      <c r="G56" t="s">
        <v>662</v>
      </c>
      <c r="H56" t="s">
        <v>254</v>
      </c>
      <c r="I56">
        <v>2020</v>
      </c>
      <c r="J56">
        <v>4</v>
      </c>
      <c r="K56" t="s">
        <v>2085</v>
      </c>
      <c r="L56"/>
      <c r="M56" t="str">
        <f>LEFT($D56,FIND(",",$D56)-1)&amp;"_"&amp;I56&amp;L56</f>
        <v>Palus_2020</v>
      </c>
      <c r="N56" t="s">
        <v>222</v>
      </c>
      <c r="O56" s="157" t="s">
        <v>513</v>
      </c>
      <c r="P56" t="s">
        <v>223</v>
      </c>
      <c r="Q56" t="s">
        <v>389</v>
      </c>
      <c r="R56" s="255" t="s">
        <v>225</v>
      </c>
      <c r="S56" s="1"/>
      <c r="T56" t="s">
        <v>1183</v>
      </c>
      <c r="U56" t="s">
        <v>1201</v>
      </c>
      <c r="V56">
        <v>0</v>
      </c>
      <c r="W56">
        <v>0</v>
      </c>
      <c r="X56">
        <v>0</v>
      </c>
      <c r="Y56">
        <v>0</v>
      </c>
      <c r="Z56">
        <v>0</v>
      </c>
      <c r="AA56">
        <v>0</v>
      </c>
      <c r="AB56">
        <v>0</v>
      </c>
      <c r="AC56">
        <v>0</v>
      </c>
      <c r="AD56">
        <v>0</v>
      </c>
      <c r="AE56">
        <v>0</v>
      </c>
      <c r="AF56">
        <v>1</v>
      </c>
      <c r="AG56">
        <v>0</v>
      </c>
      <c r="AH56">
        <v>0</v>
      </c>
      <c r="AI56">
        <v>0</v>
      </c>
      <c r="AJ56">
        <v>0</v>
      </c>
      <c r="AK56">
        <v>0</v>
      </c>
      <c r="AL56">
        <v>0</v>
      </c>
      <c r="AM56">
        <v>0</v>
      </c>
      <c r="AN56">
        <v>0</v>
      </c>
      <c r="AO56">
        <v>0</v>
      </c>
      <c r="AP56">
        <v>0</v>
      </c>
      <c r="AQ56">
        <v>0</v>
      </c>
      <c r="AR56">
        <v>0</v>
      </c>
      <c r="AS56">
        <v>1</v>
      </c>
      <c r="AT56">
        <v>0</v>
      </c>
      <c r="AU56">
        <v>0</v>
      </c>
      <c r="AV56">
        <v>0</v>
      </c>
      <c r="AW56">
        <v>0</v>
      </c>
      <c r="AX56" s="141">
        <f>COUNTIF(V56:AW56,"&lt;&gt;0")</f>
        <v>2</v>
      </c>
      <c r="AY56" s="141">
        <f>COUNTIF(V56:AL56,"&lt;&gt;0")</f>
        <v>1</v>
      </c>
      <c r="AZ56">
        <f>COUNTIF(V56:AC56,"&lt;&gt;0")</f>
        <v>0</v>
      </c>
      <c r="BA56">
        <f>COUNTIF(AD56:AI56,"&lt;&gt;0")</f>
        <v>1</v>
      </c>
      <c r="BB56">
        <f>COUNTIF(AJ56:AL56,"&lt;&gt;0")</f>
        <v>0</v>
      </c>
      <c r="BC56">
        <f>COUNTIF(AS56:AW56,"&lt;&gt;0")</f>
        <v>1</v>
      </c>
      <c r="BD56">
        <f>COUNTIF(AM56:AR56,"&lt;&gt;0")</f>
        <v>0</v>
      </c>
      <c r="BE56" t="str">
        <f t="array" ref="BE56">IF(AY56=1,INDEX($V$7:$AL$7,MATCH(TRUE,INDEX($V56:$AW56&lt;&gt;0,),0)),IF(AY56=0,INDEX($AM$7:$AW$7,MATCH(1,$AM56:$AW56,0)),IF(BF56="Multiple strategies","mixed drivers",IF(BF56="Supply chain","multiple supply","multiple silviculture"))))</f>
        <v>supply chain organization</v>
      </c>
      <c r="BF56" s="2" t="str" cm="1">
        <f t="array" ref="BF56">IF(COUNTIF(AZ56:BB56,"&lt;&gt;0")=1,INDEX($V$4:$AW$4,MATCH(TRUE,INDEX($V56:$AW56&lt;&gt;0,),0)),IF(COUNTIF(AZ56:BB56,"&lt;&gt;0")=0,INDEX($AM$4:$AW$4,MATCH(1,$AM56:$AW56,0)),"Multiple strategies"))</f>
        <v>Supply chain</v>
      </c>
      <c r="BG56" s="1" t="s">
        <v>321</v>
      </c>
      <c r="BH56" t="s">
        <v>832</v>
      </c>
      <c r="BI56" t="s">
        <v>699</v>
      </c>
      <c r="BJ56" t="s">
        <v>2086</v>
      </c>
      <c r="BK56">
        <v>7856.3</v>
      </c>
      <c r="BL56">
        <v>8091.4</v>
      </c>
      <c r="BM56">
        <f>IFERROR(BK56/BL56,"")</f>
        <v>0.97094445954964537</v>
      </c>
      <c r="BN56" s="260">
        <f>BL56-BK56</f>
        <v>235.09999999999945</v>
      </c>
      <c r="BO56" s="260">
        <f>BN56*1000</f>
        <v>235099.99999999945</v>
      </c>
      <c r="BP56" t="s">
        <v>395</v>
      </c>
      <c r="BQ56" s="260" t="s">
        <v>3389</v>
      </c>
      <c r="BR56" t="s">
        <v>2087</v>
      </c>
      <c r="BS56">
        <v>-2445.48</v>
      </c>
      <c r="BT56">
        <v>-1535.25</v>
      </c>
      <c r="BU56"/>
      <c r="BV56">
        <f>BT56-BS56</f>
        <v>910.23</v>
      </c>
      <c r="BW56"/>
      <c r="BX56">
        <f>BV56*1000</f>
        <v>910230</v>
      </c>
      <c r="BY56">
        <f>IFERROR(BX56/BO56,"")</f>
        <v>3.8716716290940116</v>
      </c>
      <c r="BZ56">
        <v>0</v>
      </c>
      <c r="CA56">
        <v>0</v>
      </c>
      <c r="CB56">
        <v>0</v>
      </c>
      <c r="CC56">
        <v>0</v>
      </c>
      <c r="CD56">
        <v>0</v>
      </c>
      <c r="CE56">
        <v>0</v>
      </c>
      <c r="CF56">
        <v>0</v>
      </c>
      <c r="CG56">
        <v>0</v>
      </c>
      <c r="CH56">
        <v>0</v>
      </c>
      <c r="CI56">
        <v>0</v>
      </c>
      <c r="CJ56">
        <v>0</v>
      </c>
      <c r="CK56">
        <v>0</v>
      </c>
      <c r="CL56">
        <v>0</v>
      </c>
      <c r="CM56">
        <v>0</v>
      </c>
      <c r="CN56" t="str">
        <f>IF($BL56&lt;$BK56,"refNeedCorrection","refOK")</f>
        <v>refOK</v>
      </c>
      <c r="CO56">
        <f>IF($CN56="refOK",$BL56,$BK56)</f>
        <v>8091.4</v>
      </c>
      <c r="CP56">
        <f>IF($CN56="refOK",$BK56,$BL56)</f>
        <v>7856.3</v>
      </c>
      <c r="CQ56">
        <f>IF($CN56="refOK",$BO56,-$BO56)</f>
        <v>235099.99999999945</v>
      </c>
      <c r="CR56">
        <f>IF($CN56="refOK",$BU56,$BT56)*IF($BP56="Emissions positive",-1,1)</f>
        <v>0</v>
      </c>
      <c r="CS56">
        <f>IF($CN56="refOK",$BT56,$BU56)*IF($BP56="Emissions positive",-1,1)</f>
        <v>1535.25</v>
      </c>
      <c r="CT56">
        <f>IF($CN56="refNeedCorrection",-BX56,BX56)*IF($BP56="Emissions positive",-1,1)</f>
        <v>-910230</v>
      </c>
      <c r="CU56">
        <f>IFERROR(CT56/CQ56,"")</f>
        <v>-3.8716716290940116</v>
      </c>
      <c r="CV56" s="2" t="str">
        <f>IFERROR((CS56-CR56)/ABS(CR56),"")</f>
        <v/>
      </c>
      <c r="CW56" s="1" t="s">
        <v>1203</v>
      </c>
      <c r="CX56" t="str">
        <f>IF(OR($CW56="prd",$CW56="std",$CW56="cit"),"loc",IF(OR($CW56="eur",$CW56="reg",$CW56="coy"),"reg",$CW56))</f>
        <v>reg</v>
      </c>
      <c r="CY56" t="s">
        <v>2088</v>
      </c>
      <c r="CZ56">
        <v>2017</v>
      </c>
      <c r="DA56">
        <v>2017</v>
      </c>
      <c r="DB56">
        <f>DA56-CZ56</f>
        <v>0</v>
      </c>
      <c r="DC56" t="str">
        <f>IF(DB56=0,"0",IF(AND(DB56&gt;=1,DB56&lt;=30),"1-30",IF(AND(DB56&gt;30,DB56&lt;=70),"31-70",IF(AND(DB56&gt;70,DB56&lt;=100),"71-100",IF(DB56&gt;100,"+100")))))</f>
        <v>0</v>
      </c>
      <c r="DD56">
        <v>0</v>
      </c>
      <c r="DE56">
        <v>0</v>
      </c>
      <c r="DF56">
        <v>1</v>
      </c>
      <c r="DG56">
        <v>1</v>
      </c>
      <c r="DH56">
        <v>0</v>
      </c>
      <c r="DI56">
        <f>SUM(DD56:DH56)</f>
        <v>2</v>
      </c>
      <c r="DJ56" t="str">
        <f>IF(DI56=1,INDEX($DD$7:$DG$7,MATCH(1,$DD56:$DG56,0)),"mixedProduct")</f>
        <v>mixedProduct</v>
      </c>
      <c r="DK56">
        <f>IF(DD56=1,DK$7,0)</f>
        <v>0</v>
      </c>
      <c r="DL56">
        <f>IF(DE56=1,DL$7,0)</f>
        <v>0</v>
      </c>
      <c r="DM56" t="str">
        <f>IF(DF56=1,DM$7,0)</f>
        <v>Pulp/Paper</v>
      </c>
      <c r="DN56" t="str">
        <f>IF(DG56=1,DN$7,0)</f>
        <v>Timber</v>
      </c>
      <c r="DO56">
        <v>0</v>
      </c>
      <c r="DP56">
        <v>0</v>
      </c>
      <c r="DQ56">
        <v>0</v>
      </c>
      <c r="DR56">
        <v>0</v>
      </c>
      <c r="DS56">
        <v>0</v>
      </c>
      <c r="DT56"/>
      <c r="DU56" s="143" t="str">
        <f>IF(DO56=1,"self-calculated DF",IF(DP56=1,"external DF used","explicit C balance"))</f>
        <v>explicit C balance</v>
      </c>
      <c r="DV56">
        <v>0</v>
      </c>
      <c r="DW56">
        <v>0</v>
      </c>
      <c r="DX56">
        <v>0</v>
      </c>
      <c r="DY56">
        <v>1</v>
      </c>
      <c r="DZ56">
        <v>1</v>
      </c>
      <c r="EA56">
        <v>0</v>
      </c>
      <c r="EB56">
        <v>0</v>
      </c>
      <c r="EC56">
        <v>0</v>
      </c>
      <c r="ED56">
        <v>0</v>
      </c>
      <c r="EE56">
        <v>0</v>
      </c>
      <c r="EF56">
        <v>1</v>
      </c>
      <c r="EG56">
        <v>0</v>
      </c>
      <c r="EH56">
        <v>0</v>
      </c>
      <c r="EI56" s="2">
        <v>0</v>
      </c>
      <c r="EJ56" s="1"/>
      <c r="EK56" t="str">
        <f>IF(AND(AND(AND(OR($DX56=1,$DW56=1),OR($EC56=1,$EA56=1)),SUM($DV56:$DZ56,$EF56)&gt;=4),SUM($EA56:$EE56)&gt;=2),"Whole sector","")</f>
        <v/>
      </c>
      <c r="EL56" t="str">
        <f>IF(AND(AND(OR($DX56=1,$DW56=1),AND($EC56=0,$EA56=0)),SUM($DV56:$DZ56,$EF56)&gt;=4),"Ecosystem approach","")</f>
        <v/>
      </c>
      <c r="EM56" s="2" t="str">
        <f>IF(AND(AND(AND($DX56=0,$DW56=0),OR($EC56=1,$EA56=1)),SUM($EB56:$EE56)&gt;=2),"Technology approach","")</f>
        <v/>
      </c>
      <c r="EN56"/>
      <c r="EO56"/>
      <c r="EP56" t="str">
        <f>IF(ISNUMBER(BU56),IF(ABS(BU56-[4]QC_indicators!$B$2)&gt;3*[4]QC_indicators!$C$2,"C ratio",IF(ISNUMBER(BY56),IF(ABS(BY56-[4]QC_indicators!$B$1)&gt;3*[4]QC_indicators!$C$1,"DF","no"))),IF(ISNUMBER(BY56),IF(ABS(BY56-[4]QC_indicators!$B$1)&gt;3*[4]QC_indicators!$C$1,"DF","no")))</f>
        <v>no</v>
      </c>
      <c r="EQ56"/>
      <c r="ER56"/>
      <c r="ES56"/>
      <c r="ET56" s="264" t="s">
        <v>3273</v>
      </c>
      <c r="EU56"/>
    </row>
    <row r="57" spans="1:151" s="139" customFormat="1" ht="15" customHeight="1">
      <c r="A57" s="1" t="s">
        <v>1423</v>
      </c>
      <c r="B57" t="s">
        <v>2490</v>
      </c>
      <c r="C57" t="s">
        <v>2491</v>
      </c>
      <c r="D57" t="s">
        <v>2492</v>
      </c>
      <c r="E57" t="s">
        <v>2493</v>
      </c>
      <c r="F57" t="s">
        <v>2494</v>
      </c>
      <c r="G57" t="s">
        <v>1429</v>
      </c>
      <c r="H57" t="s">
        <v>254</v>
      </c>
      <c r="I57">
        <v>2016</v>
      </c>
      <c r="J57">
        <v>24</v>
      </c>
      <c r="K57" t="s">
        <v>2495</v>
      </c>
      <c r="L57"/>
      <c r="M57" t="str">
        <f>LEFT($D57,FIND(",",$D57)-1)&amp;"_"&amp;I57&amp;L57</f>
        <v>Zubizarreta-Gerendiain_2016</v>
      </c>
      <c r="N57" t="s">
        <v>222</v>
      </c>
      <c r="O57" s="145" t="s">
        <v>1154</v>
      </c>
      <c r="P57"/>
      <c r="Q57" t="s">
        <v>256</v>
      </c>
      <c r="R57" s="262" t="s">
        <v>223</v>
      </c>
      <c r="S57" s="1" t="s">
        <v>2496</v>
      </c>
      <c r="T57" t="s">
        <v>2505</v>
      </c>
      <c r="U57" t="s">
        <v>2504</v>
      </c>
      <c r="V57">
        <v>0</v>
      </c>
      <c r="W57">
        <v>0</v>
      </c>
      <c r="X57">
        <v>0</v>
      </c>
      <c r="Y57">
        <v>2</v>
      </c>
      <c r="Z57">
        <v>0</v>
      </c>
      <c r="AA57">
        <v>0</v>
      </c>
      <c r="AB57">
        <v>0</v>
      </c>
      <c r="AC57">
        <v>0</v>
      </c>
      <c r="AD57">
        <v>0</v>
      </c>
      <c r="AE57">
        <v>0</v>
      </c>
      <c r="AF57">
        <v>1</v>
      </c>
      <c r="AG57">
        <v>0</v>
      </c>
      <c r="AH57">
        <v>0</v>
      </c>
      <c r="AI57">
        <v>0</v>
      </c>
      <c r="AJ57">
        <v>0</v>
      </c>
      <c r="AK57">
        <v>0</v>
      </c>
      <c r="AL57">
        <v>0</v>
      </c>
      <c r="AM57">
        <v>0</v>
      </c>
      <c r="AN57">
        <v>0</v>
      </c>
      <c r="AO57">
        <v>0</v>
      </c>
      <c r="AP57">
        <v>0</v>
      </c>
      <c r="AQ57">
        <v>0</v>
      </c>
      <c r="AR57">
        <v>0</v>
      </c>
      <c r="AS57">
        <v>0</v>
      </c>
      <c r="AT57">
        <v>0</v>
      </c>
      <c r="AU57">
        <v>0</v>
      </c>
      <c r="AV57">
        <v>0</v>
      </c>
      <c r="AW57">
        <v>0</v>
      </c>
      <c r="AX57" s="141">
        <f>COUNTIF(V57:AW57,"&lt;&gt;0")</f>
        <v>2</v>
      </c>
      <c r="AY57" s="141">
        <f>COUNTIF(V57:AL57,"&lt;&gt;0")</f>
        <v>2</v>
      </c>
      <c r="AZ57">
        <f>COUNTIF(V57:AC57,"&lt;&gt;0")</f>
        <v>1</v>
      </c>
      <c r="BA57">
        <f>COUNTIF(AD57:AI57,"&lt;&gt;0")</f>
        <v>1</v>
      </c>
      <c r="BB57">
        <f>COUNTIF(AJ57:AL57,"&lt;&gt;0")</f>
        <v>0</v>
      </c>
      <c r="BC57">
        <f>COUNTIF(AS57:AW57,"&lt;&gt;0")</f>
        <v>0</v>
      </c>
      <c r="BD57">
        <f>COUNTIF(AM57:AR57,"&lt;&gt;0")</f>
        <v>0</v>
      </c>
      <c r="BE57" t="str">
        <f t="array" ref="BE57">IF(AY57=1,INDEX($V$7:$AL$7,MATCH(TRUE,INDEX($V57:$AW57&lt;&gt;0,),0)),IF(AY57=0,INDEX($AM$7:$AW$7,MATCH(1,$AM57:$AW57,0)),IF(BF57="Multiple strategies","mixed drivers",IF(BF57="Supply chain","multiple supply","multiple silviculture"))))</f>
        <v>mixed drivers</v>
      </c>
      <c r="BF57" s="2" t="str" cm="1">
        <f t="array" ref="BF57">IF(COUNTIF(AZ57:BB57,"&lt;&gt;0")=1,INDEX($V$4:$AW$4,MATCH(TRUE,INDEX($V57:$AW57&lt;&gt;0,),0)),IF(COUNTIF(AZ57:BB57,"&lt;&gt;0")=0,INDEX($AM$4:$AW$4,MATCH(1,$AM57:$AW57,0)),"Multiple strategies"))</f>
        <v>Multiple strategies</v>
      </c>
      <c r="BG57" s="1" t="s">
        <v>321</v>
      </c>
      <c r="BH57" t="s">
        <v>2499</v>
      </c>
      <c r="BI57" s="264" t="s">
        <v>2113</v>
      </c>
      <c r="BJ57" t="s">
        <v>2500</v>
      </c>
      <c r="BK57">
        <v>70.434782608695599</v>
      </c>
      <c r="BL57">
        <v>82.634271099744197</v>
      </c>
      <c r="BM57" s="143">
        <f>BL57/BK57</f>
        <v>1.1732026143790852</v>
      </c>
      <c r="BN57">
        <f>BL57-BK57</f>
        <v>12.199488491048598</v>
      </c>
      <c r="BO57">
        <f>BN57*1000*t_to_m3</f>
        <v>24896.915287854281</v>
      </c>
      <c r="BP57" s="143" t="s">
        <v>232</v>
      </c>
      <c r="BQ57" s="143" t="s">
        <v>3256</v>
      </c>
      <c r="BR57" t="s">
        <v>1195</v>
      </c>
      <c r="BS57">
        <v>105771.90289102923</v>
      </c>
      <c r="BT57">
        <v>12625.588954781248</v>
      </c>
      <c r="BU57" s="144">
        <f>IFERROR(BT57/BS57,"")</f>
        <v>0.11936618903215417</v>
      </c>
      <c r="BV57" s="144">
        <f>BT57-BS57</f>
        <v>-93146.313936247985</v>
      </c>
      <c r="BW57" s="144"/>
      <c r="BX57" s="144">
        <f>BV57</f>
        <v>-93146.313936247985</v>
      </c>
      <c r="BY57">
        <f>IFERROR(BX57/BO57,"")</f>
        <v>-3.7412793054603237</v>
      </c>
      <c r="BZ57">
        <v>0</v>
      </c>
      <c r="CA57">
        <v>0</v>
      </c>
      <c r="CB57">
        <v>0</v>
      </c>
      <c r="CC57">
        <v>0</v>
      </c>
      <c r="CD57">
        <v>0</v>
      </c>
      <c r="CE57">
        <v>0</v>
      </c>
      <c r="CF57">
        <v>0</v>
      </c>
      <c r="CG57">
        <v>0</v>
      </c>
      <c r="CH57">
        <v>0</v>
      </c>
      <c r="CI57">
        <v>0</v>
      </c>
      <c r="CJ57">
        <v>0</v>
      </c>
      <c r="CK57">
        <v>0</v>
      </c>
      <c r="CL57">
        <v>0</v>
      </c>
      <c r="CM57">
        <v>1</v>
      </c>
      <c r="CN57" t="str">
        <f>IF($BL57&lt;$BK57,"refNeedCorrection","refOK")</f>
        <v>refOK</v>
      </c>
      <c r="CO57">
        <f>IF($CN57="refOK",$BK57,$BL57)</f>
        <v>70.434782608695599</v>
      </c>
      <c r="CP57">
        <f>IF($CN57="refOK",$BL57,$BK57)</f>
        <v>82.634271099744197</v>
      </c>
      <c r="CQ57">
        <f>IF($CN57="refOK",$BO57,-$BO57)</f>
        <v>24896.915287854281</v>
      </c>
      <c r="CR57">
        <f>IF($CN57="refOK",$BS57,$BT57)*IF($BP57="Emissions positive",-1,1)</f>
        <v>105771.90289102923</v>
      </c>
      <c r="CS57">
        <f>IF($CN57="refOK",$BT57,$BS57)*IF($BP57="Emissions positive",-1,1)</f>
        <v>12625.588954781248</v>
      </c>
      <c r="CT57">
        <f>IF($CN57="refNeedCorrection",-BX57,BX57)*IF($BP57="Emissions positive",-1,1)</f>
        <v>-93146.313936247985</v>
      </c>
      <c r="CU57">
        <f>IFERROR(CT57/CQ57,"")</f>
        <v>-3.7412793054603237</v>
      </c>
      <c r="CV57" s="2">
        <f>IFERROR((CS57-CR57)/ABS(CR57),"")</f>
        <v>-0.88063381096784588</v>
      </c>
      <c r="CW57" s="1" t="s">
        <v>1199</v>
      </c>
      <c r="CX57" t="str">
        <f>IF(OR($CW57="prd",$CW57="std",$CW57="cit"),"loc",IF(OR($CW57="eur",$CW57="reg",$CW57="coy"),"reg",$CW57))</f>
        <v>reg</v>
      </c>
      <c r="CY57" t="s">
        <v>235</v>
      </c>
      <c r="CZ57">
        <v>2010</v>
      </c>
      <c r="DA57">
        <v>2070</v>
      </c>
      <c r="DB57">
        <f>DA57-CZ57</f>
        <v>60</v>
      </c>
      <c r="DC57" t="str">
        <f>IF(DB57=0,"0",IF(AND(DB57&gt;=1,DB57&lt;=30),"1-30",IF(AND(DB57&gt;30,DB57&lt;=70),"31-70",IF(AND(DB57&gt;70,DB57&lt;=100),"71-100",IF(DB57&gt;100,"+100")))))</f>
        <v>31-70</v>
      </c>
      <c r="DD57">
        <v>1</v>
      </c>
      <c r="DE57">
        <v>1</v>
      </c>
      <c r="DF57">
        <v>1</v>
      </c>
      <c r="DG57">
        <v>1</v>
      </c>
      <c r="DH57">
        <v>0</v>
      </c>
      <c r="DI57">
        <f>SUM(DD57:DG57)</f>
        <v>4</v>
      </c>
      <c r="DJ57" t="str">
        <f>IF(DI57=1,INDEX($DD$7:$DG$7,MATCH(1,$DD57:$DG57,0)),"mixedProduct")</f>
        <v>mixedProduct</v>
      </c>
      <c r="DK57" t="str">
        <f>IF(DD57=1,DK$7,0)</f>
        <v>Upstream</v>
      </c>
      <c r="DL57" t="str">
        <f>IF(DE57=1,DL$7,0)</f>
        <v>Energy</v>
      </c>
      <c r="DM57" t="str">
        <f>IF(DF57=1,DM$7,0)</f>
        <v>Pulp/Paper</v>
      </c>
      <c r="DN57" t="str">
        <f>IF(DG57=1,DN$7,0)</f>
        <v>Timber</v>
      </c>
      <c r="DO57">
        <v>0</v>
      </c>
      <c r="DP57">
        <v>1</v>
      </c>
      <c r="DQ57" t="s">
        <v>2524</v>
      </c>
      <c r="DR57" t="s">
        <v>2525</v>
      </c>
      <c r="DS57">
        <v>0</v>
      </c>
      <c r="DT57">
        <f>SUM(DO57:DP57)</f>
        <v>1</v>
      </c>
      <c r="DU57" s="143" t="str">
        <f>IF(DO57=1,"self-calculated DF",IF(DP57=1,"external DF used","explicit C balance"))</f>
        <v>external DF used</v>
      </c>
      <c r="DV57">
        <v>1</v>
      </c>
      <c r="DW57">
        <v>1</v>
      </c>
      <c r="DX57">
        <v>1</v>
      </c>
      <c r="DY57">
        <v>1</v>
      </c>
      <c r="DZ57">
        <v>0</v>
      </c>
      <c r="EA57" s="143">
        <v>1</v>
      </c>
      <c r="EB57">
        <v>1</v>
      </c>
      <c r="EC57">
        <v>1</v>
      </c>
      <c r="ED57">
        <v>0</v>
      </c>
      <c r="EE57">
        <v>0</v>
      </c>
      <c r="EF57">
        <v>1</v>
      </c>
      <c r="EG57">
        <v>0</v>
      </c>
      <c r="EH57">
        <v>0</v>
      </c>
      <c r="EI57" s="2">
        <v>0</v>
      </c>
      <c r="EJ57" s="1"/>
      <c r="EK57" t="str">
        <f>IF(AND(AND(AND(OR($DX57=1,$DW57=1),OR($EC57=1,$EA57=1)),SUM($DV57:$DZ57,$EF57)&gt;=4),SUM($EA57:$EE57)&gt;=2),"Whole sector","")</f>
        <v>Whole sector</v>
      </c>
      <c r="EL57" t="str">
        <f>IF(AND(AND(OR($DX57=1,$DW57=1),AND($EC57=0,$EA57=0)),SUM($DV57:$DZ57,$EF57)&gt;=4),"Ecosystem approach","")</f>
        <v/>
      </c>
      <c r="EM57" s="2" t="str">
        <f>IF(AND(AND(AND($DX57=0,$DW57=0),OR($EC57=1,$EA57=1)),SUM($EB57:$EE57)&gt;=2),"Technology approach","")</f>
        <v/>
      </c>
      <c r="EN57"/>
      <c r="EO57"/>
      <c r="EP57" t="str">
        <f>IF(ISNUMBER(BU57),IF(ABS(BU57-[1]QC_indicators!$B$2)&gt;3*[1]QC_indicators!$C$2,"C ratio",IF(ISNUMBER(BY57),IF(ABS(BY57-[1]QC_indicators!$B$1)&gt;3*[1]QC_indicators!$C$1,"DF","no"))),IF(ISNUMBER(BY57),IF(ABS(BY57-[1]QC_indicators!$B$1)&gt;3*[1]QC_indicators!$C$1,"DF","no")))</f>
        <v>no</v>
      </c>
      <c r="EQ57"/>
      <c r="ER57"/>
      <c r="ES57"/>
      <c r="ET57" s="264" t="s">
        <v>3260</v>
      </c>
      <c r="EU57"/>
    </row>
    <row r="58" spans="1:151" s="139" customFormat="1" ht="15" customHeight="1">
      <c r="A58" s="1" t="s">
        <v>1045</v>
      </c>
      <c r="B58" t="s">
        <v>1046</v>
      </c>
      <c r="C58" t="s">
        <v>1047</v>
      </c>
      <c r="D58" t="s">
        <v>1048</v>
      </c>
      <c r="E58" t="s">
        <v>1049</v>
      </c>
      <c r="F58" t="s">
        <v>1050</v>
      </c>
      <c r="G58" t="s">
        <v>1051</v>
      </c>
      <c r="H58" t="s">
        <v>254</v>
      </c>
      <c r="I58">
        <v>2014</v>
      </c>
      <c r="J58">
        <v>23</v>
      </c>
      <c r="K58" t="s">
        <v>1052</v>
      </c>
      <c r="L58"/>
      <c r="M58" t="str">
        <f>LEFT($D58,FIND(",",$D58)-1)&amp;"_"&amp;I58&amp;L58</f>
        <v>Pyorala_2014</v>
      </c>
      <c r="N58" t="s">
        <v>222</v>
      </c>
      <c r="O58" s="171" t="s">
        <v>341</v>
      </c>
      <c r="P58" t="s">
        <v>225</v>
      </c>
      <c r="Q58" s="264" t="s">
        <v>389</v>
      </c>
      <c r="R58" s="269" t="s">
        <v>1154</v>
      </c>
      <c r="S58" s="1" t="s">
        <v>1053</v>
      </c>
      <c r="T58" s="264" t="s">
        <v>1062</v>
      </c>
      <c r="U58" s="264" t="s">
        <v>1055</v>
      </c>
      <c r="V58">
        <v>0</v>
      </c>
      <c r="W58">
        <v>0</v>
      </c>
      <c r="X58">
        <v>0</v>
      </c>
      <c r="Y58">
        <v>1</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s="141">
        <f>COUNTIF(V58:AW58,"&lt;&gt;0")</f>
        <v>1</v>
      </c>
      <c r="AY58" s="141">
        <f>COUNTIF(V58:AL58,"&lt;&gt;0")</f>
        <v>1</v>
      </c>
      <c r="AZ58">
        <f>COUNTIF(V58:AC58,"&lt;&gt;0")</f>
        <v>1</v>
      </c>
      <c r="BA58">
        <f>COUNTIF(AD58:AI58,"&lt;&gt;0")</f>
        <v>0</v>
      </c>
      <c r="BB58">
        <f>COUNTIF(AJ58:AL58,"&lt;&gt;0")</f>
        <v>0</v>
      </c>
      <c r="BC58">
        <f>COUNTIF(AS58:AW58,"&lt;&gt;0")</f>
        <v>0</v>
      </c>
      <c r="BD58">
        <f>COUNTIF(AM58:AR58,"&lt;&gt;0")</f>
        <v>0</v>
      </c>
      <c r="BE58" t="str" cm="1">
        <f t="array" ref="BE58">IF(AY58=1,INDEX($V$7:$AL$7,MATCH(TRUE,INDEX($V58:$AW58&lt;&gt;0,),0)),IF(AY58=0,INDEX($AM$7:$AW$7,MATCH(1,$AM58:$AW58,0)),IF(BF58="Multiple strategies","mixed drivers",IF(BF58="Supply chain","multiple supply","multiple silviculture"))))</f>
        <v xml:space="preserve">cutting intensity </v>
      </c>
      <c r="BF58" s="2" t="str" cm="1">
        <f t="array" ref="BF58">IF(COUNTIF(AZ58:BB58,"&lt;&gt;0")=1,INDEX($V$4:$AW$4,MATCH(TRUE,INDEX($V58:$AW58&lt;&gt;0,),0)),IF(COUNTIF(AZ58:BB58,"&lt;&gt;0")=0,INDEX($AM$4:$AW$4,MATCH(1,$AM58:$AW58,0)),"Multiple strategies"))</f>
        <v>Silviculture for removals</v>
      </c>
      <c r="BG58" s="1" t="s">
        <v>321</v>
      </c>
      <c r="BH58" t="s">
        <v>1056</v>
      </c>
      <c r="BI58" s="264" t="s">
        <v>1057</v>
      </c>
      <c r="BJ58" s="264" t="s">
        <v>1058</v>
      </c>
      <c r="BK58">
        <v>3.3</v>
      </c>
      <c r="BL58">
        <v>3.5</v>
      </c>
      <c r="BM58">
        <f>IFERROR(BL58/BK58,"")</f>
        <v>1.0606060606060606</v>
      </c>
      <c r="BN58">
        <f>BL58-BK58</f>
        <v>0.20000000000000018</v>
      </c>
      <c r="BO58">
        <f>BN58*t_to_m3</f>
        <v>0.40816326530612285</v>
      </c>
      <c r="BP58" t="s">
        <v>395</v>
      </c>
      <c r="BQ58" t="s">
        <v>972</v>
      </c>
      <c r="BR58" t="s">
        <v>1059</v>
      </c>
      <c r="BS58" s="172">
        <v>-171</v>
      </c>
      <c r="BT58" s="172">
        <v>-19.5</v>
      </c>
      <c r="BU58" s="144"/>
      <c r="BV58">
        <f>BT58-BS58</f>
        <v>151.5</v>
      </c>
      <c r="BW58"/>
      <c r="BX58">
        <f>BV58*10^-6*10^4</f>
        <v>1.5149999999999999</v>
      </c>
      <c r="BY58">
        <f>IFERROR(BX58/BO58,"")</f>
        <v>3.7117499999999963</v>
      </c>
      <c r="BZ58">
        <v>0</v>
      </c>
      <c r="CA58">
        <v>0</v>
      </c>
      <c r="CB58">
        <v>0</v>
      </c>
      <c r="CC58">
        <v>0</v>
      </c>
      <c r="CD58">
        <v>0</v>
      </c>
      <c r="CE58">
        <v>0</v>
      </c>
      <c r="CF58">
        <v>0</v>
      </c>
      <c r="CG58">
        <v>0</v>
      </c>
      <c r="CH58">
        <v>0</v>
      </c>
      <c r="CI58">
        <v>0</v>
      </c>
      <c r="CJ58">
        <v>0</v>
      </c>
      <c r="CK58">
        <v>0</v>
      </c>
      <c r="CL58">
        <v>0</v>
      </c>
      <c r="CM58">
        <v>0</v>
      </c>
      <c r="CN58" t="str">
        <f>IF($BL58&lt;$BK58,"refNeedCorrection","refOK")</f>
        <v>refOK</v>
      </c>
      <c r="CO58">
        <f>IF($CN58="refOK",$BK58,$BL58)</f>
        <v>3.3</v>
      </c>
      <c r="CP58">
        <f>IF($CN58="refOK",$BL58,$BK58)</f>
        <v>3.5</v>
      </c>
      <c r="CQ58">
        <f>IF($CN58="refOK",$BO58,-$BO58)</f>
        <v>0.40816326530612285</v>
      </c>
      <c r="CR58">
        <f>IF($CN58="refOK",$BS58,$BT58)*IF($BP58="Emissions positive",-1,1)</f>
        <v>171</v>
      </c>
      <c r="CS58">
        <f>IF($CN58="refOK",$BT58,$BS58)*IF($BP58="Emissions positive",-1,1)</f>
        <v>19.5</v>
      </c>
      <c r="CT58">
        <f>IF($CN58="refNeedCorrection",-BX58,BX58)*IF($BP58="Emissions positive",-1,1)</f>
        <v>-1.5149999999999999</v>
      </c>
      <c r="CU58">
        <f>IFERROR(CT58/CQ58,"")</f>
        <v>-3.7117499999999963</v>
      </c>
      <c r="CV58" s="2">
        <f>IFERROR((CS58-CR58)/ABS(CR58),"")</f>
        <v>-0.88596491228070173</v>
      </c>
      <c r="CW58" s="1" t="s">
        <v>263</v>
      </c>
      <c r="CX58" s="264" t="str">
        <f>IF(OR($CW58="prd",$CW58="std",$CW58="cit"),"loc",IF(OR($CW58="eur",$CW58="reg",$CW58="coy"),"reg",$CW58))</f>
        <v>loc</v>
      </c>
      <c r="CY58" t="s">
        <v>235</v>
      </c>
      <c r="CZ58"/>
      <c r="DA58"/>
      <c r="DB58">
        <v>50</v>
      </c>
      <c r="DC58" t="str">
        <f>IF(DB58=0,"0",IF(AND(DB58&gt;=1,DB58&lt;=30),"1-30",IF(AND(DB58&gt;30,DB58&lt;=70),"31-70",IF(AND(DB58&gt;70,DB58&lt;=100),"71-100",IF(DB58&gt;100,"+100")))))</f>
        <v>31-70</v>
      </c>
      <c r="DD58">
        <v>0</v>
      </c>
      <c r="DE58">
        <v>1</v>
      </c>
      <c r="DF58">
        <v>0</v>
      </c>
      <c r="DG58">
        <v>1</v>
      </c>
      <c r="DH58"/>
      <c r="DI58">
        <f>SUM(DD58:DG58)</f>
        <v>2</v>
      </c>
      <c r="DJ58" t="str">
        <f>IF(DI58=1,INDEX($DD$7:$DG$7,MATCH(1,$DD58:$DG58,0)),"mixedProduct")</f>
        <v>mixedProduct</v>
      </c>
      <c r="DK58">
        <f>IF(DD58=1,DK$7,0)</f>
        <v>0</v>
      </c>
      <c r="DL58" t="str">
        <f>IF(DE58=1,DL$7,0)</f>
        <v>Energy</v>
      </c>
      <c r="DM58">
        <f>IF(DF58=1,DM$7,0)</f>
        <v>0</v>
      </c>
      <c r="DN58" t="str">
        <f>IF(DG58=1,DN$7,0)</f>
        <v>Timber</v>
      </c>
      <c r="DO58">
        <v>0</v>
      </c>
      <c r="DP58">
        <v>1</v>
      </c>
      <c r="DQ58" t="s">
        <v>1060</v>
      </c>
      <c r="DR58"/>
      <c r="DS58"/>
      <c r="DT58">
        <f>SUM(DO58:DP58)</f>
        <v>1</v>
      </c>
      <c r="DU58" s="143" t="str">
        <f>IF(DO58=1,"self-calculated DF",IF(DP58=1,"external DF used","explicit C balance"))</f>
        <v>external DF used</v>
      </c>
      <c r="DV58">
        <v>1</v>
      </c>
      <c r="DW58">
        <v>1</v>
      </c>
      <c r="DX58">
        <v>1</v>
      </c>
      <c r="DY58">
        <v>0</v>
      </c>
      <c r="DZ58">
        <v>0</v>
      </c>
      <c r="EA58" s="143">
        <v>0</v>
      </c>
      <c r="EB58">
        <v>1</v>
      </c>
      <c r="EC58">
        <v>1</v>
      </c>
      <c r="ED58">
        <v>0</v>
      </c>
      <c r="EE58">
        <v>0</v>
      </c>
      <c r="EF58">
        <v>1</v>
      </c>
      <c r="EG58">
        <v>0</v>
      </c>
      <c r="EH58">
        <v>0</v>
      </c>
      <c r="EI58" s="2">
        <v>0</v>
      </c>
      <c r="EJ58" s="1"/>
      <c r="EK58" t="str">
        <f>IF(AND(AND(AND(OR($DX58=1,$DW58=1),OR($EC58=1,$EA58=1)),SUM($DV58:$DZ58,$EF58)&gt;=4),SUM($EA58:$EE58)&gt;=2),"Whole sector","")</f>
        <v>Whole sector</v>
      </c>
      <c r="EL58" t="str">
        <f>IF(AND(AND(OR($DX58=1,$DW58=1),AND($EC58=0,$EA58=0)),SUM($DV58:$DZ58,$EF58)&gt;=4),"Ecosystem approach","")</f>
        <v/>
      </c>
      <c r="EM58" s="2" t="str">
        <f>IF(AND(AND(AND($DX58=0,$DW58=0),OR($EC58=1,$EA58=1)),SUM($EB58:$EE58)&gt;=2),"Technology approach","")</f>
        <v/>
      </c>
      <c r="EN58" s="264" t="s">
        <v>1063</v>
      </c>
      <c r="EO58"/>
      <c r="EP58" t="str">
        <f>IF(ISNUMBER(BU58),IF(ABS(BU58-[3]QC_indicators!$B$2)&gt;3*[3]QC_indicators!$C$2,"C ratio",IF(ISNUMBER(BY58),IF(ABS(BY58-[3]QC_indicators!$B$1)&gt;3*[3]QC_indicators!$C$1,"DF","no"))),IF(ISNUMBER(BY58),IF(ABS(BY58-[3]QC_indicators!$B$1)&gt;3*[3]QC_indicators!$C$1,"DF","no")))</f>
        <v>no</v>
      </c>
      <c r="EQ58"/>
      <c r="ER58" s="264" t="s">
        <v>1061</v>
      </c>
      <c r="ES58"/>
      <c r="ET58" s="264" t="s">
        <v>3407</v>
      </c>
      <c r="EU58"/>
    </row>
    <row r="59" spans="1:151" s="139" customFormat="1" ht="15" customHeight="1">
      <c r="A59" s="1" t="s">
        <v>1423</v>
      </c>
      <c r="B59" t="s">
        <v>2490</v>
      </c>
      <c r="C59" t="s">
        <v>2491</v>
      </c>
      <c r="D59" t="s">
        <v>2492</v>
      </c>
      <c r="E59" t="s">
        <v>2493</v>
      </c>
      <c r="F59" t="s">
        <v>2494</v>
      </c>
      <c r="G59" t="s">
        <v>1429</v>
      </c>
      <c r="H59" t="s">
        <v>254</v>
      </c>
      <c r="I59">
        <v>2016</v>
      </c>
      <c r="J59">
        <v>24</v>
      </c>
      <c r="K59" t="s">
        <v>2495</v>
      </c>
      <c r="L59"/>
      <c r="M59" t="str">
        <f>LEFT($D59,FIND(",",$D59)-1)&amp;"_"&amp;I59&amp;L59</f>
        <v>Zubizarreta-Gerendiain_2016</v>
      </c>
      <c r="N59" t="s">
        <v>222</v>
      </c>
      <c r="O59" s="145" t="s">
        <v>1154</v>
      </c>
      <c r="P59"/>
      <c r="Q59" t="s">
        <v>256</v>
      </c>
      <c r="R59" s="262" t="s">
        <v>223</v>
      </c>
      <c r="S59" s="1" t="s">
        <v>2496</v>
      </c>
      <c r="T59" t="s">
        <v>2502</v>
      </c>
      <c r="U59" t="s">
        <v>2498</v>
      </c>
      <c r="V59">
        <v>0</v>
      </c>
      <c r="W59">
        <v>0</v>
      </c>
      <c r="X59">
        <v>0</v>
      </c>
      <c r="Y59">
        <v>2</v>
      </c>
      <c r="Z59">
        <v>0</v>
      </c>
      <c r="AA59">
        <v>0</v>
      </c>
      <c r="AB59">
        <v>0</v>
      </c>
      <c r="AC59">
        <v>0</v>
      </c>
      <c r="AD59">
        <v>0</v>
      </c>
      <c r="AE59">
        <v>0</v>
      </c>
      <c r="AF59">
        <v>1</v>
      </c>
      <c r="AG59">
        <v>0</v>
      </c>
      <c r="AH59">
        <v>0</v>
      </c>
      <c r="AI59">
        <v>0</v>
      </c>
      <c r="AJ59">
        <v>0</v>
      </c>
      <c r="AK59">
        <v>0</v>
      </c>
      <c r="AL59">
        <v>0</v>
      </c>
      <c r="AM59">
        <v>0</v>
      </c>
      <c r="AN59">
        <v>0</v>
      </c>
      <c r="AO59">
        <v>0</v>
      </c>
      <c r="AP59">
        <v>0</v>
      </c>
      <c r="AQ59">
        <v>0</v>
      </c>
      <c r="AR59">
        <v>0</v>
      </c>
      <c r="AS59">
        <v>0</v>
      </c>
      <c r="AT59">
        <v>0</v>
      </c>
      <c r="AU59">
        <v>0</v>
      </c>
      <c r="AV59">
        <v>0</v>
      </c>
      <c r="AW59">
        <v>0</v>
      </c>
      <c r="AX59" s="141">
        <f>COUNTIF(V59:AW59,"&lt;&gt;0")</f>
        <v>2</v>
      </c>
      <c r="AY59" s="141">
        <f>COUNTIF(V59:AL59,"&lt;&gt;0")</f>
        <v>2</v>
      </c>
      <c r="AZ59">
        <f>COUNTIF(V59:AC59,"&lt;&gt;0")</f>
        <v>1</v>
      </c>
      <c r="BA59">
        <f>COUNTIF(AD59:AI59,"&lt;&gt;0")</f>
        <v>1</v>
      </c>
      <c r="BB59">
        <f>COUNTIF(AJ59:AL59,"&lt;&gt;0")</f>
        <v>0</v>
      </c>
      <c r="BC59">
        <f>COUNTIF(AS59:AW59,"&lt;&gt;0")</f>
        <v>0</v>
      </c>
      <c r="BD59">
        <f>COUNTIF(AM59:AR59,"&lt;&gt;0")</f>
        <v>0</v>
      </c>
      <c r="BE59" t="str">
        <f t="array" ref="BE59">IF(AY59=1,INDEX($V$7:$AL$7,MATCH(TRUE,INDEX($V59:$AW59&lt;&gt;0,),0)),IF(AY59=0,INDEX($AM$7:$AW$7,MATCH(1,$AM59:$AW59,0)),IF(BF59="Multiple strategies","mixed drivers",IF(BF59="Supply chain","multiple supply","multiple silviculture"))))</f>
        <v>mixed drivers</v>
      </c>
      <c r="BF59" s="2" t="str" cm="1">
        <f t="array" ref="BF59">IF(COUNTIF(AZ59:BB59,"&lt;&gt;0")=1,INDEX($V$4:$AW$4,MATCH(TRUE,INDEX($V59:$AW59&lt;&gt;0,),0)),IF(COUNTIF(AZ59:BB59,"&lt;&gt;0")=0,INDEX($AM$4:$AW$4,MATCH(1,$AM59:$AW59,0)),"Multiple strategies"))</f>
        <v>Multiple strategies</v>
      </c>
      <c r="BG59" s="1" t="s">
        <v>321</v>
      </c>
      <c r="BH59" t="s">
        <v>2499</v>
      </c>
      <c r="BI59" s="264" t="s">
        <v>2113</v>
      </c>
      <c r="BJ59" t="s">
        <v>2500</v>
      </c>
      <c r="BK59">
        <v>70.532915360501505</v>
      </c>
      <c r="BL59">
        <v>82.946708463949804</v>
      </c>
      <c r="BM59" s="143">
        <f>BL59/BK59</f>
        <v>1.1760000000000004</v>
      </c>
      <c r="BN59">
        <f>BL59-BK59</f>
        <v>12.413793103448299</v>
      </c>
      <c r="BO59">
        <f>BN59*1000*t_to_m3</f>
        <v>25334.271639690407</v>
      </c>
      <c r="BP59" s="143" t="s">
        <v>232</v>
      </c>
      <c r="BQ59" s="143" t="s">
        <v>3256</v>
      </c>
      <c r="BR59" t="s">
        <v>1195</v>
      </c>
      <c r="BS59">
        <v>65681.846480446824</v>
      </c>
      <c r="BT59">
        <v>-27756.76357541895</v>
      </c>
      <c r="BU59" s="144">
        <f>IFERROR(BT59/BS59,"")</f>
        <v>-0.42259414225941422</v>
      </c>
      <c r="BV59" s="144">
        <f>BT59-BS59</f>
        <v>-93438.610055865778</v>
      </c>
      <c r="BW59" s="144"/>
      <c r="BX59" s="144">
        <f>BV59</f>
        <v>-93438.610055865778</v>
      </c>
      <c r="BY59">
        <f>IFERROR(BX59/BO59,"")</f>
        <v>-3.6882295802606948</v>
      </c>
      <c r="BZ59">
        <v>0</v>
      </c>
      <c r="CA59">
        <v>0</v>
      </c>
      <c r="CB59">
        <v>0</v>
      </c>
      <c r="CC59">
        <v>0</v>
      </c>
      <c r="CD59">
        <v>0</v>
      </c>
      <c r="CE59">
        <v>0</v>
      </c>
      <c r="CF59">
        <v>0</v>
      </c>
      <c r="CG59">
        <v>0</v>
      </c>
      <c r="CH59">
        <v>0</v>
      </c>
      <c r="CI59">
        <v>0</v>
      </c>
      <c r="CJ59">
        <v>0</v>
      </c>
      <c r="CK59">
        <v>0</v>
      </c>
      <c r="CL59">
        <v>0</v>
      </c>
      <c r="CM59">
        <v>1</v>
      </c>
      <c r="CN59" t="str">
        <f>IF($BL59&lt;$BK59,"refNeedCorrection","refOK")</f>
        <v>refOK</v>
      </c>
      <c r="CO59">
        <f>IF($CN59="refOK",$BK59,$BL59)</f>
        <v>70.532915360501505</v>
      </c>
      <c r="CP59">
        <f>IF($CN59="refOK",$BL59,$BK59)</f>
        <v>82.946708463949804</v>
      </c>
      <c r="CQ59">
        <f>IF($CN59="refOK",$BO59,-$BO59)</f>
        <v>25334.271639690407</v>
      </c>
      <c r="CR59">
        <f>IF($CN59="refOK",$BS59,$BT59)*IF($BP59="Emissions positive",-1,1)</f>
        <v>65681.846480446824</v>
      </c>
      <c r="CS59">
        <f>IF($CN59="refOK",$BT59,$BS59)*IF($BP59="Emissions positive",-1,1)</f>
        <v>-27756.76357541895</v>
      </c>
      <c r="CT59">
        <f>IF($CN59="refNeedCorrection",-BX59,BX59)*IF($BP59="Emissions positive",-1,1)</f>
        <v>-93438.610055865778</v>
      </c>
      <c r="CU59">
        <f>IFERROR(CT59/CQ59,"")</f>
        <v>-3.6882295802606948</v>
      </c>
      <c r="CV59" s="2">
        <f>IFERROR((CS59-CR59)/ABS(CR59),"")</f>
        <v>-1.4225941422594144</v>
      </c>
      <c r="CW59" s="1" t="s">
        <v>1199</v>
      </c>
      <c r="CX59" t="str">
        <f>IF(OR($CW59="prd",$CW59="std",$CW59="cit"),"loc",IF(OR($CW59="eur",$CW59="reg",$CW59="coy"),"reg",$CW59))</f>
        <v>reg</v>
      </c>
      <c r="CY59" t="s">
        <v>235</v>
      </c>
      <c r="CZ59">
        <v>2010</v>
      </c>
      <c r="DA59">
        <v>2070</v>
      </c>
      <c r="DB59">
        <f>DA59-CZ59</f>
        <v>60</v>
      </c>
      <c r="DC59" t="str">
        <f>IF(DB59=0,"0",IF(AND(DB59&gt;=1,DB59&lt;=30),"1-30",IF(AND(DB59&gt;30,DB59&lt;=70),"31-70",IF(AND(DB59&gt;70,DB59&lt;=100),"71-100",IF(DB59&gt;100,"+100")))))</f>
        <v>31-70</v>
      </c>
      <c r="DD59">
        <v>1</v>
      </c>
      <c r="DE59">
        <v>1</v>
      </c>
      <c r="DF59">
        <v>1</v>
      </c>
      <c r="DG59">
        <v>1</v>
      </c>
      <c r="DH59">
        <v>0</v>
      </c>
      <c r="DI59">
        <f>SUM(DD59:DG59)</f>
        <v>4</v>
      </c>
      <c r="DJ59" t="str">
        <f>IF(DI59=1,INDEX($DD$7:$DG$7,MATCH(1,$DD59:$DG59,0)),"mixedProduct")</f>
        <v>mixedProduct</v>
      </c>
      <c r="DK59" t="str">
        <f>IF(DD59=1,DK$7,0)</f>
        <v>Upstream</v>
      </c>
      <c r="DL59" t="str">
        <f>IF(DE59=1,DL$7,0)</f>
        <v>Energy</v>
      </c>
      <c r="DM59" t="str">
        <f>IF(DF59=1,DM$7,0)</f>
        <v>Pulp/Paper</v>
      </c>
      <c r="DN59" t="str">
        <f>IF(DG59=1,DN$7,0)</f>
        <v>Timber</v>
      </c>
      <c r="DO59">
        <v>0</v>
      </c>
      <c r="DP59">
        <v>1</v>
      </c>
      <c r="DQ59" t="s">
        <v>2524</v>
      </c>
      <c r="DR59" t="s">
        <v>2525</v>
      </c>
      <c r="DS59">
        <v>0</v>
      </c>
      <c r="DT59">
        <f>SUM(DO59:DP59)</f>
        <v>1</v>
      </c>
      <c r="DU59" s="143" t="str">
        <f>IF(DO59=1,"self-calculated DF",IF(DP59=1,"external DF used","explicit C balance"))</f>
        <v>external DF used</v>
      </c>
      <c r="DV59">
        <v>1</v>
      </c>
      <c r="DW59">
        <v>1</v>
      </c>
      <c r="DX59">
        <v>1</v>
      </c>
      <c r="DY59">
        <v>1</v>
      </c>
      <c r="DZ59">
        <v>0</v>
      </c>
      <c r="EA59" s="143">
        <v>1</v>
      </c>
      <c r="EB59">
        <v>1</v>
      </c>
      <c r="EC59">
        <v>1</v>
      </c>
      <c r="ED59">
        <v>0</v>
      </c>
      <c r="EE59">
        <v>0</v>
      </c>
      <c r="EF59">
        <v>1</v>
      </c>
      <c r="EG59">
        <v>0</v>
      </c>
      <c r="EH59">
        <v>0</v>
      </c>
      <c r="EI59" s="2">
        <v>0</v>
      </c>
      <c r="EJ59" s="1"/>
      <c r="EK59" t="str">
        <f>IF(AND(AND(AND(OR($DX59=1,$DW59=1),OR($EC59=1,$EA59=1)),SUM($DV59:$DZ59,$EF59)&gt;=4),SUM($EA59:$EE59)&gt;=2),"Whole sector","")</f>
        <v>Whole sector</v>
      </c>
      <c r="EL59" t="str">
        <f>IF(AND(AND(OR($DX59=1,$DW59=1),AND($EC59=0,$EA59=0)),SUM($DV59:$DZ59,$EF59)&gt;=4),"Ecosystem approach","")</f>
        <v/>
      </c>
      <c r="EM59" s="2" t="str">
        <f>IF(AND(AND(AND($DX59=0,$DW59=0),OR($EC59=1,$EA59=1)),SUM($EB59:$EE59)&gt;=2),"Technology approach","")</f>
        <v/>
      </c>
      <c r="EN59"/>
      <c r="EO59"/>
      <c r="EP59" t="str">
        <f>IF(ISNUMBER(BU59),IF(ABS(BU59-[1]QC_indicators!$B$2)&gt;3*[1]QC_indicators!$C$2,"C ratio",IF(ISNUMBER(BY59),IF(ABS(BY59-[1]QC_indicators!$B$1)&gt;3*[1]QC_indicators!$C$1,"DF","no"))),IF(ISNUMBER(BY59),IF(ABS(BY59-[1]QC_indicators!$B$1)&gt;3*[1]QC_indicators!$C$1,"DF","no")))</f>
        <v>no</v>
      </c>
      <c r="EQ59"/>
      <c r="ER59"/>
      <c r="ES59"/>
      <c r="ET59" s="264" t="s">
        <v>3260</v>
      </c>
      <c r="EU59"/>
    </row>
    <row r="60" spans="1:151" s="139" customFormat="1" ht="15" customHeight="1">
      <c r="A60" s="1" t="s">
        <v>2348</v>
      </c>
      <c r="B60" t="s">
        <v>2349</v>
      </c>
      <c r="C60" t="s">
        <v>544</v>
      </c>
      <c r="D60" t="s">
        <v>2350</v>
      </c>
      <c r="E60" t="s">
        <v>2351</v>
      </c>
      <c r="F60" t="s">
        <v>2352</v>
      </c>
      <c r="G60" t="s">
        <v>2353</v>
      </c>
      <c r="H60" t="s">
        <v>254</v>
      </c>
      <c r="I60">
        <v>2021</v>
      </c>
      <c r="J60">
        <v>1</v>
      </c>
      <c r="K60" t="s">
        <v>2354</v>
      </c>
      <c r="L60"/>
      <c r="M60" t="str">
        <f>LEFT($D60,FIND(",",$D60)-1)&amp;"_"&amp;I60&amp;L60</f>
        <v>Soimakallio_2021</v>
      </c>
      <c r="N60" t="s">
        <v>222</v>
      </c>
      <c r="O60" s="145" t="s">
        <v>341</v>
      </c>
      <c r="P60"/>
      <c r="Q60" t="s">
        <v>256</v>
      </c>
      <c r="R60" s="283" t="s">
        <v>225</v>
      </c>
      <c r="S60" s="1" t="s">
        <v>2355</v>
      </c>
      <c r="T60" t="s">
        <v>1111</v>
      </c>
      <c r="U60" s="151" t="s">
        <v>3085</v>
      </c>
      <c r="V60" s="151">
        <v>0</v>
      </c>
      <c r="W60">
        <v>0</v>
      </c>
      <c r="X60">
        <v>0</v>
      </c>
      <c r="Y60" s="151">
        <v>2</v>
      </c>
      <c r="Z60">
        <v>0</v>
      </c>
      <c r="AA60">
        <v>0</v>
      </c>
      <c r="AB60">
        <v>0</v>
      </c>
      <c r="AC60">
        <v>0</v>
      </c>
      <c r="AD60">
        <v>0</v>
      </c>
      <c r="AE60">
        <v>0</v>
      </c>
      <c r="AF60" s="151">
        <v>1</v>
      </c>
      <c r="AG60">
        <v>0</v>
      </c>
      <c r="AH60">
        <v>0</v>
      </c>
      <c r="AI60">
        <v>0</v>
      </c>
      <c r="AJ60">
        <v>0</v>
      </c>
      <c r="AK60">
        <v>0</v>
      </c>
      <c r="AL60">
        <v>0</v>
      </c>
      <c r="AM60">
        <v>0</v>
      </c>
      <c r="AN60">
        <v>0</v>
      </c>
      <c r="AO60">
        <v>0</v>
      </c>
      <c r="AP60">
        <v>0</v>
      </c>
      <c r="AQ60">
        <v>0</v>
      </c>
      <c r="AR60">
        <v>0</v>
      </c>
      <c r="AS60">
        <v>0</v>
      </c>
      <c r="AT60">
        <v>0</v>
      </c>
      <c r="AU60">
        <v>0</v>
      </c>
      <c r="AV60">
        <v>0</v>
      </c>
      <c r="AW60">
        <v>0</v>
      </c>
      <c r="AX60" s="141">
        <f>COUNTIF(V60:AW60,"&lt;&gt;0")</f>
        <v>2</v>
      </c>
      <c r="AY60" s="141">
        <f>COUNTIF(V60:AL60,"&lt;&gt;0")</f>
        <v>2</v>
      </c>
      <c r="AZ60">
        <f>COUNTIF(V60:AC60,"&lt;&gt;0")</f>
        <v>1</v>
      </c>
      <c r="BA60">
        <f>COUNTIF(AD60:AI60,"&lt;&gt;0")</f>
        <v>1</v>
      </c>
      <c r="BB60">
        <f>COUNTIF(AJ60:AL60,"&lt;&gt;0")</f>
        <v>0</v>
      </c>
      <c r="BC60">
        <f>COUNTIF(AS60:AW60,"&lt;&gt;0")</f>
        <v>0</v>
      </c>
      <c r="BD60">
        <f>COUNTIF(AM60:AR60,"&lt;&gt;0")</f>
        <v>0</v>
      </c>
      <c r="BE60" t="str">
        <f t="array" ref="BE60">IF(AY60=1,INDEX($V$7:$AL$7,MATCH(TRUE,INDEX($V60:$AW60&lt;&gt;0,),0)),IF(AY60=0,INDEX($AM$7:$AW$7,MATCH(1,$AM60:$AW60,0)),IF(BF60="Multiple strategies","mixed drivers",IF(BF60="Supply chain","multiple supply","multiple silviculture"))))</f>
        <v>mixed drivers</v>
      </c>
      <c r="BF60" s="2" t="str" cm="1">
        <f t="array" ref="BF60">IF(COUNTIF(AZ60:BB60,"&lt;&gt;0")=1,INDEX($V$4:$AW$4,MATCH(TRUE,INDEX($V60:$AW60&lt;&gt;0,),0)),IF(COUNTIF(AZ60:BB60,"&lt;&gt;0")=0,INDEX($AM$4:$AW$4,MATCH(1,$AM60:$AW60,0)),"Multiple strategies"))</f>
        <v>Multiple strategies</v>
      </c>
      <c r="BG60" s="1" t="s">
        <v>229</v>
      </c>
      <c r="BH60" t="s">
        <v>2356</v>
      </c>
      <c r="BI60" s="151" t="s">
        <v>811</v>
      </c>
      <c r="BJ60" s="151" t="s">
        <v>1359</v>
      </c>
      <c r="BK60"/>
      <c r="BL60"/>
      <c r="BM60"/>
      <c r="BN60">
        <v>0.9</v>
      </c>
      <c r="BO60">
        <f>BN60*10^6*tC_to_m3</f>
        <v>3907946.1571862791</v>
      </c>
      <c r="BP60" t="s">
        <v>232</v>
      </c>
      <c r="BQ60" s="151" t="s">
        <v>811</v>
      </c>
      <c r="BR60" s="151" t="s">
        <v>1300</v>
      </c>
      <c r="BS60"/>
      <c r="BT60"/>
      <c r="BU60" s="144"/>
      <c r="BV60">
        <v>-3.9</v>
      </c>
      <c r="BW60"/>
      <c r="BX60">
        <f>BV60*10^6*C_to_CO2</f>
        <v>-14313000</v>
      </c>
      <c r="BY60">
        <f>IFERROR(BX60/BO60,"")</f>
        <v>-3.6625376666666662</v>
      </c>
      <c r="BZ60">
        <v>0</v>
      </c>
      <c r="CA60">
        <v>1</v>
      </c>
      <c r="CB60" s="151">
        <v>0</v>
      </c>
      <c r="CC60" s="151">
        <v>1</v>
      </c>
      <c r="CD60">
        <v>0</v>
      </c>
      <c r="CE60">
        <v>0</v>
      </c>
      <c r="CF60">
        <v>0</v>
      </c>
      <c r="CG60">
        <v>0</v>
      </c>
      <c r="CH60">
        <v>0</v>
      </c>
      <c r="CI60">
        <v>0</v>
      </c>
      <c r="CJ60">
        <v>0</v>
      </c>
      <c r="CK60">
        <v>0</v>
      </c>
      <c r="CL60">
        <v>0</v>
      </c>
      <c r="CM60">
        <v>0</v>
      </c>
      <c r="CN60" t="str">
        <f>IF(BL60&lt;BK60,"refNeedCorrection","refOK")</f>
        <v>refOK</v>
      </c>
      <c r="CO60"/>
      <c r="CP60"/>
      <c r="CQ60">
        <f>IF($CN60="refNeedCorrection",-BO60,BO60)</f>
        <v>3907946.1571862791</v>
      </c>
      <c r="CR60">
        <f>IF($CN60="refOK",$BS60,$BT60)*IF($BP60="Emissions positive",-1,1)</f>
        <v>0</v>
      </c>
      <c r="CS60">
        <f>IF($CN60="refOK",$BT60,$BS60)*IF($BP60="Emissions positive",-1,1)</f>
        <v>0</v>
      </c>
      <c r="CT60">
        <f>IF($CN60="refNeedCorrection",-BX60,BX60)*IF($BP60="Emissions positive",-1,1)</f>
        <v>-14313000</v>
      </c>
      <c r="CU60">
        <f>IFERROR(CT60/CQ60,"")</f>
        <v>-3.6625376666666662</v>
      </c>
      <c r="CV60" s="2" t="str">
        <f>IFERROR((CS60-CR60)/ABS(CR60),"")</f>
        <v/>
      </c>
      <c r="CW60" s="1" t="s">
        <v>1203</v>
      </c>
      <c r="CX60" t="str">
        <f>IF(OR($CW60="prd",$CW60="std",$CW60="cit"),"loc",IF(OR($CW60="eur",$CW60="reg",$CW60="coy"),"reg",$CW60))</f>
        <v>reg</v>
      </c>
      <c r="CY60" t="s">
        <v>235</v>
      </c>
      <c r="CZ60">
        <v>2015</v>
      </c>
      <c r="DA60">
        <v>2044</v>
      </c>
      <c r="DB60">
        <f>DA60-CZ60</f>
        <v>29</v>
      </c>
      <c r="DC60" t="str">
        <f>IF(DB60=0,"0",IF(AND(DB60&gt;=1,DB60&lt;=30),"1-30",IF(AND(DB60&gt;30,DB60&lt;=70),"31-70",IF(AND(DB60&gt;70,DB60&lt;=100),"71-100",IF(DB60&gt;100,"+100")))))</f>
        <v>1-30</v>
      </c>
      <c r="DD60">
        <v>0</v>
      </c>
      <c r="DE60">
        <v>1</v>
      </c>
      <c r="DF60">
        <v>1</v>
      </c>
      <c r="DG60">
        <v>1</v>
      </c>
      <c r="DH60"/>
      <c r="DI60">
        <f>SUM(DD60:DG60)</f>
        <v>3</v>
      </c>
      <c r="DJ60" t="str">
        <f>IF(DI60=1,INDEX($DD$7:$DG$7,MATCH(1,$DD60:$DG60,0)),"mixedProduct")</f>
        <v>mixedProduct</v>
      </c>
      <c r="DK60">
        <f>IF(DD60=1,DK$7,0)</f>
        <v>0</v>
      </c>
      <c r="DL60" t="str">
        <f>IF(DE60=1,DL$7,0)</f>
        <v>Energy</v>
      </c>
      <c r="DM60" t="str">
        <f>IF(DF60=1,DM$7,0)</f>
        <v>Pulp/Paper</v>
      </c>
      <c r="DN60" t="str">
        <f>IF(DG60=1,DN$7,0)</f>
        <v>Timber</v>
      </c>
      <c r="DO60">
        <v>1</v>
      </c>
      <c r="DP60">
        <v>1</v>
      </c>
      <c r="DQ60" t="s">
        <v>2357</v>
      </c>
      <c r="DR60">
        <v>0</v>
      </c>
      <c r="DS60" t="s">
        <v>2358</v>
      </c>
      <c r="DT60">
        <f>SUM(DO60:DP60)</f>
        <v>2</v>
      </c>
      <c r="DU60" s="143" t="str">
        <f>IF(DO60=1,"self-calculated DF",IF(DP60=1,"external DF used","explicit C balance"))</f>
        <v>self-calculated DF</v>
      </c>
      <c r="DV60">
        <v>1</v>
      </c>
      <c r="DW60">
        <v>1</v>
      </c>
      <c r="DX60">
        <v>1</v>
      </c>
      <c r="DY60">
        <v>1</v>
      </c>
      <c r="DZ60" s="151">
        <v>1</v>
      </c>
      <c r="EA60" s="292">
        <v>1</v>
      </c>
      <c r="EB60">
        <v>0</v>
      </c>
      <c r="EC60">
        <v>1</v>
      </c>
      <c r="ED60">
        <v>0</v>
      </c>
      <c r="EE60">
        <v>0</v>
      </c>
      <c r="EF60">
        <v>1</v>
      </c>
      <c r="EG60">
        <v>0</v>
      </c>
      <c r="EH60">
        <v>0</v>
      </c>
      <c r="EI60" s="2">
        <v>0</v>
      </c>
      <c r="EJ60" s="1"/>
      <c r="EK60" t="str">
        <f>IF(AND(AND(AND(OR($DX60=1,$DW60=1),OR($EC60=1,$EA60=1)),SUM($DV60:$DZ60,$EF60)&gt;=4),SUM($EA60:$EE60)&gt;=2),"Whole sector","")</f>
        <v>Whole sector</v>
      </c>
      <c r="EL60" t="str">
        <f>IF(AND(AND(OR($DX60=1,$DW60=1),AND($EC60=0,$EA60=0)),SUM($DV60:$DZ60,$EF60)&gt;=4),"Ecosystem approach","")</f>
        <v/>
      </c>
      <c r="EM60" s="2" t="str">
        <f>IF(AND(AND(AND($DX60=0,$DW60=0),OR($EC60=1,$EA60=1)),SUM($EB60:$EE60)&gt;=2),"Technology approach","")</f>
        <v/>
      </c>
      <c r="EN60"/>
      <c r="EO60"/>
      <c r="EP60" t="str">
        <f>IF(ISNUMBER(BU60),IF(ABS(BU60-[4]QC_indicators!$B$2)&gt;3*[4]QC_indicators!$C$2,"C ratio",IF(ISNUMBER(BY60),IF(ABS(BY60-[4]QC_indicators!$B$1)&gt;3*[4]QC_indicators!$C$1,"DF","no"))),IF(ISNUMBER(BY60),IF(ABS(BY60-[4]QC_indicators!$B$1)&gt;3*[4]QC_indicators!$C$1,"DF","no")))</f>
        <v>no</v>
      </c>
      <c r="EQ60"/>
      <c r="ER60" s="149" t="s">
        <v>349</v>
      </c>
      <c r="ES60"/>
      <c r="ET60" t="s">
        <v>3084</v>
      </c>
      <c r="EU60"/>
    </row>
    <row r="61" spans="1:151" s="139" customFormat="1" ht="15" customHeight="1">
      <c r="A61" s="1" t="s">
        <v>1378</v>
      </c>
      <c r="B61" t="s">
        <v>1379</v>
      </c>
      <c r="C61" t="s">
        <v>1380</v>
      </c>
      <c r="D61" t="s">
        <v>1381</v>
      </c>
      <c r="E61" t="s">
        <v>1382</v>
      </c>
      <c r="F61" t="s">
        <v>1383</v>
      </c>
      <c r="G61" t="s">
        <v>1384</v>
      </c>
      <c r="H61" t="s">
        <v>254</v>
      </c>
      <c r="I61">
        <v>2021</v>
      </c>
      <c r="J61">
        <v>0</v>
      </c>
      <c r="K61" t="s">
        <v>1385</v>
      </c>
      <c r="L61"/>
      <c r="M61" t="str">
        <f>LEFT($D61,FIND(",",$D61)-1)&amp;"_"&amp;I61&amp;L61</f>
        <v>Delacote_2021</v>
      </c>
      <c r="N61" t="s">
        <v>222</v>
      </c>
      <c r="O61" s="145" t="s">
        <v>223</v>
      </c>
      <c r="P61"/>
      <c r="Q61" s="264" t="s">
        <v>256</v>
      </c>
      <c r="R61" s="269" t="s">
        <v>1154</v>
      </c>
      <c r="S61" s="1" t="s">
        <v>1397</v>
      </c>
      <c r="T61" t="s">
        <v>1387</v>
      </c>
      <c r="U61" t="s">
        <v>1393</v>
      </c>
      <c r="V61">
        <v>0</v>
      </c>
      <c r="W61">
        <v>0</v>
      </c>
      <c r="X61">
        <v>0</v>
      </c>
      <c r="Y61">
        <v>0</v>
      </c>
      <c r="Z61">
        <v>0</v>
      </c>
      <c r="AA61">
        <v>0</v>
      </c>
      <c r="AB61">
        <v>0</v>
      </c>
      <c r="AC61">
        <v>0</v>
      </c>
      <c r="AD61">
        <v>0</v>
      </c>
      <c r="AE61">
        <v>0</v>
      </c>
      <c r="AF61">
        <v>0</v>
      </c>
      <c r="AG61">
        <v>0</v>
      </c>
      <c r="AH61">
        <v>0</v>
      </c>
      <c r="AI61">
        <v>0</v>
      </c>
      <c r="AJ61">
        <v>0</v>
      </c>
      <c r="AK61">
        <v>0</v>
      </c>
      <c r="AL61">
        <v>0</v>
      </c>
      <c r="AM61">
        <v>0</v>
      </c>
      <c r="AN61">
        <v>1</v>
      </c>
      <c r="AO61">
        <v>2</v>
      </c>
      <c r="AP61">
        <v>0</v>
      </c>
      <c r="AQ61">
        <v>0</v>
      </c>
      <c r="AR61">
        <v>0</v>
      </c>
      <c r="AS61">
        <v>0</v>
      </c>
      <c r="AT61">
        <v>0</v>
      </c>
      <c r="AU61">
        <v>0</v>
      </c>
      <c r="AV61">
        <v>0</v>
      </c>
      <c r="AW61">
        <v>0</v>
      </c>
      <c r="AX61" s="141">
        <f>COUNTIF(V61:AW61,"&lt;&gt;0")</f>
        <v>2</v>
      </c>
      <c r="AY61" s="141">
        <f>COUNTIF(V61:AL61,"&lt;&gt;0")</f>
        <v>0</v>
      </c>
      <c r="AZ61">
        <f>COUNTIF(V61:AC61,"&lt;&gt;0")</f>
        <v>0</v>
      </c>
      <c r="BA61">
        <f>COUNTIF(AD61:AI61,"&lt;&gt;0")</f>
        <v>0</v>
      </c>
      <c r="BB61">
        <f>COUNTIF(AJ61:AL61,"&lt;&gt;0")</f>
        <v>0</v>
      </c>
      <c r="BC61">
        <f>COUNTIF(AS61:AW61,"&lt;&gt;0")</f>
        <v>0</v>
      </c>
      <c r="BD61">
        <f>COUNTIF(AM61:AR61,"&lt;&gt;0")</f>
        <v>2</v>
      </c>
      <c r="BE61" t="str" cm="1">
        <f t="array" ref="BE61">IF(AY61=1,INDEX($V$7:$AL$7,MATCH(TRUE,INDEX($V61:$AW61&lt;&gt;0,),0)),IF(AY61=0,INDEX($AM$7:$AW$7,MATCH(1,$AM61:$AW61,0)),IF(BF61="Multiple strategies","mixed drivers",IF(BF61="Supply chain","multiple supply","multiple silviculture"))))</f>
        <v>Temperature</v>
      </c>
      <c r="BF61" s="2" t="str" cm="1">
        <f t="array" ref="BF61">IF(COUNTIF(AZ61:BB61,"&lt;&gt;0")=1,INDEX($V$4:$AW$4,MATCH(TRUE,INDEX($V61:$AW61&lt;&gt;0,),0)),IF(COUNTIF(AZ61:BB61,"&lt;&gt;0")=0,INDEX($AM$4:$AW$4,MATCH(1,$AM61:$AW61,0)),"Multiple strategies"))</f>
        <v>Environmental change</v>
      </c>
      <c r="BG61" s="1" t="s">
        <v>321</v>
      </c>
      <c r="BH61" t="s">
        <v>1297</v>
      </c>
      <c r="BI61"/>
      <c r="BJ61" t="s">
        <v>1214</v>
      </c>
      <c r="BK61">
        <v>51.780999999999999</v>
      </c>
      <c r="BL61">
        <v>58.277999999999999</v>
      </c>
      <c r="BM61">
        <f>BL61/BK61</f>
        <v>1.1254707325080628</v>
      </c>
      <c r="BN61">
        <f>BL61-BK61</f>
        <v>6.4969999999999999</v>
      </c>
      <c r="BO61">
        <f>BN61*10^6</f>
        <v>6497000</v>
      </c>
      <c r="BP61" t="s">
        <v>232</v>
      </c>
      <c r="BQ61"/>
      <c r="BR61" t="s">
        <v>1230</v>
      </c>
      <c r="BS61">
        <v>56.534999999999997</v>
      </c>
      <c r="BT61">
        <f>BS61*(1-40.37/100)</f>
        <v>33.711820500000002</v>
      </c>
      <c r="BU61" s="144">
        <f>IFERROR(BT61/BS61,"")</f>
        <v>0.59630000000000005</v>
      </c>
      <c r="BV61">
        <f>BT61-BS61</f>
        <v>-22.823179499999995</v>
      </c>
      <c r="BW61"/>
      <c r="BX61">
        <f>BV61*10^6</f>
        <v>-22823179.499999996</v>
      </c>
      <c r="BY61">
        <f>IFERROR(BX61/BO61,"")</f>
        <v>-3.5128797137140211</v>
      </c>
      <c r="BZ61">
        <v>0</v>
      </c>
      <c r="CA61">
        <v>0</v>
      </c>
      <c r="CB61">
        <v>0</v>
      </c>
      <c r="CC61">
        <v>0</v>
      </c>
      <c r="CD61">
        <v>0</v>
      </c>
      <c r="CE61">
        <v>0</v>
      </c>
      <c r="CF61">
        <v>0</v>
      </c>
      <c r="CG61">
        <v>0</v>
      </c>
      <c r="CH61">
        <v>0</v>
      </c>
      <c r="CI61">
        <v>0</v>
      </c>
      <c r="CJ61">
        <v>0</v>
      </c>
      <c r="CK61">
        <v>0</v>
      </c>
      <c r="CL61">
        <v>0</v>
      </c>
      <c r="CM61">
        <v>1</v>
      </c>
      <c r="CN61" t="str">
        <f>IF($BL61&lt;$BK61,"refNeedCorrection","refOK")</f>
        <v>refOK</v>
      </c>
      <c r="CO61">
        <f>IF($CN61="refOK",$BK61,$BL61)</f>
        <v>51.780999999999999</v>
      </c>
      <c r="CP61">
        <f>IF($CN61="refOK",$BL61,$BK61)</f>
        <v>58.277999999999999</v>
      </c>
      <c r="CQ61">
        <f>IF($CN61="refOK",$BO61,-$BO61)</f>
        <v>6497000</v>
      </c>
      <c r="CR61">
        <f>IF($CN61="refOK",$BS61,$BT61)*IF($BP61="Emissions positive",-1,1)</f>
        <v>56.534999999999997</v>
      </c>
      <c r="CS61">
        <f>IF($CN61="refOK",$BT61,$BS61)*IF($BP61="Emissions positive",-1,1)</f>
        <v>33.711820500000002</v>
      </c>
      <c r="CT61">
        <f>IF($CN61="refNeedCorrection",-BX61,BX61)*IF($BP61="Emissions positive",-1,1)</f>
        <v>-22823179.499999996</v>
      </c>
      <c r="CU61">
        <f>IFERROR(CT61/CQ61,"")</f>
        <v>-3.5128797137140211</v>
      </c>
      <c r="CV61" s="2">
        <f>IFERROR((CS61-CR61)/ABS(CR61),"")</f>
        <v>-0.40369999999999995</v>
      </c>
      <c r="CW61" s="1" t="s">
        <v>1203</v>
      </c>
      <c r="CX61" s="264" t="str">
        <f>IF(OR($CW61="prd",$CW61="std",$CW61="cit"),"loc",IF(OR($CW61="eur",$CW61="reg",$CW61="coy"),"reg",$CW61))</f>
        <v>reg</v>
      </c>
      <c r="CY61" t="s">
        <v>729</v>
      </c>
      <c r="CZ61">
        <v>2015</v>
      </c>
      <c r="DA61">
        <v>2100</v>
      </c>
      <c r="DB61">
        <f>DA61-CZ61</f>
        <v>85</v>
      </c>
      <c r="DC61" t="str">
        <f>IF(DB61=0,"0",IF(AND(DB61&gt;=1,DB61&lt;=30),"1-30",IF(AND(DB61&gt;30,DB61&lt;=70),"31-70",IF(AND(DB61&gt;70,DB61&lt;=100),"71-100",IF(DB61&gt;100,"+100")))))</f>
        <v>71-100</v>
      </c>
      <c r="DD61">
        <v>0</v>
      </c>
      <c r="DE61">
        <v>1</v>
      </c>
      <c r="DF61">
        <v>1</v>
      </c>
      <c r="DG61">
        <v>1</v>
      </c>
      <c r="DH61"/>
      <c r="DI61">
        <f>SUM(DD61:DG61)</f>
        <v>3</v>
      </c>
      <c r="DJ61" t="str">
        <f>IF(DI61=1,INDEX($DD$7:$DG$7,MATCH(1,$DD61:$DG61,0)),"mixedProduct")</f>
        <v>mixedProduct</v>
      </c>
      <c r="DK61">
        <f>IF(DD61=1,DK$7,0)</f>
        <v>0</v>
      </c>
      <c r="DL61" t="str">
        <f>IF(DE61=1,DL$7,0)</f>
        <v>Energy</v>
      </c>
      <c r="DM61" t="str">
        <f>IF(DF61=1,DM$7,0)</f>
        <v>Pulp/Paper</v>
      </c>
      <c r="DN61" t="str">
        <f>IF(DG61=1,DN$7,0)</f>
        <v>Timber</v>
      </c>
      <c r="DO61">
        <v>0</v>
      </c>
      <c r="DP61">
        <v>0</v>
      </c>
      <c r="DQ61">
        <v>0</v>
      </c>
      <c r="DR61">
        <v>0</v>
      </c>
      <c r="DS61">
        <v>0</v>
      </c>
      <c r="DT61">
        <f>SUM(DO61:DP61)</f>
        <v>0</v>
      </c>
      <c r="DU61" s="143" t="str">
        <f>IF(DO61=1,"self-calculated DF",IF(DP61=1,"external DF used","explicit C balance"))</f>
        <v>explicit C balance</v>
      </c>
      <c r="DV61">
        <v>0</v>
      </c>
      <c r="DW61">
        <v>1</v>
      </c>
      <c r="DX61">
        <v>1</v>
      </c>
      <c r="DY61">
        <v>1</v>
      </c>
      <c r="DZ61">
        <v>0</v>
      </c>
      <c r="EA61">
        <v>0</v>
      </c>
      <c r="EB61">
        <v>0</v>
      </c>
      <c r="EC61">
        <v>0</v>
      </c>
      <c r="ED61">
        <v>0</v>
      </c>
      <c r="EE61">
        <v>0</v>
      </c>
      <c r="EF61">
        <v>1</v>
      </c>
      <c r="EG61">
        <v>0</v>
      </c>
      <c r="EH61">
        <v>1</v>
      </c>
      <c r="EI61" s="2">
        <v>1</v>
      </c>
      <c r="EJ61" s="1"/>
      <c r="EK61" t="str">
        <f>IF(AND(AND(AND(OR($DX61=1,$DW61=1),OR($EC61=1,$EA61=1)),SUM($DV61:$DZ61,$EF61)&gt;=4),SUM($EA61:$EE61)&gt;=2),"Whole sector","")</f>
        <v/>
      </c>
      <c r="EL61" t="str">
        <f>IF(AND(AND(OR($DX61=1,$DW61=1),AND($EC61=0,$EA61=0)),SUM($DV61:$DZ61,$EF61)&gt;=4),"Ecosystem approach","")</f>
        <v>Ecosystem approach</v>
      </c>
      <c r="EM61" s="2" t="str">
        <f>IF(AND(AND(AND($DX61=0,$DW61=0),OR($EC61=1,$EA61=1)),SUM($EB61:$EE61)&gt;=2),"Technology approach","")</f>
        <v/>
      </c>
      <c r="EN61"/>
      <c r="EO61"/>
      <c r="EP61" t="str">
        <f>IF(ISNUMBER(BU61),IF(ABS(BU61-[3]QC_indicators!$B$2)&gt;3*[3]QC_indicators!$C$2,"C ratio",IF(ISNUMBER(BY61),IF(ABS(BY61-[3]QC_indicators!$B$1)&gt;3*[3]QC_indicators!$C$1,"DF","no"))),IF(ISNUMBER(BY61),IF(ABS(BY61-[3]QC_indicators!$B$1)&gt;3*[3]QC_indicators!$C$1,"DF","no")))</f>
        <v>no</v>
      </c>
      <c r="EQ61"/>
      <c r="ER61"/>
      <c r="ES61"/>
      <c r="ET61" s="264" t="s">
        <v>3407</v>
      </c>
      <c r="EU61"/>
    </row>
    <row r="62" spans="1:151" s="139" customFormat="1" ht="15" customHeight="1">
      <c r="A62" s="1" t="s">
        <v>1204</v>
      </c>
      <c r="B62" t="s">
        <v>1205</v>
      </c>
      <c r="C62" t="s">
        <v>1206</v>
      </c>
      <c r="D62" t="s">
        <v>1207</v>
      </c>
      <c r="E62" t="s">
        <v>1208</v>
      </c>
      <c r="F62" t="s">
        <v>1209</v>
      </c>
      <c r="G62" t="s">
        <v>1210</v>
      </c>
      <c r="H62"/>
      <c r="I62">
        <v>2006</v>
      </c>
      <c r="J62"/>
      <c r="K62" t="s">
        <v>1211</v>
      </c>
      <c r="L62"/>
      <c r="M62" t="str">
        <f>LEFT($D62,FIND(",",$D62)-1)&amp;"_"&amp;I62&amp;L62</f>
        <v>Backeus_2006</v>
      </c>
      <c r="N62" t="s">
        <v>222</v>
      </c>
      <c r="O62" s="140" t="s">
        <v>274</v>
      </c>
      <c r="P62"/>
      <c r="Q62" t="s">
        <v>224</v>
      </c>
      <c r="R62" s="255" t="s">
        <v>223</v>
      </c>
      <c r="S62" s="263" t="s">
        <v>3087</v>
      </c>
      <c r="T62" t="s">
        <v>1212</v>
      </c>
      <c r="U62" t="s">
        <v>1213</v>
      </c>
      <c r="V62">
        <v>0</v>
      </c>
      <c r="W62">
        <v>0</v>
      </c>
      <c r="X62">
        <v>0</v>
      </c>
      <c r="Y62">
        <v>1</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1</v>
      </c>
      <c r="AW62">
        <v>0</v>
      </c>
      <c r="AX62" s="141">
        <f>COUNTIF(V62:AW62,"&lt;&gt;0")</f>
        <v>2</v>
      </c>
      <c r="AY62" s="141">
        <f>COUNTIF(V62:AL62,"&lt;&gt;0")</f>
        <v>1</v>
      </c>
      <c r="AZ62">
        <f>COUNTIF(V62:AC62,"&lt;&gt;0")</f>
        <v>1</v>
      </c>
      <c r="BA62">
        <f>COUNTIF(AD62:AI62,"&lt;&gt;0")</f>
        <v>0</v>
      </c>
      <c r="BB62">
        <f>COUNTIF(AJ62:AL62,"&lt;&gt;0")</f>
        <v>0</v>
      </c>
      <c r="BC62">
        <f>COUNTIF(AS62:AW62,"&lt;&gt;0")</f>
        <v>1</v>
      </c>
      <c r="BD62">
        <f>COUNTIF(AM62:AR62,"&lt;&gt;0")</f>
        <v>0</v>
      </c>
      <c r="BE62" t="str">
        <f t="array" ref="BE62">IF(AY62=1,INDEX($V$7:$AL$7,MATCH(TRUE,INDEX($V62:$AW62&lt;&gt;0,),0)),IF(AY62=0,INDEX($AM$7:$AW$7,MATCH(1,$AM62:$AW62,0)),IF(BF62="Multiple strategies","mixed drivers",IF(BF62="Supply chain","multiple supply","multiple silviculture"))))</f>
        <v xml:space="preserve">cutting intensity </v>
      </c>
      <c r="BF62" s="2" t="str" cm="1">
        <f t="array" ref="BF62">IF(COUNTIF(AZ62:BB62,"&lt;&gt;0")=1,INDEX($V$4:$AW$4,MATCH(TRUE,INDEX($V62:$AW62&lt;&gt;0,),0)),IF(COUNTIF(AZ62:BB62,"&lt;&gt;0")=0,INDEX($AM$4:$AW$4,MATCH(1,$AM62:$AW62,0)),"Multiple strategies"))</f>
        <v>Silviculture for removals</v>
      </c>
      <c r="BG62" s="1" t="s">
        <v>229</v>
      </c>
      <c r="BH62" t="s">
        <v>229</v>
      </c>
      <c r="BI62" s="264" t="s">
        <v>701</v>
      </c>
      <c r="BJ62" t="s">
        <v>1214</v>
      </c>
      <c r="BK62">
        <v>5.5978179484354129</v>
      </c>
      <c r="BL62">
        <v>5.6162990524021872</v>
      </c>
      <c r="BM62">
        <f>BL62/BK62</f>
        <v>1.0033014835668137</v>
      </c>
      <c r="BN62">
        <f>BL62-BK62</f>
        <v>1.848110396677427E-2</v>
      </c>
      <c r="BO62" s="143">
        <f>BN62*10^6</f>
        <v>18481.10396677427</v>
      </c>
      <c r="BP62" s="143" t="s">
        <v>232</v>
      </c>
      <c r="BQ62" s="342" t="s">
        <v>787</v>
      </c>
      <c r="BR62" s="152" t="s">
        <v>1215</v>
      </c>
      <c r="BS62" s="152">
        <v>1.48823529411764</v>
      </c>
      <c r="BT62" s="152">
        <v>1.47058823529411</v>
      </c>
      <c r="BU62" s="144">
        <f>IFERROR(BT62/BS62,"")</f>
        <v>0.98814229249011809</v>
      </c>
      <c r="BV62">
        <f>BT62-BS62</f>
        <v>-1.7647058823530015E-2</v>
      </c>
      <c r="BW62"/>
      <c r="BX62">
        <f>BV62*10^6*C_to_CO2</f>
        <v>-64764.705882355156</v>
      </c>
      <c r="BY62">
        <f>IFERROR(BX62/BO62,"")</f>
        <v>-3.5043743057119614</v>
      </c>
      <c r="BZ62">
        <v>0</v>
      </c>
      <c r="CA62">
        <v>0</v>
      </c>
      <c r="CB62">
        <v>0</v>
      </c>
      <c r="CC62">
        <v>0</v>
      </c>
      <c r="CD62">
        <v>0</v>
      </c>
      <c r="CE62">
        <v>0</v>
      </c>
      <c r="CF62">
        <v>0</v>
      </c>
      <c r="CG62">
        <v>0</v>
      </c>
      <c r="CH62">
        <v>0</v>
      </c>
      <c r="CI62">
        <v>0</v>
      </c>
      <c r="CJ62">
        <v>0</v>
      </c>
      <c r="CK62">
        <v>0</v>
      </c>
      <c r="CL62">
        <v>0</v>
      </c>
      <c r="CM62">
        <v>0</v>
      </c>
      <c r="CN62" t="str">
        <f>IF($BL62&lt;$BK62,"refNeedCorrection","refOK")</f>
        <v>refOK</v>
      </c>
      <c r="CO62">
        <f>IF($CN62="refOK",$BK62,$BL62)</f>
        <v>5.5978179484354129</v>
      </c>
      <c r="CP62">
        <f>IF($CN62="refOK",$BL62,$BK62)</f>
        <v>5.6162990524021872</v>
      </c>
      <c r="CQ62">
        <f>IF($CN62="refOK",$BO62,-$BO62)</f>
        <v>18481.10396677427</v>
      </c>
      <c r="CR62">
        <f>IF($CN62="refOK",$BS62,$BT62)*IF($BP62="Emissions positive",-1,1)</f>
        <v>1.48823529411764</v>
      </c>
      <c r="CS62">
        <f>IF($CN62="refOK",$BT62,$BS62)*IF($BP62="Emissions positive",-1,1)</f>
        <v>1.47058823529411</v>
      </c>
      <c r="CT62">
        <f>IF($CN62="refNeedCorrection",-BX62,BX62)*IF($BP62="Emissions positive",-1,1)</f>
        <v>-64764.705882355156</v>
      </c>
      <c r="CU62">
        <f>IFERROR(CT62/CQ62,"")</f>
        <v>-3.5043743057119614</v>
      </c>
      <c r="CV62" s="2">
        <f>IFERROR((CS62-CR62)/ABS(CR62),"")</f>
        <v>-1.1857707509881885E-2</v>
      </c>
      <c r="CW62" s="1" t="s">
        <v>1199</v>
      </c>
      <c r="CX62" t="str">
        <f>IF(OR($CW62="prd",$CW62="std",$CW62="cit"),"loc",IF(OR($CW62="eur",$CW62="reg",$CW62="coy"),"reg",$CW62))</f>
        <v>reg</v>
      </c>
      <c r="CY62" t="s">
        <v>444</v>
      </c>
      <c r="CZ62"/>
      <c r="DA62"/>
      <c r="DB62">
        <v>100</v>
      </c>
      <c r="DC62" t="str">
        <f>IF(DB62=0,"0",IF(AND(DB62&gt;=1,DB62&lt;=30),"1-30",IF(AND(DB62&gt;30,DB62&lt;=70),"31-70",IF(AND(DB62&gt;70,DB62&lt;=100),"71-100",IF(DB62&gt;100,"+100")))))</f>
        <v>71-100</v>
      </c>
      <c r="DD62">
        <v>0</v>
      </c>
      <c r="DE62">
        <v>1</v>
      </c>
      <c r="DF62">
        <v>1</v>
      </c>
      <c r="DG62">
        <v>1</v>
      </c>
      <c r="DH62"/>
      <c r="DI62">
        <f>SUM(DD62:DG62)</f>
        <v>3</v>
      </c>
      <c r="DJ62" t="str">
        <f>IF(DI62=1,INDEX($DD$7:$DG$7,MATCH(1,$DD62:$DG62,0)),"mixedProduct")</f>
        <v>mixedProduct</v>
      </c>
      <c r="DK62">
        <f>IF(DD62=1,DK$7,0)</f>
        <v>0</v>
      </c>
      <c r="DL62" t="str">
        <f>IF(DE62=1,DL$7,0)</f>
        <v>Energy</v>
      </c>
      <c r="DM62" t="str">
        <f>IF(DF62=1,DM$7,0)</f>
        <v>Pulp/Paper</v>
      </c>
      <c r="DN62" t="str">
        <f>IF(DG62=1,DN$7,0)</f>
        <v>Timber</v>
      </c>
      <c r="DO62">
        <v>0</v>
      </c>
      <c r="DP62">
        <v>0</v>
      </c>
      <c r="DQ62">
        <v>0</v>
      </c>
      <c r="DR62">
        <v>0</v>
      </c>
      <c r="DS62">
        <v>0</v>
      </c>
      <c r="DT62">
        <f>SUM(DO62:DP62)</f>
        <v>0</v>
      </c>
      <c r="DU62" s="143" t="str">
        <f>IF(DO62=1,"self-calculated DF",IF(DP62=1,"external DF used","explicit C balance"))</f>
        <v>explicit C balance</v>
      </c>
      <c r="DV62">
        <v>0</v>
      </c>
      <c r="DW62">
        <v>1</v>
      </c>
      <c r="DX62">
        <v>1</v>
      </c>
      <c r="DY62">
        <v>0</v>
      </c>
      <c r="DZ62">
        <v>0</v>
      </c>
      <c r="EA62" s="143">
        <v>0</v>
      </c>
      <c r="EB62">
        <v>0</v>
      </c>
      <c r="EC62">
        <v>0</v>
      </c>
      <c r="ED62">
        <v>0</v>
      </c>
      <c r="EE62">
        <v>0</v>
      </c>
      <c r="EF62">
        <v>1</v>
      </c>
      <c r="EG62">
        <v>1</v>
      </c>
      <c r="EH62">
        <v>0</v>
      </c>
      <c r="EI62" s="2">
        <v>0</v>
      </c>
      <c r="EJ62" s="1"/>
      <c r="EK62" t="str">
        <f>IF(AND(AND(AND(OR($DX62=1,$DW62=1),OR($EC62=1,$EA62=1)),SUM($DV62:$DZ62,$EF62)&gt;=4),SUM($EA62:$EE62)&gt;=2),"Whole sector","")</f>
        <v/>
      </c>
      <c r="EL62" t="str">
        <f>IF(AND(AND(OR($DX62=1,$DW62=1),AND($EC62=0,$EA62=0)),SUM($DV62:$DZ62,$EF62)&gt;=4),"Ecosystem approach","")</f>
        <v/>
      </c>
      <c r="EM62" s="2" t="str">
        <f>IF(AND(AND(AND($DX62=0,$DW62=0),OR($EC62=1,$EA62=1)),SUM($EB62:$EE62)&gt;=2),"Technology approach","")</f>
        <v/>
      </c>
      <c r="EN62"/>
      <c r="EO62"/>
      <c r="EP62" t="str">
        <f>IF(ISNUMBER(BU62),IF(ABS(BU62-[1]QC_indicators!$B$2)&gt;3*[1]QC_indicators!$C$2,"C ratio",IF(ISNUMBER(BY62),IF(ABS(BY62-[1]QC_indicators!$B$1)&gt;3*[1]QC_indicators!$C$1,"DF","no"))),IF(ISNUMBER(BY62),IF(ABS(BY62-[1]QC_indicators!$B$1)&gt;3*[1]QC_indicators!$C$1,"DF","no")))</f>
        <v>no</v>
      </c>
      <c r="EQ62" t="s">
        <v>286</v>
      </c>
      <c r="ER62"/>
      <c r="ES62"/>
      <c r="ET62" s="264" t="s">
        <v>3088</v>
      </c>
      <c r="EU62"/>
    </row>
    <row r="63" spans="1:151" s="139" customFormat="1" ht="15" customHeight="1">
      <c r="A63" s="1" t="s">
        <v>1423</v>
      </c>
      <c r="B63" t="s">
        <v>2490</v>
      </c>
      <c r="C63" t="s">
        <v>2491</v>
      </c>
      <c r="D63" t="s">
        <v>2492</v>
      </c>
      <c r="E63" t="s">
        <v>2493</v>
      </c>
      <c r="F63" t="s">
        <v>2494</v>
      </c>
      <c r="G63" t="s">
        <v>1429</v>
      </c>
      <c r="H63" t="s">
        <v>254</v>
      </c>
      <c r="I63">
        <v>2016</v>
      </c>
      <c r="J63">
        <v>24</v>
      </c>
      <c r="K63" t="s">
        <v>2495</v>
      </c>
      <c r="L63"/>
      <c r="M63" t="str">
        <f>LEFT($D63,FIND(",",$D63)-1)&amp;"_"&amp;I63&amp;L63</f>
        <v>Zubizarreta-Gerendiain_2016</v>
      </c>
      <c r="N63" t="s">
        <v>222</v>
      </c>
      <c r="O63" s="145" t="s">
        <v>1154</v>
      </c>
      <c r="P63"/>
      <c r="Q63" t="s">
        <v>256</v>
      </c>
      <c r="R63" s="262" t="s">
        <v>223</v>
      </c>
      <c r="S63" s="1" t="s">
        <v>2506</v>
      </c>
      <c r="T63" t="s">
        <v>2507</v>
      </c>
      <c r="U63" t="s">
        <v>2504</v>
      </c>
      <c r="V63">
        <v>0</v>
      </c>
      <c r="W63">
        <v>0</v>
      </c>
      <c r="X63">
        <v>0</v>
      </c>
      <c r="Y63">
        <v>2</v>
      </c>
      <c r="Z63">
        <v>0</v>
      </c>
      <c r="AA63">
        <v>0</v>
      </c>
      <c r="AB63">
        <v>0</v>
      </c>
      <c r="AC63">
        <v>0</v>
      </c>
      <c r="AD63">
        <v>0</v>
      </c>
      <c r="AE63">
        <v>0</v>
      </c>
      <c r="AF63">
        <v>1</v>
      </c>
      <c r="AG63">
        <v>0</v>
      </c>
      <c r="AH63">
        <v>0</v>
      </c>
      <c r="AI63">
        <v>0</v>
      </c>
      <c r="AJ63">
        <v>0</v>
      </c>
      <c r="AK63">
        <v>0</v>
      </c>
      <c r="AL63">
        <v>0</v>
      </c>
      <c r="AM63">
        <v>0</v>
      </c>
      <c r="AN63">
        <v>0</v>
      </c>
      <c r="AO63">
        <v>0</v>
      </c>
      <c r="AP63">
        <v>0</v>
      </c>
      <c r="AQ63">
        <v>0</v>
      </c>
      <c r="AR63">
        <v>0</v>
      </c>
      <c r="AS63">
        <v>0</v>
      </c>
      <c r="AT63">
        <v>0</v>
      </c>
      <c r="AU63">
        <v>0</v>
      </c>
      <c r="AV63">
        <v>0</v>
      </c>
      <c r="AW63">
        <v>0</v>
      </c>
      <c r="AX63" s="141">
        <f>COUNTIF(V63:AW63,"&lt;&gt;0")</f>
        <v>2</v>
      </c>
      <c r="AY63" s="141">
        <f>COUNTIF(V63:AL63,"&lt;&gt;0")</f>
        <v>2</v>
      </c>
      <c r="AZ63">
        <f>COUNTIF(V63:AC63,"&lt;&gt;0")</f>
        <v>1</v>
      </c>
      <c r="BA63">
        <f>COUNTIF(AD63:AI63,"&lt;&gt;0")</f>
        <v>1</v>
      </c>
      <c r="BB63">
        <f>COUNTIF(AJ63:AL63,"&lt;&gt;0")</f>
        <v>0</v>
      </c>
      <c r="BC63">
        <f>COUNTIF(AS63:AW63,"&lt;&gt;0")</f>
        <v>0</v>
      </c>
      <c r="BD63">
        <f>COUNTIF(AM63:AR63,"&lt;&gt;0")</f>
        <v>0</v>
      </c>
      <c r="BE63" t="str">
        <f t="array" ref="BE63">IF(AY63=1,INDEX($V$7:$AL$7,MATCH(TRUE,INDEX($V63:$AW63&lt;&gt;0,),0)),IF(AY63=0,INDEX($AM$7:$AW$7,MATCH(1,$AM63:$AW63,0)),IF(BF63="Multiple strategies","mixed drivers",IF(BF63="Supply chain","multiple supply","multiple silviculture"))))</f>
        <v>mixed drivers</v>
      </c>
      <c r="BF63" s="2" t="str" cm="1">
        <f t="array" ref="BF63">IF(COUNTIF(AZ63:BB63,"&lt;&gt;0")=1,INDEX($V$4:$AW$4,MATCH(TRUE,INDEX($V63:$AW63&lt;&gt;0,),0)),IF(COUNTIF(AZ63:BB63,"&lt;&gt;0")=0,INDEX($AM$4:$AW$4,MATCH(1,$AM63:$AW63,0)),"Multiple strategies"))</f>
        <v>Multiple strategies</v>
      </c>
      <c r="BG63" s="1" t="s">
        <v>321</v>
      </c>
      <c r="BH63" t="s">
        <v>2499</v>
      </c>
      <c r="BI63" s="264" t="s">
        <v>2113</v>
      </c>
      <c r="BJ63" t="s">
        <v>2500</v>
      </c>
      <c r="BK63">
        <v>64.910485933503793</v>
      </c>
      <c r="BL63">
        <v>82.634271099744197</v>
      </c>
      <c r="BM63" s="143">
        <f>BL63/BK63</f>
        <v>1.273049645390071</v>
      </c>
      <c r="BN63">
        <f>BL63-BK63</f>
        <v>17.723785166240404</v>
      </c>
      <c r="BO63">
        <f>BN63*1000*t_to_m3</f>
        <v>36170.990135184496</v>
      </c>
      <c r="BP63" s="143" t="s">
        <v>232</v>
      </c>
      <c r="BQ63" s="143" t="s">
        <v>3256</v>
      </c>
      <c r="BR63" t="s">
        <v>1195</v>
      </c>
      <c r="BS63">
        <v>103859.82747603832</v>
      </c>
      <c r="BT63">
        <v>-22456.178913738113</v>
      </c>
      <c r="BU63" s="144">
        <f>IFERROR(BT63/BS63,"")</f>
        <v>-0.21621621621621714</v>
      </c>
      <c r="BV63" s="144">
        <f>BT63-BS63</f>
        <v>-126316.00638977643</v>
      </c>
      <c r="BW63" s="144"/>
      <c r="BX63" s="144">
        <f>BV63</f>
        <v>-126316.00638977643</v>
      </c>
      <c r="BY63">
        <f>IFERROR(BX63/BO63,"")</f>
        <v>-3.4921910049375575</v>
      </c>
      <c r="BZ63">
        <v>0</v>
      </c>
      <c r="CA63">
        <v>0</v>
      </c>
      <c r="CB63">
        <v>0</v>
      </c>
      <c r="CC63">
        <v>0</v>
      </c>
      <c r="CD63">
        <v>0</v>
      </c>
      <c r="CE63">
        <v>0</v>
      </c>
      <c r="CF63">
        <v>0</v>
      </c>
      <c r="CG63">
        <v>0</v>
      </c>
      <c r="CH63">
        <v>0</v>
      </c>
      <c r="CI63">
        <v>0</v>
      </c>
      <c r="CJ63">
        <v>0</v>
      </c>
      <c r="CK63">
        <v>0</v>
      </c>
      <c r="CL63">
        <v>0</v>
      </c>
      <c r="CM63">
        <v>1</v>
      </c>
      <c r="CN63" t="str">
        <f>IF($BL63&lt;$BK63,"refNeedCorrection","refOK")</f>
        <v>refOK</v>
      </c>
      <c r="CO63">
        <f>IF($CN63="refOK",$BK63,$BL63)</f>
        <v>64.910485933503793</v>
      </c>
      <c r="CP63">
        <f>IF($CN63="refOK",$BL63,$BK63)</f>
        <v>82.634271099744197</v>
      </c>
      <c r="CQ63">
        <f>IF($CN63="refOK",$BO63,-$BO63)</f>
        <v>36170.990135184496</v>
      </c>
      <c r="CR63">
        <f>IF($CN63="refOK",$BS63,$BT63)*IF($BP63="Emissions positive",-1,1)</f>
        <v>103859.82747603832</v>
      </c>
      <c r="CS63">
        <f>IF($CN63="refOK",$BT63,$BS63)*IF($BP63="Emissions positive",-1,1)</f>
        <v>-22456.178913738113</v>
      </c>
      <c r="CT63">
        <f>IF($CN63="refNeedCorrection",-BX63,BX63)*IF($BP63="Emissions positive",-1,1)</f>
        <v>-126316.00638977643</v>
      </c>
      <c r="CU63">
        <f>IFERROR(CT63/CQ63,"")</f>
        <v>-3.4921910049375575</v>
      </c>
      <c r="CV63" s="2">
        <f>IFERROR((CS63-CR63)/ABS(CR63),"")</f>
        <v>-1.2162162162162171</v>
      </c>
      <c r="CW63" s="1" t="s">
        <v>1199</v>
      </c>
      <c r="CX63" t="str">
        <f>IF(OR($CW63="prd",$CW63="std",$CW63="cit"),"loc",IF(OR($CW63="eur",$CW63="reg",$CW63="coy"),"reg",$CW63))</f>
        <v>reg</v>
      </c>
      <c r="CY63" t="s">
        <v>235</v>
      </c>
      <c r="CZ63">
        <v>2010</v>
      </c>
      <c r="DA63">
        <v>2070</v>
      </c>
      <c r="DB63">
        <f>DA63-CZ63</f>
        <v>60</v>
      </c>
      <c r="DC63" t="str">
        <f>IF(DB63=0,"0",IF(AND(DB63&gt;=1,DB63&lt;=30),"1-30",IF(AND(DB63&gt;30,DB63&lt;=70),"31-70",IF(AND(DB63&gt;70,DB63&lt;=100),"71-100",IF(DB63&gt;100,"+100")))))</f>
        <v>31-70</v>
      </c>
      <c r="DD63">
        <v>1</v>
      </c>
      <c r="DE63">
        <v>0</v>
      </c>
      <c r="DF63">
        <v>0</v>
      </c>
      <c r="DG63">
        <v>0</v>
      </c>
      <c r="DH63">
        <v>0</v>
      </c>
      <c r="DI63">
        <f>SUM(DD63:DG63)</f>
        <v>1</v>
      </c>
      <c r="DJ63" t="str">
        <f>IF(DI63=1,INDEX($DD$7:$DG$7,MATCH(1,$DD63:$DG63,0)),"mixedProduct")</f>
        <v>UpstreamInput</v>
      </c>
      <c r="DK63" t="str">
        <f>IF(DD63=1,DK$7,0)</f>
        <v>Upstream</v>
      </c>
      <c r="DL63">
        <f>IF(DE63=1,DL$7,0)</f>
        <v>0</v>
      </c>
      <c r="DM63">
        <f>IF(DF63=1,DM$7,0)</f>
        <v>0</v>
      </c>
      <c r="DN63">
        <f>IF(DG63=1,DN$7,0)</f>
        <v>0</v>
      </c>
      <c r="DO63">
        <v>0</v>
      </c>
      <c r="DP63">
        <v>0</v>
      </c>
      <c r="DQ63">
        <v>0</v>
      </c>
      <c r="DR63">
        <v>0</v>
      </c>
      <c r="DS63">
        <v>0</v>
      </c>
      <c r="DT63">
        <f>SUM(DO63:DP63)</f>
        <v>0</v>
      </c>
      <c r="DU63" s="143" t="str">
        <f>IF(DO63=1,"self-calculated DF",IF(DP63=1,"external DF used","explicit C balance"))</f>
        <v>explicit C balance</v>
      </c>
      <c r="DV63">
        <v>1</v>
      </c>
      <c r="DW63">
        <v>1</v>
      </c>
      <c r="DX63">
        <v>1</v>
      </c>
      <c r="DY63">
        <v>1</v>
      </c>
      <c r="DZ63">
        <v>0</v>
      </c>
      <c r="EA63" s="143">
        <v>0</v>
      </c>
      <c r="EB63">
        <v>0</v>
      </c>
      <c r="EC63">
        <v>0</v>
      </c>
      <c r="ED63">
        <v>0</v>
      </c>
      <c r="EE63">
        <v>0</v>
      </c>
      <c r="EF63">
        <v>1</v>
      </c>
      <c r="EG63">
        <v>0</v>
      </c>
      <c r="EH63">
        <v>0</v>
      </c>
      <c r="EI63" s="2">
        <v>0</v>
      </c>
      <c r="EJ63" s="1"/>
      <c r="EK63" t="str">
        <f>IF(AND(AND(AND(OR($DX63=1,$DW63=1),OR($EC63=1,$EA63=1)),SUM($DV63:$DZ63,$EF63)&gt;=4),SUM($EA63:$EE63)&gt;=2),"Whole sector","")</f>
        <v/>
      </c>
      <c r="EL63" t="str">
        <f>IF(AND(AND(OR($DX63=1,$DW63=1),AND($EC63=0,$EA63=0)),SUM($DV63:$DZ63,$EF63)&gt;=4),"Ecosystem approach","")</f>
        <v>Ecosystem approach</v>
      </c>
      <c r="EM63" s="2" t="str">
        <f>IF(AND(AND(AND($DX63=0,$DW63=0),OR($EC63=1,$EA63=1)),SUM($EB63:$EE63)&gt;=2),"Technology approach","")</f>
        <v/>
      </c>
      <c r="EN63" t="s">
        <v>2508</v>
      </c>
      <c r="EO63"/>
      <c r="EP63" t="str">
        <f>IF(ISNUMBER(BU63),IF(ABS(BU63-[1]QC_indicators!$B$2)&gt;3*[1]QC_indicators!$C$2,"C ratio",IF(ISNUMBER(BY63),IF(ABS(BY63-[1]QC_indicators!$B$1)&gt;3*[1]QC_indicators!$C$1,"DF","no"))),IF(ISNUMBER(BY63),IF(ABS(BY63-[1]QC_indicators!$B$1)&gt;3*[1]QC_indicators!$C$1,"DF","no")))</f>
        <v>no</v>
      </c>
      <c r="EQ63"/>
      <c r="ER63"/>
      <c r="ES63"/>
      <c r="ET63" s="264" t="s">
        <v>3257</v>
      </c>
      <c r="EU63"/>
    </row>
    <row r="64" spans="1:151" s="139" customFormat="1" ht="15" customHeight="1">
      <c r="A64" s="1" t="s">
        <v>1808</v>
      </c>
      <c r="B64" t="s">
        <v>2475</v>
      </c>
      <c r="C64" t="s">
        <v>2476</v>
      </c>
      <c r="D64" t="s">
        <v>2477</v>
      </c>
      <c r="E64" t="s">
        <v>2478</v>
      </c>
      <c r="F64" t="s">
        <v>2479</v>
      </c>
      <c r="G64" t="s">
        <v>1814</v>
      </c>
      <c r="H64" t="s">
        <v>254</v>
      </c>
      <c r="I64">
        <v>2010</v>
      </c>
      <c r="J64">
        <v>100</v>
      </c>
      <c r="K64" t="s">
        <v>2480</v>
      </c>
      <c r="L64"/>
      <c r="M64" t="str">
        <f>LEFT($D64,FIND(",",$D64)-1)&amp;"_"&amp;I64&amp;L64</f>
        <v>Werner_2010</v>
      </c>
      <c r="N64" t="s">
        <v>222</v>
      </c>
      <c r="O64" s="145" t="s">
        <v>1154</v>
      </c>
      <c r="P64"/>
      <c r="Q64" t="s">
        <v>256</v>
      </c>
      <c r="R64" s="262" t="s">
        <v>223</v>
      </c>
      <c r="S64" s="1" t="s">
        <v>2481</v>
      </c>
      <c r="T64" t="s">
        <v>2482</v>
      </c>
      <c r="U64" t="s">
        <v>1155</v>
      </c>
      <c r="V64">
        <v>1</v>
      </c>
      <c r="W64">
        <v>0</v>
      </c>
      <c r="X64">
        <v>2</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s="141">
        <f>COUNTIF(V64:AW64,"&lt;&gt;0")</f>
        <v>2</v>
      </c>
      <c r="AY64" s="141">
        <f>COUNTIF(V64:AL64,"&lt;&gt;0")</f>
        <v>2</v>
      </c>
      <c r="AZ64">
        <f>COUNTIF(V64:AC64,"&lt;&gt;0")</f>
        <v>2</v>
      </c>
      <c r="BA64">
        <f>COUNTIF(AD64:AI64,"&lt;&gt;0")</f>
        <v>0</v>
      </c>
      <c r="BB64">
        <f>COUNTIF(AJ64:AL64,"&lt;&gt;0")</f>
        <v>0</v>
      </c>
      <c r="BC64">
        <f>COUNTIF(AS64:AW64,"&lt;&gt;0")</f>
        <v>0</v>
      </c>
      <c r="BD64">
        <f>COUNTIF(AM64:AR64,"&lt;&gt;0")</f>
        <v>0</v>
      </c>
      <c r="BE64" t="str">
        <f t="array" ref="BE64">IF(AY64=1,INDEX($V$7:$AL$7,MATCH(TRUE,INDEX($V64:$AW64&lt;&gt;0,),0)),IF(AY64=0,INDEX($AM$7:$AW$7,MATCH(1,$AM64:$AW64,0)),IF(BF64="Multiple strategies","mixed drivers",IF(BF64="Supply chain","multiple supply","multiple silviculture"))))</f>
        <v>multiple silviculture</v>
      </c>
      <c r="BF64" s="2" t="str" cm="1">
        <f t="array" ref="BF64">IF(COUNTIF(AZ64:BB64,"&lt;&gt;0")=1,INDEX($V$4:$AW$4,MATCH(TRUE,INDEX($V64:$AW64&lt;&gt;0,),0)),IF(COUNTIF(AZ64:BB64,"&lt;&gt;0")=0,INDEX($AM$4:$AW$4,MATCH(1,$AM64:$AW64,0)),"Multiple strategies"))</f>
        <v>Silviculture for removals</v>
      </c>
      <c r="BG64" s="1" t="s">
        <v>321</v>
      </c>
      <c r="BH64" t="s">
        <v>2453</v>
      </c>
      <c r="BI64" s="264" t="s">
        <v>3252</v>
      </c>
      <c r="BJ64" t="s">
        <v>1323</v>
      </c>
      <c r="BK64">
        <v>120</v>
      </c>
      <c r="BL64">
        <v>163.5</v>
      </c>
      <c r="BM64" s="143">
        <f>BL64/BK64</f>
        <v>1.3625</v>
      </c>
      <c r="BN64">
        <f>BL64-BK64</f>
        <v>43.5</v>
      </c>
      <c r="BO64">
        <f>BN64*10^6</f>
        <v>43500000</v>
      </c>
      <c r="BP64" t="s">
        <v>232</v>
      </c>
      <c r="BQ64" s="153" t="s">
        <v>3253</v>
      </c>
      <c r="BR64" t="s">
        <v>2325</v>
      </c>
      <c r="BS64">
        <v>223.834792619919</v>
      </c>
      <c r="BT64">
        <v>74.937586702500695</v>
      </c>
      <c r="BU64" s="144">
        <f>IFERROR(BT64/BS64,"")</f>
        <v>0.33478971622498344</v>
      </c>
      <c r="BV64" s="144">
        <f>BT64-BS64</f>
        <v>-148.89720591741832</v>
      </c>
      <c r="BW64" s="144"/>
      <c r="BX64">
        <f>BV64*10^6</f>
        <v>-148897205.91741833</v>
      </c>
      <c r="BY64">
        <f>IFERROR(BX64/BO64,"")</f>
        <v>-3.4229242739636399</v>
      </c>
      <c r="BZ64">
        <v>0</v>
      </c>
      <c r="CA64">
        <v>0</v>
      </c>
      <c r="CB64">
        <v>0</v>
      </c>
      <c r="CC64">
        <v>0</v>
      </c>
      <c r="CD64">
        <v>0</v>
      </c>
      <c r="CE64">
        <v>0</v>
      </c>
      <c r="CF64">
        <v>0</v>
      </c>
      <c r="CG64">
        <v>0</v>
      </c>
      <c r="CH64">
        <v>0</v>
      </c>
      <c r="CI64">
        <v>0</v>
      </c>
      <c r="CJ64">
        <v>0</v>
      </c>
      <c r="CK64">
        <v>0</v>
      </c>
      <c r="CL64">
        <v>0</v>
      </c>
      <c r="CM64">
        <v>1</v>
      </c>
      <c r="CN64" t="str">
        <f>IF($BL64&lt;$BK64,"refNeedCorrection","refOK")</f>
        <v>refOK</v>
      </c>
      <c r="CO64">
        <f>IF($CN64="refOK",$BK64,$BL64)</f>
        <v>120</v>
      </c>
      <c r="CP64">
        <f>IF($CN64="refOK",$BL64,$BK64)</f>
        <v>163.5</v>
      </c>
      <c r="CQ64">
        <f>IF($CN64="refOK",$BO64,-$BO64)</f>
        <v>43500000</v>
      </c>
      <c r="CR64">
        <f>IF($CN64="refOK",$BS64,$BT64)*IF($BP64="Emissions positive",-1,1)</f>
        <v>223.834792619919</v>
      </c>
      <c r="CS64">
        <f>IF($CN64="refOK",$BT64,$BS64)*IF($BP64="Emissions positive",-1,1)</f>
        <v>74.937586702500695</v>
      </c>
      <c r="CT64">
        <f>IF($CN64="refNeedCorrection",-BX64,BX64)*IF($BP64="Emissions positive",-1,1)</f>
        <v>-148897205.91741833</v>
      </c>
      <c r="CU64">
        <f>IFERROR(CT64/CQ64,"")</f>
        <v>-3.4229242739636399</v>
      </c>
      <c r="CV64" s="2">
        <f>IFERROR((CS64-CR64)/ABS(CR64),"")</f>
        <v>-0.66521028377501668</v>
      </c>
      <c r="CW64" s="1" t="s">
        <v>1203</v>
      </c>
      <c r="CX64" t="str">
        <f>IF(OR($CW64="prd",$CW64="std",$CW64="cit"),"loc",IF(OR($CW64="eur",$CW64="reg",$CW64="coy"),"reg",$CW64))</f>
        <v>reg</v>
      </c>
      <c r="CY64" t="s">
        <v>639</v>
      </c>
      <c r="CZ64">
        <v>2000</v>
      </c>
      <c r="DA64">
        <v>2030</v>
      </c>
      <c r="DB64">
        <f>DA64-CZ64</f>
        <v>30</v>
      </c>
      <c r="DC64" t="str">
        <f>IF(DB64=0,"0",IF(AND(DB64&gt;=1,DB64&lt;=30),"1-30",IF(AND(DB64&gt;30,DB64&lt;=70),"31-70",IF(AND(DB64&gt;70,DB64&lt;=100),"71-100",IF(DB64&gt;100,"+100")))))</f>
        <v>1-30</v>
      </c>
      <c r="DD64">
        <v>1</v>
      </c>
      <c r="DE64">
        <v>0</v>
      </c>
      <c r="DF64">
        <v>0</v>
      </c>
      <c r="DG64">
        <v>0</v>
      </c>
      <c r="DH64">
        <v>0</v>
      </c>
      <c r="DI64">
        <f>SUM(DD64:DG64)</f>
        <v>1</v>
      </c>
      <c r="DJ64" t="str">
        <f>IF(DI64=1,INDEX($DD$7:$DG$7,MATCH(1,$DD64:$DG64,0)),"mixedProduct")</f>
        <v>UpstreamInput</v>
      </c>
      <c r="DK64" t="str">
        <f>IF(DD64=1,DK$7,0)</f>
        <v>Upstream</v>
      </c>
      <c r="DL64">
        <f>IF(DE64=1,DL$7,0)</f>
        <v>0</v>
      </c>
      <c r="DM64">
        <f>IF(DF64=1,DM$7,0)</f>
        <v>0</v>
      </c>
      <c r="DN64">
        <f>IF(DG64=1,DN$7,0)</f>
        <v>0</v>
      </c>
      <c r="DO64">
        <v>0</v>
      </c>
      <c r="DP64">
        <v>0</v>
      </c>
      <c r="DQ64"/>
      <c r="DR64"/>
      <c r="DS64"/>
      <c r="DT64">
        <f>SUM(DO64:DP64)</f>
        <v>0</v>
      </c>
      <c r="DU64" s="143" t="str">
        <f>IF(DO64=1,"self-calculated DF",IF(DP64=1,"external DF used","explicit C balance"))</f>
        <v>explicit C balance</v>
      </c>
      <c r="DV64">
        <v>1</v>
      </c>
      <c r="DW64">
        <v>1</v>
      </c>
      <c r="DX64">
        <v>1</v>
      </c>
      <c r="DY64">
        <v>0</v>
      </c>
      <c r="DZ64">
        <v>0</v>
      </c>
      <c r="EA64" s="143">
        <v>0</v>
      </c>
      <c r="EB64">
        <v>0</v>
      </c>
      <c r="EC64">
        <v>0</v>
      </c>
      <c r="ED64">
        <v>0</v>
      </c>
      <c r="EE64">
        <v>0</v>
      </c>
      <c r="EF64">
        <v>1</v>
      </c>
      <c r="EG64">
        <v>0</v>
      </c>
      <c r="EH64">
        <v>0</v>
      </c>
      <c r="EI64" s="2">
        <v>0</v>
      </c>
      <c r="EJ64" s="1"/>
      <c r="EK64" t="str">
        <f>IF(AND(AND(AND(OR($DX64=1,$DW64=1),OR($EC64=1,$EA64=1)),SUM($DV64:$DZ64,$EF64)&gt;=4),SUM($EA64:$EE64)&gt;=2),"Whole sector","")</f>
        <v/>
      </c>
      <c r="EL64" t="str">
        <f>IF(AND(AND(OR($DX64=1,$DW64=1),AND($EC64=0,$EA64=0)),SUM($DV64:$DZ64,$EF64)&gt;=4),"Ecosystem approach","")</f>
        <v>Ecosystem approach</v>
      </c>
      <c r="EM64" s="2" t="str">
        <f>IF(AND(AND(AND($DX64=0,$DW64=0),OR($EC64=1,$EA64=1)),SUM($EB64:$EE64)&gt;=2),"Technology approach","")</f>
        <v/>
      </c>
      <c r="EN64" t="s">
        <v>2485</v>
      </c>
      <c r="EO64"/>
      <c r="EP64" t="str">
        <f>IF(ISNUMBER(BU64),IF(ABS(BU64-[1]QC_indicators!$B$2)&gt;3*[1]QC_indicators!$C$2,"C ratio",IF(ISNUMBER(BY64),IF(ABS(BY64-[1]QC_indicators!$B$1)&gt;3*[1]QC_indicators!$C$1,"DF","no"))),IF(ISNUMBER(BY64),IF(ABS(BY64-[1]QC_indicators!$B$1)&gt;3*[1]QC_indicators!$C$1,"DF","no")))</f>
        <v>no</v>
      </c>
      <c r="EQ64"/>
      <c r="ER64"/>
      <c r="ES64"/>
      <c r="ET64" s="264" t="s">
        <v>3254</v>
      </c>
      <c r="EU64"/>
    </row>
    <row r="65" spans="1:151" s="139" customFormat="1" ht="15" customHeight="1">
      <c r="A65" s="1" t="s">
        <v>1423</v>
      </c>
      <c r="B65" t="s">
        <v>2490</v>
      </c>
      <c r="C65" t="s">
        <v>2491</v>
      </c>
      <c r="D65" t="s">
        <v>2492</v>
      </c>
      <c r="E65" t="s">
        <v>2493</v>
      </c>
      <c r="F65" t="s">
        <v>2494</v>
      </c>
      <c r="G65" t="s">
        <v>1429</v>
      </c>
      <c r="H65" t="s">
        <v>254</v>
      </c>
      <c r="I65">
        <v>2016</v>
      </c>
      <c r="J65">
        <v>24</v>
      </c>
      <c r="K65" t="s">
        <v>2495</v>
      </c>
      <c r="L65"/>
      <c r="M65" t="str">
        <f>LEFT($D65,FIND(",",$D65)-1)&amp;"_"&amp;I65&amp;L65</f>
        <v>Zubizarreta-Gerendiain_2016</v>
      </c>
      <c r="N65" t="s">
        <v>222</v>
      </c>
      <c r="O65" s="145" t="s">
        <v>1154</v>
      </c>
      <c r="P65"/>
      <c r="Q65" t="s">
        <v>256</v>
      </c>
      <c r="R65" s="262" t="s">
        <v>223</v>
      </c>
      <c r="S65" s="1" t="s">
        <v>2496</v>
      </c>
      <c r="T65" t="s">
        <v>2503</v>
      </c>
      <c r="U65" t="s">
        <v>2504</v>
      </c>
      <c r="V65">
        <v>0</v>
      </c>
      <c r="W65">
        <v>0</v>
      </c>
      <c r="X65">
        <v>0</v>
      </c>
      <c r="Y65">
        <v>2</v>
      </c>
      <c r="Z65">
        <v>0</v>
      </c>
      <c r="AA65">
        <v>0</v>
      </c>
      <c r="AB65">
        <v>0</v>
      </c>
      <c r="AC65">
        <v>0</v>
      </c>
      <c r="AD65">
        <v>0</v>
      </c>
      <c r="AE65">
        <v>0</v>
      </c>
      <c r="AF65">
        <v>1</v>
      </c>
      <c r="AG65">
        <v>0</v>
      </c>
      <c r="AH65">
        <v>0</v>
      </c>
      <c r="AI65">
        <v>0</v>
      </c>
      <c r="AJ65">
        <v>0</v>
      </c>
      <c r="AK65">
        <v>0</v>
      </c>
      <c r="AL65">
        <v>0</v>
      </c>
      <c r="AM65">
        <v>0</v>
      </c>
      <c r="AN65">
        <v>0</v>
      </c>
      <c r="AO65">
        <v>0</v>
      </c>
      <c r="AP65">
        <v>0</v>
      </c>
      <c r="AQ65">
        <v>0</v>
      </c>
      <c r="AR65">
        <v>0</v>
      </c>
      <c r="AS65">
        <v>0</v>
      </c>
      <c r="AT65">
        <v>0</v>
      </c>
      <c r="AU65">
        <v>0</v>
      </c>
      <c r="AV65">
        <v>0</v>
      </c>
      <c r="AW65">
        <v>0</v>
      </c>
      <c r="AX65" s="141">
        <f>COUNTIF(V65:AW65,"&lt;&gt;0")</f>
        <v>2</v>
      </c>
      <c r="AY65" s="141">
        <f>COUNTIF(V65:AL65,"&lt;&gt;0")</f>
        <v>2</v>
      </c>
      <c r="AZ65">
        <f>COUNTIF(V65:AC65,"&lt;&gt;0")</f>
        <v>1</v>
      </c>
      <c r="BA65">
        <f>COUNTIF(AD65:AI65,"&lt;&gt;0")</f>
        <v>1</v>
      </c>
      <c r="BB65">
        <f>COUNTIF(AJ65:AL65,"&lt;&gt;0")</f>
        <v>0</v>
      </c>
      <c r="BC65">
        <f>COUNTIF(AS65:AW65,"&lt;&gt;0")</f>
        <v>0</v>
      </c>
      <c r="BD65">
        <f>COUNTIF(AM65:AR65,"&lt;&gt;0")</f>
        <v>0</v>
      </c>
      <c r="BE65" t="str">
        <f t="array" ref="BE65">IF(AY65=1,INDEX($V$7:$AL$7,MATCH(TRUE,INDEX($V65:$AW65&lt;&gt;0,),0)),IF(AY65=0,INDEX($AM$7:$AW$7,MATCH(1,$AM65:$AW65,0)),IF(BF65="Multiple strategies","mixed drivers",IF(BF65="Supply chain","multiple supply","multiple silviculture"))))</f>
        <v>mixed drivers</v>
      </c>
      <c r="BF65" s="2" t="str" cm="1">
        <f t="array" ref="BF65">IF(COUNTIF(AZ65:BB65,"&lt;&gt;0")=1,INDEX($V$4:$AW$4,MATCH(TRUE,INDEX($V65:$AW65&lt;&gt;0,),0)),IF(COUNTIF(AZ65:BB65,"&lt;&gt;0")=0,INDEX($AM$4:$AW$4,MATCH(1,$AM65:$AW65,0)),"Multiple strategies"))</f>
        <v>Multiple strategies</v>
      </c>
      <c r="BG65" s="1" t="s">
        <v>321</v>
      </c>
      <c r="BH65" t="s">
        <v>2499</v>
      </c>
      <c r="BI65" s="264" t="s">
        <v>2113</v>
      </c>
      <c r="BJ65" t="s">
        <v>2500</v>
      </c>
      <c r="BK65">
        <v>74.117647058823493</v>
      </c>
      <c r="BL65">
        <v>82.634271099744197</v>
      </c>
      <c r="BM65" s="143">
        <f>BL65/BK65</f>
        <v>1.1149068322981366</v>
      </c>
      <c r="BN65">
        <f>BL65-BK65</f>
        <v>8.5166240409207035</v>
      </c>
      <c r="BO65">
        <f>BN65*1000*t_to_m3</f>
        <v>17380.865389634091</v>
      </c>
      <c r="BP65" t="s">
        <v>232</v>
      </c>
      <c r="BQ65" s="143" t="s">
        <v>3256</v>
      </c>
      <c r="BR65" t="s">
        <v>1195</v>
      </c>
      <c r="BS65">
        <v>72024.702186804221</v>
      </c>
      <c r="BT65">
        <v>12625.588954781248</v>
      </c>
      <c r="BU65" s="144">
        <f>IFERROR(BT65/BS65,"")</f>
        <v>0.17529526081253835</v>
      </c>
      <c r="BV65" s="144">
        <f>BT65-BS65</f>
        <v>-59399.113232022974</v>
      </c>
      <c r="BW65" s="144"/>
      <c r="BX65" s="144">
        <f>BV65</f>
        <v>-59399.113232022974</v>
      </c>
      <c r="BY65">
        <f>IFERROR(BX65/BO65,"")</f>
        <v>-3.4175003315685575</v>
      </c>
      <c r="BZ65">
        <v>0</v>
      </c>
      <c r="CA65">
        <v>0</v>
      </c>
      <c r="CB65">
        <v>0</v>
      </c>
      <c r="CC65">
        <v>0</v>
      </c>
      <c r="CD65">
        <v>0</v>
      </c>
      <c r="CE65">
        <v>0</v>
      </c>
      <c r="CF65">
        <v>0</v>
      </c>
      <c r="CG65">
        <v>0</v>
      </c>
      <c r="CH65">
        <v>0</v>
      </c>
      <c r="CI65">
        <v>0</v>
      </c>
      <c r="CJ65">
        <v>0</v>
      </c>
      <c r="CK65">
        <v>0</v>
      </c>
      <c r="CL65">
        <v>0</v>
      </c>
      <c r="CM65">
        <v>1</v>
      </c>
      <c r="CN65" t="str">
        <f>IF($BL65&lt;$BK65,"refNeedCorrection","refOK")</f>
        <v>refOK</v>
      </c>
      <c r="CO65">
        <f>IF($CN65="refOK",$BK65,$BL65)</f>
        <v>74.117647058823493</v>
      </c>
      <c r="CP65">
        <f>IF($CN65="refOK",$BL65,$BK65)</f>
        <v>82.634271099744197</v>
      </c>
      <c r="CQ65">
        <f>IF($CN65="refOK",$BO65,-$BO65)</f>
        <v>17380.865389634091</v>
      </c>
      <c r="CR65">
        <f>IF($CN65="refOK",$BS65,$BT65)*IF($BP65="Emissions positive",-1,1)</f>
        <v>72024.702186804221</v>
      </c>
      <c r="CS65">
        <f>IF($CN65="refOK",$BT65,$BS65)*IF($BP65="Emissions positive",-1,1)</f>
        <v>12625.588954781248</v>
      </c>
      <c r="CT65">
        <f>IF($CN65="refNeedCorrection",-BX65,BX65)*IF($BP65="Emissions positive",-1,1)</f>
        <v>-59399.113232022974</v>
      </c>
      <c r="CU65">
        <f>IFERROR(CT65/CQ65,"")</f>
        <v>-3.4175003315685575</v>
      </c>
      <c r="CV65" s="2">
        <f>IFERROR((CS65-CR65)/ABS(CR65),"")</f>
        <v>-0.82470473918746168</v>
      </c>
      <c r="CW65" s="1" t="s">
        <v>1199</v>
      </c>
      <c r="CX65" t="str">
        <f>IF(OR($CW65="prd",$CW65="std",$CW65="cit"),"loc",IF(OR($CW65="eur",$CW65="reg",$CW65="coy"),"reg",$CW65))</f>
        <v>reg</v>
      </c>
      <c r="CY65" t="s">
        <v>235</v>
      </c>
      <c r="CZ65">
        <v>2010</v>
      </c>
      <c r="DA65">
        <v>2070</v>
      </c>
      <c r="DB65">
        <f>DA65-CZ65</f>
        <v>60</v>
      </c>
      <c r="DC65" t="str">
        <f>IF(DB65=0,"0",IF(AND(DB65&gt;=1,DB65&lt;=30),"1-30",IF(AND(DB65&gt;30,DB65&lt;=70),"31-70",IF(AND(DB65&gt;70,DB65&lt;=100),"71-100",IF(DB65&gt;100,"+100")))))</f>
        <v>31-70</v>
      </c>
      <c r="DD65">
        <v>1</v>
      </c>
      <c r="DE65">
        <v>1</v>
      </c>
      <c r="DF65">
        <v>1</v>
      </c>
      <c r="DG65">
        <v>1</v>
      </c>
      <c r="DH65">
        <v>0</v>
      </c>
      <c r="DI65">
        <f>SUM(DD65:DG65)</f>
        <v>4</v>
      </c>
      <c r="DJ65" t="str">
        <f>IF(DI65=1,INDEX($DD$7:$DG$7,MATCH(1,$DD65:$DG65,0)),"mixedProduct")</f>
        <v>mixedProduct</v>
      </c>
      <c r="DK65" t="str">
        <f>IF(DD65=1,DK$7,0)</f>
        <v>Upstream</v>
      </c>
      <c r="DL65" t="str">
        <f>IF(DE65=1,DL$7,0)</f>
        <v>Energy</v>
      </c>
      <c r="DM65" t="str">
        <f>IF(DF65=1,DM$7,0)</f>
        <v>Pulp/Paper</v>
      </c>
      <c r="DN65" t="str">
        <f>IF(DG65=1,DN$7,0)</f>
        <v>Timber</v>
      </c>
      <c r="DO65">
        <v>0</v>
      </c>
      <c r="DP65">
        <v>1</v>
      </c>
      <c r="DQ65" t="s">
        <v>2524</v>
      </c>
      <c r="DR65" t="s">
        <v>2525</v>
      </c>
      <c r="DS65">
        <v>0</v>
      </c>
      <c r="DT65">
        <f>SUM(DO65:DP65)</f>
        <v>1</v>
      </c>
      <c r="DU65" s="143" t="str">
        <f>IF(DO65=1,"self-calculated DF",IF(DP65=1,"external DF used","explicit C balance"))</f>
        <v>external DF used</v>
      </c>
      <c r="DV65">
        <v>1</v>
      </c>
      <c r="DW65">
        <v>1</v>
      </c>
      <c r="DX65">
        <v>1</v>
      </c>
      <c r="DY65">
        <v>1</v>
      </c>
      <c r="DZ65">
        <v>0</v>
      </c>
      <c r="EA65" s="143">
        <v>1</v>
      </c>
      <c r="EB65">
        <v>1</v>
      </c>
      <c r="EC65">
        <v>1</v>
      </c>
      <c r="ED65">
        <v>0</v>
      </c>
      <c r="EE65">
        <v>0</v>
      </c>
      <c r="EF65">
        <v>1</v>
      </c>
      <c r="EG65">
        <v>0</v>
      </c>
      <c r="EH65">
        <v>0</v>
      </c>
      <c r="EI65" s="2">
        <v>0</v>
      </c>
      <c r="EJ65" s="1"/>
      <c r="EK65" t="str">
        <f>IF(AND(AND(AND(OR($DX65=1,$DW65=1),OR($EC65=1,$EA65=1)),SUM($DV65:$DZ65,$EF65)&gt;=4),SUM($EA65:$EE65)&gt;=2),"Whole sector","")</f>
        <v>Whole sector</v>
      </c>
      <c r="EL65" t="str">
        <f>IF(AND(AND(OR($DX65=1,$DW65=1),AND($EC65=0,$EA65=0)),SUM($DV65:$DZ65,$EF65)&gt;=4),"Ecosystem approach","")</f>
        <v/>
      </c>
      <c r="EM65" s="2" t="str">
        <f>IF(AND(AND(AND($DX65=0,$DW65=0),OR($EC65=1,$EA65=1)),SUM($EB65:$EE65)&gt;=2),"Technology approach","")</f>
        <v/>
      </c>
      <c r="EN65"/>
      <c r="EO65"/>
      <c r="EP65" t="str">
        <f>IF(ISNUMBER(BU65),IF(ABS(BU65-[1]QC_indicators!$B$2)&gt;3*[1]QC_indicators!$C$2,"C ratio",IF(ISNUMBER(BY65),IF(ABS(BY65-[1]QC_indicators!$B$1)&gt;3*[1]QC_indicators!$C$1,"DF","no"))),IF(ISNUMBER(BY65),IF(ABS(BY65-[1]QC_indicators!$B$1)&gt;3*[1]QC_indicators!$C$1,"DF","no")))</f>
        <v>no</v>
      </c>
      <c r="EQ65"/>
      <c r="ER65"/>
      <c r="ES65"/>
      <c r="ET65" s="264" t="s">
        <v>3260</v>
      </c>
      <c r="EU65"/>
    </row>
    <row r="66" spans="1:151" s="139" customFormat="1" ht="15" customHeight="1">
      <c r="A66" s="1" t="s">
        <v>1423</v>
      </c>
      <c r="B66" t="s">
        <v>2490</v>
      </c>
      <c r="C66" t="s">
        <v>2491</v>
      </c>
      <c r="D66" t="s">
        <v>2492</v>
      </c>
      <c r="E66" t="s">
        <v>2493</v>
      </c>
      <c r="F66" t="s">
        <v>2494</v>
      </c>
      <c r="G66" t="s">
        <v>1429</v>
      </c>
      <c r="H66" t="s">
        <v>254</v>
      </c>
      <c r="I66">
        <v>2016</v>
      </c>
      <c r="J66">
        <v>24</v>
      </c>
      <c r="K66" t="s">
        <v>2495</v>
      </c>
      <c r="L66"/>
      <c r="M66" t="str">
        <f>LEFT($D66,FIND(",",$D66)-1)&amp;"_"&amp;I66&amp;L66</f>
        <v>Zubizarreta-Gerendiain_2016</v>
      </c>
      <c r="N66" t="s">
        <v>222</v>
      </c>
      <c r="O66" s="145" t="s">
        <v>1154</v>
      </c>
      <c r="P66"/>
      <c r="Q66" t="s">
        <v>256</v>
      </c>
      <c r="R66" s="262" t="s">
        <v>223</v>
      </c>
      <c r="S66" s="1" t="s">
        <v>2506</v>
      </c>
      <c r="T66" t="s">
        <v>2509</v>
      </c>
      <c r="U66" t="s">
        <v>2498</v>
      </c>
      <c r="V66">
        <v>0</v>
      </c>
      <c r="W66">
        <v>0</v>
      </c>
      <c r="X66">
        <v>0</v>
      </c>
      <c r="Y66">
        <v>2</v>
      </c>
      <c r="Z66">
        <v>0</v>
      </c>
      <c r="AA66">
        <v>0</v>
      </c>
      <c r="AB66">
        <v>0</v>
      </c>
      <c r="AC66">
        <v>0</v>
      </c>
      <c r="AD66">
        <v>0</v>
      </c>
      <c r="AE66">
        <v>0</v>
      </c>
      <c r="AF66">
        <v>1</v>
      </c>
      <c r="AG66">
        <v>0</v>
      </c>
      <c r="AH66">
        <v>0</v>
      </c>
      <c r="AI66">
        <v>0</v>
      </c>
      <c r="AJ66">
        <v>0</v>
      </c>
      <c r="AK66">
        <v>0</v>
      </c>
      <c r="AL66">
        <v>0</v>
      </c>
      <c r="AM66">
        <v>0</v>
      </c>
      <c r="AN66">
        <v>0</v>
      </c>
      <c r="AO66">
        <v>0</v>
      </c>
      <c r="AP66">
        <v>0</v>
      </c>
      <c r="AQ66">
        <v>0</v>
      </c>
      <c r="AR66">
        <v>0</v>
      </c>
      <c r="AS66">
        <v>0</v>
      </c>
      <c r="AT66">
        <v>0</v>
      </c>
      <c r="AU66">
        <v>0</v>
      </c>
      <c r="AV66">
        <v>0</v>
      </c>
      <c r="AW66">
        <v>0</v>
      </c>
      <c r="AX66" s="141">
        <f>COUNTIF(V66:AW66,"&lt;&gt;0")</f>
        <v>2</v>
      </c>
      <c r="AY66" s="141">
        <f>COUNTIF(V66:AL66,"&lt;&gt;0")</f>
        <v>2</v>
      </c>
      <c r="AZ66">
        <f>COUNTIF(V66:AC66,"&lt;&gt;0")</f>
        <v>1</v>
      </c>
      <c r="BA66">
        <f>COUNTIF(AD66:AI66,"&lt;&gt;0")</f>
        <v>1</v>
      </c>
      <c r="BB66">
        <f>COUNTIF(AJ66:AL66,"&lt;&gt;0")</f>
        <v>0</v>
      </c>
      <c r="BC66">
        <f>COUNTIF(AS66:AW66,"&lt;&gt;0")</f>
        <v>0</v>
      </c>
      <c r="BD66">
        <f>COUNTIF(AM66:AR66,"&lt;&gt;0")</f>
        <v>0</v>
      </c>
      <c r="BE66" t="str">
        <f t="array" ref="BE66">IF(AY66=1,INDEX($V$7:$AL$7,MATCH(TRUE,INDEX($V66:$AW66&lt;&gt;0,),0)),IF(AY66=0,INDEX($AM$7:$AW$7,MATCH(1,$AM66:$AW66,0)),IF(BF66="Multiple strategies","mixed drivers",IF(BF66="Supply chain","multiple supply","multiple silviculture"))))</f>
        <v>mixed drivers</v>
      </c>
      <c r="BF66" s="2" t="str" cm="1">
        <f t="array" ref="BF66">IF(COUNTIF(AZ66:BB66,"&lt;&gt;0")=1,INDEX($V$4:$AW$4,MATCH(TRUE,INDEX($V66:$AW66&lt;&gt;0,),0)),IF(COUNTIF(AZ66:BB66,"&lt;&gt;0")=0,INDEX($AM$4:$AW$4,MATCH(1,$AM66:$AW66,0)),"Multiple strategies"))</f>
        <v>Multiple strategies</v>
      </c>
      <c r="BG66" s="1" t="s">
        <v>321</v>
      </c>
      <c r="BH66" t="s">
        <v>2499</v>
      </c>
      <c r="BI66" s="264" t="s">
        <v>2113</v>
      </c>
      <c r="BJ66" t="s">
        <v>2500</v>
      </c>
      <c r="BK66">
        <v>64.910485933503793</v>
      </c>
      <c r="BL66">
        <v>82.946708463949804</v>
      </c>
      <c r="BM66" s="143">
        <f>BL66/BK66</f>
        <v>1.2778630027346098</v>
      </c>
      <c r="BN66">
        <f>BL66-BK66</f>
        <v>18.036222530446011</v>
      </c>
      <c r="BO66">
        <f>BN66*1000*t_to_m3</f>
        <v>36808.617409073493</v>
      </c>
      <c r="BP66" s="143" t="s">
        <v>232</v>
      </c>
      <c r="BQ66" s="143" t="s">
        <v>3256</v>
      </c>
      <c r="BR66" t="s">
        <v>1195</v>
      </c>
      <c r="BS66">
        <v>78941.884525139583</v>
      </c>
      <c r="BT66">
        <v>-46788.009888268192</v>
      </c>
      <c r="BU66" s="144">
        <f>IFERROR(BT66/BS66,"")</f>
        <v>-0.59268929503916556</v>
      </c>
      <c r="BV66" s="144">
        <f>BT66-BS66</f>
        <v>-125729.89441340778</v>
      </c>
      <c r="BW66" s="144"/>
      <c r="BX66" s="144">
        <f>BV66</f>
        <v>-125729.89441340778</v>
      </c>
      <c r="BY66">
        <f>IFERROR(BX66/BO66,"")</f>
        <v>-3.4157733504658823</v>
      </c>
      <c r="BZ66">
        <v>0</v>
      </c>
      <c r="CA66">
        <v>0</v>
      </c>
      <c r="CB66">
        <v>0</v>
      </c>
      <c r="CC66">
        <v>0</v>
      </c>
      <c r="CD66">
        <v>0</v>
      </c>
      <c r="CE66">
        <v>0</v>
      </c>
      <c r="CF66">
        <v>0</v>
      </c>
      <c r="CG66">
        <v>0</v>
      </c>
      <c r="CH66">
        <v>0</v>
      </c>
      <c r="CI66">
        <v>0</v>
      </c>
      <c r="CJ66">
        <v>0</v>
      </c>
      <c r="CK66">
        <v>0</v>
      </c>
      <c r="CL66">
        <v>0</v>
      </c>
      <c r="CM66">
        <v>1</v>
      </c>
      <c r="CN66" t="str">
        <f>IF($BL66&lt;$BK66,"refNeedCorrection","refOK")</f>
        <v>refOK</v>
      </c>
      <c r="CO66">
        <f>IF($CN66="refOK",$BK66,$BL66)</f>
        <v>64.910485933503793</v>
      </c>
      <c r="CP66">
        <f>IF($CN66="refOK",$BL66,$BK66)</f>
        <v>82.946708463949804</v>
      </c>
      <c r="CQ66">
        <f>IF($CN66="refOK",$BO66,-$BO66)</f>
        <v>36808.617409073493</v>
      </c>
      <c r="CR66">
        <f>IF($CN66="refOK",$BS66,$BT66)*IF($BP66="Emissions positive",-1,1)</f>
        <v>78941.884525139583</v>
      </c>
      <c r="CS66">
        <f>IF($CN66="refOK",$BT66,$BS66)*IF($BP66="Emissions positive",-1,1)</f>
        <v>-46788.009888268192</v>
      </c>
      <c r="CT66">
        <f>IF($CN66="refNeedCorrection",-BX66,BX66)*IF($BP66="Emissions positive",-1,1)</f>
        <v>-125729.89441340778</v>
      </c>
      <c r="CU66">
        <f>IFERROR(CT66/CQ66,"")</f>
        <v>-3.4157733504658823</v>
      </c>
      <c r="CV66" s="2">
        <f>IFERROR((CS66-CR66)/ABS(CR66),"")</f>
        <v>-1.5926892950391656</v>
      </c>
      <c r="CW66" s="1" t="s">
        <v>1199</v>
      </c>
      <c r="CX66" t="str">
        <f>IF(OR($CW66="prd",$CW66="std",$CW66="cit"),"loc",IF(OR($CW66="eur",$CW66="reg",$CW66="coy"),"reg",$CW66))</f>
        <v>reg</v>
      </c>
      <c r="CY66" t="s">
        <v>235</v>
      </c>
      <c r="CZ66">
        <v>2010</v>
      </c>
      <c r="DA66">
        <v>2070</v>
      </c>
      <c r="DB66">
        <f>DA66-CZ66</f>
        <v>60</v>
      </c>
      <c r="DC66" t="str">
        <f>IF(DB66=0,"0",IF(AND(DB66&gt;=1,DB66&lt;=30),"1-30",IF(AND(DB66&gt;30,DB66&lt;=70),"31-70",IF(AND(DB66&gt;70,DB66&lt;=100),"71-100",IF(DB66&gt;100,"+100")))))</f>
        <v>31-70</v>
      </c>
      <c r="DD66">
        <v>1</v>
      </c>
      <c r="DE66">
        <v>0</v>
      </c>
      <c r="DF66">
        <v>0</v>
      </c>
      <c r="DG66">
        <v>0</v>
      </c>
      <c r="DH66">
        <v>0</v>
      </c>
      <c r="DI66">
        <f>SUM(DD66:DG66)</f>
        <v>1</v>
      </c>
      <c r="DJ66" t="str">
        <f>IF(DI66=1,INDEX($DD$7:$DG$7,MATCH(1,$DD66:$DG66,0)),"mixedProduct")</f>
        <v>UpstreamInput</v>
      </c>
      <c r="DK66" t="str">
        <f>IF(DD66=1,DK$7,0)</f>
        <v>Upstream</v>
      </c>
      <c r="DL66">
        <f>IF(DE66=1,DL$7,0)</f>
        <v>0</v>
      </c>
      <c r="DM66">
        <f>IF(DF66=1,DM$7,0)</f>
        <v>0</v>
      </c>
      <c r="DN66">
        <f>IF(DG66=1,DN$7,0)</f>
        <v>0</v>
      </c>
      <c r="DO66">
        <v>0</v>
      </c>
      <c r="DP66">
        <v>0</v>
      </c>
      <c r="DQ66">
        <v>0</v>
      </c>
      <c r="DR66">
        <v>0</v>
      </c>
      <c r="DS66">
        <v>0</v>
      </c>
      <c r="DT66">
        <f>SUM(DO66:DP66)</f>
        <v>0</v>
      </c>
      <c r="DU66" s="143" t="str">
        <f>IF(DO66=1,"self-calculated DF",IF(DP66=1,"external DF used","explicit C balance"))</f>
        <v>explicit C balance</v>
      </c>
      <c r="DV66">
        <v>1</v>
      </c>
      <c r="DW66">
        <v>1</v>
      </c>
      <c r="DX66">
        <v>1</v>
      </c>
      <c r="DY66">
        <v>1</v>
      </c>
      <c r="DZ66">
        <v>0</v>
      </c>
      <c r="EA66" s="143">
        <v>0</v>
      </c>
      <c r="EB66">
        <v>0</v>
      </c>
      <c r="EC66">
        <v>0</v>
      </c>
      <c r="ED66">
        <v>0</v>
      </c>
      <c r="EE66">
        <v>0</v>
      </c>
      <c r="EF66">
        <v>1</v>
      </c>
      <c r="EG66">
        <v>0</v>
      </c>
      <c r="EH66">
        <v>0</v>
      </c>
      <c r="EI66" s="2">
        <v>0</v>
      </c>
      <c r="EJ66" s="1"/>
      <c r="EK66" t="str">
        <f>IF(AND(AND(AND(OR($DX66=1,$DW66=1),OR($EC66=1,$EA66=1)),SUM($DV66:$DZ66,$EF66)&gt;=4),SUM($EA66:$EE66)&gt;=2),"Whole sector","")</f>
        <v/>
      </c>
      <c r="EL66" t="str">
        <f>IF(AND(AND(OR($DX66=1,$DW66=1),AND($EC66=0,$EA66=0)),SUM($DV66:$DZ66,$EF66)&gt;=4),"Ecosystem approach","")</f>
        <v>Ecosystem approach</v>
      </c>
      <c r="EM66" s="2" t="str">
        <f>IF(AND(AND(AND($DX66=0,$DW66=0),OR($EC66=1,$EA66=1)),SUM($EB66:$EE66)&gt;=2),"Technology approach","")</f>
        <v/>
      </c>
      <c r="EN66" t="s">
        <v>2508</v>
      </c>
      <c r="EO66"/>
      <c r="EP66" t="str">
        <f>IF(ISNUMBER(BU66),IF(ABS(BU66-[1]QC_indicators!$B$2)&gt;3*[1]QC_indicators!$C$2,"C ratio",IF(ISNUMBER(BY66),IF(ABS(BY66-[1]QC_indicators!$B$1)&gt;3*[1]QC_indicators!$C$1,"DF","no"))),IF(ISNUMBER(BY66),IF(ABS(BY66-[1]QC_indicators!$B$1)&gt;3*[1]QC_indicators!$C$1,"DF","no")))</f>
        <v>no</v>
      </c>
      <c r="EQ66"/>
      <c r="ER66"/>
      <c r="ES66"/>
      <c r="ET66" s="264" t="s">
        <v>3257</v>
      </c>
      <c r="EU66"/>
    </row>
    <row r="67" spans="1:151" s="139" customFormat="1" ht="15" customHeight="1">
      <c r="A67" s="1" t="s">
        <v>1360</v>
      </c>
      <c r="B67" t="s">
        <v>2098</v>
      </c>
      <c r="C67" t="s">
        <v>2099</v>
      </c>
      <c r="D67" t="s">
        <v>2100</v>
      </c>
      <c r="E67" t="s">
        <v>2101</v>
      </c>
      <c r="F67" t="s">
        <v>2102</v>
      </c>
      <c r="G67" t="s">
        <v>1366</v>
      </c>
      <c r="H67" t="s">
        <v>1628</v>
      </c>
      <c r="I67">
        <v>2004</v>
      </c>
      <c r="J67">
        <v>53</v>
      </c>
      <c r="K67" t="s">
        <v>2103</v>
      </c>
      <c r="L67"/>
      <c r="M67" t="str">
        <f>LEFT($D67,FIND(",",$D67)-1)&amp;"_"&amp;I67&amp;L67</f>
        <v>Phat_2004</v>
      </c>
      <c r="N67" t="s">
        <v>222</v>
      </c>
      <c r="O67" s="171" t="s">
        <v>513</v>
      </c>
      <c r="P67" s="141" t="s">
        <v>225</v>
      </c>
      <c r="Q67" t="s">
        <v>389</v>
      </c>
      <c r="R67" s="2" t="s">
        <v>274</v>
      </c>
      <c r="S67" s="1" t="s">
        <v>2104</v>
      </c>
      <c r="T67" t="s">
        <v>2105</v>
      </c>
      <c r="U67" t="s">
        <v>2106</v>
      </c>
      <c r="V67">
        <v>0</v>
      </c>
      <c r="W67">
        <v>0</v>
      </c>
      <c r="X67">
        <v>0</v>
      </c>
      <c r="Y67">
        <v>1</v>
      </c>
      <c r="Z67">
        <v>0</v>
      </c>
      <c r="AA67">
        <v>0</v>
      </c>
      <c r="AB67">
        <v>0</v>
      </c>
      <c r="AC67">
        <v>0</v>
      </c>
      <c r="AD67">
        <v>1</v>
      </c>
      <c r="AE67">
        <v>0</v>
      </c>
      <c r="AF67">
        <v>0</v>
      </c>
      <c r="AG67">
        <v>0</v>
      </c>
      <c r="AH67">
        <v>0</v>
      </c>
      <c r="AI67">
        <v>0</v>
      </c>
      <c r="AJ67"/>
      <c r="AK67">
        <v>0</v>
      </c>
      <c r="AL67">
        <v>0</v>
      </c>
      <c r="AM67">
        <v>0</v>
      </c>
      <c r="AN67">
        <v>0</v>
      </c>
      <c r="AO67">
        <v>0</v>
      </c>
      <c r="AP67">
        <v>0</v>
      </c>
      <c r="AQ67">
        <v>0</v>
      </c>
      <c r="AR67">
        <v>0</v>
      </c>
      <c r="AS67">
        <v>0</v>
      </c>
      <c r="AT67">
        <v>0</v>
      </c>
      <c r="AU67">
        <v>0</v>
      </c>
      <c r="AV67">
        <v>0</v>
      </c>
      <c r="AW67">
        <v>0</v>
      </c>
      <c r="AX67" s="141">
        <f>COUNTIF(V67:AW67,"&lt;&gt;0")</f>
        <v>3</v>
      </c>
      <c r="AY67" s="141">
        <f>COUNTIF(V67:AL67,"&lt;&gt;0")</f>
        <v>3</v>
      </c>
      <c r="AZ67">
        <f>COUNTIF(V67:AC67,"&lt;&gt;0")</f>
        <v>1</v>
      </c>
      <c r="BA67">
        <f>COUNTIF(AD67:AI67,"&lt;&gt;0")</f>
        <v>1</v>
      </c>
      <c r="BB67">
        <f>COUNTIF(AJ67:AL67,"&lt;&gt;0")</f>
        <v>1</v>
      </c>
      <c r="BC67">
        <f>COUNTIF(AS67:AW67,"&lt;&gt;0")</f>
        <v>0</v>
      </c>
      <c r="BD67">
        <f>COUNTIF(AM67:AR67,"&lt;&gt;0")</f>
        <v>0</v>
      </c>
      <c r="BE67" t="str">
        <f t="array" ref="BE67">IF(AY67=1,INDEX($V$7:$AL$7,MATCH(TRUE,INDEX($V67:$AW67&lt;&gt;0,),0)),IF(AY67=0,INDEX($AM$7:$AW$7,MATCH(1,$AM67:$AW67,0)),IF(BF67="Multiple strategies","mixed drivers",IF(BF67="Supply chain","multiple supply","multiple silviculture"))))</f>
        <v>mixed drivers</v>
      </c>
      <c r="BF67" s="2" t="str" cm="1">
        <f t="array" ref="BF67">IF(COUNTIF(AZ67:BB67,"&lt;&gt;0")=1,INDEX($V$4:$AW$4,MATCH(TRUE,INDEX($V67:$AW67&lt;&gt;0,),0)),IF(COUNTIF(AZ67:BB67,"&lt;&gt;0")=0,INDEX($AM$4:$AW$4,MATCH(1,$AM67:$AW67,0)),"Multiple strategies"))</f>
        <v>Multiple strategies</v>
      </c>
      <c r="BG67" s="142" t="s">
        <v>321</v>
      </c>
      <c r="BH67" t="s">
        <v>2107</v>
      </c>
      <c r="BI67" t="s">
        <v>2108</v>
      </c>
      <c r="BJ67" t="s">
        <v>498</v>
      </c>
      <c r="BK67">
        <v>5865000000</v>
      </c>
      <c r="BL67">
        <v>10857500000</v>
      </c>
      <c r="BM67">
        <f>IFERROR(BL67/BK67,"")</f>
        <v>1.851236146632566</v>
      </c>
      <c r="BN67">
        <f>BL67-BK67</f>
        <v>4992500000</v>
      </c>
      <c r="BO67">
        <f>BL67-BK67</f>
        <v>4992500000</v>
      </c>
      <c r="BP67" t="s">
        <v>232</v>
      </c>
      <c r="BQ67" s="264" t="s">
        <v>2113</v>
      </c>
      <c r="BR67" t="s">
        <v>2109</v>
      </c>
      <c r="BS67">
        <v>8.9</v>
      </c>
      <c r="BT67">
        <v>4.3</v>
      </c>
      <c r="BU67" s="144"/>
      <c r="BV67">
        <f>(BT67-BS67)*1000000000</f>
        <v>-4600000000.000001</v>
      </c>
      <c r="BW67"/>
      <c r="BX67">
        <f>BV67*C_to_CO2</f>
        <v>-16882000000.000004</v>
      </c>
      <c r="BY67">
        <f>IFERROR(BX67/BO67,"")</f>
        <v>-3.3814722083124695</v>
      </c>
      <c r="BZ67">
        <v>0</v>
      </c>
      <c r="CA67">
        <v>0</v>
      </c>
      <c r="CB67">
        <v>0</v>
      </c>
      <c r="CC67">
        <v>0</v>
      </c>
      <c r="CD67">
        <v>0</v>
      </c>
      <c r="CE67">
        <v>0</v>
      </c>
      <c r="CF67">
        <v>0</v>
      </c>
      <c r="CG67">
        <v>0</v>
      </c>
      <c r="CH67">
        <v>0</v>
      </c>
      <c r="CI67">
        <v>0</v>
      </c>
      <c r="CJ67">
        <v>0</v>
      </c>
      <c r="CK67">
        <v>0</v>
      </c>
      <c r="CL67">
        <v>0</v>
      </c>
      <c r="CM67">
        <v>0</v>
      </c>
      <c r="CN67" t="str">
        <f>IF($BL67&lt;$BK67,"refNeedCorrection","refOK")</f>
        <v>refOK</v>
      </c>
      <c r="CO67">
        <f>IF($CN67="refOK",$BK67,$BL67)</f>
        <v>5865000000</v>
      </c>
      <c r="CP67">
        <f>IF($CN67="refOK",$BL67,$BK67)</f>
        <v>10857500000</v>
      </c>
      <c r="CQ67">
        <f>IF($CN67="refOK",$BO67,-$BO67)</f>
        <v>4992500000</v>
      </c>
      <c r="CR67">
        <f>IF($CN67="refOK",$BS67,$BT67)*IF($BP67="Emissions positive",-1,1)</f>
        <v>8.9</v>
      </c>
      <c r="CS67">
        <f>IF($CN67="refOK",$BT67,$BS67)*IF($BP67="Emissions positive",-1,1)</f>
        <v>4.3</v>
      </c>
      <c r="CT67">
        <f>IF($CN67="refNeedCorrection",-BX67,BX67)*IF($BP67="Emissions positive",-1,1)</f>
        <v>-16882000000.000004</v>
      </c>
      <c r="CU67">
        <f>IFERROR(CT67/CQ67,"")</f>
        <v>-3.3814722083124695</v>
      </c>
      <c r="CV67" s="2">
        <f>IFERROR((CS67-CR67)/ABS(CR67),"")</f>
        <v>-0.5168539325842697</v>
      </c>
      <c r="CW67" s="1" t="s">
        <v>1199</v>
      </c>
      <c r="CX67" t="str">
        <f>IF(OR($CW67="prd",$CW67="std",$CW67="cit"),"loc",IF(OR($CW67="eur",$CW67="reg",$CW67="coy"),"reg",$CW67))</f>
        <v>reg</v>
      </c>
      <c r="CY67" t="s">
        <v>2110</v>
      </c>
      <c r="CZ67">
        <v>2000</v>
      </c>
      <c r="DA67">
        <v>2050</v>
      </c>
      <c r="DB67">
        <v>50</v>
      </c>
      <c r="DC67" t="str">
        <f>IF(DB67=0,"0",IF(AND(DB67&gt;=1,DB67&lt;=30),"1-30",IF(AND(DB67&gt;30,DB67&lt;=70),"31-70",IF(AND(DB67&gt;70,DB67&lt;=100),"71-100",IF(DB67&gt;100,"+100")))))</f>
        <v>31-70</v>
      </c>
      <c r="DD67">
        <v>1</v>
      </c>
      <c r="DE67">
        <v>0</v>
      </c>
      <c r="DF67">
        <v>0</v>
      </c>
      <c r="DG67">
        <v>0</v>
      </c>
      <c r="DH67"/>
      <c r="DI67">
        <f>SUM(DD67:DG67)</f>
        <v>1</v>
      </c>
      <c r="DJ67" t="str">
        <f>IF(DI67=1,INDEX($DD$7:$DG$7,MATCH(1,$DD67:$DG67,0)),"mixedProduct")</f>
        <v>UpstreamInput</v>
      </c>
      <c r="DK67" t="str">
        <f>IF(DD67=1,DK$7,0)</f>
        <v>Upstream</v>
      </c>
      <c r="DL67">
        <f>IF(DE67=1,DL$7,0)</f>
        <v>0</v>
      </c>
      <c r="DM67">
        <f>IF(DF67=1,DM$7,0)</f>
        <v>0</v>
      </c>
      <c r="DN67">
        <f>IF(DG67=1,DN$7,0)</f>
        <v>0</v>
      </c>
      <c r="DO67">
        <v>0</v>
      </c>
      <c r="DP67">
        <v>0</v>
      </c>
      <c r="DQ67">
        <v>0</v>
      </c>
      <c r="DR67">
        <v>0</v>
      </c>
      <c r="DS67">
        <v>0</v>
      </c>
      <c r="DT67">
        <f>SUM(DO67:DP67)</f>
        <v>0</v>
      </c>
      <c r="DU67" s="143" t="str">
        <f>IF(DO67=1,"self-calculated DF",IF(DP67=1,"external DF used","explicit C balance"))</f>
        <v>explicit C balance</v>
      </c>
      <c r="DV67">
        <v>0</v>
      </c>
      <c r="DW67">
        <v>0</v>
      </c>
      <c r="DX67">
        <v>1</v>
      </c>
      <c r="DY67">
        <v>1</v>
      </c>
      <c r="DZ67">
        <v>1</v>
      </c>
      <c r="EA67" s="143">
        <v>0</v>
      </c>
      <c r="EB67">
        <v>0</v>
      </c>
      <c r="EC67">
        <v>0</v>
      </c>
      <c r="ED67">
        <v>0</v>
      </c>
      <c r="EE67">
        <v>0</v>
      </c>
      <c r="EF67">
        <v>0</v>
      </c>
      <c r="EG67" s="143">
        <v>0</v>
      </c>
      <c r="EH67" s="143">
        <v>1</v>
      </c>
      <c r="EI67" s="2">
        <v>0</v>
      </c>
      <c r="EJ67" s="1"/>
      <c r="EK67" t="str">
        <f>IF(AND(AND(AND(OR($DX67=1,$DW67=1),OR($EC67=1,$EA67=1)),SUM($DV67:$DZ67,$EF67)&gt;=4),SUM($EA67:$EE67)&gt;=2),"Whole sector","")</f>
        <v/>
      </c>
      <c r="EL67" t="str">
        <f>IF(AND(AND(OR($DX67=1,$DW67=1),AND($EC67=0,$EA67=0)),SUM($DV67:$DZ67,$EF67)&gt;=4),"Ecosystem approach","")</f>
        <v/>
      </c>
      <c r="EM67" s="2" t="str">
        <f>IF(AND(AND(AND($DX67=0,$DW67=0),OR($EC67=1,$EA67=1)),SUM($EB67:$EE67)&gt;=2),"Technology approach","")</f>
        <v/>
      </c>
      <c r="EN67"/>
      <c r="EO67"/>
      <c r="EP67" t="str">
        <f>IF(ISNUMBER(BU67),IF(ABS(BU67-[2]QC_indicators!$B$2)&gt;3*[2]QC_indicators!$C$2,"C ratio",IF(ISNUMBER(BY67),IF(ABS(BY67-[2]QC_indicators!$B$1)&gt;3*[2]QC_indicators!$C$1,"DF","no"))),IF(ISNUMBER(BY67),IF(ABS(BY67-[2]QC_indicators!$B$1)&gt;3*[2]QC_indicators!$C$1,"DF","no")))</f>
        <v>no</v>
      </c>
      <c r="EQ67"/>
      <c r="ER67"/>
      <c r="ES67"/>
      <c r="ET67" s="264" t="s">
        <v>3271</v>
      </c>
      <c r="EU67" s="264"/>
    </row>
    <row r="68" spans="1:151" s="139" customFormat="1" ht="15" customHeight="1">
      <c r="A68" s="1" t="s">
        <v>656</v>
      </c>
      <c r="B68" t="s">
        <v>2080</v>
      </c>
      <c r="C68" t="s">
        <v>2081</v>
      </c>
      <c r="D68" t="s">
        <v>2082</v>
      </c>
      <c r="E68" t="s">
        <v>2083</v>
      </c>
      <c r="F68" t="s">
        <v>2084</v>
      </c>
      <c r="G68" t="s">
        <v>662</v>
      </c>
      <c r="H68" t="s">
        <v>254</v>
      </c>
      <c r="I68">
        <v>2020</v>
      </c>
      <c r="J68">
        <v>4</v>
      </c>
      <c r="K68" t="s">
        <v>2085</v>
      </c>
      <c r="L68"/>
      <c r="M68" t="str">
        <f>LEFT($D68,FIND(",",$D68)-1)&amp;"_"&amp;I68&amp;L68</f>
        <v>Palus_2020</v>
      </c>
      <c r="N68" t="s">
        <v>222</v>
      </c>
      <c r="O68" s="157" t="s">
        <v>513</v>
      </c>
      <c r="P68" t="s">
        <v>223</v>
      </c>
      <c r="Q68" t="s">
        <v>389</v>
      </c>
      <c r="R68" s="255" t="s">
        <v>225</v>
      </c>
      <c r="S68" s="1"/>
      <c r="T68" t="s">
        <v>1183</v>
      </c>
      <c r="U68" t="s">
        <v>1201</v>
      </c>
      <c r="V68">
        <v>0</v>
      </c>
      <c r="W68">
        <v>0</v>
      </c>
      <c r="X68">
        <v>0</v>
      </c>
      <c r="Y68">
        <v>0</v>
      </c>
      <c r="Z68">
        <v>0</v>
      </c>
      <c r="AA68">
        <v>0</v>
      </c>
      <c r="AB68">
        <v>0</v>
      </c>
      <c r="AC68">
        <v>0</v>
      </c>
      <c r="AD68">
        <v>0</v>
      </c>
      <c r="AE68">
        <v>0</v>
      </c>
      <c r="AF68">
        <v>1</v>
      </c>
      <c r="AG68">
        <v>0</v>
      </c>
      <c r="AH68">
        <v>0</v>
      </c>
      <c r="AI68">
        <v>0</v>
      </c>
      <c r="AJ68">
        <v>0</v>
      </c>
      <c r="AK68">
        <v>0</v>
      </c>
      <c r="AL68">
        <v>0</v>
      </c>
      <c r="AM68">
        <v>0</v>
      </c>
      <c r="AN68">
        <v>0</v>
      </c>
      <c r="AO68">
        <v>0</v>
      </c>
      <c r="AP68">
        <v>0</v>
      </c>
      <c r="AQ68">
        <v>0</v>
      </c>
      <c r="AR68">
        <v>0</v>
      </c>
      <c r="AS68">
        <v>1</v>
      </c>
      <c r="AT68">
        <v>0</v>
      </c>
      <c r="AU68">
        <v>0</v>
      </c>
      <c r="AV68">
        <v>0</v>
      </c>
      <c r="AW68">
        <v>0</v>
      </c>
      <c r="AX68" s="141">
        <f>COUNTIF(V68:AW68,"&lt;&gt;0")</f>
        <v>2</v>
      </c>
      <c r="AY68" s="141">
        <f>COUNTIF(V68:AL68,"&lt;&gt;0")</f>
        <v>1</v>
      </c>
      <c r="AZ68">
        <f>COUNTIF(V68:AC68,"&lt;&gt;0")</f>
        <v>0</v>
      </c>
      <c r="BA68">
        <f>COUNTIF(AD68:AI68,"&lt;&gt;0")</f>
        <v>1</v>
      </c>
      <c r="BB68">
        <f>COUNTIF(AJ68:AL68,"&lt;&gt;0")</f>
        <v>0</v>
      </c>
      <c r="BC68">
        <f>COUNTIF(AS68:AW68,"&lt;&gt;0")</f>
        <v>1</v>
      </c>
      <c r="BD68">
        <f>COUNTIF(AM68:AR68,"&lt;&gt;0")</f>
        <v>0</v>
      </c>
      <c r="BE68" t="str">
        <f t="array" ref="BE68">IF(AY68=1,INDEX($V$7:$AL$7,MATCH(TRUE,INDEX($V68:$AW68&lt;&gt;0,),0)),IF(AY68=0,INDEX($AM$7:$AW$7,MATCH(1,$AM68:$AW68,0)),IF(BF68="Multiple strategies","mixed drivers",IF(BF68="Supply chain","multiple supply","multiple silviculture"))))</f>
        <v>supply chain organization</v>
      </c>
      <c r="BF68" s="2" t="str" cm="1">
        <f t="array" ref="BF68">IF(COUNTIF(AZ68:BB68,"&lt;&gt;0")=1,INDEX($V$4:$AW$4,MATCH(TRUE,INDEX($V68:$AW68&lt;&gt;0,),0)),IF(COUNTIF(AZ68:BB68,"&lt;&gt;0")=0,INDEX($AM$4:$AW$4,MATCH(1,$AM68:$AW68,0)),"Multiple strategies"))</f>
        <v>Supply chain</v>
      </c>
      <c r="BG68" s="1" t="s">
        <v>321</v>
      </c>
      <c r="BH68" t="s">
        <v>832</v>
      </c>
      <c r="BI68" t="s">
        <v>699</v>
      </c>
      <c r="BJ68" t="s">
        <v>2086</v>
      </c>
      <c r="BK68">
        <v>7579.5</v>
      </c>
      <c r="BL68">
        <v>7771.2</v>
      </c>
      <c r="BM68">
        <f>IFERROR(BK68/BL68,"")</f>
        <v>0.97533199505867818</v>
      </c>
      <c r="BN68" s="260">
        <f>BL68-BK68</f>
        <v>191.69999999999982</v>
      </c>
      <c r="BO68" s="260">
        <f>BN68*1000</f>
        <v>191699.99999999983</v>
      </c>
      <c r="BP68" t="s">
        <v>395</v>
      </c>
      <c r="BQ68" s="260" t="s">
        <v>3389</v>
      </c>
      <c r="BR68" t="s">
        <v>2087</v>
      </c>
      <c r="BS68">
        <v>-1153.1500000000001</v>
      </c>
      <c r="BT68">
        <v>-547.41</v>
      </c>
      <c r="BU68"/>
      <c r="BV68">
        <f>BT68-BS68</f>
        <v>605.74000000000012</v>
      </c>
      <c r="BW68"/>
      <c r="BX68">
        <f>BV68*1000</f>
        <v>605740.00000000012</v>
      </c>
      <c r="BY68">
        <f>IFERROR(BX68/BO68,"")</f>
        <v>3.1598330725091324</v>
      </c>
      <c r="BZ68">
        <v>0</v>
      </c>
      <c r="CA68">
        <v>0</v>
      </c>
      <c r="CB68">
        <v>0</v>
      </c>
      <c r="CC68">
        <v>0</v>
      </c>
      <c r="CD68">
        <v>0</v>
      </c>
      <c r="CE68">
        <v>0</v>
      </c>
      <c r="CF68">
        <v>0</v>
      </c>
      <c r="CG68">
        <v>0</v>
      </c>
      <c r="CH68">
        <v>0</v>
      </c>
      <c r="CI68">
        <v>0</v>
      </c>
      <c r="CJ68">
        <v>0</v>
      </c>
      <c r="CK68">
        <v>0</v>
      </c>
      <c r="CL68">
        <v>0</v>
      </c>
      <c r="CM68">
        <v>0</v>
      </c>
      <c r="CN68" t="str">
        <f>IF($BL68&lt;$BK68,"refNeedCorrection","refOK")</f>
        <v>refOK</v>
      </c>
      <c r="CO68">
        <f>IF($CN68="refOK",$BL68,$BK68)</f>
        <v>7771.2</v>
      </c>
      <c r="CP68">
        <f>IF($CN68="refOK",$BK68,$BL68)</f>
        <v>7579.5</v>
      </c>
      <c r="CQ68">
        <f>IF($CN68="refOK",$BO68,-$BO68)</f>
        <v>191699.99999999983</v>
      </c>
      <c r="CR68">
        <f>IF($CN68="refOK",$BU68,$BT68)*IF($BP68="Emissions positive",-1,1)</f>
        <v>0</v>
      </c>
      <c r="CS68">
        <f>IF($CN68="refOK",$BT68,$BU68)*IF($BP68="Emissions positive",-1,1)</f>
        <v>547.41</v>
      </c>
      <c r="CT68">
        <f>IF($CN68="refNeedCorrection",-BX68,BX68)*IF($BP68="Emissions positive",-1,1)</f>
        <v>-605740.00000000012</v>
      </c>
      <c r="CU68">
        <f>IFERROR(CT68/CQ68,"")</f>
        <v>-3.1598330725091324</v>
      </c>
      <c r="CV68" s="2" t="str">
        <f>IFERROR((CS68-CR68)/ABS(CR68),"")</f>
        <v/>
      </c>
      <c r="CW68" s="1" t="s">
        <v>1203</v>
      </c>
      <c r="CX68" t="str">
        <f>IF(OR($CW68="prd",$CW68="std",$CW68="cit"),"loc",IF(OR($CW68="eur",$CW68="reg",$CW68="coy"),"reg",$CW68))</f>
        <v>reg</v>
      </c>
      <c r="CY68" t="s">
        <v>2088</v>
      </c>
      <c r="CZ68">
        <v>2017</v>
      </c>
      <c r="DA68">
        <v>2035</v>
      </c>
      <c r="DB68">
        <f>DA68-CZ68</f>
        <v>18</v>
      </c>
      <c r="DC68" t="str">
        <f>IF(DB68=0,"0",IF(AND(DB68&gt;=1,DB68&lt;=30),"1-30",IF(AND(DB68&gt;30,DB68&lt;=70),"31-70",IF(AND(DB68&gt;70,DB68&lt;=100),"71-100",IF(DB68&gt;100,"+100")))))</f>
        <v>1-30</v>
      </c>
      <c r="DD68">
        <v>0</v>
      </c>
      <c r="DE68">
        <v>0</v>
      </c>
      <c r="DF68">
        <v>1</v>
      </c>
      <c r="DG68">
        <v>1</v>
      </c>
      <c r="DH68">
        <v>0</v>
      </c>
      <c r="DI68">
        <f>SUM(DD68:DH68)</f>
        <v>2</v>
      </c>
      <c r="DJ68" t="str">
        <f>IF(DI68=1,INDEX($DD$7:$DG$7,MATCH(1,$DD68:$DG68,0)),"mixedProduct")</f>
        <v>mixedProduct</v>
      </c>
      <c r="DK68">
        <f>IF(DD68=1,DK$7,0)</f>
        <v>0</v>
      </c>
      <c r="DL68">
        <f>IF(DE68=1,DL$7,0)</f>
        <v>0</v>
      </c>
      <c r="DM68" t="str">
        <f>IF(DF68=1,DM$7,0)</f>
        <v>Pulp/Paper</v>
      </c>
      <c r="DN68" t="str">
        <f>IF(DG68=1,DN$7,0)</f>
        <v>Timber</v>
      </c>
      <c r="DO68">
        <v>0</v>
      </c>
      <c r="DP68">
        <v>0</v>
      </c>
      <c r="DQ68">
        <v>0</v>
      </c>
      <c r="DR68">
        <v>0</v>
      </c>
      <c r="DS68">
        <v>0</v>
      </c>
      <c r="DT68"/>
      <c r="DU68" s="143" t="str">
        <f>IF(DO68=1,"self-calculated DF",IF(DP68=1,"external DF used","explicit C balance"))</f>
        <v>explicit C balance</v>
      </c>
      <c r="DV68">
        <v>0</v>
      </c>
      <c r="DW68">
        <v>0</v>
      </c>
      <c r="DX68">
        <v>0</v>
      </c>
      <c r="DY68">
        <v>1</v>
      </c>
      <c r="DZ68">
        <v>1</v>
      </c>
      <c r="EA68">
        <v>0</v>
      </c>
      <c r="EB68">
        <v>0</v>
      </c>
      <c r="EC68">
        <v>0</v>
      </c>
      <c r="ED68">
        <v>0</v>
      </c>
      <c r="EE68">
        <v>0</v>
      </c>
      <c r="EF68">
        <v>1</v>
      </c>
      <c r="EG68">
        <v>0</v>
      </c>
      <c r="EH68">
        <v>0</v>
      </c>
      <c r="EI68" s="2">
        <v>0</v>
      </c>
      <c r="EJ68" s="1"/>
      <c r="EK68" t="str">
        <f>IF(AND(AND(AND(OR($DX68=1,$DW68=1),OR($EC68=1,$EA68=1)),SUM($DV68:$DZ68,$EF68)&gt;=4),SUM($EA68:$EE68)&gt;=2),"Whole sector","")</f>
        <v/>
      </c>
      <c r="EL68" t="str">
        <f>IF(AND(AND(OR($DX68=1,$DW68=1),AND($EC68=0,$EA68=0)),SUM($DV68:$DZ68,$EF68)&gt;=4),"Ecosystem approach","")</f>
        <v/>
      </c>
      <c r="EM68" s="2" t="str">
        <f>IF(AND(AND(AND($DX68=0,$DW68=0),OR($EC68=1,$EA68=1)),SUM($EB68:$EE68)&gt;=2),"Technology approach","")</f>
        <v/>
      </c>
      <c r="EN68"/>
      <c r="EO68"/>
      <c r="EP68" t="str">
        <f>IF(ISNUMBER(BU68),IF(ABS(BU68-[4]QC_indicators!$B$2)&gt;3*[4]QC_indicators!$C$2,"C ratio",IF(ISNUMBER(BY68),IF(ABS(BY68-[4]QC_indicators!$B$1)&gt;3*[4]QC_indicators!$C$1,"DF","no"))),IF(ISNUMBER(BY68),IF(ABS(BY68-[4]QC_indicators!$B$1)&gt;3*[4]QC_indicators!$C$1,"DF","no")))</f>
        <v>no</v>
      </c>
      <c r="EQ68"/>
      <c r="ER68"/>
      <c r="ES68"/>
      <c r="ET68" s="264" t="s">
        <v>3273</v>
      </c>
      <c r="EU68"/>
    </row>
    <row r="69" spans="1:151" s="139" customFormat="1" ht="15" customHeight="1">
      <c r="A69" s="1" t="s">
        <v>1423</v>
      </c>
      <c r="B69" t="s">
        <v>2490</v>
      </c>
      <c r="C69" t="s">
        <v>2491</v>
      </c>
      <c r="D69" t="s">
        <v>2492</v>
      </c>
      <c r="E69" t="s">
        <v>2493</v>
      </c>
      <c r="F69" t="s">
        <v>2494</v>
      </c>
      <c r="G69" t="s">
        <v>1429</v>
      </c>
      <c r="H69" t="s">
        <v>254</v>
      </c>
      <c r="I69">
        <v>2016</v>
      </c>
      <c r="J69">
        <v>24</v>
      </c>
      <c r="K69" t="s">
        <v>2495</v>
      </c>
      <c r="L69"/>
      <c r="M69" t="str">
        <f>LEFT($D69,FIND(",",$D69)-1)&amp;"_"&amp;I69&amp;L69</f>
        <v>Zubizarreta-Gerendiain_2016</v>
      </c>
      <c r="N69" t="s">
        <v>222</v>
      </c>
      <c r="O69" s="145" t="s">
        <v>1154</v>
      </c>
      <c r="P69"/>
      <c r="Q69" t="s">
        <v>256</v>
      </c>
      <c r="R69" s="262" t="s">
        <v>223</v>
      </c>
      <c r="S69" s="1" t="s">
        <v>2506</v>
      </c>
      <c r="T69" t="s">
        <v>2509</v>
      </c>
      <c r="U69" t="s">
        <v>2498</v>
      </c>
      <c r="V69">
        <v>0</v>
      </c>
      <c r="W69">
        <v>0</v>
      </c>
      <c r="X69">
        <v>0</v>
      </c>
      <c r="Y69">
        <v>2</v>
      </c>
      <c r="Z69">
        <v>0</v>
      </c>
      <c r="AA69">
        <v>0</v>
      </c>
      <c r="AB69">
        <v>0</v>
      </c>
      <c r="AC69">
        <v>0</v>
      </c>
      <c r="AD69">
        <v>0</v>
      </c>
      <c r="AE69">
        <v>0</v>
      </c>
      <c r="AF69">
        <v>1</v>
      </c>
      <c r="AG69">
        <v>0</v>
      </c>
      <c r="AH69">
        <v>0</v>
      </c>
      <c r="AI69">
        <v>0</v>
      </c>
      <c r="AJ69">
        <v>0</v>
      </c>
      <c r="AK69">
        <v>0</v>
      </c>
      <c r="AL69">
        <v>0</v>
      </c>
      <c r="AM69">
        <v>0</v>
      </c>
      <c r="AN69">
        <v>0</v>
      </c>
      <c r="AO69">
        <v>0</v>
      </c>
      <c r="AP69">
        <v>0</v>
      </c>
      <c r="AQ69">
        <v>0</v>
      </c>
      <c r="AR69">
        <v>0</v>
      </c>
      <c r="AS69">
        <v>0</v>
      </c>
      <c r="AT69">
        <v>0</v>
      </c>
      <c r="AU69">
        <v>0</v>
      </c>
      <c r="AV69">
        <v>0</v>
      </c>
      <c r="AW69">
        <v>0</v>
      </c>
      <c r="AX69" s="141">
        <f>COUNTIF(V69:AW69,"&lt;&gt;0")</f>
        <v>2</v>
      </c>
      <c r="AY69" s="141">
        <f>COUNTIF(V69:AL69,"&lt;&gt;0")</f>
        <v>2</v>
      </c>
      <c r="AZ69">
        <f>COUNTIF(V69:AC69,"&lt;&gt;0")</f>
        <v>1</v>
      </c>
      <c r="BA69">
        <f>COUNTIF(AD69:AI69,"&lt;&gt;0")</f>
        <v>1</v>
      </c>
      <c r="BB69">
        <f>COUNTIF(AJ69:AL69,"&lt;&gt;0")</f>
        <v>0</v>
      </c>
      <c r="BC69">
        <f>COUNTIF(AS69:AW69,"&lt;&gt;0")</f>
        <v>0</v>
      </c>
      <c r="BD69">
        <f>COUNTIF(AM69:AR69,"&lt;&gt;0")</f>
        <v>0</v>
      </c>
      <c r="BE69" t="str">
        <f t="array" ref="BE69">IF(AY69=1,INDEX($V$7:$AL$7,MATCH(TRUE,INDEX($V69:$AW69&lt;&gt;0,),0)),IF(AY69=0,INDEX($AM$7:$AW$7,MATCH(1,$AM69:$AW69,0)),IF(BF69="Multiple strategies","mixed drivers",IF(BF69="Supply chain","multiple supply","multiple silviculture"))))</f>
        <v>mixed drivers</v>
      </c>
      <c r="BF69" s="2" t="str" cm="1">
        <f t="array" ref="BF69">IF(COUNTIF(AZ69:BB69,"&lt;&gt;0")=1,INDEX($V$4:$AW$4,MATCH(TRUE,INDEX($V69:$AW69&lt;&gt;0,),0)),IF(COUNTIF(AZ69:BB69,"&lt;&gt;0")=0,INDEX($AM$4:$AW$4,MATCH(1,$AM69:$AW69,0)),"Multiple strategies"))</f>
        <v>Multiple strategies</v>
      </c>
      <c r="BG69" s="1" t="s">
        <v>321</v>
      </c>
      <c r="BH69" t="s">
        <v>2499</v>
      </c>
      <c r="BI69" s="264" t="s">
        <v>2113</v>
      </c>
      <c r="BJ69" t="s">
        <v>2500</v>
      </c>
      <c r="BK69">
        <v>64.910485933503793</v>
      </c>
      <c r="BL69">
        <v>82.946708463949804</v>
      </c>
      <c r="BM69" s="143">
        <f>BL69/BK69</f>
        <v>1.2778630027346098</v>
      </c>
      <c r="BN69">
        <f>BL69-BK69</f>
        <v>18.036222530446011</v>
      </c>
      <c r="BO69">
        <f>BN69*1000*t_to_m3</f>
        <v>36808.617409073493</v>
      </c>
      <c r="BP69" s="143" t="s">
        <v>232</v>
      </c>
      <c r="BQ69" s="143" t="s">
        <v>3256</v>
      </c>
      <c r="BR69" t="s">
        <v>1195</v>
      </c>
      <c r="BS69">
        <v>-4328.4062011172464</v>
      </c>
      <c r="BT69">
        <v>-114599.70703910608</v>
      </c>
      <c r="BU69" s="144">
        <f>IFERROR(BT69/BS69,"")</f>
        <v>26.476190476190904</v>
      </c>
      <c r="BV69" s="144">
        <f>BT69-BS69</f>
        <v>-110271.30083798883</v>
      </c>
      <c r="BW69" s="144"/>
      <c r="BX69" s="144">
        <f>BV69</f>
        <v>-110271.30083798883</v>
      </c>
      <c r="BY69">
        <f>IFERROR(BX69/BO69,"")</f>
        <v>-2.995801217211882</v>
      </c>
      <c r="BZ69">
        <v>0</v>
      </c>
      <c r="CA69">
        <v>0</v>
      </c>
      <c r="CB69">
        <v>0</v>
      </c>
      <c r="CC69">
        <v>0</v>
      </c>
      <c r="CD69">
        <v>0</v>
      </c>
      <c r="CE69">
        <v>0</v>
      </c>
      <c r="CF69">
        <v>0</v>
      </c>
      <c r="CG69">
        <v>0</v>
      </c>
      <c r="CH69">
        <v>0</v>
      </c>
      <c r="CI69">
        <v>0</v>
      </c>
      <c r="CJ69">
        <v>0</v>
      </c>
      <c r="CK69">
        <v>0</v>
      </c>
      <c r="CL69">
        <v>0</v>
      </c>
      <c r="CM69">
        <v>1</v>
      </c>
      <c r="CN69" t="str">
        <f>IF($BL69&lt;$BK69,"refNeedCorrection","refOK")</f>
        <v>refOK</v>
      </c>
      <c r="CO69">
        <f>IF($CN69="refOK",$BK69,$BL69)</f>
        <v>64.910485933503793</v>
      </c>
      <c r="CP69">
        <f>IF($CN69="refOK",$BL69,$BK69)</f>
        <v>82.946708463949804</v>
      </c>
      <c r="CQ69">
        <f>IF($CN69="refOK",$BO69,-$BO69)</f>
        <v>36808.617409073493</v>
      </c>
      <c r="CR69">
        <f>IF($CN69="refOK",$BS69,$BT69)*IF($BP69="Emissions positive",-1,1)</f>
        <v>-4328.4062011172464</v>
      </c>
      <c r="CS69">
        <f>IF($CN69="refOK",$BT69,$BS69)*IF($BP69="Emissions positive",-1,1)</f>
        <v>-114599.70703910608</v>
      </c>
      <c r="CT69">
        <f>IF($CN69="refNeedCorrection",-BX69,BX69)*IF($BP69="Emissions positive",-1,1)</f>
        <v>-110271.30083798883</v>
      </c>
      <c r="CU69">
        <f>IFERROR(CT69/CQ69,"")</f>
        <v>-2.995801217211882</v>
      </c>
      <c r="CV69" s="2">
        <f>IFERROR((CS69-CR69)/ABS(CR69),"")</f>
        <v>-25.476190476190901</v>
      </c>
      <c r="CW69" s="1" t="s">
        <v>1199</v>
      </c>
      <c r="CX69" t="str">
        <f>IF(OR($CW69="prd",$CW69="std",$CW69="cit"),"loc",IF(OR($CW69="eur",$CW69="reg",$CW69="coy"),"reg",$CW69))</f>
        <v>reg</v>
      </c>
      <c r="CY69" t="s">
        <v>235</v>
      </c>
      <c r="CZ69">
        <v>2010</v>
      </c>
      <c r="DA69">
        <v>2070</v>
      </c>
      <c r="DB69">
        <f>DA69-CZ69</f>
        <v>60</v>
      </c>
      <c r="DC69" t="str">
        <f>IF(DB69=0,"0",IF(AND(DB69&gt;=1,DB69&lt;=30),"1-30",IF(AND(DB69&gt;30,DB69&lt;=70),"31-70",IF(AND(DB69&gt;70,DB69&lt;=100),"71-100",IF(DB69&gt;100,"+100")))))</f>
        <v>31-70</v>
      </c>
      <c r="DD69">
        <v>1</v>
      </c>
      <c r="DE69">
        <v>1</v>
      </c>
      <c r="DF69">
        <v>1</v>
      </c>
      <c r="DG69">
        <v>1</v>
      </c>
      <c r="DH69">
        <v>0</v>
      </c>
      <c r="DI69">
        <f>SUM(DD69:DG69)</f>
        <v>4</v>
      </c>
      <c r="DJ69" t="str">
        <f>IF(DI69=1,INDEX($DD$7:$DG$7,MATCH(1,$DD69:$DG69,0)),"mixedProduct")</f>
        <v>mixedProduct</v>
      </c>
      <c r="DK69" t="str">
        <f>IF(DD69=1,DK$7,0)</f>
        <v>Upstream</v>
      </c>
      <c r="DL69" t="str">
        <f>IF(DE69=1,DL$7,0)</f>
        <v>Energy</v>
      </c>
      <c r="DM69" t="str">
        <f>IF(DF69=1,DM$7,0)</f>
        <v>Pulp/Paper</v>
      </c>
      <c r="DN69" t="str">
        <f>IF(DG69=1,DN$7,0)</f>
        <v>Timber</v>
      </c>
      <c r="DO69">
        <v>0</v>
      </c>
      <c r="DP69">
        <v>0</v>
      </c>
      <c r="DQ69">
        <v>0</v>
      </c>
      <c r="DR69">
        <v>0</v>
      </c>
      <c r="DS69">
        <v>0</v>
      </c>
      <c r="DT69">
        <f>SUM(DO69:DP69)</f>
        <v>0</v>
      </c>
      <c r="DU69" s="143" t="str">
        <f>IF(DO69=1,"self-calculated DF",IF(DP69=1,"external DF used","explicit C balance"))</f>
        <v>explicit C balance</v>
      </c>
      <c r="DV69">
        <v>1</v>
      </c>
      <c r="DW69">
        <v>1</v>
      </c>
      <c r="DX69">
        <v>1</v>
      </c>
      <c r="DY69">
        <v>0</v>
      </c>
      <c r="DZ69">
        <v>0</v>
      </c>
      <c r="EA69" s="143">
        <v>0</v>
      </c>
      <c r="EB69">
        <v>1</v>
      </c>
      <c r="EC69">
        <v>1</v>
      </c>
      <c r="ED69">
        <v>0</v>
      </c>
      <c r="EE69">
        <v>0</v>
      </c>
      <c r="EF69">
        <v>1</v>
      </c>
      <c r="EG69">
        <v>0</v>
      </c>
      <c r="EH69">
        <v>0</v>
      </c>
      <c r="EI69" s="2">
        <v>0</v>
      </c>
      <c r="EJ69" s="1"/>
      <c r="EK69" t="str">
        <f>IF(AND(AND(AND(OR($DX69=1,$DW69=1),OR($EC69=1,$EA69=1)),SUM($DV69:$DZ69,$EF69)&gt;=4),SUM($EA69:$EE69)&gt;=2),"Whole sector","")</f>
        <v>Whole sector</v>
      </c>
      <c r="EL69" t="str">
        <f>IF(AND(AND(OR($DX69=1,$DW69=1),AND($EC69=0,$EA69=0)),SUM($DV69:$DZ69,$EF69)&gt;=4),"Ecosystem approach","")</f>
        <v/>
      </c>
      <c r="EM69" s="2" t="str">
        <f>IF(AND(AND(AND($DX69=0,$DW69=0),OR($EC69=1,$EA69=1)),SUM($EB69:$EE69)&gt;=2),"Technology approach","")</f>
        <v/>
      </c>
      <c r="EN69" t="s">
        <v>2508</v>
      </c>
      <c r="EO69"/>
      <c r="EP69" t="str">
        <f>IF(ISNUMBER(BU69),IF(ABS(BU69-[1]QC_indicators!$B$2)&gt;3*[1]QC_indicators!$C$2,"C ratio",IF(ISNUMBER(BY69),IF(ABS(BY69-[1]QC_indicators!$B$1)&gt;3*[1]QC_indicators!$C$1,"DF","no"))),IF(ISNUMBER(BY69),IF(ABS(BY69-[1]QC_indicators!$B$1)&gt;3*[1]QC_indicators!$C$1,"DF","no")))</f>
        <v>C ratio</v>
      </c>
      <c r="EQ69" t="s">
        <v>2501</v>
      </c>
      <c r="ER69"/>
      <c r="ES69"/>
      <c r="ET69" s="264" t="s">
        <v>3257</v>
      </c>
      <c r="EU69"/>
    </row>
    <row r="70" spans="1:151" s="139" customFormat="1" ht="15" customHeight="1">
      <c r="A70" s="1" t="s">
        <v>1808</v>
      </c>
      <c r="B70" t="s">
        <v>2475</v>
      </c>
      <c r="C70" t="s">
        <v>2476</v>
      </c>
      <c r="D70" t="s">
        <v>2477</v>
      </c>
      <c r="E70" t="s">
        <v>2478</v>
      </c>
      <c r="F70" t="s">
        <v>2479</v>
      </c>
      <c r="G70" t="s">
        <v>1814</v>
      </c>
      <c r="H70" t="s">
        <v>254</v>
      </c>
      <c r="I70">
        <v>2010</v>
      </c>
      <c r="J70">
        <v>100</v>
      </c>
      <c r="K70" t="s">
        <v>2480</v>
      </c>
      <c r="L70"/>
      <c r="M70" t="str">
        <f>LEFT($D70,FIND(",",$D70)-1)&amp;"_"&amp;I70&amp;L70</f>
        <v>Werner_2010</v>
      </c>
      <c r="N70" t="s">
        <v>222</v>
      </c>
      <c r="O70" s="145" t="s">
        <v>1154</v>
      </c>
      <c r="P70"/>
      <c r="Q70" t="s">
        <v>256</v>
      </c>
      <c r="R70" s="262" t="s">
        <v>223</v>
      </c>
      <c r="S70" s="1" t="s">
        <v>2481</v>
      </c>
      <c r="T70" t="s">
        <v>2482</v>
      </c>
      <c r="U70" t="s">
        <v>1155</v>
      </c>
      <c r="V70">
        <v>1</v>
      </c>
      <c r="W70">
        <v>0</v>
      </c>
      <c r="X70">
        <v>2</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s="141">
        <f>COUNTIF(V70:AW70,"&lt;&gt;0")</f>
        <v>2</v>
      </c>
      <c r="AY70" s="141">
        <f>COUNTIF(V70:AL70,"&lt;&gt;0")</f>
        <v>2</v>
      </c>
      <c r="AZ70">
        <f>COUNTIF(V70:AC70,"&lt;&gt;0")</f>
        <v>2</v>
      </c>
      <c r="BA70">
        <f>COUNTIF(AD70:AI70,"&lt;&gt;0")</f>
        <v>0</v>
      </c>
      <c r="BB70">
        <f>COUNTIF(AJ70:AL70,"&lt;&gt;0")</f>
        <v>0</v>
      </c>
      <c r="BC70">
        <f>COUNTIF(AS70:AW70,"&lt;&gt;0")</f>
        <v>0</v>
      </c>
      <c r="BD70">
        <f>COUNTIF(AM70:AR70,"&lt;&gt;0")</f>
        <v>0</v>
      </c>
      <c r="BE70" t="str">
        <f t="array" ref="BE70">IF(AY70=1,INDEX($V$7:$AL$7,MATCH(TRUE,INDEX($V70:$AW70&lt;&gt;0,),0)),IF(AY70=0,INDEX($AM$7:$AW$7,MATCH(1,$AM70:$AW70,0)),IF(BF70="Multiple strategies","mixed drivers",IF(BF70="Supply chain","multiple supply","multiple silviculture"))))</f>
        <v>multiple silviculture</v>
      </c>
      <c r="BF70" s="2" t="str" cm="1">
        <f t="array" ref="BF70">IF(COUNTIF(AZ70:BB70,"&lt;&gt;0")=1,INDEX($V$4:$AW$4,MATCH(TRUE,INDEX($V70:$AW70&lt;&gt;0,),0)),IF(COUNTIF(AZ70:BB70,"&lt;&gt;0")=0,INDEX($AM$4:$AW$4,MATCH(1,$AM70:$AW70,0)),"Multiple strategies"))</f>
        <v>Silviculture for removals</v>
      </c>
      <c r="BG70" s="1" t="s">
        <v>321</v>
      </c>
      <c r="BH70" t="s">
        <v>2453</v>
      </c>
      <c r="BI70" s="264" t="s">
        <v>3252</v>
      </c>
      <c r="BJ70" t="s">
        <v>1323</v>
      </c>
      <c r="BK70">
        <v>120</v>
      </c>
      <c r="BL70">
        <v>163.5</v>
      </c>
      <c r="BM70" s="143">
        <f>BL70/BK70</f>
        <v>1.3625</v>
      </c>
      <c r="BN70">
        <f>BL70-BK70</f>
        <v>43.5</v>
      </c>
      <c r="BO70">
        <f>BN70*10^6</f>
        <v>43500000</v>
      </c>
      <c r="BP70" t="s">
        <v>232</v>
      </c>
      <c r="BQ70" s="153" t="s">
        <v>3253</v>
      </c>
      <c r="BR70" t="s">
        <v>2325</v>
      </c>
      <c r="BS70">
        <v>227.98379614391621</v>
      </c>
      <c r="BT70">
        <v>97.758786940762292</v>
      </c>
      <c r="BU70" s="144">
        <f>IFERROR(BT70/BS70,"")</f>
        <v>0.4287970838026201</v>
      </c>
      <c r="BV70" s="144">
        <f>BT70-BS70</f>
        <v>-130.22500920315392</v>
      </c>
      <c r="BW70" s="144"/>
      <c r="BX70">
        <f>BV70*10^6</f>
        <v>-130225009.20315392</v>
      </c>
      <c r="BY70">
        <f>IFERROR(BX70/BO70,"")</f>
        <v>-2.993678372486297</v>
      </c>
      <c r="BZ70">
        <v>0</v>
      </c>
      <c r="CA70">
        <v>0</v>
      </c>
      <c r="CB70">
        <v>0</v>
      </c>
      <c r="CC70">
        <v>0</v>
      </c>
      <c r="CD70">
        <v>0</v>
      </c>
      <c r="CE70">
        <v>0</v>
      </c>
      <c r="CF70">
        <v>0</v>
      </c>
      <c r="CG70">
        <v>0</v>
      </c>
      <c r="CH70">
        <v>0</v>
      </c>
      <c r="CI70">
        <v>0</v>
      </c>
      <c r="CJ70">
        <v>0</v>
      </c>
      <c r="CK70">
        <v>0</v>
      </c>
      <c r="CL70">
        <v>0</v>
      </c>
      <c r="CM70">
        <v>1</v>
      </c>
      <c r="CN70" t="str">
        <f>IF($BL70&lt;$BK70,"refNeedCorrection","refOK")</f>
        <v>refOK</v>
      </c>
      <c r="CO70">
        <f>IF($CN70="refOK",$BK70,$BL70)</f>
        <v>120</v>
      </c>
      <c r="CP70">
        <f>IF($CN70="refOK",$BL70,$BK70)</f>
        <v>163.5</v>
      </c>
      <c r="CQ70">
        <f>IF($CN70="refOK",$BO70,-$BO70)</f>
        <v>43500000</v>
      </c>
      <c r="CR70">
        <f>IF($CN70="refOK",$BS70,$BT70)*IF($BP70="Emissions positive",-1,1)</f>
        <v>227.98379614391621</v>
      </c>
      <c r="CS70">
        <f>IF($CN70="refOK",$BT70,$BS70)*IF($BP70="Emissions positive",-1,1)</f>
        <v>97.758786940762292</v>
      </c>
      <c r="CT70">
        <f>IF($CN70="refNeedCorrection",-BX70,BX70)*IF($BP70="Emissions positive",-1,1)</f>
        <v>-130225009.20315392</v>
      </c>
      <c r="CU70">
        <f>IFERROR(CT70/CQ70,"")</f>
        <v>-2.993678372486297</v>
      </c>
      <c r="CV70" s="2">
        <f>IFERROR((CS70-CR70)/ABS(CR70),"")</f>
        <v>-0.57120291619737995</v>
      </c>
      <c r="CW70" s="1" t="s">
        <v>1203</v>
      </c>
      <c r="CX70" t="str">
        <f>IF(OR($CW70="prd",$CW70="std",$CW70="cit"),"loc",IF(OR($CW70="eur",$CW70="reg",$CW70="coy"),"reg",$CW70))</f>
        <v>reg</v>
      </c>
      <c r="CY70" t="s">
        <v>639</v>
      </c>
      <c r="CZ70">
        <v>2000</v>
      </c>
      <c r="DA70">
        <v>2030</v>
      </c>
      <c r="DB70">
        <f>DA70-CZ70</f>
        <v>30</v>
      </c>
      <c r="DC70" t="str">
        <f>IF(DB70=0,"0",IF(AND(DB70&gt;=1,DB70&lt;=30),"1-30",IF(AND(DB70&gt;30,DB70&lt;=70),"31-70",IF(AND(DB70&gt;70,DB70&lt;=100),"71-100",IF(DB70&gt;100,"+100")))))</f>
        <v>1-30</v>
      </c>
      <c r="DD70">
        <v>1</v>
      </c>
      <c r="DE70">
        <v>0</v>
      </c>
      <c r="DF70">
        <v>0</v>
      </c>
      <c r="DG70">
        <v>0</v>
      </c>
      <c r="DH70">
        <v>0</v>
      </c>
      <c r="DI70">
        <f>SUM(DD70:DG70)</f>
        <v>1</v>
      </c>
      <c r="DJ70" t="str">
        <f>IF(DI70=1,INDEX($DD$7:$DG$7,MATCH(1,$DD70:$DG70,0)),"mixedProduct")</f>
        <v>UpstreamInput</v>
      </c>
      <c r="DK70" t="str">
        <f>IF(DD70=1,DK$7,0)</f>
        <v>Upstream</v>
      </c>
      <c r="DL70">
        <f>IF(DE70=1,DL$7,0)</f>
        <v>0</v>
      </c>
      <c r="DM70">
        <f>IF(DF70=1,DM$7,0)</f>
        <v>0</v>
      </c>
      <c r="DN70">
        <f>IF(DG70=1,DN$7,0)</f>
        <v>0</v>
      </c>
      <c r="DO70">
        <v>0</v>
      </c>
      <c r="DP70">
        <v>0</v>
      </c>
      <c r="DQ70"/>
      <c r="DR70"/>
      <c r="DS70"/>
      <c r="DT70">
        <f>SUM(DO70:DP70)</f>
        <v>0</v>
      </c>
      <c r="DU70" s="143" t="str">
        <f>IF(DO70=1,"self-calculated DF",IF(DP70=1,"external DF used","explicit C balance"))</f>
        <v>explicit C balance</v>
      </c>
      <c r="DV70">
        <v>1</v>
      </c>
      <c r="DW70">
        <v>1</v>
      </c>
      <c r="DX70">
        <v>1</v>
      </c>
      <c r="DY70">
        <v>1</v>
      </c>
      <c r="DZ70">
        <v>1</v>
      </c>
      <c r="EA70" s="143">
        <v>0</v>
      </c>
      <c r="EB70">
        <v>0</v>
      </c>
      <c r="EC70">
        <v>0</v>
      </c>
      <c r="ED70">
        <v>0</v>
      </c>
      <c r="EE70">
        <v>0</v>
      </c>
      <c r="EF70">
        <v>1</v>
      </c>
      <c r="EG70">
        <v>0</v>
      </c>
      <c r="EH70">
        <v>0</v>
      </c>
      <c r="EI70" s="2">
        <v>0</v>
      </c>
      <c r="EJ70" s="1"/>
      <c r="EK70" t="str">
        <f>IF(AND(AND(AND(OR($DX70=1,$DW70=1),OR($EC70=1,$EA70=1)),SUM($DV70:$DZ70,$EF70)&gt;=4),SUM($EA70:$EE70)&gt;=2),"Whole sector","")</f>
        <v/>
      </c>
      <c r="EL70" t="str">
        <f>IF(AND(AND(OR($DX70=1,$DW70=1),AND($EC70=0,$EA70=0)),SUM($DV70:$DZ70,$EF70)&gt;=4),"Ecosystem approach","")</f>
        <v>Ecosystem approach</v>
      </c>
      <c r="EM70" s="2" t="str">
        <f>IF(AND(AND(AND($DX70=0,$DW70=0),OR($EC70=1,$EA70=1)),SUM($EB70:$EE70)&gt;=2),"Technology approach","")</f>
        <v/>
      </c>
      <c r="EN70" t="s">
        <v>2485</v>
      </c>
      <c r="EO70"/>
      <c r="EP70" t="str">
        <f>IF(ISNUMBER(BU70),IF(ABS(BU70-[1]QC_indicators!$B$2)&gt;3*[1]QC_indicators!$C$2,"C ratio",IF(ISNUMBER(BY70),IF(ABS(BY70-[1]QC_indicators!$B$1)&gt;3*[1]QC_indicators!$C$1,"DF","no"))),IF(ISNUMBER(BY70),IF(ABS(BY70-[1]QC_indicators!$B$1)&gt;3*[1]QC_indicators!$C$1,"DF","no")))</f>
        <v>no</v>
      </c>
      <c r="EQ70"/>
      <c r="ER70"/>
      <c r="ES70"/>
      <c r="ET70" s="264" t="s">
        <v>3254</v>
      </c>
      <c r="EU70"/>
    </row>
    <row r="71" spans="1:151" s="139" customFormat="1" ht="15" customHeight="1">
      <c r="A71" s="1" t="s">
        <v>1423</v>
      </c>
      <c r="B71" t="s">
        <v>2490</v>
      </c>
      <c r="C71" t="s">
        <v>2491</v>
      </c>
      <c r="D71" t="s">
        <v>2492</v>
      </c>
      <c r="E71" t="s">
        <v>2493</v>
      </c>
      <c r="F71" t="s">
        <v>2494</v>
      </c>
      <c r="G71" t="s">
        <v>1429</v>
      </c>
      <c r="H71" t="s">
        <v>254</v>
      </c>
      <c r="I71">
        <v>2016</v>
      </c>
      <c r="J71">
        <v>24</v>
      </c>
      <c r="K71" t="s">
        <v>2495</v>
      </c>
      <c r="L71"/>
      <c r="M71" t="str">
        <f>LEFT($D71,FIND(",",$D71)-1)&amp;"_"&amp;I71&amp;L71</f>
        <v>Zubizarreta-Gerendiain_2016</v>
      </c>
      <c r="N71" t="s">
        <v>222</v>
      </c>
      <c r="O71" s="145" t="s">
        <v>1154</v>
      </c>
      <c r="P71"/>
      <c r="Q71" t="s">
        <v>256</v>
      </c>
      <c r="R71" s="262" t="s">
        <v>223</v>
      </c>
      <c r="S71" s="1" t="s">
        <v>2506</v>
      </c>
      <c r="T71" t="s">
        <v>2507</v>
      </c>
      <c r="U71" t="s">
        <v>2504</v>
      </c>
      <c r="V71">
        <v>0</v>
      </c>
      <c r="W71">
        <v>0</v>
      </c>
      <c r="X71">
        <v>0</v>
      </c>
      <c r="Y71">
        <v>2</v>
      </c>
      <c r="Z71">
        <v>0</v>
      </c>
      <c r="AA71">
        <v>0</v>
      </c>
      <c r="AB71">
        <v>0</v>
      </c>
      <c r="AC71">
        <v>0</v>
      </c>
      <c r="AD71">
        <v>0</v>
      </c>
      <c r="AE71">
        <v>0</v>
      </c>
      <c r="AF71">
        <v>1</v>
      </c>
      <c r="AG71">
        <v>0</v>
      </c>
      <c r="AH71">
        <v>0</v>
      </c>
      <c r="AI71">
        <v>0</v>
      </c>
      <c r="AJ71">
        <v>0</v>
      </c>
      <c r="AK71">
        <v>0</v>
      </c>
      <c r="AL71">
        <v>0</v>
      </c>
      <c r="AM71">
        <v>0</v>
      </c>
      <c r="AN71">
        <v>0</v>
      </c>
      <c r="AO71">
        <v>0</v>
      </c>
      <c r="AP71">
        <v>0</v>
      </c>
      <c r="AQ71">
        <v>0</v>
      </c>
      <c r="AR71">
        <v>0</v>
      </c>
      <c r="AS71">
        <v>0</v>
      </c>
      <c r="AT71">
        <v>0</v>
      </c>
      <c r="AU71">
        <v>0</v>
      </c>
      <c r="AV71">
        <v>0</v>
      </c>
      <c r="AW71">
        <v>0</v>
      </c>
      <c r="AX71" s="141">
        <f>COUNTIF(V71:AW71,"&lt;&gt;0")</f>
        <v>2</v>
      </c>
      <c r="AY71" s="141">
        <f>COUNTIF(V71:AL71,"&lt;&gt;0")</f>
        <v>2</v>
      </c>
      <c r="AZ71">
        <f>COUNTIF(V71:AC71,"&lt;&gt;0")</f>
        <v>1</v>
      </c>
      <c r="BA71">
        <f>COUNTIF(AD71:AI71,"&lt;&gt;0")</f>
        <v>1</v>
      </c>
      <c r="BB71">
        <f>COUNTIF(AJ71:AL71,"&lt;&gt;0")</f>
        <v>0</v>
      </c>
      <c r="BC71">
        <f>COUNTIF(AS71:AW71,"&lt;&gt;0")</f>
        <v>0</v>
      </c>
      <c r="BD71">
        <f>COUNTIF(AM71:AR71,"&lt;&gt;0")</f>
        <v>0</v>
      </c>
      <c r="BE71" t="str">
        <f t="array" ref="BE71">IF(AY71=1,INDEX($V$7:$AL$7,MATCH(TRUE,INDEX($V71:$AW71&lt;&gt;0,),0)),IF(AY71=0,INDEX($AM$7:$AW$7,MATCH(1,$AM71:$AW71,0)),IF(BF71="Multiple strategies","mixed drivers",IF(BF71="Supply chain","multiple supply","multiple silviculture"))))</f>
        <v>mixed drivers</v>
      </c>
      <c r="BF71" s="2" t="str" cm="1">
        <f t="array" ref="BF71">IF(COUNTIF(AZ71:BB71,"&lt;&gt;0")=1,INDEX($V$4:$AW$4,MATCH(TRUE,INDEX($V71:$AW71&lt;&gt;0,),0)),IF(COUNTIF(AZ71:BB71,"&lt;&gt;0")=0,INDEX($AM$4:$AW$4,MATCH(1,$AM71:$AW71,0)),"Multiple strategies"))</f>
        <v>Multiple strategies</v>
      </c>
      <c r="BG71" s="1" t="s">
        <v>321</v>
      </c>
      <c r="BH71" t="s">
        <v>2499</v>
      </c>
      <c r="BI71" s="264" t="s">
        <v>2113</v>
      </c>
      <c r="BJ71" t="s">
        <v>2500</v>
      </c>
      <c r="BK71">
        <v>64.910485933503793</v>
      </c>
      <c r="BL71">
        <v>82.634271099744197</v>
      </c>
      <c r="BM71" s="143">
        <f>BL71/BK71</f>
        <v>1.273049645390071</v>
      </c>
      <c r="BN71">
        <f>BL71-BK71</f>
        <v>17.723785166240404</v>
      </c>
      <c r="BO71">
        <f>BN71*1000*t_to_m3</f>
        <v>36170.990135184496</v>
      </c>
      <c r="BP71" s="143" t="s">
        <v>232</v>
      </c>
      <c r="BQ71" s="143" t="s">
        <v>3256</v>
      </c>
      <c r="BR71" t="s">
        <v>1195</v>
      </c>
      <c r="BS71">
        <v>120401.57301704831</v>
      </c>
      <c r="BT71">
        <v>12625.588954781248</v>
      </c>
      <c r="BU71" s="144">
        <f>IFERROR(BT71/BS71,"")</f>
        <v>0.10486232561923026</v>
      </c>
      <c r="BV71" s="144">
        <f>BT71-BS71</f>
        <v>-107775.98406226706</v>
      </c>
      <c r="BW71" s="144"/>
      <c r="BX71" s="144">
        <f>BV71</f>
        <v>-107775.98406226706</v>
      </c>
      <c r="BY71">
        <f>IFERROR(BX71/BO71,"")</f>
        <v>-2.9796249331154043</v>
      </c>
      <c r="BZ71">
        <v>0</v>
      </c>
      <c r="CA71">
        <v>0</v>
      </c>
      <c r="CB71">
        <v>0</v>
      </c>
      <c r="CC71">
        <v>0</v>
      </c>
      <c r="CD71">
        <v>0</v>
      </c>
      <c r="CE71">
        <v>0</v>
      </c>
      <c r="CF71">
        <v>0</v>
      </c>
      <c r="CG71">
        <v>0</v>
      </c>
      <c r="CH71">
        <v>0</v>
      </c>
      <c r="CI71">
        <v>0</v>
      </c>
      <c r="CJ71">
        <v>0</v>
      </c>
      <c r="CK71">
        <v>0</v>
      </c>
      <c r="CL71">
        <v>0</v>
      </c>
      <c r="CM71">
        <v>1</v>
      </c>
      <c r="CN71" t="str">
        <f>IF($BL71&lt;$BK71,"refNeedCorrection","refOK")</f>
        <v>refOK</v>
      </c>
      <c r="CO71">
        <f>IF($CN71="refOK",$BK71,$BL71)</f>
        <v>64.910485933503793</v>
      </c>
      <c r="CP71">
        <f>IF($CN71="refOK",$BL71,$BK71)</f>
        <v>82.634271099744197</v>
      </c>
      <c r="CQ71">
        <f>IF($CN71="refOK",$BO71,-$BO71)</f>
        <v>36170.990135184496</v>
      </c>
      <c r="CR71">
        <f>IF($CN71="refOK",$BS71,$BT71)*IF($BP71="Emissions positive",-1,1)</f>
        <v>120401.57301704831</v>
      </c>
      <c r="CS71">
        <f>IF($CN71="refOK",$BT71,$BS71)*IF($BP71="Emissions positive",-1,1)</f>
        <v>12625.588954781248</v>
      </c>
      <c r="CT71">
        <f>IF($CN71="refNeedCorrection",-BX71,BX71)*IF($BP71="Emissions positive",-1,1)</f>
        <v>-107775.98406226706</v>
      </c>
      <c r="CU71">
        <f>IFERROR(CT71/CQ71,"")</f>
        <v>-2.9796249331154043</v>
      </c>
      <c r="CV71" s="2">
        <f>IFERROR((CS71-CR71)/ABS(CR71),"")</f>
        <v>-0.89513767438076963</v>
      </c>
      <c r="CW71" s="1" t="s">
        <v>1199</v>
      </c>
      <c r="CX71" t="str">
        <f>IF(OR($CW71="prd",$CW71="std",$CW71="cit"),"loc",IF(OR($CW71="eur",$CW71="reg",$CW71="coy"),"reg",$CW71))</f>
        <v>reg</v>
      </c>
      <c r="CY71" t="s">
        <v>235</v>
      </c>
      <c r="CZ71">
        <v>2010</v>
      </c>
      <c r="DA71">
        <v>2070</v>
      </c>
      <c r="DB71">
        <f>DA71-CZ71</f>
        <v>60</v>
      </c>
      <c r="DC71" t="str">
        <f>IF(DB71=0,"0",IF(AND(DB71&gt;=1,DB71&lt;=30),"1-30",IF(AND(DB71&gt;30,DB71&lt;=70),"31-70",IF(AND(DB71&gt;70,DB71&lt;=100),"71-100",IF(DB71&gt;100,"+100")))))</f>
        <v>31-70</v>
      </c>
      <c r="DD71">
        <v>1</v>
      </c>
      <c r="DE71">
        <v>1</v>
      </c>
      <c r="DF71">
        <v>1</v>
      </c>
      <c r="DG71">
        <v>1</v>
      </c>
      <c r="DH71">
        <v>0</v>
      </c>
      <c r="DI71">
        <f>SUM(DD71:DG71)</f>
        <v>4</v>
      </c>
      <c r="DJ71" t="str">
        <f>IF(DI71=1,INDEX($DD$7:$DG$7,MATCH(1,$DD71:$DG71,0)),"mixedProduct")</f>
        <v>mixedProduct</v>
      </c>
      <c r="DK71" t="str">
        <f>IF(DD71=1,DK$7,0)</f>
        <v>Upstream</v>
      </c>
      <c r="DL71" t="str">
        <f>IF(DE71=1,DL$7,0)</f>
        <v>Energy</v>
      </c>
      <c r="DM71" t="str">
        <f>IF(DF71=1,DM$7,0)</f>
        <v>Pulp/Paper</v>
      </c>
      <c r="DN71" t="str">
        <f>IF(DG71=1,DN$7,0)</f>
        <v>Timber</v>
      </c>
      <c r="DO71">
        <v>0</v>
      </c>
      <c r="DP71">
        <v>1</v>
      </c>
      <c r="DQ71" t="s">
        <v>2524</v>
      </c>
      <c r="DR71" t="s">
        <v>2525</v>
      </c>
      <c r="DS71">
        <v>0</v>
      </c>
      <c r="DT71">
        <f>SUM(DO71:DP71)</f>
        <v>1</v>
      </c>
      <c r="DU71" s="143" t="str">
        <f>IF(DO71=1,"self-calculated DF",IF(DP71=1,"external DF used","explicit C balance"))</f>
        <v>external DF used</v>
      </c>
      <c r="DV71">
        <v>1</v>
      </c>
      <c r="DW71">
        <v>1</v>
      </c>
      <c r="DX71">
        <v>1</v>
      </c>
      <c r="DY71">
        <v>1</v>
      </c>
      <c r="DZ71">
        <v>0</v>
      </c>
      <c r="EA71" s="143">
        <v>1</v>
      </c>
      <c r="EB71">
        <v>1</v>
      </c>
      <c r="EC71">
        <v>1</v>
      </c>
      <c r="ED71">
        <v>0</v>
      </c>
      <c r="EE71">
        <v>0</v>
      </c>
      <c r="EF71">
        <v>1</v>
      </c>
      <c r="EG71">
        <v>0</v>
      </c>
      <c r="EH71">
        <v>0</v>
      </c>
      <c r="EI71" s="2">
        <v>0</v>
      </c>
      <c r="EJ71" s="1"/>
      <c r="EK71" t="str">
        <f>IF(AND(AND(AND(OR($DX71=1,$DW71=1),OR($EC71=1,$EA71=1)),SUM($DV71:$DZ71,$EF71)&gt;=4),SUM($EA71:$EE71)&gt;=2),"Whole sector","")</f>
        <v>Whole sector</v>
      </c>
      <c r="EL71" t="str">
        <f>IF(AND(AND(OR($DX71=1,$DW71=1),AND($EC71=0,$EA71=0)),SUM($DV71:$DZ71,$EF71)&gt;=4),"Ecosystem approach","")</f>
        <v/>
      </c>
      <c r="EM71" s="2" t="str">
        <f>IF(AND(AND(AND($DX71=0,$DW71=0),OR($EC71=1,$EA71=1)),SUM($EB71:$EE71)&gt;=2),"Technology approach","")</f>
        <v/>
      </c>
      <c r="EN71" t="s">
        <v>2508</v>
      </c>
      <c r="EO71"/>
      <c r="EP71" t="str">
        <f>IF(ISNUMBER(BU71),IF(ABS(BU71-[1]QC_indicators!$B$2)&gt;3*[1]QC_indicators!$C$2,"C ratio",IF(ISNUMBER(BY71),IF(ABS(BY71-[1]QC_indicators!$B$1)&gt;3*[1]QC_indicators!$C$1,"DF","no"))),IF(ISNUMBER(BY71),IF(ABS(BY71-[1]QC_indicators!$B$1)&gt;3*[1]QC_indicators!$C$1,"DF","no")))</f>
        <v>no</v>
      </c>
      <c r="EQ71"/>
      <c r="ER71"/>
      <c r="ES71"/>
      <c r="ET71" s="264" t="s">
        <v>3260</v>
      </c>
      <c r="EU71"/>
    </row>
    <row r="72" spans="1:151" s="139" customFormat="1" ht="15" customHeight="1">
      <c r="A72" s="1" t="s">
        <v>1423</v>
      </c>
      <c r="B72" t="s">
        <v>2490</v>
      </c>
      <c r="C72" t="s">
        <v>2491</v>
      </c>
      <c r="D72" t="s">
        <v>2492</v>
      </c>
      <c r="E72" t="s">
        <v>2493</v>
      </c>
      <c r="F72" t="s">
        <v>2494</v>
      </c>
      <c r="G72" t="s">
        <v>1429</v>
      </c>
      <c r="H72" t="s">
        <v>254</v>
      </c>
      <c r="I72">
        <v>2016</v>
      </c>
      <c r="J72">
        <v>24</v>
      </c>
      <c r="K72" t="s">
        <v>2495</v>
      </c>
      <c r="L72"/>
      <c r="M72" t="str">
        <f>LEFT($D72,FIND(",",$D72)-1)&amp;"_"&amp;I72&amp;L72</f>
        <v>Zubizarreta-Gerendiain_2016</v>
      </c>
      <c r="N72" t="s">
        <v>222</v>
      </c>
      <c r="O72" s="145" t="s">
        <v>1154</v>
      </c>
      <c r="P72"/>
      <c r="Q72" t="s">
        <v>256</v>
      </c>
      <c r="R72" s="262" t="s">
        <v>223</v>
      </c>
      <c r="S72" s="1" t="s">
        <v>2506</v>
      </c>
      <c r="T72" t="s">
        <v>2509</v>
      </c>
      <c r="U72" t="s">
        <v>2498</v>
      </c>
      <c r="V72">
        <v>0</v>
      </c>
      <c r="W72">
        <v>0</v>
      </c>
      <c r="X72">
        <v>0</v>
      </c>
      <c r="Y72">
        <v>2</v>
      </c>
      <c r="Z72">
        <v>0</v>
      </c>
      <c r="AA72">
        <v>0</v>
      </c>
      <c r="AB72">
        <v>0</v>
      </c>
      <c r="AC72">
        <v>0</v>
      </c>
      <c r="AD72">
        <v>0</v>
      </c>
      <c r="AE72">
        <v>0</v>
      </c>
      <c r="AF72">
        <v>1</v>
      </c>
      <c r="AG72">
        <v>0</v>
      </c>
      <c r="AH72">
        <v>0</v>
      </c>
      <c r="AI72">
        <v>0</v>
      </c>
      <c r="AJ72">
        <v>0</v>
      </c>
      <c r="AK72">
        <v>0</v>
      </c>
      <c r="AL72">
        <v>0</v>
      </c>
      <c r="AM72">
        <v>0</v>
      </c>
      <c r="AN72">
        <v>0</v>
      </c>
      <c r="AO72">
        <v>0</v>
      </c>
      <c r="AP72">
        <v>0</v>
      </c>
      <c r="AQ72">
        <v>0</v>
      </c>
      <c r="AR72">
        <v>0</v>
      </c>
      <c r="AS72">
        <v>0</v>
      </c>
      <c r="AT72">
        <v>0</v>
      </c>
      <c r="AU72">
        <v>0</v>
      </c>
      <c r="AV72">
        <v>0</v>
      </c>
      <c r="AW72">
        <v>0</v>
      </c>
      <c r="AX72" s="141">
        <f>COUNTIF(V72:AW72,"&lt;&gt;0")</f>
        <v>2</v>
      </c>
      <c r="AY72" s="141">
        <f>COUNTIF(V72:AL72,"&lt;&gt;0")</f>
        <v>2</v>
      </c>
      <c r="AZ72">
        <f>COUNTIF(V72:AC72,"&lt;&gt;0")</f>
        <v>1</v>
      </c>
      <c r="BA72">
        <f>COUNTIF(AD72:AI72,"&lt;&gt;0")</f>
        <v>1</v>
      </c>
      <c r="BB72">
        <f>COUNTIF(AJ72:AL72,"&lt;&gt;0")</f>
        <v>0</v>
      </c>
      <c r="BC72">
        <f>COUNTIF(AS72:AW72,"&lt;&gt;0")</f>
        <v>0</v>
      </c>
      <c r="BD72">
        <f>COUNTIF(AM72:AR72,"&lt;&gt;0")</f>
        <v>0</v>
      </c>
      <c r="BE72" t="str">
        <f t="array" ref="BE72">IF(AY72=1,INDEX($V$7:$AL$7,MATCH(TRUE,INDEX($V72:$AW72&lt;&gt;0,),0)),IF(AY72=0,INDEX($AM$7:$AW$7,MATCH(1,$AM72:$AW72,0)),IF(BF72="Multiple strategies","mixed drivers",IF(BF72="Supply chain","multiple supply","multiple silviculture"))))</f>
        <v>mixed drivers</v>
      </c>
      <c r="BF72" s="2" t="str" cm="1">
        <f t="array" ref="BF72">IF(COUNTIF(AZ72:BB72,"&lt;&gt;0")=1,INDEX($V$4:$AW$4,MATCH(TRUE,INDEX($V72:$AW72&lt;&gt;0,),0)),IF(COUNTIF(AZ72:BB72,"&lt;&gt;0")=0,INDEX($AM$4:$AW$4,MATCH(1,$AM72:$AW72,0)),"Multiple strategies"))</f>
        <v>Multiple strategies</v>
      </c>
      <c r="BG72" s="1" t="s">
        <v>321</v>
      </c>
      <c r="BH72" t="s">
        <v>2499</v>
      </c>
      <c r="BI72" s="264" t="s">
        <v>2113</v>
      </c>
      <c r="BJ72" t="s">
        <v>2500</v>
      </c>
      <c r="BK72">
        <v>64.910485933503793</v>
      </c>
      <c r="BL72">
        <v>82.946708463949804</v>
      </c>
      <c r="BM72" s="143">
        <f>BL72/BK72</f>
        <v>1.2778630027346098</v>
      </c>
      <c r="BN72">
        <f>BL72-BK72</f>
        <v>18.036222530446011</v>
      </c>
      <c r="BO72">
        <f>BN72*1000*t_to_m3</f>
        <v>36808.617409073493</v>
      </c>
      <c r="BP72" s="143" t="s">
        <v>232</v>
      </c>
      <c r="BQ72" s="143" t="s">
        <v>3256</v>
      </c>
      <c r="BR72" t="s">
        <v>1195</v>
      </c>
      <c r="BS72">
        <v>79079.294245810015</v>
      </c>
      <c r="BT72">
        <v>-27756.76357541895</v>
      </c>
      <c r="BU72" s="144">
        <f>IFERROR(BT72/BS72,"")</f>
        <v>-0.35099913119026893</v>
      </c>
      <c r="BV72" s="144">
        <f>BT72-BS72</f>
        <v>-106836.05782122897</v>
      </c>
      <c r="BW72" s="144"/>
      <c r="BX72" s="144">
        <f>BV72</f>
        <v>-106836.05782122897</v>
      </c>
      <c r="BY72">
        <f>IFERROR(BX72/BO72,"")</f>
        <v>-2.902474076488768</v>
      </c>
      <c r="BZ72">
        <v>0</v>
      </c>
      <c r="CA72">
        <v>0</v>
      </c>
      <c r="CB72">
        <v>0</v>
      </c>
      <c r="CC72">
        <v>0</v>
      </c>
      <c r="CD72">
        <v>0</v>
      </c>
      <c r="CE72">
        <v>0</v>
      </c>
      <c r="CF72">
        <v>0</v>
      </c>
      <c r="CG72">
        <v>0</v>
      </c>
      <c r="CH72">
        <v>0</v>
      </c>
      <c r="CI72">
        <v>0</v>
      </c>
      <c r="CJ72">
        <v>0</v>
      </c>
      <c r="CK72">
        <v>0</v>
      </c>
      <c r="CL72">
        <v>0</v>
      </c>
      <c r="CM72">
        <v>1</v>
      </c>
      <c r="CN72" t="str">
        <f>IF($BL72&lt;$BK72,"refNeedCorrection","refOK")</f>
        <v>refOK</v>
      </c>
      <c r="CO72">
        <f>IF($CN72="refOK",$BK72,$BL72)</f>
        <v>64.910485933503793</v>
      </c>
      <c r="CP72">
        <f>IF($CN72="refOK",$BL72,$BK72)</f>
        <v>82.946708463949804</v>
      </c>
      <c r="CQ72">
        <f>IF($CN72="refOK",$BO72,-$BO72)</f>
        <v>36808.617409073493</v>
      </c>
      <c r="CR72">
        <f>IF($CN72="refOK",$BS72,$BT72)*IF($BP72="Emissions positive",-1,1)</f>
        <v>79079.294245810015</v>
      </c>
      <c r="CS72">
        <f>IF($CN72="refOK",$BT72,$BS72)*IF($BP72="Emissions positive",-1,1)</f>
        <v>-27756.76357541895</v>
      </c>
      <c r="CT72">
        <f>IF($CN72="refNeedCorrection",-BX72,BX72)*IF($BP72="Emissions positive",-1,1)</f>
        <v>-106836.05782122897</v>
      </c>
      <c r="CU72">
        <f>IFERROR(CT72/CQ72,"")</f>
        <v>-2.902474076488768</v>
      </c>
      <c r="CV72" s="2">
        <f>IFERROR((CS72-CR72)/ABS(CR72),"")</f>
        <v>-1.3509991311902689</v>
      </c>
      <c r="CW72" s="1" t="s">
        <v>1199</v>
      </c>
      <c r="CX72" t="str">
        <f>IF(OR($CW72="prd",$CW72="std",$CW72="cit"),"loc",IF(OR($CW72="eur",$CW72="reg",$CW72="coy"),"reg",$CW72))</f>
        <v>reg</v>
      </c>
      <c r="CY72" t="s">
        <v>235</v>
      </c>
      <c r="CZ72">
        <v>2010</v>
      </c>
      <c r="DA72">
        <v>2070</v>
      </c>
      <c r="DB72">
        <f>DA72-CZ72</f>
        <v>60</v>
      </c>
      <c r="DC72" t="str">
        <f>IF(DB72=0,"0",IF(AND(DB72&gt;=1,DB72&lt;=30),"1-30",IF(AND(DB72&gt;30,DB72&lt;=70),"31-70",IF(AND(DB72&gt;70,DB72&lt;=100),"71-100",IF(DB72&gt;100,"+100")))))</f>
        <v>31-70</v>
      </c>
      <c r="DD72">
        <v>1</v>
      </c>
      <c r="DE72">
        <v>1</v>
      </c>
      <c r="DF72">
        <v>1</v>
      </c>
      <c r="DG72">
        <v>1</v>
      </c>
      <c r="DH72">
        <v>0</v>
      </c>
      <c r="DI72">
        <f>SUM(DD72:DG72)</f>
        <v>4</v>
      </c>
      <c r="DJ72" t="str">
        <f>IF(DI72=1,INDEX($DD$7:$DG$7,MATCH(1,$DD72:$DG72,0)),"mixedProduct")</f>
        <v>mixedProduct</v>
      </c>
      <c r="DK72" t="str">
        <f>IF(DD72=1,DK$7,0)</f>
        <v>Upstream</v>
      </c>
      <c r="DL72" t="str">
        <f>IF(DE72=1,DL$7,0)</f>
        <v>Energy</v>
      </c>
      <c r="DM72" t="str">
        <f>IF(DF72=1,DM$7,0)</f>
        <v>Pulp/Paper</v>
      </c>
      <c r="DN72" t="str">
        <f>IF(DG72=1,DN$7,0)</f>
        <v>Timber</v>
      </c>
      <c r="DO72">
        <v>0</v>
      </c>
      <c r="DP72">
        <v>1</v>
      </c>
      <c r="DQ72" t="s">
        <v>2524</v>
      </c>
      <c r="DR72" t="s">
        <v>2525</v>
      </c>
      <c r="DS72">
        <v>0</v>
      </c>
      <c r="DT72">
        <f>SUM(DO72:DP72)</f>
        <v>1</v>
      </c>
      <c r="DU72" s="143" t="str">
        <f>IF(DO72=1,"self-calculated DF",IF(DP72=1,"external DF used","explicit C balance"))</f>
        <v>external DF used</v>
      </c>
      <c r="DV72">
        <v>1</v>
      </c>
      <c r="DW72">
        <v>1</v>
      </c>
      <c r="DX72">
        <v>1</v>
      </c>
      <c r="DY72">
        <v>1</v>
      </c>
      <c r="DZ72">
        <v>0</v>
      </c>
      <c r="EA72" s="143">
        <v>1</v>
      </c>
      <c r="EB72">
        <v>1</v>
      </c>
      <c r="EC72">
        <v>1</v>
      </c>
      <c r="ED72">
        <v>0</v>
      </c>
      <c r="EE72">
        <v>0</v>
      </c>
      <c r="EF72">
        <v>1</v>
      </c>
      <c r="EG72">
        <v>0</v>
      </c>
      <c r="EH72">
        <v>0</v>
      </c>
      <c r="EI72" s="2">
        <v>0</v>
      </c>
      <c r="EJ72" s="1"/>
      <c r="EK72" t="str">
        <f>IF(AND(AND(AND(OR($DX72=1,$DW72=1),OR($EC72=1,$EA72=1)),SUM($DV72:$DZ72,$EF72)&gt;=4),SUM($EA72:$EE72)&gt;=2),"Whole sector","")</f>
        <v>Whole sector</v>
      </c>
      <c r="EL72" t="str">
        <f>IF(AND(AND(OR($DX72=1,$DW72=1),AND($EC72=0,$EA72=0)),SUM($DV72:$DZ72,$EF72)&gt;=4),"Ecosystem approach","")</f>
        <v/>
      </c>
      <c r="EM72" s="2" t="str">
        <f>IF(AND(AND(AND($DX72=0,$DW72=0),OR($EC72=1,$EA72=1)),SUM($EB72:$EE72)&gt;=2),"Technology approach","")</f>
        <v/>
      </c>
      <c r="EN72" t="s">
        <v>2508</v>
      </c>
      <c r="EO72"/>
      <c r="EP72" t="str">
        <f>IF(ISNUMBER(BU72),IF(ABS(BU72-[1]QC_indicators!$B$2)&gt;3*[1]QC_indicators!$C$2,"C ratio",IF(ISNUMBER(BY72),IF(ABS(BY72-[1]QC_indicators!$B$1)&gt;3*[1]QC_indicators!$C$1,"DF","no"))),IF(ISNUMBER(BY72),IF(ABS(BY72-[1]QC_indicators!$B$1)&gt;3*[1]QC_indicators!$C$1,"DF","no")))</f>
        <v>no</v>
      </c>
      <c r="EQ72"/>
      <c r="ER72"/>
      <c r="ES72"/>
      <c r="ET72" s="264" t="s">
        <v>3260</v>
      </c>
      <c r="EU72"/>
    </row>
    <row r="73" spans="1:151" s="139" customFormat="1" ht="15" customHeight="1">
      <c r="A73" s="1" t="s">
        <v>1204</v>
      </c>
      <c r="B73" t="s">
        <v>1205</v>
      </c>
      <c r="C73" t="s">
        <v>1206</v>
      </c>
      <c r="D73" t="s">
        <v>1207</v>
      </c>
      <c r="E73" t="s">
        <v>1208</v>
      </c>
      <c r="F73" t="s">
        <v>1209</v>
      </c>
      <c r="G73" t="s">
        <v>1210</v>
      </c>
      <c r="H73"/>
      <c r="I73">
        <v>2006</v>
      </c>
      <c r="J73"/>
      <c r="K73" t="s">
        <v>1211</v>
      </c>
      <c r="L73"/>
      <c r="M73" t="str">
        <f>LEFT($D73,FIND(",",$D73)-1)&amp;"_"&amp;I73&amp;L73</f>
        <v>Backeus_2006</v>
      </c>
      <c r="N73" t="s">
        <v>222</v>
      </c>
      <c r="O73" s="140" t="s">
        <v>274</v>
      </c>
      <c r="P73"/>
      <c r="Q73" t="s">
        <v>224</v>
      </c>
      <c r="R73" s="255" t="s">
        <v>223</v>
      </c>
      <c r="S73" s="263" t="s">
        <v>3087</v>
      </c>
      <c r="T73" t="s">
        <v>1212</v>
      </c>
      <c r="U73" t="s">
        <v>1213</v>
      </c>
      <c r="V73">
        <v>0</v>
      </c>
      <c r="W73">
        <v>0</v>
      </c>
      <c r="X73">
        <v>0</v>
      </c>
      <c r="Y73">
        <v>1</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1</v>
      </c>
      <c r="AW73">
        <v>0</v>
      </c>
      <c r="AX73" s="141">
        <f>COUNTIF(V73:AW73,"&lt;&gt;0")</f>
        <v>2</v>
      </c>
      <c r="AY73" s="141">
        <f>COUNTIF(V73:AL73,"&lt;&gt;0")</f>
        <v>1</v>
      </c>
      <c r="AZ73">
        <f>COUNTIF(V73:AC73,"&lt;&gt;0")</f>
        <v>1</v>
      </c>
      <c r="BA73">
        <f>COUNTIF(AD73:AI73,"&lt;&gt;0")</f>
        <v>0</v>
      </c>
      <c r="BB73">
        <f>COUNTIF(AJ73:AL73,"&lt;&gt;0")</f>
        <v>0</v>
      </c>
      <c r="BC73">
        <f>COUNTIF(AS73:AW73,"&lt;&gt;0")</f>
        <v>1</v>
      </c>
      <c r="BD73">
        <f>COUNTIF(AM73:AR73,"&lt;&gt;0")</f>
        <v>0</v>
      </c>
      <c r="BE73" t="str">
        <f t="array" ref="BE73">IF(AY73=1,INDEX($V$7:$AL$7,MATCH(TRUE,INDEX($V73:$AW73&lt;&gt;0,),0)),IF(AY73=0,INDEX($AM$7:$AW$7,MATCH(1,$AM73:$AW73,0)),IF(BF73="Multiple strategies","mixed drivers",IF(BF73="Supply chain","multiple supply","multiple silviculture"))))</f>
        <v xml:space="preserve">cutting intensity </v>
      </c>
      <c r="BF73" s="2" t="str" cm="1">
        <f t="array" ref="BF73">IF(COUNTIF(AZ73:BB73,"&lt;&gt;0")=1,INDEX($V$4:$AW$4,MATCH(TRUE,INDEX($V73:$AW73&lt;&gt;0,),0)),IF(COUNTIF(AZ73:BB73,"&lt;&gt;0")=0,INDEX($AM$4:$AW$4,MATCH(1,$AM73:$AW73,0)),"Multiple strategies"))</f>
        <v>Silviculture for removals</v>
      </c>
      <c r="BG73" s="1" t="s">
        <v>229</v>
      </c>
      <c r="BH73" t="s">
        <v>229</v>
      </c>
      <c r="BI73" s="264" t="s">
        <v>701</v>
      </c>
      <c r="BJ73" t="s">
        <v>1214</v>
      </c>
      <c r="BK73">
        <v>5.5978179484354129</v>
      </c>
      <c r="BL73">
        <v>5.6162990524021872</v>
      </c>
      <c r="BM73">
        <f>BL73/BK73</f>
        <v>1.0033014835668137</v>
      </c>
      <c r="BN73">
        <f>BL73-BK73</f>
        <v>1.848110396677427E-2</v>
      </c>
      <c r="BO73" s="143">
        <f>BN73*10^6</f>
        <v>18481.10396677427</v>
      </c>
      <c r="BP73" s="143" t="s">
        <v>232</v>
      </c>
      <c r="BQ73" s="342" t="s">
        <v>787</v>
      </c>
      <c r="BR73" s="152" t="s">
        <v>1215</v>
      </c>
      <c r="BS73" s="152">
        <v>1.5579710144927537</v>
      </c>
      <c r="BT73" s="152">
        <v>1.5434782608695701</v>
      </c>
      <c r="BU73" s="144">
        <f>IFERROR(BT73/BS73,"")</f>
        <v>0.99069767441860779</v>
      </c>
      <c r="BV73">
        <f>BT73-BS73</f>
        <v>-1.4492753623183585E-2</v>
      </c>
      <c r="BW73"/>
      <c r="BX73">
        <f>BV73*10^6*C_to_CO2</f>
        <v>-53188.40579708376</v>
      </c>
      <c r="BY73">
        <f>IFERROR(BX73/BO73,"")</f>
        <v>-2.8779885602454827</v>
      </c>
      <c r="BZ73">
        <v>0</v>
      </c>
      <c r="CA73">
        <v>0</v>
      </c>
      <c r="CB73">
        <v>0</v>
      </c>
      <c r="CC73">
        <v>0</v>
      </c>
      <c r="CD73">
        <v>0</v>
      </c>
      <c r="CE73">
        <v>0</v>
      </c>
      <c r="CF73">
        <v>0</v>
      </c>
      <c r="CG73">
        <v>0</v>
      </c>
      <c r="CH73">
        <v>0</v>
      </c>
      <c r="CI73">
        <v>0</v>
      </c>
      <c r="CJ73">
        <v>0</v>
      </c>
      <c r="CK73">
        <v>0</v>
      </c>
      <c r="CL73">
        <v>0</v>
      </c>
      <c r="CM73">
        <v>0</v>
      </c>
      <c r="CN73" t="str">
        <f>IF($BL73&lt;$BK73,"refNeedCorrection","refOK")</f>
        <v>refOK</v>
      </c>
      <c r="CO73">
        <f>IF($CN73="refOK",$BK73,$BL73)</f>
        <v>5.5978179484354129</v>
      </c>
      <c r="CP73">
        <f>IF($CN73="refOK",$BL73,$BK73)</f>
        <v>5.6162990524021872</v>
      </c>
      <c r="CQ73">
        <f>IF($CN73="refOK",$BO73,-$BO73)</f>
        <v>18481.10396677427</v>
      </c>
      <c r="CR73">
        <f>IF($CN73="refOK",$BS73,$BT73)*IF($BP73="Emissions positive",-1,1)</f>
        <v>1.5579710144927537</v>
      </c>
      <c r="CS73">
        <f>IF($CN73="refOK",$BT73,$BS73)*IF($BP73="Emissions positive",-1,1)</f>
        <v>1.5434782608695701</v>
      </c>
      <c r="CT73">
        <f>IF($CN73="refNeedCorrection",-BX73,BX73)*IF($BP73="Emissions positive",-1,1)</f>
        <v>-53188.40579708376</v>
      </c>
      <c r="CU73">
        <f>IFERROR(CT73/CQ73,"")</f>
        <v>-2.8779885602454827</v>
      </c>
      <c r="CV73" s="2">
        <f>IFERROR((CS73-CR73)/ABS(CR73),"")</f>
        <v>-9.302325581392254E-3</v>
      </c>
      <c r="CW73" s="1" t="s">
        <v>1199</v>
      </c>
      <c r="CX73" t="str">
        <f>IF(OR($CW73="prd",$CW73="std",$CW73="cit"),"loc",IF(OR($CW73="eur",$CW73="reg",$CW73="coy"),"reg",$CW73))</f>
        <v>reg</v>
      </c>
      <c r="CY73" t="s">
        <v>444</v>
      </c>
      <c r="CZ73"/>
      <c r="DA73"/>
      <c r="DB73">
        <v>100</v>
      </c>
      <c r="DC73" t="str">
        <f>IF(DB73=0,"0",IF(AND(DB73&gt;=1,DB73&lt;=30),"1-30",IF(AND(DB73&gt;30,DB73&lt;=70),"31-70",IF(AND(DB73&gt;70,DB73&lt;=100),"71-100",IF(DB73&gt;100,"+100")))))</f>
        <v>71-100</v>
      </c>
      <c r="DD73">
        <v>0</v>
      </c>
      <c r="DE73">
        <v>1</v>
      </c>
      <c r="DF73">
        <v>1</v>
      </c>
      <c r="DG73">
        <v>1</v>
      </c>
      <c r="DH73"/>
      <c r="DI73">
        <f>SUM(DD73:DG73)</f>
        <v>3</v>
      </c>
      <c r="DJ73" t="str">
        <f>IF(DI73=1,INDEX($DD$7:$DG$7,MATCH(1,$DD73:$DG73,0)),"mixedProduct")</f>
        <v>mixedProduct</v>
      </c>
      <c r="DK73">
        <f>IF(DD73=1,DK$7,0)</f>
        <v>0</v>
      </c>
      <c r="DL73" t="str">
        <f>IF(DE73=1,DL$7,0)</f>
        <v>Energy</v>
      </c>
      <c r="DM73" t="str">
        <f>IF(DF73=1,DM$7,0)</f>
        <v>Pulp/Paper</v>
      </c>
      <c r="DN73" t="str">
        <f>IF(DG73=1,DN$7,0)</f>
        <v>Timber</v>
      </c>
      <c r="DO73">
        <v>1</v>
      </c>
      <c r="DP73">
        <v>0</v>
      </c>
      <c r="DQ73">
        <v>0</v>
      </c>
      <c r="DR73">
        <v>0</v>
      </c>
      <c r="DS73">
        <v>0</v>
      </c>
      <c r="DT73">
        <f>SUM(DO73:DP73)</f>
        <v>1</v>
      </c>
      <c r="DU73" s="143" t="str">
        <f>IF(DO73=1,"self-calculated DF",IF(DP73=1,"external DF used","explicit C balance"))</f>
        <v>self-calculated DF</v>
      </c>
      <c r="DV73">
        <v>0</v>
      </c>
      <c r="DW73">
        <v>1</v>
      </c>
      <c r="DX73">
        <v>1</v>
      </c>
      <c r="DY73">
        <v>0</v>
      </c>
      <c r="DZ73">
        <v>0</v>
      </c>
      <c r="EA73" s="143">
        <v>1</v>
      </c>
      <c r="EB73">
        <v>0</v>
      </c>
      <c r="EC73">
        <v>0</v>
      </c>
      <c r="ED73">
        <v>0</v>
      </c>
      <c r="EE73">
        <v>0</v>
      </c>
      <c r="EF73">
        <v>1</v>
      </c>
      <c r="EG73">
        <v>1</v>
      </c>
      <c r="EH73">
        <v>0</v>
      </c>
      <c r="EI73" s="2">
        <v>0</v>
      </c>
      <c r="EJ73" s="1"/>
      <c r="EK73" t="str">
        <f>IF(AND(AND(AND(OR($DX73=1,$DW73=1),OR($EC73=1,$EA73=1)),SUM($DV73:$DZ73,$EF73)&gt;=4),SUM($EA73:$EE73)&gt;=2),"Whole sector","")</f>
        <v/>
      </c>
      <c r="EL73" t="str">
        <f>IF(AND(AND(OR($DX73=1,$DW73=1),AND($EC73=0,$EA73=0)),SUM($DV73:$DZ73,$EF73)&gt;=4),"Ecosystem approach","")</f>
        <v/>
      </c>
      <c r="EM73" s="2" t="str">
        <f>IF(AND(AND(AND($DX73=0,$DW73=0),OR($EC73=1,$EA73=1)),SUM($EB73:$EE73)&gt;=2),"Technology approach","")</f>
        <v/>
      </c>
      <c r="EN73"/>
      <c r="EO73"/>
      <c r="EP73" t="str">
        <f>IF(ISNUMBER(BU73),IF(ABS(BU73-[1]QC_indicators!$B$2)&gt;3*[1]QC_indicators!$C$2,"C ratio",IF(ISNUMBER(BY73),IF(ABS(BY73-[1]QC_indicators!$B$1)&gt;3*[1]QC_indicators!$C$1,"DF","no"))),IF(ISNUMBER(BY73),IF(ABS(BY73-[1]QC_indicators!$B$1)&gt;3*[1]QC_indicators!$C$1,"DF","no")))</f>
        <v>no</v>
      </c>
      <c r="EQ73" t="s">
        <v>286</v>
      </c>
      <c r="ER73"/>
      <c r="ES73"/>
      <c r="ET73" s="264" t="s">
        <v>3088</v>
      </c>
      <c r="EU73"/>
    </row>
    <row r="74" spans="1:151" s="139" customFormat="1" ht="15" customHeight="1">
      <c r="A74" s="1" t="s">
        <v>1138</v>
      </c>
      <c r="B74" t="s">
        <v>1832</v>
      </c>
      <c r="C74" t="s">
        <v>1833</v>
      </c>
      <c r="D74" t="s">
        <v>1834</v>
      </c>
      <c r="E74" t="s">
        <v>1835</v>
      </c>
      <c r="F74" t="s">
        <v>1836</v>
      </c>
      <c r="G74" t="s">
        <v>1139</v>
      </c>
      <c r="H74" t="s">
        <v>254</v>
      </c>
      <c r="I74">
        <v>2013</v>
      </c>
      <c r="J74">
        <v>26</v>
      </c>
      <c r="K74" t="s">
        <v>1837</v>
      </c>
      <c r="L74"/>
      <c r="M74" t="str">
        <f>LEFT($D74,FIND(",",$D74)-1)&amp;"_"&amp;I74&amp;L74</f>
        <v>Klein_2013</v>
      </c>
      <c r="N74" t="s">
        <v>222</v>
      </c>
      <c r="O74" s="145" t="s">
        <v>513</v>
      </c>
      <c r="P74"/>
      <c r="Q74" t="s">
        <v>256</v>
      </c>
      <c r="R74" s="255" t="s">
        <v>225</v>
      </c>
      <c r="S74" s="1" t="s">
        <v>1844</v>
      </c>
      <c r="T74" t="s">
        <v>1845</v>
      </c>
      <c r="U74" t="s">
        <v>1846</v>
      </c>
      <c r="V74">
        <v>0</v>
      </c>
      <c r="W74">
        <v>0</v>
      </c>
      <c r="X74">
        <v>0</v>
      </c>
      <c r="Y74">
        <v>0</v>
      </c>
      <c r="Z74">
        <v>1</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s="141">
        <f>COUNTIF(V74:AW74,"&lt;&gt;0")</f>
        <v>1</v>
      </c>
      <c r="AY74" s="141">
        <f>COUNTIF(V74:AL74,"&lt;&gt;0")</f>
        <v>1</v>
      </c>
      <c r="AZ74">
        <f>COUNTIF(V74:AC74,"&lt;&gt;0")</f>
        <v>1</v>
      </c>
      <c r="BA74">
        <f>COUNTIF(AD74:AI74,"&lt;&gt;0")</f>
        <v>0</v>
      </c>
      <c r="BB74">
        <f>COUNTIF(AJ74:AL74,"&lt;&gt;0")</f>
        <v>0</v>
      </c>
      <c r="BC74">
        <f>COUNTIF(AS74:AW74,"&lt;&gt;0")</f>
        <v>0</v>
      </c>
      <c r="BD74">
        <f>COUNTIF(AM74:AR74,"&lt;&gt;0")</f>
        <v>0</v>
      </c>
      <c r="BE74" t="str">
        <f t="array" ref="BE74">IF(AY74=1,INDEX($V$7:$AL$7,MATCH(TRUE,INDEX($V74:$AW74&lt;&gt;0,),0)),IF(AY74=0,INDEX($AM$7:$AW$7,MATCH(1,$AM74:$AW74,0)),IF(BF74="Multiple strategies","mixed drivers",IF(BF74="Supply chain","multiple supply","multiple silviculture"))))</f>
        <v>species</v>
      </c>
      <c r="BF74" s="2" t="str" cm="1">
        <f t="array" ref="BF74">IF(COUNTIF(AZ74:BB74,"&lt;&gt;0")=1,INDEX($V$4:$AW$4,MATCH(TRUE,INDEX($V74:$AW74&lt;&gt;0,),0)),IF(COUNTIF(AZ74:BB74,"&lt;&gt;0")=0,INDEX($AM$4:$AW$4,MATCH(1,$AM74:$AW74,0)),"Multiple strategies"))</f>
        <v>Silviculture for productivity</v>
      </c>
      <c r="BG74" s="1" t="s">
        <v>321</v>
      </c>
      <c r="BH74" t="s">
        <v>1841</v>
      </c>
      <c r="BI74" s="260" t="s">
        <v>3368</v>
      </c>
      <c r="BJ74" t="s">
        <v>278</v>
      </c>
      <c r="BK74">
        <v>25.2</v>
      </c>
      <c r="BL74">
        <v>52.7</v>
      </c>
      <c r="BM74">
        <f>BL74/BK74</f>
        <v>2.0912698412698414</v>
      </c>
      <c r="BN74">
        <f>BL74-BK74</f>
        <v>27.500000000000004</v>
      </c>
      <c r="BO74">
        <f>BN74*tC_to_m3</f>
        <v>119.4094659140252</v>
      </c>
      <c r="BP74" t="s">
        <v>232</v>
      </c>
      <c r="BQ74" s="260" t="s">
        <v>3367</v>
      </c>
      <c r="BR74" t="s">
        <v>278</v>
      </c>
      <c r="BS74">
        <v>444.6</v>
      </c>
      <c r="BT74">
        <v>351</v>
      </c>
      <c r="BU74" s="144">
        <f>IFERROR(BT74/BS74,"")</f>
        <v>0.78947368421052633</v>
      </c>
      <c r="BV74">
        <f>BT74-BS74</f>
        <v>-93.600000000000023</v>
      </c>
      <c r="BW74"/>
      <c r="BX74">
        <f>BV74*C_to_CO2</f>
        <v>-343.51200000000006</v>
      </c>
      <c r="BY74">
        <f>IFERROR(BX74/BO74,"")</f>
        <v>-2.8767568581818184</v>
      </c>
      <c r="BZ74">
        <v>0</v>
      </c>
      <c r="CA74">
        <v>0</v>
      </c>
      <c r="CB74">
        <v>0</v>
      </c>
      <c r="CC74">
        <v>0</v>
      </c>
      <c r="CD74">
        <v>0</v>
      </c>
      <c r="CE74">
        <v>0</v>
      </c>
      <c r="CF74">
        <v>0</v>
      </c>
      <c r="CG74">
        <v>0</v>
      </c>
      <c r="CH74">
        <v>0</v>
      </c>
      <c r="CI74">
        <v>0</v>
      </c>
      <c r="CJ74">
        <v>0</v>
      </c>
      <c r="CK74">
        <v>0</v>
      </c>
      <c r="CL74">
        <v>0</v>
      </c>
      <c r="CM74">
        <v>0</v>
      </c>
      <c r="CN74" t="str">
        <f>IF($BL74&lt;$BK74,"refNeedCorrection","refOK")</f>
        <v>refOK</v>
      </c>
      <c r="CO74">
        <f>IF($CN74="refOK",$BK74,$BL74)</f>
        <v>25.2</v>
      </c>
      <c r="CP74">
        <f>IF($CN74="refOK",$BL74,$BK74)</f>
        <v>52.7</v>
      </c>
      <c r="CQ74">
        <f>IF($CN74="refOK",$BO74,-$BO74)</f>
        <v>119.4094659140252</v>
      </c>
      <c r="CR74">
        <f>IF($CN74="refOK",$BS74,$BT74)*IF($BP74="Emissions positive",-1,1)</f>
        <v>444.6</v>
      </c>
      <c r="CS74">
        <f>IF($CN74="refOK",$BT74,$BS74)*IF($BP74="Emissions positive",-1,1)</f>
        <v>351</v>
      </c>
      <c r="CT74">
        <f>IF($CN74="refNeedCorrection",-BX74,BX74)*IF($BP74="Emissions positive",-1,1)</f>
        <v>-343.51200000000006</v>
      </c>
      <c r="CU74">
        <f>IFERROR(CT74/CQ74,"")</f>
        <v>-2.8767568581818184</v>
      </c>
      <c r="CV74" s="2">
        <f>IFERROR((CS74-CR74)/ABS(CR74),"")</f>
        <v>-0.21052631578947373</v>
      </c>
      <c r="CW74" s="1" t="s">
        <v>1199</v>
      </c>
      <c r="CX74" t="str">
        <f>IF(OR($CW74="prd",$CW74="std",$CW74="cit"),"loc",IF(OR($CW74="eur",$CW74="reg",$CW74="coy"),"reg",$CW74))</f>
        <v>reg</v>
      </c>
      <c r="CY74" t="s">
        <v>1301</v>
      </c>
      <c r="CZ74"/>
      <c r="DA74"/>
      <c r="DB74">
        <v>180</v>
      </c>
      <c r="DC74" t="str">
        <f>IF(DB74=0,"0",IF(AND(DB74&gt;=1,DB74&lt;=30),"1-30",IF(AND(DB74&gt;30,DB74&lt;=70),"31-70",IF(AND(DB74&gt;70,DB74&lt;=100),"71-100",IF(DB74&gt;100,"+100")))))</f>
        <v>+100</v>
      </c>
      <c r="DD74">
        <v>0</v>
      </c>
      <c r="DE74">
        <v>1</v>
      </c>
      <c r="DF74">
        <v>1</v>
      </c>
      <c r="DG74">
        <v>1</v>
      </c>
      <c r="DH74">
        <v>1</v>
      </c>
      <c r="DI74">
        <f>SUM(DD74:DG74)</f>
        <v>3</v>
      </c>
      <c r="DJ74" t="str">
        <f>IF(DI74=1,INDEX($DD$7:$DG$7,MATCH(1,$DD74:$DG74,0)),"mixedProduct")</f>
        <v>mixedProduct</v>
      </c>
      <c r="DK74">
        <f>IF(DD74=1,DK$7,0)</f>
        <v>0</v>
      </c>
      <c r="DL74" t="str">
        <f>IF(DE74=1,DL$7,0)</f>
        <v>Energy</v>
      </c>
      <c r="DM74" t="str">
        <f>IF(DF74=1,DM$7,0)</f>
        <v>Pulp/Paper</v>
      </c>
      <c r="DN74" t="str">
        <f>IF(DG74=1,DN$7,0)</f>
        <v>Timber</v>
      </c>
      <c r="DO74">
        <v>0</v>
      </c>
      <c r="DP74">
        <v>1</v>
      </c>
      <c r="DQ74" t="s">
        <v>1842</v>
      </c>
      <c r="DR74" t="s">
        <v>1843</v>
      </c>
      <c r="DS74">
        <v>0</v>
      </c>
      <c r="DT74">
        <f>SUM(DO74:DP74)</f>
        <v>1</v>
      </c>
      <c r="DU74" s="143" t="str">
        <f>IF(DO74=1,"self-calculated DF",IF(DP74=1,"external DF used","explicit C balance"))</f>
        <v>external DF used</v>
      </c>
      <c r="DV74">
        <v>1</v>
      </c>
      <c r="DW74">
        <v>1</v>
      </c>
      <c r="DX74">
        <v>1</v>
      </c>
      <c r="DY74">
        <v>1</v>
      </c>
      <c r="DZ74">
        <v>1</v>
      </c>
      <c r="EA74">
        <v>1</v>
      </c>
      <c r="EB74">
        <v>0</v>
      </c>
      <c r="EC74">
        <v>0</v>
      </c>
      <c r="ED74">
        <v>0</v>
      </c>
      <c r="EE74">
        <v>0</v>
      </c>
      <c r="EF74">
        <v>1</v>
      </c>
      <c r="EG74">
        <v>0</v>
      </c>
      <c r="EH74">
        <v>0</v>
      </c>
      <c r="EI74" s="2">
        <v>0</v>
      </c>
      <c r="EJ74" s="1"/>
      <c r="EK74" t="str">
        <f>IF(AND(AND(AND(OR($DX74=1,$DW74=1),OR($EC74=1,$EA74=1)),SUM($DV74:$DZ74,$EF74)&gt;=4),SUM($EA74:$EE74)&gt;=2),"Whole sector","")</f>
        <v/>
      </c>
      <c r="EL74" t="str">
        <f>IF(AND(AND(OR($DX74=1,$DW74=1),AND($EC74=0,$EA74=0)),SUM($DV74:$DZ74,$EF74)&gt;=4),"Ecosystem approach","")</f>
        <v/>
      </c>
      <c r="EM74" s="2" t="str">
        <f>IF(AND(AND(AND($DX74=0,$DW74=0),OR($EC74=1,$EA74=1)),SUM($EB74:$EE74)&gt;=2),"Technology approach","")</f>
        <v/>
      </c>
      <c r="EN74"/>
      <c r="EO74"/>
      <c r="EP74" t="str">
        <f>IF(ISNUMBER(BU74),IF(ABS(BU74-[4]QC_indicators!$B$2)&gt;3*[4]QC_indicators!$C$2,"C ratio",IF(ISNUMBER(BY74),IF(ABS(BY74-[4]QC_indicators!$B$1)&gt;3*[4]QC_indicators!$C$1,"DF","no"))),IF(ISNUMBER(BY74),IF(ABS(BY74-[4]QC_indicators!$B$1)&gt;3*[4]QC_indicators!$C$1,"DF","no")))</f>
        <v>no</v>
      </c>
      <c r="EQ74"/>
      <c r="ER74"/>
      <c r="ES74"/>
      <c r="ET74" s="264" t="s">
        <v>3273</v>
      </c>
      <c r="EU74"/>
    </row>
    <row r="75" spans="1:151" s="139" customFormat="1" ht="15" customHeight="1">
      <c r="A75" s="1" t="s">
        <v>1270</v>
      </c>
      <c r="B75" t="s">
        <v>1869</v>
      </c>
      <c r="C75" t="s">
        <v>1870</v>
      </c>
      <c r="D75" t="s">
        <v>1871</v>
      </c>
      <c r="E75" t="s">
        <v>1872</v>
      </c>
      <c r="F75" t="s">
        <v>1873</v>
      </c>
      <c r="G75" t="s">
        <v>1276</v>
      </c>
      <c r="H75" t="s">
        <v>254</v>
      </c>
      <c r="I75">
        <v>2019</v>
      </c>
      <c r="J75">
        <v>2</v>
      </c>
      <c r="K75" t="s">
        <v>1874</v>
      </c>
      <c r="L75"/>
      <c r="M75" t="str">
        <f>LEFT($D75,FIND(",",$D75)-1)&amp;"_"&amp;I75&amp;L75</f>
        <v>Kucuker_2019</v>
      </c>
      <c r="N75" t="s">
        <v>222</v>
      </c>
      <c r="O75" s="145" t="s">
        <v>225</v>
      </c>
      <c r="P75"/>
      <c r="Q75" s="264" t="s">
        <v>256</v>
      </c>
      <c r="R75" s="269" t="s">
        <v>1154</v>
      </c>
      <c r="S75" s="1" t="s">
        <v>1883</v>
      </c>
      <c r="T75" t="s">
        <v>1885</v>
      </c>
      <c r="U75" t="s">
        <v>1887</v>
      </c>
      <c r="V75">
        <v>0</v>
      </c>
      <c r="W75">
        <v>0</v>
      </c>
      <c r="X75">
        <v>0</v>
      </c>
      <c r="Y75">
        <v>0</v>
      </c>
      <c r="Z75">
        <v>1</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s="141">
        <f>COUNTIF(V75:AW75,"&lt;&gt;0")</f>
        <v>1</v>
      </c>
      <c r="AY75" s="141">
        <f>COUNTIF(V75:AL75,"&lt;&gt;0")</f>
        <v>1</v>
      </c>
      <c r="AZ75">
        <f>COUNTIF(V75:AC75,"&lt;&gt;0")</f>
        <v>1</v>
      </c>
      <c r="BA75">
        <f>COUNTIF(AD75:AI75,"&lt;&gt;0")</f>
        <v>0</v>
      </c>
      <c r="BB75">
        <f>COUNTIF(AJ75:AL75,"&lt;&gt;0")</f>
        <v>0</v>
      </c>
      <c r="BC75">
        <f>COUNTIF(AS75:AW75,"&lt;&gt;0")</f>
        <v>0</v>
      </c>
      <c r="BD75">
        <f>COUNTIF(AM75:AR75,"&lt;&gt;0")</f>
        <v>0</v>
      </c>
      <c r="BE75" t="str" cm="1">
        <f t="array" ref="BE75">IF(AY75=1,INDEX($V$7:$AL$7,MATCH(TRUE,INDEX($V75:$AW75&lt;&gt;0,),0)),IF(AY75=0,INDEX($AM$7:$AW$7,MATCH(1,$AM75:$AW75,0)),IF(BF75="Multiple strategies","mixed drivers",IF(BF75="Supply chain","multiple supply","multiple silviculture"))))</f>
        <v>species</v>
      </c>
      <c r="BF75" s="2" t="str" cm="1">
        <f t="array" ref="BF75">IF(COUNTIF(AZ75:BB75,"&lt;&gt;0")=1,INDEX($V$4:$AW$4,MATCH(TRUE,INDEX($V75:$AW75&lt;&gt;0,),0)),IF(COUNTIF(AZ75:BB75,"&lt;&gt;0")=0,INDEX($AM$4:$AW$4,MATCH(1,$AM75:$AW75,0)),"Multiple strategies"))</f>
        <v>Silviculture for productivity</v>
      </c>
      <c r="BG75" s="173" t="s">
        <v>321</v>
      </c>
      <c r="BH75" t="s">
        <v>182</v>
      </c>
      <c r="BI75"/>
      <c r="BJ75" t="s">
        <v>1770</v>
      </c>
      <c r="BK75">
        <v>6758</v>
      </c>
      <c r="BL75" s="143">
        <v>6855</v>
      </c>
      <c r="BM75" s="163">
        <f>BL75/BK75</f>
        <v>1.0143533589819473</v>
      </c>
      <c r="BN75">
        <f>BL75-BK75</f>
        <v>97</v>
      </c>
      <c r="BO75" s="143">
        <f>BN75*10^3</f>
        <v>97000</v>
      </c>
      <c r="BP75" t="s">
        <v>232</v>
      </c>
      <c r="BQ75"/>
      <c r="BR75" t="s">
        <v>1877</v>
      </c>
      <c r="BS75" s="143">
        <v>2990</v>
      </c>
      <c r="BT75">
        <v>2914</v>
      </c>
      <c r="BU75" s="144">
        <f>IFERROR(BT75/BS75,"")</f>
        <v>0.97458193979933105</v>
      </c>
      <c r="BV75">
        <f>BT75-BS75</f>
        <v>-76</v>
      </c>
      <c r="BW75"/>
      <c r="BX75">
        <f>BV75*10^9/10^6*C_to_CO2</f>
        <v>-278920</v>
      </c>
      <c r="BY75">
        <f>IFERROR(BX75/BO75,"")</f>
        <v>-2.875463917525773</v>
      </c>
      <c r="BZ75">
        <v>0</v>
      </c>
      <c r="CA75">
        <v>0</v>
      </c>
      <c r="CB75">
        <v>0</v>
      </c>
      <c r="CC75">
        <v>0</v>
      </c>
      <c r="CD75">
        <v>0</v>
      </c>
      <c r="CE75">
        <v>0</v>
      </c>
      <c r="CF75">
        <v>0</v>
      </c>
      <c r="CG75">
        <v>0</v>
      </c>
      <c r="CH75">
        <v>0</v>
      </c>
      <c r="CI75">
        <v>0</v>
      </c>
      <c r="CJ75">
        <v>0</v>
      </c>
      <c r="CK75">
        <v>0</v>
      </c>
      <c r="CL75">
        <v>0</v>
      </c>
      <c r="CM75">
        <v>0</v>
      </c>
      <c r="CN75" t="str">
        <f>IF($BL75&lt;$BK75,"refNeedCorrection","refOK")</f>
        <v>refOK</v>
      </c>
      <c r="CO75">
        <f>IF($CN75="refNeedCorrection",BL75,BK75)</f>
        <v>6758</v>
      </c>
      <c r="CP75">
        <f>IF($CN75="refNeedCorrection",BK75,BL75)</f>
        <v>6855</v>
      </c>
      <c r="CQ75">
        <f>IF($CN75="refOK",$BO75,-$BO75)</f>
        <v>97000</v>
      </c>
      <c r="CR75">
        <f>IF($CN75="refOK",$BS75,$BT75)*IF($BP75="Emissions positive",-1,1)</f>
        <v>2990</v>
      </c>
      <c r="CS75">
        <f>IF($CN75="refOK",$BT75,$BS75)*IF($BP75="Emissions positive",-1,1)</f>
        <v>2914</v>
      </c>
      <c r="CT75">
        <f>IF($CN75="refNeedCorrection",-BX75,BX75)*IF($BP75="Emissions positive",-1,1)</f>
        <v>-278920</v>
      </c>
      <c r="CU75">
        <f>IFERROR(CT75/CQ75,"")</f>
        <v>-2.875463917525773</v>
      </c>
      <c r="CV75" s="2">
        <f>IFERROR((CS75-CR75)/ABS(CR75),"")</f>
        <v>-2.5418060200668897E-2</v>
      </c>
      <c r="CW75" s="1" t="s">
        <v>1203</v>
      </c>
      <c r="CX75" s="264" t="str">
        <f>IF(OR($CW75="prd",$CW75="std",$CW75="cit"),"loc",IF(OR($CW75="eur",$CW75="reg",$CW75="coy"),"reg",$CW75))</f>
        <v>reg</v>
      </c>
      <c r="CY75" t="s">
        <v>1281</v>
      </c>
      <c r="CZ75"/>
      <c r="DA75" s="143"/>
      <c r="DB75">
        <v>100</v>
      </c>
      <c r="DC75" t="str">
        <f>IF(DB75=0,"0",IF(AND(DB75&gt;=1,DB75&lt;=30),"1-30",IF(AND(DB75&gt;30,DB75&lt;=70),"31-70",IF(AND(DB75&gt;70,DB75&lt;=100),"71-100",IF(DB75&gt;100,"+100")))))</f>
        <v>71-100</v>
      </c>
      <c r="DD75">
        <v>0</v>
      </c>
      <c r="DE75">
        <v>0</v>
      </c>
      <c r="DF75">
        <v>0</v>
      </c>
      <c r="DG75">
        <v>1</v>
      </c>
      <c r="DH75"/>
      <c r="DI75">
        <f>SUM(DD75:DG75)</f>
        <v>1</v>
      </c>
      <c r="DJ75" t="str">
        <f>IF(DI75=1,INDEX($DD$7:$DG$7,MATCH(1,$DD75:$DG75,0)),"mixedProduct")</f>
        <v>TimberInput</v>
      </c>
      <c r="DK75">
        <f>IF(DD75=1,DK$7,0)</f>
        <v>0</v>
      </c>
      <c r="DL75">
        <f>IF(DE75=1,DL$7,0)</f>
        <v>0</v>
      </c>
      <c r="DM75">
        <f>IF(DF75=1,DM$7,0)</f>
        <v>0</v>
      </c>
      <c r="DN75" t="str">
        <f>IF(DG75=1,DN$7,0)</f>
        <v>Timber</v>
      </c>
      <c r="DO75">
        <v>0</v>
      </c>
      <c r="DP75" s="143">
        <v>0</v>
      </c>
      <c r="DQ75" s="143">
        <v>0</v>
      </c>
      <c r="DR75">
        <v>0</v>
      </c>
      <c r="DS75" s="143">
        <v>0</v>
      </c>
      <c r="DT75">
        <f>SUM(DO75:DP75)</f>
        <v>0</v>
      </c>
      <c r="DU75" s="143" t="str">
        <f>IF(DO75=1,"self-calculated DF",IF(DP75=1,"external DF used","explicit C balance"))</f>
        <v>explicit C balance</v>
      </c>
      <c r="DV75" s="143">
        <v>0</v>
      </c>
      <c r="DW75" s="143">
        <v>0</v>
      </c>
      <c r="DX75" s="143">
        <v>1</v>
      </c>
      <c r="DY75" s="143">
        <v>0</v>
      </c>
      <c r="DZ75">
        <v>0</v>
      </c>
      <c r="EA75" s="143">
        <v>0</v>
      </c>
      <c r="EB75" s="143">
        <v>0</v>
      </c>
      <c r="EC75" s="143">
        <v>0</v>
      </c>
      <c r="ED75" s="143">
        <v>0</v>
      </c>
      <c r="EE75">
        <v>0</v>
      </c>
      <c r="EF75">
        <v>0</v>
      </c>
      <c r="EG75" s="143">
        <v>0</v>
      </c>
      <c r="EH75">
        <v>0</v>
      </c>
      <c r="EI75" s="2">
        <v>0</v>
      </c>
      <c r="EJ75" s="1"/>
      <c r="EK75" t="str">
        <f>IF(AND(AND(AND(OR($DX75=1,$DW75=1),OR($EC75=1,$EA75=1)),SUM($DV75:$DZ75,$EF75)&gt;=4),SUM($EA75:$EE75)&gt;=2),"Whole sector","")</f>
        <v/>
      </c>
      <c r="EL75" t="str">
        <f>IF(AND(AND(OR($DX75=1,$DW75=1),AND($EC75=0,$EA75=0)),SUM($DV75:$DZ75,$EF75)&gt;=4),"Ecosystem approach","")</f>
        <v/>
      </c>
      <c r="EM75" s="2" t="str">
        <f>IF(AND(AND(AND($DX75=0,$DW75=0),OR($EC75=1,$EA75=1)),SUM($EB75:$EE75)&gt;=2),"Technology approach","")</f>
        <v/>
      </c>
      <c r="EN75"/>
      <c r="EO75"/>
      <c r="EP75" t="str">
        <f>IF(ISNUMBER(BU75),IF(ABS(BU75-[3]QC_indicators!$B$2)&gt;3*[3]QC_indicators!$C$2,"C ratio",IF(ISNUMBER(BY75),IF(ABS(BY75-[3]QC_indicators!$B$1)&gt;3*[3]QC_indicators!$C$1,"DF","no"))),IF(ISNUMBER(BY75),IF(ABS(BY75-[3]QC_indicators!$B$1)&gt;3*[3]QC_indicators!$C$1,"DF","no")))</f>
        <v>no</v>
      </c>
      <c r="EQ75"/>
      <c r="ER75"/>
      <c r="ES75"/>
      <c r="ET75" s="264" t="s">
        <v>3407</v>
      </c>
      <c r="EU75"/>
    </row>
    <row r="76" spans="1:151" s="139" customFormat="1" ht="15" customHeight="1">
      <c r="A76" s="1" t="s">
        <v>1360</v>
      </c>
      <c r="B76" t="s">
        <v>2135</v>
      </c>
      <c r="C76" t="s">
        <v>2136</v>
      </c>
      <c r="D76" t="s">
        <v>2137</v>
      </c>
      <c r="E76" t="s">
        <v>2138</v>
      </c>
      <c r="F76" t="s">
        <v>2139</v>
      </c>
      <c r="G76" t="s">
        <v>1366</v>
      </c>
      <c r="H76" t="s">
        <v>254</v>
      </c>
      <c r="I76">
        <v>2012</v>
      </c>
      <c r="J76">
        <v>21</v>
      </c>
      <c r="K76" t="s">
        <v>2140</v>
      </c>
      <c r="L76" s="192"/>
      <c r="M76" t="str">
        <f>LEFT($D76,FIND(",",$D76)-1)&amp;"_"&amp;I76&amp;L76</f>
        <v>Pyorala_2012</v>
      </c>
      <c r="N76" t="s">
        <v>222</v>
      </c>
      <c r="O76" s="145" t="s">
        <v>341</v>
      </c>
      <c r="P76" s="180" t="s">
        <v>223</v>
      </c>
      <c r="Q76" s="264" t="s">
        <v>256</v>
      </c>
      <c r="R76" s="269" t="s">
        <v>1154</v>
      </c>
      <c r="S76" s="263" t="s">
        <v>2141</v>
      </c>
      <c r="T76" s="264" t="s">
        <v>2142</v>
      </c>
      <c r="U76" s="264" t="s">
        <v>2143</v>
      </c>
      <c r="V76">
        <v>0</v>
      </c>
      <c r="W76">
        <v>0</v>
      </c>
      <c r="X76">
        <v>0</v>
      </c>
      <c r="Y76">
        <v>1</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s="141">
        <f>COUNTIF(V76:AW76,"&lt;&gt;0")</f>
        <v>1</v>
      </c>
      <c r="AY76" s="141">
        <f>COUNTIF(V76:AL76,"&lt;&gt;0")</f>
        <v>1</v>
      </c>
      <c r="AZ76">
        <f>COUNTIF(V76:AC76,"&lt;&gt;0")</f>
        <v>1</v>
      </c>
      <c r="BA76">
        <f>COUNTIF(AD76:AI76,"&lt;&gt;0")</f>
        <v>0</v>
      </c>
      <c r="BB76">
        <f>COUNTIF(AJ76:AL76,"&lt;&gt;0")</f>
        <v>0</v>
      </c>
      <c r="BC76">
        <f>COUNTIF(AS76:AW76,"&lt;&gt;0")</f>
        <v>0</v>
      </c>
      <c r="BD76">
        <f>COUNTIF(AM76:AR76,"&lt;&gt;0")</f>
        <v>0</v>
      </c>
      <c r="BE76" t="str" cm="1">
        <f t="array" ref="BE76">IF(AY76=1,INDEX($V$7:$AL$7,MATCH(TRUE,INDEX($V76:$AW76&lt;&gt;0,),0)),IF(AY76=0,INDEX($AM$7:$AW$7,MATCH(1,$AM76:$AW76,0)),IF(BF76="Multiple strategies","mixed drivers",IF(BF76="Supply chain","multiple supply","multiple silviculture"))))</f>
        <v xml:space="preserve">cutting intensity </v>
      </c>
      <c r="BF76" s="2" t="str" cm="1">
        <f t="array" ref="BF76">IF(COUNTIF(AZ76:BB76,"&lt;&gt;0")=1,INDEX($V$4:$AW$4,MATCH(TRUE,INDEX($V76:$AW76&lt;&gt;0,),0)),IF(COUNTIF(AZ76:BB76,"&lt;&gt;0")=0,INDEX($AM$4:$AW$4,MATCH(1,$AM76:$AW76,0)),"Multiple strategies"))</f>
        <v>Silviculture for removals</v>
      </c>
      <c r="BG76" s="178" t="s">
        <v>321</v>
      </c>
      <c r="BH76" s="264" t="s">
        <v>2144</v>
      </c>
      <c r="BI76" s="264" t="s">
        <v>426</v>
      </c>
      <c r="BJ76" s="160" t="s">
        <v>700</v>
      </c>
      <c r="BK76">
        <v>8.3000000000000007</v>
      </c>
      <c r="BL76">
        <v>8.4</v>
      </c>
      <c r="BM76"/>
      <c r="BN76">
        <f>BL76-BK76</f>
        <v>9.9999999999999645E-2</v>
      </c>
      <c r="BO76">
        <f>BN76</f>
        <v>9.9999999999999645E-2</v>
      </c>
      <c r="BP76" s="155" t="s">
        <v>232</v>
      </c>
      <c r="BQ76" s="264" t="s">
        <v>786</v>
      </c>
      <c r="BR76" s="270" t="s">
        <v>2145</v>
      </c>
      <c r="BS76" s="264">
        <f>136.6/80</f>
        <v>1.7075</v>
      </c>
      <c r="BT76" s="264">
        <f>113.9/80</f>
        <v>1.4237500000000001</v>
      </c>
      <c r="BU76" s="144"/>
      <c r="BV76">
        <f>BT76-BS76</f>
        <v>-0.28374999999999995</v>
      </c>
      <c r="BW76"/>
      <c r="BX76">
        <f>BV76</f>
        <v>-0.28374999999999995</v>
      </c>
      <c r="BY76">
        <f>IFERROR(BX76/BO76,"")</f>
        <v>-2.8375000000000097</v>
      </c>
      <c r="BZ76">
        <v>0</v>
      </c>
      <c r="CA76">
        <v>0</v>
      </c>
      <c r="CB76">
        <v>0</v>
      </c>
      <c r="CC76">
        <v>0</v>
      </c>
      <c r="CD76">
        <v>0</v>
      </c>
      <c r="CE76">
        <v>0</v>
      </c>
      <c r="CF76">
        <v>0</v>
      </c>
      <c r="CG76">
        <v>0</v>
      </c>
      <c r="CH76">
        <v>0</v>
      </c>
      <c r="CI76">
        <v>0</v>
      </c>
      <c r="CJ76">
        <v>0</v>
      </c>
      <c r="CK76">
        <v>0</v>
      </c>
      <c r="CL76">
        <v>0</v>
      </c>
      <c r="CM76">
        <v>0</v>
      </c>
      <c r="CN76" t="str">
        <f>IF($BL76&lt;$BK76,"refNeedCorrection","refOK")</f>
        <v>refOK</v>
      </c>
      <c r="CO76">
        <f>IF($CN76="refOK",$BK76,$BL76)</f>
        <v>8.3000000000000007</v>
      </c>
      <c r="CP76">
        <f>IF($CN76="refOK",$BL76,$BK76)</f>
        <v>8.4</v>
      </c>
      <c r="CQ76">
        <f>IF($CN76="refOK",$BO76,-$BO76)</f>
        <v>9.9999999999999645E-2</v>
      </c>
      <c r="CR76">
        <f>IF($CN76="refOK",$BS76,$BT76)*IF($BP76="Emissions positive",-1,1)</f>
        <v>1.7075</v>
      </c>
      <c r="CS76">
        <f>IF($CN76="refOK",$BT76,$BS76)*IF($BP76="Emissions positive",-1,1)</f>
        <v>1.4237500000000001</v>
      </c>
      <c r="CT76">
        <f>IF($CN76="refNeedCorrection",-BX76,BX76)*IF($BP76="Emissions positive",-1,1)</f>
        <v>-0.28374999999999995</v>
      </c>
      <c r="CU76">
        <f>IFERROR(CT76/CQ76,"")</f>
        <v>-2.8375000000000097</v>
      </c>
      <c r="CV76" s="2">
        <f>IFERROR((CS76-CR76)/ABS(CR76),"")</f>
        <v>-0.16617862371888723</v>
      </c>
      <c r="CW76" s="1" t="s">
        <v>1199</v>
      </c>
      <c r="CX76" s="264" t="str">
        <f>IF(OR($CW76="prd",$CW76="std",$CW76="cit"),"loc",IF(OR($CW76="eur",$CW76="reg",$CW76="coy"),"reg",$CW76))</f>
        <v>reg</v>
      </c>
      <c r="CY76" t="s">
        <v>235</v>
      </c>
      <c r="CZ76"/>
      <c r="DA76"/>
      <c r="DB76">
        <v>80</v>
      </c>
      <c r="DC76" t="str">
        <f>IF(DB76=0,"0",IF(AND(DB76&gt;=1,DB76&lt;=30),"1-30",IF(AND(DB76&gt;30,DB76&lt;=70),"31-70",IF(AND(DB76&gt;70,DB76&lt;=100),"71-100",IF(DB76&gt;100,"+100")))))</f>
        <v>71-100</v>
      </c>
      <c r="DD76">
        <v>0</v>
      </c>
      <c r="DE76">
        <v>1</v>
      </c>
      <c r="DF76">
        <v>1</v>
      </c>
      <c r="DG76">
        <v>1</v>
      </c>
      <c r="DH76"/>
      <c r="DI76">
        <f>SUM(DD76:DG76)</f>
        <v>3</v>
      </c>
      <c r="DJ76" t="str">
        <f>IF(DI76=1,INDEX($DD$7:$DG$7,MATCH(1,$DD76:$DG76,0)),"mixedProduct")</f>
        <v>mixedProduct</v>
      </c>
      <c r="DK76">
        <f>IF(DD76=1,DK$7,0)</f>
        <v>0</v>
      </c>
      <c r="DL76" t="str">
        <f>IF(DE76=1,DL$7,0)</f>
        <v>Energy</v>
      </c>
      <c r="DM76" t="str">
        <f>IF(DF76=1,DM$7,0)</f>
        <v>Pulp/Paper</v>
      </c>
      <c r="DN76" t="str">
        <f>IF(DG76=1,DN$7,0)</f>
        <v>Timber</v>
      </c>
      <c r="DO76">
        <v>0</v>
      </c>
      <c r="DP76">
        <v>1</v>
      </c>
      <c r="DQ76" t="s">
        <v>2146</v>
      </c>
      <c r="DR76">
        <v>0</v>
      </c>
      <c r="DS76">
        <v>0</v>
      </c>
      <c r="DT76">
        <f>SUM(DO76:DP76)</f>
        <v>1</v>
      </c>
      <c r="DU76" s="143" t="str">
        <f>IF(DO76=1,"self-calculated DF",IF(DP76=1,"external DF used","explicit C balance"))</f>
        <v>external DF used</v>
      </c>
      <c r="DV76">
        <v>1</v>
      </c>
      <c r="DW76">
        <v>1</v>
      </c>
      <c r="DX76">
        <v>1</v>
      </c>
      <c r="DY76">
        <v>0</v>
      </c>
      <c r="DZ76">
        <v>0</v>
      </c>
      <c r="EA76" s="143">
        <v>0</v>
      </c>
      <c r="EB76">
        <v>0</v>
      </c>
      <c r="EC76">
        <v>0</v>
      </c>
      <c r="ED76">
        <v>0</v>
      </c>
      <c r="EE76">
        <v>0</v>
      </c>
      <c r="EF76">
        <v>1</v>
      </c>
      <c r="EG76">
        <v>0</v>
      </c>
      <c r="EH76">
        <v>0</v>
      </c>
      <c r="EI76" s="2">
        <v>0</v>
      </c>
      <c r="EJ76" s="1"/>
      <c r="EK76" t="str">
        <f>IF(AND(AND(AND(OR($DX76=1,$DW76=1),OR($EC76=1,$EA76=1)),SUM($DV76:$DZ76,$EF76)&gt;=4),SUM($EA76:$EE76)&gt;=2),"Whole sector","")</f>
        <v/>
      </c>
      <c r="EL76" t="str">
        <f>IF(AND(AND(OR($DX76=1,$DW76=1),AND($EC76=0,$EA76=0)),SUM($DV76:$DZ76,$EF76)&gt;=4),"Ecosystem approach","")</f>
        <v>Ecosystem approach</v>
      </c>
      <c r="EM76" s="2" t="str">
        <f>IF(AND(AND(AND($DX76=0,$DW76=0),OR($EC76=1,$EA76=1)),SUM($EB76:$EE76)&gt;=2),"Technology approach","")</f>
        <v/>
      </c>
      <c r="EN76"/>
      <c r="EO76"/>
      <c r="EP76" t="str">
        <f>IF(ISNUMBER(BU76),IF(ABS(BU76-[3]QC_indicators!$B$2)&gt;3*[3]QC_indicators!$C$2,"C ratio",IF(ISNUMBER(BY76),IF(ABS(BY76-[3]QC_indicators!$B$1)&gt;3*[3]QC_indicators!$C$1,"DF","no"))),IF(ISNUMBER(BY76),IF(ABS(BY76-[3]QC_indicators!$B$1)&gt;3*[3]QC_indicators!$C$1,"DF","no")))</f>
        <v>no</v>
      </c>
      <c r="EQ76"/>
      <c r="ER76"/>
      <c r="ES76"/>
      <c r="ET76" s="264" t="s">
        <v>3407</v>
      </c>
      <c r="EU76"/>
    </row>
    <row r="77" spans="1:151" s="139" customFormat="1" ht="15" customHeight="1">
      <c r="A77" s="1" t="s">
        <v>1102</v>
      </c>
      <c r="B77" t="s">
        <v>2381</v>
      </c>
      <c r="C77" t="s">
        <v>2382</v>
      </c>
      <c r="D77" t="s">
        <v>2383</v>
      </c>
      <c r="E77" t="s">
        <v>2384</v>
      </c>
      <c r="F77" t="s">
        <v>2385</v>
      </c>
      <c r="G77" t="s">
        <v>1108</v>
      </c>
      <c r="H77" t="s">
        <v>254</v>
      </c>
      <c r="I77">
        <v>2016</v>
      </c>
      <c r="J77">
        <v>13</v>
      </c>
      <c r="K77" t="s">
        <v>2386</v>
      </c>
      <c r="L77"/>
      <c r="M77" t="str">
        <f>LEFT($D77,FIND(",",$D77)-1)&amp;"_"&amp;I77&amp;L77</f>
        <v>Torssonen_2016</v>
      </c>
      <c r="N77" t="s">
        <v>222</v>
      </c>
      <c r="O77" s="145" t="s">
        <v>1154</v>
      </c>
      <c r="P77"/>
      <c r="Q77" s="264" t="s">
        <v>256</v>
      </c>
      <c r="R77" s="269" t="s">
        <v>341</v>
      </c>
      <c r="S77" s="1" t="s">
        <v>2387</v>
      </c>
      <c r="T77" t="s">
        <v>2398</v>
      </c>
      <c r="U77" t="s">
        <v>2389</v>
      </c>
      <c r="V77">
        <v>0</v>
      </c>
      <c r="W77">
        <v>0</v>
      </c>
      <c r="X77">
        <v>0</v>
      </c>
      <c r="Y77">
        <v>1</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s="141">
        <f>COUNTIF(V77:AW77,"&lt;&gt;0")</f>
        <v>1</v>
      </c>
      <c r="AY77" s="141">
        <f>COUNTIF(V77:AL77,"&lt;&gt;0")</f>
        <v>1</v>
      </c>
      <c r="AZ77">
        <f>COUNTIF(V77:AC77,"&lt;&gt;0")</f>
        <v>1</v>
      </c>
      <c r="BA77">
        <f>COUNTIF(AD77:AI77,"&lt;&gt;0")</f>
        <v>0</v>
      </c>
      <c r="BB77">
        <f>COUNTIF(AJ77:AL77,"&lt;&gt;0")</f>
        <v>0</v>
      </c>
      <c r="BC77">
        <f>COUNTIF(AS77:AW77,"&lt;&gt;0")</f>
        <v>0</v>
      </c>
      <c r="BD77">
        <f>COUNTIF(AM77:AR77,"&lt;&gt;0")</f>
        <v>0</v>
      </c>
      <c r="BE77" t="str" cm="1">
        <f t="array" ref="BE77">IF(AY77=1,INDEX($V$7:$AL$7,MATCH(TRUE,INDEX($V77:$AW77&lt;&gt;0,),0)),IF(AY77=0,INDEX($AM$7:$AW$7,MATCH(1,$AM77:$AW77,0)),IF(BF77="Multiple strategies","mixed drivers",IF(BF77="Supply chain","multiple supply","multiple silviculture"))))</f>
        <v xml:space="preserve">cutting intensity </v>
      </c>
      <c r="BF77" s="2" t="str" cm="1">
        <f t="array" ref="BF77">IF(COUNTIF(AZ77:BB77,"&lt;&gt;0")=1,INDEX($V$4:$AW$4,MATCH(TRUE,INDEX($V77:$AW77&lt;&gt;0,),0)),IF(COUNTIF(AZ77:BB77,"&lt;&gt;0")=0,INDEX($AM$4:$AW$4,MATCH(1,$AM77:$AW77,0)),"Multiple strategies"))</f>
        <v>Silviculture for removals</v>
      </c>
      <c r="BG77" s="1" t="s">
        <v>229</v>
      </c>
      <c r="BH77" s="306" t="s">
        <v>2144</v>
      </c>
      <c r="BI77" s="264" t="s">
        <v>2391</v>
      </c>
      <c r="BJ77" s="306" t="s">
        <v>1058</v>
      </c>
      <c r="BK77">
        <v>6.697959172</v>
      </c>
      <c r="BL77">
        <v>6.8142857049999996</v>
      </c>
      <c r="BM77" s="143">
        <f>BL77/BK77</f>
        <v>1.0173674592533033</v>
      </c>
      <c r="BN77">
        <f>BL77-BK77</f>
        <v>0.11632653299999962</v>
      </c>
      <c r="BO77">
        <f>BN77</f>
        <v>0.11632653299999962</v>
      </c>
      <c r="BP77" s="306" t="s">
        <v>395</v>
      </c>
      <c r="BQ77" s="153" t="s">
        <v>3421</v>
      </c>
      <c r="BR77" s="264" t="s">
        <v>2393</v>
      </c>
      <c r="BS77" s="299">
        <v>-334.54545000000002</v>
      </c>
      <c r="BT77">
        <v>-302.54545454545399</v>
      </c>
      <c r="BU77" s="144"/>
      <c r="BV77" s="144">
        <f>BT77-BS77</f>
        <v>31.999995454546024</v>
      </c>
      <c r="BW77" s="144"/>
      <c r="BX77" s="144">
        <f>BV77*10^4/10^6</f>
        <v>0.31999995454546021</v>
      </c>
      <c r="BY77">
        <f>IFERROR(BX77/BO77,"")</f>
        <v>2.7508767457675476</v>
      </c>
      <c r="BZ77">
        <v>0</v>
      </c>
      <c r="CA77">
        <v>0</v>
      </c>
      <c r="CB77">
        <v>0</v>
      </c>
      <c r="CC77">
        <v>0</v>
      </c>
      <c r="CD77">
        <v>0</v>
      </c>
      <c r="CE77">
        <v>0</v>
      </c>
      <c r="CF77">
        <v>0</v>
      </c>
      <c r="CG77">
        <v>0</v>
      </c>
      <c r="CH77">
        <v>0</v>
      </c>
      <c r="CI77">
        <v>0</v>
      </c>
      <c r="CJ77">
        <v>0</v>
      </c>
      <c r="CK77">
        <v>0</v>
      </c>
      <c r="CL77">
        <v>0</v>
      </c>
      <c r="CM77">
        <v>1</v>
      </c>
      <c r="CN77" t="str">
        <f>IF($BL77&lt;$BK77,"refNeedCorrection","refOK")</f>
        <v>refOK</v>
      </c>
      <c r="CO77">
        <f>IF($CN77="refOK",$BK77,$BL77)</f>
        <v>6.697959172</v>
      </c>
      <c r="CP77">
        <f>IF($CN77="refOK",$BL77,$BK77)</f>
        <v>6.8142857049999996</v>
      </c>
      <c r="CQ77">
        <f>IF($CN77="refOK",$BO77,-$BO77)</f>
        <v>0.11632653299999962</v>
      </c>
      <c r="CR77">
        <f>IF($CN77="refOK",$BS77,$BT77)*IF($BP77="Emissions positive",-1,1)</f>
        <v>334.54545000000002</v>
      </c>
      <c r="CS77">
        <f>IF($CN77="refOK",$BT77,$BS77)*IF($BP77="Emissions positive",-1,1)</f>
        <v>302.54545454545399</v>
      </c>
      <c r="CT77">
        <f>IF($CN77="refNeedCorrection",-BX77,BX77)*IF($BP77="Emissions positive",-1,1)</f>
        <v>-0.31999995454546021</v>
      </c>
      <c r="CU77">
        <f>IFERROR(CT77/CQ77,"")</f>
        <v>-2.7508767457675476</v>
      </c>
      <c r="CV77" s="2">
        <f>IFERROR((CS77-CR77)/ABS(CR77),"")</f>
        <v>-9.5652161625710413E-2</v>
      </c>
      <c r="CW77" s="1" t="s">
        <v>1199</v>
      </c>
      <c r="CX77" s="264" t="str">
        <f>IF(OR($CW77="prd",$CW77="std",$CW77="cit"),"loc",IF(OR($CW77="eur",$CW77="reg",$CW77="coy"),"reg",$CW77))</f>
        <v>reg</v>
      </c>
      <c r="CY77" t="s">
        <v>235</v>
      </c>
      <c r="CZ77">
        <v>2020</v>
      </c>
      <c r="DA77">
        <v>2100</v>
      </c>
      <c r="DB77">
        <f>DA77-CZ77</f>
        <v>80</v>
      </c>
      <c r="DC77" t="str">
        <f>IF(DB77=0,"0",IF(AND(DB77&gt;=1,DB77&lt;=30),"1-30",IF(AND(DB77&gt;30,DB77&lt;=70),"31-70",IF(AND(DB77&gt;70,DB77&lt;=100),"71-100",IF(DB77&gt;100,"+100")))))</f>
        <v>71-100</v>
      </c>
      <c r="DD77">
        <v>0</v>
      </c>
      <c r="DE77">
        <v>1</v>
      </c>
      <c r="DF77">
        <v>0</v>
      </c>
      <c r="DG77">
        <v>1</v>
      </c>
      <c r="DH77"/>
      <c r="DI77">
        <f>SUM(DD77:DG77)</f>
        <v>2</v>
      </c>
      <c r="DJ77" t="str">
        <f>IF(DI77=1,INDEX($DD$7:$DG$7,MATCH(1,$DD77:$DG77,0)),"mixedProduct")</f>
        <v>mixedProduct</v>
      </c>
      <c r="DK77">
        <f>IF(DD77=1,DK$7,0)</f>
        <v>0</v>
      </c>
      <c r="DL77" t="str">
        <f>IF(DE77=1,DL$7,0)</f>
        <v>Energy</v>
      </c>
      <c r="DM77">
        <f>IF(DF77=1,DM$7,0)</f>
        <v>0</v>
      </c>
      <c r="DN77" t="str">
        <f>IF(DG77=1,DN$7,0)</f>
        <v>Timber</v>
      </c>
      <c r="DO77">
        <v>1</v>
      </c>
      <c r="DP77">
        <v>0</v>
      </c>
      <c r="DQ77">
        <v>0</v>
      </c>
      <c r="DR77">
        <v>0</v>
      </c>
      <c r="DS77">
        <v>0</v>
      </c>
      <c r="DT77">
        <f>SUM(DO77:DP77)</f>
        <v>1</v>
      </c>
      <c r="DU77" s="143" t="str">
        <f>IF(DO77=1,"self-calculated DF",IF(DP77=1,"external DF used","explicit C balance"))</f>
        <v>self-calculated DF</v>
      </c>
      <c r="DV77">
        <v>1</v>
      </c>
      <c r="DW77">
        <v>0</v>
      </c>
      <c r="DX77">
        <v>1</v>
      </c>
      <c r="DY77">
        <v>0</v>
      </c>
      <c r="DZ77">
        <v>0</v>
      </c>
      <c r="EA77" s="143">
        <v>0</v>
      </c>
      <c r="EB77">
        <v>0</v>
      </c>
      <c r="EC77">
        <v>0</v>
      </c>
      <c r="ED77">
        <v>0</v>
      </c>
      <c r="EE77">
        <v>0</v>
      </c>
      <c r="EF77">
        <v>1</v>
      </c>
      <c r="EG77">
        <v>0</v>
      </c>
      <c r="EH77">
        <v>0</v>
      </c>
      <c r="EI77" s="2">
        <v>0</v>
      </c>
      <c r="EJ77" s="1"/>
      <c r="EK77" t="str">
        <f>IF(AND(AND(AND(OR($DX77=1,$DW77=1),OR($EC77=1,$EA77=1)),SUM($DV77:$DZ77,$EF77)&gt;=4),SUM($EA77:$EE77)&gt;=2),"Whole sector","")</f>
        <v/>
      </c>
      <c r="EL77" t="str">
        <f>IF(AND(AND(OR($DX77=1,$DW77=1),AND($EC77=0,$EA77=0)),SUM($DV77:$DZ77,$EF77)&gt;=4),"Ecosystem approach","")</f>
        <v/>
      </c>
      <c r="EM77" s="2" t="str">
        <f>IF(AND(AND(AND($DX77=0,$DW77=0),OR($EC77=1,$EA77=1)),SUM($EB77:$EE77)&gt;=2),"Technology approach","")</f>
        <v/>
      </c>
      <c r="EN77"/>
      <c r="EO77"/>
      <c r="EP77" t="str">
        <f>IF(ISNUMBER(BU77),IF(ABS(BU77-[3]QC_indicators!$B$2)&gt;3*[3]QC_indicators!$C$2,"C ratio",IF(ISNUMBER(BY77),IF(ABS(BY77-[3]QC_indicators!$B$1)&gt;3*[3]QC_indicators!$C$1,"DF","no"))),IF(ISNUMBER(BY77),IF(ABS(BY77-[3]QC_indicators!$B$1)&gt;3*[3]QC_indicators!$C$1,"DF","no")))</f>
        <v>no</v>
      </c>
      <c r="EQ77"/>
      <c r="ER77" s="264" t="s">
        <v>2394</v>
      </c>
      <c r="ES77"/>
      <c r="ET77" s="306" t="s">
        <v>3422</v>
      </c>
      <c r="EU77"/>
    </row>
    <row r="78" spans="1:151" s="139" customFormat="1" ht="15" customHeight="1">
      <c r="A78" s="1" t="s">
        <v>1423</v>
      </c>
      <c r="B78" t="s">
        <v>2490</v>
      </c>
      <c r="C78" t="s">
        <v>2491</v>
      </c>
      <c r="D78" t="s">
        <v>2492</v>
      </c>
      <c r="E78" t="s">
        <v>2493</v>
      </c>
      <c r="F78" t="s">
        <v>2494</v>
      </c>
      <c r="G78" t="s">
        <v>1429</v>
      </c>
      <c r="H78" t="s">
        <v>254</v>
      </c>
      <c r="I78">
        <v>2016</v>
      </c>
      <c r="J78">
        <v>24</v>
      </c>
      <c r="K78" t="s">
        <v>2495</v>
      </c>
      <c r="L78"/>
      <c r="M78" t="str">
        <f>LEFT($D78,FIND(",",$D78)-1)&amp;"_"&amp;I78&amp;L78</f>
        <v>Zubizarreta-Gerendiain_2016</v>
      </c>
      <c r="N78" t="s">
        <v>222</v>
      </c>
      <c r="O78" s="145" t="s">
        <v>1154</v>
      </c>
      <c r="P78"/>
      <c r="Q78" t="s">
        <v>256</v>
      </c>
      <c r="R78" s="262" t="s">
        <v>223</v>
      </c>
      <c r="S78" s="1" t="s">
        <v>2506</v>
      </c>
      <c r="T78" t="s">
        <v>2507</v>
      </c>
      <c r="U78" t="s">
        <v>2504</v>
      </c>
      <c r="V78">
        <v>0</v>
      </c>
      <c r="W78">
        <v>0</v>
      </c>
      <c r="X78">
        <v>0</v>
      </c>
      <c r="Y78">
        <v>2</v>
      </c>
      <c r="Z78">
        <v>0</v>
      </c>
      <c r="AA78">
        <v>0</v>
      </c>
      <c r="AB78">
        <v>0</v>
      </c>
      <c r="AC78">
        <v>0</v>
      </c>
      <c r="AD78">
        <v>0</v>
      </c>
      <c r="AE78">
        <v>0</v>
      </c>
      <c r="AF78">
        <v>1</v>
      </c>
      <c r="AG78">
        <v>0</v>
      </c>
      <c r="AH78">
        <v>0</v>
      </c>
      <c r="AI78">
        <v>0</v>
      </c>
      <c r="AJ78">
        <v>0</v>
      </c>
      <c r="AK78">
        <v>0</v>
      </c>
      <c r="AL78">
        <v>0</v>
      </c>
      <c r="AM78">
        <v>0</v>
      </c>
      <c r="AN78">
        <v>0</v>
      </c>
      <c r="AO78">
        <v>0</v>
      </c>
      <c r="AP78">
        <v>0</v>
      </c>
      <c r="AQ78">
        <v>0</v>
      </c>
      <c r="AR78">
        <v>0</v>
      </c>
      <c r="AS78">
        <v>0</v>
      </c>
      <c r="AT78">
        <v>0</v>
      </c>
      <c r="AU78">
        <v>0</v>
      </c>
      <c r="AV78">
        <v>0</v>
      </c>
      <c r="AW78">
        <v>0</v>
      </c>
      <c r="AX78" s="141">
        <f>COUNTIF(V78:AW78,"&lt;&gt;0")</f>
        <v>2</v>
      </c>
      <c r="AY78" s="141">
        <f>COUNTIF(V78:AL78,"&lt;&gt;0")</f>
        <v>2</v>
      </c>
      <c r="AZ78">
        <f>COUNTIF(V78:AC78,"&lt;&gt;0")</f>
        <v>1</v>
      </c>
      <c r="BA78">
        <f>COUNTIF(AD78:AI78,"&lt;&gt;0")</f>
        <v>1</v>
      </c>
      <c r="BB78">
        <f>COUNTIF(AJ78:AL78,"&lt;&gt;0")</f>
        <v>0</v>
      </c>
      <c r="BC78">
        <f>COUNTIF(AS78:AW78,"&lt;&gt;0")</f>
        <v>0</v>
      </c>
      <c r="BD78">
        <f>COUNTIF(AM78:AR78,"&lt;&gt;0")</f>
        <v>0</v>
      </c>
      <c r="BE78" t="str">
        <f t="array" ref="BE78">IF(AY78=1,INDEX($V$7:$AL$7,MATCH(TRUE,INDEX($V78:$AW78&lt;&gt;0,),0)),IF(AY78=0,INDEX($AM$7:$AW$7,MATCH(1,$AM78:$AW78,0)),IF(BF78="Multiple strategies","mixed drivers",IF(BF78="Supply chain","multiple supply","multiple silviculture"))))</f>
        <v>mixed drivers</v>
      </c>
      <c r="BF78" s="2" t="str" cm="1">
        <f t="array" ref="BF78">IF(COUNTIF(AZ78:BB78,"&lt;&gt;0")=1,INDEX($V$4:$AW$4,MATCH(TRUE,INDEX($V78:$AW78&lt;&gt;0,),0)),IF(COUNTIF(AZ78:BB78,"&lt;&gt;0")=0,INDEX($AM$4:$AW$4,MATCH(1,$AM78:$AW78,0)),"Multiple strategies"))</f>
        <v>Multiple strategies</v>
      </c>
      <c r="BG78" s="1" t="s">
        <v>321</v>
      </c>
      <c r="BH78" t="s">
        <v>2499</v>
      </c>
      <c r="BI78" s="264" t="s">
        <v>2113</v>
      </c>
      <c r="BJ78" t="s">
        <v>2500</v>
      </c>
      <c r="BK78">
        <v>64.910485933503793</v>
      </c>
      <c r="BL78">
        <v>82.634271099744197</v>
      </c>
      <c r="BM78" s="143">
        <f>BL78/BK78</f>
        <v>1.273049645390071</v>
      </c>
      <c r="BN78">
        <f>BL78-BK78</f>
        <v>17.723785166240404</v>
      </c>
      <c r="BO78">
        <f>BN78*1000*t_to_m3</f>
        <v>36170.990135184496</v>
      </c>
      <c r="BP78" s="143" t="s">
        <v>232</v>
      </c>
      <c r="BQ78" s="143" t="s">
        <v>3256</v>
      </c>
      <c r="BR78" t="s">
        <v>1195</v>
      </c>
      <c r="BS78">
        <v>10626.584664536607</v>
      </c>
      <c r="BT78">
        <v>-87418.696485623019</v>
      </c>
      <c r="BU78" s="144">
        <f>IFERROR(BT78/BS78,"")</f>
        <v>-8.2264150943397283</v>
      </c>
      <c r="BV78" s="144">
        <f>BT78-BS78</f>
        <v>-98045.28115015963</v>
      </c>
      <c r="BW78" s="144"/>
      <c r="BX78" s="144">
        <f>BV78</f>
        <v>-98045.28115015963</v>
      </c>
      <c r="BY78">
        <f>IFERROR(BX78/BO78,"")</f>
        <v>-2.7106053990705758</v>
      </c>
      <c r="BZ78">
        <v>0</v>
      </c>
      <c r="CA78">
        <v>0</v>
      </c>
      <c r="CB78">
        <v>0</v>
      </c>
      <c r="CC78">
        <v>0</v>
      </c>
      <c r="CD78">
        <v>0</v>
      </c>
      <c r="CE78">
        <v>0</v>
      </c>
      <c r="CF78">
        <v>0</v>
      </c>
      <c r="CG78">
        <v>0</v>
      </c>
      <c r="CH78">
        <v>0</v>
      </c>
      <c r="CI78">
        <v>0</v>
      </c>
      <c r="CJ78">
        <v>0</v>
      </c>
      <c r="CK78">
        <v>0</v>
      </c>
      <c r="CL78">
        <v>0</v>
      </c>
      <c r="CM78">
        <v>1</v>
      </c>
      <c r="CN78" t="str">
        <f>IF($BL78&lt;$BK78,"refNeedCorrection","refOK")</f>
        <v>refOK</v>
      </c>
      <c r="CO78">
        <f>IF($CN78="refOK",$BK78,$BL78)</f>
        <v>64.910485933503793</v>
      </c>
      <c r="CP78">
        <f>IF($CN78="refOK",$BL78,$BK78)</f>
        <v>82.634271099744197</v>
      </c>
      <c r="CQ78">
        <f>IF($CN78="refOK",$BO78,-$BO78)</f>
        <v>36170.990135184496</v>
      </c>
      <c r="CR78">
        <f>IF($CN78="refOK",$BS78,$BT78)*IF($BP78="Emissions positive",-1,1)</f>
        <v>10626.584664536607</v>
      </c>
      <c r="CS78">
        <f>IF($CN78="refOK",$BT78,$BS78)*IF($BP78="Emissions positive",-1,1)</f>
        <v>-87418.696485623019</v>
      </c>
      <c r="CT78">
        <f>IF($CN78="refNeedCorrection",-BX78,BX78)*IF($BP78="Emissions positive",-1,1)</f>
        <v>-98045.28115015963</v>
      </c>
      <c r="CU78">
        <f>IFERROR(CT78/CQ78,"")</f>
        <v>-2.7106053990705758</v>
      </c>
      <c r="CV78" s="2">
        <f>IFERROR((CS78-CR78)/ABS(CR78),"")</f>
        <v>-9.2264150943397283</v>
      </c>
      <c r="CW78" s="1" t="s">
        <v>1199</v>
      </c>
      <c r="CX78" t="str">
        <f>IF(OR($CW78="prd",$CW78="std",$CW78="cit"),"loc",IF(OR($CW78="eur",$CW78="reg",$CW78="coy"),"reg",$CW78))</f>
        <v>reg</v>
      </c>
      <c r="CY78" t="s">
        <v>235</v>
      </c>
      <c r="CZ78">
        <v>2010</v>
      </c>
      <c r="DA78">
        <v>2070</v>
      </c>
      <c r="DB78">
        <f>DA78-CZ78</f>
        <v>60</v>
      </c>
      <c r="DC78" t="str">
        <f>IF(DB78=0,"0",IF(AND(DB78&gt;=1,DB78&lt;=30),"1-30",IF(AND(DB78&gt;30,DB78&lt;=70),"31-70",IF(AND(DB78&gt;70,DB78&lt;=100),"71-100",IF(DB78&gt;100,"+100")))))</f>
        <v>31-70</v>
      </c>
      <c r="DD78">
        <v>1</v>
      </c>
      <c r="DE78">
        <v>1</v>
      </c>
      <c r="DF78">
        <v>1</v>
      </c>
      <c r="DG78">
        <v>1</v>
      </c>
      <c r="DH78">
        <v>0</v>
      </c>
      <c r="DI78">
        <f>SUM(DD78:DG78)</f>
        <v>4</v>
      </c>
      <c r="DJ78" t="str">
        <f>IF(DI78=1,INDEX($DD$7:$DG$7,MATCH(1,$DD78:$DG78,0)),"mixedProduct")</f>
        <v>mixedProduct</v>
      </c>
      <c r="DK78" t="str">
        <f>IF(DD78=1,DK$7,0)</f>
        <v>Upstream</v>
      </c>
      <c r="DL78" t="str">
        <f>IF(DE78=1,DL$7,0)</f>
        <v>Energy</v>
      </c>
      <c r="DM78" t="str">
        <f>IF(DF78=1,DM$7,0)</f>
        <v>Pulp/Paper</v>
      </c>
      <c r="DN78" t="str">
        <f>IF(DG78=1,DN$7,0)</f>
        <v>Timber</v>
      </c>
      <c r="DO78">
        <v>0</v>
      </c>
      <c r="DP78">
        <v>0</v>
      </c>
      <c r="DQ78">
        <v>0</v>
      </c>
      <c r="DR78">
        <v>0</v>
      </c>
      <c r="DS78">
        <v>0</v>
      </c>
      <c r="DT78">
        <f>SUM(DO78:DP78)</f>
        <v>0</v>
      </c>
      <c r="DU78" s="143" t="str">
        <f>IF(DO78=1,"self-calculated DF",IF(DP78=1,"external DF used","explicit C balance"))</f>
        <v>explicit C balance</v>
      </c>
      <c r="DV78">
        <v>1</v>
      </c>
      <c r="DW78">
        <v>1</v>
      </c>
      <c r="DX78">
        <v>1</v>
      </c>
      <c r="DY78">
        <v>0</v>
      </c>
      <c r="DZ78">
        <v>0</v>
      </c>
      <c r="EA78" s="143">
        <v>0</v>
      </c>
      <c r="EB78">
        <v>1</v>
      </c>
      <c r="EC78">
        <v>1</v>
      </c>
      <c r="ED78">
        <v>0</v>
      </c>
      <c r="EE78">
        <v>0</v>
      </c>
      <c r="EF78">
        <v>1</v>
      </c>
      <c r="EG78">
        <v>0</v>
      </c>
      <c r="EH78">
        <v>0</v>
      </c>
      <c r="EI78" s="2">
        <v>0</v>
      </c>
      <c r="EJ78" s="1"/>
      <c r="EK78" t="str">
        <f>IF(AND(AND(AND(OR($DX78=1,$DW78=1),OR($EC78=1,$EA78=1)),SUM($DV78:$DZ78,$EF78)&gt;=4),SUM($EA78:$EE78)&gt;=2),"Whole sector","")</f>
        <v>Whole sector</v>
      </c>
      <c r="EL78" t="str">
        <f>IF(AND(AND(OR($DX78=1,$DW78=1),AND($EC78=0,$EA78=0)),SUM($DV78:$DZ78,$EF78)&gt;=4),"Ecosystem approach","")</f>
        <v/>
      </c>
      <c r="EM78" s="2" t="str">
        <f>IF(AND(AND(AND($DX78=0,$DW78=0),OR($EC78=1,$EA78=1)),SUM($EB78:$EE78)&gt;=2),"Technology approach","")</f>
        <v/>
      </c>
      <c r="EN78" t="s">
        <v>2508</v>
      </c>
      <c r="EO78"/>
      <c r="EP78" t="str">
        <f>IF(ISNUMBER(BU78),IF(ABS(BU78-[1]QC_indicators!$B$2)&gt;3*[1]QC_indicators!$C$2,"C ratio",IF(ISNUMBER(BY78),IF(ABS(BY78-[1]QC_indicators!$B$1)&gt;3*[1]QC_indicators!$C$1,"DF","no"))),IF(ISNUMBER(BY78),IF(ABS(BY78-[1]QC_indicators!$B$1)&gt;3*[1]QC_indicators!$C$1,"DF","no")))</f>
        <v>no</v>
      </c>
      <c r="EQ78"/>
      <c r="ER78"/>
      <c r="ES78"/>
      <c r="ET78" s="264" t="s">
        <v>3257</v>
      </c>
      <c r="EU78"/>
    </row>
    <row r="79" spans="1:151" s="139" customFormat="1" ht="15" customHeight="1">
      <c r="A79" s="1" t="s">
        <v>1353</v>
      </c>
      <c r="B79" t="s">
        <v>544</v>
      </c>
      <c r="C79" t="s">
        <v>2243</v>
      </c>
      <c r="D79" t="s">
        <v>2244</v>
      </c>
      <c r="E79" t="s">
        <v>2245</v>
      </c>
      <c r="F79" t="s">
        <v>2246</v>
      </c>
      <c r="G79" t="s">
        <v>1354</v>
      </c>
      <c r="H79" t="s">
        <v>254</v>
      </c>
      <c r="I79">
        <v>2021</v>
      </c>
      <c r="J79">
        <v>1</v>
      </c>
      <c r="K79" t="s">
        <v>2247</v>
      </c>
      <c r="L79"/>
      <c r="M79" t="str">
        <f>LEFT($D79,FIND(",",$D79)-1)&amp;"_"&amp;I79&amp;L79</f>
        <v>Riviere_2021</v>
      </c>
      <c r="N79" t="s">
        <v>222</v>
      </c>
      <c r="O79" s="145" t="s">
        <v>341</v>
      </c>
      <c r="P79"/>
      <c r="Q79" t="s">
        <v>256</v>
      </c>
      <c r="R79" s="262" t="s">
        <v>223</v>
      </c>
      <c r="S79" s="1" t="s">
        <v>2248</v>
      </c>
      <c r="T79" t="s">
        <v>2249</v>
      </c>
      <c r="U79" t="s">
        <v>1111</v>
      </c>
      <c r="V79">
        <v>0</v>
      </c>
      <c r="W79">
        <v>0</v>
      </c>
      <c r="X79">
        <v>0</v>
      </c>
      <c r="Y79">
        <v>1</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1</v>
      </c>
      <c r="AW79">
        <v>0</v>
      </c>
      <c r="AX79" s="141">
        <f>COUNTIF(V79:AW79,"&lt;&gt;0")</f>
        <v>2</v>
      </c>
      <c r="AY79" s="141">
        <f>COUNTIF(V79:AL79,"&lt;&gt;0")</f>
        <v>1</v>
      </c>
      <c r="AZ79">
        <f>COUNTIF(V79:AC79,"&lt;&gt;0")</f>
        <v>1</v>
      </c>
      <c r="BA79">
        <f>COUNTIF(AD79:AI79,"&lt;&gt;0")</f>
        <v>0</v>
      </c>
      <c r="BB79">
        <f>COUNTIF(AJ79:AL79,"&lt;&gt;0")</f>
        <v>0</v>
      </c>
      <c r="BC79">
        <f>COUNTIF(AS79:AW79,"&lt;&gt;0")</f>
        <v>1</v>
      </c>
      <c r="BD79">
        <f>COUNTIF(AM79:AR79,"&lt;&gt;0")</f>
        <v>0</v>
      </c>
      <c r="BE79" t="str">
        <f t="array" ref="BE79">IF(AY79=1,INDEX($V$7:$AL$7,MATCH(TRUE,INDEX($V79:$AW79&lt;&gt;0,),0)),IF(AY79=0,INDEX($AM$7:$AW$7,MATCH(1,$AM79:$AW79,0)),IF(BF79="Multiple strategies","mixed drivers",IF(BF79="Supply chain","multiple supply","multiple silviculture"))))</f>
        <v xml:space="preserve">cutting intensity </v>
      </c>
      <c r="BF79" s="2" t="str" cm="1">
        <f t="array" ref="BF79">IF(COUNTIF(AZ79:BB79,"&lt;&gt;0")=1,INDEX($V$4:$AW$4,MATCH(TRUE,INDEX($V79:$AW79&lt;&gt;0,),0)),IF(COUNTIF(AZ79:BB79,"&lt;&gt;0")=0,INDEX($AM$4:$AW$4,MATCH(1,$AM79:$AW79,0)),"Multiple strategies"))</f>
        <v>Silviculture for removals</v>
      </c>
      <c r="BG79" s="1" t="s">
        <v>321</v>
      </c>
      <c r="BH79" t="s">
        <v>2250</v>
      </c>
      <c r="BI79" s="264" t="s">
        <v>424</v>
      </c>
      <c r="BJ79" t="s">
        <v>1355</v>
      </c>
      <c r="BK79">
        <f>45.53*80</f>
        <v>3642.4</v>
      </c>
      <c r="BL79">
        <f>47.33*80</f>
        <v>3786.3999999999996</v>
      </c>
      <c r="BM79"/>
      <c r="BN79">
        <f>BL79-BK79</f>
        <v>143.99999999999955</v>
      </c>
      <c r="BO79">
        <f>BN79*10^6</f>
        <v>143999999.99999955</v>
      </c>
      <c r="BP79" t="s">
        <v>232</v>
      </c>
      <c r="BQ79" s="153" t="s">
        <v>426</v>
      </c>
      <c r="BR79" s="264" t="s">
        <v>2325</v>
      </c>
      <c r="BS79">
        <v>390</v>
      </c>
      <c r="BT79">
        <v>0</v>
      </c>
      <c r="BU79" s="144">
        <f>IFERROR(BT79/BS79,"")</f>
        <v>0</v>
      </c>
      <c r="BV79">
        <f>BT79-BS79</f>
        <v>-390</v>
      </c>
      <c r="BW79"/>
      <c r="BX79">
        <f>BV79*10^6</f>
        <v>-390000000</v>
      </c>
      <c r="BY79">
        <f>IFERROR(BX79/BO79,"")</f>
        <v>-2.7083333333333419</v>
      </c>
      <c r="BZ79">
        <v>0</v>
      </c>
      <c r="CA79">
        <v>0</v>
      </c>
      <c r="CB79">
        <v>0</v>
      </c>
      <c r="CC79">
        <v>0</v>
      </c>
      <c r="CD79">
        <v>0</v>
      </c>
      <c r="CE79">
        <v>0</v>
      </c>
      <c r="CF79">
        <v>0</v>
      </c>
      <c r="CG79">
        <v>0</v>
      </c>
      <c r="CH79">
        <v>0</v>
      </c>
      <c r="CI79">
        <v>0</v>
      </c>
      <c r="CJ79">
        <v>0</v>
      </c>
      <c r="CK79">
        <v>0</v>
      </c>
      <c r="CL79">
        <v>0</v>
      </c>
      <c r="CM79">
        <v>1</v>
      </c>
      <c r="CN79" t="str">
        <f>IF($BL79&lt;$BK79,"refNeedCorrection","refOK")</f>
        <v>refOK</v>
      </c>
      <c r="CO79">
        <f>IF($CN79="refNeedCorrection",BK79,BL79)</f>
        <v>3786.3999999999996</v>
      </c>
      <c r="CP79">
        <f>IF($CN79="refNeedCorrection",BL79,BK79)</f>
        <v>3642.4</v>
      </c>
      <c r="CQ79">
        <f>IF($CN79="refOK",$BO79,-$BO79)</f>
        <v>143999999.99999955</v>
      </c>
      <c r="CR79">
        <f>IF($CN79="refOK",$BS79,$BT79)*IF($BP79="Emissions positive",-1,1)</f>
        <v>390</v>
      </c>
      <c r="CS79">
        <f>IF($CN79="refOK",$BT79,$BS79)*IF($BP79="Emissions positive",-1,1)</f>
        <v>0</v>
      </c>
      <c r="CT79">
        <f>IF($CN79="refNeedCorrection",-BX79,BX79)*IF($BP79="Emissions positive",-1,1)</f>
        <v>-390000000</v>
      </c>
      <c r="CU79">
        <f>IFERROR(CT79/CQ79,"")</f>
        <v>-2.7083333333333419</v>
      </c>
      <c r="CV79" s="2">
        <f>IFERROR((CS79-CR79)/ABS(CR79),"")</f>
        <v>-1</v>
      </c>
      <c r="CW79" s="1" t="s">
        <v>1203</v>
      </c>
      <c r="CX79" t="str">
        <f>IF(OR($CW79="prd",$CW79="std",$CW79="cit"),"loc",IF(OR($CW79="eur",$CW79="reg",$CW79="coy"),"reg",$CW79))</f>
        <v>reg</v>
      </c>
      <c r="CY79" t="s">
        <v>729</v>
      </c>
      <c r="CZ79">
        <v>2020</v>
      </c>
      <c r="DA79">
        <v>2100</v>
      </c>
      <c r="DB79">
        <v>81</v>
      </c>
      <c r="DC79" t="str">
        <f>IF(DB79=0,"0",IF(AND(DB79&gt;=1,DB79&lt;=30),"1-30",IF(AND(DB79&gt;30,DB79&lt;=70),"31-70",IF(AND(DB79&gt;70,DB79&lt;=100),"71-100",IF(DB79&gt;100,"+100")))))</f>
        <v>71-100</v>
      </c>
      <c r="DD79">
        <v>0</v>
      </c>
      <c r="DE79">
        <v>0</v>
      </c>
      <c r="DF79">
        <v>1</v>
      </c>
      <c r="DG79">
        <v>1</v>
      </c>
      <c r="DH79"/>
      <c r="DI79">
        <f>SUM(DD79:DG79)</f>
        <v>2</v>
      </c>
      <c r="DJ79" t="str">
        <f>IF(DI79=1,INDEX($DD$7:$DG$7,MATCH(1,$DD79:$DG79,0)),"mixedProduct")</f>
        <v>mixedProduct</v>
      </c>
      <c r="DK79">
        <f>IF(DD79=1,DK$7,0)</f>
        <v>0</v>
      </c>
      <c r="DL79">
        <f>IF(DE79=1,DL$7,0)</f>
        <v>0</v>
      </c>
      <c r="DM79" t="str">
        <f>IF(DF79=1,DM$7,0)</f>
        <v>Pulp/Paper</v>
      </c>
      <c r="DN79" t="str">
        <f>IF(DG79=1,DN$7,0)</f>
        <v>Timber</v>
      </c>
      <c r="DO79">
        <v>0</v>
      </c>
      <c r="DP79">
        <v>0</v>
      </c>
      <c r="DQ79">
        <v>0</v>
      </c>
      <c r="DR79">
        <v>0</v>
      </c>
      <c r="DS79">
        <v>0</v>
      </c>
      <c r="DT79">
        <f>SUM(DO79:DP79)</f>
        <v>0</v>
      </c>
      <c r="DU79" s="143" t="str">
        <f>IF(DO79=1,"self-calculated DF",IF(DP79=1,"external DF used","explicit C balance"))</f>
        <v>explicit C balance</v>
      </c>
      <c r="DV79">
        <v>0</v>
      </c>
      <c r="DW79">
        <v>0</v>
      </c>
      <c r="DX79">
        <v>1</v>
      </c>
      <c r="DY79">
        <v>0</v>
      </c>
      <c r="DZ79">
        <v>0</v>
      </c>
      <c r="EA79" s="143">
        <v>0</v>
      </c>
      <c r="EB79">
        <v>0</v>
      </c>
      <c r="EC79">
        <v>0</v>
      </c>
      <c r="ED79">
        <v>0</v>
      </c>
      <c r="EE79">
        <v>0</v>
      </c>
      <c r="EF79">
        <v>1</v>
      </c>
      <c r="EG79">
        <v>0</v>
      </c>
      <c r="EH79">
        <v>0</v>
      </c>
      <c r="EI79" s="2">
        <v>0</v>
      </c>
      <c r="EJ79" s="1"/>
      <c r="EK79" t="str">
        <f>IF(AND(AND(AND(OR($DX79=1,$DW79=1),OR($EC79=1,$EA79=1)),SUM($DV79:$DZ79,$EF79)&gt;=4),SUM($EA79:$EE79)&gt;=2),"Whole sector","")</f>
        <v/>
      </c>
      <c r="EL79" t="str">
        <f>IF(AND(AND(OR($DX79=1,$DW79=1),AND($EC79=0,$EA79=0)),SUM($DV79:$DZ79,$EF79)&gt;=4),"Ecosystem approach","")</f>
        <v/>
      </c>
      <c r="EM79" s="2" t="str">
        <f>IF(AND(AND(AND($DX79=0,$DW79=0),OR($EC79=1,$EA79=1)),SUM($EB79:$EE79)&gt;=2),"Technology approach","")</f>
        <v/>
      </c>
      <c r="EN79"/>
      <c r="EO79"/>
      <c r="EP79" t="str">
        <f>IF(ISNUMBER(BU79),IF(ABS(BU79-[1]QC_indicators!$B$2)&gt;3*[1]QC_indicators!$C$2,"C ratio",IF(ISNUMBER(BY79),IF(ABS(BY79-[1]QC_indicators!$B$1)&gt;3*[1]QC_indicators!$C$1,"DF","no"))),IF(ISNUMBER(BY79),IF(ABS(BY79-[1]QC_indicators!$B$1)&gt;3*[1]QC_indicators!$C$1,"DF","no")))</f>
        <v>no</v>
      </c>
      <c r="EQ79"/>
      <c r="ER79" s="264" t="s">
        <v>3236</v>
      </c>
      <c r="ES79"/>
      <c r="ET79" s="305" t="s">
        <v>3409</v>
      </c>
      <c r="EU79"/>
    </row>
    <row r="80" spans="1:151" s="139" customFormat="1" ht="15" customHeight="1">
      <c r="A80" s="1" t="s">
        <v>1353</v>
      </c>
      <c r="B80" t="s">
        <v>544</v>
      </c>
      <c r="C80" t="s">
        <v>2243</v>
      </c>
      <c r="D80" t="s">
        <v>2244</v>
      </c>
      <c r="E80" t="s">
        <v>2245</v>
      </c>
      <c r="F80" t="s">
        <v>2246</v>
      </c>
      <c r="G80" t="s">
        <v>1354</v>
      </c>
      <c r="H80" t="s">
        <v>254</v>
      </c>
      <c r="I80">
        <v>2021</v>
      </c>
      <c r="J80">
        <v>1</v>
      </c>
      <c r="K80" t="s">
        <v>2247</v>
      </c>
      <c r="L80"/>
      <c r="M80" t="str">
        <f>LEFT($D80,FIND(",",$D80)-1)&amp;"_"&amp;I80&amp;L80</f>
        <v>Riviere_2021</v>
      </c>
      <c r="N80" t="s">
        <v>222</v>
      </c>
      <c r="O80" s="145" t="s">
        <v>341</v>
      </c>
      <c r="P80"/>
      <c r="Q80" t="s">
        <v>256</v>
      </c>
      <c r="R80" s="262" t="s">
        <v>223</v>
      </c>
      <c r="S80" s="1" t="s">
        <v>2251</v>
      </c>
      <c r="T80" t="s">
        <v>2252</v>
      </c>
      <c r="U80" t="s">
        <v>1111</v>
      </c>
      <c r="V80">
        <v>0</v>
      </c>
      <c r="W80">
        <v>0</v>
      </c>
      <c r="X80">
        <v>0</v>
      </c>
      <c r="Y80">
        <v>1</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1</v>
      </c>
      <c r="AW80">
        <v>0</v>
      </c>
      <c r="AX80" s="141">
        <f>COUNTIF(V80:AW80,"&lt;&gt;0")</f>
        <v>2</v>
      </c>
      <c r="AY80" s="141">
        <f>COUNTIF(V80:AL80,"&lt;&gt;0")</f>
        <v>1</v>
      </c>
      <c r="AZ80">
        <f>COUNTIF(V80:AC80,"&lt;&gt;0")</f>
        <v>1</v>
      </c>
      <c r="BA80">
        <f>COUNTIF(AD80:AI80,"&lt;&gt;0")</f>
        <v>0</v>
      </c>
      <c r="BB80">
        <f>COUNTIF(AJ80:AL80,"&lt;&gt;0")</f>
        <v>0</v>
      </c>
      <c r="BC80">
        <f>COUNTIF(AS80:AW80,"&lt;&gt;0")</f>
        <v>1</v>
      </c>
      <c r="BD80">
        <f>COUNTIF(AM80:AR80,"&lt;&gt;0")</f>
        <v>0</v>
      </c>
      <c r="BE80" t="str">
        <f t="array" ref="BE80">IF(AY80=1,INDEX($V$7:$AL$7,MATCH(TRUE,INDEX($V80:$AW80&lt;&gt;0,),0)),IF(AY80=0,INDEX($AM$7:$AW$7,MATCH(1,$AM80:$AW80,0)),IF(BF80="Multiple strategies","mixed drivers",IF(BF80="Supply chain","multiple supply","multiple silviculture"))))</f>
        <v xml:space="preserve">cutting intensity </v>
      </c>
      <c r="BF80" s="2" t="str" cm="1">
        <f t="array" ref="BF80">IF(COUNTIF(AZ80:BB80,"&lt;&gt;0")=1,INDEX($V$4:$AW$4,MATCH(TRUE,INDEX($V80:$AW80&lt;&gt;0,),0)),IF(COUNTIF(AZ80:BB80,"&lt;&gt;0")=0,INDEX($AM$4:$AW$4,MATCH(1,$AM80:$AW80,0)),"Multiple strategies"))</f>
        <v>Silviculture for removals</v>
      </c>
      <c r="BG80" s="1" t="s">
        <v>321</v>
      </c>
      <c r="BH80" t="s">
        <v>2250</v>
      </c>
      <c r="BI80" s="264" t="s">
        <v>424</v>
      </c>
      <c r="BJ80" t="s">
        <v>1355</v>
      </c>
      <c r="BK80">
        <f>45.04*80</f>
        <v>3603.2</v>
      </c>
      <c r="BL80">
        <f>47.33*80</f>
        <v>3786.3999999999996</v>
      </c>
      <c r="BM80"/>
      <c r="BN80">
        <f>BL80-BK80</f>
        <v>183.19999999999982</v>
      </c>
      <c r="BO80">
        <f>BN80*10^6</f>
        <v>183199999.99999982</v>
      </c>
      <c r="BP80" t="s">
        <v>232</v>
      </c>
      <c r="BQ80" s="153" t="s">
        <v>426</v>
      </c>
      <c r="BR80" s="264" t="s">
        <v>2325</v>
      </c>
      <c r="BS80">
        <v>490</v>
      </c>
      <c r="BT80">
        <v>0</v>
      </c>
      <c r="BU80" s="144">
        <f>IFERROR(BT80/BS80,"")</f>
        <v>0</v>
      </c>
      <c r="BV80">
        <f>BT80-BS80</f>
        <v>-490</v>
      </c>
      <c r="BW80"/>
      <c r="BX80">
        <f>BV80*10^6</f>
        <v>-490000000</v>
      </c>
      <c r="BY80">
        <f>IFERROR(BX80/BO80,"")</f>
        <v>-2.6746724890829721</v>
      </c>
      <c r="BZ80">
        <v>0</v>
      </c>
      <c r="CA80">
        <v>0</v>
      </c>
      <c r="CB80">
        <v>0</v>
      </c>
      <c r="CC80">
        <v>0</v>
      </c>
      <c r="CD80">
        <v>0</v>
      </c>
      <c r="CE80">
        <v>0</v>
      </c>
      <c r="CF80">
        <v>0</v>
      </c>
      <c r="CG80">
        <v>0</v>
      </c>
      <c r="CH80">
        <v>0</v>
      </c>
      <c r="CI80">
        <v>0</v>
      </c>
      <c r="CJ80">
        <v>0</v>
      </c>
      <c r="CK80">
        <v>0</v>
      </c>
      <c r="CL80">
        <v>0</v>
      </c>
      <c r="CM80">
        <v>1</v>
      </c>
      <c r="CN80" t="str">
        <f>IF($BL80&lt;$BK80,"refNeedCorrection","refOK")</f>
        <v>refOK</v>
      </c>
      <c r="CO80">
        <f>IF($CN80="refNeedCorrection",BK80,BL80)</f>
        <v>3786.3999999999996</v>
      </c>
      <c r="CP80">
        <f>IF($CN80="refNeedCorrection",BL80,BK80)</f>
        <v>3603.2</v>
      </c>
      <c r="CQ80">
        <f>IF($CN80="refOK",$BO80,-$BO80)</f>
        <v>183199999.99999982</v>
      </c>
      <c r="CR80">
        <f>IF($CN80="refOK",$BS80,$BT80)*IF($BP80="Emissions positive",-1,1)</f>
        <v>490</v>
      </c>
      <c r="CS80">
        <f>IF($CN80="refOK",$BT80,$BS80)*IF($BP80="Emissions positive",-1,1)</f>
        <v>0</v>
      </c>
      <c r="CT80">
        <f>IF($CN80="refNeedCorrection",-BX80,BX80)*IF($BP80="Emissions positive",-1,1)</f>
        <v>-490000000</v>
      </c>
      <c r="CU80">
        <f>IFERROR(CT80/CQ80,"")</f>
        <v>-2.6746724890829721</v>
      </c>
      <c r="CV80" s="2">
        <f>IFERROR((CS80-CR80)/ABS(CR80),"")</f>
        <v>-1</v>
      </c>
      <c r="CW80" s="1" t="s">
        <v>1203</v>
      </c>
      <c r="CX80" t="str">
        <f>IF(OR($CW80="prd",$CW80="std",$CW80="cit"),"loc",IF(OR($CW80="eur",$CW80="reg",$CW80="coy"),"reg",$CW80))</f>
        <v>reg</v>
      </c>
      <c r="CY80" t="s">
        <v>729</v>
      </c>
      <c r="CZ80">
        <v>2020</v>
      </c>
      <c r="DA80">
        <v>2100</v>
      </c>
      <c r="DB80">
        <v>81</v>
      </c>
      <c r="DC80" t="str">
        <f>IF(DB80=0,"0",IF(AND(DB80&gt;=1,DB80&lt;=30),"1-30",IF(AND(DB80&gt;30,DB80&lt;=70),"31-70",IF(AND(DB80&gt;70,DB80&lt;=100),"71-100",IF(DB80&gt;100,"+100")))))</f>
        <v>71-100</v>
      </c>
      <c r="DD80">
        <v>0</v>
      </c>
      <c r="DE80">
        <v>0</v>
      </c>
      <c r="DF80">
        <v>1</v>
      </c>
      <c r="DG80">
        <v>1</v>
      </c>
      <c r="DH80"/>
      <c r="DI80">
        <f>SUM(DD80:DG80)</f>
        <v>2</v>
      </c>
      <c r="DJ80" t="str">
        <f>IF(DI80=1,INDEX($DD$7:$DG$7,MATCH(1,$DD80:$DG80,0)),"mixedProduct")</f>
        <v>mixedProduct</v>
      </c>
      <c r="DK80">
        <f>IF(DD80=1,DK$7,0)</f>
        <v>0</v>
      </c>
      <c r="DL80">
        <f>IF(DE80=1,DL$7,0)</f>
        <v>0</v>
      </c>
      <c r="DM80" t="str">
        <f>IF(DF80=1,DM$7,0)</f>
        <v>Pulp/Paper</v>
      </c>
      <c r="DN80" t="str">
        <f>IF(DG80=1,DN$7,0)</f>
        <v>Timber</v>
      </c>
      <c r="DO80">
        <v>0</v>
      </c>
      <c r="DP80">
        <v>0</v>
      </c>
      <c r="DQ80">
        <v>0</v>
      </c>
      <c r="DR80">
        <v>0</v>
      </c>
      <c r="DS80">
        <v>0</v>
      </c>
      <c r="DT80">
        <f>SUM(DO80:DP80)</f>
        <v>0</v>
      </c>
      <c r="DU80" s="143" t="str">
        <f>IF(DO80=1,"self-calculated DF",IF(DP80=1,"external DF used","explicit C balance"))</f>
        <v>explicit C balance</v>
      </c>
      <c r="DV80">
        <v>0</v>
      </c>
      <c r="DW80">
        <v>0</v>
      </c>
      <c r="DX80">
        <v>1</v>
      </c>
      <c r="DY80">
        <v>0</v>
      </c>
      <c r="DZ80">
        <v>0</v>
      </c>
      <c r="EA80" s="143">
        <v>0</v>
      </c>
      <c r="EB80">
        <v>0</v>
      </c>
      <c r="EC80">
        <v>0</v>
      </c>
      <c r="ED80">
        <v>0</v>
      </c>
      <c r="EE80">
        <v>0</v>
      </c>
      <c r="EF80">
        <v>1</v>
      </c>
      <c r="EG80">
        <v>0</v>
      </c>
      <c r="EH80">
        <v>0</v>
      </c>
      <c r="EI80" s="2">
        <v>0</v>
      </c>
      <c r="EJ80" s="1"/>
      <c r="EK80" t="str">
        <f>IF(AND(AND(AND(OR($DX80=1,$DW80=1),OR($EC80=1,$EA80=1)),SUM($DV80:$DZ80,$EF80)&gt;=4),SUM($EA80:$EE80)&gt;=2),"Whole sector","")</f>
        <v/>
      </c>
      <c r="EL80" t="str">
        <f>IF(AND(AND(OR($DX80=1,$DW80=1),AND($EC80=0,$EA80=0)),SUM($DV80:$DZ80,$EF80)&gt;=4),"Ecosystem approach","")</f>
        <v/>
      </c>
      <c r="EM80" s="2" t="str">
        <f>IF(AND(AND(AND($DX80=0,$DW80=0),OR($EC80=1,$EA80=1)),SUM($EB80:$EE80)&gt;=2),"Technology approach","")</f>
        <v/>
      </c>
      <c r="EN80"/>
      <c r="EO80"/>
      <c r="EP80" t="str">
        <f>IF(ISNUMBER(BU80),IF(ABS(BU80-[1]QC_indicators!$B$2)&gt;3*[1]QC_indicators!$C$2,"C ratio",IF(ISNUMBER(BY80),IF(ABS(BY80-[1]QC_indicators!$B$1)&gt;3*[1]QC_indicators!$C$1,"DF","no"))),IF(ISNUMBER(BY80),IF(ABS(BY80-[1]QC_indicators!$B$1)&gt;3*[1]QC_indicators!$C$1,"DF","no")))</f>
        <v>no</v>
      </c>
      <c r="EQ80"/>
      <c r="ER80" s="264" t="s">
        <v>3236</v>
      </c>
      <c r="ES80"/>
      <c r="ET80" s="305" t="s">
        <v>3409</v>
      </c>
      <c r="EU80"/>
    </row>
    <row r="81" spans="1:151" s="139" customFormat="1" ht="15" customHeight="1">
      <c r="A81" s="1" t="s">
        <v>1353</v>
      </c>
      <c r="B81" t="s">
        <v>544</v>
      </c>
      <c r="C81" t="s">
        <v>2243</v>
      </c>
      <c r="D81" t="s">
        <v>2244</v>
      </c>
      <c r="E81" t="s">
        <v>2245</v>
      </c>
      <c r="F81" t="s">
        <v>2246</v>
      </c>
      <c r="G81" t="s">
        <v>1354</v>
      </c>
      <c r="H81" t="s">
        <v>254</v>
      </c>
      <c r="I81">
        <v>2021</v>
      </c>
      <c r="J81">
        <v>1</v>
      </c>
      <c r="K81" t="s">
        <v>2247</v>
      </c>
      <c r="L81"/>
      <c r="M81" t="str">
        <f>LEFT($D81,FIND(",",$D81)-1)&amp;"_"&amp;I81&amp;L81</f>
        <v>Riviere_2021</v>
      </c>
      <c r="N81" t="s">
        <v>222</v>
      </c>
      <c r="O81" s="145" t="s">
        <v>341</v>
      </c>
      <c r="P81"/>
      <c r="Q81" t="s">
        <v>256</v>
      </c>
      <c r="R81" s="262" t="s">
        <v>223</v>
      </c>
      <c r="S81" s="1" t="s">
        <v>2253</v>
      </c>
      <c r="T81" t="s">
        <v>2254</v>
      </c>
      <c r="U81" t="s">
        <v>1111</v>
      </c>
      <c r="V81">
        <v>0</v>
      </c>
      <c r="W81">
        <v>0</v>
      </c>
      <c r="X81">
        <v>0</v>
      </c>
      <c r="Y81">
        <v>1</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1</v>
      </c>
      <c r="AW81">
        <v>0</v>
      </c>
      <c r="AX81" s="141">
        <f>COUNTIF(V81:AW81,"&lt;&gt;0")</f>
        <v>2</v>
      </c>
      <c r="AY81" s="141">
        <f>COUNTIF(V81:AL81,"&lt;&gt;0")</f>
        <v>1</v>
      </c>
      <c r="AZ81">
        <f>COUNTIF(V81:AC81,"&lt;&gt;0")</f>
        <v>1</v>
      </c>
      <c r="BA81">
        <f>COUNTIF(AD81:AI81,"&lt;&gt;0")</f>
        <v>0</v>
      </c>
      <c r="BB81">
        <f>COUNTIF(AJ81:AL81,"&lt;&gt;0")</f>
        <v>0</v>
      </c>
      <c r="BC81">
        <f>COUNTIF(AS81:AW81,"&lt;&gt;0")</f>
        <v>1</v>
      </c>
      <c r="BD81">
        <f>COUNTIF(AM81:AR81,"&lt;&gt;0")</f>
        <v>0</v>
      </c>
      <c r="BE81" t="str">
        <f t="array" ref="BE81">IF(AY81=1,INDEX($V$7:$AL$7,MATCH(TRUE,INDEX($V81:$AW81&lt;&gt;0,),0)),IF(AY81=0,INDEX($AM$7:$AW$7,MATCH(1,$AM81:$AW81,0)),IF(BF81="Multiple strategies","mixed drivers",IF(BF81="Supply chain","multiple supply","multiple silviculture"))))</f>
        <v xml:space="preserve">cutting intensity </v>
      </c>
      <c r="BF81" s="2" t="str" cm="1">
        <f t="array" ref="BF81">IF(COUNTIF(AZ81:BB81,"&lt;&gt;0")=1,INDEX($V$4:$AW$4,MATCH(TRUE,INDEX($V81:$AW81&lt;&gt;0,),0)),IF(COUNTIF(AZ81:BB81,"&lt;&gt;0")=0,INDEX($AM$4:$AW$4,MATCH(1,$AM81:$AW81,0)),"Multiple strategies"))</f>
        <v>Silviculture for removals</v>
      </c>
      <c r="BG81" s="1" t="s">
        <v>321</v>
      </c>
      <c r="BH81" t="s">
        <v>2250</v>
      </c>
      <c r="BI81" s="264" t="s">
        <v>424</v>
      </c>
      <c r="BJ81" t="s">
        <v>1355</v>
      </c>
      <c r="BK81">
        <f>44.68*80</f>
        <v>3574.4</v>
      </c>
      <c r="BL81">
        <f>47.33*80</f>
        <v>3786.3999999999996</v>
      </c>
      <c r="BM81"/>
      <c r="BN81">
        <f>BL81-BK81</f>
        <v>211.99999999999955</v>
      </c>
      <c r="BO81">
        <f>BN81*10^6</f>
        <v>211999999.99999955</v>
      </c>
      <c r="BP81" t="s">
        <v>232</v>
      </c>
      <c r="BQ81" s="153" t="s">
        <v>426</v>
      </c>
      <c r="BR81" s="264" t="s">
        <v>2325</v>
      </c>
      <c r="BS81">
        <v>550</v>
      </c>
      <c r="BT81">
        <v>0</v>
      </c>
      <c r="BU81" s="144">
        <f>IFERROR(BT81/BS81,"")</f>
        <v>0</v>
      </c>
      <c r="BV81">
        <f>BT81-BS81</f>
        <v>-550</v>
      </c>
      <c r="BW81"/>
      <c r="BX81">
        <f>BV81*10^6</f>
        <v>-550000000</v>
      </c>
      <c r="BY81">
        <f>IFERROR(BX81/BO81,"")</f>
        <v>-2.594339622641515</v>
      </c>
      <c r="BZ81">
        <v>0</v>
      </c>
      <c r="CA81">
        <v>0</v>
      </c>
      <c r="CB81">
        <v>0</v>
      </c>
      <c r="CC81">
        <v>0</v>
      </c>
      <c r="CD81">
        <v>0</v>
      </c>
      <c r="CE81">
        <v>0</v>
      </c>
      <c r="CF81">
        <v>0</v>
      </c>
      <c r="CG81">
        <v>0</v>
      </c>
      <c r="CH81">
        <v>0</v>
      </c>
      <c r="CI81">
        <v>0</v>
      </c>
      <c r="CJ81">
        <v>0</v>
      </c>
      <c r="CK81">
        <v>0</v>
      </c>
      <c r="CL81">
        <v>0</v>
      </c>
      <c r="CM81">
        <v>1</v>
      </c>
      <c r="CN81" t="str">
        <f>IF($BL81&lt;$BK81,"refNeedCorrection","refOK")</f>
        <v>refOK</v>
      </c>
      <c r="CO81">
        <f>IF($CN81="refNeedCorrection",BK81,BL81)</f>
        <v>3786.3999999999996</v>
      </c>
      <c r="CP81">
        <f>IF($CN81="refNeedCorrection",BL81,BK81)</f>
        <v>3574.4</v>
      </c>
      <c r="CQ81">
        <f>IF($CN81="refOK",$BO81,-$BO81)</f>
        <v>211999999.99999955</v>
      </c>
      <c r="CR81">
        <f>IF($CN81="refOK",$BS81,$BT81)*IF($BP81="Emissions positive",-1,1)</f>
        <v>550</v>
      </c>
      <c r="CS81">
        <f>IF($CN81="refOK",$BT81,$BS81)*IF($BP81="Emissions positive",-1,1)</f>
        <v>0</v>
      </c>
      <c r="CT81">
        <f>IF($CN81="refNeedCorrection",-BX81,BX81)*IF($BP81="Emissions positive",-1,1)</f>
        <v>-550000000</v>
      </c>
      <c r="CU81">
        <f>IFERROR(CT81/CQ81,"")</f>
        <v>-2.594339622641515</v>
      </c>
      <c r="CV81" s="2">
        <f>IFERROR((CS81-CR81)/ABS(CR81),"")</f>
        <v>-1</v>
      </c>
      <c r="CW81" s="1" t="s">
        <v>1203</v>
      </c>
      <c r="CX81" t="str">
        <f>IF(OR($CW81="prd",$CW81="std",$CW81="cit"),"loc",IF(OR($CW81="eur",$CW81="reg",$CW81="coy"),"reg",$CW81))</f>
        <v>reg</v>
      </c>
      <c r="CY81" t="s">
        <v>729</v>
      </c>
      <c r="CZ81">
        <v>2020</v>
      </c>
      <c r="DA81">
        <v>2100</v>
      </c>
      <c r="DB81">
        <v>81</v>
      </c>
      <c r="DC81" t="str">
        <f>IF(DB81=0,"0",IF(AND(DB81&gt;=1,DB81&lt;=30),"1-30",IF(AND(DB81&gt;30,DB81&lt;=70),"31-70",IF(AND(DB81&gt;70,DB81&lt;=100),"71-100",IF(DB81&gt;100,"+100")))))</f>
        <v>71-100</v>
      </c>
      <c r="DD81">
        <v>0</v>
      </c>
      <c r="DE81">
        <v>0</v>
      </c>
      <c r="DF81">
        <v>1</v>
      </c>
      <c r="DG81">
        <v>1</v>
      </c>
      <c r="DH81"/>
      <c r="DI81">
        <f>SUM(DD81:DG81)</f>
        <v>2</v>
      </c>
      <c r="DJ81" t="str">
        <f>IF(DI81=1,INDEX($DD$7:$DG$7,MATCH(1,$DD81:$DG81,0)),"mixedProduct")</f>
        <v>mixedProduct</v>
      </c>
      <c r="DK81">
        <f>IF(DD81=1,DK$7,0)</f>
        <v>0</v>
      </c>
      <c r="DL81">
        <f>IF(DE81=1,DL$7,0)</f>
        <v>0</v>
      </c>
      <c r="DM81" t="str">
        <f>IF(DF81=1,DM$7,0)</f>
        <v>Pulp/Paper</v>
      </c>
      <c r="DN81" t="str">
        <f>IF(DG81=1,DN$7,0)</f>
        <v>Timber</v>
      </c>
      <c r="DO81">
        <v>0</v>
      </c>
      <c r="DP81">
        <v>0</v>
      </c>
      <c r="DQ81">
        <v>0</v>
      </c>
      <c r="DR81">
        <v>0</v>
      </c>
      <c r="DS81">
        <v>0</v>
      </c>
      <c r="DT81">
        <f>SUM(DO81:DP81)</f>
        <v>0</v>
      </c>
      <c r="DU81" s="143" t="str">
        <f>IF(DO81=1,"self-calculated DF",IF(DP81=1,"external DF used","explicit C balance"))</f>
        <v>explicit C balance</v>
      </c>
      <c r="DV81">
        <v>0</v>
      </c>
      <c r="DW81">
        <v>0</v>
      </c>
      <c r="DX81">
        <v>1</v>
      </c>
      <c r="DY81">
        <v>0</v>
      </c>
      <c r="DZ81">
        <v>0</v>
      </c>
      <c r="EA81" s="143">
        <v>0</v>
      </c>
      <c r="EB81">
        <v>0</v>
      </c>
      <c r="EC81">
        <v>0</v>
      </c>
      <c r="ED81">
        <v>0</v>
      </c>
      <c r="EE81">
        <v>0</v>
      </c>
      <c r="EF81">
        <v>1</v>
      </c>
      <c r="EG81">
        <v>0</v>
      </c>
      <c r="EH81">
        <v>0</v>
      </c>
      <c r="EI81" s="2">
        <v>0</v>
      </c>
      <c r="EJ81" s="1"/>
      <c r="EK81" t="str">
        <f>IF(AND(AND(AND(OR($DX81=1,$DW81=1),OR($EC81=1,$EA81=1)),SUM($DV81:$DZ81,$EF81)&gt;=4),SUM($EA81:$EE81)&gt;=2),"Whole sector","")</f>
        <v/>
      </c>
      <c r="EL81" t="str">
        <f>IF(AND(AND(OR($DX81=1,$DW81=1),AND($EC81=0,$EA81=0)),SUM($DV81:$DZ81,$EF81)&gt;=4),"Ecosystem approach","")</f>
        <v/>
      </c>
      <c r="EM81" s="2" t="str">
        <f>IF(AND(AND(AND($DX81=0,$DW81=0),OR($EC81=1,$EA81=1)),SUM($EB81:$EE81)&gt;=2),"Technology approach","")</f>
        <v/>
      </c>
      <c r="EN81"/>
      <c r="EO81"/>
      <c r="EP81" t="str">
        <f>IF(ISNUMBER(BU81),IF(ABS(BU81-[1]QC_indicators!$B$2)&gt;3*[1]QC_indicators!$C$2,"C ratio",IF(ISNUMBER(BY81),IF(ABS(BY81-[1]QC_indicators!$B$1)&gt;3*[1]QC_indicators!$C$1,"DF","no"))),IF(ISNUMBER(BY81),IF(ABS(BY81-[1]QC_indicators!$B$1)&gt;3*[1]QC_indicators!$C$1,"DF","no")))</f>
        <v>no</v>
      </c>
      <c r="EQ81"/>
      <c r="ER81" s="264" t="s">
        <v>3236</v>
      </c>
      <c r="ES81"/>
      <c r="ET81" s="305" t="s">
        <v>3409</v>
      </c>
      <c r="EU81"/>
    </row>
    <row r="82" spans="1:151" s="139" customFormat="1" ht="15" customHeight="1">
      <c r="A82" s="1" t="s">
        <v>2348</v>
      </c>
      <c r="B82" t="s">
        <v>2349</v>
      </c>
      <c r="C82" t="s">
        <v>544</v>
      </c>
      <c r="D82" t="s">
        <v>2350</v>
      </c>
      <c r="E82" t="s">
        <v>2351</v>
      </c>
      <c r="F82" t="s">
        <v>2352</v>
      </c>
      <c r="G82" t="s">
        <v>2353</v>
      </c>
      <c r="H82" t="s">
        <v>254</v>
      </c>
      <c r="I82">
        <v>2021</v>
      </c>
      <c r="J82">
        <v>1</v>
      </c>
      <c r="K82" t="s">
        <v>2354</v>
      </c>
      <c r="L82"/>
      <c r="M82" t="str">
        <f>LEFT($D82,FIND(",",$D82)-1)&amp;"_"&amp;I82&amp;L82</f>
        <v>Soimakallio_2021</v>
      </c>
      <c r="N82" t="s">
        <v>222</v>
      </c>
      <c r="O82" s="145" t="s">
        <v>341</v>
      </c>
      <c r="P82"/>
      <c r="Q82" t="s">
        <v>256</v>
      </c>
      <c r="R82" s="283" t="s">
        <v>225</v>
      </c>
      <c r="S82" s="1" t="s">
        <v>2359</v>
      </c>
      <c r="T82" t="s">
        <v>1111</v>
      </c>
      <c r="U82" s="151" t="s">
        <v>3086</v>
      </c>
      <c r="V82" s="151">
        <v>0</v>
      </c>
      <c r="W82">
        <v>0</v>
      </c>
      <c r="X82">
        <v>0</v>
      </c>
      <c r="Y82" s="151">
        <v>2</v>
      </c>
      <c r="Z82">
        <v>0</v>
      </c>
      <c r="AA82">
        <v>0</v>
      </c>
      <c r="AB82">
        <v>0</v>
      </c>
      <c r="AC82">
        <v>0</v>
      </c>
      <c r="AD82">
        <v>0</v>
      </c>
      <c r="AE82">
        <v>0</v>
      </c>
      <c r="AF82" s="151">
        <v>1</v>
      </c>
      <c r="AG82">
        <v>0</v>
      </c>
      <c r="AH82">
        <v>0</v>
      </c>
      <c r="AI82">
        <v>0</v>
      </c>
      <c r="AJ82">
        <v>0</v>
      </c>
      <c r="AK82">
        <v>0</v>
      </c>
      <c r="AL82">
        <v>0</v>
      </c>
      <c r="AM82">
        <v>0</v>
      </c>
      <c r="AN82">
        <v>0</v>
      </c>
      <c r="AO82">
        <v>0</v>
      </c>
      <c r="AP82">
        <v>0</v>
      </c>
      <c r="AQ82">
        <v>0</v>
      </c>
      <c r="AR82">
        <v>0</v>
      </c>
      <c r="AS82">
        <v>2</v>
      </c>
      <c r="AT82">
        <v>0</v>
      </c>
      <c r="AU82">
        <v>0</v>
      </c>
      <c r="AV82">
        <v>0</v>
      </c>
      <c r="AW82">
        <v>0</v>
      </c>
      <c r="AX82" s="141">
        <f>COUNTIF(V82:AW82,"&lt;&gt;0")</f>
        <v>3</v>
      </c>
      <c r="AY82" s="141">
        <f>COUNTIF(V82:AL82,"&lt;&gt;0")</f>
        <v>2</v>
      </c>
      <c r="AZ82">
        <f>COUNTIF(V82:AC82,"&lt;&gt;0")</f>
        <v>1</v>
      </c>
      <c r="BA82">
        <f>COUNTIF(AD82:AI82,"&lt;&gt;0")</f>
        <v>1</v>
      </c>
      <c r="BB82">
        <f>COUNTIF(AJ82:AL82,"&lt;&gt;0")</f>
        <v>0</v>
      </c>
      <c r="BC82">
        <f>COUNTIF(AS82:AW82,"&lt;&gt;0")</f>
        <v>1</v>
      </c>
      <c r="BD82">
        <f>COUNTIF(AM82:AR82,"&lt;&gt;0")</f>
        <v>0</v>
      </c>
      <c r="BE82" t="str">
        <f t="array" ref="BE82">IF(AY82=1,INDEX($V$7:$AL$7,MATCH(TRUE,INDEX($V82:$AW82&lt;&gt;0,),0)),IF(AY82=0,INDEX($AM$7:$AW$7,MATCH(1,$AM82:$AW82,0)),IF(BF82="Multiple strategies","mixed drivers",IF(BF82="Supply chain","multiple supply","multiple silviculture"))))</f>
        <v>mixed drivers</v>
      </c>
      <c r="BF82" s="2" t="str" cm="1">
        <f t="array" ref="BF82">IF(COUNTIF(AZ82:BB82,"&lt;&gt;0")=1,INDEX($V$4:$AW$4,MATCH(TRUE,INDEX($V82:$AW82&lt;&gt;0,),0)),IF(COUNTIF(AZ82:BB82,"&lt;&gt;0")=0,INDEX($AM$4:$AW$4,MATCH(1,$AM82:$AW82,0)),"Multiple strategies"))</f>
        <v>Multiple strategies</v>
      </c>
      <c r="BG82" s="1" t="s">
        <v>229</v>
      </c>
      <c r="BH82" t="s">
        <v>2356</v>
      </c>
      <c r="BI82" s="151" t="s">
        <v>811</v>
      </c>
      <c r="BJ82" s="151" t="s">
        <v>1359</v>
      </c>
      <c r="BK82"/>
      <c r="BL82"/>
      <c r="BM82"/>
      <c r="BN82">
        <v>0.3</v>
      </c>
      <c r="BO82">
        <f>BN82*10^6*tC_to_m3</f>
        <v>1302648.7190620929</v>
      </c>
      <c r="BP82" t="s">
        <v>232</v>
      </c>
      <c r="BQ82" s="151" t="s">
        <v>811</v>
      </c>
      <c r="BR82" s="151" t="s">
        <v>1300</v>
      </c>
      <c r="BS82"/>
      <c r="BT82"/>
      <c r="BU82" s="144"/>
      <c r="BV82">
        <v>-0.9</v>
      </c>
      <c r="BW82"/>
      <c r="BX82">
        <f>BV82*10^6*C_to_CO2</f>
        <v>-3303000</v>
      </c>
      <c r="BY82">
        <f>IFERROR(BX82/BO82,"")</f>
        <v>-2.5356030000000001</v>
      </c>
      <c r="BZ82">
        <v>0</v>
      </c>
      <c r="CA82">
        <v>1</v>
      </c>
      <c r="CB82" s="151">
        <v>0</v>
      </c>
      <c r="CC82" s="151">
        <v>1</v>
      </c>
      <c r="CD82">
        <v>0</v>
      </c>
      <c r="CE82">
        <v>0</v>
      </c>
      <c r="CF82">
        <v>0</v>
      </c>
      <c r="CG82">
        <v>0</v>
      </c>
      <c r="CH82">
        <v>0</v>
      </c>
      <c r="CI82">
        <v>0</v>
      </c>
      <c r="CJ82">
        <v>0</v>
      </c>
      <c r="CK82">
        <v>0</v>
      </c>
      <c r="CL82">
        <v>0</v>
      </c>
      <c r="CM82">
        <v>0</v>
      </c>
      <c r="CN82" t="str">
        <f>IF(BL82&lt;BK82,"refNeedCorrection","refOK")</f>
        <v>refOK</v>
      </c>
      <c r="CO82"/>
      <c r="CP82"/>
      <c r="CQ82">
        <f>IF($CN82="refNeedCorrection",-BO82,BO82)</f>
        <v>1302648.7190620929</v>
      </c>
      <c r="CR82">
        <f>IF($CN82="refOK",$BS82,$BT82)*IF($BP82="Emissions positive",-1,1)</f>
        <v>0</v>
      </c>
      <c r="CS82">
        <f>IF($CN82="refOK",$BT82,$BS82)*IF($BP82="Emissions positive",-1,1)</f>
        <v>0</v>
      </c>
      <c r="CT82">
        <f>IF($CN82="refNeedCorrection",-BX82,BX82)*IF($BP82="Emissions positive",-1,1)</f>
        <v>-3303000</v>
      </c>
      <c r="CU82">
        <f>IFERROR(CT82/CQ82,"")</f>
        <v>-2.5356030000000001</v>
      </c>
      <c r="CV82" s="2" t="str">
        <f>IFERROR((CS82-CR82)/ABS(CR82),"")</f>
        <v/>
      </c>
      <c r="CW82" s="1" t="s">
        <v>1203</v>
      </c>
      <c r="CX82" t="str">
        <f>IF(OR($CW82="prd",$CW82="std",$CW82="cit"),"loc",IF(OR($CW82="eur",$CW82="reg",$CW82="coy"),"reg",$CW82))</f>
        <v>reg</v>
      </c>
      <c r="CY82" t="s">
        <v>235</v>
      </c>
      <c r="CZ82">
        <v>2015</v>
      </c>
      <c r="DA82">
        <v>2044</v>
      </c>
      <c r="DB82">
        <f>DA82-CZ82</f>
        <v>29</v>
      </c>
      <c r="DC82" t="str">
        <f>IF(DB82=0,"0",IF(AND(DB82&gt;=1,DB82&lt;=30),"1-30",IF(AND(DB82&gt;30,DB82&lt;=70),"31-70",IF(AND(DB82&gt;70,DB82&lt;=100),"71-100",IF(DB82&gt;100,"+100")))))</f>
        <v>1-30</v>
      </c>
      <c r="DD82">
        <v>0</v>
      </c>
      <c r="DE82">
        <v>1</v>
      </c>
      <c r="DF82">
        <v>1</v>
      </c>
      <c r="DG82">
        <v>1</v>
      </c>
      <c r="DH82"/>
      <c r="DI82">
        <f>SUM(DD82:DG82)</f>
        <v>3</v>
      </c>
      <c r="DJ82" t="str">
        <f>IF(DI82=1,INDEX($DD$7:$DG$7,MATCH(1,$DD82:$DG82,0)),"mixedProduct")</f>
        <v>mixedProduct</v>
      </c>
      <c r="DK82">
        <f>IF(DD82=1,DK$7,0)</f>
        <v>0</v>
      </c>
      <c r="DL82" t="str">
        <f>IF(DE82=1,DL$7,0)</f>
        <v>Energy</v>
      </c>
      <c r="DM82" t="str">
        <f>IF(DF82=1,DM$7,0)</f>
        <v>Pulp/Paper</v>
      </c>
      <c r="DN82" t="str">
        <f>IF(DG82=1,DN$7,0)</f>
        <v>Timber</v>
      </c>
      <c r="DO82">
        <v>1</v>
      </c>
      <c r="DP82">
        <v>1</v>
      </c>
      <c r="DQ82" t="s">
        <v>2357</v>
      </c>
      <c r="DR82">
        <v>0</v>
      </c>
      <c r="DS82" t="s">
        <v>2358</v>
      </c>
      <c r="DT82">
        <f>SUM(DO82:DP82)</f>
        <v>2</v>
      </c>
      <c r="DU82" s="143" t="str">
        <f>IF(DO82=1,"self-calculated DF",IF(DP82=1,"external DF used","explicit C balance"))</f>
        <v>self-calculated DF</v>
      </c>
      <c r="DV82">
        <v>1</v>
      </c>
      <c r="DW82">
        <v>1</v>
      </c>
      <c r="DX82">
        <v>1</v>
      </c>
      <c r="DY82">
        <v>1</v>
      </c>
      <c r="DZ82" s="151">
        <v>1</v>
      </c>
      <c r="EA82" s="292">
        <v>1</v>
      </c>
      <c r="EB82">
        <v>0</v>
      </c>
      <c r="EC82">
        <v>1</v>
      </c>
      <c r="ED82">
        <v>0</v>
      </c>
      <c r="EE82">
        <v>0</v>
      </c>
      <c r="EF82">
        <v>1</v>
      </c>
      <c r="EG82">
        <v>0</v>
      </c>
      <c r="EH82">
        <v>0</v>
      </c>
      <c r="EI82" s="2">
        <v>0</v>
      </c>
      <c r="EJ82" s="1"/>
      <c r="EK82" t="str">
        <f>IF(AND(AND(AND(OR($DX82=1,$DW82=1),OR($EC82=1,$EA82=1)),SUM($DV82:$DZ82,$EF82)&gt;=4),SUM($EA82:$EE82)&gt;=2),"Whole sector","")</f>
        <v>Whole sector</v>
      </c>
      <c r="EL82" t="str">
        <f>IF(AND(AND(OR($DX82=1,$DW82=1),AND($EC82=0,$EA82=0)),SUM($DV82:$DZ82,$EF82)&gt;=4),"Ecosystem approach","")</f>
        <v/>
      </c>
      <c r="EM82" s="2" t="str">
        <f>IF(AND(AND(AND($DX82=0,$DW82=0),OR($EC82=1,$EA82=1)),SUM($EB82:$EE82)&gt;=2),"Technology approach","")</f>
        <v/>
      </c>
      <c r="EN82"/>
      <c r="EO82"/>
      <c r="EP82" t="str">
        <f>IF(ISNUMBER(BU82),IF(ABS(BU82-[4]QC_indicators!$B$2)&gt;3*[4]QC_indicators!$C$2,"C ratio",IF(ISNUMBER(BY82),IF(ABS(BY82-[4]QC_indicators!$B$1)&gt;3*[4]QC_indicators!$C$1,"DF","no"))),IF(ISNUMBER(BY82),IF(ABS(BY82-[4]QC_indicators!$B$1)&gt;3*[4]QC_indicators!$C$1,"DF","no")))</f>
        <v>no</v>
      </c>
      <c r="EQ82"/>
      <c r="ER82" s="149" t="s">
        <v>349</v>
      </c>
      <c r="ES82"/>
      <c r="ET82" t="s">
        <v>3084</v>
      </c>
      <c r="EU82"/>
    </row>
    <row r="83" spans="1:151" s="139" customFormat="1" ht="15" customHeight="1">
      <c r="A83" s="1" t="s">
        <v>1378</v>
      </c>
      <c r="B83" t="s">
        <v>1379</v>
      </c>
      <c r="C83" t="s">
        <v>1380</v>
      </c>
      <c r="D83" t="s">
        <v>1381</v>
      </c>
      <c r="E83" t="s">
        <v>1382</v>
      </c>
      <c r="F83" t="s">
        <v>1383</v>
      </c>
      <c r="G83" t="s">
        <v>1384</v>
      </c>
      <c r="H83" t="s">
        <v>254</v>
      </c>
      <c r="I83">
        <v>2021</v>
      </c>
      <c r="J83">
        <v>0</v>
      </c>
      <c r="K83" t="s">
        <v>1385</v>
      </c>
      <c r="L83"/>
      <c r="M83" t="str">
        <f>LEFT($D83,FIND(",",$D83)-1)&amp;"_"&amp;I83&amp;L83</f>
        <v>Delacote_2021</v>
      </c>
      <c r="N83" t="s">
        <v>222</v>
      </c>
      <c r="O83" s="145" t="s">
        <v>223</v>
      </c>
      <c r="P83"/>
      <c r="Q83" s="264" t="s">
        <v>256</v>
      </c>
      <c r="R83" s="269" t="s">
        <v>1154</v>
      </c>
      <c r="S83" s="1" t="s">
        <v>1397</v>
      </c>
      <c r="T83" t="s">
        <v>1391</v>
      </c>
      <c r="U83" t="s">
        <v>1387</v>
      </c>
      <c r="V83">
        <v>0</v>
      </c>
      <c r="W83">
        <v>0</v>
      </c>
      <c r="X83">
        <v>0</v>
      </c>
      <c r="Y83">
        <v>0</v>
      </c>
      <c r="Z83">
        <v>0</v>
      </c>
      <c r="AA83">
        <v>0</v>
      </c>
      <c r="AB83">
        <v>0</v>
      </c>
      <c r="AC83">
        <v>0</v>
      </c>
      <c r="AD83">
        <v>0</v>
      </c>
      <c r="AE83">
        <v>0</v>
      </c>
      <c r="AF83">
        <v>0</v>
      </c>
      <c r="AG83">
        <v>0</v>
      </c>
      <c r="AH83">
        <v>0</v>
      </c>
      <c r="AI83">
        <v>0</v>
      </c>
      <c r="AJ83">
        <v>0</v>
      </c>
      <c r="AK83">
        <v>0</v>
      </c>
      <c r="AL83">
        <v>0</v>
      </c>
      <c r="AM83">
        <v>0</v>
      </c>
      <c r="AN83">
        <v>1</v>
      </c>
      <c r="AO83">
        <v>2</v>
      </c>
      <c r="AP83">
        <v>0</v>
      </c>
      <c r="AQ83">
        <v>0</v>
      </c>
      <c r="AR83">
        <v>0</v>
      </c>
      <c r="AS83">
        <v>0</v>
      </c>
      <c r="AT83">
        <v>0</v>
      </c>
      <c r="AU83">
        <v>0</v>
      </c>
      <c r="AV83">
        <v>0</v>
      </c>
      <c r="AW83">
        <v>0</v>
      </c>
      <c r="AX83" s="141">
        <f>COUNTIF(V83:AW83,"&lt;&gt;0")</f>
        <v>2</v>
      </c>
      <c r="AY83" s="141">
        <f>COUNTIF(V83:AL83,"&lt;&gt;0")</f>
        <v>0</v>
      </c>
      <c r="AZ83">
        <f>COUNTIF(V83:AC83,"&lt;&gt;0")</f>
        <v>0</v>
      </c>
      <c r="BA83">
        <f>COUNTIF(AD83:AI83,"&lt;&gt;0")</f>
        <v>0</v>
      </c>
      <c r="BB83">
        <f>COUNTIF(AJ83:AL83,"&lt;&gt;0")</f>
        <v>0</v>
      </c>
      <c r="BC83">
        <f>COUNTIF(AS83:AW83,"&lt;&gt;0")</f>
        <v>0</v>
      </c>
      <c r="BD83">
        <f>COUNTIF(AM83:AR83,"&lt;&gt;0")</f>
        <v>2</v>
      </c>
      <c r="BE83" t="str" cm="1">
        <f t="array" ref="BE83">IF(AY83=1,INDEX($V$7:$AL$7,MATCH(TRUE,INDEX($V83:$AW83&lt;&gt;0,),0)),IF(AY83=0,INDEX($AM$7:$AW$7,MATCH(1,$AM83:$AW83,0)),IF(BF83="Multiple strategies","mixed drivers",IF(BF83="Supply chain","multiple supply","multiple silviculture"))))</f>
        <v>Temperature</v>
      </c>
      <c r="BF83" s="2" t="str" cm="1">
        <f t="array" ref="BF83">IF(COUNTIF(AZ83:BB83,"&lt;&gt;0")=1,INDEX($V$4:$AW$4,MATCH(TRUE,INDEX($V83:$AW83&lt;&gt;0,),0)),IF(COUNTIF(AZ83:BB83,"&lt;&gt;0")=0,INDEX($AM$4:$AW$4,MATCH(1,$AM83:$AW83,0)),"Multiple strategies"))</f>
        <v>Environmental change</v>
      </c>
      <c r="BG83" s="1" t="s">
        <v>321</v>
      </c>
      <c r="BH83" t="s">
        <v>1297</v>
      </c>
      <c r="BI83"/>
      <c r="BJ83" t="s">
        <v>1214</v>
      </c>
      <c r="BK83">
        <f>BL83*(1-0.06/100)</f>
        <v>58.243033199999999</v>
      </c>
      <c r="BL83">
        <v>58.277999999999999</v>
      </c>
      <c r="BM83">
        <f>BL83/BK83</f>
        <v>1.0006003602161297</v>
      </c>
      <c r="BN83">
        <f>BL83-BK83</f>
        <v>3.4966799999999409E-2</v>
      </c>
      <c r="BO83">
        <f>BN83*10^6</f>
        <v>34966.799999999406</v>
      </c>
      <c r="BP83" t="s">
        <v>232</v>
      </c>
      <c r="BQ83"/>
      <c r="BR83" t="s">
        <v>1230</v>
      </c>
      <c r="BS83">
        <f>BT83*(1+0.15/100)</f>
        <v>56.619802499999999</v>
      </c>
      <c r="BT83">
        <v>56.534999999999997</v>
      </c>
      <c r="BU83" s="144">
        <f>IFERROR(BT83/BS83,"")</f>
        <v>0.99850224663005493</v>
      </c>
      <c r="BV83">
        <f>BT83-BS83</f>
        <v>-8.4802500000002112E-2</v>
      </c>
      <c r="BW83"/>
      <c r="BX83">
        <f>BV83*10^6</f>
        <v>-84802.50000000211</v>
      </c>
      <c r="BY83">
        <f>IFERROR(BX83/BO83,"")</f>
        <v>-2.425229074436424</v>
      </c>
      <c r="BZ83">
        <v>0</v>
      </c>
      <c r="CA83">
        <v>0</v>
      </c>
      <c r="CB83">
        <v>0</v>
      </c>
      <c r="CC83">
        <v>0</v>
      </c>
      <c r="CD83">
        <v>0</v>
      </c>
      <c r="CE83">
        <v>0</v>
      </c>
      <c r="CF83">
        <v>0</v>
      </c>
      <c r="CG83">
        <v>0</v>
      </c>
      <c r="CH83">
        <v>0</v>
      </c>
      <c r="CI83">
        <v>0</v>
      </c>
      <c r="CJ83">
        <v>0</v>
      </c>
      <c r="CK83">
        <v>0</v>
      </c>
      <c r="CL83">
        <v>0</v>
      </c>
      <c r="CM83">
        <v>1</v>
      </c>
      <c r="CN83" t="str">
        <f>IF($BL83&lt;$BK83,"refNeedCorrection","refOK")</f>
        <v>refOK</v>
      </c>
      <c r="CO83">
        <f>IF($CN83="refOK",$BK83,$BL83)</f>
        <v>58.243033199999999</v>
      </c>
      <c r="CP83">
        <f>IF($CN83="refOK",$BL83,$BK83)</f>
        <v>58.277999999999999</v>
      </c>
      <c r="CQ83">
        <f>IF($CN83="refOK",$BO83,-$BO83)</f>
        <v>34966.799999999406</v>
      </c>
      <c r="CR83">
        <f>IF($CN83="refOK",$BS83,$BT83)*IF($BP83="Emissions positive",-1,1)</f>
        <v>56.619802499999999</v>
      </c>
      <c r="CS83">
        <f>IF($CN83="refOK",$BT83,$BS83)*IF($BP83="Emissions positive",-1,1)</f>
        <v>56.534999999999997</v>
      </c>
      <c r="CT83">
        <f>IF($CN83="refNeedCorrection",-BX83,BX83)*IF($BP83="Emissions positive",-1,1)</f>
        <v>-84802.50000000211</v>
      </c>
      <c r="CU83">
        <f>IFERROR(CT83/CQ83,"")</f>
        <v>-2.425229074436424</v>
      </c>
      <c r="CV83" s="2">
        <f>IFERROR((CS83-CR83)/ABS(CR83),"")</f>
        <v>-1.4977533699451198E-3</v>
      </c>
      <c r="CW83" s="1" t="s">
        <v>1203</v>
      </c>
      <c r="CX83" s="264" t="str">
        <f>IF(OR($CW83="prd",$CW83="std",$CW83="cit"),"loc",IF(OR($CW83="eur",$CW83="reg",$CW83="coy"),"reg",$CW83))</f>
        <v>reg</v>
      </c>
      <c r="CY83" t="s">
        <v>729</v>
      </c>
      <c r="CZ83">
        <v>2015</v>
      </c>
      <c r="DA83">
        <v>2100</v>
      </c>
      <c r="DB83">
        <f>DA83-CZ83</f>
        <v>85</v>
      </c>
      <c r="DC83" t="str">
        <f>IF(DB83=0,"0",IF(AND(DB83&gt;=1,DB83&lt;=30),"1-30",IF(AND(DB83&gt;30,DB83&lt;=70),"31-70",IF(AND(DB83&gt;70,DB83&lt;=100),"71-100",IF(DB83&gt;100,"+100")))))</f>
        <v>71-100</v>
      </c>
      <c r="DD83">
        <v>0</v>
      </c>
      <c r="DE83">
        <v>1</v>
      </c>
      <c r="DF83">
        <v>1</v>
      </c>
      <c r="DG83">
        <v>1</v>
      </c>
      <c r="DH83"/>
      <c r="DI83">
        <f>SUM(DD83:DG83)</f>
        <v>3</v>
      </c>
      <c r="DJ83" t="str">
        <f>IF(DI83=1,INDEX($DD$7:$DG$7,MATCH(1,$DD83:$DG83,0)),"mixedProduct")</f>
        <v>mixedProduct</v>
      </c>
      <c r="DK83">
        <f>IF(DD83=1,DK$7,0)</f>
        <v>0</v>
      </c>
      <c r="DL83" t="str">
        <f>IF(DE83=1,DL$7,0)</f>
        <v>Energy</v>
      </c>
      <c r="DM83" t="str">
        <f>IF(DF83=1,DM$7,0)</f>
        <v>Pulp/Paper</v>
      </c>
      <c r="DN83" t="str">
        <f>IF(DG83=1,DN$7,0)</f>
        <v>Timber</v>
      </c>
      <c r="DO83">
        <v>0</v>
      </c>
      <c r="DP83">
        <v>0</v>
      </c>
      <c r="DQ83">
        <v>0</v>
      </c>
      <c r="DR83">
        <v>0</v>
      </c>
      <c r="DS83">
        <v>0</v>
      </c>
      <c r="DT83">
        <f>SUM(DO83:DP83)</f>
        <v>0</v>
      </c>
      <c r="DU83" s="143" t="str">
        <f>IF(DO83=1,"self-calculated DF",IF(DP83=1,"external DF used","explicit C balance"))</f>
        <v>explicit C balance</v>
      </c>
      <c r="DV83">
        <v>0</v>
      </c>
      <c r="DW83">
        <v>1</v>
      </c>
      <c r="DX83">
        <v>1</v>
      </c>
      <c r="DY83">
        <v>1</v>
      </c>
      <c r="DZ83">
        <v>0</v>
      </c>
      <c r="EA83">
        <v>0</v>
      </c>
      <c r="EB83">
        <v>0</v>
      </c>
      <c r="EC83">
        <v>0</v>
      </c>
      <c r="ED83">
        <v>0</v>
      </c>
      <c r="EE83">
        <v>0</v>
      </c>
      <c r="EF83">
        <v>1</v>
      </c>
      <c r="EG83">
        <v>0</v>
      </c>
      <c r="EH83">
        <v>1</v>
      </c>
      <c r="EI83" s="2">
        <v>1</v>
      </c>
      <c r="EJ83" s="1"/>
      <c r="EK83" t="str">
        <f>IF(AND(AND(AND(OR($DX83=1,$DW83=1),OR($EC83=1,$EA83=1)),SUM($DV83:$DZ83,$EF83)&gt;=4),SUM($EA83:$EE83)&gt;=2),"Whole sector","")</f>
        <v/>
      </c>
      <c r="EL83" t="str">
        <f>IF(AND(AND(OR($DX83=1,$DW83=1),AND($EC83=0,$EA83=0)),SUM($DV83:$DZ83,$EF83)&gt;=4),"Ecosystem approach","")</f>
        <v>Ecosystem approach</v>
      </c>
      <c r="EM83" s="2" t="str">
        <f>IF(AND(AND(AND($DX83=0,$DW83=0),OR($EC83=1,$EA83=1)),SUM($EB83:$EE83)&gt;=2),"Technology approach","")</f>
        <v/>
      </c>
      <c r="EN83"/>
      <c r="EO83"/>
      <c r="EP83" t="str">
        <f>IF(ISNUMBER(BU83),IF(ABS(BU83-[3]QC_indicators!$B$2)&gt;3*[3]QC_indicators!$C$2,"C ratio",IF(ISNUMBER(BY83),IF(ABS(BY83-[3]QC_indicators!$B$1)&gt;3*[3]QC_indicators!$C$1,"DF","no"))),IF(ISNUMBER(BY83),IF(ABS(BY83-[3]QC_indicators!$B$1)&gt;3*[3]QC_indicators!$C$1,"DF","no")))</f>
        <v>no</v>
      </c>
      <c r="EQ83"/>
      <c r="ER83"/>
      <c r="ES83"/>
      <c r="ET83" s="264" t="s">
        <v>3407</v>
      </c>
      <c r="EU83"/>
    </row>
    <row r="84" spans="1:151" s="139" customFormat="1" ht="15" customHeight="1">
      <c r="A84" s="1" t="s">
        <v>1808</v>
      </c>
      <c r="B84" t="s">
        <v>2475</v>
      </c>
      <c r="C84" t="s">
        <v>2476</v>
      </c>
      <c r="D84" t="s">
        <v>2477</v>
      </c>
      <c r="E84" t="s">
        <v>2478</v>
      </c>
      <c r="F84" t="s">
        <v>2479</v>
      </c>
      <c r="G84" t="s">
        <v>1814</v>
      </c>
      <c r="H84" t="s">
        <v>254</v>
      </c>
      <c r="I84">
        <v>2010</v>
      </c>
      <c r="J84">
        <v>100</v>
      </c>
      <c r="K84" t="s">
        <v>2480</v>
      </c>
      <c r="L84"/>
      <c r="M84" t="str">
        <f>LEFT($D84,FIND(",",$D84)-1)&amp;"_"&amp;I84&amp;L84</f>
        <v>Werner_2010</v>
      </c>
      <c r="N84" t="s">
        <v>222</v>
      </c>
      <c r="O84" s="145" t="s">
        <v>1154</v>
      </c>
      <c r="P84"/>
      <c r="Q84" t="s">
        <v>256</v>
      </c>
      <c r="R84" s="262" t="s">
        <v>223</v>
      </c>
      <c r="S84" s="1" t="s">
        <v>2481</v>
      </c>
      <c r="T84" t="s">
        <v>2482</v>
      </c>
      <c r="U84" t="s">
        <v>1155</v>
      </c>
      <c r="V84">
        <v>1</v>
      </c>
      <c r="W84">
        <v>0</v>
      </c>
      <c r="X84">
        <v>2</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s="141">
        <f>COUNTIF(V84:AW84,"&lt;&gt;0")</f>
        <v>2</v>
      </c>
      <c r="AY84" s="141">
        <f>COUNTIF(V84:AL84,"&lt;&gt;0")</f>
        <v>2</v>
      </c>
      <c r="AZ84">
        <f>COUNTIF(V84:AC84,"&lt;&gt;0")</f>
        <v>2</v>
      </c>
      <c r="BA84">
        <f>COUNTIF(AD84:AI84,"&lt;&gt;0")</f>
        <v>0</v>
      </c>
      <c r="BB84">
        <f>COUNTIF(AJ84:AL84,"&lt;&gt;0")</f>
        <v>0</v>
      </c>
      <c r="BC84">
        <f>COUNTIF(AS84:AW84,"&lt;&gt;0")</f>
        <v>0</v>
      </c>
      <c r="BD84">
        <f>COUNTIF(AM84:AR84,"&lt;&gt;0")</f>
        <v>0</v>
      </c>
      <c r="BE84" t="str">
        <f t="array" ref="BE84">IF(AY84=1,INDEX($V$7:$AL$7,MATCH(TRUE,INDEX($V84:$AW84&lt;&gt;0,),0)),IF(AY84=0,INDEX($AM$7:$AW$7,MATCH(1,$AM84:$AW84,0)),IF(BF84="Multiple strategies","mixed drivers",IF(BF84="Supply chain","multiple supply","multiple silviculture"))))</f>
        <v>multiple silviculture</v>
      </c>
      <c r="BF84" s="2" t="str" cm="1">
        <f t="array" ref="BF84">IF(COUNTIF(AZ84:BB84,"&lt;&gt;0")=1,INDEX($V$4:$AW$4,MATCH(TRUE,INDEX($V84:$AW84&lt;&gt;0,),0)),IF(COUNTIF(AZ84:BB84,"&lt;&gt;0")=0,INDEX($AM$4:$AW$4,MATCH(1,$AM84:$AW84,0)),"Multiple strategies"))</f>
        <v>Silviculture for removals</v>
      </c>
      <c r="BG84" s="1" t="s">
        <v>321</v>
      </c>
      <c r="BH84" t="s">
        <v>2453</v>
      </c>
      <c r="BI84" s="264" t="s">
        <v>3252</v>
      </c>
      <c r="BJ84" t="s">
        <v>1323</v>
      </c>
      <c r="BK84">
        <v>120</v>
      </c>
      <c r="BL84">
        <v>163.5</v>
      </c>
      <c r="BM84" s="143">
        <f>BL84/BK84</f>
        <v>1.3625</v>
      </c>
      <c r="BN84">
        <f>BL84-BK84</f>
        <v>43.5</v>
      </c>
      <c r="BO84">
        <f>BN84*10^6</f>
        <v>43500000</v>
      </c>
      <c r="BP84" t="s">
        <v>232</v>
      </c>
      <c r="BQ84" s="153" t="s">
        <v>3253</v>
      </c>
      <c r="BR84" t="s">
        <v>2325</v>
      </c>
      <c r="BS84">
        <v>370.31517322497803</v>
      </c>
      <c r="BT84">
        <v>266.57399486740798</v>
      </c>
      <c r="BU84" s="144">
        <f>IFERROR(BT84/BS84,"")</f>
        <v>0.71985706809117422</v>
      </c>
      <c r="BV84" s="144">
        <f>BT84-BS84</f>
        <v>-103.74117835757005</v>
      </c>
      <c r="BW84" s="144"/>
      <c r="BX84">
        <f>BV84*10^6</f>
        <v>-103741178.35757005</v>
      </c>
      <c r="BY84">
        <f>IFERROR(BX84/BO84,"")</f>
        <v>-2.3848546748866677</v>
      </c>
      <c r="BZ84">
        <v>0</v>
      </c>
      <c r="CA84">
        <v>0</v>
      </c>
      <c r="CB84">
        <v>0</v>
      </c>
      <c r="CC84">
        <v>0</v>
      </c>
      <c r="CD84">
        <v>0</v>
      </c>
      <c r="CE84">
        <v>0</v>
      </c>
      <c r="CF84">
        <v>0</v>
      </c>
      <c r="CG84">
        <v>0</v>
      </c>
      <c r="CH84">
        <v>0</v>
      </c>
      <c r="CI84">
        <v>0</v>
      </c>
      <c r="CJ84">
        <v>0</v>
      </c>
      <c r="CK84">
        <v>0</v>
      </c>
      <c r="CL84">
        <v>0</v>
      </c>
      <c r="CM84">
        <v>1</v>
      </c>
      <c r="CN84" t="str">
        <f>IF($BL84&lt;$BK84,"refNeedCorrection","refOK")</f>
        <v>refOK</v>
      </c>
      <c r="CO84">
        <f>IF($CN84="refOK",$BK84,$BL84)</f>
        <v>120</v>
      </c>
      <c r="CP84">
        <f>IF($CN84="refOK",$BL84,$BK84)</f>
        <v>163.5</v>
      </c>
      <c r="CQ84">
        <f>IF($CN84="refOK",$BO84,-$BO84)</f>
        <v>43500000</v>
      </c>
      <c r="CR84">
        <f>IF($CN84="refOK",$BS84,$BT84)*IF($BP84="Emissions positive",-1,1)</f>
        <v>370.31517322497803</v>
      </c>
      <c r="CS84">
        <f>IF($CN84="refOK",$BT84,$BS84)*IF($BP84="Emissions positive",-1,1)</f>
        <v>266.57399486740798</v>
      </c>
      <c r="CT84">
        <f>IF($CN84="refNeedCorrection",-BX84,BX84)*IF($BP84="Emissions positive",-1,1)</f>
        <v>-103741178.35757005</v>
      </c>
      <c r="CU84">
        <f>IFERROR(CT84/CQ84,"")</f>
        <v>-2.3848546748866677</v>
      </c>
      <c r="CV84" s="2">
        <f>IFERROR((CS84-CR84)/ABS(CR84),"")</f>
        <v>-0.28014293190882578</v>
      </c>
      <c r="CW84" s="1" t="s">
        <v>1203</v>
      </c>
      <c r="CX84" t="str">
        <f>IF(OR($CW84="prd",$CW84="std",$CW84="cit"),"loc",IF(OR($CW84="eur",$CW84="reg",$CW84="coy"),"reg",$CW84))</f>
        <v>reg</v>
      </c>
      <c r="CY84" t="s">
        <v>639</v>
      </c>
      <c r="CZ84">
        <v>2000</v>
      </c>
      <c r="DA84">
        <v>2030</v>
      </c>
      <c r="DB84">
        <f>DA84-CZ84</f>
        <v>30</v>
      </c>
      <c r="DC84" t="str">
        <f>IF(DB84=0,"0",IF(AND(DB84&gt;=1,DB84&lt;=30),"1-30",IF(AND(DB84&gt;30,DB84&lt;=70),"31-70",IF(AND(DB84&gt;70,DB84&lt;=100),"71-100",IF(DB84&gt;100,"+100")))))</f>
        <v>1-30</v>
      </c>
      <c r="DD84">
        <v>1</v>
      </c>
      <c r="DE84">
        <v>1</v>
      </c>
      <c r="DF84">
        <v>1</v>
      </c>
      <c r="DG84">
        <v>1</v>
      </c>
      <c r="DH84">
        <v>0</v>
      </c>
      <c r="DI84">
        <f>SUM(DD84:DG84)</f>
        <v>4</v>
      </c>
      <c r="DJ84" t="str">
        <f>IF(DI84=1,INDEX($DD$7:$DG$7,MATCH(1,$DD84:$DG84,0)),"mixedProduct")</f>
        <v>mixedProduct</v>
      </c>
      <c r="DK84" t="str">
        <f>IF(DD84=1,DK$7,0)</f>
        <v>Upstream</v>
      </c>
      <c r="DL84" t="str">
        <f>IF(DE84=1,DL$7,0)</f>
        <v>Energy</v>
      </c>
      <c r="DM84" t="str">
        <f>IF(DF84=1,DM$7,0)</f>
        <v>Pulp/Paper</v>
      </c>
      <c r="DN84" t="str">
        <f>IF(DG84=1,DN$7,0)</f>
        <v>Timber</v>
      </c>
      <c r="DO84">
        <v>0</v>
      </c>
      <c r="DP84">
        <v>1</v>
      </c>
      <c r="DQ84" t="s">
        <v>2483</v>
      </c>
      <c r="DR84" t="s">
        <v>2484</v>
      </c>
      <c r="DS84"/>
      <c r="DT84">
        <f>SUM(DO84:DP84)</f>
        <v>1</v>
      </c>
      <c r="DU84" s="143" t="str">
        <f>IF(DO84=1,"self-calculated DF",IF(DP84=1,"external DF used","explicit C balance"))</f>
        <v>external DF used</v>
      </c>
      <c r="DV84">
        <v>1</v>
      </c>
      <c r="DW84">
        <v>1</v>
      </c>
      <c r="DX84">
        <v>1</v>
      </c>
      <c r="DY84">
        <v>1</v>
      </c>
      <c r="DZ84">
        <v>1</v>
      </c>
      <c r="EA84" s="143">
        <v>1</v>
      </c>
      <c r="EB84">
        <v>1</v>
      </c>
      <c r="EC84">
        <v>1</v>
      </c>
      <c r="ED84">
        <v>0</v>
      </c>
      <c r="EE84">
        <v>0</v>
      </c>
      <c r="EF84">
        <v>1</v>
      </c>
      <c r="EG84">
        <v>0</v>
      </c>
      <c r="EH84">
        <v>0</v>
      </c>
      <c r="EI84" s="2">
        <v>0</v>
      </c>
      <c r="EJ84" s="1"/>
      <c r="EK84" t="str">
        <f>IF(AND(AND(AND(OR($DX84=1,$DW84=1),OR($EC84=1,$EA84=1)),SUM($DV84:$DZ84,$EF84)&gt;=4),SUM($EA84:$EE84)&gt;=2),"Whole sector","")</f>
        <v>Whole sector</v>
      </c>
      <c r="EL84" t="str">
        <f>IF(AND(AND(OR($DX84=1,$DW84=1),AND($EC84=0,$EA84=0)),SUM($DV84:$DZ84,$EF84)&gt;=4),"Ecosystem approach","")</f>
        <v/>
      </c>
      <c r="EM84" s="2" t="str">
        <f>IF(AND(AND(AND($DX84=0,$DW84=0),OR($EC84=1,$EA84=1)),SUM($EB84:$EE84)&gt;=2),"Technology approach","")</f>
        <v/>
      </c>
      <c r="EN84" t="s">
        <v>2485</v>
      </c>
      <c r="EO84"/>
      <c r="EP84" t="str">
        <f>IF(ISNUMBER(BU84),IF(ABS(BU84-[1]QC_indicators!$B$2)&gt;3*[1]QC_indicators!$C$2,"C ratio",IF(ISNUMBER(BY84),IF(ABS(BY84-[1]QC_indicators!$B$1)&gt;3*[1]QC_indicators!$C$1,"DF","no"))),IF(ISNUMBER(BY84),IF(ABS(BY84-[1]QC_indicators!$B$1)&gt;3*[1]QC_indicators!$C$1,"DF","no")))</f>
        <v>no</v>
      </c>
      <c r="EQ84"/>
      <c r="ER84"/>
      <c r="ES84"/>
      <c r="ET84" s="264" t="s">
        <v>3254</v>
      </c>
      <c r="EU84"/>
    </row>
    <row r="85" spans="1:151" s="139" customFormat="1">
      <c r="A85" s="1" t="s">
        <v>1353</v>
      </c>
      <c r="B85" t="s">
        <v>544</v>
      </c>
      <c r="C85" t="s">
        <v>2243</v>
      </c>
      <c r="D85" t="s">
        <v>2244</v>
      </c>
      <c r="E85" t="s">
        <v>2245</v>
      </c>
      <c r="F85" t="s">
        <v>2246</v>
      </c>
      <c r="G85" t="s">
        <v>1354</v>
      </c>
      <c r="H85" t="s">
        <v>254</v>
      </c>
      <c r="I85">
        <v>2021</v>
      </c>
      <c r="J85">
        <v>1</v>
      </c>
      <c r="K85" t="s">
        <v>2247</v>
      </c>
      <c r="L85"/>
      <c r="M85" t="str">
        <f>LEFT($D85,FIND(",",$D85)-1)&amp;"_"&amp;I85&amp;L85</f>
        <v>Riviere_2021</v>
      </c>
      <c r="N85" t="s">
        <v>222</v>
      </c>
      <c r="O85" s="145" t="s">
        <v>341</v>
      </c>
      <c r="P85"/>
      <c r="Q85" t="s">
        <v>256</v>
      </c>
      <c r="R85" s="262" t="s">
        <v>223</v>
      </c>
      <c r="S85" s="1" t="s">
        <v>2255</v>
      </c>
      <c r="T85" t="s">
        <v>2256</v>
      </c>
      <c r="U85" t="s">
        <v>1111</v>
      </c>
      <c r="V85">
        <v>0</v>
      </c>
      <c r="W85">
        <v>0</v>
      </c>
      <c r="X85">
        <v>0</v>
      </c>
      <c r="Y85">
        <v>1</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1</v>
      </c>
      <c r="AW85">
        <v>0</v>
      </c>
      <c r="AX85" s="141">
        <f>COUNTIF(V85:AW85,"&lt;&gt;0")</f>
        <v>2</v>
      </c>
      <c r="AY85" s="141">
        <f>COUNTIF(V85:AL85,"&lt;&gt;0")</f>
        <v>1</v>
      </c>
      <c r="AZ85">
        <f>COUNTIF(V85:AC85,"&lt;&gt;0")</f>
        <v>1</v>
      </c>
      <c r="BA85">
        <f>COUNTIF(AD85:AI85,"&lt;&gt;0")</f>
        <v>0</v>
      </c>
      <c r="BB85">
        <f>COUNTIF(AJ85:AL85,"&lt;&gt;0")</f>
        <v>0</v>
      </c>
      <c r="BC85">
        <f>COUNTIF(AS85:AW85,"&lt;&gt;0")</f>
        <v>1</v>
      </c>
      <c r="BD85">
        <f>COUNTIF(AM85:AR85,"&lt;&gt;0")</f>
        <v>0</v>
      </c>
      <c r="BE85" t="str">
        <f t="array" ref="BE85">IF(AY85=1,INDEX($V$7:$AL$7,MATCH(TRUE,INDEX($V85:$AW85&lt;&gt;0,),0)),IF(AY85=0,INDEX($AM$7:$AW$7,MATCH(1,$AM85:$AW85,0)),IF(BF85="Multiple strategies","mixed drivers",IF(BF85="Supply chain","multiple supply","multiple silviculture"))))</f>
        <v xml:space="preserve">cutting intensity </v>
      </c>
      <c r="BF85" s="2" t="str" cm="1">
        <f t="array" ref="BF85">IF(COUNTIF(AZ85:BB85,"&lt;&gt;0")=1,INDEX($V$4:$AW$4,MATCH(TRUE,INDEX($V85:$AW85&lt;&gt;0,),0)),IF(COUNTIF(AZ85:BB85,"&lt;&gt;0")=0,INDEX($AM$4:$AW$4,MATCH(1,$AM85:$AW85,0)),"Multiple strategies"))</f>
        <v>Silviculture for removals</v>
      </c>
      <c r="BG85" s="1" t="s">
        <v>321</v>
      </c>
      <c r="BH85" t="s">
        <v>2250</v>
      </c>
      <c r="BI85" s="264" t="s">
        <v>424</v>
      </c>
      <c r="BJ85" t="s">
        <v>1355</v>
      </c>
      <c r="BK85">
        <f>45.09*80</f>
        <v>3607.2000000000003</v>
      </c>
      <c r="BL85">
        <f>47.33*80</f>
        <v>3786.3999999999996</v>
      </c>
      <c r="BM85"/>
      <c r="BN85">
        <f>BL85-BK85</f>
        <v>179.19999999999936</v>
      </c>
      <c r="BO85">
        <f>BN85*10^6</f>
        <v>179199999.99999937</v>
      </c>
      <c r="BP85" t="s">
        <v>232</v>
      </c>
      <c r="BQ85" s="153" t="s">
        <v>426</v>
      </c>
      <c r="BR85" s="264" t="s">
        <v>2325</v>
      </c>
      <c r="BS85">
        <v>420</v>
      </c>
      <c r="BT85">
        <v>0</v>
      </c>
      <c r="BU85" s="144">
        <f>IFERROR(BT85/BS85,"")</f>
        <v>0</v>
      </c>
      <c r="BV85">
        <f>BT85-BS85</f>
        <v>-420</v>
      </c>
      <c r="BW85"/>
      <c r="BX85">
        <f>BV85*10^6</f>
        <v>-420000000</v>
      </c>
      <c r="BY85">
        <f>IFERROR(BX85/BO85,"")</f>
        <v>-2.343750000000008</v>
      </c>
      <c r="BZ85">
        <v>0</v>
      </c>
      <c r="CA85">
        <v>0</v>
      </c>
      <c r="CB85">
        <v>0</v>
      </c>
      <c r="CC85">
        <v>0</v>
      </c>
      <c r="CD85">
        <v>0</v>
      </c>
      <c r="CE85">
        <v>0</v>
      </c>
      <c r="CF85">
        <v>0</v>
      </c>
      <c r="CG85">
        <v>0</v>
      </c>
      <c r="CH85">
        <v>0</v>
      </c>
      <c r="CI85">
        <v>0</v>
      </c>
      <c r="CJ85">
        <v>0</v>
      </c>
      <c r="CK85">
        <v>0</v>
      </c>
      <c r="CL85">
        <v>0</v>
      </c>
      <c r="CM85">
        <v>1</v>
      </c>
      <c r="CN85" t="str">
        <f>IF($BL85&lt;$BK85,"refNeedCorrection","refOK")</f>
        <v>refOK</v>
      </c>
      <c r="CO85">
        <f>IF($CN85="refNeedCorrection",BK85,BL85)</f>
        <v>3786.3999999999996</v>
      </c>
      <c r="CP85">
        <f>IF($CN85="refNeedCorrection",BL85,BK85)</f>
        <v>3607.2000000000003</v>
      </c>
      <c r="CQ85">
        <f>IF($CN85="refOK",$BO85,-$BO85)</f>
        <v>179199999.99999937</v>
      </c>
      <c r="CR85">
        <f>IF($CN85="refOK",$BS85,$BT85)*IF($BP85="Emissions positive",-1,1)</f>
        <v>420</v>
      </c>
      <c r="CS85">
        <f>IF($CN85="refOK",$BT85,$BS85)*IF($BP85="Emissions positive",-1,1)</f>
        <v>0</v>
      </c>
      <c r="CT85">
        <f>IF($CN85="refNeedCorrection",-BX85,BX85)*IF($BP85="Emissions positive",-1,1)</f>
        <v>-420000000</v>
      </c>
      <c r="CU85">
        <f>IFERROR(CT85/CQ85,"")</f>
        <v>-2.343750000000008</v>
      </c>
      <c r="CV85" s="2">
        <f>IFERROR((CS85-CR85)/ABS(CR85),"")</f>
        <v>-1</v>
      </c>
      <c r="CW85" s="1" t="s">
        <v>1203</v>
      </c>
      <c r="CX85" t="str">
        <f>IF(OR($CW85="prd",$CW85="std",$CW85="cit"),"loc",IF(OR($CW85="eur",$CW85="reg",$CW85="coy"),"reg",$CW85))</f>
        <v>reg</v>
      </c>
      <c r="CY85" t="s">
        <v>729</v>
      </c>
      <c r="CZ85">
        <v>2020</v>
      </c>
      <c r="DA85">
        <v>2100</v>
      </c>
      <c r="DB85">
        <v>81</v>
      </c>
      <c r="DC85" t="str">
        <f>IF(DB85=0,"0",IF(AND(DB85&gt;=1,DB85&lt;=30),"1-30",IF(AND(DB85&gt;30,DB85&lt;=70),"31-70",IF(AND(DB85&gt;70,DB85&lt;=100),"71-100",IF(DB85&gt;100,"+100")))))</f>
        <v>71-100</v>
      </c>
      <c r="DD85">
        <v>0</v>
      </c>
      <c r="DE85">
        <v>0</v>
      </c>
      <c r="DF85">
        <v>1</v>
      </c>
      <c r="DG85">
        <v>1</v>
      </c>
      <c r="DH85"/>
      <c r="DI85">
        <f>SUM(DD85:DG85)</f>
        <v>2</v>
      </c>
      <c r="DJ85" t="str">
        <f>IF(DI85=1,INDEX($DD$7:$DG$7,MATCH(1,$DD85:$DG85,0)),"mixedProduct")</f>
        <v>mixedProduct</v>
      </c>
      <c r="DK85">
        <f>IF(DD85=1,DK$7,0)</f>
        <v>0</v>
      </c>
      <c r="DL85">
        <f>IF(DE85=1,DL$7,0)</f>
        <v>0</v>
      </c>
      <c r="DM85" t="str">
        <f>IF(DF85=1,DM$7,0)</f>
        <v>Pulp/Paper</v>
      </c>
      <c r="DN85" t="str">
        <f>IF(DG85=1,DN$7,0)</f>
        <v>Timber</v>
      </c>
      <c r="DO85">
        <v>0</v>
      </c>
      <c r="DP85">
        <v>0</v>
      </c>
      <c r="DQ85">
        <v>0</v>
      </c>
      <c r="DR85">
        <v>0</v>
      </c>
      <c r="DS85">
        <v>0</v>
      </c>
      <c r="DT85">
        <f>SUM(DO85:DP85)</f>
        <v>0</v>
      </c>
      <c r="DU85" s="143" t="str">
        <f>IF(DO85=1,"self-calculated DF",IF(DP85=1,"external DF used","explicit C balance"))</f>
        <v>explicit C balance</v>
      </c>
      <c r="DV85">
        <v>0</v>
      </c>
      <c r="DW85">
        <v>0</v>
      </c>
      <c r="DX85">
        <v>1</v>
      </c>
      <c r="DY85">
        <v>0</v>
      </c>
      <c r="DZ85">
        <v>0</v>
      </c>
      <c r="EA85" s="143">
        <v>0</v>
      </c>
      <c r="EB85">
        <v>0</v>
      </c>
      <c r="EC85">
        <v>0</v>
      </c>
      <c r="ED85">
        <v>0</v>
      </c>
      <c r="EE85">
        <v>0</v>
      </c>
      <c r="EF85">
        <v>1</v>
      </c>
      <c r="EG85">
        <v>0</v>
      </c>
      <c r="EH85">
        <v>0</v>
      </c>
      <c r="EI85" s="2">
        <v>0</v>
      </c>
      <c r="EJ85" s="1"/>
      <c r="EK85" t="str">
        <f>IF(AND(AND(AND(OR($DX85=1,$DW85=1),OR($EC85=1,$EA85=1)),SUM($DV85:$DZ85,$EF85)&gt;=4),SUM($EA85:$EE85)&gt;=2),"Whole sector","")</f>
        <v/>
      </c>
      <c r="EL85" t="str">
        <f>IF(AND(AND(OR($DX85=1,$DW85=1),AND($EC85=0,$EA85=0)),SUM($DV85:$DZ85,$EF85)&gt;=4),"Ecosystem approach","")</f>
        <v/>
      </c>
      <c r="EM85" s="2" t="str">
        <f>IF(AND(AND(AND($DX85=0,$DW85=0),OR($EC85=1,$EA85=1)),SUM($EB85:$EE85)&gt;=2),"Technology approach","")</f>
        <v/>
      </c>
      <c r="EN85"/>
      <c r="EO85"/>
      <c r="EP85" t="str">
        <f>IF(ISNUMBER(BU85),IF(ABS(BU85-[1]QC_indicators!$B$2)&gt;3*[1]QC_indicators!$C$2,"C ratio",IF(ISNUMBER(BY85),IF(ABS(BY85-[1]QC_indicators!$B$1)&gt;3*[1]QC_indicators!$C$1,"DF","no"))),IF(ISNUMBER(BY85),IF(ABS(BY85-[1]QC_indicators!$B$1)&gt;3*[1]QC_indicators!$C$1,"DF","no")))</f>
        <v>no</v>
      </c>
      <c r="EQ85"/>
      <c r="ER85" s="264" t="s">
        <v>3236</v>
      </c>
      <c r="ES85"/>
      <c r="ET85" s="305" t="s">
        <v>3409</v>
      </c>
      <c r="EU85"/>
    </row>
    <row r="86" spans="1:151" s="139" customFormat="1" ht="15" customHeight="1">
      <c r="A86" s="1" t="s">
        <v>2114</v>
      </c>
      <c r="B86" t="s">
        <v>544</v>
      </c>
      <c r="C86" t="s">
        <v>2277</v>
      </c>
      <c r="D86" t="s">
        <v>2278</v>
      </c>
      <c r="E86" t="s">
        <v>2279</v>
      </c>
      <c r="F86" t="s">
        <v>2280</v>
      </c>
      <c r="G86" t="s">
        <v>2115</v>
      </c>
      <c r="H86" t="s">
        <v>254</v>
      </c>
      <c r="I86">
        <v>2014</v>
      </c>
      <c r="J86">
        <v>96</v>
      </c>
      <c r="K86" t="s">
        <v>2281</v>
      </c>
      <c r="L86"/>
      <c r="M86" t="str">
        <f>LEFT($D86,FIND(",",$D86)-1)&amp;"_"&amp;I86&amp;L86</f>
        <v>Smyth_2014</v>
      </c>
      <c r="N86" t="s">
        <v>222</v>
      </c>
      <c r="O86" s="145" t="s">
        <v>341</v>
      </c>
      <c r="P86"/>
      <c r="Q86" t="s">
        <v>256</v>
      </c>
      <c r="R86" s="262" t="s">
        <v>223</v>
      </c>
      <c r="S86" s="1" t="s">
        <v>2290</v>
      </c>
      <c r="T86" t="s">
        <v>1155</v>
      </c>
      <c r="U86" s="264" t="s">
        <v>2286</v>
      </c>
      <c r="V86">
        <v>0</v>
      </c>
      <c r="W86">
        <v>0</v>
      </c>
      <c r="X86">
        <v>0</v>
      </c>
      <c r="Y86">
        <v>1</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s="141">
        <f>COUNTIF(V86:AW86,"&lt;&gt;0")</f>
        <v>1</v>
      </c>
      <c r="AY86" s="141">
        <f>COUNTIF(V86:AL86,"&lt;&gt;0")</f>
        <v>1</v>
      </c>
      <c r="AZ86">
        <f>COUNTIF(V86:AC86,"&lt;&gt;0")</f>
        <v>1</v>
      </c>
      <c r="BA86">
        <f>COUNTIF(AD86:AI86,"&lt;&gt;0")</f>
        <v>0</v>
      </c>
      <c r="BB86">
        <f>COUNTIF(AJ86:AL86,"&lt;&gt;0")</f>
        <v>0</v>
      </c>
      <c r="BC86">
        <f>COUNTIF(AS86:AW86,"&lt;&gt;0")</f>
        <v>0</v>
      </c>
      <c r="BD86">
        <f>COUNTIF(AM86:AR86,"&lt;&gt;0")</f>
        <v>0</v>
      </c>
      <c r="BE86" t="str">
        <f t="array" ref="BE86">IF(AY86=1,INDEX($V$7:$AL$7,MATCH(TRUE,INDEX($V86:$AW86&lt;&gt;0,),0)),IF(AY86=0,INDEX($AM$7:$AW$7,MATCH(1,$AM86:$AW86,0)),IF(BF86="Multiple strategies","mixed drivers",IF(BF86="Supply chain","multiple supply","multiple silviculture"))))</f>
        <v xml:space="preserve">cutting intensity </v>
      </c>
      <c r="BF86" s="2" t="str" cm="1">
        <f t="array" ref="BF86">IF(COUNTIF(AZ86:BB86,"&lt;&gt;0")=1,INDEX($V$4:$AW$4,MATCH(TRUE,INDEX($V86:$AW86&lt;&gt;0,),0)),IF(COUNTIF(AZ86:BB86,"&lt;&gt;0")=0,INDEX($AM$4:$AW$4,MATCH(1,$AM86:$AW86,0)),"Multiple strategies"))</f>
        <v>Silviculture for removals</v>
      </c>
      <c r="BG86" s="1" t="s">
        <v>321</v>
      </c>
      <c r="BH86" t="s">
        <v>2287</v>
      </c>
      <c r="BI86" t="s">
        <v>1036</v>
      </c>
      <c r="BJ86" t="s">
        <v>2288</v>
      </c>
      <c r="BK86">
        <v>0</v>
      </c>
      <c r="BL86">
        <v>2.9000000000000001E-2</v>
      </c>
      <c r="BM86"/>
      <c r="BN86">
        <f>BL86-BK86</f>
        <v>2.9000000000000001E-2</v>
      </c>
      <c r="BO86">
        <f>BN86*10^6*tC_to_m3</f>
        <v>125922.70950933566</v>
      </c>
      <c r="BP86" t="s">
        <v>232</v>
      </c>
      <c r="BQ86" s="267" t="s">
        <v>783</v>
      </c>
      <c r="BR86" s="264" t="s">
        <v>3244</v>
      </c>
      <c r="BS86"/>
      <c r="BT86"/>
      <c r="BU86" s="144"/>
      <c r="BV86">
        <f>-9.8/35</f>
        <v>-0.28000000000000003</v>
      </c>
      <c r="BW86"/>
      <c r="BX86">
        <f>BV86*10^6</f>
        <v>-280000</v>
      </c>
      <c r="BY86">
        <f>IFERROR(BX86/BO86,"")</f>
        <v>-2.2235862068965515</v>
      </c>
      <c r="BZ86">
        <v>0</v>
      </c>
      <c r="CA86">
        <v>1</v>
      </c>
      <c r="CB86">
        <v>1</v>
      </c>
      <c r="CC86">
        <v>1</v>
      </c>
      <c r="CD86">
        <v>0</v>
      </c>
      <c r="CE86">
        <v>0</v>
      </c>
      <c r="CF86">
        <v>0</v>
      </c>
      <c r="CG86">
        <v>0</v>
      </c>
      <c r="CH86">
        <v>0</v>
      </c>
      <c r="CI86">
        <v>0</v>
      </c>
      <c r="CJ86">
        <v>0</v>
      </c>
      <c r="CK86">
        <v>0</v>
      </c>
      <c r="CL86">
        <v>0</v>
      </c>
      <c r="CM86">
        <v>0</v>
      </c>
      <c r="CN86" t="str">
        <f>IF($BL86&lt;$BK86,"refNeedCorrection","refOK")</f>
        <v>refOK</v>
      </c>
      <c r="CO86">
        <f>IF($CN86="refOK",$BK86,$BL86)</f>
        <v>0</v>
      </c>
      <c r="CP86">
        <f>IF($CN86="refOK",$BL86,$BK86)</f>
        <v>2.9000000000000001E-2</v>
      </c>
      <c r="CQ86">
        <f>IF($CN86="refOK",$BO86,-$BO86)</f>
        <v>125922.70950933566</v>
      </c>
      <c r="CR86">
        <f>IF($CN86="refOK",$BS86,$BT86)*IF($BP86="Emissions positive",-1,1)</f>
        <v>0</v>
      </c>
      <c r="CS86">
        <f>IF($CN86="refOK",$BT86,$BS86)*IF($BP86="Emissions positive",-1,1)</f>
        <v>0</v>
      </c>
      <c r="CT86">
        <f>IF($CN86="refNeedCorrection",-BX86,BX86)*IF($BP86="Emissions positive",-1,1)</f>
        <v>-280000</v>
      </c>
      <c r="CU86">
        <f>IFERROR(CT86/CQ86,"")</f>
        <v>-2.2235862068965515</v>
      </c>
      <c r="CV86" s="2" t="str">
        <f>IFERROR((CS86-CR86)/ABS(CR86),"")</f>
        <v/>
      </c>
      <c r="CW86" s="1" t="s">
        <v>1203</v>
      </c>
      <c r="CX86" t="str">
        <f>IF(OR($CW86="prd",$CW86="std",$CW86="cit"),"loc",IF(OR($CW86="eur",$CW86="reg",$CW86="coy"),"reg",$CW86))</f>
        <v>reg</v>
      </c>
      <c r="CY86" t="s">
        <v>540</v>
      </c>
      <c r="CZ86">
        <v>2015</v>
      </c>
      <c r="DA86">
        <v>2050</v>
      </c>
      <c r="DB86">
        <v>35</v>
      </c>
      <c r="DC86" t="str">
        <f>IF(DB86=0,"0",IF(AND(DB86&gt;=1,DB86&lt;=30),"1-30",IF(AND(DB86&gt;30,DB86&lt;=70),"31-70",IF(AND(DB86&gt;70,DB86&lt;=100),"71-100",IF(DB86&gt;100,"+100")))))</f>
        <v>31-70</v>
      </c>
      <c r="DD86">
        <v>0</v>
      </c>
      <c r="DE86">
        <v>1</v>
      </c>
      <c r="DF86">
        <v>1</v>
      </c>
      <c r="DG86">
        <v>1</v>
      </c>
      <c r="DH86"/>
      <c r="DI86">
        <f>SUM(DD86:DG86)</f>
        <v>3</v>
      </c>
      <c r="DJ86" t="str">
        <f>IF(DI86=1,INDEX($DD$7:$DG$7,MATCH(1,$DD86:$DG86,0)),"mixedProduct")</f>
        <v>mixedProduct</v>
      </c>
      <c r="DK86">
        <f>IF(DD86=1,DK$7,0)</f>
        <v>0</v>
      </c>
      <c r="DL86" t="str">
        <f>IF(DE86=1,DL$7,0)</f>
        <v>Energy</v>
      </c>
      <c r="DM86" t="str">
        <f>IF(DF86=1,DM$7,0)</f>
        <v>Pulp/Paper</v>
      </c>
      <c r="DN86" t="str">
        <f>IF(DG86=1,DN$7,0)</f>
        <v>Timber</v>
      </c>
      <c r="DO86">
        <v>1</v>
      </c>
      <c r="DP86">
        <v>1</v>
      </c>
      <c r="DQ86" t="s">
        <v>2284</v>
      </c>
      <c r="DR86">
        <v>0</v>
      </c>
      <c r="DS86">
        <v>0</v>
      </c>
      <c r="DT86">
        <f>SUM(DO86:DP86)</f>
        <v>2</v>
      </c>
      <c r="DU86" s="143" t="str">
        <f>IF(DO86=1,"self-calculated DF",IF(DP86=1,"external DF used","explicit C balance"))</f>
        <v>self-calculated DF</v>
      </c>
      <c r="DV86">
        <v>1</v>
      </c>
      <c r="DW86">
        <v>1</v>
      </c>
      <c r="DX86">
        <v>1</v>
      </c>
      <c r="DY86">
        <v>1</v>
      </c>
      <c r="DZ86">
        <v>1</v>
      </c>
      <c r="EA86">
        <v>1</v>
      </c>
      <c r="EB86">
        <v>0</v>
      </c>
      <c r="EC86">
        <v>0</v>
      </c>
      <c r="ED86">
        <v>0</v>
      </c>
      <c r="EE86">
        <v>0</v>
      </c>
      <c r="EF86">
        <v>1</v>
      </c>
      <c r="EG86">
        <v>0</v>
      </c>
      <c r="EH86">
        <v>0</v>
      </c>
      <c r="EI86" s="2">
        <v>0</v>
      </c>
      <c r="EJ86" s="1"/>
      <c r="EK86" t="str">
        <f>IF(AND(AND(AND(OR($DX86=1,$DW86=1),OR($EC86=1,$EA86=1)),SUM($DV86:$DZ86,$EF86)&gt;=4),SUM($EA86:$EE86)&gt;=2),"Whole sector","")</f>
        <v/>
      </c>
      <c r="EL86" t="str">
        <f>IF(AND(AND(OR($DX86=1,$DW86=1),AND($EC86=0,$EA86=0)),SUM($DV86:$DZ86,$EF86)&gt;=4),"Ecosystem approach","")</f>
        <v/>
      </c>
      <c r="EM86" s="2" t="str">
        <f>IF(AND(AND(AND($DX86=0,$DW86=0),OR($EC86=1,$EA86=1)),SUM($EB86:$EE86)&gt;=2),"Technology approach","")</f>
        <v/>
      </c>
      <c r="EN86"/>
      <c r="EO86"/>
      <c r="EP86" t="str">
        <f>IF(ISNUMBER(BU86),IF(ABS(BU86-[1]QC_indicators!$B$2)&gt;3*[1]QC_indicators!$C$2,"C ratio",IF(ISNUMBER(BY86),IF(ABS(BY86-[1]QC_indicators!$B$1)&gt;3*[1]QC_indicators!$C$1,"DF","no"))),IF(ISNUMBER(BY86),IF(ABS(BY86-[1]QC_indicators!$B$1)&gt;3*[1]QC_indicators!$C$1,"DF","no")))</f>
        <v>no</v>
      </c>
      <c r="EQ86"/>
      <c r="ER86"/>
      <c r="ES86"/>
      <c r="ET86" s="268" t="s">
        <v>3242</v>
      </c>
      <c r="EU86"/>
    </row>
    <row r="87" spans="1:151" s="139" customFormat="1" ht="15" customHeight="1">
      <c r="A87" s="1" t="s">
        <v>2114</v>
      </c>
      <c r="B87" t="s">
        <v>544</v>
      </c>
      <c r="C87" t="s">
        <v>2277</v>
      </c>
      <c r="D87" t="s">
        <v>2278</v>
      </c>
      <c r="E87" t="s">
        <v>2279</v>
      </c>
      <c r="F87" t="s">
        <v>2280</v>
      </c>
      <c r="G87" t="s">
        <v>2115</v>
      </c>
      <c r="H87" t="s">
        <v>254</v>
      </c>
      <c r="I87">
        <v>2014</v>
      </c>
      <c r="J87">
        <v>96</v>
      </c>
      <c r="K87" t="s">
        <v>2281</v>
      </c>
      <c r="L87"/>
      <c r="M87" t="str">
        <f>LEFT($D87,FIND(",",$D87)-1)&amp;"_"&amp;I87&amp;L87</f>
        <v>Smyth_2014</v>
      </c>
      <c r="N87" t="s">
        <v>222</v>
      </c>
      <c r="O87" s="145" t="s">
        <v>341</v>
      </c>
      <c r="P87"/>
      <c r="Q87" t="s">
        <v>256</v>
      </c>
      <c r="R87" s="262" t="s">
        <v>223</v>
      </c>
      <c r="S87" s="1" t="s">
        <v>2285</v>
      </c>
      <c r="T87" t="s">
        <v>1155</v>
      </c>
      <c r="U87" s="264" t="s">
        <v>2291</v>
      </c>
      <c r="V87">
        <v>0</v>
      </c>
      <c r="W87">
        <v>0</v>
      </c>
      <c r="X87">
        <v>0</v>
      </c>
      <c r="Y87">
        <v>1</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s="141">
        <f>COUNTIF(V87:AW87,"&lt;&gt;0")</f>
        <v>1</v>
      </c>
      <c r="AY87" s="141">
        <f>COUNTIF(V87:AL87,"&lt;&gt;0")</f>
        <v>1</v>
      </c>
      <c r="AZ87">
        <f>COUNTIF(V87:AC87,"&lt;&gt;0")</f>
        <v>1</v>
      </c>
      <c r="BA87">
        <f>COUNTIF(AD87:AI87,"&lt;&gt;0")</f>
        <v>0</v>
      </c>
      <c r="BB87">
        <f>COUNTIF(AJ87:AL87,"&lt;&gt;0")</f>
        <v>0</v>
      </c>
      <c r="BC87">
        <f>COUNTIF(AS87:AW87,"&lt;&gt;0")</f>
        <v>0</v>
      </c>
      <c r="BD87">
        <f>COUNTIF(AM87:AR87,"&lt;&gt;0")</f>
        <v>0</v>
      </c>
      <c r="BE87" t="str">
        <f t="array" ref="BE87">IF(AY87=1,INDEX($V$7:$AL$7,MATCH(TRUE,INDEX($V87:$AW87&lt;&gt;0,),0)),IF(AY87=0,INDEX($AM$7:$AW$7,MATCH(1,$AM87:$AW87,0)),IF(BF87="Multiple strategies","mixed drivers",IF(BF87="Supply chain","multiple supply","multiple silviculture"))))</f>
        <v xml:space="preserve">cutting intensity </v>
      </c>
      <c r="BF87" s="2" t="str" cm="1">
        <f t="array" ref="BF87">IF(COUNTIF(AZ87:BB87,"&lt;&gt;0")=1,INDEX($V$4:$AW$4,MATCH(TRUE,INDEX($V87:$AW87&lt;&gt;0,),0)),IF(COUNTIF(AZ87:BB87,"&lt;&gt;0")=0,INDEX($AM$4:$AW$4,MATCH(1,$AM87:$AW87,0)),"Multiple strategies"))</f>
        <v>Silviculture for removals</v>
      </c>
      <c r="BG87" s="1" t="s">
        <v>321</v>
      </c>
      <c r="BH87" t="s">
        <v>2287</v>
      </c>
      <c r="BI87" t="s">
        <v>1036</v>
      </c>
      <c r="BJ87" t="s">
        <v>2288</v>
      </c>
      <c r="BK87">
        <v>0</v>
      </c>
      <c r="BL87">
        <v>0.62</v>
      </c>
      <c r="BM87"/>
      <c r="BN87">
        <f>BL87-BK87</f>
        <v>0.62</v>
      </c>
      <c r="BO87">
        <f>BN87*10^6*tC_to_m3</f>
        <v>2692140.6860616589</v>
      </c>
      <c r="BP87" t="s">
        <v>232</v>
      </c>
      <c r="BQ87" s="267" t="s">
        <v>783</v>
      </c>
      <c r="BR87" s="264" t="s">
        <v>3244</v>
      </c>
      <c r="BS87"/>
      <c r="BT87"/>
      <c r="BU87" s="144"/>
      <c r="BV87">
        <f>-203.9994/35</f>
        <v>-5.8285542857142856</v>
      </c>
      <c r="BW87"/>
      <c r="BX87">
        <f>BV87*10^6</f>
        <v>-5828554.2857142854</v>
      </c>
      <c r="BY87">
        <f>IFERROR(BX87/BO87,"")</f>
        <v>-2.1650258903225805</v>
      </c>
      <c r="BZ87">
        <v>0</v>
      </c>
      <c r="CA87">
        <v>1</v>
      </c>
      <c r="CB87">
        <v>1</v>
      </c>
      <c r="CC87">
        <v>1</v>
      </c>
      <c r="CD87">
        <v>0</v>
      </c>
      <c r="CE87">
        <v>0</v>
      </c>
      <c r="CF87">
        <v>0</v>
      </c>
      <c r="CG87">
        <v>0</v>
      </c>
      <c r="CH87">
        <v>0</v>
      </c>
      <c r="CI87">
        <v>0</v>
      </c>
      <c r="CJ87">
        <v>0</v>
      </c>
      <c r="CK87">
        <v>0</v>
      </c>
      <c r="CL87">
        <v>0</v>
      </c>
      <c r="CM87">
        <v>0</v>
      </c>
      <c r="CN87" t="str">
        <f>IF($BL87&lt;$BK87,"refNeedCorrection","refOK")</f>
        <v>refOK</v>
      </c>
      <c r="CO87">
        <f>IF($CN87="refOK",$BK87,$BL87)</f>
        <v>0</v>
      </c>
      <c r="CP87">
        <f>IF($CN87="refOK",$BL87,$BK87)</f>
        <v>0.62</v>
      </c>
      <c r="CQ87">
        <f>IF($CN87="refOK",$BO87,-$BO87)</f>
        <v>2692140.6860616589</v>
      </c>
      <c r="CR87">
        <f>IF($CN87="refOK",$BS87,$BT87)*IF($BP87="Emissions positive",-1,1)</f>
        <v>0</v>
      </c>
      <c r="CS87">
        <f>IF($CN87="refOK",$BT87,$BS87)*IF($BP87="Emissions positive",-1,1)</f>
        <v>0</v>
      </c>
      <c r="CT87">
        <f>IF($CN87="refNeedCorrection",-BX87,BX87)*IF($BP87="Emissions positive",-1,1)</f>
        <v>-5828554.2857142854</v>
      </c>
      <c r="CU87">
        <f>IFERROR(CT87/CQ87,"")</f>
        <v>-2.1650258903225805</v>
      </c>
      <c r="CV87" s="2" t="str">
        <f>IFERROR((CS87-CR87)/ABS(CR87),"")</f>
        <v/>
      </c>
      <c r="CW87" s="1" t="s">
        <v>1203</v>
      </c>
      <c r="CX87" t="str">
        <f>IF(OR($CW87="prd",$CW87="std",$CW87="cit"),"loc",IF(OR($CW87="eur",$CW87="reg",$CW87="coy"),"reg",$CW87))</f>
        <v>reg</v>
      </c>
      <c r="CY87" t="s">
        <v>540</v>
      </c>
      <c r="CZ87">
        <v>2015</v>
      </c>
      <c r="DA87">
        <v>2050</v>
      </c>
      <c r="DB87">
        <v>35</v>
      </c>
      <c r="DC87" t="str">
        <f>IF(DB87=0,"0",IF(AND(DB87&gt;=1,DB87&lt;=30),"1-30",IF(AND(DB87&gt;30,DB87&lt;=70),"31-70",IF(AND(DB87&gt;70,DB87&lt;=100),"71-100",IF(DB87&gt;100,"+100")))))</f>
        <v>31-70</v>
      </c>
      <c r="DD87">
        <v>0</v>
      </c>
      <c r="DE87">
        <v>1</v>
      </c>
      <c r="DF87">
        <v>1</v>
      </c>
      <c r="DG87">
        <v>1</v>
      </c>
      <c r="DH87"/>
      <c r="DI87">
        <f>SUM(DD87:DG87)</f>
        <v>3</v>
      </c>
      <c r="DJ87" t="str">
        <f>IF(DI87=1,INDEX($DD$7:$DG$7,MATCH(1,$DD87:$DG87,0)),"mixedProduct")</f>
        <v>mixedProduct</v>
      </c>
      <c r="DK87">
        <f>IF(DD87=1,DK$7,0)</f>
        <v>0</v>
      </c>
      <c r="DL87" t="str">
        <f>IF(DE87=1,DL$7,0)</f>
        <v>Energy</v>
      </c>
      <c r="DM87" t="str">
        <f>IF(DF87=1,DM$7,0)</f>
        <v>Pulp/Paper</v>
      </c>
      <c r="DN87" t="str">
        <f>IF(DG87=1,DN$7,0)</f>
        <v>Timber</v>
      </c>
      <c r="DO87">
        <v>0</v>
      </c>
      <c r="DP87">
        <v>0</v>
      </c>
      <c r="DQ87"/>
      <c r="DR87">
        <v>0</v>
      </c>
      <c r="DS87">
        <v>0</v>
      </c>
      <c r="DT87">
        <f>SUM(DO87:DP87)</f>
        <v>0</v>
      </c>
      <c r="DU87" s="143" t="str">
        <f>IF(DO87=1,"self-calculated DF",IF(DP87=1,"external DF used","explicit C balance"))</f>
        <v>explicit C balance</v>
      </c>
      <c r="DV87">
        <v>1</v>
      </c>
      <c r="DW87">
        <v>1</v>
      </c>
      <c r="DX87">
        <v>1</v>
      </c>
      <c r="DY87">
        <v>1</v>
      </c>
      <c r="DZ87">
        <v>1</v>
      </c>
      <c r="EA87">
        <v>0</v>
      </c>
      <c r="EB87">
        <v>0</v>
      </c>
      <c r="EC87">
        <v>0</v>
      </c>
      <c r="ED87">
        <v>0</v>
      </c>
      <c r="EE87">
        <v>0</v>
      </c>
      <c r="EF87">
        <v>1</v>
      </c>
      <c r="EG87">
        <v>0</v>
      </c>
      <c r="EH87">
        <v>0</v>
      </c>
      <c r="EI87" s="2">
        <v>0</v>
      </c>
      <c r="EJ87" s="1"/>
      <c r="EK87" t="str">
        <f>IF(AND(AND(AND(OR($DX87=1,$DW87=1),OR($EC87=1,$EA87=1)),SUM($DV87:$DZ87,$EF87)&gt;=4),SUM($EA87:$EE87)&gt;=2),"Whole sector","")</f>
        <v/>
      </c>
      <c r="EL87" t="str">
        <f>IF(AND(AND(OR($DX87=1,$DW87=1),AND($EC87=0,$EA87=0)),SUM($DV87:$DZ87,$EF87)&gt;=4),"Ecosystem approach","")</f>
        <v>Ecosystem approach</v>
      </c>
      <c r="EM87" s="2" t="str">
        <f>IF(AND(AND(AND($DX87=0,$DW87=0),OR($EC87=1,$EA87=1)),SUM($EB87:$EE87)&gt;=2),"Technology approach","")</f>
        <v/>
      </c>
      <c r="EN87"/>
      <c r="EO87"/>
      <c r="EP87" t="str">
        <f>IF(ISNUMBER(BU87),IF(ABS(BU87-[1]QC_indicators!$B$2)&gt;3*[1]QC_indicators!$C$2,"C ratio",IF(ISNUMBER(BY87),IF(ABS(BY87-[1]QC_indicators!$B$1)&gt;3*[1]QC_indicators!$C$1,"DF","no"))),IF(ISNUMBER(BY87),IF(ABS(BY87-[1]QC_indicators!$B$1)&gt;3*[1]QC_indicators!$C$1,"DF","no")))</f>
        <v>no</v>
      </c>
      <c r="EQ87"/>
      <c r="ER87" t="s">
        <v>2289</v>
      </c>
      <c r="ES87"/>
      <c r="ET87" s="268" t="s">
        <v>3242</v>
      </c>
      <c r="EU87"/>
    </row>
    <row r="88" spans="1:151" s="139" customFormat="1" ht="15" customHeight="1">
      <c r="A88" s="1" t="s">
        <v>1972</v>
      </c>
      <c r="B88" t="s">
        <v>2316</v>
      </c>
      <c r="C88" t="s">
        <v>2317</v>
      </c>
      <c r="D88" t="s">
        <v>2318</v>
      </c>
      <c r="E88" t="s">
        <v>2319</v>
      </c>
      <c r="F88" t="s">
        <v>2320</v>
      </c>
      <c r="G88" t="s">
        <v>1978</v>
      </c>
      <c r="H88" t="s">
        <v>254</v>
      </c>
      <c r="I88">
        <v>2020</v>
      </c>
      <c r="J88">
        <v>7</v>
      </c>
      <c r="K88" t="s">
        <v>2321</v>
      </c>
      <c r="L88"/>
      <c r="M88" t="str">
        <f>LEFT($D88,FIND(",",$D88)-1)&amp;"_"&amp;I88&amp;L88</f>
        <v>Smyth_2020</v>
      </c>
      <c r="N88" t="s">
        <v>222</v>
      </c>
      <c r="O88" s="145" t="s">
        <v>341</v>
      </c>
      <c r="P88"/>
      <c r="Q88" t="s">
        <v>256</v>
      </c>
      <c r="R88" s="290" t="s">
        <v>225</v>
      </c>
      <c r="S88" s="1" t="s">
        <v>2322</v>
      </c>
      <c r="T88" t="s">
        <v>2323</v>
      </c>
      <c r="U88" t="s">
        <v>1155</v>
      </c>
      <c r="V88">
        <v>1</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s="141">
        <f>COUNTIF(V88:AW88,"&lt;&gt;0")</f>
        <v>1</v>
      </c>
      <c r="AY88" s="141">
        <f>COUNTIF(V88:AL88,"&lt;&gt;0")</f>
        <v>1</v>
      </c>
      <c r="AZ88">
        <f>COUNTIF(V88:AC88,"&lt;&gt;0")</f>
        <v>1</v>
      </c>
      <c r="BA88">
        <f>COUNTIF(AD88:AI88,"&lt;&gt;0")</f>
        <v>0</v>
      </c>
      <c r="BB88">
        <f>COUNTIF(AJ88:AL88,"&lt;&gt;0")</f>
        <v>0</v>
      </c>
      <c r="BC88">
        <f>COUNTIF(AS88:AW88,"&lt;&gt;0")</f>
        <v>0</v>
      </c>
      <c r="BD88">
        <f>COUNTIF(AM88:AR88,"&lt;&gt;0")</f>
        <v>0</v>
      </c>
      <c r="BE88" t="str">
        <f t="array" ref="BE88">IF(AY88=1,INDEX($V$7:$AL$7,MATCH(TRUE,INDEX($V88:$AW88&lt;&gt;0,),0)),IF(AY88=0,INDEX($AM$7:$AW$7,MATCH(1,$AM88:$AW88,0)),IF(BF88="Multiple strategies","mixed drivers",IF(BF88="Supply chain","multiple supply","multiple silviculture"))))</f>
        <v>area subject to harvest</v>
      </c>
      <c r="BF88" s="2" t="str" cm="1">
        <f t="array" ref="BF88">IF(COUNTIF(AZ88:BB88,"&lt;&gt;0")=1,INDEX($V$4:$AW$4,MATCH(TRUE,INDEX($V88:$AW88&lt;&gt;0,),0)),IF(COUNTIF(AZ88:BB88,"&lt;&gt;0")=0,INDEX($AM$4:$AW$4,MATCH(1,$AM88:$AW88,0)),"Multiple strategies"))</f>
        <v>Silviculture for removals</v>
      </c>
      <c r="BG88" s="1" t="s">
        <v>321</v>
      </c>
      <c r="BH88" t="s">
        <v>2324</v>
      </c>
      <c r="BI88" s="260" t="s">
        <v>3390</v>
      </c>
      <c r="BJ88" t="s">
        <v>1359</v>
      </c>
      <c r="BK88">
        <v>425</v>
      </c>
      <c r="BL88">
        <v>457</v>
      </c>
      <c r="BM88">
        <f>BL88/BK88</f>
        <v>1.0752941176470587</v>
      </c>
      <c r="BN88">
        <f>BL88-BK88</f>
        <v>32</v>
      </c>
      <c r="BO88">
        <f>BN88*10^6*tC_to_m3</f>
        <v>138949196.6999566</v>
      </c>
      <c r="BP88" t="s">
        <v>232</v>
      </c>
      <c r="BQ88" s="260" t="s">
        <v>3391</v>
      </c>
      <c r="BR88" t="s">
        <v>2325</v>
      </c>
      <c r="BS88"/>
      <c r="BT88"/>
      <c r="BU88" s="144"/>
      <c r="BV88">
        <v>-300</v>
      </c>
      <c r="BW88"/>
      <c r="BX88">
        <f>BV88*10^6</f>
        <v>-300000000</v>
      </c>
      <c r="BY88">
        <f>IFERROR(BX88/BO88,"")</f>
        <v>-2.1590624999999997</v>
      </c>
      <c r="BZ88">
        <v>0</v>
      </c>
      <c r="CA88">
        <v>1</v>
      </c>
      <c r="CB88">
        <v>1</v>
      </c>
      <c r="CC88">
        <v>1</v>
      </c>
      <c r="CD88">
        <v>0</v>
      </c>
      <c r="CE88">
        <v>0</v>
      </c>
      <c r="CF88">
        <v>0</v>
      </c>
      <c r="CG88">
        <v>0</v>
      </c>
      <c r="CH88">
        <v>0</v>
      </c>
      <c r="CI88">
        <v>0</v>
      </c>
      <c r="CJ88">
        <v>0</v>
      </c>
      <c r="CK88">
        <v>0</v>
      </c>
      <c r="CL88">
        <v>0</v>
      </c>
      <c r="CM88">
        <v>0</v>
      </c>
      <c r="CN88" t="str">
        <f>IF(BL88&lt;BK88,"refNeedCorrection","refOK")</f>
        <v>refOK</v>
      </c>
      <c r="CO88"/>
      <c r="CP88"/>
      <c r="CQ88">
        <f>IF($CN88="refOK",$BO88,-$BO88)</f>
        <v>138949196.6999566</v>
      </c>
      <c r="CR88">
        <f>IF($CN88="refOK",$BS88,$BT88)*IF($BP88="Emissions positive",-1,1)</f>
        <v>0</v>
      </c>
      <c r="CS88">
        <f>IF($CN88="refOK",$BT88,$BS88)*IF($BP88="Emissions positive",-1,1)</f>
        <v>0</v>
      </c>
      <c r="CT88">
        <f>IF($CN88="refNeedCorrection",-BX88,BX88)*IF($BP88="Emissions positive",-1,1)</f>
        <v>-300000000</v>
      </c>
      <c r="CU88">
        <f>IFERROR(CT88/CQ88,"")</f>
        <v>-2.1590624999999997</v>
      </c>
      <c r="CV88" s="2" t="str">
        <f>IFERROR((CS88-CR88)/ABS(CR88),"")</f>
        <v/>
      </c>
      <c r="CW88" s="1" t="s">
        <v>1199</v>
      </c>
      <c r="CX88" t="str">
        <f>IF(OR($CW88="prd",$CW88="std",$CW88="cit"),"loc",IF(OR($CW88="eur",$CW88="reg",$CW88="coy"),"reg",$CW88))</f>
        <v>reg</v>
      </c>
      <c r="CY88" t="s">
        <v>540</v>
      </c>
      <c r="CZ88">
        <v>2015</v>
      </c>
      <c r="DA88">
        <v>2070</v>
      </c>
      <c r="DB88">
        <v>45</v>
      </c>
      <c r="DC88" t="str">
        <f>IF(DB88=0,"0",IF(AND(DB88&gt;=1,DB88&lt;=30),"1-30",IF(AND(DB88&gt;30,DB88&lt;=70),"31-70",IF(AND(DB88&gt;70,DB88&lt;=100),"71-100",IF(DB88&gt;100,"+100")))))</f>
        <v>31-70</v>
      </c>
      <c r="DD88">
        <v>0</v>
      </c>
      <c r="DE88">
        <v>1</v>
      </c>
      <c r="DF88">
        <v>1</v>
      </c>
      <c r="DG88">
        <v>1</v>
      </c>
      <c r="DH88"/>
      <c r="DI88">
        <f>SUM(DD88:DG88)</f>
        <v>3</v>
      </c>
      <c r="DJ88" t="str">
        <f>IF(DI88=1,INDEX($DD$7:$DG$7,MATCH(1,$DD88:$DG88,0)),"mixedProduct")</f>
        <v>mixedProduct</v>
      </c>
      <c r="DK88">
        <f>IF(DD88=1,DK$7,0)</f>
        <v>0</v>
      </c>
      <c r="DL88" t="str">
        <f>IF(DE88=1,DL$7,0)</f>
        <v>Energy</v>
      </c>
      <c r="DM88" t="str">
        <f>IF(DF88=1,DM$7,0)</f>
        <v>Pulp/Paper</v>
      </c>
      <c r="DN88" t="str">
        <f>IF(DG88=1,DN$7,0)</f>
        <v>Timber</v>
      </c>
      <c r="DO88">
        <v>1</v>
      </c>
      <c r="DP88">
        <v>1</v>
      </c>
      <c r="DQ88" t="s">
        <v>2315</v>
      </c>
      <c r="DR88">
        <v>0</v>
      </c>
      <c r="DS88">
        <v>0</v>
      </c>
      <c r="DT88">
        <f>SUM(DO88:DP88)</f>
        <v>2</v>
      </c>
      <c r="DU88" s="143" t="str">
        <f>IF(DO88=1,"self-calculated DF",IF(DP88=1,"external DF used","explicit C balance"))</f>
        <v>self-calculated DF</v>
      </c>
      <c r="DV88">
        <v>1</v>
      </c>
      <c r="DW88">
        <v>1</v>
      </c>
      <c r="DX88">
        <v>1</v>
      </c>
      <c r="DY88">
        <v>1</v>
      </c>
      <c r="DZ88">
        <v>1</v>
      </c>
      <c r="EA88" s="143">
        <v>1</v>
      </c>
      <c r="EB88">
        <v>1</v>
      </c>
      <c r="EC88">
        <v>1</v>
      </c>
      <c r="ED88">
        <v>1</v>
      </c>
      <c r="EE88">
        <v>1</v>
      </c>
      <c r="EF88">
        <v>1</v>
      </c>
      <c r="EG88">
        <v>1</v>
      </c>
      <c r="EH88">
        <v>0</v>
      </c>
      <c r="EI88" s="2">
        <v>0</v>
      </c>
      <c r="EJ88" s="1"/>
      <c r="EK88" t="str">
        <f>IF(AND(AND(AND(OR($DX88=1,$DW88=1),OR($EC88=1,$EA88=1)),SUM($DV88:$DZ88,$EF88)&gt;=4),SUM($EA88:$EE88)&gt;=2),"Whole sector","")</f>
        <v>Whole sector</v>
      </c>
      <c r="EL88" t="str">
        <f>IF(AND(AND(OR($DX88=1,$DW88=1),AND($EC88=0,$EA88=0)),SUM($DV88:$DZ88,$EF88)&gt;=4),"Ecosystem approach","")</f>
        <v/>
      </c>
      <c r="EM88" s="2" t="str">
        <f>IF(AND(AND(AND($DX88=0,$DW88=0),OR($EC88=1,$EA88=1)),SUM($EB88:$EE88)&gt;=2),"Technology approach","")</f>
        <v/>
      </c>
      <c r="EN88"/>
      <c r="EO88"/>
      <c r="EP88" t="str">
        <f>IF(ISNUMBER(BU88),IF(ABS(BU88-[4]QC_indicators!$B$2)&gt;3*[4]QC_indicators!$C$2,"C ratio",IF(ISNUMBER(BY88),IF(ABS(BY88-[4]QC_indicators!$B$1)&gt;3*[4]QC_indicators!$C$1,"DF","no"))),IF(ISNUMBER(BY88),IF(ABS(BY88-[4]QC_indicators!$B$1)&gt;3*[4]QC_indicators!$C$1,"DF","no")))</f>
        <v>no</v>
      </c>
      <c r="EQ88"/>
      <c r="ER88" s="149" t="s">
        <v>2326</v>
      </c>
      <c r="ES88"/>
      <c r="ET88" s="264" t="s">
        <v>3273</v>
      </c>
      <c r="EU88"/>
    </row>
    <row r="89" spans="1:151" s="139" customFormat="1" ht="15" customHeight="1">
      <c r="A89" s="1" t="s">
        <v>265</v>
      </c>
      <c r="B89" t="s">
        <v>266</v>
      </c>
      <c r="C89" t="s">
        <v>267</v>
      </c>
      <c r="D89" t="s">
        <v>268</v>
      </c>
      <c r="E89" t="s">
        <v>269</v>
      </c>
      <c r="F89" t="s">
        <v>270</v>
      </c>
      <c r="G89" t="s">
        <v>271</v>
      </c>
      <c r="H89" t="s">
        <v>254</v>
      </c>
      <c r="I89">
        <v>2022</v>
      </c>
      <c r="J89">
        <v>0</v>
      </c>
      <c r="K89" t="s">
        <v>272</v>
      </c>
      <c r="L89"/>
      <c r="M89" t="s">
        <v>273</v>
      </c>
      <c r="N89" t="s">
        <v>222</v>
      </c>
      <c r="O89" s="145" t="s">
        <v>274</v>
      </c>
      <c r="P89"/>
      <c r="Q89" t="s">
        <v>224</v>
      </c>
      <c r="R89" s="262" t="s">
        <v>223</v>
      </c>
      <c r="S89" s="1" t="s">
        <v>287</v>
      </c>
      <c r="T89" t="s">
        <v>288</v>
      </c>
      <c r="U89" t="s">
        <v>289</v>
      </c>
      <c r="V89">
        <v>0</v>
      </c>
      <c r="W89">
        <v>0</v>
      </c>
      <c r="X89">
        <v>0</v>
      </c>
      <c r="Y89">
        <v>0</v>
      </c>
      <c r="Z89">
        <v>0</v>
      </c>
      <c r="AA89">
        <v>0</v>
      </c>
      <c r="AB89">
        <v>0</v>
      </c>
      <c r="AC89">
        <v>1</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s="141">
        <f>COUNTIF(V89:AW89,"&lt;&gt;0")</f>
        <v>1</v>
      </c>
      <c r="AY89" s="141">
        <f>COUNTIF(V89:AL89,"&lt;&gt;0")</f>
        <v>1</v>
      </c>
      <c r="AZ89">
        <f>COUNTIF(V89:AC89,"&lt;&gt;0")</f>
        <v>1</v>
      </c>
      <c r="BA89">
        <f>COUNTIF(AD89:AI89,"&lt;&gt;0")</f>
        <v>0</v>
      </c>
      <c r="BB89">
        <f>COUNTIF(AJ89:AL89,"&lt;&gt;0")</f>
        <v>0</v>
      </c>
      <c r="BC89">
        <f>COUNTIF(AS89:AW89,"&lt;&gt;0")</f>
        <v>0</v>
      </c>
      <c r="BD89">
        <f>COUNTIF(AM89:AR89,"&lt;&gt;0")</f>
        <v>0</v>
      </c>
      <c r="BE89" t="str">
        <f t="array" ref="BE89">IF(AY89=1,INDEX($V$7:$AL$7,MATCH(TRUE,INDEX($V89:$AW89&lt;&gt;0,),0)),IF(AY89=0,INDEX($AM$7:$AW$7,MATCH(1,$AM89:$AW89,0)),IF(BF89="Multiple strategies","mixed drivers",IF(BF89="Supply chain","multiple supply","multiple silviculture"))))</f>
        <v>site fertility</v>
      </c>
      <c r="BF89" s="2" t="str" cm="1">
        <f t="array" ref="BF89">IF(COUNTIF(AZ89:BB89,"&lt;&gt;0")=1,INDEX($V$4:$AW$4,MATCH(TRUE,INDEX($V89:$AW89&lt;&gt;0,),0)),IF(COUNTIF(AZ89:BB89,"&lt;&gt;0")=0,INDEX($AM$4:$AW$4,MATCH(1,$AM89:$AW89,0)),"Multiple strategies"))</f>
        <v>Silviculture for productivity</v>
      </c>
      <c r="BG89" s="1" t="s">
        <v>229</v>
      </c>
      <c r="BH89" t="s">
        <v>277</v>
      </c>
      <c r="BI89" s="264" t="s">
        <v>3106</v>
      </c>
      <c r="BJ89" t="s">
        <v>278</v>
      </c>
      <c r="BK89">
        <v>656.10508355919967</v>
      </c>
      <c r="BL89">
        <v>757.78980054033161</v>
      </c>
      <c r="BM89"/>
      <c r="BN89">
        <f>BL89-BK89</f>
        <v>101.68471698113194</v>
      </c>
      <c r="BO89">
        <f>BN89*tC_to_m3</f>
        <v>441.53155441220991</v>
      </c>
      <c r="BP89" t="s">
        <v>232</v>
      </c>
      <c r="BQ89" s="153" t="s">
        <v>3107</v>
      </c>
      <c r="BR89" t="s">
        <v>279</v>
      </c>
      <c r="BS89">
        <v>-227.6520247861325</v>
      </c>
      <c r="BT89">
        <v>-1160.011828609915</v>
      </c>
      <c r="BU89" s="144">
        <f>IFERROR(BT89/BS89,"")</f>
        <v>5.0955480395998549</v>
      </c>
      <c r="BV89">
        <f>BT89-BS89</f>
        <v>-932.3598038237825</v>
      </c>
      <c r="BW89"/>
      <c r="BX89">
        <f>BV89</f>
        <v>-932.3598038237825</v>
      </c>
      <c r="BY89">
        <f>IFERROR(BX89/BO89,"")</f>
        <v>-2.1116493136373662</v>
      </c>
      <c r="BZ89">
        <v>0</v>
      </c>
      <c r="CA89">
        <v>0</v>
      </c>
      <c r="CB89">
        <v>0</v>
      </c>
      <c r="CC89">
        <v>0</v>
      </c>
      <c r="CD89">
        <v>0</v>
      </c>
      <c r="CE89">
        <v>0</v>
      </c>
      <c r="CF89">
        <v>0</v>
      </c>
      <c r="CG89">
        <v>0</v>
      </c>
      <c r="CH89">
        <v>0</v>
      </c>
      <c r="CI89">
        <v>0</v>
      </c>
      <c r="CJ89">
        <v>0</v>
      </c>
      <c r="CK89">
        <v>0</v>
      </c>
      <c r="CL89">
        <v>0</v>
      </c>
      <c r="CM89">
        <v>0</v>
      </c>
      <c r="CN89" t="str">
        <f>IF($BL89&lt;$BK89,"refNeedCorrection","refOK")</f>
        <v>refOK</v>
      </c>
      <c r="CO89">
        <f>IF($CN89="refOK",$BK89,$BL89)</f>
        <v>656.10508355919967</v>
      </c>
      <c r="CP89">
        <f>IF($CN89="refOK",$BL89,$BK89)</f>
        <v>757.78980054033161</v>
      </c>
      <c r="CQ89">
        <f>IF($CN89="refOK",$BO89,-$BO89)</f>
        <v>441.53155441220991</v>
      </c>
      <c r="CR89">
        <f>IF($CN89="refOK",$BS89,$BT89)*IF($BP89="Emissions positive",-1,1)</f>
        <v>-227.6520247861325</v>
      </c>
      <c r="CS89">
        <f>IF($CN89="refOK",$BT89,$BS89)*IF($BP89="Emissions positive",-1,1)</f>
        <v>-1160.011828609915</v>
      </c>
      <c r="CT89">
        <f>IF($CN89="refNeedCorrection",-BX89,BX89)*IF($BP89="Emissions positive",-1,1)</f>
        <v>-932.3598038237825</v>
      </c>
      <c r="CU89">
        <f>IFERROR(CT89/CQ89,"")</f>
        <v>-2.1116493136373662</v>
      </c>
      <c r="CV89" s="2">
        <f>IFERROR((CS89-CR89)/ABS(CR89),"")</f>
        <v>-4.0955480395998549</v>
      </c>
      <c r="CW89" s="1" t="s">
        <v>234</v>
      </c>
      <c r="CX89" t="str">
        <f>IF(OR($CW89="prd",$CW89="std",$CW89="cit"),"loc",IF(OR($CW89="eur",$CW89="reg",$CW89="coy"),"reg",$CW89))</f>
        <v>loc</v>
      </c>
      <c r="CY89" t="s">
        <v>280</v>
      </c>
      <c r="CZ89"/>
      <c r="DA89"/>
      <c r="DB89">
        <v>200</v>
      </c>
      <c r="DC89" t="str">
        <f>IF(DB89=0,"0",IF(AND(DB89&gt;=1,DB89&lt;=30),"1-30",IF(AND(DB89&gt;30,DB89&lt;=70),"31-70",IF(AND(DB89&gt;70,DB89&lt;=100),"71-100",IF(DB89&gt;100,"+100")))))</f>
        <v>+100</v>
      </c>
      <c r="DD89">
        <v>0</v>
      </c>
      <c r="DE89">
        <v>0</v>
      </c>
      <c r="DF89">
        <v>0</v>
      </c>
      <c r="DG89">
        <v>1</v>
      </c>
      <c r="DH89"/>
      <c r="DI89">
        <v>1</v>
      </c>
      <c r="DJ89" t="s">
        <v>175</v>
      </c>
      <c r="DK89">
        <v>0</v>
      </c>
      <c r="DL89">
        <v>0</v>
      </c>
      <c r="DM89">
        <v>0</v>
      </c>
      <c r="DN89" t="s">
        <v>182</v>
      </c>
      <c r="DO89">
        <v>0</v>
      </c>
      <c r="DP89">
        <v>1</v>
      </c>
      <c r="DQ89">
        <v>0</v>
      </c>
      <c r="DR89" t="s">
        <v>281</v>
      </c>
      <c r="DS89">
        <v>0</v>
      </c>
      <c r="DT89">
        <v>1</v>
      </c>
      <c r="DU89" s="143" t="s">
        <v>282</v>
      </c>
      <c r="DV89">
        <v>0</v>
      </c>
      <c r="DW89">
        <v>1</v>
      </c>
      <c r="DX89">
        <v>1</v>
      </c>
      <c r="DY89">
        <v>1</v>
      </c>
      <c r="DZ89">
        <v>1</v>
      </c>
      <c r="EA89" s="143">
        <v>0</v>
      </c>
      <c r="EB89">
        <v>1</v>
      </c>
      <c r="EC89">
        <v>1</v>
      </c>
      <c r="ED89">
        <v>0</v>
      </c>
      <c r="EE89">
        <v>1</v>
      </c>
      <c r="EF89">
        <v>1</v>
      </c>
      <c r="EG89">
        <v>1</v>
      </c>
      <c r="EH89">
        <v>0</v>
      </c>
      <c r="EI89" s="2">
        <v>0</v>
      </c>
      <c r="EJ89" s="1"/>
      <c r="EK89" t="str">
        <f>IF(AND(AND(AND(OR($DX89=1,$DW89=1),OR($EC89=1,$EA89=1)),SUM($DV89:$DZ89,$EF89)&gt;=4),SUM($EA89:$EE89)&gt;=2),"Whole sector","")</f>
        <v>Whole sector</v>
      </c>
      <c r="EL89" t="str">
        <f>IF(AND(AND(OR($DX89=1,$DW89=1),AND($EC89=0,$EA89=0)),SUM($DV89:$DZ89,$EF89)&gt;=4),"Ecosystem approach","")</f>
        <v/>
      </c>
      <c r="EM89" s="2" t="str">
        <f>IF(AND(AND(AND($DX89=0,$DW89=0),OR($EC89=1,$EA89=1)),SUM($EB89:$EE89)&gt;=2),"Technology approach","")</f>
        <v/>
      </c>
      <c r="EN89"/>
      <c r="EO89"/>
      <c r="EP89"/>
      <c r="EQ89"/>
      <c r="ER89" t="s">
        <v>290</v>
      </c>
      <c r="ES89"/>
      <c r="ET89" s="264" t="s">
        <v>3273</v>
      </c>
      <c r="EU89"/>
    </row>
    <row r="90" spans="1:151" s="139" customFormat="1" ht="15" customHeight="1">
      <c r="A90" s="1" t="s">
        <v>1972</v>
      </c>
      <c r="B90" t="s">
        <v>2316</v>
      </c>
      <c r="C90" t="s">
        <v>2317</v>
      </c>
      <c r="D90" t="s">
        <v>2318</v>
      </c>
      <c r="E90" t="s">
        <v>2319</v>
      </c>
      <c r="F90" t="s">
        <v>2320</v>
      </c>
      <c r="G90" t="s">
        <v>1978</v>
      </c>
      <c r="H90" t="s">
        <v>254</v>
      </c>
      <c r="I90">
        <v>2020</v>
      </c>
      <c r="J90">
        <v>7</v>
      </c>
      <c r="K90" t="s">
        <v>2321</v>
      </c>
      <c r="L90"/>
      <c r="M90" t="str">
        <f>LEFT($D90,FIND(",",$D90)-1)&amp;"_"&amp;I90&amp;L90</f>
        <v>Smyth_2020</v>
      </c>
      <c r="N90" t="s">
        <v>222</v>
      </c>
      <c r="O90" s="145" t="s">
        <v>341</v>
      </c>
      <c r="P90"/>
      <c r="Q90" t="s">
        <v>256</v>
      </c>
      <c r="R90" s="290" t="s">
        <v>225</v>
      </c>
      <c r="S90" s="1" t="s">
        <v>2327</v>
      </c>
      <c r="T90" t="s">
        <v>2328</v>
      </c>
      <c r="U90" t="s">
        <v>1155</v>
      </c>
      <c r="V90">
        <v>1</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s="141">
        <f>COUNTIF(V90:AW90,"&lt;&gt;0")</f>
        <v>1</v>
      </c>
      <c r="AY90" s="141">
        <f>COUNTIF(V90:AL90,"&lt;&gt;0")</f>
        <v>1</v>
      </c>
      <c r="AZ90">
        <f>COUNTIF(V90:AC90,"&lt;&gt;0")</f>
        <v>1</v>
      </c>
      <c r="BA90">
        <f>COUNTIF(AD90:AI90,"&lt;&gt;0")</f>
        <v>0</v>
      </c>
      <c r="BB90">
        <f>COUNTIF(AJ90:AL90,"&lt;&gt;0")</f>
        <v>0</v>
      </c>
      <c r="BC90">
        <f>COUNTIF(AS90:AW90,"&lt;&gt;0")</f>
        <v>0</v>
      </c>
      <c r="BD90">
        <f>COUNTIF(AM90:AR90,"&lt;&gt;0")</f>
        <v>0</v>
      </c>
      <c r="BE90" t="str">
        <f t="array" ref="BE90">IF(AY90=1,INDEX($V$7:$AL$7,MATCH(TRUE,INDEX($V90:$AW90&lt;&gt;0,),0)),IF(AY90=0,INDEX($AM$7:$AW$7,MATCH(1,$AM90:$AW90,0)),IF(BF90="Multiple strategies","mixed drivers",IF(BF90="Supply chain","multiple supply","multiple silviculture"))))</f>
        <v>area subject to harvest</v>
      </c>
      <c r="BF90" s="2" t="str" cm="1">
        <f t="array" ref="BF90">IF(COUNTIF(AZ90:BB90,"&lt;&gt;0")=1,INDEX($V$4:$AW$4,MATCH(TRUE,INDEX($V90:$AW90&lt;&gt;0,),0)),IF(COUNTIF(AZ90:BB90,"&lt;&gt;0")=0,INDEX($AM$4:$AW$4,MATCH(1,$AM90:$AW90,0)),"Multiple strategies"))</f>
        <v>Silviculture for removals</v>
      </c>
      <c r="BG90" s="1" t="s">
        <v>321</v>
      </c>
      <c r="BH90" t="s">
        <v>2324</v>
      </c>
      <c r="BI90" s="260" t="s">
        <v>3390</v>
      </c>
      <c r="BJ90" t="s">
        <v>1359</v>
      </c>
      <c r="BK90">
        <v>434</v>
      </c>
      <c r="BL90">
        <v>457</v>
      </c>
      <c r="BM90">
        <f>BL90/BK90</f>
        <v>1.0529953917050692</v>
      </c>
      <c r="BN90">
        <f>BL90-BK90</f>
        <v>23</v>
      </c>
      <c r="BO90">
        <f>BN90*10^6*tC_to_m3</f>
        <v>99869735.128093794</v>
      </c>
      <c r="BP90" t="s">
        <v>232</v>
      </c>
      <c r="BQ90" s="260" t="s">
        <v>3391</v>
      </c>
      <c r="BR90" t="s">
        <v>2325</v>
      </c>
      <c r="BS90"/>
      <c r="BT90"/>
      <c r="BU90" s="144"/>
      <c r="BV90">
        <v>-208</v>
      </c>
      <c r="BW90"/>
      <c r="BX90">
        <f>BV90*10^6</f>
        <v>-208000000</v>
      </c>
      <c r="BY90">
        <f>IFERROR(BX90/BO90,"")</f>
        <v>-2.0827130434782606</v>
      </c>
      <c r="BZ90">
        <v>0</v>
      </c>
      <c r="CA90">
        <v>1</v>
      </c>
      <c r="CB90">
        <v>1</v>
      </c>
      <c r="CC90">
        <v>1</v>
      </c>
      <c r="CD90">
        <v>0</v>
      </c>
      <c r="CE90">
        <v>0</v>
      </c>
      <c r="CF90">
        <v>0</v>
      </c>
      <c r="CG90">
        <v>0</v>
      </c>
      <c r="CH90">
        <v>0</v>
      </c>
      <c r="CI90">
        <v>0</v>
      </c>
      <c r="CJ90">
        <v>0</v>
      </c>
      <c r="CK90">
        <v>0</v>
      </c>
      <c r="CL90">
        <v>0</v>
      </c>
      <c r="CM90">
        <v>0</v>
      </c>
      <c r="CN90" t="str">
        <f>IF(BL90&lt;BK90,"refNeedCorrection","refOK")</f>
        <v>refOK</v>
      </c>
      <c r="CO90"/>
      <c r="CP90"/>
      <c r="CQ90">
        <f>IF($CN90="refOK",$BO90,-$BO90)</f>
        <v>99869735.128093794</v>
      </c>
      <c r="CR90">
        <f>IF($CN90="refOK",$BS90,$BT90)*IF($BP90="Emissions positive",-1,1)</f>
        <v>0</v>
      </c>
      <c r="CS90">
        <f>IF($CN90="refOK",$BT90,$BS90)*IF($BP90="Emissions positive",-1,1)</f>
        <v>0</v>
      </c>
      <c r="CT90">
        <f>IF($CN90="refNeedCorrection",-BX90,BX90)*IF($BP90="Emissions positive",-1,1)</f>
        <v>-208000000</v>
      </c>
      <c r="CU90">
        <f>IFERROR(CT90/CQ90,"")</f>
        <v>-2.0827130434782606</v>
      </c>
      <c r="CV90" s="2" t="str">
        <f>IFERROR((CS90-CR90)/ABS(CR90),"")</f>
        <v/>
      </c>
      <c r="CW90" s="1" t="s">
        <v>1199</v>
      </c>
      <c r="CX90" t="str">
        <f>IF(OR($CW90="prd",$CW90="std",$CW90="cit"),"loc",IF(OR($CW90="eur",$CW90="reg",$CW90="coy"),"reg",$CW90))</f>
        <v>reg</v>
      </c>
      <c r="CY90" t="s">
        <v>540</v>
      </c>
      <c r="CZ90">
        <v>2015</v>
      </c>
      <c r="DA90">
        <v>2070</v>
      </c>
      <c r="DB90">
        <v>45</v>
      </c>
      <c r="DC90" t="str">
        <f>IF(DB90=0,"0",IF(AND(DB90&gt;=1,DB90&lt;=30),"1-30",IF(AND(DB90&gt;30,DB90&lt;=70),"31-70",IF(AND(DB90&gt;70,DB90&lt;=100),"71-100",IF(DB90&gt;100,"+100")))))</f>
        <v>31-70</v>
      </c>
      <c r="DD90">
        <v>0</v>
      </c>
      <c r="DE90">
        <v>1</v>
      </c>
      <c r="DF90">
        <v>1</v>
      </c>
      <c r="DG90">
        <v>1</v>
      </c>
      <c r="DH90"/>
      <c r="DI90">
        <f>SUM(DD90:DG90)</f>
        <v>3</v>
      </c>
      <c r="DJ90" t="str">
        <f>IF(DI90=1,INDEX($DD$7:$DG$7,MATCH(1,$DD90:$DG90,0)),"mixedProduct")</f>
        <v>mixedProduct</v>
      </c>
      <c r="DK90">
        <f>IF(DD90=1,DK$7,0)</f>
        <v>0</v>
      </c>
      <c r="DL90" t="str">
        <f>IF(DE90=1,DL$7,0)</f>
        <v>Energy</v>
      </c>
      <c r="DM90" t="str">
        <f>IF(DF90=1,DM$7,0)</f>
        <v>Pulp/Paper</v>
      </c>
      <c r="DN90" t="str">
        <f>IF(DG90=1,DN$7,0)</f>
        <v>Timber</v>
      </c>
      <c r="DO90">
        <v>1</v>
      </c>
      <c r="DP90">
        <v>1</v>
      </c>
      <c r="DQ90" t="s">
        <v>2315</v>
      </c>
      <c r="DR90">
        <v>0</v>
      </c>
      <c r="DS90">
        <v>0</v>
      </c>
      <c r="DT90">
        <f>SUM(DO90:DP90)</f>
        <v>2</v>
      </c>
      <c r="DU90" s="143" t="str">
        <f>IF(DO90=1,"self-calculated DF",IF(DP90=1,"external DF used","explicit C balance"))</f>
        <v>self-calculated DF</v>
      </c>
      <c r="DV90">
        <v>1</v>
      </c>
      <c r="DW90">
        <v>1</v>
      </c>
      <c r="DX90">
        <v>1</v>
      </c>
      <c r="DY90">
        <v>1</v>
      </c>
      <c r="DZ90">
        <v>1</v>
      </c>
      <c r="EA90" s="143">
        <v>1</v>
      </c>
      <c r="EB90">
        <v>1</v>
      </c>
      <c r="EC90">
        <v>1</v>
      </c>
      <c r="ED90">
        <v>1</v>
      </c>
      <c r="EE90">
        <v>1</v>
      </c>
      <c r="EF90">
        <v>1</v>
      </c>
      <c r="EG90">
        <v>1</v>
      </c>
      <c r="EH90">
        <v>0</v>
      </c>
      <c r="EI90" s="2">
        <v>0</v>
      </c>
      <c r="EJ90" s="1"/>
      <c r="EK90" t="str">
        <f>IF(AND(AND(AND(OR($DX90=1,$DW90=1),OR($EC90=1,$EA90=1)),SUM($DV90:$DZ90,$EF90)&gt;=4),SUM($EA90:$EE90)&gt;=2),"Whole sector","")</f>
        <v>Whole sector</v>
      </c>
      <c r="EL90" t="str">
        <f>IF(AND(AND(OR($DX90=1,$DW90=1),AND($EC90=0,$EA90=0)),SUM($DV90:$DZ90,$EF90)&gt;=4),"Ecosystem approach","")</f>
        <v/>
      </c>
      <c r="EM90" s="2" t="str">
        <f>IF(AND(AND(AND($DX90=0,$DW90=0),OR($EC90=1,$EA90=1)),SUM($EB90:$EE90)&gt;=2),"Technology approach","")</f>
        <v/>
      </c>
      <c r="EN90"/>
      <c r="EO90"/>
      <c r="EP90" t="str">
        <f>IF(ISNUMBER(BU90),IF(ABS(BU90-[4]QC_indicators!$B$2)&gt;3*[4]QC_indicators!$C$2,"C ratio",IF(ISNUMBER(BY90),IF(ABS(BY90-[4]QC_indicators!$B$1)&gt;3*[4]QC_indicators!$C$1,"DF","no"))),IF(ISNUMBER(BY90),IF(ABS(BY90-[4]QC_indicators!$B$1)&gt;3*[4]QC_indicators!$C$1,"DF","no")))</f>
        <v>no</v>
      </c>
      <c r="EQ90"/>
      <c r="ER90" s="149" t="s">
        <v>2326</v>
      </c>
      <c r="ES90"/>
      <c r="ET90" s="264" t="s">
        <v>3273</v>
      </c>
      <c r="EU90"/>
    </row>
    <row r="91" spans="1:151" s="139" customFormat="1" ht="15" customHeight="1">
      <c r="A91" s="1" t="s">
        <v>1286</v>
      </c>
      <c r="B91" t="s">
        <v>1336</v>
      </c>
      <c r="C91" t="s">
        <v>1337</v>
      </c>
      <c r="D91" t="s">
        <v>1338</v>
      </c>
      <c r="E91" t="s">
        <v>1339</v>
      </c>
      <c r="F91" t="s">
        <v>1340</v>
      </c>
      <c r="G91" t="s">
        <v>1292</v>
      </c>
      <c r="H91" t="s">
        <v>254</v>
      </c>
      <c r="I91">
        <v>2016</v>
      </c>
      <c r="J91">
        <v>27</v>
      </c>
      <c r="K91" t="s">
        <v>1341</v>
      </c>
      <c r="L91"/>
      <c r="M91" t="str">
        <f>LEFT($D91,FIND(",",$D91)-1)&amp;"_"&amp;I91&amp;L91</f>
        <v>Braun_2016</v>
      </c>
      <c r="N91" t="s">
        <v>222</v>
      </c>
      <c r="O91" s="145" t="s">
        <v>223</v>
      </c>
      <c r="P91"/>
      <c r="Q91" t="s">
        <v>256</v>
      </c>
      <c r="R91" s="255" t="s">
        <v>225</v>
      </c>
      <c r="S91" s="1" t="s">
        <v>1348</v>
      </c>
      <c r="T91" t="s">
        <v>1343</v>
      </c>
      <c r="U91" t="s">
        <v>1350</v>
      </c>
      <c r="V91">
        <v>0</v>
      </c>
      <c r="W91">
        <v>0</v>
      </c>
      <c r="X91">
        <v>0</v>
      </c>
      <c r="Y91">
        <v>0</v>
      </c>
      <c r="Z91">
        <v>0</v>
      </c>
      <c r="AA91">
        <v>0</v>
      </c>
      <c r="AB91">
        <v>0</v>
      </c>
      <c r="AC91">
        <v>0</v>
      </c>
      <c r="AD91">
        <v>0</v>
      </c>
      <c r="AE91">
        <v>0</v>
      </c>
      <c r="AF91">
        <v>1</v>
      </c>
      <c r="AG91">
        <v>0</v>
      </c>
      <c r="AH91">
        <v>0</v>
      </c>
      <c r="AI91">
        <v>0</v>
      </c>
      <c r="AJ91">
        <v>0</v>
      </c>
      <c r="AK91">
        <v>0</v>
      </c>
      <c r="AL91">
        <v>0</v>
      </c>
      <c r="AM91">
        <v>0</v>
      </c>
      <c r="AN91">
        <v>0</v>
      </c>
      <c r="AO91">
        <v>0</v>
      </c>
      <c r="AP91">
        <v>0</v>
      </c>
      <c r="AQ91">
        <v>0</v>
      </c>
      <c r="AR91">
        <v>0</v>
      </c>
      <c r="AS91">
        <v>0</v>
      </c>
      <c r="AT91">
        <v>0</v>
      </c>
      <c r="AU91">
        <v>0</v>
      </c>
      <c r="AV91">
        <v>0</v>
      </c>
      <c r="AW91">
        <v>0</v>
      </c>
      <c r="AX91" s="141">
        <f>COUNTIF(V91:AW91,"&lt;&gt;0")</f>
        <v>1</v>
      </c>
      <c r="AY91" s="141">
        <f>COUNTIF(V91:AL91,"&lt;&gt;0")</f>
        <v>1</v>
      </c>
      <c r="AZ91">
        <f>COUNTIF(V91:AC91,"&lt;&gt;0")</f>
        <v>0</v>
      </c>
      <c r="BA91">
        <f>COUNTIF(AD91:AI91,"&lt;&gt;0")</f>
        <v>1</v>
      </c>
      <c r="BB91">
        <f>COUNTIF(AJ91:AL91,"&lt;&gt;0")</f>
        <v>0</v>
      </c>
      <c r="BC91">
        <f>COUNTIF(AS91:AW91,"&lt;&gt;0")</f>
        <v>0</v>
      </c>
      <c r="BD91">
        <f>COUNTIF(AM91:AR91,"&lt;&gt;0")</f>
        <v>0</v>
      </c>
      <c r="BE91" t="str">
        <f t="array" ref="BE91">IF(AY91=1,INDEX($V$7:$AL$7,MATCH(TRUE,INDEX($V91:$AW91&lt;&gt;0,),0)),IF(AY91=0,INDEX($AM$7:$AW$7,MATCH(1,$AM91:$AW91,0)),IF(BF91="Multiple strategies","mixed drivers",IF(BF91="Supply chain","multiple supply","multiple silviculture"))))</f>
        <v>supply chain organization</v>
      </c>
      <c r="BF91" s="2" t="str" cm="1">
        <f t="array" ref="BF91">IF(COUNTIF(AZ91:BB91,"&lt;&gt;0")=1,INDEX($V$4:$AW$4,MATCH(TRUE,INDEX($V91:$AW91&lt;&gt;0,),0)),IF(COUNTIF(AZ91:BB91,"&lt;&gt;0")=0,INDEX($AM$4:$AW$4,MATCH(1,$AM91:$AW91,0)),"Multiple strategies"))</f>
        <v>Supply chain</v>
      </c>
      <c r="BG91" s="1" t="s">
        <v>229</v>
      </c>
      <c r="BH91" t="s">
        <v>1344</v>
      </c>
      <c r="BI91" s="260" t="s">
        <v>3277</v>
      </c>
      <c r="BJ91" t="s">
        <v>1345</v>
      </c>
      <c r="BK91">
        <v>1.1674521913429727</v>
      </c>
      <c r="BL91">
        <v>1.8344709897610794</v>
      </c>
      <c r="BM91">
        <f>BL91/BK91</f>
        <v>1.5713457076566064</v>
      </c>
      <c r="BN91">
        <f>BL91-BK91</f>
        <v>0.66701879841810663</v>
      </c>
      <c r="BO91">
        <f>BN91*10^9</f>
        <v>667018798.41810668</v>
      </c>
      <c r="BP91" t="s">
        <v>232</v>
      </c>
      <c r="BQ91" s="260" t="s">
        <v>3280</v>
      </c>
      <c r="BR91" t="s">
        <v>1346</v>
      </c>
      <c r="BS91" s="264">
        <v>1.0255972696245701</v>
      </c>
      <c r="BT91" s="264">
        <v>-0.32593856655289999</v>
      </c>
      <c r="BU91" s="144">
        <f>IFERROR(BT91/BS91,"")</f>
        <v>-0.31780366056572379</v>
      </c>
      <c r="BV91">
        <f>BT91-BS91</f>
        <v>-1.3515358361774701</v>
      </c>
      <c r="BW91"/>
      <c r="BX91">
        <f>BV91*10^9</f>
        <v>-1351535836.17747</v>
      </c>
      <c r="BY91">
        <f>IFERROR(BX91/BO91,"")</f>
        <v>-2.0262335025380924</v>
      </c>
      <c r="BZ91" s="143">
        <v>0</v>
      </c>
      <c r="CA91" s="143">
        <v>0</v>
      </c>
      <c r="CB91" s="143">
        <v>0</v>
      </c>
      <c r="CC91" s="143">
        <v>0</v>
      </c>
      <c r="CD91" s="143">
        <v>0</v>
      </c>
      <c r="CE91" s="143">
        <v>0</v>
      </c>
      <c r="CF91" s="143">
        <v>0</v>
      </c>
      <c r="CG91" s="143">
        <v>0</v>
      </c>
      <c r="CH91" s="143">
        <v>0</v>
      </c>
      <c r="CI91" s="143">
        <v>0</v>
      </c>
      <c r="CJ91" s="143">
        <v>0</v>
      </c>
      <c r="CK91" s="143">
        <v>0</v>
      </c>
      <c r="CL91" s="143">
        <v>0</v>
      </c>
      <c r="CM91">
        <v>0</v>
      </c>
      <c r="CN91" t="str">
        <f>IF($BL91&lt;$BK91,"refNeedCorrection","refOK")</f>
        <v>refOK</v>
      </c>
      <c r="CO91">
        <f>IF($CN91="refOK",$BK91,$BL91)</f>
        <v>1.1674521913429727</v>
      </c>
      <c r="CP91">
        <f>IF($CN91="refOK",$BL91,$BK91)</f>
        <v>1.8344709897610794</v>
      </c>
      <c r="CQ91">
        <f>IF($CN91="refOK",$BO91,-$BO91)</f>
        <v>667018798.41810668</v>
      </c>
      <c r="CR91">
        <f>IF($CN91="refOK",$BS91,$BT91)*IF($BP91="Emissions positive",-1,1)</f>
        <v>1.0255972696245701</v>
      </c>
      <c r="CS91">
        <f>IF($CN91="refOK",$BT91,$BS91)*IF($BP91="Emissions positive",-1,1)</f>
        <v>-0.32593856655289999</v>
      </c>
      <c r="CT91">
        <f>IF($CN91="refNeedCorrection",-BX91,BX91)*IF($BP91="Emissions positive",-1,1)</f>
        <v>-1351535836.17747</v>
      </c>
      <c r="CU91">
        <f>IFERROR(CT91/CQ91,"")</f>
        <v>-2.0262335025380924</v>
      </c>
      <c r="CV91" s="2">
        <f>IFERROR((CS91-CR91)/ABS(CR91),"")</f>
        <v>-1.3178036605657237</v>
      </c>
      <c r="CW91" s="1" t="s">
        <v>1203</v>
      </c>
      <c r="CX91" t="str">
        <f>IF(OR($CW91="prd",$CW91="std",$CW91="cit"),"loc",IF(OR($CW91="eur",$CW91="reg",$CW91="coy"),"reg",$CW91))</f>
        <v>reg</v>
      </c>
      <c r="CY91" t="s">
        <v>666</v>
      </c>
      <c r="CZ91">
        <v>2010</v>
      </c>
      <c r="DA91">
        <v>2100</v>
      </c>
      <c r="DB91">
        <f>DA91-CZ91</f>
        <v>90</v>
      </c>
      <c r="DC91" t="str">
        <f>IF(DB91=0,"0",IF(AND(DB91&gt;=1,DB91&lt;=30),"1-30",IF(AND(DB91&gt;30,DB91&lt;=70),"31-70",IF(AND(DB91&gt;70,DB91&lt;=100),"71-100",IF(DB91&gt;100,"+100")))))</f>
        <v>71-100</v>
      </c>
      <c r="DD91">
        <v>0</v>
      </c>
      <c r="DE91">
        <v>1</v>
      </c>
      <c r="DF91">
        <v>1</v>
      </c>
      <c r="DG91">
        <v>1</v>
      </c>
      <c r="DH91"/>
      <c r="DI91">
        <f>SUM(DD91:DG91)</f>
        <v>3</v>
      </c>
      <c r="DJ91" t="str">
        <f>IF(DI91=1,INDEX($DD$7:$DG$7,MATCH(1,$DD91:$DG91,0)),"mixedProduct")</f>
        <v>mixedProduct</v>
      </c>
      <c r="DK91">
        <f>IF(DD91=1,DK$7,0)</f>
        <v>0</v>
      </c>
      <c r="DL91" t="str">
        <f>IF(DE91=1,DL$7,0)</f>
        <v>Energy</v>
      </c>
      <c r="DM91" t="str">
        <f>IF(DF91=1,DM$7,0)</f>
        <v>Pulp/Paper</v>
      </c>
      <c r="DN91" t="str">
        <f>IF(DG91=1,DN$7,0)</f>
        <v>Timber</v>
      </c>
      <c r="DO91">
        <v>1</v>
      </c>
      <c r="DP91" s="143">
        <v>0</v>
      </c>
      <c r="DQ91" s="143">
        <v>0</v>
      </c>
      <c r="DR91" s="143">
        <v>0</v>
      </c>
      <c r="DS91">
        <v>0</v>
      </c>
      <c r="DT91">
        <f>SUM(DO91:DP91)</f>
        <v>1</v>
      </c>
      <c r="DU91" s="143" t="str">
        <f>IF(DO91=1,"self-calculated DF",IF(DP91=1,"external DF used","explicit C balance"))</f>
        <v>self-calculated DF</v>
      </c>
      <c r="DV91">
        <v>1</v>
      </c>
      <c r="DW91" s="143">
        <v>1</v>
      </c>
      <c r="DX91" s="143">
        <v>1</v>
      </c>
      <c r="DY91" s="143">
        <v>0</v>
      </c>
      <c r="DZ91">
        <v>0</v>
      </c>
      <c r="EA91" s="141">
        <v>0</v>
      </c>
      <c r="EB91">
        <v>0</v>
      </c>
      <c r="EC91" s="143">
        <v>0</v>
      </c>
      <c r="ED91" s="143">
        <v>0</v>
      </c>
      <c r="EE91">
        <v>0</v>
      </c>
      <c r="EF91">
        <v>1</v>
      </c>
      <c r="EG91" s="143">
        <v>0</v>
      </c>
      <c r="EH91" s="143">
        <v>0</v>
      </c>
      <c r="EI91" s="2">
        <v>0</v>
      </c>
      <c r="EJ91" s="1"/>
      <c r="EK91" t="str">
        <f>IF(AND(AND(AND(OR($DX91=1,$DW91=1),OR($EC91=1,$EA91=1)),SUM($DV91:$DZ91,$EF91)&gt;=4),SUM($EA91:$EE91)&gt;=2),"Whole sector","")</f>
        <v/>
      </c>
      <c r="EL91" t="str">
        <f>IF(AND(AND(OR($DX91=1,$DW91=1),AND($EC91=0,$EA91=0)),SUM($DV91:$DZ91,$EF91)&gt;=4),"Ecosystem approach","")</f>
        <v>Ecosystem approach</v>
      </c>
      <c r="EM91" s="2" t="str">
        <f>IF(AND(AND(AND($DX91=0,$DW91=0),OR($EC91=1,$EA91=1)),SUM($EB91:$EE91)&gt;=2),"Technology approach","")</f>
        <v/>
      </c>
      <c r="EN91" t="s">
        <v>3283</v>
      </c>
      <c r="EO91"/>
      <c r="EP91" t="str">
        <f>IF(ISNUMBER(BU91),IF(ABS(BU91-[4]QC_indicators!$B$2)&gt;3*[4]QC_indicators!$C$2,"C ratio",IF(ISNUMBER(BY91),IF(ABS(BY91-[4]QC_indicators!$B$1)&gt;3*[4]QC_indicators!$C$1,"DF","no"))),IF(ISNUMBER(BY91),IF(ABS(BY91-[4]QC_indicators!$B$1)&gt;3*[4]QC_indicators!$C$1,"DF","no")))</f>
        <v>no</v>
      </c>
      <c r="EQ91"/>
      <c r="ER91"/>
      <c r="ES91"/>
      <c r="ET91" s="264" t="s">
        <v>3273</v>
      </c>
      <c r="EU91"/>
    </row>
    <row r="92" spans="1:151" s="139" customFormat="1" ht="15" customHeight="1">
      <c r="A92" s="1" t="s">
        <v>1808</v>
      </c>
      <c r="B92" t="s">
        <v>2475</v>
      </c>
      <c r="C92" t="s">
        <v>2476</v>
      </c>
      <c r="D92" t="s">
        <v>2477</v>
      </c>
      <c r="E92" t="s">
        <v>2478</v>
      </c>
      <c r="F92" t="s">
        <v>2479</v>
      </c>
      <c r="G92" t="s">
        <v>1814</v>
      </c>
      <c r="H92" t="s">
        <v>254</v>
      </c>
      <c r="I92">
        <v>2010</v>
      </c>
      <c r="J92">
        <v>100</v>
      </c>
      <c r="K92" t="s">
        <v>2480</v>
      </c>
      <c r="L92"/>
      <c r="M92" t="str">
        <f>LEFT($D92,FIND(",",$D92)-1)&amp;"_"&amp;I92&amp;L92</f>
        <v>Werner_2010</v>
      </c>
      <c r="N92" t="s">
        <v>222</v>
      </c>
      <c r="O92" s="145" t="s">
        <v>1154</v>
      </c>
      <c r="P92"/>
      <c r="Q92" t="s">
        <v>256</v>
      </c>
      <c r="R92" s="262" t="s">
        <v>223</v>
      </c>
      <c r="S92" s="1" t="s">
        <v>2481</v>
      </c>
      <c r="T92" t="s">
        <v>2482</v>
      </c>
      <c r="U92" t="s">
        <v>1155</v>
      </c>
      <c r="V92">
        <v>1</v>
      </c>
      <c r="W92">
        <v>0</v>
      </c>
      <c r="X92">
        <v>2</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s="141">
        <f>COUNTIF(V92:AW92,"&lt;&gt;0")</f>
        <v>2</v>
      </c>
      <c r="AY92" s="141">
        <f>COUNTIF(V92:AL92,"&lt;&gt;0")</f>
        <v>2</v>
      </c>
      <c r="AZ92">
        <f>COUNTIF(V92:AC92,"&lt;&gt;0")</f>
        <v>2</v>
      </c>
      <c r="BA92">
        <f>COUNTIF(AD92:AI92,"&lt;&gt;0")</f>
        <v>0</v>
      </c>
      <c r="BB92">
        <f>COUNTIF(AJ92:AL92,"&lt;&gt;0")</f>
        <v>0</v>
      </c>
      <c r="BC92">
        <f>COUNTIF(AS92:AW92,"&lt;&gt;0")</f>
        <v>0</v>
      </c>
      <c r="BD92">
        <f>COUNTIF(AM92:AR92,"&lt;&gt;0")</f>
        <v>0</v>
      </c>
      <c r="BE92" t="str">
        <f t="array" ref="BE92">IF(AY92=1,INDEX($V$7:$AL$7,MATCH(TRUE,INDEX($V92:$AW92&lt;&gt;0,),0)),IF(AY92=0,INDEX($AM$7:$AW$7,MATCH(1,$AM92:$AW92,0)),IF(BF92="Multiple strategies","mixed drivers",IF(BF92="Supply chain","multiple supply","multiple silviculture"))))</f>
        <v>multiple silviculture</v>
      </c>
      <c r="BF92" s="2" t="str" cm="1">
        <f t="array" ref="BF92">IF(COUNTIF(AZ92:BB92,"&lt;&gt;0")=1,INDEX($V$4:$AW$4,MATCH(TRUE,INDEX($V92:$AW92&lt;&gt;0,),0)),IF(COUNTIF(AZ92:BB92,"&lt;&gt;0")=0,INDEX($AM$4:$AW$4,MATCH(1,$AM92:$AW92,0)),"Multiple strategies"))</f>
        <v>Silviculture for removals</v>
      </c>
      <c r="BG92" s="1" t="s">
        <v>321</v>
      </c>
      <c r="BH92" t="s">
        <v>2453</v>
      </c>
      <c r="BI92" s="264" t="s">
        <v>3252</v>
      </c>
      <c r="BJ92" t="s">
        <v>1323</v>
      </c>
      <c r="BK92">
        <v>210</v>
      </c>
      <c r="BL92">
        <v>340.5</v>
      </c>
      <c r="BM92" s="143">
        <f>BL92/BK92</f>
        <v>1.6214285714285714</v>
      </c>
      <c r="BN92">
        <f>BL92-BK92</f>
        <v>130.5</v>
      </c>
      <c r="BO92">
        <f>BN92*10^6</f>
        <v>130500000</v>
      </c>
      <c r="BP92" t="s">
        <v>232</v>
      </c>
      <c r="BQ92" s="153" t="s">
        <v>3253</v>
      </c>
      <c r="BR92" t="s">
        <v>2325</v>
      </c>
      <c r="BS92">
        <v>385.778591846273</v>
      </c>
      <c r="BT92">
        <v>124.386230701242</v>
      </c>
      <c r="BU92" s="144">
        <f>IFERROR(BT92/BS92,"")</f>
        <v>0.32242906509132591</v>
      </c>
      <c r="BV92" s="144">
        <f>BT92-BS92</f>
        <v>-261.39236114503103</v>
      </c>
      <c r="BW92" s="144"/>
      <c r="BX92">
        <f>BV92*10^6</f>
        <v>-261392361.14503103</v>
      </c>
      <c r="BY92">
        <f>IFERROR(BX92/BO92,"")</f>
        <v>-2.0030065988124983</v>
      </c>
      <c r="BZ92">
        <v>0</v>
      </c>
      <c r="CA92">
        <v>0</v>
      </c>
      <c r="CB92">
        <v>0</v>
      </c>
      <c r="CC92">
        <v>0</v>
      </c>
      <c r="CD92">
        <v>0</v>
      </c>
      <c r="CE92">
        <v>0</v>
      </c>
      <c r="CF92">
        <v>0</v>
      </c>
      <c r="CG92">
        <v>0</v>
      </c>
      <c r="CH92">
        <v>0</v>
      </c>
      <c r="CI92">
        <v>0</v>
      </c>
      <c r="CJ92">
        <v>0</v>
      </c>
      <c r="CK92">
        <v>0</v>
      </c>
      <c r="CL92">
        <v>0</v>
      </c>
      <c r="CM92">
        <v>1</v>
      </c>
      <c r="CN92" t="str">
        <f>IF($BL92&lt;$BK92,"refNeedCorrection","refOK")</f>
        <v>refOK</v>
      </c>
      <c r="CO92">
        <f>IF($CN92="refOK",$BK92,$BL92)</f>
        <v>210</v>
      </c>
      <c r="CP92">
        <f>IF($CN92="refOK",$BL92,$BK92)</f>
        <v>340.5</v>
      </c>
      <c r="CQ92">
        <f>IF($CN92="refOK",$BO92,-$BO92)</f>
        <v>130500000</v>
      </c>
      <c r="CR92">
        <f>IF($CN92="refOK",$BS92,$BT92)*IF($BP92="Emissions positive",-1,1)</f>
        <v>385.778591846273</v>
      </c>
      <c r="CS92">
        <f>IF($CN92="refOK",$BT92,$BS92)*IF($BP92="Emissions positive",-1,1)</f>
        <v>124.386230701242</v>
      </c>
      <c r="CT92">
        <f>IF($CN92="refNeedCorrection",-BX92,BX92)*IF($BP92="Emissions positive",-1,1)</f>
        <v>-261392361.14503103</v>
      </c>
      <c r="CU92">
        <f>IFERROR(CT92/CQ92,"")</f>
        <v>-2.0030065988124983</v>
      </c>
      <c r="CV92" s="2">
        <f>IFERROR((CS92-CR92)/ABS(CR92),"")</f>
        <v>-0.67757093490867415</v>
      </c>
      <c r="CW92" s="1" t="s">
        <v>1203</v>
      </c>
      <c r="CX92" t="str">
        <f>IF(OR($CW92="prd",$CW92="std",$CW92="cit"),"loc",IF(OR($CW92="eur",$CW92="reg",$CW92="coy"),"reg",$CW92))</f>
        <v>reg</v>
      </c>
      <c r="CY92" t="s">
        <v>639</v>
      </c>
      <c r="CZ92">
        <v>2000</v>
      </c>
      <c r="DA92">
        <v>2060</v>
      </c>
      <c r="DB92">
        <f>DA92-CZ92</f>
        <v>60</v>
      </c>
      <c r="DC92" t="str">
        <f>IF(DB92=0,"0",IF(AND(DB92&gt;=1,DB92&lt;=30),"1-30",IF(AND(DB92&gt;30,DB92&lt;=70),"31-70",IF(AND(DB92&gt;70,DB92&lt;=100),"71-100",IF(DB92&gt;100,"+100")))))</f>
        <v>31-70</v>
      </c>
      <c r="DD92">
        <v>1</v>
      </c>
      <c r="DE92">
        <v>0</v>
      </c>
      <c r="DF92">
        <v>0</v>
      </c>
      <c r="DG92">
        <v>0</v>
      </c>
      <c r="DH92">
        <v>0</v>
      </c>
      <c r="DI92">
        <f>SUM(DD92:DG92)</f>
        <v>1</v>
      </c>
      <c r="DJ92" t="str">
        <f>IF(DI92=1,INDEX($DD$7:$DG$7,MATCH(1,$DD92:$DG92,0)),"mixedProduct")</f>
        <v>UpstreamInput</v>
      </c>
      <c r="DK92" t="str">
        <f>IF(DD92=1,DK$7,0)</f>
        <v>Upstream</v>
      </c>
      <c r="DL92">
        <f>IF(DE92=1,DL$7,0)</f>
        <v>0</v>
      </c>
      <c r="DM92">
        <f>IF(DF92=1,DM$7,0)</f>
        <v>0</v>
      </c>
      <c r="DN92">
        <f>IF(DG92=1,DN$7,0)</f>
        <v>0</v>
      </c>
      <c r="DO92">
        <v>0</v>
      </c>
      <c r="DP92">
        <v>0</v>
      </c>
      <c r="DQ92"/>
      <c r="DR92"/>
      <c r="DS92"/>
      <c r="DT92">
        <f>SUM(DO92:DP92)</f>
        <v>0</v>
      </c>
      <c r="DU92" s="143" t="str">
        <f>IF(DO92=1,"self-calculated DF",IF(DP92=1,"external DF used","explicit C balance"))</f>
        <v>explicit C balance</v>
      </c>
      <c r="DV92">
        <v>1</v>
      </c>
      <c r="DW92">
        <v>1</v>
      </c>
      <c r="DX92">
        <v>1</v>
      </c>
      <c r="DY92">
        <v>0</v>
      </c>
      <c r="DZ92">
        <v>0</v>
      </c>
      <c r="EA92" s="143">
        <v>0</v>
      </c>
      <c r="EB92">
        <v>0</v>
      </c>
      <c r="EC92">
        <v>0</v>
      </c>
      <c r="ED92">
        <v>0</v>
      </c>
      <c r="EE92">
        <v>0</v>
      </c>
      <c r="EF92">
        <v>1</v>
      </c>
      <c r="EG92">
        <v>0</v>
      </c>
      <c r="EH92">
        <v>0</v>
      </c>
      <c r="EI92" s="2">
        <v>0</v>
      </c>
      <c r="EJ92" s="1"/>
      <c r="EK92" t="str">
        <f>IF(AND(AND(AND(OR($DX92=1,$DW92=1),OR($EC92=1,$EA92=1)),SUM($DV92:$DZ92,$EF92)&gt;=4),SUM($EA92:$EE92)&gt;=2),"Whole sector","")</f>
        <v/>
      </c>
      <c r="EL92" t="str">
        <f>IF(AND(AND(OR($DX92=1,$DW92=1),AND($EC92=0,$EA92=0)),SUM($DV92:$DZ92,$EF92)&gt;=4),"Ecosystem approach","")</f>
        <v>Ecosystem approach</v>
      </c>
      <c r="EM92" s="2" t="str">
        <f>IF(AND(AND(AND($DX92=0,$DW92=0),OR($EC92=1,$EA92=1)),SUM($EB92:$EE92)&gt;=2),"Technology approach","")</f>
        <v/>
      </c>
      <c r="EN92" t="s">
        <v>2485</v>
      </c>
      <c r="EO92"/>
      <c r="EP92" t="str">
        <f>IF(ISNUMBER(BU92),IF(ABS(BU92-[1]QC_indicators!$B$2)&gt;3*[1]QC_indicators!$C$2,"C ratio",IF(ISNUMBER(BY92),IF(ABS(BY92-[1]QC_indicators!$B$1)&gt;3*[1]QC_indicators!$C$1,"DF","no"))),IF(ISNUMBER(BY92),IF(ABS(BY92-[1]QC_indicators!$B$1)&gt;3*[1]QC_indicators!$C$1,"DF","no")))</f>
        <v>no</v>
      </c>
      <c r="EQ92"/>
      <c r="ER92"/>
      <c r="ES92"/>
      <c r="ET92" s="264" t="s">
        <v>3254</v>
      </c>
      <c r="EU92"/>
    </row>
    <row r="93" spans="1:151" s="139" customFormat="1" ht="15" customHeight="1">
      <c r="A93" s="1" t="s">
        <v>1360</v>
      </c>
      <c r="B93" t="s">
        <v>2135</v>
      </c>
      <c r="C93" t="s">
        <v>2136</v>
      </c>
      <c r="D93" t="s">
        <v>2137</v>
      </c>
      <c r="E93" t="s">
        <v>2138</v>
      </c>
      <c r="F93" t="s">
        <v>2139</v>
      </c>
      <c r="G93" t="s">
        <v>1366</v>
      </c>
      <c r="H93" t="s">
        <v>254</v>
      </c>
      <c r="I93">
        <v>2012</v>
      </c>
      <c r="J93">
        <v>21</v>
      </c>
      <c r="K93" t="s">
        <v>2140</v>
      </c>
      <c r="L93" s="192"/>
      <c r="M93" t="str">
        <f>LEFT($D93,FIND(",",$D93)-1)&amp;"_"&amp;I93&amp;L93</f>
        <v>Pyorala_2012</v>
      </c>
      <c r="N93" t="s">
        <v>222</v>
      </c>
      <c r="O93" s="145" t="s">
        <v>341</v>
      </c>
      <c r="P93" s="180" t="s">
        <v>223</v>
      </c>
      <c r="Q93" s="264" t="s">
        <v>256</v>
      </c>
      <c r="R93" s="269" t="s">
        <v>1154</v>
      </c>
      <c r="S93" s="263" t="s">
        <v>2141</v>
      </c>
      <c r="T93" s="264" t="s">
        <v>2142</v>
      </c>
      <c r="U93" s="264" t="s">
        <v>2143</v>
      </c>
      <c r="V93">
        <v>0</v>
      </c>
      <c r="W93">
        <v>0</v>
      </c>
      <c r="X93">
        <v>0</v>
      </c>
      <c r="Y93">
        <v>1</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s="141">
        <f>COUNTIF(V93:AW93,"&lt;&gt;0")</f>
        <v>1</v>
      </c>
      <c r="AY93" s="141">
        <f>COUNTIF(V93:AL93,"&lt;&gt;0")</f>
        <v>1</v>
      </c>
      <c r="AZ93">
        <f>COUNTIF(V93:AC93,"&lt;&gt;0")</f>
        <v>1</v>
      </c>
      <c r="BA93">
        <f>COUNTIF(AD93:AI93,"&lt;&gt;0")</f>
        <v>0</v>
      </c>
      <c r="BB93">
        <f>COUNTIF(AJ93:AL93,"&lt;&gt;0")</f>
        <v>0</v>
      </c>
      <c r="BC93">
        <f>COUNTIF(AS93:AW93,"&lt;&gt;0")</f>
        <v>0</v>
      </c>
      <c r="BD93">
        <f>COUNTIF(AM93:AR93,"&lt;&gt;0")</f>
        <v>0</v>
      </c>
      <c r="BE93" t="str" cm="1">
        <f t="array" ref="BE93">IF(AY93=1,INDEX($V$7:$AL$7,MATCH(TRUE,INDEX($V93:$AW93&lt;&gt;0,),0)),IF(AY93=0,INDEX($AM$7:$AW$7,MATCH(1,$AM93:$AW93,0)),IF(BF93="Multiple strategies","mixed drivers",IF(BF93="Supply chain","multiple supply","multiple silviculture"))))</f>
        <v xml:space="preserve">cutting intensity </v>
      </c>
      <c r="BF93" s="2" t="str" cm="1">
        <f t="array" ref="BF93">IF(COUNTIF(AZ93:BB93,"&lt;&gt;0")=1,INDEX($V$4:$AW$4,MATCH(TRUE,INDEX($V93:$AW93&lt;&gt;0,),0)),IF(COUNTIF(AZ93:BB93,"&lt;&gt;0")=0,INDEX($AM$4:$AW$4,MATCH(1,$AM93:$AW93,0)),"Multiple strategies"))</f>
        <v>Silviculture for removals</v>
      </c>
      <c r="BG93" s="178" t="s">
        <v>321</v>
      </c>
      <c r="BH93" s="264" t="s">
        <v>2144</v>
      </c>
      <c r="BI93" s="264" t="s">
        <v>426</v>
      </c>
      <c r="BJ93" s="160" t="s">
        <v>700</v>
      </c>
      <c r="BK93">
        <v>8.3000000000000007</v>
      </c>
      <c r="BL93">
        <v>8.4</v>
      </c>
      <c r="BM93"/>
      <c r="BN93">
        <f>BL93-BK93</f>
        <v>9.9999999999999645E-2</v>
      </c>
      <c r="BO93">
        <f>BN93</f>
        <v>9.9999999999999645E-2</v>
      </c>
      <c r="BP93" s="155" t="s">
        <v>395</v>
      </c>
      <c r="BQ93" s="335" t="s">
        <v>783</v>
      </c>
      <c r="BR93" s="155" t="s">
        <v>279</v>
      </c>
      <c r="BS93">
        <v>0.9</v>
      </c>
      <c r="BT93">
        <v>1.1000000000000001</v>
      </c>
      <c r="BU93" s="144"/>
      <c r="BV93">
        <f>BT93-BS93</f>
        <v>0.20000000000000007</v>
      </c>
      <c r="BW93"/>
      <c r="BX93">
        <f>BV93</f>
        <v>0.20000000000000007</v>
      </c>
      <c r="BY93">
        <f>IFERROR(BX93/BO93,"")</f>
        <v>2.000000000000008</v>
      </c>
      <c r="BZ93">
        <v>0</v>
      </c>
      <c r="CA93">
        <v>0</v>
      </c>
      <c r="CB93">
        <v>0</v>
      </c>
      <c r="CC93">
        <v>0</v>
      </c>
      <c r="CD93">
        <v>0</v>
      </c>
      <c r="CE93">
        <v>0</v>
      </c>
      <c r="CF93">
        <v>0</v>
      </c>
      <c r="CG93">
        <v>0</v>
      </c>
      <c r="CH93">
        <v>0</v>
      </c>
      <c r="CI93">
        <v>0</v>
      </c>
      <c r="CJ93">
        <v>0</v>
      </c>
      <c r="CK93">
        <v>0</v>
      </c>
      <c r="CL93">
        <v>0</v>
      </c>
      <c r="CM93">
        <v>0</v>
      </c>
      <c r="CN93" t="str">
        <f>IF($BL93&lt;$BK93,"refNeedCorrection","refOK")</f>
        <v>refOK</v>
      </c>
      <c r="CO93">
        <f>IF($CN93="refOK",$BK93,$BL93)</f>
        <v>8.3000000000000007</v>
      </c>
      <c r="CP93">
        <f>IF($CN93="refOK",$BL93,$BK93)</f>
        <v>8.4</v>
      </c>
      <c r="CQ93">
        <f>IF($CN93="refOK",$BO93,-$BO93)</f>
        <v>9.9999999999999645E-2</v>
      </c>
      <c r="CR93">
        <f>IF($CN93="refOK",$BS93,$BT93)*IF($BP93="Emissions positive",-1,1)</f>
        <v>-0.9</v>
      </c>
      <c r="CS93">
        <f>IF($CN93="refOK",$BT93,$BS93)*IF($BP93="Emissions positive",-1,1)</f>
        <v>-1.1000000000000001</v>
      </c>
      <c r="CT93">
        <f>IF($CN93="refNeedCorrection",-BX93,BX93)*IF($BP93="Emissions positive",-1,1)</f>
        <v>-0.20000000000000007</v>
      </c>
      <c r="CU93">
        <f>IFERROR(CT93/CQ93,"")</f>
        <v>-2.000000000000008</v>
      </c>
      <c r="CV93" s="2">
        <f>IFERROR((CS93-CR93)/ABS(CR93),"")</f>
        <v>-0.22222222222222229</v>
      </c>
      <c r="CW93" s="1" t="s">
        <v>1199</v>
      </c>
      <c r="CX93" s="264" t="str">
        <f>IF(OR($CW93="prd",$CW93="std",$CW93="cit"),"loc",IF(OR($CW93="eur",$CW93="reg",$CW93="coy"),"reg",$CW93))</f>
        <v>reg</v>
      </c>
      <c r="CY93" t="s">
        <v>235</v>
      </c>
      <c r="CZ93"/>
      <c r="DA93"/>
      <c r="DB93">
        <v>80</v>
      </c>
      <c r="DC93" t="str">
        <f>IF(DB93=0,"0",IF(AND(DB93&gt;=1,DB93&lt;=30),"1-30",IF(AND(DB93&gt;30,DB93&lt;=70),"31-70",IF(AND(DB93&gt;70,DB93&lt;=100),"71-100",IF(DB93&gt;100,"+100")))))</f>
        <v>71-100</v>
      </c>
      <c r="DD93">
        <v>0</v>
      </c>
      <c r="DE93">
        <v>1</v>
      </c>
      <c r="DF93">
        <v>1</v>
      </c>
      <c r="DG93">
        <v>1</v>
      </c>
      <c r="DH93"/>
      <c r="DI93">
        <f>SUM(DD93:DG93)</f>
        <v>3</v>
      </c>
      <c r="DJ93" t="str">
        <f>IF(DI93=1,INDEX($DD$7:$DG$7,MATCH(1,$DD93:$DG93,0)),"mixedProduct")</f>
        <v>mixedProduct</v>
      </c>
      <c r="DK93">
        <f>IF(DD93=1,DK$7,0)</f>
        <v>0</v>
      </c>
      <c r="DL93" t="str">
        <f>IF(DE93=1,DL$7,0)</f>
        <v>Energy</v>
      </c>
      <c r="DM93" t="str">
        <f>IF(DF93=1,DM$7,0)</f>
        <v>Pulp/Paper</v>
      </c>
      <c r="DN93" t="str">
        <f>IF(DG93=1,DN$7,0)</f>
        <v>Timber</v>
      </c>
      <c r="DO93">
        <v>0</v>
      </c>
      <c r="DP93">
        <v>1</v>
      </c>
      <c r="DQ93" t="s">
        <v>2146</v>
      </c>
      <c r="DR93">
        <v>0</v>
      </c>
      <c r="DS93">
        <v>0</v>
      </c>
      <c r="DT93">
        <f>SUM(DO93:DP93)</f>
        <v>1</v>
      </c>
      <c r="DU93" s="143" t="str">
        <f>IF(DO93=1,"self-calculated DF",IF(DP93=1,"external DF used","explicit C balance"))</f>
        <v>external DF used</v>
      </c>
      <c r="DV93">
        <v>1</v>
      </c>
      <c r="DW93">
        <v>1</v>
      </c>
      <c r="DX93">
        <v>1</v>
      </c>
      <c r="DY93">
        <v>0</v>
      </c>
      <c r="DZ93">
        <v>1</v>
      </c>
      <c r="EA93">
        <v>0</v>
      </c>
      <c r="EB93">
        <v>1</v>
      </c>
      <c r="EC93">
        <v>1</v>
      </c>
      <c r="ED93">
        <v>0</v>
      </c>
      <c r="EE93">
        <v>0</v>
      </c>
      <c r="EF93">
        <v>1</v>
      </c>
      <c r="EG93">
        <v>0</v>
      </c>
      <c r="EH93">
        <v>0</v>
      </c>
      <c r="EI93" s="2">
        <v>0</v>
      </c>
      <c r="EJ93" s="1"/>
      <c r="EK93" t="str">
        <f>IF(AND(AND(AND(OR($DX93=1,$DW93=1),OR($EC93=1,$EA93=1)),SUM($DV93:$DZ93,$EF93)&gt;=4),SUM($EA93:$EE93)&gt;=2),"Whole sector","")</f>
        <v>Whole sector</v>
      </c>
      <c r="EL93" t="str">
        <f>IF(AND(AND(OR($DX93=1,$DW93=1),AND($EC93=0,$EA93=0)),SUM($DV93:$DZ93,$EF93)&gt;=4),"Ecosystem approach","")</f>
        <v/>
      </c>
      <c r="EM93" s="2" t="str">
        <f>IF(AND(AND(AND($DX93=0,$DW93=0),OR($EC93=1,$EA93=1)),SUM($EB93:$EE93)&gt;=2),"Technology approach","")</f>
        <v/>
      </c>
      <c r="EN93"/>
      <c r="EO93"/>
      <c r="EP93" t="str">
        <f>IF(ISNUMBER(BU93),IF(ABS(BU93-[3]QC_indicators!$B$2)&gt;3*[3]QC_indicators!$C$2,"C ratio",IF(ISNUMBER(BY93),IF(ABS(BY93-[3]QC_indicators!$B$1)&gt;3*[3]QC_indicators!$C$1,"DF","no"))),IF(ISNUMBER(BY93),IF(ABS(BY93-[3]QC_indicators!$B$1)&gt;3*[3]QC_indicators!$C$1,"DF","no")))</f>
        <v>no</v>
      </c>
      <c r="EQ93"/>
      <c r="ER93"/>
      <c r="ES93"/>
      <c r="ET93" s="264" t="s">
        <v>3407</v>
      </c>
      <c r="EU93"/>
    </row>
    <row r="94" spans="1:151" s="139" customFormat="1" ht="15" customHeight="1">
      <c r="A94" s="1" t="s">
        <v>1972</v>
      </c>
      <c r="B94" t="s">
        <v>2445</v>
      </c>
      <c r="C94" t="s">
        <v>2446</v>
      </c>
      <c r="D94" t="s">
        <v>2447</v>
      </c>
      <c r="E94" t="s">
        <v>2448</v>
      </c>
      <c r="F94" t="s">
        <v>2449</v>
      </c>
      <c r="G94" t="s">
        <v>1978</v>
      </c>
      <c r="H94" t="s">
        <v>254</v>
      </c>
      <c r="I94">
        <v>2018</v>
      </c>
      <c r="J94">
        <v>8</v>
      </c>
      <c r="K94" t="s">
        <v>2450</v>
      </c>
      <c r="L94"/>
      <c r="M94" t="str">
        <f>LEFT($D94,FIND(",",$D94)-1)&amp;"_"&amp;I94&amp;L94</f>
        <v>Valade_2018</v>
      </c>
      <c r="N94" t="s">
        <v>222</v>
      </c>
      <c r="O94" s="145" t="s">
        <v>1154</v>
      </c>
      <c r="P94"/>
      <c r="Q94" t="s">
        <v>256</v>
      </c>
      <c r="R94" s="255" t="s">
        <v>225</v>
      </c>
      <c r="S94" s="1" t="s">
        <v>2454</v>
      </c>
      <c r="T94" t="s">
        <v>2444</v>
      </c>
      <c r="U94" t="s">
        <v>2455</v>
      </c>
      <c r="V94">
        <v>0</v>
      </c>
      <c r="W94">
        <v>0</v>
      </c>
      <c r="X94">
        <v>0</v>
      </c>
      <c r="Y94">
        <v>1</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s="141">
        <f>COUNTIF(V94:AW94,"&lt;&gt;0")</f>
        <v>1</v>
      </c>
      <c r="AY94" s="141">
        <f>COUNTIF(V94:AL94,"&lt;&gt;0")</f>
        <v>1</v>
      </c>
      <c r="AZ94">
        <f>COUNTIF(V94:AC94,"&lt;&gt;0")</f>
        <v>1</v>
      </c>
      <c r="BA94">
        <f>COUNTIF(AD94:AI94,"&lt;&gt;0")</f>
        <v>0</v>
      </c>
      <c r="BB94">
        <f>COUNTIF(AJ94:AL94,"&lt;&gt;0")</f>
        <v>0</v>
      </c>
      <c r="BC94">
        <f>COUNTIF(AS94:AW94,"&lt;&gt;0")</f>
        <v>0</v>
      </c>
      <c r="BD94">
        <f>COUNTIF(AM94:AR94,"&lt;&gt;0")</f>
        <v>0</v>
      </c>
      <c r="BE94" t="str">
        <f t="array" ref="BE94">IF(AY94=1,INDEX($V$7:$AL$7,MATCH(TRUE,INDEX($V94:$AW94&lt;&gt;0,),0)),IF(AY94=0,INDEX($AM$7:$AW$7,MATCH(1,$AM94:$AW94,0)),IF(BF94="Multiple strategies","mixed drivers",IF(BF94="Supply chain","multiple supply","multiple silviculture"))))</f>
        <v xml:space="preserve">cutting intensity </v>
      </c>
      <c r="BF94" s="2" t="str" cm="1">
        <f t="array" ref="BF94">IF(COUNTIF(AZ94:BB94,"&lt;&gt;0")=1,INDEX($V$4:$AW$4,MATCH(TRUE,INDEX($V94:$AW94&lt;&gt;0,),0)),IF(COUNTIF(AZ94:BB94,"&lt;&gt;0")=0,INDEX($AM$4:$AW$4,MATCH(1,$AM94:$AW94,0)),"Multiple strategies"))</f>
        <v>Silviculture for removals</v>
      </c>
      <c r="BG94" s="1" t="s">
        <v>321</v>
      </c>
      <c r="BH94" t="s">
        <v>2453</v>
      </c>
      <c r="BI94" s="260" t="s">
        <v>3399</v>
      </c>
      <c r="BJ94" t="s">
        <v>1323</v>
      </c>
      <c r="BK94">
        <v>1168.5023099755704</v>
      </c>
      <c r="BL94">
        <v>1304.0435025027948</v>
      </c>
      <c r="BM94" s="143">
        <f>BL94/BK94</f>
        <v>1.1159956564656326</v>
      </c>
      <c r="BN94">
        <f>BL94-BK94</f>
        <v>135.54119252722444</v>
      </c>
      <c r="BO94">
        <f>BN94*10^6</f>
        <v>135541192.52722445</v>
      </c>
      <c r="BP94" t="s">
        <v>232</v>
      </c>
      <c r="BQ94" s="260" t="s">
        <v>3400</v>
      </c>
      <c r="BR94" t="s">
        <v>1359</v>
      </c>
      <c r="BS94">
        <v>268.62539996228497</v>
      </c>
      <c r="BT94">
        <v>195.10850099999999</v>
      </c>
      <c r="BU94" s="144">
        <f>IFERROR(BT94/BS94,"")</f>
        <v>0.7263218631871492</v>
      </c>
      <c r="BV94" s="144">
        <f>BT94-BS94</f>
        <v>-73.516898962284984</v>
      </c>
      <c r="BW94" s="144"/>
      <c r="BX94">
        <f>BV94*10^6*C_to_CO2</f>
        <v>-269807019.1915859</v>
      </c>
      <c r="BY94">
        <f>IFERROR(BX94/BO94,"")</f>
        <v>-1.9905905663135814</v>
      </c>
      <c r="BZ94">
        <v>0</v>
      </c>
      <c r="CA94">
        <v>0</v>
      </c>
      <c r="CB94">
        <v>0</v>
      </c>
      <c r="CC94">
        <v>0</v>
      </c>
      <c r="CD94">
        <v>0</v>
      </c>
      <c r="CE94">
        <v>0</v>
      </c>
      <c r="CF94">
        <v>0</v>
      </c>
      <c r="CG94">
        <v>0</v>
      </c>
      <c r="CH94">
        <v>0</v>
      </c>
      <c r="CI94">
        <v>0</v>
      </c>
      <c r="CJ94">
        <v>0</v>
      </c>
      <c r="CK94">
        <v>0</v>
      </c>
      <c r="CL94">
        <v>0</v>
      </c>
      <c r="CM94">
        <v>0</v>
      </c>
      <c r="CN94" t="str">
        <f>IF($BL94&lt;$BK94,"refNeedCorrection","refOK")</f>
        <v>refOK</v>
      </c>
      <c r="CO94">
        <f>IF($CN94="refNeedCorrection",BL94,BK94)</f>
        <v>1168.5023099755704</v>
      </c>
      <c r="CP94">
        <f>IF($CN94="refNeedCorrection",BK94,BL94)</f>
        <v>1304.0435025027948</v>
      </c>
      <c r="CQ94">
        <f>IF($CN94="refOK",$BO94,-$BO94)</f>
        <v>135541192.52722445</v>
      </c>
      <c r="CR94">
        <f>IF($CN94="refOK",$BS94,$BT94)*IF($BP94="Emissions positive",-1,1)</f>
        <v>268.62539996228497</v>
      </c>
      <c r="CS94">
        <f>IF($CN94="refOK",$BT94,$BS94)*IF($BP94="Emissions positive",-1,1)</f>
        <v>195.10850099999999</v>
      </c>
      <c r="CT94">
        <f>IF($CN94="refNeedCorrection",-BX94,BX94)*IF($BP94="Emissions positive",-1,1)</f>
        <v>-269807019.1915859</v>
      </c>
      <c r="CU94">
        <f>IFERROR(CT94/CQ94,"")</f>
        <v>-1.9905905663135814</v>
      </c>
      <c r="CV94" s="2">
        <f>IFERROR((CS94-CR94)/ABS(CR94),"")</f>
        <v>-0.27367813681285075</v>
      </c>
      <c r="CW94" s="1" t="s">
        <v>1203</v>
      </c>
      <c r="CX94" t="str">
        <f>IF(OR($CW94="prd",$CW94="std",$CW94="cit"),"loc",IF(OR($CW94="eur",$CW94="reg",$CW94="coy"),"reg",$CW94))</f>
        <v>reg</v>
      </c>
      <c r="CY94" t="s">
        <v>729</v>
      </c>
      <c r="CZ94">
        <v>2015</v>
      </c>
      <c r="DA94">
        <v>2040</v>
      </c>
      <c r="DB94">
        <f>DA94-CZ94</f>
        <v>25</v>
      </c>
      <c r="DC94" t="str">
        <f>IF(DB94=0,"0",IF(AND(DB94&gt;=1,DB94&lt;=30),"1-30",IF(AND(DB94&gt;30,DB94&lt;=70),"31-70",IF(AND(DB94&gt;70,DB94&lt;=100),"71-100",IF(DB94&gt;100,"+100")))))</f>
        <v>1-30</v>
      </c>
      <c r="DD94">
        <v>1</v>
      </c>
      <c r="DE94">
        <v>0</v>
      </c>
      <c r="DF94">
        <v>0</v>
      </c>
      <c r="DG94">
        <v>0</v>
      </c>
      <c r="DH94"/>
      <c r="DI94">
        <f>SUM(DD94:DG94)</f>
        <v>1</v>
      </c>
      <c r="DJ94" t="str">
        <f>IF(DI94=1,INDEX($DD$7:$DG$7,MATCH(1,$DD94:$DG94,0)),"mixedProduct")</f>
        <v>UpstreamInput</v>
      </c>
      <c r="DK94" t="str">
        <f>IF(DD94=1,DK$7,0)</f>
        <v>Upstream</v>
      </c>
      <c r="DL94">
        <f>IF(DE94=1,DL$7,0)</f>
        <v>0</v>
      </c>
      <c r="DM94">
        <f>IF(DF94=1,DM$7,0)</f>
        <v>0</v>
      </c>
      <c r="DN94">
        <f>IF(DG94=1,DN$7,0)</f>
        <v>0</v>
      </c>
      <c r="DO94">
        <v>0</v>
      </c>
      <c r="DP94">
        <v>0</v>
      </c>
      <c r="DQ94">
        <v>0</v>
      </c>
      <c r="DR94">
        <v>0</v>
      </c>
      <c r="DS94">
        <v>0</v>
      </c>
      <c r="DT94">
        <f>SUM(DO94:DP94)</f>
        <v>0</v>
      </c>
      <c r="DU94" s="143" t="str">
        <f>IF(DO94=1,"self-calculated DF",IF(DP94=1,"external DF used","explicit C balance"))</f>
        <v>explicit C balance</v>
      </c>
      <c r="DV94">
        <v>0</v>
      </c>
      <c r="DW94">
        <v>1</v>
      </c>
      <c r="DX94">
        <v>1</v>
      </c>
      <c r="DY94">
        <v>0</v>
      </c>
      <c r="DZ94">
        <v>0</v>
      </c>
      <c r="EA94" s="143">
        <v>0</v>
      </c>
      <c r="EB94">
        <v>0</v>
      </c>
      <c r="EC94">
        <v>0</v>
      </c>
      <c r="ED94">
        <v>0</v>
      </c>
      <c r="EE94">
        <v>0</v>
      </c>
      <c r="EF94">
        <v>1</v>
      </c>
      <c r="EG94">
        <v>0</v>
      </c>
      <c r="EH94">
        <v>0</v>
      </c>
      <c r="EI94" s="2">
        <v>0</v>
      </c>
      <c r="EJ94" s="1"/>
      <c r="EK94" t="str">
        <f>IF(AND(AND(AND(OR($DX94=1,$DW94=1),OR($EC94=1,$EA94=1)),SUM($DV94:$DZ94,$EF94)&gt;=4),SUM($EA94:$EE94)&gt;=2),"Whole sector","")</f>
        <v/>
      </c>
      <c r="EL94" t="str">
        <f>IF(AND(AND(OR($DX94=1,$DW94=1),AND($EC94=0,$EA94=0)),SUM($DV94:$DZ94,$EF94)&gt;=4),"Ecosystem approach","")</f>
        <v/>
      </c>
      <c r="EM94" s="2" t="str">
        <f>IF(AND(AND(AND($DX94=0,$DW94=0),OR($EC94=1,$EA94=1)),SUM($EB94:$EE94)&gt;=2),"Technology approach","")</f>
        <v/>
      </c>
      <c r="EN94"/>
      <c r="EO94"/>
      <c r="EP94" t="str">
        <f>IF(ISNUMBER(BU94),IF(ABS(BU94-[4]QC_indicators!$B$2)&gt;3*[4]QC_indicators!$C$2,"C ratio",IF(ISNUMBER(BY94),IF(ABS(BY94-[4]QC_indicators!$B$1)&gt;3*[4]QC_indicators!$C$1,"DF","no"))),IF(ISNUMBER(BY94),IF(ABS(BY94-[4]QC_indicators!$B$1)&gt;3*[4]QC_indicators!$C$1,"DF","no")))</f>
        <v>no</v>
      </c>
      <c r="EQ94" t="s">
        <v>2378</v>
      </c>
      <c r="ER94"/>
      <c r="ES94"/>
      <c r="ET94" s="264" t="s">
        <v>3273</v>
      </c>
      <c r="EU94"/>
    </row>
    <row r="95" spans="1:151" s="139" customFormat="1" ht="15" customHeight="1">
      <c r="A95" s="1" t="s">
        <v>1378</v>
      </c>
      <c r="B95" t="s">
        <v>1379</v>
      </c>
      <c r="C95" t="s">
        <v>1380</v>
      </c>
      <c r="D95" t="s">
        <v>1381</v>
      </c>
      <c r="E95" t="s">
        <v>1382</v>
      </c>
      <c r="F95" t="s">
        <v>1383</v>
      </c>
      <c r="G95" t="s">
        <v>1384</v>
      </c>
      <c r="H95" t="s">
        <v>254</v>
      </c>
      <c r="I95">
        <v>2021</v>
      </c>
      <c r="J95">
        <v>0</v>
      </c>
      <c r="K95" t="s">
        <v>1385</v>
      </c>
      <c r="L95"/>
      <c r="M95" t="str">
        <f>LEFT($D95,FIND(",",$D95)-1)&amp;"_"&amp;I95&amp;L95</f>
        <v>Delacote_2021</v>
      </c>
      <c r="N95" t="s">
        <v>222</v>
      </c>
      <c r="O95" s="145" t="s">
        <v>223</v>
      </c>
      <c r="P95"/>
      <c r="Q95" s="264" t="s">
        <v>256</v>
      </c>
      <c r="R95" s="269" t="s">
        <v>1154</v>
      </c>
      <c r="S95" s="1" t="s">
        <v>1390</v>
      </c>
      <c r="T95" t="s">
        <v>1391</v>
      </c>
      <c r="U95" t="s">
        <v>1387</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1</v>
      </c>
      <c r="AU95">
        <v>0</v>
      </c>
      <c r="AV95">
        <v>0</v>
      </c>
      <c r="AW95">
        <v>0</v>
      </c>
      <c r="AX95" s="141">
        <f>COUNTIF(V95:AW95,"&lt;&gt;0")</f>
        <v>1</v>
      </c>
      <c r="AY95" s="141">
        <f>COUNTIF(V95:AL95,"&lt;&gt;0")</f>
        <v>0</v>
      </c>
      <c r="AZ95">
        <f>COUNTIF(V95:AC95,"&lt;&gt;0")</f>
        <v>0</v>
      </c>
      <c r="BA95">
        <f>COUNTIF(AD95:AI95,"&lt;&gt;0")</f>
        <v>0</v>
      </c>
      <c r="BB95">
        <f>COUNTIF(AJ95:AL95,"&lt;&gt;0")</f>
        <v>0</v>
      </c>
      <c r="BC95">
        <f>COUNTIF(AS95:AW95,"&lt;&gt;0")</f>
        <v>1</v>
      </c>
      <c r="BD95">
        <f>COUNTIF(AM95:AR95,"&lt;&gt;0")</f>
        <v>0</v>
      </c>
      <c r="BE95" t="str" cm="1">
        <f t="array" ref="BE95">IF(AY95=1,INDEX($V$7:$AL$7,MATCH(TRUE,INDEX($V95:$AW95&lt;&gt;0,),0)),IF(AY95=0,INDEX($AM$7:$AW$7,MATCH(1,$AM95:$AW95,0)),IF(BF95="Multiple strategies","mixed drivers",IF(BF95="Supply chain","multiple supply","multiple silviculture"))))</f>
        <v>gdp, population</v>
      </c>
      <c r="BF95" s="2" t="str" cm="1">
        <f t="array" ref="BF95">IF(COUNTIF(AZ95:BB95,"&lt;&gt;0")=1,INDEX($V$4:$AW$4,MATCH(TRUE,INDEX($V95:$AW95&lt;&gt;0,),0)),IF(COUNTIF(AZ95:BB95,"&lt;&gt;0")=0,INDEX($AM$4:$AW$4,MATCH(1,$AM95:$AW95,0)),"Multiple strategies"))</f>
        <v>Demand</v>
      </c>
      <c r="BG95" s="1" t="s">
        <v>321</v>
      </c>
      <c r="BH95" t="s">
        <v>1297</v>
      </c>
      <c r="BI95"/>
      <c r="BJ95" t="s">
        <v>1214</v>
      </c>
      <c r="BK95">
        <f>BL95*(1-0.06/100)</f>
        <v>58.243033199999999</v>
      </c>
      <c r="BL95">
        <v>58.277999999999999</v>
      </c>
      <c r="BM95">
        <f>BK95/BL95</f>
        <v>0.99939999999999996</v>
      </c>
      <c r="BN95">
        <f>BL95-BK95</f>
        <v>3.4966799999999409E-2</v>
      </c>
      <c r="BO95">
        <f>BN95*10^6</f>
        <v>34966.799999999406</v>
      </c>
      <c r="BP95" t="s">
        <v>232</v>
      </c>
      <c r="BQ95"/>
      <c r="BR95" t="s">
        <v>1230</v>
      </c>
      <c r="BS95">
        <f>BT95*(1+0.08/100)</f>
        <v>86.469120000000004</v>
      </c>
      <c r="BT95">
        <v>86.4</v>
      </c>
      <c r="BU95" s="144">
        <f>IFERROR(BT95/BS95,"")</f>
        <v>0.99920063948840931</v>
      </c>
      <c r="BV95">
        <f>BT95-BS95</f>
        <v>-6.9119999999998072E-2</v>
      </c>
      <c r="BW95"/>
      <c r="BX95">
        <f>BV95*10^6</f>
        <v>-69119.999999998079</v>
      </c>
      <c r="BY95">
        <f>IFERROR(BX95/BO95,"")</f>
        <v>-1.9767322145577877</v>
      </c>
      <c r="BZ95">
        <v>0</v>
      </c>
      <c r="CA95">
        <v>0</v>
      </c>
      <c r="CB95">
        <v>0</v>
      </c>
      <c r="CC95">
        <v>0</v>
      </c>
      <c r="CD95">
        <v>0</v>
      </c>
      <c r="CE95">
        <v>0</v>
      </c>
      <c r="CF95">
        <v>0</v>
      </c>
      <c r="CG95">
        <v>0</v>
      </c>
      <c r="CH95">
        <v>0</v>
      </c>
      <c r="CI95">
        <v>0</v>
      </c>
      <c r="CJ95">
        <v>0</v>
      </c>
      <c r="CK95">
        <v>0</v>
      </c>
      <c r="CL95">
        <v>0</v>
      </c>
      <c r="CM95">
        <v>1</v>
      </c>
      <c r="CN95" t="str">
        <f>IF($BL95&lt;$BK95,"refNeedCorrection","refOK")</f>
        <v>refOK</v>
      </c>
      <c r="CO95">
        <f>IF($CN95="refOK",$BK95,$BL95)</f>
        <v>58.243033199999999</v>
      </c>
      <c r="CP95">
        <f>IF($CN95="refOK",$BL95,$BK95)</f>
        <v>58.277999999999999</v>
      </c>
      <c r="CQ95">
        <f>IF($CN95="refOK",$BO95,-$BO95)</f>
        <v>34966.799999999406</v>
      </c>
      <c r="CR95">
        <f>IF($CN95="refOK",$BS95,$BT95)*IF($BP95="Emissions positive",-1,1)</f>
        <v>86.469120000000004</v>
      </c>
      <c r="CS95">
        <f>IF($CN95="refOK",$BT95,$BS95)*IF($BP95="Emissions positive",-1,1)</f>
        <v>86.4</v>
      </c>
      <c r="CT95">
        <f>IF($CN95="refNeedCorrection",-BX95,BX95)*IF($BP95="Emissions positive",-1,1)</f>
        <v>-69119.999999998079</v>
      </c>
      <c r="CU95">
        <f>IFERROR(CT95/CQ95,"")</f>
        <v>-1.9767322145577877</v>
      </c>
      <c r="CV95" s="2">
        <f>IFERROR((CS95-CR95)/ABS(CR95),"")</f>
        <v>-7.9936051159070506E-4</v>
      </c>
      <c r="CW95" s="1" t="s">
        <v>1203</v>
      </c>
      <c r="CX95" s="264" t="str">
        <f>IF(OR($CW95="prd",$CW95="std",$CW95="cit"),"loc",IF(OR($CW95="eur",$CW95="reg",$CW95="coy"),"reg",$CW95))</f>
        <v>reg</v>
      </c>
      <c r="CY95" t="s">
        <v>729</v>
      </c>
      <c r="CZ95">
        <v>2015</v>
      </c>
      <c r="DA95">
        <v>2100</v>
      </c>
      <c r="DB95">
        <f>DA95-CZ95</f>
        <v>85</v>
      </c>
      <c r="DC95" t="str">
        <f>IF(DB95=0,"0",IF(AND(DB95&gt;=1,DB95&lt;=30),"1-30",IF(AND(DB95&gt;30,DB95&lt;=70),"31-70",IF(AND(DB95&gt;70,DB95&lt;=100),"71-100",IF(DB95&gt;100,"+100")))))</f>
        <v>71-100</v>
      </c>
      <c r="DD95">
        <v>0</v>
      </c>
      <c r="DE95">
        <v>1</v>
      </c>
      <c r="DF95">
        <v>1</v>
      </c>
      <c r="DG95">
        <v>1</v>
      </c>
      <c r="DH95"/>
      <c r="DI95">
        <f>SUM(DD95:DG95)</f>
        <v>3</v>
      </c>
      <c r="DJ95" t="str">
        <f>IF(DI95=1,INDEX($DD$7:$DG$7,MATCH(1,$DD95:$DG95,0)),"mixedProduct")</f>
        <v>mixedProduct</v>
      </c>
      <c r="DK95">
        <f>IF(DD95=1,DK$7,0)</f>
        <v>0</v>
      </c>
      <c r="DL95" t="str">
        <f>IF(DE95=1,DL$7,0)</f>
        <v>Energy</v>
      </c>
      <c r="DM95" t="str">
        <f>IF(DF95=1,DM$7,0)</f>
        <v>Pulp/Paper</v>
      </c>
      <c r="DN95" t="str">
        <f>IF(DG95=1,DN$7,0)</f>
        <v>Timber</v>
      </c>
      <c r="DO95">
        <v>0</v>
      </c>
      <c r="DP95">
        <v>1</v>
      </c>
      <c r="DQ95" t="s">
        <v>1389</v>
      </c>
      <c r="DR95" t="s">
        <v>1389</v>
      </c>
      <c r="DS95" t="s">
        <v>1389</v>
      </c>
      <c r="DT95">
        <f>SUM(DO95:DP95)</f>
        <v>1</v>
      </c>
      <c r="DU95" s="143" t="str">
        <f>IF(DO95=1,"self-calculated DF",IF(DP95=1,"external DF used","explicit C balance"))</f>
        <v>external DF used</v>
      </c>
      <c r="DV95">
        <v>0</v>
      </c>
      <c r="DW95">
        <v>1</v>
      </c>
      <c r="DX95">
        <v>1</v>
      </c>
      <c r="DY95">
        <v>1</v>
      </c>
      <c r="DZ95">
        <v>0</v>
      </c>
      <c r="EA95">
        <v>1</v>
      </c>
      <c r="EB95">
        <v>1</v>
      </c>
      <c r="EC95">
        <v>1</v>
      </c>
      <c r="ED95">
        <v>0</v>
      </c>
      <c r="EE95">
        <v>0</v>
      </c>
      <c r="EF95">
        <v>1</v>
      </c>
      <c r="EG95">
        <v>0</v>
      </c>
      <c r="EH95">
        <v>1</v>
      </c>
      <c r="EI95" s="2">
        <v>1</v>
      </c>
      <c r="EJ95" s="1"/>
      <c r="EK95" t="str">
        <f>IF(AND(AND(AND(OR($DX95=1,$DW95=1),OR($EC95=1,$EA95=1)),SUM($DV95:$DZ95,$EF95)&gt;=4),SUM($EA95:$EE95)&gt;=2),"Whole sector","")</f>
        <v>Whole sector</v>
      </c>
      <c r="EL95" t="str">
        <f>IF(AND(AND(OR($DX95=1,$DW95=1),AND($EC95=0,$EA95=0)),SUM($DV95:$DZ95,$EF95)&gt;=4),"Ecosystem approach","")</f>
        <v/>
      </c>
      <c r="EM95" s="2" t="str">
        <f>IF(AND(AND(AND($DX95=0,$DW95=0),OR($EC95=1,$EA95=1)),SUM($EB95:$EE95)&gt;=2),"Technology approach","")</f>
        <v/>
      </c>
      <c r="EN95"/>
      <c r="EO95"/>
      <c r="EP95" t="str">
        <f>IF(ISNUMBER(BU95),IF(ABS(BU95-[3]QC_indicators!$B$2)&gt;3*[3]QC_indicators!$C$2,"C ratio",IF(ISNUMBER(BY95),IF(ABS(BY95-[3]QC_indicators!$B$1)&gt;3*[3]QC_indicators!$C$1,"DF","no"))),IF(ISNUMBER(BY95),IF(ABS(BY95-[3]QC_indicators!$B$1)&gt;3*[3]QC_indicators!$C$1,"DF","no")))</f>
        <v>no</v>
      </c>
      <c r="EQ95"/>
      <c r="ER95"/>
      <c r="ES95"/>
      <c r="ET95" s="264" t="s">
        <v>3407</v>
      </c>
      <c r="EU95"/>
    </row>
    <row r="96" spans="1:151" s="139" customFormat="1" ht="15" customHeight="1">
      <c r="A96" s="1" t="s">
        <v>1972</v>
      </c>
      <c r="B96" t="s">
        <v>2445</v>
      </c>
      <c r="C96" t="s">
        <v>2446</v>
      </c>
      <c r="D96" t="s">
        <v>2447</v>
      </c>
      <c r="E96" t="s">
        <v>2448</v>
      </c>
      <c r="F96" t="s">
        <v>2449</v>
      </c>
      <c r="G96" t="s">
        <v>1978</v>
      </c>
      <c r="H96" t="s">
        <v>254</v>
      </c>
      <c r="I96">
        <v>2018</v>
      </c>
      <c r="J96">
        <v>8</v>
      </c>
      <c r="K96" t="s">
        <v>2450</v>
      </c>
      <c r="L96"/>
      <c r="M96" t="str">
        <f>LEFT($D96,FIND(",",$D96)-1)&amp;"_"&amp;I96&amp;L96</f>
        <v>Valade_2018</v>
      </c>
      <c r="N96" t="s">
        <v>222</v>
      </c>
      <c r="O96" s="145" t="s">
        <v>1154</v>
      </c>
      <c r="P96"/>
      <c r="Q96" t="s">
        <v>256</v>
      </c>
      <c r="R96" s="255" t="s">
        <v>225</v>
      </c>
      <c r="S96" s="1" t="s">
        <v>2451</v>
      </c>
      <c r="T96" t="s">
        <v>2444</v>
      </c>
      <c r="U96" t="s">
        <v>2452</v>
      </c>
      <c r="V96">
        <v>1</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s="141">
        <f>COUNTIF(V96:AW96,"&lt;&gt;0")</f>
        <v>1</v>
      </c>
      <c r="AY96" s="141">
        <f>COUNTIF(V96:AL96,"&lt;&gt;0")</f>
        <v>1</v>
      </c>
      <c r="AZ96">
        <f>COUNTIF(V96:AC96,"&lt;&gt;0")</f>
        <v>1</v>
      </c>
      <c r="BA96">
        <f>COUNTIF(AD96:AI96,"&lt;&gt;0")</f>
        <v>0</v>
      </c>
      <c r="BB96">
        <f>COUNTIF(AJ96:AL96,"&lt;&gt;0")</f>
        <v>0</v>
      </c>
      <c r="BC96">
        <f>COUNTIF(AS96:AW96,"&lt;&gt;0")</f>
        <v>0</v>
      </c>
      <c r="BD96">
        <f>COUNTIF(AM96:AR96,"&lt;&gt;0")</f>
        <v>0</v>
      </c>
      <c r="BE96" t="str">
        <f t="array" ref="BE96">IF(AY96=1,INDEX($V$7:$AL$7,MATCH(TRUE,INDEX($V96:$AW96&lt;&gt;0,),0)),IF(AY96=0,INDEX($AM$7:$AW$7,MATCH(1,$AM96:$AW96,0)),IF(BF96="Multiple strategies","mixed drivers",IF(BF96="Supply chain","multiple supply","multiple silviculture"))))</f>
        <v>area subject to harvest</v>
      </c>
      <c r="BF96" s="2" t="str" cm="1">
        <f t="array" ref="BF96">IF(COUNTIF(AZ96:BB96,"&lt;&gt;0")=1,INDEX($V$4:$AW$4,MATCH(TRUE,INDEX($V96:$AW96&lt;&gt;0,),0)),IF(COUNTIF(AZ96:BB96,"&lt;&gt;0")=0,INDEX($AM$4:$AW$4,MATCH(1,$AM96:$AW96,0)),"Multiple strategies"))</f>
        <v>Silviculture for removals</v>
      </c>
      <c r="BG96" s="1" t="s">
        <v>321</v>
      </c>
      <c r="BH96" t="s">
        <v>2453</v>
      </c>
      <c r="BI96" s="260" t="s">
        <v>3399</v>
      </c>
      <c r="BJ96" t="s">
        <v>1323</v>
      </c>
      <c r="BK96">
        <v>1168.5023099755704</v>
      </c>
      <c r="BL96">
        <v>1547.3378240138293</v>
      </c>
      <c r="BM96" s="143">
        <f>BL96/BK96</f>
        <v>1.3242060463245291</v>
      </c>
      <c r="BN96">
        <f>BL96-BK96</f>
        <v>378.83551403825891</v>
      </c>
      <c r="BO96">
        <f>BN96*10^6</f>
        <v>378835514.03825891</v>
      </c>
      <c r="BP96" t="s">
        <v>232</v>
      </c>
      <c r="BQ96" s="260" t="s">
        <v>3400</v>
      </c>
      <c r="BR96" t="s">
        <v>1359</v>
      </c>
      <c r="BS96">
        <v>268.62539996228497</v>
      </c>
      <c r="BT96">
        <v>65.981368000000003</v>
      </c>
      <c r="BU96" s="144">
        <f>IFERROR(BT96/BS96,"")</f>
        <v>0.24562594605448254</v>
      </c>
      <c r="BV96" s="144">
        <f>BT96-BS96</f>
        <v>-202.64403196228497</v>
      </c>
      <c r="BW96" s="144"/>
      <c r="BX96">
        <f>BV96*10^6*C_to_CO2</f>
        <v>-743703597.30158591</v>
      </c>
      <c r="BY96">
        <f>IFERROR(BX96/BO96,"")</f>
        <v>-1.9631306193391327</v>
      </c>
      <c r="BZ96">
        <v>0</v>
      </c>
      <c r="CA96">
        <v>0</v>
      </c>
      <c r="CB96">
        <v>0</v>
      </c>
      <c r="CC96">
        <v>0</v>
      </c>
      <c r="CD96">
        <v>0</v>
      </c>
      <c r="CE96">
        <v>0</v>
      </c>
      <c r="CF96">
        <v>0</v>
      </c>
      <c r="CG96">
        <v>0</v>
      </c>
      <c r="CH96">
        <v>0</v>
      </c>
      <c r="CI96">
        <v>0</v>
      </c>
      <c r="CJ96">
        <v>0</v>
      </c>
      <c r="CK96">
        <v>0</v>
      </c>
      <c r="CL96">
        <v>0</v>
      </c>
      <c r="CM96">
        <v>0</v>
      </c>
      <c r="CN96" t="str">
        <f>IF($BL96&lt;$BK96,"refNeedCorrection","refOK")</f>
        <v>refOK</v>
      </c>
      <c r="CO96">
        <f>IF($CN96="refNeedCorrection",BL96,BK96)</f>
        <v>1168.5023099755704</v>
      </c>
      <c r="CP96">
        <f>IF($CN96="refNeedCorrection",BK96,BL96)</f>
        <v>1547.3378240138293</v>
      </c>
      <c r="CQ96">
        <f>IF($CN96="refOK",$BO96,-$BO96)</f>
        <v>378835514.03825891</v>
      </c>
      <c r="CR96">
        <f>IF($CN96="refOK",$BS96,$BT96)*IF($BP96="Emissions positive",-1,1)</f>
        <v>268.62539996228497</v>
      </c>
      <c r="CS96">
        <f>IF($CN96="refOK",$BT96,$BS96)*IF($BP96="Emissions positive",-1,1)</f>
        <v>65.981368000000003</v>
      </c>
      <c r="CT96">
        <f>IF($CN96="refNeedCorrection",-BX96,BX96)*IF($BP96="Emissions positive",-1,1)</f>
        <v>-743703597.30158591</v>
      </c>
      <c r="CU96">
        <f>IFERROR(CT96/CQ96,"")</f>
        <v>-1.9631306193391327</v>
      </c>
      <c r="CV96" s="2">
        <f>IFERROR((CS96-CR96)/ABS(CR96),"")</f>
        <v>-0.75437405394551749</v>
      </c>
      <c r="CW96" s="1" t="s">
        <v>1203</v>
      </c>
      <c r="CX96" t="str">
        <f>IF(OR($CW96="prd",$CW96="std",$CW96="cit"),"loc",IF(OR($CW96="eur",$CW96="reg",$CW96="coy"),"reg",$CW96))</f>
        <v>reg</v>
      </c>
      <c r="CY96" t="s">
        <v>729</v>
      </c>
      <c r="CZ96">
        <v>2015</v>
      </c>
      <c r="DA96">
        <v>2040</v>
      </c>
      <c r="DB96">
        <f>DA96-CZ96</f>
        <v>25</v>
      </c>
      <c r="DC96" t="str">
        <f>IF(DB96=0,"0",IF(AND(DB96&gt;=1,DB96&lt;=30),"1-30",IF(AND(DB96&gt;30,DB96&lt;=70),"31-70",IF(AND(DB96&gt;70,DB96&lt;=100),"71-100",IF(DB96&gt;100,"+100")))))</f>
        <v>1-30</v>
      </c>
      <c r="DD96">
        <v>1</v>
      </c>
      <c r="DE96">
        <v>0</v>
      </c>
      <c r="DF96">
        <v>0</v>
      </c>
      <c r="DG96">
        <v>0</v>
      </c>
      <c r="DH96"/>
      <c r="DI96">
        <f>SUM(DD96:DG96)</f>
        <v>1</v>
      </c>
      <c r="DJ96" t="str">
        <f>IF(DI96=1,INDEX($DD$7:$DG$7,MATCH(1,$DD96:$DG96,0)),"mixedProduct")</f>
        <v>UpstreamInput</v>
      </c>
      <c r="DK96" t="str">
        <f>IF(DD96=1,DK$7,0)</f>
        <v>Upstream</v>
      </c>
      <c r="DL96">
        <f>IF(DE96=1,DL$7,0)</f>
        <v>0</v>
      </c>
      <c r="DM96">
        <f>IF(DF96=1,DM$7,0)</f>
        <v>0</v>
      </c>
      <c r="DN96">
        <f>IF(DG96=1,DN$7,0)</f>
        <v>0</v>
      </c>
      <c r="DO96">
        <v>0</v>
      </c>
      <c r="DP96">
        <v>0</v>
      </c>
      <c r="DQ96">
        <v>0</v>
      </c>
      <c r="DR96">
        <v>0</v>
      </c>
      <c r="DS96">
        <v>0</v>
      </c>
      <c r="DT96">
        <f>SUM(DO96:DP96)</f>
        <v>0</v>
      </c>
      <c r="DU96" s="143" t="str">
        <f>IF(DO96=1,"self-calculated DF",IF(DP96=1,"external DF used","explicit C balance"))</f>
        <v>explicit C balance</v>
      </c>
      <c r="DV96">
        <v>0</v>
      </c>
      <c r="DW96">
        <v>1</v>
      </c>
      <c r="DX96">
        <v>1</v>
      </c>
      <c r="DY96">
        <v>0</v>
      </c>
      <c r="DZ96">
        <v>0</v>
      </c>
      <c r="EA96" s="143">
        <v>0</v>
      </c>
      <c r="EB96">
        <v>0</v>
      </c>
      <c r="EC96">
        <v>0</v>
      </c>
      <c r="ED96">
        <v>0</v>
      </c>
      <c r="EE96">
        <v>0</v>
      </c>
      <c r="EF96">
        <v>1</v>
      </c>
      <c r="EG96">
        <v>0</v>
      </c>
      <c r="EH96">
        <v>0</v>
      </c>
      <c r="EI96" s="2">
        <v>0</v>
      </c>
      <c r="EJ96" s="1"/>
      <c r="EK96" t="str">
        <f>IF(AND(AND(AND(OR($DX96=1,$DW96=1),OR($EC96=1,$EA96=1)),SUM($DV96:$DZ96,$EF96)&gt;=4),SUM($EA96:$EE96)&gt;=2),"Whole sector","")</f>
        <v/>
      </c>
      <c r="EL96" t="str">
        <f>IF(AND(AND(OR($DX96=1,$DW96=1),AND($EC96=0,$EA96=0)),SUM($DV96:$DZ96,$EF96)&gt;=4),"Ecosystem approach","")</f>
        <v/>
      </c>
      <c r="EM96" s="2" t="str">
        <f>IF(AND(AND(AND($DX96=0,$DW96=0),OR($EC96=1,$EA96=1)),SUM($EB96:$EE96)&gt;=2),"Technology approach","")</f>
        <v/>
      </c>
      <c r="EN96"/>
      <c r="EO96"/>
      <c r="EP96" t="str">
        <f>IF(ISNUMBER(BU96),IF(ABS(BU96-[4]QC_indicators!$B$2)&gt;3*[4]QC_indicators!$C$2,"C ratio",IF(ISNUMBER(BY96),IF(ABS(BY96-[4]QC_indicators!$B$1)&gt;3*[4]QC_indicators!$C$1,"DF","no"))),IF(ISNUMBER(BY96),IF(ABS(BY96-[4]QC_indicators!$B$1)&gt;3*[4]QC_indicators!$C$1,"DF","no")))</f>
        <v>no</v>
      </c>
      <c r="EQ96" t="s">
        <v>2378</v>
      </c>
      <c r="ER96"/>
      <c r="ES96"/>
      <c r="ET96" s="264" t="s">
        <v>3273</v>
      </c>
      <c r="EU96"/>
    </row>
    <row r="97" spans="1:151" s="139" customFormat="1" ht="18" customHeight="1">
      <c r="A97" s="1" t="s">
        <v>1760</v>
      </c>
      <c r="B97" t="s">
        <v>1761</v>
      </c>
      <c r="C97" t="s">
        <v>1762</v>
      </c>
      <c r="D97" t="s">
        <v>1763</v>
      </c>
      <c r="E97" t="s">
        <v>1764</v>
      </c>
      <c r="F97" t="s">
        <v>1765</v>
      </c>
      <c r="G97" t="s">
        <v>1766</v>
      </c>
      <c r="H97" t="s">
        <v>254</v>
      </c>
      <c r="I97">
        <v>2021</v>
      </c>
      <c r="J97">
        <v>6</v>
      </c>
      <c r="K97" t="s">
        <v>1767</v>
      </c>
      <c r="L97"/>
      <c r="M97" t="str">
        <f>LEFT($D97,FIND(",",$D97)-1)&amp;"_"&amp;I97&amp;L97</f>
        <v>Jonsson_2021</v>
      </c>
      <c r="N97" t="s">
        <v>222</v>
      </c>
      <c r="O97" s="145" t="s">
        <v>513</v>
      </c>
      <c r="P97"/>
      <c r="Q97" t="s">
        <v>256</v>
      </c>
      <c r="R97" s="2" t="s">
        <v>274</v>
      </c>
      <c r="S97" s="1" t="s">
        <v>1774</v>
      </c>
      <c r="T97" t="s">
        <v>1111</v>
      </c>
      <c r="U97" t="s">
        <v>1775</v>
      </c>
      <c r="V97">
        <v>0</v>
      </c>
      <c r="W97">
        <v>1</v>
      </c>
      <c r="X97">
        <v>0</v>
      </c>
      <c r="Y97">
        <v>0</v>
      </c>
      <c r="Z97">
        <v>0</v>
      </c>
      <c r="AA97">
        <v>0</v>
      </c>
      <c r="AB97">
        <v>0</v>
      </c>
      <c r="AC97">
        <v>0</v>
      </c>
      <c r="AD97">
        <v>0</v>
      </c>
      <c r="AE97">
        <v>0</v>
      </c>
      <c r="AF97">
        <v>2</v>
      </c>
      <c r="AG97">
        <v>0</v>
      </c>
      <c r="AH97">
        <v>0</v>
      </c>
      <c r="AI97">
        <v>0</v>
      </c>
      <c r="AJ97">
        <v>0</v>
      </c>
      <c r="AK97">
        <v>0</v>
      </c>
      <c r="AL97">
        <v>0</v>
      </c>
      <c r="AM97">
        <v>0</v>
      </c>
      <c r="AN97">
        <v>0</v>
      </c>
      <c r="AO97">
        <v>0</v>
      </c>
      <c r="AP97">
        <v>0</v>
      </c>
      <c r="AQ97">
        <v>0</v>
      </c>
      <c r="AR97">
        <v>0</v>
      </c>
      <c r="AS97">
        <v>0</v>
      </c>
      <c r="AT97">
        <v>0</v>
      </c>
      <c r="AU97">
        <v>0</v>
      </c>
      <c r="AV97">
        <v>0</v>
      </c>
      <c r="AW97">
        <v>0</v>
      </c>
      <c r="AX97" s="141">
        <f>COUNTIF(V97:AW97,"&lt;&gt;0")</f>
        <v>2</v>
      </c>
      <c r="AY97" s="141">
        <f>COUNTIF(V97:AL97,"&lt;&gt;0")</f>
        <v>2</v>
      </c>
      <c r="AZ97">
        <f>COUNTIF(V97:AC97,"&lt;&gt;0")</f>
        <v>1</v>
      </c>
      <c r="BA97">
        <f>COUNTIF(AD97:AI97,"&lt;&gt;0")</f>
        <v>1</v>
      </c>
      <c r="BB97">
        <f>COUNTIF(AJ97:AL97,"&lt;&gt;0")</f>
        <v>0</v>
      </c>
      <c r="BC97">
        <f>COUNTIF(AS97:AW97,"&lt;&gt;0")</f>
        <v>0</v>
      </c>
      <c r="BD97">
        <f>COUNTIF(AM97:AR97,"&lt;&gt;0")</f>
        <v>0</v>
      </c>
      <c r="BE97" t="str">
        <f t="array" ref="BE97">IF(AY97=1,INDEX($V$7:$AL$7,MATCH(TRUE,INDEX($V97:$AW97&lt;&gt;0,),0)),IF(AY97=0,INDEX($AM$7:$AW$7,MATCH(1,$AM97:$AW97,0)),IF(BF97="Multiple strategies","mixed drivers",IF(BF97="Supply chain","multiple supply","multiple silviculture"))))</f>
        <v>mixed drivers</v>
      </c>
      <c r="BF97" s="2" t="str" cm="1">
        <f t="array" ref="BF97">IF(COUNTIF(AZ97:BB97,"&lt;&gt;0")=1,INDEX($V$4:$AW$4,MATCH(TRUE,INDEX($V97:$AW97&lt;&gt;0,),0)),IF(COUNTIF(AZ97:BB97,"&lt;&gt;0")=0,INDEX($AM$4:$AW$4,MATCH(1,$AM97:$AW97,0)),"Multiple strategies"))</f>
        <v>Multiple strategies</v>
      </c>
      <c r="BG97" s="1" t="s">
        <v>229</v>
      </c>
      <c r="BH97" t="s">
        <v>229</v>
      </c>
      <c r="BI97" s="264" t="s">
        <v>2128</v>
      </c>
      <c r="BJ97" t="s">
        <v>1770</v>
      </c>
      <c r="BK97">
        <v>284950</v>
      </c>
      <c r="BL97">
        <v>333260</v>
      </c>
      <c r="BM97" t="e">
        <f>#REF!</f>
        <v>#REF!</v>
      </c>
      <c r="BN97">
        <f>BL97-BK97</f>
        <v>48310</v>
      </c>
      <c r="BO97">
        <f>BN97*1000</f>
        <v>48310000</v>
      </c>
      <c r="BP97" t="s">
        <v>232</v>
      </c>
      <c r="BQ97" t="s">
        <v>3269</v>
      </c>
      <c r="BR97" t="s">
        <v>1300</v>
      </c>
      <c r="BS97">
        <v>367</v>
      </c>
      <c r="BT97">
        <v>273</v>
      </c>
      <c r="BU97" s="144">
        <f>IFERROR(BT97/BS97,"")</f>
        <v>0.7438692098092643</v>
      </c>
      <c r="BV97">
        <f>BT97-BS97</f>
        <v>-94</v>
      </c>
      <c r="BW97"/>
      <c r="BX97">
        <f>BV97*10^6</f>
        <v>-94000000</v>
      </c>
      <c r="BY97">
        <f>IFERROR(BX97/BO97,"")</f>
        <v>-1.9457669219623266</v>
      </c>
      <c r="BZ97">
        <v>0</v>
      </c>
      <c r="CA97">
        <v>0</v>
      </c>
      <c r="CB97">
        <v>0</v>
      </c>
      <c r="CC97">
        <v>0</v>
      </c>
      <c r="CD97">
        <v>0</v>
      </c>
      <c r="CE97">
        <v>0</v>
      </c>
      <c r="CF97">
        <v>0</v>
      </c>
      <c r="CG97">
        <v>0</v>
      </c>
      <c r="CH97">
        <v>0</v>
      </c>
      <c r="CI97">
        <v>0</v>
      </c>
      <c r="CJ97">
        <v>0</v>
      </c>
      <c r="CK97">
        <v>0</v>
      </c>
      <c r="CL97">
        <v>0</v>
      </c>
      <c r="CM97">
        <v>1</v>
      </c>
      <c r="CN97" t="str">
        <f>IF($BL97&lt;$BK97,"refNeedCorrection","refOK")</f>
        <v>refOK</v>
      </c>
      <c r="CO97">
        <f>IF($CN97="refNeedCorrection",BL97,BK97)</f>
        <v>284950</v>
      </c>
      <c r="CP97">
        <f>IF($CN97="refNeedCorrection",BK97,BL97)</f>
        <v>333260</v>
      </c>
      <c r="CQ97">
        <f>IF($CN97="refOK",$BO97,-$BO97)</f>
        <v>48310000</v>
      </c>
      <c r="CR97">
        <f>IF($CN97="refOK",$BS97,$BT97)*IF($BP97="Emissions positive",-1,1)</f>
        <v>367</v>
      </c>
      <c r="CS97">
        <f>IF($CN97="refOK",$BT97,$BS97)*IF($BP97="Emissions positive",-1,1)</f>
        <v>273</v>
      </c>
      <c r="CT97">
        <f>IF($CN97="refNeedCorrection",-BX97,BX97)*IF($BP97="Emissions positive",-1,1)</f>
        <v>-94000000</v>
      </c>
      <c r="CU97">
        <f>IFERROR(CT97/CQ97,"")</f>
        <v>-1.9457669219623266</v>
      </c>
      <c r="CV97" s="2">
        <f>IFERROR((CS97-CR97)/ABS(CR97),"")</f>
        <v>-0.2561307901907357</v>
      </c>
      <c r="CW97" s="1" t="s">
        <v>1231</v>
      </c>
      <c r="CX97" t="str">
        <f>IF(OR($CW97="prd",$CW97="std",$CW97="cit"),"loc",IF(OR($CW97="eur",$CW97="reg",$CW97="coy"),"reg",$CW97))</f>
        <v>reg</v>
      </c>
      <c r="CY97" t="s">
        <v>743</v>
      </c>
      <c r="CZ97">
        <v>2000</v>
      </c>
      <c r="DA97">
        <v>2030</v>
      </c>
      <c r="DB97">
        <v>30</v>
      </c>
      <c r="DC97" t="str">
        <f>IF(DB97=0,"0",IF(AND(DB97&gt;=1,DB97&lt;=30),"1-30",IF(AND(DB97&gt;30,DB97&lt;=70),"31-70",IF(AND(DB97&gt;70,DB97&lt;=100),"71-100",IF(DB97&gt;100,"+100")))))</f>
        <v>1-30</v>
      </c>
      <c r="DD97">
        <v>0</v>
      </c>
      <c r="DE97">
        <v>1</v>
      </c>
      <c r="DF97">
        <v>0</v>
      </c>
      <c r="DG97">
        <v>1</v>
      </c>
      <c r="DH97">
        <v>1</v>
      </c>
      <c r="DI97">
        <f>SUM(DD97:DG97)</f>
        <v>2</v>
      </c>
      <c r="DJ97" t="str">
        <f>IF(DI97=1,INDEX($DD$7:$DG$7,MATCH(1,$DD97:$DG97,0)),"mixedProduct")</f>
        <v>mixedProduct</v>
      </c>
      <c r="DK97">
        <f>IF(DD97=1,DK$7,0)</f>
        <v>0</v>
      </c>
      <c r="DL97" t="str">
        <f>IF(DE97=1,DL$7,0)</f>
        <v>Energy</v>
      </c>
      <c r="DM97">
        <f>IF(DF97=1,DM$7,0)</f>
        <v>0</v>
      </c>
      <c r="DN97" t="str">
        <f>IF(DG97=1,DN$7,0)</f>
        <v>Timber</v>
      </c>
      <c r="DO97">
        <v>0</v>
      </c>
      <c r="DP97">
        <v>1</v>
      </c>
      <c r="DQ97" t="s">
        <v>1771</v>
      </c>
      <c r="DR97" t="s">
        <v>1771</v>
      </c>
      <c r="DS97">
        <v>0</v>
      </c>
      <c r="DT97">
        <f>SUM(DO97:DP97)</f>
        <v>1</v>
      </c>
      <c r="DU97" s="143" t="str">
        <f>IF(DO97=1,"self-calculated DF",IF(DP97=1,"external DF used","explicit C balance"))</f>
        <v>external DF used</v>
      </c>
      <c r="DV97">
        <v>1</v>
      </c>
      <c r="DW97">
        <v>0</v>
      </c>
      <c r="DX97">
        <v>1</v>
      </c>
      <c r="DY97">
        <v>1</v>
      </c>
      <c r="DZ97">
        <v>0</v>
      </c>
      <c r="EA97" s="143">
        <v>0</v>
      </c>
      <c r="EB97">
        <v>0</v>
      </c>
      <c r="EC97">
        <v>0</v>
      </c>
      <c r="ED97">
        <v>0</v>
      </c>
      <c r="EE97">
        <v>0</v>
      </c>
      <c r="EF97">
        <v>1</v>
      </c>
      <c r="EG97">
        <v>0</v>
      </c>
      <c r="EH97">
        <v>0</v>
      </c>
      <c r="EI97" s="2">
        <v>0</v>
      </c>
      <c r="EJ97" s="1" t="s">
        <v>1772</v>
      </c>
      <c r="EK97" t="str">
        <f>IF(AND(AND(AND(OR($DX97=1,$DW97=1),OR($EC97=1,$EA97=1)),SUM($DV97:$DZ97,$EF97)&gt;=4),SUM($EA97:$EE97)&gt;=2),"Whole sector","")</f>
        <v/>
      </c>
      <c r="EL97" t="str">
        <f>IF(AND(AND(OR($DX97=1,$DW97=1),AND($EC97=0,$EA97=0)),SUM($DV97:$DZ97,$EF97)&gt;=4),"Ecosystem approach","")</f>
        <v>Ecosystem approach</v>
      </c>
      <c r="EM97" s="2" t="str">
        <f>IF(AND(AND(AND($DX97=0,$DW97=0),OR($EC97=1,$EA97=1)),SUM($EB97:$EE97)&gt;=2),"Technology approach","")</f>
        <v/>
      </c>
      <c r="EN97"/>
      <c r="EO97"/>
      <c r="EP97" t="str">
        <f>IF(ISNUMBER(BU97),IF(ABS(BU97-[2]QC_indicators!$B$2)&gt;3*[2]QC_indicators!$C$2,"C ratio",IF(ISNUMBER(BY97),IF(ABS(BY97-[2]QC_indicators!$B$1)&gt;3*[2]QC_indicators!$C$1,"DF","no"))),IF(ISNUMBER(BY97),IF(ABS(BY97-[2]QC_indicators!$B$1)&gt;3*[2]QC_indicators!$C$1,"DF","no")))</f>
        <v>no</v>
      </c>
      <c r="EQ97"/>
      <c r="ER97"/>
      <c r="ES97"/>
      <c r="ET97" s="264" t="s">
        <v>3270</v>
      </c>
      <c r="EU97"/>
    </row>
    <row r="98" spans="1:151" s="139" customFormat="1" ht="18" customHeight="1">
      <c r="A98" s="1" t="s">
        <v>2114</v>
      </c>
      <c r="B98" t="s">
        <v>544</v>
      </c>
      <c r="C98" t="s">
        <v>2277</v>
      </c>
      <c r="D98" t="s">
        <v>2278</v>
      </c>
      <c r="E98" t="s">
        <v>2279</v>
      </c>
      <c r="F98" t="s">
        <v>2280</v>
      </c>
      <c r="G98" t="s">
        <v>2115</v>
      </c>
      <c r="H98" t="s">
        <v>254</v>
      </c>
      <c r="I98">
        <v>2014</v>
      </c>
      <c r="J98">
        <v>96</v>
      </c>
      <c r="K98" t="s">
        <v>2281</v>
      </c>
      <c r="L98"/>
      <c r="M98" t="str">
        <f>LEFT($D98,FIND(",",$D98)-1)&amp;"_"&amp;I98&amp;L98</f>
        <v>Smyth_2014</v>
      </c>
      <c r="N98" t="s">
        <v>222</v>
      </c>
      <c r="O98" s="145" t="s">
        <v>341</v>
      </c>
      <c r="P98"/>
      <c r="Q98" t="s">
        <v>256</v>
      </c>
      <c r="R98" s="262" t="s">
        <v>223</v>
      </c>
      <c r="S98" s="1" t="s">
        <v>2302</v>
      </c>
      <c r="T98" t="s">
        <v>1155</v>
      </c>
      <c r="U98" t="s">
        <v>2303</v>
      </c>
      <c r="V98">
        <v>0</v>
      </c>
      <c r="W98">
        <v>0</v>
      </c>
      <c r="X98">
        <v>0</v>
      </c>
      <c r="Y98">
        <v>1</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s="141">
        <f>COUNTIF(V98:AW98,"&lt;&gt;0")</f>
        <v>1</v>
      </c>
      <c r="AY98" s="141">
        <f>COUNTIF(V98:AL98,"&lt;&gt;0")</f>
        <v>1</v>
      </c>
      <c r="AZ98">
        <f>COUNTIF(V98:AC98,"&lt;&gt;0")</f>
        <v>1</v>
      </c>
      <c r="BA98">
        <f>COUNTIF(AD98:AI98,"&lt;&gt;0")</f>
        <v>0</v>
      </c>
      <c r="BB98">
        <f>COUNTIF(AJ98:AL98,"&lt;&gt;0")</f>
        <v>0</v>
      </c>
      <c r="BC98">
        <f>COUNTIF(AS98:AW98,"&lt;&gt;0")</f>
        <v>0</v>
      </c>
      <c r="BD98">
        <f>COUNTIF(AM98:AR98,"&lt;&gt;0")</f>
        <v>0</v>
      </c>
      <c r="BE98" t="str">
        <f t="array" ref="BE98">IF(AY98=1,INDEX($V$7:$AL$7,MATCH(TRUE,INDEX($V98:$AW98&lt;&gt;0,),0)),IF(AY98=0,INDEX($AM$7:$AW$7,MATCH(1,$AM98:$AW98,0)),IF(BF98="Multiple strategies","mixed drivers",IF(BF98="Supply chain","multiple supply","multiple silviculture"))))</f>
        <v xml:space="preserve">cutting intensity </v>
      </c>
      <c r="BF98" s="2" t="str" cm="1">
        <f t="array" ref="BF98">IF(COUNTIF(AZ98:BB98,"&lt;&gt;0")=1,INDEX($V$4:$AW$4,MATCH(TRUE,INDEX($V98:$AW98&lt;&gt;0,),0)),IF(COUNTIF(AZ98:BB98,"&lt;&gt;0")=0,INDEX($AM$4:$AW$4,MATCH(1,$AM98:$AW98,0)),"Multiple strategies"))</f>
        <v>Silviculture for removals</v>
      </c>
      <c r="BG98" s="1" t="s">
        <v>321</v>
      </c>
      <c r="BH98" t="s">
        <v>2287</v>
      </c>
      <c r="BI98" t="s">
        <v>1036</v>
      </c>
      <c r="BJ98" t="s">
        <v>2288</v>
      </c>
      <c r="BK98">
        <v>0</v>
      </c>
      <c r="BL98">
        <v>1.42</v>
      </c>
      <c r="BM98"/>
      <c r="BN98">
        <f>BL98-BK98</f>
        <v>1.42</v>
      </c>
      <c r="BO98">
        <f>BN98*10^6*tC_to_m3</f>
        <v>6165870.6035605734</v>
      </c>
      <c r="BP98" t="s">
        <v>232</v>
      </c>
      <c r="BQ98" s="267" t="s">
        <v>783</v>
      </c>
      <c r="BR98" s="264" t="s">
        <v>3244</v>
      </c>
      <c r="BS98"/>
      <c r="BT98"/>
      <c r="BU98" s="144"/>
      <c r="BV98">
        <f>-399.62/35</f>
        <v>-11.417714285714286</v>
      </c>
      <c r="BW98"/>
      <c r="BX98">
        <f>BV98*10^6</f>
        <v>-11417714.285714285</v>
      </c>
      <c r="BY98">
        <f>IFERROR(BX98/BO98,"")</f>
        <v>-1.8517602816901406</v>
      </c>
      <c r="BZ98">
        <v>0</v>
      </c>
      <c r="CA98">
        <v>1</v>
      </c>
      <c r="CB98">
        <v>1</v>
      </c>
      <c r="CC98">
        <v>1</v>
      </c>
      <c r="CD98">
        <v>0</v>
      </c>
      <c r="CE98">
        <v>0</v>
      </c>
      <c r="CF98">
        <v>0</v>
      </c>
      <c r="CG98">
        <v>0</v>
      </c>
      <c r="CH98">
        <v>0</v>
      </c>
      <c r="CI98">
        <v>0</v>
      </c>
      <c r="CJ98">
        <v>0</v>
      </c>
      <c r="CK98">
        <v>0</v>
      </c>
      <c r="CL98">
        <v>0</v>
      </c>
      <c r="CM98">
        <v>0</v>
      </c>
      <c r="CN98" t="str">
        <f>IF($BL98&lt;$BK98,"refNeedCorrection","refOK")</f>
        <v>refOK</v>
      </c>
      <c r="CO98">
        <f>IF($CN98="refOK",$BK98,$BL98)</f>
        <v>0</v>
      </c>
      <c r="CP98">
        <f>IF($CN98="refOK",$BL98,$BK98)</f>
        <v>1.42</v>
      </c>
      <c r="CQ98">
        <f>IF($CN98="refOK",$BO98,-$BO98)</f>
        <v>6165870.6035605734</v>
      </c>
      <c r="CR98">
        <f>IF($CN98="refOK",$BS98,$BT98)*IF($BP98="Emissions positive",-1,1)</f>
        <v>0</v>
      </c>
      <c r="CS98">
        <f>IF($CN98="refOK",$BT98,$BS98)*IF($BP98="Emissions positive",-1,1)</f>
        <v>0</v>
      </c>
      <c r="CT98">
        <f>IF($CN98="refNeedCorrection",-BX98,BX98)*IF($BP98="Emissions positive",-1,1)</f>
        <v>-11417714.285714285</v>
      </c>
      <c r="CU98">
        <f>IFERROR(CT98/CQ98,"")</f>
        <v>-1.8517602816901406</v>
      </c>
      <c r="CV98" s="2" t="str">
        <f>IFERROR((CS98-CR98)/ABS(CR98),"")</f>
        <v/>
      </c>
      <c r="CW98" s="1" t="s">
        <v>1203</v>
      </c>
      <c r="CX98" t="str">
        <f>IF(OR($CW98="prd",$CW98="std",$CW98="cit"),"loc",IF(OR($CW98="eur",$CW98="reg",$CW98="coy"),"reg",$CW98))</f>
        <v>reg</v>
      </c>
      <c r="CY98" t="s">
        <v>540</v>
      </c>
      <c r="CZ98">
        <v>2015</v>
      </c>
      <c r="DA98">
        <v>2050</v>
      </c>
      <c r="DB98">
        <v>35</v>
      </c>
      <c r="DC98" t="str">
        <f>IF(DB98=0,"0",IF(AND(DB98&gt;=1,DB98&lt;=30),"1-30",IF(AND(DB98&gt;30,DB98&lt;=70),"31-70",IF(AND(DB98&gt;70,DB98&lt;=100),"71-100",IF(DB98&gt;100,"+100")))))</f>
        <v>31-70</v>
      </c>
      <c r="DD98">
        <v>0</v>
      </c>
      <c r="DE98">
        <v>1</v>
      </c>
      <c r="DF98">
        <v>1</v>
      </c>
      <c r="DG98">
        <v>1</v>
      </c>
      <c r="DH98"/>
      <c r="DI98">
        <f>SUM(DD98:DG98)</f>
        <v>3</v>
      </c>
      <c r="DJ98" t="str">
        <f>IF(DI98=1,INDEX($DD$7:$DG$7,MATCH(1,$DD98:$DG98,0)),"mixedProduct")</f>
        <v>mixedProduct</v>
      </c>
      <c r="DK98">
        <f>IF(DD98=1,DK$7,0)</f>
        <v>0</v>
      </c>
      <c r="DL98" t="str">
        <f>IF(DE98=1,DL$7,0)</f>
        <v>Energy</v>
      </c>
      <c r="DM98" t="str">
        <f>IF(DF98=1,DM$7,0)</f>
        <v>Pulp/Paper</v>
      </c>
      <c r="DN98" t="str">
        <f>IF(DG98=1,DN$7,0)</f>
        <v>Timber</v>
      </c>
      <c r="DO98">
        <v>0</v>
      </c>
      <c r="DP98">
        <v>0</v>
      </c>
      <c r="DQ98"/>
      <c r="DR98">
        <v>0</v>
      </c>
      <c r="DS98">
        <v>0</v>
      </c>
      <c r="DT98">
        <f>SUM(DO98:DP98)</f>
        <v>0</v>
      </c>
      <c r="DU98" s="143" t="str">
        <f>IF(DO98=1,"self-calculated DF",IF(DP98=1,"external DF used","explicit C balance"))</f>
        <v>explicit C balance</v>
      </c>
      <c r="DV98">
        <v>1</v>
      </c>
      <c r="DW98">
        <v>1</v>
      </c>
      <c r="DX98">
        <v>1</v>
      </c>
      <c r="DY98">
        <v>1</v>
      </c>
      <c r="DZ98">
        <v>1</v>
      </c>
      <c r="EA98">
        <v>0</v>
      </c>
      <c r="EB98">
        <v>0</v>
      </c>
      <c r="EC98">
        <v>0</v>
      </c>
      <c r="ED98">
        <v>0</v>
      </c>
      <c r="EE98">
        <v>0</v>
      </c>
      <c r="EF98">
        <v>1</v>
      </c>
      <c r="EG98">
        <v>0</v>
      </c>
      <c r="EH98">
        <v>0</v>
      </c>
      <c r="EI98" s="2">
        <v>0</v>
      </c>
      <c r="EJ98" s="1"/>
      <c r="EK98" t="str">
        <f>IF(AND(AND(AND(OR($DX98=1,$DW98=1),OR($EC98=1,$EA98=1)),SUM($DV98:$DZ98,$EF98)&gt;=4),SUM($EA98:$EE98)&gt;=2),"Whole sector","")</f>
        <v/>
      </c>
      <c r="EL98" t="str">
        <f>IF(AND(AND(OR($DX98=1,$DW98=1),AND($EC98=0,$EA98=0)),SUM($DV98:$DZ98,$EF98)&gt;=4),"Ecosystem approach","")</f>
        <v>Ecosystem approach</v>
      </c>
      <c r="EM98" s="2" t="str">
        <f>IF(AND(AND(AND($DX98=0,$DW98=0),OR($EC98=1,$EA98=1)),SUM($EB98:$EE98)&gt;=2),"Technology approach","")</f>
        <v/>
      </c>
      <c r="EN98"/>
      <c r="EO98"/>
      <c r="EP98" t="str">
        <f>IF(ISNUMBER(BU98),IF(ABS(BU98-[1]QC_indicators!$B$2)&gt;3*[1]QC_indicators!$C$2,"C ratio",IF(ISNUMBER(BY98),IF(ABS(BY98-[1]QC_indicators!$B$1)&gt;3*[1]QC_indicators!$C$1,"DF","no"))),IF(ISNUMBER(BY98),IF(ABS(BY98-[1]QC_indicators!$B$1)&gt;3*[1]QC_indicators!$C$1,"DF","no")))</f>
        <v>no</v>
      </c>
      <c r="EQ98"/>
      <c r="ER98"/>
      <c r="ES98"/>
      <c r="ET98" s="268" t="s">
        <v>3242</v>
      </c>
      <c r="EU98"/>
    </row>
    <row r="99" spans="1:151" s="139" customFormat="1" ht="15" customHeight="1">
      <c r="A99" s="1" t="s">
        <v>1286</v>
      </c>
      <c r="B99" t="s">
        <v>1336</v>
      </c>
      <c r="C99" t="s">
        <v>1337</v>
      </c>
      <c r="D99" t="s">
        <v>1338</v>
      </c>
      <c r="E99" t="s">
        <v>1339</v>
      </c>
      <c r="F99" t="s">
        <v>1340</v>
      </c>
      <c r="G99" t="s">
        <v>1292</v>
      </c>
      <c r="H99" t="s">
        <v>254</v>
      </c>
      <c r="I99">
        <v>2016</v>
      </c>
      <c r="J99">
        <v>27</v>
      </c>
      <c r="K99" t="s">
        <v>1341</v>
      </c>
      <c r="L99"/>
      <c r="M99" t="str">
        <f>LEFT($D99,FIND(",",$D99)-1)&amp;"_"&amp;I99&amp;L99</f>
        <v>Braun_2016</v>
      </c>
      <c r="N99" t="s">
        <v>222</v>
      </c>
      <c r="O99" s="145" t="s">
        <v>223</v>
      </c>
      <c r="P99"/>
      <c r="Q99" t="s">
        <v>256</v>
      </c>
      <c r="R99" s="255" t="s">
        <v>225</v>
      </c>
      <c r="S99" s="1" t="s">
        <v>1348</v>
      </c>
      <c r="T99" t="s">
        <v>1343</v>
      </c>
      <c r="U99" t="s">
        <v>1351</v>
      </c>
      <c r="V99">
        <v>0</v>
      </c>
      <c r="W99">
        <v>0</v>
      </c>
      <c r="X99">
        <v>0</v>
      </c>
      <c r="Y99">
        <v>0</v>
      </c>
      <c r="Z99">
        <v>0</v>
      </c>
      <c r="AA99">
        <v>0</v>
      </c>
      <c r="AB99">
        <v>0</v>
      </c>
      <c r="AC99">
        <v>0</v>
      </c>
      <c r="AD99">
        <v>0</v>
      </c>
      <c r="AE99">
        <v>0</v>
      </c>
      <c r="AF99">
        <v>1</v>
      </c>
      <c r="AG99">
        <v>0</v>
      </c>
      <c r="AH99">
        <v>0</v>
      </c>
      <c r="AI99">
        <v>0</v>
      </c>
      <c r="AJ99">
        <v>0</v>
      </c>
      <c r="AK99">
        <v>0</v>
      </c>
      <c r="AL99">
        <v>0</v>
      </c>
      <c r="AM99">
        <v>0</v>
      </c>
      <c r="AN99">
        <v>0</v>
      </c>
      <c r="AO99">
        <v>0</v>
      </c>
      <c r="AP99">
        <v>0</v>
      </c>
      <c r="AQ99">
        <v>0</v>
      </c>
      <c r="AR99">
        <v>0</v>
      </c>
      <c r="AS99">
        <v>0</v>
      </c>
      <c r="AT99">
        <v>0</v>
      </c>
      <c r="AU99">
        <v>0</v>
      </c>
      <c r="AV99">
        <v>0</v>
      </c>
      <c r="AW99">
        <v>0</v>
      </c>
      <c r="AX99" s="141">
        <f>COUNTIF(V99:AW99,"&lt;&gt;0")</f>
        <v>1</v>
      </c>
      <c r="AY99" s="141">
        <f>COUNTIF(V99:AL99,"&lt;&gt;0")</f>
        <v>1</v>
      </c>
      <c r="AZ99">
        <f>COUNTIF(V99:AC99,"&lt;&gt;0")</f>
        <v>0</v>
      </c>
      <c r="BA99">
        <f>COUNTIF(AD99:AI99,"&lt;&gt;0")</f>
        <v>1</v>
      </c>
      <c r="BB99">
        <f>COUNTIF(AJ99:AL99,"&lt;&gt;0")</f>
        <v>0</v>
      </c>
      <c r="BC99">
        <f>COUNTIF(AS99:AW99,"&lt;&gt;0")</f>
        <v>0</v>
      </c>
      <c r="BD99">
        <f>COUNTIF(AM99:AR99,"&lt;&gt;0")</f>
        <v>0</v>
      </c>
      <c r="BE99" t="str">
        <f t="array" ref="BE99">IF(AY99=1,INDEX($V$7:$AL$7,MATCH(TRUE,INDEX($V99:$AW99&lt;&gt;0,),0)),IF(AY99=0,INDEX($AM$7:$AW$7,MATCH(1,$AM99:$AW99,0)),IF(BF99="Multiple strategies","mixed drivers",IF(BF99="Supply chain","multiple supply","multiple silviculture"))))</f>
        <v>supply chain organization</v>
      </c>
      <c r="BF99" s="2" t="str" cm="1">
        <f t="array" ref="BF99">IF(COUNTIF(AZ99:BB99,"&lt;&gt;0")=1,INDEX($V$4:$AW$4,MATCH(TRUE,INDEX($V99:$AW99&lt;&gt;0,),0)),IF(COUNTIF(AZ99:BB99,"&lt;&gt;0")=0,INDEX($AM$4:$AW$4,MATCH(1,$AM99:$AW99,0)),"Multiple strategies"))</f>
        <v>Supply chain</v>
      </c>
      <c r="BG99" s="1" t="s">
        <v>229</v>
      </c>
      <c r="BH99" t="s">
        <v>1344</v>
      </c>
      <c r="BI99" s="260" t="s">
        <v>3277</v>
      </c>
      <c r="BJ99" t="s">
        <v>1345</v>
      </c>
      <c r="BK99">
        <v>1.1674521913429727</v>
      </c>
      <c r="BL99">
        <v>1.8900610197538394</v>
      </c>
      <c r="BM99">
        <f>BL99/BK99</f>
        <v>1.6189622442522613</v>
      </c>
      <c r="BN99">
        <f>BL99-BK99</f>
        <v>0.72260882841086671</v>
      </c>
      <c r="BO99">
        <f>BN99*10^9</f>
        <v>722608828.41086674</v>
      </c>
      <c r="BP99" t="s">
        <v>232</v>
      </c>
      <c r="BQ99" s="260" t="s">
        <v>3280</v>
      </c>
      <c r="BR99" t="s">
        <v>1346</v>
      </c>
      <c r="BS99" s="264">
        <v>1.0255972696245701</v>
      </c>
      <c r="BT99" s="264">
        <v>-0.26450511945392402</v>
      </c>
      <c r="BU99" s="144">
        <f>IFERROR(BT99/BS99,"")</f>
        <v>-0.25790349417637265</v>
      </c>
      <c r="BV99">
        <f>BT99-BS99</f>
        <v>-1.2901023890784942</v>
      </c>
      <c r="BW99"/>
      <c r="BX99">
        <f>BV99*10^9</f>
        <v>-1290102389.0784941</v>
      </c>
      <c r="BY99">
        <f>IFERROR(BX99/BO99,"")</f>
        <v>-1.7853399216220995</v>
      </c>
      <c r="BZ99" s="143">
        <v>0</v>
      </c>
      <c r="CA99" s="143">
        <v>0</v>
      </c>
      <c r="CB99" s="143">
        <v>0</v>
      </c>
      <c r="CC99" s="143">
        <v>0</v>
      </c>
      <c r="CD99" s="143">
        <v>0</v>
      </c>
      <c r="CE99" s="143">
        <v>0</v>
      </c>
      <c r="CF99" s="143">
        <v>0</v>
      </c>
      <c r="CG99" s="143">
        <v>0</v>
      </c>
      <c r="CH99" s="143">
        <v>0</v>
      </c>
      <c r="CI99" s="143">
        <v>0</v>
      </c>
      <c r="CJ99" s="143">
        <v>0</v>
      </c>
      <c r="CK99" s="143">
        <v>0</v>
      </c>
      <c r="CL99" s="143">
        <v>0</v>
      </c>
      <c r="CM99">
        <v>0</v>
      </c>
      <c r="CN99" t="str">
        <f>IF($BL99&lt;$BK99,"refNeedCorrection","refOK")</f>
        <v>refOK</v>
      </c>
      <c r="CO99">
        <f>IF($CN99="refOK",$BK99,$BL99)</f>
        <v>1.1674521913429727</v>
      </c>
      <c r="CP99">
        <f>IF($CN99="refOK",$BL99,$BK99)</f>
        <v>1.8900610197538394</v>
      </c>
      <c r="CQ99">
        <f>IF($CN99="refOK",$BO99,-$BO99)</f>
        <v>722608828.41086674</v>
      </c>
      <c r="CR99">
        <f>IF($CN99="refOK",$BS99,$BT99)*IF($BP99="Emissions positive",-1,1)</f>
        <v>1.0255972696245701</v>
      </c>
      <c r="CS99">
        <f>IF($CN99="refOK",$BT99,$BS99)*IF($BP99="Emissions positive",-1,1)</f>
        <v>-0.26450511945392402</v>
      </c>
      <c r="CT99">
        <f>IF($CN99="refNeedCorrection",-BX99,BX99)*IF($BP99="Emissions positive",-1,1)</f>
        <v>-1290102389.0784941</v>
      </c>
      <c r="CU99">
        <f>IFERROR(CT99/CQ99,"")</f>
        <v>-1.7853399216220995</v>
      </c>
      <c r="CV99" s="2">
        <f>IFERROR((CS99-CR99)/ABS(CR99),"")</f>
        <v>-1.2579034941763727</v>
      </c>
      <c r="CW99" s="1" t="s">
        <v>1203</v>
      </c>
      <c r="CX99" t="str">
        <f>IF(OR($CW99="prd",$CW99="std",$CW99="cit"),"loc",IF(OR($CW99="eur",$CW99="reg",$CW99="coy"),"reg",$CW99))</f>
        <v>reg</v>
      </c>
      <c r="CY99" t="s">
        <v>666</v>
      </c>
      <c r="CZ99">
        <v>2010</v>
      </c>
      <c r="DA99">
        <v>2100</v>
      </c>
      <c r="DB99">
        <f>DA99-CZ99</f>
        <v>90</v>
      </c>
      <c r="DC99" t="str">
        <f>IF(DB99=0,"0",IF(AND(DB99&gt;=1,DB99&lt;=30),"1-30",IF(AND(DB99&gt;30,DB99&lt;=70),"31-70",IF(AND(DB99&gt;70,DB99&lt;=100),"71-100",IF(DB99&gt;100,"+100")))))</f>
        <v>71-100</v>
      </c>
      <c r="DD99">
        <v>0</v>
      </c>
      <c r="DE99">
        <v>1</v>
      </c>
      <c r="DF99">
        <v>1</v>
      </c>
      <c r="DG99">
        <v>1</v>
      </c>
      <c r="DH99"/>
      <c r="DI99">
        <f>SUM(DD99:DG99)</f>
        <v>3</v>
      </c>
      <c r="DJ99" t="str">
        <f>IF(DI99=1,INDEX($DD$7:$DG$7,MATCH(1,$DD99:$DG99,0)),"mixedProduct")</f>
        <v>mixedProduct</v>
      </c>
      <c r="DK99">
        <f>IF(DD99=1,DK$7,0)</f>
        <v>0</v>
      </c>
      <c r="DL99" t="str">
        <f>IF(DE99=1,DL$7,0)</f>
        <v>Energy</v>
      </c>
      <c r="DM99" t="str">
        <f>IF(DF99=1,DM$7,0)</f>
        <v>Pulp/Paper</v>
      </c>
      <c r="DN99" t="str">
        <f>IF(DG99=1,DN$7,0)</f>
        <v>Timber</v>
      </c>
      <c r="DO99">
        <v>1</v>
      </c>
      <c r="DP99" s="143">
        <v>0</v>
      </c>
      <c r="DQ99" s="143">
        <v>0</v>
      </c>
      <c r="DR99" s="143">
        <v>0</v>
      </c>
      <c r="DS99">
        <v>0</v>
      </c>
      <c r="DT99">
        <f>SUM(DO99:DP99)</f>
        <v>1</v>
      </c>
      <c r="DU99" s="143" t="str">
        <f>IF(DO99=1,"self-calculated DF",IF(DP99=1,"external DF used","explicit C balance"))</f>
        <v>self-calculated DF</v>
      </c>
      <c r="DV99">
        <v>1</v>
      </c>
      <c r="DW99" s="143">
        <v>1</v>
      </c>
      <c r="DX99" s="143">
        <v>1</v>
      </c>
      <c r="DY99" s="143">
        <v>0</v>
      </c>
      <c r="DZ99">
        <v>0</v>
      </c>
      <c r="EA99" s="141">
        <v>0</v>
      </c>
      <c r="EB99">
        <v>0</v>
      </c>
      <c r="EC99" s="143">
        <v>0</v>
      </c>
      <c r="ED99" s="143">
        <v>0</v>
      </c>
      <c r="EE99">
        <v>0</v>
      </c>
      <c r="EF99">
        <v>1</v>
      </c>
      <c r="EG99" s="143">
        <v>0</v>
      </c>
      <c r="EH99" s="143">
        <v>0</v>
      </c>
      <c r="EI99" s="2">
        <v>0</v>
      </c>
      <c r="EJ99" s="1"/>
      <c r="EK99" t="str">
        <f>IF(AND(AND(AND(OR($DX99=1,$DW99=1),OR($EC99=1,$EA99=1)),SUM($DV99:$DZ99,$EF99)&gt;=4),SUM($EA99:$EE99)&gt;=2),"Whole sector","")</f>
        <v/>
      </c>
      <c r="EL99" t="str">
        <f>IF(AND(AND(OR($DX99=1,$DW99=1),AND($EC99=0,$EA99=0)),SUM($DV99:$DZ99,$EF99)&gt;=4),"Ecosystem approach","")</f>
        <v>Ecosystem approach</v>
      </c>
      <c r="EM99" s="2" t="str">
        <f>IF(AND(AND(AND($DX99=0,$DW99=0),OR($EC99=1,$EA99=1)),SUM($EB99:$EE99)&gt;=2),"Technology approach","")</f>
        <v/>
      </c>
      <c r="EN99" t="s">
        <v>3283</v>
      </c>
      <c r="EO99"/>
      <c r="EP99" t="str">
        <f>IF(ISNUMBER(BU99),IF(ABS(BU99-[4]QC_indicators!$B$2)&gt;3*[4]QC_indicators!$C$2,"C ratio",IF(ISNUMBER(BY99),IF(ABS(BY99-[4]QC_indicators!$B$1)&gt;3*[4]QC_indicators!$C$1,"DF","no"))),IF(ISNUMBER(BY99),IF(ABS(BY99-[4]QC_indicators!$B$1)&gt;3*[4]QC_indicators!$C$1,"DF","no")))</f>
        <v>no</v>
      </c>
      <c r="EQ99"/>
      <c r="ER99"/>
      <c r="ES99"/>
      <c r="ET99" s="264" t="s">
        <v>3273</v>
      </c>
      <c r="EU99"/>
    </row>
    <row r="100" spans="1:151" s="139" customFormat="1" ht="15" customHeight="1">
      <c r="A100" s="1" t="s">
        <v>1286</v>
      </c>
      <c r="B100" t="s">
        <v>1336</v>
      </c>
      <c r="C100" t="s">
        <v>1337</v>
      </c>
      <c r="D100" t="s">
        <v>1338</v>
      </c>
      <c r="E100" t="s">
        <v>1339</v>
      </c>
      <c r="F100" t="s">
        <v>1340</v>
      </c>
      <c r="G100" t="s">
        <v>1292</v>
      </c>
      <c r="H100" t="s">
        <v>254</v>
      </c>
      <c r="I100">
        <v>2016</v>
      </c>
      <c r="J100">
        <v>27</v>
      </c>
      <c r="K100" t="s">
        <v>1341</v>
      </c>
      <c r="L100"/>
      <c r="M100" t="str">
        <f>LEFT($D100,FIND(",",$D100)-1)&amp;"_"&amp;I100&amp;L100</f>
        <v>Braun_2016</v>
      </c>
      <c r="N100" t="s">
        <v>222</v>
      </c>
      <c r="O100" s="145" t="s">
        <v>223</v>
      </c>
      <c r="P100"/>
      <c r="Q100" t="s">
        <v>256</v>
      </c>
      <c r="R100" s="255" t="s">
        <v>225</v>
      </c>
      <c r="S100" s="1" t="s">
        <v>1348</v>
      </c>
      <c r="T100" t="s">
        <v>1343</v>
      </c>
      <c r="U100" t="s">
        <v>1350</v>
      </c>
      <c r="V100">
        <v>0</v>
      </c>
      <c r="W100">
        <v>0</v>
      </c>
      <c r="X100">
        <v>0</v>
      </c>
      <c r="Y100">
        <v>0</v>
      </c>
      <c r="Z100">
        <v>0</v>
      </c>
      <c r="AA100">
        <v>0</v>
      </c>
      <c r="AB100">
        <v>0</v>
      </c>
      <c r="AC100">
        <v>0</v>
      </c>
      <c r="AD100">
        <v>0</v>
      </c>
      <c r="AE100">
        <v>0</v>
      </c>
      <c r="AF100">
        <v>1</v>
      </c>
      <c r="AG100">
        <v>0</v>
      </c>
      <c r="AH100">
        <v>0</v>
      </c>
      <c r="AI100">
        <v>0</v>
      </c>
      <c r="AJ100">
        <v>0</v>
      </c>
      <c r="AK100">
        <v>0</v>
      </c>
      <c r="AL100">
        <v>0</v>
      </c>
      <c r="AM100">
        <v>0</v>
      </c>
      <c r="AN100">
        <v>0</v>
      </c>
      <c r="AO100">
        <v>0</v>
      </c>
      <c r="AP100">
        <v>0</v>
      </c>
      <c r="AQ100">
        <v>0</v>
      </c>
      <c r="AR100">
        <v>0</v>
      </c>
      <c r="AS100">
        <v>0</v>
      </c>
      <c r="AT100">
        <v>0</v>
      </c>
      <c r="AU100">
        <v>0</v>
      </c>
      <c r="AV100">
        <v>0</v>
      </c>
      <c r="AW100">
        <v>0</v>
      </c>
      <c r="AX100" s="141">
        <f>COUNTIF(V100:AW100,"&lt;&gt;0")</f>
        <v>1</v>
      </c>
      <c r="AY100" s="141">
        <f>COUNTIF(V100:AL100,"&lt;&gt;0")</f>
        <v>1</v>
      </c>
      <c r="AZ100">
        <f>COUNTIF(V100:AC100,"&lt;&gt;0")</f>
        <v>0</v>
      </c>
      <c r="BA100">
        <f>COUNTIF(AD100:AI100,"&lt;&gt;0")</f>
        <v>1</v>
      </c>
      <c r="BB100">
        <f>COUNTIF(AJ100:AL100,"&lt;&gt;0")</f>
        <v>0</v>
      </c>
      <c r="BC100">
        <f>COUNTIF(AS100:AW100,"&lt;&gt;0")</f>
        <v>0</v>
      </c>
      <c r="BD100">
        <f>COUNTIF(AM100:AR100,"&lt;&gt;0")</f>
        <v>0</v>
      </c>
      <c r="BE100" t="str">
        <f t="array" ref="BE100">IF(AY100=1,INDEX($V$7:$AL$7,MATCH(TRUE,INDEX($V100:$AW100&lt;&gt;0,),0)),IF(AY100=0,INDEX($AM$7:$AW$7,MATCH(1,$AM100:$AW100,0)),IF(BF100="Multiple strategies","mixed drivers",IF(BF100="Supply chain","multiple supply","multiple silviculture"))))</f>
        <v>supply chain organization</v>
      </c>
      <c r="BF100" s="2" t="str" cm="1">
        <f t="array" ref="BF100">IF(COUNTIF(AZ100:BB100,"&lt;&gt;0")=1,INDEX($V$4:$AW$4,MATCH(TRUE,INDEX($V100:$AW100&lt;&gt;0,),0)),IF(COUNTIF(AZ100:BB100,"&lt;&gt;0")=0,INDEX($AM$4:$AW$4,MATCH(1,$AM100:$AW100,0)),"Multiple strategies"))</f>
        <v>Supply chain</v>
      </c>
      <c r="BG100" s="1" t="s">
        <v>229</v>
      </c>
      <c r="BH100" t="s">
        <v>1344</v>
      </c>
      <c r="BI100" s="260" t="s">
        <v>3277</v>
      </c>
      <c r="BJ100" t="s">
        <v>1345</v>
      </c>
      <c r="BK100">
        <v>1.1674521913429727</v>
      </c>
      <c r="BL100">
        <v>1.8344709897610794</v>
      </c>
      <c r="BM100">
        <f>BL100/BK100</f>
        <v>1.5713457076566064</v>
      </c>
      <c r="BN100">
        <f>BL100-BK100</f>
        <v>0.66701879841810663</v>
      </c>
      <c r="BO100">
        <f>BN100*10^9</f>
        <v>667018798.41810668</v>
      </c>
      <c r="BP100" t="s">
        <v>232</v>
      </c>
      <c r="BQ100" s="260" t="s">
        <v>3281</v>
      </c>
      <c r="BR100" t="s">
        <v>1346</v>
      </c>
      <c r="BS100" s="264">
        <v>1.2013651877133071</v>
      </c>
      <c r="BT100" s="264">
        <v>1.3651877133106005E-2</v>
      </c>
      <c r="BU100" s="144">
        <f>IFERROR(BT100/BS100,"")</f>
        <v>1.1363636363636565E-2</v>
      </c>
      <c r="BV100">
        <f>BT100-BS100</f>
        <v>-1.1877133105802011</v>
      </c>
      <c r="BW100"/>
      <c r="BX100">
        <f>BV100*10^9</f>
        <v>-1187713310.5802011</v>
      </c>
      <c r="BY100">
        <f>IFERROR(BX100/BO100,"")</f>
        <v>-1.7806294416243844</v>
      </c>
      <c r="BZ100" s="143">
        <v>0</v>
      </c>
      <c r="CA100" s="143">
        <v>0</v>
      </c>
      <c r="CB100" s="143">
        <v>0</v>
      </c>
      <c r="CC100" s="143">
        <v>0</v>
      </c>
      <c r="CD100" s="143">
        <v>0</v>
      </c>
      <c r="CE100" s="143">
        <v>0</v>
      </c>
      <c r="CF100" s="143">
        <v>0</v>
      </c>
      <c r="CG100" s="143">
        <v>0</v>
      </c>
      <c r="CH100" s="143">
        <v>0</v>
      </c>
      <c r="CI100" s="143">
        <v>0</v>
      </c>
      <c r="CJ100" s="143">
        <v>0</v>
      </c>
      <c r="CK100" s="143">
        <v>0</v>
      </c>
      <c r="CL100" s="143">
        <v>0</v>
      </c>
      <c r="CM100">
        <v>0</v>
      </c>
      <c r="CN100" t="str">
        <f>IF($BL100&lt;$BK100,"refNeedCorrection","refOK")</f>
        <v>refOK</v>
      </c>
      <c r="CO100">
        <f>IF($CN100="refOK",$BK100,$BL100)</f>
        <v>1.1674521913429727</v>
      </c>
      <c r="CP100">
        <f>IF($CN100="refOK",$BL100,$BK100)</f>
        <v>1.8344709897610794</v>
      </c>
      <c r="CQ100">
        <f>IF($CN100="refOK",$BO100,-$BO100)</f>
        <v>667018798.41810668</v>
      </c>
      <c r="CR100">
        <f>IF($CN100="refOK",$BS100,$BT100)*IF($BP100="Emissions positive",-1,1)</f>
        <v>1.2013651877133071</v>
      </c>
      <c r="CS100">
        <f>IF($CN100="refOK",$BT100,$BS100)*IF($BP100="Emissions positive",-1,1)</f>
        <v>1.3651877133106005E-2</v>
      </c>
      <c r="CT100">
        <f>IF($CN100="refNeedCorrection",-BX100,BX100)*IF($BP100="Emissions positive",-1,1)</f>
        <v>-1187713310.5802011</v>
      </c>
      <c r="CU100">
        <f>IFERROR(CT100/CQ100,"")</f>
        <v>-1.7806294416243844</v>
      </c>
      <c r="CV100" s="2">
        <f>IFERROR((CS100-CR100)/ABS(CR100),"")</f>
        <v>-0.98863636363636342</v>
      </c>
      <c r="CW100" s="1" t="s">
        <v>1203</v>
      </c>
      <c r="CX100" t="str">
        <f>IF(OR($CW100="prd",$CW100="std",$CW100="cit"),"loc",IF(OR($CW100="eur",$CW100="reg",$CW100="coy"),"reg",$CW100))</f>
        <v>reg</v>
      </c>
      <c r="CY100" t="s">
        <v>666</v>
      </c>
      <c r="CZ100">
        <v>2010</v>
      </c>
      <c r="DA100">
        <v>2100</v>
      </c>
      <c r="DB100">
        <f>DA100-CZ100</f>
        <v>90</v>
      </c>
      <c r="DC100" t="str">
        <f>IF(DB100=0,"0",IF(AND(DB100&gt;=1,DB100&lt;=30),"1-30",IF(AND(DB100&gt;30,DB100&lt;=70),"31-70",IF(AND(DB100&gt;70,DB100&lt;=100),"71-100",IF(DB100&gt;100,"+100")))))</f>
        <v>71-100</v>
      </c>
      <c r="DD100">
        <v>0</v>
      </c>
      <c r="DE100">
        <v>1</v>
      </c>
      <c r="DF100">
        <v>1</v>
      </c>
      <c r="DG100">
        <v>1</v>
      </c>
      <c r="DH100"/>
      <c r="DI100">
        <f>SUM(DD100:DG100)</f>
        <v>3</v>
      </c>
      <c r="DJ100" t="str">
        <f>IF(DI100=1,INDEX($DD$7:$DG$7,MATCH(1,$DD100:$DG100,0)),"mixedProduct")</f>
        <v>mixedProduct</v>
      </c>
      <c r="DK100">
        <f>IF(DD100=1,DK$7,0)</f>
        <v>0</v>
      </c>
      <c r="DL100" t="str">
        <f>IF(DE100=1,DL$7,0)</f>
        <v>Energy</v>
      </c>
      <c r="DM100" t="str">
        <f>IF(DF100=1,DM$7,0)</f>
        <v>Pulp/Paper</v>
      </c>
      <c r="DN100" t="str">
        <f>IF(DG100=1,DN$7,0)</f>
        <v>Timber</v>
      </c>
      <c r="DO100">
        <v>1</v>
      </c>
      <c r="DP100" s="143">
        <v>0</v>
      </c>
      <c r="DQ100" s="143">
        <v>0</v>
      </c>
      <c r="DR100" s="143">
        <v>0</v>
      </c>
      <c r="DS100">
        <v>0</v>
      </c>
      <c r="DT100">
        <f>SUM(DO100:DP100)</f>
        <v>1</v>
      </c>
      <c r="DU100" s="143" t="str">
        <f>IF(DO100=1,"self-calculated DF",IF(DP100=1,"external DF used","explicit C balance"))</f>
        <v>self-calculated DF</v>
      </c>
      <c r="DV100">
        <v>1</v>
      </c>
      <c r="DW100" s="143">
        <v>1</v>
      </c>
      <c r="DX100" s="143">
        <v>1</v>
      </c>
      <c r="DY100" s="143">
        <v>1</v>
      </c>
      <c r="DZ100">
        <v>1</v>
      </c>
      <c r="EA100" s="141">
        <v>0</v>
      </c>
      <c r="EB100">
        <v>0</v>
      </c>
      <c r="EC100" s="143">
        <v>0</v>
      </c>
      <c r="ED100" s="143">
        <v>0</v>
      </c>
      <c r="EE100">
        <v>0</v>
      </c>
      <c r="EF100">
        <v>1</v>
      </c>
      <c r="EG100" s="143">
        <v>0</v>
      </c>
      <c r="EH100" s="143">
        <v>0</v>
      </c>
      <c r="EI100" s="2">
        <v>0</v>
      </c>
      <c r="EJ100" s="1"/>
      <c r="EK100" t="str">
        <f>IF(AND(AND(AND(OR($DX100=1,$DW100=1),OR($EC100=1,$EA100=1)),SUM($DV100:$DZ100,$EF100)&gt;=4),SUM($EA100:$EE100)&gt;=2),"Whole sector","")</f>
        <v/>
      </c>
      <c r="EL100" t="str">
        <f>IF(AND(AND(OR($DX100=1,$DW100=1),AND($EC100=0,$EA100=0)),SUM($DV100:$DZ100,$EF100)&gt;=4),"Ecosystem approach","")</f>
        <v>Ecosystem approach</v>
      </c>
      <c r="EM100" s="2" t="str">
        <f>IF(AND(AND(AND($DX100=0,$DW100=0),OR($EC100=1,$EA100=1)),SUM($EB100:$EE100)&gt;=2),"Technology approach","")</f>
        <v/>
      </c>
      <c r="EN100" t="s">
        <v>3283</v>
      </c>
      <c r="EO100"/>
      <c r="EP100" t="str">
        <f>IF(ISNUMBER(BU100),IF(ABS(BU100-[4]QC_indicators!$B$2)&gt;3*[4]QC_indicators!$C$2,"C ratio",IF(ISNUMBER(BY100),IF(ABS(BY100-[4]QC_indicators!$B$1)&gt;3*[4]QC_indicators!$C$1,"DF","no"))),IF(ISNUMBER(BY100),IF(ABS(BY100-[4]QC_indicators!$B$1)&gt;3*[4]QC_indicators!$C$1,"DF","no")))</f>
        <v>no</v>
      </c>
      <c r="EQ100"/>
      <c r="ER100"/>
      <c r="ES100"/>
      <c r="ET100" s="264" t="s">
        <v>3273</v>
      </c>
      <c r="EU100"/>
    </row>
    <row r="101" spans="1:151" s="139" customFormat="1" ht="15" customHeight="1">
      <c r="A101" s="174" t="s">
        <v>1286</v>
      </c>
      <c r="B101" s="141" t="s">
        <v>1287</v>
      </c>
      <c r="C101" s="141" t="s">
        <v>1288</v>
      </c>
      <c r="D101" s="141" t="s">
        <v>1289</v>
      </c>
      <c r="E101" s="141" t="s">
        <v>1290</v>
      </c>
      <c r="F101" s="141" t="s">
        <v>1291</v>
      </c>
      <c r="G101" s="141" t="s">
        <v>1292</v>
      </c>
      <c r="H101" s="141"/>
      <c r="I101" s="141">
        <v>2019</v>
      </c>
      <c r="J101" s="141"/>
      <c r="K101" s="141" t="s">
        <v>1293</v>
      </c>
      <c r="L101" s="141"/>
      <c r="M101" t="str">
        <f>LEFT($D101,FIND(",",$D101)-1)&amp;"_"&amp;I101&amp;L101</f>
        <v>Bosch_2019</v>
      </c>
      <c r="N101" t="s">
        <v>222</v>
      </c>
      <c r="O101" s="175" t="s">
        <v>225</v>
      </c>
      <c r="P101" s="141" t="s">
        <v>223</v>
      </c>
      <c r="Q101" s="264" t="s">
        <v>224</v>
      </c>
      <c r="R101" s="269" t="s">
        <v>1154</v>
      </c>
      <c r="S101" s="174" t="s">
        <v>1309</v>
      </c>
      <c r="T101" s="141" t="s">
        <v>1296</v>
      </c>
      <c r="U101" s="141" t="s">
        <v>1310</v>
      </c>
      <c r="V101" s="141">
        <v>0</v>
      </c>
      <c r="W101" s="141">
        <v>0</v>
      </c>
      <c r="X101" s="141">
        <v>1</v>
      </c>
      <c r="Y101" s="141">
        <v>0</v>
      </c>
      <c r="Z101" s="141">
        <v>0</v>
      </c>
      <c r="AA101" s="141">
        <v>0</v>
      </c>
      <c r="AB101" s="141">
        <v>0</v>
      </c>
      <c r="AC101" s="141">
        <v>0</v>
      </c>
      <c r="AD101" s="141">
        <v>0</v>
      </c>
      <c r="AE101" s="141">
        <v>0</v>
      </c>
      <c r="AF101" s="141">
        <v>0</v>
      </c>
      <c r="AG101" s="141">
        <v>0</v>
      </c>
      <c r="AH101" s="141">
        <v>0</v>
      </c>
      <c r="AI101" s="141">
        <v>0</v>
      </c>
      <c r="AJ101" s="141">
        <v>0</v>
      </c>
      <c r="AK101" s="141">
        <v>0</v>
      </c>
      <c r="AL101" s="141">
        <v>0</v>
      </c>
      <c r="AM101" s="141">
        <v>0</v>
      </c>
      <c r="AN101" s="141">
        <v>0</v>
      </c>
      <c r="AO101" s="141">
        <v>0</v>
      </c>
      <c r="AP101" s="141">
        <v>0</v>
      </c>
      <c r="AQ101" s="141">
        <v>0</v>
      </c>
      <c r="AR101" s="141">
        <v>0</v>
      </c>
      <c r="AS101" s="141">
        <v>0</v>
      </c>
      <c r="AT101" s="141">
        <v>0</v>
      </c>
      <c r="AU101" s="141">
        <v>0</v>
      </c>
      <c r="AV101" s="141">
        <v>0</v>
      </c>
      <c r="AW101" s="141">
        <v>0</v>
      </c>
      <c r="AX101" s="141">
        <f>COUNTIF(V101:AW101,"&lt;&gt;0")</f>
        <v>1</v>
      </c>
      <c r="AY101" s="141">
        <f>COUNTIF(V101:AL101,"&lt;&gt;0")</f>
        <v>1</v>
      </c>
      <c r="AZ101">
        <f>COUNTIF(V101:AC101,"&lt;&gt;0")</f>
        <v>1</v>
      </c>
      <c r="BA101">
        <f>COUNTIF(AD101:AI101,"&lt;&gt;0")</f>
        <v>0</v>
      </c>
      <c r="BB101">
        <f>COUNTIF(AJ101:AL101,"&lt;&gt;0")</f>
        <v>0</v>
      </c>
      <c r="BC101">
        <f>COUNTIF(AS101:AW101,"&lt;&gt;0")</f>
        <v>0</v>
      </c>
      <c r="BD101">
        <f>COUNTIF(AM101:AR101,"&lt;&gt;0")</f>
        <v>0</v>
      </c>
      <c r="BE101" t="str" cm="1">
        <f t="array" ref="BE101">IF(AY101=1,INDEX($V$7:$AL$7,MATCH(TRUE,INDEX($V101:$AW101&lt;&gt;0,),0)),IF(AY101=0,INDEX($AM$7:$AW$7,MATCH(1,$AM101:$AW101,0)),IF(BF101="Multiple strategies","mixed drivers",IF(BF101="Supply chain","multiple supply","multiple silviculture"))))</f>
        <v>rotation length</v>
      </c>
      <c r="BF101" s="2" t="str" cm="1">
        <f t="array" ref="BF101">IF(COUNTIF(AZ101:BB101,"&lt;&gt;0")=1,INDEX($V$4:$AW$4,MATCH(TRUE,INDEX($V101:$AW101&lt;&gt;0,),0)),IF(COUNTIF(AZ101:BB101,"&lt;&gt;0")=0,INDEX($AM$4:$AW$4,MATCH(1,$AM101:$AW101,0)),"Multiple strategies"))</f>
        <v>Silviculture for removals</v>
      </c>
      <c r="BG101" s="173" t="s">
        <v>321</v>
      </c>
      <c r="BH101" s="141" t="s">
        <v>1297</v>
      </c>
      <c r="BI101" s="141" t="s">
        <v>1298</v>
      </c>
      <c r="BJ101" s="163" t="s">
        <v>1299</v>
      </c>
      <c r="BK101" s="163">
        <v>2405</v>
      </c>
      <c r="BL101" s="176">
        <v>2642</v>
      </c>
      <c r="BM101" s="264">
        <f>BL101/BK101</f>
        <v>1.0985446985446985</v>
      </c>
      <c r="BN101">
        <f>BL101-BK101</f>
        <v>237</v>
      </c>
      <c r="BO101" s="158">
        <f>BN101*10^6</f>
        <v>237000000</v>
      </c>
      <c r="BP101" s="264" t="s">
        <v>395</v>
      </c>
      <c r="BQ101" s="264" t="s">
        <v>426</v>
      </c>
      <c r="BR101" s="151" t="s">
        <v>1300</v>
      </c>
      <c r="BS101" s="141"/>
      <c r="BT101" s="163"/>
      <c r="BU101" s="144" t="str">
        <f>IFERROR(BT101/BS101,"")</f>
        <v/>
      </c>
      <c r="BV101" s="176">
        <v>418</v>
      </c>
      <c r="BW101"/>
      <c r="BX101">
        <f>BV101*10^6</f>
        <v>418000000</v>
      </c>
      <c r="BY101">
        <f>IFERROR(BX101/BO101,"")</f>
        <v>1.7637130801687764</v>
      </c>
      <c r="BZ101" s="141">
        <v>0</v>
      </c>
      <c r="CA101" s="141">
        <v>0</v>
      </c>
      <c r="CB101" s="141">
        <v>0</v>
      </c>
      <c r="CC101" s="141">
        <v>0</v>
      </c>
      <c r="CD101" s="141">
        <v>0</v>
      </c>
      <c r="CE101" s="141">
        <v>0</v>
      </c>
      <c r="CF101" s="141">
        <v>0</v>
      </c>
      <c r="CG101" s="141">
        <v>0</v>
      </c>
      <c r="CH101" s="141">
        <v>0</v>
      </c>
      <c r="CI101" s="141">
        <v>0</v>
      </c>
      <c r="CJ101" s="141">
        <v>0</v>
      </c>
      <c r="CK101" s="141">
        <v>0</v>
      </c>
      <c r="CL101" s="141">
        <v>0</v>
      </c>
      <c r="CM101" s="141">
        <v>1</v>
      </c>
      <c r="CN101" t="str">
        <f>IF(BL101&lt;BK101,"refNeedCorrection","refOK")</f>
        <v>refOK</v>
      </c>
      <c r="CO101">
        <f>IF($CN101="refOK",$BK101,$BL101)</f>
        <v>2405</v>
      </c>
      <c r="CP101">
        <f>IF($CN101="refOK",$BL101,$BK101)</f>
        <v>2642</v>
      </c>
      <c r="CQ101">
        <f>IF($CN101="refOK",$BO101,-$BO101)</f>
        <v>237000000</v>
      </c>
      <c r="CR101">
        <f>IF($CN101="refOK",$BS101,$BT101)*IF($BP101="Emissions positive",-1,1)</f>
        <v>0</v>
      </c>
      <c r="CS101">
        <f>IF($CN101="refOK",$BT101,$BS101)*IF($BP101="Emissions positive",-1,1)</f>
        <v>0</v>
      </c>
      <c r="CT101">
        <f>IF($CN101="refNeedCorrection",-BX101,BX101)*IF($BP101="Emissions positive",-1,1)</f>
        <v>-418000000</v>
      </c>
      <c r="CU101">
        <f>IFERROR(CT101/CQ101,"")</f>
        <v>-1.7637130801687764</v>
      </c>
      <c r="CV101" s="2" t="str">
        <f>IFERROR((CS101-CR101)/ABS(CR101),"")</f>
        <v/>
      </c>
      <c r="CW101" s="174" t="s">
        <v>1203</v>
      </c>
      <c r="CX101" s="264" t="str">
        <f>IF(OR($CW101="prd",$CW101="std",$CW101="cit"),"loc",IF(OR($CW101="eur",$CW101="reg",$CW101="coy"),"reg",$CW101))</f>
        <v>reg</v>
      </c>
      <c r="CY101" s="141" t="s">
        <v>1301</v>
      </c>
      <c r="CZ101" s="141">
        <v>2016</v>
      </c>
      <c r="DA101" s="163">
        <v>2046</v>
      </c>
      <c r="DB101" s="163">
        <v>30</v>
      </c>
      <c r="DC101" t="str">
        <f>IF(DB101=0,"0",IF(AND(DB101&gt;=1,DB101&lt;=30),"1-30",IF(AND(DB101&gt;30,DB101&lt;=70),"31-70",IF(AND(DB101&gt;70,DB101&lt;=100),"71-100",IF(DB101&gt;100,"+100")))))</f>
        <v>1-30</v>
      </c>
      <c r="DD101" s="141">
        <v>1</v>
      </c>
      <c r="DE101" s="141">
        <v>1</v>
      </c>
      <c r="DF101" s="141">
        <v>0</v>
      </c>
      <c r="DG101" s="141">
        <v>1</v>
      </c>
      <c r="DH101"/>
      <c r="DI101">
        <f>SUM(DD101:DG101)</f>
        <v>3</v>
      </c>
      <c r="DJ101" t="str">
        <f>IF(DI101=1,INDEX($DD$7:$DG$7,MATCH(1,$DD101:$DG101,0)),"mixedProduct")</f>
        <v>mixedProduct</v>
      </c>
      <c r="DK101" t="str">
        <f>IF(DD101=1,DK$7,0)</f>
        <v>Upstream</v>
      </c>
      <c r="DL101" t="str">
        <f>IF(DE101=1,DL$7,0)</f>
        <v>Energy</v>
      </c>
      <c r="DM101">
        <f>IF(DF101=1,DM$7,0)</f>
        <v>0</v>
      </c>
      <c r="DN101" t="str">
        <f>IF(DG101=1,DN$7,0)</f>
        <v>Timber</v>
      </c>
      <c r="DO101" s="163">
        <v>0</v>
      </c>
      <c r="DP101" s="141">
        <v>0</v>
      </c>
      <c r="DQ101" s="163">
        <v>0</v>
      </c>
      <c r="DR101" s="163">
        <v>0</v>
      </c>
      <c r="DS101" s="163">
        <v>0</v>
      </c>
      <c r="DT101">
        <f>SUM(DO101:DP101)</f>
        <v>0</v>
      </c>
      <c r="DU101" s="143" t="str">
        <f>IF(DO101=1,"self-calculated DF",IF(DP101=1,"external DF used","explicit C balance"))</f>
        <v>explicit C balance</v>
      </c>
      <c r="DV101" s="163">
        <v>1</v>
      </c>
      <c r="DW101" s="141">
        <v>1</v>
      </c>
      <c r="DX101" s="163">
        <v>1</v>
      </c>
      <c r="DY101" s="163">
        <v>0</v>
      </c>
      <c r="DZ101" s="141">
        <v>0</v>
      </c>
      <c r="EA101" s="141">
        <v>0</v>
      </c>
      <c r="EB101" s="143">
        <v>0</v>
      </c>
      <c r="EC101" s="141">
        <v>0</v>
      </c>
      <c r="ED101" s="143">
        <v>0</v>
      </c>
      <c r="EE101" s="143">
        <v>0</v>
      </c>
      <c r="EF101" s="141">
        <v>1</v>
      </c>
      <c r="EG101" s="163">
        <v>0</v>
      </c>
      <c r="EH101" s="141">
        <v>0</v>
      </c>
      <c r="EI101" s="177">
        <v>0</v>
      </c>
      <c r="EJ101" s="1"/>
      <c r="EK101" t="str">
        <f>IF(AND(AND(AND(OR($DX101=1,$DW101=1),OR($EC101=1,$EA101=1)),SUM($DV101:$DZ101,$EF101)&gt;=4),SUM($EA101:$EE101)&gt;=2),"Whole sector","")</f>
        <v/>
      </c>
      <c r="EL101" t="str">
        <f>IF(AND(AND(OR($DX101=1,$DW101=1),AND($EC101=0,$EA101=0)),SUM($DV101:$DZ101,$EF101)&gt;=4),"Ecosystem approach","")</f>
        <v>Ecosystem approach</v>
      </c>
      <c r="EM101" s="2" t="str">
        <f>IF(AND(AND(AND($DX101=0,$DW101=0),OR($EC101=1,$EA101=1)),SUM($EB101:$EE101)&gt;=2),"Technology approach","")</f>
        <v/>
      </c>
      <c r="EN101" s="141"/>
      <c r="EO101"/>
      <c r="EP101" t="str">
        <f>IF(ISNUMBER(BU101),IF(ABS(BU101-[3]QC_indicators!$B$2)&gt;3*[3]QC_indicators!$C$2,"C ratio",IF(ISNUMBER(BY101),IF(ABS(BY101-[3]QC_indicators!$B$1)&gt;3*[3]QC_indicators!$C$1,"DF","no"))),IF(ISNUMBER(BY101),IF(ABS(BY101-[3]QC_indicators!$B$1)&gt;3*[3]QC_indicators!$C$1,"DF","no")))</f>
        <v>no</v>
      </c>
      <c r="EQ101"/>
      <c r="ER101" s="294" t="s">
        <v>1302</v>
      </c>
      <c r="ES101"/>
      <c r="ET101" s="264" t="s">
        <v>3407</v>
      </c>
      <c r="EU101"/>
    </row>
    <row r="102" spans="1:151" s="139" customFormat="1" ht="15" customHeight="1">
      <c r="A102" s="1" t="s">
        <v>1423</v>
      </c>
      <c r="B102" t="s">
        <v>2116</v>
      </c>
      <c r="C102" t="s">
        <v>2117</v>
      </c>
      <c r="D102" t="s">
        <v>2118</v>
      </c>
      <c r="E102" t="s">
        <v>2119</v>
      </c>
      <c r="F102" t="s">
        <v>2120</v>
      </c>
      <c r="G102" t="s">
        <v>1429</v>
      </c>
      <c r="H102" t="s">
        <v>254</v>
      </c>
      <c r="I102">
        <v>2014</v>
      </c>
      <c r="J102">
        <v>45</v>
      </c>
      <c r="K102" t="s">
        <v>2121</v>
      </c>
      <c r="L102"/>
      <c r="M102" t="str">
        <f>LEFT($D102,FIND(",",$D102)-1)&amp;"_"&amp;I102&amp;L102</f>
        <v>Pukkala_2014</v>
      </c>
      <c r="N102" t="s">
        <v>222</v>
      </c>
      <c r="O102" s="171" t="s">
        <v>225</v>
      </c>
      <c r="P102" t="s">
        <v>1154</v>
      </c>
      <c r="Q102"/>
      <c r="R102" s="262" t="s">
        <v>223</v>
      </c>
      <c r="S102" s="1" t="s">
        <v>2122</v>
      </c>
      <c r="T102" t="s">
        <v>2123</v>
      </c>
      <c r="U102" t="s">
        <v>2124</v>
      </c>
      <c r="V102">
        <v>0</v>
      </c>
      <c r="W102">
        <v>0</v>
      </c>
      <c r="X102">
        <v>0</v>
      </c>
      <c r="Y102">
        <v>0</v>
      </c>
      <c r="Z102">
        <v>0</v>
      </c>
      <c r="AA102">
        <v>0</v>
      </c>
      <c r="AB102">
        <v>0</v>
      </c>
      <c r="AC102">
        <v>0</v>
      </c>
      <c r="AD102">
        <v>0</v>
      </c>
      <c r="AE102">
        <v>0</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s="141">
        <f>COUNTIF(V102:AW102,"&lt;&gt;0")</f>
        <v>1</v>
      </c>
      <c r="AY102" s="141">
        <f>COUNTIF(V102:AL102,"&lt;&gt;0")</f>
        <v>1</v>
      </c>
      <c r="AZ102">
        <f>COUNTIF(V102:AC102,"&lt;&gt;0")</f>
        <v>0</v>
      </c>
      <c r="BA102">
        <f>COUNTIF(AD102:AI102,"&lt;&gt;0")</f>
        <v>1</v>
      </c>
      <c r="BB102">
        <f>COUNTIF(AJ102:AL102,"&lt;&gt;0")</f>
        <v>0</v>
      </c>
      <c r="BC102">
        <f>COUNTIF(AS102:AW102,"&lt;&gt;0")</f>
        <v>0</v>
      </c>
      <c r="BD102">
        <f>COUNTIF(AM102:AR102,"&lt;&gt;0")</f>
        <v>0</v>
      </c>
      <c r="BE102" t="str">
        <f t="array" ref="BE102">IF(AY102=1,INDEX($V$7:$AL$7,MATCH(TRUE,INDEX($V102:$AW102&lt;&gt;0,),0)),IF(AY102=0,INDEX($AM$7:$AW$7,MATCH(1,$AM102:$AW102,0)),IF(BF102="Multiple strategies","mixed drivers",IF(BF102="Supply chain","multiple supply","multiple silviculture"))))</f>
        <v>supply chain organization</v>
      </c>
      <c r="BF102" s="2" t="str" cm="1">
        <f t="array" ref="BF102">IF(COUNTIF(AZ102:BB102,"&lt;&gt;0")=1,INDEX($V$4:$AW$4,MATCH(TRUE,INDEX($V102:$AW102&lt;&gt;0,),0)),IF(COUNTIF(AZ102:BB102,"&lt;&gt;0")=0,INDEX($AM$4:$AW$4,MATCH(1,$AM102:$AW102,0)),"Multiple strategies"))</f>
        <v>Supply chain</v>
      </c>
      <c r="BG102" s="1" t="s">
        <v>229</v>
      </c>
      <c r="BH102" t="s">
        <v>2125</v>
      </c>
      <c r="BI102" t="s">
        <v>2126</v>
      </c>
      <c r="BJ102" t="s">
        <v>2127</v>
      </c>
      <c r="BK102">
        <v>1.004</v>
      </c>
      <c r="BL102">
        <v>1.0920000000000001</v>
      </c>
      <c r="BM102">
        <f>IFERROR(BL102/BK102,"")</f>
        <v>1.0876494023904384</v>
      </c>
      <c r="BN102">
        <f>BL102-BK102</f>
        <v>8.8000000000000078E-2</v>
      </c>
      <c r="BO102">
        <f>+BN102*tC_to_m3</f>
        <v>0.38211029092488097</v>
      </c>
      <c r="BP102" t="s">
        <v>232</v>
      </c>
      <c r="BQ102" t="s">
        <v>2128</v>
      </c>
      <c r="BR102" t="s">
        <v>2127</v>
      </c>
      <c r="BS102" s="185">
        <f>0.194-0.202</f>
        <v>-8.0000000000000071E-3</v>
      </c>
      <c r="BT102">
        <f>0.053-0.243</f>
        <v>-0.19</v>
      </c>
      <c r="BU102" s="144">
        <f>BT102/BS102</f>
        <v>23.749999999999979</v>
      </c>
      <c r="BV102">
        <f>BT102-BS102</f>
        <v>-0.182</v>
      </c>
      <c r="BW102"/>
      <c r="BX102" s="185">
        <f>BV102*C_to_CO2</f>
        <v>-0.66793999999999998</v>
      </c>
      <c r="BY102">
        <f>IFERROR(BX102/BO102,"")</f>
        <v>-1.748029340909089</v>
      </c>
      <c r="BZ102">
        <v>0</v>
      </c>
      <c r="CA102">
        <v>0</v>
      </c>
      <c r="CB102">
        <v>0</v>
      </c>
      <c r="CC102">
        <v>0</v>
      </c>
      <c r="CD102">
        <v>0</v>
      </c>
      <c r="CE102">
        <v>0</v>
      </c>
      <c r="CF102">
        <v>0</v>
      </c>
      <c r="CG102">
        <v>0</v>
      </c>
      <c r="CH102">
        <v>0</v>
      </c>
      <c r="CI102">
        <v>0</v>
      </c>
      <c r="CJ102">
        <v>0</v>
      </c>
      <c r="CK102">
        <v>0</v>
      </c>
      <c r="CL102">
        <v>0</v>
      </c>
      <c r="CM102">
        <v>1</v>
      </c>
      <c r="CN102" t="str">
        <f>IF($BL102&lt;$BK102,"refNeedCorrection","refOK")</f>
        <v>refOK</v>
      </c>
      <c r="CO102">
        <f>IF($CN102="refOK",$BK102,$BL102)</f>
        <v>1.004</v>
      </c>
      <c r="CP102">
        <f>IF($CN102="refOK",$BL102,$BK102)</f>
        <v>1.0920000000000001</v>
      </c>
      <c r="CQ102">
        <f>IF($CN102="refOK",$BO102,-$BO102)</f>
        <v>0.38211029092488097</v>
      </c>
      <c r="CR102">
        <f>IF($CN102="refOK",$BS102,$BT102)*IF($BP102="Emissions positive",-1,1)</f>
        <v>-8.0000000000000071E-3</v>
      </c>
      <c r="CS102">
        <f>IF($CN102="refOK",$BT102,$BS102)*IF($BP102="Emissions positive",-1,1)</f>
        <v>-0.19</v>
      </c>
      <c r="CT102">
        <f>IF($CN102="refNeedCorrection",-BX102,BX102)*IF($BP102="Emissions positive",-1,1)</f>
        <v>-0.66793999999999998</v>
      </c>
      <c r="CU102">
        <f>IFERROR(CT102/CQ102,"")</f>
        <v>-1.748029340909089</v>
      </c>
      <c r="CV102" s="2">
        <f>IFERROR((CS102-CR102)/ABS(CR102),"")</f>
        <v>-22.749999999999979</v>
      </c>
      <c r="CW102" s="1" t="s">
        <v>2036</v>
      </c>
      <c r="CX102" t="str">
        <f>IF(OR($CW102="prd",$CW102="std",$CW102="cit"),"loc",IF(OR($CW102="eur",$CW102="reg",$CW102="coy"),"reg",$CW102))</f>
        <v>reg</v>
      </c>
      <c r="CY102" t="s">
        <v>235</v>
      </c>
      <c r="CZ102"/>
      <c r="DA102"/>
      <c r="DB102">
        <v>30</v>
      </c>
      <c r="DC102" t="str">
        <f>IF(DB102=0,"0",IF(AND(DB102&gt;=1,DB102&lt;=30),"1-30",IF(AND(DB102&gt;30,DB102&lt;=70),"31-70",IF(AND(DB102&gt;70,DB102&lt;=100),"71-100",IF(DB102&gt;100,"+100")))))</f>
        <v>1-30</v>
      </c>
      <c r="DD102">
        <v>1</v>
      </c>
      <c r="DE102">
        <v>0</v>
      </c>
      <c r="DF102">
        <v>0</v>
      </c>
      <c r="DG102">
        <v>0</v>
      </c>
      <c r="DH102">
        <v>0</v>
      </c>
      <c r="DI102">
        <f>SUM(DD102:DG102)</f>
        <v>1</v>
      </c>
      <c r="DJ102" t="str">
        <f>IF(DI102=1,INDEX($DD$7:$DG$7,MATCH(1,$DD102:$DG102,0)),"mixedProduct")</f>
        <v>UpstreamInput</v>
      </c>
      <c r="DK102" t="str">
        <f>IF(DD102=1,DK$7,0)</f>
        <v>Upstream</v>
      </c>
      <c r="DL102">
        <f>IF(DE102=1,DL$7,0)</f>
        <v>0</v>
      </c>
      <c r="DM102">
        <f>IF(DF102=1,DM$7,0)</f>
        <v>0</v>
      </c>
      <c r="DN102">
        <f>IF(DG102=1,DN$7,0)</f>
        <v>0</v>
      </c>
      <c r="DO102">
        <v>0</v>
      </c>
      <c r="DP102" s="185">
        <v>0</v>
      </c>
      <c r="DQ102" s="190"/>
      <c r="DR102" s="190"/>
      <c r="DS102" s="184">
        <v>0</v>
      </c>
      <c r="DT102"/>
      <c r="DU102" s="143" t="str">
        <f>IF(DO102=1,"self-calculated DF",IF(DP102=1,"external DF used","explicit C balance"))</f>
        <v>explicit C balance</v>
      </c>
      <c r="DV102">
        <v>1</v>
      </c>
      <c r="DW102">
        <v>1</v>
      </c>
      <c r="DX102">
        <v>1</v>
      </c>
      <c r="DY102">
        <v>0</v>
      </c>
      <c r="DZ102">
        <v>0</v>
      </c>
      <c r="EA102" s="185">
        <v>0</v>
      </c>
      <c r="EB102">
        <v>0</v>
      </c>
      <c r="EC102">
        <v>0</v>
      </c>
      <c r="ED102" s="185">
        <v>0</v>
      </c>
      <c r="EE102">
        <v>0</v>
      </c>
      <c r="EF102">
        <v>1</v>
      </c>
      <c r="EG102">
        <v>0</v>
      </c>
      <c r="EH102">
        <v>0</v>
      </c>
      <c r="EI102" s="2">
        <v>0</v>
      </c>
      <c r="EJ102" s="1"/>
      <c r="EK102" t="str">
        <f>IF(AND(AND(AND(OR($DX102=1,$DW102=1),OR($EC102=1,$EA102=1)),SUM($DV102:$DZ102,$EF102)&gt;=4),SUM($EA102:$EE102)&gt;=2),"Whole sector","")</f>
        <v/>
      </c>
      <c r="EL102" t="str">
        <f>IF(AND(AND(OR($DX102=1,$DW102=1),AND($EC102=0,$EA102=0)),SUM($DV102:$DZ102,$EF102)&gt;=4),"Ecosystem approach","")</f>
        <v>Ecosystem approach</v>
      </c>
      <c r="EM102" s="2" t="str">
        <f>IF(AND(AND(AND($DX102=0,$DW102=0),OR($EC102=1,$EA102=1)),SUM($EB102:$EE102)&gt;=2),"Technology approach","")</f>
        <v/>
      </c>
      <c r="EN102"/>
      <c r="EO102"/>
      <c r="EP102" t="str">
        <f>IF(ISNUMBER(BU102),IF(ABS(BU102-[1]QC_indicators!$B$2)&gt;3*[1]QC_indicators!$C$2,"C ratio",IF(ISNUMBER(BY102),IF(ABS(BY102-[1]QC_indicators!$B$1)&gt;3*[1]QC_indicators!$C$1,"DF","no"))),IF(ISNUMBER(BY102),IF(ABS(BY102-[1]QC_indicators!$B$1)&gt;3*[1]QC_indicators!$C$1,"DF","no")))</f>
        <v>C ratio</v>
      </c>
      <c r="EQ102"/>
      <c r="ER102"/>
      <c r="ES102"/>
      <c r="ET102" s="264" t="s">
        <v>3223</v>
      </c>
      <c r="EU102"/>
    </row>
    <row r="103" spans="1:151" s="139" customFormat="1" ht="15" customHeight="1">
      <c r="A103" s="1" t="s">
        <v>1808</v>
      </c>
      <c r="B103" t="s">
        <v>2475</v>
      </c>
      <c r="C103" t="s">
        <v>2476</v>
      </c>
      <c r="D103" t="s">
        <v>2477</v>
      </c>
      <c r="E103" t="s">
        <v>2478</v>
      </c>
      <c r="F103" t="s">
        <v>2479</v>
      </c>
      <c r="G103" t="s">
        <v>1814</v>
      </c>
      <c r="H103" t="s">
        <v>254</v>
      </c>
      <c r="I103">
        <v>2010</v>
      </c>
      <c r="J103">
        <v>100</v>
      </c>
      <c r="K103" t="s">
        <v>2480</v>
      </c>
      <c r="L103"/>
      <c r="M103" t="str">
        <f>LEFT($D103,FIND(",",$D103)-1)&amp;"_"&amp;I103&amp;L103</f>
        <v>Werner_2010</v>
      </c>
      <c r="N103" t="s">
        <v>222</v>
      </c>
      <c r="O103" s="145" t="s">
        <v>1154</v>
      </c>
      <c r="P103"/>
      <c r="Q103" t="s">
        <v>256</v>
      </c>
      <c r="R103" s="262" t="s">
        <v>223</v>
      </c>
      <c r="S103" s="1" t="s">
        <v>2481</v>
      </c>
      <c r="T103" t="s">
        <v>2482</v>
      </c>
      <c r="U103" t="s">
        <v>2486</v>
      </c>
      <c r="V103">
        <v>1</v>
      </c>
      <c r="W103">
        <v>0</v>
      </c>
      <c r="X103">
        <v>2</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s="141">
        <f>COUNTIF(V103:AW103,"&lt;&gt;0")</f>
        <v>2</v>
      </c>
      <c r="AY103" s="141">
        <f>COUNTIF(V103:AL103,"&lt;&gt;0")</f>
        <v>2</v>
      </c>
      <c r="AZ103">
        <f>COUNTIF(V103:AC103,"&lt;&gt;0")</f>
        <v>2</v>
      </c>
      <c r="BA103">
        <f>COUNTIF(AD103:AI103,"&lt;&gt;0")</f>
        <v>0</v>
      </c>
      <c r="BB103">
        <f>COUNTIF(AJ103:AL103,"&lt;&gt;0")</f>
        <v>0</v>
      </c>
      <c r="BC103">
        <f>COUNTIF(AS103:AW103,"&lt;&gt;0")</f>
        <v>0</v>
      </c>
      <c r="BD103">
        <f>COUNTIF(AM103:AR103,"&lt;&gt;0")</f>
        <v>0</v>
      </c>
      <c r="BE103" t="str">
        <f t="array" ref="BE103">IF(AY103=1,INDEX($V$7:$AL$7,MATCH(TRUE,INDEX($V103:$AW103&lt;&gt;0,),0)),IF(AY103=0,INDEX($AM$7:$AW$7,MATCH(1,$AM103:$AW103,0)),IF(BF103="Multiple strategies","mixed drivers",IF(BF103="Supply chain","multiple supply","multiple silviculture"))))</f>
        <v>multiple silviculture</v>
      </c>
      <c r="BF103" s="2" t="str" cm="1">
        <f t="array" ref="BF103">IF(COUNTIF(AZ103:BB103,"&lt;&gt;0")=1,INDEX($V$4:$AW$4,MATCH(TRUE,INDEX($V103:$AW103&lt;&gt;0,),0)),IF(COUNTIF(AZ103:BB103,"&lt;&gt;0")=0,INDEX($AM$4:$AW$4,MATCH(1,$AM103:$AW103,0)),"Multiple strategies"))</f>
        <v>Silviculture for removals</v>
      </c>
      <c r="BG103" s="1" t="s">
        <v>321</v>
      </c>
      <c r="BH103" t="s">
        <v>2453</v>
      </c>
      <c r="BI103" s="264" t="s">
        <v>3252</v>
      </c>
      <c r="BJ103" t="s">
        <v>1323</v>
      </c>
      <c r="BK103">
        <v>120</v>
      </c>
      <c r="BL103">
        <v>202.5</v>
      </c>
      <c r="BM103" s="143">
        <f>BL103/BK103</f>
        <v>1.6875</v>
      </c>
      <c r="BN103">
        <f>BL103-BK103</f>
        <v>82.5</v>
      </c>
      <c r="BO103">
        <f>BN103*10^6</f>
        <v>82500000</v>
      </c>
      <c r="BP103" t="s">
        <v>232</v>
      </c>
      <c r="BQ103" s="153" t="s">
        <v>3253</v>
      </c>
      <c r="BR103" t="s">
        <v>2325</v>
      </c>
      <c r="BS103">
        <v>223.834792619919</v>
      </c>
      <c r="BT103">
        <v>79.643362017116502</v>
      </c>
      <c r="BU103" s="144">
        <f>IFERROR(BT103/BS103,"")</f>
        <v>0.35581314720966689</v>
      </c>
      <c r="BV103" s="144">
        <f>BT103-BS103</f>
        <v>-144.19143060280248</v>
      </c>
      <c r="BW103" s="144"/>
      <c r="BX103">
        <f>BV103*10^6</f>
        <v>-144191430.60280249</v>
      </c>
      <c r="BY103">
        <f>IFERROR(BX103/BO103,"")</f>
        <v>-1.747774916397606</v>
      </c>
      <c r="BZ103">
        <v>0</v>
      </c>
      <c r="CA103">
        <v>0</v>
      </c>
      <c r="CB103">
        <v>0</v>
      </c>
      <c r="CC103">
        <v>0</v>
      </c>
      <c r="CD103">
        <v>0</v>
      </c>
      <c r="CE103">
        <v>0</v>
      </c>
      <c r="CF103">
        <v>0</v>
      </c>
      <c r="CG103">
        <v>0</v>
      </c>
      <c r="CH103">
        <v>0</v>
      </c>
      <c r="CI103">
        <v>0</v>
      </c>
      <c r="CJ103">
        <v>0</v>
      </c>
      <c r="CK103">
        <v>0</v>
      </c>
      <c r="CL103">
        <v>0</v>
      </c>
      <c r="CM103">
        <v>1</v>
      </c>
      <c r="CN103" t="str">
        <f>IF($BL103&lt;$BK103,"refNeedCorrection","refOK")</f>
        <v>refOK</v>
      </c>
      <c r="CO103">
        <f>IF($CN103="refOK",$BK103,$BL103)</f>
        <v>120</v>
      </c>
      <c r="CP103">
        <f>IF($CN103="refOK",$BL103,$BK103)</f>
        <v>202.5</v>
      </c>
      <c r="CQ103">
        <f>IF($CN103="refOK",$BO103,-$BO103)</f>
        <v>82500000</v>
      </c>
      <c r="CR103">
        <f>IF($CN103="refOK",$BS103,$BT103)*IF($BP103="Emissions positive",-1,1)</f>
        <v>223.834792619919</v>
      </c>
      <c r="CS103">
        <f>IF($CN103="refOK",$BT103,$BS103)*IF($BP103="Emissions positive",-1,1)</f>
        <v>79.643362017116502</v>
      </c>
      <c r="CT103">
        <f>IF($CN103="refNeedCorrection",-BX103,BX103)*IF($BP103="Emissions positive",-1,1)</f>
        <v>-144191430.60280249</v>
      </c>
      <c r="CU103">
        <f>IFERROR(CT103/CQ103,"")</f>
        <v>-1.747774916397606</v>
      </c>
      <c r="CV103" s="2">
        <f>IFERROR((CS103-CR103)/ABS(CR103),"")</f>
        <v>-0.64418685279033305</v>
      </c>
      <c r="CW103" s="1" t="s">
        <v>1203</v>
      </c>
      <c r="CX103" t="str">
        <f>IF(OR($CW103="prd",$CW103="std",$CW103="cit"),"loc",IF(OR($CW103="eur",$CW103="reg",$CW103="coy"),"reg",$CW103))</f>
        <v>reg</v>
      </c>
      <c r="CY103" t="s">
        <v>639</v>
      </c>
      <c r="CZ103">
        <v>2000</v>
      </c>
      <c r="DA103">
        <v>2030</v>
      </c>
      <c r="DB103">
        <f>DA103-CZ103</f>
        <v>30</v>
      </c>
      <c r="DC103" t="str">
        <f>IF(DB103=0,"0",IF(AND(DB103&gt;=1,DB103&lt;=30),"1-30",IF(AND(DB103&gt;30,DB103&lt;=70),"31-70",IF(AND(DB103&gt;70,DB103&lt;=100),"71-100",IF(DB103&gt;100,"+100")))))</f>
        <v>1-30</v>
      </c>
      <c r="DD103">
        <v>1</v>
      </c>
      <c r="DE103">
        <v>0</v>
      </c>
      <c r="DF103">
        <v>0</v>
      </c>
      <c r="DG103">
        <v>0</v>
      </c>
      <c r="DH103">
        <v>0</v>
      </c>
      <c r="DI103">
        <f>SUM(DD103:DG103)</f>
        <v>1</v>
      </c>
      <c r="DJ103" t="str">
        <f>IF(DI103=1,INDEX($DD$7:$DG$7,MATCH(1,$DD103:$DG103,0)),"mixedProduct")</f>
        <v>UpstreamInput</v>
      </c>
      <c r="DK103" t="str">
        <f>IF(DD103=1,DK$7,0)</f>
        <v>Upstream</v>
      </c>
      <c r="DL103">
        <f>IF(DE103=1,DL$7,0)</f>
        <v>0</v>
      </c>
      <c r="DM103">
        <f>IF(DF103=1,DM$7,0)</f>
        <v>0</v>
      </c>
      <c r="DN103">
        <f>IF(DG103=1,DN$7,0)</f>
        <v>0</v>
      </c>
      <c r="DO103">
        <v>0</v>
      </c>
      <c r="DP103">
        <v>0</v>
      </c>
      <c r="DQ103"/>
      <c r="DR103"/>
      <c r="DS103"/>
      <c r="DT103">
        <f>SUM(DO103:DP103)</f>
        <v>0</v>
      </c>
      <c r="DU103" s="143" t="str">
        <f>IF(DO103=1,"self-calculated DF",IF(DP103=1,"external DF used","explicit C balance"))</f>
        <v>explicit C balance</v>
      </c>
      <c r="DV103">
        <v>1</v>
      </c>
      <c r="DW103">
        <v>1</v>
      </c>
      <c r="DX103">
        <v>1</v>
      </c>
      <c r="DY103">
        <v>0</v>
      </c>
      <c r="DZ103">
        <v>0</v>
      </c>
      <c r="EA103" s="143">
        <v>0</v>
      </c>
      <c r="EB103">
        <v>0</v>
      </c>
      <c r="EC103">
        <v>0</v>
      </c>
      <c r="ED103">
        <v>0</v>
      </c>
      <c r="EE103">
        <v>0</v>
      </c>
      <c r="EF103">
        <v>1</v>
      </c>
      <c r="EG103">
        <v>0</v>
      </c>
      <c r="EH103">
        <v>0</v>
      </c>
      <c r="EI103" s="2">
        <v>0</v>
      </c>
      <c r="EJ103" s="1"/>
      <c r="EK103" t="str">
        <f>IF(AND(AND(AND(OR($DX103=1,$DW103=1),OR($EC103=1,$EA103=1)),SUM($DV103:$DZ103,$EF103)&gt;=4),SUM($EA103:$EE103)&gt;=2),"Whole sector","")</f>
        <v/>
      </c>
      <c r="EL103" t="str">
        <f>IF(AND(AND(OR($DX103=1,$DW103=1),AND($EC103=0,$EA103=0)),SUM($DV103:$DZ103,$EF103)&gt;=4),"Ecosystem approach","")</f>
        <v>Ecosystem approach</v>
      </c>
      <c r="EM103" s="2" t="str">
        <f>IF(AND(AND(AND($DX103=0,$DW103=0),OR($EC103=1,$EA103=1)),SUM($EB103:$EE103)&gt;=2),"Technology approach","")</f>
        <v/>
      </c>
      <c r="EN103" t="s">
        <v>2485</v>
      </c>
      <c r="EO103"/>
      <c r="EP103" t="str">
        <f>IF(ISNUMBER(BU103),IF(ABS(BU103-[1]QC_indicators!$B$2)&gt;3*[1]QC_indicators!$C$2,"C ratio",IF(ISNUMBER(BY103),IF(ABS(BY103-[1]QC_indicators!$B$1)&gt;3*[1]QC_indicators!$C$1,"DF","no"))),IF(ISNUMBER(BY103),IF(ABS(BY103-[1]QC_indicators!$B$1)&gt;3*[1]QC_indicators!$C$1,"DF","no")))</f>
        <v>no</v>
      </c>
      <c r="EQ103"/>
      <c r="ER103"/>
      <c r="ES103"/>
      <c r="ET103" s="264" t="s">
        <v>3254</v>
      </c>
      <c r="EU103"/>
    </row>
    <row r="104" spans="1:151" s="139" customFormat="1" ht="15" customHeight="1">
      <c r="A104" s="1" t="s">
        <v>1204</v>
      </c>
      <c r="B104" t="s">
        <v>1205</v>
      </c>
      <c r="C104" t="s">
        <v>1206</v>
      </c>
      <c r="D104" t="s">
        <v>1207</v>
      </c>
      <c r="E104" t="s">
        <v>1208</v>
      </c>
      <c r="F104" t="s">
        <v>1209</v>
      </c>
      <c r="G104" t="s">
        <v>1210</v>
      </c>
      <c r="H104"/>
      <c r="I104">
        <v>2006</v>
      </c>
      <c r="J104"/>
      <c r="K104" t="s">
        <v>1211</v>
      </c>
      <c r="L104"/>
      <c r="M104" t="str">
        <f>LEFT($D104,FIND(",",$D104)-1)&amp;"_"&amp;I104&amp;L104</f>
        <v>Backeus_2006</v>
      </c>
      <c r="N104" t="s">
        <v>222</v>
      </c>
      <c r="O104" s="140" t="s">
        <v>274</v>
      </c>
      <c r="P104"/>
      <c r="Q104" t="s">
        <v>224</v>
      </c>
      <c r="R104" s="255" t="s">
        <v>223</v>
      </c>
      <c r="S104" s="263" t="s">
        <v>3087</v>
      </c>
      <c r="T104" t="s">
        <v>1216</v>
      </c>
      <c r="U104" t="s">
        <v>1213</v>
      </c>
      <c r="V104">
        <v>0</v>
      </c>
      <c r="W104">
        <v>0</v>
      </c>
      <c r="X104">
        <v>0</v>
      </c>
      <c r="Y104">
        <v>1</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1</v>
      </c>
      <c r="AW104">
        <v>0</v>
      </c>
      <c r="AX104" s="141">
        <f>COUNTIF(V104:AW104,"&lt;&gt;0")</f>
        <v>2</v>
      </c>
      <c r="AY104" s="141">
        <f>COUNTIF(V104:AL104,"&lt;&gt;0")</f>
        <v>1</v>
      </c>
      <c r="AZ104">
        <f>COUNTIF(V104:AC104,"&lt;&gt;0")</f>
        <v>1</v>
      </c>
      <c r="BA104">
        <f>COUNTIF(AD104:AI104,"&lt;&gt;0")</f>
        <v>0</v>
      </c>
      <c r="BB104">
        <f>COUNTIF(AJ104:AL104,"&lt;&gt;0")</f>
        <v>0</v>
      </c>
      <c r="BC104">
        <f>COUNTIF(AS104:AW104,"&lt;&gt;0")</f>
        <v>1</v>
      </c>
      <c r="BD104">
        <f>COUNTIF(AM104:AR104,"&lt;&gt;0")</f>
        <v>0</v>
      </c>
      <c r="BE104" t="str">
        <f t="array" ref="BE104">IF(AY104=1,INDEX($V$7:$AL$7,MATCH(TRUE,INDEX($V104:$AW104&lt;&gt;0,),0)),IF(AY104=0,INDEX($AM$7:$AW$7,MATCH(1,$AM104:$AW104,0)),IF(BF104="Multiple strategies","mixed drivers",IF(BF104="Supply chain","multiple supply","multiple silviculture"))))</f>
        <v xml:space="preserve">cutting intensity </v>
      </c>
      <c r="BF104" s="2" t="str" cm="1">
        <f t="array" ref="BF104">IF(COUNTIF(AZ104:BB104,"&lt;&gt;0")=1,INDEX($V$4:$AW$4,MATCH(TRUE,INDEX($V104:$AW104&lt;&gt;0,),0)),IF(COUNTIF(AZ104:BB104,"&lt;&gt;0")=0,INDEX($AM$4:$AW$4,MATCH(1,$AM104:$AW104,0)),"Multiple strategies"))</f>
        <v>Silviculture for removals</v>
      </c>
      <c r="BG104" s="1" t="s">
        <v>229</v>
      </c>
      <c r="BH104" t="s">
        <v>229</v>
      </c>
      <c r="BI104" s="264" t="s">
        <v>701</v>
      </c>
      <c r="BJ104" t="s">
        <v>1214</v>
      </c>
      <c r="BK104">
        <v>5.5285511609750859</v>
      </c>
      <c r="BL104">
        <v>5.6162990524021872</v>
      </c>
      <c r="BM104">
        <f>BL104/BK104</f>
        <v>1.0158717698131285</v>
      </c>
      <c r="BN104">
        <f>BL104-BK104</f>
        <v>8.7747891427101266E-2</v>
      </c>
      <c r="BO104" s="143">
        <f>BN104*10^6</f>
        <v>87747.891427101262</v>
      </c>
      <c r="BP104" s="143" t="s">
        <v>232</v>
      </c>
      <c r="BQ104" s="342" t="s">
        <v>787</v>
      </c>
      <c r="BR104" s="152" t="s">
        <v>1215</v>
      </c>
      <c r="BS104" s="152">
        <v>1.51176470588235</v>
      </c>
      <c r="BT104" s="152">
        <v>1.47058823529411</v>
      </c>
      <c r="BU104" s="144">
        <f>IFERROR(BT104/BS104,"")</f>
        <v>0.97276264591439365</v>
      </c>
      <c r="BV104">
        <f>BT104-BS104</f>
        <v>-4.1176470588240033E-2</v>
      </c>
      <c r="BW104"/>
      <c r="BX104">
        <f>BV104*10^6*C_to_CO2</f>
        <v>-151117.6470588409</v>
      </c>
      <c r="BY104">
        <f>IFERROR(BX104/BO104,"")</f>
        <v>-1.7221798108321</v>
      </c>
      <c r="BZ104">
        <v>0</v>
      </c>
      <c r="CA104">
        <v>0</v>
      </c>
      <c r="CB104">
        <v>0</v>
      </c>
      <c r="CC104">
        <v>0</v>
      </c>
      <c r="CD104">
        <v>0</v>
      </c>
      <c r="CE104">
        <v>0</v>
      </c>
      <c r="CF104">
        <v>0</v>
      </c>
      <c r="CG104">
        <v>0</v>
      </c>
      <c r="CH104">
        <v>0</v>
      </c>
      <c r="CI104">
        <v>0</v>
      </c>
      <c r="CJ104">
        <v>0</v>
      </c>
      <c r="CK104">
        <v>0</v>
      </c>
      <c r="CL104">
        <v>0</v>
      </c>
      <c r="CM104">
        <v>0</v>
      </c>
      <c r="CN104" t="str">
        <f>IF($BL104&lt;$BK104,"refNeedCorrection","refOK")</f>
        <v>refOK</v>
      </c>
      <c r="CO104">
        <f>IF($CN104="refOK",$BK104,$BL104)</f>
        <v>5.5285511609750859</v>
      </c>
      <c r="CP104">
        <f>IF($CN104="refOK",$BL104,$BK104)</f>
        <v>5.6162990524021872</v>
      </c>
      <c r="CQ104">
        <f>IF($CN104="refOK",$BO104,-$BO104)</f>
        <v>87747.891427101262</v>
      </c>
      <c r="CR104">
        <f>IF($CN104="refOK",$BS104,$BT104)*IF($BP104="Emissions positive",-1,1)</f>
        <v>1.51176470588235</v>
      </c>
      <c r="CS104">
        <f>IF($CN104="refOK",$BT104,$BS104)*IF($BP104="Emissions positive",-1,1)</f>
        <v>1.47058823529411</v>
      </c>
      <c r="CT104">
        <f>IF($CN104="refNeedCorrection",-BX104,BX104)*IF($BP104="Emissions positive",-1,1)</f>
        <v>-151117.6470588409</v>
      </c>
      <c r="CU104">
        <f>IFERROR(CT104/CQ104,"")</f>
        <v>-1.7221798108321</v>
      </c>
      <c r="CV104" s="2">
        <f>IFERROR((CS104-CR104)/ABS(CR104),"")</f>
        <v>-2.7237354085606302E-2</v>
      </c>
      <c r="CW104" s="1" t="s">
        <v>1199</v>
      </c>
      <c r="CX104" t="str">
        <f>IF(OR($CW104="prd",$CW104="std",$CW104="cit"),"loc",IF(OR($CW104="eur",$CW104="reg",$CW104="coy"),"reg",$CW104))</f>
        <v>reg</v>
      </c>
      <c r="CY104" t="s">
        <v>444</v>
      </c>
      <c r="CZ104"/>
      <c r="DA104"/>
      <c r="DB104">
        <v>100</v>
      </c>
      <c r="DC104" t="str">
        <f>IF(DB104=0,"0",IF(AND(DB104&gt;=1,DB104&lt;=30),"1-30",IF(AND(DB104&gt;30,DB104&lt;=70),"31-70",IF(AND(DB104&gt;70,DB104&lt;=100),"71-100",IF(DB104&gt;100,"+100")))))</f>
        <v>71-100</v>
      </c>
      <c r="DD104">
        <v>0</v>
      </c>
      <c r="DE104">
        <v>1</v>
      </c>
      <c r="DF104">
        <v>1</v>
      </c>
      <c r="DG104">
        <v>1</v>
      </c>
      <c r="DH104"/>
      <c r="DI104">
        <f>SUM(DD104:DG104)</f>
        <v>3</v>
      </c>
      <c r="DJ104" t="str">
        <f>IF(DI104=1,INDEX($DD$7:$DG$7,MATCH(1,$DD104:$DG104,0)),"mixedProduct")</f>
        <v>mixedProduct</v>
      </c>
      <c r="DK104">
        <f>IF(DD104=1,DK$7,0)</f>
        <v>0</v>
      </c>
      <c r="DL104" t="str">
        <f>IF(DE104=1,DL$7,0)</f>
        <v>Energy</v>
      </c>
      <c r="DM104" t="str">
        <f>IF(DF104=1,DM$7,0)</f>
        <v>Pulp/Paper</v>
      </c>
      <c r="DN104" t="str">
        <f>IF(DG104=1,DN$7,0)</f>
        <v>Timber</v>
      </c>
      <c r="DO104">
        <v>0</v>
      </c>
      <c r="DP104">
        <v>0</v>
      </c>
      <c r="DQ104">
        <v>0</v>
      </c>
      <c r="DR104">
        <v>0</v>
      </c>
      <c r="DS104">
        <v>0</v>
      </c>
      <c r="DT104">
        <f>SUM(DO104:DP104)</f>
        <v>0</v>
      </c>
      <c r="DU104" s="143" t="str">
        <f>IF(DO104=1,"self-calculated DF",IF(DP104=1,"external DF used","explicit C balance"))</f>
        <v>explicit C balance</v>
      </c>
      <c r="DV104">
        <v>0</v>
      </c>
      <c r="DW104">
        <v>1</v>
      </c>
      <c r="DX104">
        <v>1</v>
      </c>
      <c r="DY104">
        <v>0</v>
      </c>
      <c r="DZ104">
        <v>0</v>
      </c>
      <c r="EA104" s="143">
        <v>0</v>
      </c>
      <c r="EB104">
        <v>0</v>
      </c>
      <c r="EC104">
        <v>0</v>
      </c>
      <c r="ED104">
        <v>0</v>
      </c>
      <c r="EE104">
        <v>0</v>
      </c>
      <c r="EF104">
        <v>1</v>
      </c>
      <c r="EG104">
        <v>1</v>
      </c>
      <c r="EH104">
        <v>0</v>
      </c>
      <c r="EI104" s="2">
        <v>0</v>
      </c>
      <c r="EJ104" s="1"/>
      <c r="EK104" t="str">
        <f>IF(AND(AND(AND(OR($DX104=1,$DW104=1),OR($EC104=1,$EA104=1)),SUM($DV104:$DZ104,$EF104)&gt;=4),SUM($EA104:$EE104)&gt;=2),"Whole sector","")</f>
        <v/>
      </c>
      <c r="EL104" t="str">
        <f>IF(AND(AND(OR($DX104=1,$DW104=1),AND($EC104=0,$EA104=0)),SUM($DV104:$DZ104,$EF104)&gt;=4),"Ecosystem approach","")</f>
        <v/>
      </c>
      <c r="EM104" s="2" t="str">
        <f>IF(AND(AND(AND($DX104=0,$DW104=0),OR($EC104=1,$EA104=1)),SUM($EB104:$EE104)&gt;=2),"Technology approach","")</f>
        <v/>
      </c>
      <c r="EN104"/>
      <c r="EO104"/>
      <c r="EP104" t="str">
        <f>IF(ISNUMBER(BU104),IF(ABS(BU104-[1]QC_indicators!$B$2)&gt;3*[1]QC_indicators!$C$2,"C ratio",IF(ISNUMBER(BY104),IF(ABS(BY104-[1]QC_indicators!$B$1)&gt;3*[1]QC_indicators!$C$1,"DF","no"))),IF(ISNUMBER(BY104),IF(ABS(BY104-[1]QC_indicators!$B$1)&gt;3*[1]QC_indicators!$C$1,"DF","no")))</f>
        <v>no</v>
      </c>
      <c r="EQ104" t="s">
        <v>286</v>
      </c>
      <c r="ER104"/>
      <c r="ES104"/>
      <c r="ET104" s="264" t="s">
        <v>3088</v>
      </c>
      <c r="EU104"/>
    </row>
    <row r="105" spans="1:151" s="139" customFormat="1" ht="15" customHeight="1">
      <c r="A105" s="1" t="s">
        <v>1808</v>
      </c>
      <c r="B105" t="s">
        <v>2475</v>
      </c>
      <c r="C105" t="s">
        <v>2476</v>
      </c>
      <c r="D105" t="s">
        <v>2477</v>
      </c>
      <c r="E105" t="s">
        <v>2478</v>
      </c>
      <c r="F105" t="s">
        <v>2479</v>
      </c>
      <c r="G105" t="s">
        <v>1814</v>
      </c>
      <c r="H105" t="s">
        <v>254</v>
      </c>
      <c r="I105">
        <v>2010</v>
      </c>
      <c r="J105">
        <v>100</v>
      </c>
      <c r="K105" t="s">
        <v>2480</v>
      </c>
      <c r="L105"/>
      <c r="M105" t="str">
        <f>LEFT($D105,FIND(",",$D105)-1)&amp;"_"&amp;I105&amp;L105</f>
        <v>Werner_2010</v>
      </c>
      <c r="N105" t="s">
        <v>222</v>
      </c>
      <c r="O105" s="145" t="s">
        <v>1154</v>
      </c>
      <c r="P105"/>
      <c r="Q105" t="s">
        <v>256</v>
      </c>
      <c r="R105" s="262" t="s">
        <v>223</v>
      </c>
      <c r="S105" s="1" t="s">
        <v>2481</v>
      </c>
      <c r="T105" t="s">
        <v>2482</v>
      </c>
      <c r="U105" t="s">
        <v>1155</v>
      </c>
      <c r="V105">
        <v>1</v>
      </c>
      <c r="W105">
        <v>0</v>
      </c>
      <c r="X105">
        <v>2</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s="141">
        <f>COUNTIF(V105:AW105,"&lt;&gt;0")</f>
        <v>2</v>
      </c>
      <c r="AY105" s="141">
        <f>COUNTIF(V105:AL105,"&lt;&gt;0")</f>
        <v>2</v>
      </c>
      <c r="AZ105">
        <f>COUNTIF(V105:AC105,"&lt;&gt;0")</f>
        <v>2</v>
      </c>
      <c r="BA105">
        <f>COUNTIF(AD105:AI105,"&lt;&gt;0")</f>
        <v>0</v>
      </c>
      <c r="BB105">
        <f>COUNTIF(AJ105:AL105,"&lt;&gt;0")</f>
        <v>0</v>
      </c>
      <c r="BC105">
        <f>COUNTIF(AS105:AW105,"&lt;&gt;0")</f>
        <v>0</v>
      </c>
      <c r="BD105">
        <f>COUNTIF(AM105:AR105,"&lt;&gt;0")</f>
        <v>0</v>
      </c>
      <c r="BE105" t="str">
        <f t="array" ref="BE105">IF(AY105=1,INDEX($V$7:$AL$7,MATCH(TRUE,INDEX($V105:$AW105&lt;&gt;0,),0)),IF(AY105=0,INDEX($AM$7:$AW$7,MATCH(1,$AM105:$AW105,0)),IF(BF105="Multiple strategies","mixed drivers",IF(BF105="Supply chain","multiple supply","multiple silviculture"))))</f>
        <v>multiple silviculture</v>
      </c>
      <c r="BF105" s="2" t="str" cm="1">
        <f t="array" ref="BF105">IF(COUNTIF(AZ105:BB105,"&lt;&gt;0")=1,INDEX($V$4:$AW$4,MATCH(TRUE,INDEX($V105:$AW105&lt;&gt;0,),0)),IF(COUNTIF(AZ105:BB105,"&lt;&gt;0")=0,INDEX($AM$4:$AW$4,MATCH(1,$AM105:$AW105,0)),"Multiple strategies"))</f>
        <v>Silviculture for removals</v>
      </c>
      <c r="BG105" s="1" t="s">
        <v>321</v>
      </c>
      <c r="BH105" t="s">
        <v>2453</v>
      </c>
      <c r="BI105" s="264" t="s">
        <v>3252</v>
      </c>
      <c r="BJ105" t="s">
        <v>1323</v>
      </c>
      <c r="BK105">
        <v>210</v>
      </c>
      <c r="BL105">
        <v>340.5</v>
      </c>
      <c r="BM105" s="143">
        <f>BL105/BK105</f>
        <v>1.6214285714285714</v>
      </c>
      <c r="BN105">
        <f>BL105-BK105</f>
        <v>130.5</v>
      </c>
      <c r="BO105">
        <f>BN105*10^6</f>
        <v>130500000</v>
      </c>
      <c r="BP105" t="s">
        <v>232</v>
      </c>
      <c r="BQ105" s="153" t="s">
        <v>3253</v>
      </c>
      <c r="BR105" t="s">
        <v>2325</v>
      </c>
      <c r="BS105">
        <v>385.51880535301569</v>
      </c>
      <c r="BT105">
        <v>160.9167191536873</v>
      </c>
      <c r="BU105" s="144">
        <f>IFERROR(BT105/BS105,"")</f>
        <v>0.41740303435091181</v>
      </c>
      <c r="BV105" s="144">
        <f>BT105-BS105</f>
        <v>-224.6020861993284</v>
      </c>
      <c r="BW105" s="144"/>
      <c r="BX105">
        <f>BV105*10^6</f>
        <v>-224602086.19932839</v>
      </c>
      <c r="BY105">
        <f>IFERROR(BX105/BO105,"")</f>
        <v>-1.721088783136616</v>
      </c>
      <c r="BZ105">
        <v>0</v>
      </c>
      <c r="CA105">
        <v>0</v>
      </c>
      <c r="CB105">
        <v>0</v>
      </c>
      <c r="CC105">
        <v>0</v>
      </c>
      <c r="CD105">
        <v>0</v>
      </c>
      <c r="CE105">
        <v>0</v>
      </c>
      <c r="CF105">
        <v>0</v>
      </c>
      <c r="CG105">
        <v>0</v>
      </c>
      <c r="CH105">
        <v>0</v>
      </c>
      <c r="CI105">
        <v>0</v>
      </c>
      <c r="CJ105">
        <v>0</v>
      </c>
      <c r="CK105">
        <v>0</v>
      </c>
      <c r="CL105">
        <v>0</v>
      </c>
      <c r="CM105">
        <v>1</v>
      </c>
      <c r="CN105" t="str">
        <f>IF($BL105&lt;$BK105,"refNeedCorrection","refOK")</f>
        <v>refOK</v>
      </c>
      <c r="CO105">
        <f>IF($CN105="refOK",$BK105,$BL105)</f>
        <v>210</v>
      </c>
      <c r="CP105">
        <f>IF($CN105="refOK",$BL105,$BK105)</f>
        <v>340.5</v>
      </c>
      <c r="CQ105">
        <f>IF($CN105="refOK",$BO105,-$BO105)</f>
        <v>130500000</v>
      </c>
      <c r="CR105">
        <f>IF($CN105="refOK",$BS105,$BT105)*IF($BP105="Emissions positive",-1,1)</f>
        <v>385.51880535301569</v>
      </c>
      <c r="CS105">
        <f>IF($CN105="refOK",$BT105,$BS105)*IF($BP105="Emissions positive",-1,1)</f>
        <v>160.9167191536873</v>
      </c>
      <c r="CT105">
        <f>IF($CN105="refNeedCorrection",-BX105,BX105)*IF($BP105="Emissions positive",-1,1)</f>
        <v>-224602086.19932839</v>
      </c>
      <c r="CU105">
        <f>IFERROR(CT105/CQ105,"")</f>
        <v>-1.721088783136616</v>
      </c>
      <c r="CV105" s="2">
        <f>IFERROR((CS105-CR105)/ABS(CR105),"")</f>
        <v>-0.58259696564908814</v>
      </c>
      <c r="CW105" s="1" t="s">
        <v>1203</v>
      </c>
      <c r="CX105" t="str">
        <f>IF(OR($CW105="prd",$CW105="std",$CW105="cit"),"loc",IF(OR($CW105="eur",$CW105="reg",$CW105="coy"),"reg",$CW105))</f>
        <v>reg</v>
      </c>
      <c r="CY105" t="s">
        <v>639</v>
      </c>
      <c r="CZ105">
        <v>2000</v>
      </c>
      <c r="DA105">
        <v>2060</v>
      </c>
      <c r="DB105">
        <f>DA105-CZ105</f>
        <v>60</v>
      </c>
      <c r="DC105" t="str">
        <f>IF(DB105=0,"0",IF(AND(DB105&gt;=1,DB105&lt;=30),"1-30",IF(AND(DB105&gt;30,DB105&lt;=70),"31-70",IF(AND(DB105&gt;70,DB105&lt;=100),"71-100",IF(DB105&gt;100,"+100")))))</f>
        <v>31-70</v>
      </c>
      <c r="DD105">
        <v>1</v>
      </c>
      <c r="DE105">
        <v>0</v>
      </c>
      <c r="DF105">
        <v>0</v>
      </c>
      <c r="DG105">
        <v>0</v>
      </c>
      <c r="DH105">
        <v>0</v>
      </c>
      <c r="DI105">
        <f>SUM(DD105:DG105)</f>
        <v>1</v>
      </c>
      <c r="DJ105" t="str">
        <f>IF(DI105=1,INDEX($DD$7:$DG$7,MATCH(1,$DD105:$DG105,0)),"mixedProduct")</f>
        <v>UpstreamInput</v>
      </c>
      <c r="DK105" t="str">
        <f>IF(DD105=1,DK$7,0)</f>
        <v>Upstream</v>
      </c>
      <c r="DL105">
        <f>IF(DE105=1,DL$7,0)</f>
        <v>0</v>
      </c>
      <c r="DM105">
        <f>IF(DF105=1,DM$7,0)</f>
        <v>0</v>
      </c>
      <c r="DN105">
        <f>IF(DG105=1,DN$7,0)</f>
        <v>0</v>
      </c>
      <c r="DO105">
        <v>0</v>
      </c>
      <c r="DP105">
        <v>0</v>
      </c>
      <c r="DQ105"/>
      <c r="DR105"/>
      <c r="DS105"/>
      <c r="DT105">
        <f>SUM(DO105:DP105)</f>
        <v>0</v>
      </c>
      <c r="DU105" s="143" t="str">
        <f>IF(DO105=1,"self-calculated DF",IF(DP105=1,"external DF used","explicit C balance"))</f>
        <v>explicit C balance</v>
      </c>
      <c r="DV105">
        <v>1</v>
      </c>
      <c r="DW105">
        <v>1</v>
      </c>
      <c r="DX105">
        <v>1</v>
      </c>
      <c r="DY105">
        <v>1</v>
      </c>
      <c r="DZ105">
        <v>0</v>
      </c>
      <c r="EA105" s="143">
        <v>0</v>
      </c>
      <c r="EB105">
        <v>0</v>
      </c>
      <c r="EC105">
        <v>0</v>
      </c>
      <c r="ED105">
        <v>0</v>
      </c>
      <c r="EE105">
        <v>0</v>
      </c>
      <c r="EF105">
        <v>1</v>
      </c>
      <c r="EG105">
        <v>0</v>
      </c>
      <c r="EH105">
        <v>0</v>
      </c>
      <c r="EI105" s="2">
        <v>0</v>
      </c>
      <c r="EJ105" s="1"/>
      <c r="EK105" t="str">
        <f>IF(AND(AND(AND(OR($DX105=1,$DW105=1),OR($EC105=1,$EA105=1)),SUM($DV105:$DZ105,$EF105)&gt;=4),SUM($EA105:$EE105)&gt;=2),"Whole sector","")</f>
        <v/>
      </c>
      <c r="EL105" t="str">
        <f>IF(AND(AND(OR($DX105=1,$DW105=1),AND($EC105=0,$EA105=0)),SUM($DV105:$DZ105,$EF105)&gt;=4),"Ecosystem approach","")</f>
        <v>Ecosystem approach</v>
      </c>
      <c r="EM105" s="2" t="str">
        <f>IF(AND(AND(AND($DX105=0,$DW105=0),OR($EC105=1,$EA105=1)),SUM($EB105:$EE105)&gt;=2),"Technology approach","")</f>
        <v/>
      </c>
      <c r="EN105" t="s">
        <v>2485</v>
      </c>
      <c r="EO105"/>
      <c r="EP105" t="str">
        <f>IF(ISNUMBER(BU105),IF(ABS(BU105-[1]QC_indicators!$B$2)&gt;3*[1]QC_indicators!$C$2,"C ratio",IF(ISNUMBER(BY105),IF(ABS(BY105-[1]QC_indicators!$B$1)&gt;3*[1]QC_indicators!$C$1,"DF","no"))),IF(ISNUMBER(BY105),IF(ABS(BY105-[1]QC_indicators!$B$1)&gt;3*[1]QC_indicators!$C$1,"DF","no")))</f>
        <v>no</v>
      </c>
      <c r="EQ105"/>
      <c r="ER105"/>
      <c r="ES105"/>
      <c r="ET105" s="264" t="s">
        <v>3254</v>
      </c>
      <c r="EU105"/>
    </row>
    <row r="106" spans="1:151" s="139" customFormat="1" ht="15" customHeight="1">
      <c r="A106" s="1" t="s">
        <v>1360</v>
      </c>
      <c r="B106" t="s">
        <v>2135</v>
      </c>
      <c r="C106" t="s">
        <v>2136</v>
      </c>
      <c r="D106" t="s">
        <v>2137</v>
      </c>
      <c r="E106" t="s">
        <v>2138</v>
      </c>
      <c r="F106" t="s">
        <v>2139</v>
      </c>
      <c r="G106" t="s">
        <v>1366</v>
      </c>
      <c r="H106" t="s">
        <v>254</v>
      </c>
      <c r="I106">
        <v>2012</v>
      </c>
      <c r="J106">
        <v>21</v>
      </c>
      <c r="K106" t="s">
        <v>2140</v>
      </c>
      <c r="L106" s="192"/>
      <c r="M106" t="str">
        <f>LEFT($D106,FIND(",",$D106)-1)&amp;"_"&amp;I106&amp;L106</f>
        <v>Pyorala_2012</v>
      </c>
      <c r="N106" t="s">
        <v>222</v>
      </c>
      <c r="O106" s="145" t="s">
        <v>341</v>
      </c>
      <c r="P106" s="180" t="s">
        <v>223</v>
      </c>
      <c r="Q106" s="264" t="s">
        <v>256</v>
      </c>
      <c r="R106" s="269" t="s">
        <v>1154</v>
      </c>
      <c r="S106" s="263" t="s">
        <v>2147</v>
      </c>
      <c r="T106" s="264" t="s">
        <v>2142</v>
      </c>
      <c r="U106" s="264" t="s">
        <v>2143</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s="141">
        <f>COUNTIF(V106:AW106,"&lt;&gt;0")</f>
        <v>1</v>
      </c>
      <c r="AY106" s="141">
        <f>COUNTIF(V106:AL106,"&lt;&gt;0")</f>
        <v>1</v>
      </c>
      <c r="AZ106">
        <f>COUNTIF(V106:AC106,"&lt;&gt;0")</f>
        <v>1</v>
      </c>
      <c r="BA106">
        <f>COUNTIF(AD106:AI106,"&lt;&gt;0")</f>
        <v>0</v>
      </c>
      <c r="BB106">
        <f>COUNTIF(AJ106:AL106,"&lt;&gt;0")</f>
        <v>0</v>
      </c>
      <c r="BC106">
        <f>COUNTIF(AS106:AW106,"&lt;&gt;0")</f>
        <v>0</v>
      </c>
      <c r="BD106">
        <f>COUNTIF(AM106:AR106,"&lt;&gt;0")</f>
        <v>0</v>
      </c>
      <c r="BE106" t="str" cm="1">
        <f t="array" ref="BE106">IF(AY106=1,INDEX($V$7:$AL$7,MATCH(TRUE,INDEX($V106:$AW106&lt;&gt;0,),0)),IF(AY106=0,INDEX($AM$7:$AW$7,MATCH(1,$AM106:$AW106,0)),IF(BF106="Multiple strategies","mixed drivers",IF(BF106="Supply chain","multiple supply","multiple silviculture"))))</f>
        <v xml:space="preserve">cutting intensity </v>
      </c>
      <c r="BF106" s="2" t="str" cm="1">
        <f t="array" ref="BF106">IF(COUNTIF(AZ106:BB106,"&lt;&gt;0")=1,INDEX($V$4:$AW$4,MATCH(TRUE,INDEX($V106:$AW106&lt;&gt;0,),0)),IF(COUNTIF(AZ106:BB106,"&lt;&gt;0")=0,INDEX($AM$4:$AW$4,MATCH(1,$AM106:$AW106,0)),"Multiple strategies"))</f>
        <v>Silviculture for removals</v>
      </c>
      <c r="BG106" s="178" t="s">
        <v>321</v>
      </c>
      <c r="BH106" s="264" t="s">
        <v>2144</v>
      </c>
      <c r="BI106" s="264" t="s">
        <v>701</v>
      </c>
      <c r="BJ106" s="160" t="s">
        <v>700</v>
      </c>
      <c r="BK106">
        <v>7.3</v>
      </c>
      <c r="BL106">
        <v>7.6</v>
      </c>
      <c r="BM106"/>
      <c r="BN106">
        <f>BL106-BK106</f>
        <v>0.29999999999999982</v>
      </c>
      <c r="BO106">
        <f>BN106</f>
        <v>0.29999999999999982</v>
      </c>
      <c r="BP106" s="155" t="s">
        <v>232</v>
      </c>
      <c r="BQ106" s="335" t="s">
        <v>786</v>
      </c>
      <c r="BR106" s="270" t="s">
        <v>2145</v>
      </c>
      <c r="BS106" s="264">
        <f>172.8/50</f>
        <v>3.4560000000000004</v>
      </c>
      <c r="BT106" s="264">
        <f>147.4/50</f>
        <v>2.948</v>
      </c>
      <c r="BU106" s="144"/>
      <c r="BV106">
        <f>BT106-BS106</f>
        <v>-0.50800000000000045</v>
      </c>
      <c r="BW106"/>
      <c r="BX106">
        <f>BV106</f>
        <v>-0.50800000000000045</v>
      </c>
      <c r="BY106">
        <f>IFERROR(BX106/BO106,"")</f>
        <v>-1.6933333333333358</v>
      </c>
      <c r="BZ106">
        <v>0</v>
      </c>
      <c r="CA106">
        <v>0</v>
      </c>
      <c r="CB106">
        <v>0</v>
      </c>
      <c r="CC106">
        <v>0</v>
      </c>
      <c r="CD106">
        <v>0</v>
      </c>
      <c r="CE106">
        <v>0</v>
      </c>
      <c r="CF106">
        <v>0</v>
      </c>
      <c r="CG106">
        <v>0</v>
      </c>
      <c r="CH106">
        <v>0</v>
      </c>
      <c r="CI106">
        <v>0</v>
      </c>
      <c r="CJ106">
        <v>0</v>
      </c>
      <c r="CK106">
        <v>0</v>
      </c>
      <c r="CL106">
        <v>0</v>
      </c>
      <c r="CM106">
        <v>0</v>
      </c>
      <c r="CN106" t="str">
        <f>IF($BL106&lt;$BK106,"refNeedCorrection","refOK")</f>
        <v>refOK</v>
      </c>
      <c r="CO106">
        <f>IF($CN106="refOK",$BK106,$BL106)</f>
        <v>7.3</v>
      </c>
      <c r="CP106">
        <f>IF($CN106="refOK",$BL106,$BK106)</f>
        <v>7.6</v>
      </c>
      <c r="CQ106">
        <f>IF($CN106="refOK",$BO106,-$BO106)</f>
        <v>0.29999999999999982</v>
      </c>
      <c r="CR106">
        <f>IF($CN106="refOK",$BS106,$BT106)*IF($BP106="Emissions positive",-1,1)</f>
        <v>3.4560000000000004</v>
      </c>
      <c r="CS106">
        <f>IF($CN106="refOK",$BT106,$BS106)*IF($BP106="Emissions positive",-1,1)</f>
        <v>2.948</v>
      </c>
      <c r="CT106">
        <f>IF($CN106="refNeedCorrection",-BX106,BX106)*IF($BP106="Emissions positive",-1,1)</f>
        <v>-0.50800000000000045</v>
      </c>
      <c r="CU106">
        <f>IFERROR(CT106/CQ106,"")</f>
        <v>-1.6933333333333358</v>
      </c>
      <c r="CV106" s="2">
        <f>IFERROR((CS106-CR106)/ABS(CR106),"")</f>
        <v>-0.14699074074074087</v>
      </c>
      <c r="CW106" s="1" t="s">
        <v>1199</v>
      </c>
      <c r="CX106" s="264" t="str">
        <f>IF(OR($CW106="prd",$CW106="std",$CW106="cit"),"loc",IF(OR($CW106="eur",$CW106="reg",$CW106="coy"),"reg",$CW106))</f>
        <v>reg</v>
      </c>
      <c r="CY106" t="s">
        <v>235</v>
      </c>
      <c r="CZ106"/>
      <c r="DA106"/>
      <c r="DB106">
        <v>50</v>
      </c>
      <c r="DC106" t="str">
        <f>IF(DB106=0,"0",IF(AND(DB106&gt;=1,DB106&lt;=30),"1-30",IF(AND(DB106&gt;30,DB106&lt;=70),"31-70",IF(AND(DB106&gt;70,DB106&lt;=100),"71-100",IF(DB106&gt;100,"+100")))))</f>
        <v>31-70</v>
      </c>
      <c r="DD106">
        <v>0</v>
      </c>
      <c r="DE106">
        <v>1</v>
      </c>
      <c r="DF106">
        <v>1</v>
      </c>
      <c r="DG106">
        <v>1</v>
      </c>
      <c r="DH106"/>
      <c r="DI106">
        <f>SUM(DD106:DG106)</f>
        <v>3</v>
      </c>
      <c r="DJ106" t="str">
        <f>IF(DI106=1,INDEX($DD$7:$DG$7,MATCH(1,$DD106:$DG106,0)),"mixedProduct")</f>
        <v>mixedProduct</v>
      </c>
      <c r="DK106">
        <f>IF(DD106=1,DK$7,0)</f>
        <v>0</v>
      </c>
      <c r="DL106" t="str">
        <f>IF(DE106=1,DL$7,0)</f>
        <v>Energy</v>
      </c>
      <c r="DM106" t="str">
        <f>IF(DF106=1,DM$7,0)</f>
        <v>Pulp/Paper</v>
      </c>
      <c r="DN106" t="str">
        <f>IF(DG106=1,DN$7,0)</f>
        <v>Timber</v>
      </c>
      <c r="DO106">
        <v>0</v>
      </c>
      <c r="DP106">
        <v>1</v>
      </c>
      <c r="DQ106" t="s">
        <v>2146</v>
      </c>
      <c r="DR106">
        <v>0</v>
      </c>
      <c r="DS106">
        <v>0</v>
      </c>
      <c r="DT106">
        <f>SUM(DO106:DP106)</f>
        <v>1</v>
      </c>
      <c r="DU106" s="143" t="str">
        <f>IF(DO106=1,"self-calculated DF",IF(DP106=1,"external DF used","explicit C balance"))</f>
        <v>external DF used</v>
      </c>
      <c r="DV106">
        <v>1</v>
      </c>
      <c r="DW106">
        <v>1</v>
      </c>
      <c r="DX106">
        <v>1</v>
      </c>
      <c r="DY106">
        <v>0</v>
      </c>
      <c r="DZ106">
        <v>0</v>
      </c>
      <c r="EA106" s="143">
        <v>0</v>
      </c>
      <c r="EB106">
        <v>0</v>
      </c>
      <c r="EC106">
        <v>0</v>
      </c>
      <c r="ED106">
        <v>0</v>
      </c>
      <c r="EE106">
        <v>0</v>
      </c>
      <c r="EF106">
        <v>1</v>
      </c>
      <c r="EG106">
        <v>0</v>
      </c>
      <c r="EH106">
        <v>0</v>
      </c>
      <c r="EI106" s="2">
        <v>0</v>
      </c>
      <c r="EJ106" s="1"/>
      <c r="EK106" t="str">
        <f>IF(AND(AND(AND(OR($DX106=1,$DW106=1),OR($EC106=1,$EA106=1)),SUM($DV106:$DZ106,$EF106)&gt;=4),SUM($EA106:$EE106)&gt;=2),"Whole sector","")</f>
        <v/>
      </c>
      <c r="EL106" t="str">
        <f>IF(AND(AND(OR($DX106=1,$DW106=1),AND($EC106=0,$EA106=0)),SUM($DV106:$DZ106,$EF106)&gt;=4),"Ecosystem approach","")</f>
        <v>Ecosystem approach</v>
      </c>
      <c r="EM106" s="2" t="str">
        <f>IF(AND(AND(AND($DX106=0,$DW106=0),OR($EC106=1,$EA106=1)),SUM($EB106:$EE106)&gt;=2),"Technology approach","")</f>
        <v/>
      </c>
      <c r="EN106"/>
      <c r="EO106"/>
      <c r="EP106" t="str">
        <f>IF(ISNUMBER(BU106),IF(ABS(BU106-[3]QC_indicators!$B$2)&gt;3*[3]QC_indicators!$C$2,"C ratio",IF(ISNUMBER(BY106),IF(ABS(BY106-[3]QC_indicators!$B$1)&gt;3*[3]QC_indicators!$C$1,"DF","no"))),IF(ISNUMBER(BY106),IF(ABS(BY106-[3]QC_indicators!$B$1)&gt;3*[3]QC_indicators!$C$1,"DF","no")))</f>
        <v>no</v>
      </c>
      <c r="EQ106"/>
      <c r="ER106"/>
      <c r="ES106"/>
      <c r="ET106" s="264" t="s">
        <v>3407</v>
      </c>
      <c r="EU106"/>
    </row>
    <row r="107" spans="1:151" s="139" customFormat="1" ht="15" customHeight="1">
      <c r="A107" s="1" t="s">
        <v>1972</v>
      </c>
      <c r="B107" t="s">
        <v>2445</v>
      </c>
      <c r="C107" t="s">
        <v>2446</v>
      </c>
      <c r="D107" t="s">
        <v>2447</v>
      </c>
      <c r="E107" t="s">
        <v>2448</v>
      </c>
      <c r="F107" t="s">
        <v>2449</v>
      </c>
      <c r="G107" t="s">
        <v>1978</v>
      </c>
      <c r="H107" t="s">
        <v>254</v>
      </c>
      <c r="I107">
        <v>2018</v>
      </c>
      <c r="J107">
        <v>8</v>
      </c>
      <c r="K107" t="s">
        <v>2450</v>
      </c>
      <c r="L107"/>
      <c r="M107" t="str">
        <f>LEFT($D107,FIND(",",$D107)-1)&amp;"_"&amp;I107&amp;L107</f>
        <v>Valade_2018</v>
      </c>
      <c r="N107" t="s">
        <v>222</v>
      </c>
      <c r="O107" s="145" t="s">
        <v>1154</v>
      </c>
      <c r="P107"/>
      <c r="Q107" t="s">
        <v>256</v>
      </c>
      <c r="R107" s="255" t="s">
        <v>225</v>
      </c>
      <c r="S107" s="1" t="s">
        <v>2456</v>
      </c>
      <c r="T107" t="s">
        <v>2444</v>
      </c>
      <c r="U107" t="s">
        <v>2457</v>
      </c>
      <c r="V107">
        <v>0</v>
      </c>
      <c r="W107">
        <v>0</v>
      </c>
      <c r="X107">
        <v>1</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s="141">
        <f>COUNTIF(V107:AW107,"&lt;&gt;0")</f>
        <v>1</v>
      </c>
      <c r="AY107" s="141">
        <f>COUNTIF(V107:AL107,"&lt;&gt;0")</f>
        <v>1</v>
      </c>
      <c r="AZ107">
        <f>COUNTIF(V107:AC107,"&lt;&gt;0")</f>
        <v>1</v>
      </c>
      <c r="BA107">
        <f>COUNTIF(AD107:AI107,"&lt;&gt;0")</f>
        <v>0</v>
      </c>
      <c r="BB107">
        <f>COUNTIF(AJ107:AL107,"&lt;&gt;0")</f>
        <v>0</v>
      </c>
      <c r="BC107">
        <f>COUNTIF(AS107:AW107,"&lt;&gt;0")</f>
        <v>0</v>
      </c>
      <c r="BD107">
        <f>COUNTIF(AM107:AR107,"&lt;&gt;0")</f>
        <v>0</v>
      </c>
      <c r="BE107" t="str">
        <f t="array" ref="BE107">IF(AY107=1,INDEX($V$7:$AL$7,MATCH(TRUE,INDEX($V107:$AW107&lt;&gt;0,),0)),IF(AY107=0,INDEX($AM$7:$AW$7,MATCH(1,$AM107:$AW107,0)),IF(BF107="Multiple strategies","mixed drivers",IF(BF107="Supply chain","multiple supply","multiple silviculture"))))</f>
        <v>rotation length</v>
      </c>
      <c r="BF107" s="2" t="str" cm="1">
        <f t="array" ref="BF107">IF(COUNTIF(AZ107:BB107,"&lt;&gt;0")=1,INDEX($V$4:$AW$4,MATCH(TRUE,INDEX($V107:$AW107&lt;&gt;0,),0)),IF(COUNTIF(AZ107:BB107,"&lt;&gt;0")=0,INDEX($AM$4:$AW$4,MATCH(1,$AM107:$AW107,0)),"Multiple strategies"))</f>
        <v>Silviculture for removals</v>
      </c>
      <c r="BG107" s="1" t="s">
        <v>321</v>
      </c>
      <c r="BH107" t="s">
        <v>2453</v>
      </c>
      <c r="BI107" s="260" t="s">
        <v>3399</v>
      </c>
      <c r="BJ107" t="s">
        <v>1323</v>
      </c>
      <c r="BK107">
        <v>1168.5023099755704</v>
      </c>
      <c r="BL107">
        <v>2095.3144563242754</v>
      </c>
      <c r="BM107" s="143">
        <f>BL107/BK107</f>
        <v>1.7931624425869399</v>
      </c>
      <c r="BN107">
        <f>BL107-BK107</f>
        <v>926.81214634870503</v>
      </c>
      <c r="BO107">
        <f>BN107*10^6</f>
        <v>926812146.34870505</v>
      </c>
      <c r="BP107" t="s">
        <v>232</v>
      </c>
      <c r="BQ107" s="260" t="s">
        <v>3400</v>
      </c>
      <c r="BR107" t="s">
        <v>1359</v>
      </c>
      <c r="BS107">
        <v>268.62539996228497</v>
      </c>
      <c r="BT107">
        <v>-158.820853</v>
      </c>
      <c r="BU107" s="144">
        <f>IFERROR(BT107/BS107,"")</f>
        <v>-0.59123542681480779</v>
      </c>
      <c r="BV107" s="144">
        <f>BT107-BS107</f>
        <v>-427.44625296228497</v>
      </c>
      <c r="BW107" s="144"/>
      <c r="BX107">
        <f>BV107*10^6*C_to_CO2</f>
        <v>-1568727748.3715858</v>
      </c>
      <c r="BY107">
        <f>IFERROR(BX107/BO107,"")</f>
        <v>-1.6926059445290929</v>
      </c>
      <c r="BZ107">
        <v>0</v>
      </c>
      <c r="CA107">
        <v>0</v>
      </c>
      <c r="CB107">
        <v>0</v>
      </c>
      <c r="CC107">
        <v>0</v>
      </c>
      <c r="CD107">
        <v>0</v>
      </c>
      <c r="CE107">
        <v>0</v>
      </c>
      <c r="CF107">
        <v>0</v>
      </c>
      <c r="CG107">
        <v>0</v>
      </c>
      <c r="CH107">
        <v>0</v>
      </c>
      <c r="CI107">
        <v>0</v>
      </c>
      <c r="CJ107">
        <v>0</v>
      </c>
      <c r="CK107">
        <v>0</v>
      </c>
      <c r="CL107">
        <v>0</v>
      </c>
      <c r="CM107">
        <v>0</v>
      </c>
      <c r="CN107" t="str">
        <f>IF($BL107&lt;$BK107,"refNeedCorrection","refOK")</f>
        <v>refOK</v>
      </c>
      <c r="CO107">
        <f>IF($CN107="refNeedCorrection",BL107,BK107)</f>
        <v>1168.5023099755704</v>
      </c>
      <c r="CP107">
        <f>IF($CN107="refNeedCorrection",BK107,BL107)</f>
        <v>2095.3144563242754</v>
      </c>
      <c r="CQ107">
        <f>IF($CN107="refOK",$BO107,-$BO107)</f>
        <v>926812146.34870505</v>
      </c>
      <c r="CR107">
        <f>IF($CN107="refOK",$BS107,$BT107)*IF($BP107="Emissions positive",-1,1)</f>
        <v>268.62539996228497</v>
      </c>
      <c r="CS107">
        <f>IF($CN107="refOK",$BT107,$BS107)*IF($BP107="Emissions positive",-1,1)</f>
        <v>-158.820853</v>
      </c>
      <c r="CT107">
        <f>IF($CN107="refNeedCorrection",-BX107,BX107)*IF($BP107="Emissions positive",-1,1)</f>
        <v>-1568727748.3715858</v>
      </c>
      <c r="CU107">
        <f>IFERROR(CT107/CQ107,"")</f>
        <v>-1.6926059445290929</v>
      </c>
      <c r="CV107" s="2">
        <f>IFERROR((CS107-CR107)/ABS(CR107),"")</f>
        <v>-1.5912354268148077</v>
      </c>
      <c r="CW107" s="1" t="s">
        <v>1203</v>
      </c>
      <c r="CX107" t="str">
        <f>IF(OR($CW107="prd",$CW107="std",$CW107="cit"),"loc",IF(OR($CW107="eur",$CW107="reg",$CW107="coy"),"reg",$CW107))</f>
        <v>reg</v>
      </c>
      <c r="CY107" t="s">
        <v>729</v>
      </c>
      <c r="CZ107">
        <v>2015</v>
      </c>
      <c r="DA107">
        <v>2040</v>
      </c>
      <c r="DB107">
        <f>DA107-CZ107</f>
        <v>25</v>
      </c>
      <c r="DC107" t="str">
        <f>IF(DB107=0,"0",IF(AND(DB107&gt;=1,DB107&lt;=30),"1-30",IF(AND(DB107&gt;30,DB107&lt;=70),"31-70",IF(AND(DB107&gt;70,DB107&lt;=100),"71-100",IF(DB107&gt;100,"+100")))))</f>
        <v>1-30</v>
      </c>
      <c r="DD107">
        <v>1</v>
      </c>
      <c r="DE107">
        <v>0</v>
      </c>
      <c r="DF107">
        <v>0</v>
      </c>
      <c r="DG107">
        <v>0</v>
      </c>
      <c r="DH107"/>
      <c r="DI107">
        <f>SUM(DD107:DG107)</f>
        <v>1</v>
      </c>
      <c r="DJ107" t="str">
        <f>IF(DI107=1,INDEX($DD$7:$DG$7,MATCH(1,$DD107:$DG107,0)),"mixedProduct")</f>
        <v>UpstreamInput</v>
      </c>
      <c r="DK107" t="str">
        <f>IF(DD107=1,DK$7,0)</f>
        <v>Upstream</v>
      </c>
      <c r="DL107">
        <f>IF(DE107=1,DL$7,0)</f>
        <v>0</v>
      </c>
      <c r="DM107">
        <f>IF(DF107=1,DM$7,0)</f>
        <v>0</v>
      </c>
      <c r="DN107">
        <f>IF(DG107=1,DN$7,0)</f>
        <v>0</v>
      </c>
      <c r="DO107">
        <v>0</v>
      </c>
      <c r="DP107">
        <v>0</v>
      </c>
      <c r="DQ107">
        <v>0</v>
      </c>
      <c r="DR107">
        <v>0</v>
      </c>
      <c r="DS107">
        <v>0</v>
      </c>
      <c r="DT107">
        <f>SUM(DO107:DP107)</f>
        <v>0</v>
      </c>
      <c r="DU107" s="143" t="str">
        <f>IF(DO107=1,"self-calculated DF",IF(DP107=1,"external DF used","explicit C balance"))</f>
        <v>explicit C balance</v>
      </c>
      <c r="DV107">
        <v>0</v>
      </c>
      <c r="DW107">
        <v>1</v>
      </c>
      <c r="DX107">
        <v>1</v>
      </c>
      <c r="DY107">
        <v>0</v>
      </c>
      <c r="DZ107">
        <v>0</v>
      </c>
      <c r="EA107" s="143">
        <v>0</v>
      </c>
      <c r="EB107">
        <v>0</v>
      </c>
      <c r="EC107">
        <v>0</v>
      </c>
      <c r="ED107">
        <v>0</v>
      </c>
      <c r="EE107">
        <v>0</v>
      </c>
      <c r="EF107">
        <v>1</v>
      </c>
      <c r="EG107">
        <v>0</v>
      </c>
      <c r="EH107">
        <v>0</v>
      </c>
      <c r="EI107" s="2">
        <v>0</v>
      </c>
      <c r="EJ107" s="1"/>
      <c r="EK107" t="str">
        <f>IF(AND(AND(AND(OR($DX107=1,$DW107=1),OR($EC107=1,$EA107=1)),SUM($DV107:$DZ107,$EF107)&gt;=4),SUM($EA107:$EE107)&gt;=2),"Whole sector","")</f>
        <v/>
      </c>
      <c r="EL107" t="str">
        <f>IF(AND(AND(OR($DX107=1,$DW107=1),AND($EC107=0,$EA107=0)),SUM($DV107:$DZ107,$EF107)&gt;=4),"Ecosystem approach","")</f>
        <v/>
      </c>
      <c r="EM107" s="2" t="str">
        <f>IF(AND(AND(AND($DX107=0,$DW107=0),OR($EC107=1,$EA107=1)),SUM($EB107:$EE107)&gt;=2),"Technology approach","")</f>
        <v/>
      </c>
      <c r="EN107"/>
      <c r="EO107"/>
      <c r="EP107" t="str">
        <f>IF(ISNUMBER(BU107),IF(ABS(BU107-[4]QC_indicators!$B$2)&gt;3*[4]QC_indicators!$C$2,"C ratio",IF(ISNUMBER(BY107),IF(ABS(BY107-[4]QC_indicators!$B$1)&gt;3*[4]QC_indicators!$C$1,"DF","no"))),IF(ISNUMBER(BY107),IF(ABS(BY107-[4]QC_indicators!$B$1)&gt;3*[4]QC_indicators!$C$1,"DF","no")))</f>
        <v>no</v>
      </c>
      <c r="EQ107" t="s">
        <v>2378</v>
      </c>
      <c r="ER107"/>
      <c r="ES107"/>
      <c r="ET107" s="264" t="s">
        <v>3273</v>
      </c>
      <c r="EU107"/>
    </row>
    <row r="108" spans="1:151" s="139" customFormat="1" ht="15" customHeight="1">
      <c r="A108" s="1" t="s">
        <v>2114</v>
      </c>
      <c r="B108" t="s">
        <v>544</v>
      </c>
      <c r="C108" t="s">
        <v>2277</v>
      </c>
      <c r="D108" t="s">
        <v>2278</v>
      </c>
      <c r="E108" t="s">
        <v>2279</v>
      </c>
      <c r="F108" t="s">
        <v>2280</v>
      </c>
      <c r="G108" t="s">
        <v>2115</v>
      </c>
      <c r="H108" t="s">
        <v>254</v>
      </c>
      <c r="I108">
        <v>2014</v>
      </c>
      <c r="J108">
        <v>96</v>
      </c>
      <c r="K108" t="s">
        <v>2281</v>
      </c>
      <c r="L108"/>
      <c r="M108" t="str">
        <f>LEFT($D108,FIND(",",$D108)-1)&amp;"_"&amp;I108&amp;L108</f>
        <v>Smyth_2014</v>
      </c>
      <c r="N108" t="s">
        <v>222</v>
      </c>
      <c r="O108" s="145" t="s">
        <v>341</v>
      </c>
      <c r="P108"/>
      <c r="Q108" t="s">
        <v>256</v>
      </c>
      <c r="R108" s="262" t="s">
        <v>223</v>
      </c>
      <c r="S108" s="1" t="s">
        <v>2285</v>
      </c>
      <c r="T108" t="s">
        <v>1155</v>
      </c>
      <c r="U108" s="264" t="s">
        <v>2291</v>
      </c>
      <c r="V108">
        <v>0</v>
      </c>
      <c r="W108">
        <v>0</v>
      </c>
      <c r="X108">
        <v>0</v>
      </c>
      <c r="Y108">
        <v>1</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s="141">
        <f>COUNTIF(V108:AW108,"&lt;&gt;0")</f>
        <v>1</v>
      </c>
      <c r="AY108" s="141">
        <f>COUNTIF(V108:AL108,"&lt;&gt;0")</f>
        <v>1</v>
      </c>
      <c r="AZ108">
        <f>COUNTIF(V108:AC108,"&lt;&gt;0")</f>
        <v>1</v>
      </c>
      <c r="BA108">
        <f>COUNTIF(AD108:AI108,"&lt;&gt;0")</f>
        <v>0</v>
      </c>
      <c r="BB108">
        <f>COUNTIF(AJ108:AL108,"&lt;&gt;0")</f>
        <v>0</v>
      </c>
      <c r="BC108">
        <f>COUNTIF(AS108:AW108,"&lt;&gt;0")</f>
        <v>0</v>
      </c>
      <c r="BD108">
        <f>COUNTIF(AM108:AR108,"&lt;&gt;0")</f>
        <v>0</v>
      </c>
      <c r="BE108" t="str">
        <f t="array" ref="BE108">IF(AY108=1,INDEX($V$7:$AL$7,MATCH(TRUE,INDEX($V108:$AW108&lt;&gt;0,),0)),IF(AY108=0,INDEX($AM$7:$AW$7,MATCH(1,$AM108:$AW108,0)),IF(BF108="Multiple strategies","mixed drivers",IF(BF108="Supply chain","multiple supply","multiple silviculture"))))</f>
        <v xml:space="preserve">cutting intensity </v>
      </c>
      <c r="BF108" s="2" t="str" cm="1">
        <f t="array" ref="BF108">IF(COUNTIF(AZ108:BB108,"&lt;&gt;0")=1,INDEX($V$4:$AW$4,MATCH(TRUE,INDEX($V108:$AW108&lt;&gt;0,),0)),IF(COUNTIF(AZ108:BB108,"&lt;&gt;0")=0,INDEX($AM$4:$AW$4,MATCH(1,$AM108:$AW108,0)),"Multiple strategies"))</f>
        <v>Silviculture for removals</v>
      </c>
      <c r="BG108" s="1" t="s">
        <v>321</v>
      </c>
      <c r="BH108" t="s">
        <v>2287</v>
      </c>
      <c r="BI108" t="s">
        <v>1036</v>
      </c>
      <c r="BJ108" t="s">
        <v>2288</v>
      </c>
      <c r="BK108">
        <v>0</v>
      </c>
      <c r="BL108">
        <v>0.62</v>
      </c>
      <c r="BM108"/>
      <c r="BN108">
        <f>BL108-BK108</f>
        <v>0.62</v>
      </c>
      <c r="BO108">
        <f>BN108*10^6*tC_to_m3</f>
        <v>2692140.6860616589</v>
      </c>
      <c r="BP108" t="s">
        <v>232</v>
      </c>
      <c r="BQ108" s="267" t="s">
        <v>783</v>
      </c>
      <c r="BR108" s="264" t="s">
        <v>3244</v>
      </c>
      <c r="BS108"/>
      <c r="BT108"/>
      <c r="BU108" s="144"/>
      <c r="BV108">
        <f>-156/35</f>
        <v>-4.4571428571428573</v>
      </c>
      <c r="BW108"/>
      <c r="BX108">
        <f>BV108*10^6</f>
        <v>-4457142.8571428573</v>
      </c>
      <c r="BY108">
        <f>IFERROR(BX108/BO108,"")</f>
        <v>-1.6556129032258065</v>
      </c>
      <c r="BZ108">
        <v>0</v>
      </c>
      <c r="CA108">
        <v>1</v>
      </c>
      <c r="CB108">
        <v>1</v>
      </c>
      <c r="CC108">
        <v>1</v>
      </c>
      <c r="CD108">
        <v>0</v>
      </c>
      <c r="CE108">
        <v>0</v>
      </c>
      <c r="CF108">
        <v>0</v>
      </c>
      <c r="CG108">
        <v>0</v>
      </c>
      <c r="CH108">
        <v>0</v>
      </c>
      <c r="CI108">
        <v>0</v>
      </c>
      <c r="CJ108">
        <v>0</v>
      </c>
      <c r="CK108">
        <v>0</v>
      </c>
      <c r="CL108">
        <v>0</v>
      </c>
      <c r="CM108">
        <v>0</v>
      </c>
      <c r="CN108" t="str">
        <f>IF($BL108&lt;$BK108,"refNeedCorrection","refOK")</f>
        <v>refOK</v>
      </c>
      <c r="CO108">
        <f>IF($CN108="refOK",$BK108,$BL108)</f>
        <v>0</v>
      </c>
      <c r="CP108">
        <f>IF($CN108="refOK",$BL108,$BK108)</f>
        <v>0.62</v>
      </c>
      <c r="CQ108">
        <f>IF($CN108="refOK",$BO108,-$BO108)</f>
        <v>2692140.6860616589</v>
      </c>
      <c r="CR108">
        <f>IF($CN108="refOK",$BS108,$BT108)*IF($BP108="Emissions positive",-1,1)</f>
        <v>0</v>
      </c>
      <c r="CS108">
        <f>IF($CN108="refOK",$BT108,$BS108)*IF($BP108="Emissions positive",-1,1)</f>
        <v>0</v>
      </c>
      <c r="CT108">
        <f>IF($CN108="refNeedCorrection",-BX108,BX108)*IF($BP108="Emissions positive",-1,1)</f>
        <v>-4457142.8571428573</v>
      </c>
      <c r="CU108">
        <f>IFERROR(CT108/CQ108,"")</f>
        <v>-1.6556129032258065</v>
      </c>
      <c r="CV108" s="2" t="str">
        <f>IFERROR((CS108-CR108)/ABS(CR108),"")</f>
        <v/>
      </c>
      <c r="CW108" s="1" t="s">
        <v>1203</v>
      </c>
      <c r="CX108" t="str">
        <f>IF(OR($CW108="prd",$CW108="std",$CW108="cit"),"loc",IF(OR($CW108="eur",$CW108="reg",$CW108="coy"),"reg",$CW108))</f>
        <v>reg</v>
      </c>
      <c r="CY108" t="s">
        <v>540</v>
      </c>
      <c r="CZ108">
        <v>2015</v>
      </c>
      <c r="DA108">
        <v>2050</v>
      </c>
      <c r="DB108">
        <v>35</v>
      </c>
      <c r="DC108" t="str">
        <f>IF(DB108=0,"0",IF(AND(DB108&gt;=1,DB108&lt;=30),"1-30",IF(AND(DB108&gt;30,DB108&lt;=70),"31-70",IF(AND(DB108&gt;70,DB108&lt;=100),"71-100",IF(DB108&gt;100,"+100")))))</f>
        <v>31-70</v>
      </c>
      <c r="DD108">
        <v>0</v>
      </c>
      <c r="DE108">
        <v>1</v>
      </c>
      <c r="DF108">
        <v>1</v>
      </c>
      <c r="DG108">
        <v>1</v>
      </c>
      <c r="DH108"/>
      <c r="DI108">
        <f>SUM(DD108:DG108)</f>
        <v>3</v>
      </c>
      <c r="DJ108" t="str">
        <f>IF(DI108=1,INDEX($DD$7:$DG$7,MATCH(1,$DD108:$DG108,0)),"mixedProduct")</f>
        <v>mixedProduct</v>
      </c>
      <c r="DK108">
        <f>IF(DD108=1,DK$7,0)</f>
        <v>0</v>
      </c>
      <c r="DL108" t="str">
        <f>IF(DE108=1,DL$7,0)</f>
        <v>Energy</v>
      </c>
      <c r="DM108" t="str">
        <f>IF(DF108=1,DM$7,0)</f>
        <v>Pulp/Paper</v>
      </c>
      <c r="DN108" t="str">
        <f>IF(DG108=1,DN$7,0)</f>
        <v>Timber</v>
      </c>
      <c r="DO108">
        <v>1</v>
      </c>
      <c r="DP108">
        <v>1</v>
      </c>
      <c r="DQ108" t="s">
        <v>2284</v>
      </c>
      <c r="DR108">
        <v>0</v>
      </c>
      <c r="DS108">
        <v>0</v>
      </c>
      <c r="DT108">
        <f>SUM(DO108:DP108)</f>
        <v>2</v>
      </c>
      <c r="DU108" s="143" t="str">
        <f>IF(DO108=1,"self-calculated DF",IF(DP108=1,"external DF used","explicit C balance"))</f>
        <v>self-calculated DF</v>
      </c>
      <c r="DV108">
        <v>1</v>
      </c>
      <c r="DW108">
        <v>1</v>
      </c>
      <c r="DX108">
        <v>1</v>
      </c>
      <c r="DY108">
        <v>1</v>
      </c>
      <c r="DZ108">
        <v>1</v>
      </c>
      <c r="EA108">
        <v>1</v>
      </c>
      <c r="EB108">
        <v>0</v>
      </c>
      <c r="EC108">
        <v>0</v>
      </c>
      <c r="ED108">
        <v>0</v>
      </c>
      <c r="EE108">
        <v>0</v>
      </c>
      <c r="EF108">
        <v>1</v>
      </c>
      <c r="EG108">
        <v>0</v>
      </c>
      <c r="EH108">
        <v>0</v>
      </c>
      <c r="EI108" s="2">
        <v>0</v>
      </c>
      <c r="EJ108" s="1"/>
      <c r="EK108" t="str">
        <f>IF(AND(AND(AND(OR($DX108=1,$DW108=1),OR($EC108=1,$EA108=1)),SUM($DV108:$DZ108,$EF108)&gt;=4),SUM($EA108:$EE108)&gt;=2),"Whole sector","")</f>
        <v/>
      </c>
      <c r="EL108" t="str">
        <f>IF(AND(AND(OR($DX108=1,$DW108=1),AND($EC108=0,$EA108=0)),SUM($DV108:$DZ108,$EF108)&gt;=4),"Ecosystem approach","")</f>
        <v/>
      </c>
      <c r="EM108" s="2" t="str">
        <f>IF(AND(AND(AND($DX108=0,$DW108=0),OR($EC108=1,$EA108=1)),SUM($EB108:$EE108)&gt;=2),"Technology approach","")</f>
        <v/>
      </c>
      <c r="EN108"/>
      <c r="EO108"/>
      <c r="EP108" t="str">
        <f>IF(ISNUMBER(BU108),IF(ABS(BU108-[1]QC_indicators!$B$2)&gt;3*[1]QC_indicators!$C$2,"C ratio",IF(ISNUMBER(BY108),IF(ABS(BY108-[1]QC_indicators!$B$1)&gt;3*[1]QC_indicators!$C$1,"DF","no"))),IF(ISNUMBER(BY108),IF(ABS(BY108-[1]QC_indicators!$B$1)&gt;3*[1]QC_indicators!$C$1,"DF","no")))</f>
        <v>no</v>
      </c>
      <c r="EQ108"/>
      <c r="ER108" t="s">
        <v>2289</v>
      </c>
      <c r="ES108"/>
      <c r="ET108" s="268" t="s">
        <v>3242</v>
      </c>
      <c r="EU108"/>
    </row>
    <row r="109" spans="1:151" s="139" customFormat="1" ht="15" customHeight="1">
      <c r="A109" s="1" t="s">
        <v>1286</v>
      </c>
      <c r="B109" t="s">
        <v>1336</v>
      </c>
      <c r="C109" t="s">
        <v>1337</v>
      </c>
      <c r="D109" t="s">
        <v>1338</v>
      </c>
      <c r="E109" t="s">
        <v>1339</v>
      </c>
      <c r="F109" t="s">
        <v>1340</v>
      </c>
      <c r="G109" t="s">
        <v>1292</v>
      </c>
      <c r="H109" t="s">
        <v>254</v>
      </c>
      <c r="I109">
        <v>2016</v>
      </c>
      <c r="J109">
        <v>27</v>
      </c>
      <c r="K109" t="s">
        <v>1341</v>
      </c>
      <c r="L109"/>
      <c r="M109" t="str">
        <f>LEFT($D109,FIND(",",$D109)-1)&amp;"_"&amp;I109&amp;L109</f>
        <v>Braun_2016</v>
      </c>
      <c r="N109" t="s">
        <v>222</v>
      </c>
      <c r="O109" s="145" t="s">
        <v>223</v>
      </c>
      <c r="P109"/>
      <c r="Q109" t="s">
        <v>256</v>
      </c>
      <c r="R109" s="255" t="s">
        <v>225</v>
      </c>
      <c r="S109" s="1" t="s">
        <v>1348</v>
      </c>
      <c r="T109" t="s">
        <v>1343</v>
      </c>
      <c r="U109" t="s">
        <v>1351</v>
      </c>
      <c r="V109">
        <v>0</v>
      </c>
      <c r="W109">
        <v>0</v>
      </c>
      <c r="X109">
        <v>0</v>
      </c>
      <c r="Y109">
        <v>0</v>
      </c>
      <c r="Z109">
        <v>0</v>
      </c>
      <c r="AA109">
        <v>0</v>
      </c>
      <c r="AB109">
        <v>0</v>
      </c>
      <c r="AC109">
        <v>0</v>
      </c>
      <c r="AD109">
        <v>0</v>
      </c>
      <c r="AE109">
        <v>0</v>
      </c>
      <c r="AF109">
        <v>1</v>
      </c>
      <c r="AG109">
        <v>0</v>
      </c>
      <c r="AH109">
        <v>0</v>
      </c>
      <c r="AI109">
        <v>0</v>
      </c>
      <c r="AJ109">
        <v>0</v>
      </c>
      <c r="AK109">
        <v>0</v>
      </c>
      <c r="AL109">
        <v>0</v>
      </c>
      <c r="AM109">
        <v>0</v>
      </c>
      <c r="AN109">
        <v>0</v>
      </c>
      <c r="AO109">
        <v>0</v>
      </c>
      <c r="AP109">
        <v>0</v>
      </c>
      <c r="AQ109">
        <v>0</v>
      </c>
      <c r="AR109">
        <v>0</v>
      </c>
      <c r="AS109">
        <v>0</v>
      </c>
      <c r="AT109">
        <v>0</v>
      </c>
      <c r="AU109">
        <v>0</v>
      </c>
      <c r="AV109">
        <v>0</v>
      </c>
      <c r="AW109">
        <v>0</v>
      </c>
      <c r="AX109" s="141">
        <f>COUNTIF(V109:AW109,"&lt;&gt;0")</f>
        <v>1</v>
      </c>
      <c r="AY109" s="141">
        <f>COUNTIF(V109:AL109,"&lt;&gt;0")</f>
        <v>1</v>
      </c>
      <c r="AZ109">
        <f>COUNTIF(V109:AC109,"&lt;&gt;0")</f>
        <v>0</v>
      </c>
      <c r="BA109">
        <f>COUNTIF(AD109:AI109,"&lt;&gt;0")</f>
        <v>1</v>
      </c>
      <c r="BB109">
        <f>COUNTIF(AJ109:AL109,"&lt;&gt;0")</f>
        <v>0</v>
      </c>
      <c r="BC109">
        <f>COUNTIF(AS109:AW109,"&lt;&gt;0")</f>
        <v>0</v>
      </c>
      <c r="BD109">
        <f>COUNTIF(AM109:AR109,"&lt;&gt;0")</f>
        <v>0</v>
      </c>
      <c r="BE109" t="str">
        <f t="array" ref="BE109">IF(AY109=1,INDEX($V$7:$AL$7,MATCH(TRUE,INDEX($V109:$AW109&lt;&gt;0,),0)),IF(AY109=0,INDEX($AM$7:$AW$7,MATCH(1,$AM109:$AW109,0)),IF(BF109="Multiple strategies","mixed drivers",IF(BF109="Supply chain","multiple supply","multiple silviculture"))))</f>
        <v>supply chain organization</v>
      </c>
      <c r="BF109" s="2" t="str" cm="1">
        <f t="array" ref="BF109">IF(COUNTIF(AZ109:BB109,"&lt;&gt;0")=1,INDEX($V$4:$AW$4,MATCH(TRUE,INDEX($V109:$AW109&lt;&gt;0,),0)),IF(COUNTIF(AZ109:BB109,"&lt;&gt;0")=0,INDEX($AM$4:$AW$4,MATCH(1,$AM109:$AW109,0)),"Multiple strategies"))</f>
        <v>Supply chain</v>
      </c>
      <c r="BG109" s="1" t="s">
        <v>229</v>
      </c>
      <c r="BH109" t="s">
        <v>1344</v>
      </c>
      <c r="BI109" s="260" t="s">
        <v>3277</v>
      </c>
      <c r="BJ109" t="s">
        <v>1345</v>
      </c>
      <c r="BK109">
        <v>1.1674521913429727</v>
      </c>
      <c r="BL109">
        <v>1.8900610197538394</v>
      </c>
      <c r="BM109">
        <f>BL109/BK109</f>
        <v>1.6189622442522613</v>
      </c>
      <c r="BN109">
        <f>BL109-BK109</f>
        <v>0.72260882841086671</v>
      </c>
      <c r="BO109">
        <f>BN109*10^9</f>
        <v>722608828.41086674</v>
      </c>
      <c r="BP109" t="s">
        <v>232</v>
      </c>
      <c r="BQ109" s="260" t="s">
        <v>3281</v>
      </c>
      <c r="BR109" t="s">
        <v>1346</v>
      </c>
      <c r="BS109" s="264">
        <v>1.2013651877133071</v>
      </c>
      <c r="BT109" s="264">
        <v>2.3890784982935953E-2</v>
      </c>
      <c r="BU109" s="144">
        <f>IFERROR(BT109/BS109,"")</f>
        <v>1.9886363636364358E-2</v>
      </c>
      <c r="BV109">
        <f>BT109-BS109</f>
        <v>-1.1774744027303712</v>
      </c>
      <c r="BW109"/>
      <c r="BX109">
        <f>BV109*10^9</f>
        <v>-1177474402.7303712</v>
      </c>
      <c r="BY109">
        <f>IFERROR(BX109/BO109,"")</f>
        <v>-1.6294769125915984</v>
      </c>
      <c r="BZ109" s="143">
        <v>0</v>
      </c>
      <c r="CA109" s="143">
        <v>0</v>
      </c>
      <c r="CB109" s="143">
        <v>0</v>
      </c>
      <c r="CC109" s="143">
        <v>0</v>
      </c>
      <c r="CD109" s="143">
        <v>0</v>
      </c>
      <c r="CE109" s="143">
        <v>0</v>
      </c>
      <c r="CF109" s="143">
        <v>0</v>
      </c>
      <c r="CG109" s="143">
        <v>0</v>
      </c>
      <c r="CH109" s="143">
        <v>0</v>
      </c>
      <c r="CI109" s="143">
        <v>0</v>
      </c>
      <c r="CJ109" s="143">
        <v>0</v>
      </c>
      <c r="CK109" s="143">
        <v>0</v>
      </c>
      <c r="CL109" s="143">
        <v>0</v>
      </c>
      <c r="CM109">
        <v>0</v>
      </c>
      <c r="CN109" t="str">
        <f>IF($BL109&lt;$BK109,"refNeedCorrection","refOK")</f>
        <v>refOK</v>
      </c>
      <c r="CO109">
        <f>IF($CN109="refOK",$BK109,$BL109)</f>
        <v>1.1674521913429727</v>
      </c>
      <c r="CP109">
        <f>IF($CN109="refOK",$BL109,$BK109)</f>
        <v>1.8900610197538394</v>
      </c>
      <c r="CQ109">
        <f>IF($CN109="refOK",$BO109,-$BO109)</f>
        <v>722608828.41086674</v>
      </c>
      <c r="CR109">
        <f>IF($CN109="refOK",$BS109,$BT109)*IF($BP109="Emissions positive",-1,1)</f>
        <v>1.2013651877133071</v>
      </c>
      <c r="CS109">
        <f>IF($CN109="refOK",$BT109,$BS109)*IF($BP109="Emissions positive",-1,1)</f>
        <v>2.3890784982935953E-2</v>
      </c>
      <c r="CT109">
        <f>IF($CN109="refNeedCorrection",-BX109,BX109)*IF($BP109="Emissions positive",-1,1)</f>
        <v>-1177474402.7303712</v>
      </c>
      <c r="CU109">
        <f>IFERROR(CT109/CQ109,"")</f>
        <v>-1.6294769125915984</v>
      </c>
      <c r="CV109" s="2">
        <f>IFERROR((CS109-CR109)/ABS(CR109),"")</f>
        <v>-0.98011363636363569</v>
      </c>
      <c r="CW109" s="1" t="s">
        <v>1203</v>
      </c>
      <c r="CX109" t="str">
        <f>IF(OR($CW109="prd",$CW109="std",$CW109="cit"),"loc",IF(OR($CW109="eur",$CW109="reg",$CW109="coy"),"reg",$CW109))</f>
        <v>reg</v>
      </c>
      <c r="CY109" t="s">
        <v>666</v>
      </c>
      <c r="CZ109">
        <v>2010</v>
      </c>
      <c r="DA109">
        <v>2100</v>
      </c>
      <c r="DB109">
        <f>DA109-CZ109</f>
        <v>90</v>
      </c>
      <c r="DC109" t="str">
        <f>IF(DB109=0,"0",IF(AND(DB109&gt;=1,DB109&lt;=30),"1-30",IF(AND(DB109&gt;30,DB109&lt;=70),"31-70",IF(AND(DB109&gt;70,DB109&lt;=100),"71-100",IF(DB109&gt;100,"+100")))))</f>
        <v>71-100</v>
      </c>
      <c r="DD109">
        <v>0</v>
      </c>
      <c r="DE109">
        <v>1</v>
      </c>
      <c r="DF109">
        <v>1</v>
      </c>
      <c r="DG109">
        <v>1</v>
      </c>
      <c r="DH109"/>
      <c r="DI109">
        <f>SUM(DD109:DG109)</f>
        <v>3</v>
      </c>
      <c r="DJ109" t="str">
        <f>IF(DI109=1,INDEX($DD$7:$DG$7,MATCH(1,$DD109:$DG109,0)),"mixedProduct")</f>
        <v>mixedProduct</v>
      </c>
      <c r="DK109">
        <f>IF(DD109=1,DK$7,0)</f>
        <v>0</v>
      </c>
      <c r="DL109" t="str">
        <f>IF(DE109=1,DL$7,0)</f>
        <v>Energy</v>
      </c>
      <c r="DM109" t="str">
        <f>IF(DF109=1,DM$7,0)</f>
        <v>Pulp/Paper</v>
      </c>
      <c r="DN109" t="str">
        <f>IF(DG109=1,DN$7,0)</f>
        <v>Timber</v>
      </c>
      <c r="DO109">
        <v>1</v>
      </c>
      <c r="DP109" s="143">
        <v>0</v>
      </c>
      <c r="DQ109" s="143">
        <v>0</v>
      </c>
      <c r="DR109" s="143">
        <v>0</v>
      </c>
      <c r="DS109">
        <v>0</v>
      </c>
      <c r="DT109">
        <f>SUM(DO109:DP109)</f>
        <v>1</v>
      </c>
      <c r="DU109" s="143" t="str">
        <f>IF(DO109=1,"self-calculated DF",IF(DP109=1,"external DF used","explicit C balance"))</f>
        <v>self-calculated DF</v>
      </c>
      <c r="DV109">
        <v>1</v>
      </c>
      <c r="DW109" s="143">
        <v>1</v>
      </c>
      <c r="DX109" s="143">
        <v>1</v>
      </c>
      <c r="DY109" s="143">
        <v>1</v>
      </c>
      <c r="DZ109">
        <v>1</v>
      </c>
      <c r="EA109" s="141">
        <v>0</v>
      </c>
      <c r="EB109">
        <v>0</v>
      </c>
      <c r="EC109" s="143">
        <v>0</v>
      </c>
      <c r="ED109" s="143">
        <v>0</v>
      </c>
      <c r="EE109">
        <v>0</v>
      </c>
      <c r="EF109">
        <v>1</v>
      </c>
      <c r="EG109" s="143">
        <v>0</v>
      </c>
      <c r="EH109" s="143">
        <v>0</v>
      </c>
      <c r="EI109" s="2">
        <v>0</v>
      </c>
      <c r="EJ109" s="1"/>
      <c r="EK109" t="str">
        <f>IF(AND(AND(AND(OR($DX109=1,$DW109=1),OR($EC109=1,$EA109=1)),SUM($DV109:$DZ109,$EF109)&gt;=4),SUM($EA109:$EE109)&gt;=2),"Whole sector","")</f>
        <v/>
      </c>
      <c r="EL109" t="str">
        <f>IF(AND(AND(OR($DX109=1,$DW109=1),AND($EC109=0,$EA109=0)),SUM($DV109:$DZ109,$EF109)&gt;=4),"Ecosystem approach","")</f>
        <v>Ecosystem approach</v>
      </c>
      <c r="EM109" s="2" t="str">
        <f>IF(AND(AND(AND($DX109=0,$DW109=0),OR($EC109=1,$EA109=1)),SUM($EB109:$EE109)&gt;=2),"Technology approach","")</f>
        <v/>
      </c>
      <c r="EN109" t="s">
        <v>3283</v>
      </c>
      <c r="EO109"/>
      <c r="EP109" t="str">
        <f>IF(ISNUMBER(BU109),IF(ABS(BU109-[4]QC_indicators!$B$2)&gt;3*[4]QC_indicators!$C$2,"C ratio",IF(ISNUMBER(BY109),IF(ABS(BY109-[4]QC_indicators!$B$1)&gt;3*[4]QC_indicators!$C$1,"DF","no"))),IF(ISNUMBER(BY109),IF(ABS(BY109-[4]QC_indicators!$B$1)&gt;3*[4]QC_indicators!$C$1,"DF","no")))</f>
        <v>no</v>
      </c>
      <c r="EQ109"/>
      <c r="ER109"/>
      <c r="ES109"/>
      <c r="ET109" s="264" t="s">
        <v>3273</v>
      </c>
      <c r="EU109"/>
    </row>
    <row r="110" spans="1:151" s="139" customFormat="1" ht="15" customHeight="1">
      <c r="A110" s="1" t="s">
        <v>1378</v>
      </c>
      <c r="B110" t="s">
        <v>1922</v>
      </c>
      <c r="C110" t="s">
        <v>1923</v>
      </c>
      <c r="D110" t="s">
        <v>1924</v>
      </c>
      <c r="E110" t="s">
        <v>1925</v>
      </c>
      <c r="F110" t="s">
        <v>1926</v>
      </c>
      <c r="G110" t="s">
        <v>1384</v>
      </c>
      <c r="H110" t="s">
        <v>254</v>
      </c>
      <c r="I110">
        <v>2016</v>
      </c>
      <c r="J110">
        <v>12</v>
      </c>
      <c r="K110" t="s">
        <v>1927</v>
      </c>
      <c r="L110"/>
      <c r="M110" t="str">
        <f>LEFT($D110,FIND(",",$D110)-1)&amp;"_"&amp;I110&amp;L110</f>
        <v>Lobianco_2016</v>
      </c>
      <c r="N110" t="s">
        <v>222</v>
      </c>
      <c r="O110" s="145" t="s">
        <v>225</v>
      </c>
      <c r="P110" t="s">
        <v>513</v>
      </c>
      <c r="Q110" t="s">
        <v>256</v>
      </c>
      <c r="R110" s="262" t="s">
        <v>223</v>
      </c>
      <c r="S110" s="1" t="s">
        <v>1930</v>
      </c>
      <c r="T110" s="143" t="s">
        <v>1155</v>
      </c>
      <c r="U110" t="s">
        <v>3168</v>
      </c>
      <c r="V110">
        <v>0</v>
      </c>
      <c r="W110">
        <v>0</v>
      </c>
      <c r="X110">
        <v>0</v>
      </c>
      <c r="Y110">
        <v>1</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1</v>
      </c>
      <c r="AV110">
        <v>0</v>
      </c>
      <c r="AW110">
        <v>0</v>
      </c>
      <c r="AX110" s="141">
        <f>COUNTIF(V110:AW110,"&lt;&gt;0")</f>
        <v>2</v>
      </c>
      <c r="AY110" s="141">
        <f>COUNTIF(V110:AL110,"&lt;&gt;0")</f>
        <v>1</v>
      </c>
      <c r="AZ110">
        <f>COUNTIF(V110:AC110,"&lt;&gt;0")</f>
        <v>1</v>
      </c>
      <c r="BA110">
        <f>COUNTIF(AD110:AI110,"&lt;&gt;0")</f>
        <v>0</v>
      </c>
      <c r="BB110">
        <f>COUNTIF(AJ110:AL110,"&lt;&gt;0")</f>
        <v>0</v>
      </c>
      <c r="BC110">
        <f>COUNTIF(AS110:AW110,"&lt;&gt;0")</f>
        <v>1</v>
      </c>
      <c r="BD110">
        <f>COUNTIF(AM110:AR110,"&lt;&gt;0")</f>
        <v>0</v>
      </c>
      <c r="BE110" t="str">
        <f t="array" ref="BE110">IF(AY110=1,INDEX($V$7:$AL$7,MATCH(TRUE,INDEX($V110:$AW110&lt;&gt;0,),0)),IF(AY110=0,INDEX($AM$7:$AW$7,MATCH(1,$AM110:$AW110,0)),IF(BF110="Multiple strategies","mixed drivers",IF(BF110="Supply chain","multiple supply","multiple silviculture"))))</f>
        <v xml:space="preserve">cutting intensity </v>
      </c>
      <c r="BF110" s="2" t="str" cm="1">
        <f t="array" ref="BF110">IF(COUNTIF(AZ110:BB110,"&lt;&gt;0")=1,INDEX($V$4:$AW$4,MATCH(TRUE,INDEX($V110:$AW110&lt;&gt;0,),0)),IF(COUNTIF(AZ110:BB110,"&lt;&gt;0")=0,INDEX($AM$4:$AW$4,MATCH(1,$AM110:$AW110,0)),"Multiple strategies"))</f>
        <v>Silviculture for removals</v>
      </c>
      <c r="BG110" s="142" t="s">
        <v>321</v>
      </c>
      <c r="BH110" s="265" t="s">
        <v>3163</v>
      </c>
      <c r="BI110" s="264" t="s">
        <v>3164</v>
      </c>
      <c r="BJ110" s="143" t="s">
        <v>3165</v>
      </c>
      <c r="BK110">
        <f>53.247</f>
        <v>53.247</v>
      </c>
      <c r="BL110">
        <f>53.247*(1+9.16/100)</f>
        <v>58.124425199999997</v>
      </c>
      <c r="BM110"/>
      <c r="BN110">
        <f>BL110-BK110</f>
        <v>4.8774251999999976</v>
      </c>
      <c r="BO110" s="143">
        <f>BN110*10^6</f>
        <v>4877425.1999999974</v>
      </c>
      <c r="BP110" t="s">
        <v>232</v>
      </c>
      <c r="BQ110" s="264" t="s">
        <v>3166</v>
      </c>
      <c r="BR110" s="143" t="s">
        <v>1929</v>
      </c>
      <c r="BS110">
        <v>89.468999999999994</v>
      </c>
      <c r="BT110">
        <v>81.568887299999986</v>
      </c>
      <c r="BU110" s="144">
        <f>IFERROR(BT110/BS110,"")</f>
        <v>0.91169999999999995</v>
      </c>
      <c r="BV110">
        <f>BT110-BS110</f>
        <v>-7.9001127000000082</v>
      </c>
      <c r="BW110"/>
      <c r="BX110">
        <f>BV110*10^6</f>
        <v>-7900112.7000000086</v>
      </c>
      <c r="BY110">
        <f>IFERROR(BX110/BO110,"")</f>
        <v>-1.6197301600852869</v>
      </c>
      <c r="BZ110">
        <v>0</v>
      </c>
      <c r="CA110">
        <v>0</v>
      </c>
      <c r="CB110">
        <v>0</v>
      </c>
      <c r="CC110">
        <v>0</v>
      </c>
      <c r="CD110">
        <v>0</v>
      </c>
      <c r="CE110">
        <v>0</v>
      </c>
      <c r="CF110">
        <v>0</v>
      </c>
      <c r="CG110">
        <v>0</v>
      </c>
      <c r="CH110">
        <v>0</v>
      </c>
      <c r="CI110">
        <v>0</v>
      </c>
      <c r="CJ110">
        <v>0</v>
      </c>
      <c r="CK110">
        <v>0</v>
      </c>
      <c r="CL110">
        <v>0</v>
      </c>
      <c r="CM110">
        <v>0</v>
      </c>
      <c r="CN110" t="str">
        <f>IF($BL110&lt;$BK110,"refNeedCorrection","refOK")</f>
        <v>refOK</v>
      </c>
      <c r="CO110">
        <f>IF($CN110="refOK",$BK110,$BL110)</f>
        <v>53.247</v>
      </c>
      <c r="CP110">
        <f>IF($CN110="refOK",$BL110,#REF!)</f>
        <v>58.124425199999997</v>
      </c>
      <c r="CQ110">
        <f>IF($CN110="refOK",$BO110,-$BO110)</f>
        <v>4877425.1999999974</v>
      </c>
      <c r="CR110">
        <f>IF($CN110="refOK",$BS110,$BT110)*IF($BP110="Emissions positive",-1,1)</f>
        <v>89.468999999999994</v>
      </c>
      <c r="CS110">
        <f>IF($CN110="refOK",$BT110,$BS110)*IF($BP110="Emissions positive",-1,1)</f>
        <v>81.568887299999986</v>
      </c>
      <c r="CT110">
        <f>IF($CN110="refNeedCorrection",-BX110,BX110)*IF($BP110="Emissions positive",-1,1)</f>
        <v>-7900112.7000000086</v>
      </c>
      <c r="CU110">
        <f>IFERROR(CT110/CQ110,"")</f>
        <v>-1.6197301600852869</v>
      </c>
      <c r="CV110" s="2">
        <f>IFERROR((CS110-CR110)/ABS(CR110),"")</f>
        <v>-8.8300000000000101E-2</v>
      </c>
      <c r="CW110" s="1" t="s">
        <v>1199</v>
      </c>
      <c r="CX110" t="str">
        <f>IF(OR($CW110="prd",$CW110="std",$CW110="cit"),"loc",IF(OR($CW110="eur",$CW110="reg",$CW110="coy"),"reg",$CW110))</f>
        <v>reg</v>
      </c>
      <c r="CY110" t="s">
        <v>729</v>
      </c>
      <c r="CZ110">
        <v>2007</v>
      </c>
      <c r="DA110" s="143">
        <v>2100</v>
      </c>
      <c r="DB110" s="143">
        <f>DA110-CZ110</f>
        <v>93</v>
      </c>
      <c r="DC110" t="str">
        <f>IF(DB110=0,"0",IF(AND(DB110&gt;=1,DB110&lt;=30),"1-30",IF(AND(DB110&gt;30,DB110&lt;=70),"31-70",IF(AND(DB110&gt;70,DB110&lt;=100),"71-100",IF(DB110&gt;100,"+100")))))</f>
        <v>71-100</v>
      </c>
      <c r="DD110">
        <v>0</v>
      </c>
      <c r="DE110">
        <v>1</v>
      </c>
      <c r="DF110">
        <v>0</v>
      </c>
      <c r="DG110">
        <v>1</v>
      </c>
      <c r="DH110">
        <v>1</v>
      </c>
      <c r="DI110">
        <f>SUM(DD110:DG110)</f>
        <v>2</v>
      </c>
      <c r="DJ110" t="str">
        <f>IF(DI110=1,INDEX($DD$7:$DG$7,MATCH(1,$DD110:$DG110,0)),"mixedProduct")</f>
        <v>mixedProduct</v>
      </c>
      <c r="DK110">
        <f>IF(DD110=1,DK$7,0)</f>
        <v>0</v>
      </c>
      <c r="DL110" t="str">
        <f>IF(DE110=1,DL$7,0)</f>
        <v>Energy</v>
      </c>
      <c r="DM110">
        <f>IF(DF110=1,DM$7,0)</f>
        <v>0</v>
      </c>
      <c r="DN110" t="str">
        <f>IF(DG110=1,DN$7,0)</f>
        <v>Timber</v>
      </c>
      <c r="DO110">
        <v>0</v>
      </c>
      <c r="DP110" s="143">
        <v>0</v>
      </c>
      <c r="DQ110" s="143">
        <v>0</v>
      </c>
      <c r="DR110">
        <v>0</v>
      </c>
      <c r="DS110" s="143">
        <v>0</v>
      </c>
      <c r="DT110">
        <f>SUM(DO110:DP110)</f>
        <v>0</v>
      </c>
      <c r="DU110" s="143" t="str">
        <f>IF(DO110=1,"self-calculated DF",IF(DP110=1,"external DF used","explicit C balance"))</f>
        <v>explicit C balance</v>
      </c>
      <c r="DV110" s="143">
        <v>0</v>
      </c>
      <c r="DW110" s="143">
        <v>0</v>
      </c>
      <c r="DX110" s="143">
        <v>1</v>
      </c>
      <c r="DY110" s="143">
        <v>1</v>
      </c>
      <c r="DZ110">
        <v>0</v>
      </c>
      <c r="EA110" s="143">
        <v>0</v>
      </c>
      <c r="EB110" s="143">
        <v>0</v>
      </c>
      <c r="EC110" s="143">
        <v>0</v>
      </c>
      <c r="ED110" s="143">
        <v>0</v>
      </c>
      <c r="EE110">
        <v>0</v>
      </c>
      <c r="EF110">
        <v>1</v>
      </c>
      <c r="EG110" s="143">
        <v>0</v>
      </c>
      <c r="EH110">
        <v>0</v>
      </c>
      <c r="EI110" s="2">
        <v>1</v>
      </c>
      <c r="EJ110" s="1"/>
      <c r="EK110" t="str">
        <f>IF(AND(AND(AND(OR($DX110=1,$DW110=1),OR($EC110=1,$EA110=1)),SUM($DV110:$DZ110,$EF110)&gt;=4),SUM($EA110:$EE110)&gt;=2),"Whole sector","")</f>
        <v/>
      </c>
      <c r="EL110" t="str">
        <f>IF(AND(AND(OR($DX110=1,$DW110=1),AND($EC110=0,$EA110=0)),SUM($DV110:$DZ110,$EF110)&gt;=4),"Ecosystem approach","")</f>
        <v/>
      </c>
      <c r="EM110" s="2" t="str">
        <f>IF(AND(AND(AND($DX110=0,$DW110=0),OR($EC110=1,$EA110=1)),SUM($EB110:$EE110)&gt;=2),"Technology approach","")</f>
        <v/>
      </c>
      <c r="EN110"/>
      <c r="EO110"/>
      <c r="EP110" t="str">
        <f>IF(ISNUMBER(BU110),IF(ABS(BU110-[1]QC_indicators!$B$2)&gt;3*[1]QC_indicators!$C$2,"C ratio",IF(ISNUMBER(BY110),IF(ABS(BY110-[1]QC_indicators!$B$1)&gt;3*[1]QC_indicators!$C$1,"DF","no"))),IF(ISNUMBER(BY110),IF(ABS(BY110-[1]QC_indicators!$B$1)&gt;3*[1]QC_indicators!$C$1,"DF","no")))</f>
        <v>no</v>
      </c>
      <c r="EQ110"/>
      <c r="ER110"/>
      <c r="ES110"/>
      <c r="ET110" s="264" t="s">
        <v>3167</v>
      </c>
      <c r="EU110"/>
    </row>
    <row r="111" spans="1:151" s="139" customFormat="1" ht="15" customHeight="1">
      <c r="A111" s="1" t="s">
        <v>1378</v>
      </c>
      <c r="B111" t="s">
        <v>1922</v>
      </c>
      <c r="C111" t="s">
        <v>1923</v>
      </c>
      <c r="D111" t="s">
        <v>1924</v>
      </c>
      <c r="E111" t="s">
        <v>1925</v>
      </c>
      <c r="F111" t="s">
        <v>1926</v>
      </c>
      <c r="G111" t="s">
        <v>1384</v>
      </c>
      <c r="H111" t="s">
        <v>254</v>
      </c>
      <c r="I111">
        <v>2016</v>
      </c>
      <c r="J111">
        <v>12</v>
      </c>
      <c r="K111" t="s">
        <v>1927</v>
      </c>
      <c r="L111"/>
      <c r="M111" t="str">
        <f>LEFT($D111,FIND(",",$D111)-1)&amp;"_"&amp;I111&amp;L111</f>
        <v>Lobianco_2016</v>
      </c>
      <c r="N111" t="s">
        <v>222</v>
      </c>
      <c r="O111" s="145" t="s">
        <v>225</v>
      </c>
      <c r="P111" t="s">
        <v>513</v>
      </c>
      <c r="Q111" t="s">
        <v>256</v>
      </c>
      <c r="R111" s="262" t="s">
        <v>223</v>
      </c>
      <c r="S111" s="1" t="s">
        <v>1931</v>
      </c>
      <c r="T111" s="143" t="s">
        <v>3162</v>
      </c>
      <c r="U111" s="143" t="s">
        <v>1155</v>
      </c>
      <c r="V111">
        <v>0</v>
      </c>
      <c r="W111">
        <v>0</v>
      </c>
      <c r="X111">
        <v>0</v>
      </c>
      <c r="Y111">
        <v>1</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1</v>
      </c>
      <c r="AV111">
        <v>0</v>
      </c>
      <c r="AW111">
        <v>0</v>
      </c>
      <c r="AX111" s="141">
        <f>COUNTIF(V111:AW111,"&lt;&gt;0")</f>
        <v>2</v>
      </c>
      <c r="AY111" s="141">
        <f>COUNTIF(V111:AL111,"&lt;&gt;0")</f>
        <v>1</v>
      </c>
      <c r="AZ111">
        <f>COUNTIF(V111:AC111,"&lt;&gt;0")</f>
        <v>1</v>
      </c>
      <c r="BA111">
        <f>COUNTIF(AD111:AI111,"&lt;&gt;0")</f>
        <v>0</v>
      </c>
      <c r="BB111">
        <f>COUNTIF(AJ111:AL111,"&lt;&gt;0")</f>
        <v>0</v>
      </c>
      <c r="BC111">
        <f>COUNTIF(AS111:AW111,"&lt;&gt;0")</f>
        <v>1</v>
      </c>
      <c r="BD111">
        <f>COUNTIF(AM111:AR111,"&lt;&gt;0")</f>
        <v>0</v>
      </c>
      <c r="BE111" t="str">
        <f t="array" ref="BE111">IF(AY111=1,INDEX($V$7:$AL$7,MATCH(TRUE,INDEX($V111:$AW111&lt;&gt;0,),0)),IF(AY111=0,INDEX($AM$7:$AW$7,MATCH(1,$AM111:$AW111,0)),IF(BF111="Multiple strategies","mixed drivers",IF(BF111="Supply chain","multiple supply","multiple silviculture"))))</f>
        <v xml:space="preserve">cutting intensity </v>
      </c>
      <c r="BF111" s="2" t="str" cm="1">
        <f t="array" ref="BF111">IF(COUNTIF(AZ111:BB111,"&lt;&gt;0")=1,INDEX($V$4:$AW$4,MATCH(TRUE,INDEX($V111:$AW111&lt;&gt;0,),0)),IF(COUNTIF(AZ111:BB111,"&lt;&gt;0")=0,INDEX($AM$4:$AW$4,MATCH(1,$AM111:$AW111,0)),"Multiple strategies"))</f>
        <v>Silviculture for removals</v>
      </c>
      <c r="BG111" s="142" t="s">
        <v>321</v>
      </c>
      <c r="BH111" s="265" t="s">
        <v>3163</v>
      </c>
      <c r="BI111" s="264" t="s">
        <v>3164</v>
      </c>
      <c r="BJ111" s="143" t="s">
        <v>3165</v>
      </c>
      <c r="BK111">
        <f>53.247*(1-4.06/100)</f>
        <v>51.085171800000005</v>
      </c>
      <c r="BL111">
        <f>53.247</f>
        <v>53.247</v>
      </c>
      <c r="BM111" s="163"/>
      <c r="BN111">
        <f>BL111-BK111</f>
        <v>2.1618281999999951</v>
      </c>
      <c r="BO111" s="143">
        <f>BN111*10^6</f>
        <v>2161828.1999999951</v>
      </c>
      <c r="BP111" t="s">
        <v>232</v>
      </c>
      <c r="BQ111" s="264" t="s">
        <v>3166</v>
      </c>
      <c r="BR111" s="143" t="s">
        <v>1929</v>
      </c>
      <c r="BS111">
        <f>89.469*(1+3.82/100)</f>
        <v>92.88671579999999</v>
      </c>
      <c r="BT111">
        <v>89.468999999999994</v>
      </c>
      <c r="BU111" s="144">
        <f>IFERROR(BT111/BS111,"")</f>
        <v>0.96320554806395686</v>
      </c>
      <c r="BV111">
        <f>BT111-BS111</f>
        <v>-3.4177157999999963</v>
      </c>
      <c r="BW111"/>
      <c r="BX111">
        <f>BV111*10^6</f>
        <v>-3417715.7999999961</v>
      </c>
      <c r="BY111">
        <f>IFERROR(BX111/BO111,"")</f>
        <v>-1.5809377451917797</v>
      </c>
      <c r="BZ111">
        <v>0</v>
      </c>
      <c r="CA111">
        <v>0</v>
      </c>
      <c r="CB111">
        <v>0</v>
      </c>
      <c r="CC111">
        <v>0</v>
      </c>
      <c r="CD111">
        <v>0</v>
      </c>
      <c r="CE111">
        <v>0</v>
      </c>
      <c r="CF111">
        <v>0</v>
      </c>
      <c r="CG111">
        <v>0</v>
      </c>
      <c r="CH111">
        <v>0</v>
      </c>
      <c r="CI111">
        <v>0</v>
      </c>
      <c r="CJ111">
        <v>0</v>
      </c>
      <c r="CK111">
        <v>0</v>
      </c>
      <c r="CL111">
        <v>0</v>
      </c>
      <c r="CM111">
        <v>0</v>
      </c>
      <c r="CN111" t="str">
        <f>IF($BL111&lt;$BK111,"refNeedCorrection","refOK")</f>
        <v>refOK</v>
      </c>
      <c r="CO111">
        <f>IF($CN111="refOK",$BK111,$BL111)</f>
        <v>51.085171800000005</v>
      </c>
      <c r="CP111">
        <f>IF($CN111="refOK",$BL111,$BK111)</f>
        <v>53.247</v>
      </c>
      <c r="CQ111">
        <f>IF($CN111="refOK",$BO111,-$BO111)</f>
        <v>2161828.1999999951</v>
      </c>
      <c r="CR111">
        <f>IF($CN111="refOK",$BS111,$BT111)*IF($BP111="Emissions positive",-1,1)</f>
        <v>92.88671579999999</v>
      </c>
      <c r="CS111">
        <f>IF($CN111="refOK",$BT111,$BS111)*IF($BP111="Emissions positive",-1,1)</f>
        <v>89.468999999999994</v>
      </c>
      <c r="CT111">
        <f>IF($CN111="refNeedCorrection",-BX111,BX111)*IF($BP111="Emissions positive",-1,1)</f>
        <v>-3417715.7999999961</v>
      </c>
      <c r="CU111">
        <f>IFERROR(CT111/CQ111,"")</f>
        <v>-1.5809377451917797</v>
      </c>
      <c r="CV111" s="2">
        <f>IFERROR((CS111-CR111)/ABS(CR111),"")</f>
        <v>-3.6794451936043117E-2</v>
      </c>
      <c r="CW111" s="1" t="s">
        <v>1199</v>
      </c>
      <c r="CX111" t="str">
        <f>IF(OR($CW111="prd",$CW111="std",$CW111="cit"),"loc",IF(OR($CW111="eur",$CW111="reg",$CW111="coy"),"reg",$CW111))</f>
        <v>reg</v>
      </c>
      <c r="CY111" t="s">
        <v>729</v>
      </c>
      <c r="CZ111">
        <v>2007</v>
      </c>
      <c r="DA111" s="143">
        <v>2100</v>
      </c>
      <c r="DB111" s="143">
        <f>DA111-CZ111</f>
        <v>93</v>
      </c>
      <c r="DC111" t="str">
        <f>IF(DB111=0,"0",IF(AND(DB111&gt;=1,DB111&lt;=30),"1-30",IF(AND(DB111&gt;30,DB111&lt;=70),"31-70",IF(AND(DB111&gt;70,DB111&lt;=100),"71-100",IF(DB111&gt;100,"+100")))))</f>
        <v>71-100</v>
      </c>
      <c r="DD111">
        <v>0</v>
      </c>
      <c r="DE111">
        <v>1</v>
      </c>
      <c r="DF111">
        <v>0</v>
      </c>
      <c r="DG111">
        <v>1</v>
      </c>
      <c r="DH111">
        <v>1</v>
      </c>
      <c r="DI111">
        <f>SUM(DD111:DG111)</f>
        <v>2</v>
      </c>
      <c r="DJ111" t="str">
        <f>IF(DI111=1,INDEX($DD$7:$DG$7,MATCH(1,$DD111:$DG111,0)),"mixedProduct")</f>
        <v>mixedProduct</v>
      </c>
      <c r="DK111">
        <f>IF(DD111=1,DK$7,0)</f>
        <v>0</v>
      </c>
      <c r="DL111" t="str">
        <f>IF(DE111=1,DL$7,0)</f>
        <v>Energy</v>
      </c>
      <c r="DM111">
        <f>IF(DF111=1,DM$7,0)</f>
        <v>0</v>
      </c>
      <c r="DN111" t="str">
        <f>IF(DG111=1,DN$7,0)</f>
        <v>Timber</v>
      </c>
      <c r="DO111">
        <v>0</v>
      </c>
      <c r="DP111" s="143">
        <v>0</v>
      </c>
      <c r="DQ111" s="143">
        <v>0</v>
      </c>
      <c r="DR111">
        <v>0</v>
      </c>
      <c r="DS111" s="143">
        <v>0</v>
      </c>
      <c r="DT111">
        <f>SUM(DO111:DP111)</f>
        <v>0</v>
      </c>
      <c r="DU111" s="143" t="str">
        <f>IF(DO111=1,"self-calculated DF",IF(DP111=1,"external DF used","explicit C balance"))</f>
        <v>explicit C balance</v>
      </c>
      <c r="DV111" s="143">
        <v>0</v>
      </c>
      <c r="DW111" s="143">
        <v>0</v>
      </c>
      <c r="DX111" s="143">
        <v>1</v>
      </c>
      <c r="DY111" s="143">
        <v>1</v>
      </c>
      <c r="DZ111">
        <v>0</v>
      </c>
      <c r="EA111" s="143">
        <v>0</v>
      </c>
      <c r="EB111" s="143">
        <v>0</v>
      </c>
      <c r="EC111" s="143">
        <v>0</v>
      </c>
      <c r="ED111" s="143">
        <v>0</v>
      </c>
      <c r="EE111">
        <v>0</v>
      </c>
      <c r="EF111">
        <v>1</v>
      </c>
      <c r="EG111" s="143">
        <v>0</v>
      </c>
      <c r="EH111">
        <v>0</v>
      </c>
      <c r="EI111" s="2">
        <v>1</v>
      </c>
      <c r="EJ111" s="1"/>
      <c r="EK111" t="str">
        <f>IF(AND(AND(AND(OR($DX111=1,$DW111=1),OR($EC111=1,$EA111=1)),SUM($DV111:$DZ111,$EF111)&gt;=4),SUM($EA111:$EE111)&gt;=2),"Whole sector","")</f>
        <v/>
      </c>
      <c r="EL111" t="str">
        <f>IF(AND(AND(OR($DX111=1,$DW111=1),AND($EC111=0,$EA111=0)),SUM($DV111:$DZ111,$EF111)&gt;=4),"Ecosystem approach","")</f>
        <v/>
      </c>
      <c r="EM111" s="2" t="str">
        <f>IF(AND(AND(AND($DX111=0,$DW111=0),OR($EC111=1,$EA111=1)),SUM($EB111:$EE111)&gt;=2),"Technology approach","")</f>
        <v/>
      </c>
      <c r="EN111"/>
      <c r="EO111"/>
      <c r="EP111" t="str">
        <f>IF(ISNUMBER(BU111),IF(ABS(BU111-[1]QC_indicators!$B$2)&gt;3*[1]QC_indicators!$C$2,"C ratio",IF(ISNUMBER(BY111),IF(ABS(BY111-[1]QC_indicators!$B$1)&gt;3*[1]QC_indicators!$C$1,"DF","no"))),IF(ISNUMBER(BY111),IF(ABS(BY111-[1]QC_indicators!$B$1)&gt;3*[1]QC_indicators!$C$1,"DF","no")))</f>
        <v>no</v>
      </c>
      <c r="EQ111"/>
      <c r="ER111"/>
      <c r="ES111"/>
      <c r="ET111" s="264" t="s">
        <v>3167</v>
      </c>
      <c r="EU111"/>
    </row>
    <row r="112" spans="1:151" s="139" customFormat="1" ht="15" customHeight="1">
      <c r="A112" s="1" t="s">
        <v>1808</v>
      </c>
      <c r="B112" t="s">
        <v>2475</v>
      </c>
      <c r="C112" t="s">
        <v>2476</v>
      </c>
      <c r="D112" t="s">
        <v>2477</v>
      </c>
      <c r="E112" t="s">
        <v>2478</v>
      </c>
      <c r="F112" t="s">
        <v>2479</v>
      </c>
      <c r="G112" t="s">
        <v>1814</v>
      </c>
      <c r="H112" t="s">
        <v>254</v>
      </c>
      <c r="I112">
        <v>2010</v>
      </c>
      <c r="J112">
        <v>100</v>
      </c>
      <c r="K112" t="s">
        <v>2480</v>
      </c>
      <c r="L112"/>
      <c r="M112" t="str">
        <f>LEFT($D112,FIND(",",$D112)-1)&amp;"_"&amp;I112&amp;L112</f>
        <v>Werner_2010</v>
      </c>
      <c r="N112" t="s">
        <v>222</v>
      </c>
      <c r="O112" s="145" t="s">
        <v>1154</v>
      </c>
      <c r="P112"/>
      <c r="Q112" t="s">
        <v>256</v>
      </c>
      <c r="R112" s="262" t="s">
        <v>223</v>
      </c>
      <c r="S112" s="263" t="s">
        <v>3255</v>
      </c>
      <c r="T112" t="s">
        <v>2482</v>
      </c>
      <c r="U112" t="s">
        <v>2487</v>
      </c>
      <c r="V112">
        <v>2</v>
      </c>
      <c r="W112">
        <v>0</v>
      </c>
      <c r="X112">
        <v>1</v>
      </c>
      <c r="Y112">
        <v>2</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s="141">
        <f>COUNTIF(V112:AW112,"&lt;&gt;0")</f>
        <v>3</v>
      </c>
      <c r="AY112" s="141">
        <f>COUNTIF(V112:AL112,"&lt;&gt;0")</f>
        <v>3</v>
      </c>
      <c r="AZ112">
        <f>COUNTIF(V112:AC112,"&lt;&gt;0")</f>
        <v>3</v>
      </c>
      <c r="BA112">
        <f>COUNTIF(AD112:AI112,"&lt;&gt;0")</f>
        <v>0</v>
      </c>
      <c r="BB112">
        <f>COUNTIF(AJ112:AL112,"&lt;&gt;0")</f>
        <v>0</v>
      </c>
      <c r="BC112">
        <f>COUNTIF(AS112:AW112,"&lt;&gt;0")</f>
        <v>0</v>
      </c>
      <c r="BD112">
        <f>COUNTIF(AM112:AR112,"&lt;&gt;0")</f>
        <v>0</v>
      </c>
      <c r="BE112" t="str">
        <f t="array" ref="BE112">IF(AY112=1,INDEX($V$7:$AL$7,MATCH(TRUE,INDEX($V112:$AW112&lt;&gt;0,),0)),IF(AY112=0,INDEX($AM$7:$AW$7,MATCH(1,$AM112:$AW112,0)),IF(BF112="Multiple strategies","mixed drivers",IF(BF112="Supply chain","multiple supply","multiple silviculture"))))</f>
        <v>multiple silviculture</v>
      </c>
      <c r="BF112" s="2" t="str" cm="1">
        <f t="array" ref="BF112">IF(COUNTIF(AZ112:BB112,"&lt;&gt;0")=1,INDEX($V$4:$AW$4,MATCH(TRUE,INDEX($V112:$AW112&lt;&gt;0,),0)),IF(COUNTIF(AZ112:BB112,"&lt;&gt;0")=0,INDEX($AM$4:$AW$4,MATCH(1,$AM112:$AW112,0)),"Multiple strategies"))</f>
        <v>Silviculture for removals</v>
      </c>
      <c r="BG112" s="1" t="s">
        <v>321</v>
      </c>
      <c r="BH112" t="s">
        <v>2453</v>
      </c>
      <c r="BI112" s="264" t="s">
        <v>3252</v>
      </c>
      <c r="BJ112" t="s">
        <v>1323</v>
      </c>
      <c r="BK112">
        <v>120</v>
      </c>
      <c r="BL112">
        <v>213</v>
      </c>
      <c r="BM112" s="143">
        <f>BL112/BK112</f>
        <v>1.7749999999999999</v>
      </c>
      <c r="BN112">
        <f>BL112-BK112</f>
        <v>93</v>
      </c>
      <c r="BO112">
        <f>BN112*10^6</f>
        <v>93000000</v>
      </c>
      <c r="BP112" t="s">
        <v>232</v>
      </c>
      <c r="BQ112" s="153" t="s">
        <v>3253</v>
      </c>
      <c r="BR112" t="s">
        <v>2325</v>
      </c>
      <c r="BS112">
        <v>223.834792619919</v>
      </c>
      <c r="BT112">
        <v>76.966731236946401</v>
      </c>
      <c r="BU112" s="144">
        <f>IFERROR(BT112/BS112,"")</f>
        <v>0.34385508318914115</v>
      </c>
      <c r="BV112" s="144">
        <f>BT112-BS112</f>
        <v>-146.8680613829726</v>
      </c>
      <c r="BW112" s="144"/>
      <c r="BX112">
        <f>BV112*10^6</f>
        <v>-146868061.3829726</v>
      </c>
      <c r="BY112">
        <f>IFERROR(BX112/BO112,"")</f>
        <v>-1.5792264664835762</v>
      </c>
      <c r="BZ112">
        <v>0</v>
      </c>
      <c r="CA112">
        <v>0</v>
      </c>
      <c r="CB112">
        <v>0</v>
      </c>
      <c r="CC112">
        <v>0</v>
      </c>
      <c r="CD112">
        <v>0</v>
      </c>
      <c r="CE112">
        <v>0</v>
      </c>
      <c r="CF112">
        <v>0</v>
      </c>
      <c r="CG112">
        <v>0</v>
      </c>
      <c r="CH112">
        <v>0</v>
      </c>
      <c r="CI112">
        <v>0</v>
      </c>
      <c r="CJ112">
        <v>0</v>
      </c>
      <c r="CK112">
        <v>0</v>
      </c>
      <c r="CL112">
        <v>0</v>
      </c>
      <c r="CM112">
        <v>1</v>
      </c>
      <c r="CN112" t="str">
        <f>IF($BL112&lt;$BK112,"refNeedCorrection","refOK")</f>
        <v>refOK</v>
      </c>
      <c r="CO112">
        <f>IF($CN112="refOK",$BK112,$BL112)</f>
        <v>120</v>
      </c>
      <c r="CP112">
        <f>IF($CN112="refOK",$BL112,$BK112)</f>
        <v>213</v>
      </c>
      <c r="CQ112">
        <f>IF($CN112="refOK",$BO112,-$BO112)</f>
        <v>93000000</v>
      </c>
      <c r="CR112">
        <f>IF($CN112="refOK",$BS112,$BT112)*IF($BP112="Emissions positive",-1,1)</f>
        <v>223.834792619919</v>
      </c>
      <c r="CS112">
        <f>IF($CN112="refOK",$BT112,$BS112)*IF($BP112="Emissions positive",-1,1)</f>
        <v>76.966731236946401</v>
      </c>
      <c r="CT112">
        <f>IF($CN112="refNeedCorrection",-BX112,BX112)*IF($BP112="Emissions positive",-1,1)</f>
        <v>-146868061.3829726</v>
      </c>
      <c r="CU112">
        <f>IFERROR(CT112/CQ112,"")</f>
        <v>-1.5792264664835762</v>
      </c>
      <c r="CV112" s="2">
        <f>IFERROR((CS112-CR112)/ABS(CR112),"")</f>
        <v>-0.65614491681085885</v>
      </c>
      <c r="CW112" s="1" t="s">
        <v>1203</v>
      </c>
      <c r="CX112" t="str">
        <f>IF(OR($CW112="prd",$CW112="std",$CW112="cit"),"loc",IF(OR($CW112="eur",$CW112="reg",$CW112="coy"),"reg",$CW112))</f>
        <v>reg</v>
      </c>
      <c r="CY112" t="s">
        <v>639</v>
      </c>
      <c r="CZ112">
        <v>2000</v>
      </c>
      <c r="DA112">
        <v>2030</v>
      </c>
      <c r="DB112">
        <f>DA112-CZ112</f>
        <v>30</v>
      </c>
      <c r="DC112" t="str">
        <f>IF(DB112=0,"0",IF(AND(DB112&gt;=1,DB112&lt;=30),"1-30",IF(AND(DB112&gt;30,DB112&lt;=70),"31-70",IF(AND(DB112&gt;70,DB112&lt;=100),"71-100",IF(DB112&gt;100,"+100")))))</f>
        <v>1-30</v>
      </c>
      <c r="DD112">
        <v>0</v>
      </c>
      <c r="DE112">
        <v>0</v>
      </c>
      <c r="DF112">
        <v>0</v>
      </c>
      <c r="DG112">
        <v>1</v>
      </c>
      <c r="DH112">
        <v>0</v>
      </c>
      <c r="DI112">
        <f>SUM(DD112:DG112)</f>
        <v>1</v>
      </c>
      <c r="DJ112" t="str">
        <f>IF(DI112=1,INDEX($DD$7:$DG$7,MATCH(1,$DD112:$DG112,0)),"mixedProduct")</f>
        <v>TimberInput</v>
      </c>
      <c r="DK112">
        <f>IF(DD112=1,DK$7,0)</f>
        <v>0</v>
      </c>
      <c r="DL112">
        <f>IF(DE112=1,DL$7,0)</f>
        <v>0</v>
      </c>
      <c r="DM112">
        <f>IF(DF112=1,DM$7,0)</f>
        <v>0</v>
      </c>
      <c r="DN112" t="str">
        <f>IF(DG112=1,DN$7,0)</f>
        <v>Timber</v>
      </c>
      <c r="DO112">
        <v>0</v>
      </c>
      <c r="DP112">
        <v>0</v>
      </c>
      <c r="DQ112"/>
      <c r="DR112"/>
      <c r="DS112"/>
      <c r="DT112">
        <f>SUM(DO112:DP112)</f>
        <v>0</v>
      </c>
      <c r="DU112" s="143" t="str">
        <f>IF(DO112=1,"self-calculated DF",IF(DP112=1,"external DF used","explicit C balance"))</f>
        <v>explicit C balance</v>
      </c>
      <c r="DV112">
        <v>1</v>
      </c>
      <c r="DW112">
        <v>1</v>
      </c>
      <c r="DX112">
        <v>1</v>
      </c>
      <c r="DY112">
        <v>0</v>
      </c>
      <c r="DZ112">
        <v>0</v>
      </c>
      <c r="EA112" s="143">
        <v>0</v>
      </c>
      <c r="EB112">
        <v>0</v>
      </c>
      <c r="EC112">
        <v>0</v>
      </c>
      <c r="ED112">
        <v>0</v>
      </c>
      <c r="EE112">
        <v>0</v>
      </c>
      <c r="EF112">
        <v>1</v>
      </c>
      <c r="EG112">
        <v>0</v>
      </c>
      <c r="EH112">
        <v>0</v>
      </c>
      <c r="EI112" s="2">
        <v>0</v>
      </c>
      <c r="EJ112" s="1"/>
      <c r="EK112" t="str">
        <f>IF(AND(AND(AND(OR($DX112=1,$DW112=1),OR($EC112=1,$EA112=1)),SUM($DV112:$DZ112,$EF112)&gt;=4),SUM($EA112:$EE112)&gt;=2),"Whole sector","")</f>
        <v/>
      </c>
      <c r="EL112" t="str">
        <f>IF(AND(AND(OR($DX112=1,$DW112=1),AND($EC112=0,$EA112=0)),SUM($DV112:$DZ112,$EF112)&gt;=4),"Ecosystem approach","")</f>
        <v>Ecosystem approach</v>
      </c>
      <c r="EM112" s="2" t="str">
        <f>IF(AND(AND(AND($DX112=0,$DW112=0),OR($EC112=1,$EA112=1)),SUM($EB112:$EE112)&gt;=2),"Technology approach","")</f>
        <v/>
      </c>
      <c r="EN112" t="s">
        <v>2485</v>
      </c>
      <c r="EO112"/>
      <c r="EP112" t="str">
        <f>IF(ISNUMBER(BU112),IF(ABS(BU112-[1]QC_indicators!$B$2)&gt;3*[1]QC_indicators!$C$2,"C ratio",IF(ISNUMBER(BY112),IF(ABS(BY112-[1]QC_indicators!$B$1)&gt;3*[1]QC_indicators!$C$1,"DF","no"))),IF(ISNUMBER(BY112),IF(ABS(BY112-[1]QC_indicators!$B$1)&gt;3*[1]QC_indicators!$C$1,"DF","no")))</f>
        <v>no</v>
      </c>
      <c r="EQ112"/>
      <c r="ER112"/>
      <c r="ES112"/>
      <c r="ET112" s="264" t="s">
        <v>3254</v>
      </c>
      <c r="EU112"/>
    </row>
    <row r="113" spans="1:151" s="139" customFormat="1" ht="15" customHeight="1">
      <c r="A113" s="1" t="s">
        <v>1808</v>
      </c>
      <c r="B113" t="s">
        <v>2475</v>
      </c>
      <c r="C113" t="s">
        <v>2476</v>
      </c>
      <c r="D113" t="s">
        <v>2477</v>
      </c>
      <c r="E113" t="s">
        <v>2478</v>
      </c>
      <c r="F113" t="s">
        <v>2479</v>
      </c>
      <c r="G113" t="s">
        <v>1814</v>
      </c>
      <c r="H113" t="s">
        <v>254</v>
      </c>
      <c r="I113">
        <v>2010</v>
      </c>
      <c r="J113">
        <v>100</v>
      </c>
      <c r="K113" t="s">
        <v>2480</v>
      </c>
      <c r="L113"/>
      <c r="M113" t="str">
        <f>LEFT($D113,FIND(",",$D113)-1)&amp;"_"&amp;I113&amp;L113</f>
        <v>Werner_2010</v>
      </c>
      <c r="N113" t="s">
        <v>222</v>
      </c>
      <c r="O113" s="145" t="s">
        <v>1154</v>
      </c>
      <c r="P113"/>
      <c r="Q113" t="s">
        <v>256</v>
      </c>
      <c r="R113" s="262" t="s">
        <v>223</v>
      </c>
      <c r="S113" s="263" t="s">
        <v>3255</v>
      </c>
      <c r="T113" t="s">
        <v>2482</v>
      </c>
      <c r="U113" t="s">
        <v>2488</v>
      </c>
      <c r="V113">
        <v>2</v>
      </c>
      <c r="W113">
        <v>0</v>
      </c>
      <c r="X113">
        <v>1</v>
      </c>
      <c r="Y113">
        <v>2</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s="141">
        <f>COUNTIF(V113:AW113,"&lt;&gt;0")</f>
        <v>3</v>
      </c>
      <c r="AY113" s="141">
        <f>COUNTIF(V113:AL113,"&lt;&gt;0")</f>
        <v>3</v>
      </c>
      <c r="AZ113">
        <f>COUNTIF(V113:AC113,"&lt;&gt;0")</f>
        <v>3</v>
      </c>
      <c r="BA113">
        <f>COUNTIF(AD113:AI113,"&lt;&gt;0")</f>
        <v>0</v>
      </c>
      <c r="BB113">
        <f>COUNTIF(AJ113:AL113,"&lt;&gt;0")</f>
        <v>0</v>
      </c>
      <c r="BC113">
        <f>COUNTIF(AS113:AW113,"&lt;&gt;0")</f>
        <v>0</v>
      </c>
      <c r="BD113">
        <f>COUNTIF(AM113:AR113,"&lt;&gt;0")</f>
        <v>0</v>
      </c>
      <c r="BE113" t="str">
        <f t="array" ref="BE113">IF(AY113=1,INDEX($V$7:$AL$7,MATCH(TRUE,INDEX($V113:$AW113&lt;&gt;0,),0)),IF(AY113=0,INDEX($AM$7:$AW$7,MATCH(1,$AM113:$AW113,0)),IF(BF113="Multiple strategies","mixed drivers",IF(BF113="Supply chain","multiple supply","multiple silviculture"))))</f>
        <v>multiple silviculture</v>
      </c>
      <c r="BF113" s="2" t="str" cm="1">
        <f t="array" ref="BF113">IF(COUNTIF(AZ113:BB113,"&lt;&gt;0")=1,INDEX($V$4:$AW$4,MATCH(TRUE,INDEX($V113:$AW113&lt;&gt;0,),0)),IF(COUNTIF(AZ113:BB113,"&lt;&gt;0")=0,INDEX($AM$4:$AW$4,MATCH(1,$AM113:$AW113,0)),"Multiple strategies"))</f>
        <v>Silviculture for removals</v>
      </c>
      <c r="BG113" s="1" t="s">
        <v>321</v>
      </c>
      <c r="BH113" t="s">
        <v>2453</v>
      </c>
      <c r="BI113" s="264" t="s">
        <v>3252</v>
      </c>
      <c r="BJ113" t="s">
        <v>1323</v>
      </c>
      <c r="BK113">
        <v>120</v>
      </c>
      <c r="BL113">
        <v>213</v>
      </c>
      <c r="BM113" s="143">
        <f>BL113/BK113</f>
        <v>1.7749999999999999</v>
      </c>
      <c r="BN113">
        <f>BL113-BK113</f>
        <v>93</v>
      </c>
      <c r="BO113">
        <f>BN113*10^6</f>
        <v>93000000</v>
      </c>
      <c r="BP113" t="s">
        <v>232</v>
      </c>
      <c r="BQ113" s="153" t="s">
        <v>3253</v>
      </c>
      <c r="BR113" t="s">
        <v>2325</v>
      </c>
      <c r="BS113">
        <v>223.834792619919</v>
      </c>
      <c r="BT113">
        <v>76.966731236946401</v>
      </c>
      <c r="BU113" s="144">
        <f>IFERROR(BT113/BS113,"")</f>
        <v>0.34385508318914115</v>
      </c>
      <c r="BV113" s="144">
        <f>BT113-BS113</f>
        <v>-146.8680613829726</v>
      </c>
      <c r="BW113" s="144"/>
      <c r="BX113">
        <f>BV113*10^6</f>
        <v>-146868061.3829726</v>
      </c>
      <c r="BY113">
        <f>IFERROR(BX113/BO113,"")</f>
        <v>-1.5792264664835762</v>
      </c>
      <c r="BZ113">
        <v>0</v>
      </c>
      <c r="CA113">
        <v>0</v>
      </c>
      <c r="CB113">
        <v>0</v>
      </c>
      <c r="CC113">
        <v>0</v>
      </c>
      <c r="CD113">
        <v>0</v>
      </c>
      <c r="CE113">
        <v>0</v>
      </c>
      <c r="CF113">
        <v>0</v>
      </c>
      <c r="CG113">
        <v>0</v>
      </c>
      <c r="CH113">
        <v>0</v>
      </c>
      <c r="CI113">
        <v>0</v>
      </c>
      <c r="CJ113">
        <v>0</v>
      </c>
      <c r="CK113">
        <v>0</v>
      </c>
      <c r="CL113">
        <v>0</v>
      </c>
      <c r="CM113">
        <v>1</v>
      </c>
      <c r="CN113" t="str">
        <f>IF($BL113&lt;$BK113,"refNeedCorrection","refOK")</f>
        <v>refOK</v>
      </c>
      <c r="CO113">
        <f>IF($CN113="refOK",$BK113,$BL113)</f>
        <v>120</v>
      </c>
      <c r="CP113">
        <f>IF($CN113="refOK",$BL113,$BK113)</f>
        <v>213</v>
      </c>
      <c r="CQ113">
        <f>IF($CN113="refOK",$BO113,-$BO113)</f>
        <v>93000000</v>
      </c>
      <c r="CR113">
        <f>IF($CN113="refOK",$BS113,$BT113)*IF($BP113="Emissions positive",-1,1)</f>
        <v>223.834792619919</v>
      </c>
      <c r="CS113">
        <f>IF($CN113="refOK",$BT113,$BS113)*IF($BP113="Emissions positive",-1,1)</f>
        <v>76.966731236946401</v>
      </c>
      <c r="CT113">
        <f>IF($CN113="refNeedCorrection",-BX113,BX113)*IF($BP113="Emissions positive",-1,1)</f>
        <v>-146868061.3829726</v>
      </c>
      <c r="CU113">
        <f>IFERROR(CT113/CQ113,"")</f>
        <v>-1.5792264664835762</v>
      </c>
      <c r="CV113" s="2">
        <f>IFERROR((CS113-CR113)/ABS(CR113),"")</f>
        <v>-0.65614491681085885</v>
      </c>
      <c r="CW113" s="1" t="s">
        <v>1203</v>
      </c>
      <c r="CX113" t="str">
        <f>IF(OR($CW113="prd",$CW113="std",$CW113="cit"),"loc",IF(OR($CW113="eur",$CW113="reg",$CW113="coy"),"reg",$CW113))</f>
        <v>reg</v>
      </c>
      <c r="CY113" t="s">
        <v>639</v>
      </c>
      <c r="CZ113">
        <v>2000</v>
      </c>
      <c r="DA113">
        <v>2030</v>
      </c>
      <c r="DB113">
        <f>DA113-CZ113</f>
        <v>30</v>
      </c>
      <c r="DC113" t="str">
        <f>IF(DB113=0,"0",IF(AND(DB113&gt;=1,DB113&lt;=30),"1-30",IF(AND(DB113&gt;30,DB113&lt;=70),"31-70",IF(AND(DB113&gt;70,DB113&lt;=100),"71-100",IF(DB113&gt;100,"+100")))))</f>
        <v>1-30</v>
      </c>
      <c r="DD113">
        <v>0</v>
      </c>
      <c r="DE113">
        <v>1</v>
      </c>
      <c r="DF113">
        <v>0</v>
      </c>
      <c r="DG113">
        <v>0</v>
      </c>
      <c r="DH113">
        <v>0</v>
      </c>
      <c r="DI113">
        <f>SUM(DD113:DG113)</f>
        <v>1</v>
      </c>
      <c r="DJ113" t="str">
        <f>IF(DI113=1,INDEX($DD$7:$DG$7,MATCH(1,$DD113:$DG113,0)),"mixedProduct")</f>
        <v>EnergyInput</v>
      </c>
      <c r="DK113">
        <f>IF(DD113=1,DK$7,0)</f>
        <v>0</v>
      </c>
      <c r="DL113" t="str">
        <f>IF(DE113=1,DL$7,0)</f>
        <v>Energy</v>
      </c>
      <c r="DM113">
        <f>IF(DF113=1,DM$7,0)</f>
        <v>0</v>
      </c>
      <c r="DN113">
        <f>IF(DG113=1,DN$7,0)</f>
        <v>0</v>
      </c>
      <c r="DO113">
        <v>0</v>
      </c>
      <c r="DP113">
        <v>0</v>
      </c>
      <c r="DQ113"/>
      <c r="DR113"/>
      <c r="DS113"/>
      <c r="DT113">
        <f>SUM(DO113:DP113)</f>
        <v>0</v>
      </c>
      <c r="DU113" s="143" t="str">
        <f>IF(DO113=1,"self-calculated DF",IF(DP113=1,"external DF used","explicit C balance"))</f>
        <v>explicit C balance</v>
      </c>
      <c r="DV113">
        <v>1</v>
      </c>
      <c r="DW113">
        <v>1</v>
      </c>
      <c r="DX113">
        <v>1</v>
      </c>
      <c r="DY113">
        <v>0</v>
      </c>
      <c r="DZ113">
        <v>0</v>
      </c>
      <c r="EA113" s="143">
        <v>0</v>
      </c>
      <c r="EB113">
        <v>0</v>
      </c>
      <c r="EC113">
        <v>0</v>
      </c>
      <c r="ED113">
        <v>0</v>
      </c>
      <c r="EE113">
        <v>0</v>
      </c>
      <c r="EF113">
        <v>1</v>
      </c>
      <c r="EG113">
        <v>0</v>
      </c>
      <c r="EH113">
        <v>0</v>
      </c>
      <c r="EI113" s="2">
        <v>0</v>
      </c>
      <c r="EJ113" s="1"/>
      <c r="EK113" t="str">
        <f>IF(AND(AND(AND(OR($DX113=1,$DW113=1),OR($EC113=1,$EA113=1)),SUM($DV113:$DZ113,$EF113)&gt;=4),SUM($EA113:$EE113)&gt;=2),"Whole sector","")</f>
        <v/>
      </c>
      <c r="EL113" t="str">
        <f>IF(AND(AND(OR($DX113=1,$DW113=1),AND($EC113=0,$EA113=0)),SUM($DV113:$DZ113,$EF113)&gt;=4),"Ecosystem approach","")</f>
        <v>Ecosystem approach</v>
      </c>
      <c r="EM113" s="2" t="str">
        <f>IF(AND(AND(AND($DX113=0,$DW113=0),OR($EC113=1,$EA113=1)),SUM($EB113:$EE113)&gt;=2),"Technology approach","")</f>
        <v/>
      </c>
      <c r="EN113" t="s">
        <v>2485</v>
      </c>
      <c r="EO113"/>
      <c r="EP113" t="str">
        <f>IF(ISNUMBER(BU113),IF(ABS(BU113-[1]QC_indicators!$B$2)&gt;3*[1]QC_indicators!$C$2,"C ratio",IF(ISNUMBER(BY113),IF(ABS(BY113-[1]QC_indicators!$B$1)&gt;3*[1]QC_indicators!$C$1,"DF","no"))),IF(ISNUMBER(BY113),IF(ABS(BY113-[1]QC_indicators!$B$1)&gt;3*[1]QC_indicators!$C$1,"DF","no")))</f>
        <v>no</v>
      </c>
      <c r="EQ113"/>
      <c r="ER113"/>
      <c r="ES113"/>
      <c r="ET113" s="264" t="s">
        <v>3254</v>
      </c>
      <c r="EU113"/>
    </row>
    <row r="114" spans="1:151" s="139" customFormat="1" ht="15" customHeight="1">
      <c r="A114" s="1" t="s">
        <v>1286</v>
      </c>
      <c r="B114" t="s">
        <v>1336</v>
      </c>
      <c r="C114" t="s">
        <v>1337</v>
      </c>
      <c r="D114" t="s">
        <v>1338</v>
      </c>
      <c r="E114" t="s">
        <v>1339</v>
      </c>
      <c r="F114" t="s">
        <v>1340</v>
      </c>
      <c r="G114" t="s">
        <v>1292</v>
      </c>
      <c r="H114" t="s">
        <v>254</v>
      </c>
      <c r="I114">
        <v>2016</v>
      </c>
      <c r="J114">
        <v>27</v>
      </c>
      <c r="K114" t="s">
        <v>1341</v>
      </c>
      <c r="L114"/>
      <c r="M114" t="str">
        <f>LEFT($D114,FIND(",",$D114)-1)&amp;"_"&amp;I114&amp;L114</f>
        <v>Braun_2016</v>
      </c>
      <c r="N114" t="s">
        <v>222</v>
      </c>
      <c r="O114" s="145" t="s">
        <v>223</v>
      </c>
      <c r="P114"/>
      <c r="Q114" t="s">
        <v>256</v>
      </c>
      <c r="R114" s="255" t="s">
        <v>225</v>
      </c>
      <c r="S114" s="1" t="s">
        <v>1342</v>
      </c>
      <c r="T114" t="s">
        <v>1343</v>
      </c>
      <c r="U114" t="s">
        <v>1043</v>
      </c>
      <c r="V114">
        <v>1</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s="141">
        <f>COUNTIF(V114:AW114,"&lt;&gt;0")</f>
        <v>1</v>
      </c>
      <c r="AY114" s="141">
        <f>COUNTIF(V114:AL114,"&lt;&gt;0")</f>
        <v>1</v>
      </c>
      <c r="AZ114">
        <f>COUNTIF(V114:AC114,"&lt;&gt;0")</f>
        <v>1</v>
      </c>
      <c r="BA114">
        <f>COUNTIF(AD114:AI114,"&lt;&gt;0")</f>
        <v>0</v>
      </c>
      <c r="BB114">
        <f>COUNTIF(AJ114:AL114,"&lt;&gt;0")</f>
        <v>0</v>
      </c>
      <c r="BC114">
        <f>COUNTIF(AS114:AW114,"&lt;&gt;0")</f>
        <v>0</v>
      </c>
      <c r="BD114">
        <f>COUNTIF(AM114:AR114,"&lt;&gt;0")</f>
        <v>0</v>
      </c>
      <c r="BE114" t="str">
        <f t="array" ref="BE114">IF(AY114=1,INDEX($V$7:$AL$7,MATCH(TRUE,INDEX($V114:$AW114&lt;&gt;0,),0)),IF(AY114=0,INDEX($AM$7:$AW$7,MATCH(1,$AM114:$AW114,0)),IF(BF114="Multiple strategies","mixed drivers",IF(BF114="Supply chain","multiple supply","multiple silviculture"))))</f>
        <v>area subject to harvest</v>
      </c>
      <c r="BF114" s="2" t="str" cm="1">
        <f t="array" ref="BF114">IF(COUNTIF(AZ114:BB114,"&lt;&gt;0")=1,INDEX($V$4:$AW$4,MATCH(TRUE,INDEX($V114:$AW114&lt;&gt;0,),0)),IF(COUNTIF(AZ114:BB114,"&lt;&gt;0")=0,INDEX($AM$4:$AW$4,MATCH(1,$AM114:$AW114,0)),"Multiple strategies"))</f>
        <v>Silviculture for removals</v>
      </c>
      <c r="BG114" s="1" t="s">
        <v>229</v>
      </c>
      <c r="BH114" t="s">
        <v>1344</v>
      </c>
      <c r="BI114" s="260" t="s">
        <v>3277</v>
      </c>
      <c r="BJ114" t="s">
        <v>1345</v>
      </c>
      <c r="BK114">
        <v>1.1674521913429727</v>
      </c>
      <c r="BL114">
        <v>1.8051407849829213</v>
      </c>
      <c r="BM114">
        <f>BL114/BK114</f>
        <v>1.5462224477958166</v>
      </c>
      <c r="BN114">
        <f>BL114-BK114</f>
        <v>0.63768859363994856</v>
      </c>
      <c r="BO114">
        <f>BN114*10^9</f>
        <v>637688593.63994861</v>
      </c>
      <c r="BP114" t="s">
        <v>232</v>
      </c>
      <c r="BQ114" s="260" t="s">
        <v>3280</v>
      </c>
      <c r="BR114" t="s">
        <v>1346</v>
      </c>
      <c r="BS114" s="264">
        <v>1.0255972696245701</v>
      </c>
      <c r="BT114" s="264">
        <v>2.21843003412973E-2</v>
      </c>
      <c r="BU114" s="144">
        <f>IFERROR(BT114/BS114,"")</f>
        <v>2.1630615640599433E-2</v>
      </c>
      <c r="BV114">
        <f>BT114-BS114</f>
        <v>-1.0034129692832727</v>
      </c>
      <c r="BW114"/>
      <c r="BX114">
        <f>BV114*10^9</f>
        <v>-1003412969.2832727</v>
      </c>
      <c r="BY114">
        <f>IFERROR(BX114/BO114,"")</f>
        <v>-1.5735156301851922</v>
      </c>
      <c r="BZ114" s="143">
        <v>0</v>
      </c>
      <c r="CA114" s="143">
        <v>0</v>
      </c>
      <c r="CB114" s="143">
        <v>0</v>
      </c>
      <c r="CC114" s="143">
        <v>0</v>
      </c>
      <c r="CD114" s="143">
        <v>0</v>
      </c>
      <c r="CE114" s="143">
        <v>0</v>
      </c>
      <c r="CF114" s="143">
        <v>0</v>
      </c>
      <c r="CG114" s="143">
        <v>0</v>
      </c>
      <c r="CH114" s="143">
        <v>0</v>
      </c>
      <c r="CI114" s="143">
        <v>0</v>
      </c>
      <c r="CJ114" s="143">
        <v>0</v>
      </c>
      <c r="CK114" s="143">
        <v>0</v>
      </c>
      <c r="CL114" s="143">
        <v>0</v>
      </c>
      <c r="CM114">
        <v>0</v>
      </c>
      <c r="CN114" t="str">
        <f>IF($BL114&lt;$BK114,"refNeedCorrection","refOK")</f>
        <v>refOK</v>
      </c>
      <c r="CO114">
        <f>IF($CN114="refOK",$BK114,$BL114)</f>
        <v>1.1674521913429727</v>
      </c>
      <c r="CP114">
        <f>IF($CN114="refOK",$BL114,$BK114)</f>
        <v>1.8051407849829213</v>
      </c>
      <c r="CQ114">
        <f>IF($CN114="refOK",$BO114,-$BO114)</f>
        <v>637688593.63994861</v>
      </c>
      <c r="CR114">
        <f>IF($CN114="refOK",$BS114,$BT114)*IF($BP114="Emissions positive",-1,1)</f>
        <v>1.0255972696245701</v>
      </c>
      <c r="CS114">
        <f>IF($CN114="refOK",$BT114,$BS114)*IF($BP114="Emissions positive",-1,1)</f>
        <v>2.21843003412973E-2</v>
      </c>
      <c r="CT114">
        <f>IF($CN114="refNeedCorrection",-BX114,BX114)*IF($BP114="Emissions positive",-1,1)</f>
        <v>-1003412969.2832727</v>
      </c>
      <c r="CU114">
        <f>IFERROR(CT114/CQ114,"")</f>
        <v>-1.5735156301851922</v>
      </c>
      <c r="CV114" s="2">
        <f>IFERROR((CS114-CR114)/ABS(CR114),"")</f>
        <v>-0.97836938435940046</v>
      </c>
      <c r="CW114" s="1" t="s">
        <v>1203</v>
      </c>
      <c r="CX114" t="str">
        <f>IF(OR($CW114="prd",$CW114="std",$CW114="cit"),"loc",IF(OR($CW114="eur",$CW114="reg",$CW114="coy"),"reg",$CW114))</f>
        <v>reg</v>
      </c>
      <c r="CY114" t="s">
        <v>666</v>
      </c>
      <c r="CZ114">
        <v>2010</v>
      </c>
      <c r="DA114">
        <v>2100</v>
      </c>
      <c r="DB114">
        <f>DA114-CZ114</f>
        <v>90</v>
      </c>
      <c r="DC114" t="str">
        <f>IF(DB114=0,"0",IF(AND(DB114&gt;=1,DB114&lt;=30),"1-30",IF(AND(DB114&gt;30,DB114&lt;=70),"31-70",IF(AND(DB114&gt;70,DB114&lt;=100),"71-100",IF(DB114&gt;100,"+100")))))</f>
        <v>71-100</v>
      </c>
      <c r="DD114">
        <v>0</v>
      </c>
      <c r="DE114">
        <v>1</v>
      </c>
      <c r="DF114">
        <v>1</v>
      </c>
      <c r="DG114">
        <v>1</v>
      </c>
      <c r="DH114"/>
      <c r="DI114">
        <f>SUM(DD114:DG114)</f>
        <v>3</v>
      </c>
      <c r="DJ114" t="str">
        <f>IF(DI114=1,INDEX($DD$7:$DG$7,MATCH(1,$DD114:$DG114,0)),"mixedProduct")</f>
        <v>mixedProduct</v>
      </c>
      <c r="DK114">
        <f>IF(DD114=1,DK$7,0)</f>
        <v>0</v>
      </c>
      <c r="DL114" t="str">
        <f>IF(DE114=1,DL$7,0)</f>
        <v>Energy</v>
      </c>
      <c r="DM114" t="str">
        <f>IF(DF114=1,DM$7,0)</f>
        <v>Pulp/Paper</v>
      </c>
      <c r="DN114" t="str">
        <f>IF(DG114=1,DN$7,0)</f>
        <v>Timber</v>
      </c>
      <c r="DO114">
        <v>1</v>
      </c>
      <c r="DP114" s="143">
        <v>0</v>
      </c>
      <c r="DQ114" s="143">
        <v>0</v>
      </c>
      <c r="DR114" s="143">
        <v>0</v>
      </c>
      <c r="DS114">
        <v>0</v>
      </c>
      <c r="DT114">
        <f>SUM(DO114:DP114)</f>
        <v>1</v>
      </c>
      <c r="DU114" s="143" t="str">
        <f>IF(DO114=1,"self-calculated DF",IF(DP114=1,"external DF used","explicit C balance"))</f>
        <v>self-calculated DF</v>
      </c>
      <c r="DV114">
        <v>1</v>
      </c>
      <c r="DW114" s="143">
        <v>1</v>
      </c>
      <c r="DX114" s="143">
        <v>1</v>
      </c>
      <c r="DY114" s="143">
        <v>0</v>
      </c>
      <c r="DZ114">
        <v>0</v>
      </c>
      <c r="EA114" s="141">
        <v>0</v>
      </c>
      <c r="EB114">
        <v>0</v>
      </c>
      <c r="EC114" s="143">
        <v>0</v>
      </c>
      <c r="ED114" s="143">
        <v>0</v>
      </c>
      <c r="EE114">
        <v>0</v>
      </c>
      <c r="EF114">
        <v>1</v>
      </c>
      <c r="EG114" s="143">
        <v>0</v>
      </c>
      <c r="EH114" s="143">
        <v>0</v>
      </c>
      <c r="EI114" s="2">
        <v>0</v>
      </c>
      <c r="EJ114" s="1"/>
      <c r="EK114" t="str">
        <f>IF(AND(AND(AND(OR($DX114=1,$DW114=1),OR($EC114=1,$EA114=1)),SUM($DV114:$DZ114,$EF114)&gt;=4),SUM($EA114:$EE114)&gt;=2),"Whole sector","")</f>
        <v/>
      </c>
      <c r="EL114" t="str">
        <f>IF(AND(AND(OR($DX114=1,$DW114=1),AND($EC114=0,$EA114=0)),SUM($DV114:$DZ114,$EF114)&gt;=4),"Ecosystem approach","")</f>
        <v>Ecosystem approach</v>
      </c>
      <c r="EM114" s="2" t="str">
        <f>IF(AND(AND(AND($DX114=0,$DW114=0),OR($EC114=1,$EA114=1)),SUM($EB114:$EE114)&gt;=2),"Technology approach","")</f>
        <v/>
      </c>
      <c r="EN114" s="264" t="s">
        <v>3279</v>
      </c>
      <c r="EO114"/>
      <c r="EP114" t="str">
        <f>IF(ISNUMBER(BU114),IF(ABS(BU114-[4]QC_indicators!$B$2)&gt;3*[4]QC_indicators!$C$2,"C ratio",IF(ISNUMBER(BY114),IF(ABS(BY114-[4]QC_indicators!$B$1)&gt;3*[4]QC_indicators!$C$1,"DF","no"))),IF(ISNUMBER(BY114),IF(ABS(BY114-[4]QC_indicators!$B$1)&gt;3*[4]QC_indicators!$C$1,"DF","no")))</f>
        <v>no</v>
      </c>
      <c r="EQ114" t="s">
        <v>1347</v>
      </c>
      <c r="ER114"/>
      <c r="ES114"/>
      <c r="ET114" s="264" t="s">
        <v>3273</v>
      </c>
      <c r="EU114"/>
    </row>
    <row r="115" spans="1:151" s="139" customFormat="1" ht="15" customHeight="1">
      <c r="A115" s="174" t="s">
        <v>1286</v>
      </c>
      <c r="B115" s="141" t="s">
        <v>1287</v>
      </c>
      <c r="C115" s="141" t="s">
        <v>1288</v>
      </c>
      <c r="D115" s="141" t="s">
        <v>1289</v>
      </c>
      <c r="E115" s="141" t="s">
        <v>1290</v>
      </c>
      <c r="F115" s="141" t="s">
        <v>1291</v>
      </c>
      <c r="G115" s="141" t="s">
        <v>1292</v>
      </c>
      <c r="H115" s="141"/>
      <c r="I115" s="141">
        <v>2019</v>
      </c>
      <c r="J115" s="141"/>
      <c r="K115" s="141" t="s">
        <v>1293</v>
      </c>
      <c r="L115" s="141"/>
      <c r="M115" t="str">
        <f>LEFT($D115,FIND(",",$D115)-1)&amp;"_"&amp;I115&amp;L115</f>
        <v>Bosch_2019</v>
      </c>
      <c r="N115" t="s">
        <v>222</v>
      </c>
      <c r="O115" s="175" t="s">
        <v>225</v>
      </c>
      <c r="P115" s="141" t="s">
        <v>223</v>
      </c>
      <c r="Q115" s="264" t="s">
        <v>224</v>
      </c>
      <c r="R115" s="269" t="s">
        <v>1154</v>
      </c>
      <c r="S115" s="174" t="s">
        <v>1309</v>
      </c>
      <c r="T115" s="141" t="s">
        <v>1296</v>
      </c>
      <c r="U115" s="141" t="s">
        <v>1310</v>
      </c>
      <c r="V115" s="141">
        <v>0</v>
      </c>
      <c r="W115" s="141">
        <v>0</v>
      </c>
      <c r="X115" s="141">
        <v>1</v>
      </c>
      <c r="Y115" s="141">
        <v>0</v>
      </c>
      <c r="Z115" s="141">
        <v>0</v>
      </c>
      <c r="AA115" s="141">
        <v>0</v>
      </c>
      <c r="AB115" s="141">
        <v>0</v>
      </c>
      <c r="AC115" s="141">
        <v>0</v>
      </c>
      <c r="AD115" s="141">
        <v>0</v>
      </c>
      <c r="AE115" s="141">
        <v>0</v>
      </c>
      <c r="AF115" s="141">
        <v>0</v>
      </c>
      <c r="AG115" s="141">
        <v>0</v>
      </c>
      <c r="AH115" s="141">
        <v>0</v>
      </c>
      <c r="AI115" s="141">
        <v>0</v>
      </c>
      <c r="AJ115" s="141">
        <v>0</v>
      </c>
      <c r="AK115" s="141">
        <v>0</v>
      </c>
      <c r="AL115" s="141">
        <v>0</v>
      </c>
      <c r="AM115" s="141">
        <v>0</v>
      </c>
      <c r="AN115" s="141">
        <v>0</v>
      </c>
      <c r="AO115" s="141">
        <v>0</v>
      </c>
      <c r="AP115" s="141">
        <v>0</v>
      </c>
      <c r="AQ115" s="141">
        <v>0</v>
      </c>
      <c r="AR115" s="141">
        <v>0</v>
      </c>
      <c r="AS115" s="141">
        <v>0</v>
      </c>
      <c r="AT115" s="141">
        <v>0</v>
      </c>
      <c r="AU115" s="141">
        <v>0</v>
      </c>
      <c r="AV115" s="141">
        <v>0</v>
      </c>
      <c r="AW115" s="141">
        <v>0</v>
      </c>
      <c r="AX115" s="141">
        <f>COUNTIF(V115:AW115,"&lt;&gt;0")</f>
        <v>1</v>
      </c>
      <c r="AY115" s="141">
        <f>COUNTIF(V115:AL115,"&lt;&gt;0")</f>
        <v>1</v>
      </c>
      <c r="AZ115">
        <f>COUNTIF(V115:AC115,"&lt;&gt;0")</f>
        <v>1</v>
      </c>
      <c r="BA115">
        <f>COUNTIF(AD115:AI115,"&lt;&gt;0")</f>
        <v>0</v>
      </c>
      <c r="BB115">
        <f>COUNTIF(AJ115:AL115,"&lt;&gt;0")</f>
        <v>0</v>
      </c>
      <c r="BC115">
        <f>COUNTIF(AS115:AW115,"&lt;&gt;0")</f>
        <v>0</v>
      </c>
      <c r="BD115">
        <f>COUNTIF(AM115:AR115,"&lt;&gt;0")</f>
        <v>0</v>
      </c>
      <c r="BE115" t="str" cm="1">
        <f t="array" ref="BE115">IF(AY115=1,INDEX($V$7:$AL$7,MATCH(TRUE,INDEX($V115:$AW115&lt;&gt;0,),0)),IF(AY115=0,INDEX($AM$7:$AW$7,MATCH(1,$AM115:$AW115,0)),IF(BF115="Multiple strategies","mixed drivers",IF(BF115="Supply chain","multiple supply","multiple silviculture"))))</f>
        <v>rotation length</v>
      </c>
      <c r="BF115" s="2" t="str" cm="1">
        <f t="array" ref="BF115">IF(COUNTIF(AZ115:BB115,"&lt;&gt;0")=1,INDEX($V$4:$AW$4,MATCH(TRUE,INDEX($V115:$AW115&lt;&gt;0,),0)),IF(COUNTIF(AZ115:BB115,"&lt;&gt;0")=0,INDEX($AM$4:$AW$4,MATCH(1,$AM115:$AW115,0)),"Multiple strategies"))</f>
        <v>Silviculture for removals</v>
      </c>
      <c r="BG115" s="173" t="s">
        <v>321</v>
      </c>
      <c r="BH115" s="141" t="s">
        <v>1297</v>
      </c>
      <c r="BI115" s="141" t="s">
        <v>1298</v>
      </c>
      <c r="BJ115" s="163" t="s">
        <v>1299</v>
      </c>
      <c r="BK115" s="163">
        <v>2405</v>
      </c>
      <c r="BL115" s="176">
        <v>2642</v>
      </c>
      <c r="BM115" s="264">
        <f>BL115/BK115</f>
        <v>1.0985446985446985</v>
      </c>
      <c r="BN115">
        <f>BL115-BK115</f>
        <v>237</v>
      </c>
      <c r="BO115" s="158">
        <f>BN115*10^6</f>
        <v>237000000</v>
      </c>
      <c r="BP115" s="264" t="s">
        <v>395</v>
      </c>
      <c r="BQ115" s="264" t="s">
        <v>426</v>
      </c>
      <c r="BR115" s="151" t="s">
        <v>1300</v>
      </c>
      <c r="BS115" s="141"/>
      <c r="BT115" s="163"/>
      <c r="BU115" s="144" t="str">
        <f>IFERROR(BT115/BS115,"")</f>
        <v/>
      </c>
      <c r="BV115" s="176">
        <v>372</v>
      </c>
      <c r="BW115"/>
      <c r="BX115">
        <f>BV115*10^6</f>
        <v>372000000</v>
      </c>
      <c r="BY115">
        <f>IFERROR(BX115/BO115,"")</f>
        <v>1.5696202531645569</v>
      </c>
      <c r="BZ115" s="141">
        <v>0</v>
      </c>
      <c r="CA115" s="141">
        <v>0</v>
      </c>
      <c r="CB115" s="141">
        <v>0</v>
      </c>
      <c r="CC115" s="141">
        <v>0</v>
      </c>
      <c r="CD115" s="141">
        <v>0</v>
      </c>
      <c r="CE115" s="141">
        <v>0</v>
      </c>
      <c r="CF115" s="141">
        <v>0</v>
      </c>
      <c r="CG115" s="141">
        <v>0</v>
      </c>
      <c r="CH115" s="141">
        <v>0</v>
      </c>
      <c r="CI115" s="141">
        <v>0</v>
      </c>
      <c r="CJ115" s="141">
        <v>0</v>
      </c>
      <c r="CK115" s="141">
        <v>0</v>
      </c>
      <c r="CL115" s="141">
        <v>0</v>
      </c>
      <c r="CM115" s="141">
        <v>1</v>
      </c>
      <c r="CN115" t="str">
        <f>IF(BL115&lt;BK115,"refNeedCorrection","refOK")</f>
        <v>refOK</v>
      </c>
      <c r="CO115">
        <f>IF($CN115="refOK",$BK115,$BL115)</f>
        <v>2405</v>
      </c>
      <c r="CP115">
        <f>IF($CN115="refOK",$BL115,$BK115)</f>
        <v>2642</v>
      </c>
      <c r="CQ115">
        <f>IF($CN115="refOK",$BO115,-$BO115)</f>
        <v>237000000</v>
      </c>
      <c r="CR115">
        <f>IF($CN115="refOK",$BS115,$BT115)*IF($BP115="Emissions positive",-1,1)</f>
        <v>0</v>
      </c>
      <c r="CS115">
        <f>IF($CN115="refOK",$BT115,$BS115)*IF($BP115="Emissions positive",-1,1)</f>
        <v>0</v>
      </c>
      <c r="CT115">
        <f>IF($CN115="refNeedCorrection",-BX115,BX115)*IF($BP115="Emissions positive",-1,1)</f>
        <v>-372000000</v>
      </c>
      <c r="CU115">
        <f>IFERROR(CT115/CQ115,"")</f>
        <v>-1.5696202531645569</v>
      </c>
      <c r="CV115" s="2" t="str">
        <f>IFERROR((CS115-CR115)/ABS(CR115),"")</f>
        <v/>
      </c>
      <c r="CW115" s="174" t="s">
        <v>1203</v>
      </c>
      <c r="CX115" s="264" t="str">
        <f>IF(OR($CW115="prd",$CW115="std",$CW115="cit"),"loc",IF(OR($CW115="eur",$CW115="reg",$CW115="coy"),"reg",$CW115))</f>
        <v>reg</v>
      </c>
      <c r="CY115" s="141" t="s">
        <v>1301</v>
      </c>
      <c r="CZ115" s="141">
        <v>2016</v>
      </c>
      <c r="DA115" s="163">
        <v>2046</v>
      </c>
      <c r="DB115" s="163">
        <v>30</v>
      </c>
      <c r="DC115" t="str">
        <f>IF(DB115=0,"0",IF(AND(DB115&gt;=1,DB115&lt;=30),"1-30",IF(AND(DB115&gt;30,DB115&lt;=70),"31-70",IF(AND(DB115&gt;70,DB115&lt;=100),"71-100",IF(DB115&gt;100,"+100")))))</f>
        <v>1-30</v>
      </c>
      <c r="DD115" s="141">
        <v>1</v>
      </c>
      <c r="DE115" s="141">
        <v>1</v>
      </c>
      <c r="DF115" s="141">
        <v>0</v>
      </c>
      <c r="DG115" s="141">
        <v>1</v>
      </c>
      <c r="DH115"/>
      <c r="DI115">
        <f>SUM(DD115:DG115)</f>
        <v>3</v>
      </c>
      <c r="DJ115" t="str">
        <f>IF(DI115=1,INDEX($DD$7:$DG$7,MATCH(1,$DD115:$DG115,0)),"mixedProduct")</f>
        <v>mixedProduct</v>
      </c>
      <c r="DK115" t="str">
        <f>IF(DD115=1,DK$7,0)</f>
        <v>Upstream</v>
      </c>
      <c r="DL115" t="str">
        <f>IF(DE115=1,DL$7,0)</f>
        <v>Energy</v>
      </c>
      <c r="DM115">
        <f>IF(DF115=1,DM$7,0)</f>
        <v>0</v>
      </c>
      <c r="DN115" t="str">
        <f>IF(DG115=1,DN$7,0)</f>
        <v>Timber</v>
      </c>
      <c r="DO115" s="163">
        <v>0</v>
      </c>
      <c r="DP115" s="141">
        <v>0</v>
      </c>
      <c r="DQ115" s="163">
        <v>0</v>
      </c>
      <c r="DR115" s="163">
        <v>0</v>
      </c>
      <c r="DS115" s="163">
        <v>0</v>
      </c>
      <c r="DT115">
        <f>SUM(DO115:DP115)</f>
        <v>0</v>
      </c>
      <c r="DU115" s="143" t="str">
        <f>IF(DO115=1,"self-calculated DF",IF(DP115=1,"external DF used","explicit C balance"))</f>
        <v>explicit C balance</v>
      </c>
      <c r="DV115" s="163">
        <v>1</v>
      </c>
      <c r="DW115" s="141">
        <v>1</v>
      </c>
      <c r="DX115" s="163">
        <v>1</v>
      </c>
      <c r="DY115" s="163">
        <v>1</v>
      </c>
      <c r="DZ115" s="141">
        <v>0</v>
      </c>
      <c r="EA115" s="141">
        <v>0</v>
      </c>
      <c r="EB115" s="143">
        <v>0</v>
      </c>
      <c r="EC115" s="141">
        <v>0</v>
      </c>
      <c r="ED115" s="143">
        <v>0</v>
      </c>
      <c r="EE115" s="143">
        <v>0</v>
      </c>
      <c r="EF115" s="141">
        <v>1</v>
      </c>
      <c r="EG115" s="163">
        <v>0</v>
      </c>
      <c r="EH115" s="141">
        <v>0</v>
      </c>
      <c r="EI115" s="177">
        <v>0</v>
      </c>
      <c r="EJ115" s="1"/>
      <c r="EK115" t="str">
        <f>IF(AND(AND(AND(OR($DX115=1,$DW115=1),OR($EC115=1,$EA115=1)),SUM($DV115:$DZ115,$EF115)&gt;=4),SUM($EA115:$EE115)&gt;=2),"Whole sector","")</f>
        <v/>
      </c>
      <c r="EL115" t="str">
        <f>IF(AND(AND(OR($DX115=1,$DW115=1),AND($EC115=0,$EA115=0)),SUM($DV115:$DZ115,$EF115)&gt;=4),"Ecosystem approach","")</f>
        <v>Ecosystem approach</v>
      </c>
      <c r="EM115" s="2" t="str">
        <f>IF(AND(AND(AND($DX115=0,$DW115=0),OR($EC115=1,$EA115=1)),SUM($EB115:$EE115)&gt;=2),"Technology approach","")</f>
        <v/>
      </c>
      <c r="EN115" s="141"/>
      <c r="EO115"/>
      <c r="EP115" t="str">
        <f>IF(ISNUMBER(BU115),IF(ABS(BU115-[3]QC_indicators!$B$2)&gt;3*[3]QC_indicators!$C$2,"C ratio",IF(ISNUMBER(BY115),IF(ABS(BY115-[3]QC_indicators!$B$1)&gt;3*[3]QC_indicators!$C$1,"DF","no"))),IF(ISNUMBER(BY115),IF(ABS(BY115-[3]QC_indicators!$B$1)&gt;3*[3]QC_indicators!$C$1,"DF","no")))</f>
        <v>no</v>
      </c>
      <c r="EQ115"/>
      <c r="ER115" s="294" t="s">
        <v>1302</v>
      </c>
      <c r="ES115"/>
      <c r="ET115" s="264" t="s">
        <v>3407</v>
      </c>
      <c r="EU115"/>
    </row>
    <row r="116" spans="1:151" s="139" customFormat="1" ht="15" customHeight="1">
      <c r="A116" s="1" t="s">
        <v>1045</v>
      </c>
      <c r="B116" t="s">
        <v>1046</v>
      </c>
      <c r="C116" t="s">
        <v>1047</v>
      </c>
      <c r="D116" t="s">
        <v>1048</v>
      </c>
      <c r="E116" t="s">
        <v>1049</v>
      </c>
      <c r="F116" t="s">
        <v>1050</v>
      </c>
      <c r="G116" t="s">
        <v>1051</v>
      </c>
      <c r="H116" t="s">
        <v>254</v>
      </c>
      <c r="I116">
        <v>2014</v>
      </c>
      <c r="J116">
        <v>23</v>
      </c>
      <c r="K116" t="s">
        <v>1052</v>
      </c>
      <c r="L116"/>
      <c r="M116" t="str">
        <f>LEFT($D116,FIND(",",$D116)-1)&amp;"_"&amp;I116&amp;L116</f>
        <v>Pyorala_2014</v>
      </c>
      <c r="N116" t="s">
        <v>222</v>
      </c>
      <c r="O116" s="171" t="s">
        <v>341</v>
      </c>
      <c r="P116" t="s">
        <v>225</v>
      </c>
      <c r="Q116" s="264" t="s">
        <v>389</v>
      </c>
      <c r="R116" s="269" t="s">
        <v>1154</v>
      </c>
      <c r="S116" s="1" t="s">
        <v>1053</v>
      </c>
      <c r="T116" s="264" t="s">
        <v>1064</v>
      </c>
      <c r="U116" s="264" t="s">
        <v>1065</v>
      </c>
      <c r="V116">
        <v>0</v>
      </c>
      <c r="W116">
        <v>0</v>
      </c>
      <c r="X116">
        <v>0</v>
      </c>
      <c r="Y116">
        <v>1</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s="141">
        <f>COUNTIF(V116:AW116,"&lt;&gt;0")</f>
        <v>1</v>
      </c>
      <c r="AY116" s="141">
        <f>COUNTIF(V116:AL116,"&lt;&gt;0")</f>
        <v>1</v>
      </c>
      <c r="AZ116">
        <f>COUNTIF(V116:AC116,"&lt;&gt;0")</f>
        <v>1</v>
      </c>
      <c r="BA116">
        <f>COUNTIF(AD116:AI116,"&lt;&gt;0")</f>
        <v>0</v>
      </c>
      <c r="BB116">
        <f>COUNTIF(AJ116:AL116,"&lt;&gt;0")</f>
        <v>0</v>
      </c>
      <c r="BC116">
        <f>COUNTIF(AS116:AW116,"&lt;&gt;0")</f>
        <v>0</v>
      </c>
      <c r="BD116">
        <f>COUNTIF(AM116:AR116,"&lt;&gt;0")</f>
        <v>0</v>
      </c>
      <c r="BE116" t="str" cm="1">
        <f t="array" ref="BE116">IF(AY116=1,INDEX($V$7:$AL$7,MATCH(TRUE,INDEX($V116:$AW116&lt;&gt;0,),0)),IF(AY116=0,INDEX($AM$7:$AW$7,MATCH(1,$AM116:$AW116,0)),IF(BF116="Multiple strategies","mixed drivers",IF(BF116="Supply chain","multiple supply","multiple silviculture"))))</f>
        <v xml:space="preserve">cutting intensity </v>
      </c>
      <c r="BF116" s="2" t="str" cm="1">
        <f t="array" ref="BF116">IF(COUNTIF(AZ116:BB116,"&lt;&gt;0")=1,INDEX($V$4:$AW$4,MATCH(TRUE,INDEX($V116:$AW116&lt;&gt;0,),0)),IF(COUNTIF(AZ116:BB116,"&lt;&gt;0")=0,INDEX($AM$4:$AW$4,MATCH(1,$AM116:$AW116,0)),"Multiple strategies"))</f>
        <v>Silviculture for removals</v>
      </c>
      <c r="BG116" s="1" t="s">
        <v>321</v>
      </c>
      <c r="BH116" t="s">
        <v>1056</v>
      </c>
      <c r="BI116" s="264" t="s">
        <v>1057</v>
      </c>
      <c r="BJ116" s="264" t="s">
        <v>1058</v>
      </c>
      <c r="BK116">
        <v>3.65</v>
      </c>
      <c r="BL116">
        <v>3.8</v>
      </c>
      <c r="BM116">
        <f>IFERROR(BL116/BK116,"")</f>
        <v>1.0410958904109588</v>
      </c>
      <c r="BN116">
        <f>BL116-BK116</f>
        <v>0.14999999999999991</v>
      </c>
      <c r="BO116">
        <f>BN116*t_to_m3</f>
        <v>0.30612244897959168</v>
      </c>
      <c r="BP116" t="s">
        <v>395</v>
      </c>
      <c r="BQ116" t="s">
        <v>972</v>
      </c>
      <c r="BR116" t="s">
        <v>1059</v>
      </c>
      <c r="BS116" s="172">
        <v>-236.5</v>
      </c>
      <c r="BT116" s="172">
        <v>-189</v>
      </c>
      <c r="BU116" s="144"/>
      <c r="BV116">
        <f>BT116-BS116</f>
        <v>47.5</v>
      </c>
      <c r="BW116"/>
      <c r="BX116">
        <f>BV116*10^-6*10^4</f>
        <v>0.47499999999999998</v>
      </c>
      <c r="BY116">
        <f>IFERROR(BX116/BO116,"")</f>
        <v>1.5516666666666674</v>
      </c>
      <c r="BZ116">
        <v>0</v>
      </c>
      <c r="CA116">
        <v>0</v>
      </c>
      <c r="CB116">
        <v>0</v>
      </c>
      <c r="CC116">
        <v>0</v>
      </c>
      <c r="CD116">
        <v>0</v>
      </c>
      <c r="CE116">
        <v>0</v>
      </c>
      <c r="CF116">
        <v>0</v>
      </c>
      <c r="CG116">
        <v>0</v>
      </c>
      <c r="CH116">
        <v>0</v>
      </c>
      <c r="CI116">
        <v>0</v>
      </c>
      <c r="CJ116">
        <v>0</v>
      </c>
      <c r="CK116">
        <v>0</v>
      </c>
      <c r="CL116">
        <v>0</v>
      </c>
      <c r="CM116">
        <v>0</v>
      </c>
      <c r="CN116" t="str">
        <f>IF($BL116&lt;$BK116,"refNeedCorrection","refOK")</f>
        <v>refOK</v>
      </c>
      <c r="CO116">
        <f>IF($CN116="refOK",$BK116,$BL116)</f>
        <v>3.65</v>
      </c>
      <c r="CP116">
        <f>IF($CN116="refOK",$BL116,$BK116)</f>
        <v>3.8</v>
      </c>
      <c r="CQ116">
        <f>IF($CN116="refOK",$BO116,-$BO116)</f>
        <v>0.30612244897959168</v>
      </c>
      <c r="CR116">
        <f>IF($CN116="refOK",$BS116,$BT116)*IF($BP116="Emissions positive",-1,1)</f>
        <v>236.5</v>
      </c>
      <c r="CS116">
        <f>IF($CN116="refOK",$BT116,$BS116)*IF($BP116="Emissions positive",-1,1)</f>
        <v>189</v>
      </c>
      <c r="CT116">
        <f>IF($CN116="refNeedCorrection",-BX116,BX116)*IF($BP116="Emissions positive",-1,1)</f>
        <v>-0.47499999999999998</v>
      </c>
      <c r="CU116">
        <f>IFERROR(CT116/CQ116,"")</f>
        <v>-1.5516666666666674</v>
      </c>
      <c r="CV116" s="2">
        <f>IFERROR((CS116-CR116)/ABS(CR116),"")</f>
        <v>-0.20084566596194503</v>
      </c>
      <c r="CW116" s="1" t="s">
        <v>263</v>
      </c>
      <c r="CX116" s="264" t="str">
        <f>IF(OR($CW116="prd",$CW116="std",$CW116="cit"),"loc",IF(OR($CW116="eur",$CW116="reg",$CW116="coy"),"reg",$CW116))</f>
        <v>loc</v>
      </c>
      <c r="CY116" t="s">
        <v>235</v>
      </c>
      <c r="CZ116"/>
      <c r="DA116"/>
      <c r="DB116">
        <v>50</v>
      </c>
      <c r="DC116" t="str">
        <f>IF(DB116=0,"0",IF(AND(DB116&gt;=1,DB116&lt;=30),"1-30",IF(AND(DB116&gt;30,DB116&lt;=70),"31-70",IF(AND(DB116&gt;70,DB116&lt;=100),"71-100",IF(DB116&gt;100,"+100")))))</f>
        <v>31-70</v>
      </c>
      <c r="DD116">
        <v>0</v>
      </c>
      <c r="DE116">
        <v>1</v>
      </c>
      <c r="DF116">
        <v>0</v>
      </c>
      <c r="DG116">
        <v>1</v>
      </c>
      <c r="DH116"/>
      <c r="DI116">
        <f>SUM(DD116:DG116)</f>
        <v>2</v>
      </c>
      <c r="DJ116" t="str">
        <f>IF(DI116=1,INDEX($DD$7:$DG$7,MATCH(1,$DD116:$DG116,0)),"mixedProduct")</f>
        <v>mixedProduct</v>
      </c>
      <c r="DK116">
        <f>IF(DD116=1,DK$7,0)</f>
        <v>0</v>
      </c>
      <c r="DL116" t="str">
        <f>IF(DE116=1,DL$7,0)</f>
        <v>Energy</v>
      </c>
      <c r="DM116">
        <f>IF(DF116=1,DM$7,0)</f>
        <v>0</v>
      </c>
      <c r="DN116" t="str">
        <f>IF(DG116=1,DN$7,0)</f>
        <v>Timber</v>
      </c>
      <c r="DO116">
        <v>0</v>
      </c>
      <c r="DP116">
        <v>1</v>
      </c>
      <c r="DQ116" t="s">
        <v>1060</v>
      </c>
      <c r="DR116"/>
      <c r="DS116"/>
      <c r="DT116">
        <f>SUM(DO116:DP116)</f>
        <v>1</v>
      </c>
      <c r="DU116" s="143" t="str">
        <f>IF(DO116=1,"self-calculated DF",IF(DP116=1,"external DF used","explicit C balance"))</f>
        <v>external DF used</v>
      </c>
      <c r="DV116">
        <v>1</v>
      </c>
      <c r="DW116">
        <v>1</v>
      </c>
      <c r="DX116">
        <v>1</v>
      </c>
      <c r="DY116">
        <v>0</v>
      </c>
      <c r="DZ116">
        <v>0</v>
      </c>
      <c r="EA116" s="143">
        <v>0</v>
      </c>
      <c r="EB116">
        <v>1</v>
      </c>
      <c r="EC116">
        <v>1</v>
      </c>
      <c r="ED116">
        <v>0</v>
      </c>
      <c r="EE116">
        <v>0</v>
      </c>
      <c r="EF116">
        <v>1</v>
      </c>
      <c r="EG116">
        <v>0</v>
      </c>
      <c r="EH116">
        <v>0</v>
      </c>
      <c r="EI116" s="2">
        <v>0</v>
      </c>
      <c r="EJ116" s="1"/>
      <c r="EK116" t="str">
        <f>IF(AND(AND(AND(OR($DX116=1,$DW116=1),OR($EC116=1,$EA116=1)),SUM($DV116:$DZ116,$EF116)&gt;=4),SUM($EA116:$EE116)&gt;=2),"Whole sector","")</f>
        <v>Whole sector</v>
      </c>
      <c r="EL116" t="str">
        <f>IF(AND(AND(OR($DX116=1,$DW116=1),AND($EC116=0,$EA116=0)),SUM($DV116:$DZ116,$EF116)&gt;=4),"Ecosystem approach","")</f>
        <v/>
      </c>
      <c r="EM116" s="2" t="str">
        <f>IF(AND(AND(AND($DX116=0,$DW116=0),OR($EC116=1,$EA116=1)),SUM($EB116:$EE116)&gt;=2),"Technology approach","")</f>
        <v/>
      </c>
      <c r="EN116"/>
      <c r="EO116"/>
      <c r="EP116" t="str">
        <f>IF(ISNUMBER(BU116),IF(ABS(BU116-[3]QC_indicators!$B$2)&gt;3*[3]QC_indicators!$C$2,"C ratio",IF(ISNUMBER(BY116),IF(ABS(BY116-[3]QC_indicators!$B$1)&gt;3*[3]QC_indicators!$C$1,"DF","no"))),IF(ISNUMBER(BY116),IF(ABS(BY116-[3]QC_indicators!$B$1)&gt;3*[3]QC_indicators!$C$1,"DF","no")))</f>
        <v>no</v>
      </c>
      <c r="EQ116"/>
      <c r="ER116" s="264" t="s">
        <v>1061</v>
      </c>
      <c r="ES116"/>
      <c r="ET116" s="264" t="s">
        <v>3407</v>
      </c>
      <c r="EU116"/>
    </row>
    <row r="117" spans="1:151" s="139" customFormat="1" ht="15" customHeight="1">
      <c r="A117" s="1" t="s">
        <v>1972</v>
      </c>
      <c r="B117" t="s">
        <v>2445</v>
      </c>
      <c r="C117" t="s">
        <v>2446</v>
      </c>
      <c r="D117" t="s">
        <v>2447</v>
      </c>
      <c r="E117" t="s">
        <v>2448</v>
      </c>
      <c r="F117" t="s">
        <v>2449</v>
      </c>
      <c r="G117" t="s">
        <v>1978</v>
      </c>
      <c r="H117" t="s">
        <v>254</v>
      </c>
      <c r="I117">
        <v>2018</v>
      </c>
      <c r="J117">
        <v>8</v>
      </c>
      <c r="K117" t="s">
        <v>2450</v>
      </c>
      <c r="L117"/>
      <c r="M117" t="str">
        <f>LEFT($D117,FIND(",",$D117)-1)&amp;"_"&amp;I117&amp;L117</f>
        <v>Valade_2018</v>
      </c>
      <c r="N117" t="s">
        <v>222</v>
      </c>
      <c r="O117" s="145" t="s">
        <v>1154</v>
      </c>
      <c r="P117"/>
      <c r="Q117" t="s">
        <v>256</v>
      </c>
      <c r="R117" s="255" t="s">
        <v>225</v>
      </c>
      <c r="S117" s="1" t="s">
        <v>2454</v>
      </c>
      <c r="T117" t="s">
        <v>2444</v>
      </c>
      <c r="U117" t="s">
        <v>2455</v>
      </c>
      <c r="V117">
        <v>0</v>
      </c>
      <c r="W117">
        <v>0</v>
      </c>
      <c r="X117">
        <v>0</v>
      </c>
      <c r="Y117">
        <v>1</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s="141">
        <f>COUNTIF(V117:AW117,"&lt;&gt;0")</f>
        <v>1</v>
      </c>
      <c r="AY117" s="141">
        <f>COUNTIF(V117:AL117,"&lt;&gt;0")</f>
        <v>1</v>
      </c>
      <c r="AZ117">
        <f>COUNTIF(V117:AC117,"&lt;&gt;0")</f>
        <v>1</v>
      </c>
      <c r="BA117">
        <f>COUNTIF(AD117:AI117,"&lt;&gt;0")</f>
        <v>0</v>
      </c>
      <c r="BB117">
        <f>COUNTIF(AJ117:AL117,"&lt;&gt;0")</f>
        <v>0</v>
      </c>
      <c r="BC117">
        <f>COUNTIF(AS117:AW117,"&lt;&gt;0")</f>
        <v>0</v>
      </c>
      <c r="BD117">
        <f>COUNTIF(AM117:AR117,"&lt;&gt;0")</f>
        <v>0</v>
      </c>
      <c r="BE117" t="str">
        <f t="array" ref="BE117">IF(AY117=1,INDEX($V$7:$AL$7,MATCH(TRUE,INDEX($V117:$AW117&lt;&gt;0,),0)),IF(AY117=0,INDEX($AM$7:$AW$7,MATCH(1,$AM117:$AW117,0)),IF(BF117="Multiple strategies","mixed drivers",IF(BF117="Supply chain","multiple supply","multiple silviculture"))))</f>
        <v xml:space="preserve">cutting intensity </v>
      </c>
      <c r="BF117" s="2" t="str" cm="1">
        <f t="array" ref="BF117">IF(COUNTIF(AZ117:BB117,"&lt;&gt;0")=1,INDEX($V$4:$AW$4,MATCH(TRUE,INDEX($V117:$AW117&lt;&gt;0,),0)),IF(COUNTIF(AZ117:BB117,"&lt;&gt;0")=0,INDEX($AM$4:$AW$4,MATCH(1,$AM117:$AW117,0)),"Multiple strategies"))</f>
        <v>Silviculture for removals</v>
      </c>
      <c r="BG117" s="1" t="s">
        <v>321</v>
      </c>
      <c r="BH117" t="s">
        <v>2453</v>
      </c>
      <c r="BI117" s="260" t="s">
        <v>3399</v>
      </c>
      <c r="BJ117" t="s">
        <v>1323</v>
      </c>
      <c r="BK117">
        <v>1168.5023099755704</v>
      </c>
      <c r="BL117">
        <v>1304.0435025027948</v>
      </c>
      <c r="BM117" s="143">
        <f>BL117/BK117</f>
        <v>1.1159956564656326</v>
      </c>
      <c r="BN117">
        <f>BL117-BK117</f>
        <v>135.54119252722444</v>
      </c>
      <c r="BO117">
        <f>BN117*10^6</f>
        <v>135541192.52722445</v>
      </c>
      <c r="BP117" t="s">
        <v>232</v>
      </c>
      <c r="BQ117" s="260" t="s">
        <v>3402</v>
      </c>
      <c r="BR117" t="s">
        <v>1359</v>
      </c>
      <c r="BS117">
        <v>391.99006315946394</v>
      </c>
      <c r="BT117">
        <v>335.062296</v>
      </c>
      <c r="BU117" s="144">
        <f>IFERROR(BT117/BS117,"")</f>
        <v>0.85477242279913257</v>
      </c>
      <c r="BV117" s="144">
        <f>BT117-BS117</f>
        <v>-56.92776715946394</v>
      </c>
      <c r="BW117" s="144"/>
      <c r="BX117">
        <f>BV117*10^6*C_to_CO2</f>
        <v>-208924905.47523266</v>
      </c>
      <c r="BY117">
        <f>IFERROR(BX117/BO117,"")</f>
        <v>-1.5414126257836234</v>
      </c>
      <c r="BZ117">
        <v>0</v>
      </c>
      <c r="CA117">
        <v>0</v>
      </c>
      <c r="CB117">
        <v>0</v>
      </c>
      <c r="CC117">
        <v>0</v>
      </c>
      <c r="CD117">
        <v>0</v>
      </c>
      <c r="CE117">
        <v>0</v>
      </c>
      <c r="CF117">
        <v>0</v>
      </c>
      <c r="CG117">
        <v>0</v>
      </c>
      <c r="CH117">
        <v>0</v>
      </c>
      <c r="CI117">
        <v>0</v>
      </c>
      <c r="CJ117">
        <v>0</v>
      </c>
      <c r="CK117">
        <v>0</v>
      </c>
      <c r="CL117">
        <v>0</v>
      </c>
      <c r="CM117">
        <v>0</v>
      </c>
      <c r="CN117" t="str">
        <f>IF($BL117&lt;$BK117,"refNeedCorrection","refOK")</f>
        <v>refOK</v>
      </c>
      <c r="CO117">
        <f>IF($CN117="refNeedCorrection",BL117,BK117)</f>
        <v>1168.5023099755704</v>
      </c>
      <c r="CP117">
        <f>IF($CN117="refNeedCorrection",BK117,BL117)</f>
        <v>1304.0435025027948</v>
      </c>
      <c r="CQ117">
        <f>IF($CN117="refOK",$BO117,-$BO117)</f>
        <v>135541192.52722445</v>
      </c>
      <c r="CR117">
        <f>IF($CN117="refOK",$BS117,$BT117)*IF($BP117="Emissions positive",-1,1)</f>
        <v>391.99006315946394</v>
      </c>
      <c r="CS117">
        <f>IF($CN117="refOK",$BT117,$BS117)*IF($BP117="Emissions positive",-1,1)</f>
        <v>335.062296</v>
      </c>
      <c r="CT117">
        <f>IF($CN117="refNeedCorrection",-BX117,BX117)*IF($BP117="Emissions positive",-1,1)</f>
        <v>-208924905.47523266</v>
      </c>
      <c r="CU117">
        <f>IFERROR(CT117/CQ117,"")</f>
        <v>-1.5414126257836234</v>
      </c>
      <c r="CV117" s="2">
        <f>IFERROR((CS117-CR117)/ABS(CR117),"")</f>
        <v>-0.1452275772008674</v>
      </c>
      <c r="CW117" s="1" t="s">
        <v>1203</v>
      </c>
      <c r="CX117" t="str">
        <f>IF(OR($CW117="prd",$CW117="std",$CW117="cit"),"loc",IF(OR($CW117="eur",$CW117="reg",$CW117="coy"),"reg",$CW117))</f>
        <v>reg</v>
      </c>
      <c r="CY117" t="s">
        <v>729</v>
      </c>
      <c r="CZ117">
        <v>2015</v>
      </c>
      <c r="DA117">
        <v>2040</v>
      </c>
      <c r="DB117">
        <f>DA117-CZ117</f>
        <v>25</v>
      </c>
      <c r="DC117" t="str">
        <f>IF(DB117=0,"0",IF(AND(DB117&gt;=1,DB117&lt;=30),"1-30",IF(AND(DB117&gt;30,DB117&lt;=70),"31-70",IF(AND(DB117&gt;70,DB117&lt;=100),"71-100",IF(DB117&gt;100,"+100")))))</f>
        <v>1-30</v>
      </c>
      <c r="DD117">
        <v>1</v>
      </c>
      <c r="DE117">
        <v>1</v>
      </c>
      <c r="DF117">
        <v>1</v>
      </c>
      <c r="DG117">
        <v>1</v>
      </c>
      <c r="DH117"/>
      <c r="DI117">
        <f>SUM(DD117:DG117)</f>
        <v>4</v>
      </c>
      <c r="DJ117" t="str">
        <f>IF(DI117=1,INDEX($DD$7:$DG$7,MATCH(1,$DD117:$DG117,0)),"mixedProduct")</f>
        <v>mixedProduct</v>
      </c>
      <c r="DK117" t="str">
        <f>IF(DD117=1,DK$7,0)</f>
        <v>Upstream</v>
      </c>
      <c r="DL117" t="str">
        <f>IF(DE117=1,DL$7,0)</f>
        <v>Energy</v>
      </c>
      <c r="DM117" t="str">
        <f>IF(DF117=1,DM$7,0)</f>
        <v>Pulp/Paper</v>
      </c>
      <c r="DN117" t="str">
        <f>IF(DG117=1,DN$7,0)</f>
        <v>Timber</v>
      </c>
      <c r="DO117">
        <v>0</v>
      </c>
      <c r="DP117">
        <v>0</v>
      </c>
      <c r="DQ117">
        <v>0</v>
      </c>
      <c r="DR117">
        <v>0</v>
      </c>
      <c r="DS117">
        <v>0</v>
      </c>
      <c r="DT117">
        <f>SUM(DO117:DP117)</f>
        <v>0</v>
      </c>
      <c r="DU117" s="143" t="str">
        <f>IF(DO117=1,"self-calculated DF",IF(DP117=1,"external DF used","explicit C balance"))</f>
        <v>explicit C balance</v>
      </c>
      <c r="DV117">
        <v>0</v>
      </c>
      <c r="DW117">
        <v>1</v>
      </c>
      <c r="DX117">
        <v>1</v>
      </c>
      <c r="DY117">
        <v>1</v>
      </c>
      <c r="DZ117">
        <v>1</v>
      </c>
      <c r="EA117" s="143">
        <v>0</v>
      </c>
      <c r="EB117">
        <v>0</v>
      </c>
      <c r="EC117">
        <v>0</v>
      </c>
      <c r="ED117">
        <v>0</v>
      </c>
      <c r="EE117">
        <v>0</v>
      </c>
      <c r="EF117">
        <v>1</v>
      </c>
      <c r="EG117">
        <v>0</v>
      </c>
      <c r="EH117">
        <v>0</v>
      </c>
      <c r="EI117" s="2">
        <v>0</v>
      </c>
      <c r="EJ117" s="1"/>
      <c r="EK117" t="str">
        <f>IF(AND(AND(AND(OR($DX117=1,$DW117=1),OR($EC117=1,$EA117=1)),SUM($DV117:$DZ117,$EF117)&gt;=4),SUM($EA117:$EE117)&gt;=2),"Whole sector","")</f>
        <v/>
      </c>
      <c r="EL117" t="str">
        <f>IF(AND(AND(OR($DX117=1,$DW117=1),AND($EC117=0,$EA117=0)),SUM($DV117:$DZ117,$EF117)&gt;=4),"Ecosystem approach","")</f>
        <v>Ecosystem approach</v>
      </c>
      <c r="EM117" s="2" t="str">
        <f>IF(AND(AND(AND($DX117=0,$DW117=0),OR($EC117=1,$EA117=1)),SUM($EB117:$EE117)&gt;=2),"Technology approach","")</f>
        <v/>
      </c>
      <c r="EN117"/>
      <c r="EO117"/>
      <c r="EP117" t="str">
        <f>IF(ISNUMBER(BU117),IF(ABS(BU117-[4]QC_indicators!$B$2)&gt;3*[4]QC_indicators!$C$2,"C ratio",IF(ISNUMBER(BY117),IF(ABS(BY117-[4]QC_indicators!$B$1)&gt;3*[4]QC_indicators!$C$1,"DF","no"))),IF(ISNUMBER(BY117),IF(ABS(BY117-[4]QC_indicators!$B$1)&gt;3*[4]QC_indicators!$C$1,"DF","no")))</f>
        <v>no</v>
      </c>
      <c r="EQ117" t="s">
        <v>2378</v>
      </c>
      <c r="ER117"/>
      <c r="ES117"/>
      <c r="ET117" s="264" t="s">
        <v>3273</v>
      </c>
      <c r="EU117"/>
    </row>
    <row r="118" spans="1:151" s="139" customFormat="1" ht="15" customHeight="1">
      <c r="A118" s="1" t="s">
        <v>1972</v>
      </c>
      <c r="B118" t="s">
        <v>2445</v>
      </c>
      <c r="C118" t="s">
        <v>2446</v>
      </c>
      <c r="D118" t="s">
        <v>2447</v>
      </c>
      <c r="E118" t="s">
        <v>2448</v>
      </c>
      <c r="F118" t="s">
        <v>2449</v>
      </c>
      <c r="G118" t="s">
        <v>1978</v>
      </c>
      <c r="H118" t="s">
        <v>254</v>
      </c>
      <c r="I118">
        <v>2018</v>
      </c>
      <c r="J118">
        <v>8</v>
      </c>
      <c r="K118" t="s">
        <v>2450</v>
      </c>
      <c r="L118"/>
      <c r="M118" t="str">
        <f>LEFT($D118,FIND(",",$D118)-1)&amp;"_"&amp;I118&amp;L118</f>
        <v>Valade_2018</v>
      </c>
      <c r="N118" t="s">
        <v>222</v>
      </c>
      <c r="O118" s="145" t="s">
        <v>1154</v>
      </c>
      <c r="P118"/>
      <c r="Q118" t="s">
        <v>256</v>
      </c>
      <c r="R118" s="255" t="s">
        <v>225</v>
      </c>
      <c r="S118" s="1" t="s">
        <v>2451</v>
      </c>
      <c r="T118" t="s">
        <v>2444</v>
      </c>
      <c r="U118" t="s">
        <v>2452</v>
      </c>
      <c r="V118">
        <v>1</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s="141">
        <f>COUNTIF(V118:AW118,"&lt;&gt;0")</f>
        <v>1</v>
      </c>
      <c r="AY118" s="141">
        <f>COUNTIF(V118:AL118,"&lt;&gt;0")</f>
        <v>1</v>
      </c>
      <c r="AZ118">
        <f>COUNTIF(V118:AC118,"&lt;&gt;0")</f>
        <v>1</v>
      </c>
      <c r="BA118">
        <f>COUNTIF(AD118:AI118,"&lt;&gt;0")</f>
        <v>0</v>
      </c>
      <c r="BB118">
        <f>COUNTIF(AJ118:AL118,"&lt;&gt;0")</f>
        <v>0</v>
      </c>
      <c r="BC118">
        <f>COUNTIF(AS118:AW118,"&lt;&gt;0")</f>
        <v>0</v>
      </c>
      <c r="BD118">
        <f>COUNTIF(AM118:AR118,"&lt;&gt;0")</f>
        <v>0</v>
      </c>
      <c r="BE118" t="str">
        <f t="array" ref="BE118">IF(AY118=1,INDEX($V$7:$AL$7,MATCH(TRUE,INDEX($V118:$AW118&lt;&gt;0,),0)),IF(AY118=0,INDEX($AM$7:$AW$7,MATCH(1,$AM118:$AW118,0)),IF(BF118="Multiple strategies","mixed drivers",IF(BF118="Supply chain","multiple supply","multiple silviculture"))))</f>
        <v>area subject to harvest</v>
      </c>
      <c r="BF118" s="2" t="str" cm="1">
        <f t="array" ref="BF118">IF(COUNTIF(AZ118:BB118,"&lt;&gt;0")=1,INDEX($V$4:$AW$4,MATCH(TRUE,INDEX($V118:$AW118&lt;&gt;0,),0)),IF(COUNTIF(AZ118:BB118,"&lt;&gt;0")=0,INDEX($AM$4:$AW$4,MATCH(1,$AM118:$AW118,0)),"Multiple strategies"))</f>
        <v>Silviculture for removals</v>
      </c>
      <c r="BG118" s="1" t="s">
        <v>321</v>
      </c>
      <c r="BH118" t="s">
        <v>2453</v>
      </c>
      <c r="BI118" s="260" t="s">
        <v>3399</v>
      </c>
      <c r="BJ118" t="s">
        <v>1323</v>
      </c>
      <c r="BK118">
        <v>1168.5023099755704</v>
      </c>
      <c r="BL118">
        <v>1547.3378240138293</v>
      </c>
      <c r="BM118" s="143">
        <f>BL118/BK118</f>
        <v>1.3242060463245291</v>
      </c>
      <c r="BN118">
        <f>BL118-BK118</f>
        <v>378.83551403825891</v>
      </c>
      <c r="BO118">
        <f>BN118*10^6</f>
        <v>378835514.03825891</v>
      </c>
      <c r="BP118" t="s">
        <v>232</v>
      </c>
      <c r="BQ118" s="260" t="s">
        <v>3402</v>
      </c>
      <c r="BR118" t="s">
        <v>1359</v>
      </c>
      <c r="BS118">
        <v>391.99006315946394</v>
      </c>
      <c r="BT118">
        <v>233.39452399999999</v>
      </c>
      <c r="BU118" s="144">
        <f>IFERROR(BT118/BS118,"")</f>
        <v>0.59540928695698514</v>
      </c>
      <c r="BV118" s="144">
        <f>BT118-BS118</f>
        <v>-158.59553915946395</v>
      </c>
      <c r="BW118" s="144"/>
      <c r="BX118">
        <f>BV118*10^6*C_to_CO2</f>
        <v>-582045628.71523261</v>
      </c>
      <c r="BY118">
        <f>IFERROR(BX118/BO118,"")</f>
        <v>-1.5364072457484843</v>
      </c>
      <c r="BZ118">
        <v>0</v>
      </c>
      <c r="CA118">
        <v>0</v>
      </c>
      <c r="CB118">
        <v>0</v>
      </c>
      <c r="CC118">
        <v>0</v>
      </c>
      <c r="CD118">
        <v>0</v>
      </c>
      <c r="CE118">
        <v>0</v>
      </c>
      <c r="CF118">
        <v>0</v>
      </c>
      <c r="CG118">
        <v>0</v>
      </c>
      <c r="CH118">
        <v>0</v>
      </c>
      <c r="CI118">
        <v>0</v>
      </c>
      <c r="CJ118">
        <v>0</v>
      </c>
      <c r="CK118">
        <v>0</v>
      </c>
      <c r="CL118">
        <v>0</v>
      </c>
      <c r="CM118">
        <v>0</v>
      </c>
      <c r="CN118" t="str">
        <f>IF($BL118&lt;$BK118,"refNeedCorrection","refOK")</f>
        <v>refOK</v>
      </c>
      <c r="CO118">
        <f>IF($CN118="refNeedCorrection",BL118,BK118)</f>
        <v>1168.5023099755704</v>
      </c>
      <c r="CP118">
        <f>IF($CN118="refNeedCorrection",BK118,BL118)</f>
        <v>1547.3378240138293</v>
      </c>
      <c r="CQ118">
        <f>IF($CN118="refOK",$BO118,-$BO118)</f>
        <v>378835514.03825891</v>
      </c>
      <c r="CR118">
        <f>IF($CN118="refOK",$BS118,$BT118)*IF($BP118="Emissions positive",-1,1)</f>
        <v>391.99006315946394</v>
      </c>
      <c r="CS118">
        <f>IF($CN118="refOK",$BT118,$BS118)*IF($BP118="Emissions positive",-1,1)</f>
        <v>233.39452399999999</v>
      </c>
      <c r="CT118">
        <f>IF($CN118="refNeedCorrection",-BX118,BX118)*IF($BP118="Emissions positive",-1,1)</f>
        <v>-582045628.71523261</v>
      </c>
      <c r="CU118">
        <f>IFERROR(CT118/CQ118,"")</f>
        <v>-1.5364072457484843</v>
      </c>
      <c r="CV118" s="2">
        <f>IFERROR((CS118-CR118)/ABS(CR118),"")</f>
        <v>-0.40459071304301486</v>
      </c>
      <c r="CW118" s="1" t="s">
        <v>1203</v>
      </c>
      <c r="CX118" t="str">
        <f>IF(OR($CW118="prd",$CW118="std",$CW118="cit"),"loc",IF(OR($CW118="eur",$CW118="reg",$CW118="coy"),"reg",$CW118))</f>
        <v>reg</v>
      </c>
      <c r="CY118" t="s">
        <v>729</v>
      </c>
      <c r="CZ118">
        <v>2015</v>
      </c>
      <c r="DA118">
        <v>2040</v>
      </c>
      <c r="DB118">
        <f>DA118-CZ118</f>
        <v>25</v>
      </c>
      <c r="DC118" t="str">
        <f>IF(DB118=0,"0",IF(AND(DB118&gt;=1,DB118&lt;=30),"1-30",IF(AND(DB118&gt;30,DB118&lt;=70),"31-70",IF(AND(DB118&gt;70,DB118&lt;=100),"71-100",IF(DB118&gt;100,"+100")))))</f>
        <v>1-30</v>
      </c>
      <c r="DD118">
        <v>1</v>
      </c>
      <c r="DE118">
        <v>1</v>
      </c>
      <c r="DF118">
        <v>1</v>
      </c>
      <c r="DG118">
        <v>1</v>
      </c>
      <c r="DH118"/>
      <c r="DI118">
        <f>SUM(DD118:DG118)</f>
        <v>4</v>
      </c>
      <c r="DJ118" t="str">
        <f>IF(DI118=1,INDEX($DD$7:$DG$7,MATCH(1,$DD118:$DG118,0)),"mixedProduct")</f>
        <v>mixedProduct</v>
      </c>
      <c r="DK118" t="str">
        <f>IF(DD118=1,DK$7,0)</f>
        <v>Upstream</v>
      </c>
      <c r="DL118" t="str">
        <f>IF(DE118=1,DL$7,0)</f>
        <v>Energy</v>
      </c>
      <c r="DM118" t="str">
        <f>IF(DF118=1,DM$7,0)</f>
        <v>Pulp/Paper</v>
      </c>
      <c r="DN118" t="str">
        <f>IF(DG118=1,DN$7,0)</f>
        <v>Timber</v>
      </c>
      <c r="DO118">
        <v>0</v>
      </c>
      <c r="DP118">
        <v>0</v>
      </c>
      <c r="DQ118">
        <v>0</v>
      </c>
      <c r="DR118">
        <v>0</v>
      </c>
      <c r="DS118">
        <v>0</v>
      </c>
      <c r="DT118">
        <f>SUM(DO118:DP118)</f>
        <v>0</v>
      </c>
      <c r="DU118" s="143" t="str">
        <f>IF(DO118=1,"self-calculated DF",IF(DP118=1,"external DF used","explicit C balance"))</f>
        <v>explicit C balance</v>
      </c>
      <c r="DV118">
        <v>0</v>
      </c>
      <c r="DW118">
        <v>1</v>
      </c>
      <c r="DX118">
        <v>1</v>
      </c>
      <c r="DY118">
        <v>1</v>
      </c>
      <c r="DZ118">
        <v>1</v>
      </c>
      <c r="EA118" s="143">
        <v>0</v>
      </c>
      <c r="EB118">
        <v>0</v>
      </c>
      <c r="EC118">
        <v>0</v>
      </c>
      <c r="ED118">
        <v>0</v>
      </c>
      <c r="EE118">
        <v>0</v>
      </c>
      <c r="EF118">
        <v>1</v>
      </c>
      <c r="EG118">
        <v>0</v>
      </c>
      <c r="EH118">
        <v>0</v>
      </c>
      <c r="EI118" s="2">
        <v>0</v>
      </c>
      <c r="EJ118" s="1"/>
      <c r="EK118" t="str">
        <f>IF(AND(AND(AND(OR($DX118=1,$DW118=1),OR($EC118=1,$EA118=1)),SUM($DV118:$DZ118,$EF118)&gt;=4),SUM($EA118:$EE118)&gt;=2),"Whole sector","")</f>
        <v/>
      </c>
      <c r="EL118" t="str">
        <f>IF(AND(AND(OR($DX118=1,$DW118=1),AND($EC118=0,$EA118=0)),SUM($DV118:$DZ118,$EF118)&gt;=4),"Ecosystem approach","")</f>
        <v>Ecosystem approach</v>
      </c>
      <c r="EM118" s="2" t="str">
        <f>IF(AND(AND(AND($DX118=0,$DW118=0),OR($EC118=1,$EA118=1)),SUM($EB118:$EE118)&gt;=2),"Technology approach","")</f>
        <v/>
      </c>
      <c r="EN118"/>
      <c r="EO118"/>
      <c r="EP118" t="str">
        <f>IF(ISNUMBER(BU118),IF(ABS(BU118-[4]QC_indicators!$B$2)&gt;3*[4]QC_indicators!$C$2,"C ratio",IF(ISNUMBER(BY118),IF(ABS(BY118-[4]QC_indicators!$B$1)&gt;3*[4]QC_indicators!$C$1,"DF","no"))),IF(ISNUMBER(BY118),IF(ABS(BY118-[4]QC_indicators!$B$1)&gt;3*[4]QC_indicators!$C$1,"DF","no")))</f>
        <v>no</v>
      </c>
      <c r="EQ118" t="s">
        <v>2378</v>
      </c>
      <c r="ER118"/>
      <c r="ES118"/>
      <c r="ET118" s="264" t="s">
        <v>3273</v>
      </c>
      <c r="EU118"/>
    </row>
    <row r="119" spans="1:151" s="139" customFormat="1" ht="15" customHeight="1">
      <c r="A119" s="1" t="s">
        <v>1286</v>
      </c>
      <c r="B119" t="s">
        <v>1336</v>
      </c>
      <c r="C119" t="s">
        <v>1337</v>
      </c>
      <c r="D119" t="s">
        <v>1338</v>
      </c>
      <c r="E119" t="s">
        <v>1339</v>
      </c>
      <c r="F119" t="s">
        <v>1340</v>
      </c>
      <c r="G119" t="s">
        <v>1292</v>
      </c>
      <c r="H119" t="s">
        <v>254</v>
      </c>
      <c r="I119">
        <v>2016</v>
      </c>
      <c r="J119">
        <v>27</v>
      </c>
      <c r="K119" t="s">
        <v>1341</v>
      </c>
      <c r="L119"/>
      <c r="M119" t="str">
        <f>LEFT($D119,FIND(",",$D119)-1)&amp;"_"&amp;I119&amp;L119</f>
        <v>Braun_2016</v>
      </c>
      <c r="N119" t="s">
        <v>222</v>
      </c>
      <c r="O119" s="145" t="s">
        <v>223</v>
      </c>
      <c r="P119"/>
      <c r="Q119" t="s">
        <v>256</v>
      </c>
      <c r="R119" s="255" t="s">
        <v>225</v>
      </c>
      <c r="S119" s="1" t="s">
        <v>1348</v>
      </c>
      <c r="T119" t="s">
        <v>1343</v>
      </c>
      <c r="U119" t="s">
        <v>1349</v>
      </c>
      <c r="V119">
        <v>0</v>
      </c>
      <c r="W119">
        <v>0</v>
      </c>
      <c r="X119">
        <v>0</v>
      </c>
      <c r="Y119">
        <v>1</v>
      </c>
      <c r="Z119">
        <v>0</v>
      </c>
      <c r="AA119">
        <v>0</v>
      </c>
      <c r="AB119">
        <v>0</v>
      </c>
      <c r="AC119">
        <v>0</v>
      </c>
      <c r="AD119">
        <v>0</v>
      </c>
      <c r="AE119">
        <v>0</v>
      </c>
      <c r="AF119">
        <v>2</v>
      </c>
      <c r="AG119">
        <v>0</v>
      </c>
      <c r="AH119">
        <v>0</v>
      </c>
      <c r="AI119">
        <v>0</v>
      </c>
      <c r="AJ119">
        <v>0</v>
      </c>
      <c r="AK119">
        <v>0</v>
      </c>
      <c r="AL119">
        <v>0</v>
      </c>
      <c r="AM119">
        <v>0</v>
      </c>
      <c r="AN119">
        <v>0</v>
      </c>
      <c r="AO119">
        <v>0</v>
      </c>
      <c r="AP119">
        <v>0</v>
      </c>
      <c r="AQ119">
        <v>0</v>
      </c>
      <c r="AR119">
        <v>0</v>
      </c>
      <c r="AS119">
        <v>0</v>
      </c>
      <c r="AT119">
        <v>0</v>
      </c>
      <c r="AU119">
        <v>0</v>
      </c>
      <c r="AV119">
        <v>0</v>
      </c>
      <c r="AW119">
        <v>0</v>
      </c>
      <c r="AX119" s="141">
        <f>COUNTIF(V119:AW119,"&lt;&gt;0")</f>
        <v>2</v>
      </c>
      <c r="AY119" s="141">
        <f>COUNTIF(V119:AL119,"&lt;&gt;0")</f>
        <v>2</v>
      </c>
      <c r="AZ119">
        <f>COUNTIF(V119:AC119,"&lt;&gt;0")</f>
        <v>1</v>
      </c>
      <c r="BA119">
        <f>COUNTIF(AD119:AI119,"&lt;&gt;0")</f>
        <v>1</v>
      </c>
      <c r="BB119">
        <f>COUNTIF(AJ119:AL119,"&lt;&gt;0")</f>
        <v>0</v>
      </c>
      <c r="BC119">
        <f>COUNTIF(AS119:AW119,"&lt;&gt;0")</f>
        <v>0</v>
      </c>
      <c r="BD119">
        <f>COUNTIF(AM119:AR119,"&lt;&gt;0")</f>
        <v>0</v>
      </c>
      <c r="BE119" t="str">
        <f t="array" ref="BE119">IF(AY119=1,INDEX($V$7:$AL$7,MATCH(TRUE,INDEX($V119:$AW119&lt;&gt;0,),0)),IF(AY119=0,INDEX($AM$7:$AW$7,MATCH(1,$AM119:$AW119,0)),IF(BF119="Multiple strategies","mixed drivers",IF(BF119="Supply chain","multiple supply","multiple silviculture"))))</f>
        <v>mixed drivers</v>
      </c>
      <c r="BF119" s="2" t="str" cm="1">
        <f t="array" ref="BF119">IF(COUNTIF(AZ119:BB119,"&lt;&gt;0")=1,INDEX($V$4:$AW$4,MATCH(TRUE,INDEX($V119:$AW119&lt;&gt;0,),0)),IF(COUNTIF(AZ119:BB119,"&lt;&gt;0")=0,INDEX($AM$4:$AW$4,MATCH(1,$AM119:$AW119,0)),"Multiple strategies"))</f>
        <v>Multiple strategies</v>
      </c>
      <c r="BG119" s="1" t="s">
        <v>229</v>
      </c>
      <c r="BH119" t="s">
        <v>1344</v>
      </c>
      <c r="BI119" s="260" t="s">
        <v>3277</v>
      </c>
      <c r="BJ119" t="s">
        <v>1345</v>
      </c>
      <c r="BK119">
        <v>1.1674521913429727</v>
      </c>
      <c r="BL119">
        <v>1.9442734851451886</v>
      </c>
      <c r="BM119">
        <f>BL119/BK119</f>
        <v>1.6653988056749489</v>
      </c>
      <c r="BN119">
        <f>BL119-BK119</f>
        <v>0.77682129380221587</v>
      </c>
      <c r="BO119">
        <f>BN119*10^9</f>
        <v>776821293.80221581</v>
      </c>
      <c r="BP119" t="s">
        <v>232</v>
      </c>
      <c r="BQ119" s="260" t="s">
        <v>3280</v>
      </c>
      <c r="BR119" t="s">
        <v>1346</v>
      </c>
      <c r="BS119" s="264">
        <v>1.0255972696245701</v>
      </c>
      <c r="BT119" s="264">
        <v>-0.16211604095563101</v>
      </c>
      <c r="BU119" s="144">
        <f>IFERROR(BT119/BS119,"")</f>
        <v>-0.15806988352745438</v>
      </c>
      <c r="BV119">
        <f>BT119-BS119</f>
        <v>-1.1877133105802011</v>
      </c>
      <c r="BW119"/>
      <c r="BX119">
        <f>BV119*10^9</f>
        <v>-1187713310.5802011</v>
      </c>
      <c r="BY119">
        <f>IFERROR(BX119/BO119,"")</f>
        <v>-1.5289402080713319</v>
      </c>
      <c r="BZ119" s="143">
        <v>0</v>
      </c>
      <c r="CA119" s="143">
        <v>0</v>
      </c>
      <c r="CB119" s="143">
        <v>0</v>
      </c>
      <c r="CC119" s="143">
        <v>0</v>
      </c>
      <c r="CD119" s="143">
        <v>0</v>
      </c>
      <c r="CE119" s="143">
        <v>0</v>
      </c>
      <c r="CF119" s="143">
        <v>0</v>
      </c>
      <c r="CG119" s="143">
        <v>0</v>
      </c>
      <c r="CH119" s="143">
        <v>0</v>
      </c>
      <c r="CI119" s="143">
        <v>0</v>
      </c>
      <c r="CJ119" s="143">
        <v>0</v>
      </c>
      <c r="CK119" s="143">
        <v>0</v>
      </c>
      <c r="CL119" s="143">
        <v>0</v>
      </c>
      <c r="CM119">
        <v>0</v>
      </c>
      <c r="CN119" t="str">
        <f>IF($BL119&lt;$BK119,"refNeedCorrection","refOK")</f>
        <v>refOK</v>
      </c>
      <c r="CO119">
        <f>IF($CN119="refOK",$BK119,$BL119)</f>
        <v>1.1674521913429727</v>
      </c>
      <c r="CP119">
        <f>IF($CN119="refOK",$BL119,$BK119)</f>
        <v>1.9442734851451886</v>
      </c>
      <c r="CQ119">
        <f>IF($CN119="refOK",$BO119,-$BO119)</f>
        <v>776821293.80221581</v>
      </c>
      <c r="CR119">
        <f>IF($CN119="refOK",$BS119,$BT119)*IF($BP119="Emissions positive",-1,1)</f>
        <v>1.0255972696245701</v>
      </c>
      <c r="CS119">
        <f>IF($CN119="refOK",$BT119,$BS119)*IF($BP119="Emissions positive",-1,1)</f>
        <v>-0.16211604095563101</v>
      </c>
      <c r="CT119">
        <f>IF($CN119="refNeedCorrection",-BX119,BX119)*IF($BP119="Emissions positive",-1,1)</f>
        <v>-1187713310.5802011</v>
      </c>
      <c r="CU119">
        <f>IFERROR(CT119/CQ119,"")</f>
        <v>-1.5289402080713319</v>
      </c>
      <c r="CV119" s="2">
        <f>IFERROR((CS119-CR119)/ABS(CR119),"")</f>
        <v>-1.1580698835274543</v>
      </c>
      <c r="CW119" s="1" t="s">
        <v>1203</v>
      </c>
      <c r="CX119" t="str">
        <f>IF(OR($CW119="prd",$CW119="std",$CW119="cit"),"loc",IF(OR($CW119="eur",$CW119="reg",$CW119="coy"),"reg",$CW119))</f>
        <v>reg</v>
      </c>
      <c r="CY119" t="s">
        <v>666</v>
      </c>
      <c r="CZ119">
        <v>2010</v>
      </c>
      <c r="DA119">
        <v>2100</v>
      </c>
      <c r="DB119">
        <f>DA119-CZ119</f>
        <v>90</v>
      </c>
      <c r="DC119" t="str">
        <f>IF(DB119=0,"0",IF(AND(DB119&gt;=1,DB119&lt;=30),"1-30",IF(AND(DB119&gt;30,DB119&lt;=70),"31-70",IF(AND(DB119&gt;70,DB119&lt;=100),"71-100",IF(DB119&gt;100,"+100")))))</f>
        <v>71-100</v>
      </c>
      <c r="DD119">
        <v>0</v>
      </c>
      <c r="DE119">
        <v>1</v>
      </c>
      <c r="DF119">
        <v>1</v>
      </c>
      <c r="DG119">
        <v>1</v>
      </c>
      <c r="DH119"/>
      <c r="DI119">
        <f>SUM(DD119:DG119)</f>
        <v>3</v>
      </c>
      <c r="DJ119" t="str">
        <f>IF(DI119=1,INDEX($DD$7:$DG$7,MATCH(1,$DD119:$DG119,0)),"mixedProduct")</f>
        <v>mixedProduct</v>
      </c>
      <c r="DK119">
        <f>IF(DD119=1,DK$7,0)</f>
        <v>0</v>
      </c>
      <c r="DL119" t="str">
        <f>IF(DE119=1,DL$7,0)</f>
        <v>Energy</v>
      </c>
      <c r="DM119" t="str">
        <f>IF(DF119=1,DM$7,0)</f>
        <v>Pulp/Paper</v>
      </c>
      <c r="DN119" t="str">
        <f>IF(DG119=1,DN$7,0)</f>
        <v>Timber</v>
      </c>
      <c r="DO119">
        <v>1</v>
      </c>
      <c r="DP119" s="143">
        <v>0</v>
      </c>
      <c r="DQ119" s="143">
        <v>0</v>
      </c>
      <c r="DR119" s="143">
        <v>0</v>
      </c>
      <c r="DS119">
        <v>0</v>
      </c>
      <c r="DT119">
        <f>SUM(DO119:DP119)</f>
        <v>1</v>
      </c>
      <c r="DU119" s="143" t="str">
        <f>IF(DO119=1,"self-calculated DF",IF(DP119=1,"external DF used","explicit C balance"))</f>
        <v>self-calculated DF</v>
      </c>
      <c r="DV119">
        <v>1</v>
      </c>
      <c r="DW119" s="143">
        <v>1</v>
      </c>
      <c r="DX119" s="143">
        <v>1</v>
      </c>
      <c r="DY119" s="143">
        <v>0</v>
      </c>
      <c r="DZ119">
        <v>0</v>
      </c>
      <c r="EA119" s="141">
        <v>0</v>
      </c>
      <c r="EB119">
        <v>0</v>
      </c>
      <c r="EC119" s="143">
        <v>0</v>
      </c>
      <c r="ED119" s="143">
        <v>0</v>
      </c>
      <c r="EE119">
        <v>0</v>
      </c>
      <c r="EF119">
        <v>1</v>
      </c>
      <c r="EG119" s="143">
        <v>0</v>
      </c>
      <c r="EH119" s="143">
        <v>0</v>
      </c>
      <c r="EI119" s="2">
        <v>0</v>
      </c>
      <c r="EJ119" s="1"/>
      <c r="EK119" t="str">
        <f>IF(AND(AND(AND(OR($DX119=1,$DW119=1),OR($EC119=1,$EA119=1)),SUM($DV119:$DZ119,$EF119)&gt;=4),SUM($EA119:$EE119)&gt;=2),"Whole sector","")</f>
        <v/>
      </c>
      <c r="EL119" t="str">
        <f>IF(AND(AND(OR($DX119=1,$DW119=1),AND($EC119=0,$EA119=0)),SUM($DV119:$DZ119,$EF119)&gt;=4),"Ecosystem approach","")</f>
        <v>Ecosystem approach</v>
      </c>
      <c r="EM119" s="2" t="str">
        <f>IF(AND(AND(AND($DX119=0,$DW119=0),OR($EC119=1,$EA119=1)),SUM($EB119:$EE119)&gt;=2),"Technology approach","")</f>
        <v/>
      </c>
      <c r="EN119" t="s">
        <v>3282</v>
      </c>
      <c r="EO119"/>
      <c r="EP119" t="str">
        <f>IF(ISNUMBER(BU119),IF(ABS(BU119-[4]QC_indicators!$B$2)&gt;3*[4]QC_indicators!$C$2,"C ratio",IF(ISNUMBER(BY119),IF(ABS(BY119-[4]QC_indicators!$B$1)&gt;3*[4]QC_indicators!$C$1,"DF","no"))),IF(ISNUMBER(BY119),IF(ABS(BY119-[4]QC_indicators!$B$1)&gt;3*[4]QC_indicators!$C$1,"DF","no")))</f>
        <v>no</v>
      </c>
      <c r="EQ119"/>
      <c r="ER119"/>
      <c r="ES119"/>
      <c r="ET119" s="264" t="s">
        <v>3273</v>
      </c>
      <c r="EU119"/>
    </row>
    <row r="120" spans="1:151" s="139" customFormat="1" ht="15" customHeight="1">
      <c r="A120" s="1" t="s">
        <v>1204</v>
      </c>
      <c r="B120" t="s">
        <v>1205</v>
      </c>
      <c r="C120" t="s">
        <v>1206</v>
      </c>
      <c r="D120" t="s">
        <v>1207</v>
      </c>
      <c r="E120" t="s">
        <v>1208</v>
      </c>
      <c r="F120" t="s">
        <v>1209</v>
      </c>
      <c r="G120" t="s">
        <v>1210</v>
      </c>
      <c r="H120"/>
      <c r="I120">
        <v>2006</v>
      </c>
      <c r="J120"/>
      <c r="K120" t="s">
        <v>1211</v>
      </c>
      <c r="L120"/>
      <c r="M120" t="str">
        <f>LEFT($D120,FIND(",",$D120)-1)&amp;"_"&amp;I120&amp;L120</f>
        <v>Backeus_2006</v>
      </c>
      <c r="N120" t="s">
        <v>222</v>
      </c>
      <c r="O120" s="140" t="s">
        <v>274</v>
      </c>
      <c r="P120"/>
      <c r="Q120" t="s">
        <v>224</v>
      </c>
      <c r="R120" s="255" t="s">
        <v>223</v>
      </c>
      <c r="S120" s="263" t="s">
        <v>3087</v>
      </c>
      <c r="T120" t="s">
        <v>1216</v>
      </c>
      <c r="U120" t="s">
        <v>1213</v>
      </c>
      <c r="V120">
        <v>0</v>
      </c>
      <c r="W120">
        <v>0</v>
      </c>
      <c r="X120">
        <v>0</v>
      </c>
      <c r="Y120">
        <v>1</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1</v>
      </c>
      <c r="AW120">
        <v>0</v>
      </c>
      <c r="AX120" s="141">
        <f>COUNTIF(V120:AW120,"&lt;&gt;0")</f>
        <v>2</v>
      </c>
      <c r="AY120" s="141">
        <f>COUNTIF(V120:AL120,"&lt;&gt;0")</f>
        <v>1</v>
      </c>
      <c r="AZ120">
        <f>COUNTIF(V120:AC120,"&lt;&gt;0")</f>
        <v>1</v>
      </c>
      <c r="BA120">
        <f>COUNTIF(AD120:AI120,"&lt;&gt;0")</f>
        <v>0</v>
      </c>
      <c r="BB120">
        <f>COUNTIF(AJ120:AL120,"&lt;&gt;0")</f>
        <v>0</v>
      </c>
      <c r="BC120">
        <f>COUNTIF(AS120:AW120,"&lt;&gt;0")</f>
        <v>1</v>
      </c>
      <c r="BD120">
        <f>COUNTIF(AM120:AR120,"&lt;&gt;0")</f>
        <v>0</v>
      </c>
      <c r="BE120" t="str">
        <f t="array" ref="BE120">IF(AY120=1,INDEX($V$7:$AL$7,MATCH(TRUE,INDEX($V120:$AW120&lt;&gt;0,),0)),IF(AY120=0,INDEX($AM$7:$AW$7,MATCH(1,$AM120:$AW120,0)),IF(BF120="Multiple strategies","mixed drivers",IF(BF120="Supply chain","multiple supply","multiple silviculture"))))</f>
        <v xml:space="preserve">cutting intensity </v>
      </c>
      <c r="BF120" s="2" t="str" cm="1">
        <f t="array" ref="BF120">IF(COUNTIF(AZ120:BB120,"&lt;&gt;0")=1,INDEX($V$4:$AW$4,MATCH(TRUE,INDEX($V120:$AW120&lt;&gt;0,),0)),IF(COUNTIF(AZ120:BB120,"&lt;&gt;0")=0,INDEX($AM$4:$AW$4,MATCH(1,$AM120:$AW120,0)),"Multiple strategies"))</f>
        <v>Silviculture for removals</v>
      </c>
      <c r="BG120" s="1" t="s">
        <v>229</v>
      </c>
      <c r="BH120" t="s">
        <v>229</v>
      </c>
      <c r="BI120" s="264" t="s">
        <v>701</v>
      </c>
      <c r="BJ120" t="s">
        <v>1214</v>
      </c>
      <c r="BK120">
        <v>5.5285511609750859</v>
      </c>
      <c r="BL120">
        <v>5.6162990524021872</v>
      </c>
      <c r="BM120">
        <f>BL120/BK120</f>
        <v>1.0158717698131285</v>
      </c>
      <c r="BN120">
        <f>BL120-BK120</f>
        <v>8.7747891427101266E-2</v>
      </c>
      <c r="BO120" s="143">
        <f>BN120*10^6</f>
        <v>87747.891427101262</v>
      </c>
      <c r="BP120" s="143" t="s">
        <v>232</v>
      </c>
      <c r="BQ120" s="342" t="s">
        <v>787</v>
      </c>
      <c r="BR120" s="152" t="s">
        <v>1215</v>
      </c>
      <c r="BS120" s="152">
        <v>1.5797101449275361</v>
      </c>
      <c r="BT120" s="152">
        <v>1.5434782608695652</v>
      </c>
      <c r="BU120" s="144">
        <f>IFERROR(BT120/BS120,"")</f>
        <v>0.97706422018348627</v>
      </c>
      <c r="BV120">
        <f>BT120-BS120</f>
        <v>-3.6231884057970953E-2</v>
      </c>
      <c r="BW120"/>
      <c r="BX120">
        <f>BV120*10^6*C_to_CO2</f>
        <v>-132971.0144927534</v>
      </c>
      <c r="BY120">
        <f>IFERROR(BX120/BO120,"")</f>
        <v>-1.5153756099452529</v>
      </c>
      <c r="BZ120">
        <v>0</v>
      </c>
      <c r="CA120">
        <v>0</v>
      </c>
      <c r="CB120">
        <v>0</v>
      </c>
      <c r="CC120">
        <v>0</v>
      </c>
      <c r="CD120">
        <v>0</v>
      </c>
      <c r="CE120">
        <v>0</v>
      </c>
      <c r="CF120">
        <v>0</v>
      </c>
      <c r="CG120">
        <v>0</v>
      </c>
      <c r="CH120">
        <v>0</v>
      </c>
      <c r="CI120">
        <v>0</v>
      </c>
      <c r="CJ120">
        <v>0</v>
      </c>
      <c r="CK120">
        <v>0</v>
      </c>
      <c r="CL120">
        <v>0</v>
      </c>
      <c r="CM120">
        <v>0</v>
      </c>
      <c r="CN120" t="str">
        <f>IF($BL120&lt;$BK120,"refNeedCorrection","refOK")</f>
        <v>refOK</v>
      </c>
      <c r="CO120">
        <f>IF($CN120="refOK",$BK120,$BL120)</f>
        <v>5.5285511609750859</v>
      </c>
      <c r="CP120">
        <f>IF($CN120="refOK",$BL120,$BK120)</f>
        <v>5.6162990524021872</v>
      </c>
      <c r="CQ120">
        <f>IF($CN120="refOK",$BO120,-$BO120)</f>
        <v>87747.891427101262</v>
      </c>
      <c r="CR120">
        <f>IF($CN120="refOK",$BS120,$BT120)*IF($BP120="Emissions positive",-1,1)</f>
        <v>1.5797101449275361</v>
      </c>
      <c r="CS120">
        <f>IF($CN120="refOK",$BT120,$BS120)*IF($BP120="Emissions positive",-1,1)</f>
        <v>1.5434782608695652</v>
      </c>
      <c r="CT120">
        <f>IF($CN120="refNeedCorrection",-BX120,BX120)*IF($BP120="Emissions positive",-1,1)</f>
        <v>-132971.0144927534</v>
      </c>
      <c r="CU120">
        <f>IFERROR(CT120/CQ120,"")</f>
        <v>-1.5153756099452529</v>
      </c>
      <c r="CV120" s="2">
        <f>IFERROR((CS120-CR120)/ABS(CR120),"")</f>
        <v>-2.2935779816513725E-2</v>
      </c>
      <c r="CW120" s="1" t="s">
        <v>1199</v>
      </c>
      <c r="CX120" t="str">
        <f>IF(OR($CW120="prd",$CW120="std",$CW120="cit"),"loc",IF(OR($CW120="eur",$CW120="reg",$CW120="coy"),"reg",$CW120))</f>
        <v>reg</v>
      </c>
      <c r="CY120" t="s">
        <v>444</v>
      </c>
      <c r="CZ120"/>
      <c r="DA120"/>
      <c r="DB120">
        <v>100</v>
      </c>
      <c r="DC120" t="str">
        <f>IF(DB120=0,"0",IF(AND(DB120&gt;=1,DB120&lt;=30),"1-30",IF(AND(DB120&gt;30,DB120&lt;=70),"31-70",IF(AND(DB120&gt;70,DB120&lt;=100),"71-100",IF(DB120&gt;100,"+100")))))</f>
        <v>71-100</v>
      </c>
      <c r="DD120">
        <v>0</v>
      </c>
      <c r="DE120">
        <v>1</v>
      </c>
      <c r="DF120">
        <v>1</v>
      </c>
      <c r="DG120">
        <v>1</v>
      </c>
      <c r="DH120"/>
      <c r="DI120">
        <f>SUM(DD120:DG120)</f>
        <v>3</v>
      </c>
      <c r="DJ120" t="str">
        <f>IF(DI120=1,INDEX($DD$7:$DG$7,MATCH(1,$DD120:$DG120,0)),"mixedProduct")</f>
        <v>mixedProduct</v>
      </c>
      <c r="DK120">
        <f>IF(DD120=1,DK$7,0)</f>
        <v>0</v>
      </c>
      <c r="DL120" t="str">
        <f>IF(DE120=1,DL$7,0)</f>
        <v>Energy</v>
      </c>
      <c r="DM120" t="str">
        <f>IF(DF120=1,DM$7,0)</f>
        <v>Pulp/Paper</v>
      </c>
      <c r="DN120" t="str">
        <f>IF(DG120=1,DN$7,0)</f>
        <v>Timber</v>
      </c>
      <c r="DO120">
        <v>1</v>
      </c>
      <c r="DP120">
        <v>0</v>
      </c>
      <c r="DQ120">
        <v>0</v>
      </c>
      <c r="DR120">
        <v>0</v>
      </c>
      <c r="DS120">
        <v>0</v>
      </c>
      <c r="DT120">
        <f>SUM(DO120:DP120)</f>
        <v>1</v>
      </c>
      <c r="DU120" s="143" t="str">
        <f>IF(DO120=1,"self-calculated DF",IF(DP120=1,"external DF used","explicit C balance"))</f>
        <v>self-calculated DF</v>
      </c>
      <c r="DV120">
        <v>0</v>
      </c>
      <c r="DW120">
        <v>1</v>
      </c>
      <c r="DX120">
        <v>1</v>
      </c>
      <c r="DY120">
        <v>0</v>
      </c>
      <c r="DZ120">
        <v>0</v>
      </c>
      <c r="EA120" s="143">
        <v>1</v>
      </c>
      <c r="EB120">
        <v>0</v>
      </c>
      <c r="EC120">
        <v>0</v>
      </c>
      <c r="ED120">
        <v>0</v>
      </c>
      <c r="EE120">
        <v>0</v>
      </c>
      <c r="EF120">
        <v>1</v>
      </c>
      <c r="EG120">
        <v>1</v>
      </c>
      <c r="EH120">
        <v>0</v>
      </c>
      <c r="EI120" s="2">
        <v>0</v>
      </c>
      <c r="EJ120" s="1"/>
      <c r="EK120" t="str">
        <f>IF(AND(AND(AND(OR($DX120=1,$DW120=1),OR($EC120=1,$EA120=1)),SUM($DV120:$DZ120,$EF120)&gt;=4),SUM($EA120:$EE120)&gt;=2),"Whole sector","")</f>
        <v/>
      </c>
      <c r="EL120" t="str">
        <f>IF(AND(AND(OR($DX120=1,$DW120=1),AND($EC120=0,$EA120=0)),SUM($DV120:$DZ120,$EF120)&gt;=4),"Ecosystem approach","")</f>
        <v/>
      </c>
      <c r="EM120" s="2" t="str">
        <f>IF(AND(AND(AND($DX120=0,$DW120=0),OR($EC120=1,$EA120=1)),SUM($EB120:$EE120)&gt;=2),"Technology approach","")</f>
        <v/>
      </c>
      <c r="EN120"/>
      <c r="EO120"/>
      <c r="EP120" t="str">
        <f>IF(ISNUMBER(BU120),IF(ABS(BU120-[1]QC_indicators!$B$2)&gt;3*[1]QC_indicators!$C$2,"C ratio",IF(ISNUMBER(BY120),IF(ABS(BY120-[1]QC_indicators!$B$1)&gt;3*[1]QC_indicators!$C$1,"DF","no"))),IF(ISNUMBER(BY120),IF(ABS(BY120-[1]QC_indicators!$B$1)&gt;3*[1]QC_indicators!$C$1,"DF","no")))</f>
        <v>no</v>
      </c>
      <c r="EQ120" t="s">
        <v>286</v>
      </c>
      <c r="ER120"/>
      <c r="ES120"/>
      <c r="ET120" s="264" t="s">
        <v>3088</v>
      </c>
      <c r="EU120"/>
    </row>
    <row r="121" spans="1:151" s="139" customFormat="1" ht="15" customHeight="1">
      <c r="A121" s="1" t="s">
        <v>1286</v>
      </c>
      <c r="B121" t="s">
        <v>1336</v>
      </c>
      <c r="C121" t="s">
        <v>1337</v>
      </c>
      <c r="D121" t="s">
        <v>1338</v>
      </c>
      <c r="E121" t="s">
        <v>1339</v>
      </c>
      <c r="F121" t="s">
        <v>1340</v>
      </c>
      <c r="G121" t="s">
        <v>1292</v>
      </c>
      <c r="H121" t="s">
        <v>254</v>
      </c>
      <c r="I121">
        <v>2016</v>
      </c>
      <c r="J121">
        <v>27</v>
      </c>
      <c r="K121" t="s">
        <v>1341</v>
      </c>
      <c r="L121"/>
      <c r="M121" t="str">
        <f>LEFT($D121,FIND(",",$D121)-1)&amp;"_"&amp;I121&amp;L121</f>
        <v>Braun_2016</v>
      </c>
      <c r="N121" t="s">
        <v>222</v>
      </c>
      <c r="O121" s="145" t="s">
        <v>223</v>
      </c>
      <c r="P121"/>
      <c r="Q121" t="s">
        <v>256</v>
      </c>
      <c r="R121" s="255" t="s">
        <v>225</v>
      </c>
      <c r="S121" s="1" t="s">
        <v>1348</v>
      </c>
      <c r="T121" t="s">
        <v>1343</v>
      </c>
      <c r="U121" t="s">
        <v>1349</v>
      </c>
      <c r="V121">
        <v>0</v>
      </c>
      <c r="W121">
        <v>0</v>
      </c>
      <c r="X121">
        <v>0</v>
      </c>
      <c r="Y121">
        <v>1</v>
      </c>
      <c r="Z121">
        <v>0</v>
      </c>
      <c r="AA121">
        <v>0</v>
      </c>
      <c r="AB121">
        <v>0</v>
      </c>
      <c r="AC121">
        <v>0</v>
      </c>
      <c r="AD121">
        <v>0</v>
      </c>
      <c r="AE121">
        <v>0</v>
      </c>
      <c r="AF121">
        <v>2</v>
      </c>
      <c r="AG121">
        <v>0</v>
      </c>
      <c r="AH121">
        <v>0</v>
      </c>
      <c r="AI121">
        <v>0</v>
      </c>
      <c r="AJ121">
        <v>0</v>
      </c>
      <c r="AK121">
        <v>0</v>
      </c>
      <c r="AL121">
        <v>0</v>
      </c>
      <c r="AM121">
        <v>0</v>
      </c>
      <c r="AN121">
        <v>0</v>
      </c>
      <c r="AO121">
        <v>0</v>
      </c>
      <c r="AP121">
        <v>0</v>
      </c>
      <c r="AQ121">
        <v>0</v>
      </c>
      <c r="AR121">
        <v>0</v>
      </c>
      <c r="AS121">
        <v>0</v>
      </c>
      <c r="AT121">
        <v>0</v>
      </c>
      <c r="AU121">
        <v>0</v>
      </c>
      <c r="AV121">
        <v>0</v>
      </c>
      <c r="AW121">
        <v>0</v>
      </c>
      <c r="AX121" s="141">
        <f>COUNTIF(V121:AW121,"&lt;&gt;0")</f>
        <v>2</v>
      </c>
      <c r="AY121" s="141">
        <f>COUNTIF(V121:AL121,"&lt;&gt;0")</f>
        <v>2</v>
      </c>
      <c r="AZ121">
        <f>COUNTIF(V121:AC121,"&lt;&gt;0")</f>
        <v>1</v>
      </c>
      <c r="BA121">
        <f>COUNTIF(AD121:AI121,"&lt;&gt;0")</f>
        <v>1</v>
      </c>
      <c r="BB121">
        <f>COUNTIF(AJ121:AL121,"&lt;&gt;0")</f>
        <v>0</v>
      </c>
      <c r="BC121">
        <f>COUNTIF(AS121:AW121,"&lt;&gt;0")</f>
        <v>0</v>
      </c>
      <c r="BD121">
        <f>COUNTIF(AM121:AR121,"&lt;&gt;0")</f>
        <v>0</v>
      </c>
      <c r="BE121" t="str">
        <f t="array" ref="BE121">IF(AY121=1,INDEX($V$7:$AL$7,MATCH(TRUE,INDEX($V121:$AW121&lt;&gt;0,),0)),IF(AY121=0,INDEX($AM$7:$AW$7,MATCH(1,$AM121:$AW121,0)),IF(BF121="Multiple strategies","mixed drivers",IF(BF121="Supply chain","multiple supply","multiple silviculture"))))</f>
        <v>mixed drivers</v>
      </c>
      <c r="BF121" s="2" t="str" cm="1">
        <f t="array" ref="BF121">IF(COUNTIF(AZ121:BB121,"&lt;&gt;0")=1,INDEX($V$4:$AW$4,MATCH(TRUE,INDEX($V121:$AW121&lt;&gt;0,),0)),IF(COUNTIF(AZ121:BB121,"&lt;&gt;0")=0,INDEX($AM$4:$AW$4,MATCH(1,$AM121:$AW121,0)),"Multiple strategies"))</f>
        <v>Multiple strategies</v>
      </c>
      <c r="BG121" s="1" t="s">
        <v>229</v>
      </c>
      <c r="BH121" t="s">
        <v>1344</v>
      </c>
      <c r="BI121" s="260" t="s">
        <v>3277</v>
      </c>
      <c r="BJ121" t="s">
        <v>1345</v>
      </c>
      <c r="BK121">
        <v>1.1674521913429727</v>
      </c>
      <c r="BL121">
        <v>1.9442734851451886</v>
      </c>
      <c r="BM121">
        <f>BL121/BK121</f>
        <v>1.6653988056749489</v>
      </c>
      <c r="BN121">
        <f>BL121-BK121</f>
        <v>0.77682129380221587</v>
      </c>
      <c r="BO121">
        <f>BN121*10^9</f>
        <v>776821293.80221581</v>
      </c>
      <c r="BP121" t="s">
        <v>232</v>
      </c>
      <c r="BQ121" s="260" t="s">
        <v>3281</v>
      </c>
      <c r="BR121" t="s">
        <v>1346</v>
      </c>
      <c r="BS121" s="264">
        <v>1.2013651877133071</v>
      </c>
      <c r="BT121" s="264">
        <v>3.4129692832764985E-2</v>
      </c>
      <c r="BU121" s="144">
        <f>IFERROR(BT121/BS121,"")</f>
        <v>2.840909090909139E-2</v>
      </c>
      <c r="BV121">
        <f>BT121-BS121</f>
        <v>-1.1672354948805421</v>
      </c>
      <c r="BW121"/>
      <c r="BX121">
        <f>BV121*10^9</f>
        <v>-1167235494.880542</v>
      </c>
      <c r="BY121">
        <f>IFERROR(BX121/BO121,"")</f>
        <v>-1.5025791700011359</v>
      </c>
      <c r="BZ121" s="143">
        <v>0</v>
      </c>
      <c r="CA121" s="143">
        <v>0</v>
      </c>
      <c r="CB121" s="143">
        <v>0</v>
      </c>
      <c r="CC121" s="143">
        <v>0</v>
      </c>
      <c r="CD121" s="143">
        <v>0</v>
      </c>
      <c r="CE121" s="143">
        <v>0</v>
      </c>
      <c r="CF121" s="143">
        <v>0</v>
      </c>
      <c r="CG121" s="143">
        <v>0</v>
      </c>
      <c r="CH121" s="143">
        <v>0</v>
      </c>
      <c r="CI121" s="143">
        <v>0</v>
      </c>
      <c r="CJ121" s="143">
        <v>0</v>
      </c>
      <c r="CK121" s="143">
        <v>0</v>
      </c>
      <c r="CL121" s="143">
        <v>0</v>
      </c>
      <c r="CM121">
        <v>0</v>
      </c>
      <c r="CN121" t="str">
        <f>IF($BL121&lt;$BK121,"refNeedCorrection","refOK")</f>
        <v>refOK</v>
      </c>
      <c r="CO121">
        <f>IF($CN121="refOK",$BK121,$BL121)</f>
        <v>1.1674521913429727</v>
      </c>
      <c r="CP121">
        <f>IF($CN121="refOK",$BL121,$BK121)</f>
        <v>1.9442734851451886</v>
      </c>
      <c r="CQ121">
        <f>IF($CN121="refOK",$BO121,-$BO121)</f>
        <v>776821293.80221581</v>
      </c>
      <c r="CR121">
        <f>IF($CN121="refOK",$BS121,$BT121)*IF($BP121="Emissions positive",-1,1)</f>
        <v>1.2013651877133071</v>
      </c>
      <c r="CS121">
        <f>IF($CN121="refOK",$BT121,$BS121)*IF($BP121="Emissions positive",-1,1)</f>
        <v>3.4129692832764985E-2</v>
      </c>
      <c r="CT121">
        <f>IF($CN121="refNeedCorrection",-BX121,BX121)*IF($BP121="Emissions positive",-1,1)</f>
        <v>-1167235494.880542</v>
      </c>
      <c r="CU121">
        <f>IFERROR(CT121/CQ121,"")</f>
        <v>-1.5025791700011359</v>
      </c>
      <c r="CV121" s="2">
        <f>IFERROR((CS121-CR121)/ABS(CR121),"")</f>
        <v>-0.97159090909090862</v>
      </c>
      <c r="CW121" s="1" t="s">
        <v>1203</v>
      </c>
      <c r="CX121" t="str">
        <f>IF(OR($CW121="prd",$CW121="std",$CW121="cit"),"loc",IF(OR($CW121="eur",$CW121="reg",$CW121="coy"),"reg",$CW121))</f>
        <v>reg</v>
      </c>
      <c r="CY121" t="s">
        <v>666</v>
      </c>
      <c r="CZ121">
        <v>2010</v>
      </c>
      <c r="DA121">
        <v>2100</v>
      </c>
      <c r="DB121">
        <f>DA121-CZ121</f>
        <v>90</v>
      </c>
      <c r="DC121" t="str">
        <f>IF(DB121=0,"0",IF(AND(DB121&gt;=1,DB121&lt;=30),"1-30",IF(AND(DB121&gt;30,DB121&lt;=70),"31-70",IF(AND(DB121&gt;70,DB121&lt;=100),"71-100",IF(DB121&gt;100,"+100")))))</f>
        <v>71-100</v>
      </c>
      <c r="DD121">
        <v>0</v>
      </c>
      <c r="DE121">
        <v>1</v>
      </c>
      <c r="DF121">
        <v>1</v>
      </c>
      <c r="DG121">
        <v>1</v>
      </c>
      <c r="DH121"/>
      <c r="DI121">
        <f>SUM(DD121:DG121)</f>
        <v>3</v>
      </c>
      <c r="DJ121" t="str">
        <f>IF(DI121=1,INDEX($DD$7:$DG$7,MATCH(1,$DD121:$DG121,0)),"mixedProduct")</f>
        <v>mixedProduct</v>
      </c>
      <c r="DK121">
        <f>IF(DD121=1,DK$7,0)</f>
        <v>0</v>
      </c>
      <c r="DL121" t="str">
        <f>IF(DE121=1,DL$7,0)</f>
        <v>Energy</v>
      </c>
      <c r="DM121" t="str">
        <f>IF(DF121=1,DM$7,0)</f>
        <v>Pulp/Paper</v>
      </c>
      <c r="DN121" t="str">
        <f>IF(DG121=1,DN$7,0)</f>
        <v>Timber</v>
      </c>
      <c r="DO121">
        <v>1</v>
      </c>
      <c r="DP121" s="143">
        <v>0</v>
      </c>
      <c r="DQ121" s="143">
        <v>0</v>
      </c>
      <c r="DR121" s="143">
        <v>0</v>
      </c>
      <c r="DS121">
        <v>0</v>
      </c>
      <c r="DT121">
        <f>SUM(DO121:DP121)</f>
        <v>1</v>
      </c>
      <c r="DU121" s="143" t="str">
        <f>IF(DO121=1,"self-calculated DF",IF(DP121=1,"external DF used","explicit C balance"))</f>
        <v>self-calculated DF</v>
      </c>
      <c r="DV121">
        <v>1</v>
      </c>
      <c r="DW121" s="143">
        <v>1</v>
      </c>
      <c r="DX121" s="143">
        <v>1</v>
      </c>
      <c r="DY121" s="143">
        <v>1</v>
      </c>
      <c r="DZ121">
        <v>1</v>
      </c>
      <c r="EA121" s="141">
        <v>0</v>
      </c>
      <c r="EB121">
        <v>0</v>
      </c>
      <c r="EC121" s="143">
        <v>0</v>
      </c>
      <c r="ED121" s="143">
        <v>0</v>
      </c>
      <c r="EE121">
        <v>0</v>
      </c>
      <c r="EF121">
        <v>1</v>
      </c>
      <c r="EG121" s="143">
        <v>0</v>
      </c>
      <c r="EH121" s="143">
        <v>0</v>
      </c>
      <c r="EI121" s="2">
        <v>0</v>
      </c>
      <c r="EJ121" s="1"/>
      <c r="EK121" t="str">
        <f>IF(AND(AND(AND(OR($DX121=1,$DW121=1),OR($EC121=1,$EA121=1)),SUM($DV121:$DZ121,$EF121)&gt;=4),SUM($EA121:$EE121)&gt;=2),"Whole sector","")</f>
        <v/>
      </c>
      <c r="EL121" t="str">
        <f>IF(AND(AND(OR($DX121=1,$DW121=1),AND($EC121=0,$EA121=0)),SUM($DV121:$DZ121,$EF121)&gt;=4),"Ecosystem approach","")</f>
        <v>Ecosystem approach</v>
      </c>
      <c r="EM121" s="2" t="str">
        <f>IF(AND(AND(AND($DX121=0,$DW121=0),OR($EC121=1,$EA121=1)),SUM($EB121:$EE121)&gt;=2),"Technology approach","")</f>
        <v/>
      </c>
      <c r="EN121" t="s">
        <v>3282</v>
      </c>
      <c r="EO121"/>
      <c r="EP121" t="str">
        <f>IF(ISNUMBER(BU121),IF(ABS(BU121-[4]QC_indicators!$B$2)&gt;3*[4]QC_indicators!$C$2,"C ratio",IF(ISNUMBER(BY121),IF(ABS(BY121-[4]QC_indicators!$B$1)&gt;3*[4]QC_indicators!$C$1,"DF","no"))),IF(ISNUMBER(BY121),IF(ABS(BY121-[4]QC_indicators!$B$1)&gt;3*[4]QC_indicators!$C$1,"DF","no")))</f>
        <v>no</v>
      </c>
      <c r="EQ121"/>
      <c r="ER121"/>
      <c r="ES121"/>
      <c r="ET121" s="264" t="s">
        <v>3273</v>
      </c>
      <c r="EU121"/>
    </row>
    <row r="122" spans="1:151" s="139" customFormat="1" ht="15" customHeight="1">
      <c r="A122" s="1" t="s">
        <v>265</v>
      </c>
      <c r="B122" t="s">
        <v>266</v>
      </c>
      <c r="C122" t="s">
        <v>267</v>
      </c>
      <c r="D122" t="s">
        <v>268</v>
      </c>
      <c r="E122" t="s">
        <v>269</v>
      </c>
      <c r="F122" t="s">
        <v>270</v>
      </c>
      <c r="G122" t="s">
        <v>271</v>
      </c>
      <c r="H122" t="s">
        <v>254</v>
      </c>
      <c r="I122">
        <v>2022</v>
      </c>
      <c r="J122">
        <v>0</v>
      </c>
      <c r="K122" t="s">
        <v>272</v>
      </c>
      <c r="L122"/>
      <c r="M122" t="str">
        <f>LEFT($D122,FIND(",",$D122)-1)&amp;"_"&amp;I122&amp;L122</f>
        <v>Aryapratama_2022</v>
      </c>
      <c r="N122" t="s">
        <v>222</v>
      </c>
      <c r="O122" s="145" t="s">
        <v>274</v>
      </c>
      <c r="P122"/>
      <c r="Q122" t="s">
        <v>224</v>
      </c>
      <c r="R122" s="262" t="s">
        <v>223</v>
      </c>
      <c r="S122" s="1" t="s">
        <v>314</v>
      </c>
      <c r="T122" t="s">
        <v>315</v>
      </c>
      <c r="U122" t="s">
        <v>316</v>
      </c>
      <c r="V122">
        <v>0</v>
      </c>
      <c r="W122">
        <v>0</v>
      </c>
      <c r="X122">
        <v>1</v>
      </c>
      <c r="Y122">
        <v>0</v>
      </c>
      <c r="Z122">
        <v>0</v>
      </c>
      <c r="AA122">
        <v>0</v>
      </c>
      <c r="AB122">
        <v>0</v>
      </c>
      <c r="AC122">
        <v>0</v>
      </c>
      <c r="AD122">
        <v>0</v>
      </c>
      <c r="AE122">
        <v>0</v>
      </c>
      <c r="AF122">
        <v>0</v>
      </c>
      <c r="AG122">
        <v>0</v>
      </c>
      <c r="AH122">
        <v>0</v>
      </c>
      <c r="AI122">
        <v>2</v>
      </c>
      <c r="AJ122">
        <v>0</v>
      </c>
      <c r="AK122">
        <v>0</v>
      </c>
      <c r="AL122">
        <v>0</v>
      </c>
      <c r="AM122">
        <v>0</v>
      </c>
      <c r="AN122">
        <v>0</v>
      </c>
      <c r="AO122">
        <v>0</v>
      </c>
      <c r="AP122">
        <v>0</v>
      </c>
      <c r="AQ122">
        <v>0</v>
      </c>
      <c r="AR122">
        <v>0</v>
      </c>
      <c r="AS122">
        <v>0</v>
      </c>
      <c r="AT122">
        <v>0</v>
      </c>
      <c r="AU122">
        <v>0</v>
      </c>
      <c r="AV122">
        <v>0</v>
      </c>
      <c r="AW122">
        <v>0</v>
      </c>
      <c r="AX122" s="141">
        <f>COUNTIF(V122:AW122,"&lt;&gt;0")</f>
        <v>2</v>
      </c>
      <c r="AY122" s="141">
        <f>COUNTIF(V122:AL122,"&lt;&gt;0")</f>
        <v>2</v>
      </c>
      <c r="AZ122">
        <f>COUNTIF(V122:AC122,"&lt;&gt;0")</f>
        <v>1</v>
      </c>
      <c r="BA122">
        <f>COUNTIF(AD122:AI122,"&lt;&gt;0")</f>
        <v>1</v>
      </c>
      <c r="BB122">
        <f>COUNTIF(AJ122:AL122,"&lt;&gt;0")</f>
        <v>0</v>
      </c>
      <c r="BC122">
        <f>COUNTIF(AS122:AW122,"&lt;&gt;0")</f>
        <v>0</v>
      </c>
      <c r="BD122">
        <f>COUNTIF(AM122:AR122,"&lt;&gt;0")</f>
        <v>0</v>
      </c>
      <c r="BE122" t="str">
        <f t="array" ref="BE122">IF(AY122=1,INDEX($V$7:$AL$7,MATCH(TRUE,INDEX($V122:$AW122&lt;&gt;0,),0)),IF(AY122=0,INDEX($AM$7:$AW$7,MATCH(1,$AM122:$AW122,0)),IF(BF122="Multiple strategies","mixed drivers",IF(BF122="Supply chain","multiple supply","multiple silviculture"))))</f>
        <v>mixed drivers</v>
      </c>
      <c r="BF122" s="2" t="str" cm="1">
        <f t="array" ref="BF122">IF(COUNTIF(AZ122:BB122,"&lt;&gt;0")=1,INDEX($V$4:$AW$4,MATCH(TRUE,INDEX($V122:$AW122&lt;&gt;0,),0)),IF(COUNTIF(AZ122:BB122,"&lt;&gt;0")=0,INDEX($AM$4:$AW$4,MATCH(1,$AM122:$AW122,0)),"Multiple strategies"))</f>
        <v>Multiple strategies</v>
      </c>
      <c r="BG122" s="1" t="s">
        <v>229</v>
      </c>
      <c r="BH122" t="s">
        <v>277</v>
      </c>
      <c r="BI122" s="264" t="s">
        <v>3106</v>
      </c>
      <c r="BJ122" t="s">
        <v>278</v>
      </c>
      <c r="BK122">
        <v>226.7291347999585</v>
      </c>
      <c r="BL122">
        <v>265.71098787093206</v>
      </c>
      <c r="BM122">
        <f>BL122/BK122</f>
        <v>1.1719313801702942</v>
      </c>
      <c r="BN122">
        <f>BL122-BK122</f>
        <v>38.981853070973557</v>
      </c>
      <c r="BO122">
        <f>BN122*tC_to_m3</f>
        <v>169.26553656523473</v>
      </c>
      <c r="BP122" t="s">
        <v>232</v>
      </c>
      <c r="BQ122" s="153" t="s">
        <v>3107</v>
      </c>
      <c r="BR122" t="s">
        <v>279</v>
      </c>
      <c r="BS122">
        <v>-617.93246272463909</v>
      </c>
      <c r="BT122">
        <v>-870.70033536556764</v>
      </c>
      <c r="BU122" s="144">
        <f>IFERROR(BT122/BS122,"")</f>
        <v>1.4090542055783952</v>
      </c>
      <c r="BV122">
        <f>BT122-BS122</f>
        <v>-252.76787264092854</v>
      </c>
      <c r="BW122"/>
      <c r="BX122">
        <f>BV122</f>
        <v>-252.76787264092854</v>
      </c>
      <c r="BY122">
        <f>IFERROR(BX122/BO122,"")</f>
        <v>-1.4933215453667505</v>
      </c>
      <c r="BZ122">
        <v>0</v>
      </c>
      <c r="CA122">
        <v>0</v>
      </c>
      <c r="CB122">
        <v>0</v>
      </c>
      <c r="CC122">
        <v>0</v>
      </c>
      <c r="CD122">
        <v>0</v>
      </c>
      <c r="CE122">
        <v>0</v>
      </c>
      <c r="CF122">
        <v>0</v>
      </c>
      <c r="CG122">
        <v>0</v>
      </c>
      <c r="CH122">
        <v>0</v>
      </c>
      <c r="CI122">
        <v>0</v>
      </c>
      <c r="CJ122">
        <v>0</v>
      </c>
      <c r="CK122">
        <v>0</v>
      </c>
      <c r="CL122">
        <v>0</v>
      </c>
      <c r="CM122">
        <v>0</v>
      </c>
      <c r="CN122" t="str">
        <f>IF($BL122&lt;$BK122,"refNeedCorrection","refOK")</f>
        <v>refOK</v>
      </c>
      <c r="CO122">
        <f>IF($CN122="refOK",$BK122,$BL122)</f>
        <v>226.7291347999585</v>
      </c>
      <c r="CP122">
        <f>IF($CN122="refOK",$BL122,$BK122)</f>
        <v>265.71098787093206</v>
      </c>
      <c r="CQ122">
        <f>IF($CN122="refOK",$BO122,-$BO122)</f>
        <v>169.26553656523473</v>
      </c>
      <c r="CR122">
        <f>IF($CN122="refOK",$BS122,$BT122)*IF($BP122="Emissions positive",-1,1)</f>
        <v>-617.93246272463909</v>
      </c>
      <c r="CS122">
        <f>IF($CN122="refOK",$BT122,$BS122)*IF($BP122="Emissions positive",-1,1)</f>
        <v>-870.70033536556764</v>
      </c>
      <c r="CT122">
        <f>IF($CN122="refNeedCorrection",-BX122,BX122)*IF($BP122="Emissions positive",-1,1)</f>
        <v>-252.76787264092854</v>
      </c>
      <c r="CU122">
        <f>IFERROR(CT122/CQ122,"")</f>
        <v>-1.4933215453667505</v>
      </c>
      <c r="CV122" s="2">
        <f>IFERROR((CS122-CR122)/ABS(CR122),"")</f>
        <v>-0.40905420557839517</v>
      </c>
      <c r="CW122" s="1" t="s">
        <v>234</v>
      </c>
      <c r="CX122" t="str">
        <f>IF(OR($CW122="prd",$CW122="std",$CW122="cit"),"loc",IF(OR($CW122="eur",$CW122="reg",$CW122="coy"),"reg",$CW122))</f>
        <v>loc</v>
      </c>
      <c r="CY122" t="s">
        <v>280</v>
      </c>
      <c r="CZ122"/>
      <c r="DA122"/>
      <c r="DB122">
        <v>50</v>
      </c>
      <c r="DC122" t="str">
        <f>IF(DB122=0,"0",IF(AND(DB122&gt;=1,DB122&lt;=30),"1-30",IF(AND(DB122&gt;30,DB122&lt;=70),"31-70",IF(AND(DB122&gt;70,DB122&lt;=100),"71-100",IF(DB122&gt;100,"+100")))))</f>
        <v>31-70</v>
      </c>
      <c r="DD122">
        <v>0</v>
      </c>
      <c r="DE122">
        <v>0</v>
      </c>
      <c r="DF122">
        <v>1</v>
      </c>
      <c r="DG122">
        <v>0</v>
      </c>
      <c r="DH122"/>
      <c r="DI122">
        <f>SUM(DD122:DG122)</f>
        <v>1</v>
      </c>
      <c r="DJ122" t="str">
        <f>IF(DI122=1,INDEX($DD$7:$DG$7,MATCH(1,$DD122:$DG122,0)),"mixedProduct")</f>
        <v>PulpPaperInput</v>
      </c>
      <c r="DK122">
        <f>IF(DD122=1,DK$7,0)</f>
        <v>0</v>
      </c>
      <c r="DL122">
        <f>IF(DE122=1,DL$7,0)</f>
        <v>0</v>
      </c>
      <c r="DM122" t="str">
        <f>IF(DF122=1,DM$7,0)</f>
        <v>Pulp/Paper</v>
      </c>
      <c r="DN122">
        <f>IF(DG122=1,DN$7,0)</f>
        <v>0</v>
      </c>
      <c r="DO122">
        <v>0</v>
      </c>
      <c r="DP122">
        <v>1</v>
      </c>
      <c r="DQ122">
        <v>0</v>
      </c>
      <c r="DR122" t="s">
        <v>281</v>
      </c>
      <c r="DS122">
        <v>0</v>
      </c>
      <c r="DT122">
        <f>SUM(DO122:DP122)</f>
        <v>1</v>
      </c>
      <c r="DU122" s="143" t="str">
        <f>IF(DO122=1,"self-calculated DF",IF(DP122=1,"external DF used","explicit C balance"))</f>
        <v>external DF used</v>
      </c>
      <c r="DV122">
        <v>0</v>
      </c>
      <c r="DW122">
        <v>1</v>
      </c>
      <c r="DX122">
        <v>1</v>
      </c>
      <c r="DY122">
        <v>1</v>
      </c>
      <c r="DZ122">
        <v>1</v>
      </c>
      <c r="EA122" s="143">
        <v>0</v>
      </c>
      <c r="EB122">
        <v>1</v>
      </c>
      <c r="EC122">
        <v>1</v>
      </c>
      <c r="ED122">
        <v>0</v>
      </c>
      <c r="EE122">
        <v>1</v>
      </c>
      <c r="EF122">
        <v>1</v>
      </c>
      <c r="EG122">
        <v>1</v>
      </c>
      <c r="EH122">
        <v>0</v>
      </c>
      <c r="EI122" s="2">
        <v>0</v>
      </c>
      <c r="EJ122" s="1"/>
      <c r="EK122" t="str">
        <f>IF(AND(AND(AND(OR($DX122=1,$DW122=1),OR($EC122=1,$EA122=1)),SUM($DV122:$DZ122,$EF122)&gt;=4),SUM($EA122:$EE122)&gt;=2),"Whole sector","")</f>
        <v>Whole sector</v>
      </c>
      <c r="EL122" t="str">
        <f>IF(AND(AND(OR($DX122=1,$DW122=1),AND($EC122=0,$EA122=0)),SUM($DV122:$DZ122,$EF122)&gt;=4),"Ecosystem approach","")</f>
        <v/>
      </c>
      <c r="EM122" s="2" t="str">
        <f>IF(AND(AND(AND($DX122=0,$DW122=0),OR($EC122=1,$EA122=1)),SUM($EB122:$EE122)&gt;=2),"Technology approach","")</f>
        <v/>
      </c>
      <c r="EN122"/>
      <c r="EO122"/>
      <c r="EP122" t="str">
        <f>IF(ISNUMBER(BU122),IF(ABS(BU122-[1]QC_indicators!$B$2)&gt;3*[1]QC_indicators!$C$2,"C ratio",IF(ISNUMBER(BY122),IF(ABS(BY122-[1]QC_indicators!$B$1)&gt;3*[1]QC_indicators!$C$1,"DF","no"))),IF(ISNUMBER(BY122),IF(ABS(BY122-[1]QC_indicators!$B$1)&gt;3*[1]QC_indicators!$C$1,"DF","no")))</f>
        <v>no</v>
      </c>
      <c r="EQ122" t="s">
        <v>286</v>
      </c>
      <c r="ER122"/>
      <c r="ES122"/>
      <c r="ET122" s="264" t="s">
        <v>3273</v>
      </c>
      <c r="EU122"/>
    </row>
    <row r="123" spans="1:151" s="139" customFormat="1" ht="15" customHeight="1">
      <c r="A123" s="1" t="s">
        <v>1286</v>
      </c>
      <c r="B123" t="s">
        <v>1336</v>
      </c>
      <c r="C123" t="s">
        <v>1337</v>
      </c>
      <c r="D123" t="s">
        <v>1338</v>
      </c>
      <c r="E123" t="s">
        <v>1339</v>
      </c>
      <c r="F123" t="s">
        <v>1340</v>
      </c>
      <c r="G123" t="s">
        <v>1292</v>
      </c>
      <c r="H123" t="s">
        <v>254</v>
      </c>
      <c r="I123">
        <v>2016</v>
      </c>
      <c r="J123">
        <v>27</v>
      </c>
      <c r="K123" t="s">
        <v>1341</v>
      </c>
      <c r="L123"/>
      <c r="M123" t="str">
        <f>LEFT($D123,FIND(",",$D123)-1)&amp;"_"&amp;I123&amp;L123</f>
        <v>Braun_2016</v>
      </c>
      <c r="N123" t="s">
        <v>222</v>
      </c>
      <c r="O123" s="145" t="s">
        <v>223</v>
      </c>
      <c r="P123"/>
      <c r="Q123" t="s">
        <v>256</v>
      </c>
      <c r="R123" s="255" t="s">
        <v>225</v>
      </c>
      <c r="S123" s="1" t="s">
        <v>1342</v>
      </c>
      <c r="T123" t="s">
        <v>1343</v>
      </c>
      <c r="U123" t="s">
        <v>1043</v>
      </c>
      <c r="V123">
        <v>1</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s="141">
        <f>COUNTIF(V123:AW123,"&lt;&gt;0")</f>
        <v>1</v>
      </c>
      <c r="AY123" s="141">
        <f>COUNTIF(V123:AL123,"&lt;&gt;0")</f>
        <v>1</v>
      </c>
      <c r="AZ123">
        <f>COUNTIF(V123:AC123,"&lt;&gt;0")</f>
        <v>1</v>
      </c>
      <c r="BA123">
        <f>COUNTIF(AD123:AI123,"&lt;&gt;0")</f>
        <v>0</v>
      </c>
      <c r="BB123">
        <f>COUNTIF(AJ123:AL123,"&lt;&gt;0")</f>
        <v>0</v>
      </c>
      <c r="BC123">
        <f>COUNTIF(AS123:AW123,"&lt;&gt;0")</f>
        <v>0</v>
      </c>
      <c r="BD123">
        <f>COUNTIF(AM123:AR123,"&lt;&gt;0")</f>
        <v>0</v>
      </c>
      <c r="BE123" t="str">
        <f t="array" ref="BE123">IF(AY123=1,INDEX($V$7:$AL$7,MATCH(TRUE,INDEX($V123:$AW123&lt;&gt;0,),0)),IF(AY123=0,INDEX($AM$7:$AW$7,MATCH(1,$AM123:$AW123,0)),IF(BF123="Multiple strategies","mixed drivers",IF(BF123="Supply chain","multiple supply","multiple silviculture"))))</f>
        <v>area subject to harvest</v>
      </c>
      <c r="BF123" s="2" t="str" cm="1">
        <f t="array" ref="BF123">IF(COUNTIF(AZ123:BB123,"&lt;&gt;0")=1,INDEX($V$4:$AW$4,MATCH(TRUE,INDEX($V123:$AW123&lt;&gt;0,),0)),IF(COUNTIF(AZ123:BB123,"&lt;&gt;0")=0,INDEX($AM$4:$AW$4,MATCH(1,$AM123:$AW123,0)),"Multiple strategies"))</f>
        <v>Silviculture for removals</v>
      </c>
      <c r="BG123" s="1" t="s">
        <v>229</v>
      </c>
      <c r="BH123" t="s">
        <v>1344</v>
      </c>
      <c r="BI123" s="260" t="s">
        <v>3277</v>
      </c>
      <c r="BJ123" t="s">
        <v>1345</v>
      </c>
      <c r="BK123">
        <v>1.1674521913429727</v>
      </c>
      <c r="BL123">
        <v>1.8051407849829213</v>
      </c>
      <c r="BM123">
        <f>BL123/BK123</f>
        <v>1.5462224477958166</v>
      </c>
      <c r="BN123">
        <f>BL123-BK123</f>
        <v>0.63768859363994856</v>
      </c>
      <c r="BO123">
        <f>BN123*10^9</f>
        <v>637688593.63994861</v>
      </c>
      <c r="BP123" t="s">
        <v>232</v>
      </c>
      <c r="BQ123" s="260" t="s">
        <v>3281</v>
      </c>
      <c r="BR123" t="s">
        <v>1346</v>
      </c>
      <c r="BS123" s="264">
        <v>1.2013651877133071</v>
      </c>
      <c r="BT123" s="264">
        <v>0.25938566552901032</v>
      </c>
      <c r="BU123" s="144">
        <f>IFERROR(BT123/BS123,"")</f>
        <v>0.21590909090909161</v>
      </c>
      <c r="BV123">
        <f>BT123-BS123</f>
        <v>-0.94197952218429681</v>
      </c>
      <c r="BW123"/>
      <c r="BX123">
        <f>BV123*10^9</f>
        <v>-941979522.18429685</v>
      </c>
      <c r="BY123">
        <f>IFERROR(BX123/BO123,"")</f>
        <v>-1.4771779385412009</v>
      </c>
      <c r="BZ123" s="143">
        <v>0</v>
      </c>
      <c r="CA123" s="143">
        <v>0</v>
      </c>
      <c r="CB123" s="143">
        <v>0</v>
      </c>
      <c r="CC123" s="143">
        <v>0</v>
      </c>
      <c r="CD123" s="143">
        <v>0</v>
      </c>
      <c r="CE123" s="143">
        <v>0</v>
      </c>
      <c r="CF123" s="143">
        <v>0</v>
      </c>
      <c r="CG123" s="143">
        <v>0</v>
      </c>
      <c r="CH123" s="143">
        <v>0</v>
      </c>
      <c r="CI123" s="143">
        <v>0</v>
      </c>
      <c r="CJ123" s="143">
        <v>0</v>
      </c>
      <c r="CK123" s="143">
        <v>0</v>
      </c>
      <c r="CL123" s="143">
        <v>0</v>
      </c>
      <c r="CM123">
        <v>0</v>
      </c>
      <c r="CN123" t="str">
        <f>IF($BL123&lt;$BK123,"refNeedCorrection","refOK")</f>
        <v>refOK</v>
      </c>
      <c r="CO123">
        <f>IF($CN123="refOK",$BK123,$BL123)</f>
        <v>1.1674521913429727</v>
      </c>
      <c r="CP123">
        <f>IF($CN123="refOK",$BL123,$BK123)</f>
        <v>1.8051407849829213</v>
      </c>
      <c r="CQ123">
        <f>IF($CN123="refOK",$BO123,-$BO123)</f>
        <v>637688593.63994861</v>
      </c>
      <c r="CR123">
        <f>IF($CN123="refOK",$BS123,$BT123)*IF($BP123="Emissions positive",-1,1)</f>
        <v>1.2013651877133071</v>
      </c>
      <c r="CS123">
        <f>IF($CN123="refOK",$BT123,$BS123)*IF($BP123="Emissions positive",-1,1)</f>
        <v>0.25938566552901032</v>
      </c>
      <c r="CT123">
        <f>IF($CN123="refNeedCorrection",-BX123,BX123)*IF($BP123="Emissions positive",-1,1)</f>
        <v>-941979522.18429685</v>
      </c>
      <c r="CU123">
        <f>IFERROR(CT123/CQ123,"")</f>
        <v>-1.4771779385412009</v>
      </c>
      <c r="CV123" s="2">
        <f>IFERROR((CS123-CR123)/ABS(CR123),"")</f>
        <v>-0.78409090909090839</v>
      </c>
      <c r="CW123" s="1" t="s">
        <v>1203</v>
      </c>
      <c r="CX123" t="str">
        <f>IF(OR($CW123="prd",$CW123="std",$CW123="cit"),"loc",IF(OR($CW123="eur",$CW123="reg",$CW123="coy"),"reg",$CW123))</f>
        <v>reg</v>
      </c>
      <c r="CY123" t="s">
        <v>666</v>
      </c>
      <c r="CZ123">
        <v>2010</v>
      </c>
      <c r="DA123">
        <v>2100</v>
      </c>
      <c r="DB123">
        <f>DA123-CZ123</f>
        <v>90</v>
      </c>
      <c r="DC123" t="str">
        <f>IF(DB123=0,"0",IF(AND(DB123&gt;=1,DB123&lt;=30),"1-30",IF(AND(DB123&gt;30,DB123&lt;=70),"31-70",IF(AND(DB123&gt;70,DB123&lt;=100),"71-100",IF(DB123&gt;100,"+100")))))</f>
        <v>71-100</v>
      </c>
      <c r="DD123">
        <v>0</v>
      </c>
      <c r="DE123">
        <v>1</v>
      </c>
      <c r="DF123">
        <v>1</v>
      </c>
      <c r="DG123">
        <v>1</v>
      </c>
      <c r="DH123"/>
      <c r="DI123">
        <f>SUM(DD123:DG123)</f>
        <v>3</v>
      </c>
      <c r="DJ123" t="str">
        <f>IF(DI123=1,INDEX($DD$7:$DG$7,MATCH(1,$DD123:$DG123,0)),"mixedProduct")</f>
        <v>mixedProduct</v>
      </c>
      <c r="DK123">
        <f>IF(DD123=1,DK$7,0)</f>
        <v>0</v>
      </c>
      <c r="DL123" t="str">
        <f>IF(DE123=1,DL$7,0)</f>
        <v>Energy</v>
      </c>
      <c r="DM123" t="str">
        <f>IF(DF123=1,DM$7,0)</f>
        <v>Pulp/Paper</v>
      </c>
      <c r="DN123" t="str">
        <f>IF(DG123=1,DN$7,0)</f>
        <v>Timber</v>
      </c>
      <c r="DO123">
        <v>1</v>
      </c>
      <c r="DP123" s="143">
        <v>0</v>
      </c>
      <c r="DQ123" s="143">
        <v>0</v>
      </c>
      <c r="DR123" s="143">
        <v>0</v>
      </c>
      <c r="DS123">
        <v>0</v>
      </c>
      <c r="DT123">
        <f>SUM(DO123:DP123)</f>
        <v>1</v>
      </c>
      <c r="DU123" s="143" t="str">
        <f>IF(DO123=1,"self-calculated DF",IF(DP123=1,"external DF used","explicit C balance"))</f>
        <v>self-calculated DF</v>
      </c>
      <c r="DV123">
        <v>1</v>
      </c>
      <c r="DW123" s="143">
        <v>1</v>
      </c>
      <c r="DX123" s="143">
        <v>1</v>
      </c>
      <c r="DY123" s="143">
        <v>1</v>
      </c>
      <c r="DZ123">
        <v>1</v>
      </c>
      <c r="EA123" s="141">
        <v>0</v>
      </c>
      <c r="EB123">
        <v>0</v>
      </c>
      <c r="EC123" s="143">
        <v>0</v>
      </c>
      <c r="ED123" s="143">
        <v>0</v>
      </c>
      <c r="EE123">
        <v>0</v>
      </c>
      <c r="EF123">
        <v>1</v>
      </c>
      <c r="EG123" s="143">
        <v>0</v>
      </c>
      <c r="EH123" s="143">
        <v>0</v>
      </c>
      <c r="EI123" s="2">
        <v>0</v>
      </c>
      <c r="EJ123" s="1"/>
      <c r="EK123" t="str">
        <f>IF(AND(AND(AND(OR($DX123=1,$DW123=1),OR($EC123=1,$EA123=1)),SUM($DV123:$DZ123,$EF123)&gt;=4),SUM($EA123:$EE123)&gt;=2),"Whole sector","")</f>
        <v/>
      </c>
      <c r="EL123" t="str">
        <f>IF(AND(AND(OR($DX123=1,$DW123=1),AND($EC123=0,$EA123=0)),SUM($DV123:$DZ123,$EF123)&gt;=4),"Ecosystem approach","")</f>
        <v>Ecosystem approach</v>
      </c>
      <c r="EM123" s="2" t="str">
        <f>IF(AND(AND(AND($DX123=0,$DW123=0),OR($EC123=1,$EA123=1)),SUM($EB123:$EE123)&gt;=2),"Technology approach","")</f>
        <v/>
      </c>
      <c r="EN123" s="264" t="s">
        <v>3279</v>
      </c>
      <c r="EO123"/>
      <c r="EP123" t="str">
        <f>IF(ISNUMBER(BU123),IF(ABS(BU123-[4]QC_indicators!$B$2)&gt;3*[4]QC_indicators!$C$2,"C ratio",IF(ISNUMBER(BY123),IF(ABS(BY123-[4]QC_indicators!$B$1)&gt;3*[4]QC_indicators!$C$1,"DF","no"))),IF(ISNUMBER(BY123),IF(ABS(BY123-[4]QC_indicators!$B$1)&gt;3*[4]QC_indicators!$C$1,"DF","no")))</f>
        <v>no</v>
      </c>
      <c r="EQ123" t="s">
        <v>1347</v>
      </c>
      <c r="ER123"/>
      <c r="ES123"/>
      <c r="ET123" s="264" t="s">
        <v>3273</v>
      </c>
      <c r="EU123"/>
    </row>
    <row r="124" spans="1:151" s="139" customFormat="1" ht="15" customHeight="1">
      <c r="A124" s="1" t="s">
        <v>1760</v>
      </c>
      <c r="B124" t="s">
        <v>1761</v>
      </c>
      <c r="C124" t="s">
        <v>1762</v>
      </c>
      <c r="D124" t="s">
        <v>1763</v>
      </c>
      <c r="E124" t="s">
        <v>1764</v>
      </c>
      <c r="F124" t="s">
        <v>1765</v>
      </c>
      <c r="G124" t="s">
        <v>1766</v>
      </c>
      <c r="H124" t="s">
        <v>254</v>
      </c>
      <c r="I124">
        <v>2021</v>
      </c>
      <c r="J124">
        <v>6</v>
      </c>
      <c r="K124" t="s">
        <v>1767</v>
      </c>
      <c r="L124"/>
      <c r="M124" t="str">
        <f>LEFT($D124,FIND(",",$D124)-1)&amp;"_"&amp;I124&amp;L124</f>
        <v>Jonsson_2021</v>
      </c>
      <c r="N124" t="s">
        <v>222</v>
      </c>
      <c r="O124" s="145" t="s">
        <v>513</v>
      </c>
      <c r="P124"/>
      <c r="Q124" t="s">
        <v>256</v>
      </c>
      <c r="R124" s="2" t="s">
        <v>274</v>
      </c>
      <c r="S124" s="1" t="s">
        <v>1768</v>
      </c>
      <c r="T124" t="s">
        <v>1111</v>
      </c>
      <c r="U124" t="s">
        <v>1769</v>
      </c>
      <c r="V124">
        <v>0</v>
      </c>
      <c r="W124">
        <v>1</v>
      </c>
      <c r="X124">
        <v>0</v>
      </c>
      <c r="Y124">
        <v>0</v>
      </c>
      <c r="Z124">
        <v>0</v>
      </c>
      <c r="AA124">
        <v>0</v>
      </c>
      <c r="AB124">
        <v>0</v>
      </c>
      <c r="AC124">
        <v>0</v>
      </c>
      <c r="AD124">
        <v>0</v>
      </c>
      <c r="AE124">
        <v>0</v>
      </c>
      <c r="AF124">
        <v>2</v>
      </c>
      <c r="AG124">
        <v>0</v>
      </c>
      <c r="AH124">
        <v>0</v>
      </c>
      <c r="AI124">
        <v>0</v>
      </c>
      <c r="AJ124">
        <v>0</v>
      </c>
      <c r="AK124">
        <v>0</v>
      </c>
      <c r="AL124">
        <v>0</v>
      </c>
      <c r="AM124">
        <v>0</v>
      </c>
      <c r="AN124">
        <v>0</v>
      </c>
      <c r="AO124">
        <v>0</v>
      </c>
      <c r="AP124">
        <v>0</v>
      </c>
      <c r="AQ124">
        <v>0</v>
      </c>
      <c r="AR124">
        <v>0</v>
      </c>
      <c r="AS124">
        <v>0</v>
      </c>
      <c r="AT124">
        <v>0</v>
      </c>
      <c r="AU124">
        <v>0</v>
      </c>
      <c r="AV124">
        <v>0</v>
      </c>
      <c r="AW124">
        <v>0</v>
      </c>
      <c r="AX124" s="141">
        <f>COUNTIF(V124:AW124,"&lt;&gt;0")</f>
        <v>2</v>
      </c>
      <c r="AY124" s="141">
        <f>COUNTIF(V124:AL124,"&lt;&gt;0")</f>
        <v>2</v>
      </c>
      <c r="AZ124">
        <f>COUNTIF(V124:AC124,"&lt;&gt;0")</f>
        <v>1</v>
      </c>
      <c r="BA124">
        <f>COUNTIF(AD124:AI124,"&lt;&gt;0")</f>
        <v>1</v>
      </c>
      <c r="BB124">
        <f>COUNTIF(AJ124:AL124,"&lt;&gt;0")</f>
        <v>0</v>
      </c>
      <c r="BC124">
        <f>COUNTIF(AS124:AW124,"&lt;&gt;0")</f>
        <v>0</v>
      </c>
      <c r="BD124">
        <f>COUNTIF(AM124:AR124,"&lt;&gt;0")</f>
        <v>0</v>
      </c>
      <c r="BE124" t="str">
        <f t="array" ref="BE124">IF(AY124=1,INDEX($V$7:$AL$7,MATCH(TRUE,INDEX($V124:$AW124&lt;&gt;0,),0)),IF(AY124=0,INDEX($AM$7:$AW$7,MATCH(1,$AM124:$AW124,0)),IF(BF124="Multiple strategies","mixed drivers",IF(BF124="Supply chain","multiple supply","multiple silviculture"))))</f>
        <v>mixed drivers</v>
      </c>
      <c r="BF124" s="2" t="str" cm="1">
        <f t="array" ref="BF124">IF(COUNTIF(AZ124:BB124,"&lt;&gt;0")=1,INDEX($V$4:$AW$4,MATCH(TRUE,INDEX($V124:$AW124&lt;&gt;0,),0)),IF(COUNTIF(AZ124:BB124,"&lt;&gt;0")=0,INDEX($AM$4:$AW$4,MATCH(1,$AM124:$AW124,0)),"Multiple strategies"))</f>
        <v>Multiple strategies</v>
      </c>
      <c r="BG124" s="1" t="s">
        <v>229</v>
      </c>
      <c r="BH124" t="s">
        <v>229</v>
      </c>
      <c r="BI124" s="264" t="s">
        <v>2128</v>
      </c>
      <c r="BJ124" t="s">
        <v>1770</v>
      </c>
      <c r="BK124">
        <v>284950</v>
      </c>
      <c r="BL124">
        <v>322592</v>
      </c>
      <c r="BM124" t="e">
        <f>#REF!</f>
        <v>#REF!</v>
      </c>
      <c r="BN124">
        <f>BL124-BK124</f>
        <v>37642</v>
      </c>
      <c r="BO124">
        <f>BN124*1000</f>
        <v>37642000</v>
      </c>
      <c r="BP124" t="s">
        <v>232</v>
      </c>
      <c r="BQ124" s="264" t="s">
        <v>3269</v>
      </c>
      <c r="BR124" s="264" t="s">
        <v>1300</v>
      </c>
      <c r="BS124">
        <v>367</v>
      </c>
      <c r="BT124">
        <v>312</v>
      </c>
      <c r="BU124" s="144">
        <f>IFERROR(BT124/BS124,"")</f>
        <v>0.85013623978201636</v>
      </c>
      <c r="BV124">
        <f>BT124-BS124</f>
        <v>-55</v>
      </c>
      <c r="BW124"/>
      <c r="BX124">
        <f>BV124*10^6</f>
        <v>-55000000</v>
      </c>
      <c r="BY124">
        <f>IFERROR(BX124/BO124,"")</f>
        <v>-1.4611338398597311</v>
      </c>
      <c r="BZ124">
        <v>0</v>
      </c>
      <c r="CA124">
        <v>0</v>
      </c>
      <c r="CB124">
        <v>0</v>
      </c>
      <c r="CC124">
        <v>0</v>
      </c>
      <c r="CD124">
        <v>0</v>
      </c>
      <c r="CE124">
        <v>0</v>
      </c>
      <c r="CF124">
        <v>0</v>
      </c>
      <c r="CG124">
        <v>0</v>
      </c>
      <c r="CH124">
        <v>0</v>
      </c>
      <c r="CI124">
        <v>0</v>
      </c>
      <c r="CJ124">
        <v>0</v>
      </c>
      <c r="CK124">
        <v>0</v>
      </c>
      <c r="CL124">
        <v>0</v>
      </c>
      <c r="CM124">
        <v>1</v>
      </c>
      <c r="CN124" t="str">
        <f>IF($BL124&lt;$BK124,"refNeedCorrection","refOK")</f>
        <v>refOK</v>
      </c>
      <c r="CO124">
        <f>IF($CN124="refNeedCorrection",BL124,BK124)</f>
        <v>284950</v>
      </c>
      <c r="CP124">
        <f>IF($CN124="refNeedCorrection",BK124,BL124)</f>
        <v>322592</v>
      </c>
      <c r="CQ124">
        <f>IF($CN124="refOK",$BO124,-$BO124)</f>
        <v>37642000</v>
      </c>
      <c r="CR124">
        <f>IF($CN124="refOK",$BS124,$BT124)*IF($BP124="Emissions positive",-1,1)</f>
        <v>367</v>
      </c>
      <c r="CS124">
        <f>IF($CN124="refOK",$BT124,$BS124)*IF($BP124="Emissions positive",-1,1)</f>
        <v>312</v>
      </c>
      <c r="CT124">
        <f>IF($CN124="refNeedCorrection",-BX124,BX124)*IF($BP124="Emissions positive",-1,1)</f>
        <v>-55000000</v>
      </c>
      <c r="CU124">
        <f>IFERROR(CT124/CQ124,"")</f>
        <v>-1.4611338398597311</v>
      </c>
      <c r="CV124" s="2">
        <f>IFERROR((CS124-CR124)/ABS(CR124),"")</f>
        <v>-0.14986376021798364</v>
      </c>
      <c r="CW124" s="1" t="s">
        <v>1231</v>
      </c>
      <c r="CX124" t="str">
        <f>IF(OR($CW124="prd",$CW124="std",$CW124="cit"),"loc",IF(OR($CW124="eur",$CW124="reg",$CW124="coy"),"reg",$CW124))</f>
        <v>reg</v>
      </c>
      <c r="CY124" t="s">
        <v>743</v>
      </c>
      <c r="CZ124">
        <v>2000</v>
      </c>
      <c r="DA124">
        <v>2030</v>
      </c>
      <c r="DB124">
        <v>30</v>
      </c>
      <c r="DC124" t="str">
        <f>IF(DB124=0,"0",IF(AND(DB124&gt;=1,DB124&lt;=30),"1-30",IF(AND(DB124&gt;30,DB124&lt;=70),"31-70",IF(AND(DB124&gt;70,DB124&lt;=100),"71-100",IF(DB124&gt;100,"+100")))))</f>
        <v>1-30</v>
      </c>
      <c r="DD124">
        <v>0</v>
      </c>
      <c r="DE124">
        <v>0</v>
      </c>
      <c r="DF124">
        <v>0</v>
      </c>
      <c r="DG124">
        <v>1</v>
      </c>
      <c r="DH124">
        <v>1</v>
      </c>
      <c r="DI124">
        <f>SUM(DD124:DG124)</f>
        <v>1</v>
      </c>
      <c r="DJ124" t="str">
        <f>IF(DI124=1,INDEX($DD$7:$DG$7,MATCH(1,$DD124:$DG124,0)),"mixedProduct")</f>
        <v>TimberInput</v>
      </c>
      <c r="DK124">
        <f>IF(DD124=1,DK$7,0)</f>
        <v>0</v>
      </c>
      <c r="DL124">
        <f>IF(DE124=1,DL$7,0)</f>
        <v>0</v>
      </c>
      <c r="DM124">
        <f>IF(DF124=1,DM$7,0)</f>
        <v>0</v>
      </c>
      <c r="DN124" t="str">
        <f>IF(DG124=1,DN$7,0)</f>
        <v>Timber</v>
      </c>
      <c r="DO124">
        <v>0</v>
      </c>
      <c r="DP124">
        <v>1</v>
      </c>
      <c r="DQ124" t="s">
        <v>1771</v>
      </c>
      <c r="DR124" t="s">
        <v>1771</v>
      </c>
      <c r="DS124">
        <v>0</v>
      </c>
      <c r="DT124">
        <f>SUM(DO124:DP124)</f>
        <v>1</v>
      </c>
      <c r="DU124" s="143" t="str">
        <f>IF(DO124=1,"self-calculated DF",IF(DP124=1,"external DF used","explicit C balance"))</f>
        <v>external DF used</v>
      </c>
      <c r="DV124">
        <v>1</v>
      </c>
      <c r="DW124">
        <v>0</v>
      </c>
      <c r="DX124">
        <v>1</v>
      </c>
      <c r="DY124">
        <v>1</v>
      </c>
      <c r="DZ124">
        <v>0</v>
      </c>
      <c r="EA124" s="143">
        <v>0</v>
      </c>
      <c r="EB124">
        <v>0</v>
      </c>
      <c r="EC124">
        <v>0</v>
      </c>
      <c r="ED124">
        <v>0</v>
      </c>
      <c r="EE124">
        <v>0</v>
      </c>
      <c r="EF124">
        <v>1</v>
      </c>
      <c r="EG124">
        <v>0</v>
      </c>
      <c r="EH124">
        <v>0</v>
      </c>
      <c r="EI124" s="2">
        <v>0</v>
      </c>
      <c r="EJ124" s="1" t="s">
        <v>1772</v>
      </c>
      <c r="EK124" t="str">
        <f>IF(AND(AND(AND(OR($DX124=1,$DW124=1),OR($EC124=1,$EA124=1)),SUM($DV124:$DZ124,$EF124)&gt;=4),SUM($EA124:$EE124)&gt;=2),"Whole sector","")</f>
        <v/>
      </c>
      <c r="EL124" t="str">
        <f>IF(AND(AND(OR($DX124=1,$DW124=1),AND($EC124=0,$EA124=0)),SUM($DV124:$DZ124,$EF124)&gt;=4),"Ecosystem approach","")</f>
        <v>Ecosystem approach</v>
      </c>
      <c r="EM124" s="2" t="str">
        <f>IF(AND(AND(AND($DX124=0,$DW124=0),OR($EC124=1,$EA124=1)),SUM($EB124:$EE124)&gt;=2),"Technology approach","")</f>
        <v/>
      </c>
      <c r="EN124"/>
      <c r="EO124"/>
      <c r="EP124" t="str">
        <f>IF(ISNUMBER(BU124),IF(ABS(BU124-[2]QC_indicators!$B$2)&gt;3*[2]QC_indicators!$C$2,"C ratio",IF(ISNUMBER(BY124),IF(ABS(BY124-[2]QC_indicators!$B$1)&gt;3*[2]QC_indicators!$C$1,"DF","no"))),IF(ISNUMBER(BY124),IF(ABS(BY124-[2]QC_indicators!$B$1)&gt;3*[2]QC_indicators!$C$1,"DF","no")))</f>
        <v>no</v>
      </c>
      <c r="EQ124"/>
      <c r="ER124"/>
      <c r="ES124"/>
      <c r="ET124" s="264" t="s">
        <v>3270</v>
      </c>
      <c r="EU124"/>
    </row>
    <row r="125" spans="1:151" s="139" customFormat="1" ht="15" customHeight="1">
      <c r="A125" s="1" t="s">
        <v>1808</v>
      </c>
      <c r="B125" t="s">
        <v>2475</v>
      </c>
      <c r="C125" t="s">
        <v>2476</v>
      </c>
      <c r="D125" t="s">
        <v>2477</v>
      </c>
      <c r="E125" t="s">
        <v>2478</v>
      </c>
      <c r="F125" t="s">
        <v>2479</v>
      </c>
      <c r="G125" t="s">
        <v>1814</v>
      </c>
      <c r="H125" t="s">
        <v>254</v>
      </c>
      <c r="I125">
        <v>2010</v>
      </c>
      <c r="J125">
        <v>100</v>
      </c>
      <c r="K125" t="s">
        <v>2480</v>
      </c>
      <c r="L125"/>
      <c r="M125" t="str">
        <f>LEFT($D125,FIND(",",$D125)-1)&amp;"_"&amp;I125&amp;L125</f>
        <v>Werner_2010</v>
      </c>
      <c r="N125" t="s">
        <v>222</v>
      </c>
      <c r="O125" s="145" t="s">
        <v>1154</v>
      </c>
      <c r="P125"/>
      <c r="Q125" t="s">
        <v>256</v>
      </c>
      <c r="R125" s="262" t="s">
        <v>223</v>
      </c>
      <c r="S125" s="263" t="s">
        <v>3255</v>
      </c>
      <c r="T125" t="s">
        <v>2482</v>
      </c>
      <c r="U125" t="s">
        <v>2488</v>
      </c>
      <c r="V125">
        <v>2</v>
      </c>
      <c r="W125">
        <v>0</v>
      </c>
      <c r="X125">
        <v>1</v>
      </c>
      <c r="Y125">
        <v>2</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s="141">
        <f>COUNTIF(V125:AW125,"&lt;&gt;0")</f>
        <v>3</v>
      </c>
      <c r="AY125" s="141">
        <f>COUNTIF(V125:AL125,"&lt;&gt;0")</f>
        <v>3</v>
      </c>
      <c r="AZ125">
        <f>COUNTIF(V125:AC125,"&lt;&gt;0")</f>
        <v>3</v>
      </c>
      <c r="BA125">
        <f>COUNTIF(AD125:AI125,"&lt;&gt;0")</f>
        <v>0</v>
      </c>
      <c r="BB125">
        <f>COUNTIF(AJ125:AL125,"&lt;&gt;0")</f>
        <v>0</v>
      </c>
      <c r="BC125">
        <f>COUNTIF(AS125:AW125,"&lt;&gt;0")</f>
        <v>0</v>
      </c>
      <c r="BD125">
        <f>COUNTIF(AM125:AR125,"&lt;&gt;0")</f>
        <v>0</v>
      </c>
      <c r="BE125" t="str">
        <f t="array" ref="BE125">IF(AY125=1,INDEX($V$7:$AL$7,MATCH(TRUE,INDEX($V125:$AW125&lt;&gt;0,),0)),IF(AY125=0,INDEX($AM$7:$AW$7,MATCH(1,$AM125:$AW125,0)),IF(BF125="Multiple strategies","mixed drivers",IF(BF125="Supply chain","multiple supply","multiple silviculture"))))</f>
        <v>multiple silviculture</v>
      </c>
      <c r="BF125" s="2" t="str" cm="1">
        <f t="array" ref="BF125">IF(COUNTIF(AZ125:BB125,"&lt;&gt;0")=1,INDEX($V$4:$AW$4,MATCH(TRUE,INDEX($V125:$AW125&lt;&gt;0,),0)),IF(COUNTIF(AZ125:BB125,"&lt;&gt;0")=0,INDEX($AM$4:$AW$4,MATCH(1,$AM125:$AW125,0)),"Multiple strategies"))</f>
        <v>Silviculture for removals</v>
      </c>
      <c r="BG125" s="1" t="s">
        <v>321</v>
      </c>
      <c r="BH125" t="s">
        <v>2453</v>
      </c>
      <c r="BI125" s="264" t="s">
        <v>3252</v>
      </c>
      <c r="BJ125" t="s">
        <v>1323</v>
      </c>
      <c r="BK125">
        <v>120</v>
      </c>
      <c r="BL125">
        <v>213</v>
      </c>
      <c r="BM125" s="143">
        <f>BL125/BK125</f>
        <v>1.7749999999999999</v>
      </c>
      <c r="BN125">
        <f>BL125-BK125</f>
        <v>93</v>
      </c>
      <c r="BO125">
        <f>BN125*10^6</f>
        <v>93000000</v>
      </c>
      <c r="BP125" t="s">
        <v>232</v>
      </c>
      <c r="BQ125" s="153" t="s">
        <v>3253</v>
      </c>
      <c r="BR125" t="s">
        <v>2325</v>
      </c>
      <c r="BS125">
        <v>227.98379614391621</v>
      </c>
      <c r="BT125">
        <v>99.185361744145396</v>
      </c>
      <c r="BU125" s="144">
        <f>IFERROR(BT125/BS125,"")</f>
        <v>0.4350544355421383</v>
      </c>
      <c r="BV125" s="144">
        <f>BT125-BS125</f>
        <v>-128.79843439977083</v>
      </c>
      <c r="BW125" s="144"/>
      <c r="BX125">
        <f>BV125*10^6</f>
        <v>-128798434.39977083</v>
      </c>
      <c r="BY125">
        <f>IFERROR(BX125/BO125,"")</f>
        <v>-1.3849294021480734</v>
      </c>
      <c r="BZ125">
        <v>0</v>
      </c>
      <c r="CA125">
        <v>0</v>
      </c>
      <c r="CB125">
        <v>0</v>
      </c>
      <c r="CC125">
        <v>0</v>
      </c>
      <c r="CD125">
        <v>0</v>
      </c>
      <c r="CE125">
        <v>0</v>
      </c>
      <c r="CF125">
        <v>0</v>
      </c>
      <c r="CG125">
        <v>0</v>
      </c>
      <c r="CH125">
        <v>0</v>
      </c>
      <c r="CI125">
        <v>0</v>
      </c>
      <c r="CJ125">
        <v>0</v>
      </c>
      <c r="CK125">
        <v>0</v>
      </c>
      <c r="CL125">
        <v>0</v>
      </c>
      <c r="CM125">
        <v>1</v>
      </c>
      <c r="CN125" t="str">
        <f>IF($BL125&lt;$BK125,"refNeedCorrection","refOK")</f>
        <v>refOK</v>
      </c>
      <c r="CO125">
        <f>IF($CN125="refOK",$BK125,$BL125)</f>
        <v>120</v>
      </c>
      <c r="CP125">
        <f>IF($CN125="refOK",$BL125,$BK125)</f>
        <v>213</v>
      </c>
      <c r="CQ125">
        <f>IF($CN125="refOK",$BO125,-$BO125)</f>
        <v>93000000</v>
      </c>
      <c r="CR125">
        <f>IF($CN125="refOK",$BS125,$BT125)*IF($BP125="Emissions positive",-1,1)</f>
        <v>227.98379614391621</v>
      </c>
      <c r="CS125">
        <f>IF($CN125="refOK",$BT125,$BS125)*IF($BP125="Emissions positive",-1,1)</f>
        <v>99.185361744145396</v>
      </c>
      <c r="CT125">
        <f>IF($CN125="refNeedCorrection",-BX125,BX125)*IF($BP125="Emissions positive",-1,1)</f>
        <v>-128798434.39977083</v>
      </c>
      <c r="CU125">
        <f>IFERROR(CT125/CQ125,"")</f>
        <v>-1.3849294021480734</v>
      </c>
      <c r="CV125" s="2">
        <f>IFERROR((CS125-CR125)/ABS(CR125),"")</f>
        <v>-0.5649455644578617</v>
      </c>
      <c r="CW125" s="1" t="s">
        <v>1203</v>
      </c>
      <c r="CX125" t="str">
        <f>IF(OR($CW125="prd",$CW125="std",$CW125="cit"),"loc",IF(OR($CW125="eur",$CW125="reg",$CW125="coy"),"reg",$CW125))</f>
        <v>reg</v>
      </c>
      <c r="CY125" t="s">
        <v>639</v>
      </c>
      <c r="CZ125">
        <v>2000</v>
      </c>
      <c r="DA125">
        <v>2030</v>
      </c>
      <c r="DB125">
        <f>DA125-CZ125</f>
        <v>30</v>
      </c>
      <c r="DC125" t="str">
        <f>IF(DB125=0,"0",IF(AND(DB125&gt;=1,DB125&lt;=30),"1-30",IF(AND(DB125&gt;30,DB125&lt;=70),"31-70",IF(AND(DB125&gt;70,DB125&lt;=100),"71-100",IF(DB125&gt;100,"+100")))))</f>
        <v>1-30</v>
      </c>
      <c r="DD125">
        <v>0</v>
      </c>
      <c r="DE125">
        <v>1</v>
      </c>
      <c r="DF125">
        <v>0</v>
      </c>
      <c r="DG125">
        <v>0</v>
      </c>
      <c r="DH125">
        <v>0</v>
      </c>
      <c r="DI125">
        <f>SUM(DD125:DG125)</f>
        <v>1</v>
      </c>
      <c r="DJ125" t="str">
        <f>IF(DI125=1,INDEX($DD$7:$DG$7,MATCH(1,$DD125:$DG125,0)),"mixedProduct")</f>
        <v>EnergyInput</v>
      </c>
      <c r="DK125">
        <f>IF(DD125=1,DK$7,0)</f>
        <v>0</v>
      </c>
      <c r="DL125" t="str">
        <f>IF(DE125=1,DL$7,0)</f>
        <v>Energy</v>
      </c>
      <c r="DM125">
        <f>IF(DF125=1,DM$7,0)</f>
        <v>0</v>
      </c>
      <c r="DN125">
        <f>IF(DG125=1,DN$7,0)</f>
        <v>0</v>
      </c>
      <c r="DO125">
        <v>0</v>
      </c>
      <c r="DP125">
        <v>0</v>
      </c>
      <c r="DQ125"/>
      <c r="DR125"/>
      <c r="DS125"/>
      <c r="DT125">
        <f>SUM(DO125:DP125)</f>
        <v>0</v>
      </c>
      <c r="DU125" s="143" t="str">
        <f>IF(DO125=1,"self-calculated DF",IF(DP125=1,"external DF used","explicit C balance"))</f>
        <v>explicit C balance</v>
      </c>
      <c r="DV125">
        <v>1</v>
      </c>
      <c r="DW125">
        <v>1</v>
      </c>
      <c r="DX125">
        <v>1</v>
      </c>
      <c r="DY125">
        <v>1</v>
      </c>
      <c r="DZ125">
        <v>1</v>
      </c>
      <c r="EA125" s="143">
        <v>0</v>
      </c>
      <c r="EB125">
        <v>0</v>
      </c>
      <c r="EC125">
        <v>0</v>
      </c>
      <c r="ED125">
        <v>0</v>
      </c>
      <c r="EE125">
        <v>0</v>
      </c>
      <c r="EF125">
        <v>1</v>
      </c>
      <c r="EG125">
        <v>0</v>
      </c>
      <c r="EH125">
        <v>0</v>
      </c>
      <c r="EI125" s="2">
        <v>0</v>
      </c>
      <c r="EJ125" s="1"/>
      <c r="EK125" t="str">
        <f>IF(AND(AND(AND(OR($DX125=1,$DW125=1),OR($EC125=1,$EA125=1)),SUM($DV125:$DZ125,$EF125)&gt;=4),SUM($EA125:$EE125)&gt;=2),"Whole sector","")</f>
        <v/>
      </c>
      <c r="EL125" t="str">
        <f>IF(AND(AND(OR($DX125=1,$DW125=1),AND($EC125=0,$EA125=0)),SUM($DV125:$DZ125,$EF125)&gt;=4),"Ecosystem approach","")</f>
        <v>Ecosystem approach</v>
      </c>
      <c r="EM125" s="2" t="str">
        <f>IF(AND(AND(AND($DX125=0,$DW125=0),OR($EC125=1,$EA125=1)),SUM($EB125:$EE125)&gt;=2),"Technology approach","")</f>
        <v/>
      </c>
      <c r="EN125" t="s">
        <v>2485</v>
      </c>
      <c r="EO125"/>
      <c r="EP125" t="str">
        <f>IF(ISNUMBER(BU125),IF(ABS(BU125-[1]QC_indicators!$B$2)&gt;3*[1]QC_indicators!$C$2,"C ratio",IF(ISNUMBER(BY125),IF(ABS(BY125-[1]QC_indicators!$B$1)&gt;3*[1]QC_indicators!$C$1,"DF","no"))),IF(ISNUMBER(BY125),IF(ABS(BY125-[1]QC_indicators!$B$1)&gt;3*[1]QC_indicators!$C$1,"DF","no")))</f>
        <v>no</v>
      </c>
      <c r="EQ125"/>
      <c r="ER125"/>
      <c r="ES125"/>
      <c r="ET125" s="264" t="s">
        <v>3254</v>
      </c>
      <c r="EU125"/>
    </row>
    <row r="126" spans="1:151" s="139" customFormat="1" ht="15" customHeight="1">
      <c r="A126" s="1" t="s">
        <v>878</v>
      </c>
      <c r="B126"/>
      <c r="C126"/>
      <c r="D126" s="264" t="s">
        <v>879</v>
      </c>
      <c r="E126" s="264" t="s">
        <v>880</v>
      </c>
      <c r="F126"/>
      <c r="G126"/>
      <c r="H126" t="s">
        <v>881</v>
      </c>
      <c r="I126">
        <v>2020</v>
      </c>
      <c r="J126">
        <v>8</v>
      </c>
      <c r="K126" t="s">
        <v>882</v>
      </c>
      <c r="L126"/>
      <c r="M126" t="str">
        <f>LEFT($D126,FIND(",",$D126)-1)&amp;"_"&amp;I126&amp;L126</f>
        <v>Lausselet_2020</v>
      </c>
      <c r="N126" t="s">
        <v>222</v>
      </c>
      <c r="O126" s="145" t="s">
        <v>225</v>
      </c>
      <c r="P126"/>
      <c r="Q126" s="264" t="s">
        <v>256</v>
      </c>
      <c r="R126" s="269" t="s">
        <v>341</v>
      </c>
      <c r="S126" s="1" t="s">
        <v>883</v>
      </c>
      <c r="T126" s="143" t="s">
        <v>884</v>
      </c>
      <c r="U126" t="s">
        <v>885</v>
      </c>
      <c r="V126">
        <v>0</v>
      </c>
      <c r="W126">
        <v>1</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s="141">
        <f>COUNTIF(V126:AW126,"&lt;&gt;0")</f>
        <v>1</v>
      </c>
      <c r="AY126" s="141">
        <f>COUNTIF(V126:AL126,"&lt;&gt;0")</f>
        <v>1</v>
      </c>
      <c r="AZ126">
        <f>COUNTIF(V126:AC126,"&lt;&gt;0")</f>
        <v>1</v>
      </c>
      <c r="BA126">
        <f>COUNTIF(AD126:AI126,"&lt;&gt;0")</f>
        <v>0</v>
      </c>
      <c r="BB126">
        <f>COUNTIF(AJ126:AL126,"&lt;&gt;0")</f>
        <v>0</v>
      </c>
      <c r="BC126">
        <f>COUNTIF(AS126:AW126,"&lt;&gt;0")</f>
        <v>0</v>
      </c>
      <c r="BD126">
        <f>COUNTIF(AM126:AR126,"&lt;&gt;0")</f>
        <v>0</v>
      </c>
      <c r="BE126" t="str" cm="1">
        <f t="array" ref="BE126">IF(AY126=1,INDEX($V$7:$AL$7,MATCH(TRUE,INDEX($V126:$AW126&lt;&gt;0,),0)),IF(AY126=0,INDEX($AM$7:$AW$7,MATCH(1,$AM126:$AW126,0)),IF(BF126="Multiple strategies","mixed drivers",IF(BF126="Supply chain","multiple supply","multiple silviculture"))))</f>
        <v>unspecified harvest increase</v>
      </c>
      <c r="BF126" s="2" t="str" cm="1">
        <f t="array" ref="BF126">IF(COUNTIF(AZ126:BB126,"&lt;&gt;0")=1,INDEX($V$4:$AW$4,MATCH(TRUE,INDEX($V126:$AW126&lt;&gt;0,),0)),IF(COUNTIF(AZ126:BB126,"&lt;&gt;0")=0,INDEX($AM$4:$AW$4,MATCH(1,$AM126:$AW126,0)),"Multiple strategies"))</f>
        <v>Silviculture for removals</v>
      </c>
      <c r="BG126" s="164" t="s">
        <v>229</v>
      </c>
      <c r="BH126" s="165" t="s">
        <v>3416</v>
      </c>
      <c r="BI126" s="165" t="s">
        <v>3417</v>
      </c>
      <c r="BJ126" s="166" t="s">
        <v>345</v>
      </c>
      <c r="BK126" s="167">
        <f>BL126*0.75</f>
        <v>21000000</v>
      </c>
      <c r="BL126" s="167">
        <f>28000000</f>
        <v>28000000</v>
      </c>
      <c r="BM126" s="168" t="s">
        <v>886</v>
      </c>
      <c r="BN126">
        <f>BL126-BK126</f>
        <v>7000000</v>
      </c>
      <c r="BO126">
        <f>BN126*kg_to_m3</f>
        <v>14285.714285714286</v>
      </c>
      <c r="BP126" s="306" t="s">
        <v>395</v>
      </c>
      <c r="BQ126" s="264" t="s">
        <v>887</v>
      </c>
      <c r="BR126" s="264" t="s">
        <v>888</v>
      </c>
      <c r="BS126" s="169">
        <v>62317211.173472598</v>
      </c>
      <c r="BT126" s="169">
        <v>81960007.070510104</v>
      </c>
      <c r="BU126" s="144">
        <v>1.3157894736842106</v>
      </c>
      <c r="BV126" s="169">
        <f>BT126-BS126</f>
        <v>19642795.897037506</v>
      </c>
      <c r="BW126"/>
      <c r="BX126">
        <f>BV126/1000</f>
        <v>19642.795897037508</v>
      </c>
      <c r="BY126">
        <f>IFERROR(BX126/BO126,"")</f>
        <v>1.3749957127926256</v>
      </c>
      <c r="BZ126">
        <v>0</v>
      </c>
      <c r="CA126">
        <v>0</v>
      </c>
      <c r="CB126">
        <v>0</v>
      </c>
      <c r="CC126">
        <v>0</v>
      </c>
      <c r="CD126">
        <v>0</v>
      </c>
      <c r="CE126">
        <v>0</v>
      </c>
      <c r="CF126">
        <v>0</v>
      </c>
      <c r="CG126">
        <v>0</v>
      </c>
      <c r="CH126">
        <v>0</v>
      </c>
      <c r="CI126">
        <v>0</v>
      </c>
      <c r="CJ126">
        <v>0</v>
      </c>
      <c r="CK126">
        <v>0</v>
      </c>
      <c r="CL126">
        <v>0</v>
      </c>
      <c r="CM126">
        <v>0</v>
      </c>
      <c r="CN126" t="str">
        <f>IF($BL126&lt;$BK126,"refNeedCorrection","refOK")</f>
        <v>refOK</v>
      </c>
      <c r="CO126"/>
      <c r="CP126"/>
      <c r="CQ126">
        <f>IF($CN126="refOK",$BO126,-$BO126)</f>
        <v>14285.714285714286</v>
      </c>
      <c r="CR126">
        <f>IF($CN126="refOK",$BS126,$BT126)*IF($BP126="Emissions positive",-1,1)</f>
        <v>-62317211.173472598</v>
      </c>
      <c r="CS126">
        <f>IF($CN126="refOK",$BT126,$BS126)*IF($BP126="Emissions positive",-1,1)</f>
        <v>-81960007.070510104</v>
      </c>
      <c r="CT126">
        <f>IF($CN126="refNeedCorrection",-BX126,BX126)*IF($BP126="Emissions positive",-1,1)</f>
        <v>-19642.795897037508</v>
      </c>
      <c r="CU126">
        <f>IFERROR(CT126/CQ126,"")</f>
        <v>-1.3749957127926256</v>
      </c>
      <c r="CV126" s="2">
        <f>IFERROR((CS126-CR126)/ABS(CR126),"")</f>
        <v>-0.31520659424822139</v>
      </c>
      <c r="CW126" s="1" t="s">
        <v>347</v>
      </c>
      <c r="CX126" s="264" t="str">
        <f>IF(OR($CW126="prd",$CW126="std",$CW126="cit"),"loc",IF(OR($CW126="eur",$CW126="reg",$CW126="coy"),"reg",$CW126))</f>
        <v>loc</v>
      </c>
      <c r="CY126" t="s">
        <v>264</v>
      </c>
      <c r="CZ126">
        <v>2019</v>
      </c>
      <c r="DA126" s="143">
        <v>2080</v>
      </c>
      <c r="DB126" s="143">
        <f>DA126-CZ126</f>
        <v>61</v>
      </c>
      <c r="DC126" t="str">
        <f>IF(DB126=0,"0",IF(AND(DB126&gt;=1,DB126&lt;=30),"1-30",IF(AND(DB126&gt;30,DB126&lt;=70),"31-70",IF(AND(DB126&gt;70,DB126&lt;=100),"71-100",IF(DB126&gt;100,"+100")))))</f>
        <v>31-70</v>
      </c>
      <c r="DD126">
        <v>0</v>
      </c>
      <c r="DE126">
        <v>0</v>
      </c>
      <c r="DF126">
        <v>0</v>
      </c>
      <c r="DG126">
        <v>1</v>
      </c>
      <c r="DH126"/>
      <c r="DI126">
        <f>SUM(DD126:DG126)</f>
        <v>1</v>
      </c>
      <c r="DJ126" t="str">
        <f>IF(DI126=1,INDEX($DD$7:$DG$7,MATCH(1,$DD126:$DG126,0)),"mixedProduct")</f>
        <v>TimberInput</v>
      </c>
      <c r="DK126">
        <f>IF(DD126=1,DK$7,0)</f>
        <v>0</v>
      </c>
      <c r="DL126">
        <f>IF(DE126=1,DL$7,0)</f>
        <v>0</v>
      </c>
      <c r="DM126">
        <f>IF(DF126=1,DM$7,0)</f>
        <v>0</v>
      </c>
      <c r="DN126" t="str">
        <f>IF(DG126=1,DN$7,0)</f>
        <v>Timber</v>
      </c>
      <c r="DO126">
        <v>0</v>
      </c>
      <c r="DP126" s="143">
        <v>0</v>
      </c>
      <c r="DQ126" s="143">
        <v>0</v>
      </c>
      <c r="DR126">
        <v>0</v>
      </c>
      <c r="DS126" s="143">
        <v>0</v>
      </c>
      <c r="DT126">
        <f>SUM(DO126:DP126)</f>
        <v>0</v>
      </c>
      <c r="DU126" s="143" t="str">
        <f>IF(DO126=1,"self-calculated DF",IF(DP126=1,"external DF used","explicit C balance"))</f>
        <v>explicit C balance</v>
      </c>
      <c r="DV126" s="143">
        <v>0</v>
      </c>
      <c r="DW126" s="143">
        <v>0</v>
      </c>
      <c r="DX126" s="143">
        <v>0</v>
      </c>
      <c r="DY126" s="143">
        <v>1</v>
      </c>
      <c r="DZ126">
        <v>0</v>
      </c>
      <c r="EA126" s="143">
        <v>0</v>
      </c>
      <c r="EB126" s="143">
        <v>1</v>
      </c>
      <c r="EC126" s="143">
        <v>1</v>
      </c>
      <c r="ED126" s="143">
        <v>1</v>
      </c>
      <c r="EE126">
        <v>0</v>
      </c>
      <c r="EF126">
        <v>0</v>
      </c>
      <c r="EG126" s="143">
        <v>0</v>
      </c>
      <c r="EH126">
        <v>0</v>
      </c>
      <c r="EI126" s="2">
        <v>0</v>
      </c>
      <c r="EJ126" s="1"/>
      <c r="EK126" t="str">
        <f>IF(AND(AND(AND(OR($DX126=1,$DW126=1),OR($EC126=1,$EA126=1)),SUM($DV126:$DZ126,$EF126)&gt;=4),SUM($EA126:$EE126)&gt;=2),"Whole sector","")</f>
        <v/>
      </c>
      <c r="EL126" t="str">
        <f>IF(AND(AND(OR($DX126=1,$DW126=1),AND($EC126=0,$EA126=0)),SUM($DV126:$DZ126,$EF126)&gt;=4),"Ecosystem approach","")</f>
        <v/>
      </c>
      <c r="EM126" s="2" t="str">
        <f>IF(AND(AND(AND($DX126=0,$DW126=0),OR($EC126=1,$EA126=1)),SUM($EB126:$EE126)&gt;=2),"Technology approach","")</f>
        <v>Technology approach</v>
      </c>
      <c r="EN126"/>
      <c r="EO126"/>
      <c r="EP126" t="str">
        <f>IF(ISNUMBER(BU126),IF(ABS(BU126-[3]QC_indicators!$B$2)&gt;3*[3]QC_indicators!$C$2,"C ratio",IF(ISNUMBER(BY126),IF(ABS(BY126-[3]QC_indicators!$B$1)&gt;3*[3]QC_indicators!$C$1,"DF","no"))),IF(ISNUMBER(BY126),IF(ABS(BY126-[3]QC_indicators!$B$1)&gt;3*[3]QC_indicators!$C$1,"DF","no")))</f>
        <v>no</v>
      </c>
      <c r="EQ126"/>
      <c r="ER126" s="294" t="s">
        <v>349</v>
      </c>
      <c r="ES126"/>
      <c r="ET126" s="306" t="s">
        <v>3418</v>
      </c>
      <c r="EU126"/>
    </row>
    <row r="127" spans="1:151" s="139" customFormat="1" ht="15" customHeight="1">
      <c r="A127" s="1" t="s">
        <v>2114</v>
      </c>
      <c r="B127" t="s">
        <v>544</v>
      </c>
      <c r="C127" t="s">
        <v>2277</v>
      </c>
      <c r="D127" t="s">
        <v>2278</v>
      </c>
      <c r="E127" t="s">
        <v>2279</v>
      </c>
      <c r="F127" t="s">
        <v>2280</v>
      </c>
      <c r="G127" t="s">
        <v>2115</v>
      </c>
      <c r="H127" t="s">
        <v>254</v>
      </c>
      <c r="I127">
        <v>2014</v>
      </c>
      <c r="J127">
        <v>96</v>
      </c>
      <c r="K127" t="s">
        <v>2281</v>
      </c>
      <c r="L127"/>
      <c r="M127" t="str">
        <f>LEFT($D127,FIND(",",$D127)-1)&amp;"_"&amp;I127&amp;L127</f>
        <v>Smyth_2014</v>
      </c>
      <c r="N127" t="s">
        <v>222</v>
      </c>
      <c r="O127" s="145" t="s">
        <v>341</v>
      </c>
      <c r="P127"/>
      <c r="Q127" t="s">
        <v>256</v>
      </c>
      <c r="R127" s="262" t="s">
        <v>223</v>
      </c>
      <c r="S127" s="1" t="s">
        <v>2302</v>
      </c>
      <c r="T127" t="s">
        <v>1155</v>
      </c>
      <c r="U127" t="s">
        <v>2303</v>
      </c>
      <c r="V127">
        <v>0</v>
      </c>
      <c r="W127">
        <v>0</v>
      </c>
      <c r="X127">
        <v>0</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s="141">
        <f>COUNTIF(V127:AW127,"&lt;&gt;0")</f>
        <v>1</v>
      </c>
      <c r="AY127" s="141">
        <f>COUNTIF(V127:AL127,"&lt;&gt;0")</f>
        <v>1</v>
      </c>
      <c r="AZ127">
        <f>COUNTIF(V127:AC127,"&lt;&gt;0")</f>
        <v>1</v>
      </c>
      <c r="BA127">
        <f>COUNTIF(AD127:AI127,"&lt;&gt;0")</f>
        <v>0</v>
      </c>
      <c r="BB127">
        <f>COUNTIF(AJ127:AL127,"&lt;&gt;0")</f>
        <v>0</v>
      </c>
      <c r="BC127">
        <f>COUNTIF(AS127:AW127,"&lt;&gt;0")</f>
        <v>0</v>
      </c>
      <c r="BD127">
        <f>COUNTIF(AM127:AR127,"&lt;&gt;0")</f>
        <v>0</v>
      </c>
      <c r="BE127" t="str">
        <f t="array" ref="BE127">IF(AY127=1,INDEX($V$7:$AL$7,MATCH(TRUE,INDEX($V127:$AW127&lt;&gt;0,),0)),IF(AY127=0,INDEX($AM$7:$AW$7,MATCH(1,$AM127:$AW127,0)),IF(BF127="Multiple strategies","mixed drivers",IF(BF127="Supply chain","multiple supply","multiple silviculture"))))</f>
        <v xml:space="preserve">cutting intensity </v>
      </c>
      <c r="BF127" s="2" t="str" cm="1">
        <f t="array" ref="BF127">IF(COUNTIF(AZ127:BB127,"&lt;&gt;0")=1,INDEX($V$4:$AW$4,MATCH(TRUE,INDEX($V127:$AW127&lt;&gt;0,),0)),IF(COUNTIF(AZ127:BB127,"&lt;&gt;0")=0,INDEX($AM$4:$AW$4,MATCH(1,$AM127:$AW127,0)),"Multiple strategies"))</f>
        <v>Silviculture for removals</v>
      </c>
      <c r="BG127" s="1" t="s">
        <v>321</v>
      </c>
      <c r="BH127" t="s">
        <v>2287</v>
      </c>
      <c r="BI127" t="s">
        <v>1036</v>
      </c>
      <c r="BJ127" t="s">
        <v>2288</v>
      </c>
      <c r="BK127">
        <v>0</v>
      </c>
      <c r="BL127">
        <v>1.42</v>
      </c>
      <c r="BM127"/>
      <c r="BN127">
        <f>BL127-BK127</f>
        <v>1.42</v>
      </c>
      <c r="BO127">
        <f>BN127*10^6*tC_to_m3</f>
        <v>6165870.6035605734</v>
      </c>
      <c r="BP127" t="s">
        <v>232</v>
      </c>
      <c r="BQ127" s="338" t="s">
        <v>783</v>
      </c>
      <c r="BR127" s="264" t="s">
        <v>3244</v>
      </c>
      <c r="BS127"/>
      <c r="BT127"/>
      <c r="BU127" s="144"/>
      <c r="BV127">
        <f>-294/35</f>
        <v>-8.4</v>
      </c>
      <c r="BW127"/>
      <c r="BX127">
        <f>BV127*10^6</f>
        <v>-8400000</v>
      </c>
      <c r="BY127">
        <f>IFERROR(BX127/BO127,"")</f>
        <v>-1.3623380281690141</v>
      </c>
      <c r="BZ127">
        <v>0</v>
      </c>
      <c r="CA127">
        <v>1</v>
      </c>
      <c r="CB127">
        <v>1</v>
      </c>
      <c r="CC127">
        <v>1</v>
      </c>
      <c r="CD127">
        <v>0</v>
      </c>
      <c r="CE127">
        <v>0</v>
      </c>
      <c r="CF127">
        <v>0</v>
      </c>
      <c r="CG127">
        <v>0</v>
      </c>
      <c r="CH127">
        <v>0</v>
      </c>
      <c r="CI127">
        <v>0</v>
      </c>
      <c r="CJ127">
        <v>0</v>
      </c>
      <c r="CK127">
        <v>0</v>
      </c>
      <c r="CL127">
        <v>0</v>
      </c>
      <c r="CM127">
        <v>0</v>
      </c>
      <c r="CN127" t="str">
        <f>IF($BL127&lt;$BK127,"refNeedCorrection","refOK")</f>
        <v>refOK</v>
      </c>
      <c r="CO127">
        <f>IF($CN127="refOK",$BK127,$BL127)</f>
        <v>0</v>
      </c>
      <c r="CP127">
        <f>IF($CN127="refOK",$BL127,$BK127)</f>
        <v>1.42</v>
      </c>
      <c r="CQ127">
        <f>IF($CN127="refOK",$BO127,-$BO127)</f>
        <v>6165870.6035605734</v>
      </c>
      <c r="CR127">
        <f>IF($CN127="refOK",$BS127,$BT127)*IF($BP127="Emissions positive",-1,1)</f>
        <v>0</v>
      </c>
      <c r="CS127">
        <f>IF($CN127="refOK",$BT127,$BS127)*IF($BP127="Emissions positive",-1,1)</f>
        <v>0</v>
      </c>
      <c r="CT127">
        <f>IF($CN127="refNeedCorrection",-BX127,BX127)*IF($BP127="Emissions positive",-1,1)</f>
        <v>-8400000</v>
      </c>
      <c r="CU127">
        <f>IFERROR(CT127/CQ127,"")</f>
        <v>-1.3623380281690141</v>
      </c>
      <c r="CV127" s="2" t="str">
        <f>IFERROR((CS127-CR127)/ABS(CR127),"")</f>
        <v/>
      </c>
      <c r="CW127" s="1" t="s">
        <v>1203</v>
      </c>
      <c r="CX127" t="str">
        <f>IF(OR($CW127="prd",$CW127="std",$CW127="cit"),"loc",IF(OR($CW127="eur",$CW127="reg",$CW127="coy"),"reg",$CW127))</f>
        <v>reg</v>
      </c>
      <c r="CY127" t="s">
        <v>540</v>
      </c>
      <c r="CZ127">
        <v>2015</v>
      </c>
      <c r="DA127">
        <v>2050</v>
      </c>
      <c r="DB127">
        <v>35</v>
      </c>
      <c r="DC127" t="str">
        <f>IF(DB127=0,"0",IF(AND(DB127&gt;=1,DB127&lt;=30),"1-30",IF(AND(DB127&gt;30,DB127&lt;=70),"31-70",IF(AND(DB127&gt;70,DB127&lt;=100),"71-100",IF(DB127&gt;100,"+100")))))</f>
        <v>31-70</v>
      </c>
      <c r="DD127">
        <v>0</v>
      </c>
      <c r="DE127">
        <v>1</v>
      </c>
      <c r="DF127">
        <v>1</v>
      </c>
      <c r="DG127">
        <v>1</v>
      </c>
      <c r="DH127"/>
      <c r="DI127">
        <f>SUM(DD127:DG127)</f>
        <v>3</v>
      </c>
      <c r="DJ127" t="str">
        <f>IF(DI127=1,INDEX($DD$7:$DG$7,MATCH(1,$DD127:$DG127,0)),"mixedProduct")</f>
        <v>mixedProduct</v>
      </c>
      <c r="DK127">
        <f>IF(DD127=1,DK$7,0)</f>
        <v>0</v>
      </c>
      <c r="DL127" t="str">
        <f>IF(DE127=1,DL$7,0)</f>
        <v>Energy</v>
      </c>
      <c r="DM127" t="str">
        <f>IF(DF127=1,DM$7,0)</f>
        <v>Pulp/Paper</v>
      </c>
      <c r="DN127" t="str">
        <f>IF(DG127=1,DN$7,0)</f>
        <v>Timber</v>
      </c>
      <c r="DO127">
        <v>1</v>
      </c>
      <c r="DP127">
        <v>1</v>
      </c>
      <c r="DQ127" t="s">
        <v>2284</v>
      </c>
      <c r="DR127">
        <v>0</v>
      </c>
      <c r="DS127">
        <v>0</v>
      </c>
      <c r="DT127">
        <f>SUM(DO127:DP127)</f>
        <v>2</v>
      </c>
      <c r="DU127" s="143" t="str">
        <f>IF(DO127=1,"self-calculated DF",IF(DP127=1,"external DF used","explicit C balance"))</f>
        <v>self-calculated DF</v>
      </c>
      <c r="DV127">
        <v>1</v>
      </c>
      <c r="DW127">
        <v>1</v>
      </c>
      <c r="DX127">
        <v>1</v>
      </c>
      <c r="DY127">
        <v>1</v>
      </c>
      <c r="DZ127">
        <v>1</v>
      </c>
      <c r="EA127">
        <v>1</v>
      </c>
      <c r="EB127">
        <v>0</v>
      </c>
      <c r="EC127">
        <v>0</v>
      </c>
      <c r="ED127">
        <v>0</v>
      </c>
      <c r="EE127">
        <v>0</v>
      </c>
      <c r="EF127">
        <v>1</v>
      </c>
      <c r="EG127">
        <v>0</v>
      </c>
      <c r="EH127">
        <v>0</v>
      </c>
      <c r="EI127" s="2">
        <v>0</v>
      </c>
      <c r="EJ127" s="1"/>
      <c r="EK127" t="str">
        <f>IF(AND(AND(AND(OR($DX127=1,$DW127=1),OR($EC127=1,$EA127=1)),SUM($DV127:$DZ127,$EF127)&gt;=4),SUM($EA127:$EE127)&gt;=2),"Whole sector","")</f>
        <v/>
      </c>
      <c r="EL127" t="str">
        <f>IF(AND(AND(OR($DX127=1,$DW127=1),AND($EC127=0,$EA127=0)),SUM($DV127:$DZ127,$EF127)&gt;=4),"Ecosystem approach","")</f>
        <v/>
      </c>
      <c r="EM127" s="2" t="str">
        <f>IF(AND(AND(AND($DX127=0,$DW127=0),OR($EC127=1,$EA127=1)),SUM($EB127:$EE127)&gt;=2),"Technology approach","")</f>
        <v/>
      </c>
      <c r="EN127"/>
      <c r="EO127"/>
      <c r="EP127" t="str">
        <f>IF(ISNUMBER(BU127),IF(ABS(BU127-[1]QC_indicators!$B$2)&gt;3*[1]QC_indicators!$C$2,"C ratio",IF(ISNUMBER(BY127),IF(ABS(BY127-[1]QC_indicators!$B$1)&gt;3*[1]QC_indicators!$C$1,"DF","no"))),IF(ISNUMBER(BY127),IF(ABS(BY127-[1]QC_indicators!$B$1)&gt;3*[1]QC_indicators!$C$1,"DF","no")))</f>
        <v>no</v>
      </c>
      <c r="EQ127"/>
      <c r="ER127"/>
      <c r="ES127"/>
      <c r="ET127" s="268" t="s">
        <v>3242</v>
      </c>
      <c r="EU127"/>
    </row>
    <row r="128" spans="1:151" s="139" customFormat="1" ht="15" customHeight="1">
      <c r="A128" s="1" t="s">
        <v>1423</v>
      </c>
      <c r="B128" t="s">
        <v>2116</v>
      </c>
      <c r="C128" t="s">
        <v>2117</v>
      </c>
      <c r="D128" t="s">
        <v>2118</v>
      </c>
      <c r="E128" t="s">
        <v>2119</v>
      </c>
      <c r="F128" t="s">
        <v>2120</v>
      </c>
      <c r="G128" t="s">
        <v>1429</v>
      </c>
      <c r="H128" t="s">
        <v>254</v>
      </c>
      <c r="I128">
        <v>2014</v>
      </c>
      <c r="J128">
        <v>45</v>
      </c>
      <c r="K128" t="s">
        <v>2121</v>
      </c>
      <c r="L128"/>
      <c r="M128" t="str">
        <f>LEFT($D128,FIND(",",$D128)-1)&amp;"_"&amp;I128&amp;L128</f>
        <v>Pukkala_2014</v>
      </c>
      <c r="N128" t="s">
        <v>222</v>
      </c>
      <c r="O128" s="171" t="s">
        <v>225</v>
      </c>
      <c r="P128" t="s">
        <v>1154</v>
      </c>
      <c r="Q128"/>
      <c r="R128" s="262" t="s">
        <v>223</v>
      </c>
      <c r="S128" s="1" t="s">
        <v>2122</v>
      </c>
      <c r="T128" t="s">
        <v>2123</v>
      </c>
      <c r="U128" t="s">
        <v>2124</v>
      </c>
      <c r="V128">
        <v>0</v>
      </c>
      <c r="W128">
        <v>0</v>
      </c>
      <c r="X128">
        <v>0</v>
      </c>
      <c r="Y128">
        <v>0</v>
      </c>
      <c r="Z128">
        <v>0</v>
      </c>
      <c r="AA128">
        <v>0</v>
      </c>
      <c r="AB128">
        <v>0</v>
      </c>
      <c r="AC128">
        <v>0</v>
      </c>
      <c r="AD128">
        <v>0</v>
      </c>
      <c r="AE128">
        <v>0</v>
      </c>
      <c r="AF128">
        <v>1</v>
      </c>
      <c r="AG128">
        <v>0</v>
      </c>
      <c r="AH128">
        <v>0</v>
      </c>
      <c r="AI128">
        <v>0</v>
      </c>
      <c r="AJ128">
        <v>0</v>
      </c>
      <c r="AK128">
        <v>0</v>
      </c>
      <c r="AL128">
        <v>0</v>
      </c>
      <c r="AM128">
        <v>0</v>
      </c>
      <c r="AN128">
        <v>0</v>
      </c>
      <c r="AO128">
        <v>0</v>
      </c>
      <c r="AP128">
        <v>0</v>
      </c>
      <c r="AQ128">
        <v>0</v>
      </c>
      <c r="AR128">
        <v>0</v>
      </c>
      <c r="AS128">
        <v>0</v>
      </c>
      <c r="AT128">
        <v>0</v>
      </c>
      <c r="AU128">
        <v>0</v>
      </c>
      <c r="AV128">
        <v>0</v>
      </c>
      <c r="AW128">
        <v>0</v>
      </c>
      <c r="AX128" s="141">
        <f>COUNTIF(V128:AW128,"&lt;&gt;0")</f>
        <v>1</v>
      </c>
      <c r="AY128" s="141">
        <f>COUNTIF(V128:AL128,"&lt;&gt;0")</f>
        <v>1</v>
      </c>
      <c r="AZ128">
        <f>COUNTIF(V128:AC128,"&lt;&gt;0")</f>
        <v>0</v>
      </c>
      <c r="BA128">
        <f>COUNTIF(AD128:AI128,"&lt;&gt;0")</f>
        <v>1</v>
      </c>
      <c r="BB128">
        <f>COUNTIF(AJ128:AL128,"&lt;&gt;0")</f>
        <v>0</v>
      </c>
      <c r="BC128">
        <f>COUNTIF(AS128:AW128,"&lt;&gt;0")</f>
        <v>0</v>
      </c>
      <c r="BD128">
        <f>COUNTIF(AM128:AR128,"&lt;&gt;0")</f>
        <v>0</v>
      </c>
      <c r="BE128" t="str">
        <f t="array" ref="BE128">IF(AY128=1,INDEX($V$7:$AL$7,MATCH(TRUE,INDEX($V128:$AW128&lt;&gt;0,),0)),IF(AY128=0,INDEX($AM$7:$AW$7,MATCH(1,$AM128:$AW128,0)),IF(BF128="Multiple strategies","mixed drivers",IF(BF128="Supply chain","multiple supply","multiple silviculture"))))</f>
        <v>supply chain organization</v>
      </c>
      <c r="BF128" s="2" t="str" cm="1">
        <f t="array" ref="BF128">IF(COUNTIF(AZ128:BB128,"&lt;&gt;0")=1,INDEX($V$4:$AW$4,MATCH(TRUE,INDEX($V128:$AW128&lt;&gt;0,),0)),IF(COUNTIF(AZ128:BB128,"&lt;&gt;0")=0,INDEX($AM$4:$AW$4,MATCH(1,$AM128:$AW128,0)),"Multiple strategies"))</f>
        <v>Supply chain</v>
      </c>
      <c r="BG128" s="1" t="s">
        <v>229</v>
      </c>
      <c r="BH128" t="s">
        <v>2125</v>
      </c>
      <c r="BI128" t="s">
        <v>2126</v>
      </c>
      <c r="BJ128" t="s">
        <v>2127</v>
      </c>
      <c r="BK128">
        <v>1.004</v>
      </c>
      <c r="BL128">
        <v>1.0920000000000001</v>
      </c>
      <c r="BM128">
        <f>IFERROR(BL128/BK128,"")</f>
        <v>1.0876494023904384</v>
      </c>
      <c r="BN128">
        <f>BL128-BK128</f>
        <v>8.8000000000000078E-2</v>
      </c>
      <c r="BO128">
        <f>+BN128*tC_to_m3</f>
        <v>0.38211029092488097</v>
      </c>
      <c r="BP128" t="s">
        <v>232</v>
      </c>
      <c r="BQ128" s="234" t="s">
        <v>2128</v>
      </c>
      <c r="BR128" t="s">
        <v>2127</v>
      </c>
      <c r="BS128">
        <v>0.19400000000000001</v>
      </c>
      <c r="BT128">
        <v>5.2999999999999999E-2</v>
      </c>
      <c r="BU128" s="144">
        <f>BT128/BS128</f>
        <v>0.27319587628865977</v>
      </c>
      <c r="BV128">
        <f>BT128-BS128</f>
        <v>-0.14100000000000001</v>
      </c>
      <c r="BW128"/>
      <c r="BX128" s="185">
        <f>BV128*C_to_CO2</f>
        <v>-0.5174700000000001</v>
      </c>
      <c r="BY128">
        <f>IFERROR(BX128/BO128,"")</f>
        <v>-1.3542425113636354</v>
      </c>
      <c r="BZ128">
        <v>0</v>
      </c>
      <c r="CA128">
        <v>0</v>
      </c>
      <c r="CB128">
        <v>0</v>
      </c>
      <c r="CC128">
        <v>0</v>
      </c>
      <c r="CD128">
        <v>0</v>
      </c>
      <c r="CE128">
        <v>0</v>
      </c>
      <c r="CF128">
        <v>0</v>
      </c>
      <c r="CG128">
        <v>0</v>
      </c>
      <c r="CH128">
        <v>0</v>
      </c>
      <c r="CI128">
        <v>0</v>
      </c>
      <c r="CJ128">
        <v>0</v>
      </c>
      <c r="CK128">
        <v>0</v>
      </c>
      <c r="CL128">
        <v>0</v>
      </c>
      <c r="CM128">
        <v>1</v>
      </c>
      <c r="CN128" t="str">
        <f>IF($BL128&lt;$BK128,"refNeedCorrection","refOK")</f>
        <v>refOK</v>
      </c>
      <c r="CO128">
        <f>IF($CN128="refOK",$BK128,$BL128)</f>
        <v>1.004</v>
      </c>
      <c r="CP128">
        <f>IF($CN128="refOK",$BL128,$BK128)</f>
        <v>1.0920000000000001</v>
      </c>
      <c r="CQ128">
        <f>IF($CN128="refOK",$BO128,-$BO128)</f>
        <v>0.38211029092488097</v>
      </c>
      <c r="CR128">
        <f>IF($CN128="refOK",$BS128,$BT128)*IF($BP128="Emissions positive",-1,1)</f>
        <v>0.19400000000000001</v>
      </c>
      <c r="CS128">
        <f>IF($CN128="refOK",$BT128,$BS128)*IF($BP128="Emissions positive",-1,1)</f>
        <v>5.2999999999999999E-2</v>
      </c>
      <c r="CT128">
        <f>IF($CN128="refNeedCorrection",-BX128,BX128)*IF($BP128="Emissions positive",-1,1)</f>
        <v>-0.5174700000000001</v>
      </c>
      <c r="CU128">
        <f>IFERROR(CT128/CQ128,"")</f>
        <v>-1.3542425113636354</v>
      </c>
      <c r="CV128" s="2">
        <f>IFERROR((CS128-CR128)/ABS(CR128),"")</f>
        <v>-0.72680412371134029</v>
      </c>
      <c r="CW128" s="1" t="s">
        <v>2036</v>
      </c>
      <c r="CX128" t="str">
        <f>IF(OR($CW128="prd",$CW128="std",$CW128="cit"),"loc",IF(OR($CW128="eur",$CW128="reg",$CW128="coy"),"reg",$CW128))</f>
        <v>reg</v>
      </c>
      <c r="CY128" t="s">
        <v>235</v>
      </c>
      <c r="CZ128"/>
      <c r="DA128"/>
      <c r="DB128">
        <v>30</v>
      </c>
      <c r="DC128" t="str">
        <f>IF(DB128=0,"0",IF(AND(DB128&gt;=1,DB128&lt;=30),"1-30",IF(AND(DB128&gt;30,DB128&lt;=70),"31-70",IF(AND(DB128&gt;70,DB128&lt;=100),"71-100",IF(DB128&gt;100,"+100")))))</f>
        <v>1-30</v>
      </c>
      <c r="DD128">
        <v>1</v>
      </c>
      <c r="DE128">
        <v>0</v>
      </c>
      <c r="DF128">
        <v>0</v>
      </c>
      <c r="DG128">
        <v>0</v>
      </c>
      <c r="DH128">
        <v>0</v>
      </c>
      <c r="DI128">
        <f>SUM(DD128:DG128)</f>
        <v>1</v>
      </c>
      <c r="DJ128" t="str">
        <f>IF(DI128=1,INDEX($DD$7:$DG$7,MATCH(1,$DD128:$DG128,0)),"mixedProduct")</f>
        <v>UpstreamInput</v>
      </c>
      <c r="DK128" t="str">
        <f>IF(DD128=1,DK$7,0)</f>
        <v>Upstream</v>
      </c>
      <c r="DL128">
        <f>IF(DE128=1,DL$7,0)</f>
        <v>0</v>
      </c>
      <c r="DM128">
        <f>IF(DF128=1,DM$7,0)</f>
        <v>0</v>
      </c>
      <c r="DN128">
        <f>IF(DG128=1,DN$7,0)</f>
        <v>0</v>
      </c>
      <c r="DO128">
        <v>0</v>
      </c>
      <c r="DP128" s="185">
        <v>0</v>
      </c>
      <c r="DQ128" s="190"/>
      <c r="DR128" s="190"/>
      <c r="DS128" s="184">
        <v>0</v>
      </c>
      <c r="DT128"/>
      <c r="DU128" s="143" t="str">
        <f>IF(DO128=1,"self-calculated DF",IF(DP128=1,"external DF used","explicit C balance"))</f>
        <v>explicit C balance</v>
      </c>
      <c r="DV128">
        <v>1</v>
      </c>
      <c r="DW128">
        <v>1</v>
      </c>
      <c r="DX128">
        <v>1</v>
      </c>
      <c r="DY128">
        <v>1</v>
      </c>
      <c r="DZ128">
        <v>1</v>
      </c>
      <c r="EA128" s="185">
        <v>0</v>
      </c>
      <c r="EB128">
        <v>0</v>
      </c>
      <c r="EC128">
        <v>0</v>
      </c>
      <c r="ED128" s="185">
        <v>0</v>
      </c>
      <c r="EE128">
        <v>0</v>
      </c>
      <c r="EF128">
        <v>1</v>
      </c>
      <c r="EG128">
        <v>0</v>
      </c>
      <c r="EH128">
        <v>0</v>
      </c>
      <c r="EI128" s="2">
        <v>0</v>
      </c>
      <c r="EJ128" s="1"/>
      <c r="EK128" t="str">
        <f>IF(AND(AND(AND(OR($DX128=1,$DW128=1),OR($EC128=1,$EA128=1)),SUM($DV128:$DZ128,$EF128)&gt;=4),SUM($EA128:$EE128)&gt;=2),"Whole sector","")</f>
        <v/>
      </c>
      <c r="EL128" t="str">
        <f>IF(AND(AND(OR($DX128=1,$DW128=1),AND($EC128=0,$EA128=0)),SUM($DV128:$DZ128,$EF128)&gt;=4),"Ecosystem approach","")</f>
        <v>Ecosystem approach</v>
      </c>
      <c r="EM128" s="2" t="str">
        <f>IF(AND(AND(AND($DX128=0,$DW128=0),OR($EC128=1,$EA128=1)),SUM($EB128:$EE128)&gt;=2),"Technology approach","")</f>
        <v/>
      </c>
      <c r="EN128"/>
      <c r="EO128"/>
      <c r="EP128" t="str">
        <f>IF(ISNUMBER(BU128),IF(ABS(BU128-[1]QC_indicators!$B$2)&gt;3*[1]QC_indicators!$C$2,"C ratio",IF(ISNUMBER(BY128),IF(ABS(BY128-[1]QC_indicators!$B$1)&gt;3*[1]QC_indicators!$C$1,"DF","no"))),IF(ISNUMBER(BY128),IF(ABS(BY128-[1]QC_indicators!$B$1)&gt;3*[1]QC_indicators!$C$1,"DF","no")))</f>
        <v>no</v>
      </c>
      <c r="EQ128"/>
      <c r="ER128"/>
      <c r="ES128"/>
      <c r="ET128" s="264" t="s">
        <v>3223</v>
      </c>
      <c r="EU128"/>
    </row>
    <row r="129" spans="1:151" s="139" customFormat="1" ht="15" customHeight="1">
      <c r="A129" s="1" t="s">
        <v>1378</v>
      </c>
      <c r="B129" t="s">
        <v>1922</v>
      </c>
      <c r="C129" t="s">
        <v>1923</v>
      </c>
      <c r="D129" t="s">
        <v>1924</v>
      </c>
      <c r="E129" t="s">
        <v>1925</v>
      </c>
      <c r="F129" t="s">
        <v>1926</v>
      </c>
      <c r="G129" t="s">
        <v>1384</v>
      </c>
      <c r="H129" t="s">
        <v>254</v>
      </c>
      <c r="I129">
        <v>2016</v>
      </c>
      <c r="J129">
        <v>12</v>
      </c>
      <c r="K129" t="s">
        <v>1927</v>
      </c>
      <c r="L129"/>
      <c r="M129" t="str">
        <f>LEFT($D129,FIND(",",$D129)-1)&amp;"_"&amp;I129&amp;L129</f>
        <v>Lobianco_2016</v>
      </c>
      <c r="N129" t="s">
        <v>222</v>
      </c>
      <c r="O129" s="145" t="s">
        <v>225</v>
      </c>
      <c r="P129" t="s">
        <v>513</v>
      </c>
      <c r="Q129" t="s">
        <v>256</v>
      </c>
      <c r="R129" s="262" t="s">
        <v>223</v>
      </c>
      <c r="S129" s="1" t="s">
        <v>1931</v>
      </c>
      <c r="T129" s="143" t="s">
        <v>3162</v>
      </c>
      <c r="U129" s="143" t="s">
        <v>1155</v>
      </c>
      <c r="V129">
        <v>0</v>
      </c>
      <c r="W129">
        <v>0</v>
      </c>
      <c r="X129">
        <v>0</v>
      </c>
      <c r="Y129">
        <v>1</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1</v>
      </c>
      <c r="AV129">
        <v>0</v>
      </c>
      <c r="AW129">
        <v>0</v>
      </c>
      <c r="AX129" s="141">
        <f>COUNTIF(V129:AW129,"&lt;&gt;0")</f>
        <v>2</v>
      </c>
      <c r="AY129" s="141">
        <f>COUNTIF(V129:AL129,"&lt;&gt;0")</f>
        <v>1</v>
      </c>
      <c r="AZ129">
        <f>COUNTIF(V129:AC129,"&lt;&gt;0")</f>
        <v>1</v>
      </c>
      <c r="BA129">
        <f>COUNTIF(AD129:AI129,"&lt;&gt;0")</f>
        <v>0</v>
      </c>
      <c r="BB129">
        <f>COUNTIF(AJ129:AL129,"&lt;&gt;0")</f>
        <v>0</v>
      </c>
      <c r="BC129">
        <f>COUNTIF(AS129:AW129,"&lt;&gt;0")</f>
        <v>1</v>
      </c>
      <c r="BD129">
        <f>COUNTIF(AM129:AR129,"&lt;&gt;0")</f>
        <v>0</v>
      </c>
      <c r="BE129" t="str">
        <f t="array" ref="BE129">IF(AY129=1,INDEX($V$7:$AL$7,MATCH(TRUE,INDEX($V129:$AW129&lt;&gt;0,),0)),IF(AY129=0,INDEX($AM$7:$AW$7,MATCH(1,$AM129:$AW129,0)),IF(BF129="Multiple strategies","mixed drivers",IF(BF129="Supply chain","multiple supply","multiple silviculture"))))</f>
        <v xml:space="preserve">cutting intensity </v>
      </c>
      <c r="BF129" s="2" t="str" cm="1">
        <f t="array" ref="BF129">IF(COUNTIF(AZ129:BB129,"&lt;&gt;0")=1,INDEX($V$4:$AW$4,MATCH(TRUE,INDEX($V129:$AW129&lt;&gt;0,),0)),IF(COUNTIF(AZ129:BB129,"&lt;&gt;0")=0,INDEX($AM$4:$AW$4,MATCH(1,$AM129:$AW129,0)),"Multiple strategies"))</f>
        <v>Silviculture for removals</v>
      </c>
      <c r="BG129" s="142" t="s">
        <v>321</v>
      </c>
      <c r="BH129" s="265" t="s">
        <v>3163</v>
      </c>
      <c r="BI129" s="264" t="s">
        <v>3164</v>
      </c>
      <c r="BJ129" s="143" t="s">
        <v>3165</v>
      </c>
      <c r="BK129">
        <f>53.247*(1-4.06/100)</f>
        <v>51.085171800000005</v>
      </c>
      <c r="BL129">
        <f>53.247</f>
        <v>53.247</v>
      </c>
      <c r="BM129" s="163"/>
      <c r="BN129">
        <f>BL129-BK129</f>
        <v>2.1618281999999951</v>
      </c>
      <c r="BO129" s="143">
        <f>BN129*10^6</f>
        <v>2161828.1999999951</v>
      </c>
      <c r="BP129" t="s">
        <v>232</v>
      </c>
      <c r="BQ129" s="301" t="s">
        <v>3166</v>
      </c>
      <c r="BR129" s="143" t="s">
        <v>1929</v>
      </c>
      <c r="BS129">
        <f>117.96*(1+2.48/100)</f>
        <v>120.88540799999998</v>
      </c>
      <c r="BT129" s="144">
        <v>117.962</v>
      </c>
      <c r="BU129"/>
      <c r="BV129">
        <f>BT129-BS129</f>
        <v>-2.9234079999999807</v>
      </c>
      <c r="BW129"/>
      <c r="BX129">
        <f>BV129*10^6</f>
        <v>-2923407.9999999809</v>
      </c>
      <c r="BY129">
        <f>IFERROR(BX129/BO129,"")</f>
        <v>-1.3522850705712821</v>
      </c>
      <c r="BZ129">
        <v>0</v>
      </c>
      <c r="CA129">
        <v>0</v>
      </c>
      <c r="CB129">
        <v>0</v>
      </c>
      <c r="CC129">
        <v>0</v>
      </c>
      <c r="CD129">
        <v>0</v>
      </c>
      <c r="CE129">
        <v>0</v>
      </c>
      <c r="CF129">
        <v>0</v>
      </c>
      <c r="CG129">
        <v>0</v>
      </c>
      <c r="CH129">
        <v>0</v>
      </c>
      <c r="CI129">
        <v>0</v>
      </c>
      <c r="CJ129">
        <v>0</v>
      </c>
      <c r="CK129">
        <v>0</v>
      </c>
      <c r="CL129">
        <v>0</v>
      </c>
      <c r="CM129">
        <v>0</v>
      </c>
      <c r="CN129" t="str">
        <f>IF($BL129&lt;$BK129,"refNeedCorrection","refOK")</f>
        <v>refOK</v>
      </c>
      <c r="CO129">
        <f>IF($CN129="refOK",$BK129,$BL129)</f>
        <v>51.085171800000005</v>
      </c>
      <c r="CP129">
        <f>IF($CN129="refOK",$BL129,$BK129)</f>
        <v>53.247</v>
      </c>
      <c r="CQ129">
        <f>IF($CN129="refOK",$BO129,-$BO129)</f>
        <v>2161828.1999999951</v>
      </c>
      <c r="CR129">
        <f>IF($CN129="refOK",$BS129,$BT129)*IF($BP129="Emissions positive",-1,1)</f>
        <v>120.88540799999998</v>
      </c>
      <c r="CS129">
        <f>IF($CN129="refOK",$BS129,#REF!)*IF($BP129="Emissions positive",-1,1)</f>
        <v>120.88540799999998</v>
      </c>
      <c r="CT129">
        <f>IF($CN129="refNeedCorrection",-BX129,BX129)*IF($BP129="Emissions positive",-1,1)</f>
        <v>-2923407.9999999809</v>
      </c>
      <c r="CU129">
        <f>IFERROR(CT129/CQ129,"")</f>
        <v>-1.3522850705712821</v>
      </c>
      <c r="CV129" s="2">
        <f>IFERROR((CS129-CR129)/ABS(CR129),"")</f>
        <v>0</v>
      </c>
      <c r="CW129" s="1" t="s">
        <v>1199</v>
      </c>
      <c r="CX129" t="str">
        <f>IF(OR($CW129="prd",$CW129="std",$CW129="cit"),"loc",IF(OR($CW129="eur",$CW129="reg",$CW129="coy"),"reg",$CW129))</f>
        <v>reg</v>
      </c>
      <c r="CY129" t="s">
        <v>729</v>
      </c>
      <c r="CZ129">
        <v>2007</v>
      </c>
      <c r="DA129" s="143">
        <v>2100</v>
      </c>
      <c r="DB129" s="143">
        <f>DA129-CZ129</f>
        <v>93</v>
      </c>
      <c r="DC129" t="str">
        <f>IF(DB129=0,"0",IF(AND(DB129&gt;=1,DB129&lt;=30),"1-30",IF(AND(DB129&gt;30,DB129&lt;=70),"31-70",IF(AND(DB129&gt;70,DB129&lt;=100),"71-100",IF(DB129&gt;100,"+100")))))</f>
        <v>71-100</v>
      </c>
      <c r="DD129">
        <v>0</v>
      </c>
      <c r="DE129">
        <v>1</v>
      </c>
      <c r="DF129">
        <v>0</v>
      </c>
      <c r="DG129">
        <v>1</v>
      </c>
      <c r="DH129">
        <v>1</v>
      </c>
      <c r="DI129">
        <f>SUM(DD129:DG129)</f>
        <v>2</v>
      </c>
      <c r="DJ129" t="str">
        <f>IF(DI129=1,INDEX($DD$7:$DG$7,MATCH(1,$DD129:$DG129,0)),"mixedProduct")</f>
        <v>mixedProduct</v>
      </c>
      <c r="DK129">
        <f>IF(DD129=1,DK$7,0)</f>
        <v>0</v>
      </c>
      <c r="DL129" t="str">
        <f>IF(DE129=1,DL$7,0)</f>
        <v>Energy</v>
      </c>
      <c r="DM129">
        <f>IF(DF129=1,DM$7,0)</f>
        <v>0</v>
      </c>
      <c r="DN129" t="str">
        <f>IF(DG129=1,DN$7,0)</f>
        <v>Timber</v>
      </c>
      <c r="DO129">
        <v>0</v>
      </c>
      <c r="DP129" s="143">
        <v>0</v>
      </c>
      <c r="DQ129" s="143">
        <v>0</v>
      </c>
      <c r="DR129">
        <v>0</v>
      </c>
      <c r="DS129" s="143">
        <v>0</v>
      </c>
      <c r="DT129">
        <f>SUM(DO129:DP129)</f>
        <v>0</v>
      </c>
      <c r="DU129" s="143" t="str">
        <f>IF(DO129=1,"self-calculated DF",IF(DP129=1,"external DF used","explicit C balance"))</f>
        <v>explicit C balance</v>
      </c>
      <c r="DV129" s="143">
        <v>0</v>
      </c>
      <c r="DW129" s="143">
        <v>0</v>
      </c>
      <c r="DX129" s="143">
        <v>1</v>
      </c>
      <c r="DY129" s="143">
        <v>1</v>
      </c>
      <c r="DZ129">
        <v>0</v>
      </c>
      <c r="EA129" s="143">
        <v>1</v>
      </c>
      <c r="EB129" s="143">
        <v>1</v>
      </c>
      <c r="EC129" s="143">
        <v>0</v>
      </c>
      <c r="ED129" s="143">
        <v>0</v>
      </c>
      <c r="EE129">
        <v>0</v>
      </c>
      <c r="EF129">
        <v>1</v>
      </c>
      <c r="EG129" s="143">
        <v>0</v>
      </c>
      <c r="EH129">
        <v>0</v>
      </c>
      <c r="EI129" s="2">
        <v>1</v>
      </c>
      <c r="EJ129" s="1"/>
      <c r="EK129" t="str">
        <f>IF(AND(AND(AND(OR($DX129=1,$DW129=1),OR($EC129=1,$EA129=1)),SUM($DV129:$DZ129,$EF129)&gt;=4),SUM($EA129:$EE129)&gt;=2),"Whole sector","")</f>
        <v/>
      </c>
      <c r="EL129" t="str">
        <f>IF(AND(AND(OR($DX129=1,$DW129=1),AND($EC129=0,$EA129=0)),SUM($DV129:$DZ129,$EF129)&gt;=4),"Ecosystem approach","")</f>
        <v/>
      </c>
      <c r="EM129" s="2" t="str">
        <f>IF(AND(AND(AND($DX129=0,$DW129=0),OR($EC129=1,$EA129=1)),SUM($EB129:$EE129)&gt;=2),"Technology approach","")</f>
        <v/>
      </c>
      <c r="EN129"/>
      <c r="EO129"/>
      <c r="EP129" t="str">
        <f>IF(ISNUMBER(BT129),IF(ABS(BT129-[1]QC_indicators!$B$2)&gt;3*[1]QC_indicators!$C$2,"C ratio",IF(ISNUMBER(BY129),IF(ABS(BY129-[1]QC_indicators!$B$1)&gt;3*[1]QC_indicators!$C$1,"DF","no"))),IF(ISNUMBER(BY129),IF(ABS(BY129-[1]QC_indicators!$B$1)&gt;3*[1]QC_indicators!$C$1,"DF","no")))</f>
        <v>C ratio</v>
      </c>
      <c r="EQ129"/>
      <c r="ER129"/>
      <c r="ES129"/>
      <c r="ET129" s="264" t="s">
        <v>3167</v>
      </c>
      <c r="EU129"/>
    </row>
    <row r="130" spans="1:151" s="139" customFormat="1" ht="15" customHeight="1">
      <c r="A130" s="1" t="s">
        <v>1972</v>
      </c>
      <c r="B130" t="s">
        <v>2445</v>
      </c>
      <c r="C130" t="s">
        <v>2446</v>
      </c>
      <c r="D130" t="s">
        <v>2447</v>
      </c>
      <c r="E130" t="s">
        <v>2448</v>
      </c>
      <c r="F130" t="s">
        <v>2449</v>
      </c>
      <c r="G130" t="s">
        <v>1978</v>
      </c>
      <c r="H130" t="s">
        <v>254</v>
      </c>
      <c r="I130">
        <v>2018</v>
      </c>
      <c r="J130">
        <v>8</v>
      </c>
      <c r="K130" t="s">
        <v>2450</v>
      </c>
      <c r="L130"/>
      <c r="M130" t="str">
        <f>LEFT($D130,FIND(",",$D130)-1)&amp;"_"&amp;I130&amp;L130</f>
        <v>Valade_2018</v>
      </c>
      <c r="N130" t="s">
        <v>222</v>
      </c>
      <c r="O130" s="145" t="s">
        <v>1154</v>
      </c>
      <c r="P130"/>
      <c r="Q130" t="s">
        <v>256</v>
      </c>
      <c r="R130" s="255" t="s">
        <v>225</v>
      </c>
      <c r="S130" s="1" t="s">
        <v>2458</v>
      </c>
      <c r="T130" t="s">
        <v>2444</v>
      </c>
      <c r="U130" t="s">
        <v>2459</v>
      </c>
      <c r="V130">
        <v>0</v>
      </c>
      <c r="W130">
        <v>0</v>
      </c>
      <c r="X130">
        <v>1</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s="141">
        <f>COUNTIF(V130:AW130,"&lt;&gt;0")</f>
        <v>1</v>
      </c>
      <c r="AY130" s="141">
        <f>COUNTIF(V130:AL130,"&lt;&gt;0")</f>
        <v>1</v>
      </c>
      <c r="AZ130">
        <f>COUNTIF(V130:AC130,"&lt;&gt;0")</f>
        <v>1</v>
      </c>
      <c r="BA130">
        <f>COUNTIF(AD130:AI130,"&lt;&gt;0")</f>
        <v>0</v>
      </c>
      <c r="BB130">
        <f>COUNTIF(AJ130:AL130,"&lt;&gt;0")</f>
        <v>0</v>
      </c>
      <c r="BC130">
        <f>COUNTIF(AS130:AW130,"&lt;&gt;0")</f>
        <v>0</v>
      </c>
      <c r="BD130">
        <f>COUNTIF(AM130:AR130,"&lt;&gt;0")</f>
        <v>0</v>
      </c>
      <c r="BE130" t="str">
        <f t="array" ref="BE130">IF(AY130=1,INDEX($V$7:$AL$7,MATCH(TRUE,INDEX($V130:$AW130&lt;&gt;0,),0)),IF(AY130=0,INDEX($AM$7:$AW$7,MATCH(1,$AM130:$AW130,0)),IF(BF130="Multiple strategies","mixed drivers",IF(BF130="Supply chain","multiple supply","multiple silviculture"))))</f>
        <v>rotation length</v>
      </c>
      <c r="BF130" s="2" t="str" cm="1">
        <f t="array" ref="BF130">IF(COUNTIF(AZ130:BB130,"&lt;&gt;0")=1,INDEX($V$4:$AW$4,MATCH(TRUE,INDEX($V130:$AW130&lt;&gt;0,),0)),IF(COUNTIF(AZ130:BB130,"&lt;&gt;0")=0,INDEX($AM$4:$AW$4,MATCH(1,$AM130:$AW130,0)),"Multiple strategies"))</f>
        <v>Silviculture for removals</v>
      </c>
      <c r="BG130" s="1" t="s">
        <v>321</v>
      </c>
      <c r="BH130" t="s">
        <v>2453</v>
      </c>
      <c r="BI130" s="260" t="s">
        <v>3399</v>
      </c>
      <c r="BJ130" t="s">
        <v>1323</v>
      </c>
      <c r="BK130">
        <v>1168.5023099755704</v>
      </c>
      <c r="BL130">
        <v>1580.9377497587932</v>
      </c>
      <c r="BM130" s="143">
        <f>BL130/BK130</f>
        <v>1.3529607397967793</v>
      </c>
      <c r="BN130">
        <f>BL130-BK130</f>
        <v>412.43543978322282</v>
      </c>
      <c r="BO130">
        <f>BN130*10^6</f>
        <v>412435439.78322279</v>
      </c>
      <c r="BP130" t="s">
        <v>232</v>
      </c>
      <c r="BQ130" s="300" t="s">
        <v>3400</v>
      </c>
      <c r="BR130" t="s">
        <v>1359</v>
      </c>
      <c r="BS130">
        <v>268.62539996228497</v>
      </c>
      <c r="BT130">
        <v>117.34007747271798</v>
      </c>
      <c r="BU130" s="144">
        <f>IFERROR(BT130/BS130,"")</f>
        <v>0.43681676226147093</v>
      </c>
      <c r="BV130" s="144">
        <f>BT130-BS130</f>
        <v>-151.28532248956699</v>
      </c>
      <c r="BW130" s="144"/>
      <c r="BX130">
        <f>BV130*10^6*C_to_CO2</f>
        <v>-555217133.53671086</v>
      </c>
      <c r="BY130">
        <f>IFERROR(BX130/BO130,"")</f>
        <v>-1.3461916217203218</v>
      </c>
      <c r="BZ130">
        <v>0</v>
      </c>
      <c r="CA130">
        <v>0</v>
      </c>
      <c r="CB130">
        <v>0</v>
      </c>
      <c r="CC130">
        <v>0</v>
      </c>
      <c r="CD130">
        <v>0</v>
      </c>
      <c r="CE130">
        <v>0</v>
      </c>
      <c r="CF130">
        <v>0</v>
      </c>
      <c r="CG130">
        <v>0</v>
      </c>
      <c r="CH130">
        <v>0</v>
      </c>
      <c r="CI130">
        <v>0</v>
      </c>
      <c r="CJ130">
        <v>0</v>
      </c>
      <c r="CK130">
        <v>0</v>
      </c>
      <c r="CL130">
        <v>0</v>
      </c>
      <c r="CM130">
        <v>0</v>
      </c>
      <c r="CN130" t="str">
        <f>IF($BL130&lt;$BK130,"refNeedCorrection","refOK")</f>
        <v>refOK</v>
      </c>
      <c r="CO130">
        <f>IF($CN130="refNeedCorrection",BL130,BK130)</f>
        <v>1168.5023099755704</v>
      </c>
      <c r="CP130">
        <f>IF($CN130="refNeedCorrection",BK130,BL130)</f>
        <v>1580.9377497587932</v>
      </c>
      <c r="CQ130">
        <f>IF($CN130="refOK",$BO130,-$BO130)</f>
        <v>412435439.78322279</v>
      </c>
      <c r="CR130">
        <f>IF($CN130="refOK",$BS130,$BT130)*IF($BP130="Emissions positive",-1,1)</f>
        <v>268.62539996228497</v>
      </c>
      <c r="CS130">
        <f>IF($CN130="refOK",$BT130,$BS130)*IF($BP130="Emissions positive",-1,1)</f>
        <v>117.34007747271798</v>
      </c>
      <c r="CT130">
        <f>IF($CN130="refNeedCorrection",-BX130,BX130)*IF($BP130="Emissions positive",-1,1)</f>
        <v>-555217133.53671086</v>
      </c>
      <c r="CU130">
        <f>IFERROR(CT130/CQ130,"")</f>
        <v>-1.3461916217203218</v>
      </c>
      <c r="CV130" s="2">
        <f>IFERROR((CS130-CR130)/ABS(CR130),"")</f>
        <v>-0.56318323773852907</v>
      </c>
      <c r="CW130" s="1" t="s">
        <v>1203</v>
      </c>
      <c r="CX130" t="str">
        <f>IF(OR($CW130="prd",$CW130="std",$CW130="cit"),"loc",IF(OR($CW130="eur",$CW130="reg",$CW130="coy"),"reg",$CW130))</f>
        <v>reg</v>
      </c>
      <c r="CY130" t="s">
        <v>729</v>
      </c>
      <c r="CZ130">
        <v>2015</v>
      </c>
      <c r="DA130">
        <v>2040</v>
      </c>
      <c r="DB130">
        <f>DA130-CZ130</f>
        <v>25</v>
      </c>
      <c r="DC130" t="str">
        <f>IF(DB130=0,"0",IF(AND(DB130&gt;=1,DB130&lt;=30),"1-30",IF(AND(DB130&gt;30,DB130&lt;=70),"31-70",IF(AND(DB130&gt;70,DB130&lt;=100),"71-100",IF(DB130&gt;100,"+100")))))</f>
        <v>1-30</v>
      </c>
      <c r="DD130">
        <v>1</v>
      </c>
      <c r="DE130">
        <v>0</v>
      </c>
      <c r="DF130">
        <v>0</v>
      </c>
      <c r="DG130">
        <v>0</v>
      </c>
      <c r="DH130"/>
      <c r="DI130">
        <f>SUM(DD130:DG130)</f>
        <v>1</v>
      </c>
      <c r="DJ130" t="str">
        <f>IF(DI130=1,INDEX($DD$7:$DG$7,MATCH(1,$DD130:$DG130,0)),"mixedProduct")</f>
        <v>UpstreamInput</v>
      </c>
      <c r="DK130" t="str">
        <f>IF(DD130=1,DK$7,0)</f>
        <v>Upstream</v>
      </c>
      <c r="DL130">
        <f>IF(DE130=1,DL$7,0)</f>
        <v>0</v>
      </c>
      <c r="DM130">
        <f>IF(DF130=1,DM$7,0)</f>
        <v>0</v>
      </c>
      <c r="DN130">
        <f>IF(DG130=1,DN$7,0)</f>
        <v>0</v>
      </c>
      <c r="DO130">
        <v>0</v>
      </c>
      <c r="DP130">
        <v>0</v>
      </c>
      <c r="DQ130">
        <v>0</v>
      </c>
      <c r="DR130">
        <v>0</v>
      </c>
      <c r="DS130">
        <v>0</v>
      </c>
      <c r="DT130">
        <f>SUM(DO130:DP130)</f>
        <v>0</v>
      </c>
      <c r="DU130" s="143" t="str">
        <f>IF(DO130=1,"self-calculated DF",IF(DP130=1,"external DF used","explicit C balance"))</f>
        <v>explicit C balance</v>
      </c>
      <c r="DV130">
        <v>0</v>
      </c>
      <c r="DW130">
        <v>1</v>
      </c>
      <c r="DX130">
        <v>1</v>
      </c>
      <c r="DY130">
        <v>0</v>
      </c>
      <c r="DZ130">
        <v>0</v>
      </c>
      <c r="EA130" s="143">
        <v>0</v>
      </c>
      <c r="EB130">
        <v>0</v>
      </c>
      <c r="EC130">
        <v>0</v>
      </c>
      <c r="ED130">
        <v>0</v>
      </c>
      <c r="EE130">
        <v>0</v>
      </c>
      <c r="EF130">
        <v>1</v>
      </c>
      <c r="EG130">
        <v>0</v>
      </c>
      <c r="EH130">
        <v>0</v>
      </c>
      <c r="EI130" s="2">
        <v>0</v>
      </c>
      <c r="EJ130" s="1"/>
      <c r="EK130" t="str">
        <f>IF(AND(AND(AND(OR($DX130=1,$DW130=1),OR($EC130=1,$EA130=1)),SUM($DV130:$DZ130,$EF130)&gt;=4),SUM($EA130:$EE130)&gt;=2),"Whole sector","")</f>
        <v/>
      </c>
      <c r="EL130" t="str">
        <f>IF(AND(AND(OR($DX130=1,$DW130=1),AND($EC130=0,$EA130=0)),SUM($DV130:$DZ130,$EF130)&gt;=4),"Ecosystem approach","")</f>
        <v/>
      </c>
      <c r="EM130" s="2" t="str">
        <f>IF(AND(AND(AND($DX130=0,$DW130=0),OR($EC130=1,$EA130=1)),SUM($EB130:$EE130)&gt;=2),"Technology approach","")</f>
        <v/>
      </c>
      <c r="EN130"/>
      <c r="EO130"/>
      <c r="EP130" t="str">
        <f>IF(ISNUMBER(BU130),IF(ABS(BU130-[4]QC_indicators!$B$2)&gt;3*[4]QC_indicators!$C$2,"C ratio",IF(ISNUMBER(BY130),IF(ABS(BY130-[4]QC_indicators!$B$1)&gt;3*[4]QC_indicators!$C$1,"DF","no"))),IF(ISNUMBER(BY130),IF(ABS(BY130-[4]QC_indicators!$B$1)&gt;3*[4]QC_indicators!$C$1,"DF","no")))</f>
        <v>no</v>
      </c>
      <c r="EQ130" t="s">
        <v>2378</v>
      </c>
      <c r="ER130"/>
      <c r="ES130"/>
      <c r="ET130" s="264" t="s">
        <v>3273</v>
      </c>
      <c r="EU130"/>
    </row>
    <row r="131" spans="1:151" s="139" customFormat="1" ht="15" customHeight="1">
      <c r="A131" s="1" t="s">
        <v>1972</v>
      </c>
      <c r="B131" t="s">
        <v>2316</v>
      </c>
      <c r="C131" t="s">
        <v>2317</v>
      </c>
      <c r="D131" t="s">
        <v>2318</v>
      </c>
      <c r="E131" t="s">
        <v>2319</v>
      </c>
      <c r="F131" t="s">
        <v>2320</v>
      </c>
      <c r="G131" t="s">
        <v>1978</v>
      </c>
      <c r="H131" t="s">
        <v>254</v>
      </c>
      <c r="I131">
        <v>2020</v>
      </c>
      <c r="J131">
        <v>7</v>
      </c>
      <c r="K131" t="s">
        <v>2321</v>
      </c>
      <c r="L131"/>
      <c r="M131" t="str">
        <f>LEFT($D131,FIND(",",$D131)-1)&amp;"_"&amp;I131&amp;L131</f>
        <v>Smyth_2020</v>
      </c>
      <c r="N131" t="s">
        <v>222</v>
      </c>
      <c r="O131" s="145" t="s">
        <v>341</v>
      </c>
      <c r="P131"/>
      <c r="Q131" t="s">
        <v>256</v>
      </c>
      <c r="R131" s="290" t="s">
        <v>225</v>
      </c>
      <c r="S131" s="1" t="s">
        <v>2329</v>
      </c>
      <c r="T131" t="s">
        <v>2330</v>
      </c>
      <c r="U131" t="s">
        <v>1155</v>
      </c>
      <c r="V131">
        <v>1</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s="141">
        <f>COUNTIF(V131:AW131,"&lt;&gt;0")</f>
        <v>1</v>
      </c>
      <c r="AY131" s="141">
        <f>COUNTIF(V131:AL131,"&lt;&gt;0")</f>
        <v>1</v>
      </c>
      <c r="AZ131">
        <f>COUNTIF(V131:AC131,"&lt;&gt;0")</f>
        <v>1</v>
      </c>
      <c r="BA131">
        <f>COUNTIF(AD131:AI131,"&lt;&gt;0")</f>
        <v>0</v>
      </c>
      <c r="BB131">
        <f>COUNTIF(AJ131:AL131,"&lt;&gt;0")</f>
        <v>0</v>
      </c>
      <c r="BC131">
        <f>COUNTIF(AS131:AW131,"&lt;&gt;0")</f>
        <v>0</v>
      </c>
      <c r="BD131">
        <f>COUNTIF(AM131:AR131,"&lt;&gt;0")</f>
        <v>0</v>
      </c>
      <c r="BE131" t="str">
        <f t="array" ref="BE131">IF(AY131=1,INDEX($V$7:$AL$7,MATCH(TRUE,INDEX($V131:$AW131&lt;&gt;0,),0)),IF(AY131=0,INDEX($AM$7:$AW$7,MATCH(1,$AM131:$AW131,0)),IF(BF131="Multiple strategies","mixed drivers",IF(BF131="Supply chain","multiple supply","multiple silviculture"))))</f>
        <v>area subject to harvest</v>
      </c>
      <c r="BF131" s="2" t="str" cm="1">
        <f t="array" ref="BF131">IF(COUNTIF(AZ131:BB131,"&lt;&gt;0")=1,INDEX($V$4:$AW$4,MATCH(TRUE,INDEX($V131:$AW131&lt;&gt;0,),0)),IF(COUNTIF(AZ131:BB131,"&lt;&gt;0")=0,INDEX($AM$4:$AW$4,MATCH(1,$AM131:$AW131,0)),"Multiple strategies"))</f>
        <v>Silviculture for removals</v>
      </c>
      <c r="BG131" s="1" t="s">
        <v>321</v>
      </c>
      <c r="BH131" t="s">
        <v>2324</v>
      </c>
      <c r="BI131" s="260" t="s">
        <v>3390</v>
      </c>
      <c r="BJ131" t="s">
        <v>1359</v>
      </c>
      <c r="BK131">
        <v>425</v>
      </c>
      <c r="BL131">
        <v>457</v>
      </c>
      <c r="BM131">
        <f>BL131/BK131</f>
        <v>1.0752941176470587</v>
      </c>
      <c r="BN131">
        <f>BL131-BK131</f>
        <v>32</v>
      </c>
      <c r="BO131">
        <f>BN131*10^6*tC_to_m3</f>
        <v>138949196.6999566</v>
      </c>
      <c r="BP131" t="s">
        <v>232</v>
      </c>
      <c r="BQ131" s="300" t="s">
        <v>3392</v>
      </c>
      <c r="BR131" t="s">
        <v>2325</v>
      </c>
      <c r="BS131"/>
      <c r="BT131"/>
      <c r="BU131" s="144"/>
      <c r="BV131">
        <v>-187</v>
      </c>
      <c r="BW131"/>
      <c r="BX131">
        <f>BV131*10^6</f>
        <v>-187000000</v>
      </c>
      <c r="BY131">
        <f>IFERROR(BX131/BO131,"")</f>
        <v>-1.3458156249999997</v>
      </c>
      <c r="BZ131">
        <v>0</v>
      </c>
      <c r="CA131">
        <v>1</v>
      </c>
      <c r="CB131">
        <v>1</v>
      </c>
      <c r="CC131">
        <v>1</v>
      </c>
      <c r="CD131">
        <v>0</v>
      </c>
      <c r="CE131">
        <v>0</v>
      </c>
      <c r="CF131">
        <v>0</v>
      </c>
      <c r="CG131">
        <v>0</v>
      </c>
      <c r="CH131">
        <v>0</v>
      </c>
      <c r="CI131">
        <v>0</v>
      </c>
      <c r="CJ131">
        <v>0</v>
      </c>
      <c r="CK131">
        <v>0</v>
      </c>
      <c r="CL131">
        <v>0</v>
      </c>
      <c r="CM131">
        <v>0</v>
      </c>
      <c r="CN131" t="str">
        <f>IF(BL131&lt;BK131,"refNeedCorrection","refOK")</f>
        <v>refOK</v>
      </c>
      <c r="CO131"/>
      <c r="CP131"/>
      <c r="CQ131">
        <f>IF($CN131="refOK",$BO131,-$BO131)</f>
        <v>138949196.6999566</v>
      </c>
      <c r="CR131">
        <f>IF($CN131="refOK",$BS131,$BT131)*IF($BP131="Emissions positive",-1,1)</f>
        <v>0</v>
      </c>
      <c r="CS131">
        <f>IF($CN131="refOK",$BT131,$BS131)*IF($BP131="Emissions positive",-1,1)</f>
        <v>0</v>
      </c>
      <c r="CT131">
        <f>IF($CN131="refNeedCorrection",-BX131,BX131)*IF($BP131="Emissions positive",-1,1)</f>
        <v>-187000000</v>
      </c>
      <c r="CU131">
        <f>IFERROR(CT131/CQ131,"")</f>
        <v>-1.3458156249999997</v>
      </c>
      <c r="CV131" s="2" t="str">
        <f>IFERROR((CS131-CR131)/ABS(CR131),"")</f>
        <v/>
      </c>
      <c r="CW131" s="1" t="s">
        <v>1199</v>
      </c>
      <c r="CX131" t="str">
        <f>IF(OR($CW131="prd",$CW131="std",$CW131="cit"),"loc",IF(OR($CW131="eur",$CW131="reg",$CW131="coy"),"reg",$CW131))</f>
        <v>reg</v>
      </c>
      <c r="CY131" t="s">
        <v>540</v>
      </c>
      <c r="CZ131">
        <v>2015</v>
      </c>
      <c r="DA131">
        <v>2070</v>
      </c>
      <c r="DB131">
        <v>45</v>
      </c>
      <c r="DC131" t="str">
        <f>IF(DB131=0,"0",IF(AND(DB131&gt;=1,DB131&lt;=30),"1-30",IF(AND(DB131&gt;30,DB131&lt;=70),"31-70",IF(AND(DB131&gt;70,DB131&lt;=100),"71-100",IF(DB131&gt;100,"+100")))))</f>
        <v>31-70</v>
      </c>
      <c r="DD131">
        <v>0</v>
      </c>
      <c r="DE131">
        <v>1</v>
      </c>
      <c r="DF131">
        <v>1</v>
      </c>
      <c r="DG131">
        <v>1</v>
      </c>
      <c r="DH131"/>
      <c r="DI131">
        <f>SUM(DD131:DG131)</f>
        <v>3</v>
      </c>
      <c r="DJ131" t="str">
        <f>IF(DI131=1,INDEX($DD$7:$DG$7,MATCH(1,$DD131:$DG131,0)),"mixedProduct")</f>
        <v>mixedProduct</v>
      </c>
      <c r="DK131">
        <f>IF(DD131=1,DK$7,0)</f>
        <v>0</v>
      </c>
      <c r="DL131" t="str">
        <f>IF(DE131=1,DL$7,0)</f>
        <v>Energy</v>
      </c>
      <c r="DM131" t="str">
        <f>IF(DF131=1,DM$7,0)</f>
        <v>Pulp/Paper</v>
      </c>
      <c r="DN131" t="str">
        <f>IF(DG131=1,DN$7,0)</f>
        <v>Timber</v>
      </c>
      <c r="DO131">
        <v>1</v>
      </c>
      <c r="DP131">
        <v>1</v>
      </c>
      <c r="DQ131" t="s">
        <v>2315</v>
      </c>
      <c r="DR131">
        <v>0</v>
      </c>
      <c r="DS131">
        <v>0</v>
      </c>
      <c r="DT131">
        <f>SUM(DO131:DP131)</f>
        <v>2</v>
      </c>
      <c r="DU131" s="143" t="str">
        <f>IF(DO131=1,"self-calculated DF",IF(DP131=1,"external DF used","explicit C balance"))</f>
        <v>self-calculated DF</v>
      </c>
      <c r="DV131">
        <v>1</v>
      </c>
      <c r="DW131">
        <v>1</v>
      </c>
      <c r="DX131">
        <v>1</v>
      </c>
      <c r="DY131">
        <v>1</v>
      </c>
      <c r="DZ131">
        <v>1</v>
      </c>
      <c r="EA131" s="143">
        <v>1</v>
      </c>
      <c r="EB131">
        <v>1</v>
      </c>
      <c r="EC131">
        <v>1</v>
      </c>
      <c r="ED131">
        <v>1</v>
      </c>
      <c r="EE131">
        <v>1</v>
      </c>
      <c r="EF131">
        <v>1</v>
      </c>
      <c r="EG131">
        <v>1</v>
      </c>
      <c r="EH131">
        <v>0</v>
      </c>
      <c r="EI131" s="2">
        <v>0</v>
      </c>
      <c r="EJ131" s="1"/>
      <c r="EK131" t="str">
        <f>IF(AND(AND(AND(OR($DX131=1,$DW131=1),OR($EC131=1,$EA131=1)),SUM($DV131:$DZ131,$EF131)&gt;=4),SUM($EA131:$EE131)&gt;=2),"Whole sector","")</f>
        <v>Whole sector</v>
      </c>
      <c r="EL131" t="str">
        <f>IF(AND(AND(OR($DX131=1,$DW131=1),AND($EC131=0,$EA131=0)),SUM($DV131:$DZ131,$EF131)&gt;=4),"Ecosystem approach","")</f>
        <v/>
      </c>
      <c r="EM131" s="2" t="str">
        <f>IF(AND(AND(AND($DX131=0,$DW131=0),OR($EC131=1,$EA131=1)),SUM($EB131:$EE131)&gt;=2),"Technology approach","")</f>
        <v/>
      </c>
      <c r="EN131"/>
      <c r="EO131"/>
      <c r="EP131" t="str">
        <f>IF(ISNUMBER(BU131),IF(ABS(BU131-[4]QC_indicators!$B$2)&gt;3*[4]QC_indicators!$C$2,"C ratio",IF(ISNUMBER(BY131),IF(ABS(BY131-[4]QC_indicators!$B$1)&gt;3*[4]QC_indicators!$C$1,"DF","no"))),IF(ISNUMBER(BY131),IF(ABS(BY131-[4]QC_indicators!$B$1)&gt;3*[4]QC_indicators!$C$1,"DF","no")))</f>
        <v>no</v>
      </c>
      <c r="EQ131"/>
      <c r="ER131" s="149" t="s">
        <v>2326</v>
      </c>
      <c r="ES131"/>
      <c r="ET131" s="264" t="s">
        <v>3273</v>
      </c>
      <c r="EU131"/>
    </row>
    <row r="132" spans="1:151" s="139" customFormat="1" ht="15" customHeight="1">
      <c r="A132" s="1" t="s">
        <v>1270</v>
      </c>
      <c r="B132" t="s">
        <v>1869</v>
      </c>
      <c r="C132" t="s">
        <v>1870</v>
      </c>
      <c r="D132" t="s">
        <v>1871</v>
      </c>
      <c r="E132" t="s">
        <v>1872</v>
      </c>
      <c r="F132" t="s">
        <v>1873</v>
      </c>
      <c r="G132" t="s">
        <v>1276</v>
      </c>
      <c r="H132" t="s">
        <v>254</v>
      </c>
      <c r="I132">
        <v>2019</v>
      </c>
      <c r="J132">
        <v>2</v>
      </c>
      <c r="K132" t="s">
        <v>1874</v>
      </c>
      <c r="L132"/>
      <c r="M132" t="str">
        <f>LEFT($D132,FIND(",",$D132)-1)&amp;"_"&amp;I132&amp;L132</f>
        <v>Kucuker_2019</v>
      </c>
      <c r="N132" t="s">
        <v>222</v>
      </c>
      <c r="O132" s="145" t="s">
        <v>225</v>
      </c>
      <c r="P132"/>
      <c r="Q132" s="264" t="s">
        <v>256</v>
      </c>
      <c r="R132" s="269" t="s">
        <v>1154</v>
      </c>
      <c r="S132" s="1" t="s">
        <v>1883</v>
      </c>
      <c r="T132" t="s">
        <v>1888</v>
      </c>
      <c r="U132" t="s">
        <v>1889</v>
      </c>
      <c r="V132">
        <v>0</v>
      </c>
      <c r="W132">
        <v>0</v>
      </c>
      <c r="X132">
        <v>0</v>
      </c>
      <c r="Y132">
        <v>0</v>
      </c>
      <c r="Z132">
        <v>1</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s="141">
        <f>COUNTIF(V132:AW132,"&lt;&gt;0")</f>
        <v>1</v>
      </c>
      <c r="AY132" s="141">
        <f>COUNTIF(V132:AL132,"&lt;&gt;0")</f>
        <v>1</v>
      </c>
      <c r="AZ132">
        <f>COUNTIF(V132:AC132,"&lt;&gt;0")</f>
        <v>1</v>
      </c>
      <c r="BA132">
        <f>COUNTIF(AD132:AI132,"&lt;&gt;0")</f>
        <v>0</v>
      </c>
      <c r="BB132">
        <f>COUNTIF(AJ132:AL132,"&lt;&gt;0")</f>
        <v>0</v>
      </c>
      <c r="BC132">
        <f>COUNTIF(AS132:AW132,"&lt;&gt;0")</f>
        <v>0</v>
      </c>
      <c r="BD132">
        <f>COUNTIF(AM132:AR132,"&lt;&gt;0")</f>
        <v>0</v>
      </c>
      <c r="BE132" t="str" cm="1">
        <f t="array" ref="BE132">IF(AY132=1,INDEX($V$7:$AL$7,MATCH(TRUE,INDEX($V132:$AW132&lt;&gt;0,),0)),IF(AY132=0,INDEX($AM$7:$AW$7,MATCH(1,$AM132:$AW132,0)),IF(BF132="Multiple strategies","mixed drivers",IF(BF132="Supply chain","multiple supply","multiple silviculture"))))</f>
        <v>species</v>
      </c>
      <c r="BF132" s="2" t="str" cm="1">
        <f t="array" ref="BF132">IF(COUNTIF(AZ132:BB132,"&lt;&gt;0")=1,INDEX($V$4:$AW$4,MATCH(TRUE,INDEX($V132:$AW132&lt;&gt;0,),0)),IF(COUNTIF(AZ132:BB132,"&lt;&gt;0")=0,INDEX($AM$4:$AW$4,MATCH(1,$AM132:$AW132,0)),"Multiple strategies"))</f>
        <v>Silviculture for productivity</v>
      </c>
      <c r="BG132" s="173" t="s">
        <v>321</v>
      </c>
      <c r="BH132" t="s">
        <v>182</v>
      </c>
      <c r="BI132"/>
      <c r="BJ132" t="s">
        <v>1770</v>
      </c>
      <c r="BK132" s="143">
        <v>6980</v>
      </c>
      <c r="BL132">
        <v>7420</v>
      </c>
      <c r="BM132" s="264">
        <f>BL132/BK132</f>
        <v>1.0630372492836677</v>
      </c>
      <c r="BN132">
        <f>BL132-BK132</f>
        <v>440</v>
      </c>
      <c r="BO132" s="143">
        <f>BN132*10^3</f>
        <v>440000</v>
      </c>
      <c r="BP132" t="s">
        <v>232</v>
      </c>
      <c r="BQ132" s="234"/>
      <c r="BR132" t="s">
        <v>1877</v>
      </c>
      <c r="BS132">
        <v>2929</v>
      </c>
      <c r="BT132" s="143">
        <v>2768</v>
      </c>
      <c r="BU132" s="144">
        <f>IFERROR(BT132/BS132,"")</f>
        <v>0.9450324342779105</v>
      </c>
      <c r="BV132">
        <f>BT132-BS132</f>
        <v>-161</v>
      </c>
      <c r="BW132"/>
      <c r="BX132">
        <f>BV132*10^9/10^6*C_to_CO2</f>
        <v>-590870</v>
      </c>
      <c r="BY132">
        <f>IFERROR(BX132/BO132,"")</f>
        <v>-1.3428863636363637</v>
      </c>
      <c r="BZ132">
        <v>0</v>
      </c>
      <c r="CA132">
        <v>0</v>
      </c>
      <c r="CB132">
        <v>0</v>
      </c>
      <c r="CC132">
        <v>0</v>
      </c>
      <c r="CD132">
        <v>0</v>
      </c>
      <c r="CE132">
        <v>0</v>
      </c>
      <c r="CF132">
        <v>0</v>
      </c>
      <c r="CG132">
        <v>0</v>
      </c>
      <c r="CH132">
        <v>0</v>
      </c>
      <c r="CI132">
        <v>0</v>
      </c>
      <c r="CJ132">
        <v>0</v>
      </c>
      <c r="CK132">
        <v>0</v>
      </c>
      <c r="CL132">
        <v>0</v>
      </c>
      <c r="CM132">
        <v>0</v>
      </c>
      <c r="CN132" t="str">
        <f>IF($BL132&lt;$BK132,"refNeedCorrection","refOK")</f>
        <v>refOK</v>
      </c>
      <c r="CO132">
        <f>IF($CN132="refNeedCorrection",BK132,BL132)</f>
        <v>7420</v>
      </c>
      <c r="CP132">
        <f>IF($CN132="refNeedCorrection",BL132,BK132)</f>
        <v>6980</v>
      </c>
      <c r="CQ132">
        <f>IF($CN132="refOK",$BO132,-$BO132)</f>
        <v>440000</v>
      </c>
      <c r="CR132">
        <f>IF($CN132="refOK",$BS132,$BT132)*IF($BP132="Emissions positive",-1,1)</f>
        <v>2929</v>
      </c>
      <c r="CS132">
        <f>IF($CN132="refOK",$BT132,$BS132)*IF($BP132="Emissions positive",-1,1)</f>
        <v>2768</v>
      </c>
      <c r="CT132">
        <f>IF($CN132="refNeedCorrection",-BX132,BX132)*IF($BP132="Emissions positive",-1,1)</f>
        <v>-590870</v>
      </c>
      <c r="CU132">
        <f>IFERROR(CT132/CQ132,"")</f>
        <v>-1.3428863636363637</v>
      </c>
      <c r="CV132" s="2">
        <f>IFERROR((CS132-CR132)/ABS(CR132),"")</f>
        <v>-5.4967565722089454E-2</v>
      </c>
      <c r="CW132" s="1" t="s">
        <v>1203</v>
      </c>
      <c r="CX132" s="264" t="str">
        <f>IF(OR($CW132="prd",$CW132="std",$CW132="cit"),"loc",IF(OR($CW132="eur",$CW132="reg",$CW132="coy"),"reg",$CW132))</f>
        <v>reg</v>
      </c>
      <c r="CY132" t="s">
        <v>1281</v>
      </c>
      <c r="CZ132"/>
      <c r="DA132" s="143"/>
      <c r="DB132">
        <v>100</v>
      </c>
      <c r="DC132" t="str">
        <f>IF(DB132=0,"0",IF(AND(DB132&gt;=1,DB132&lt;=30),"1-30",IF(AND(DB132&gt;30,DB132&lt;=70),"31-70",IF(AND(DB132&gt;70,DB132&lt;=100),"71-100",IF(DB132&gt;100,"+100")))))</f>
        <v>71-100</v>
      </c>
      <c r="DD132">
        <v>0</v>
      </c>
      <c r="DE132">
        <v>0</v>
      </c>
      <c r="DF132">
        <v>0</v>
      </c>
      <c r="DG132">
        <v>1</v>
      </c>
      <c r="DH132"/>
      <c r="DI132">
        <f>SUM(DD132:DG132)</f>
        <v>1</v>
      </c>
      <c r="DJ132" t="str">
        <f>IF(DI132=1,INDEX($DD$7:$DG$7,MATCH(1,$DD132:$DG132,0)),"mixedProduct")</f>
        <v>TimberInput</v>
      </c>
      <c r="DK132">
        <f>IF(DD132=1,DK$7,0)</f>
        <v>0</v>
      </c>
      <c r="DL132">
        <f>IF(DE132=1,DL$7,0)</f>
        <v>0</v>
      </c>
      <c r="DM132">
        <f>IF(DF132=1,DM$7,0)</f>
        <v>0</v>
      </c>
      <c r="DN132" t="str">
        <f>IF(DG132=1,DN$7,0)</f>
        <v>Timber</v>
      </c>
      <c r="DO132">
        <v>0</v>
      </c>
      <c r="DP132" s="143">
        <v>0</v>
      </c>
      <c r="DQ132" s="143">
        <v>0</v>
      </c>
      <c r="DR132">
        <v>0</v>
      </c>
      <c r="DS132" s="143">
        <v>0</v>
      </c>
      <c r="DT132">
        <f>SUM(DO132:DP132)</f>
        <v>0</v>
      </c>
      <c r="DU132" s="143" t="str">
        <f>IF(DO132=1,"self-calculated DF",IF(DP132=1,"external DF used","explicit C balance"))</f>
        <v>explicit C balance</v>
      </c>
      <c r="DV132" s="143">
        <v>0</v>
      </c>
      <c r="DW132" s="143">
        <v>0</v>
      </c>
      <c r="DX132" s="143">
        <v>1</v>
      </c>
      <c r="DY132" s="143">
        <v>0</v>
      </c>
      <c r="DZ132">
        <v>0</v>
      </c>
      <c r="EA132" s="143">
        <v>0</v>
      </c>
      <c r="EB132" s="143">
        <v>0</v>
      </c>
      <c r="EC132" s="143">
        <v>0</v>
      </c>
      <c r="ED132" s="143">
        <v>0</v>
      </c>
      <c r="EE132">
        <v>0</v>
      </c>
      <c r="EF132">
        <v>0</v>
      </c>
      <c r="EG132" s="143">
        <v>0</v>
      </c>
      <c r="EH132">
        <v>0</v>
      </c>
      <c r="EI132" s="2">
        <v>0</v>
      </c>
      <c r="EJ132" s="1"/>
      <c r="EK132" t="str">
        <f>IF(AND(AND(AND(OR($DX132=1,$DW132=1),OR($EC132=1,$EA132=1)),SUM($DV132:$DZ132,$EF132)&gt;=4),SUM($EA132:$EE132)&gt;=2),"Whole sector","")</f>
        <v/>
      </c>
      <c r="EL132" t="str">
        <f>IF(AND(AND(OR($DX132=1,$DW132=1),AND($EC132=0,$EA132=0)),SUM($DV132:$DZ132,$EF132)&gt;=4),"Ecosystem approach","")</f>
        <v/>
      </c>
      <c r="EM132" s="2" t="str">
        <f>IF(AND(AND(AND($DX132=0,$DW132=0),OR($EC132=1,$EA132=1)),SUM($EB132:$EE132)&gt;=2),"Technology approach","")</f>
        <v/>
      </c>
      <c r="EN132"/>
      <c r="EO132"/>
      <c r="EP132" t="str">
        <f>IF(ISNUMBER(BU132),IF(ABS(BU132-[3]QC_indicators!$B$2)&gt;3*[3]QC_indicators!$C$2,"C ratio",IF(ISNUMBER(BY132),IF(ABS(BY132-[3]QC_indicators!$B$1)&gt;3*[3]QC_indicators!$C$1,"DF","no"))),IF(ISNUMBER(BY132),IF(ABS(BY132-[3]QC_indicators!$B$1)&gt;3*[3]QC_indicators!$C$1,"DF","no")))</f>
        <v>no</v>
      </c>
      <c r="EQ132"/>
      <c r="ER132"/>
      <c r="ES132"/>
      <c r="ET132" s="264" t="s">
        <v>3407</v>
      </c>
      <c r="EU132"/>
    </row>
    <row r="133" spans="1:151" s="139" customFormat="1" ht="15" customHeight="1">
      <c r="A133" s="1" t="s">
        <v>1378</v>
      </c>
      <c r="B133" t="s">
        <v>1922</v>
      </c>
      <c r="C133" t="s">
        <v>1923</v>
      </c>
      <c r="D133" t="s">
        <v>1924</v>
      </c>
      <c r="E133" t="s">
        <v>1925</v>
      </c>
      <c r="F133" t="s">
        <v>1926</v>
      </c>
      <c r="G133" t="s">
        <v>1384</v>
      </c>
      <c r="H133" t="s">
        <v>254</v>
      </c>
      <c r="I133">
        <v>2016</v>
      </c>
      <c r="J133">
        <v>12</v>
      </c>
      <c r="K133" t="s">
        <v>1927</v>
      </c>
      <c r="L133"/>
      <c r="M133" t="str">
        <f>LEFT($D133,FIND(",",$D133)-1)&amp;"_"&amp;I133&amp;L133</f>
        <v>Lobianco_2016</v>
      </c>
      <c r="N133" t="s">
        <v>222</v>
      </c>
      <c r="O133" s="145" t="s">
        <v>225</v>
      </c>
      <c r="P133" t="s">
        <v>513</v>
      </c>
      <c r="Q133" t="s">
        <v>256</v>
      </c>
      <c r="R133" s="262" t="s">
        <v>223</v>
      </c>
      <c r="S133" s="1" t="s">
        <v>1930</v>
      </c>
      <c r="T133" s="143" t="s">
        <v>1155</v>
      </c>
      <c r="U133" t="s">
        <v>3168</v>
      </c>
      <c r="V133">
        <v>0</v>
      </c>
      <c r="W133">
        <v>0</v>
      </c>
      <c r="X133">
        <v>0</v>
      </c>
      <c r="Y133">
        <v>1</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1</v>
      </c>
      <c r="AV133">
        <v>0</v>
      </c>
      <c r="AW133">
        <v>0</v>
      </c>
      <c r="AX133" s="141">
        <f>COUNTIF(V133:AW133,"&lt;&gt;0")</f>
        <v>2</v>
      </c>
      <c r="AY133" s="141">
        <f>COUNTIF(V133:AL133,"&lt;&gt;0")</f>
        <v>1</v>
      </c>
      <c r="AZ133">
        <f>COUNTIF(V133:AC133,"&lt;&gt;0")</f>
        <v>1</v>
      </c>
      <c r="BA133">
        <f>COUNTIF(AD133:AI133,"&lt;&gt;0")</f>
        <v>0</v>
      </c>
      <c r="BB133">
        <f>COUNTIF(AJ133:AL133,"&lt;&gt;0")</f>
        <v>0</v>
      </c>
      <c r="BC133">
        <f>COUNTIF(AS133:AW133,"&lt;&gt;0")</f>
        <v>1</v>
      </c>
      <c r="BD133">
        <f>COUNTIF(AM133:AR133,"&lt;&gt;0")</f>
        <v>0</v>
      </c>
      <c r="BE133" t="str">
        <f t="array" ref="BE133">IF(AY133=1,INDEX($V$7:$AL$7,MATCH(TRUE,INDEX($V133:$AW133&lt;&gt;0,),0)),IF(AY133=0,INDEX($AM$7:$AW$7,MATCH(1,$AM133:$AW133,0)),IF(BF133="Multiple strategies","mixed drivers",IF(BF133="Supply chain","multiple supply","multiple silviculture"))))</f>
        <v xml:space="preserve">cutting intensity </v>
      </c>
      <c r="BF133" s="2" t="str" cm="1">
        <f t="array" ref="BF133">IF(COUNTIF(AZ133:BB133,"&lt;&gt;0")=1,INDEX($V$4:$AW$4,MATCH(TRUE,INDEX($V133:$AW133&lt;&gt;0,),0)),IF(COUNTIF(AZ133:BB133,"&lt;&gt;0")=0,INDEX($AM$4:$AW$4,MATCH(1,$AM133:$AW133,0)),"Multiple strategies"))</f>
        <v>Silviculture for removals</v>
      </c>
      <c r="BG133" s="142" t="s">
        <v>321</v>
      </c>
      <c r="BH133" s="265" t="s">
        <v>3163</v>
      </c>
      <c r="BI133" s="264" t="s">
        <v>3164</v>
      </c>
      <c r="BJ133" s="143" t="s">
        <v>3165</v>
      </c>
      <c r="BK133">
        <f>53.247</f>
        <v>53.247</v>
      </c>
      <c r="BL133">
        <f>53.247*(1+9.16/100)</f>
        <v>58.124425199999997</v>
      </c>
      <c r="BM133"/>
      <c r="BN133">
        <f>BL133-BK133</f>
        <v>4.8774251999999976</v>
      </c>
      <c r="BO133" s="143">
        <f>BN133*10^6</f>
        <v>4877425.1999999974</v>
      </c>
      <c r="BP133" t="s">
        <v>232</v>
      </c>
      <c r="BQ133" s="301" t="s">
        <v>3166</v>
      </c>
      <c r="BR133" s="143" t="s">
        <v>1929</v>
      </c>
      <c r="BS133" s="144">
        <v>117.962</v>
      </c>
      <c r="BT133">
        <f>117.96*(1-5.55/100)</f>
        <v>111.41322</v>
      </c>
      <c r="BU133"/>
      <c r="BV133">
        <f>BT133-BS133</f>
        <v>-6.5487800000000078</v>
      </c>
      <c r="BW133"/>
      <c r="BX133">
        <f>BV133*10^6</f>
        <v>-6548780.0000000075</v>
      </c>
      <c r="BY133">
        <f>IFERROR(BX133/BO133,"")</f>
        <v>-1.3426715390735282</v>
      </c>
      <c r="BZ133">
        <v>0</v>
      </c>
      <c r="CA133">
        <v>0</v>
      </c>
      <c r="CB133">
        <v>0</v>
      </c>
      <c r="CC133">
        <v>0</v>
      </c>
      <c r="CD133">
        <v>0</v>
      </c>
      <c r="CE133">
        <v>0</v>
      </c>
      <c r="CF133">
        <v>0</v>
      </c>
      <c r="CG133">
        <v>0</v>
      </c>
      <c r="CH133">
        <v>0</v>
      </c>
      <c r="CI133">
        <v>0</v>
      </c>
      <c r="CJ133">
        <v>0</v>
      </c>
      <c r="CK133">
        <v>0</v>
      </c>
      <c r="CL133">
        <v>0</v>
      </c>
      <c r="CM133">
        <v>0</v>
      </c>
      <c r="CN133" t="str">
        <f>IF($BL133&lt;$BK133,"refNeedCorrection","refOK")</f>
        <v>refOK</v>
      </c>
      <c r="CO133">
        <f>IF($CN133="refOK",$BK133,$BL133)</f>
        <v>53.247</v>
      </c>
      <c r="CP133">
        <f>IF($CN133="refOK",$BL133,#REF!)</f>
        <v>58.124425199999997</v>
      </c>
      <c r="CQ133">
        <f>IF($CN133="refOK",$BO133,-$BO133)</f>
        <v>4877425.1999999974</v>
      </c>
      <c r="CR133">
        <f>IF($CN133="refOK",$BS133,$BT133)*IF($BP133="Emissions positive",-1,1)</f>
        <v>117.962</v>
      </c>
      <c r="CS133">
        <f>IF($CN133="refOK",$BS133,#REF!)*IF($BP133="Emissions positive",-1,1)</f>
        <v>117.962</v>
      </c>
      <c r="CT133">
        <f>IF($CN133="refNeedCorrection",-BX133,BX133)*IF($BP133="Emissions positive",-1,1)</f>
        <v>-6548780.0000000075</v>
      </c>
      <c r="CU133">
        <f>IFERROR(CT133/CQ133,"")</f>
        <v>-1.3426715390735282</v>
      </c>
      <c r="CV133" s="2">
        <f>IFERROR((CS133-CR133)/ABS(CR133),"")</f>
        <v>0</v>
      </c>
      <c r="CW133" s="1" t="s">
        <v>1199</v>
      </c>
      <c r="CX133" t="str">
        <f>IF(OR($CW133="prd",$CW133="std",$CW133="cit"),"loc",IF(OR($CW133="eur",$CW133="reg",$CW133="coy"),"reg",$CW133))</f>
        <v>reg</v>
      </c>
      <c r="CY133" t="s">
        <v>729</v>
      </c>
      <c r="CZ133">
        <v>2007</v>
      </c>
      <c r="DA133" s="143">
        <v>2100</v>
      </c>
      <c r="DB133" s="143">
        <f>DA133-CZ133</f>
        <v>93</v>
      </c>
      <c r="DC133" t="str">
        <f>IF(DB133=0,"0",IF(AND(DB133&gt;=1,DB133&lt;=30),"1-30",IF(AND(DB133&gt;30,DB133&lt;=70),"31-70",IF(AND(DB133&gt;70,DB133&lt;=100),"71-100",IF(DB133&gt;100,"+100")))))</f>
        <v>71-100</v>
      </c>
      <c r="DD133">
        <v>0</v>
      </c>
      <c r="DE133">
        <v>1</v>
      </c>
      <c r="DF133">
        <v>0</v>
      </c>
      <c r="DG133">
        <v>1</v>
      </c>
      <c r="DH133">
        <v>1</v>
      </c>
      <c r="DI133">
        <f>SUM(DD133:DG133)</f>
        <v>2</v>
      </c>
      <c r="DJ133" t="str">
        <f>IF(DI133=1,INDEX($DD$7:$DG$7,MATCH(1,$DD133:$DG133,0)),"mixedProduct")</f>
        <v>mixedProduct</v>
      </c>
      <c r="DK133">
        <f>IF(DD133=1,DK$7,0)</f>
        <v>0</v>
      </c>
      <c r="DL133" t="str">
        <f>IF(DE133=1,DL$7,0)</f>
        <v>Energy</v>
      </c>
      <c r="DM133">
        <f>IF(DF133=1,DM$7,0)</f>
        <v>0</v>
      </c>
      <c r="DN133" t="str">
        <f>IF(DG133=1,DN$7,0)</f>
        <v>Timber</v>
      </c>
      <c r="DO133">
        <v>0</v>
      </c>
      <c r="DP133" s="143">
        <v>0</v>
      </c>
      <c r="DQ133" s="143">
        <v>0</v>
      </c>
      <c r="DR133">
        <v>0</v>
      </c>
      <c r="DS133" s="143">
        <v>0</v>
      </c>
      <c r="DT133">
        <f>SUM(DO133:DP133)</f>
        <v>0</v>
      </c>
      <c r="DU133" s="143" t="str">
        <f>IF(DO133=1,"self-calculated DF",IF(DP133=1,"external DF used","explicit C balance"))</f>
        <v>explicit C balance</v>
      </c>
      <c r="DV133" s="143">
        <v>0</v>
      </c>
      <c r="DW133" s="143">
        <v>0</v>
      </c>
      <c r="DX133" s="143">
        <v>1</v>
      </c>
      <c r="DY133" s="143">
        <v>1</v>
      </c>
      <c r="DZ133">
        <v>0</v>
      </c>
      <c r="EA133" s="143">
        <v>1</v>
      </c>
      <c r="EB133" s="143">
        <v>1</v>
      </c>
      <c r="EC133" s="143">
        <v>0</v>
      </c>
      <c r="ED133" s="143">
        <v>0</v>
      </c>
      <c r="EE133">
        <v>0</v>
      </c>
      <c r="EF133">
        <v>1</v>
      </c>
      <c r="EG133" s="143">
        <v>0</v>
      </c>
      <c r="EH133">
        <v>0</v>
      </c>
      <c r="EI133" s="2">
        <v>1</v>
      </c>
      <c r="EJ133" s="1"/>
      <c r="EK133" t="str">
        <f>IF(AND(AND(AND(OR($DX133=1,$DW133=1),OR($EC133=1,$EA133=1)),SUM($DV133:$DZ133,$EF133)&gt;=4),SUM($EA133:$EE133)&gt;=2),"Whole sector","")</f>
        <v/>
      </c>
      <c r="EL133" t="str">
        <f>IF(AND(AND(OR($DX133=1,$DW133=1),AND($EC133=0,$EA133=0)),SUM($DV133:$DZ133,$EF133)&gt;=4),"Ecosystem approach","")</f>
        <v/>
      </c>
      <c r="EM133" s="2" t="str">
        <f>IF(AND(AND(AND($DX133=0,$DW133=0),OR($EC133=1,$EA133=1)),SUM($EB133:$EE133)&gt;=2),"Technology approach","")</f>
        <v/>
      </c>
      <c r="EN133"/>
      <c r="EO133"/>
      <c r="EP133" t="str">
        <f>IF(ISNUMBER(BT133),IF(ABS(BT133-[1]QC_indicators!$B$2)&gt;3*[1]QC_indicators!$C$2,"C ratio",IF(ISNUMBER(BY133),IF(ABS(BY133-[1]QC_indicators!$B$1)&gt;3*[1]QC_indicators!$C$1,"DF","no"))),IF(ISNUMBER(BY133),IF(ABS(BY133-[1]QC_indicators!$B$1)&gt;3*[1]QC_indicators!$C$1,"DF","no")))</f>
        <v>C ratio</v>
      </c>
      <c r="EQ133"/>
      <c r="ER133"/>
      <c r="ES133"/>
      <c r="ET133" s="264" t="s">
        <v>3167</v>
      </c>
      <c r="EU133"/>
    </row>
    <row r="134" spans="1:151" s="139" customFormat="1" ht="15" customHeight="1">
      <c r="A134" s="1" t="s">
        <v>1102</v>
      </c>
      <c r="B134" t="s">
        <v>1819</v>
      </c>
      <c r="C134" t="s">
        <v>1820</v>
      </c>
      <c r="D134" t="s">
        <v>1821</v>
      </c>
      <c r="E134" t="s">
        <v>1822</v>
      </c>
      <c r="F134" t="s">
        <v>1823</v>
      </c>
      <c r="G134" t="s">
        <v>1108</v>
      </c>
      <c r="H134" t="s">
        <v>254</v>
      </c>
      <c r="I134">
        <v>2011</v>
      </c>
      <c r="J134">
        <v>49</v>
      </c>
      <c r="K134" t="s">
        <v>1824</v>
      </c>
      <c r="L134"/>
      <c r="M134" t="str">
        <f>LEFT($D134,FIND(",",$D134)-1)&amp;"_"&amp;I134&amp;L134</f>
        <v>Kilpelainen_2011</v>
      </c>
      <c r="N134" t="s">
        <v>222</v>
      </c>
      <c r="O134" s="145" t="s">
        <v>513</v>
      </c>
      <c r="P134"/>
      <c r="Q134" t="s">
        <v>256</v>
      </c>
      <c r="R134" s="262" t="s">
        <v>225</v>
      </c>
      <c r="S134" s="1" t="s">
        <v>1825</v>
      </c>
      <c r="T134" t="s">
        <v>1826</v>
      </c>
      <c r="U134" t="s">
        <v>1827</v>
      </c>
      <c r="V134">
        <v>0</v>
      </c>
      <c r="W134">
        <v>0</v>
      </c>
      <c r="X134">
        <v>0</v>
      </c>
      <c r="Y134">
        <v>0</v>
      </c>
      <c r="Z134">
        <v>0</v>
      </c>
      <c r="AA134">
        <v>0</v>
      </c>
      <c r="AB134">
        <v>0</v>
      </c>
      <c r="AC134">
        <v>0</v>
      </c>
      <c r="AD134">
        <v>0</v>
      </c>
      <c r="AE134">
        <v>0</v>
      </c>
      <c r="AF134">
        <v>1</v>
      </c>
      <c r="AG134">
        <v>0</v>
      </c>
      <c r="AH134">
        <v>0</v>
      </c>
      <c r="AI134">
        <v>0</v>
      </c>
      <c r="AJ134">
        <v>0</v>
      </c>
      <c r="AK134">
        <v>0</v>
      </c>
      <c r="AL134">
        <v>0</v>
      </c>
      <c r="AM134">
        <v>0</v>
      </c>
      <c r="AN134">
        <v>0</v>
      </c>
      <c r="AO134">
        <v>0</v>
      </c>
      <c r="AP134">
        <v>0</v>
      </c>
      <c r="AQ134">
        <v>0</v>
      </c>
      <c r="AR134">
        <v>0</v>
      </c>
      <c r="AS134">
        <v>0</v>
      </c>
      <c r="AT134">
        <v>0</v>
      </c>
      <c r="AU134">
        <v>0</v>
      </c>
      <c r="AV134">
        <v>0</v>
      </c>
      <c r="AW134">
        <v>0</v>
      </c>
      <c r="AX134" s="141">
        <f>COUNTIF(V134:AW134,"&lt;&gt;0")</f>
        <v>1</v>
      </c>
      <c r="AY134" s="141">
        <f>COUNTIF(V134:AL134,"&lt;&gt;0")</f>
        <v>1</v>
      </c>
      <c r="AZ134">
        <f>COUNTIF(V134:AC134,"&lt;&gt;0")</f>
        <v>0</v>
      </c>
      <c r="BA134">
        <f>COUNTIF(AD134:AI134,"&lt;&gt;0")</f>
        <v>1</v>
      </c>
      <c r="BB134">
        <f>COUNTIF(AJ134:AL134,"&lt;&gt;0")</f>
        <v>0</v>
      </c>
      <c r="BC134">
        <f>COUNTIF(AS134:AW134,"&lt;&gt;0")</f>
        <v>0</v>
      </c>
      <c r="BD134">
        <f>COUNTIF(AM134:AR134,"&lt;&gt;0")</f>
        <v>0</v>
      </c>
      <c r="BE134" t="str">
        <f t="array" ref="BE134">IF(AY134=1,INDEX($V$7:$AL$7,MATCH(TRUE,INDEX($V134:$AW134&lt;&gt;0,),0)),IF(AY134=0,INDEX($AM$7:$AW$7,MATCH(1,$AM134:$AW134,0)),IF(BF134="Multiple strategies","mixed drivers",IF(BF134="Supply chain","multiple supply","multiple silviculture"))))</f>
        <v>supply chain organization</v>
      </c>
      <c r="BF134" s="2" t="str" cm="1">
        <f t="array" ref="BF134">IF(COUNTIF(AZ134:BB134,"&lt;&gt;0")=1,INDEX($V$4:$AW$4,MATCH(TRUE,INDEX($V134:$AW134&lt;&gt;0,),0)),IF(COUNTIF(AZ134:BB134,"&lt;&gt;0")=0,INDEX($AM$4:$AW$4,MATCH(1,$AM134:$AW134,0)),"Multiple strategies"))</f>
        <v>Supply chain</v>
      </c>
      <c r="BG134" s="1" t="s">
        <v>321</v>
      </c>
      <c r="BH134" t="s">
        <v>1828</v>
      </c>
      <c r="BI134" s="260" t="s">
        <v>3365</v>
      </c>
      <c r="BJ134" t="s">
        <v>1829</v>
      </c>
      <c r="BK134">
        <f>70+15</f>
        <v>85</v>
      </c>
      <c r="BL134">
        <v>222</v>
      </c>
      <c r="BM134">
        <f>BL134/BK134</f>
        <v>2.611764705882353</v>
      </c>
      <c r="BN134">
        <f>BL134-BK134</f>
        <v>137</v>
      </c>
      <c r="BO134">
        <f>BN134*(1/10^6)*(1/C_to_CO2)*tC_to_m3</f>
        <v>1.6209162080972457E-4</v>
      </c>
      <c r="BP134" s="260" t="s">
        <v>395</v>
      </c>
      <c r="BQ134" s="300" t="s">
        <v>3365</v>
      </c>
      <c r="BR134" t="s">
        <v>1829</v>
      </c>
      <c r="BS134" s="260">
        <v>-319</v>
      </c>
      <c r="BT134" s="260">
        <v>-110</v>
      </c>
      <c r="BU134" s="144">
        <f>IFERROR(BT134/BS134,"")</f>
        <v>0.34482758620689657</v>
      </c>
      <c r="BV134">
        <f>BT134-BS134</f>
        <v>209</v>
      </c>
      <c r="BW134"/>
      <c r="BX134">
        <f>BV134/10^6</f>
        <v>2.0900000000000001E-4</v>
      </c>
      <c r="BY134">
        <f>IFERROR(BX134/BO134,"")</f>
        <v>1.2893942262773721</v>
      </c>
      <c r="BZ134">
        <v>0</v>
      </c>
      <c r="CA134">
        <v>0</v>
      </c>
      <c r="CB134">
        <v>0</v>
      </c>
      <c r="CC134">
        <v>0</v>
      </c>
      <c r="CD134">
        <v>0</v>
      </c>
      <c r="CE134">
        <v>0</v>
      </c>
      <c r="CF134">
        <v>0</v>
      </c>
      <c r="CG134">
        <v>0</v>
      </c>
      <c r="CH134">
        <v>0</v>
      </c>
      <c r="CI134">
        <v>0</v>
      </c>
      <c r="CJ134">
        <v>0</v>
      </c>
      <c r="CK134">
        <v>0</v>
      </c>
      <c r="CL134">
        <v>0</v>
      </c>
      <c r="CM134">
        <v>0</v>
      </c>
      <c r="CN134" t="str">
        <f>IF($BL134&lt;$BK134,"refNeedCorrection","refOK")</f>
        <v>refOK</v>
      </c>
      <c r="CO134">
        <f>IF($CN134="refOK",$BK134,$BL134)</f>
        <v>85</v>
      </c>
      <c r="CP134">
        <f>IF($CN134="refOK",$BL134,$BK134)</f>
        <v>222</v>
      </c>
      <c r="CQ134">
        <f>IF($CN134="refOK",$BO134,-$BO134)</f>
        <v>1.6209162080972457E-4</v>
      </c>
      <c r="CR134">
        <f>IF($CN134="refOK",$BS134,$BT134)*IF($BP134="Emissions positive",-1,1)</f>
        <v>319</v>
      </c>
      <c r="CS134">
        <f>IF($CN134="refOK",$BT134,$BS134)*IF($BP134="Emissions positive",-1,1)</f>
        <v>110</v>
      </c>
      <c r="CT134">
        <f>IF($CN134="refNeedCorrection",-BX134,BX134)*IF($BP134="Emissions positive",-1,1)</f>
        <v>-2.0900000000000001E-4</v>
      </c>
      <c r="CU134">
        <f>IFERROR(CT134/CQ134,"")</f>
        <v>-1.2893942262773721</v>
      </c>
      <c r="CV134" s="2">
        <f>IFERROR((CS134-CR134)/ABS(CR134),"")</f>
        <v>-0.65517241379310343</v>
      </c>
      <c r="CW134" s="1" t="s">
        <v>1199</v>
      </c>
      <c r="CX134" t="str">
        <f>IF(OR($CW134="prd",$CW134="std",$CW134="cit"),"loc",IF(OR($CW134="eur",$CW134="reg",$CW134="coy"),"reg",$CW134))</f>
        <v>reg</v>
      </c>
      <c r="CY134" t="s">
        <v>235</v>
      </c>
      <c r="CZ134"/>
      <c r="DA134"/>
      <c r="DB134">
        <v>80</v>
      </c>
      <c r="DC134" t="str">
        <f>IF(DB134=0,"0",IF(AND(DB134&gt;=1,DB134&lt;=30),"1-30",IF(AND(DB134&gt;30,DB134&lt;=70),"31-70",IF(AND(DB134&gt;70,DB134&lt;=100),"71-100",IF(DB134&gt;100,"+100")))))</f>
        <v>71-100</v>
      </c>
      <c r="DD134">
        <v>0</v>
      </c>
      <c r="DE134">
        <v>1</v>
      </c>
      <c r="DF134">
        <v>1</v>
      </c>
      <c r="DG134">
        <v>1</v>
      </c>
      <c r="DH134"/>
      <c r="DI134">
        <f>SUM(DD134:DG134)</f>
        <v>3</v>
      </c>
      <c r="DJ134" t="str">
        <f>IF(DI134=1,INDEX($DD$7:$DG$7,MATCH(1,$DD134:$DG134,0)),"mixedProduct")</f>
        <v>mixedProduct</v>
      </c>
      <c r="DK134">
        <f>IF(DD134=1,DK$7,0)</f>
        <v>0</v>
      </c>
      <c r="DL134" t="str">
        <f>IF(DE134=1,DL$7,0)</f>
        <v>Energy</v>
      </c>
      <c r="DM134" t="str">
        <f>IF(DF134=1,DM$7,0)</f>
        <v>Pulp/Paper</v>
      </c>
      <c r="DN134" t="str">
        <f>IF(DG134=1,DN$7,0)</f>
        <v>Timber</v>
      </c>
      <c r="DO134">
        <v>0</v>
      </c>
      <c r="DP134">
        <v>0</v>
      </c>
      <c r="DQ134">
        <v>0</v>
      </c>
      <c r="DR134">
        <v>0</v>
      </c>
      <c r="DS134">
        <v>0</v>
      </c>
      <c r="DT134">
        <f>SUM(DO134:DP134)</f>
        <v>0</v>
      </c>
      <c r="DU134" s="143" t="str">
        <f>IF(DO134=1,"self-calculated DF",IF(DP134=1,"external DF used","explicit C balance"))</f>
        <v>explicit C balance</v>
      </c>
      <c r="DV134">
        <v>1</v>
      </c>
      <c r="DW134">
        <v>1</v>
      </c>
      <c r="DX134">
        <v>1</v>
      </c>
      <c r="DY134">
        <v>0</v>
      </c>
      <c r="DZ134">
        <v>1</v>
      </c>
      <c r="EA134">
        <v>0</v>
      </c>
      <c r="EB134">
        <v>1</v>
      </c>
      <c r="EC134">
        <v>1</v>
      </c>
      <c r="ED134">
        <v>0</v>
      </c>
      <c r="EE134">
        <v>1</v>
      </c>
      <c r="EF134">
        <v>1</v>
      </c>
      <c r="EG134">
        <v>1</v>
      </c>
      <c r="EH134">
        <v>0</v>
      </c>
      <c r="EI134" s="2">
        <v>0</v>
      </c>
      <c r="EJ134" s="1"/>
      <c r="EK134" t="str">
        <f>IF(AND(AND(AND(OR($DX134=1,$DW134=1),OR($EC134=1,$EA134=1)),SUM($DV134:$DZ134,$EF134)&gt;=4),SUM($EA134:$EE134)&gt;=2),"Whole sector","")</f>
        <v>Whole sector</v>
      </c>
      <c r="EL134" t="str">
        <f>IF(AND(AND(OR($DX134=1,$DW134=1),AND($EC134=0,$EA134=0)),SUM($DV134:$DZ134,$EF134)&gt;=4),"Ecosystem approach","")</f>
        <v/>
      </c>
      <c r="EM134" s="2" t="str">
        <f>IF(AND(AND(AND($DX134=0,$DW134=0),OR($EC134=1,$EA134=1)),SUM($EB134:$EE134)&gt;=2),"Technology approach","")</f>
        <v/>
      </c>
      <c r="EN134"/>
      <c r="EO134"/>
      <c r="EP134" t="str">
        <f>IF(ISNUMBER(BU134),IF(ABS(BU134-[4]QC_indicators!$B$2)&gt;3*[4]QC_indicators!$C$2,"C ratio",IF(ISNUMBER(BY134),IF(ABS(BY134-[4]QC_indicators!$B$1)&gt;3*[4]QC_indicators!$C$1,"DF","no"))),IF(ISNUMBER(BY134),IF(ABS(BY134-[4]QC_indicators!$B$1)&gt;3*[4]QC_indicators!$C$1,"DF","no")))</f>
        <v>no</v>
      </c>
      <c r="EQ134"/>
      <c r="ER134"/>
      <c r="ES134"/>
      <c r="ET134" s="264" t="s">
        <v>3273</v>
      </c>
      <c r="EU134"/>
    </row>
    <row r="135" spans="1:151" s="139" customFormat="1" ht="15" customHeight="1">
      <c r="A135" s="174" t="s">
        <v>1286</v>
      </c>
      <c r="B135" s="141" t="s">
        <v>1287</v>
      </c>
      <c r="C135" s="141" t="s">
        <v>1288</v>
      </c>
      <c r="D135" s="141" t="s">
        <v>1289</v>
      </c>
      <c r="E135" s="141" t="s">
        <v>1290</v>
      </c>
      <c r="F135" s="141" t="s">
        <v>1291</v>
      </c>
      <c r="G135" s="141" t="s">
        <v>1292</v>
      </c>
      <c r="H135" s="141"/>
      <c r="I135" s="141">
        <v>2019</v>
      </c>
      <c r="J135" s="141"/>
      <c r="K135" s="141" t="s">
        <v>1293</v>
      </c>
      <c r="L135" s="141"/>
      <c r="M135" t="str">
        <f>LEFT($D135,FIND(",",$D135)-1)&amp;"_"&amp;I135&amp;L135</f>
        <v>Bosch_2019</v>
      </c>
      <c r="N135" t="s">
        <v>222</v>
      </c>
      <c r="O135" s="175" t="s">
        <v>225</v>
      </c>
      <c r="P135" s="141" t="s">
        <v>223</v>
      </c>
      <c r="Q135" s="264" t="s">
        <v>224</v>
      </c>
      <c r="R135" s="269" t="s">
        <v>1154</v>
      </c>
      <c r="S135" s="174" t="s">
        <v>1307</v>
      </c>
      <c r="T135" s="141" t="s">
        <v>1308</v>
      </c>
      <c r="U135" s="141" t="s">
        <v>1296</v>
      </c>
      <c r="V135" s="141">
        <v>0</v>
      </c>
      <c r="W135" s="141">
        <v>0</v>
      </c>
      <c r="X135" s="141">
        <v>1</v>
      </c>
      <c r="Y135" s="141">
        <v>0</v>
      </c>
      <c r="Z135" s="141">
        <v>0</v>
      </c>
      <c r="AA135" s="141">
        <v>0</v>
      </c>
      <c r="AB135" s="141">
        <v>0</v>
      </c>
      <c r="AC135" s="141">
        <v>0</v>
      </c>
      <c r="AD135" s="141">
        <v>0</v>
      </c>
      <c r="AE135" s="141">
        <v>0</v>
      </c>
      <c r="AF135" s="141">
        <v>0</v>
      </c>
      <c r="AG135" s="141">
        <v>0</v>
      </c>
      <c r="AH135" s="141">
        <v>0</v>
      </c>
      <c r="AI135" s="141">
        <v>0</v>
      </c>
      <c r="AJ135" s="141">
        <v>0</v>
      </c>
      <c r="AK135" s="141">
        <v>0</v>
      </c>
      <c r="AL135" s="141">
        <v>0</v>
      </c>
      <c r="AM135" s="141">
        <v>0</v>
      </c>
      <c r="AN135" s="141">
        <v>0</v>
      </c>
      <c r="AO135" s="141">
        <v>0</v>
      </c>
      <c r="AP135" s="141">
        <v>0</v>
      </c>
      <c r="AQ135" s="141">
        <v>0</v>
      </c>
      <c r="AR135" s="141">
        <v>0</v>
      </c>
      <c r="AS135" s="141">
        <v>0</v>
      </c>
      <c r="AT135" s="141">
        <v>0</v>
      </c>
      <c r="AU135" s="141">
        <v>0</v>
      </c>
      <c r="AV135" s="141">
        <v>0</v>
      </c>
      <c r="AW135" s="141">
        <v>0</v>
      </c>
      <c r="AX135" s="141">
        <f>COUNTIF(V135:AW135,"&lt;&gt;0")</f>
        <v>1</v>
      </c>
      <c r="AY135" s="141">
        <f>COUNTIF(V135:AL135,"&lt;&gt;0")</f>
        <v>1</v>
      </c>
      <c r="AZ135">
        <f>COUNTIF(V135:AC135,"&lt;&gt;0")</f>
        <v>1</v>
      </c>
      <c r="BA135">
        <f>COUNTIF(AD135:AI135,"&lt;&gt;0")</f>
        <v>0</v>
      </c>
      <c r="BB135">
        <f>COUNTIF(AJ135:AL135,"&lt;&gt;0")</f>
        <v>0</v>
      </c>
      <c r="BC135">
        <f>COUNTIF(AS135:AW135,"&lt;&gt;0")</f>
        <v>0</v>
      </c>
      <c r="BD135">
        <f>COUNTIF(AM135:AR135,"&lt;&gt;0")</f>
        <v>0</v>
      </c>
      <c r="BE135" t="str" cm="1">
        <f t="array" ref="BE135">IF(AY135=1,INDEX($V$7:$AL$7,MATCH(TRUE,INDEX($V135:$AW135&lt;&gt;0,),0)),IF(AY135=0,INDEX($AM$7:$AW$7,MATCH(1,$AM135:$AW135,0)),IF(BF135="Multiple strategies","mixed drivers",IF(BF135="Supply chain","multiple supply","multiple silviculture"))))</f>
        <v>rotation length</v>
      </c>
      <c r="BF135" s="2" t="str" cm="1">
        <f t="array" ref="BF135">IF(COUNTIF(AZ135:BB135,"&lt;&gt;0")=1,INDEX($V$4:$AW$4,MATCH(TRUE,INDEX($V135:$AW135&lt;&gt;0,),0)),IF(COUNTIF(AZ135:BB135,"&lt;&gt;0")=0,INDEX($AM$4:$AW$4,MATCH(1,$AM135:$AW135,0)),"Multiple strategies"))</f>
        <v>Silviculture for removals</v>
      </c>
      <c r="BG135" s="173" t="s">
        <v>321</v>
      </c>
      <c r="BH135" s="141" t="s">
        <v>1297</v>
      </c>
      <c r="BI135" s="141" t="s">
        <v>1298</v>
      </c>
      <c r="BJ135" s="163" t="s">
        <v>1299</v>
      </c>
      <c r="BK135" s="176">
        <v>2167</v>
      </c>
      <c r="BL135" s="163">
        <v>2405</v>
      </c>
      <c r="BM135" s="163">
        <f>BL135/BK135</f>
        <v>1.1098292570373789</v>
      </c>
      <c r="BN135">
        <f>BL135-BK135</f>
        <v>238</v>
      </c>
      <c r="BO135" s="158">
        <f>BN135*10^6</f>
        <v>238000000</v>
      </c>
      <c r="BP135" s="264" t="s">
        <v>395</v>
      </c>
      <c r="BQ135" s="301" t="s">
        <v>701</v>
      </c>
      <c r="BR135" s="151" t="s">
        <v>1300</v>
      </c>
      <c r="BS135" s="163"/>
      <c r="BT135" s="141"/>
      <c r="BU135" s="144"/>
      <c r="BV135" s="176">
        <v>306</v>
      </c>
      <c r="BW135"/>
      <c r="BX135">
        <f>BV135*10^6</f>
        <v>306000000</v>
      </c>
      <c r="BY135">
        <f>IFERROR(BX135/BO135,"")</f>
        <v>1.2857142857142858</v>
      </c>
      <c r="BZ135" s="141">
        <v>0</v>
      </c>
      <c r="CA135" s="141">
        <v>0</v>
      </c>
      <c r="CB135" s="141">
        <v>0</v>
      </c>
      <c r="CC135" s="141">
        <v>0</v>
      </c>
      <c r="CD135" s="141">
        <v>0</v>
      </c>
      <c r="CE135" s="141">
        <v>0</v>
      </c>
      <c r="CF135" s="141">
        <v>0</v>
      </c>
      <c r="CG135" s="141">
        <v>0</v>
      </c>
      <c r="CH135" s="141">
        <v>0</v>
      </c>
      <c r="CI135" s="141">
        <v>0</v>
      </c>
      <c r="CJ135" s="141">
        <v>0</v>
      </c>
      <c r="CK135" s="141">
        <v>0</v>
      </c>
      <c r="CL135" s="141">
        <v>0</v>
      </c>
      <c r="CM135" s="141">
        <v>1</v>
      </c>
      <c r="CN135" t="str">
        <f>IF(BL135&lt;BK135,"refNeedCorrection","refOK")</f>
        <v>refOK</v>
      </c>
      <c r="CO135">
        <f>IF($CN135="refOK",$BK135,$BL135)</f>
        <v>2167</v>
      </c>
      <c r="CP135">
        <f>IF($CN135="refOK",$BL135,$BK135)</f>
        <v>2405</v>
      </c>
      <c r="CQ135">
        <f>IF($CN135="refOK",$BO135,-$BO135)</f>
        <v>238000000</v>
      </c>
      <c r="CR135">
        <f>IF($CN135="refOK",$BS135,$BT135)*IF($BP135="Emissions positive",-1,1)</f>
        <v>0</v>
      </c>
      <c r="CS135">
        <f>IF($CN135="refOK",$BT135,$BS135)*IF($BP135="Emissions positive",-1,1)</f>
        <v>0</v>
      </c>
      <c r="CT135">
        <f>IF($CN135="refNeedCorrection",-BX135,BX135)*IF($BP135="Emissions positive",-1,1)</f>
        <v>-306000000</v>
      </c>
      <c r="CU135">
        <f>IFERROR(CT135/CQ135,"")</f>
        <v>-1.2857142857142858</v>
      </c>
      <c r="CV135" s="2" t="str">
        <f>IFERROR((CS135-CR135)/ABS(CR135),"")</f>
        <v/>
      </c>
      <c r="CW135" s="174" t="s">
        <v>1203</v>
      </c>
      <c r="CX135" s="264" t="str">
        <f>IF(OR($CW135="prd",$CW135="std",$CW135="cit"),"loc",IF(OR($CW135="eur",$CW135="reg",$CW135="coy"),"reg",$CW135))</f>
        <v>reg</v>
      </c>
      <c r="CY135" s="141" t="s">
        <v>1301</v>
      </c>
      <c r="CZ135" s="141">
        <v>2016</v>
      </c>
      <c r="DA135" s="163">
        <v>2046</v>
      </c>
      <c r="DB135" s="163">
        <v>30</v>
      </c>
      <c r="DC135" t="str">
        <f>IF(DB135=0,"0",IF(AND(DB135&gt;=1,DB135&lt;=30),"1-30",IF(AND(DB135&gt;30,DB135&lt;=70),"31-70",IF(AND(DB135&gt;70,DB135&lt;=100),"71-100",IF(DB135&gt;100,"+100")))))</f>
        <v>1-30</v>
      </c>
      <c r="DD135" s="141">
        <v>1</v>
      </c>
      <c r="DE135" s="141">
        <v>1</v>
      </c>
      <c r="DF135" s="141">
        <v>0</v>
      </c>
      <c r="DG135" s="141">
        <v>1</v>
      </c>
      <c r="DH135"/>
      <c r="DI135">
        <f>SUM(DD135:DG135)</f>
        <v>3</v>
      </c>
      <c r="DJ135" t="str">
        <f>IF(DI135=1,INDEX($DD$7:$DG$7,MATCH(1,$DD135:$DG135,0)),"mixedProduct")</f>
        <v>mixedProduct</v>
      </c>
      <c r="DK135" t="str">
        <f>IF(DD135=1,DK$7,0)</f>
        <v>Upstream</v>
      </c>
      <c r="DL135" t="str">
        <f>IF(DE135=1,DL$7,0)</f>
        <v>Energy</v>
      </c>
      <c r="DM135">
        <f>IF(DF135=1,DM$7,0)</f>
        <v>0</v>
      </c>
      <c r="DN135" t="str">
        <f>IF(DG135=1,DN$7,0)</f>
        <v>Timber</v>
      </c>
      <c r="DO135" s="163">
        <v>0</v>
      </c>
      <c r="DP135" s="141">
        <v>0</v>
      </c>
      <c r="DQ135" s="163">
        <v>0</v>
      </c>
      <c r="DR135" s="163">
        <v>0</v>
      </c>
      <c r="DS135" s="163">
        <v>0</v>
      </c>
      <c r="DT135">
        <f>SUM(DO135:DP135)</f>
        <v>0</v>
      </c>
      <c r="DU135" s="143" t="str">
        <f>IF(DO135=1,"self-calculated DF",IF(DP135=1,"external DF used","explicit C balance"))</f>
        <v>explicit C balance</v>
      </c>
      <c r="DV135" s="163">
        <v>1</v>
      </c>
      <c r="DW135" s="141">
        <v>1</v>
      </c>
      <c r="DX135" s="163">
        <v>1</v>
      </c>
      <c r="DY135" s="163">
        <v>0</v>
      </c>
      <c r="DZ135" s="141">
        <v>0</v>
      </c>
      <c r="EA135" s="141">
        <v>0</v>
      </c>
      <c r="EB135" s="143">
        <v>0</v>
      </c>
      <c r="EC135" s="141">
        <v>0</v>
      </c>
      <c r="ED135" s="143">
        <v>0</v>
      </c>
      <c r="EE135" s="143">
        <v>0</v>
      </c>
      <c r="EF135" s="141">
        <v>1</v>
      </c>
      <c r="EG135" s="163">
        <v>0</v>
      </c>
      <c r="EH135" s="141">
        <v>0</v>
      </c>
      <c r="EI135" s="177">
        <v>0</v>
      </c>
      <c r="EJ135" s="1"/>
      <c r="EK135" t="str">
        <f>IF(AND(AND(AND(OR($DX135=1,$DW135=1),OR($EC135=1,$EA135=1)),SUM($DV135:$DZ135,$EF135)&gt;=4),SUM($EA135:$EE135)&gt;=2),"Whole sector","")</f>
        <v/>
      </c>
      <c r="EL135" t="str">
        <f>IF(AND(AND(OR($DX135=1,$DW135=1),AND($EC135=0,$EA135=0)),SUM($DV135:$DZ135,$EF135)&gt;=4),"Ecosystem approach","")</f>
        <v>Ecosystem approach</v>
      </c>
      <c r="EM135" s="2" t="str">
        <f>IF(AND(AND(AND($DX135=0,$DW135=0),OR($EC135=1,$EA135=1)),SUM($EB135:$EE135)&gt;=2),"Technology approach","")</f>
        <v/>
      </c>
      <c r="EN135" s="141"/>
      <c r="EO135"/>
      <c r="EP135" t="str">
        <f>IF(ISNUMBER(BU135),IF(ABS(BU135-[3]QC_indicators!$B$2)&gt;3*[3]QC_indicators!$C$2,"C ratio",IF(ISNUMBER(BY135),IF(ABS(BY135-[3]QC_indicators!$B$1)&gt;3*[3]QC_indicators!$C$1,"DF","no"))),IF(ISNUMBER(BY135),IF(ABS(BY135-[3]QC_indicators!$B$1)&gt;3*[3]QC_indicators!$C$1,"DF","no")))</f>
        <v>no</v>
      </c>
      <c r="EQ135"/>
      <c r="ER135" s="294" t="s">
        <v>1302</v>
      </c>
      <c r="ES135"/>
      <c r="ET135" s="264" t="s">
        <v>3407</v>
      </c>
      <c r="EU135"/>
    </row>
    <row r="136" spans="1:151" s="139" customFormat="1" ht="15" customHeight="1">
      <c r="A136" s="1" t="s">
        <v>1326</v>
      </c>
      <c r="B136" t="s">
        <v>1327</v>
      </c>
      <c r="C136" t="s">
        <v>544</v>
      </c>
      <c r="D136" t="s">
        <v>1314</v>
      </c>
      <c r="E136" s="264" t="s">
        <v>1328</v>
      </c>
      <c r="F136" t="s">
        <v>1329</v>
      </c>
      <c r="G136" t="s">
        <v>544</v>
      </c>
      <c r="H136" t="s">
        <v>1330</v>
      </c>
      <c r="I136">
        <v>2017</v>
      </c>
      <c r="J136">
        <v>1</v>
      </c>
      <c r="K136" t="s">
        <v>1331</v>
      </c>
      <c r="L136"/>
      <c r="M136" t="str">
        <f>LEFT($D136,FIND(",",$D136)-1)&amp;"_"&amp;I136&amp;L136</f>
        <v>Bouyer_2017</v>
      </c>
      <c r="N136" t="s">
        <v>2584</v>
      </c>
      <c r="O136" s="161" t="s">
        <v>1154</v>
      </c>
      <c r="P136"/>
      <c r="Q136" t="s">
        <v>389</v>
      </c>
      <c r="R136" s="262" t="s">
        <v>223</v>
      </c>
      <c r="S136" s="154" t="s">
        <v>1332</v>
      </c>
      <c r="T136" s="149" t="s">
        <v>1320</v>
      </c>
      <c r="U136" t="s">
        <v>704</v>
      </c>
      <c r="V136">
        <v>0</v>
      </c>
      <c r="W136">
        <v>0</v>
      </c>
      <c r="X136">
        <v>0</v>
      </c>
      <c r="Y136">
        <v>1</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s="141">
        <f>COUNTIF(V136:AW136,"&lt;&gt;0")</f>
        <v>1</v>
      </c>
      <c r="AY136" s="141">
        <f>COUNTIF(V136:AL136,"&lt;&gt;0")</f>
        <v>1</v>
      </c>
      <c r="AZ136">
        <f>COUNTIF(V136:AC136,"&lt;&gt;0")</f>
        <v>1</v>
      </c>
      <c r="BA136">
        <f>COUNTIF(AD136:AI136,"&lt;&gt;0")</f>
        <v>0</v>
      </c>
      <c r="BB136">
        <f>COUNTIF(AJ136:AL136,"&lt;&gt;0")</f>
        <v>0</v>
      </c>
      <c r="BC136">
        <f>COUNTIF(AS136:AW136,"&lt;&gt;0")</f>
        <v>0</v>
      </c>
      <c r="BD136">
        <f>COUNTIF(AM136:AR136,"&lt;&gt;0")</f>
        <v>0</v>
      </c>
      <c r="BE136" t="str">
        <f t="array" ref="BE136">IF(AY136=1,INDEX($V$7:$AL$7,MATCH(TRUE,INDEX($V136:$AW136&lt;&gt;0,),0)),IF(AY136=0,INDEX($AM$7:$AW$7,MATCH(1,$AM136:$AW136,0)),IF(BF136="Multiple strategies","mixed drivers",IF(BF136="Supply chain","multiple supply","multiple silviculture"))))</f>
        <v xml:space="preserve">cutting intensity </v>
      </c>
      <c r="BF136" s="2" t="str" cm="1">
        <f t="array" ref="BF136">IF(COUNTIF(AZ136:BB136,"&lt;&gt;0")=1,INDEX($V$4:$AW$4,MATCH(TRUE,INDEX($V136:$AW136&lt;&gt;0,),0)),IF(COUNTIF(AZ136:BB136,"&lt;&gt;0")=0,INDEX($AM$4:$AW$4,MATCH(1,$AM136:$AW136,0)),"Multiple strategies"))</f>
        <v>Silviculture for removals</v>
      </c>
      <c r="BG136" s="178" t="s">
        <v>321</v>
      </c>
      <c r="BH136" t="s">
        <v>1297</v>
      </c>
      <c r="BI136" t="s">
        <v>1333</v>
      </c>
      <c r="BJ136" t="s">
        <v>1214</v>
      </c>
      <c r="BK136">
        <v>21.542968750001261</v>
      </c>
      <c r="BL136">
        <v>24.025869919478485</v>
      </c>
      <c r="BM136">
        <f>BL136/BK136</f>
        <v>1.1152534359721</v>
      </c>
      <c r="BN136">
        <f>BL136-BK136</f>
        <v>2.4829011694772234</v>
      </c>
      <c r="BO136">
        <f>BN136*1000000</f>
        <v>2482901.1694772234</v>
      </c>
      <c r="BP136" s="155" t="s">
        <v>232</v>
      </c>
      <c r="BQ136" s="234" t="s">
        <v>1334</v>
      </c>
      <c r="BR136" t="s">
        <v>1335</v>
      </c>
      <c r="BS136">
        <v>15.160763391344325</v>
      </c>
      <c r="BT136">
        <v>11.996175827266081</v>
      </c>
      <c r="BU136" s="144">
        <f>BT136/BS136</f>
        <v>0.79126462946549314</v>
      </c>
      <c r="BV136">
        <f>BT136-BS136</f>
        <v>-3.1645875640782446</v>
      </c>
      <c r="BW136"/>
      <c r="BX136">
        <f>BV136*1000000</f>
        <v>-3164587.5640782444</v>
      </c>
      <c r="BY136">
        <f>IFERROR(BX136/BO136,"")</f>
        <v>-1.2745523676017079</v>
      </c>
      <c r="BZ136" s="143">
        <v>0</v>
      </c>
      <c r="CA136" s="143">
        <v>0</v>
      </c>
      <c r="CB136" s="143">
        <v>0</v>
      </c>
      <c r="CC136" s="143">
        <v>0</v>
      </c>
      <c r="CD136" s="143">
        <v>0</v>
      </c>
      <c r="CE136" s="143">
        <v>0</v>
      </c>
      <c r="CF136" s="143">
        <v>0</v>
      </c>
      <c r="CG136" s="143">
        <v>0</v>
      </c>
      <c r="CH136" s="143">
        <v>0</v>
      </c>
      <c r="CI136" s="143">
        <v>0</v>
      </c>
      <c r="CJ136" s="143">
        <v>0</v>
      </c>
      <c r="CK136" s="143">
        <v>0</v>
      </c>
      <c r="CL136" s="143">
        <v>0</v>
      </c>
      <c r="CM136">
        <v>0</v>
      </c>
      <c r="CN136" t="str">
        <f>IF($BL136&lt;$BK136,"refNeedCorrection","refOK")</f>
        <v>refOK</v>
      </c>
      <c r="CO136">
        <f>IF($CN136="refOK",$BK136,$BL136)</f>
        <v>21.542968750001261</v>
      </c>
      <c r="CP136">
        <f>IF($CN136="refOK",$BL136,$BK136)</f>
        <v>24.025869919478485</v>
      </c>
      <c r="CQ136">
        <f>IF($CN136="refOK",$BO136,-$BO136)</f>
        <v>2482901.1694772234</v>
      </c>
      <c r="CR136">
        <f>IF($CN136="refOK",$BS136,$BT136)*IF($BP136="Emissions positive",-1,1)</f>
        <v>15.160763391344325</v>
      </c>
      <c r="CS136">
        <f>IF($CN136="refOK",$BT136,$BS136)*IF($BP136="Emissions positive",-1,1)</f>
        <v>11.996175827266081</v>
      </c>
      <c r="CT136">
        <f>IF($CN136="refNeedCorrection",-BX136,BX136)*IF($BP136="Emissions positive",-1,1)</f>
        <v>-3164587.5640782444</v>
      </c>
      <c r="CU136">
        <f>IFERROR(CT136/CQ136,"")</f>
        <v>-1.2745523676017079</v>
      </c>
      <c r="CV136" s="2">
        <f>IFERROR((CS136-CR136)/ABS(CR136),"")</f>
        <v>-0.20873537053450686</v>
      </c>
      <c r="CW136" s="162" t="s">
        <v>1203</v>
      </c>
      <c r="CX136" t="str">
        <f>IF(OR($CW136="prd",$CW136="std",$CW136="cit"),"loc",IF(OR($CW136="eur",$CW136="reg",$CW136="coy"),"reg",$CW136))</f>
        <v>reg</v>
      </c>
      <c r="CY136" s="155" t="s">
        <v>1281</v>
      </c>
      <c r="CZ136">
        <v>2013</v>
      </c>
      <c r="DA136">
        <v>2020</v>
      </c>
      <c r="DB136">
        <f>DA136-CZ136</f>
        <v>7</v>
      </c>
      <c r="DC136" t="str">
        <f>IF(DB136=0,"0",IF(AND(DB136&gt;=1,DB136&lt;=30),"1-30",IF(AND(DB136&gt;30,DB136&lt;=70),"31-70",IF(AND(DB136&gt;70,DB136&lt;=100),"71-100",IF(DB136&gt;100,"+100")))))</f>
        <v>1-30</v>
      </c>
      <c r="DD136">
        <v>1</v>
      </c>
      <c r="DE136">
        <v>0</v>
      </c>
      <c r="DF136">
        <v>0</v>
      </c>
      <c r="DG136">
        <v>0</v>
      </c>
      <c r="DH136">
        <v>0</v>
      </c>
      <c r="DI136">
        <f>SUM(DD136:DG136)</f>
        <v>1</v>
      </c>
      <c r="DJ136" t="str">
        <f>IF(DI136=1,INDEX($DD$7:$DG$7,MATCH(1,$DD136:$DG136,0)),"mixedProduct")</f>
        <v>UpstreamInput</v>
      </c>
      <c r="DK136" t="str">
        <f>IF(DD136=1,DK$7,0)</f>
        <v>Upstream</v>
      </c>
      <c r="DL136">
        <f>IF(DE136=1,DL$7,0)</f>
        <v>0</v>
      </c>
      <c r="DM136">
        <f>IF(DF136=1,DM$7,0)</f>
        <v>0</v>
      </c>
      <c r="DN136">
        <f>IF(DG136=1,DN$7,0)</f>
        <v>0</v>
      </c>
      <c r="DO136">
        <v>0</v>
      </c>
      <c r="DP136">
        <v>0</v>
      </c>
      <c r="DQ136">
        <v>0</v>
      </c>
      <c r="DR136">
        <v>0</v>
      </c>
      <c r="DS136">
        <v>0</v>
      </c>
      <c r="DT136"/>
      <c r="DU136"/>
      <c r="DV136">
        <v>0</v>
      </c>
      <c r="DW136">
        <v>0</v>
      </c>
      <c r="DX136">
        <v>1</v>
      </c>
      <c r="DY136">
        <v>1</v>
      </c>
      <c r="DZ136">
        <v>0</v>
      </c>
      <c r="EA136">
        <v>0</v>
      </c>
      <c r="EB136">
        <v>0</v>
      </c>
      <c r="EC136">
        <v>0</v>
      </c>
      <c r="ED136">
        <v>0</v>
      </c>
      <c r="EE136">
        <v>0</v>
      </c>
      <c r="EF136">
        <v>1</v>
      </c>
      <c r="EG136">
        <v>0</v>
      </c>
      <c r="EH136">
        <v>0</v>
      </c>
      <c r="EI136" s="2">
        <v>0</v>
      </c>
      <c r="EJ136" s="1"/>
      <c r="EK136" t="str">
        <f>IF(AND(AND(AND(OR($DX136=1,$DW136=1),OR($EC136=1,$EA136=1)),SUM($DV136:$DZ136,$EF136)&gt;=4),SUM($EA136:$EE136)&gt;=2),"Whole sector","")</f>
        <v/>
      </c>
      <c r="EL136" t="str">
        <f>IF(AND(AND(OR($DX136=1,$DW136=1),AND($EC136=0,$EA136=0)),SUM($DV136:$DZ136,$EF136)&gt;=4),"Ecosystem approach","")</f>
        <v/>
      </c>
      <c r="EM136" s="2" t="str">
        <f>IF(AND(AND(AND($DX136=0,$DW136=0),OR($EC136=1,$EA136=1)),SUM($EB136:$EE136)&gt;=2),"Technology approach","")</f>
        <v/>
      </c>
      <c r="EN136"/>
      <c r="EO136"/>
      <c r="EP136" t="str">
        <f>IF(ISNUMBER(BU136),IF(ABS(BU136-[1]QC_indicators!$B$2)&gt;3*[1]QC_indicators!$C$2,"C ratio",IF(ISNUMBER(BY136),IF(ABS(BY136-[1]QC_indicators!$B$1)&gt;3*[1]QC_indicators!$C$1,"DF","no"))),IF(ISNUMBER(BY136),IF(ABS(BY136-[1]QC_indicators!$B$1)&gt;3*[1]QC_indicators!$C$1,"DF","no")))</f>
        <v>no</v>
      </c>
      <c r="EQ136"/>
      <c r="ER136"/>
      <c r="ES136"/>
      <c r="ET136" s="305" t="s">
        <v>3411</v>
      </c>
      <c r="EU136"/>
    </row>
    <row r="137" spans="1:151" s="139" customFormat="1" ht="15" customHeight="1">
      <c r="A137" s="1" t="s">
        <v>1808</v>
      </c>
      <c r="B137" t="s">
        <v>2475</v>
      </c>
      <c r="C137" t="s">
        <v>2476</v>
      </c>
      <c r="D137" t="s">
        <v>2477</v>
      </c>
      <c r="E137" t="s">
        <v>2478</v>
      </c>
      <c r="F137" t="s">
        <v>2479</v>
      </c>
      <c r="G137" t="s">
        <v>1814</v>
      </c>
      <c r="H137" t="s">
        <v>254</v>
      </c>
      <c r="I137">
        <v>2010</v>
      </c>
      <c r="J137">
        <v>100</v>
      </c>
      <c r="K137" t="s">
        <v>2480</v>
      </c>
      <c r="L137"/>
      <c r="M137" t="str">
        <f>LEFT($D137,FIND(",",$D137)-1)&amp;"_"&amp;I137&amp;L137</f>
        <v>Werner_2010</v>
      </c>
      <c r="N137" t="s">
        <v>222</v>
      </c>
      <c r="O137" s="145" t="s">
        <v>1154</v>
      </c>
      <c r="P137"/>
      <c r="Q137" t="s">
        <v>256</v>
      </c>
      <c r="R137" s="262" t="s">
        <v>223</v>
      </c>
      <c r="S137" s="1" t="s">
        <v>2481</v>
      </c>
      <c r="T137" t="s">
        <v>2482</v>
      </c>
      <c r="U137" t="s">
        <v>1155</v>
      </c>
      <c r="V137">
        <v>1</v>
      </c>
      <c r="W137">
        <v>0</v>
      </c>
      <c r="X137">
        <v>2</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s="141">
        <f>COUNTIF(V137:AW137,"&lt;&gt;0")</f>
        <v>2</v>
      </c>
      <c r="AY137" s="141">
        <f>COUNTIF(V137:AL137,"&lt;&gt;0")</f>
        <v>2</v>
      </c>
      <c r="AZ137">
        <f>COUNTIF(V137:AC137,"&lt;&gt;0")</f>
        <v>2</v>
      </c>
      <c r="BA137">
        <f>COUNTIF(AD137:AI137,"&lt;&gt;0")</f>
        <v>0</v>
      </c>
      <c r="BB137">
        <f>COUNTIF(AJ137:AL137,"&lt;&gt;0")</f>
        <v>0</v>
      </c>
      <c r="BC137">
        <f>COUNTIF(AS137:AW137,"&lt;&gt;0")</f>
        <v>0</v>
      </c>
      <c r="BD137">
        <f>COUNTIF(AM137:AR137,"&lt;&gt;0")</f>
        <v>0</v>
      </c>
      <c r="BE137" t="str">
        <f t="array" ref="BE137">IF(AY137=1,INDEX($V$7:$AL$7,MATCH(TRUE,INDEX($V137:$AW137&lt;&gt;0,),0)),IF(AY137=0,INDEX($AM$7:$AW$7,MATCH(1,$AM137:$AW137,0)),IF(BF137="Multiple strategies","mixed drivers",IF(BF137="Supply chain","multiple supply","multiple silviculture"))))</f>
        <v>multiple silviculture</v>
      </c>
      <c r="BF137" s="2" t="str" cm="1">
        <f t="array" ref="BF137">IF(COUNTIF(AZ137:BB137,"&lt;&gt;0")=1,INDEX($V$4:$AW$4,MATCH(TRUE,INDEX($V137:$AW137&lt;&gt;0,),0)),IF(COUNTIF(AZ137:BB137,"&lt;&gt;0")=0,INDEX($AM$4:$AW$4,MATCH(1,$AM137:$AW137,0)),"Multiple strategies"))</f>
        <v>Silviculture for removals</v>
      </c>
      <c r="BG137" s="1" t="s">
        <v>321</v>
      </c>
      <c r="BH137" t="s">
        <v>2453</v>
      </c>
      <c r="BI137" s="264" t="s">
        <v>3252</v>
      </c>
      <c r="BJ137" t="s">
        <v>1323</v>
      </c>
      <c r="BK137">
        <v>300</v>
      </c>
      <c r="BL137">
        <v>517.5</v>
      </c>
      <c r="BM137" s="143">
        <f>BL137/BK137</f>
        <v>1.7250000000000001</v>
      </c>
      <c r="BN137">
        <f>BL137-BK137</f>
        <v>217.5</v>
      </c>
      <c r="BO137">
        <f>BN137*10^6</f>
        <v>217500000</v>
      </c>
      <c r="BP137" t="s">
        <v>232</v>
      </c>
      <c r="BQ137" s="303" t="s">
        <v>3253</v>
      </c>
      <c r="BR137" t="s">
        <v>2325</v>
      </c>
      <c r="BS137">
        <v>350.30815678968798</v>
      </c>
      <c r="BT137">
        <v>73.410781675763403</v>
      </c>
      <c r="BU137" s="144">
        <f>IFERROR(BT137/BS137,"")</f>
        <v>0.20956058331189961</v>
      </c>
      <c r="BV137" s="144">
        <f>BT137-BS137</f>
        <v>-276.89737511392457</v>
      </c>
      <c r="BW137" s="144"/>
      <c r="BX137">
        <f>BV137*10^6</f>
        <v>-276897375.11392456</v>
      </c>
      <c r="BY137">
        <f>IFERROR(BX137/BO137,"")</f>
        <v>-1.2730913798341359</v>
      </c>
      <c r="BZ137">
        <v>0</v>
      </c>
      <c r="CA137">
        <v>0</v>
      </c>
      <c r="CB137">
        <v>0</v>
      </c>
      <c r="CC137">
        <v>0</v>
      </c>
      <c r="CD137">
        <v>0</v>
      </c>
      <c r="CE137">
        <v>0</v>
      </c>
      <c r="CF137">
        <v>0</v>
      </c>
      <c r="CG137">
        <v>0</v>
      </c>
      <c r="CH137">
        <v>0</v>
      </c>
      <c r="CI137">
        <v>0</v>
      </c>
      <c r="CJ137">
        <v>0</v>
      </c>
      <c r="CK137">
        <v>0</v>
      </c>
      <c r="CL137">
        <v>0</v>
      </c>
      <c r="CM137">
        <v>1</v>
      </c>
      <c r="CN137" t="str">
        <f>IF($BL137&lt;$BK137,"refNeedCorrection","refOK")</f>
        <v>refOK</v>
      </c>
      <c r="CO137">
        <f>IF($CN137="refNeedCorrection",BL137,BK137)</f>
        <v>300</v>
      </c>
      <c r="CP137">
        <f>IF($CN137="refNeedCorrection",BK137,BL137)</f>
        <v>517.5</v>
      </c>
      <c r="CQ137">
        <f>IF($CN137="refOK",$BO137,-$BO137)</f>
        <v>217500000</v>
      </c>
      <c r="CR137">
        <f>IF($CN137="refOK",$BS137,$BT137)*IF($BP137="Emissions positive",-1,1)</f>
        <v>350.30815678968798</v>
      </c>
      <c r="CS137">
        <f>IF($CN137="refOK",$BT137,$BS137)*IF($BP137="Emissions positive",-1,1)</f>
        <v>73.410781675763403</v>
      </c>
      <c r="CT137">
        <f>IF($CN137="refNeedCorrection",-BX137,BX137)*IF($BP137="Emissions positive",-1,1)</f>
        <v>-276897375.11392456</v>
      </c>
      <c r="CU137">
        <f>IFERROR(CT137/CQ137,"")</f>
        <v>-1.2730913798341359</v>
      </c>
      <c r="CV137" s="2">
        <f>IFERROR((CS137-CR137)/ABS(CR137),"")</f>
        <v>-0.79043941668810036</v>
      </c>
      <c r="CW137" s="1" t="s">
        <v>1203</v>
      </c>
      <c r="CX137" t="str">
        <f>IF(OR($CW137="prd",$CW137="std",$CW137="cit"),"loc",IF(OR($CW137="eur",$CW137="reg",$CW137="coy"),"reg",$CW137))</f>
        <v>reg</v>
      </c>
      <c r="CY137" t="s">
        <v>639</v>
      </c>
      <c r="CZ137">
        <v>2000</v>
      </c>
      <c r="DA137">
        <v>2090</v>
      </c>
      <c r="DB137">
        <f>DA137-CZ137</f>
        <v>90</v>
      </c>
      <c r="DC137" t="str">
        <f>IF(DB137=0,"0",IF(AND(DB137&gt;=1,DB137&lt;=30),"1-30",IF(AND(DB137&gt;30,DB137&lt;=70),"31-70",IF(AND(DB137&gt;70,DB137&lt;=100),"71-100",IF(DB137&gt;100,"+100")))))</f>
        <v>71-100</v>
      </c>
      <c r="DD137">
        <v>1</v>
      </c>
      <c r="DE137">
        <v>0</v>
      </c>
      <c r="DF137">
        <v>0</v>
      </c>
      <c r="DG137">
        <v>0</v>
      </c>
      <c r="DH137">
        <v>0</v>
      </c>
      <c r="DI137">
        <f>SUM(DD137:DG137)</f>
        <v>1</v>
      </c>
      <c r="DJ137" t="str">
        <f>IF(DI137=1,INDEX($DD$7:$DG$7,MATCH(1,$DD137:$DG137,0)),"mixedProduct")</f>
        <v>UpstreamInput</v>
      </c>
      <c r="DK137" t="str">
        <f>IF(DD137=1,DK$7,0)</f>
        <v>Upstream</v>
      </c>
      <c r="DL137">
        <f>IF(DE137=1,DL$7,0)</f>
        <v>0</v>
      </c>
      <c r="DM137">
        <f>IF(DF137=1,DM$7,0)</f>
        <v>0</v>
      </c>
      <c r="DN137">
        <f>IF(DG137=1,DN$7,0)</f>
        <v>0</v>
      </c>
      <c r="DO137">
        <v>0</v>
      </c>
      <c r="DP137">
        <v>0</v>
      </c>
      <c r="DQ137"/>
      <c r="DR137"/>
      <c r="DS137"/>
      <c r="DT137">
        <f>SUM(DO137:DP137)</f>
        <v>0</v>
      </c>
      <c r="DU137" s="143" t="str">
        <f>IF(DO137=1,"self-calculated DF",IF(DP137=1,"external DF used","explicit C balance"))</f>
        <v>explicit C balance</v>
      </c>
      <c r="DV137">
        <v>1</v>
      </c>
      <c r="DW137">
        <v>1</v>
      </c>
      <c r="DX137">
        <v>1</v>
      </c>
      <c r="DY137">
        <v>0</v>
      </c>
      <c r="DZ137">
        <v>0</v>
      </c>
      <c r="EA137" s="143">
        <v>0</v>
      </c>
      <c r="EB137">
        <v>0</v>
      </c>
      <c r="EC137">
        <v>0</v>
      </c>
      <c r="ED137">
        <v>0</v>
      </c>
      <c r="EE137">
        <v>0</v>
      </c>
      <c r="EF137">
        <v>1</v>
      </c>
      <c r="EG137">
        <v>0</v>
      </c>
      <c r="EH137">
        <v>0</v>
      </c>
      <c r="EI137" s="2">
        <v>0</v>
      </c>
      <c r="EJ137" s="1"/>
      <c r="EK137" t="str">
        <f>IF(AND(AND(AND(OR($DX137=1,$DW137=1),OR($EC137=1,$EA137=1)),SUM($DV137:$DZ137,$EF137)&gt;=4),SUM($EA137:$EE137)&gt;=2),"Whole sector","")</f>
        <v/>
      </c>
      <c r="EL137" t="str">
        <f>IF(AND(AND(OR($DX137=1,$DW137=1),AND($EC137=0,$EA137=0)),SUM($DV137:$DZ137,$EF137)&gt;=4),"Ecosystem approach","")</f>
        <v>Ecosystem approach</v>
      </c>
      <c r="EM137" s="2" t="str">
        <f>IF(AND(AND(AND($DX137=0,$DW137=0),OR($EC137=1,$EA137=1)),SUM($EB137:$EE137)&gt;=2),"Technology approach","")</f>
        <v/>
      </c>
      <c r="EN137" t="s">
        <v>2485</v>
      </c>
      <c r="EO137"/>
      <c r="EP137" t="str">
        <f>IF(ISNUMBER(BU137),IF(ABS(BU137-[1]QC_indicators!$B$2)&gt;3*[1]QC_indicators!$C$2,"C ratio",IF(ISNUMBER(BY137),IF(ABS(BY137-[1]QC_indicators!$B$1)&gt;3*[1]QC_indicators!$C$1,"DF","no"))),IF(ISNUMBER(BY137),IF(ABS(BY137-[1]QC_indicators!$B$1)&gt;3*[1]QC_indicators!$C$1,"DF","no")))</f>
        <v>no</v>
      </c>
      <c r="EQ137"/>
      <c r="ER137"/>
      <c r="ES137"/>
      <c r="ET137" s="264" t="s">
        <v>3254</v>
      </c>
      <c r="EU137"/>
    </row>
    <row r="138" spans="1:151" s="139" customFormat="1" ht="15" customHeight="1">
      <c r="A138" s="1" t="s">
        <v>1972</v>
      </c>
      <c r="B138" t="s">
        <v>2445</v>
      </c>
      <c r="C138" t="s">
        <v>2446</v>
      </c>
      <c r="D138" t="s">
        <v>2447</v>
      </c>
      <c r="E138" t="s">
        <v>2448</v>
      </c>
      <c r="F138" t="s">
        <v>2449</v>
      </c>
      <c r="G138" t="s">
        <v>1978</v>
      </c>
      <c r="H138" t="s">
        <v>254</v>
      </c>
      <c r="I138">
        <v>2018</v>
      </c>
      <c r="J138">
        <v>8</v>
      </c>
      <c r="K138" t="s">
        <v>2450</v>
      </c>
      <c r="L138"/>
      <c r="M138" t="str">
        <f>LEFT($D138,FIND(",",$D138)-1)&amp;"_"&amp;I138&amp;L138</f>
        <v>Valade_2018</v>
      </c>
      <c r="N138" t="s">
        <v>222</v>
      </c>
      <c r="O138" s="145" t="s">
        <v>1154</v>
      </c>
      <c r="P138"/>
      <c r="Q138" t="s">
        <v>256</v>
      </c>
      <c r="R138" s="255" t="s">
        <v>225</v>
      </c>
      <c r="S138" s="1" t="s">
        <v>2456</v>
      </c>
      <c r="T138" t="s">
        <v>2444</v>
      </c>
      <c r="U138" t="s">
        <v>2457</v>
      </c>
      <c r="V138">
        <v>0</v>
      </c>
      <c r="W138">
        <v>0</v>
      </c>
      <c r="X138">
        <v>1</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s="141">
        <f>COUNTIF(V138:AW138,"&lt;&gt;0")</f>
        <v>1</v>
      </c>
      <c r="AY138" s="141">
        <f>COUNTIF(V138:AL138,"&lt;&gt;0")</f>
        <v>1</v>
      </c>
      <c r="AZ138">
        <f>COUNTIF(V138:AC138,"&lt;&gt;0")</f>
        <v>1</v>
      </c>
      <c r="BA138">
        <f>COUNTIF(AD138:AI138,"&lt;&gt;0")</f>
        <v>0</v>
      </c>
      <c r="BB138">
        <f>COUNTIF(AJ138:AL138,"&lt;&gt;0")</f>
        <v>0</v>
      </c>
      <c r="BC138">
        <f>COUNTIF(AS138:AW138,"&lt;&gt;0")</f>
        <v>0</v>
      </c>
      <c r="BD138">
        <f>COUNTIF(AM138:AR138,"&lt;&gt;0")</f>
        <v>0</v>
      </c>
      <c r="BE138" t="str">
        <f t="array" ref="BE138">IF(AY138=1,INDEX($V$7:$AL$7,MATCH(TRUE,INDEX($V138:$AW138&lt;&gt;0,),0)),IF(AY138=0,INDEX($AM$7:$AW$7,MATCH(1,$AM138:$AW138,0)),IF(BF138="Multiple strategies","mixed drivers",IF(BF138="Supply chain","multiple supply","multiple silviculture"))))</f>
        <v>rotation length</v>
      </c>
      <c r="BF138" s="2" t="str" cm="1">
        <f t="array" ref="BF138">IF(COUNTIF(AZ138:BB138,"&lt;&gt;0")=1,INDEX($V$4:$AW$4,MATCH(TRUE,INDEX($V138:$AW138&lt;&gt;0,),0)),IF(COUNTIF(AZ138:BB138,"&lt;&gt;0")=0,INDEX($AM$4:$AW$4,MATCH(1,$AM138:$AW138,0)),"Multiple strategies"))</f>
        <v>Silviculture for removals</v>
      </c>
      <c r="BG138" s="1" t="s">
        <v>321</v>
      </c>
      <c r="BH138" t="s">
        <v>2453</v>
      </c>
      <c r="BI138" s="260" t="s">
        <v>3399</v>
      </c>
      <c r="BJ138" t="s">
        <v>1323</v>
      </c>
      <c r="BK138">
        <v>1168.5023099755704</v>
      </c>
      <c r="BL138">
        <v>2095.3144563242754</v>
      </c>
      <c r="BM138" s="143">
        <f>BL138/BK138</f>
        <v>1.7931624425869399</v>
      </c>
      <c r="BN138">
        <f>BL138-BK138</f>
        <v>926.81214634870503</v>
      </c>
      <c r="BO138">
        <f>BN138*10^6</f>
        <v>926812146.34870505</v>
      </c>
      <c r="BP138" t="s">
        <v>232</v>
      </c>
      <c r="BQ138" s="300" t="s">
        <v>3402</v>
      </c>
      <c r="BR138" t="s">
        <v>1359</v>
      </c>
      <c r="BS138">
        <v>391.99006315946394</v>
      </c>
      <c r="BT138">
        <v>74.541239000000004</v>
      </c>
      <c r="BU138" s="144">
        <f>IFERROR(BT138/BS138,"")</f>
        <v>0.19016104234682135</v>
      </c>
      <c r="BV138" s="144">
        <f>BT138-BS138</f>
        <v>-317.44882415946392</v>
      </c>
      <c r="BW138" s="144"/>
      <c r="BX138">
        <f>BV138*10^6*C_to_CO2</f>
        <v>-1165037184.6652327</v>
      </c>
      <c r="BY138">
        <f>IFERROR(BX138/BO138,"")</f>
        <v>-1.2570370266024735</v>
      </c>
      <c r="BZ138">
        <v>0</v>
      </c>
      <c r="CA138">
        <v>0</v>
      </c>
      <c r="CB138">
        <v>0</v>
      </c>
      <c r="CC138">
        <v>0</v>
      </c>
      <c r="CD138">
        <v>0</v>
      </c>
      <c r="CE138">
        <v>0</v>
      </c>
      <c r="CF138">
        <v>0</v>
      </c>
      <c r="CG138">
        <v>0</v>
      </c>
      <c r="CH138">
        <v>0</v>
      </c>
      <c r="CI138">
        <v>0</v>
      </c>
      <c r="CJ138">
        <v>0</v>
      </c>
      <c r="CK138">
        <v>0</v>
      </c>
      <c r="CL138">
        <v>0</v>
      </c>
      <c r="CM138">
        <v>0</v>
      </c>
      <c r="CN138" t="str">
        <f>IF($BL138&lt;$BK138,"refNeedCorrection","refOK")</f>
        <v>refOK</v>
      </c>
      <c r="CO138">
        <f>IF($CN138="refNeedCorrection",BL138,BK138)</f>
        <v>1168.5023099755704</v>
      </c>
      <c r="CP138">
        <f>IF($CN138="refNeedCorrection",BK138,BL138)</f>
        <v>2095.3144563242754</v>
      </c>
      <c r="CQ138">
        <f>IF($CN138="refOK",$BO138,-$BO138)</f>
        <v>926812146.34870505</v>
      </c>
      <c r="CR138">
        <f>IF($CN138="refOK",$BS138,$BT138)*IF($BP138="Emissions positive",-1,1)</f>
        <v>391.99006315946394</v>
      </c>
      <c r="CS138">
        <f>IF($CN138="refOK",$BT138,$BS138)*IF($BP138="Emissions positive",-1,1)</f>
        <v>74.541239000000004</v>
      </c>
      <c r="CT138">
        <f>IF($CN138="refNeedCorrection",-BX138,BX138)*IF($BP138="Emissions positive",-1,1)</f>
        <v>-1165037184.6652327</v>
      </c>
      <c r="CU138">
        <f>IFERROR(CT138/CQ138,"")</f>
        <v>-1.2570370266024735</v>
      </c>
      <c r="CV138" s="2">
        <f>IFERROR((CS138-CR138)/ABS(CR138),"")</f>
        <v>-0.80983895765317859</v>
      </c>
      <c r="CW138" s="1" t="s">
        <v>1203</v>
      </c>
      <c r="CX138" t="str">
        <f>IF(OR($CW138="prd",$CW138="std",$CW138="cit"),"loc",IF(OR($CW138="eur",$CW138="reg",$CW138="coy"),"reg",$CW138))</f>
        <v>reg</v>
      </c>
      <c r="CY138" t="s">
        <v>729</v>
      </c>
      <c r="CZ138">
        <v>2015</v>
      </c>
      <c r="DA138">
        <v>2040</v>
      </c>
      <c r="DB138">
        <f>DA138-CZ138</f>
        <v>25</v>
      </c>
      <c r="DC138" t="str">
        <f>IF(DB138=0,"0",IF(AND(DB138&gt;=1,DB138&lt;=30),"1-30",IF(AND(DB138&gt;30,DB138&lt;=70),"31-70",IF(AND(DB138&gt;70,DB138&lt;=100),"71-100",IF(DB138&gt;100,"+100")))))</f>
        <v>1-30</v>
      </c>
      <c r="DD138">
        <v>1</v>
      </c>
      <c r="DE138">
        <v>1</v>
      </c>
      <c r="DF138">
        <v>1</v>
      </c>
      <c r="DG138">
        <v>1</v>
      </c>
      <c r="DH138"/>
      <c r="DI138">
        <f>SUM(DD138:DG138)</f>
        <v>4</v>
      </c>
      <c r="DJ138" t="str">
        <f>IF(DI138=1,INDEX($DD$7:$DG$7,MATCH(1,$DD138:$DG138,0)),"mixedProduct")</f>
        <v>mixedProduct</v>
      </c>
      <c r="DK138" t="str">
        <f>IF(DD138=1,DK$7,0)</f>
        <v>Upstream</v>
      </c>
      <c r="DL138" t="str">
        <f>IF(DE138=1,DL$7,0)</f>
        <v>Energy</v>
      </c>
      <c r="DM138" t="str">
        <f>IF(DF138=1,DM$7,0)</f>
        <v>Pulp/Paper</v>
      </c>
      <c r="DN138" t="str">
        <f>IF(DG138=1,DN$7,0)</f>
        <v>Timber</v>
      </c>
      <c r="DO138">
        <v>0</v>
      </c>
      <c r="DP138">
        <v>0</v>
      </c>
      <c r="DQ138">
        <v>0</v>
      </c>
      <c r="DR138">
        <v>0</v>
      </c>
      <c r="DS138">
        <v>0</v>
      </c>
      <c r="DT138">
        <f>SUM(DO138:DP138)</f>
        <v>0</v>
      </c>
      <c r="DU138" s="143" t="str">
        <f>IF(DO138=1,"self-calculated DF",IF(DP138=1,"external DF used","explicit C balance"))</f>
        <v>explicit C balance</v>
      </c>
      <c r="DV138">
        <v>0</v>
      </c>
      <c r="DW138">
        <v>1</v>
      </c>
      <c r="DX138">
        <v>1</v>
      </c>
      <c r="DY138">
        <v>1</v>
      </c>
      <c r="DZ138">
        <v>1</v>
      </c>
      <c r="EA138" s="143">
        <v>0</v>
      </c>
      <c r="EB138">
        <v>0</v>
      </c>
      <c r="EC138">
        <v>0</v>
      </c>
      <c r="ED138">
        <v>0</v>
      </c>
      <c r="EE138">
        <v>0</v>
      </c>
      <c r="EF138">
        <v>1</v>
      </c>
      <c r="EG138">
        <v>0</v>
      </c>
      <c r="EH138">
        <v>0</v>
      </c>
      <c r="EI138" s="2">
        <v>0</v>
      </c>
      <c r="EJ138" s="1"/>
      <c r="EK138" t="str">
        <f>IF(AND(AND(AND(OR($DX138=1,$DW138=1),OR($EC138=1,$EA138=1)),SUM($DV138:$DZ138,$EF138)&gt;=4),SUM($EA138:$EE138)&gt;=2),"Whole sector","")</f>
        <v/>
      </c>
      <c r="EL138" t="str">
        <f>IF(AND(AND(OR($DX138=1,$DW138=1),AND($EC138=0,$EA138=0)),SUM($DV138:$DZ138,$EF138)&gt;=4),"Ecosystem approach","")</f>
        <v>Ecosystem approach</v>
      </c>
      <c r="EM138" s="2" t="str">
        <f>IF(AND(AND(AND($DX138=0,$DW138=0),OR($EC138=1,$EA138=1)),SUM($EB138:$EE138)&gt;=2),"Technology approach","")</f>
        <v/>
      </c>
      <c r="EN138"/>
      <c r="EO138"/>
      <c r="EP138" t="str">
        <f>IF(ISNUMBER(BU138),IF(ABS(BU138-[4]QC_indicators!$B$2)&gt;3*[4]QC_indicators!$C$2,"C ratio",IF(ISNUMBER(BY138),IF(ABS(BY138-[4]QC_indicators!$B$1)&gt;3*[4]QC_indicators!$C$1,"DF","no"))),IF(ISNUMBER(BY138),IF(ABS(BY138-[4]QC_indicators!$B$1)&gt;3*[4]QC_indicators!$C$1,"DF","no")))</f>
        <v>no</v>
      </c>
      <c r="EQ138" t="s">
        <v>2378</v>
      </c>
      <c r="ER138"/>
      <c r="ES138"/>
      <c r="ET138" s="264" t="s">
        <v>3273</v>
      </c>
      <c r="EU138"/>
    </row>
    <row r="139" spans="1:151" s="139" customFormat="1" ht="15" customHeight="1">
      <c r="A139" s="1" t="s">
        <v>1808</v>
      </c>
      <c r="B139" t="s">
        <v>2475</v>
      </c>
      <c r="C139" t="s">
        <v>2476</v>
      </c>
      <c r="D139" t="s">
        <v>2477</v>
      </c>
      <c r="E139" t="s">
        <v>2478</v>
      </c>
      <c r="F139" t="s">
        <v>2479</v>
      </c>
      <c r="G139" t="s">
        <v>1814</v>
      </c>
      <c r="H139" t="s">
        <v>254</v>
      </c>
      <c r="I139">
        <v>2010</v>
      </c>
      <c r="J139">
        <v>100</v>
      </c>
      <c r="K139" t="s">
        <v>2480</v>
      </c>
      <c r="L139"/>
      <c r="M139" t="str">
        <f>LEFT($D139,FIND(",",$D139)-1)&amp;"_"&amp;I139&amp;L139</f>
        <v>Werner_2010</v>
      </c>
      <c r="N139" t="s">
        <v>222</v>
      </c>
      <c r="O139" s="145" t="s">
        <v>1154</v>
      </c>
      <c r="P139"/>
      <c r="Q139" t="s">
        <v>256</v>
      </c>
      <c r="R139" s="262" t="s">
        <v>223</v>
      </c>
      <c r="S139" s="1" t="s">
        <v>2481</v>
      </c>
      <c r="T139" t="s">
        <v>2482</v>
      </c>
      <c r="U139" t="s">
        <v>2486</v>
      </c>
      <c r="V139">
        <v>1</v>
      </c>
      <c r="W139">
        <v>0</v>
      </c>
      <c r="X139">
        <v>2</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s="141">
        <f>COUNTIF(V139:AW139,"&lt;&gt;0")</f>
        <v>2</v>
      </c>
      <c r="AY139" s="141">
        <f>COUNTIF(V139:AL139,"&lt;&gt;0")</f>
        <v>2</v>
      </c>
      <c r="AZ139">
        <f>COUNTIF(V139:AC139,"&lt;&gt;0")</f>
        <v>2</v>
      </c>
      <c r="BA139">
        <f>COUNTIF(AD139:AI139,"&lt;&gt;0")</f>
        <v>0</v>
      </c>
      <c r="BB139">
        <f>COUNTIF(AJ139:AL139,"&lt;&gt;0")</f>
        <v>0</v>
      </c>
      <c r="BC139">
        <f>COUNTIF(AS139:AW139,"&lt;&gt;0")</f>
        <v>0</v>
      </c>
      <c r="BD139">
        <f>COUNTIF(AM139:AR139,"&lt;&gt;0")</f>
        <v>0</v>
      </c>
      <c r="BE139" t="str">
        <f t="array" ref="BE139">IF(AY139=1,INDEX($V$7:$AL$7,MATCH(TRUE,INDEX($V139:$AW139&lt;&gt;0,),0)),IF(AY139=0,INDEX($AM$7:$AW$7,MATCH(1,$AM139:$AW139,0)),IF(BF139="Multiple strategies","mixed drivers",IF(BF139="Supply chain","multiple supply","multiple silviculture"))))</f>
        <v>multiple silviculture</v>
      </c>
      <c r="BF139" s="2" t="str" cm="1">
        <f t="array" ref="BF139">IF(COUNTIF(AZ139:BB139,"&lt;&gt;0")=1,INDEX($V$4:$AW$4,MATCH(TRUE,INDEX($V139:$AW139&lt;&gt;0,),0)),IF(COUNTIF(AZ139:BB139,"&lt;&gt;0")=0,INDEX($AM$4:$AW$4,MATCH(1,$AM139:$AW139,0)),"Multiple strategies"))</f>
        <v>Silviculture for removals</v>
      </c>
      <c r="BG139" s="1" t="s">
        <v>321</v>
      </c>
      <c r="BH139" t="s">
        <v>2453</v>
      </c>
      <c r="BI139" s="264" t="s">
        <v>3252</v>
      </c>
      <c r="BJ139" t="s">
        <v>1323</v>
      </c>
      <c r="BK139">
        <v>120</v>
      </c>
      <c r="BL139">
        <v>202.5</v>
      </c>
      <c r="BM139" s="143">
        <f>BL139/BK139</f>
        <v>1.6875</v>
      </c>
      <c r="BN139">
        <f>BL139-BK139</f>
        <v>82.5</v>
      </c>
      <c r="BO139">
        <f>BN139*10^6</f>
        <v>82500000</v>
      </c>
      <c r="BP139" t="s">
        <v>232</v>
      </c>
      <c r="BQ139" s="303" t="s">
        <v>3253</v>
      </c>
      <c r="BR139" t="s">
        <v>2325</v>
      </c>
      <c r="BS139">
        <v>227.98379614391621</v>
      </c>
      <c r="BT139">
        <v>124.4335634259679</v>
      </c>
      <c r="BU139" s="144">
        <f>IFERROR(BT139/BS139,"")</f>
        <v>0.54580003285592471</v>
      </c>
      <c r="BV139" s="144">
        <f>BT139-BS139</f>
        <v>-103.5502327179483</v>
      </c>
      <c r="BW139" s="144"/>
      <c r="BX139">
        <f>BV139*10^6</f>
        <v>-103550232.7179483</v>
      </c>
      <c r="BY139">
        <f>IFERROR(BX139/BO139,"")</f>
        <v>-1.2551543359751309</v>
      </c>
      <c r="BZ139">
        <v>0</v>
      </c>
      <c r="CA139">
        <v>0</v>
      </c>
      <c r="CB139">
        <v>0</v>
      </c>
      <c r="CC139">
        <v>0</v>
      </c>
      <c r="CD139">
        <v>0</v>
      </c>
      <c r="CE139">
        <v>0</v>
      </c>
      <c r="CF139">
        <v>0</v>
      </c>
      <c r="CG139">
        <v>0</v>
      </c>
      <c r="CH139">
        <v>0</v>
      </c>
      <c r="CI139">
        <v>0</v>
      </c>
      <c r="CJ139">
        <v>0</v>
      </c>
      <c r="CK139">
        <v>0</v>
      </c>
      <c r="CL139">
        <v>0</v>
      </c>
      <c r="CM139">
        <v>1</v>
      </c>
      <c r="CN139" t="str">
        <f>IF($BL139&lt;$BK139,"refNeedCorrection","refOK")</f>
        <v>refOK</v>
      </c>
      <c r="CO139">
        <f>IF($CN139="refOK",$BK139,$BL139)</f>
        <v>120</v>
      </c>
      <c r="CP139">
        <f>IF($CN139="refOK",$BL139,$BK139)</f>
        <v>202.5</v>
      </c>
      <c r="CQ139">
        <f>IF($CN139="refOK",$BO139,-$BO139)</f>
        <v>82500000</v>
      </c>
      <c r="CR139">
        <f>IF($CN139="refOK",$BS139,$BT139)*IF($BP139="Emissions positive",-1,1)</f>
        <v>227.98379614391621</v>
      </c>
      <c r="CS139">
        <f>IF($CN139="refOK",$BT139,$BS139)*IF($BP139="Emissions positive",-1,1)</f>
        <v>124.4335634259679</v>
      </c>
      <c r="CT139">
        <f>IF($CN139="refNeedCorrection",-BX139,BX139)*IF($BP139="Emissions positive",-1,1)</f>
        <v>-103550232.7179483</v>
      </c>
      <c r="CU139">
        <f>IFERROR(CT139/CQ139,"")</f>
        <v>-1.2551543359751309</v>
      </c>
      <c r="CV139" s="2">
        <f>IFERROR((CS139-CR139)/ABS(CR139),"")</f>
        <v>-0.45419996714407529</v>
      </c>
      <c r="CW139" s="1" t="s">
        <v>1203</v>
      </c>
      <c r="CX139" t="str">
        <f>IF(OR($CW139="prd",$CW139="std",$CW139="cit"),"loc",IF(OR($CW139="eur",$CW139="reg",$CW139="coy"),"reg",$CW139))</f>
        <v>reg</v>
      </c>
      <c r="CY139" t="s">
        <v>639</v>
      </c>
      <c r="CZ139">
        <v>2000</v>
      </c>
      <c r="DA139">
        <v>2030</v>
      </c>
      <c r="DB139">
        <f>DA139-CZ139</f>
        <v>30</v>
      </c>
      <c r="DC139" t="str">
        <f>IF(DB139=0,"0",IF(AND(DB139&gt;=1,DB139&lt;=30),"1-30",IF(AND(DB139&gt;30,DB139&lt;=70),"31-70",IF(AND(DB139&gt;70,DB139&lt;=100),"71-100",IF(DB139&gt;100,"+100")))))</f>
        <v>1-30</v>
      </c>
      <c r="DD139">
        <v>1</v>
      </c>
      <c r="DE139">
        <v>0</v>
      </c>
      <c r="DF139">
        <v>0</v>
      </c>
      <c r="DG139">
        <v>0</v>
      </c>
      <c r="DH139">
        <v>0</v>
      </c>
      <c r="DI139">
        <f>SUM(DD139:DG139)</f>
        <v>1</v>
      </c>
      <c r="DJ139" t="str">
        <f>IF(DI139=1,INDEX($DD$7:$DG$7,MATCH(1,$DD139:$DG139,0)),"mixedProduct")</f>
        <v>UpstreamInput</v>
      </c>
      <c r="DK139" t="str">
        <f>IF(DD139=1,DK$7,0)</f>
        <v>Upstream</v>
      </c>
      <c r="DL139">
        <f>IF(DE139=1,DL$7,0)</f>
        <v>0</v>
      </c>
      <c r="DM139">
        <f>IF(DF139=1,DM$7,0)</f>
        <v>0</v>
      </c>
      <c r="DN139">
        <f>IF(DG139=1,DN$7,0)</f>
        <v>0</v>
      </c>
      <c r="DO139">
        <v>0</v>
      </c>
      <c r="DP139">
        <v>0</v>
      </c>
      <c r="DQ139"/>
      <c r="DR139"/>
      <c r="DS139"/>
      <c r="DT139">
        <f>SUM(DO139:DP139)</f>
        <v>0</v>
      </c>
      <c r="DU139" s="143" t="str">
        <f>IF(DO139=1,"self-calculated DF",IF(DP139=1,"external DF used","explicit C balance"))</f>
        <v>explicit C balance</v>
      </c>
      <c r="DV139">
        <v>1</v>
      </c>
      <c r="DW139">
        <v>1</v>
      </c>
      <c r="DX139">
        <v>1</v>
      </c>
      <c r="DY139">
        <v>1</v>
      </c>
      <c r="DZ139">
        <v>1</v>
      </c>
      <c r="EA139" s="143">
        <v>0</v>
      </c>
      <c r="EB139">
        <v>0</v>
      </c>
      <c r="EC139">
        <v>0</v>
      </c>
      <c r="ED139">
        <v>0</v>
      </c>
      <c r="EE139">
        <v>0</v>
      </c>
      <c r="EF139">
        <v>1</v>
      </c>
      <c r="EG139">
        <v>0</v>
      </c>
      <c r="EH139">
        <v>0</v>
      </c>
      <c r="EI139" s="2">
        <v>0</v>
      </c>
      <c r="EJ139" s="1"/>
      <c r="EK139" t="str">
        <f>IF(AND(AND(AND(OR($DX139=1,$DW139=1),OR($EC139=1,$EA139=1)),SUM($DV139:$DZ139,$EF139)&gt;=4),SUM($EA139:$EE139)&gt;=2),"Whole sector","")</f>
        <v/>
      </c>
      <c r="EL139" t="str">
        <f>IF(AND(AND(OR($DX139=1,$DW139=1),AND($EC139=0,$EA139=0)),SUM($DV139:$DZ139,$EF139)&gt;=4),"Ecosystem approach","")</f>
        <v>Ecosystem approach</v>
      </c>
      <c r="EM139" s="2" t="str">
        <f>IF(AND(AND(AND($DX139=0,$DW139=0),OR($EC139=1,$EA139=1)),SUM($EB139:$EE139)&gt;=2),"Technology approach","")</f>
        <v/>
      </c>
      <c r="EN139" t="s">
        <v>2485</v>
      </c>
      <c r="EO139"/>
      <c r="EP139" t="str">
        <f>IF(ISNUMBER(BU139),IF(ABS(BU139-[1]QC_indicators!$B$2)&gt;3*[1]QC_indicators!$C$2,"C ratio",IF(ISNUMBER(BY139),IF(ABS(BY139-[1]QC_indicators!$B$1)&gt;3*[1]QC_indicators!$C$1,"DF","no"))),IF(ISNUMBER(BY139),IF(ABS(BY139-[1]QC_indicators!$B$1)&gt;3*[1]QC_indicators!$C$1,"DF","no")))</f>
        <v>no</v>
      </c>
      <c r="EQ139"/>
      <c r="ER139"/>
      <c r="ES139"/>
      <c r="ET139" s="264" t="s">
        <v>3254</v>
      </c>
      <c r="EU139"/>
    </row>
    <row r="140" spans="1:151" s="139" customFormat="1" ht="15" customHeight="1">
      <c r="A140" s="1" t="s">
        <v>1400</v>
      </c>
      <c r="B140" t="s">
        <v>1401</v>
      </c>
      <c r="C140" t="s">
        <v>1402</v>
      </c>
      <c r="D140" t="s">
        <v>1403</v>
      </c>
      <c r="E140" t="s">
        <v>1404</v>
      </c>
      <c r="F140" t="s">
        <v>1405</v>
      </c>
      <c r="G140" t="s">
        <v>1406</v>
      </c>
      <c r="H140" t="s">
        <v>254</v>
      </c>
      <c r="I140">
        <v>2021</v>
      </c>
      <c r="J140">
        <v>0</v>
      </c>
      <c r="K140" t="s">
        <v>1407</v>
      </c>
      <c r="L140"/>
      <c r="M140" t="str">
        <f>LEFT($D140,FIND(",",$D140)-1)&amp;"_"&amp;I140&amp;L140</f>
        <v>Dugan_2021</v>
      </c>
      <c r="N140" t="s">
        <v>222</v>
      </c>
      <c r="O140" s="145" t="s">
        <v>274</v>
      </c>
      <c r="P140"/>
      <c r="Q140" t="s">
        <v>256</v>
      </c>
      <c r="R140" s="255" t="s">
        <v>225</v>
      </c>
      <c r="S140" s="1" t="s">
        <v>314</v>
      </c>
      <c r="T140" t="s">
        <v>1413</v>
      </c>
      <c r="U140" t="s">
        <v>1111</v>
      </c>
      <c r="V140">
        <v>0</v>
      </c>
      <c r="W140">
        <v>0</v>
      </c>
      <c r="X140">
        <v>1</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s="141">
        <f>COUNTIF(V140:AW140,"&lt;&gt;0")</f>
        <v>1</v>
      </c>
      <c r="AY140" s="141">
        <f>COUNTIF(V140:AL140,"&lt;&gt;0")</f>
        <v>1</v>
      </c>
      <c r="AZ140">
        <f>COUNTIF(V140:AC140,"&lt;&gt;0")</f>
        <v>1</v>
      </c>
      <c r="BA140">
        <f>COUNTIF(AD140:AI140,"&lt;&gt;0")</f>
        <v>0</v>
      </c>
      <c r="BB140">
        <f>COUNTIF(AJ140:AL140,"&lt;&gt;0")</f>
        <v>0</v>
      </c>
      <c r="BC140">
        <f>COUNTIF(AS140:AW140,"&lt;&gt;0")</f>
        <v>0</v>
      </c>
      <c r="BD140">
        <f>COUNTIF(AM140:AR140,"&lt;&gt;0")</f>
        <v>0</v>
      </c>
      <c r="BE140" t="str">
        <f t="array" ref="BE140">IF(AY140=1,INDEX($V$7:$AL$7,MATCH(TRUE,INDEX($V140:$AW140&lt;&gt;0,),0)),IF(AY140=0,INDEX($AM$7:$AW$7,MATCH(1,$AM140:$AW140,0)),IF(BF140="Multiple strategies","mixed drivers",IF(BF140="Supply chain","multiple supply","multiple silviculture"))))</f>
        <v>rotation length</v>
      </c>
      <c r="BF140" s="2" t="str" cm="1">
        <f t="array" ref="BF140">IF(COUNTIF(AZ140:BB140,"&lt;&gt;0")=1,INDEX($V$4:$AW$4,MATCH(TRUE,INDEX($V140:$AW140&lt;&gt;0,),0)),IF(COUNTIF(AZ140:BB140,"&lt;&gt;0")=0,INDEX($AM$4:$AW$4,MATCH(1,$AM140:$AW140,0)),"Multiple strategies"))</f>
        <v>Silviculture for removals</v>
      </c>
      <c r="BG140" s="1" t="s">
        <v>321</v>
      </c>
      <c r="BH140" t="s">
        <v>1410</v>
      </c>
      <c r="BI140" s="260" t="s">
        <v>3318</v>
      </c>
      <c r="BJ140" t="s">
        <v>1359</v>
      </c>
      <c r="BK140" s="264">
        <f>0.9*BL140</f>
        <v>13.148999999999999</v>
      </c>
      <c r="BL140" s="264">
        <v>14.61</v>
      </c>
      <c r="BM140"/>
      <c r="BN140" s="227">
        <f>BL140-BK140</f>
        <v>1.4610000000000003</v>
      </c>
      <c r="BO140">
        <f>BN140*10^6*tC_to_m3</f>
        <v>6343899.2618323937</v>
      </c>
      <c r="BP140" t="s">
        <v>232</v>
      </c>
      <c r="BQ140" s="300" t="s">
        <v>3319</v>
      </c>
      <c r="BR140" t="s">
        <v>1300</v>
      </c>
      <c r="BS140" s="152"/>
      <c r="BT140" s="152"/>
      <c r="BU140" s="144"/>
      <c r="BV140" s="284">
        <v>-7.9482690622076007</v>
      </c>
      <c r="BW140"/>
      <c r="BX140">
        <f>BV140*10^6</f>
        <v>-7948269.062207601</v>
      </c>
      <c r="BY140">
        <f>IFERROR(BX140/BO140,"")</f>
        <v>-1.252899633830534</v>
      </c>
      <c r="BZ140">
        <v>0</v>
      </c>
      <c r="CA140">
        <v>0</v>
      </c>
      <c r="CB140">
        <v>0</v>
      </c>
      <c r="CC140">
        <v>0</v>
      </c>
      <c r="CD140">
        <v>0</v>
      </c>
      <c r="CE140">
        <v>0</v>
      </c>
      <c r="CF140">
        <v>0</v>
      </c>
      <c r="CG140">
        <v>0</v>
      </c>
      <c r="CH140">
        <v>0</v>
      </c>
      <c r="CI140">
        <v>0</v>
      </c>
      <c r="CJ140">
        <v>0</v>
      </c>
      <c r="CK140">
        <v>0</v>
      </c>
      <c r="CL140">
        <v>0</v>
      </c>
      <c r="CM140">
        <v>0</v>
      </c>
      <c r="CN140" t="str">
        <f>IF(BL140&lt;BK140,"refNeedCorrection","refOK")</f>
        <v>refOK</v>
      </c>
      <c r="CO140"/>
      <c r="CP140"/>
      <c r="CQ140">
        <f>IF($CN140="refNeedCorrection",-BO140,BO140)</f>
        <v>6343899.2618323937</v>
      </c>
      <c r="CR140">
        <f>IF($CN140="refOK",$BS140,$BT140)*IF($BP140="Emissions positive",-1,1)</f>
        <v>0</v>
      </c>
      <c r="CS140">
        <f>IF($CN140="refOK",$BT140,$BS140)*IF($BP140="Emissions positive",-1,1)</f>
        <v>0</v>
      </c>
      <c r="CT140">
        <f>IF($CN140="refNeedCorrection",-BX140,BX140)*IF($BP140="Emissions positive",-1,1)</f>
        <v>-7948269.062207601</v>
      </c>
      <c r="CU140">
        <f>IFERROR(CT140/CQ140,"")</f>
        <v>-1.252899633830534</v>
      </c>
      <c r="CV140" s="2" t="str">
        <f>IFERROR((CS140-CR140)/ABS(CR140),"")</f>
        <v/>
      </c>
      <c r="CW140" s="1" t="s">
        <v>1199</v>
      </c>
      <c r="CX140" t="str">
        <f>IF(OR($CW140="prd",$CW140="std",$CW140="cit"),"loc",IF(OR($CW140="eur",$CW140="reg",$CW140="coy"),"reg",$CW140))</f>
        <v>reg</v>
      </c>
      <c r="CY140" t="s">
        <v>428</v>
      </c>
      <c r="CZ140">
        <v>2020</v>
      </c>
      <c r="DA140">
        <v>2050</v>
      </c>
      <c r="DB140">
        <v>30</v>
      </c>
      <c r="DC140" t="str">
        <f>IF(DB140=0,"0",IF(AND(DB140&gt;=1,DB140&lt;=30),"1-30",IF(AND(DB140&gt;30,DB140&lt;=70),"31-70",IF(AND(DB140&gt;70,DB140&lt;=100),"71-100",IF(DB140&gt;100,"+100")))))</f>
        <v>1-30</v>
      </c>
      <c r="DD140">
        <v>0</v>
      </c>
      <c r="DE140">
        <v>1</v>
      </c>
      <c r="DF140">
        <v>1</v>
      </c>
      <c r="DG140">
        <v>1</v>
      </c>
      <c r="DH140"/>
      <c r="DI140">
        <f>SUM(DD140:DG140)</f>
        <v>3</v>
      </c>
      <c r="DJ140" t="str">
        <f>IF(DI140=1,INDEX($DD$7:$DG$7,MATCH(1,$DD140:$DG140,0)),"mixedProduct")</f>
        <v>mixedProduct</v>
      </c>
      <c r="DK140">
        <f>IF(DD140=1,DK$7,0)</f>
        <v>0</v>
      </c>
      <c r="DL140" t="str">
        <f>IF(DE140=1,DL$7,0)</f>
        <v>Energy</v>
      </c>
      <c r="DM140" t="str">
        <f>IF(DF140=1,DM$7,0)</f>
        <v>Pulp/Paper</v>
      </c>
      <c r="DN140" t="str">
        <f>IF(DG140=1,DN$7,0)</f>
        <v>Timber</v>
      </c>
      <c r="DO140">
        <v>0</v>
      </c>
      <c r="DP140">
        <v>1</v>
      </c>
      <c r="DQ140" t="s">
        <v>1411</v>
      </c>
      <c r="DR140" t="s">
        <v>1412</v>
      </c>
      <c r="DS140">
        <v>0</v>
      </c>
      <c r="DT140">
        <f>SUM(DO140:DP140)</f>
        <v>1</v>
      </c>
      <c r="DU140" s="143" t="str">
        <f>IF(DO140=1,"self-calculated DF",IF(DP140=1,"external DF used","explicit C balance"))</f>
        <v>external DF used</v>
      </c>
      <c r="DV140">
        <v>1</v>
      </c>
      <c r="DW140">
        <v>1</v>
      </c>
      <c r="DX140">
        <v>1</v>
      </c>
      <c r="DY140">
        <v>1</v>
      </c>
      <c r="DZ140">
        <v>0</v>
      </c>
      <c r="EA140" s="143">
        <v>0</v>
      </c>
      <c r="EB140">
        <v>0</v>
      </c>
      <c r="EC140">
        <v>0</v>
      </c>
      <c r="ED140">
        <v>0</v>
      </c>
      <c r="EE140">
        <v>0</v>
      </c>
      <c r="EF140">
        <v>1</v>
      </c>
      <c r="EG140" s="143">
        <v>0</v>
      </c>
      <c r="EH140" s="143">
        <v>0</v>
      </c>
      <c r="EI140" s="2">
        <v>0</v>
      </c>
      <c r="EJ140" s="1"/>
      <c r="EK140" t="str">
        <f>IF(AND(AND(AND(OR($DX140=1,$DW140=1),OR($EC140=1,$EA140=1)),SUM($DV140:$DZ140,$EF140)&gt;=4),SUM($EA140:$EE140)&gt;=2),"Whole sector","")</f>
        <v/>
      </c>
      <c r="EL140" t="str">
        <f>IF(AND(AND(OR($DX140=1,$DW140=1),AND($EC140=0,$EA140=0)),SUM($DV140:$DZ140,$EF140)&gt;=4),"Ecosystem approach","")</f>
        <v>Ecosystem approach</v>
      </c>
      <c r="EM140" s="2" t="str">
        <f>IF(AND(AND(AND($DX140=0,$DW140=0),OR($EC140=1,$EA140=1)),SUM($EB140:$EE140)&gt;=2),"Technology approach","")</f>
        <v/>
      </c>
      <c r="EN140"/>
      <c r="EO140"/>
      <c r="EP140" t="str">
        <f>IF(ISNUMBER(BU140),IF(ABS(BU140-[4]QC_indicators!$B$2)&gt;3*[4]QC_indicators!$C$2,"C ratio",IF(ISNUMBER(BY140),IF(ABS(BY140-[4]QC_indicators!$B$1)&gt;3*[4]QC_indicators!$C$1,"DF","no"))),IF(ISNUMBER(BY140),IF(ABS(BY140-[4]QC_indicators!$B$1)&gt;3*[4]QC_indicators!$C$1,"DF","no")))</f>
        <v>no</v>
      </c>
      <c r="EQ140" t="s">
        <v>286</v>
      </c>
      <c r="ER140" s="149" t="s">
        <v>349</v>
      </c>
      <c r="ES140"/>
      <c r="ET140" s="264" t="s">
        <v>3273</v>
      </c>
      <c r="EU140"/>
    </row>
    <row r="141" spans="1:151" s="139" customFormat="1" ht="15" customHeight="1">
      <c r="A141" s="1" t="s">
        <v>2114</v>
      </c>
      <c r="B141" t="s">
        <v>544</v>
      </c>
      <c r="C141" t="s">
        <v>2277</v>
      </c>
      <c r="D141" t="s">
        <v>2278</v>
      </c>
      <c r="E141" t="s">
        <v>2279</v>
      </c>
      <c r="F141" t="s">
        <v>2280</v>
      </c>
      <c r="G141" t="s">
        <v>2115</v>
      </c>
      <c r="H141" t="s">
        <v>254</v>
      </c>
      <c r="I141">
        <v>2014</v>
      </c>
      <c r="J141">
        <v>96</v>
      </c>
      <c r="K141" t="s">
        <v>2281</v>
      </c>
      <c r="L141"/>
      <c r="M141" t="str">
        <f>LEFT($D141,FIND(",",$D141)-1)&amp;"_"&amp;I141&amp;L141</f>
        <v>Smyth_2014</v>
      </c>
      <c r="N141" t="s">
        <v>222</v>
      </c>
      <c r="O141" s="145" t="s">
        <v>341</v>
      </c>
      <c r="P141"/>
      <c r="Q141" t="s">
        <v>256</v>
      </c>
      <c r="R141" s="262" t="s">
        <v>223</v>
      </c>
      <c r="S141" s="1" t="s">
        <v>2295</v>
      </c>
      <c r="T141" t="s">
        <v>2296</v>
      </c>
      <c r="U141" t="s">
        <v>1155</v>
      </c>
      <c r="V141">
        <v>1</v>
      </c>
      <c r="W141">
        <v>0</v>
      </c>
      <c r="X141">
        <v>0</v>
      </c>
      <c r="Y141">
        <v>2</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s="141">
        <f>COUNTIF(V141:AW141,"&lt;&gt;0")</f>
        <v>2</v>
      </c>
      <c r="AY141" s="141">
        <f>COUNTIF(V141:AL141,"&lt;&gt;0")</f>
        <v>2</v>
      </c>
      <c r="AZ141">
        <f>COUNTIF(V141:AC141,"&lt;&gt;0")</f>
        <v>2</v>
      </c>
      <c r="BA141">
        <f>COUNTIF(AD141:AI141,"&lt;&gt;0")</f>
        <v>0</v>
      </c>
      <c r="BB141">
        <f>COUNTIF(AJ141:AL141,"&lt;&gt;0")</f>
        <v>0</v>
      </c>
      <c r="BC141">
        <f>COUNTIF(AS141:AW141,"&lt;&gt;0")</f>
        <v>0</v>
      </c>
      <c r="BD141">
        <f>COUNTIF(AM141:AR141,"&lt;&gt;0")</f>
        <v>0</v>
      </c>
      <c r="BE141" t="str">
        <f t="array" ref="BE141">IF(AY141=1,INDEX($V$7:$AL$7,MATCH(TRUE,INDEX($V141:$AW141&lt;&gt;0,),0)),IF(AY141=0,INDEX($AM$7:$AW$7,MATCH(1,$AM141:$AW141,0)),IF(BF141="Multiple strategies","mixed drivers",IF(BF141="Supply chain","multiple supply","multiple silviculture"))))</f>
        <v>multiple silviculture</v>
      </c>
      <c r="BF141" s="2" t="str" cm="1">
        <f t="array" ref="BF141">IF(COUNTIF(AZ141:BB141,"&lt;&gt;0")=1,INDEX($V$4:$AW$4,MATCH(TRUE,INDEX($V141:$AW141&lt;&gt;0,),0)),IF(COUNTIF(AZ141:BB141,"&lt;&gt;0")=0,INDEX($AM$4:$AW$4,MATCH(1,$AM141:$AW141,0)),"Multiple strategies"))</f>
        <v>Silviculture for removals</v>
      </c>
      <c r="BG141" s="1" t="s">
        <v>321</v>
      </c>
      <c r="BH141" t="s">
        <v>2297</v>
      </c>
      <c r="BI141" t="s">
        <v>1036</v>
      </c>
      <c r="BJ141" t="s">
        <v>2288</v>
      </c>
      <c r="BK141">
        <v>-1.41</v>
      </c>
      <c r="BL141">
        <v>0</v>
      </c>
      <c r="BM141"/>
      <c r="BN141">
        <f>BL141-BK141</f>
        <v>1.41</v>
      </c>
      <c r="BO141">
        <f>BN141*10^6*tC_to_m3</f>
        <v>6122448.9795918372</v>
      </c>
      <c r="BP141" t="s">
        <v>232</v>
      </c>
      <c r="BQ141" s="338" t="s">
        <v>783</v>
      </c>
      <c r="BR141" s="264" t="s">
        <v>3244</v>
      </c>
      <c r="BS141"/>
      <c r="BT141"/>
      <c r="BU141" s="144"/>
      <c r="BV141">
        <f>-264.42/35</f>
        <v>-7.5548571428571432</v>
      </c>
      <c r="BW141"/>
      <c r="BX141">
        <f>BV141*10^6</f>
        <v>-7554857.1428571427</v>
      </c>
      <c r="BY141">
        <f>IFERROR(BX141/BO141,"")</f>
        <v>-1.2339599999999999</v>
      </c>
      <c r="BZ141">
        <v>0</v>
      </c>
      <c r="CA141">
        <v>1</v>
      </c>
      <c r="CB141">
        <v>1</v>
      </c>
      <c r="CC141">
        <v>1</v>
      </c>
      <c r="CD141">
        <v>0</v>
      </c>
      <c r="CE141">
        <v>0</v>
      </c>
      <c r="CF141">
        <v>0</v>
      </c>
      <c r="CG141">
        <v>0</v>
      </c>
      <c r="CH141">
        <v>0</v>
      </c>
      <c r="CI141">
        <v>0</v>
      </c>
      <c r="CJ141">
        <v>0</v>
      </c>
      <c r="CK141">
        <v>0</v>
      </c>
      <c r="CL141">
        <v>0</v>
      </c>
      <c r="CM141">
        <v>0</v>
      </c>
      <c r="CN141" t="str">
        <f>IF(BL141&lt;BK141,"refNeedCorrection","refOK")</f>
        <v>refOK</v>
      </c>
      <c r="CO141">
        <f>IF($CN141="refOK",$BK141,$BL141)</f>
        <v>-1.41</v>
      </c>
      <c r="CP141">
        <f>IF($CN141="refOK",$BL141,$BK141)</f>
        <v>0</v>
      </c>
      <c r="CQ141">
        <f>IF($CN141="refOK",$BO141,-$BO141)</f>
        <v>6122448.9795918372</v>
      </c>
      <c r="CR141">
        <f>IF($CN141="refOK",$BS141,$BT141)*IF($BP141="Emissions positive",-1,1)</f>
        <v>0</v>
      </c>
      <c r="CS141">
        <f>IF($CN141="refOK",$BT141,$BS141)*IF($BP141="Emissions positive",-1,1)</f>
        <v>0</v>
      </c>
      <c r="CT141">
        <f>IF($CN141="refNeedCorrection",-BX141,BX141)*IF($BP141="Emissions positive",-1,1)</f>
        <v>-7554857.1428571427</v>
      </c>
      <c r="CU141">
        <f>IFERROR(CT141/CQ141,"")</f>
        <v>-1.2339599999999999</v>
      </c>
      <c r="CV141" s="2" t="str">
        <f>IFERROR((CS141-CR141)/ABS(CR141),"")</f>
        <v/>
      </c>
      <c r="CW141" s="1" t="s">
        <v>1203</v>
      </c>
      <c r="CX141" t="str">
        <f>IF(OR($CW141="prd",$CW141="std",$CW141="cit"),"loc",IF(OR($CW141="eur",$CW141="reg",$CW141="coy"),"reg",$CW141))</f>
        <v>reg</v>
      </c>
      <c r="CY141" t="s">
        <v>540</v>
      </c>
      <c r="CZ141">
        <v>2015</v>
      </c>
      <c r="DA141">
        <v>2050</v>
      </c>
      <c r="DB141">
        <v>35</v>
      </c>
      <c r="DC141" t="str">
        <f>IF(DB141=0,"0",IF(AND(DB141&gt;=1,DB141&lt;=30),"1-30",IF(AND(DB141&gt;30,DB141&lt;=70),"31-70",IF(AND(DB141&gt;70,DB141&lt;=100),"71-100",IF(DB141&gt;100,"+100")))))</f>
        <v>31-70</v>
      </c>
      <c r="DD141">
        <v>0</v>
      </c>
      <c r="DE141">
        <v>1</v>
      </c>
      <c r="DF141">
        <v>1</v>
      </c>
      <c r="DG141">
        <v>1</v>
      </c>
      <c r="DH141"/>
      <c r="DI141">
        <f>SUM(DD141:DG141)</f>
        <v>3</v>
      </c>
      <c r="DJ141" t="str">
        <f>IF(DI141=1,INDEX($DD$7:$DG$7,MATCH(1,$DD141:$DG141,0)),"mixedProduct")</f>
        <v>mixedProduct</v>
      </c>
      <c r="DK141">
        <f>IF(DD141=1,DK$7,0)</f>
        <v>0</v>
      </c>
      <c r="DL141" t="str">
        <f>IF(DE141=1,DL$7,0)</f>
        <v>Energy</v>
      </c>
      <c r="DM141" t="str">
        <f>IF(DF141=1,DM$7,0)</f>
        <v>Pulp/Paper</v>
      </c>
      <c r="DN141" t="str">
        <f>IF(DG141=1,DN$7,0)</f>
        <v>Timber</v>
      </c>
      <c r="DO141">
        <v>0</v>
      </c>
      <c r="DP141">
        <v>0</v>
      </c>
      <c r="DQ141"/>
      <c r="DR141">
        <v>0</v>
      </c>
      <c r="DS141">
        <v>0</v>
      </c>
      <c r="DT141">
        <f>SUM(DO141:DP141)</f>
        <v>0</v>
      </c>
      <c r="DU141" s="143" t="str">
        <f>IF(DO141=1,"self-calculated DF",IF(DP141=1,"external DF used","explicit C balance"))</f>
        <v>explicit C balance</v>
      </c>
      <c r="DV141">
        <v>1</v>
      </c>
      <c r="DW141">
        <v>1</v>
      </c>
      <c r="DX141">
        <v>1</v>
      </c>
      <c r="DY141">
        <v>1</v>
      </c>
      <c r="DZ141">
        <v>1</v>
      </c>
      <c r="EA141">
        <v>0</v>
      </c>
      <c r="EB141">
        <v>0</v>
      </c>
      <c r="EC141">
        <v>0</v>
      </c>
      <c r="ED141">
        <v>0</v>
      </c>
      <c r="EE141">
        <v>0</v>
      </c>
      <c r="EF141">
        <v>1</v>
      </c>
      <c r="EG141">
        <v>0</v>
      </c>
      <c r="EH141">
        <v>0</v>
      </c>
      <c r="EI141" s="2">
        <v>0</v>
      </c>
      <c r="EJ141" s="1"/>
      <c r="EK141" t="str">
        <f>IF(AND(AND(AND(OR($DX141=1,$DW141=1),OR($EC141=1,$EA141=1)),SUM($DV141:$DZ141,$EF141)&gt;=4),SUM($EA141:$EE141)&gt;=2),"Whole sector","")</f>
        <v/>
      </c>
      <c r="EL141" t="str">
        <f>IF(AND(AND(OR($DX141=1,$DW141=1),AND($EC141=0,$EA141=0)),SUM($DV141:$DZ141,$EF141)&gt;=4),"Ecosystem approach","")</f>
        <v>Ecosystem approach</v>
      </c>
      <c r="EM141" s="2" t="str">
        <f>IF(AND(AND(AND($DX141=0,$DW141=0),OR($EC141=1,$EA141=1)),SUM($EB141:$EE141)&gt;=2),"Technology approach","")</f>
        <v/>
      </c>
      <c r="EN141" t="s">
        <v>2298</v>
      </c>
      <c r="EO141"/>
      <c r="EP141" t="str">
        <f>IF(ISNUMBER(BU141),IF(ABS(BU141-[1]QC_indicators!$B$2)&gt;3*[1]QC_indicators!$C$2,"C ratio",IF(ISNUMBER(BY141),IF(ABS(BY141-[1]QC_indicators!$B$1)&gt;3*[1]QC_indicators!$C$1,"DF","no"))),IF(ISNUMBER(BY141),IF(ABS(BY141-[1]QC_indicators!$B$1)&gt;3*[1]QC_indicators!$C$1,"DF","no")))</f>
        <v>no</v>
      </c>
      <c r="EQ141"/>
      <c r="ER141" t="s">
        <v>2299</v>
      </c>
      <c r="ES141"/>
      <c r="ET141" s="268" t="s">
        <v>3242</v>
      </c>
      <c r="EU141"/>
    </row>
    <row r="142" spans="1:151" s="139" customFormat="1" ht="15" customHeight="1">
      <c r="A142" s="1" t="s">
        <v>1357</v>
      </c>
      <c r="B142" t="s">
        <v>2368</v>
      </c>
      <c r="C142" t="s">
        <v>2369</v>
      </c>
      <c r="D142" t="s">
        <v>2370</v>
      </c>
      <c r="E142" t="s">
        <v>2371</v>
      </c>
      <c r="F142" t="s">
        <v>2372</v>
      </c>
      <c r="G142" t="s">
        <v>1358</v>
      </c>
      <c r="H142" t="s">
        <v>254</v>
      </c>
      <c r="I142">
        <v>2021</v>
      </c>
      <c r="J142">
        <v>0</v>
      </c>
      <c r="K142" t="s">
        <v>2373</v>
      </c>
      <c r="L142"/>
      <c r="M142" t="str">
        <f>LEFT($D142,FIND(",",$D142)-1)&amp;"_"&amp;I142&amp;L142</f>
        <v>Ter-Mikaelian_2021</v>
      </c>
      <c r="N142" t="s">
        <v>222</v>
      </c>
      <c r="O142" s="145" t="s">
        <v>1154</v>
      </c>
      <c r="P142"/>
      <c r="Q142" t="s">
        <v>256</v>
      </c>
      <c r="R142" s="293" t="s">
        <v>225</v>
      </c>
      <c r="S142" s="1" t="s">
        <v>1332</v>
      </c>
      <c r="T142" t="s">
        <v>2374</v>
      </c>
      <c r="U142" t="s">
        <v>2375</v>
      </c>
      <c r="V142">
        <v>1</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s="141">
        <f>COUNTIF(V142:AW142,"&lt;&gt;0")</f>
        <v>1</v>
      </c>
      <c r="AY142" s="141">
        <f>COUNTIF(V142:AL142,"&lt;&gt;0")</f>
        <v>1</v>
      </c>
      <c r="AZ142">
        <f>COUNTIF(V142:AC142,"&lt;&gt;0")</f>
        <v>1</v>
      </c>
      <c r="BA142">
        <f>COUNTIF(AD142:AI142,"&lt;&gt;0")</f>
        <v>0</v>
      </c>
      <c r="BB142">
        <f>COUNTIF(AJ142:AL142,"&lt;&gt;0")</f>
        <v>0</v>
      </c>
      <c r="BC142">
        <f>COUNTIF(AS142:AW142,"&lt;&gt;0")</f>
        <v>0</v>
      </c>
      <c r="BD142">
        <f>COUNTIF(AM142:AR142,"&lt;&gt;0")</f>
        <v>0</v>
      </c>
      <c r="BE142" t="str">
        <f t="array" ref="BE142">IF(AY142=1,INDEX($V$7:$AL$7,MATCH(TRUE,INDEX($V142:$AW142&lt;&gt;0,),0)),IF(AY142=0,INDEX($AM$7:$AW$7,MATCH(1,$AM142:$AW142,0)),IF(BF142="Multiple strategies","mixed drivers",IF(BF142="Supply chain","multiple supply","multiple silviculture"))))</f>
        <v>area subject to harvest</v>
      </c>
      <c r="BF142" s="2" t="str" cm="1">
        <f t="array" ref="BF142">IF(COUNTIF(AZ142:BB142,"&lt;&gt;0")=1,INDEX($V$4:$AW$4,MATCH(TRUE,INDEX($V142:$AW142&lt;&gt;0,),0)),IF(COUNTIF(AZ142:BB142,"&lt;&gt;0")=0,INDEX($AM$4:$AW$4,MATCH(1,$AM142:$AW142,0)),"Multiple strategies"))</f>
        <v>Silviculture for removals</v>
      </c>
      <c r="BG142" s="1" t="s">
        <v>321</v>
      </c>
      <c r="BH142" t="s">
        <v>2376</v>
      </c>
      <c r="BI142"/>
      <c r="BJ142" t="s">
        <v>1323</v>
      </c>
      <c r="BK142">
        <v>0</v>
      </c>
      <c r="BL142">
        <v>433.26389999999998</v>
      </c>
      <c r="BM142" s="143" t="e">
        <f>BL142/BK142</f>
        <v>#DIV/0!</v>
      </c>
      <c r="BN142">
        <f>BL142-BK142</f>
        <v>433.26389999999998</v>
      </c>
      <c r="BO142">
        <f>BN142*10^6</f>
        <v>433263900</v>
      </c>
      <c r="BP142" t="s">
        <v>232</v>
      </c>
      <c r="BQ142" s="300" t="s">
        <v>3395</v>
      </c>
      <c r="BR142" t="s">
        <v>1359</v>
      </c>
      <c r="BS142">
        <v>3757</v>
      </c>
      <c r="BT142">
        <v>3613.1563851999999</v>
      </c>
      <c r="BU142" s="144">
        <f>IFERROR(BT142/BS142,"")</f>
        <v>0.96171317146659563</v>
      </c>
      <c r="BV142" s="144">
        <f>BT142-BS142</f>
        <v>-143.84361480000007</v>
      </c>
      <c r="BW142" s="144"/>
      <c r="BX142">
        <f>BV142*10^6*C_to_CO2</f>
        <v>-527906066.31600022</v>
      </c>
      <c r="BY142">
        <f>IFERROR(BX142/BO142,"")</f>
        <v>-1.2184400000000004</v>
      </c>
      <c r="BZ142">
        <v>0</v>
      </c>
      <c r="CA142">
        <v>0</v>
      </c>
      <c r="CB142">
        <v>0</v>
      </c>
      <c r="CC142">
        <v>0</v>
      </c>
      <c r="CD142">
        <v>0</v>
      </c>
      <c r="CE142">
        <v>0</v>
      </c>
      <c r="CF142">
        <v>0</v>
      </c>
      <c r="CG142">
        <v>0</v>
      </c>
      <c r="CH142">
        <v>0</v>
      </c>
      <c r="CI142">
        <v>0</v>
      </c>
      <c r="CJ142">
        <v>0</v>
      </c>
      <c r="CK142">
        <v>0</v>
      </c>
      <c r="CL142">
        <v>0</v>
      </c>
      <c r="CM142">
        <v>0</v>
      </c>
      <c r="CN142" t="str">
        <f>IF($BL142&lt;$BK142,"refNeedCorrection","refOK")</f>
        <v>refOK</v>
      </c>
      <c r="CO142">
        <f>IF($CN142="refOK",$BK142,$BL142)</f>
        <v>0</v>
      </c>
      <c r="CP142">
        <f>IF($CN142="refOK",$BL142,$BK142)</f>
        <v>433.26389999999998</v>
      </c>
      <c r="CQ142">
        <f>IF($CN142="refOK",$BO142,-$BO142)</f>
        <v>433263900</v>
      </c>
      <c r="CR142">
        <f>IF($CN142="refOK",$BS142,$BT142)*IF($BP142="Emissions positive",-1,1)</f>
        <v>3757</v>
      </c>
      <c r="CS142">
        <f>IF($CN142="refOK",$BT142,$BS142)*IF($BP142="Emissions positive",-1,1)</f>
        <v>3613.1563851999999</v>
      </c>
      <c r="CT142">
        <f>IF($CN142="refNeedCorrection",-BX142,BX142)*IF($BP142="Emissions positive",-1,1)</f>
        <v>-527906066.31600022</v>
      </c>
      <c r="CU142">
        <f>IFERROR(CT142/CQ142,"")</f>
        <v>-1.2184400000000004</v>
      </c>
      <c r="CV142" s="2">
        <f>IFERROR((CS142-CR142)/ABS(CR142),"")</f>
        <v>-3.828682853340433E-2</v>
      </c>
      <c r="CW142" s="1" t="s">
        <v>1199</v>
      </c>
      <c r="CX142" t="str">
        <f>IF(OR($CW142="prd",$CW142="std",$CW142="cit"),"loc",IF(OR($CW142="eur",$CW142="reg",$CW142="coy"),"reg",$CW142))</f>
        <v>reg</v>
      </c>
      <c r="CY142" t="s">
        <v>540</v>
      </c>
      <c r="CZ142">
        <v>2020</v>
      </c>
      <c r="DA142">
        <v>2050</v>
      </c>
      <c r="DB142">
        <f>DA142-CZ142</f>
        <v>30</v>
      </c>
      <c r="DC142" t="str">
        <f>IF(DB142=0,"0",IF(AND(DB142&gt;=1,DB142&lt;=30),"1-30",IF(AND(DB142&gt;30,DB142&lt;=70),"31-70",IF(AND(DB142&gt;70,DB142&lt;=100),"71-100",IF(DB142&gt;100,"+100")))))</f>
        <v>1-30</v>
      </c>
      <c r="DD142">
        <v>1</v>
      </c>
      <c r="DE142">
        <v>0</v>
      </c>
      <c r="DF142">
        <v>0</v>
      </c>
      <c r="DG142">
        <v>0</v>
      </c>
      <c r="DH142"/>
      <c r="DI142">
        <f>SUM(DD142:DG142)</f>
        <v>1</v>
      </c>
      <c r="DJ142" t="str">
        <f>IF(DI142=1,INDEX($DD$7:$DG$7,MATCH(1,$DD142:$DG142,0)),"mixedProduct")</f>
        <v>UpstreamInput</v>
      </c>
      <c r="DK142" t="str">
        <f>IF(DD142=1,DK$7,0)</f>
        <v>Upstream</v>
      </c>
      <c r="DL142">
        <f>IF(DE142=1,DL$7,0)</f>
        <v>0</v>
      </c>
      <c r="DM142">
        <f>IF(DF142=1,DM$7,0)</f>
        <v>0</v>
      </c>
      <c r="DN142">
        <f>IF(DG142=1,DN$7,0)</f>
        <v>0</v>
      </c>
      <c r="DO142">
        <v>0</v>
      </c>
      <c r="DP142">
        <v>0</v>
      </c>
      <c r="DQ142">
        <v>0</v>
      </c>
      <c r="DR142">
        <v>0</v>
      </c>
      <c r="DS142">
        <v>0</v>
      </c>
      <c r="DT142">
        <f>SUM(DO142:DP142)</f>
        <v>0</v>
      </c>
      <c r="DU142" s="143" t="str">
        <f>IF(DO142=1,"self-calculated DF",IF(DP142=1,"external DF used","explicit C balance"))</f>
        <v>explicit C balance</v>
      </c>
      <c r="DV142">
        <v>1</v>
      </c>
      <c r="DW142">
        <v>1</v>
      </c>
      <c r="DX142">
        <v>1</v>
      </c>
      <c r="DY142">
        <v>0</v>
      </c>
      <c r="DZ142">
        <v>0</v>
      </c>
      <c r="EA142" s="143">
        <v>0</v>
      </c>
      <c r="EB142">
        <v>0</v>
      </c>
      <c r="EC142">
        <v>0</v>
      </c>
      <c r="ED142">
        <v>0</v>
      </c>
      <c r="EE142">
        <v>0</v>
      </c>
      <c r="EF142">
        <v>1</v>
      </c>
      <c r="EG142">
        <v>0</v>
      </c>
      <c r="EH142">
        <v>0</v>
      </c>
      <c r="EI142" s="2">
        <v>0</v>
      </c>
      <c r="EJ142" s="1"/>
      <c r="EK142" t="str">
        <f>IF(AND(AND(AND(OR($DX142=1,$DW142=1),OR($EC142=1,$EA142=1)),SUM($DV142:$DZ142,$EF142)&gt;=4),SUM($EA142:$EE142)&gt;=2),"Whole sector","")</f>
        <v/>
      </c>
      <c r="EL142" t="str">
        <f>IF(AND(AND(OR($DX142=1,$DW142=1),AND($EC142=0,$EA142=0)),SUM($DV142:$DZ142,$EF142)&gt;=4),"Ecosystem approach","")</f>
        <v>Ecosystem approach</v>
      </c>
      <c r="EM142" s="2" t="str">
        <f>IF(AND(AND(AND($DX142=0,$DW142=0),OR($EC142=1,$EA142=1)),SUM($EB142:$EE142)&gt;=2),"Technology approach","")</f>
        <v/>
      </c>
      <c r="EN142" s="264" t="s">
        <v>2377</v>
      </c>
      <c r="EO142"/>
      <c r="EP142" t="str">
        <f>IF(ISNUMBER(BU142),IF(ABS(BU142-[4]QC_indicators!$B$2)&gt;3*[4]QC_indicators!$C$2,"C ratio",IF(ISNUMBER(BY142),IF(ABS(BY142-[4]QC_indicators!$B$1)&gt;3*[4]QC_indicators!$C$1,"DF","no"))),IF(ISNUMBER(BY142),IF(ABS(BY142-[4]QC_indicators!$B$1)&gt;3*[4]QC_indicators!$C$1,"DF","no")))</f>
        <v>no</v>
      </c>
      <c r="EQ142" t="s">
        <v>2378</v>
      </c>
      <c r="ER142"/>
      <c r="ES142"/>
      <c r="ET142" s="305" t="s">
        <v>3408</v>
      </c>
      <c r="EU142"/>
    </row>
    <row r="143" spans="1:151" s="139" customFormat="1" ht="15" customHeight="1">
      <c r="A143" s="1" t="s">
        <v>1357</v>
      </c>
      <c r="B143" t="s">
        <v>2368</v>
      </c>
      <c r="C143" t="s">
        <v>2369</v>
      </c>
      <c r="D143" t="s">
        <v>2370</v>
      </c>
      <c r="E143" t="s">
        <v>2371</v>
      </c>
      <c r="F143" t="s">
        <v>2372</v>
      </c>
      <c r="G143" t="s">
        <v>1358</v>
      </c>
      <c r="H143" t="s">
        <v>254</v>
      </c>
      <c r="I143">
        <v>2021</v>
      </c>
      <c r="J143">
        <v>0</v>
      </c>
      <c r="K143" t="s">
        <v>2373</v>
      </c>
      <c r="L143"/>
      <c r="M143" t="str">
        <f>LEFT($D143,FIND(",",$D143)-1)&amp;"_"&amp;I143&amp;L143</f>
        <v>Ter-Mikaelian_2021</v>
      </c>
      <c r="N143" t="s">
        <v>222</v>
      </c>
      <c r="O143" s="145" t="s">
        <v>1154</v>
      </c>
      <c r="P143"/>
      <c r="Q143" t="s">
        <v>256</v>
      </c>
      <c r="R143" s="293" t="s">
        <v>225</v>
      </c>
      <c r="S143" s="1" t="s">
        <v>1332</v>
      </c>
      <c r="T143" t="s">
        <v>2375</v>
      </c>
      <c r="U143" t="s">
        <v>2379</v>
      </c>
      <c r="V143">
        <v>0</v>
      </c>
      <c r="W143">
        <v>0</v>
      </c>
      <c r="X143">
        <v>0</v>
      </c>
      <c r="Y143">
        <v>1</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s="141">
        <f>COUNTIF(V143:AW143,"&lt;&gt;0")</f>
        <v>1</v>
      </c>
      <c r="AY143" s="141">
        <f>COUNTIF(V143:AL143,"&lt;&gt;0")</f>
        <v>1</v>
      </c>
      <c r="AZ143">
        <f>COUNTIF(V143:AC143,"&lt;&gt;0")</f>
        <v>1</v>
      </c>
      <c r="BA143">
        <f>COUNTIF(AD143:AI143,"&lt;&gt;0")</f>
        <v>0</v>
      </c>
      <c r="BB143">
        <f>COUNTIF(AJ143:AL143,"&lt;&gt;0")</f>
        <v>0</v>
      </c>
      <c r="BC143">
        <f>COUNTIF(AS143:AW143,"&lt;&gt;0")</f>
        <v>0</v>
      </c>
      <c r="BD143">
        <f>COUNTIF(AM143:AR143,"&lt;&gt;0")</f>
        <v>0</v>
      </c>
      <c r="BE143" t="str">
        <f t="array" ref="BE143">IF(AY143=1,INDEX($V$7:$AL$7,MATCH(TRUE,INDEX($V143:$AW143&lt;&gt;0,),0)),IF(AY143=0,INDEX($AM$7:$AW$7,MATCH(1,$AM143:$AW143,0)),IF(BF143="Multiple strategies","mixed drivers",IF(BF143="Supply chain","multiple supply","multiple silviculture"))))</f>
        <v xml:space="preserve">cutting intensity </v>
      </c>
      <c r="BF143" s="2" t="str" cm="1">
        <f t="array" ref="BF143">IF(COUNTIF(AZ143:BB143,"&lt;&gt;0")=1,INDEX($V$4:$AW$4,MATCH(TRUE,INDEX($V143:$AW143&lt;&gt;0,),0)),IF(COUNTIF(AZ143:BB143,"&lt;&gt;0")=0,INDEX($AM$4:$AW$4,MATCH(1,$AM143:$AW143,0)),"Multiple strategies"))</f>
        <v>Silviculture for removals</v>
      </c>
      <c r="BG143" s="1" t="s">
        <v>321</v>
      </c>
      <c r="BH143" t="s">
        <v>2376</v>
      </c>
      <c r="BI143"/>
      <c r="BJ143" t="s">
        <v>1323</v>
      </c>
      <c r="BK143">
        <v>433.26389999999998</v>
      </c>
      <c r="BL143">
        <v>866.52779999999996</v>
      </c>
      <c r="BM143" s="143">
        <f>BL143/BK143</f>
        <v>2</v>
      </c>
      <c r="BN143">
        <f>BL143-BK143</f>
        <v>433.26389999999998</v>
      </c>
      <c r="BO143">
        <f>BN143*10^6</f>
        <v>433263900</v>
      </c>
      <c r="BP143" t="s">
        <v>232</v>
      </c>
      <c r="BQ143" s="300" t="s">
        <v>3395</v>
      </c>
      <c r="BR143" t="s">
        <v>1359</v>
      </c>
      <c r="BS143">
        <v>3613.1563851999999</v>
      </c>
      <c r="BT143">
        <v>3469.3127703999999</v>
      </c>
      <c r="BU143" s="144">
        <f>IFERROR(BT143/BS143,"")</f>
        <v>0.96018893192965471</v>
      </c>
      <c r="BV143" s="144">
        <f>BT143-BS143</f>
        <v>-143.84361480000007</v>
      </c>
      <c r="BW143" s="144"/>
      <c r="BX143">
        <f>BV143*10^6*C_to_CO2</f>
        <v>-527906066.31600022</v>
      </c>
      <c r="BY143">
        <f>IFERROR(BX143/BO143,"")</f>
        <v>-1.2184400000000004</v>
      </c>
      <c r="BZ143">
        <v>0</v>
      </c>
      <c r="CA143">
        <v>0</v>
      </c>
      <c r="CB143">
        <v>0</v>
      </c>
      <c r="CC143">
        <v>0</v>
      </c>
      <c r="CD143">
        <v>0</v>
      </c>
      <c r="CE143">
        <v>0</v>
      </c>
      <c r="CF143">
        <v>0</v>
      </c>
      <c r="CG143">
        <v>0</v>
      </c>
      <c r="CH143">
        <v>0</v>
      </c>
      <c r="CI143">
        <v>0</v>
      </c>
      <c r="CJ143">
        <v>0</v>
      </c>
      <c r="CK143">
        <v>0</v>
      </c>
      <c r="CL143">
        <v>0</v>
      </c>
      <c r="CM143">
        <v>0</v>
      </c>
      <c r="CN143" t="str">
        <f>IF($BL143&lt;$BK143,"refNeedCorrection","refOK")</f>
        <v>refOK</v>
      </c>
      <c r="CO143">
        <f>IF($CN143="refNeedCorrection",BL143,BK143)</f>
        <v>433.26389999999998</v>
      </c>
      <c r="CP143">
        <f>IF($CN143="refNeedCorrection",BK143,BL143)</f>
        <v>866.52779999999996</v>
      </c>
      <c r="CQ143">
        <f>IF($CN143="refOK",$BO143,-$BO143)</f>
        <v>433263900</v>
      </c>
      <c r="CR143">
        <f>IF($CN143="refOK",$BS143,$BT143)*IF($BP143="Emissions positive",-1,1)</f>
        <v>3613.1563851999999</v>
      </c>
      <c r="CS143">
        <f>IF($CN143="refOK",$BT143,$BS143)*IF($BP143="Emissions positive",-1,1)</f>
        <v>3469.3127703999999</v>
      </c>
      <c r="CT143">
        <f>IF($CN143="refNeedCorrection",-BX143,BX143)*IF($BP143="Emissions positive",-1,1)</f>
        <v>-527906066.31600022</v>
      </c>
      <c r="CU143">
        <f>IFERROR(CT143/CQ143,"")</f>
        <v>-1.2184400000000004</v>
      </c>
      <c r="CV143" s="2">
        <f>IFERROR((CS143-CR143)/ABS(CR143),"")</f>
        <v>-3.9811068070345332E-2</v>
      </c>
      <c r="CW143" s="1" t="s">
        <v>1199</v>
      </c>
      <c r="CX143" t="str">
        <f>IF(OR($CW143="prd",$CW143="std",$CW143="cit"),"loc",IF(OR($CW143="eur",$CW143="reg",$CW143="coy"),"reg",$CW143))</f>
        <v>reg</v>
      </c>
      <c r="CY143" t="s">
        <v>540</v>
      </c>
      <c r="CZ143">
        <v>2020</v>
      </c>
      <c r="DA143">
        <v>2050</v>
      </c>
      <c r="DB143">
        <f>DA143-CZ143</f>
        <v>30</v>
      </c>
      <c r="DC143" t="str">
        <f>IF(DB143=0,"0",IF(AND(DB143&gt;=1,DB143&lt;=30),"1-30",IF(AND(DB143&gt;30,DB143&lt;=70),"31-70",IF(AND(DB143&gt;70,DB143&lt;=100),"71-100",IF(DB143&gt;100,"+100")))))</f>
        <v>1-30</v>
      </c>
      <c r="DD143">
        <v>1</v>
      </c>
      <c r="DE143">
        <v>0</v>
      </c>
      <c r="DF143">
        <v>0</v>
      </c>
      <c r="DG143">
        <v>0</v>
      </c>
      <c r="DH143"/>
      <c r="DI143">
        <f>SUM(DD143:DG143)</f>
        <v>1</v>
      </c>
      <c r="DJ143" t="str">
        <f>IF(DI143=1,INDEX($DD$7:$DG$7,MATCH(1,$DD143:$DG143,0)),"mixedProduct")</f>
        <v>UpstreamInput</v>
      </c>
      <c r="DK143" t="str">
        <f>IF(DD143=1,DK$7,0)</f>
        <v>Upstream</v>
      </c>
      <c r="DL143">
        <f>IF(DE143=1,DL$7,0)</f>
        <v>0</v>
      </c>
      <c r="DM143">
        <f>IF(DF143=1,DM$7,0)</f>
        <v>0</v>
      </c>
      <c r="DN143">
        <f>IF(DG143=1,DN$7,0)</f>
        <v>0</v>
      </c>
      <c r="DO143">
        <v>0</v>
      </c>
      <c r="DP143">
        <v>0</v>
      </c>
      <c r="DQ143">
        <v>0</v>
      </c>
      <c r="DR143">
        <v>0</v>
      </c>
      <c r="DS143">
        <v>0</v>
      </c>
      <c r="DT143">
        <f>SUM(DO143:DP143)</f>
        <v>0</v>
      </c>
      <c r="DU143" s="143" t="str">
        <f>IF(DO143=1,"self-calculated DF",IF(DP143=1,"external DF used","explicit C balance"))</f>
        <v>explicit C balance</v>
      </c>
      <c r="DV143">
        <v>1</v>
      </c>
      <c r="DW143">
        <v>1</v>
      </c>
      <c r="DX143">
        <v>1</v>
      </c>
      <c r="DY143">
        <v>0</v>
      </c>
      <c r="DZ143">
        <v>0</v>
      </c>
      <c r="EA143" s="143">
        <v>0</v>
      </c>
      <c r="EB143">
        <v>0</v>
      </c>
      <c r="EC143">
        <v>0</v>
      </c>
      <c r="ED143">
        <v>0</v>
      </c>
      <c r="EE143">
        <v>0</v>
      </c>
      <c r="EF143">
        <v>1</v>
      </c>
      <c r="EG143">
        <v>0</v>
      </c>
      <c r="EH143">
        <v>0</v>
      </c>
      <c r="EI143" s="2">
        <v>0</v>
      </c>
      <c r="EJ143" s="1"/>
      <c r="EK143" t="str">
        <f>IF(AND(AND(AND(OR($DX143=1,$DW143=1),OR($EC143=1,$EA143=1)),SUM($DV143:$DZ143,$EF143)&gt;=4),SUM($EA143:$EE143)&gt;=2),"Whole sector","")</f>
        <v/>
      </c>
      <c r="EL143" t="str">
        <f>IF(AND(AND(OR($DX143=1,$DW143=1),AND($EC143=0,$EA143=0)),SUM($DV143:$DZ143,$EF143)&gt;=4),"Ecosystem approach","")</f>
        <v>Ecosystem approach</v>
      </c>
      <c r="EM143" s="2" t="str">
        <f>IF(AND(AND(AND($DX143=0,$DW143=0),OR($EC143=1,$EA143=1)),SUM($EB143:$EE143)&gt;=2),"Technology approach","")</f>
        <v/>
      </c>
      <c r="EN143" t="s">
        <v>2377</v>
      </c>
      <c r="EO143"/>
      <c r="EP143" t="str">
        <f>IF(ISNUMBER(BU143),IF(ABS(BU143-[4]QC_indicators!$B$2)&gt;3*[4]QC_indicators!$C$2,"C ratio",IF(ISNUMBER(BY143),IF(ABS(BY143-[4]QC_indicators!$B$1)&gt;3*[4]QC_indicators!$C$1,"DF","no"))),IF(ISNUMBER(BY143),IF(ABS(BY143-[4]QC_indicators!$B$1)&gt;3*[4]QC_indicators!$C$1,"DF","no")))</f>
        <v>no</v>
      </c>
      <c r="EQ143" t="s">
        <v>2378</v>
      </c>
      <c r="ER143"/>
      <c r="ES143"/>
      <c r="ET143" s="305" t="s">
        <v>3408</v>
      </c>
      <c r="EU143"/>
    </row>
    <row r="144" spans="1:151" s="139" customFormat="1" ht="15" customHeight="1">
      <c r="A144" s="1" t="s">
        <v>1360</v>
      </c>
      <c r="B144" t="s">
        <v>1361</v>
      </c>
      <c r="C144" t="s">
        <v>1362</v>
      </c>
      <c r="D144" t="s">
        <v>1363</v>
      </c>
      <c r="E144" t="s">
        <v>1364</v>
      </c>
      <c r="F144" t="s">
        <v>1365</v>
      </c>
      <c r="G144" t="s">
        <v>1366</v>
      </c>
      <c r="H144" t="s">
        <v>254</v>
      </c>
      <c r="I144">
        <v>2012</v>
      </c>
      <c r="J144">
        <v>27</v>
      </c>
      <c r="K144" t="s">
        <v>1367</v>
      </c>
      <c r="L144"/>
      <c r="M144" t="str">
        <f>LEFT($D144,FIND(",",$D144)-1)&amp;"_"&amp;I144&amp;L144</f>
        <v>Colombo_2012</v>
      </c>
      <c r="N144" t="s">
        <v>222</v>
      </c>
      <c r="O144" s="145" t="s">
        <v>223</v>
      </c>
      <c r="P144"/>
      <c r="Q144" t="s">
        <v>256</v>
      </c>
      <c r="R144" s="269" t="s">
        <v>274</v>
      </c>
      <c r="S144" s="1" t="s">
        <v>1368</v>
      </c>
      <c r="T144" t="s">
        <v>1369</v>
      </c>
      <c r="U144" t="s">
        <v>1370</v>
      </c>
      <c r="V144">
        <v>1</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s="141">
        <f>COUNTIF(V144:AW144,"&lt;&gt;0")</f>
        <v>1</v>
      </c>
      <c r="AY144" s="141">
        <f>COUNTIF(V144:AL144,"&lt;&gt;0")</f>
        <v>1</v>
      </c>
      <c r="AZ144">
        <f>COUNTIF(V144:AC144,"&lt;&gt;0")</f>
        <v>1</v>
      </c>
      <c r="BA144">
        <f>COUNTIF(AD144:AI144,"&lt;&gt;0")</f>
        <v>0</v>
      </c>
      <c r="BB144">
        <f>COUNTIF(AJ144:AL144,"&lt;&gt;0")</f>
        <v>0</v>
      </c>
      <c r="BC144">
        <f>COUNTIF(AS144:AW144,"&lt;&gt;0")</f>
        <v>0</v>
      </c>
      <c r="BD144">
        <f>COUNTIF(AM144:AR144,"&lt;&gt;0")</f>
        <v>0</v>
      </c>
      <c r="BE144" t="str">
        <f t="array" ref="BE144">IF(AY144=1,INDEX($V$7:$AL$7,MATCH(TRUE,INDEX($V144:$AW144&lt;&gt;0,),0)),IF(AY144=0,INDEX($AM$7:$AW$7,MATCH(1,$AM144:$AW144,0)),IF(BF144="Multiple strategies","mixed drivers",IF(BF144="Supply chain","multiple supply","multiple silviculture"))))</f>
        <v>area subject to harvest</v>
      </c>
      <c r="BF144" s="2" t="str" cm="1">
        <f t="array" ref="BF144">IF(COUNTIF(AZ144:BB144,"&lt;&gt;0")=1,INDEX($V$4:$AW$4,MATCH(TRUE,INDEX($V144:$AW144&lt;&gt;0,),0)),IF(COUNTIF(AZ144:BB144,"&lt;&gt;0")=0,INDEX($AM$4:$AW$4,MATCH(1,$AM144:$AW144,0)),"Multiple strategies"))</f>
        <v>Silviculture for removals</v>
      </c>
      <c r="BG144" s="1" t="s">
        <v>229</v>
      </c>
      <c r="BH144" t="s">
        <v>1371</v>
      </c>
      <c r="BI144" s="264" t="s">
        <v>3176</v>
      </c>
      <c r="BJ144" t="s">
        <v>1372</v>
      </c>
      <c r="BK144">
        <v>0</v>
      </c>
      <c r="BL144">
        <v>16</v>
      </c>
      <c r="BM144"/>
      <c r="BN144">
        <f>BL144-BK144</f>
        <v>16</v>
      </c>
      <c r="BO144">
        <f>BN144*10^6*tC_to_m3</f>
        <v>69474598.349978298</v>
      </c>
      <c r="BP144" s="143" t="s">
        <v>232</v>
      </c>
      <c r="BQ144" s="311" t="s">
        <v>689</v>
      </c>
      <c r="BR144" t="s">
        <v>1372</v>
      </c>
      <c r="BS144">
        <v>592.19047619047603</v>
      </c>
      <c r="BT144">
        <v>569.33333333333303</v>
      </c>
      <c r="BU144" s="144">
        <f>IFERROR(BT144/BS144,"")</f>
        <v>0.96140238018655488</v>
      </c>
      <c r="BV144">
        <f>BT144-BS144</f>
        <v>-22.857142857143003</v>
      </c>
      <c r="BW144"/>
      <c r="BX144">
        <f>BV144*10^6*C_to_CO2</f>
        <v>-83885714.28571482</v>
      </c>
      <c r="BY144">
        <f>IFERROR(BX144/BO144,"")</f>
        <v>-1.2074300000000076</v>
      </c>
      <c r="BZ144">
        <v>0</v>
      </c>
      <c r="CA144">
        <v>0</v>
      </c>
      <c r="CB144">
        <v>0</v>
      </c>
      <c r="CC144">
        <v>0</v>
      </c>
      <c r="CD144">
        <v>0</v>
      </c>
      <c r="CE144">
        <v>0</v>
      </c>
      <c r="CF144">
        <v>0</v>
      </c>
      <c r="CG144">
        <v>0</v>
      </c>
      <c r="CH144">
        <v>0</v>
      </c>
      <c r="CI144">
        <v>0</v>
      </c>
      <c r="CJ144">
        <v>0</v>
      </c>
      <c r="CK144">
        <v>0</v>
      </c>
      <c r="CL144">
        <v>0</v>
      </c>
      <c r="CM144">
        <v>0</v>
      </c>
      <c r="CN144" t="str">
        <f>IF($BL144&lt;$BK144,"refNeedCorrection","refOK")</f>
        <v>refOK</v>
      </c>
      <c r="CO144">
        <f>IF($CN144="refOK",$BK144,$BL144)</f>
        <v>0</v>
      </c>
      <c r="CP144">
        <f>IF($CN144="refOK",$BL144,$BK144)</f>
        <v>16</v>
      </c>
      <c r="CQ144">
        <f>IF($CN144="refOK",$BO144,-$BO144)</f>
        <v>69474598.349978298</v>
      </c>
      <c r="CR144">
        <f>IF($CN144="refOK",$BS144,$BT144)*IF($BP144="Emissions positive",-1,1)</f>
        <v>592.19047619047603</v>
      </c>
      <c r="CS144">
        <f>IF($CN144="refOK",$BT144,$BS144)*IF($BP144="Emissions positive",-1,1)</f>
        <v>569.33333333333303</v>
      </c>
      <c r="CT144">
        <f>IF($CN144="refNeedCorrection",-BX144,BX144)*IF($BP144="Emissions positive",-1,1)</f>
        <v>-83885714.28571482</v>
      </c>
      <c r="CU144">
        <f>IFERROR(CT144/CQ144,"")</f>
        <v>-1.2074300000000076</v>
      </c>
      <c r="CV144" s="2">
        <f>IFERROR((CS144-CR144)/ABS(CR144),"")</f>
        <v>-3.8597619813445096E-2</v>
      </c>
      <c r="CW144" s="1" t="s">
        <v>1199</v>
      </c>
      <c r="CX144" t="str">
        <f>IF(OR($CW144="prd",$CW144="std",$CW144="cit"),"loc",IF(OR($CW144="eur",$CW144="reg",$CW144="coy"),"reg",$CW144))</f>
        <v>reg</v>
      </c>
      <c r="CY144" t="s">
        <v>540</v>
      </c>
      <c r="CZ144">
        <v>2010</v>
      </c>
      <c r="DA144">
        <v>2050</v>
      </c>
      <c r="DB144">
        <f>DA144-CZ144</f>
        <v>40</v>
      </c>
      <c r="DC144" t="str">
        <f>IF(DB144=0,"0",IF(AND(DB144&gt;=1,DB144&lt;=30),"1-30",IF(AND(DB144&gt;30,DB144&lt;=70),"31-70",IF(AND(DB144&gt;70,DB144&lt;=100),"71-100",IF(DB144&gt;100,"+100")))))</f>
        <v>31-70</v>
      </c>
      <c r="DD144">
        <v>0</v>
      </c>
      <c r="DE144">
        <v>1</v>
      </c>
      <c r="DF144">
        <v>1</v>
      </c>
      <c r="DG144">
        <v>1</v>
      </c>
      <c r="DH144"/>
      <c r="DI144">
        <f>SUM(DD144:DG144)</f>
        <v>3</v>
      </c>
      <c r="DJ144" t="str">
        <f>IF(DI144=1,INDEX($DD$7:$DG$7,MATCH(1,$DD144:$DG144,0)),"mixedProduct")</f>
        <v>mixedProduct</v>
      </c>
      <c r="DK144">
        <f>IF(DD144=1,DK$7,0)</f>
        <v>0</v>
      </c>
      <c r="DL144" t="str">
        <f>IF(DE144=1,DL$7,0)</f>
        <v>Energy</v>
      </c>
      <c r="DM144" t="str">
        <f>IF(DF144=1,DM$7,0)</f>
        <v>Pulp/Paper</v>
      </c>
      <c r="DN144" t="str">
        <f>IF(DG144=1,DN$7,0)</f>
        <v>Timber</v>
      </c>
      <c r="DO144">
        <v>0</v>
      </c>
      <c r="DP144">
        <v>0</v>
      </c>
      <c r="DQ144">
        <v>0</v>
      </c>
      <c r="DR144">
        <v>0</v>
      </c>
      <c r="DS144">
        <v>0</v>
      </c>
      <c r="DT144">
        <f>SUM(DO144:DP144)</f>
        <v>0</v>
      </c>
      <c r="DU144" s="143" t="str">
        <f>IF(DO144=1,"self-calculated DF",IF(DP144=1,"external DF used","explicit C balance"))</f>
        <v>explicit C balance</v>
      </c>
      <c r="DV144">
        <v>1</v>
      </c>
      <c r="DW144">
        <v>1</v>
      </c>
      <c r="DX144">
        <v>1</v>
      </c>
      <c r="DY144">
        <v>1</v>
      </c>
      <c r="DZ144">
        <v>0</v>
      </c>
      <c r="EA144" s="143">
        <v>0</v>
      </c>
      <c r="EB144">
        <v>0</v>
      </c>
      <c r="EC144">
        <v>0</v>
      </c>
      <c r="ED144">
        <v>0</v>
      </c>
      <c r="EE144">
        <v>0</v>
      </c>
      <c r="EF144">
        <v>1</v>
      </c>
      <c r="EG144">
        <v>0</v>
      </c>
      <c r="EH144">
        <v>0</v>
      </c>
      <c r="EI144" s="2">
        <v>0</v>
      </c>
      <c r="EJ144" s="1"/>
      <c r="EK144" t="str">
        <f>IF(AND(AND(AND(OR($DX144=1,$DW144=1),OR($EC144=1,$EA144=1)),SUM($DV144:$DZ144,$EF144)&gt;=4),SUM($EA144:$EE144)&gt;=2),"Whole sector","")</f>
        <v/>
      </c>
      <c r="EL144" t="str">
        <f>IF(AND(AND(OR($DX144=1,$DW144=1),AND($EC144=0,$EA144=0)),SUM($DV144:$DZ144,$EF144)&gt;=4),"Ecosystem approach","")</f>
        <v>Ecosystem approach</v>
      </c>
      <c r="EM144" s="2" t="str">
        <f>IF(AND(AND(AND($DX144=0,$DW144=0),OR($EC144=1,$EA144=1)),SUM($EB144:$EE144)&gt;=2),"Technology approach","")</f>
        <v/>
      </c>
      <c r="EN144"/>
      <c r="EO144"/>
      <c r="EP144" t="str">
        <f>IF(ISNUMBER(BU144),IF(ABS(BU144-[2]QC_indicators!$B$2)&gt;3*[2]QC_indicators!$C$2,"C ratio",IF(ISNUMBER(BY144),IF(ABS(BY144-[2]QC_indicators!$B$1)&gt;3*[2]QC_indicators!$C$1,"DF","no"))),IF(ISNUMBER(BY144),IF(ABS(BY144-[2]QC_indicators!$B$1)&gt;3*[2]QC_indicators!$C$1,"DF","no")))</f>
        <v>no</v>
      </c>
      <c r="EQ144"/>
      <c r="ER144" t="s">
        <v>1373</v>
      </c>
      <c r="ES144"/>
      <c r="ET144" s="264" t="s">
        <v>3264</v>
      </c>
      <c r="EU144"/>
    </row>
    <row r="145" spans="1:151" s="139" customFormat="1" ht="15" customHeight="1">
      <c r="A145" s="1" t="s">
        <v>1972</v>
      </c>
      <c r="B145" t="s">
        <v>2316</v>
      </c>
      <c r="C145" t="s">
        <v>2317</v>
      </c>
      <c r="D145" t="s">
        <v>2318</v>
      </c>
      <c r="E145" t="s">
        <v>2319</v>
      </c>
      <c r="F145" t="s">
        <v>2320</v>
      </c>
      <c r="G145" t="s">
        <v>1978</v>
      </c>
      <c r="H145" t="s">
        <v>254</v>
      </c>
      <c r="I145">
        <v>2020</v>
      </c>
      <c r="J145">
        <v>7</v>
      </c>
      <c r="K145" t="s">
        <v>2321</v>
      </c>
      <c r="L145"/>
      <c r="M145" t="str">
        <f>LEFT($D145,FIND(",",$D145)-1)&amp;"_"&amp;I145&amp;L145</f>
        <v>Smyth_2020</v>
      </c>
      <c r="N145" t="s">
        <v>222</v>
      </c>
      <c r="O145" s="145" t="s">
        <v>341</v>
      </c>
      <c r="P145"/>
      <c r="Q145" t="s">
        <v>256</v>
      </c>
      <c r="R145" s="290" t="s">
        <v>225</v>
      </c>
      <c r="S145" s="1" t="s">
        <v>2331</v>
      </c>
      <c r="T145" t="s">
        <v>2332</v>
      </c>
      <c r="U145" t="s">
        <v>1155</v>
      </c>
      <c r="V145">
        <v>1</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s="141">
        <f>COUNTIF(V145:AW145,"&lt;&gt;0")</f>
        <v>1</v>
      </c>
      <c r="AY145" s="141">
        <f>COUNTIF(V145:AL145,"&lt;&gt;0")</f>
        <v>1</v>
      </c>
      <c r="AZ145">
        <f>COUNTIF(V145:AC145,"&lt;&gt;0")</f>
        <v>1</v>
      </c>
      <c r="BA145">
        <f>COUNTIF(AD145:AI145,"&lt;&gt;0")</f>
        <v>0</v>
      </c>
      <c r="BB145">
        <f>COUNTIF(AJ145:AL145,"&lt;&gt;0")</f>
        <v>0</v>
      </c>
      <c r="BC145">
        <f>COUNTIF(AS145:AW145,"&lt;&gt;0")</f>
        <v>0</v>
      </c>
      <c r="BD145">
        <f>COUNTIF(AM145:AR145,"&lt;&gt;0")</f>
        <v>0</v>
      </c>
      <c r="BE145" t="str">
        <f t="array" ref="BE145">IF(AY145=1,INDEX($V$7:$AL$7,MATCH(TRUE,INDEX($V145:$AW145&lt;&gt;0,),0)),IF(AY145=0,INDEX($AM$7:$AW$7,MATCH(1,$AM145:$AW145,0)),IF(BF145="Multiple strategies","mixed drivers",IF(BF145="Supply chain","multiple supply","multiple silviculture"))))</f>
        <v>area subject to harvest</v>
      </c>
      <c r="BF145" s="2" t="str" cm="1">
        <f t="array" ref="BF145">IF(COUNTIF(AZ145:BB145,"&lt;&gt;0")=1,INDEX($V$4:$AW$4,MATCH(TRUE,INDEX($V145:$AW145&lt;&gt;0,),0)),IF(COUNTIF(AZ145:BB145,"&lt;&gt;0")=0,INDEX($AM$4:$AW$4,MATCH(1,$AM145:$AW145,0)),"Multiple strategies"))</f>
        <v>Silviculture for removals</v>
      </c>
      <c r="BG145" s="1" t="s">
        <v>321</v>
      </c>
      <c r="BH145" t="s">
        <v>2324</v>
      </c>
      <c r="BI145" s="260" t="s">
        <v>3390</v>
      </c>
      <c r="BJ145" t="s">
        <v>1359</v>
      </c>
      <c r="BK145">
        <v>434</v>
      </c>
      <c r="BL145">
        <v>457</v>
      </c>
      <c r="BM145">
        <f>BL145/BK145</f>
        <v>1.0529953917050692</v>
      </c>
      <c r="BN145">
        <f>BL145-BK145</f>
        <v>23</v>
      </c>
      <c r="BO145">
        <f>BN145*10^6*tC_to_m3</f>
        <v>99869735.128093794</v>
      </c>
      <c r="BP145" t="s">
        <v>232</v>
      </c>
      <c r="BQ145" s="300" t="s">
        <v>3392</v>
      </c>
      <c r="BR145" t="s">
        <v>2325</v>
      </c>
      <c r="BS145"/>
      <c r="BT145"/>
      <c r="BU145" s="144"/>
      <c r="BV145">
        <v>-116</v>
      </c>
      <c r="BW145"/>
      <c r="BX145">
        <f>BV145*10^6</f>
        <v>-116000000</v>
      </c>
      <c r="BY145">
        <f>IFERROR(BX145/BO145,"")</f>
        <v>-1.1615130434782608</v>
      </c>
      <c r="BZ145">
        <v>0</v>
      </c>
      <c r="CA145">
        <v>1</v>
      </c>
      <c r="CB145">
        <v>1</v>
      </c>
      <c r="CC145">
        <v>1</v>
      </c>
      <c r="CD145">
        <v>0</v>
      </c>
      <c r="CE145">
        <v>0</v>
      </c>
      <c r="CF145">
        <v>0</v>
      </c>
      <c r="CG145">
        <v>0</v>
      </c>
      <c r="CH145">
        <v>0</v>
      </c>
      <c r="CI145">
        <v>0</v>
      </c>
      <c r="CJ145">
        <v>0</v>
      </c>
      <c r="CK145">
        <v>0</v>
      </c>
      <c r="CL145">
        <v>0</v>
      </c>
      <c r="CM145">
        <v>0</v>
      </c>
      <c r="CN145" t="str">
        <f>IF(BL145&lt;BK145,"refNeedCorrection","refOK")</f>
        <v>refOK</v>
      </c>
      <c r="CO145"/>
      <c r="CP145"/>
      <c r="CQ145">
        <f>IF($CN145="refOK",$BO145,-$BO145)</f>
        <v>99869735.128093794</v>
      </c>
      <c r="CR145">
        <f>IF($CN145="refOK",$BS145,$BT145)*IF($BP145="Emissions positive",-1,1)</f>
        <v>0</v>
      </c>
      <c r="CS145">
        <f>IF($CN145="refOK",$BT145,$BS145)*IF($BP145="Emissions positive",-1,1)</f>
        <v>0</v>
      </c>
      <c r="CT145">
        <f>IF($CN145="refNeedCorrection",-BX145,BX145)*IF($BP145="Emissions positive",-1,1)</f>
        <v>-116000000</v>
      </c>
      <c r="CU145">
        <f>IFERROR(CT145/CQ145,"")</f>
        <v>-1.1615130434782608</v>
      </c>
      <c r="CV145" s="2" t="str">
        <f>IFERROR((CS145-CR145)/ABS(CR145),"")</f>
        <v/>
      </c>
      <c r="CW145" s="1" t="s">
        <v>1199</v>
      </c>
      <c r="CX145" t="str">
        <f>IF(OR($CW145="prd",$CW145="std",$CW145="cit"),"loc",IF(OR($CW145="eur",$CW145="reg",$CW145="coy"),"reg",$CW145))</f>
        <v>reg</v>
      </c>
      <c r="CY145" t="s">
        <v>540</v>
      </c>
      <c r="CZ145">
        <v>2015</v>
      </c>
      <c r="DA145">
        <v>2070</v>
      </c>
      <c r="DB145">
        <v>45</v>
      </c>
      <c r="DC145" t="str">
        <f>IF(DB145=0,"0",IF(AND(DB145&gt;=1,DB145&lt;=30),"1-30",IF(AND(DB145&gt;30,DB145&lt;=70),"31-70",IF(AND(DB145&gt;70,DB145&lt;=100),"71-100",IF(DB145&gt;100,"+100")))))</f>
        <v>31-70</v>
      </c>
      <c r="DD145">
        <v>0</v>
      </c>
      <c r="DE145">
        <v>1</v>
      </c>
      <c r="DF145">
        <v>1</v>
      </c>
      <c r="DG145">
        <v>1</v>
      </c>
      <c r="DH145"/>
      <c r="DI145">
        <f>SUM(DD145:DG145)</f>
        <v>3</v>
      </c>
      <c r="DJ145" t="str">
        <f>IF(DI145=1,INDEX($DD$7:$DG$7,MATCH(1,$DD145:$DG145,0)),"mixedProduct")</f>
        <v>mixedProduct</v>
      </c>
      <c r="DK145">
        <f>IF(DD145=1,DK$7,0)</f>
        <v>0</v>
      </c>
      <c r="DL145" t="str">
        <f>IF(DE145=1,DL$7,0)</f>
        <v>Energy</v>
      </c>
      <c r="DM145" t="str">
        <f>IF(DF145=1,DM$7,0)</f>
        <v>Pulp/Paper</v>
      </c>
      <c r="DN145" t="str">
        <f>IF(DG145=1,DN$7,0)</f>
        <v>Timber</v>
      </c>
      <c r="DO145">
        <v>1</v>
      </c>
      <c r="DP145">
        <v>1</v>
      </c>
      <c r="DQ145" t="s">
        <v>2315</v>
      </c>
      <c r="DR145">
        <v>0</v>
      </c>
      <c r="DS145">
        <v>0</v>
      </c>
      <c r="DT145">
        <f>SUM(DO145:DP145)</f>
        <v>2</v>
      </c>
      <c r="DU145" s="143" t="str">
        <f>IF(DO145=1,"self-calculated DF",IF(DP145=1,"external DF used","explicit C balance"))</f>
        <v>self-calculated DF</v>
      </c>
      <c r="DV145">
        <v>1</v>
      </c>
      <c r="DW145">
        <v>1</v>
      </c>
      <c r="DX145">
        <v>1</v>
      </c>
      <c r="DY145">
        <v>1</v>
      </c>
      <c r="DZ145">
        <v>1</v>
      </c>
      <c r="EA145" s="143">
        <v>1</v>
      </c>
      <c r="EB145">
        <v>1</v>
      </c>
      <c r="EC145">
        <v>1</v>
      </c>
      <c r="ED145">
        <v>1</v>
      </c>
      <c r="EE145">
        <v>1</v>
      </c>
      <c r="EF145">
        <v>1</v>
      </c>
      <c r="EG145">
        <v>1</v>
      </c>
      <c r="EH145">
        <v>0</v>
      </c>
      <c r="EI145" s="2">
        <v>0</v>
      </c>
      <c r="EJ145" s="1"/>
      <c r="EK145" t="str">
        <f>IF(AND(AND(AND(OR($DX145=1,$DW145=1),OR($EC145=1,$EA145=1)),SUM($DV145:$DZ145,$EF145)&gt;=4),SUM($EA145:$EE145)&gt;=2),"Whole sector","")</f>
        <v>Whole sector</v>
      </c>
      <c r="EL145" t="str">
        <f>IF(AND(AND(OR($DX145=1,$DW145=1),AND($EC145=0,$EA145=0)),SUM($DV145:$DZ145,$EF145)&gt;=4),"Ecosystem approach","")</f>
        <v/>
      </c>
      <c r="EM145" s="2" t="str">
        <f>IF(AND(AND(AND($DX145=0,$DW145=0),OR($EC145=1,$EA145=1)),SUM($EB145:$EE145)&gt;=2),"Technology approach","")</f>
        <v/>
      </c>
      <c r="EN145"/>
      <c r="EO145"/>
      <c r="EP145" t="str">
        <f>IF(ISNUMBER(BU145),IF(ABS(BU145-[4]QC_indicators!$B$2)&gt;3*[4]QC_indicators!$C$2,"C ratio",IF(ISNUMBER(BY145),IF(ABS(BY145-[4]QC_indicators!$B$1)&gt;3*[4]QC_indicators!$C$1,"DF","no"))),IF(ISNUMBER(BY145),IF(ABS(BY145-[4]QC_indicators!$B$1)&gt;3*[4]QC_indicators!$C$1,"DF","no")))</f>
        <v>no</v>
      </c>
      <c r="EQ145"/>
      <c r="ER145" s="149" t="s">
        <v>2326</v>
      </c>
      <c r="ES145"/>
      <c r="ET145" s="264" t="s">
        <v>3273</v>
      </c>
      <c r="EU145"/>
    </row>
    <row r="146" spans="1:151" s="139" customFormat="1" ht="15" customHeight="1">
      <c r="A146" s="1" t="s">
        <v>2114</v>
      </c>
      <c r="B146" t="s">
        <v>544</v>
      </c>
      <c r="C146" t="s">
        <v>2277</v>
      </c>
      <c r="D146" t="s">
        <v>2278</v>
      </c>
      <c r="E146" t="s">
        <v>2279</v>
      </c>
      <c r="F146" t="s">
        <v>2280</v>
      </c>
      <c r="G146" t="s">
        <v>2115</v>
      </c>
      <c r="H146" t="s">
        <v>254</v>
      </c>
      <c r="I146">
        <v>2014</v>
      </c>
      <c r="J146">
        <v>96</v>
      </c>
      <c r="K146" t="s">
        <v>2281</v>
      </c>
      <c r="L146"/>
      <c r="M146" t="str">
        <f>LEFT($D146,FIND(",",$D146)-1)&amp;"_"&amp;I146&amp;L146</f>
        <v>Smyth_2014</v>
      </c>
      <c r="N146" t="s">
        <v>222</v>
      </c>
      <c r="O146" s="145" t="s">
        <v>341</v>
      </c>
      <c r="P146"/>
      <c r="Q146" t="s">
        <v>256</v>
      </c>
      <c r="R146" s="262" t="s">
        <v>223</v>
      </c>
      <c r="S146" s="1" t="s">
        <v>2285</v>
      </c>
      <c r="T146" t="s">
        <v>1155</v>
      </c>
      <c r="U146" s="264" t="s">
        <v>2291</v>
      </c>
      <c r="V146">
        <v>0</v>
      </c>
      <c r="W146">
        <v>0</v>
      </c>
      <c r="X146">
        <v>0</v>
      </c>
      <c r="Y146">
        <v>1</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s="141">
        <f>COUNTIF(V146:AW146,"&lt;&gt;0")</f>
        <v>1</v>
      </c>
      <c r="AY146" s="141">
        <f>COUNTIF(V146:AL146,"&lt;&gt;0")</f>
        <v>1</v>
      </c>
      <c r="AZ146">
        <f>COUNTIF(V146:AC146,"&lt;&gt;0")</f>
        <v>1</v>
      </c>
      <c r="BA146">
        <f>COUNTIF(AD146:AI146,"&lt;&gt;0")</f>
        <v>0</v>
      </c>
      <c r="BB146">
        <f>COUNTIF(AJ146:AL146,"&lt;&gt;0")</f>
        <v>0</v>
      </c>
      <c r="BC146">
        <f>COUNTIF(AS146:AW146,"&lt;&gt;0")</f>
        <v>0</v>
      </c>
      <c r="BD146">
        <f>COUNTIF(AM146:AR146,"&lt;&gt;0")</f>
        <v>0</v>
      </c>
      <c r="BE146" t="str">
        <f t="array" ref="BE146">IF(AY146=1,INDEX($V$7:$AL$7,MATCH(TRUE,INDEX($V146:$AW146&lt;&gt;0,),0)),IF(AY146=0,INDEX($AM$7:$AW$7,MATCH(1,$AM146:$AW146,0)),IF(BF146="Multiple strategies","mixed drivers",IF(BF146="Supply chain","multiple supply","multiple silviculture"))))</f>
        <v xml:space="preserve">cutting intensity </v>
      </c>
      <c r="BF146" s="2" t="str" cm="1">
        <f t="array" ref="BF146">IF(COUNTIF(AZ146:BB146,"&lt;&gt;0")=1,INDEX($V$4:$AW$4,MATCH(TRUE,INDEX($V146:$AW146&lt;&gt;0,),0)),IF(COUNTIF(AZ146:BB146,"&lt;&gt;0")=0,INDEX($AM$4:$AW$4,MATCH(1,$AM146:$AW146,0)),"Multiple strategies"))</f>
        <v>Silviculture for removals</v>
      </c>
      <c r="BG146" s="1" t="s">
        <v>321</v>
      </c>
      <c r="BH146" t="s">
        <v>2287</v>
      </c>
      <c r="BI146" t="s">
        <v>1036</v>
      </c>
      <c r="BJ146" t="s">
        <v>2288</v>
      </c>
      <c r="BK146">
        <v>0</v>
      </c>
      <c r="BL146">
        <v>0.62</v>
      </c>
      <c r="BM146"/>
      <c r="BN146">
        <f>BL146-BK146</f>
        <v>0.62</v>
      </c>
      <c r="BO146">
        <f>BN146*10^6*tC_to_m3</f>
        <v>2692140.6860616589</v>
      </c>
      <c r="BP146" t="s">
        <v>232</v>
      </c>
      <c r="BQ146" s="338" t="s">
        <v>783</v>
      </c>
      <c r="BR146" s="264" t="s">
        <v>3244</v>
      </c>
      <c r="BS146"/>
      <c r="BT146"/>
      <c r="BU146" s="144"/>
      <c r="BV146">
        <f>-108.8/35</f>
        <v>-3.1085714285714285</v>
      </c>
      <c r="BW146"/>
      <c r="BX146">
        <f>BV146*10^6</f>
        <v>-3108571.4285714286</v>
      </c>
      <c r="BY146">
        <f>IFERROR(BX146/BO146,"")</f>
        <v>-1.1546838709677418</v>
      </c>
      <c r="BZ146">
        <v>0</v>
      </c>
      <c r="CA146">
        <v>1</v>
      </c>
      <c r="CB146">
        <v>1</v>
      </c>
      <c r="CC146">
        <v>1</v>
      </c>
      <c r="CD146">
        <v>0</v>
      </c>
      <c r="CE146">
        <v>0</v>
      </c>
      <c r="CF146">
        <v>0</v>
      </c>
      <c r="CG146">
        <v>0</v>
      </c>
      <c r="CH146">
        <v>0</v>
      </c>
      <c r="CI146">
        <v>0</v>
      </c>
      <c r="CJ146">
        <v>0</v>
      </c>
      <c r="CK146">
        <v>0</v>
      </c>
      <c r="CL146">
        <v>0</v>
      </c>
      <c r="CM146">
        <v>0</v>
      </c>
      <c r="CN146" t="str">
        <f>IF($BL146&lt;$BK146,"refNeedCorrection","refOK")</f>
        <v>refOK</v>
      </c>
      <c r="CO146">
        <f>IF($CN146="refOK",$BK146,$BL146)</f>
        <v>0</v>
      </c>
      <c r="CP146">
        <f>IF($CN146="refOK",$BL146,$BK146)</f>
        <v>0.62</v>
      </c>
      <c r="CQ146">
        <f>IF($CN146="refOK",$BO146,-$BO146)</f>
        <v>2692140.6860616589</v>
      </c>
      <c r="CR146">
        <f>IF($CN146="refOK",$BS146,$BT146)*IF($BP146="Emissions positive",-1,1)</f>
        <v>0</v>
      </c>
      <c r="CS146">
        <f>IF($CN146="refOK",$BT146,$BS146)*IF($BP146="Emissions positive",-1,1)</f>
        <v>0</v>
      </c>
      <c r="CT146">
        <f>IF($CN146="refNeedCorrection",-BX146,BX146)*IF($BP146="Emissions positive",-1,1)</f>
        <v>-3108571.4285714286</v>
      </c>
      <c r="CU146">
        <f>IFERROR(CT146/CQ146,"")</f>
        <v>-1.1546838709677418</v>
      </c>
      <c r="CV146" s="2" t="str">
        <f>IFERROR((CS146-CR146)/ABS(CR146),"")</f>
        <v/>
      </c>
      <c r="CW146" s="1" t="s">
        <v>1203</v>
      </c>
      <c r="CX146" t="str">
        <f>IF(OR($CW146="prd",$CW146="std",$CW146="cit"),"loc",IF(OR($CW146="eur",$CW146="reg",$CW146="coy"),"reg",$CW146))</f>
        <v>reg</v>
      </c>
      <c r="CY146" t="s">
        <v>540</v>
      </c>
      <c r="CZ146">
        <v>2015</v>
      </c>
      <c r="DA146">
        <v>2050</v>
      </c>
      <c r="DB146">
        <v>35</v>
      </c>
      <c r="DC146" t="str">
        <f>IF(DB146=0,"0",IF(AND(DB146&gt;=1,DB146&lt;=30),"1-30",IF(AND(DB146&gt;30,DB146&lt;=70),"31-70",IF(AND(DB146&gt;70,DB146&lt;=100),"71-100",IF(DB146&gt;100,"+100")))))</f>
        <v>31-70</v>
      </c>
      <c r="DD146">
        <v>0</v>
      </c>
      <c r="DE146">
        <v>1</v>
      </c>
      <c r="DF146">
        <v>1</v>
      </c>
      <c r="DG146">
        <v>1</v>
      </c>
      <c r="DH146"/>
      <c r="DI146">
        <f>SUM(DD146:DG146)</f>
        <v>3</v>
      </c>
      <c r="DJ146" t="str">
        <f>IF(DI146=1,INDEX($DD$7:$DG$7,MATCH(1,$DD146:$DG146,0)),"mixedProduct")</f>
        <v>mixedProduct</v>
      </c>
      <c r="DK146">
        <f>IF(DD146=1,DK$7,0)</f>
        <v>0</v>
      </c>
      <c r="DL146" t="str">
        <f>IF(DE146=1,DL$7,0)</f>
        <v>Energy</v>
      </c>
      <c r="DM146" t="str">
        <f>IF(DF146=1,DM$7,0)</f>
        <v>Pulp/Paper</v>
      </c>
      <c r="DN146" t="str">
        <f>IF(DG146=1,DN$7,0)</f>
        <v>Timber</v>
      </c>
      <c r="DO146">
        <v>0</v>
      </c>
      <c r="DP146">
        <v>0</v>
      </c>
      <c r="DQ146"/>
      <c r="DR146">
        <v>0</v>
      </c>
      <c r="DS146">
        <v>0</v>
      </c>
      <c r="DT146">
        <f>SUM(DO146:DP146)</f>
        <v>0</v>
      </c>
      <c r="DU146" s="143" t="str">
        <f>IF(DO146=1,"self-calculated DF",IF(DP146=1,"external DF used","explicit C balance"))</f>
        <v>explicit C balance</v>
      </c>
      <c r="DV146">
        <v>1</v>
      </c>
      <c r="DW146">
        <v>1</v>
      </c>
      <c r="DX146">
        <v>1</v>
      </c>
      <c r="DY146">
        <v>0</v>
      </c>
      <c r="DZ146">
        <v>0</v>
      </c>
      <c r="EA146">
        <v>0</v>
      </c>
      <c r="EB146">
        <v>0</v>
      </c>
      <c r="EC146">
        <v>0</v>
      </c>
      <c r="ED146">
        <v>0</v>
      </c>
      <c r="EE146">
        <v>0</v>
      </c>
      <c r="EF146">
        <v>1</v>
      </c>
      <c r="EG146">
        <v>0</v>
      </c>
      <c r="EH146">
        <v>0</v>
      </c>
      <c r="EI146" s="2">
        <v>0</v>
      </c>
      <c r="EJ146" s="1"/>
      <c r="EK146" t="str">
        <f>IF(AND(AND(AND(OR($DX146=1,$DW146=1),OR($EC146=1,$EA146=1)),SUM($DV146:$DZ146,$EF146)&gt;=4),SUM($EA146:$EE146)&gt;=2),"Whole sector","")</f>
        <v/>
      </c>
      <c r="EL146" t="str">
        <f>IF(AND(AND(OR($DX146=1,$DW146=1),AND($EC146=0,$EA146=0)),SUM($DV146:$DZ146,$EF146)&gt;=4),"Ecosystem approach","")</f>
        <v>Ecosystem approach</v>
      </c>
      <c r="EM146" s="2" t="str">
        <f>IF(AND(AND(AND($DX146=0,$DW146=0),OR($EC146=1,$EA146=1)),SUM($EB146:$EE146)&gt;=2),"Technology approach","")</f>
        <v/>
      </c>
      <c r="EN146"/>
      <c r="EO146"/>
      <c r="EP146" t="str">
        <f>IF(ISNUMBER(BU146),IF(ABS(BU146-[1]QC_indicators!$B$2)&gt;3*[1]QC_indicators!$C$2,"C ratio",IF(ISNUMBER(BY146),IF(ABS(BY146-[1]QC_indicators!$B$1)&gt;3*[1]QC_indicators!$C$1,"DF","no"))),IF(ISNUMBER(BY146),IF(ABS(BY146-[1]QC_indicators!$B$1)&gt;3*[1]QC_indicators!$C$1,"DF","no")))</f>
        <v>no</v>
      </c>
      <c r="EQ146"/>
      <c r="ER146" t="s">
        <v>2289</v>
      </c>
      <c r="ES146"/>
      <c r="ET146" s="268" t="s">
        <v>3242</v>
      </c>
      <c r="EU146"/>
    </row>
    <row r="147" spans="1:151" s="139" customFormat="1" ht="15" customHeight="1">
      <c r="A147" s="1" t="s">
        <v>1808</v>
      </c>
      <c r="B147" t="s">
        <v>2475</v>
      </c>
      <c r="C147" t="s">
        <v>2476</v>
      </c>
      <c r="D147" t="s">
        <v>2477</v>
      </c>
      <c r="E147" t="s">
        <v>2478</v>
      </c>
      <c r="F147" t="s">
        <v>2479</v>
      </c>
      <c r="G147" t="s">
        <v>1814</v>
      </c>
      <c r="H147" t="s">
        <v>254</v>
      </c>
      <c r="I147">
        <v>2010</v>
      </c>
      <c r="J147">
        <v>100</v>
      </c>
      <c r="K147" t="s">
        <v>2480</v>
      </c>
      <c r="L147"/>
      <c r="M147" t="str">
        <f>LEFT($D147,FIND(",",$D147)-1)&amp;"_"&amp;I147&amp;L147</f>
        <v>Werner_2010</v>
      </c>
      <c r="N147" t="s">
        <v>222</v>
      </c>
      <c r="O147" s="145" t="s">
        <v>1154</v>
      </c>
      <c r="P147"/>
      <c r="Q147" t="s">
        <v>256</v>
      </c>
      <c r="R147" s="262" t="s">
        <v>223</v>
      </c>
      <c r="S147" s="263" t="s">
        <v>3255</v>
      </c>
      <c r="T147" t="s">
        <v>2482</v>
      </c>
      <c r="U147" t="s">
        <v>2487</v>
      </c>
      <c r="V147">
        <v>2</v>
      </c>
      <c r="W147">
        <v>0</v>
      </c>
      <c r="X147">
        <v>1</v>
      </c>
      <c r="Y147">
        <v>2</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s="141">
        <f>COUNTIF(V147:AW147,"&lt;&gt;0")</f>
        <v>3</v>
      </c>
      <c r="AY147" s="141">
        <f>COUNTIF(V147:AL147,"&lt;&gt;0")</f>
        <v>3</v>
      </c>
      <c r="AZ147">
        <f>COUNTIF(V147:AC147,"&lt;&gt;0")</f>
        <v>3</v>
      </c>
      <c r="BA147">
        <f>COUNTIF(AD147:AI147,"&lt;&gt;0")</f>
        <v>0</v>
      </c>
      <c r="BB147">
        <f>COUNTIF(AJ147:AL147,"&lt;&gt;0")</f>
        <v>0</v>
      </c>
      <c r="BC147">
        <f>COUNTIF(AS147:AW147,"&lt;&gt;0")</f>
        <v>0</v>
      </c>
      <c r="BD147">
        <f>COUNTIF(AM147:AR147,"&lt;&gt;0")</f>
        <v>0</v>
      </c>
      <c r="BE147" t="str">
        <f t="array" ref="BE147">IF(AY147=1,INDEX($V$7:$AL$7,MATCH(TRUE,INDEX($V147:$AW147&lt;&gt;0,),0)),IF(AY147=0,INDEX($AM$7:$AW$7,MATCH(1,$AM147:$AW147,0)),IF(BF147="Multiple strategies","mixed drivers",IF(BF147="Supply chain","multiple supply","multiple silviculture"))))</f>
        <v>multiple silviculture</v>
      </c>
      <c r="BF147" s="2" t="str" cm="1">
        <f t="array" ref="BF147">IF(COUNTIF(AZ147:BB147,"&lt;&gt;0")=1,INDEX($V$4:$AW$4,MATCH(TRUE,INDEX($V147:$AW147&lt;&gt;0,),0)),IF(COUNTIF(AZ147:BB147,"&lt;&gt;0")=0,INDEX($AM$4:$AW$4,MATCH(1,$AM147:$AW147,0)),"Multiple strategies"))</f>
        <v>Silviculture for removals</v>
      </c>
      <c r="BG147" s="1" t="s">
        <v>321</v>
      </c>
      <c r="BH147" t="s">
        <v>2453</v>
      </c>
      <c r="BI147" s="264" t="s">
        <v>3252</v>
      </c>
      <c r="BJ147" t="s">
        <v>1323</v>
      </c>
      <c r="BK147">
        <v>120</v>
      </c>
      <c r="BL147">
        <v>213</v>
      </c>
      <c r="BM147" s="143">
        <f>BL147/BK147</f>
        <v>1.7749999999999999</v>
      </c>
      <c r="BN147">
        <f>BL147-BK147</f>
        <v>93</v>
      </c>
      <c r="BO147">
        <f>BN147*10^6</f>
        <v>93000000</v>
      </c>
      <c r="BP147" t="s">
        <v>232</v>
      </c>
      <c r="BQ147" s="303" t="s">
        <v>3253</v>
      </c>
      <c r="BR147" t="s">
        <v>2325</v>
      </c>
      <c r="BS147">
        <v>227.98379614391621</v>
      </c>
      <c r="BT147">
        <v>121.7569326457978</v>
      </c>
      <c r="BU147" s="144">
        <f>IFERROR(BT147/BS147,"")</f>
        <v>0.53405958978302992</v>
      </c>
      <c r="BV147" s="144">
        <f>BT147-BS147</f>
        <v>-106.22686349811841</v>
      </c>
      <c r="BW147" s="144"/>
      <c r="BX147">
        <f>BV147*10^6</f>
        <v>-106226863.4981184</v>
      </c>
      <c r="BY147">
        <f>IFERROR(BX147/BO147,"")</f>
        <v>-1.1422243386894451</v>
      </c>
      <c r="BZ147">
        <v>0</v>
      </c>
      <c r="CA147">
        <v>0</v>
      </c>
      <c r="CB147">
        <v>0</v>
      </c>
      <c r="CC147">
        <v>0</v>
      </c>
      <c r="CD147">
        <v>0</v>
      </c>
      <c r="CE147">
        <v>0</v>
      </c>
      <c r="CF147">
        <v>0</v>
      </c>
      <c r="CG147">
        <v>0</v>
      </c>
      <c r="CH147">
        <v>0</v>
      </c>
      <c r="CI147">
        <v>0</v>
      </c>
      <c r="CJ147">
        <v>0</v>
      </c>
      <c r="CK147">
        <v>0</v>
      </c>
      <c r="CL147">
        <v>0</v>
      </c>
      <c r="CM147">
        <v>1</v>
      </c>
      <c r="CN147" t="str">
        <f>IF($BL147&lt;$BK147,"refNeedCorrection","refOK")</f>
        <v>refOK</v>
      </c>
      <c r="CO147">
        <f>IF($CN147="refOK",$BK147,$BL147)</f>
        <v>120</v>
      </c>
      <c r="CP147">
        <f>IF($CN147="refOK",$BL147,$BK147)</f>
        <v>213</v>
      </c>
      <c r="CQ147">
        <f>IF($CN147="refOK",$BO147,-$BO147)</f>
        <v>93000000</v>
      </c>
      <c r="CR147">
        <f>IF($CN147="refOK",$BS147,$BT147)*IF($BP147="Emissions positive",-1,1)</f>
        <v>227.98379614391621</v>
      </c>
      <c r="CS147">
        <f>IF($CN147="refOK",$BT147,$BS147)*IF($BP147="Emissions positive",-1,1)</f>
        <v>121.7569326457978</v>
      </c>
      <c r="CT147">
        <f>IF($CN147="refNeedCorrection",-BX147,BX147)*IF($BP147="Emissions positive",-1,1)</f>
        <v>-106226863.4981184</v>
      </c>
      <c r="CU147">
        <f>IFERROR(CT147/CQ147,"")</f>
        <v>-1.1422243386894451</v>
      </c>
      <c r="CV147" s="2">
        <f>IFERROR((CS147-CR147)/ABS(CR147),"")</f>
        <v>-0.46594041021697008</v>
      </c>
      <c r="CW147" s="1" t="s">
        <v>1203</v>
      </c>
      <c r="CX147" t="str">
        <f>IF(OR($CW147="prd",$CW147="std",$CW147="cit"),"loc",IF(OR($CW147="eur",$CW147="reg",$CW147="coy"),"reg",$CW147))</f>
        <v>reg</v>
      </c>
      <c r="CY147" t="s">
        <v>639</v>
      </c>
      <c r="CZ147">
        <v>2000</v>
      </c>
      <c r="DA147">
        <v>2030</v>
      </c>
      <c r="DB147">
        <f>DA147-CZ147</f>
        <v>30</v>
      </c>
      <c r="DC147" t="str">
        <f>IF(DB147=0,"0",IF(AND(DB147&gt;=1,DB147&lt;=30),"1-30",IF(AND(DB147&gt;30,DB147&lt;=70),"31-70",IF(AND(DB147&gt;70,DB147&lt;=100),"71-100",IF(DB147&gt;100,"+100")))))</f>
        <v>1-30</v>
      </c>
      <c r="DD147">
        <v>0</v>
      </c>
      <c r="DE147">
        <v>0</v>
      </c>
      <c r="DF147">
        <v>0</v>
      </c>
      <c r="DG147">
        <v>1</v>
      </c>
      <c r="DH147">
        <v>0</v>
      </c>
      <c r="DI147">
        <f>SUM(DD147:DG147)</f>
        <v>1</v>
      </c>
      <c r="DJ147" t="str">
        <f>IF(DI147=1,INDEX($DD$7:$DG$7,MATCH(1,$DD147:$DG147,0)),"mixedProduct")</f>
        <v>TimberInput</v>
      </c>
      <c r="DK147">
        <f>IF(DD147=1,DK$7,0)</f>
        <v>0</v>
      </c>
      <c r="DL147">
        <f>IF(DE147=1,DL$7,0)</f>
        <v>0</v>
      </c>
      <c r="DM147">
        <f>IF(DF147=1,DM$7,0)</f>
        <v>0</v>
      </c>
      <c r="DN147" t="str">
        <f>IF(DG147=1,DN$7,0)</f>
        <v>Timber</v>
      </c>
      <c r="DO147">
        <v>0</v>
      </c>
      <c r="DP147">
        <v>0</v>
      </c>
      <c r="DQ147"/>
      <c r="DR147"/>
      <c r="DS147"/>
      <c r="DT147">
        <f>SUM(DO147:DP147)</f>
        <v>0</v>
      </c>
      <c r="DU147" s="143" t="str">
        <f>IF(DO147=1,"self-calculated DF",IF(DP147=1,"external DF used","explicit C balance"))</f>
        <v>explicit C balance</v>
      </c>
      <c r="DV147">
        <v>1</v>
      </c>
      <c r="DW147">
        <v>1</v>
      </c>
      <c r="DX147">
        <v>1</v>
      </c>
      <c r="DY147">
        <v>1</v>
      </c>
      <c r="DZ147">
        <v>1</v>
      </c>
      <c r="EA147" s="143">
        <v>0</v>
      </c>
      <c r="EB147">
        <v>0</v>
      </c>
      <c r="EC147">
        <v>0</v>
      </c>
      <c r="ED147">
        <v>0</v>
      </c>
      <c r="EE147">
        <v>0</v>
      </c>
      <c r="EF147">
        <v>1</v>
      </c>
      <c r="EG147">
        <v>0</v>
      </c>
      <c r="EH147">
        <v>0</v>
      </c>
      <c r="EI147" s="2">
        <v>0</v>
      </c>
      <c r="EJ147" s="1"/>
      <c r="EK147" t="str">
        <f>IF(AND(AND(AND(OR($DX147=1,$DW147=1),OR($EC147=1,$EA147=1)),SUM($DV147:$DZ147,$EF147)&gt;=4),SUM($EA147:$EE147)&gt;=2),"Whole sector","")</f>
        <v/>
      </c>
      <c r="EL147" t="str">
        <f>IF(AND(AND(OR($DX147=1,$DW147=1),AND($EC147=0,$EA147=0)),SUM($DV147:$DZ147,$EF147)&gt;=4),"Ecosystem approach","")</f>
        <v>Ecosystem approach</v>
      </c>
      <c r="EM147" s="2" t="str">
        <f>IF(AND(AND(AND($DX147=0,$DW147=0),OR($EC147=1,$EA147=1)),SUM($EB147:$EE147)&gt;=2),"Technology approach","")</f>
        <v/>
      </c>
      <c r="EN147" t="s">
        <v>2485</v>
      </c>
      <c r="EO147"/>
      <c r="EP147" t="str">
        <f>IF(ISNUMBER(BU147),IF(ABS(BU147-[1]QC_indicators!$B$2)&gt;3*[1]QC_indicators!$C$2,"C ratio",IF(ISNUMBER(BY147),IF(ABS(BY147-[1]QC_indicators!$B$1)&gt;3*[1]QC_indicators!$C$1,"DF","no"))),IF(ISNUMBER(BY147),IF(ABS(BY147-[1]QC_indicators!$B$1)&gt;3*[1]QC_indicators!$C$1,"DF","no")))</f>
        <v>no</v>
      </c>
      <c r="EQ147"/>
      <c r="ER147"/>
      <c r="ES147"/>
      <c r="ET147" s="264" t="s">
        <v>3254</v>
      </c>
      <c r="EU147"/>
    </row>
    <row r="148" spans="1:151" s="139" customFormat="1" ht="15" customHeight="1">
      <c r="A148" s="1" t="s">
        <v>614</v>
      </c>
      <c r="B148" t="s">
        <v>630</v>
      </c>
      <c r="C148" t="s">
        <v>631</v>
      </c>
      <c r="D148" t="s">
        <v>632</v>
      </c>
      <c r="E148" t="s">
        <v>633</v>
      </c>
      <c r="F148" t="s">
        <v>634</v>
      </c>
      <c r="G148" t="s">
        <v>620</v>
      </c>
      <c r="H148" t="s">
        <v>254</v>
      </c>
      <c r="I148">
        <v>2022</v>
      </c>
      <c r="J148">
        <v>1</v>
      </c>
      <c r="K148" t="s">
        <v>635</v>
      </c>
      <c r="L148"/>
      <c r="M148" t="str">
        <f>LEFT($D148,FIND(",",$D148)-1)&amp;"_"&amp;I148&amp;L148</f>
        <v>Devenes_2022</v>
      </c>
      <c r="N148" t="s">
        <v>222</v>
      </c>
      <c r="O148" s="145" t="s">
        <v>223</v>
      </c>
      <c r="P148"/>
      <c r="Q148" t="s">
        <v>389</v>
      </c>
      <c r="R148" s="255" t="s">
        <v>225</v>
      </c>
      <c r="S148" s="1" t="s">
        <v>636</v>
      </c>
      <c r="T148" t="s">
        <v>624</v>
      </c>
      <c r="U148" t="s">
        <v>640</v>
      </c>
      <c r="V148">
        <v>0</v>
      </c>
      <c r="W148">
        <v>0</v>
      </c>
      <c r="X148">
        <v>0</v>
      </c>
      <c r="Y148">
        <v>0</v>
      </c>
      <c r="Z148">
        <v>0</v>
      </c>
      <c r="AA148">
        <v>0</v>
      </c>
      <c r="AB148">
        <v>0</v>
      </c>
      <c r="AC148">
        <v>0</v>
      </c>
      <c r="AD148">
        <v>0</v>
      </c>
      <c r="AE148">
        <v>0</v>
      </c>
      <c r="AF148">
        <v>0</v>
      </c>
      <c r="AG148">
        <v>0</v>
      </c>
      <c r="AH148">
        <v>0</v>
      </c>
      <c r="AI148">
        <v>0</v>
      </c>
      <c r="AJ148">
        <v>0</v>
      </c>
      <c r="AK148">
        <v>1</v>
      </c>
      <c r="AL148">
        <v>0</v>
      </c>
      <c r="AM148">
        <v>0</v>
      </c>
      <c r="AN148">
        <v>0</v>
      </c>
      <c r="AO148">
        <v>0</v>
      </c>
      <c r="AP148">
        <v>0</v>
      </c>
      <c r="AQ148">
        <v>0</v>
      </c>
      <c r="AR148">
        <v>0</v>
      </c>
      <c r="AS148">
        <v>0</v>
      </c>
      <c r="AT148">
        <v>0</v>
      </c>
      <c r="AU148">
        <v>0</v>
      </c>
      <c r="AV148">
        <v>0</v>
      </c>
      <c r="AW148">
        <v>0</v>
      </c>
      <c r="AX148" s="141">
        <f>COUNTIF(V148:AW148,"&lt;&gt;0")</f>
        <v>1</v>
      </c>
      <c r="AY148" s="141">
        <f>COUNTIF(V148:AL148,"&lt;&gt;0")</f>
        <v>1</v>
      </c>
      <c r="AZ148">
        <f>COUNTIF(V148:AC148,"&lt;&gt;0")</f>
        <v>0</v>
      </c>
      <c r="BA148">
        <f>COUNTIF(AD148:AI148,"&lt;&gt;0")</f>
        <v>0</v>
      </c>
      <c r="BB148">
        <f>COUNTIF(AJ148:AL148,"&lt;&gt;0")</f>
        <v>1</v>
      </c>
      <c r="BC148">
        <f>COUNTIF(AS148:AW148,"&lt;&gt;0")</f>
        <v>0</v>
      </c>
      <c r="BD148">
        <f>COUNTIF(AM148:AR148,"&lt;&gt;0")</f>
        <v>0</v>
      </c>
      <c r="BE148" t="str">
        <f t="array" ref="BE148">IF(AY148=1,INDEX($V$7:$AL$7,MATCH(TRUE,INDEX($V148:$AW148&lt;&gt;0,),0)),IF(AY148=0,INDEX($AM$7:$AW$7,MATCH(1,$AM148:$AW148,0)),IF(BF148="Multiple strategies","mixed drivers",IF(BF148="Supply chain","multiple supply","multiple silviculture"))))</f>
        <v>technologies/design switch</v>
      </c>
      <c r="BF148" s="2" t="str" cm="1">
        <f t="array" ref="BF148">IF(COUNTIF(AZ148:BB148,"&lt;&gt;0")=1,INDEX($V$4:$AW$4,MATCH(TRUE,INDEX($V148:$AW148&lt;&gt;0,),0)),IF(COUNTIF(AZ148:BB148,"&lt;&gt;0")=0,INDEX($AM$4:$AW$4,MATCH(1,$AM148:$AW148,0)),"Multiple strategies"))</f>
        <v>Technology</v>
      </c>
      <c r="BG148" s="1" t="s">
        <v>229</v>
      </c>
      <c r="BH148" t="s">
        <v>638</v>
      </c>
      <c r="BI148" s="264" t="s">
        <v>3307</v>
      </c>
      <c r="BJ148" s="264" t="s">
        <v>345</v>
      </c>
      <c r="BK148">
        <f>268+139+104</f>
        <v>511</v>
      </c>
      <c r="BL148">
        <f>179+195+12+360</f>
        <v>746</v>
      </c>
      <c r="BM148"/>
      <c r="BN148">
        <f>BL148-BK148</f>
        <v>235</v>
      </c>
      <c r="BO148" s="260">
        <f>BN148*t_to_m3/1000</f>
        <v>0.47959183673469391</v>
      </c>
      <c r="BP148" t="s">
        <v>395</v>
      </c>
      <c r="BQ148" s="300" t="s">
        <v>3306</v>
      </c>
      <c r="BR148" t="s">
        <v>397</v>
      </c>
      <c r="BS148">
        <v>275.89999999999998</v>
      </c>
      <c r="BT148">
        <v>814.2</v>
      </c>
      <c r="BU148" s="144">
        <f>IFERROR(BT148/BS148,"")</f>
        <v>2.951069227981153</v>
      </c>
      <c r="BV148">
        <f>BT148-BS148</f>
        <v>538.30000000000007</v>
      </c>
      <c r="BW148"/>
      <c r="BX148">
        <f>BV148/1000</f>
        <v>0.53830000000000011</v>
      </c>
      <c r="BY148">
        <f>IFERROR(BX148/BO148,"")</f>
        <v>1.122412765957447</v>
      </c>
      <c r="BZ148">
        <v>0</v>
      </c>
      <c r="CA148">
        <v>0</v>
      </c>
      <c r="CB148">
        <v>0</v>
      </c>
      <c r="CC148">
        <v>0</v>
      </c>
      <c r="CD148">
        <v>0</v>
      </c>
      <c r="CE148">
        <v>0</v>
      </c>
      <c r="CF148">
        <v>0</v>
      </c>
      <c r="CG148">
        <v>0</v>
      </c>
      <c r="CH148">
        <v>0</v>
      </c>
      <c r="CI148">
        <v>0</v>
      </c>
      <c r="CJ148">
        <v>0</v>
      </c>
      <c r="CK148">
        <v>0</v>
      </c>
      <c r="CL148">
        <v>0</v>
      </c>
      <c r="CM148">
        <v>0</v>
      </c>
      <c r="CN148" t="str">
        <f>IF($BL148&lt;$BK148,"refNeedCorrection","refOK")</f>
        <v>refOK</v>
      </c>
      <c r="CO148"/>
      <c r="CP148"/>
      <c r="CQ148">
        <f>IF($CN148="refOK",$BO148,-$BO148)</f>
        <v>0.47959183673469391</v>
      </c>
      <c r="CR148">
        <f>IF($CN148="refOK",$BS148,$BT148)*IF($BP148="Emissions positive",-1,1)</f>
        <v>-275.89999999999998</v>
      </c>
      <c r="CS148">
        <f>IF($CN148="refOK",$BT148,$BS148)*IF($BP148="Emissions positive",-1,1)</f>
        <v>-814.2</v>
      </c>
      <c r="CT148">
        <f>IF($CN148="refNeedCorrection",-BX148,BX148)*IF($BP148="Emissions positive",-1,1)</f>
        <v>-0.53830000000000011</v>
      </c>
      <c r="CU148">
        <f>IFERROR(CT148/CQ148,"")</f>
        <v>-1.122412765957447</v>
      </c>
      <c r="CV148" s="2">
        <f>IFERROR((CS148-CR148)/ABS(CR148),"")</f>
        <v>-1.951069227981153</v>
      </c>
      <c r="CW148" s="1" t="s">
        <v>263</v>
      </c>
      <c r="CX148" t="str">
        <f>IF(OR($CW148="prd",$CW148="std",$CW148="cit"),"loc",IF(OR($CW148="eur",$CW148="reg",$CW148="coy"),"reg",$CW148))</f>
        <v>loc</v>
      </c>
      <c r="CY148" t="s">
        <v>639</v>
      </c>
      <c r="CZ148"/>
      <c r="DA148"/>
      <c r="DB148">
        <v>0</v>
      </c>
      <c r="DC148" t="str">
        <f>IF(DB148=0,"0",IF(AND(DB148&gt;=1,DB148&lt;=30),"1-30",IF(AND(DB148&gt;30,DB148&lt;=70),"31-70",IF(AND(DB148&gt;70,DB148&lt;=100),"71-100",IF(DB148&gt;100,"+100")))))</f>
        <v>0</v>
      </c>
      <c r="DD148">
        <v>0</v>
      </c>
      <c r="DE148">
        <v>0</v>
      </c>
      <c r="DF148">
        <v>0</v>
      </c>
      <c r="DG148">
        <v>1</v>
      </c>
      <c r="DH148">
        <v>0</v>
      </c>
      <c r="DI148">
        <f>SUM(DD148:DH148)</f>
        <v>1</v>
      </c>
      <c r="DJ148" t="str">
        <f>IF(DI148=1,INDEX($DD$7:$DG$7,MATCH(1,$DD148:$DG148,0)),"mixedProduct")</f>
        <v>TimberInput</v>
      </c>
      <c r="DK148">
        <f>IF(DD148=1,DK$7,0)</f>
        <v>0</v>
      </c>
      <c r="DL148">
        <f>IF(DE148=1,DL$7,0)</f>
        <v>0</v>
      </c>
      <c r="DM148">
        <f>IF(DF148=1,DM$7,0)</f>
        <v>0</v>
      </c>
      <c r="DN148" t="str">
        <f>IF(DG148=1,DN$7,0)</f>
        <v>Timber</v>
      </c>
      <c r="DO148">
        <v>0</v>
      </c>
      <c r="DP148">
        <v>0</v>
      </c>
      <c r="DQ148">
        <v>0</v>
      </c>
      <c r="DR148">
        <v>0</v>
      </c>
      <c r="DS148">
        <v>0</v>
      </c>
      <c r="DT148">
        <f>SUM(DO148:DP148)</f>
        <v>0</v>
      </c>
      <c r="DU148" t="str">
        <f>IF(DO148=1,"self-calculated DF",IF(DP148=1,"external DF used","explicit C balance"))</f>
        <v>explicit C balance</v>
      </c>
      <c r="DV148">
        <v>0</v>
      </c>
      <c r="DW148">
        <v>0</v>
      </c>
      <c r="DX148">
        <v>0</v>
      </c>
      <c r="DY148">
        <v>0</v>
      </c>
      <c r="DZ148">
        <v>0</v>
      </c>
      <c r="EA148" s="143">
        <v>0</v>
      </c>
      <c r="EB148">
        <v>0</v>
      </c>
      <c r="EC148">
        <v>1</v>
      </c>
      <c r="ED148">
        <v>0</v>
      </c>
      <c r="EE148">
        <v>0</v>
      </c>
      <c r="EF148">
        <v>0</v>
      </c>
      <c r="EG148">
        <v>0</v>
      </c>
      <c r="EH148">
        <v>0</v>
      </c>
      <c r="EI148" s="2">
        <v>0</v>
      </c>
      <c r="EJ148" s="1"/>
      <c r="EK148" t="str">
        <f>IF(AND(AND(AND(OR($DX148=1,$DW148=1),OR($EC148=1,$EA148=1)),SUM($DV148:$DZ148,$EF148)&gt;=4),SUM($EA148:$EE148)&gt;=2),"Whole sector","")</f>
        <v/>
      </c>
      <c r="EL148" t="str">
        <f>IF(AND(AND(OR($DX148=1,$DW148=1),AND($EC148=0,$EA148=0)),SUM($DV148:$DZ148,$EF148)&gt;=4),"Ecosystem approach","")</f>
        <v/>
      </c>
      <c r="EM148" s="2" t="str">
        <f>IF(AND(AND(AND($DX148=0,$DW148=0),OR($EC148=1,$EA148=1)),SUM($EB148:$EE148)&gt;=2),"Technology approach","")</f>
        <v/>
      </c>
      <c r="EN148"/>
      <c r="EO148"/>
      <c r="EP148" t="str">
        <f>IF(ISNUMBER(BU148),IF(ABS(BU148-[4]QC_indicators!$B$2)&gt;3*[4]QC_indicators!$C$2,"C ratio",IF(ISNUMBER(BY148),IF(ABS(BY148-[4]QC_indicators!$B$1)&gt;3*[4]QC_indicators!$C$1,"DF","no"))),IF(ISNUMBER(BY148),IF(ABS(BY148-[4]QC_indicators!$B$1)&gt;3*[4]QC_indicators!$C$1,"DF","no")))</f>
        <v>no</v>
      </c>
      <c r="EQ148"/>
      <c r="ER148"/>
      <c r="ES148"/>
      <c r="ET148" s="264" t="s">
        <v>3273</v>
      </c>
      <c r="EU148"/>
    </row>
    <row r="149" spans="1:151" s="139" customFormat="1" ht="15" customHeight="1">
      <c r="A149" s="1" t="s">
        <v>1808</v>
      </c>
      <c r="B149" t="s">
        <v>2475</v>
      </c>
      <c r="C149" t="s">
        <v>2476</v>
      </c>
      <c r="D149" t="s">
        <v>2477</v>
      </c>
      <c r="E149" t="s">
        <v>2478</v>
      </c>
      <c r="F149" t="s">
        <v>2479</v>
      </c>
      <c r="G149" t="s">
        <v>1814</v>
      </c>
      <c r="H149" t="s">
        <v>254</v>
      </c>
      <c r="I149">
        <v>2010</v>
      </c>
      <c r="J149">
        <v>100</v>
      </c>
      <c r="K149" t="s">
        <v>2480</v>
      </c>
      <c r="L149"/>
      <c r="M149" t="str">
        <f>LEFT($D149,FIND(",",$D149)-1)&amp;"_"&amp;I149&amp;L149</f>
        <v>Werner_2010</v>
      </c>
      <c r="N149" t="s">
        <v>222</v>
      </c>
      <c r="O149" s="145" t="s">
        <v>1154</v>
      </c>
      <c r="P149"/>
      <c r="Q149" t="s">
        <v>256</v>
      </c>
      <c r="R149" s="262" t="s">
        <v>223</v>
      </c>
      <c r="S149" s="263" t="s">
        <v>3255</v>
      </c>
      <c r="T149" t="s">
        <v>2482</v>
      </c>
      <c r="U149" t="s">
        <v>2487</v>
      </c>
      <c r="V149">
        <v>2</v>
      </c>
      <c r="W149">
        <v>0</v>
      </c>
      <c r="X149">
        <v>1</v>
      </c>
      <c r="Y149">
        <v>2</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s="141">
        <f>COUNTIF(V149:AW149,"&lt;&gt;0")</f>
        <v>3</v>
      </c>
      <c r="AY149" s="141">
        <f>COUNTIF(V149:AL149,"&lt;&gt;0")</f>
        <v>3</v>
      </c>
      <c r="AZ149">
        <f>COUNTIF(V149:AC149,"&lt;&gt;0")</f>
        <v>3</v>
      </c>
      <c r="BA149">
        <f>COUNTIF(AD149:AI149,"&lt;&gt;0")</f>
        <v>0</v>
      </c>
      <c r="BB149">
        <f>COUNTIF(AJ149:AL149,"&lt;&gt;0")</f>
        <v>0</v>
      </c>
      <c r="BC149">
        <f>COUNTIF(AS149:AW149,"&lt;&gt;0")</f>
        <v>0</v>
      </c>
      <c r="BD149">
        <f>COUNTIF(AM149:AR149,"&lt;&gt;0")</f>
        <v>0</v>
      </c>
      <c r="BE149" t="str">
        <f t="array" ref="BE149">IF(AY149=1,INDEX($V$7:$AL$7,MATCH(TRUE,INDEX($V149:$AW149&lt;&gt;0,),0)),IF(AY149=0,INDEX($AM$7:$AW$7,MATCH(1,$AM149:$AW149,0)),IF(BF149="Multiple strategies","mixed drivers",IF(BF149="Supply chain","multiple supply","multiple silviculture"))))</f>
        <v>multiple silviculture</v>
      </c>
      <c r="BF149" s="2" t="str" cm="1">
        <f t="array" ref="BF149">IF(COUNTIF(AZ149:BB149,"&lt;&gt;0")=1,INDEX($V$4:$AW$4,MATCH(TRUE,INDEX($V149:$AW149&lt;&gt;0,),0)),IF(COUNTIF(AZ149:BB149,"&lt;&gt;0")=0,INDEX($AM$4:$AW$4,MATCH(1,$AM149:$AW149,0)),"Multiple strategies"))</f>
        <v>Silviculture for removals</v>
      </c>
      <c r="BG149" s="1" t="s">
        <v>321</v>
      </c>
      <c r="BH149" t="s">
        <v>2453</v>
      </c>
      <c r="BI149" s="264" t="s">
        <v>3252</v>
      </c>
      <c r="BJ149" t="s">
        <v>1323</v>
      </c>
      <c r="BK149">
        <v>210</v>
      </c>
      <c r="BL149">
        <v>489</v>
      </c>
      <c r="BM149" s="143">
        <f>BL149/BK149</f>
        <v>2.3285714285714287</v>
      </c>
      <c r="BN149">
        <f>BL149-BK149</f>
        <v>279</v>
      </c>
      <c r="BO149">
        <f>BN149*10^6</f>
        <v>279000000</v>
      </c>
      <c r="BP149" t="s">
        <v>232</v>
      </c>
      <c r="BQ149" s="303" t="s">
        <v>3253</v>
      </c>
      <c r="BR149" t="s">
        <v>2325</v>
      </c>
      <c r="BS149">
        <v>385.778591846273</v>
      </c>
      <c r="BT149">
        <v>74.657916514909303</v>
      </c>
      <c r="BU149" s="144">
        <f>IFERROR(BT149/BS149,"")</f>
        <v>0.19352529687458492</v>
      </c>
      <c r="BV149" s="144">
        <f>BT149-BS149</f>
        <v>-311.12067533136371</v>
      </c>
      <c r="BW149" s="144"/>
      <c r="BX149">
        <f>BV149*10^6</f>
        <v>-311120675.33136374</v>
      </c>
      <c r="BY149">
        <f>IFERROR(BX149/BO149,"")</f>
        <v>-1.1151278685711963</v>
      </c>
      <c r="BZ149">
        <v>0</v>
      </c>
      <c r="CA149">
        <v>0</v>
      </c>
      <c r="CB149">
        <v>0</v>
      </c>
      <c r="CC149">
        <v>0</v>
      </c>
      <c r="CD149">
        <v>0</v>
      </c>
      <c r="CE149">
        <v>0</v>
      </c>
      <c r="CF149">
        <v>0</v>
      </c>
      <c r="CG149">
        <v>0</v>
      </c>
      <c r="CH149">
        <v>0</v>
      </c>
      <c r="CI149">
        <v>0</v>
      </c>
      <c r="CJ149">
        <v>0</v>
      </c>
      <c r="CK149">
        <v>0</v>
      </c>
      <c r="CL149">
        <v>0</v>
      </c>
      <c r="CM149">
        <v>1</v>
      </c>
      <c r="CN149" t="str">
        <f>IF($BL149&lt;$BK149,"refNeedCorrection","refOK")</f>
        <v>refOK</v>
      </c>
      <c r="CO149">
        <f>IF($CN149="refNeedCorrection",BL149,BK149)</f>
        <v>210</v>
      </c>
      <c r="CP149">
        <f>IF($CN149="refNeedCorrection",BK149,BL149)</f>
        <v>489</v>
      </c>
      <c r="CQ149">
        <f>IF($CN149="refOK",$BO149,-$BO149)</f>
        <v>279000000</v>
      </c>
      <c r="CR149">
        <f>IF($CN149="refOK",$BS149,$BT149)*IF($BP149="Emissions positive",-1,1)</f>
        <v>385.778591846273</v>
      </c>
      <c r="CS149">
        <f>IF($CN149="refOK",$BT149,$BS149)*IF($BP149="Emissions positive",-1,1)</f>
        <v>74.657916514909303</v>
      </c>
      <c r="CT149">
        <f>IF($CN149="refNeedCorrection",-BX149,BX149)*IF($BP149="Emissions positive",-1,1)</f>
        <v>-311120675.33136374</v>
      </c>
      <c r="CU149">
        <f>IFERROR(CT149/CQ149,"")</f>
        <v>-1.1151278685711963</v>
      </c>
      <c r="CV149" s="2">
        <f>IFERROR((CS149-CR149)/ABS(CR149),"")</f>
        <v>-0.80647470312541514</v>
      </c>
      <c r="CW149" s="1" t="s">
        <v>1203</v>
      </c>
      <c r="CX149" t="str">
        <f>IF(OR($CW149="prd",$CW149="std",$CW149="cit"),"loc",IF(OR($CW149="eur",$CW149="reg",$CW149="coy"),"reg",$CW149))</f>
        <v>reg</v>
      </c>
      <c r="CY149" t="s">
        <v>639</v>
      </c>
      <c r="CZ149">
        <v>2000</v>
      </c>
      <c r="DA149">
        <v>2060</v>
      </c>
      <c r="DB149">
        <f>DA149-CZ149</f>
        <v>60</v>
      </c>
      <c r="DC149" t="str">
        <f>IF(DB149=0,"0",IF(AND(DB149&gt;=1,DB149&lt;=30),"1-30",IF(AND(DB149&gt;30,DB149&lt;=70),"31-70",IF(AND(DB149&gt;70,DB149&lt;=100),"71-100",IF(DB149&gt;100,"+100")))))</f>
        <v>31-70</v>
      </c>
      <c r="DD149">
        <v>0</v>
      </c>
      <c r="DE149">
        <v>0</v>
      </c>
      <c r="DF149">
        <v>0</v>
      </c>
      <c r="DG149">
        <v>1</v>
      </c>
      <c r="DH149">
        <v>0</v>
      </c>
      <c r="DI149">
        <f>SUM(DD149:DG149)</f>
        <v>1</v>
      </c>
      <c r="DJ149" t="str">
        <f>IF(DI149=1,INDEX($DD$7:$DG$7,MATCH(1,$DD149:$DG149,0)),"mixedProduct")</f>
        <v>TimberInput</v>
      </c>
      <c r="DK149">
        <f>IF(DD149=1,DK$7,0)</f>
        <v>0</v>
      </c>
      <c r="DL149">
        <f>IF(DE149=1,DL$7,0)</f>
        <v>0</v>
      </c>
      <c r="DM149">
        <f>IF(DF149=1,DM$7,0)</f>
        <v>0</v>
      </c>
      <c r="DN149" t="str">
        <f>IF(DG149=1,DN$7,0)</f>
        <v>Timber</v>
      </c>
      <c r="DO149">
        <v>0</v>
      </c>
      <c r="DP149">
        <v>0</v>
      </c>
      <c r="DQ149"/>
      <c r="DR149"/>
      <c r="DS149"/>
      <c r="DT149">
        <f>SUM(DO149:DP149)</f>
        <v>0</v>
      </c>
      <c r="DU149" s="143" t="str">
        <f>IF(DO149=1,"self-calculated DF",IF(DP149=1,"external DF used","explicit C balance"))</f>
        <v>explicit C balance</v>
      </c>
      <c r="DV149">
        <v>1</v>
      </c>
      <c r="DW149">
        <v>1</v>
      </c>
      <c r="DX149">
        <v>1</v>
      </c>
      <c r="DY149">
        <v>0</v>
      </c>
      <c r="DZ149">
        <v>0</v>
      </c>
      <c r="EA149" s="143">
        <v>0</v>
      </c>
      <c r="EB149">
        <v>0</v>
      </c>
      <c r="EC149">
        <v>0</v>
      </c>
      <c r="ED149">
        <v>0</v>
      </c>
      <c r="EE149">
        <v>0</v>
      </c>
      <c r="EF149">
        <v>1</v>
      </c>
      <c r="EG149">
        <v>0</v>
      </c>
      <c r="EH149">
        <v>0</v>
      </c>
      <c r="EI149" s="2">
        <v>0</v>
      </c>
      <c r="EJ149" s="1"/>
      <c r="EK149" t="str">
        <f>IF(AND(AND(AND(OR($DX149=1,$DW149=1),OR($EC149=1,$EA149=1)),SUM($DV149:$DZ149,$EF149)&gt;=4),SUM($EA149:$EE149)&gt;=2),"Whole sector","")</f>
        <v/>
      </c>
      <c r="EL149" t="str">
        <f>IF(AND(AND(OR($DX149=1,$DW149=1),AND($EC149=0,$EA149=0)),SUM($DV149:$DZ149,$EF149)&gt;=4),"Ecosystem approach","")</f>
        <v>Ecosystem approach</v>
      </c>
      <c r="EM149" s="2" t="str">
        <f>IF(AND(AND(AND($DX149=0,$DW149=0),OR($EC149=1,$EA149=1)),SUM($EB149:$EE149)&gt;=2),"Technology approach","")</f>
        <v/>
      </c>
      <c r="EN149" t="s">
        <v>2485</v>
      </c>
      <c r="EO149"/>
      <c r="EP149" t="str">
        <f>IF(ISNUMBER(BU149),IF(ABS(BU149-[1]QC_indicators!$B$2)&gt;3*[1]QC_indicators!$C$2,"C ratio",IF(ISNUMBER(BY149),IF(ABS(BY149-[1]QC_indicators!$B$1)&gt;3*[1]QC_indicators!$C$1,"DF","no"))),IF(ISNUMBER(BY149),IF(ABS(BY149-[1]QC_indicators!$B$1)&gt;3*[1]QC_indicators!$C$1,"DF","no")))</f>
        <v>no</v>
      </c>
      <c r="EQ149"/>
      <c r="ER149"/>
      <c r="ES149"/>
      <c r="ET149" s="264" t="s">
        <v>3254</v>
      </c>
      <c r="EU149"/>
    </row>
    <row r="150" spans="1:151" s="139" customFormat="1" ht="15" customHeight="1">
      <c r="A150" s="1" t="s">
        <v>1808</v>
      </c>
      <c r="B150" t="s">
        <v>2475</v>
      </c>
      <c r="C150" t="s">
        <v>2476</v>
      </c>
      <c r="D150" t="s">
        <v>2477</v>
      </c>
      <c r="E150" t="s">
        <v>2478</v>
      </c>
      <c r="F150" t="s">
        <v>2479</v>
      </c>
      <c r="G150" t="s">
        <v>1814</v>
      </c>
      <c r="H150" t="s">
        <v>254</v>
      </c>
      <c r="I150">
        <v>2010</v>
      </c>
      <c r="J150">
        <v>100</v>
      </c>
      <c r="K150" t="s">
        <v>2480</v>
      </c>
      <c r="L150"/>
      <c r="M150" t="str">
        <f>LEFT($D150,FIND(",",$D150)-1)&amp;"_"&amp;I150&amp;L150</f>
        <v>Werner_2010</v>
      </c>
      <c r="N150" t="s">
        <v>222</v>
      </c>
      <c r="O150" s="145" t="s">
        <v>1154</v>
      </c>
      <c r="P150"/>
      <c r="Q150" t="s">
        <v>256</v>
      </c>
      <c r="R150" s="262" t="s">
        <v>223</v>
      </c>
      <c r="S150" s="263" t="s">
        <v>3255</v>
      </c>
      <c r="T150" t="s">
        <v>2482</v>
      </c>
      <c r="U150" t="s">
        <v>2488</v>
      </c>
      <c r="V150">
        <v>2</v>
      </c>
      <c r="W150">
        <v>0</v>
      </c>
      <c r="X150">
        <v>1</v>
      </c>
      <c r="Y150">
        <v>2</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s="141">
        <f>COUNTIF(V150:AW150,"&lt;&gt;0")</f>
        <v>3</v>
      </c>
      <c r="AY150" s="141">
        <f>COUNTIF(V150:AL150,"&lt;&gt;0")</f>
        <v>3</v>
      </c>
      <c r="AZ150">
        <f>COUNTIF(V150:AC150,"&lt;&gt;0")</f>
        <v>3</v>
      </c>
      <c r="BA150">
        <f>COUNTIF(AD150:AI150,"&lt;&gt;0")</f>
        <v>0</v>
      </c>
      <c r="BB150">
        <f>COUNTIF(AJ150:AL150,"&lt;&gt;0")</f>
        <v>0</v>
      </c>
      <c r="BC150">
        <f>COUNTIF(AS150:AW150,"&lt;&gt;0")</f>
        <v>0</v>
      </c>
      <c r="BD150">
        <f>COUNTIF(AM150:AR150,"&lt;&gt;0")</f>
        <v>0</v>
      </c>
      <c r="BE150" t="str">
        <f t="array" ref="BE150">IF(AY150=1,INDEX($V$7:$AL$7,MATCH(TRUE,INDEX($V150:$AW150&lt;&gt;0,),0)),IF(AY150=0,INDEX($AM$7:$AW$7,MATCH(1,$AM150:$AW150,0)),IF(BF150="Multiple strategies","mixed drivers",IF(BF150="Supply chain","multiple supply","multiple silviculture"))))</f>
        <v>multiple silviculture</v>
      </c>
      <c r="BF150" s="2" t="str" cm="1">
        <f t="array" ref="BF150">IF(COUNTIF(AZ150:BB150,"&lt;&gt;0")=1,INDEX($V$4:$AW$4,MATCH(TRUE,INDEX($V150:$AW150&lt;&gt;0,),0)),IF(COUNTIF(AZ150:BB150,"&lt;&gt;0")=0,INDEX($AM$4:$AW$4,MATCH(1,$AM150:$AW150,0)),"Multiple strategies"))</f>
        <v>Silviculture for removals</v>
      </c>
      <c r="BG150" s="1" t="s">
        <v>321</v>
      </c>
      <c r="BH150" t="s">
        <v>2453</v>
      </c>
      <c r="BI150" s="264" t="s">
        <v>3252</v>
      </c>
      <c r="BJ150" t="s">
        <v>1323</v>
      </c>
      <c r="BK150">
        <v>210</v>
      </c>
      <c r="BL150">
        <v>489</v>
      </c>
      <c r="BM150" s="143">
        <f>BL150/BK150</f>
        <v>2.3285714285714287</v>
      </c>
      <c r="BN150">
        <f>BL150-BK150</f>
        <v>279</v>
      </c>
      <c r="BO150">
        <f>BN150*10^6</f>
        <v>279000000</v>
      </c>
      <c r="BP150" t="s">
        <v>232</v>
      </c>
      <c r="BQ150" s="303" t="s">
        <v>3253</v>
      </c>
      <c r="BR150" t="s">
        <v>2325</v>
      </c>
      <c r="BS150">
        <v>385.778591846273</v>
      </c>
      <c r="BT150">
        <v>74.657916514909303</v>
      </c>
      <c r="BU150" s="144">
        <f>IFERROR(BT150/BS150,"")</f>
        <v>0.19352529687458492</v>
      </c>
      <c r="BV150" s="144">
        <f>BT150-BS150</f>
        <v>-311.12067533136371</v>
      </c>
      <c r="BW150" s="144"/>
      <c r="BX150">
        <f>BV150*10^6</f>
        <v>-311120675.33136374</v>
      </c>
      <c r="BY150">
        <f>IFERROR(BX150/BO150,"")</f>
        <v>-1.1151278685711963</v>
      </c>
      <c r="BZ150">
        <v>0</v>
      </c>
      <c r="CA150">
        <v>0</v>
      </c>
      <c r="CB150">
        <v>0</v>
      </c>
      <c r="CC150">
        <v>0</v>
      </c>
      <c r="CD150">
        <v>0</v>
      </c>
      <c r="CE150">
        <v>0</v>
      </c>
      <c r="CF150">
        <v>0</v>
      </c>
      <c r="CG150">
        <v>0</v>
      </c>
      <c r="CH150">
        <v>0</v>
      </c>
      <c r="CI150">
        <v>0</v>
      </c>
      <c r="CJ150">
        <v>0</v>
      </c>
      <c r="CK150">
        <v>0</v>
      </c>
      <c r="CL150">
        <v>0</v>
      </c>
      <c r="CM150">
        <v>1</v>
      </c>
      <c r="CN150" t="str">
        <f>IF($BL150&lt;$BK150,"refNeedCorrection","refOK")</f>
        <v>refOK</v>
      </c>
      <c r="CO150">
        <f>IF($CN150="refNeedCorrection",BL150,BK150)</f>
        <v>210</v>
      </c>
      <c r="CP150">
        <f>IF($CN150="refNeedCorrection",BK150,BL150)</f>
        <v>489</v>
      </c>
      <c r="CQ150">
        <f>IF($CN150="refOK",$BO150,-$BO150)</f>
        <v>279000000</v>
      </c>
      <c r="CR150">
        <f>IF($CN150="refOK",$BS150,$BT150)*IF($BP150="Emissions positive",-1,1)</f>
        <v>385.778591846273</v>
      </c>
      <c r="CS150">
        <f>IF($CN150="refOK",$BT150,$BS150)*IF($BP150="Emissions positive",-1,1)</f>
        <v>74.657916514909303</v>
      </c>
      <c r="CT150">
        <f>IF($CN150="refNeedCorrection",-BX150,BX150)*IF($BP150="Emissions positive",-1,1)</f>
        <v>-311120675.33136374</v>
      </c>
      <c r="CU150">
        <f>IFERROR(CT150/CQ150,"")</f>
        <v>-1.1151278685711963</v>
      </c>
      <c r="CV150" s="2">
        <f>IFERROR((CS150-CR150)/ABS(CR150),"")</f>
        <v>-0.80647470312541514</v>
      </c>
      <c r="CW150" s="1" t="s">
        <v>1203</v>
      </c>
      <c r="CX150" t="str">
        <f>IF(OR($CW150="prd",$CW150="std",$CW150="cit"),"loc",IF(OR($CW150="eur",$CW150="reg",$CW150="coy"),"reg",$CW150))</f>
        <v>reg</v>
      </c>
      <c r="CY150" t="s">
        <v>639</v>
      </c>
      <c r="CZ150">
        <v>2000</v>
      </c>
      <c r="DA150">
        <v>2060</v>
      </c>
      <c r="DB150">
        <f>DA150-CZ150</f>
        <v>60</v>
      </c>
      <c r="DC150" t="str">
        <f>IF(DB150=0,"0",IF(AND(DB150&gt;=1,DB150&lt;=30),"1-30",IF(AND(DB150&gt;30,DB150&lt;=70),"31-70",IF(AND(DB150&gt;70,DB150&lt;=100),"71-100",IF(DB150&gt;100,"+100")))))</f>
        <v>31-70</v>
      </c>
      <c r="DD150">
        <v>0</v>
      </c>
      <c r="DE150">
        <v>1</v>
      </c>
      <c r="DF150">
        <v>0</v>
      </c>
      <c r="DG150">
        <v>0</v>
      </c>
      <c r="DH150">
        <v>0</v>
      </c>
      <c r="DI150">
        <f>SUM(DD150:DG150)</f>
        <v>1</v>
      </c>
      <c r="DJ150" t="str">
        <f>IF(DI150=1,INDEX($DD$7:$DG$7,MATCH(1,$DD150:$DG150,0)),"mixedProduct")</f>
        <v>EnergyInput</v>
      </c>
      <c r="DK150">
        <f>IF(DD150=1,DK$7,0)</f>
        <v>0</v>
      </c>
      <c r="DL150" t="str">
        <f>IF(DE150=1,DL$7,0)</f>
        <v>Energy</v>
      </c>
      <c r="DM150">
        <f>IF(DF150=1,DM$7,0)</f>
        <v>0</v>
      </c>
      <c r="DN150">
        <f>IF(DG150=1,DN$7,0)</f>
        <v>0</v>
      </c>
      <c r="DO150">
        <v>0</v>
      </c>
      <c r="DP150">
        <v>0</v>
      </c>
      <c r="DQ150"/>
      <c r="DR150"/>
      <c r="DS150"/>
      <c r="DT150">
        <f>SUM(DO150:DP150)</f>
        <v>0</v>
      </c>
      <c r="DU150" s="143" t="str">
        <f>IF(DO150=1,"self-calculated DF",IF(DP150=1,"external DF used","explicit C balance"))</f>
        <v>explicit C balance</v>
      </c>
      <c r="DV150">
        <v>1</v>
      </c>
      <c r="DW150">
        <v>1</v>
      </c>
      <c r="DX150">
        <v>1</v>
      </c>
      <c r="DY150">
        <v>0</v>
      </c>
      <c r="DZ150">
        <v>0</v>
      </c>
      <c r="EA150" s="143">
        <v>0</v>
      </c>
      <c r="EB150">
        <v>0</v>
      </c>
      <c r="EC150">
        <v>0</v>
      </c>
      <c r="ED150">
        <v>0</v>
      </c>
      <c r="EE150">
        <v>0</v>
      </c>
      <c r="EF150">
        <v>1</v>
      </c>
      <c r="EG150">
        <v>0</v>
      </c>
      <c r="EH150">
        <v>0</v>
      </c>
      <c r="EI150" s="2">
        <v>0</v>
      </c>
      <c r="EJ150" s="1"/>
      <c r="EK150" t="str">
        <f>IF(AND(AND(AND(OR($DX150=1,$DW150=1),OR($EC150=1,$EA150=1)),SUM($DV150:$DZ150,$EF150)&gt;=4),SUM($EA150:$EE150)&gt;=2),"Whole sector","")</f>
        <v/>
      </c>
      <c r="EL150" t="str">
        <f>IF(AND(AND(OR($DX150=1,$DW150=1),AND($EC150=0,$EA150=0)),SUM($DV150:$DZ150,$EF150)&gt;=4),"Ecosystem approach","")</f>
        <v>Ecosystem approach</v>
      </c>
      <c r="EM150" s="2" t="str">
        <f>IF(AND(AND(AND($DX150=0,$DW150=0),OR($EC150=1,$EA150=1)),SUM($EB150:$EE150)&gt;=2),"Technology approach","")</f>
        <v/>
      </c>
      <c r="EN150" t="s">
        <v>2485</v>
      </c>
      <c r="EO150"/>
      <c r="EP150" t="str">
        <f>IF(ISNUMBER(BU150),IF(ABS(BU150-[1]QC_indicators!$B$2)&gt;3*[1]QC_indicators!$C$2,"C ratio",IF(ISNUMBER(BY150),IF(ABS(BY150-[1]QC_indicators!$B$1)&gt;3*[1]QC_indicators!$C$1,"DF","no"))),IF(ISNUMBER(BY150),IF(ABS(BY150-[1]QC_indicators!$B$1)&gt;3*[1]QC_indicators!$C$1,"DF","no")))</f>
        <v>no</v>
      </c>
      <c r="EQ150"/>
      <c r="ER150"/>
      <c r="ES150"/>
      <c r="ET150" s="264" t="s">
        <v>3254</v>
      </c>
      <c r="EU150"/>
    </row>
    <row r="151" spans="1:151" s="139" customFormat="1" ht="15" customHeight="1">
      <c r="A151" s="1" t="s">
        <v>1808</v>
      </c>
      <c r="B151" t="s">
        <v>2475</v>
      </c>
      <c r="C151" t="s">
        <v>2476</v>
      </c>
      <c r="D151" t="s">
        <v>2477</v>
      </c>
      <c r="E151" t="s">
        <v>2478</v>
      </c>
      <c r="F151" t="s">
        <v>2479</v>
      </c>
      <c r="G151" t="s">
        <v>1814</v>
      </c>
      <c r="H151" t="s">
        <v>254</v>
      </c>
      <c r="I151">
        <v>2010</v>
      </c>
      <c r="J151">
        <v>100</v>
      </c>
      <c r="K151" t="s">
        <v>2480</v>
      </c>
      <c r="L151"/>
      <c r="M151" t="str">
        <f>LEFT($D151,FIND(",",$D151)-1)&amp;"_"&amp;I151&amp;L151</f>
        <v>Werner_2010</v>
      </c>
      <c r="N151" t="s">
        <v>222</v>
      </c>
      <c r="O151" s="145" t="s">
        <v>1154</v>
      </c>
      <c r="P151"/>
      <c r="Q151" t="s">
        <v>256</v>
      </c>
      <c r="R151" s="262" t="s">
        <v>223</v>
      </c>
      <c r="S151" s="1" t="s">
        <v>2481</v>
      </c>
      <c r="T151" t="s">
        <v>2482</v>
      </c>
      <c r="U151" t="s">
        <v>2486</v>
      </c>
      <c r="V151">
        <v>1</v>
      </c>
      <c r="W151">
        <v>0</v>
      </c>
      <c r="X151">
        <v>2</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s="141">
        <f>COUNTIF(V151:AW151,"&lt;&gt;0")</f>
        <v>2</v>
      </c>
      <c r="AY151" s="141">
        <f>COUNTIF(V151:AL151,"&lt;&gt;0")</f>
        <v>2</v>
      </c>
      <c r="AZ151">
        <f>COUNTIF(V151:AC151,"&lt;&gt;0")</f>
        <v>2</v>
      </c>
      <c r="BA151">
        <f>COUNTIF(AD151:AI151,"&lt;&gt;0")</f>
        <v>0</v>
      </c>
      <c r="BB151">
        <f>COUNTIF(AJ151:AL151,"&lt;&gt;0")</f>
        <v>0</v>
      </c>
      <c r="BC151">
        <f>COUNTIF(AS151:AW151,"&lt;&gt;0")</f>
        <v>0</v>
      </c>
      <c r="BD151">
        <f>COUNTIF(AM151:AR151,"&lt;&gt;0")</f>
        <v>0</v>
      </c>
      <c r="BE151" t="str">
        <f t="array" ref="BE151">IF(AY151=1,INDEX($V$7:$AL$7,MATCH(TRUE,INDEX($V151:$AW151&lt;&gt;0,),0)),IF(AY151=0,INDEX($AM$7:$AW$7,MATCH(1,$AM151:$AW151,0)),IF(BF151="Multiple strategies","mixed drivers",IF(BF151="Supply chain","multiple supply","multiple silviculture"))))</f>
        <v>multiple silviculture</v>
      </c>
      <c r="BF151" s="2" t="str" cm="1">
        <f t="array" ref="BF151">IF(COUNTIF(AZ151:BB151,"&lt;&gt;0")=1,INDEX($V$4:$AW$4,MATCH(TRUE,INDEX($V151:$AW151&lt;&gt;0,),0)),IF(COUNTIF(AZ151:BB151,"&lt;&gt;0")=0,INDEX($AM$4:$AW$4,MATCH(1,$AM151:$AW151,0)),"Multiple strategies"))</f>
        <v>Silviculture for removals</v>
      </c>
      <c r="BG151" s="1" t="s">
        <v>321</v>
      </c>
      <c r="BH151" t="s">
        <v>2453</v>
      </c>
      <c r="BI151" s="264" t="s">
        <v>3252</v>
      </c>
      <c r="BJ151" t="s">
        <v>1323</v>
      </c>
      <c r="BK151">
        <v>210</v>
      </c>
      <c r="BL151">
        <v>457.5</v>
      </c>
      <c r="BM151" s="143">
        <f>BL151/BK151</f>
        <v>2.1785714285714284</v>
      </c>
      <c r="BN151">
        <f>BL151-BK151</f>
        <v>247.5</v>
      </c>
      <c r="BO151">
        <f>BN151*10^6</f>
        <v>247500000</v>
      </c>
      <c r="BP151" t="s">
        <v>232</v>
      </c>
      <c r="BQ151" s="303" t="s">
        <v>3253</v>
      </c>
      <c r="BR151" t="s">
        <v>2325</v>
      </c>
      <c r="BS151">
        <v>385.778591846273</v>
      </c>
      <c r="BT151">
        <v>116.07299548902699</v>
      </c>
      <c r="BU151" s="144">
        <f>IFERROR(BT151/BS151,"")</f>
        <v>0.30087982574025346</v>
      </c>
      <c r="BV151" s="144">
        <f>BT151-BS151</f>
        <v>-269.70559635724601</v>
      </c>
      <c r="BW151" s="144"/>
      <c r="BX151">
        <f>BV151*10^6</f>
        <v>-269705596.35724598</v>
      </c>
      <c r="BY151">
        <f>IFERROR(BX151/BO151,"")</f>
        <v>-1.089719581241398</v>
      </c>
      <c r="BZ151">
        <v>0</v>
      </c>
      <c r="CA151">
        <v>0</v>
      </c>
      <c r="CB151">
        <v>0</v>
      </c>
      <c r="CC151">
        <v>0</v>
      </c>
      <c r="CD151">
        <v>0</v>
      </c>
      <c r="CE151">
        <v>0</v>
      </c>
      <c r="CF151">
        <v>0</v>
      </c>
      <c r="CG151">
        <v>0</v>
      </c>
      <c r="CH151">
        <v>0</v>
      </c>
      <c r="CI151">
        <v>0</v>
      </c>
      <c r="CJ151">
        <v>0</v>
      </c>
      <c r="CK151">
        <v>0</v>
      </c>
      <c r="CL151">
        <v>0</v>
      </c>
      <c r="CM151">
        <v>1</v>
      </c>
      <c r="CN151" t="str">
        <f>IF($BL151&lt;$BK151,"refNeedCorrection","refOK")</f>
        <v>refOK</v>
      </c>
      <c r="CO151">
        <f>IF($CN151="refNeedCorrection",BL151,BK151)</f>
        <v>210</v>
      </c>
      <c r="CP151">
        <f>IF($CN151="refNeedCorrection",BK151,BL151)</f>
        <v>457.5</v>
      </c>
      <c r="CQ151">
        <f>IF($CN151="refOK",$BO151,-$BO151)</f>
        <v>247500000</v>
      </c>
      <c r="CR151">
        <f>IF($CN151="refOK",$BS151,$BT151)*IF($BP151="Emissions positive",-1,1)</f>
        <v>385.778591846273</v>
      </c>
      <c r="CS151">
        <f>IF($CN151="refOK",$BT151,$BS151)*IF($BP151="Emissions positive",-1,1)</f>
        <v>116.07299548902699</v>
      </c>
      <c r="CT151">
        <f>IF($CN151="refNeedCorrection",-BX151,BX151)*IF($BP151="Emissions positive",-1,1)</f>
        <v>-269705596.35724598</v>
      </c>
      <c r="CU151">
        <f>IFERROR(CT151/CQ151,"")</f>
        <v>-1.089719581241398</v>
      </c>
      <c r="CV151" s="2">
        <f>IFERROR((CS151-CR151)/ABS(CR151),"")</f>
        <v>-0.69912017425974649</v>
      </c>
      <c r="CW151" s="1" t="s">
        <v>1203</v>
      </c>
      <c r="CX151" t="str">
        <f>IF(OR($CW151="prd",$CW151="std",$CW151="cit"),"loc",IF(OR($CW151="eur",$CW151="reg",$CW151="coy"),"reg",$CW151))</f>
        <v>reg</v>
      </c>
      <c r="CY151" t="s">
        <v>639</v>
      </c>
      <c r="CZ151">
        <v>2000</v>
      </c>
      <c r="DA151">
        <v>2060</v>
      </c>
      <c r="DB151">
        <f>DA151-CZ151</f>
        <v>60</v>
      </c>
      <c r="DC151" t="str">
        <f>IF(DB151=0,"0",IF(AND(DB151&gt;=1,DB151&lt;=30),"1-30",IF(AND(DB151&gt;30,DB151&lt;=70),"31-70",IF(AND(DB151&gt;70,DB151&lt;=100),"71-100",IF(DB151&gt;100,"+100")))))</f>
        <v>31-70</v>
      </c>
      <c r="DD151">
        <v>1</v>
      </c>
      <c r="DE151">
        <v>0</v>
      </c>
      <c r="DF151">
        <v>0</v>
      </c>
      <c r="DG151">
        <v>0</v>
      </c>
      <c r="DH151">
        <v>0</v>
      </c>
      <c r="DI151">
        <f>SUM(DD151:DG151)</f>
        <v>1</v>
      </c>
      <c r="DJ151" t="str">
        <f>IF(DI151=1,INDEX($DD$7:$DG$7,MATCH(1,$DD151:$DG151,0)),"mixedProduct")</f>
        <v>UpstreamInput</v>
      </c>
      <c r="DK151" t="str">
        <f>IF(DD151=1,DK$7,0)</f>
        <v>Upstream</v>
      </c>
      <c r="DL151">
        <f>IF(DE151=1,DL$7,0)</f>
        <v>0</v>
      </c>
      <c r="DM151">
        <f>IF(DF151=1,DM$7,0)</f>
        <v>0</v>
      </c>
      <c r="DN151">
        <f>IF(DG151=1,DN$7,0)</f>
        <v>0</v>
      </c>
      <c r="DO151">
        <v>0</v>
      </c>
      <c r="DP151">
        <v>0</v>
      </c>
      <c r="DQ151"/>
      <c r="DR151"/>
      <c r="DS151"/>
      <c r="DT151">
        <f>SUM(DO151:DP151)</f>
        <v>0</v>
      </c>
      <c r="DU151" s="143" t="str">
        <f>IF(DO151=1,"self-calculated DF",IF(DP151=1,"external DF used","explicit C balance"))</f>
        <v>explicit C balance</v>
      </c>
      <c r="DV151">
        <v>1</v>
      </c>
      <c r="DW151">
        <v>1</v>
      </c>
      <c r="DX151">
        <v>1</v>
      </c>
      <c r="DY151">
        <v>0</v>
      </c>
      <c r="DZ151">
        <v>0</v>
      </c>
      <c r="EA151" s="143">
        <v>0</v>
      </c>
      <c r="EB151">
        <v>0</v>
      </c>
      <c r="EC151">
        <v>0</v>
      </c>
      <c r="ED151">
        <v>0</v>
      </c>
      <c r="EE151">
        <v>0</v>
      </c>
      <c r="EF151">
        <v>1</v>
      </c>
      <c r="EG151">
        <v>0</v>
      </c>
      <c r="EH151">
        <v>0</v>
      </c>
      <c r="EI151" s="2">
        <v>0</v>
      </c>
      <c r="EJ151" s="1"/>
      <c r="EK151" t="str">
        <f>IF(AND(AND(AND(OR($DX151=1,$DW151=1),OR($EC151=1,$EA151=1)),SUM($DV151:$DZ151,$EF151)&gt;=4),SUM($EA151:$EE151)&gt;=2),"Whole sector","")</f>
        <v/>
      </c>
      <c r="EL151" t="str">
        <f>IF(AND(AND(OR($DX151=1,$DW151=1),AND($EC151=0,$EA151=0)),SUM($DV151:$DZ151,$EF151)&gt;=4),"Ecosystem approach","")</f>
        <v>Ecosystem approach</v>
      </c>
      <c r="EM151" s="2" t="str">
        <f>IF(AND(AND(AND($DX151=0,$DW151=0),OR($EC151=1,$EA151=1)),SUM($EB151:$EE151)&gt;=2),"Technology approach","")</f>
        <v/>
      </c>
      <c r="EN151" t="s">
        <v>2485</v>
      </c>
      <c r="EO151"/>
      <c r="EP151" t="str">
        <f>IF(ISNUMBER(BU151),IF(ABS(BU151-[1]QC_indicators!$B$2)&gt;3*[1]QC_indicators!$C$2,"C ratio",IF(ISNUMBER(BY151),IF(ABS(BY151-[1]QC_indicators!$B$1)&gt;3*[1]QC_indicators!$C$1,"DF","no"))),IF(ISNUMBER(BY151),IF(ABS(BY151-[1]QC_indicators!$B$1)&gt;3*[1]QC_indicators!$C$1,"DF","no")))</f>
        <v>no</v>
      </c>
      <c r="EQ151"/>
      <c r="ER151"/>
      <c r="ES151"/>
      <c r="ET151" s="264" t="s">
        <v>3254</v>
      </c>
      <c r="EU151"/>
    </row>
    <row r="152" spans="1:151" s="139" customFormat="1" ht="15" customHeight="1">
      <c r="A152" s="174" t="s">
        <v>1286</v>
      </c>
      <c r="B152" s="141" t="s">
        <v>1287</v>
      </c>
      <c r="C152" s="141" t="s">
        <v>1288</v>
      </c>
      <c r="D152" s="141" t="s">
        <v>1289</v>
      </c>
      <c r="E152" s="141" t="s">
        <v>1290</v>
      </c>
      <c r="F152" s="141" t="s">
        <v>1291</v>
      </c>
      <c r="G152" s="141" t="s">
        <v>1292</v>
      </c>
      <c r="H152" s="141"/>
      <c r="I152" s="141">
        <v>2019</v>
      </c>
      <c r="J152" s="141"/>
      <c r="K152" s="141" t="s">
        <v>1293</v>
      </c>
      <c r="L152" s="141"/>
      <c r="M152" t="str">
        <f>LEFT($D152,FIND(",",$D152)-1)&amp;"_"&amp;I152&amp;L152</f>
        <v>Bosch_2019</v>
      </c>
      <c r="N152" t="s">
        <v>222</v>
      </c>
      <c r="O152" s="175" t="s">
        <v>225</v>
      </c>
      <c r="P152" s="141" t="s">
        <v>223</v>
      </c>
      <c r="Q152" s="264" t="s">
        <v>224</v>
      </c>
      <c r="R152" s="269" t="s">
        <v>1154</v>
      </c>
      <c r="S152" s="174" t="s">
        <v>1294</v>
      </c>
      <c r="T152" s="141" t="s">
        <v>1295</v>
      </c>
      <c r="U152" s="141" t="s">
        <v>1296</v>
      </c>
      <c r="V152" s="141">
        <v>1</v>
      </c>
      <c r="W152" s="141">
        <v>0</v>
      </c>
      <c r="X152" s="141">
        <v>0</v>
      </c>
      <c r="Y152" s="141">
        <v>0</v>
      </c>
      <c r="Z152" s="141">
        <v>0</v>
      </c>
      <c r="AA152" s="141">
        <v>0</v>
      </c>
      <c r="AB152" s="141">
        <v>0</v>
      </c>
      <c r="AC152" s="141">
        <v>0</v>
      </c>
      <c r="AD152" s="141">
        <v>0</v>
      </c>
      <c r="AE152" s="141">
        <v>0</v>
      </c>
      <c r="AF152" s="141">
        <v>0</v>
      </c>
      <c r="AG152" s="141">
        <v>0</v>
      </c>
      <c r="AH152" s="141">
        <v>0</v>
      </c>
      <c r="AI152" s="141">
        <v>0</v>
      </c>
      <c r="AJ152" s="141">
        <v>0</v>
      </c>
      <c r="AK152" s="141">
        <v>0</v>
      </c>
      <c r="AL152" s="141">
        <v>0</v>
      </c>
      <c r="AM152" s="141">
        <v>0</v>
      </c>
      <c r="AN152" s="141">
        <v>0</v>
      </c>
      <c r="AO152" s="141">
        <v>0</v>
      </c>
      <c r="AP152" s="141">
        <v>0</v>
      </c>
      <c r="AQ152" s="141">
        <v>0</v>
      </c>
      <c r="AR152" s="141">
        <v>0</v>
      </c>
      <c r="AS152" s="141">
        <v>0</v>
      </c>
      <c r="AT152" s="141">
        <v>0</v>
      </c>
      <c r="AU152" s="141">
        <v>0</v>
      </c>
      <c r="AV152" s="141">
        <v>0</v>
      </c>
      <c r="AW152" s="141">
        <v>0</v>
      </c>
      <c r="AX152" s="141">
        <f>COUNTIF(V152:AW152,"&lt;&gt;0")</f>
        <v>1</v>
      </c>
      <c r="AY152" s="141">
        <f>COUNTIF(V152:AL152,"&lt;&gt;0")</f>
        <v>1</v>
      </c>
      <c r="AZ152">
        <f>COUNTIF(V152:AC152,"&lt;&gt;0")</f>
        <v>1</v>
      </c>
      <c r="BA152">
        <f>COUNTIF(AD152:AI152,"&lt;&gt;0")</f>
        <v>0</v>
      </c>
      <c r="BB152">
        <f>COUNTIF(AJ152:AL152,"&lt;&gt;0")</f>
        <v>0</v>
      </c>
      <c r="BC152">
        <f>COUNTIF(AS152:AW152,"&lt;&gt;0")</f>
        <v>0</v>
      </c>
      <c r="BD152">
        <f>COUNTIF(AM152:AR152,"&lt;&gt;0")</f>
        <v>0</v>
      </c>
      <c r="BE152" t="str" cm="1">
        <f t="array" ref="BE152">IF(AY152=1,INDEX($V$7:$AL$7,MATCH(TRUE,INDEX($V152:$AW152&lt;&gt;0,),0)),IF(AY152=0,INDEX($AM$7:$AW$7,MATCH(1,$AM152:$AW152,0)),IF(BF152="Multiple strategies","mixed drivers",IF(BF152="Supply chain","multiple supply","multiple silviculture"))))</f>
        <v>area subject to harvest</v>
      </c>
      <c r="BF152" s="2" t="str" cm="1">
        <f t="array" ref="BF152">IF(COUNTIF(AZ152:BB152,"&lt;&gt;0")=1,INDEX($V$4:$AW$4,MATCH(TRUE,INDEX($V152:$AW152&lt;&gt;0,),0)),IF(COUNTIF(AZ152:BB152,"&lt;&gt;0")=0,INDEX($AM$4:$AW$4,MATCH(1,$AM152:$AW152,0)),"Multiple strategies"))</f>
        <v>Silviculture for removals</v>
      </c>
      <c r="BG152" s="173" t="s">
        <v>321</v>
      </c>
      <c r="BH152" s="141" t="s">
        <v>1297</v>
      </c>
      <c r="BI152" s="141" t="s">
        <v>1298</v>
      </c>
      <c r="BJ152" s="163" t="s">
        <v>1299</v>
      </c>
      <c r="BK152" s="158">
        <v>2159</v>
      </c>
      <c r="BL152" s="163">
        <v>2405</v>
      </c>
      <c r="BM152" s="264">
        <f>BL152/BK152</f>
        <v>1.1139416396479851</v>
      </c>
      <c r="BN152">
        <f>BL152-BK152</f>
        <v>246</v>
      </c>
      <c r="BO152" s="158">
        <f>BN152*10^6</f>
        <v>246000000</v>
      </c>
      <c r="BP152" s="264" t="s">
        <v>395</v>
      </c>
      <c r="BQ152" s="303" t="s">
        <v>786</v>
      </c>
      <c r="BR152" s="151" t="s">
        <v>1300</v>
      </c>
      <c r="BS152" s="141"/>
      <c r="BT152" s="163"/>
      <c r="BU152" s="144" t="str">
        <f>IFERROR(BT152/BS152,"")</f>
        <v/>
      </c>
      <c r="BV152" s="176">
        <v>261</v>
      </c>
      <c r="BW152"/>
      <c r="BX152">
        <f>BV152*10^6</f>
        <v>261000000</v>
      </c>
      <c r="BY152">
        <f>IFERROR(BX152/BO152,"")</f>
        <v>1.0609756097560976</v>
      </c>
      <c r="BZ152" s="141">
        <v>0</v>
      </c>
      <c r="CA152" s="141">
        <v>0</v>
      </c>
      <c r="CB152" s="141">
        <v>0</v>
      </c>
      <c r="CC152" s="141">
        <v>0</v>
      </c>
      <c r="CD152" s="141">
        <v>0</v>
      </c>
      <c r="CE152" s="141">
        <v>0</v>
      </c>
      <c r="CF152" s="141">
        <v>0</v>
      </c>
      <c r="CG152" s="141">
        <v>0</v>
      </c>
      <c r="CH152" s="141">
        <v>0</v>
      </c>
      <c r="CI152" s="141">
        <v>0</v>
      </c>
      <c r="CJ152" s="141">
        <v>0</v>
      </c>
      <c r="CK152" s="141">
        <v>0</v>
      </c>
      <c r="CL152" s="141">
        <v>0</v>
      </c>
      <c r="CM152" s="141">
        <v>1</v>
      </c>
      <c r="CN152" t="str">
        <f>IF(BL152&lt;BK152,"refNeedCorrection","refOK")</f>
        <v>refOK</v>
      </c>
      <c r="CO152">
        <f>IF($CN152="refOK",$BK152,$BL152)</f>
        <v>2159</v>
      </c>
      <c r="CP152">
        <f>IF($CN152="refOK",$BL152,$BK152)</f>
        <v>2405</v>
      </c>
      <c r="CQ152">
        <f>IF($CN152="refOK",$BO152,-$BO152)</f>
        <v>246000000</v>
      </c>
      <c r="CR152">
        <f>IF($CN152="refOK",$BS152,$BT152)*IF($BP152="Emissions positive",-1,1)</f>
        <v>0</v>
      </c>
      <c r="CS152">
        <f>IF($CN152="refOK",$BT152,$BS152)*IF($BP152="Emissions positive",-1,1)</f>
        <v>0</v>
      </c>
      <c r="CT152">
        <f>IF($CN152="refNeedCorrection",-BX152,BX152)*IF($BP152="Emissions positive",-1,1)</f>
        <v>-261000000</v>
      </c>
      <c r="CU152">
        <f>IFERROR(CT152/CQ152,"")</f>
        <v>-1.0609756097560976</v>
      </c>
      <c r="CV152" s="2" t="str">
        <f>IFERROR((CS152-CR152)/ABS(CR152),"")</f>
        <v/>
      </c>
      <c r="CW152" s="174" t="s">
        <v>1203</v>
      </c>
      <c r="CX152" s="264" t="str">
        <f>IF(OR($CW152="prd",$CW152="std",$CW152="cit"),"loc",IF(OR($CW152="eur",$CW152="reg",$CW152="coy"),"reg",$CW152))</f>
        <v>reg</v>
      </c>
      <c r="CY152" s="141" t="s">
        <v>1301</v>
      </c>
      <c r="CZ152" s="141">
        <v>2016</v>
      </c>
      <c r="DA152" s="163">
        <v>2046</v>
      </c>
      <c r="DB152" s="163">
        <v>30</v>
      </c>
      <c r="DC152" t="str">
        <f>IF(DB152=0,"0",IF(AND(DB152&gt;=1,DB152&lt;=30),"1-30",IF(AND(DB152&gt;30,DB152&lt;=70),"31-70",IF(AND(DB152&gt;70,DB152&lt;=100),"71-100",IF(DB152&gt;100,"+100")))))</f>
        <v>1-30</v>
      </c>
      <c r="DD152" s="141">
        <v>1</v>
      </c>
      <c r="DE152" s="141">
        <v>1</v>
      </c>
      <c r="DF152" s="141">
        <v>0</v>
      </c>
      <c r="DG152" s="141">
        <v>1</v>
      </c>
      <c r="DH152"/>
      <c r="DI152">
        <f>SUM(DD152:DG152)</f>
        <v>3</v>
      </c>
      <c r="DJ152" t="str">
        <f>IF(DI152=1,INDEX($DD$7:$DG$7,MATCH(1,$DD152:$DG152,0)),"mixedProduct")</f>
        <v>mixedProduct</v>
      </c>
      <c r="DK152" t="str">
        <f>IF(DD152=1,DK$7,0)</f>
        <v>Upstream</v>
      </c>
      <c r="DL152" t="str">
        <f>IF(DE152=1,DL$7,0)</f>
        <v>Energy</v>
      </c>
      <c r="DM152">
        <f>IF(DF152=1,DM$7,0)</f>
        <v>0</v>
      </c>
      <c r="DN152" t="str">
        <f>IF(DG152=1,DN$7,0)</f>
        <v>Timber</v>
      </c>
      <c r="DO152" s="163">
        <v>0</v>
      </c>
      <c r="DP152" s="141">
        <v>0</v>
      </c>
      <c r="DQ152" s="163">
        <v>0</v>
      </c>
      <c r="DR152" s="163">
        <v>0</v>
      </c>
      <c r="DS152" s="163">
        <v>0</v>
      </c>
      <c r="DT152">
        <f>SUM(DO152:DP152)</f>
        <v>0</v>
      </c>
      <c r="DU152" s="143" t="str">
        <f>IF(DO152=1,"self-calculated DF",IF(DP152=1,"external DF used","explicit C balance"))</f>
        <v>explicit C balance</v>
      </c>
      <c r="DV152" s="163">
        <v>1</v>
      </c>
      <c r="DW152" s="141">
        <v>1</v>
      </c>
      <c r="DX152" s="163">
        <v>1</v>
      </c>
      <c r="DY152" s="163">
        <v>0</v>
      </c>
      <c r="DZ152" s="141">
        <v>0</v>
      </c>
      <c r="EA152" s="141">
        <v>0</v>
      </c>
      <c r="EB152" s="143">
        <v>0</v>
      </c>
      <c r="EC152" s="141">
        <v>0</v>
      </c>
      <c r="ED152" s="143">
        <v>0</v>
      </c>
      <c r="EE152" s="143">
        <v>0</v>
      </c>
      <c r="EF152" s="141">
        <v>1</v>
      </c>
      <c r="EG152" s="163">
        <v>0</v>
      </c>
      <c r="EH152" s="141">
        <v>0</v>
      </c>
      <c r="EI152" s="177">
        <v>0</v>
      </c>
      <c r="EJ152" s="1"/>
      <c r="EK152" t="str">
        <f>IF(AND(AND(AND(OR($DX152=1,$DW152=1),OR($EC152=1,$EA152=1)),SUM($DV152:$DZ152,$EF152)&gt;=4),SUM($EA152:$EE152)&gt;=2),"Whole sector","")</f>
        <v/>
      </c>
      <c r="EL152" t="str">
        <f>IF(AND(AND(OR($DX152=1,$DW152=1),AND($EC152=0,$EA152=0)),SUM($DV152:$DZ152,$EF152)&gt;=4),"Ecosystem approach","")</f>
        <v>Ecosystem approach</v>
      </c>
      <c r="EM152" s="2" t="str">
        <f>IF(AND(AND(AND($DX152=0,$DW152=0),OR($EC152=1,$EA152=1)),SUM($EB152:$EE152)&gt;=2),"Technology approach","")</f>
        <v/>
      </c>
      <c r="EN152" s="141"/>
      <c r="EO152"/>
      <c r="EP152" t="str">
        <f>IF(ISNUMBER(BU152),IF(ABS(BU152-[3]QC_indicators!$B$2)&gt;3*[3]QC_indicators!$C$2,"C ratio",IF(ISNUMBER(BY152),IF(ABS(BY152-[3]QC_indicators!$B$1)&gt;3*[3]QC_indicators!$C$1,"DF","no"))),IF(ISNUMBER(BY152),IF(ABS(BY152-[3]QC_indicators!$B$1)&gt;3*[3]QC_indicators!$C$1,"DF","no")))</f>
        <v>no</v>
      </c>
      <c r="EQ152"/>
      <c r="ER152" s="294" t="s">
        <v>1302</v>
      </c>
      <c r="ES152"/>
      <c r="ET152" s="264" t="s">
        <v>3407</v>
      </c>
      <c r="EU152"/>
    </row>
    <row r="153" spans="1:151" s="139" customFormat="1" ht="15" customHeight="1">
      <c r="A153" s="1" t="s">
        <v>926</v>
      </c>
      <c r="B153" t="s">
        <v>927</v>
      </c>
      <c r="C153" t="s">
        <v>928</v>
      </c>
      <c r="D153" t="s">
        <v>929</v>
      </c>
      <c r="E153" t="s">
        <v>930</v>
      </c>
      <c r="F153" t="s">
        <v>931</v>
      </c>
      <c r="G153" t="s">
        <v>932</v>
      </c>
      <c r="H153" t="s">
        <v>254</v>
      </c>
      <c r="I153">
        <v>2015</v>
      </c>
      <c r="J153">
        <v>19</v>
      </c>
      <c r="K153" t="s">
        <v>933</v>
      </c>
      <c r="L153"/>
      <c r="M153" t="str">
        <f>LEFT($D153,FIND(",",$D153)-1)&amp;"_"&amp;I153&amp;L153</f>
        <v>Makipaa_2015</v>
      </c>
      <c r="N153" t="s">
        <v>222</v>
      </c>
      <c r="O153" s="145" t="s">
        <v>225</v>
      </c>
      <c r="P153"/>
      <c r="Q153" t="s">
        <v>256</v>
      </c>
      <c r="R153" s="255" t="s">
        <v>223</v>
      </c>
      <c r="S153" s="1" t="s">
        <v>940</v>
      </c>
      <c r="T153" s="143" t="s">
        <v>941</v>
      </c>
      <c r="U153" t="s">
        <v>942</v>
      </c>
      <c r="V153">
        <v>0</v>
      </c>
      <c r="W153">
        <v>0</v>
      </c>
      <c r="X153">
        <v>0</v>
      </c>
      <c r="Y153">
        <v>0</v>
      </c>
      <c r="Z153">
        <v>0</v>
      </c>
      <c r="AA153">
        <v>0</v>
      </c>
      <c r="AB153">
        <v>0</v>
      </c>
      <c r="AC153">
        <v>0</v>
      </c>
      <c r="AD153">
        <v>0</v>
      </c>
      <c r="AE153">
        <v>0</v>
      </c>
      <c r="AF153">
        <v>0</v>
      </c>
      <c r="AG153">
        <v>0</v>
      </c>
      <c r="AH153">
        <v>0</v>
      </c>
      <c r="AI153">
        <v>0</v>
      </c>
      <c r="AJ153">
        <v>0</v>
      </c>
      <c r="AK153">
        <v>0</v>
      </c>
      <c r="AL153">
        <v>0</v>
      </c>
      <c r="AM153">
        <v>2</v>
      </c>
      <c r="AN153">
        <v>1</v>
      </c>
      <c r="AO153">
        <v>2</v>
      </c>
      <c r="AP153">
        <v>2</v>
      </c>
      <c r="AQ153">
        <v>0</v>
      </c>
      <c r="AR153">
        <v>0</v>
      </c>
      <c r="AS153">
        <v>0</v>
      </c>
      <c r="AT153">
        <v>0</v>
      </c>
      <c r="AU153">
        <v>0</v>
      </c>
      <c r="AV153">
        <v>0</v>
      </c>
      <c r="AW153">
        <v>0</v>
      </c>
      <c r="AX153" s="141">
        <f>COUNTIF(V153:AW153,"&lt;&gt;0")</f>
        <v>4</v>
      </c>
      <c r="AY153" s="141">
        <f>COUNTIF(V153:AL153,"&lt;&gt;0")</f>
        <v>0</v>
      </c>
      <c r="AZ153">
        <f>COUNTIF(V153:AC153,"&lt;&gt;0")</f>
        <v>0</v>
      </c>
      <c r="BA153">
        <f>COUNTIF(AD153:AI153,"&lt;&gt;0")</f>
        <v>0</v>
      </c>
      <c r="BB153">
        <f>COUNTIF(AJ153:AL153,"&lt;&gt;0")</f>
        <v>0</v>
      </c>
      <c r="BC153">
        <f>COUNTIF(AS153:AW153,"&lt;&gt;0")</f>
        <v>0</v>
      </c>
      <c r="BD153">
        <f>COUNTIF(AM153:AR153,"&lt;&gt;0")</f>
        <v>4</v>
      </c>
      <c r="BE153" t="str">
        <f t="array" ref="BE153">IF(AY153=1,INDEX($V$7:$AL$7,MATCH(TRUE,INDEX($V153:$AW153&lt;&gt;0,),0)),IF(AY153=0,INDEX($AM$7:$AW$7,MATCH(1,$AM153:$AW153,0)),IF(BF153="Multiple strategies","mixed drivers",IF(BF153="Supply chain","multiple supply","multiple silviculture"))))</f>
        <v>Temperature</v>
      </c>
      <c r="BF153" s="2" t="str" cm="1">
        <f t="array" ref="BF153">IF(COUNTIF(AZ153:BB153,"&lt;&gt;0")=1,INDEX($V$4:$AW$4,MATCH(TRUE,INDEX($V153:$AW153&lt;&gt;0,),0)),IF(COUNTIF(AZ153:BB153,"&lt;&gt;0")=0,INDEX($AM$4:$AW$4,MATCH(1,$AM153:$AW153,0)),"Multiple strategies"))</f>
        <v>Environmental change</v>
      </c>
      <c r="BG153" s="142" t="s">
        <v>321</v>
      </c>
      <c r="BH153" t="s">
        <v>937</v>
      </c>
      <c r="BI153" s="264" t="s">
        <v>424</v>
      </c>
      <c r="BJ153" s="143" t="s">
        <v>498</v>
      </c>
      <c r="BK153">
        <v>706</v>
      </c>
      <c r="BL153" s="143">
        <v>743.1</v>
      </c>
      <c r="BM153" s="163">
        <f>BL153/BK153</f>
        <v>1.0525495750708216</v>
      </c>
      <c r="BN153">
        <f>BL153-BK153</f>
        <v>37.100000000000023</v>
      </c>
      <c r="BO153" s="159">
        <f>BN153</f>
        <v>37.100000000000023</v>
      </c>
      <c r="BP153" t="s">
        <v>232</v>
      </c>
      <c r="BQ153" s="303" t="s">
        <v>429</v>
      </c>
      <c r="BR153" t="s">
        <v>938</v>
      </c>
      <c r="BS153">
        <v>128.9</v>
      </c>
      <c r="BT153" s="143">
        <v>118.2</v>
      </c>
      <c r="BU153" s="144">
        <f>IFERROR(BT153/BS153,"")</f>
        <v>0.9169899146625291</v>
      </c>
      <c r="BV153">
        <f>BT153-BS153</f>
        <v>-10.700000000000003</v>
      </c>
      <c r="BW153"/>
      <c r="BX153">
        <f>BV153*C_to_CO2</f>
        <v>-39.269000000000013</v>
      </c>
      <c r="BY153">
        <f>IFERROR(BX153/BO153,"")</f>
        <v>-1.0584636118598381</v>
      </c>
      <c r="BZ153">
        <v>0</v>
      </c>
      <c r="CA153">
        <v>0</v>
      </c>
      <c r="CB153">
        <v>0</v>
      </c>
      <c r="CC153">
        <v>0</v>
      </c>
      <c r="CD153">
        <v>0</v>
      </c>
      <c r="CE153">
        <v>0</v>
      </c>
      <c r="CF153">
        <v>0</v>
      </c>
      <c r="CG153">
        <v>0</v>
      </c>
      <c r="CH153">
        <v>0</v>
      </c>
      <c r="CI153">
        <v>0</v>
      </c>
      <c r="CJ153">
        <v>0</v>
      </c>
      <c r="CK153">
        <v>0</v>
      </c>
      <c r="CL153">
        <v>0</v>
      </c>
      <c r="CM153">
        <v>0</v>
      </c>
      <c r="CN153" t="str">
        <f>IF($BL153&lt;$BK153,"refNeedCorrection","refOK")</f>
        <v>refOK</v>
      </c>
      <c r="CO153">
        <f>IF($CN153="refNeedCorrection",BL153,BK153)</f>
        <v>706</v>
      </c>
      <c r="CP153">
        <f>IF($CN153="refNeedCorrection",BK153,BL153)</f>
        <v>743.1</v>
      </c>
      <c r="CQ153">
        <f>IF($CN153="refOK",$BO153,-$BO153)</f>
        <v>37.100000000000023</v>
      </c>
      <c r="CR153">
        <f>IF($CN153="refOK",$BS153,$BT153)*IF($BP153="Emissions positive",-1,1)</f>
        <v>128.9</v>
      </c>
      <c r="CS153">
        <f>IF($CN153="refOK",$BT153,$BS153)*IF($BP153="Emissions positive",-1,1)</f>
        <v>118.2</v>
      </c>
      <c r="CT153">
        <f>IF($CN153="refNeedCorrection",-BX153,BX153)*IF($BP153="Emissions positive",-1,1)</f>
        <v>-39.269000000000013</v>
      </c>
      <c r="CU153">
        <f>IFERROR(CT153/CQ153,"")</f>
        <v>-1.0584636118598381</v>
      </c>
      <c r="CV153" s="2">
        <f>IFERROR((CS153-CR153)/ABS(CR153),"")</f>
        <v>-8.3010085337470924E-2</v>
      </c>
      <c r="CW153" s="1" t="s">
        <v>234</v>
      </c>
      <c r="CX153" t="str">
        <f>IF(OR($CW153="prd",$CW153="std",$CW153="cit"),"loc",IF(OR($CW153="eur",$CW153="reg",$CW153="coy"),"reg",$CW153))</f>
        <v>loc</v>
      </c>
      <c r="CY153" t="s">
        <v>235</v>
      </c>
      <c r="CZ153"/>
      <c r="DA153" s="143"/>
      <c r="DB153" s="143">
        <v>80</v>
      </c>
      <c r="DC153" t="str">
        <f>IF(DB153=0,"0",IF(AND(DB153&gt;=1,DB153&lt;=30),"1-30",IF(AND(DB153&gt;30,DB153&lt;=70),"31-70",IF(AND(DB153&gt;70,DB153&lt;=100),"71-100",IF(DB153&gt;100,"+100")))))</f>
        <v>71-100</v>
      </c>
      <c r="DD153">
        <v>1</v>
      </c>
      <c r="DE153">
        <v>1</v>
      </c>
      <c r="DF153">
        <v>0</v>
      </c>
      <c r="DG153">
        <v>0</v>
      </c>
      <c r="DH153"/>
      <c r="DI153">
        <f>SUM(DD153:DG153)</f>
        <v>2</v>
      </c>
      <c r="DJ153" t="str">
        <f>IF(DI153=1,INDEX($DD$7:$DG$7,MATCH(1,$DD153:$DG153,0)),"mixedProduct")</f>
        <v>mixedProduct</v>
      </c>
      <c r="DK153" t="str">
        <f>IF(DD153=1,DK$7,0)</f>
        <v>Upstream</v>
      </c>
      <c r="DL153" t="str">
        <f>IF(DE153=1,DL$7,0)</f>
        <v>Energy</v>
      </c>
      <c r="DM153">
        <f>IF(DF153=1,DM$7,0)</f>
        <v>0</v>
      </c>
      <c r="DN153">
        <f>IF(DG153=1,DN$7,0)</f>
        <v>0</v>
      </c>
      <c r="DO153">
        <v>0</v>
      </c>
      <c r="DP153" s="143">
        <v>1</v>
      </c>
      <c r="DQ153" s="143" t="s">
        <v>939</v>
      </c>
      <c r="DR153">
        <v>0</v>
      </c>
      <c r="DS153" s="143">
        <v>0</v>
      </c>
      <c r="DT153">
        <f>SUM(DO153:DP153)</f>
        <v>1</v>
      </c>
      <c r="DU153" s="143" t="str">
        <f>IF(DO153=1,"self-calculated DF",IF(DP153=1,"external DF used","explicit C balance"))</f>
        <v>external DF used</v>
      </c>
      <c r="DV153" s="143">
        <v>1</v>
      </c>
      <c r="DW153" s="143">
        <v>1</v>
      </c>
      <c r="DX153" s="143">
        <v>1</v>
      </c>
      <c r="DY153" s="143">
        <v>0</v>
      </c>
      <c r="DZ153">
        <v>1</v>
      </c>
      <c r="EA153" s="143">
        <v>1</v>
      </c>
      <c r="EB153" s="143">
        <v>0</v>
      </c>
      <c r="EC153" s="143">
        <v>0</v>
      </c>
      <c r="ED153" s="143">
        <v>0</v>
      </c>
      <c r="EE153">
        <v>0</v>
      </c>
      <c r="EF153">
        <v>1</v>
      </c>
      <c r="EG153" s="143">
        <v>0</v>
      </c>
      <c r="EH153">
        <v>0</v>
      </c>
      <c r="EI153" s="2">
        <v>0</v>
      </c>
      <c r="EJ153" s="1"/>
      <c r="EK153" t="str">
        <f>IF(AND(AND(AND(OR($DX153=1,$DW153=1),OR($EC153=1,$EA153=1)),SUM($DV153:$DZ153,$EF153)&gt;=4),SUM($EA153:$EE153)&gt;=2),"Whole sector","")</f>
        <v/>
      </c>
      <c r="EL153" t="str">
        <f>IF(AND(AND(OR($DX153=1,$DW153=1),AND($EC153=0,$EA153=0)),SUM($DV153:$DZ153,$EF153)&gt;=4),"Ecosystem approach","")</f>
        <v/>
      </c>
      <c r="EM153" s="2" t="str">
        <f>IF(AND(AND(AND($DX153=0,$DW153=0),OR($EC153=1,$EA153=1)),SUM($EB153:$EE153)&gt;=2),"Technology approach","")</f>
        <v/>
      </c>
      <c r="EN153"/>
      <c r="EO153"/>
      <c r="EP153" t="str">
        <f>IF(ISNUMBER(BU153),IF(ABS(BU153-[1]QC_indicators!$B$2)&gt;3*[1]QC_indicators!$C$2,"C ratio",IF(ISNUMBER(BY153),IF(ABS(BY153-[1]QC_indicators!$B$1)&gt;3*[1]QC_indicators!$C$1,"DF","no"))),IF(ISNUMBER(BY153),IF(ABS(BY153-[1]QC_indicators!$B$1)&gt;3*[1]QC_indicators!$C$1,"DF","no")))</f>
        <v>no</v>
      </c>
      <c r="EQ153"/>
      <c r="ER153"/>
      <c r="ES153"/>
      <c r="ET153" s="264" t="s">
        <v>3095</v>
      </c>
      <c r="EU153"/>
    </row>
    <row r="154" spans="1:151" s="139" customFormat="1" ht="15" customHeight="1">
      <c r="A154" s="174" t="s">
        <v>1286</v>
      </c>
      <c r="B154" s="141" t="s">
        <v>1287</v>
      </c>
      <c r="C154" s="141" t="s">
        <v>1288</v>
      </c>
      <c r="D154" s="141" t="s">
        <v>1289</v>
      </c>
      <c r="E154" s="141" t="s">
        <v>1290</v>
      </c>
      <c r="F154" s="141" t="s">
        <v>1291</v>
      </c>
      <c r="G154" s="141" t="s">
        <v>1292</v>
      </c>
      <c r="H154" s="141"/>
      <c r="I154" s="141">
        <v>2019</v>
      </c>
      <c r="J154" s="141"/>
      <c r="K154" s="141" t="s">
        <v>1293</v>
      </c>
      <c r="L154" s="141"/>
      <c r="M154" t="str">
        <f>LEFT($D154,FIND(",",$D154)-1)&amp;"_"&amp;I154&amp;L154</f>
        <v>Bosch_2019</v>
      </c>
      <c r="N154" t="s">
        <v>222</v>
      </c>
      <c r="O154" s="175" t="s">
        <v>225</v>
      </c>
      <c r="P154" s="141" t="s">
        <v>223</v>
      </c>
      <c r="Q154" s="264" t="s">
        <v>224</v>
      </c>
      <c r="R154" s="269" t="s">
        <v>1154</v>
      </c>
      <c r="S154" s="174" t="s">
        <v>1303</v>
      </c>
      <c r="T154" s="141" t="s">
        <v>1304</v>
      </c>
      <c r="U154" s="141" t="s">
        <v>1296</v>
      </c>
      <c r="V154" s="141">
        <v>1</v>
      </c>
      <c r="W154" s="141">
        <v>0</v>
      </c>
      <c r="X154" s="141">
        <v>0</v>
      </c>
      <c r="Y154" s="141">
        <v>0</v>
      </c>
      <c r="Z154" s="141">
        <v>0</v>
      </c>
      <c r="AA154" s="141">
        <v>0</v>
      </c>
      <c r="AB154" s="141">
        <v>0</v>
      </c>
      <c r="AC154" s="141">
        <v>0</v>
      </c>
      <c r="AD154" s="141">
        <v>0</v>
      </c>
      <c r="AE154" s="141">
        <v>0</v>
      </c>
      <c r="AF154" s="141">
        <v>0</v>
      </c>
      <c r="AG154" s="141">
        <v>0</v>
      </c>
      <c r="AH154" s="141">
        <v>0</v>
      </c>
      <c r="AI154" s="141">
        <v>0</v>
      </c>
      <c r="AJ154" s="141">
        <v>0</v>
      </c>
      <c r="AK154" s="141">
        <v>0</v>
      </c>
      <c r="AL154" s="141">
        <v>0</v>
      </c>
      <c r="AM154" s="141">
        <v>0</v>
      </c>
      <c r="AN154" s="141">
        <v>0</v>
      </c>
      <c r="AO154" s="141">
        <v>0</v>
      </c>
      <c r="AP154" s="141">
        <v>0</v>
      </c>
      <c r="AQ154" s="141">
        <v>0</v>
      </c>
      <c r="AR154" s="141">
        <v>0</v>
      </c>
      <c r="AS154" s="141">
        <v>0</v>
      </c>
      <c r="AT154" s="141">
        <v>0</v>
      </c>
      <c r="AU154" s="141">
        <v>0</v>
      </c>
      <c r="AV154" s="141">
        <v>0</v>
      </c>
      <c r="AW154" s="141">
        <v>0</v>
      </c>
      <c r="AX154" s="141">
        <f>COUNTIF(V154:AW154,"&lt;&gt;0")</f>
        <v>1</v>
      </c>
      <c r="AY154" s="141">
        <f>COUNTIF(V154:AL154,"&lt;&gt;0")</f>
        <v>1</v>
      </c>
      <c r="AZ154">
        <f>COUNTIF(V154:AC154,"&lt;&gt;0")</f>
        <v>1</v>
      </c>
      <c r="BA154">
        <f>COUNTIF(AD154:AI154,"&lt;&gt;0")</f>
        <v>0</v>
      </c>
      <c r="BB154">
        <f>COUNTIF(AJ154:AL154,"&lt;&gt;0")</f>
        <v>0</v>
      </c>
      <c r="BC154">
        <f>COUNTIF(AS154:AW154,"&lt;&gt;0")</f>
        <v>0</v>
      </c>
      <c r="BD154">
        <f>COUNTIF(AM154:AR154,"&lt;&gt;0")</f>
        <v>0</v>
      </c>
      <c r="BE154" t="str" cm="1">
        <f t="array" ref="BE154">IF(AY154=1,INDEX($V$7:$AL$7,MATCH(TRUE,INDEX($V154:$AW154&lt;&gt;0,),0)),IF(AY154=0,INDEX($AM$7:$AW$7,MATCH(1,$AM154:$AW154,0)),IF(BF154="Multiple strategies","mixed drivers",IF(BF154="Supply chain","multiple supply","multiple silviculture"))))</f>
        <v>area subject to harvest</v>
      </c>
      <c r="BF154" s="2" t="str" cm="1">
        <f t="array" ref="BF154">IF(COUNTIF(AZ154:BB154,"&lt;&gt;0")=1,INDEX($V$4:$AW$4,MATCH(TRUE,INDEX($V154:$AW154&lt;&gt;0,),0)),IF(COUNTIF(AZ154:BB154,"&lt;&gt;0")=0,INDEX($AM$4:$AW$4,MATCH(1,$AM154:$AW154,0)),"Multiple strategies"))</f>
        <v>Silviculture for removals</v>
      </c>
      <c r="BG154" s="173" t="s">
        <v>321</v>
      </c>
      <c r="BH154" s="141" t="s">
        <v>1297</v>
      </c>
      <c r="BI154" s="141" t="s">
        <v>1298</v>
      </c>
      <c r="BJ154" s="163" t="s">
        <v>1299</v>
      </c>
      <c r="BK154" s="176">
        <v>2330</v>
      </c>
      <c r="BL154" s="163">
        <v>2405</v>
      </c>
      <c r="BM154" s="264">
        <f>BL154/BK154</f>
        <v>1.0321888412017168</v>
      </c>
      <c r="BN154">
        <f>BL154-BK154</f>
        <v>75</v>
      </c>
      <c r="BO154" s="158">
        <f>BN154*10^6</f>
        <v>75000000</v>
      </c>
      <c r="BP154" s="264" t="s">
        <v>395</v>
      </c>
      <c r="BQ154" s="303" t="s">
        <v>429</v>
      </c>
      <c r="BR154" s="151" t="s">
        <v>1300</v>
      </c>
      <c r="BS154" s="141"/>
      <c r="BT154" s="163"/>
      <c r="BU154" s="144" t="str">
        <f>IFERROR(BT154/BS154,"")</f>
        <v/>
      </c>
      <c r="BV154" s="176">
        <v>79</v>
      </c>
      <c r="BW154"/>
      <c r="BX154">
        <f>BV154*10^6</f>
        <v>79000000</v>
      </c>
      <c r="BY154">
        <f>IFERROR(BX154/BO154,"")</f>
        <v>1.0533333333333332</v>
      </c>
      <c r="BZ154" s="141">
        <v>0</v>
      </c>
      <c r="CA154" s="141">
        <v>0</v>
      </c>
      <c r="CB154" s="141">
        <v>0</v>
      </c>
      <c r="CC154" s="141">
        <v>0</v>
      </c>
      <c r="CD154" s="141">
        <v>0</v>
      </c>
      <c r="CE154" s="141">
        <v>0</v>
      </c>
      <c r="CF154" s="141">
        <v>0</v>
      </c>
      <c r="CG154" s="141">
        <v>0</v>
      </c>
      <c r="CH154" s="141">
        <v>0</v>
      </c>
      <c r="CI154" s="141">
        <v>0</v>
      </c>
      <c r="CJ154" s="141">
        <v>0</v>
      </c>
      <c r="CK154" s="141">
        <v>0</v>
      </c>
      <c r="CL154" s="141">
        <v>0</v>
      </c>
      <c r="CM154" s="141">
        <v>1</v>
      </c>
      <c r="CN154" t="str">
        <f>IF(BL154&lt;BK154,"refNeedCorrection","refOK")</f>
        <v>refOK</v>
      </c>
      <c r="CO154">
        <f>IF($CN154="refOK",$BK154,$BL154)</f>
        <v>2330</v>
      </c>
      <c r="CP154">
        <f>IF($CN154="refOK",$BL154,$BK154)</f>
        <v>2405</v>
      </c>
      <c r="CQ154">
        <f>IF($CN154="refOK",$BO154,-$BO154)</f>
        <v>75000000</v>
      </c>
      <c r="CR154">
        <f>IF($CN154="refOK",$BS154,$BT154)*IF($BP154="Emissions positive",-1,1)</f>
        <v>0</v>
      </c>
      <c r="CS154">
        <f>IF($CN154="refOK",$BT154,$BS154)*IF($BP154="Emissions positive",-1,1)</f>
        <v>0</v>
      </c>
      <c r="CT154">
        <f>IF($CN154="refNeedCorrection",-BX154,BX154)*IF($BP154="Emissions positive",-1,1)</f>
        <v>-79000000</v>
      </c>
      <c r="CU154">
        <f>IFERROR(CT154/CQ154,"")</f>
        <v>-1.0533333333333332</v>
      </c>
      <c r="CV154" s="2" t="str">
        <f>IFERROR((CS154-CR154)/ABS(CR154),"")</f>
        <v/>
      </c>
      <c r="CW154" s="174" t="s">
        <v>1203</v>
      </c>
      <c r="CX154" s="264" t="str">
        <f>IF(OR($CW154="prd",$CW154="std",$CW154="cit"),"loc",IF(OR($CW154="eur",$CW154="reg",$CW154="coy"),"reg",$CW154))</f>
        <v>reg</v>
      </c>
      <c r="CY154" s="141" t="s">
        <v>1301</v>
      </c>
      <c r="CZ154" s="141">
        <v>2016</v>
      </c>
      <c r="DA154" s="163">
        <v>2046</v>
      </c>
      <c r="DB154" s="163">
        <v>30</v>
      </c>
      <c r="DC154" t="str">
        <f>IF(DB154=0,"0",IF(AND(DB154&gt;=1,DB154&lt;=30),"1-30",IF(AND(DB154&gt;30,DB154&lt;=70),"31-70",IF(AND(DB154&gt;70,DB154&lt;=100),"71-100",IF(DB154&gt;100,"+100")))))</f>
        <v>1-30</v>
      </c>
      <c r="DD154" s="141">
        <v>1</v>
      </c>
      <c r="DE154" s="141">
        <v>1</v>
      </c>
      <c r="DF154" s="141">
        <v>0</v>
      </c>
      <c r="DG154" s="141">
        <v>1</v>
      </c>
      <c r="DH154"/>
      <c r="DI154">
        <f>SUM(DD154:DG154)</f>
        <v>3</v>
      </c>
      <c r="DJ154" t="str">
        <f>IF(DI154=1,INDEX($DD$7:$DG$7,MATCH(1,$DD154:$DG154,0)),"mixedProduct")</f>
        <v>mixedProduct</v>
      </c>
      <c r="DK154" t="str">
        <f>IF(DD154=1,DK$7,0)</f>
        <v>Upstream</v>
      </c>
      <c r="DL154" t="str">
        <f>IF(DE154=1,DL$7,0)</f>
        <v>Energy</v>
      </c>
      <c r="DM154">
        <f>IF(DF154=1,DM$7,0)</f>
        <v>0</v>
      </c>
      <c r="DN154" t="str">
        <f>IF(DG154=1,DN$7,0)</f>
        <v>Timber</v>
      </c>
      <c r="DO154" s="163">
        <v>0</v>
      </c>
      <c r="DP154" s="141">
        <v>0</v>
      </c>
      <c r="DQ154" s="163">
        <v>0</v>
      </c>
      <c r="DR154" s="163">
        <v>0</v>
      </c>
      <c r="DS154" s="163">
        <v>0</v>
      </c>
      <c r="DT154">
        <f>SUM(DO154:DP154)</f>
        <v>0</v>
      </c>
      <c r="DU154" s="143" t="str">
        <f>IF(DO154=1,"self-calculated DF",IF(DP154=1,"external DF used","explicit C balance"))</f>
        <v>explicit C balance</v>
      </c>
      <c r="DV154" s="163">
        <v>1</v>
      </c>
      <c r="DW154" s="141">
        <v>1</v>
      </c>
      <c r="DX154" s="163">
        <v>1</v>
      </c>
      <c r="DY154" s="163">
        <v>0</v>
      </c>
      <c r="DZ154" s="141">
        <v>0</v>
      </c>
      <c r="EA154" s="141">
        <v>0</v>
      </c>
      <c r="EB154" s="143">
        <v>0</v>
      </c>
      <c r="EC154" s="141">
        <v>0</v>
      </c>
      <c r="ED154" s="143">
        <v>0</v>
      </c>
      <c r="EE154" s="143">
        <v>0</v>
      </c>
      <c r="EF154" s="141">
        <v>1</v>
      </c>
      <c r="EG154" s="163">
        <v>0</v>
      </c>
      <c r="EH154" s="141">
        <v>0</v>
      </c>
      <c r="EI154" s="177">
        <v>0</v>
      </c>
      <c r="EJ154" s="1"/>
      <c r="EK154" t="str">
        <f>IF(AND(AND(AND(OR($DX154=1,$DW154=1),OR($EC154=1,$EA154=1)),SUM($DV154:$DZ154,$EF154)&gt;=4),SUM($EA154:$EE154)&gt;=2),"Whole sector","")</f>
        <v/>
      </c>
      <c r="EL154" t="str">
        <f>IF(AND(AND(OR($DX154=1,$DW154=1),AND($EC154=0,$EA154=0)),SUM($DV154:$DZ154,$EF154)&gt;=4),"Ecosystem approach","")</f>
        <v>Ecosystem approach</v>
      </c>
      <c r="EM154" s="2" t="str">
        <f>IF(AND(AND(AND($DX154=0,$DW154=0),OR($EC154=1,$EA154=1)),SUM($EB154:$EE154)&gt;=2),"Technology approach","")</f>
        <v/>
      </c>
      <c r="EN154" s="141"/>
      <c r="EO154"/>
      <c r="EP154" t="str">
        <f>IF(ISNUMBER(BU154),IF(ABS(BU154-[3]QC_indicators!$B$2)&gt;3*[3]QC_indicators!$C$2,"C ratio",IF(ISNUMBER(BY154),IF(ABS(BY154-[3]QC_indicators!$B$1)&gt;3*[3]QC_indicators!$C$1,"DF","no"))),IF(ISNUMBER(BY154),IF(ABS(BY154-[3]QC_indicators!$B$1)&gt;3*[3]QC_indicators!$C$1,"DF","no")))</f>
        <v>no</v>
      </c>
      <c r="EQ154"/>
      <c r="ER154" s="294" t="s">
        <v>1302</v>
      </c>
      <c r="ES154"/>
      <c r="ET154" s="264" t="s">
        <v>3407</v>
      </c>
      <c r="EU154"/>
    </row>
    <row r="155" spans="1:151" s="139" customFormat="1" ht="15" customHeight="1">
      <c r="A155" s="1" t="s">
        <v>1808</v>
      </c>
      <c r="B155" t="s">
        <v>2475</v>
      </c>
      <c r="C155" t="s">
        <v>2476</v>
      </c>
      <c r="D155" t="s">
        <v>2477</v>
      </c>
      <c r="E155" t="s">
        <v>2478</v>
      </c>
      <c r="F155" t="s">
        <v>2479</v>
      </c>
      <c r="G155" t="s">
        <v>1814</v>
      </c>
      <c r="H155" t="s">
        <v>254</v>
      </c>
      <c r="I155">
        <v>2010</v>
      </c>
      <c r="J155">
        <v>100</v>
      </c>
      <c r="K155" t="s">
        <v>2480</v>
      </c>
      <c r="L155"/>
      <c r="M155" t="str">
        <f>LEFT($D155,FIND(",",$D155)-1)&amp;"_"&amp;I155&amp;L155</f>
        <v>Werner_2010</v>
      </c>
      <c r="N155" t="s">
        <v>222</v>
      </c>
      <c r="O155" s="145" t="s">
        <v>1154</v>
      </c>
      <c r="P155"/>
      <c r="Q155" t="s">
        <v>256</v>
      </c>
      <c r="R155" s="262" t="s">
        <v>223</v>
      </c>
      <c r="S155" s="1" t="s">
        <v>2481</v>
      </c>
      <c r="T155" t="s">
        <v>2482</v>
      </c>
      <c r="U155" t="s">
        <v>1155</v>
      </c>
      <c r="V155">
        <v>1</v>
      </c>
      <c r="W155">
        <v>0</v>
      </c>
      <c r="X155">
        <v>2</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s="141">
        <f>COUNTIF(V155:AW155,"&lt;&gt;0")</f>
        <v>2</v>
      </c>
      <c r="AY155" s="141">
        <f>COUNTIF(V155:AL155,"&lt;&gt;0")</f>
        <v>2</v>
      </c>
      <c r="AZ155">
        <f>COUNTIF(V155:AC155,"&lt;&gt;0")</f>
        <v>2</v>
      </c>
      <c r="BA155">
        <f>COUNTIF(AD155:AI155,"&lt;&gt;0")</f>
        <v>0</v>
      </c>
      <c r="BB155">
        <f>COUNTIF(AJ155:AL155,"&lt;&gt;0")</f>
        <v>0</v>
      </c>
      <c r="BC155">
        <f>COUNTIF(AS155:AW155,"&lt;&gt;0")</f>
        <v>0</v>
      </c>
      <c r="BD155">
        <f>COUNTIF(AM155:AR155,"&lt;&gt;0")</f>
        <v>0</v>
      </c>
      <c r="BE155" t="str">
        <f t="array" ref="BE155">IF(AY155=1,INDEX($V$7:$AL$7,MATCH(TRUE,INDEX($V155:$AW155&lt;&gt;0,),0)),IF(AY155=0,INDEX($AM$7:$AW$7,MATCH(1,$AM155:$AW155,0)),IF(BF155="Multiple strategies","mixed drivers",IF(BF155="Supply chain","multiple supply","multiple silviculture"))))</f>
        <v>multiple silviculture</v>
      </c>
      <c r="BF155" s="2" t="str" cm="1">
        <f t="array" ref="BF155">IF(COUNTIF(AZ155:BB155,"&lt;&gt;0")=1,INDEX($V$4:$AW$4,MATCH(TRUE,INDEX($V155:$AW155&lt;&gt;0,),0)),IF(COUNTIF(AZ155:BB155,"&lt;&gt;0")=0,INDEX($AM$4:$AW$4,MATCH(1,$AM155:$AW155,0)),"Multiple strategies"))</f>
        <v>Silviculture for removals</v>
      </c>
      <c r="BG155" s="1" t="s">
        <v>321</v>
      </c>
      <c r="BH155" t="s">
        <v>2453</v>
      </c>
      <c r="BI155" s="264" t="s">
        <v>3252</v>
      </c>
      <c r="BJ155" t="s">
        <v>1323</v>
      </c>
      <c r="BK155">
        <v>300</v>
      </c>
      <c r="BL155">
        <v>517.5</v>
      </c>
      <c r="BM155" s="143">
        <f>BL155/BK155</f>
        <v>1.7250000000000001</v>
      </c>
      <c r="BN155">
        <f>BL155-BK155</f>
        <v>217.5</v>
      </c>
      <c r="BO155">
        <f>BN155*10^6</f>
        <v>217500000</v>
      </c>
      <c r="BP155" t="s">
        <v>232</v>
      </c>
      <c r="BQ155" s="303" t="s">
        <v>3253</v>
      </c>
      <c r="BR155" t="s">
        <v>2325</v>
      </c>
      <c r="BS155">
        <v>345.6503741652154</v>
      </c>
      <c r="BT155">
        <v>116.6008790402431</v>
      </c>
      <c r="BU155" s="144">
        <f>IFERROR(BT155/BS155,"")</f>
        <v>0.33733763292415742</v>
      </c>
      <c r="BV155" s="144">
        <f>BT155-BS155</f>
        <v>-229.04949512497228</v>
      </c>
      <c r="BW155" s="144"/>
      <c r="BX155">
        <f>BV155*10^6</f>
        <v>-229049495.12497228</v>
      </c>
      <c r="BY155">
        <f>IFERROR(BX155/BO155,"")</f>
        <v>-1.0531011270113668</v>
      </c>
      <c r="BZ155">
        <v>0</v>
      </c>
      <c r="CA155">
        <v>0</v>
      </c>
      <c r="CB155">
        <v>0</v>
      </c>
      <c r="CC155">
        <v>0</v>
      </c>
      <c r="CD155">
        <v>0</v>
      </c>
      <c r="CE155">
        <v>0</v>
      </c>
      <c r="CF155">
        <v>0</v>
      </c>
      <c r="CG155">
        <v>0</v>
      </c>
      <c r="CH155">
        <v>0</v>
      </c>
      <c r="CI155">
        <v>0</v>
      </c>
      <c r="CJ155">
        <v>0</v>
      </c>
      <c r="CK155">
        <v>0</v>
      </c>
      <c r="CL155">
        <v>0</v>
      </c>
      <c r="CM155">
        <v>1</v>
      </c>
      <c r="CN155" t="str">
        <f>IF($BL155&lt;$BK155,"refNeedCorrection","refOK")</f>
        <v>refOK</v>
      </c>
      <c r="CO155">
        <f>IF($CN155="refNeedCorrection",BL155,BK155)</f>
        <v>300</v>
      </c>
      <c r="CP155">
        <f>IF($CN155="refNeedCorrection",BK155,BL155)</f>
        <v>517.5</v>
      </c>
      <c r="CQ155">
        <f>IF($CN155="refOK",$BO155,-$BO155)</f>
        <v>217500000</v>
      </c>
      <c r="CR155">
        <f>IF($CN155="refOK",$BS155,$BT155)*IF($BP155="Emissions positive",-1,1)</f>
        <v>345.6503741652154</v>
      </c>
      <c r="CS155">
        <f>IF($CN155="refOK",$BT155,$BS155)*IF($BP155="Emissions positive",-1,1)</f>
        <v>116.6008790402431</v>
      </c>
      <c r="CT155">
        <f>IF($CN155="refNeedCorrection",-BX155,BX155)*IF($BP155="Emissions positive",-1,1)</f>
        <v>-229049495.12497228</v>
      </c>
      <c r="CU155">
        <f>IFERROR(CT155/CQ155,"")</f>
        <v>-1.0531011270113668</v>
      </c>
      <c r="CV155" s="2">
        <f>IFERROR((CS155-CR155)/ABS(CR155),"")</f>
        <v>-0.66266236707584247</v>
      </c>
      <c r="CW155" s="1" t="s">
        <v>1203</v>
      </c>
      <c r="CX155" t="str">
        <f>IF(OR($CW155="prd",$CW155="std",$CW155="cit"),"loc",IF(OR($CW155="eur",$CW155="reg",$CW155="coy"),"reg",$CW155))</f>
        <v>reg</v>
      </c>
      <c r="CY155" t="s">
        <v>639</v>
      </c>
      <c r="CZ155">
        <v>2000</v>
      </c>
      <c r="DA155">
        <v>2090</v>
      </c>
      <c r="DB155">
        <f>DA155-CZ155</f>
        <v>90</v>
      </c>
      <c r="DC155" t="str">
        <f>IF(DB155=0,"0",IF(AND(DB155&gt;=1,DB155&lt;=30),"1-30",IF(AND(DB155&gt;30,DB155&lt;=70),"31-70",IF(AND(DB155&gt;70,DB155&lt;=100),"71-100",IF(DB155&gt;100,"+100")))))</f>
        <v>71-100</v>
      </c>
      <c r="DD155">
        <v>1</v>
      </c>
      <c r="DE155">
        <v>0</v>
      </c>
      <c r="DF155">
        <v>0</v>
      </c>
      <c r="DG155">
        <v>0</v>
      </c>
      <c r="DH155">
        <v>0</v>
      </c>
      <c r="DI155">
        <f>SUM(DD155:DG155)</f>
        <v>1</v>
      </c>
      <c r="DJ155" t="str">
        <f>IF(DI155=1,INDEX($DD$7:$DG$7,MATCH(1,$DD155:$DG155,0)),"mixedProduct")</f>
        <v>UpstreamInput</v>
      </c>
      <c r="DK155" t="str">
        <f>IF(DD155=1,DK$7,0)</f>
        <v>Upstream</v>
      </c>
      <c r="DL155">
        <f>IF(DE155=1,DL$7,0)</f>
        <v>0</v>
      </c>
      <c r="DM155">
        <f>IF(DF155=1,DM$7,0)</f>
        <v>0</v>
      </c>
      <c r="DN155">
        <f>IF(DG155=1,DN$7,0)</f>
        <v>0</v>
      </c>
      <c r="DO155">
        <v>0</v>
      </c>
      <c r="DP155">
        <v>0</v>
      </c>
      <c r="DQ155"/>
      <c r="DR155"/>
      <c r="DS155"/>
      <c r="DT155">
        <f>SUM(DO155:DP155)</f>
        <v>0</v>
      </c>
      <c r="DU155" s="143" t="str">
        <f>IF(DO155=1,"self-calculated DF",IF(DP155=1,"external DF used","explicit C balance"))</f>
        <v>explicit C balance</v>
      </c>
      <c r="DV155">
        <v>1</v>
      </c>
      <c r="DW155">
        <v>1</v>
      </c>
      <c r="DX155">
        <v>1</v>
      </c>
      <c r="DY155">
        <v>1</v>
      </c>
      <c r="DZ155">
        <v>0</v>
      </c>
      <c r="EA155" s="143">
        <v>0</v>
      </c>
      <c r="EB155">
        <v>0</v>
      </c>
      <c r="EC155">
        <v>0</v>
      </c>
      <c r="ED155">
        <v>0</v>
      </c>
      <c r="EE155">
        <v>0</v>
      </c>
      <c r="EF155">
        <v>1</v>
      </c>
      <c r="EG155">
        <v>0</v>
      </c>
      <c r="EH155">
        <v>0</v>
      </c>
      <c r="EI155" s="2">
        <v>0</v>
      </c>
      <c r="EJ155" s="1"/>
      <c r="EK155" t="str">
        <f>IF(AND(AND(AND(OR($DX155=1,$DW155=1),OR($EC155=1,$EA155=1)),SUM($DV155:$DZ155,$EF155)&gt;=4),SUM($EA155:$EE155)&gt;=2),"Whole sector","")</f>
        <v/>
      </c>
      <c r="EL155" t="str">
        <f>IF(AND(AND(OR($DX155=1,$DW155=1),AND($EC155=0,$EA155=0)),SUM($DV155:$DZ155,$EF155)&gt;=4),"Ecosystem approach","")</f>
        <v>Ecosystem approach</v>
      </c>
      <c r="EM155" s="2" t="str">
        <f>IF(AND(AND(AND($DX155=0,$DW155=0),OR($EC155=1,$EA155=1)),SUM($EB155:$EE155)&gt;=2),"Technology approach","")</f>
        <v/>
      </c>
      <c r="EN155" t="s">
        <v>2485</v>
      </c>
      <c r="EO155"/>
      <c r="EP155" t="str">
        <f>IF(ISNUMBER(BU155),IF(ABS(BU155-[1]QC_indicators!$B$2)&gt;3*[1]QC_indicators!$C$2,"C ratio",IF(ISNUMBER(BY155),IF(ABS(BY155-[1]QC_indicators!$B$1)&gt;3*[1]QC_indicators!$C$1,"DF","no"))),IF(ISNUMBER(BY155),IF(ABS(BY155-[1]QC_indicators!$B$1)&gt;3*[1]QC_indicators!$C$1,"DF","no")))</f>
        <v>no</v>
      </c>
      <c r="EQ155"/>
      <c r="ER155"/>
      <c r="ES155"/>
      <c r="ET155" s="264" t="s">
        <v>3254</v>
      </c>
      <c r="EU155"/>
    </row>
    <row r="156" spans="1:151" s="139" customFormat="1" ht="15" customHeight="1">
      <c r="A156" s="174" t="s">
        <v>1286</v>
      </c>
      <c r="B156" s="141" t="s">
        <v>1287</v>
      </c>
      <c r="C156" s="141" t="s">
        <v>1288</v>
      </c>
      <c r="D156" s="141" t="s">
        <v>1289</v>
      </c>
      <c r="E156" s="141" t="s">
        <v>1290</v>
      </c>
      <c r="F156" s="141" t="s">
        <v>1291</v>
      </c>
      <c r="G156" s="141" t="s">
        <v>1292</v>
      </c>
      <c r="H156" s="141"/>
      <c r="I156" s="141">
        <v>2019</v>
      </c>
      <c r="J156" s="141"/>
      <c r="K156" s="141" t="s">
        <v>1293</v>
      </c>
      <c r="L156" s="141"/>
      <c r="M156" t="str">
        <f>LEFT($D156,FIND(",",$D156)-1)&amp;"_"&amp;I156&amp;L156</f>
        <v>Bosch_2019</v>
      </c>
      <c r="N156" t="s">
        <v>222</v>
      </c>
      <c r="O156" s="175" t="s">
        <v>225</v>
      </c>
      <c r="P156" s="141" t="s">
        <v>223</v>
      </c>
      <c r="Q156" s="264" t="s">
        <v>224</v>
      </c>
      <c r="R156" s="269" t="s">
        <v>1154</v>
      </c>
      <c r="S156" s="174" t="s">
        <v>1307</v>
      </c>
      <c r="T156" s="141" t="s">
        <v>1308</v>
      </c>
      <c r="U156" s="141" t="s">
        <v>1296</v>
      </c>
      <c r="V156" s="141">
        <v>0</v>
      </c>
      <c r="W156" s="141">
        <v>0</v>
      </c>
      <c r="X156" s="141">
        <v>1</v>
      </c>
      <c r="Y156" s="141">
        <v>0</v>
      </c>
      <c r="Z156" s="141">
        <v>0</v>
      </c>
      <c r="AA156" s="141">
        <v>0</v>
      </c>
      <c r="AB156" s="141">
        <v>0</v>
      </c>
      <c r="AC156" s="141">
        <v>0</v>
      </c>
      <c r="AD156" s="141">
        <v>0</v>
      </c>
      <c r="AE156" s="141">
        <v>0</v>
      </c>
      <c r="AF156" s="141">
        <v>0</v>
      </c>
      <c r="AG156" s="141">
        <v>0</v>
      </c>
      <c r="AH156" s="141">
        <v>0</v>
      </c>
      <c r="AI156" s="141">
        <v>0</v>
      </c>
      <c r="AJ156" s="141">
        <v>0</v>
      </c>
      <c r="AK156" s="141">
        <v>0</v>
      </c>
      <c r="AL156" s="141">
        <v>0</v>
      </c>
      <c r="AM156" s="141">
        <v>0</v>
      </c>
      <c r="AN156" s="141">
        <v>0</v>
      </c>
      <c r="AO156" s="141">
        <v>0</v>
      </c>
      <c r="AP156" s="141">
        <v>0</v>
      </c>
      <c r="AQ156" s="141">
        <v>0</v>
      </c>
      <c r="AR156" s="141">
        <v>0</v>
      </c>
      <c r="AS156" s="141">
        <v>0</v>
      </c>
      <c r="AT156" s="141">
        <v>0</v>
      </c>
      <c r="AU156" s="141">
        <v>0</v>
      </c>
      <c r="AV156" s="141">
        <v>0</v>
      </c>
      <c r="AW156" s="141">
        <v>0</v>
      </c>
      <c r="AX156" s="141">
        <f>COUNTIF(V156:AW156,"&lt;&gt;0")</f>
        <v>1</v>
      </c>
      <c r="AY156" s="141">
        <f>COUNTIF(V156:AL156,"&lt;&gt;0")</f>
        <v>1</v>
      </c>
      <c r="AZ156">
        <f>COUNTIF(V156:AC156,"&lt;&gt;0")</f>
        <v>1</v>
      </c>
      <c r="BA156">
        <f>COUNTIF(AD156:AI156,"&lt;&gt;0")</f>
        <v>0</v>
      </c>
      <c r="BB156">
        <f>COUNTIF(AJ156:AL156,"&lt;&gt;0")</f>
        <v>0</v>
      </c>
      <c r="BC156">
        <f>COUNTIF(AS156:AW156,"&lt;&gt;0")</f>
        <v>0</v>
      </c>
      <c r="BD156">
        <f>COUNTIF(AM156:AR156,"&lt;&gt;0")</f>
        <v>0</v>
      </c>
      <c r="BE156" t="str" cm="1">
        <f t="array" ref="BE156">IF(AY156=1,INDEX($V$7:$AL$7,MATCH(TRUE,INDEX($V156:$AW156&lt;&gt;0,),0)),IF(AY156=0,INDEX($AM$7:$AW$7,MATCH(1,$AM156:$AW156,0)),IF(BF156="Multiple strategies","mixed drivers",IF(BF156="Supply chain","multiple supply","multiple silviculture"))))</f>
        <v>rotation length</v>
      </c>
      <c r="BF156" s="2" t="str" cm="1">
        <f t="array" ref="BF156">IF(COUNTIF(AZ156:BB156,"&lt;&gt;0")=1,INDEX($V$4:$AW$4,MATCH(TRUE,INDEX($V156:$AW156&lt;&gt;0,),0)),IF(COUNTIF(AZ156:BB156,"&lt;&gt;0")=0,INDEX($AM$4:$AW$4,MATCH(1,$AM156:$AW156,0)),"Multiple strategies"))</f>
        <v>Silviculture for removals</v>
      </c>
      <c r="BG156" s="173" t="s">
        <v>321</v>
      </c>
      <c r="BH156" s="141" t="s">
        <v>1297</v>
      </c>
      <c r="BI156" s="141" t="s">
        <v>1298</v>
      </c>
      <c r="BJ156" s="163" t="s">
        <v>1299</v>
      </c>
      <c r="BK156" s="176">
        <v>2167</v>
      </c>
      <c r="BL156" s="163">
        <v>2405</v>
      </c>
      <c r="BM156" s="163">
        <f>BL156/BK156</f>
        <v>1.1098292570373789</v>
      </c>
      <c r="BN156">
        <f>BL156-BK156</f>
        <v>238</v>
      </c>
      <c r="BO156" s="158">
        <f>BN156*10^6</f>
        <v>238000000</v>
      </c>
      <c r="BP156" s="264" t="s">
        <v>395</v>
      </c>
      <c r="BQ156" s="301" t="s">
        <v>701</v>
      </c>
      <c r="BR156" s="151" t="s">
        <v>1300</v>
      </c>
      <c r="BS156" s="163"/>
      <c r="BT156" s="141"/>
      <c r="BU156" s="144"/>
      <c r="BV156" s="176">
        <v>250</v>
      </c>
      <c r="BW156"/>
      <c r="BX156">
        <f>BV156*10^6</f>
        <v>250000000</v>
      </c>
      <c r="BY156">
        <f>IFERROR(BX156/BO156,"")</f>
        <v>1.0504201680672269</v>
      </c>
      <c r="BZ156" s="141">
        <v>0</v>
      </c>
      <c r="CA156" s="141">
        <v>0</v>
      </c>
      <c r="CB156" s="141">
        <v>0</v>
      </c>
      <c r="CC156" s="141">
        <v>0</v>
      </c>
      <c r="CD156" s="141">
        <v>0</v>
      </c>
      <c r="CE156" s="141">
        <v>0</v>
      </c>
      <c r="CF156" s="141">
        <v>0</v>
      </c>
      <c r="CG156" s="141">
        <v>0</v>
      </c>
      <c r="CH156" s="141">
        <v>0</v>
      </c>
      <c r="CI156" s="141">
        <v>0</v>
      </c>
      <c r="CJ156" s="141">
        <v>0</v>
      </c>
      <c r="CK156" s="141">
        <v>0</v>
      </c>
      <c r="CL156" s="141">
        <v>0</v>
      </c>
      <c r="CM156" s="141">
        <v>1</v>
      </c>
      <c r="CN156" t="str">
        <f>IF(BL156&lt;BK156,"refNeedCorrection","refOK")</f>
        <v>refOK</v>
      </c>
      <c r="CO156">
        <f>IF($CN156="refOK",$BK156,$BL156)</f>
        <v>2167</v>
      </c>
      <c r="CP156">
        <f>IF($CN156="refOK",$BL156,$BK156)</f>
        <v>2405</v>
      </c>
      <c r="CQ156">
        <f>IF($CN156="refOK",$BO156,-$BO156)</f>
        <v>238000000</v>
      </c>
      <c r="CR156">
        <f>IF($CN156="refOK",$BS156,$BT156)*IF($BP156="Emissions positive",-1,1)</f>
        <v>0</v>
      </c>
      <c r="CS156">
        <f>IF($CN156="refOK",$BT156,$BS156)*IF($BP156="Emissions positive",-1,1)</f>
        <v>0</v>
      </c>
      <c r="CT156">
        <f>IF($CN156="refNeedCorrection",-BX156,BX156)*IF($BP156="Emissions positive",-1,1)</f>
        <v>-250000000</v>
      </c>
      <c r="CU156">
        <f>IFERROR(CT156/CQ156,"")</f>
        <v>-1.0504201680672269</v>
      </c>
      <c r="CV156" s="2" t="str">
        <f>IFERROR((CS156-CR156)/ABS(CR156),"")</f>
        <v/>
      </c>
      <c r="CW156" s="174" t="s">
        <v>1203</v>
      </c>
      <c r="CX156" s="264" t="str">
        <f>IF(OR($CW156="prd",$CW156="std",$CW156="cit"),"loc",IF(OR($CW156="eur",$CW156="reg",$CW156="coy"),"reg",$CW156))</f>
        <v>reg</v>
      </c>
      <c r="CY156" s="141" t="s">
        <v>1301</v>
      </c>
      <c r="CZ156" s="141">
        <v>2016</v>
      </c>
      <c r="DA156" s="163">
        <v>2046</v>
      </c>
      <c r="DB156" s="163">
        <v>30</v>
      </c>
      <c r="DC156" t="str">
        <f>IF(DB156=0,"0",IF(AND(DB156&gt;=1,DB156&lt;=30),"1-30",IF(AND(DB156&gt;30,DB156&lt;=70),"31-70",IF(AND(DB156&gt;70,DB156&lt;=100),"71-100",IF(DB156&gt;100,"+100")))))</f>
        <v>1-30</v>
      </c>
      <c r="DD156" s="141">
        <v>1</v>
      </c>
      <c r="DE156" s="141">
        <v>1</v>
      </c>
      <c r="DF156" s="141">
        <v>0</v>
      </c>
      <c r="DG156" s="141">
        <v>1</v>
      </c>
      <c r="DH156"/>
      <c r="DI156">
        <f>SUM(DD156:DG156)</f>
        <v>3</v>
      </c>
      <c r="DJ156" t="str">
        <f>IF(DI156=1,INDEX($DD$7:$DG$7,MATCH(1,$DD156:$DG156,0)),"mixedProduct")</f>
        <v>mixedProduct</v>
      </c>
      <c r="DK156" t="str">
        <f>IF(DD156=1,DK$7,0)</f>
        <v>Upstream</v>
      </c>
      <c r="DL156" t="str">
        <f>IF(DE156=1,DL$7,0)</f>
        <v>Energy</v>
      </c>
      <c r="DM156">
        <f>IF(DF156=1,DM$7,0)</f>
        <v>0</v>
      </c>
      <c r="DN156" t="str">
        <f>IF(DG156=1,DN$7,0)</f>
        <v>Timber</v>
      </c>
      <c r="DO156" s="163">
        <v>0</v>
      </c>
      <c r="DP156" s="141">
        <v>0</v>
      </c>
      <c r="DQ156" s="163">
        <v>0</v>
      </c>
      <c r="DR156" s="163">
        <v>0</v>
      </c>
      <c r="DS156" s="163">
        <v>0</v>
      </c>
      <c r="DT156">
        <f>SUM(DO156:DP156)</f>
        <v>0</v>
      </c>
      <c r="DU156" s="143" t="str">
        <f>IF(DO156=1,"self-calculated DF",IF(DP156=1,"external DF used","explicit C balance"))</f>
        <v>explicit C balance</v>
      </c>
      <c r="DV156" s="163">
        <v>1</v>
      </c>
      <c r="DW156" s="141">
        <v>1</v>
      </c>
      <c r="DX156" s="163">
        <v>1</v>
      </c>
      <c r="DY156" s="163">
        <v>1</v>
      </c>
      <c r="DZ156" s="141">
        <v>0</v>
      </c>
      <c r="EA156" s="141">
        <v>0</v>
      </c>
      <c r="EB156" s="143">
        <v>0</v>
      </c>
      <c r="EC156" s="141">
        <v>0</v>
      </c>
      <c r="ED156" s="143">
        <v>0</v>
      </c>
      <c r="EE156" s="143">
        <v>0</v>
      </c>
      <c r="EF156" s="141">
        <v>1</v>
      </c>
      <c r="EG156" s="163">
        <v>0</v>
      </c>
      <c r="EH156" s="141">
        <v>0</v>
      </c>
      <c r="EI156" s="177">
        <v>0</v>
      </c>
      <c r="EJ156" s="1"/>
      <c r="EK156" t="str">
        <f>IF(AND(AND(AND(OR($DX156=1,$DW156=1),OR($EC156=1,$EA156=1)),SUM($DV156:$DZ156,$EF156)&gt;=4),SUM($EA156:$EE156)&gt;=2),"Whole sector","")</f>
        <v/>
      </c>
      <c r="EL156" t="str">
        <f>IF(AND(AND(OR($DX156=1,$DW156=1),AND($EC156=0,$EA156=0)),SUM($DV156:$DZ156,$EF156)&gt;=4),"Ecosystem approach","")</f>
        <v>Ecosystem approach</v>
      </c>
      <c r="EM156" s="2" t="str">
        <f>IF(AND(AND(AND($DX156=0,$DW156=0),OR($EC156=1,$EA156=1)),SUM($EB156:$EE156)&gt;=2),"Technology approach","")</f>
        <v/>
      </c>
      <c r="EN156" s="141"/>
      <c r="EO156"/>
      <c r="EP156" t="str">
        <f>IF(ISNUMBER(BU156),IF(ABS(BU156-[3]QC_indicators!$B$2)&gt;3*[3]QC_indicators!$C$2,"C ratio",IF(ISNUMBER(BY156),IF(ABS(BY156-[3]QC_indicators!$B$1)&gt;3*[3]QC_indicators!$C$1,"DF","no"))),IF(ISNUMBER(BY156),IF(ABS(BY156-[3]QC_indicators!$B$1)&gt;3*[3]QC_indicators!$C$1,"DF","no")))</f>
        <v>no</v>
      </c>
      <c r="EQ156"/>
      <c r="ER156" s="294" t="s">
        <v>1302</v>
      </c>
      <c r="ES156"/>
      <c r="ET156" s="264" t="s">
        <v>3407</v>
      </c>
      <c r="EU156"/>
    </row>
    <row r="157" spans="1:151" s="139" customFormat="1" ht="15" customHeight="1">
      <c r="A157" s="186" t="s">
        <v>1423</v>
      </c>
      <c r="B157" s="185" t="s">
        <v>2116</v>
      </c>
      <c r="C157" s="185" t="s">
        <v>2117</v>
      </c>
      <c r="D157" s="185" t="s">
        <v>2118</v>
      </c>
      <c r="E157" s="185" t="s">
        <v>2119</v>
      </c>
      <c r="F157" s="185" t="s">
        <v>2120</v>
      </c>
      <c r="G157" s="185" t="s">
        <v>1429</v>
      </c>
      <c r="H157" s="185" t="s">
        <v>254</v>
      </c>
      <c r="I157" s="185">
        <v>2014</v>
      </c>
      <c r="J157" s="185">
        <v>45</v>
      </c>
      <c r="K157" s="185" t="s">
        <v>2121</v>
      </c>
      <c r="L157" s="185"/>
      <c r="M157" t="str">
        <f>LEFT($D157,FIND(",",$D157)-1)&amp;"_"&amp;I157&amp;L157</f>
        <v>Pukkala_2014</v>
      </c>
      <c r="N157" t="s">
        <v>222</v>
      </c>
      <c r="O157" s="187" t="s">
        <v>225</v>
      </c>
      <c r="P157" s="185" t="s">
        <v>1154</v>
      </c>
      <c r="Q157" s="185"/>
      <c r="R157" s="262" t="s">
        <v>223</v>
      </c>
      <c r="S157" s="186" t="s">
        <v>2130</v>
      </c>
      <c r="T157" s="185" t="s">
        <v>2131</v>
      </c>
      <c r="U157" s="185" t="s">
        <v>2124</v>
      </c>
      <c r="V157" s="185">
        <v>0</v>
      </c>
      <c r="W157" s="185">
        <v>0</v>
      </c>
      <c r="X157" s="185">
        <v>0</v>
      </c>
      <c r="Y157" s="185">
        <v>1</v>
      </c>
      <c r="Z157" s="185">
        <v>0</v>
      </c>
      <c r="AA157" s="185">
        <v>0</v>
      </c>
      <c r="AB157" s="185">
        <v>0</v>
      </c>
      <c r="AC157" s="185">
        <v>0</v>
      </c>
      <c r="AD157" s="185">
        <v>0</v>
      </c>
      <c r="AE157" s="185">
        <v>0</v>
      </c>
      <c r="AF157" s="185">
        <v>0</v>
      </c>
      <c r="AG157" s="185">
        <v>0</v>
      </c>
      <c r="AH157" s="185">
        <v>0</v>
      </c>
      <c r="AI157" s="185">
        <v>0</v>
      </c>
      <c r="AJ157" s="185">
        <v>0</v>
      </c>
      <c r="AK157" s="185">
        <v>0</v>
      </c>
      <c r="AL157" s="185">
        <v>0</v>
      </c>
      <c r="AM157" s="185">
        <v>0</v>
      </c>
      <c r="AN157" s="185">
        <v>0</v>
      </c>
      <c r="AO157" s="185">
        <v>0</v>
      </c>
      <c r="AP157" s="185">
        <v>0</v>
      </c>
      <c r="AQ157" s="185">
        <v>0</v>
      </c>
      <c r="AR157" s="185">
        <v>0</v>
      </c>
      <c r="AS157" s="185">
        <v>0</v>
      </c>
      <c r="AT157" s="185">
        <v>0</v>
      </c>
      <c r="AU157" s="185">
        <v>0</v>
      </c>
      <c r="AV157" s="185">
        <v>0</v>
      </c>
      <c r="AW157" s="185">
        <v>0</v>
      </c>
      <c r="AX157" s="141">
        <f>COUNTIF(V157:AW157,"&lt;&gt;0")</f>
        <v>1</v>
      </c>
      <c r="AY157" s="141">
        <f>COUNTIF(V157:AL157,"&lt;&gt;0")</f>
        <v>1</v>
      </c>
      <c r="AZ157">
        <f>COUNTIF(V157:AC157,"&lt;&gt;0")</f>
        <v>1</v>
      </c>
      <c r="BA157">
        <f>COUNTIF(AD157:AI157,"&lt;&gt;0")</f>
        <v>0</v>
      </c>
      <c r="BB157">
        <f>COUNTIF(AJ157:AL157,"&lt;&gt;0")</f>
        <v>0</v>
      </c>
      <c r="BC157">
        <f>COUNTIF(AS157:AW157,"&lt;&gt;0")</f>
        <v>0</v>
      </c>
      <c r="BD157">
        <f>COUNTIF(AM157:AR157,"&lt;&gt;0")</f>
        <v>0</v>
      </c>
      <c r="BE157" t="str">
        <f t="array" ref="BE157">IF(AY157=1,INDEX($V$7:$AL$7,MATCH(TRUE,INDEX($V157:$AW157&lt;&gt;0,),0)),IF(AY157=0,INDEX($AM$7:$AW$7,MATCH(1,$AM157:$AW157,0)),IF(BF157="Multiple strategies","mixed drivers",IF(BF157="Supply chain","multiple supply","multiple silviculture"))))</f>
        <v xml:space="preserve">cutting intensity </v>
      </c>
      <c r="BF157" s="2" t="str" cm="1">
        <f t="array" ref="BF157">IF(COUNTIF(AZ157:BB157,"&lt;&gt;0")=1,INDEX($V$4:$AW$4,MATCH(TRUE,INDEX($V157:$AW157&lt;&gt;0,),0)),IF(COUNTIF(AZ157:BB157,"&lt;&gt;0")=0,INDEX($AM$4:$AW$4,MATCH(1,$AM157:$AW157,0)),"Multiple strategies"))</f>
        <v>Silviculture for removals</v>
      </c>
      <c r="BG157" s="186" t="s">
        <v>229</v>
      </c>
      <c r="BH157" s="185" t="s">
        <v>2125</v>
      </c>
      <c r="BI157" s="185" t="s">
        <v>2126</v>
      </c>
      <c r="BJ157" s="185" t="s">
        <v>2127</v>
      </c>
      <c r="BK157" s="185">
        <v>0.95599999999999996</v>
      </c>
      <c r="BL157" s="185">
        <v>1.0920000000000001</v>
      </c>
      <c r="BM157" s="185">
        <f>IFERROR(BL157/BK157,"")</f>
        <v>1.1422594142259415</v>
      </c>
      <c r="BN157" s="185">
        <f>BL157-BK157</f>
        <v>0.13600000000000012</v>
      </c>
      <c r="BO157" s="185">
        <f>+BN157*tC_to_m3</f>
        <v>0.59053408597481605</v>
      </c>
      <c r="BP157" s="185" t="s">
        <v>232</v>
      </c>
      <c r="BQ157" s="340" t="s">
        <v>2128</v>
      </c>
      <c r="BR157" s="185" t="s">
        <v>2127</v>
      </c>
      <c r="BS157" s="185">
        <v>-2.2999999999999993E-2</v>
      </c>
      <c r="BT157">
        <f>0.053-0.243</f>
        <v>-0.19</v>
      </c>
      <c r="BU157" s="189">
        <f>BT157/BS157</f>
        <v>8.2608695652173942</v>
      </c>
      <c r="BV157" s="185">
        <f>BT157-BS157</f>
        <v>-0.16700000000000001</v>
      </c>
      <c r="BW157" s="185"/>
      <c r="BX157" s="185">
        <f>BV157*C_to_CO2</f>
        <v>-0.61289000000000005</v>
      </c>
      <c r="BY157">
        <f>IFERROR(BX157/BO157,"")</f>
        <v>-1.0378571102941168</v>
      </c>
      <c r="BZ157" s="185">
        <v>0</v>
      </c>
      <c r="CA157" s="185">
        <v>0</v>
      </c>
      <c r="CB157" s="185">
        <v>0</v>
      </c>
      <c r="CC157" s="185">
        <v>0</v>
      </c>
      <c r="CD157" s="185">
        <v>0</v>
      </c>
      <c r="CE157" s="185">
        <v>0</v>
      </c>
      <c r="CF157" s="185">
        <v>0</v>
      </c>
      <c r="CG157" s="185">
        <v>0</v>
      </c>
      <c r="CH157" s="185">
        <v>0</v>
      </c>
      <c r="CI157" s="185">
        <v>0</v>
      </c>
      <c r="CJ157" s="185">
        <v>0</v>
      </c>
      <c r="CK157" s="185">
        <v>0</v>
      </c>
      <c r="CL157" s="185">
        <v>0</v>
      </c>
      <c r="CM157" s="185">
        <v>1</v>
      </c>
      <c r="CN157" s="185" t="str">
        <f>IF($BL157&lt;$BK157,"refNeedCorrection","refOK")</f>
        <v>refOK</v>
      </c>
      <c r="CO157" s="185">
        <f>IF($CN157="refOK",$BK157,$BL157)</f>
        <v>0.95599999999999996</v>
      </c>
      <c r="CP157" s="185">
        <f>IF($CN157="refOK",$BL157,$BK157)</f>
        <v>1.0920000000000001</v>
      </c>
      <c r="CQ157" s="185">
        <f>IF($CN157="refOK",$BO157,-$BO157)</f>
        <v>0.59053408597481605</v>
      </c>
      <c r="CR157" s="185">
        <f>IF($CN157="refOK",$BS157,$BT157)*IF($BP157="Emissions positive",-1,1)</f>
        <v>-2.2999999999999993E-2</v>
      </c>
      <c r="CS157" s="185">
        <f>IF($CN157="refOK",$BT157,$BS157)*IF($BP157="Emissions positive",-1,1)</f>
        <v>-0.19</v>
      </c>
      <c r="CT157" s="185">
        <f>IF($CN157="refNeedCorrection",-BX157,BX157)*IF($BP157="Emissions positive",-1,1)</f>
        <v>-0.61289000000000005</v>
      </c>
      <c r="CU157">
        <f>IFERROR(CT157/CQ157,"")</f>
        <v>-1.0378571102941168</v>
      </c>
      <c r="CV157" s="188">
        <f>IFERROR((CS157-CR157)/ABS(CR157),"")</f>
        <v>-7.2608695652173942</v>
      </c>
      <c r="CW157" s="186" t="s">
        <v>2036</v>
      </c>
      <c r="CX157" t="str">
        <f>IF(OR($CW157="prd",$CW157="std",$CW157="cit"),"loc",IF(OR($CW157="eur",$CW157="reg",$CW157="coy"),"reg",$CW157))</f>
        <v>reg</v>
      </c>
      <c r="CY157" s="185" t="s">
        <v>235</v>
      </c>
      <c r="CZ157" s="185"/>
      <c r="DA157" s="185"/>
      <c r="DB157" s="185">
        <v>30</v>
      </c>
      <c r="DC157" t="str">
        <f>IF(DB157=0,"0",IF(AND(DB157&gt;=1,DB157&lt;=30),"1-30",IF(AND(DB157&gt;30,DB157&lt;=70),"31-70",IF(AND(DB157&gt;70,DB157&lt;=100),"71-100",IF(DB157&gt;100,"+100")))))</f>
        <v>1-30</v>
      </c>
      <c r="DD157" s="185">
        <v>1</v>
      </c>
      <c r="DE157" s="185">
        <v>0</v>
      </c>
      <c r="DF157" s="185">
        <v>0</v>
      </c>
      <c r="DG157" s="185">
        <v>0</v>
      </c>
      <c r="DH157" s="185">
        <v>0</v>
      </c>
      <c r="DI157">
        <f>SUM(DD157:DG157)</f>
        <v>1</v>
      </c>
      <c r="DJ157" t="str">
        <f>IF(DI157=1,INDEX($DD$7:$DG$7,MATCH(1,$DD157:$DG157,0)),"mixedProduct")</f>
        <v>UpstreamInput</v>
      </c>
      <c r="DK157" t="str">
        <f>IF(DD157=1,DK$7,0)</f>
        <v>Upstream</v>
      </c>
      <c r="DL157">
        <f>IF(DE157=1,DL$7,0)</f>
        <v>0</v>
      </c>
      <c r="DM157">
        <f>IF(DF157=1,DM$7,0)</f>
        <v>0</v>
      </c>
      <c r="DN157">
        <f>IF(DG157=1,DN$7,0)</f>
        <v>0</v>
      </c>
      <c r="DO157" s="185">
        <v>0</v>
      </c>
      <c r="DP157" s="185">
        <v>0</v>
      </c>
      <c r="DQ157" s="190"/>
      <c r="DR157" s="190"/>
      <c r="DS157" s="190">
        <v>0</v>
      </c>
      <c r="DT157" s="185"/>
      <c r="DU157" s="191" t="str">
        <f>IF(DO157=1,"self-calculated DF",IF(DP157=1,"external DF used","explicit C balance"))</f>
        <v>explicit C balance</v>
      </c>
      <c r="DV157" s="185">
        <v>1</v>
      </c>
      <c r="DW157" s="185">
        <v>1</v>
      </c>
      <c r="DX157" s="185">
        <v>1</v>
      </c>
      <c r="DY157" s="185">
        <v>0</v>
      </c>
      <c r="DZ157" s="185">
        <v>0</v>
      </c>
      <c r="EA157" s="185">
        <v>0</v>
      </c>
      <c r="EB157" s="185">
        <v>0</v>
      </c>
      <c r="EC157" s="185">
        <v>0</v>
      </c>
      <c r="ED157" s="185">
        <v>0</v>
      </c>
      <c r="EE157" s="185">
        <v>0</v>
      </c>
      <c r="EF157" s="185">
        <v>1</v>
      </c>
      <c r="EG157" s="185">
        <v>0</v>
      </c>
      <c r="EH157" s="185">
        <v>0</v>
      </c>
      <c r="EI157" s="188">
        <v>0</v>
      </c>
      <c r="EJ157" s="1"/>
      <c r="EK157" t="str">
        <f>IF(AND(AND(AND(OR($DX157=1,$DW157=1),OR($EC157=1,$EA157=1)),SUM($DV157:$DZ157,$EF157)&gt;=4),SUM($EA157:$EE157)&gt;=2),"Whole sector","")</f>
        <v/>
      </c>
      <c r="EL157" t="str">
        <f>IF(AND(AND(OR($DX157=1,$DW157=1),AND($EC157=0,$EA157=0)),SUM($DV157:$DZ157,$EF157)&gt;=4),"Ecosystem approach","")</f>
        <v>Ecosystem approach</v>
      </c>
      <c r="EM157" s="2" t="str">
        <f>IF(AND(AND(AND($DX157=0,$DW157=0),OR($EC157=1,$EA157=1)),SUM($EB157:$EE157)&gt;=2),"Technology approach","")</f>
        <v/>
      </c>
      <c r="EN157" s="185"/>
      <c r="EO157" s="185"/>
      <c r="EP157" t="str">
        <f>IF(ISNUMBER(BU157),IF(ABS(BU157-[1]QC_indicators!$B$2)&gt;3*[1]QC_indicators!$C$2,"C ratio",IF(ISNUMBER(BY157),IF(ABS(BY157-[1]QC_indicators!$B$1)&gt;3*[1]QC_indicators!$C$1,"DF","no"))),IF(ISNUMBER(BY157),IF(ABS(BY157-[1]QC_indicators!$B$1)&gt;3*[1]QC_indicators!$C$1,"DF","no")))</f>
        <v>no</v>
      </c>
      <c r="EQ157" s="185"/>
      <c r="ER157" s="185"/>
      <c r="ES157" s="185"/>
      <c r="ET157" s="264" t="s">
        <v>3223</v>
      </c>
      <c r="EU157"/>
    </row>
    <row r="158" spans="1:151" s="139" customFormat="1" ht="15" customHeight="1">
      <c r="A158" s="1" t="s">
        <v>667</v>
      </c>
      <c r="B158" t="s">
        <v>668</v>
      </c>
      <c r="C158" t="s">
        <v>669</v>
      </c>
      <c r="D158" t="s">
        <v>670</v>
      </c>
      <c r="E158" t="s">
        <v>671</v>
      </c>
      <c r="F158" t="s">
        <v>672</v>
      </c>
      <c r="G158" t="s">
        <v>673</v>
      </c>
      <c r="H158" t="s">
        <v>254</v>
      </c>
      <c r="I158">
        <v>2015</v>
      </c>
      <c r="J158">
        <v>68</v>
      </c>
      <c r="K158" t="s">
        <v>674</v>
      </c>
      <c r="L158"/>
      <c r="M158" t="str">
        <f>LEFT($D158,FIND(",",$D158)-1)&amp;"_"&amp;I158&amp;L158</f>
        <v>Dong_2015</v>
      </c>
      <c r="N158" t="s">
        <v>1352</v>
      </c>
      <c r="O158" s="145" t="s">
        <v>274</v>
      </c>
      <c r="P158"/>
      <c r="Q158" t="s">
        <v>256</v>
      </c>
      <c r="R158" s="262" t="s">
        <v>223</v>
      </c>
      <c r="S158" s="263" t="s">
        <v>3119</v>
      </c>
      <c r="T158" t="s">
        <v>675</v>
      </c>
      <c r="U158" t="s">
        <v>676</v>
      </c>
      <c r="V158">
        <v>0</v>
      </c>
      <c r="W158">
        <v>0</v>
      </c>
      <c r="X158">
        <v>0</v>
      </c>
      <c r="Y158">
        <v>0</v>
      </c>
      <c r="Z158">
        <v>0</v>
      </c>
      <c r="AA158">
        <v>0</v>
      </c>
      <c r="AB158">
        <v>0</v>
      </c>
      <c r="AC158">
        <v>0</v>
      </c>
      <c r="AD158">
        <v>0</v>
      </c>
      <c r="AE158">
        <v>0</v>
      </c>
      <c r="AF158" s="151">
        <v>0</v>
      </c>
      <c r="AG158">
        <v>0</v>
      </c>
      <c r="AH158">
        <v>0</v>
      </c>
      <c r="AI158">
        <v>0</v>
      </c>
      <c r="AJ158">
        <v>0</v>
      </c>
      <c r="AK158">
        <v>1</v>
      </c>
      <c r="AL158">
        <v>0</v>
      </c>
      <c r="AM158">
        <v>0</v>
      </c>
      <c r="AN158">
        <v>0</v>
      </c>
      <c r="AO158">
        <v>0</v>
      </c>
      <c r="AP158">
        <v>0</v>
      </c>
      <c r="AQ158">
        <v>0</v>
      </c>
      <c r="AR158">
        <v>0</v>
      </c>
      <c r="AS158">
        <v>0</v>
      </c>
      <c r="AT158">
        <v>0</v>
      </c>
      <c r="AU158">
        <v>0</v>
      </c>
      <c r="AV158">
        <v>0</v>
      </c>
      <c r="AW158">
        <v>0</v>
      </c>
      <c r="AX158" s="141">
        <f>COUNTIF(V158:AW158,"&lt;&gt;0")</f>
        <v>1</v>
      </c>
      <c r="AY158" s="141">
        <f>COUNTIF(V158:AL158,"&lt;&gt;0")</f>
        <v>1</v>
      </c>
      <c r="AZ158">
        <f>COUNTIF(V158:AC158,"&lt;&gt;0")</f>
        <v>0</v>
      </c>
      <c r="BA158">
        <f>COUNTIF(AD158:AI158,"&lt;&gt;0")</f>
        <v>0</v>
      </c>
      <c r="BB158">
        <f>COUNTIF(AJ158:AL158,"&lt;&gt;0")</f>
        <v>1</v>
      </c>
      <c r="BC158">
        <f>COUNTIF(AS158:AW158,"&lt;&gt;0")</f>
        <v>0</v>
      </c>
      <c r="BD158">
        <f>COUNTIF(AM158:AR158,"&lt;&gt;0")</f>
        <v>0</v>
      </c>
      <c r="BE158" t="str">
        <f t="array" ref="BE158">IF(AY158=1,INDEX($V$7:$AL$7,MATCH(TRUE,INDEX($V158:$AW158&lt;&gt;0,),0)),IF(AY158=0,INDEX($AM$7:$AW$7,MATCH(1,$AM158:$AW158,0)),IF(BF158="Multiple strategies","mixed drivers",IF(BF158="Supply chain","multiple supply","multiple silviculture"))))</f>
        <v>technologies/design switch</v>
      </c>
      <c r="BF158" s="2" t="str" cm="1">
        <f t="array" ref="BF158">IF(COUNTIF(AZ158:BB158,"&lt;&gt;0")=1,INDEX($V$4:$AW$4,MATCH(TRUE,INDEX($V158:$AW158&lt;&gt;0,),0)),IF(COUNTIF(AZ158:BB158,"&lt;&gt;0")=0,INDEX($AM$4:$AW$4,MATCH(1,$AM158:$AW158,0)),"Multiple strategies"))</f>
        <v>Technology</v>
      </c>
      <c r="BG158" s="1" t="s">
        <v>229</v>
      </c>
      <c r="BH158" t="s">
        <v>677</v>
      </c>
      <c r="BI158" s="264" t="s">
        <v>611</v>
      </c>
      <c r="BJ158" s="264" t="s">
        <v>518</v>
      </c>
      <c r="BK158">
        <v>0</v>
      </c>
      <c r="BL158" s="152">
        <v>45.7</v>
      </c>
      <c r="BM158"/>
      <c r="BN158">
        <f>BL158-BK158</f>
        <v>45.7</v>
      </c>
      <c r="BO158">
        <f>BN158*kg_to_m3</f>
        <v>9.3265306122448988E-2</v>
      </c>
      <c r="BP158" s="143" t="s">
        <v>395</v>
      </c>
      <c r="BQ158" s="311"/>
      <c r="BR158" t="s">
        <v>679</v>
      </c>
      <c r="BS158" s="152">
        <v>10</v>
      </c>
      <c r="BT158" s="152">
        <v>105</v>
      </c>
      <c r="BU158" s="144">
        <f>IFERROR(BT158/BS158,"")</f>
        <v>10.5</v>
      </c>
      <c r="BV158" s="152">
        <f>BT158-BS158</f>
        <v>95</v>
      </c>
      <c r="BW158" s="152"/>
      <c r="BX158">
        <f>BV158/1000</f>
        <v>9.5000000000000001E-2</v>
      </c>
      <c r="BY158">
        <f>IFERROR(BX158/BO158,"")</f>
        <v>1.0185995623632385</v>
      </c>
      <c r="BZ158">
        <v>0</v>
      </c>
      <c r="CA158">
        <v>0</v>
      </c>
      <c r="CB158">
        <v>0</v>
      </c>
      <c r="CC158">
        <v>0</v>
      </c>
      <c r="CD158">
        <v>0</v>
      </c>
      <c r="CE158">
        <v>0</v>
      </c>
      <c r="CF158">
        <v>0</v>
      </c>
      <c r="CG158">
        <v>0</v>
      </c>
      <c r="CH158">
        <v>0</v>
      </c>
      <c r="CI158">
        <v>0</v>
      </c>
      <c r="CJ158">
        <v>0</v>
      </c>
      <c r="CK158">
        <v>0</v>
      </c>
      <c r="CL158">
        <v>0</v>
      </c>
      <c r="CM158">
        <v>0</v>
      </c>
      <c r="CN158" t="str">
        <f>IF($BL158&lt;$BK158,"refNeedCorrection","refOK")</f>
        <v>refOK</v>
      </c>
      <c r="CO158">
        <f>IF($CN158="refOK",$BK158,$BL158)</f>
        <v>0</v>
      </c>
      <c r="CP158">
        <f>IF($CN158="refOK",$BL158,$BK158)</f>
        <v>45.7</v>
      </c>
      <c r="CQ158">
        <f>IF($CN158="refOK",$BO158,-$BO158)</f>
        <v>9.3265306122448988E-2</v>
      </c>
      <c r="CR158">
        <f>IF($CN158="refOK",$BS158,$BT158)*IF($BP158="Emissions positive",-1,1)</f>
        <v>-10</v>
      </c>
      <c r="CS158">
        <f>IF($CN158="refOK",$BT158,$BS158)*IF($BP158="Emissions positive",-1,1)</f>
        <v>-105</v>
      </c>
      <c r="CT158">
        <f>IF($CN158="refNeedCorrection",-BX158,BX158)*IF($BP158="Emissions positive",-1,1)</f>
        <v>-9.5000000000000001E-2</v>
      </c>
      <c r="CU158">
        <f>IFERROR(CT158/CQ158,"")</f>
        <v>-1.0185995623632385</v>
      </c>
      <c r="CV158" s="2">
        <f>IFERROR((CS158-CR158)/ABS(CR158),"")</f>
        <v>-9.5</v>
      </c>
      <c r="CW158" s="1" t="s">
        <v>263</v>
      </c>
      <c r="CX158" t="str">
        <f>IF(OR($CW158="prd",$CW158="std",$CW158="cit"),"loc",IF(OR($CW158="eur",$CW158="reg",$CW158="coy"),"reg",$CW158))</f>
        <v>loc</v>
      </c>
      <c r="CY158" t="s">
        <v>680</v>
      </c>
      <c r="CZ158"/>
      <c r="DA158"/>
      <c r="DB158">
        <v>0</v>
      </c>
      <c r="DC158" t="str">
        <f>IF(DB158=0,"0",IF(AND(DB158&gt;=1,DB158&lt;=30),"1-30",IF(AND(DB158&gt;30,DB158&lt;=70),"31-70",IF(AND(DB158&gt;70,DB158&lt;=100),"71-100",IF(DB158&gt;100,"+100")))))</f>
        <v>0</v>
      </c>
      <c r="DD158">
        <v>0</v>
      </c>
      <c r="DE158">
        <v>0</v>
      </c>
      <c r="DF158">
        <v>0</v>
      </c>
      <c r="DG158">
        <v>1</v>
      </c>
      <c r="DH158"/>
      <c r="DI158">
        <f>SUM(DD158:DG158)</f>
        <v>1</v>
      </c>
      <c r="DJ158" t="str">
        <f>IF(DI158=1,INDEX($DD$7:$DG$7,MATCH(1,$DD158:$DG158,0)),"mixedProduct")</f>
        <v>TimberInput</v>
      </c>
      <c r="DK158">
        <f>IF(DD158=1,DK$7,0)</f>
        <v>0</v>
      </c>
      <c r="DL158">
        <f>IF(DE158=1,DL$7,0)</f>
        <v>0</v>
      </c>
      <c r="DM158">
        <f>IF(DF158=1,DM$7,0)</f>
        <v>0</v>
      </c>
      <c r="DN158" t="str">
        <f>IF(DG158=1,DN$7,0)</f>
        <v>Timber</v>
      </c>
      <c r="DO158">
        <v>1</v>
      </c>
      <c r="DP158">
        <v>0</v>
      </c>
      <c r="DQ158">
        <v>0</v>
      </c>
      <c r="DR158">
        <v>0</v>
      </c>
      <c r="DS158">
        <v>0</v>
      </c>
      <c r="DT158">
        <f>SUM(DO158:DP158)</f>
        <v>1</v>
      </c>
      <c r="DU158" s="143" t="str">
        <f>IF(DO158=1,"self-calculated DF",IF(DP158=1,"external DF used","explicit C balance"))</f>
        <v>self-calculated DF</v>
      </c>
      <c r="DV158">
        <v>0</v>
      </c>
      <c r="DW158">
        <v>0</v>
      </c>
      <c r="DX158">
        <v>0</v>
      </c>
      <c r="DY158">
        <v>0</v>
      </c>
      <c r="DZ158">
        <v>0</v>
      </c>
      <c r="EA158" s="143">
        <v>1</v>
      </c>
      <c r="EB158">
        <v>0</v>
      </c>
      <c r="EC158">
        <v>1</v>
      </c>
      <c r="ED158">
        <v>0</v>
      </c>
      <c r="EE158">
        <v>0</v>
      </c>
      <c r="EF158">
        <v>0</v>
      </c>
      <c r="EG158">
        <v>0</v>
      </c>
      <c r="EH158">
        <v>0</v>
      </c>
      <c r="EI158" s="2">
        <v>0</v>
      </c>
      <c r="EJ158" s="1"/>
      <c r="EK158" t="str">
        <f>IF(AND(AND(AND(OR($DX158=1,$DW158=1),OR($EC158=1,$EA158=1)),SUM($DV158:$DZ158,$EF158)&gt;=4),SUM($EA158:$EE158)&gt;=2),"Whole sector","")</f>
        <v/>
      </c>
      <c r="EL158" t="str">
        <f>IF(AND(AND(OR($DX158=1,$DW158=1),AND($EC158=0,$EA158=0)),SUM($DV158:$DZ158,$EF158)&gt;=4),"Ecosystem approach","")</f>
        <v/>
      </c>
      <c r="EM158" s="2" t="str">
        <f>IF(AND(AND(AND($DX158=0,$DW158=0),OR($EC158=1,$EA158=1)),SUM($EB158:$EE158)&gt;=2),"Technology approach","")</f>
        <v/>
      </c>
      <c r="EN158"/>
      <c r="EO158" s="147"/>
      <c r="EP158" t="str">
        <f>IF(ISNUMBER(BU158),IF(ABS(BU158-[1]QC_indicators!$B$2)&gt;3*[1]QC_indicators!$C$2,"C ratio",IF(ISNUMBER(BY158),IF(ABS(BY158-[1]QC_indicators!$B$1)&gt;3*[1]QC_indicators!$C$1,"DF","no"))),IF(ISNUMBER(BY158),IF(ABS(BY158-[1]QC_indicators!$B$1)&gt;3*[1]QC_indicators!$C$1,"DF","no")))</f>
        <v>no</v>
      </c>
      <c r="EQ158"/>
      <c r="ER158"/>
      <c r="ES158"/>
      <c r="ET158" s="264" t="s">
        <v>3118</v>
      </c>
      <c r="EU158"/>
    </row>
    <row r="159" spans="1:151" s="139" customFormat="1" ht="15" customHeight="1">
      <c r="A159" s="1" t="s">
        <v>1286</v>
      </c>
      <c r="B159" t="s">
        <v>1336</v>
      </c>
      <c r="C159" t="s">
        <v>1337</v>
      </c>
      <c r="D159" t="s">
        <v>1338</v>
      </c>
      <c r="E159" t="s">
        <v>1339</v>
      </c>
      <c r="F159" t="s">
        <v>1340</v>
      </c>
      <c r="G159" t="s">
        <v>1292</v>
      </c>
      <c r="H159" t="s">
        <v>254</v>
      </c>
      <c r="I159">
        <v>2016</v>
      </c>
      <c r="J159">
        <v>27</v>
      </c>
      <c r="K159" t="s">
        <v>1341</v>
      </c>
      <c r="L159"/>
      <c r="M159" t="str">
        <f>LEFT($D159,FIND(",",$D159)-1)&amp;"_"&amp;I159&amp;L159</f>
        <v>Braun_2016</v>
      </c>
      <c r="N159" t="s">
        <v>222</v>
      </c>
      <c r="O159" s="145" t="s">
        <v>223</v>
      </c>
      <c r="P159"/>
      <c r="Q159" t="s">
        <v>256</v>
      </c>
      <c r="R159" s="255" t="s">
        <v>225</v>
      </c>
      <c r="S159" s="1" t="s">
        <v>1348</v>
      </c>
      <c r="T159" t="s">
        <v>1343</v>
      </c>
      <c r="U159" t="s">
        <v>1350</v>
      </c>
      <c r="V159">
        <v>0</v>
      </c>
      <c r="W159">
        <v>0</v>
      </c>
      <c r="X159">
        <v>0</v>
      </c>
      <c r="Y159">
        <v>0</v>
      </c>
      <c r="Z159">
        <v>0</v>
      </c>
      <c r="AA159">
        <v>0</v>
      </c>
      <c r="AB159">
        <v>0</v>
      </c>
      <c r="AC159">
        <v>0</v>
      </c>
      <c r="AD159">
        <v>0</v>
      </c>
      <c r="AE159">
        <v>0</v>
      </c>
      <c r="AF159">
        <v>1</v>
      </c>
      <c r="AG159">
        <v>0</v>
      </c>
      <c r="AH159">
        <v>0</v>
      </c>
      <c r="AI159">
        <v>0</v>
      </c>
      <c r="AJ159">
        <v>0</v>
      </c>
      <c r="AK159">
        <v>0</v>
      </c>
      <c r="AL159">
        <v>0</v>
      </c>
      <c r="AM159">
        <v>0</v>
      </c>
      <c r="AN159">
        <v>0</v>
      </c>
      <c r="AO159">
        <v>0</v>
      </c>
      <c r="AP159">
        <v>0</v>
      </c>
      <c r="AQ159">
        <v>0</v>
      </c>
      <c r="AR159">
        <v>0</v>
      </c>
      <c r="AS159">
        <v>0</v>
      </c>
      <c r="AT159">
        <v>0</v>
      </c>
      <c r="AU159">
        <v>0</v>
      </c>
      <c r="AV159">
        <v>0</v>
      </c>
      <c r="AW159">
        <v>0</v>
      </c>
      <c r="AX159" s="141">
        <f>COUNTIF(V159:AW159,"&lt;&gt;0")</f>
        <v>1</v>
      </c>
      <c r="AY159" s="141">
        <f>COUNTIF(V159:AL159,"&lt;&gt;0")</f>
        <v>1</v>
      </c>
      <c r="AZ159">
        <f>COUNTIF(V159:AC159,"&lt;&gt;0")</f>
        <v>0</v>
      </c>
      <c r="BA159">
        <f>COUNTIF(AD159:AI159,"&lt;&gt;0")</f>
        <v>1</v>
      </c>
      <c r="BB159">
        <f>COUNTIF(AJ159:AL159,"&lt;&gt;0")</f>
        <v>0</v>
      </c>
      <c r="BC159">
        <f>COUNTIF(AS159:AW159,"&lt;&gt;0")</f>
        <v>0</v>
      </c>
      <c r="BD159">
        <f>COUNTIF(AM159:AR159,"&lt;&gt;0")</f>
        <v>0</v>
      </c>
      <c r="BE159" t="str">
        <f t="array" ref="BE159">IF(AY159=1,INDEX($V$7:$AL$7,MATCH(TRUE,INDEX($V159:$AW159&lt;&gt;0,),0)),IF(AY159=0,INDEX($AM$7:$AW$7,MATCH(1,$AM159:$AW159,0)),IF(BF159="Multiple strategies","mixed drivers",IF(BF159="Supply chain","multiple supply","multiple silviculture"))))</f>
        <v>supply chain organization</v>
      </c>
      <c r="BF159" s="2" t="str" cm="1">
        <f t="array" ref="BF159">IF(COUNTIF(AZ159:BB159,"&lt;&gt;0")=1,INDEX($V$4:$AW$4,MATCH(TRUE,INDEX($V159:$AW159&lt;&gt;0,),0)),IF(COUNTIF(AZ159:BB159,"&lt;&gt;0")=0,INDEX($AM$4:$AW$4,MATCH(1,$AM159:$AW159,0)),"Multiple strategies"))</f>
        <v>Supply chain</v>
      </c>
      <c r="BG159" s="1" t="s">
        <v>229</v>
      </c>
      <c r="BH159" t="s">
        <v>1344</v>
      </c>
      <c r="BI159" s="260" t="s">
        <v>3277</v>
      </c>
      <c r="BJ159" t="s">
        <v>1345</v>
      </c>
      <c r="BK159">
        <v>1.1674521913429727</v>
      </c>
      <c r="BL159">
        <v>1.8344709897610794</v>
      </c>
      <c r="BM159">
        <f>BL159/BK159</f>
        <v>1.5713457076566064</v>
      </c>
      <c r="BN159">
        <f>BL159-BK159</f>
        <v>0.66701879841810663</v>
      </c>
      <c r="BO159">
        <f>BN159*10^9</f>
        <v>667018798.41810668</v>
      </c>
      <c r="BP159" t="s">
        <v>232</v>
      </c>
      <c r="BQ159" s="300" t="s">
        <v>3278</v>
      </c>
      <c r="BR159" t="s">
        <v>1346</v>
      </c>
      <c r="BS159" s="264">
        <v>1.93686006825938</v>
      </c>
      <c r="BT159" s="264">
        <v>1.26109215017064</v>
      </c>
      <c r="BU159" s="144">
        <f>IFERROR(BT159/BS159,"")</f>
        <v>0.65110132158590062</v>
      </c>
      <c r="BV159">
        <f>BT159-BS159</f>
        <v>-0.67576791808873993</v>
      </c>
      <c r="BW159"/>
      <c r="BX159">
        <f>BV159*10^9</f>
        <v>-675767918.08873987</v>
      </c>
      <c r="BY159">
        <f>IFERROR(BX159/BO159,"")</f>
        <v>-1.0131167512690535</v>
      </c>
      <c r="BZ159" s="143">
        <v>0</v>
      </c>
      <c r="CA159" s="143">
        <v>0</v>
      </c>
      <c r="CB159" s="143">
        <v>0</v>
      </c>
      <c r="CC159" s="143">
        <v>0</v>
      </c>
      <c r="CD159" s="143">
        <v>0</v>
      </c>
      <c r="CE159" s="143">
        <v>0</v>
      </c>
      <c r="CF159" s="143">
        <v>0</v>
      </c>
      <c r="CG159" s="143">
        <v>0</v>
      </c>
      <c r="CH159" s="143">
        <v>0</v>
      </c>
      <c r="CI159" s="143">
        <v>0</v>
      </c>
      <c r="CJ159" s="143">
        <v>0</v>
      </c>
      <c r="CK159" s="143">
        <v>0</v>
      </c>
      <c r="CL159" s="143">
        <v>0</v>
      </c>
      <c r="CM159">
        <v>0</v>
      </c>
      <c r="CN159" t="str">
        <f>IF($BL159&lt;$BK159,"refNeedCorrection","refOK")</f>
        <v>refOK</v>
      </c>
      <c r="CO159">
        <f>IF($CN159="refOK",$BK159,$BL159)</f>
        <v>1.1674521913429727</v>
      </c>
      <c r="CP159">
        <f>IF($CN159="refOK",$BL159,$BK159)</f>
        <v>1.8344709897610794</v>
      </c>
      <c r="CQ159">
        <f>IF($CN159="refOK",$BO159,-$BO159)</f>
        <v>667018798.41810668</v>
      </c>
      <c r="CR159">
        <f>IF($CN159="refOK",$BS159,$BT159)*IF($BP159="Emissions positive",-1,1)</f>
        <v>1.93686006825938</v>
      </c>
      <c r="CS159">
        <f>IF($CN159="refOK",$BT159,$BS159)*IF($BP159="Emissions positive",-1,1)</f>
        <v>1.26109215017064</v>
      </c>
      <c r="CT159">
        <f>IF($CN159="refNeedCorrection",-BX159,BX159)*IF($BP159="Emissions positive",-1,1)</f>
        <v>-675767918.08873987</v>
      </c>
      <c r="CU159">
        <f>IFERROR(CT159/CQ159,"")</f>
        <v>-1.0131167512690535</v>
      </c>
      <c r="CV159" s="2">
        <f>IFERROR((CS159-CR159)/ABS(CR159),"")</f>
        <v>-0.34889867841409933</v>
      </c>
      <c r="CW159" s="1" t="s">
        <v>1203</v>
      </c>
      <c r="CX159" t="str">
        <f>IF(OR($CW159="prd",$CW159="std",$CW159="cit"),"loc",IF(OR($CW159="eur",$CW159="reg",$CW159="coy"),"reg",$CW159))</f>
        <v>reg</v>
      </c>
      <c r="CY159" t="s">
        <v>666</v>
      </c>
      <c r="CZ159">
        <v>2010</v>
      </c>
      <c r="DA159">
        <v>2100</v>
      </c>
      <c r="DB159">
        <f>DA159-CZ159</f>
        <v>90</v>
      </c>
      <c r="DC159" t="str">
        <f>IF(DB159=0,"0",IF(AND(DB159&gt;=1,DB159&lt;=30),"1-30",IF(AND(DB159&gt;30,DB159&lt;=70),"31-70",IF(AND(DB159&gt;70,DB159&lt;=100),"71-100",IF(DB159&gt;100,"+100")))))</f>
        <v>71-100</v>
      </c>
      <c r="DD159">
        <v>0</v>
      </c>
      <c r="DE159">
        <v>1</v>
      </c>
      <c r="DF159">
        <v>1</v>
      </c>
      <c r="DG159">
        <v>1</v>
      </c>
      <c r="DH159"/>
      <c r="DI159">
        <f>SUM(DD159:DG159)</f>
        <v>3</v>
      </c>
      <c r="DJ159" t="str">
        <f>IF(DI159=1,INDEX($DD$7:$DG$7,MATCH(1,$DD159:$DG159,0)),"mixedProduct")</f>
        <v>mixedProduct</v>
      </c>
      <c r="DK159">
        <f>IF(DD159=1,DK$7,0)</f>
        <v>0</v>
      </c>
      <c r="DL159" t="str">
        <f>IF(DE159=1,DL$7,0)</f>
        <v>Energy</v>
      </c>
      <c r="DM159" t="str">
        <f>IF(DF159=1,DM$7,0)</f>
        <v>Pulp/Paper</v>
      </c>
      <c r="DN159" t="str">
        <f>IF(DG159=1,DN$7,0)</f>
        <v>Timber</v>
      </c>
      <c r="DO159">
        <v>1</v>
      </c>
      <c r="DP159" s="143">
        <v>0</v>
      </c>
      <c r="DQ159" s="143">
        <v>0</v>
      </c>
      <c r="DR159" s="143">
        <v>0</v>
      </c>
      <c r="DS159">
        <v>0</v>
      </c>
      <c r="DT159">
        <f>SUM(DO159:DP159)</f>
        <v>1</v>
      </c>
      <c r="DU159" s="143" t="str">
        <f>IF(DO159=1,"self-calculated DF",IF(DP159=1,"external DF used","explicit C balance"))</f>
        <v>self-calculated DF</v>
      </c>
      <c r="DV159">
        <v>1</v>
      </c>
      <c r="DW159" s="143">
        <v>1</v>
      </c>
      <c r="DX159" s="143">
        <v>1</v>
      </c>
      <c r="DY159" s="143">
        <v>1</v>
      </c>
      <c r="DZ159">
        <v>1</v>
      </c>
      <c r="EA159" s="141">
        <v>1</v>
      </c>
      <c r="EB159">
        <v>0</v>
      </c>
      <c r="EC159" s="143">
        <v>1</v>
      </c>
      <c r="ED159" s="143">
        <v>1</v>
      </c>
      <c r="EE159">
        <v>0</v>
      </c>
      <c r="EF159">
        <v>1</v>
      </c>
      <c r="EG159" s="143">
        <v>0</v>
      </c>
      <c r="EH159" s="143">
        <v>0</v>
      </c>
      <c r="EI159" s="2">
        <v>0</v>
      </c>
      <c r="EJ159" s="1"/>
      <c r="EK159" t="str">
        <f>IF(AND(AND(AND(OR($DX159=1,$DW159=1),OR($EC159=1,$EA159=1)),SUM($DV159:$DZ159,$EF159)&gt;=4),SUM($EA159:$EE159)&gt;=2),"Whole sector","")</f>
        <v>Whole sector</v>
      </c>
      <c r="EL159" t="str">
        <f>IF(AND(AND(OR($DX159=1,$DW159=1),AND($EC159=0,$EA159=0)),SUM($DV159:$DZ159,$EF159)&gt;=4),"Ecosystem approach","")</f>
        <v/>
      </c>
      <c r="EM159" s="2" t="str">
        <f>IF(AND(AND(AND($DX159=0,$DW159=0),OR($EC159=1,$EA159=1)),SUM($EB159:$EE159)&gt;=2),"Technology approach","")</f>
        <v/>
      </c>
      <c r="EN159" t="s">
        <v>3283</v>
      </c>
      <c r="EO159"/>
      <c r="EP159" t="str">
        <f>IF(ISNUMBER(BU159),IF(ABS(BU159-[4]QC_indicators!$B$2)&gt;3*[4]QC_indicators!$C$2,"C ratio",IF(ISNUMBER(BY159),IF(ABS(BY159-[4]QC_indicators!$B$1)&gt;3*[4]QC_indicators!$C$1,"DF","no"))),IF(ISNUMBER(BY159),IF(ABS(BY159-[4]QC_indicators!$B$1)&gt;3*[4]QC_indicators!$C$1,"DF","no")))</f>
        <v>no</v>
      </c>
      <c r="EQ159"/>
      <c r="ER159"/>
      <c r="ES159"/>
      <c r="ET159" s="264" t="s">
        <v>3273</v>
      </c>
      <c r="EU159"/>
    </row>
    <row r="160" spans="1:151" s="139" customFormat="1" ht="15" customHeight="1">
      <c r="A160" s="1" t="s">
        <v>2067</v>
      </c>
      <c r="B160" t="s">
        <v>2068</v>
      </c>
      <c r="C160" t="s">
        <v>544</v>
      </c>
      <c r="D160" t="s">
        <v>2069</v>
      </c>
      <c r="E160" t="s">
        <v>2070</v>
      </c>
      <c r="F160" t="s">
        <v>2071</v>
      </c>
      <c r="G160" t="s">
        <v>2072</v>
      </c>
      <c r="H160" t="s">
        <v>254</v>
      </c>
      <c r="I160">
        <v>2021</v>
      </c>
      <c r="J160">
        <v>0</v>
      </c>
      <c r="K160" t="s">
        <v>2073</v>
      </c>
      <c r="L160"/>
      <c r="M160" t="str">
        <f>LEFT($D160,FIND(",",$D160)-1)&amp;"_"&amp;I160&amp;L160</f>
        <v>Paletto_2021</v>
      </c>
      <c r="N160" t="s">
        <v>222</v>
      </c>
      <c r="O160" s="157" t="s">
        <v>274</v>
      </c>
      <c r="P160" t="s">
        <v>513</v>
      </c>
      <c r="Q160" t="s">
        <v>389</v>
      </c>
      <c r="R160" s="262" t="s">
        <v>223</v>
      </c>
      <c r="S160" s="1" t="s">
        <v>2074</v>
      </c>
      <c r="T160" t="s">
        <v>2075</v>
      </c>
      <c r="U160" s="184" t="s">
        <v>2076</v>
      </c>
      <c r="V160">
        <v>0</v>
      </c>
      <c r="W160">
        <v>0</v>
      </c>
      <c r="X160">
        <v>0</v>
      </c>
      <c r="Y160">
        <v>1</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s="141">
        <f>COUNTIF(V160:AW160,"&lt;&gt;0")</f>
        <v>1</v>
      </c>
      <c r="AY160" s="141">
        <f>COUNTIF(V160:AL160,"&lt;&gt;0")</f>
        <v>1</v>
      </c>
      <c r="AZ160">
        <f>COUNTIF(V160:AC160,"&lt;&gt;0")</f>
        <v>1</v>
      </c>
      <c r="BA160">
        <f>COUNTIF(AD160:AI160,"&lt;&gt;0")</f>
        <v>0</v>
      </c>
      <c r="BB160">
        <f>COUNTIF(AJ160:AL160,"&lt;&gt;0")</f>
        <v>0</v>
      </c>
      <c r="BC160">
        <f>COUNTIF(AS160:AW160,"&lt;&gt;0")</f>
        <v>0</v>
      </c>
      <c r="BD160">
        <f>COUNTIF(AM160:AR160,"&lt;&gt;0")</f>
        <v>0</v>
      </c>
      <c r="BE160" t="str">
        <f t="array" ref="BE160">IF(AY160=1,INDEX($V$7:$AL$7,MATCH(TRUE,INDEX($V160:$AW160&lt;&gt;0,),0)),IF(AY160=0,INDEX($AM$7:$AW$7,MATCH(1,$AM160:$AW160,0)),IF(BF160="Multiple strategies","mixed drivers",IF(BF160="Supply chain","multiple supply","multiple silviculture"))))</f>
        <v xml:space="preserve">cutting intensity </v>
      </c>
      <c r="BF160" s="2" t="str" cm="1">
        <f t="array" ref="BF160">IF(COUNTIF(AZ160:BB160,"&lt;&gt;0")=1,INDEX($V$4:$AW$4,MATCH(TRUE,INDEX($V160:$AW160&lt;&gt;0,),0)),IF(COUNTIF(AZ160:BB160,"&lt;&gt;0")=0,INDEX($AM$4:$AW$4,MATCH(1,$AM160:$AW160,0)),"Multiple strategies"))</f>
        <v>Silviculture for removals</v>
      </c>
      <c r="BG160" s="1" t="s">
        <v>321</v>
      </c>
      <c r="BH160"/>
      <c r="BI160" s="264" t="s">
        <v>424</v>
      </c>
      <c r="BJ160" t="s">
        <v>2077</v>
      </c>
      <c r="BK160">
        <v>0</v>
      </c>
      <c r="BL160">
        <v>220.2</v>
      </c>
      <c r="BM160" t="str">
        <f>IFERROR(BL160/BK160,"")</f>
        <v/>
      </c>
      <c r="BN160">
        <f>BL160-BK160</f>
        <v>220.2</v>
      </c>
      <c r="BO160">
        <f>BN160</f>
        <v>220.2</v>
      </c>
      <c r="BP160" t="s">
        <v>232</v>
      </c>
      <c r="BQ160" s="301" t="s">
        <v>396</v>
      </c>
      <c r="BR160" t="s">
        <v>2078</v>
      </c>
      <c r="BS160"/>
      <c r="BT160"/>
      <c r="BU160" s="144"/>
      <c r="BV160">
        <v>-219.6</v>
      </c>
      <c r="BW160"/>
      <c r="BX160">
        <f>BV160</f>
        <v>-219.6</v>
      </c>
      <c r="BY160">
        <f>IFERROR(BX160/BO160,"")</f>
        <v>-0.9972752043596731</v>
      </c>
      <c r="BZ160">
        <v>0</v>
      </c>
      <c r="CA160">
        <v>0</v>
      </c>
      <c r="CB160">
        <v>0</v>
      </c>
      <c r="CC160">
        <v>0</v>
      </c>
      <c r="CD160">
        <v>0</v>
      </c>
      <c r="CE160">
        <v>0</v>
      </c>
      <c r="CF160">
        <v>0</v>
      </c>
      <c r="CG160">
        <v>0</v>
      </c>
      <c r="CH160">
        <v>0</v>
      </c>
      <c r="CI160">
        <v>0</v>
      </c>
      <c r="CJ160">
        <v>0</v>
      </c>
      <c r="CK160">
        <v>0</v>
      </c>
      <c r="CL160">
        <v>0</v>
      </c>
      <c r="CM160">
        <v>1</v>
      </c>
      <c r="CN160" t="str">
        <f>IF($BL160&lt;$BK160,"refNeedCorrection","refOK")</f>
        <v>refOK</v>
      </c>
      <c r="CO160">
        <f>IF($CN160="refOK",$BK160,$BL160)</f>
        <v>0</v>
      </c>
      <c r="CP160">
        <f>IF($CN160="refOK",$BL160,$BK160)</f>
        <v>220.2</v>
      </c>
      <c r="CQ160">
        <f>IF($CN160="refOK",$BO160,-$BO160)</f>
        <v>220.2</v>
      </c>
      <c r="CR160">
        <f>IF($CN160="refOK",$BS160,$BT160)*IF($BP160="Emissions positive",-1,1)</f>
        <v>0</v>
      </c>
      <c r="CS160">
        <f>IF($CN160="refOK",$BT160,$BS160)*IF($BP160="Emissions positive",-1,1)</f>
        <v>0</v>
      </c>
      <c r="CT160">
        <f>IF($CN160="refNeedCorrection",-BX160,BX160)*IF($BP160="Emissions positive",-1,1)</f>
        <v>-219.6</v>
      </c>
      <c r="CU160">
        <f>IFERROR(CT160/CQ160,"")</f>
        <v>-0.9972752043596731</v>
      </c>
      <c r="CV160" s="2" t="str">
        <f>IFERROR((CS160-CR160)/ABS(CR160),"")</f>
        <v/>
      </c>
      <c r="CW160" s="1" t="s">
        <v>2036</v>
      </c>
      <c r="CX160" t="str">
        <f>IF(OR($CW160="prd",$CW160="std",$CW160="cit"),"loc",IF(OR($CW160="eur",$CW160="reg",$CW160="coy"),"reg",$CW160))</f>
        <v>reg</v>
      </c>
      <c r="CY160" t="s">
        <v>732</v>
      </c>
      <c r="CZ160"/>
      <c r="DA160"/>
      <c r="DB160">
        <v>15</v>
      </c>
      <c r="DC160" t="str">
        <f>IF(DB160=0,"0",IF(AND(DB160&gt;=1,DB160&lt;=30),"1-30",IF(AND(DB160&gt;30,DB160&lt;=70),"31-70",IF(AND(DB160&gt;70,DB160&lt;=100),"71-100",IF(DB160&gt;100,"+100")))))</f>
        <v>1-30</v>
      </c>
      <c r="DD160">
        <v>1</v>
      </c>
      <c r="DE160">
        <v>0</v>
      </c>
      <c r="DF160">
        <v>0</v>
      </c>
      <c r="DG160">
        <v>0</v>
      </c>
      <c r="DH160">
        <v>0</v>
      </c>
      <c r="DI160">
        <f>SUM(DD160:DH160)</f>
        <v>1</v>
      </c>
      <c r="DJ160" t="str">
        <f>IF(DI160=1,INDEX($DD$7:$DG$7,MATCH(1,$DD160:$DG160,0)),"mixedProduct")</f>
        <v>UpstreamInput</v>
      </c>
      <c r="DK160" t="str">
        <f>IF(DD160=1,DK$7,0)</f>
        <v>Upstream</v>
      </c>
      <c r="DL160">
        <f>IF(DE160=1,DL$7,0)</f>
        <v>0</v>
      </c>
      <c r="DM160">
        <f>IF(DF160=1,DM$7,0)</f>
        <v>0</v>
      </c>
      <c r="DN160">
        <f>IF(DG160=1,DN$7,0)</f>
        <v>0</v>
      </c>
      <c r="DO160">
        <v>0</v>
      </c>
      <c r="DP160">
        <v>0</v>
      </c>
      <c r="DQ160">
        <v>0</v>
      </c>
      <c r="DR160">
        <v>0</v>
      </c>
      <c r="DS160">
        <v>0</v>
      </c>
      <c r="DT160"/>
      <c r="DU160" s="143" t="str">
        <f>IF(DO160=1,"self-calculated DF",IF(DP160=1,"external DF used","explicit C balance"))</f>
        <v>explicit C balance</v>
      </c>
      <c r="DV160">
        <v>1</v>
      </c>
      <c r="DW160">
        <v>1</v>
      </c>
      <c r="DX160">
        <v>1</v>
      </c>
      <c r="DY160">
        <v>0</v>
      </c>
      <c r="DZ160">
        <v>0</v>
      </c>
      <c r="EA160" s="143">
        <v>0</v>
      </c>
      <c r="EB160">
        <v>0</v>
      </c>
      <c r="EC160">
        <v>0</v>
      </c>
      <c r="ED160">
        <v>0</v>
      </c>
      <c r="EE160">
        <v>0</v>
      </c>
      <c r="EF160">
        <v>1</v>
      </c>
      <c r="EG160">
        <v>0</v>
      </c>
      <c r="EH160">
        <v>0</v>
      </c>
      <c r="EI160" s="2">
        <v>0</v>
      </c>
      <c r="EJ160" s="1"/>
      <c r="EK160" t="str">
        <f>IF(AND(AND(AND(OR($DX160=1,$DW160=1),OR($EC160=1,$EA160=1)),SUM($DV160:$DZ160,$EF160)&gt;=4),SUM($EA160:$EE160)&gt;=2),"Whole sector","")</f>
        <v/>
      </c>
      <c r="EL160" t="str">
        <f>IF(AND(AND(OR($DX160=1,$DW160=1),AND($EC160=0,$EA160=0)),SUM($DV160:$DZ160,$EF160)&gt;=4),"Ecosystem approach","")</f>
        <v>Ecosystem approach</v>
      </c>
      <c r="EM160" s="2" t="str">
        <f>IF(AND(AND(AND($DX160=0,$DW160=0),OR($EC160=1,$EA160=1)),SUM($EB160:$EE160)&gt;=2),"Technology approach","")</f>
        <v/>
      </c>
      <c r="EN160"/>
      <c r="EO160"/>
      <c r="EP160" t="str">
        <f>IF(ISNUMBER(BU160),IF(ABS(BU160-[1]QC_indicators!$B$2)&gt;3*[1]QC_indicators!$C$2,"C ratio",IF(ISNUMBER(BY160),IF(ABS(BY160-[1]QC_indicators!$B$1)&gt;3*[1]QC_indicators!$C$1,"DF","no"))),IF(ISNUMBER(BY160),IF(ABS(BY160-[1]QC_indicators!$B$1)&gt;3*[1]QC_indicators!$C$1,"DF","no")))</f>
        <v>no</v>
      </c>
      <c r="EQ160"/>
      <c r="ER160"/>
      <c r="ES160"/>
      <c r="ET160" s="264" t="s">
        <v>3151</v>
      </c>
      <c r="EU160"/>
    </row>
    <row r="161" spans="1:151" s="139" customFormat="1" ht="15" customHeight="1">
      <c r="A161" s="186" t="s">
        <v>1423</v>
      </c>
      <c r="B161" s="185" t="s">
        <v>2116</v>
      </c>
      <c r="C161" s="185" t="s">
        <v>2117</v>
      </c>
      <c r="D161" s="185" t="s">
        <v>2118</v>
      </c>
      <c r="E161" s="185" t="s">
        <v>2119</v>
      </c>
      <c r="F161" s="185" t="s">
        <v>2120</v>
      </c>
      <c r="G161" s="185" t="s">
        <v>1429</v>
      </c>
      <c r="H161" s="185" t="s">
        <v>254</v>
      </c>
      <c r="I161" s="185">
        <v>2014</v>
      </c>
      <c r="J161" s="185">
        <v>45</v>
      </c>
      <c r="K161" s="185" t="s">
        <v>2121</v>
      </c>
      <c r="L161" s="185"/>
      <c r="M161" t="str">
        <f>LEFT($D161,FIND(",",$D161)-1)&amp;"_"&amp;I161&amp;L161</f>
        <v>Pukkala_2014</v>
      </c>
      <c r="N161" t="s">
        <v>222</v>
      </c>
      <c r="O161" s="187" t="s">
        <v>225</v>
      </c>
      <c r="P161" s="185" t="s">
        <v>1154</v>
      </c>
      <c r="Q161" s="185"/>
      <c r="R161" s="262" t="s">
        <v>223</v>
      </c>
      <c r="S161" s="186" t="s">
        <v>2130</v>
      </c>
      <c r="T161" s="185" t="s">
        <v>2131</v>
      </c>
      <c r="U161" s="185" t="s">
        <v>2124</v>
      </c>
      <c r="V161" s="185">
        <v>0</v>
      </c>
      <c r="W161" s="185">
        <v>0</v>
      </c>
      <c r="X161" s="185">
        <v>0</v>
      </c>
      <c r="Y161" s="185">
        <v>1</v>
      </c>
      <c r="Z161" s="185">
        <v>0</v>
      </c>
      <c r="AA161" s="185">
        <v>0</v>
      </c>
      <c r="AB161" s="185">
        <v>0</v>
      </c>
      <c r="AC161" s="185">
        <v>0</v>
      </c>
      <c r="AD161" s="185">
        <v>0</v>
      </c>
      <c r="AE161" s="185">
        <v>0</v>
      </c>
      <c r="AF161" s="185">
        <v>0</v>
      </c>
      <c r="AG161" s="185">
        <v>0</v>
      </c>
      <c r="AH161" s="185">
        <v>0</v>
      </c>
      <c r="AI161" s="185">
        <v>0</v>
      </c>
      <c r="AJ161" s="185">
        <v>0</v>
      </c>
      <c r="AK161" s="185">
        <v>0</v>
      </c>
      <c r="AL161" s="185">
        <v>0</v>
      </c>
      <c r="AM161" s="185">
        <v>0</v>
      </c>
      <c r="AN161" s="185">
        <v>0</v>
      </c>
      <c r="AO161" s="185">
        <v>0</v>
      </c>
      <c r="AP161" s="185">
        <v>0</v>
      </c>
      <c r="AQ161" s="185">
        <v>0</v>
      </c>
      <c r="AR161" s="185">
        <v>0</v>
      </c>
      <c r="AS161" s="185">
        <v>0</v>
      </c>
      <c r="AT161" s="185">
        <v>0</v>
      </c>
      <c r="AU161" s="185">
        <v>0</v>
      </c>
      <c r="AV161" s="185">
        <v>0</v>
      </c>
      <c r="AW161" s="185">
        <v>0</v>
      </c>
      <c r="AX161" s="141">
        <f>COUNTIF(V161:AW161,"&lt;&gt;0")</f>
        <v>1</v>
      </c>
      <c r="AY161" s="141">
        <f>COUNTIF(V161:AL161,"&lt;&gt;0")</f>
        <v>1</v>
      </c>
      <c r="AZ161">
        <f>COUNTIF(V161:AC161,"&lt;&gt;0")</f>
        <v>1</v>
      </c>
      <c r="BA161">
        <f>COUNTIF(AD161:AI161,"&lt;&gt;0")</f>
        <v>0</v>
      </c>
      <c r="BB161">
        <f>COUNTIF(AJ161:AL161,"&lt;&gt;0")</f>
        <v>0</v>
      </c>
      <c r="BC161">
        <f>COUNTIF(AS161:AW161,"&lt;&gt;0")</f>
        <v>0</v>
      </c>
      <c r="BD161">
        <f>COUNTIF(AM161:AR161,"&lt;&gt;0")</f>
        <v>0</v>
      </c>
      <c r="BE161" t="str">
        <f t="array" ref="BE161">IF(AY161=1,INDEX($V$7:$AL$7,MATCH(TRUE,INDEX($V161:$AW161&lt;&gt;0,),0)),IF(AY161=0,INDEX($AM$7:$AW$7,MATCH(1,$AM161:$AW161,0)),IF(BF161="Multiple strategies","mixed drivers",IF(BF161="Supply chain","multiple supply","multiple silviculture"))))</f>
        <v xml:space="preserve">cutting intensity </v>
      </c>
      <c r="BF161" s="2" t="str" cm="1">
        <f t="array" ref="BF161">IF(COUNTIF(AZ161:BB161,"&lt;&gt;0")=1,INDEX($V$4:$AW$4,MATCH(TRUE,INDEX($V161:$AW161&lt;&gt;0,),0)),IF(COUNTIF(AZ161:BB161,"&lt;&gt;0")=0,INDEX($AM$4:$AW$4,MATCH(1,$AM161:$AW161,0)),"Multiple strategies"))</f>
        <v>Silviculture for removals</v>
      </c>
      <c r="BG161" s="186" t="s">
        <v>229</v>
      </c>
      <c r="BH161" s="185" t="s">
        <v>2125</v>
      </c>
      <c r="BI161" s="185" t="s">
        <v>2126</v>
      </c>
      <c r="BJ161" s="185" t="s">
        <v>2127</v>
      </c>
      <c r="BK161" s="185">
        <v>0.95599999999999996</v>
      </c>
      <c r="BL161" s="185">
        <v>1.0920000000000001</v>
      </c>
      <c r="BM161" s="185">
        <f>IFERROR(BL161/BK161,"")</f>
        <v>1.1422594142259415</v>
      </c>
      <c r="BN161" s="185">
        <f>BL161-BK161</f>
        <v>0.13600000000000012</v>
      </c>
      <c r="BO161" s="185">
        <f>+BN161*tC_to_m3</f>
        <v>0.59053408597481605</v>
      </c>
      <c r="BP161" s="185" t="s">
        <v>232</v>
      </c>
      <c r="BQ161" s="340" t="s">
        <v>2128</v>
      </c>
      <c r="BR161" s="185" t="s">
        <v>2127</v>
      </c>
      <c r="BS161" s="185">
        <v>0.21299999999999999</v>
      </c>
      <c r="BT161" s="185">
        <v>5.2999999999999999E-2</v>
      </c>
      <c r="BU161" s="189">
        <f>BT161/BS161</f>
        <v>0.24882629107981222</v>
      </c>
      <c r="BV161" s="185">
        <f>BT161-BS161</f>
        <v>-0.16</v>
      </c>
      <c r="BW161" s="185"/>
      <c r="BX161" s="185">
        <f>BV161*C_to_CO2</f>
        <v>-0.58720000000000006</v>
      </c>
      <c r="BY161">
        <f>IFERROR(BX161/BO161,"")</f>
        <v>-0.99435411764705794</v>
      </c>
      <c r="BZ161" s="185">
        <v>0</v>
      </c>
      <c r="CA161" s="185">
        <v>0</v>
      </c>
      <c r="CB161" s="185">
        <v>0</v>
      </c>
      <c r="CC161" s="185">
        <v>0</v>
      </c>
      <c r="CD161" s="185">
        <v>0</v>
      </c>
      <c r="CE161" s="185">
        <v>0</v>
      </c>
      <c r="CF161" s="185">
        <v>0</v>
      </c>
      <c r="CG161" s="185">
        <v>0</v>
      </c>
      <c r="CH161" s="185">
        <v>0</v>
      </c>
      <c r="CI161" s="185">
        <v>0</v>
      </c>
      <c r="CJ161" s="185">
        <v>0</v>
      </c>
      <c r="CK161" s="185">
        <v>0</v>
      </c>
      <c r="CL161" s="185">
        <v>0</v>
      </c>
      <c r="CM161" s="185">
        <v>1</v>
      </c>
      <c r="CN161" s="185" t="str">
        <f>IF($BL161&lt;$BK161,"refNeedCorrection","refOK")</f>
        <v>refOK</v>
      </c>
      <c r="CO161" s="185">
        <f>IF($CN161="refOK",$BK161,$BL161)</f>
        <v>0.95599999999999996</v>
      </c>
      <c r="CP161" s="185">
        <f>IF($CN161="refOK",$BL161,$BK161)</f>
        <v>1.0920000000000001</v>
      </c>
      <c r="CQ161" s="185">
        <f>IF($CN161="refOK",$BO161,-$BO161)</f>
        <v>0.59053408597481605</v>
      </c>
      <c r="CR161" s="185">
        <f>IF($CN161="refOK",$BS161,$BT161)*IF($BP161="Emissions positive",-1,1)</f>
        <v>0.21299999999999999</v>
      </c>
      <c r="CS161" s="185">
        <f>IF($CN161="refOK",$BT161,$BS161)*IF($BP161="Emissions positive",-1,1)</f>
        <v>5.2999999999999999E-2</v>
      </c>
      <c r="CT161" s="185">
        <f>IF($CN161="refNeedCorrection",-BX161,BX161)*IF($BP161="Emissions positive",-1,1)</f>
        <v>-0.58720000000000006</v>
      </c>
      <c r="CU161">
        <f>IFERROR(CT161/CQ161,"")</f>
        <v>-0.99435411764705794</v>
      </c>
      <c r="CV161" s="188">
        <f>IFERROR((CS161-CR161)/ABS(CR161),"")</f>
        <v>-0.75117370892018787</v>
      </c>
      <c r="CW161" s="186" t="s">
        <v>2036</v>
      </c>
      <c r="CX161" t="str">
        <f>IF(OR($CW161="prd",$CW161="std",$CW161="cit"),"loc",IF(OR($CW161="eur",$CW161="reg",$CW161="coy"),"reg",$CW161))</f>
        <v>reg</v>
      </c>
      <c r="CY161" s="185" t="s">
        <v>235</v>
      </c>
      <c r="CZ161" s="185"/>
      <c r="DA161" s="185"/>
      <c r="DB161" s="185">
        <v>30</v>
      </c>
      <c r="DC161" t="str">
        <f>IF(DB161=0,"0",IF(AND(DB161&gt;=1,DB161&lt;=30),"1-30",IF(AND(DB161&gt;30,DB161&lt;=70),"31-70",IF(AND(DB161&gt;70,DB161&lt;=100),"71-100",IF(DB161&gt;100,"+100")))))</f>
        <v>1-30</v>
      </c>
      <c r="DD161" s="185">
        <v>1</v>
      </c>
      <c r="DE161" s="185">
        <v>0</v>
      </c>
      <c r="DF161" s="185">
        <v>0</v>
      </c>
      <c r="DG161" s="185">
        <v>0</v>
      </c>
      <c r="DH161" s="185">
        <v>0</v>
      </c>
      <c r="DI161">
        <f>SUM(DD161:DG161)</f>
        <v>1</v>
      </c>
      <c r="DJ161" t="str">
        <f>IF(DI161=1,INDEX($DD$7:$DG$7,MATCH(1,$DD161:$DG161,0)),"mixedProduct")</f>
        <v>UpstreamInput</v>
      </c>
      <c r="DK161" t="str">
        <f>IF(DD161=1,DK$7,0)</f>
        <v>Upstream</v>
      </c>
      <c r="DL161">
        <f>IF(DE161=1,DL$7,0)</f>
        <v>0</v>
      </c>
      <c r="DM161">
        <f>IF(DF161=1,DM$7,0)</f>
        <v>0</v>
      </c>
      <c r="DN161">
        <f>IF(DG161=1,DN$7,0)</f>
        <v>0</v>
      </c>
      <c r="DO161" s="185">
        <v>0</v>
      </c>
      <c r="DP161" s="185">
        <v>0</v>
      </c>
      <c r="DQ161" s="190"/>
      <c r="DR161" s="190"/>
      <c r="DS161" s="190">
        <v>0</v>
      </c>
      <c r="DT161" s="185"/>
      <c r="DU161" s="191" t="str">
        <f>IF(DO161=1,"self-calculated DF",IF(DP161=1,"external DF used","explicit C balance"))</f>
        <v>explicit C balance</v>
      </c>
      <c r="DV161" s="185">
        <v>1</v>
      </c>
      <c r="DW161" s="185">
        <v>1</v>
      </c>
      <c r="DX161" s="185">
        <v>1</v>
      </c>
      <c r="DY161" s="185">
        <v>1</v>
      </c>
      <c r="DZ161" s="185">
        <v>1</v>
      </c>
      <c r="EA161" s="185">
        <v>0</v>
      </c>
      <c r="EB161" s="185">
        <v>0</v>
      </c>
      <c r="EC161" s="185">
        <v>0</v>
      </c>
      <c r="ED161" s="185">
        <v>0</v>
      </c>
      <c r="EE161" s="185">
        <v>0</v>
      </c>
      <c r="EF161" s="185">
        <v>1</v>
      </c>
      <c r="EG161" s="185">
        <v>0</v>
      </c>
      <c r="EH161" s="185">
        <v>0</v>
      </c>
      <c r="EI161" s="188">
        <v>0</v>
      </c>
      <c r="EJ161" s="1"/>
      <c r="EK161" t="str">
        <f>IF(AND(AND(AND(OR($DX161=1,$DW161=1),OR($EC161=1,$EA161=1)),SUM($DV161:$DZ161,$EF161)&gt;=4),SUM($EA161:$EE161)&gt;=2),"Whole sector","")</f>
        <v/>
      </c>
      <c r="EL161" t="str">
        <f>IF(AND(AND(OR($DX161=1,$DW161=1),AND($EC161=0,$EA161=0)),SUM($DV161:$DZ161,$EF161)&gt;=4),"Ecosystem approach","")</f>
        <v>Ecosystem approach</v>
      </c>
      <c r="EM161" s="2" t="str">
        <f>IF(AND(AND(AND($DX161=0,$DW161=0),OR($EC161=1,$EA161=1)),SUM($EB161:$EE161)&gt;=2),"Technology approach","")</f>
        <v/>
      </c>
      <c r="EN161" s="185"/>
      <c r="EO161" s="185"/>
      <c r="EP161" t="str">
        <f>IF(ISNUMBER(BU161),IF(ABS(BU161-[1]QC_indicators!$B$2)&gt;3*[1]QC_indicators!$C$2,"C ratio",IF(ISNUMBER(BY161),IF(ABS(BY161-[1]QC_indicators!$B$1)&gt;3*[1]QC_indicators!$C$1,"DF","no"))),IF(ISNUMBER(BY161),IF(ABS(BY161-[1]QC_indicators!$B$1)&gt;3*[1]QC_indicators!$C$1,"DF","no")))</f>
        <v>no</v>
      </c>
      <c r="EQ161" s="185"/>
      <c r="ER161" s="185"/>
      <c r="ES161" s="185"/>
      <c r="ET161" s="264" t="s">
        <v>3223</v>
      </c>
      <c r="EU161"/>
    </row>
    <row r="162" spans="1:151" s="139" customFormat="1" ht="15" customHeight="1">
      <c r="A162" s="1" t="s">
        <v>1423</v>
      </c>
      <c r="B162" t="s">
        <v>2116</v>
      </c>
      <c r="C162" t="s">
        <v>2117</v>
      </c>
      <c r="D162" t="s">
        <v>2118</v>
      </c>
      <c r="E162" t="s">
        <v>2119</v>
      </c>
      <c r="F162" t="s">
        <v>2120</v>
      </c>
      <c r="G162" t="s">
        <v>1429</v>
      </c>
      <c r="H162" t="s">
        <v>254</v>
      </c>
      <c r="I162">
        <v>2014</v>
      </c>
      <c r="J162">
        <v>45</v>
      </c>
      <c r="K162" t="s">
        <v>2121</v>
      </c>
      <c r="L162"/>
      <c r="M162" t="str">
        <f>LEFT($D162,FIND(",",$D162)-1)&amp;"_"&amp;I162&amp;L162</f>
        <v>Pukkala_2014</v>
      </c>
      <c r="N162" t="s">
        <v>222</v>
      </c>
      <c r="O162" s="171" t="s">
        <v>225</v>
      </c>
      <c r="P162" t="s">
        <v>1154</v>
      </c>
      <c r="Q162"/>
      <c r="R162" s="262" t="s">
        <v>223</v>
      </c>
      <c r="S162" s="1" t="s">
        <v>2132</v>
      </c>
      <c r="T162" t="s">
        <v>2133</v>
      </c>
      <c r="U162" t="s">
        <v>2124</v>
      </c>
      <c r="V162">
        <v>0</v>
      </c>
      <c r="W162">
        <v>0</v>
      </c>
      <c r="X162">
        <v>0</v>
      </c>
      <c r="Y162">
        <v>0</v>
      </c>
      <c r="Z162">
        <v>0</v>
      </c>
      <c r="AA162">
        <v>0</v>
      </c>
      <c r="AB162">
        <v>0</v>
      </c>
      <c r="AC162">
        <v>0</v>
      </c>
      <c r="AD162">
        <v>0</v>
      </c>
      <c r="AE162">
        <v>0</v>
      </c>
      <c r="AF162">
        <v>1</v>
      </c>
      <c r="AG162">
        <v>0</v>
      </c>
      <c r="AH162">
        <v>0</v>
      </c>
      <c r="AI162">
        <v>0</v>
      </c>
      <c r="AJ162">
        <v>0</v>
      </c>
      <c r="AK162">
        <v>0</v>
      </c>
      <c r="AL162">
        <v>0</v>
      </c>
      <c r="AM162">
        <v>0</v>
      </c>
      <c r="AN162">
        <v>0</v>
      </c>
      <c r="AO162">
        <v>0</v>
      </c>
      <c r="AP162">
        <v>0</v>
      </c>
      <c r="AQ162">
        <v>0</v>
      </c>
      <c r="AR162">
        <v>0</v>
      </c>
      <c r="AS162">
        <v>0</v>
      </c>
      <c r="AT162">
        <v>0</v>
      </c>
      <c r="AU162">
        <v>0</v>
      </c>
      <c r="AV162">
        <v>0</v>
      </c>
      <c r="AW162">
        <v>0</v>
      </c>
      <c r="AX162" s="141">
        <f>COUNTIF(V162:AW162,"&lt;&gt;0")</f>
        <v>1</v>
      </c>
      <c r="AY162" s="141">
        <f>COUNTIF(V162:AL162,"&lt;&gt;0")</f>
        <v>1</v>
      </c>
      <c r="AZ162">
        <f>COUNTIF(V162:AC162,"&lt;&gt;0")</f>
        <v>0</v>
      </c>
      <c r="BA162">
        <f>COUNTIF(AD162:AI162,"&lt;&gt;0")</f>
        <v>1</v>
      </c>
      <c r="BB162">
        <f>COUNTIF(AJ162:AL162,"&lt;&gt;0")</f>
        <v>0</v>
      </c>
      <c r="BC162">
        <f>COUNTIF(AS162:AW162,"&lt;&gt;0")</f>
        <v>0</v>
      </c>
      <c r="BD162">
        <f>COUNTIF(AM162:AR162,"&lt;&gt;0")</f>
        <v>0</v>
      </c>
      <c r="BE162" t="str">
        <f t="array" ref="BE162">IF(AY162=1,INDEX($V$7:$AL$7,MATCH(TRUE,INDEX($V162:$AW162&lt;&gt;0,),0)),IF(AY162=0,INDEX($AM$7:$AW$7,MATCH(1,$AM162:$AW162,0)),IF(BF162="Multiple strategies","mixed drivers",IF(BF162="Supply chain","multiple supply","multiple silviculture"))))</f>
        <v>supply chain organization</v>
      </c>
      <c r="BF162" s="2" t="str" cm="1">
        <f t="array" ref="BF162">IF(COUNTIF(AZ162:BB162,"&lt;&gt;0")=1,INDEX($V$4:$AW$4,MATCH(TRUE,INDEX($V162:$AW162&lt;&gt;0,),0)),IF(COUNTIF(AZ162:BB162,"&lt;&gt;0")=0,INDEX($AM$4:$AW$4,MATCH(1,$AM162:$AW162,0)),"Multiple strategies"))</f>
        <v>Supply chain</v>
      </c>
      <c r="BG162" s="1" t="s">
        <v>229</v>
      </c>
      <c r="BH162" t="s">
        <v>2125</v>
      </c>
      <c r="BI162" t="s">
        <v>2126</v>
      </c>
      <c r="BJ162" t="s">
        <v>2127</v>
      </c>
      <c r="BK162">
        <v>1.002</v>
      </c>
      <c r="BL162">
        <v>1.0920000000000001</v>
      </c>
      <c r="BM162">
        <f>IFERROR(BL162/BK162,"")</f>
        <v>1.0898203592814373</v>
      </c>
      <c r="BN162">
        <f>BL162-BK162</f>
        <v>9.000000000000008E-2</v>
      </c>
      <c r="BO162">
        <f>+BN162*tC_to_m3</f>
        <v>0.39079461571862822</v>
      </c>
      <c r="BP162" t="s">
        <v>232</v>
      </c>
      <c r="BQ162" s="234" t="s">
        <v>2128</v>
      </c>
      <c r="BR162" t="s">
        <v>2127</v>
      </c>
      <c r="BS162">
        <f>0.078-0.163</f>
        <v>-8.5000000000000006E-2</v>
      </c>
      <c r="BT162">
        <f>0.053-0.243</f>
        <v>-0.19</v>
      </c>
      <c r="BU162" s="144">
        <f>BT162/BS162</f>
        <v>2.2352941176470589</v>
      </c>
      <c r="BV162">
        <f>BT162-BS162</f>
        <v>-0.105</v>
      </c>
      <c r="BW162"/>
      <c r="BX162" s="185">
        <f>BV162*C_to_CO2</f>
        <v>-0.38534999999999997</v>
      </c>
      <c r="BY162">
        <f>IFERROR(BX162/BO162,"")</f>
        <v>-0.98606783333333237</v>
      </c>
      <c r="BZ162">
        <v>0</v>
      </c>
      <c r="CA162">
        <v>0</v>
      </c>
      <c r="CB162">
        <v>0</v>
      </c>
      <c r="CC162">
        <v>0</v>
      </c>
      <c r="CD162">
        <v>0</v>
      </c>
      <c r="CE162">
        <v>0</v>
      </c>
      <c r="CF162">
        <v>0</v>
      </c>
      <c r="CG162">
        <v>0</v>
      </c>
      <c r="CH162">
        <v>0</v>
      </c>
      <c r="CI162">
        <v>0</v>
      </c>
      <c r="CJ162">
        <v>0</v>
      </c>
      <c r="CK162">
        <v>0</v>
      </c>
      <c r="CL162">
        <v>0</v>
      </c>
      <c r="CM162">
        <v>1</v>
      </c>
      <c r="CN162" t="str">
        <f>IF($BL162&lt;$BK162,"refNeedCorrection","refOK")</f>
        <v>refOK</v>
      </c>
      <c r="CO162">
        <f>IF($CN162="refOK",$BK162,$BL162)</f>
        <v>1.002</v>
      </c>
      <c r="CP162">
        <f>IF($CN162="refOK",$BL162,$BK162)</f>
        <v>1.0920000000000001</v>
      </c>
      <c r="CQ162">
        <f>IF($CN162="refOK",$BO162,-$BO162)</f>
        <v>0.39079461571862822</v>
      </c>
      <c r="CR162">
        <f>IF($CN162="refOK",$BS162,$BT162)*IF($BP162="Emissions positive",-1,1)</f>
        <v>-8.5000000000000006E-2</v>
      </c>
      <c r="CS162">
        <f>IF($CN162="refOK",$BT162,$BS162)*IF($BP162="Emissions positive",-1,1)</f>
        <v>-0.19</v>
      </c>
      <c r="CT162">
        <f>IF($CN162="refNeedCorrection",-BX162,BX162)*IF($BP162="Emissions positive",-1,1)</f>
        <v>-0.38534999999999997</v>
      </c>
      <c r="CU162">
        <f>IFERROR(CT162/CQ162,"")</f>
        <v>-0.98606783333333237</v>
      </c>
      <c r="CV162" s="2">
        <f>IFERROR((CS162-CR162)/ABS(CR162),"")</f>
        <v>-1.2352941176470587</v>
      </c>
      <c r="CW162" s="1" t="s">
        <v>2036</v>
      </c>
      <c r="CX162" t="str">
        <f>IF(OR($CW162="prd",$CW162="std",$CW162="cit"),"loc",IF(OR($CW162="eur",$CW162="reg",$CW162="coy"),"reg",$CW162))</f>
        <v>reg</v>
      </c>
      <c r="CY162" t="s">
        <v>235</v>
      </c>
      <c r="CZ162"/>
      <c r="DA162"/>
      <c r="DB162">
        <v>30</v>
      </c>
      <c r="DC162" t="str">
        <f>IF(DB162=0,"0",IF(AND(DB162&gt;=1,DB162&lt;=30),"1-30",IF(AND(DB162&gt;30,DB162&lt;=70),"31-70",IF(AND(DB162&gt;70,DB162&lt;=100),"71-100",IF(DB162&gt;100,"+100")))))</f>
        <v>1-30</v>
      </c>
      <c r="DD162">
        <v>1</v>
      </c>
      <c r="DE162">
        <v>0</v>
      </c>
      <c r="DF162">
        <v>0</v>
      </c>
      <c r="DG162">
        <v>0</v>
      </c>
      <c r="DH162">
        <v>0</v>
      </c>
      <c r="DI162">
        <f>SUM(DD162:DG162)</f>
        <v>1</v>
      </c>
      <c r="DJ162" t="str">
        <f>IF(DI162=1,INDEX($DD$7:$DG$7,MATCH(1,$DD162:$DG162,0)),"mixedProduct")</f>
        <v>UpstreamInput</v>
      </c>
      <c r="DK162" t="str">
        <f>IF(DD162=1,DK$7,0)</f>
        <v>Upstream</v>
      </c>
      <c r="DL162">
        <f>IF(DE162=1,DL$7,0)</f>
        <v>0</v>
      </c>
      <c r="DM162">
        <f>IF(DF162=1,DM$7,0)</f>
        <v>0</v>
      </c>
      <c r="DN162">
        <f>IF(DG162=1,DN$7,0)</f>
        <v>0</v>
      </c>
      <c r="DO162">
        <v>0</v>
      </c>
      <c r="DP162" s="185">
        <v>0</v>
      </c>
      <c r="DQ162" s="190"/>
      <c r="DR162" s="190"/>
      <c r="DS162" s="184">
        <v>0</v>
      </c>
      <c r="DT162"/>
      <c r="DU162" s="143" t="str">
        <f>IF(DO162=1,"self-calculated DF",IF(DP162=1,"external DF used","explicit C balance"))</f>
        <v>explicit C balance</v>
      </c>
      <c r="DV162">
        <v>1</v>
      </c>
      <c r="DW162">
        <v>1</v>
      </c>
      <c r="DX162">
        <v>1</v>
      </c>
      <c r="DY162">
        <v>0</v>
      </c>
      <c r="DZ162">
        <v>0</v>
      </c>
      <c r="EA162">
        <v>0</v>
      </c>
      <c r="EB162">
        <v>0</v>
      </c>
      <c r="EC162">
        <v>0</v>
      </c>
      <c r="ED162">
        <v>0</v>
      </c>
      <c r="EE162">
        <v>0</v>
      </c>
      <c r="EF162">
        <v>1</v>
      </c>
      <c r="EG162">
        <v>0</v>
      </c>
      <c r="EH162">
        <v>0</v>
      </c>
      <c r="EI162" s="2">
        <v>0</v>
      </c>
      <c r="EJ162" s="1"/>
      <c r="EK162" t="str">
        <f>IF(AND(AND(AND(OR($DX162=1,$DW162=1),OR($EC162=1,$EA162=1)),SUM($DV162:$DZ162,$EF162)&gt;=4),SUM($EA162:$EE162)&gt;=2),"Whole sector","")</f>
        <v/>
      </c>
      <c r="EL162" t="str">
        <f>IF(AND(AND(OR($DX162=1,$DW162=1),AND($EC162=0,$EA162=0)),SUM($DV162:$DZ162,$EF162)&gt;=4),"Ecosystem approach","")</f>
        <v>Ecosystem approach</v>
      </c>
      <c r="EM162" s="2" t="str">
        <f>IF(AND(AND(AND($DX162=0,$DW162=0),OR($EC162=1,$EA162=1)),SUM($EB162:$EE162)&gt;=2),"Technology approach","")</f>
        <v/>
      </c>
      <c r="EN162"/>
      <c r="EO162"/>
      <c r="EP162" t="str">
        <f>IF(ISNUMBER(BU162),IF(ABS(BU162-[1]QC_indicators!$B$2)&gt;3*[1]QC_indicators!$C$2,"C ratio",IF(ISNUMBER(BY162),IF(ABS(BY162-[1]QC_indicators!$B$1)&gt;3*[1]QC_indicators!$C$1,"DF","no"))),IF(ISNUMBER(BY162),IF(ABS(BY162-[1]QC_indicators!$B$1)&gt;3*[1]QC_indicators!$C$1,"DF","no")))</f>
        <v>no</v>
      </c>
      <c r="EQ162"/>
      <c r="ER162"/>
      <c r="ES162"/>
      <c r="ET162" s="264" t="s">
        <v>3223</v>
      </c>
      <c r="EU162"/>
    </row>
    <row r="163" spans="1:151" s="139" customFormat="1" ht="15" customHeight="1">
      <c r="A163" s="1" t="s">
        <v>1808</v>
      </c>
      <c r="B163" t="s">
        <v>2475</v>
      </c>
      <c r="C163" t="s">
        <v>2476</v>
      </c>
      <c r="D163" t="s">
        <v>2477</v>
      </c>
      <c r="E163" t="s">
        <v>2478</v>
      </c>
      <c r="F163" t="s">
        <v>2479</v>
      </c>
      <c r="G163" t="s">
        <v>1814</v>
      </c>
      <c r="H163" t="s">
        <v>254</v>
      </c>
      <c r="I163">
        <v>2010</v>
      </c>
      <c r="J163">
        <v>100</v>
      </c>
      <c r="K163" t="s">
        <v>2480</v>
      </c>
      <c r="L163"/>
      <c r="M163" t="str">
        <f>LEFT($D163,FIND(",",$D163)-1)&amp;"_"&amp;I163&amp;L163</f>
        <v>Werner_2010</v>
      </c>
      <c r="N163" t="s">
        <v>222</v>
      </c>
      <c r="O163" s="145" t="s">
        <v>1154</v>
      </c>
      <c r="P163"/>
      <c r="Q163" t="s">
        <v>256</v>
      </c>
      <c r="R163" s="262" t="s">
        <v>223</v>
      </c>
      <c r="S163" s="1" t="s">
        <v>2481</v>
      </c>
      <c r="T163" t="s">
        <v>2482</v>
      </c>
      <c r="U163" t="s">
        <v>1155</v>
      </c>
      <c r="V163">
        <v>1</v>
      </c>
      <c r="W163">
        <v>0</v>
      </c>
      <c r="X163">
        <v>2</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s="141">
        <f>COUNTIF(V163:AW163,"&lt;&gt;0")</f>
        <v>2</v>
      </c>
      <c r="AY163" s="141">
        <f>COUNTIF(V163:AL163,"&lt;&gt;0")</f>
        <v>2</v>
      </c>
      <c r="AZ163">
        <f>COUNTIF(V163:AC163,"&lt;&gt;0")</f>
        <v>2</v>
      </c>
      <c r="BA163">
        <f>COUNTIF(AD163:AI163,"&lt;&gt;0")</f>
        <v>0</v>
      </c>
      <c r="BB163">
        <f>COUNTIF(AJ163:AL163,"&lt;&gt;0")</f>
        <v>0</v>
      </c>
      <c r="BC163">
        <f>COUNTIF(AS163:AW163,"&lt;&gt;0")</f>
        <v>0</v>
      </c>
      <c r="BD163">
        <f>COUNTIF(AM163:AR163,"&lt;&gt;0")</f>
        <v>0</v>
      </c>
      <c r="BE163" t="str">
        <f t="array" ref="BE163">IF(AY163=1,INDEX($V$7:$AL$7,MATCH(TRUE,INDEX($V163:$AW163&lt;&gt;0,),0)),IF(AY163=0,INDEX($AM$7:$AW$7,MATCH(1,$AM163:$AW163,0)),IF(BF163="Multiple strategies","mixed drivers",IF(BF163="Supply chain","multiple supply","multiple silviculture"))))</f>
        <v>multiple silviculture</v>
      </c>
      <c r="BF163" s="2" t="str" cm="1">
        <f t="array" ref="BF163">IF(COUNTIF(AZ163:BB163,"&lt;&gt;0")=1,INDEX($V$4:$AW$4,MATCH(TRUE,INDEX($V163:$AW163&lt;&gt;0,),0)),IF(COUNTIF(AZ163:BB163,"&lt;&gt;0")=0,INDEX($AM$4:$AW$4,MATCH(1,$AM163:$AW163,0)),"Multiple strategies"))</f>
        <v>Silviculture for removals</v>
      </c>
      <c r="BG163" s="1" t="s">
        <v>321</v>
      </c>
      <c r="BH163" t="s">
        <v>2453</v>
      </c>
      <c r="BI163" s="264" t="s">
        <v>3252</v>
      </c>
      <c r="BJ163" t="s">
        <v>1323</v>
      </c>
      <c r="BK163">
        <v>210</v>
      </c>
      <c r="BL163">
        <v>340.5</v>
      </c>
      <c r="BM163" s="143">
        <f>BL163/BK163</f>
        <v>1.6214285714285714</v>
      </c>
      <c r="BN163">
        <f>BL163-BK163</f>
        <v>130.5</v>
      </c>
      <c r="BO163">
        <f>BN163*1000000</f>
        <v>130500000</v>
      </c>
      <c r="BP163" t="s">
        <v>232</v>
      </c>
      <c r="BQ163" s="303" t="s">
        <v>3253</v>
      </c>
      <c r="BR163" t="s">
        <v>2325</v>
      </c>
      <c r="BS163">
        <v>644.05341103507203</v>
      </c>
      <c r="BT163">
        <v>516.00593455945204</v>
      </c>
      <c r="BU163" s="144">
        <f>IFERROR(BT163/BS163,"")</f>
        <v>0.8011850037874465</v>
      </c>
      <c r="BV163" s="144">
        <f>BT163-BS163</f>
        <v>-128.04747647561999</v>
      </c>
      <c r="BW163" s="144"/>
      <c r="BX163">
        <f>BV163*10^6</f>
        <v>-128047476.47561999</v>
      </c>
      <c r="BY163">
        <f>IFERROR(BX163/BO163,"")</f>
        <v>-0.98120671628827572</v>
      </c>
      <c r="BZ163">
        <v>0</v>
      </c>
      <c r="CA163">
        <v>0</v>
      </c>
      <c r="CB163">
        <v>0</v>
      </c>
      <c r="CC163">
        <v>0</v>
      </c>
      <c r="CD163">
        <v>0</v>
      </c>
      <c r="CE163">
        <v>0</v>
      </c>
      <c r="CF163">
        <v>0</v>
      </c>
      <c r="CG163">
        <v>0</v>
      </c>
      <c r="CH163">
        <v>0</v>
      </c>
      <c r="CI163">
        <v>0</v>
      </c>
      <c r="CJ163">
        <v>0</v>
      </c>
      <c r="CK163">
        <v>0</v>
      </c>
      <c r="CL163">
        <v>0</v>
      </c>
      <c r="CM163">
        <v>1</v>
      </c>
      <c r="CN163" t="str">
        <f>IF($BL163&lt;$BK163,"refNeedCorrection","refOK")</f>
        <v>refOK</v>
      </c>
      <c r="CO163">
        <f>IF($CN163="refOK",$BK163,$BL163)</f>
        <v>210</v>
      </c>
      <c r="CP163">
        <f>IF($CN163="refOK",$BL163,$BK163)</f>
        <v>340.5</v>
      </c>
      <c r="CQ163">
        <f>IF($CN163="refOK",$BO163,-$BO163)</f>
        <v>130500000</v>
      </c>
      <c r="CR163">
        <f>IF($CN163="refOK",$BS163,$BT163)*IF($BP163="Emissions positive",-1,1)</f>
        <v>644.05341103507203</v>
      </c>
      <c r="CS163">
        <f>IF($CN163="refOK",$BT163,$BS163)*IF($BP163="Emissions positive",-1,1)</f>
        <v>516.00593455945204</v>
      </c>
      <c r="CT163">
        <f>IF($CN163="refNeedCorrection",-BX163,BX163)*IF($BP163="Emissions positive",-1,1)</f>
        <v>-128047476.47561999</v>
      </c>
      <c r="CU163">
        <f>IFERROR(CT163/CQ163,"")</f>
        <v>-0.98120671628827572</v>
      </c>
      <c r="CV163" s="2">
        <f>IFERROR((CS163-CR163)/ABS(CR163),"")</f>
        <v>-0.19881499621255347</v>
      </c>
      <c r="CW163" s="1" t="s">
        <v>1203</v>
      </c>
      <c r="CX163" t="str">
        <f>IF(OR($CW163="prd",$CW163="std",$CW163="cit"),"loc",IF(OR($CW163="eur",$CW163="reg",$CW163="coy"),"reg",$CW163))</f>
        <v>reg</v>
      </c>
      <c r="CY163" t="s">
        <v>639</v>
      </c>
      <c r="CZ163">
        <v>2000</v>
      </c>
      <c r="DA163">
        <v>2060</v>
      </c>
      <c r="DB163">
        <f>DA163-CZ163</f>
        <v>60</v>
      </c>
      <c r="DC163" t="str">
        <f>IF(DB163=0,"0",IF(AND(DB163&gt;=1,DB163&lt;=30),"1-30",IF(AND(DB163&gt;30,DB163&lt;=70),"31-70",IF(AND(DB163&gt;70,DB163&lt;=100),"71-100",IF(DB163&gt;100,"+100")))))</f>
        <v>31-70</v>
      </c>
      <c r="DD163">
        <v>1</v>
      </c>
      <c r="DE163">
        <v>1</v>
      </c>
      <c r="DF163">
        <v>1</v>
      </c>
      <c r="DG163">
        <v>1</v>
      </c>
      <c r="DH163">
        <v>0</v>
      </c>
      <c r="DI163">
        <f>SUM(DD163:DG163)</f>
        <v>4</v>
      </c>
      <c r="DJ163" t="str">
        <f>IF(DI163=1,INDEX($DD$7:$DG$7,MATCH(1,$DD163:$DG163,0)),"mixedProduct")</f>
        <v>mixedProduct</v>
      </c>
      <c r="DK163" t="str">
        <f>IF(DD163=1,DK$7,0)</f>
        <v>Upstream</v>
      </c>
      <c r="DL163" t="str">
        <f>IF(DE163=1,DL$7,0)</f>
        <v>Energy</v>
      </c>
      <c r="DM163" t="str">
        <f>IF(DF163=1,DM$7,0)</f>
        <v>Pulp/Paper</v>
      </c>
      <c r="DN163" t="str">
        <f>IF(DG163=1,DN$7,0)</f>
        <v>Timber</v>
      </c>
      <c r="DO163">
        <v>0</v>
      </c>
      <c r="DP163">
        <v>1</v>
      </c>
      <c r="DQ163" t="s">
        <v>2483</v>
      </c>
      <c r="DR163" t="s">
        <v>2484</v>
      </c>
      <c r="DS163"/>
      <c r="DT163">
        <f>SUM(DO163:DP163)</f>
        <v>1</v>
      </c>
      <c r="DU163" s="143" t="str">
        <f>IF(DO163=1,"self-calculated DF",IF(DP163=1,"external DF used","explicit C balance"))</f>
        <v>external DF used</v>
      </c>
      <c r="DV163">
        <v>1</v>
      </c>
      <c r="DW163">
        <v>1</v>
      </c>
      <c r="DX163">
        <v>1</v>
      </c>
      <c r="DY163">
        <v>1</v>
      </c>
      <c r="DZ163">
        <v>1</v>
      </c>
      <c r="EA163" s="143">
        <v>1</v>
      </c>
      <c r="EB163">
        <v>1</v>
      </c>
      <c r="EC163">
        <v>1</v>
      </c>
      <c r="ED163">
        <v>0</v>
      </c>
      <c r="EE163">
        <v>0</v>
      </c>
      <c r="EF163">
        <v>1</v>
      </c>
      <c r="EG163">
        <v>0</v>
      </c>
      <c r="EH163">
        <v>0</v>
      </c>
      <c r="EI163" s="2">
        <v>0</v>
      </c>
      <c r="EJ163" s="1"/>
      <c r="EK163" t="str">
        <f>IF(AND(AND(AND(OR($DX163=1,$DW163=1),OR($EC163=1,$EA163=1)),SUM($DV163:$DZ163,$EF163)&gt;=4),SUM($EA163:$EE163)&gt;=2),"Whole sector","")</f>
        <v>Whole sector</v>
      </c>
      <c r="EL163" t="str">
        <f>IF(AND(AND(OR($DX163=1,$DW163=1),AND($EC163=0,$EA163=0)),SUM($DV163:$DZ163,$EF163)&gt;=4),"Ecosystem approach","")</f>
        <v/>
      </c>
      <c r="EM163" s="2" t="str">
        <f>IF(AND(AND(AND($DX163=0,$DW163=0),OR($EC163=1,$EA163=1)),SUM($EB163:$EE163)&gt;=2),"Technology approach","")</f>
        <v/>
      </c>
      <c r="EN163" t="s">
        <v>2485</v>
      </c>
      <c r="EO163"/>
      <c r="EP163" t="str">
        <f>IF(ISNUMBER(BU163),IF(ABS(BU163-[1]QC_indicators!$B$2)&gt;3*[1]QC_indicators!$C$2,"C ratio",IF(ISNUMBER(BY163),IF(ABS(BY163-[1]QC_indicators!$B$1)&gt;3*[1]QC_indicators!$C$1,"DF","no"))),IF(ISNUMBER(BY163),IF(ABS(BY163-[1]QC_indicators!$B$1)&gt;3*[1]QC_indicators!$C$1,"DF","no")))</f>
        <v>no</v>
      </c>
      <c r="EQ163"/>
      <c r="ER163"/>
      <c r="ES163"/>
      <c r="ET163" s="264" t="s">
        <v>3254</v>
      </c>
      <c r="EU163"/>
    </row>
    <row r="164" spans="1:151" s="139" customFormat="1" ht="15" customHeight="1">
      <c r="A164" s="1" t="s">
        <v>1400</v>
      </c>
      <c r="B164" t="s">
        <v>1401</v>
      </c>
      <c r="C164" t="s">
        <v>1402</v>
      </c>
      <c r="D164" t="s">
        <v>1403</v>
      </c>
      <c r="E164" t="s">
        <v>1404</v>
      </c>
      <c r="F164" t="s">
        <v>1405</v>
      </c>
      <c r="G164" t="s">
        <v>1406</v>
      </c>
      <c r="H164" t="s">
        <v>254</v>
      </c>
      <c r="I164">
        <v>2021</v>
      </c>
      <c r="J164">
        <v>0</v>
      </c>
      <c r="K164" t="s">
        <v>1407</v>
      </c>
      <c r="L164"/>
      <c r="M164" t="str">
        <f>LEFT($D164,FIND(",",$D164)-1)&amp;"_"&amp;I164&amp;L164</f>
        <v>Dugan_2021</v>
      </c>
      <c r="N164" t="s">
        <v>222</v>
      </c>
      <c r="O164" s="145" t="s">
        <v>274</v>
      </c>
      <c r="P164"/>
      <c r="Q164" t="s">
        <v>256</v>
      </c>
      <c r="R164" s="255" t="s">
        <v>225</v>
      </c>
      <c r="S164" s="1" t="s">
        <v>314</v>
      </c>
      <c r="T164" t="s">
        <v>1111</v>
      </c>
      <c r="U164" t="s">
        <v>1414</v>
      </c>
      <c r="V164">
        <v>0</v>
      </c>
      <c r="W164">
        <v>0</v>
      </c>
      <c r="X164">
        <v>1</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s="141">
        <f>COUNTIF(V164:AW164,"&lt;&gt;0")</f>
        <v>1</v>
      </c>
      <c r="AY164" s="141">
        <f>COUNTIF(V164:AL164,"&lt;&gt;0")</f>
        <v>1</v>
      </c>
      <c r="AZ164">
        <f>COUNTIF(V164:AC164,"&lt;&gt;0")</f>
        <v>1</v>
      </c>
      <c r="BA164">
        <f>COUNTIF(AD164:AI164,"&lt;&gt;0")</f>
        <v>0</v>
      </c>
      <c r="BB164">
        <f>COUNTIF(AJ164:AL164,"&lt;&gt;0")</f>
        <v>0</v>
      </c>
      <c r="BC164">
        <f>COUNTIF(AS164:AW164,"&lt;&gt;0")</f>
        <v>0</v>
      </c>
      <c r="BD164">
        <f>COUNTIF(AM164:AR164,"&lt;&gt;0")</f>
        <v>0</v>
      </c>
      <c r="BE164" t="str">
        <f t="array" ref="BE164">IF(AY164=1,INDEX($V$7:$AL$7,MATCH(TRUE,INDEX($V164:$AW164&lt;&gt;0,),0)),IF(AY164=0,INDEX($AM$7:$AW$7,MATCH(1,$AM164:$AW164,0)),IF(BF164="Multiple strategies","mixed drivers",IF(BF164="Supply chain","multiple supply","multiple silviculture"))))</f>
        <v>rotation length</v>
      </c>
      <c r="BF164" s="2" t="str" cm="1">
        <f t="array" ref="BF164">IF(COUNTIF(AZ164:BB164,"&lt;&gt;0")=1,INDEX($V$4:$AW$4,MATCH(TRUE,INDEX($V164:$AW164&lt;&gt;0,),0)),IF(COUNTIF(AZ164:BB164,"&lt;&gt;0")=0,INDEX($AM$4:$AW$4,MATCH(1,$AM164:$AW164,0)),"Multiple strategies"))</f>
        <v>Silviculture for removals</v>
      </c>
      <c r="BG164" s="1" t="s">
        <v>321</v>
      </c>
      <c r="BH164" t="s">
        <v>1410</v>
      </c>
      <c r="BI164" s="260" t="s">
        <v>3318</v>
      </c>
      <c r="BJ164" t="s">
        <v>1359</v>
      </c>
      <c r="BK164" s="264">
        <v>14.61</v>
      </c>
      <c r="BL164">
        <f>BK164*1.1</f>
        <v>16.071000000000002</v>
      </c>
      <c r="BM164"/>
      <c r="BN164" s="227">
        <f>BL164-BK164</f>
        <v>1.4610000000000021</v>
      </c>
      <c r="BO164">
        <f>BN164*10^6*tC_to_m3</f>
        <v>6343899.2618324021</v>
      </c>
      <c r="BP164" t="s">
        <v>232</v>
      </c>
      <c r="BQ164" s="300" t="s">
        <v>3319</v>
      </c>
      <c r="BR164" t="s">
        <v>1300</v>
      </c>
      <c r="BS164" s="152"/>
      <c r="BT164" s="152"/>
      <c r="BU164" s="144"/>
      <c r="BV164" s="284">
        <v>-6.2240870021567396</v>
      </c>
      <c r="BW164"/>
      <c r="BX164">
        <f>BV164*10^6</f>
        <v>-6224087.0021567401</v>
      </c>
      <c r="BY164">
        <f>IFERROR(BX164/BO164,"")</f>
        <v>-0.98111378274927796</v>
      </c>
      <c r="BZ164">
        <v>0</v>
      </c>
      <c r="CA164">
        <v>0</v>
      </c>
      <c r="CB164">
        <v>0</v>
      </c>
      <c r="CC164">
        <v>0</v>
      </c>
      <c r="CD164">
        <v>0</v>
      </c>
      <c r="CE164">
        <v>0</v>
      </c>
      <c r="CF164">
        <v>0</v>
      </c>
      <c r="CG164">
        <v>0</v>
      </c>
      <c r="CH164">
        <v>0</v>
      </c>
      <c r="CI164">
        <v>0</v>
      </c>
      <c r="CJ164">
        <v>0</v>
      </c>
      <c r="CK164">
        <v>0</v>
      </c>
      <c r="CL164">
        <v>0</v>
      </c>
      <c r="CM164">
        <v>0</v>
      </c>
      <c r="CN164" t="str">
        <f>IF(BL164&lt;BK164,"refNeedCorrection","refOK")</f>
        <v>refOK</v>
      </c>
      <c r="CO164"/>
      <c r="CP164"/>
      <c r="CQ164">
        <f>IF($CN164="refNeedCorrection",-BO164,BO164)</f>
        <v>6343899.2618324021</v>
      </c>
      <c r="CR164">
        <f>IF($CN164="refOK",$BS164,$BT164)*IF($BP164="Emissions positive",-1,1)</f>
        <v>0</v>
      </c>
      <c r="CS164">
        <f>IF($CN164="refOK",$BT164,$BS164)*IF($BP164="Emissions positive",-1,1)</f>
        <v>0</v>
      </c>
      <c r="CT164">
        <f>IF($CN164="refNeedCorrection",-BX164,BX164)*IF($BP164="Emissions positive",-1,1)</f>
        <v>-6224087.0021567401</v>
      </c>
      <c r="CU164">
        <f>IFERROR(CT164/CQ164,"")</f>
        <v>-0.98111378274927796</v>
      </c>
      <c r="CV164" s="2" t="str">
        <f>IFERROR((CS164-CR164)/ABS(CR164),"")</f>
        <v/>
      </c>
      <c r="CW164" s="1" t="s">
        <v>1199</v>
      </c>
      <c r="CX164" t="str">
        <f>IF(OR($CW164="prd",$CW164="std",$CW164="cit"),"loc",IF(OR($CW164="eur",$CW164="reg",$CW164="coy"),"reg",$CW164))</f>
        <v>reg</v>
      </c>
      <c r="CY164" t="s">
        <v>428</v>
      </c>
      <c r="CZ164">
        <v>2020</v>
      </c>
      <c r="DA164">
        <v>2050</v>
      </c>
      <c r="DB164">
        <v>30</v>
      </c>
      <c r="DC164" t="str">
        <f>IF(DB164=0,"0",IF(AND(DB164&gt;=1,DB164&lt;=30),"1-30",IF(AND(DB164&gt;30,DB164&lt;=70),"31-70",IF(AND(DB164&gt;70,DB164&lt;=100),"71-100",IF(DB164&gt;100,"+100")))))</f>
        <v>1-30</v>
      </c>
      <c r="DD164">
        <v>0</v>
      </c>
      <c r="DE164">
        <v>1</v>
      </c>
      <c r="DF164">
        <v>1</v>
      </c>
      <c r="DG164">
        <v>1</v>
      </c>
      <c r="DH164"/>
      <c r="DI164">
        <f>SUM(DD164:DG164)</f>
        <v>3</v>
      </c>
      <c r="DJ164" t="str">
        <f>IF(DI164=1,INDEX($DD$7:$DG$7,MATCH(1,$DD164:$DG164,0)),"mixedProduct")</f>
        <v>mixedProduct</v>
      </c>
      <c r="DK164">
        <f>IF(DD164=1,DK$7,0)</f>
        <v>0</v>
      </c>
      <c r="DL164" t="str">
        <f>IF(DE164=1,DL$7,0)</f>
        <v>Energy</v>
      </c>
      <c r="DM164" t="str">
        <f>IF(DF164=1,DM$7,0)</f>
        <v>Pulp/Paper</v>
      </c>
      <c r="DN164" t="str">
        <f>IF(DG164=1,DN$7,0)</f>
        <v>Timber</v>
      </c>
      <c r="DO164">
        <v>0</v>
      </c>
      <c r="DP164">
        <v>1</v>
      </c>
      <c r="DQ164" t="s">
        <v>1411</v>
      </c>
      <c r="DR164" t="s">
        <v>1412</v>
      </c>
      <c r="DS164">
        <v>0</v>
      </c>
      <c r="DT164">
        <f>SUM(DO164:DP164)</f>
        <v>1</v>
      </c>
      <c r="DU164" s="143" t="str">
        <f>IF(DO164=1,"self-calculated DF",IF(DP164=1,"external DF used","explicit C balance"))</f>
        <v>external DF used</v>
      </c>
      <c r="DV164">
        <v>1</v>
      </c>
      <c r="DW164">
        <v>1</v>
      </c>
      <c r="DX164">
        <v>1</v>
      </c>
      <c r="DY164">
        <v>1</v>
      </c>
      <c r="DZ164">
        <v>0</v>
      </c>
      <c r="EA164" s="143">
        <v>0</v>
      </c>
      <c r="EB164">
        <v>0</v>
      </c>
      <c r="EC164">
        <v>0</v>
      </c>
      <c r="ED164">
        <v>0</v>
      </c>
      <c r="EE164">
        <v>0</v>
      </c>
      <c r="EF164">
        <v>1</v>
      </c>
      <c r="EG164" s="143">
        <v>0</v>
      </c>
      <c r="EH164" s="143">
        <v>0</v>
      </c>
      <c r="EI164" s="2">
        <v>0</v>
      </c>
      <c r="EJ164" s="1"/>
      <c r="EK164" t="str">
        <f>IF(AND(AND(AND(OR($DX164=1,$DW164=1),OR($EC164=1,$EA164=1)),SUM($DV164:$DZ164,$EF164)&gt;=4),SUM($EA164:$EE164)&gt;=2),"Whole sector","")</f>
        <v/>
      </c>
      <c r="EL164" t="str">
        <f>IF(AND(AND(OR($DX164=1,$DW164=1),AND($EC164=0,$EA164=0)),SUM($DV164:$DZ164,$EF164)&gt;=4),"Ecosystem approach","")</f>
        <v>Ecosystem approach</v>
      </c>
      <c r="EM164" s="2" t="str">
        <f>IF(AND(AND(AND($DX164=0,$DW164=0),OR($EC164=1,$EA164=1)),SUM($EB164:$EE164)&gt;=2),"Technology approach","")</f>
        <v/>
      </c>
      <c r="EN164"/>
      <c r="EO164"/>
      <c r="EP164" t="str">
        <f>IF(ISNUMBER(BU164),IF(ABS(BU164-[4]QC_indicators!$B$2)&gt;3*[4]QC_indicators!$C$2,"C ratio",IF(ISNUMBER(BY164),IF(ABS(BY164-[4]QC_indicators!$B$1)&gt;3*[4]QC_indicators!$C$1,"DF","no"))),IF(ISNUMBER(BY164),IF(ABS(BY164-[4]QC_indicators!$B$1)&gt;3*[4]QC_indicators!$C$1,"DF","no")))</f>
        <v>no</v>
      </c>
      <c r="EQ164" t="s">
        <v>286</v>
      </c>
      <c r="ER164" s="149" t="s">
        <v>349</v>
      </c>
      <c r="ES164"/>
      <c r="ET164" s="264" t="s">
        <v>3273</v>
      </c>
      <c r="EU164"/>
    </row>
    <row r="165" spans="1:151" s="139" customFormat="1" ht="15" customHeight="1">
      <c r="A165" s="1" t="s">
        <v>1102</v>
      </c>
      <c r="B165" t="s">
        <v>1819</v>
      </c>
      <c r="C165" t="s">
        <v>1820</v>
      </c>
      <c r="D165" t="s">
        <v>1821</v>
      </c>
      <c r="E165" t="s">
        <v>1822</v>
      </c>
      <c r="F165" t="s">
        <v>1823</v>
      </c>
      <c r="G165" t="s">
        <v>1108</v>
      </c>
      <c r="H165" t="s">
        <v>254</v>
      </c>
      <c r="I165">
        <v>2011</v>
      </c>
      <c r="J165">
        <v>49</v>
      </c>
      <c r="K165" t="s">
        <v>1824</v>
      </c>
      <c r="L165"/>
      <c r="M165" t="str">
        <f>LEFT($D165,FIND(",",$D165)-1)&amp;"_"&amp;I165&amp;L165</f>
        <v>Kilpelainen_2011</v>
      </c>
      <c r="N165" t="s">
        <v>222</v>
      </c>
      <c r="O165" s="145" t="s">
        <v>513</v>
      </c>
      <c r="P165"/>
      <c r="Q165" t="s">
        <v>256</v>
      </c>
      <c r="R165" s="262" t="s">
        <v>225</v>
      </c>
      <c r="S165" s="1" t="s">
        <v>1825</v>
      </c>
      <c r="T165" t="s">
        <v>1830</v>
      </c>
      <c r="U165" t="s">
        <v>1831</v>
      </c>
      <c r="V165">
        <v>0</v>
      </c>
      <c r="W165">
        <v>0</v>
      </c>
      <c r="X165">
        <v>0</v>
      </c>
      <c r="Y165">
        <v>0</v>
      </c>
      <c r="Z165">
        <v>0</v>
      </c>
      <c r="AA165">
        <v>0</v>
      </c>
      <c r="AB165">
        <v>0</v>
      </c>
      <c r="AC165">
        <v>0</v>
      </c>
      <c r="AD165">
        <v>0</v>
      </c>
      <c r="AE165">
        <v>0</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s="141">
        <f>COUNTIF(V165:AW165,"&lt;&gt;0")</f>
        <v>1</v>
      </c>
      <c r="AY165" s="141">
        <f>COUNTIF(V165:AL165,"&lt;&gt;0")</f>
        <v>1</v>
      </c>
      <c r="AZ165">
        <f>COUNTIF(V165:AC165,"&lt;&gt;0")</f>
        <v>0</v>
      </c>
      <c r="BA165">
        <f>COUNTIF(AD165:AI165,"&lt;&gt;0")</f>
        <v>1</v>
      </c>
      <c r="BB165">
        <f>COUNTIF(AJ165:AL165,"&lt;&gt;0")</f>
        <v>0</v>
      </c>
      <c r="BC165">
        <f>COUNTIF(AS165:AW165,"&lt;&gt;0")</f>
        <v>0</v>
      </c>
      <c r="BD165">
        <f>COUNTIF(AM165:AR165,"&lt;&gt;0")</f>
        <v>0</v>
      </c>
      <c r="BE165" t="str">
        <f t="array" ref="BE165">IF(AY165=1,INDEX($V$7:$AL$7,MATCH(TRUE,INDEX($V165:$AW165&lt;&gt;0,),0)),IF(AY165=0,INDEX($AM$7:$AW$7,MATCH(1,$AM165:$AW165,0)),IF(BF165="Multiple strategies","mixed drivers",IF(BF165="Supply chain","multiple supply","multiple silviculture"))))</f>
        <v>supply chain organization</v>
      </c>
      <c r="BF165" s="2" t="str" cm="1">
        <f t="array" ref="BF165">IF(COUNTIF(AZ165:BB165,"&lt;&gt;0")=1,INDEX($V$4:$AW$4,MATCH(TRUE,INDEX($V165:$AW165&lt;&gt;0,),0)),IF(COUNTIF(AZ165:BB165,"&lt;&gt;0")=0,INDEX($AM$4:$AW$4,MATCH(1,$AM165:$AW165,0)),"Multiple strategies"))</f>
        <v>Supply chain</v>
      </c>
      <c r="BG165" s="1" t="s">
        <v>321</v>
      </c>
      <c r="BH165" t="s">
        <v>1828</v>
      </c>
      <c r="BI165" s="260" t="s">
        <v>3365</v>
      </c>
      <c r="BJ165" t="s">
        <v>1829</v>
      </c>
      <c r="BK165">
        <f>71+13</f>
        <v>84</v>
      </c>
      <c r="BL165" s="260">
        <v>228</v>
      </c>
      <c r="BM165">
        <f>BL165/BK165</f>
        <v>2.7142857142857144</v>
      </c>
      <c r="BN165">
        <f>BL165-BK165</f>
        <v>144</v>
      </c>
      <c r="BO165">
        <f>BN165*(1/10^6)*(1/C_to_CO2)*tC_to_m3</f>
        <v>1.7037367442773971E-4</v>
      </c>
      <c r="BP165" s="260" t="s">
        <v>395</v>
      </c>
      <c r="BQ165" s="300" t="s">
        <v>3365</v>
      </c>
      <c r="BR165" t="s">
        <v>1829</v>
      </c>
      <c r="BS165" s="260">
        <v>-214</v>
      </c>
      <c r="BT165" s="260">
        <v>-51</v>
      </c>
      <c r="BU165" s="144">
        <f>IFERROR(BT165/BS165,"")</f>
        <v>0.23831775700934579</v>
      </c>
      <c r="BV165">
        <f>BT165-BS165</f>
        <v>163</v>
      </c>
      <c r="BW165"/>
      <c r="BX165">
        <f>BV165/10^6</f>
        <v>1.63E-4</v>
      </c>
      <c r="BY165">
        <f>IFERROR(BX165/BO165,"")</f>
        <v>0.95672057638888874</v>
      </c>
      <c r="BZ165">
        <v>0</v>
      </c>
      <c r="CA165">
        <v>0</v>
      </c>
      <c r="CB165">
        <v>0</v>
      </c>
      <c r="CC165">
        <v>0</v>
      </c>
      <c r="CD165">
        <v>0</v>
      </c>
      <c r="CE165">
        <v>0</v>
      </c>
      <c r="CF165">
        <v>0</v>
      </c>
      <c r="CG165">
        <v>0</v>
      </c>
      <c r="CH165">
        <v>0</v>
      </c>
      <c r="CI165">
        <v>0</v>
      </c>
      <c r="CJ165">
        <v>0</v>
      </c>
      <c r="CK165">
        <v>0</v>
      </c>
      <c r="CL165">
        <v>0</v>
      </c>
      <c r="CM165">
        <v>0</v>
      </c>
      <c r="CN165" t="str">
        <f>IF($BL165&lt;$BK165,"refNeedCorrection","refOK")</f>
        <v>refOK</v>
      </c>
      <c r="CO165">
        <f>IF($CN165="refOK",$BK165,$BL165)</f>
        <v>84</v>
      </c>
      <c r="CP165">
        <f>IF($CN165="refOK",$BL165,$BK165)</f>
        <v>228</v>
      </c>
      <c r="CQ165">
        <f>IF($CN165="refOK",$BO165,-$BO165)</f>
        <v>1.7037367442773971E-4</v>
      </c>
      <c r="CR165">
        <f>IF($CN165="refOK",$BS165,$BT165)*IF($BP165="Emissions positive",-1,1)</f>
        <v>214</v>
      </c>
      <c r="CS165">
        <f>IF($CN165="refOK",$BT165,$BS165)*IF($BP165="Emissions positive",-1,1)</f>
        <v>51</v>
      </c>
      <c r="CT165">
        <f>IF($CN165="refNeedCorrection",-BX165,BX165)*IF($BP165="Emissions positive",-1,1)</f>
        <v>-1.63E-4</v>
      </c>
      <c r="CU165">
        <f>IFERROR(CT165/CQ165,"")</f>
        <v>-0.95672057638888874</v>
      </c>
      <c r="CV165" s="2">
        <f>IFERROR((CS165-CR165)/ABS(CR165),"")</f>
        <v>-0.76168224299065423</v>
      </c>
      <c r="CW165" s="1" t="s">
        <v>1199</v>
      </c>
      <c r="CX165" t="str">
        <f>IF(OR($CW165="prd",$CW165="std",$CW165="cit"),"loc",IF(OR($CW165="eur",$CW165="reg",$CW165="coy"),"reg",$CW165))</f>
        <v>reg</v>
      </c>
      <c r="CY165" t="s">
        <v>235</v>
      </c>
      <c r="CZ165"/>
      <c r="DA165"/>
      <c r="DB165">
        <v>80</v>
      </c>
      <c r="DC165" t="str">
        <f>IF(DB165=0,"0",IF(AND(DB165&gt;=1,DB165&lt;=30),"1-30",IF(AND(DB165&gt;30,DB165&lt;=70),"31-70",IF(AND(DB165&gt;70,DB165&lt;=100),"71-100",IF(DB165&gt;100,"+100")))))</f>
        <v>71-100</v>
      </c>
      <c r="DD165">
        <v>0</v>
      </c>
      <c r="DE165">
        <v>1</v>
      </c>
      <c r="DF165">
        <v>1</v>
      </c>
      <c r="DG165">
        <v>1</v>
      </c>
      <c r="DH165"/>
      <c r="DI165">
        <f>SUM(DD165:DG165)</f>
        <v>3</v>
      </c>
      <c r="DJ165" t="str">
        <f>IF(DI165=1,INDEX($DD$7:$DG$7,MATCH(1,$DD165:$DG165,0)),"mixedProduct")</f>
        <v>mixedProduct</v>
      </c>
      <c r="DK165">
        <f>IF(DD165=1,DK$7,0)</f>
        <v>0</v>
      </c>
      <c r="DL165" t="str">
        <f>IF(DE165=1,DL$7,0)</f>
        <v>Energy</v>
      </c>
      <c r="DM165" t="str">
        <f>IF(DF165=1,DM$7,0)</f>
        <v>Pulp/Paper</v>
      </c>
      <c r="DN165" t="str">
        <f>IF(DG165=1,DN$7,0)</f>
        <v>Timber</v>
      </c>
      <c r="DO165">
        <v>0</v>
      </c>
      <c r="DP165">
        <v>0</v>
      </c>
      <c r="DQ165">
        <v>0</v>
      </c>
      <c r="DR165">
        <v>0</v>
      </c>
      <c r="DS165">
        <v>0</v>
      </c>
      <c r="DT165">
        <f>SUM(DO165:DP165)</f>
        <v>0</v>
      </c>
      <c r="DU165" s="143" t="str">
        <f>IF(DO165=1,"self-calculated DF",IF(DP165=1,"external DF used","explicit C balance"))</f>
        <v>explicit C balance</v>
      </c>
      <c r="DV165">
        <v>1</v>
      </c>
      <c r="DW165">
        <v>1</v>
      </c>
      <c r="DX165">
        <v>1</v>
      </c>
      <c r="DY165">
        <v>0</v>
      </c>
      <c r="DZ165">
        <v>1</v>
      </c>
      <c r="EA165">
        <v>0</v>
      </c>
      <c r="EB165">
        <v>1</v>
      </c>
      <c r="EC165">
        <v>1</v>
      </c>
      <c r="ED165">
        <v>0</v>
      </c>
      <c r="EE165">
        <v>1</v>
      </c>
      <c r="EF165">
        <v>1</v>
      </c>
      <c r="EG165">
        <v>1</v>
      </c>
      <c r="EH165">
        <v>0</v>
      </c>
      <c r="EI165" s="2">
        <v>0</v>
      </c>
      <c r="EJ165" s="1"/>
      <c r="EK165" t="str">
        <f>IF(AND(AND(AND(OR($DX165=1,$DW165=1),OR($EC165=1,$EA165=1)),SUM($DV165:$DZ165,$EF165)&gt;=4),SUM($EA165:$EE165)&gt;=2),"Whole sector","")</f>
        <v>Whole sector</v>
      </c>
      <c r="EL165" t="str">
        <f>IF(AND(AND(OR($DX165=1,$DW165=1),AND($EC165=0,$EA165=0)),SUM($DV165:$DZ165,$EF165)&gt;=4),"Ecosystem approach","")</f>
        <v/>
      </c>
      <c r="EM165" s="2" t="str">
        <f>IF(AND(AND(AND($DX165=0,$DW165=0),OR($EC165=1,$EA165=1)),SUM($EB165:$EE165)&gt;=2),"Technology approach","")</f>
        <v/>
      </c>
      <c r="EN165"/>
      <c r="EO165"/>
      <c r="EP165" t="str">
        <f>IF(ISNUMBER(BU165),IF(ABS(BU165-[4]QC_indicators!$B$2)&gt;3*[4]QC_indicators!$C$2,"C ratio",IF(ISNUMBER(BY165),IF(ABS(BY165-[4]QC_indicators!$B$1)&gt;3*[4]QC_indicators!$C$1,"DF","no"))),IF(ISNUMBER(BY165),IF(ABS(BY165-[4]QC_indicators!$B$1)&gt;3*[4]QC_indicators!$C$1,"DF","no")))</f>
        <v>no</v>
      </c>
      <c r="EQ165"/>
      <c r="ER165"/>
      <c r="ES165"/>
      <c r="ET165" s="264" t="s">
        <v>3273</v>
      </c>
      <c r="EU165"/>
    </row>
    <row r="166" spans="1:151" s="139" customFormat="1" ht="15" customHeight="1">
      <c r="A166" s="1" t="s">
        <v>2114</v>
      </c>
      <c r="B166" t="s">
        <v>544</v>
      </c>
      <c r="C166" t="s">
        <v>2277</v>
      </c>
      <c r="D166" t="s">
        <v>2278</v>
      </c>
      <c r="E166" t="s">
        <v>2279</v>
      </c>
      <c r="F166" t="s">
        <v>2280</v>
      </c>
      <c r="G166" t="s">
        <v>2115</v>
      </c>
      <c r="H166" t="s">
        <v>254</v>
      </c>
      <c r="I166">
        <v>2014</v>
      </c>
      <c r="J166">
        <v>96</v>
      </c>
      <c r="K166" t="s">
        <v>2281</v>
      </c>
      <c r="L166"/>
      <c r="M166" t="str">
        <f>LEFT($D166,FIND(",",$D166)-1)&amp;"_"&amp;I166&amp;L166</f>
        <v>Smyth_2014</v>
      </c>
      <c r="N166" t="s">
        <v>222</v>
      </c>
      <c r="O166" s="145" t="s">
        <v>341</v>
      </c>
      <c r="P166"/>
      <c r="Q166" t="s">
        <v>256</v>
      </c>
      <c r="R166" s="262" t="s">
        <v>223</v>
      </c>
      <c r="S166" s="1" t="s">
        <v>2295</v>
      </c>
      <c r="T166" t="s">
        <v>2296</v>
      </c>
      <c r="U166" t="s">
        <v>1155</v>
      </c>
      <c r="V166">
        <v>1</v>
      </c>
      <c r="W166">
        <v>0</v>
      </c>
      <c r="X166">
        <v>0</v>
      </c>
      <c r="Y166">
        <v>2</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s="141">
        <f>COUNTIF(V166:AW166,"&lt;&gt;0")</f>
        <v>2</v>
      </c>
      <c r="AY166" s="141">
        <f>COUNTIF(V166:AL166,"&lt;&gt;0")</f>
        <v>2</v>
      </c>
      <c r="AZ166">
        <f>COUNTIF(V166:AC166,"&lt;&gt;0")</f>
        <v>2</v>
      </c>
      <c r="BA166">
        <f>COUNTIF(AD166:AI166,"&lt;&gt;0")</f>
        <v>0</v>
      </c>
      <c r="BB166">
        <f>COUNTIF(AJ166:AL166,"&lt;&gt;0")</f>
        <v>0</v>
      </c>
      <c r="BC166">
        <f>COUNTIF(AS166:AW166,"&lt;&gt;0")</f>
        <v>0</v>
      </c>
      <c r="BD166">
        <f>COUNTIF(AM166:AR166,"&lt;&gt;0")</f>
        <v>0</v>
      </c>
      <c r="BE166" t="str">
        <f t="array" ref="BE166">IF(AY166=1,INDEX($V$7:$AL$7,MATCH(TRUE,INDEX($V166:$AW166&lt;&gt;0,),0)),IF(AY166=0,INDEX($AM$7:$AW$7,MATCH(1,$AM166:$AW166,0)),IF(BF166="Multiple strategies","mixed drivers",IF(BF166="Supply chain","multiple supply","multiple silviculture"))))</f>
        <v>multiple silviculture</v>
      </c>
      <c r="BF166" s="2" t="str" cm="1">
        <f t="array" ref="BF166">IF(COUNTIF(AZ166:BB166,"&lt;&gt;0")=1,INDEX($V$4:$AW$4,MATCH(TRUE,INDEX($V166:$AW166&lt;&gt;0,),0)),IF(COUNTIF(AZ166:BB166,"&lt;&gt;0")=0,INDEX($AM$4:$AW$4,MATCH(1,$AM166:$AW166,0)),"Multiple strategies"))</f>
        <v>Silviculture for removals</v>
      </c>
      <c r="BG166" s="1" t="s">
        <v>321</v>
      </c>
      <c r="BH166" t="s">
        <v>2297</v>
      </c>
      <c r="BI166" t="s">
        <v>1036</v>
      </c>
      <c r="BJ166" t="s">
        <v>2288</v>
      </c>
      <c r="BK166">
        <v>-1.41</v>
      </c>
      <c r="BL166">
        <v>0</v>
      </c>
      <c r="BM166"/>
      <c r="BN166">
        <f>BL166-BK166</f>
        <v>1.41</v>
      </c>
      <c r="BO166">
        <f>BN166*10^6*tC_to_m3</f>
        <v>6122448.9795918372</v>
      </c>
      <c r="BP166" t="s">
        <v>232</v>
      </c>
      <c r="BQ166" s="338" t="s">
        <v>783</v>
      </c>
      <c r="BR166" s="264" t="s">
        <v>3244</v>
      </c>
      <c r="BS166"/>
      <c r="BT166"/>
      <c r="BU166" s="144"/>
      <c r="BV166">
        <f>-205/35</f>
        <v>-5.8571428571428568</v>
      </c>
      <c r="BW166"/>
      <c r="BX166">
        <f>BV166*10^6</f>
        <v>-5857142.8571428563</v>
      </c>
      <c r="BY166">
        <f>IFERROR(BX166/BO166,"")</f>
        <v>-0.95666666666666644</v>
      </c>
      <c r="BZ166">
        <v>0</v>
      </c>
      <c r="CA166">
        <v>1</v>
      </c>
      <c r="CB166">
        <v>1</v>
      </c>
      <c r="CC166">
        <v>1</v>
      </c>
      <c r="CD166">
        <v>0</v>
      </c>
      <c r="CE166">
        <v>0</v>
      </c>
      <c r="CF166">
        <v>0</v>
      </c>
      <c r="CG166">
        <v>0</v>
      </c>
      <c r="CH166">
        <v>0</v>
      </c>
      <c r="CI166">
        <v>0</v>
      </c>
      <c r="CJ166">
        <v>0</v>
      </c>
      <c r="CK166">
        <v>0</v>
      </c>
      <c r="CL166">
        <v>0</v>
      </c>
      <c r="CM166">
        <v>0</v>
      </c>
      <c r="CN166" t="str">
        <f>IF(BL166&lt;BK166,"refNeedCorrection","refOK")</f>
        <v>refOK</v>
      </c>
      <c r="CO166">
        <f>IF($CN166="refOK",$BK166,$BL166)</f>
        <v>-1.41</v>
      </c>
      <c r="CP166">
        <f>IF($CN166="refOK",$BL166,$BK166)</f>
        <v>0</v>
      </c>
      <c r="CQ166">
        <f>IF($CN166="refOK",$BO166,-$BO166)</f>
        <v>6122448.9795918372</v>
      </c>
      <c r="CR166">
        <f>IF($CN166="refOK",$BS166,$BT166)*IF($BP166="Emissions positive",-1,1)</f>
        <v>0</v>
      </c>
      <c r="CS166">
        <f>IF($CN166="refOK",$BT166,$BS166)*IF($BP166="Emissions positive",-1,1)</f>
        <v>0</v>
      </c>
      <c r="CT166">
        <f>IF($CN166="refNeedCorrection",-BX166,BX166)*IF($BP166="Emissions positive",-1,1)</f>
        <v>-5857142.8571428563</v>
      </c>
      <c r="CU166">
        <f>IFERROR(CT166/CQ166,"")</f>
        <v>-0.95666666666666644</v>
      </c>
      <c r="CV166" s="2" t="str">
        <f>IFERROR((CS166-CR166)/ABS(CR166),"")</f>
        <v/>
      </c>
      <c r="CW166" s="1" t="s">
        <v>1203</v>
      </c>
      <c r="CX166" t="str">
        <f>IF(OR($CW166="prd",$CW166="std",$CW166="cit"),"loc",IF(OR($CW166="eur",$CW166="reg",$CW166="coy"),"reg",$CW166))</f>
        <v>reg</v>
      </c>
      <c r="CY166" t="s">
        <v>540</v>
      </c>
      <c r="CZ166">
        <v>2015</v>
      </c>
      <c r="DA166">
        <v>2050</v>
      </c>
      <c r="DB166">
        <v>35</v>
      </c>
      <c r="DC166" t="str">
        <f>IF(DB166=0,"0",IF(AND(DB166&gt;=1,DB166&lt;=30),"1-30",IF(AND(DB166&gt;30,DB166&lt;=70),"31-70",IF(AND(DB166&gt;70,DB166&lt;=100),"71-100",IF(DB166&gt;100,"+100")))))</f>
        <v>31-70</v>
      </c>
      <c r="DD166">
        <v>0</v>
      </c>
      <c r="DE166">
        <v>1</v>
      </c>
      <c r="DF166">
        <v>1</v>
      </c>
      <c r="DG166">
        <v>1</v>
      </c>
      <c r="DH166"/>
      <c r="DI166">
        <f>SUM(DD166:DG166)</f>
        <v>3</v>
      </c>
      <c r="DJ166" t="str">
        <f>IF(DI166=1,INDEX($DD$7:$DG$7,MATCH(1,$DD166:$DG166,0)),"mixedProduct")</f>
        <v>mixedProduct</v>
      </c>
      <c r="DK166">
        <f>IF(DD166=1,DK$7,0)</f>
        <v>0</v>
      </c>
      <c r="DL166" t="str">
        <f>IF(DE166=1,DL$7,0)</f>
        <v>Energy</v>
      </c>
      <c r="DM166" t="str">
        <f>IF(DF166=1,DM$7,0)</f>
        <v>Pulp/Paper</v>
      </c>
      <c r="DN166" t="str">
        <f>IF(DG166=1,DN$7,0)</f>
        <v>Timber</v>
      </c>
      <c r="DO166">
        <v>1</v>
      </c>
      <c r="DP166">
        <v>1</v>
      </c>
      <c r="DQ166" t="s">
        <v>2284</v>
      </c>
      <c r="DR166">
        <v>0</v>
      </c>
      <c r="DS166">
        <v>0</v>
      </c>
      <c r="DT166">
        <f>SUM(DO166:DP166)</f>
        <v>2</v>
      </c>
      <c r="DU166" s="143" t="str">
        <f>IF(DO166=1,"self-calculated DF",IF(DP166=1,"external DF used","explicit C balance"))</f>
        <v>self-calculated DF</v>
      </c>
      <c r="DV166">
        <v>1</v>
      </c>
      <c r="DW166">
        <v>1</v>
      </c>
      <c r="DX166">
        <v>1</v>
      </c>
      <c r="DY166">
        <v>1</v>
      </c>
      <c r="DZ166">
        <v>1</v>
      </c>
      <c r="EA166">
        <v>1</v>
      </c>
      <c r="EB166">
        <v>0</v>
      </c>
      <c r="EC166">
        <v>0</v>
      </c>
      <c r="ED166">
        <v>0</v>
      </c>
      <c r="EE166">
        <v>0</v>
      </c>
      <c r="EF166">
        <v>1</v>
      </c>
      <c r="EG166">
        <v>0</v>
      </c>
      <c r="EH166">
        <v>0</v>
      </c>
      <c r="EI166" s="2">
        <v>0</v>
      </c>
      <c r="EJ166" s="1"/>
      <c r="EK166" t="str">
        <f>IF(AND(AND(AND(OR($DX166=1,$DW166=1),OR($EC166=1,$EA166=1)),SUM($DV166:$DZ166,$EF166)&gt;=4),SUM($EA166:$EE166)&gt;=2),"Whole sector","")</f>
        <v/>
      </c>
      <c r="EL166" t="str">
        <f>IF(AND(AND(OR($DX166=1,$DW166=1),AND($EC166=0,$EA166=0)),SUM($DV166:$DZ166,$EF166)&gt;=4),"Ecosystem approach","")</f>
        <v/>
      </c>
      <c r="EM166" s="2" t="str">
        <f>IF(AND(AND(AND($DX166=0,$DW166=0),OR($EC166=1,$EA166=1)),SUM($EB166:$EE166)&gt;=2),"Technology approach","")</f>
        <v/>
      </c>
      <c r="EN166" t="s">
        <v>2298</v>
      </c>
      <c r="EO166"/>
      <c r="EP166" t="str">
        <f>IF(ISNUMBER(BU166),IF(ABS(BU166-[1]QC_indicators!$B$2)&gt;3*[1]QC_indicators!$C$2,"C ratio",IF(ISNUMBER(BY166),IF(ABS(BY166-[1]QC_indicators!$B$1)&gt;3*[1]QC_indicators!$C$1,"DF","no"))),IF(ISNUMBER(BY166),IF(ABS(BY166-[1]QC_indicators!$B$1)&gt;3*[1]QC_indicators!$C$1,"DF","no")))</f>
        <v>no</v>
      </c>
      <c r="EQ166"/>
      <c r="ER166" t="s">
        <v>2299</v>
      </c>
      <c r="ES166"/>
      <c r="ET166" s="268" t="s">
        <v>3242</v>
      </c>
      <c r="EU166"/>
    </row>
    <row r="167" spans="1:151" s="139" customFormat="1" ht="15" customHeight="1">
      <c r="A167" s="1" t="s">
        <v>1360</v>
      </c>
      <c r="B167" t="s">
        <v>1361</v>
      </c>
      <c r="C167" t="s">
        <v>1362</v>
      </c>
      <c r="D167" t="s">
        <v>1363</v>
      </c>
      <c r="E167" t="s">
        <v>1364</v>
      </c>
      <c r="F167" t="s">
        <v>1365</v>
      </c>
      <c r="G167" t="s">
        <v>1366</v>
      </c>
      <c r="H167" t="s">
        <v>254</v>
      </c>
      <c r="I167">
        <v>2012</v>
      </c>
      <c r="J167">
        <v>27</v>
      </c>
      <c r="K167" t="s">
        <v>1367</v>
      </c>
      <c r="L167"/>
      <c r="M167" t="str">
        <f>LEFT($D167,FIND(",",$D167)-1)&amp;"_"&amp;I167&amp;L167</f>
        <v>Colombo_2012</v>
      </c>
      <c r="N167" t="s">
        <v>222</v>
      </c>
      <c r="O167" s="145" t="s">
        <v>223</v>
      </c>
      <c r="P167"/>
      <c r="Q167" t="s">
        <v>256</v>
      </c>
      <c r="R167" s="269" t="s">
        <v>274</v>
      </c>
      <c r="S167" s="1" t="s">
        <v>1368</v>
      </c>
      <c r="T167" t="s">
        <v>1369</v>
      </c>
      <c r="U167" t="s">
        <v>1374</v>
      </c>
      <c r="V167">
        <v>1</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s="141">
        <f>COUNTIF(V167:AW167,"&lt;&gt;0")</f>
        <v>1</v>
      </c>
      <c r="AY167" s="141">
        <f>COUNTIF(V167:AL167,"&lt;&gt;0")</f>
        <v>1</v>
      </c>
      <c r="AZ167">
        <f>COUNTIF(V167:AC167,"&lt;&gt;0")</f>
        <v>1</v>
      </c>
      <c r="BA167">
        <f>COUNTIF(AD167:AI167,"&lt;&gt;0")</f>
        <v>0</v>
      </c>
      <c r="BB167">
        <f>COUNTIF(AJ167:AL167,"&lt;&gt;0")</f>
        <v>0</v>
      </c>
      <c r="BC167">
        <f>COUNTIF(AS167:AW167,"&lt;&gt;0")</f>
        <v>0</v>
      </c>
      <c r="BD167">
        <f>COUNTIF(AM167:AR167,"&lt;&gt;0")</f>
        <v>0</v>
      </c>
      <c r="BE167" t="str">
        <f t="array" ref="BE167">IF(AY167=1,INDEX($V$7:$AL$7,MATCH(TRUE,INDEX($V167:$AW167&lt;&gt;0,),0)),IF(AY167=0,INDEX($AM$7:$AW$7,MATCH(1,$AM167:$AW167,0)),IF(BF167="Multiple strategies","mixed drivers",IF(BF167="Supply chain","multiple supply","multiple silviculture"))))</f>
        <v>area subject to harvest</v>
      </c>
      <c r="BF167" s="2" t="str" cm="1">
        <f t="array" ref="BF167">IF(COUNTIF(AZ167:BB167,"&lt;&gt;0")=1,INDEX($V$4:$AW$4,MATCH(TRUE,INDEX($V167:$AW167&lt;&gt;0,),0)),IF(COUNTIF(AZ167:BB167,"&lt;&gt;0")=0,INDEX($AM$4:$AW$4,MATCH(1,$AM167:$AW167,0)),"Multiple strategies"))</f>
        <v>Silviculture for removals</v>
      </c>
      <c r="BG167" s="1" t="s">
        <v>229</v>
      </c>
      <c r="BH167" t="s">
        <v>1371</v>
      </c>
      <c r="BI167" s="264" t="s">
        <v>3176</v>
      </c>
      <c r="BJ167" t="s">
        <v>1372</v>
      </c>
      <c r="BK167">
        <v>0</v>
      </c>
      <c r="BL167">
        <v>31</v>
      </c>
      <c r="BM167"/>
      <c r="BN167">
        <f>BL167-BK167</f>
        <v>31</v>
      </c>
      <c r="BO167">
        <f>BN167*10^6*tC_to_m3</f>
        <v>134607034.30308294</v>
      </c>
      <c r="BP167" s="143" t="s">
        <v>232</v>
      </c>
      <c r="BQ167" s="311" t="s">
        <v>689</v>
      </c>
      <c r="BR167" t="s">
        <v>1372</v>
      </c>
      <c r="BS167">
        <v>592.19047619047603</v>
      </c>
      <c r="BT167">
        <v>557.142857142857</v>
      </c>
      <c r="BU167" s="144">
        <f>IFERROR(BT167/BS167,"")</f>
        <v>0.94081698295271787</v>
      </c>
      <c r="BV167">
        <f>BT167-BS167</f>
        <v>-35.047619047619037</v>
      </c>
      <c r="BW167"/>
      <c r="BX167">
        <f>BV167*10^6*C_to_CO2</f>
        <v>-128624761.90476187</v>
      </c>
      <c r="BY167">
        <f>IFERROR(BX167/BO167,"")</f>
        <v>-0.95555750537634376</v>
      </c>
      <c r="BZ167">
        <v>0</v>
      </c>
      <c r="CA167">
        <v>0</v>
      </c>
      <c r="CB167">
        <v>0</v>
      </c>
      <c r="CC167">
        <v>0</v>
      </c>
      <c r="CD167">
        <v>0</v>
      </c>
      <c r="CE167">
        <v>0</v>
      </c>
      <c r="CF167">
        <v>0</v>
      </c>
      <c r="CG167">
        <v>0</v>
      </c>
      <c r="CH167">
        <v>0</v>
      </c>
      <c r="CI167">
        <v>0</v>
      </c>
      <c r="CJ167">
        <v>0</v>
      </c>
      <c r="CK167">
        <v>0</v>
      </c>
      <c r="CL167">
        <v>0</v>
      </c>
      <c r="CM167">
        <v>0</v>
      </c>
      <c r="CN167" t="str">
        <f>IF($BL167&lt;$BK167,"refNeedCorrection","refOK")</f>
        <v>refOK</v>
      </c>
      <c r="CO167">
        <f>IF($CN167="refOK",$BK167,$BL167)</f>
        <v>0</v>
      </c>
      <c r="CP167">
        <f>IF($CN167="refOK",$BL167,$BK167)</f>
        <v>31</v>
      </c>
      <c r="CQ167">
        <f>IF($CN167="refOK",$BO167,-$BO167)</f>
        <v>134607034.30308294</v>
      </c>
      <c r="CR167">
        <f>IF($CN167="refOK",$BS167,$BT167)*IF($BP167="Emissions positive",-1,1)</f>
        <v>592.19047619047603</v>
      </c>
      <c r="CS167">
        <f>IF($CN167="refOK",$BT167,$BS167)*IF($BP167="Emissions positive",-1,1)</f>
        <v>557.142857142857</v>
      </c>
      <c r="CT167">
        <f>IF($CN167="refNeedCorrection",-BX167,BX167)*IF($BP167="Emissions positive",-1,1)</f>
        <v>-128624761.90476187</v>
      </c>
      <c r="CU167">
        <f>IFERROR(CT167/CQ167,"")</f>
        <v>-0.95555750537634376</v>
      </c>
      <c r="CV167" s="2">
        <f>IFERROR((CS167-CR167)/ABS(CR167),"")</f>
        <v>-5.9183017047282079E-2</v>
      </c>
      <c r="CW167" s="1" t="s">
        <v>1199</v>
      </c>
      <c r="CX167" t="str">
        <f>IF(OR($CW167="prd",$CW167="std",$CW167="cit"),"loc",IF(OR($CW167="eur",$CW167="reg",$CW167="coy"),"reg",$CW167))</f>
        <v>reg</v>
      </c>
      <c r="CY167" t="s">
        <v>540</v>
      </c>
      <c r="CZ167">
        <v>2010</v>
      </c>
      <c r="DA167">
        <v>2050</v>
      </c>
      <c r="DB167">
        <f>DA167-CZ167</f>
        <v>40</v>
      </c>
      <c r="DC167" t="str">
        <f>IF(DB167=0,"0",IF(AND(DB167&gt;=1,DB167&lt;=30),"1-30",IF(AND(DB167&gt;30,DB167&lt;=70),"31-70",IF(AND(DB167&gt;70,DB167&lt;=100),"71-100",IF(DB167&gt;100,"+100")))))</f>
        <v>31-70</v>
      </c>
      <c r="DD167">
        <v>0</v>
      </c>
      <c r="DE167">
        <v>1</v>
      </c>
      <c r="DF167">
        <v>1</v>
      </c>
      <c r="DG167">
        <v>1</v>
      </c>
      <c r="DH167"/>
      <c r="DI167">
        <f>SUM(DD167:DG167)</f>
        <v>3</v>
      </c>
      <c r="DJ167" t="str">
        <f>IF(DI167=1,INDEX($DD$7:$DG$7,MATCH(1,$DD167:$DG167,0)),"mixedProduct")</f>
        <v>mixedProduct</v>
      </c>
      <c r="DK167">
        <f>IF(DD167=1,DK$7,0)</f>
        <v>0</v>
      </c>
      <c r="DL167" t="str">
        <f>IF(DE167=1,DL$7,0)</f>
        <v>Energy</v>
      </c>
      <c r="DM167" t="str">
        <f>IF(DF167=1,DM$7,0)</f>
        <v>Pulp/Paper</v>
      </c>
      <c r="DN167" t="str">
        <f>IF(DG167=1,DN$7,0)</f>
        <v>Timber</v>
      </c>
      <c r="DO167">
        <v>0</v>
      </c>
      <c r="DP167">
        <v>0</v>
      </c>
      <c r="DQ167">
        <v>0</v>
      </c>
      <c r="DR167">
        <v>0</v>
      </c>
      <c r="DS167">
        <v>0</v>
      </c>
      <c r="DT167">
        <f>SUM(DO167:DP167)</f>
        <v>0</v>
      </c>
      <c r="DU167" s="143" t="str">
        <f>IF(DO167=1,"self-calculated DF",IF(DP167=1,"external DF used","explicit C balance"))</f>
        <v>explicit C balance</v>
      </c>
      <c r="DV167">
        <v>1</v>
      </c>
      <c r="DW167">
        <v>1</v>
      </c>
      <c r="DX167">
        <v>1</v>
      </c>
      <c r="DY167">
        <v>1</v>
      </c>
      <c r="DZ167">
        <v>0</v>
      </c>
      <c r="EA167" s="143">
        <v>0</v>
      </c>
      <c r="EB167">
        <v>0</v>
      </c>
      <c r="EC167">
        <v>0</v>
      </c>
      <c r="ED167">
        <v>0</v>
      </c>
      <c r="EE167">
        <v>0</v>
      </c>
      <c r="EF167">
        <v>1</v>
      </c>
      <c r="EG167">
        <v>0</v>
      </c>
      <c r="EH167">
        <v>0</v>
      </c>
      <c r="EI167" s="2">
        <v>0</v>
      </c>
      <c r="EJ167" s="1"/>
      <c r="EK167" t="str">
        <f>IF(AND(AND(AND(OR($DX167=1,$DW167=1),OR($EC167=1,$EA167=1)),SUM($DV167:$DZ167,$EF167)&gt;=4),SUM($EA167:$EE167)&gt;=2),"Whole sector","")</f>
        <v/>
      </c>
      <c r="EL167" t="str">
        <f>IF(AND(AND(OR($DX167=1,$DW167=1),AND($EC167=0,$EA167=0)),SUM($DV167:$DZ167,$EF167)&gt;=4),"Ecosystem approach","")</f>
        <v>Ecosystem approach</v>
      </c>
      <c r="EM167" s="2" t="str">
        <f>IF(AND(AND(AND($DX167=0,$DW167=0),OR($EC167=1,$EA167=1)),SUM($EB167:$EE167)&gt;=2),"Technology approach","")</f>
        <v/>
      </c>
      <c r="EN167"/>
      <c r="EO167"/>
      <c r="EP167" t="str">
        <f>IF(ISNUMBER(BU167),IF(ABS(BU167-[2]QC_indicators!$B$2)&gt;3*[2]QC_indicators!$C$2,"C ratio",IF(ISNUMBER(BY167),IF(ABS(BY167-[2]QC_indicators!$B$1)&gt;3*[2]QC_indicators!$C$1,"DF","no"))),IF(ISNUMBER(BY167),IF(ABS(BY167-[2]QC_indicators!$B$1)&gt;3*[2]QC_indicators!$C$1,"DF","no")))</f>
        <v>no</v>
      </c>
      <c r="EQ167"/>
      <c r="ER167" t="s">
        <v>1373</v>
      </c>
      <c r="ES167"/>
      <c r="ET167" s="264" t="s">
        <v>3264</v>
      </c>
      <c r="EU167"/>
    </row>
    <row r="168" spans="1:151" s="139" customFormat="1" ht="15" customHeight="1">
      <c r="A168" s="1" t="s">
        <v>1357</v>
      </c>
      <c r="B168" t="s">
        <v>2368</v>
      </c>
      <c r="C168" t="s">
        <v>2369</v>
      </c>
      <c r="D168" t="s">
        <v>2370</v>
      </c>
      <c r="E168" t="s">
        <v>2371</v>
      </c>
      <c r="F168" t="s">
        <v>2372</v>
      </c>
      <c r="G168" t="s">
        <v>1358</v>
      </c>
      <c r="H168" t="s">
        <v>254</v>
      </c>
      <c r="I168">
        <v>2021</v>
      </c>
      <c r="J168">
        <v>0</v>
      </c>
      <c r="K168" t="s">
        <v>2373</v>
      </c>
      <c r="L168"/>
      <c r="M168" t="str">
        <f>LEFT($D168,FIND(",",$D168)-1)&amp;"_"&amp;I168&amp;L168</f>
        <v>Ter-Mikaelian_2021</v>
      </c>
      <c r="N168" t="s">
        <v>222</v>
      </c>
      <c r="O168" s="145" t="s">
        <v>1154</v>
      </c>
      <c r="P168"/>
      <c r="Q168" t="s">
        <v>256</v>
      </c>
      <c r="R168" s="293" t="s">
        <v>225</v>
      </c>
      <c r="S168" s="1" t="s">
        <v>1332</v>
      </c>
      <c r="T168" t="s">
        <v>2375</v>
      </c>
      <c r="U168" t="s">
        <v>2379</v>
      </c>
      <c r="V168">
        <v>0</v>
      </c>
      <c r="W168">
        <v>0</v>
      </c>
      <c r="X168">
        <v>0</v>
      </c>
      <c r="Y168">
        <v>1</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s="141">
        <f>COUNTIF(V168:AW168,"&lt;&gt;0")</f>
        <v>1</v>
      </c>
      <c r="AY168" s="141">
        <f>COUNTIF(V168:AL168,"&lt;&gt;0")</f>
        <v>1</v>
      </c>
      <c r="AZ168">
        <f>COUNTIF(V168:AC168,"&lt;&gt;0")</f>
        <v>1</v>
      </c>
      <c r="BA168">
        <f>COUNTIF(AD168:AI168,"&lt;&gt;0")</f>
        <v>0</v>
      </c>
      <c r="BB168">
        <f>COUNTIF(AJ168:AL168,"&lt;&gt;0")</f>
        <v>0</v>
      </c>
      <c r="BC168">
        <f>COUNTIF(AS168:AW168,"&lt;&gt;0")</f>
        <v>0</v>
      </c>
      <c r="BD168">
        <f>COUNTIF(AM168:AR168,"&lt;&gt;0")</f>
        <v>0</v>
      </c>
      <c r="BE168" t="str">
        <f t="array" ref="BE168">IF(AY168=1,INDEX($V$7:$AL$7,MATCH(TRUE,INDEX($V168:$AW168&lt;&gt;0,),0)),IF(AY168=0,INDEX($AM$7:$AW$7,MATCH(1,$AM168:$AW168,0)),IF(BF168="Multiple strategies","mixed drivers",IF(BF168="Supply chain","multiple supply","multiple silviculture"))))</f>
        <v xml:space="preserve">cutting intensity </v>
      </c>
      <c r="BF168" s="2" t="str" cm="1">
        <f t="array" ref="BF168">IF(COUNTIF(AZ168:BB168,"&lt;&gt;0")=1,INDEX($V$4:$AW$4,MATCH(TRUE,INDEX($V168:$AW168&lt;&gt;0,),0)),IF(COUNTIF(AZ168:BB168,"&lt;&gt;0")=0,INDEX($AM$4:$AW$4,MATCH(1,$AM168:$AW168,0)),"Multiple strategies"))</f>
        <v>Silviculture for removals</v>
      </c>
      <c r="BG168" s="1" t="s">
        <v>321</v>
      </c>
      <c r="BH168" t="s">
        <v>2376</v>
      </c>
      <c r="BI168"/>
      <c r="BJ168" t="s">
        <v>1323</v>
      </c>
      <c r="BK168">
        <v>433.26389999999998</v>
      </c>
      <c r="BL168">
        <v>866.52779999999996</v>
      </c>
      <c r="BM168" s="143">
        <f>BL168/BK168</f>
        <v>2</v>
      </c>
      <c r="BN168">
        <f>BL168-BK168</f>
        <v>433.26389999999998</v>
      </c>
      <c r="BO168">
        <f>BN168*10^6</f>
        <v>433263900</v>
      </c>
      <c r="BP168" t="s">
        <v>232</v>
      </c>
      <c r="BQ168" s="300" t="s">
        <v>3396</v>
      </c>
      <c r="BR168" t="s">
        <v>1359</v>
      </c>
      <c r="BS168">
        <v>3644.6402286000002</v>
      </c>
      <c r="BT168">
        <v>3532.2804572</v>
      </c>
      <c r="BU168" s="144">
        <f>IFERROR(BT168/BS168,"")</f>
        <v>0.96917123108110992</v>
      </c>
      <c r="BV168" s="144">
        <f>BT168-BS168</f>
        <v>-112.35977140000023</v>
      </c>
      <c r="BW168" s="144"/>
      <c r="BX168">
        <f>BV168*10^6*C_to_CO2</f>
        <v>-412360361.03800082</v>
      </c>
      <c r="BY168">
        <f>IFERROR(BX168/BO168,"")</f>
        <v>-0.95175333333333523</v>
      </c>
      <c r="BZ168">
        <v>0</v>
      </c>
      <c r="CA168">
        <v>0</v>
      </c>
      <c r="CB168">
        <v>0</v>
      </c>
      <c r="CC168">
        <v>0</v>
      </c>
      <c r="CD168">
        <v>0</v>
      </c>
      <c r="CE168">
        <v>0</v>
      </c>
      <c r="CF168">
        <v>0</v>
      </c>
      <c r="CG168">
        <v>0</v>
      </c>
      <c r="CH168">
        <v>0</v>
      </c>
      <c r="CI168">
        <v>0</v>
      </c>
      <c r="CJ168">
        <v>0</v>
      </c>
      <c r="CK168">
        <v>0</v>
      </c>
      <c r="CL168">
        <v>0</v>
      </c>
      <c r="CM168">
        <v>0</v>
      </c>
      <c r="CN168" t="str">
        <f>IF($BL168&lt;$BK168,"refNeedCorrection","refOK")</f>
        <v>refOK</v>
      </c>
      <c r="CO168">
        <f>IF($CN168="refNeedCorrection",BL168,BK168)</f>
        <v>433.26389999999998</v>
      </c>
      <c r="CP168">
        <f>IF($CN168="refNeedCorrection",BK168,BL168)</f>
        <v>866.52779999999996</v>
      </c>
      <c r="CQ168">
        <f>IF($CN168="refOK",$BO168,-$BO168)</f>
        <v>433263900</v>
      </c>
      <c r="CR168">
        <f>IF($CN168="refOK",$BS168,$BT168)*IF($BP168="Emissions positive",-1,1)</f>
        <v>3644.6402286000002</v>
      </c>
      <c r="CS168">
        <f>IF($CN168="refOK",$BT168,$BS168)*IF($BP168="Emissions positive",-1,1)</f>
        <v>3532.2804572</v>
      </c>
      <c r="CT168">
        <f>IF($CN168="refNeedCorrection",-BX168,BX168)*IF($BP168="Emissions positive",-1,1)</f>
        <v>-412360361.03800082</v>
      </c>
      <c r="CU168">
        <f>IFERROR(CT168/CQ168,"")</f>
        <v>-0.95175333333333523</v>
      </c>
      <c r="CV168" s="2">
        <f>IFERROR((CS168-CR168)/ABS(CR168),"")</f>
        <v>-3.0828768918890109E-2</v>
      </c>
      <c r="CW168" s="1" t="s">
        <v>1199</v>
      </c>
      <c r="CX168" t="str">
        <f>IF(OR($CW168="prd",$CW168="std",$CW168="cit"),"loc",IF(OR($CW168="eur",$CW168="reg",$CW168="coy"),"reg",$CW168))</f>
        <v>reg</v>
      </c>
      <c r="CY168" t="s">
        <v>540</v>
      </c>
      <c r="CZ168">
        <v>2020</v>
      </c>
      <c r="DA168">
        <v>2050</v>
      </c>
      <c r="DB168">
        <f>DA168-CZ168</f>
        <v>30</v>
      </c>
      <c r="DC168" t="str">
        <f>IF(DB168=0,"0",IF(AND(DB168&gt;=1,DB168&lt;=30),"1-30",IF(AND(DB168&gt;30,DB168&lt;=70),"31-70",IF(AND(DB168&gt;70,DB168&lt;=100),"71-100",IF(DB168&gt;100,"+100")))))</f>
        <v>1-30</v>
      </c>
      <c r="DD168">
        <v>1</v>
      </c>
      <c r="DE168">
        <v>1</v>
      </c>
      <c r="DF168">
        <v>1</v>
      </c>
      <c r="DG168">
        <v>1</v>
      </c>
      <c r="DH168"/>
      <c r="DI168">
        <f>SUM(DD168:DG168)</f>
        <v>4</v>
      </c>
      <c r="DJ168" t="str">
        <f>IF(DI168=1,INDEX($DD$7:$DG$7,MATCH(1,$DD168:$DG168,0)),"mixedProduct")</f>
        <v>mixedProduct</v>
      </c>
      <c r="DK168" t="str">
        <f>IF(DD168=1,DK$7,0)</f>
        <v>Upstream</v>
      </c>
      <c r="DL168" t="str">
        <f>IF(DE168=1,DL$7,0)</f>
        <v>Energy</v>
      </c>
      <c r="DM168" t="str">
        <f>IF(DF168=1,DM$7,0)</f>
        <v>Pulp/Paper</v>
      </c>
      <c r="DN168" t="str">
        <f>IF(DG168=1,DN$7,0)</f>
        <v>Timber</v>
      </c>
      <c r="DO168">
        <v>0</v>
      </c>
      <c r="DP168">
        <v>0</v>
      </c>
      <c r="DQ168">
        <v>0</v>
      </c>
      <c r="DR168">
        <v>0</v>
      </c>
      <c r="DS168">
        <v>0</v>
      </c>
      <c r="DT168">
        <f>SUM(DO168:DP168)</f>
        <v>0</v>
      </c>
      <c r="DU168" s="143" t="str">
        <f>IF(DO168=1,"self-calculated DF",IF(DP168=1,"external DF used","explicit C balance"))</f>
        <v>explicit C balance</v>
      </c>
      <c r="DV168">
        <v>1</v>
      </c>
      <c r="DW168">
        <v>1</v>
      </c>
      <c r="DX168">
        <v>1</v>
      </c>
      <c r="DY168">
        <v>1</v>
      </c>
      <c r="DZ168">
        <v>1</v>
      </c>
      <c r="EA168" s="143">
        <v>1</v>
      </c>
      <c r="EB168">
        <v>0</v>
      </c>
      <c r="EC168">
        <v>0</v>
      </c>
      <c r="ED168">
        <v>0</v>
      </c>
      <c r="EE168">
        <v>0</v>
      </c>
      <c r="EF168">
        <v>1</v>
      </c>
      <c r="EG168">
        <v>0</v>
      </c>
      <c r="EH168">
        <v>0</v>
      </c>
      <c r="EI168" s="2">
        <v>0</v>
      </c>
      <c r="EJ168" s="1"/>
      <c r="EK168" t="str">
        <f>IF(AND(AND(AND(OR($DX168=1,$DW168=1),OR($EC168=1,$EA168=1)),SUM($DV168:$DZ168,$EF168)&gt;=4),SUM($EA168:$EE168)&gt;=2),"Whole sector","")</f>
        <v/>
      </c>
      <c r="EL168" t="str">
        <f>IF(AND(AND(OR($DX168=1,$DW168=1),AND($EC168=0,$EA168=0)),SUM($DV168:$DZ168,$EF168)&gt;=4),"Ecosystem approach","")</f>
        <v/>
      </c>
      <c r="EM168" s="2" t="str">
        <f>IF(AND(AND(AND($DX168=0,$DW168=0),OR($EC168=1,$EA168=1)),SUM($EB168:$EE168)&gt;=2),"Technology approach","")</f>
        <v/>
      </c>
      <c r="EN168" t="s">
        <v>2377</v>
      </c>
      <c r="EO168"/>
      <c r="EP168" t="str">
        <f>IF(ISNUMBER(BU168),IF(ABS(BU168-[4]QC_indicators!$B$2)&gt;3*[4]QC_indicators!$C$2,"C ratio",IF(ISNUMBER(BY168),IF(ABS(BY168-[4]QC_indicators!$B$1)&gt;3*[4]QC_indicators!$C$1,"DF","no"))),IF(ISNUMBER(BY168),IF(ABS(BY168-[4]QC_indicators!$B$1)&gt;3*[4]QC_indicators!$C$1,"DF","no")))</f>
        <v>no</v>
      </c>
      <c r="EQ168" t="s">
        <v>2378</v>
      </c>
      <c r="ER168"/>
      <c r="ES168"/>
      <c r="ET168" s="305" t="s">
        <v>3408</v>
      </c>
      <c r="EU168"/>
    </row>
    <row r="169" spans="1:151" s="139" customFormat="1" ht="68">
      <c r="A169" s="1" t="s">
        <v>1357</v>
      </c>
      <c r="B169" t="s">
        <v>2368</v>
      </c>
      <c r="C169" t="s">
        <v>2369</v>
      </c>
      <c r="D169" t="s">
        <v>2370</v>
      </c>
      <c r="E169" t="s">
        <v>2371</v>
      </c>
      <c r="F169" t="s">
        <v>2372</v>
      </c>
      <c r="G169" t="s">
        <v>1358</v>
      </c>
      <c r="H169" t="s">
        <v>254</v>
      </c>
      <c r="I169">
        <v>2021</v>
      </c>
      <c r="J169">
        <v>0</v>
      </c>
      <c r="K169" t="s">
        <v>2373</v>
      </c>
      <c r="L169"/>
      <c r="M169" t="str">
        <f>LEFT($D169,FIND(",",$D169)-1)&amp;"_"&amp;I169&amp;L169</f>
        <v>Ter-Mikaelian_2021</v>
      </c>
      <c r="N169" t="s">
        <v>222</v>
      </c>
      <c r="O169" s="145" t="s">
        <v>1154</v>
      </c>
      <c r="P169"/>
      <c r="Q169" t="s">
        <v>256</v>
      </c>
      <c r="R169" s="293" t="s">
        <v>225</v>
      </c>
      <c r="S169" s="1" t="s">
        <v>1332</v>
      </c>
      <c r="T169" t="s">
        <v>2374</v>
      </c>
      <c r="U169" t="s">
        <v>2375</v>
      </c>
      <c r="V169">
        <v>1</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s="141">
        <f>COUNTIF(V169:AW169,"&lt;&gt;0")</f>
        <v>1</v>
      </c>
      <c r="AY169" s="141">
        <f>COUNTIF(V169:AL169,"&lt;&gt;0")</f>
        <v>1</v>
      </c>
      <c r="AZ169">
        <f>COUNTIF(V169:AC169,"&lt;&gt;0")</f>
        <v>1</v>
      </c>
      <c r="BA169">
        <f>COUNTIF(AD169:AI169,"&lt;&gt;0")</f>
        <v>0</v>
      </c>
      <c r="BB169">
        <f>COUNTIF(AJ169:AL169,"&lt;&gt;0")</f>
        <v>0</v>
      </c>
      <c r="BC169">
        <f>COUNTIF(AS169:AW169,"&lt;&gt;0")</f>
        <v>0</v>
      </c>
      <c r="BD169">
        <f>COUNTIF(AM169:AR169,"&lt;&gt;0")</f>
        <v>0</v>
      </c>
      <c r="BE169" t="str">
        <f t="array" ref="BE169">IF(AY169=1,INDEX($V$7:$AL$7,MATCH(TRUE,INDEX($V169:$AW169&lt;&gt;0,),0)),IF(AY169=0,INDEX($AM$7:$AW$7,MATCH(1,$AM169:$AW169,0)),IF(BF169="Multiple strategies","mixed drivers",IF(BF169="Supply chain","multiple supply","multiple silviculture"))))</f>
        <v>area subject to harvest</v>
      </c>
      <c r="BF169" s="2" t="str" cm="1">
        <f t="array" ref="BF169">IF(COUNTIF(AZ169:BB169,"&lt;&gt;0")=1,INDEX($V$4:$AW$4,MATCH(TRUE,INDEX($V169:$AW169&lt;&gt;0,),0)),IF(COUNTIF(AZ169:BB169,"&lt;&gt;0")=0,INDEX($AM$4:$AW$4,MATCH(1,$AM169:$AW169,0)),"Multiple strategies"))</f>
        <v>Silviculture for removals</v>
      </c>
      <c r="BG169" s="1" t="s">
        <v>321</v>
      </c>
      <c r="BH169" t="s">
        <v>2376</v>
      </c>
      <c r="BI169"/>
      <c r="BJ169" t="s">
        <v>1323</v>
      </c>
      <c r="BK169">
        <v>0</v>
      </c>
      <c r="BL169">
        <v>433.26389999999998</v>
      </c>
      <c r="BM169" s="143" t="e">
        <f>BL169/BK169</f>
        <v>#DIV/0!</v>
      </c>
      <c r="BN169">
        <f>BL169-BK169</f>
        <v>433.26389999999998</v>
      </c>
      <c r="BO169">
        <f>BN169*10^6</f>
        <v>433263900</v>
      </c>
      <c r="BP169" t="s">
        <v>232</v>
      </c>
      <c r="BQ169" s="300" t="s">
        <v>3397</v>
      </c>
      <c r="BR169" t="s">
        <v>1359</v>
      </c>
      <c r="BS169">
        <v>3757</v>
      </c>
      <c r="BT169">
        <v>3644.6402286000002</v>
      </c>
      <c r="BU169" s="144">
        <f>IFERROR(BT169/BS169,"")</f>
        <v>0.97009322028214007</v>
      </c>
      <c r="BV169" s="144">
        <f>BT169-BS169</f>
        <v>-112.35977139999977</v>
      </c>
      <c r="BW169" s="144"/>
      <c r="BX169">
        <f>BV169*10^6*C_to_CO2</f>
        <v>-412360361.03799915</v>
      </c>
      <c r="BY169">
        <f>IFERROR(BX169/BO169,"")</f>
        <v>-0.95175333333333134</v>
      </c>
      <c r="BZ169">
        <v>0</v>
      </c>
      <c r="CA169">
        <v>0</v>
      </c>
      <c r="CB169">
        <v>0</v>
      </c>
      <c r="CC169">
        <v>0</v>
      </c>
      <c r="CD169">
        <v>0</v>
      </c>
      <c r="CE169">
        <v>0</v>
      </c>
      <c r="CF169">
        <v>0</v>
      </c>
      <c r="CG169">
        <v>0</v>
      </c>
      <c r="CH169">
        <v>0</v>
      </c>
      <c r="CI169">
        <v>0</v>
      </c>
      <c r="CJ169">
        <v>0</v>
      </c>
      <c r="CK169">
        <v>0</v>
      </c>
      <c r="CL169">
        <v>0</v>
      </c>
      <c r="CM169">
        <v>0</v>
      </c>
      <c r="CN169" t="str">
        <f>IF($BL169&lt;$BK169,"refNeedCorrection","refOK")</f>
        <v>refOK</v>
      </c>
      <c r="CO169">
        <f>IF($CN169="refOK",$BK169,$BL169)</f>
        <v>0</v>
      </c>
      <c r="CP169">
        <f>IF($CN169="refOK",$BL169,$BK169)</f>
        <v>433.26389999999998</v>
      </c>
      <c r="CQ169">
        <f>IF($CN169="refOK",$BO169,-$BO169)</f>
        <v>433263900</v>
      </c>
      <c r="CR169">
        <f>IF($CN169="refOK",$BS169,$BT169)*IF($BP169="Emissions positive",-1,1)</f>
        <v>3757</v>
      </c>
      <c r="CS169">
        <f>IF($CN169="refOK",$BT169,$BS169)*IF($BP169="Emissions positive",-1,1)</f>
        <v>3644.6402286000002</v>
      </c>
      <c r="CT169">
        <f>IF($CN169="refNeedCorrection",-BX169,BX169)*IF($BP169="Emissions positive",-1,1)</f>
        <v>-412360361.03799915</v>
      </c>
      <c r="CU169">
        <f>IFERROR(CT169/CQ169,"")</f>
        <v>-0.95175333333333134</v>
      </c>
      <c r="CV169" s="2">
        <f>IFERROR((CS169-CR169)/ABS(CR169),"")</f>
        <v>-2.9906779717859933E-2</v>
      </c>
      <c r="CW169" s="1" t="s">
        <v>1199</v>
      </c>
      <c r="CX169" t="str">
        <f>IF(OR($CW169="prd",$CW169="std",$CW169="cit"),"loc",IF(OR($CW169="eur",$CW169="reg",$CW169="coy"),"reg",$CW169))</f>
        <v>reg</v>
      </c>
      <c r="CY169" t="s">
        <v>540</v>
      </c>
      <c r="CZ169">
        <v>2020</v>
      </c>
      <c r="DA169">
        <v>2050</v>
      </c>
      <c r="DB169">
        <f>DA169-CZ169</f>
        <v>30</v>
      </c>
      <c r="DC169" t="str">
        <f>IF(DB169=0,"0",IF(AND(DB169&gt;=1,DB169&lt;=30),"1-30",IF(AND(DB169&gt;30,DB169&lt;=70),"31-70",IF(AND(DB169&gt;70,DB169&lt;=100),"71-100",IF(DB169&gt;100,"+100")))))</f>
        <v>1-30</v>
      </c>
      <c r="DD169">
        <v>1</v>
      </c>
      <c r="DE169">
        <v>1</v>
      </c>
      <c r="DF169">
        <v>1</v>
      </c>
      <c r="DG169">
        <v>1</v>
      </c>
      <c r="DH169"/>
      <c r="DI169">
        <f>SUM(DD169:DG169)</f>
        <v>4</v>
      </c>
      <c r="DJ169" t="str">
        <f>IF(DI169=1,INDEX($DD$7:$DG$7,MATCH(1,$DD169:$DG169,0)),"mixedProduct")</f>
        <v>mixedProduct</v>
      </c>
      <c r="DK169" t="str">
        <f>IF(DD169=1,DK$7,0)</f>
        <v>Upstream</v>
      </c>
      <c r="DL169" t="str">
        <f>IF(DE169=1,DL$7,0)</f>
        <v>Energy</v>
      </c>
      <c r="DM169" t="str">
        <f>IF(DF169=1,DM$7,0)</f>
        <v>Pulp/Paper</v>
      </c>
      <c r="DN169" t="str">
        <f>IF(DG169=1,DN$7,0)</f>
        <v>Timber</v>
      </c>
      <c r="DO169">
        <v>0</v>
      </c>
      <c r="DP169">
        <v>0</v>
      </c>
      <c r="DQ169">
        <v>0</v>
      </c>
      <c r="DR169">
        <v>0</v>
      </c>
      <c r="DS169">
        <v>0</v>
      </c>
      <c r="DT169">
        <f>SUM(DO169:DP169)</f>
        <v>0</v>
      </c>
      <c r="DU169" s="143" t="str">
        <f>IF(DO169=1,"self-calculated DF",IF(DP169=1,"external DF used","explicit C balance"))</f>
        <v>explicit C balance</v>
      </c>
      <c r="DV169">
        <v>1</v>
      </c>
      <c r="DW169">
        <v>1</v>
      </c>
      <c r="DX169">
        <v>1</v>
      </c>
      <c r="DY169">
        <v>1</v>
      </c>
      <c r="DZ169">
        <v>1</v>
      </c>
      <c r="EA169" s="143">
        <v>1</v>
      </c>
      <c r="EB169">
        <v>0</v>
      </c>
      <c r="EC169">
        <v>0</v>
      </c>
      <c r="ED169">
        <v>0</v>
      </c>
      <c r="EE169">
        <v>0</v>
      </c>
      <c r="EF169">
        <v>1</v>
      </c>
      <c r="EG169">
        <v>0</v>
      </c>
      <c r="EH169">
        <v>0</v>
      </c>
      <c r="EI169" s="2">
        <v>0</v>
      </c>
      <c r="EJ169" s="1"/>
      <c r="EK169" t="str">
        <f>IF(AND(AND(AND(OR($DX169=1,$DW169=1),OR($EC169=1,$EA169=1)),SUM($DV169:$DZ169,$EF169)&gt;=4),SUM($EA169:$EE169)&gt;=2),"Whole sector","")</f>
        <v/>
      </c>
      <c r="EL169" t="str">
        <f>IF(AND(AND(OR($DX169=1,$DW169=1),AND($EC169=0,$EA169=0)),SUM($DV169:$DZ169,$EF169)&gt;=4),"Ecosystem approach","")</f>
        <v/>
      </c>
      <c r="EM169" s="2" t="str">
        <f>IF(AND(AND(AND($DX169=0,$DW169=0),OR($EC169=1,$EA169=1)),SUM($EB169:$EE169)&gt;=2),"Technology approach","")</f>
        <v/>
      </c>
      <c r="EN169" t="s">
        <v>2377</v>
      </c>
      <c r="EO169"/>
      <c r="EP169" t="str">
        <f>IF(ISNUMBER(BU169),IF(ABS(BU169-[4]QC_indicators!$B$2)&gt;3*[4]QC_indicators!$C$2,"C ratio",IF(ISNUMBER(BY169),IF(ABS(BY169-[4]QC_indicators!$B$1)&gt;3*[4]QC_indicators!$C$1,"DF","no"))),IF(ISNUMBER(BY169),IF(ABS(BY169-[4]QC_indicators!$B$1)&gt;3*[4]QC_indicators!$C$1,"DF","no")))</f>
        <v>no</v>
      </c>
      <c r="EQ169" t="s">
        <v>2378</v>
      </c>
      <c r="ER169"/>
      <c r="ES169"/>
      <c r="ET169" s="305" t="s">
        <v>3408</v>
      </c>
      <c r="EU169"/>
    </row>
    <row r="170" spans="1:151" s="139" customFormat="1" ht="15" customHeight="1">
      <c r="A170" s="1" t="s">
        <v>1360</v>
      </c>
      <c r="B170" t="s">
        <v>2135</v>
      </c>
      <c r="C170" t="s">
        <v>2136</v>
      </c>
      <c r="D170" t="s">
        <v>2137</v>
      </c>
      <c r="E170" t="s">
        <v>2138</v>
      </c>
      <c r="F170" t="s">
        <v>2139</v>
      </c>
      <c r="G170" t="s">
        <v>1366</v>
      </c>
      <c r="H170" t="s">
        <v>254</v>
      </c>
      <c r="I170">
        <v>2012</v>
      </c>
      <c r="J170">
        <v>21</v>
      </c>
      <c r="K170" t="s">
        <v>2140</v>
      </c>
      <c r="L170" s="192"/>
      <c r="M170" t="str">
        <f>LEFT($D170,FIND(",",$D170)-1)&amp;"_"&amp;I170&amp;L170</f>
        <v>Pyorala_2012</v>
      </c>
      <c r="N170" t="s">
        <v>222</v>
      </c>
      <c r="O170" s="145" t="s">
        <v>341</v>
      </c>
      <c r="P170" s="180" t="s">
        <v>223</v>
      </c>
      <c r="Q170" s="264" t="s">
        <v>256</v>
      </c>
      <c r="R170" s="269" t="s">
        <v>1154</v>
      </c>
      <c r="S170" s="263" t="s">
        <v>2141</v>
      </c>
      <c r="T170" s="264" t="s">
        <v>2148</v>
      </c>
      <c r="U170" s="264" t="s">
        <v>2143</v>
      </c>
      <c r="V170">
        <v>0</v>
      </c>
      <c r="W170">
        <v>0</v>
      </c>
      <c r="X170">
        <v>0</v>
      </c>
      <c r="Y170">
        <v>1</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s="141">
        <f>COUNTIF(V170:AW170,"&lt;&gt;0")</f>
        <v>1</v>
      </c>
      <c r="AY170" s="141">
        <f>COUNTIF(V170:AL170,"&lt;&gt;0")</f>
        <v>1</v>
      </c>
      <c r="AZ170">
        <f>COUNTIF(V170:AC170,"&lt;&gt;0")</f>
        <v>1</v>
      </c>
      <c r="BA170">
        <f>COUNTIF(AD170:AI170,"&lt;&gt;0")</f>
        <v>0</v>
      </c>
      <c r="BB170">
        <f>COUNTIF(AJ170:AL170,"&lt;&gt;0")</f>
        <v>0</v>
      </c>
      <c r="BC170">
        <f>COUNTIF(AS170:AW170,"&lt;&gt;0")</f>
        <v>0</v>
      </c>
      <c r="BD170">
        <f>COUNTIF(AM170:AR170,"&lt;&gt;0")</f>
        <v>0</v>
      </c>
      <c r="BE170" t="str" cm="1">
        <f t="array" ref="BE170">IF(AY170=1,INDEX($V$7:$AL$7,MATCH(TRUE,INDEX($V170:$AW170&lt;&gt;0,),0)),IF(AY170=0,INDEX($AM$7:$AW$7,MATCH(1,$AM170:$AW170,0)),IF(BF170="Multiple strategies","mixed drivers",IF(BF170="Supply chain","multiple supply","multiple silviculture"))))</f>
        <v xml:space="preserve">cutting intensity </v>
      </c>
      <c r="BF170" s="2" t="str" cm="1">
        <f t="array" ref="BF170">IF(COUNTIF(AZ170:BB170,"&lt;&gt;0")=1,INDEX($V$4:$AW$4,MATCH(TRUE,INDEX($V170:$AW170&lt;&gt;0,),0)),IF(COUNTIF(AZ170:BB170,"&lt;&gt;0")=0,INDEX($AM$4:$AW$4,MATCH(1,$AM170:$AW170,0)),"Multiple strategies"))</f>
        <v>Silviculture for removals</v>
      </c>
      <c r="BG170" s="178" t="s">
        <v>321</v>
      </c>
      <c r="BH170" s="264" t="s">
        <v>2144</v>
      </c>
      <c r="BI170" s="264" t="s">
        <v>701</v>
      </c>
      <c r="BJ170" s="160" t="s">
        <v>700</v>
      </c>
      <c r="BK170">
        <v>8.1</v>
      </c>
      <c r="BL170">
        <v>8.4</v>
      </c>
      <c r="BM170"/>
      <c r="BN170">
        <f>BL170-BK170</f>
        <v>0.30000000000000071</v>
      </c>
      <c r="BO170">
        <f>BN170</f>
        <v>0.30000000000000071</v>
      </c>
      <c r="BP170" s="155" t="s">
        <v>232</v>
      </c>
      <c r="BQ170" s="301" t="s">
        <v>786</v>
      </c>
      <c r="BR170" s="270" t="s">
        <v>2145</v>
      </c>
      <c r="BS170" s="264">
        <f>136.6/80</f>
        <v>1.7075</v>
      </c>
      <c r="BT170" s="264">
        <f>113.9/80</f>
        <v>1.4237500000000001</v>
      </c>
      <c r="BU170" s="144"/>
      <c r="BV170">
        <f>BT170-BS170</f>
        <v>-0.28374999999999995</v>
      </c>
      <c r="BW170"/>
      <c r="BX170">
        <f>BV170</f>
        <v>-0.28374999999999995</v>
      </c>
      <c r="BY170">
        <f>IFERROR(BX170/BO170,"")</f>
        <v>-0.94583333333333086</v>
      </c>
      <c r="BZ170">
        <v>0</v>
      </c>
      <c r="CA170">
        <v>0</v>
      </c>
      <c r="CB170">
        <v>0</v>
      </c>
      <c r="CC170">
        <v>0</v>
      </c>
      <c r="CD170">
        <v>0</v>
      </c>
      <c r="CE170">
        <v>0</v>
      </c>
      <c r="CF170">
        <v>0</v>
      </c>
      <c r="CG170">
        <v>0</v>
      </c>
      <c r="CH170">
        <v>0</v>
      </c>
      <c r="CI170">
        <v>0</v>
      </c>
      <c r="CJ170">
        <v>0</v>
      </c>
      <c r="CK170">
        <v>0</v>
      </c>
      <c r="CL170">
        <v>0</v>
      </c>
      <c r="CM170">
        <v>0</v>
      </c>
      <c r="CN170" t="str">
        <f>IF($BL170&lt;$BK170,"refNeedCorrection","refOK")</f>
        <v>refOK</v>
      </c>
      <c r="CO170">
        <f>IF($CN170="refOK",$BK170,$BL170)</f>
        <v>8.1</v>
      </c>
      <c r="CP170">
        <f>IF($CN170="refOK",$BL170,$BK170)</f>
        <v>8.4</v>
      </c>
      <c r="CQ170">
        <f>IF($CN170="refOK",$BO170,-$BO170)</f>
        <v>0.30000000000000071</v>
      </c>
      <c r="CR170">
        <f>IF($CN170="refOK",$BS170,$BT170)*IF($BP170="Emissions positive",-1,1)</f>
        <v>1.7075</v>
      </c>
      <c r="CS170">
        <f>IF($CN170="refOK",$BT170,$BS170)*IF($BP170="Emissions positive",-1,1)</f>
        <v>1.4237500000000001</v>
      </c>
      <c r="CT170">
        <f>IF($CN170="refNeedCorrection",-BX170,BX170)*IF($BP170="Emissions positive",-1,1)</f>
        <v>-0.28374999999999995</v>
      </c>
      <c r="CU170">
        <f>IFERROR(CT170/CQ170,"")</f>
        <v>-0.94583333333333086</v>
      </c>
      <c r="CV170" s="2">
        <f>IFERROR((CS170-CR170)/ABS(CR170),"")</f>
        <v>-0.16617862371888723</v>
      </c>
      <c r="CW170" s="1" t="s">
        <v>1199</v>
      </c>
      <c r="CX170" s="264" t="str">
        <f>IF(OR($CW170="prd",$CW170="std",$CW170="cit"),"loc",IF(OR($CW170="eur",$CW170="reg",$CW170="coy"),"reg",$CW170))</f>
        <v>reg</v>
      </c>
      <c r="CY170" t="s">
        <v>235</v>
      </c>
      <c r="CZ170"/>
      <c r="DA170"/>
      <c r="DB170">
        <v>80</v>
      </c>
      <c r="DC170" t="str">
        <f>IF(DB170=0,"0",IF(AND(DB170&gt;=1,DB170&lt;=30),"1-30",IF(AND(DB170&gt;30,DB170&lt;=70),"31-70",IF(AND(DB170&gt;70,DB170&lt;=100),"71-100",IF(DB170&gt;100,"+100")))))</f>
        <v>71-100</v>
      </c>
      <c r="DD170">
        <v>0</v>
      </c>
      <c r="DE170">
        <v>1</v>
      </c>
      <c r="DF170">
        <v>1</v>
      </c>
      <c r="DG170">
        <v>1</v>
      </c>
      <c r="DH170"/>
      <c r="DI170">
        <f>SUM(DD170:DG170)</f>
        <v>3</v>
      </c>
      <c r="DJ170" t="str">
        <f>IF(DI170=1,INDEX($DD$7:$DG$7,MATCH(1,$DD170:$DG170,0)),"mixedProduct")</f>
        <v>mixedProduct</v>
      </c>
      <c r="DK170">
        <f>IF(DD170=1,DK$7,0)</f>
        <v>0</v>
      </c>
      <c r="DL170" t="str">
        <f>IF(DE170=1,DL$7,0)</f>
        <v>Energy</v>
      </c>
      <c r="DM170" t="str">
        <f>IF(DF170=1,DM$7,0)</f>
        <v>Pulp/Paper</v>
      </c>
      <c r="DN170" t="str">
        <f>IF(DG170=1,DN$7,0)</f>
        <v>Timber</v>
      </c>
      <c r="DO170">
        <v>0</v>
      </c>
      <c r="DP170">
        <v>1</v>
      </c>
      <c r="DQ170" t="s">
        <v>2146</v>
      </c>
      <c r="DR170">
        <v>0</v>
      </c>
      <c r="DS170">
        <v>0</v>
      </c>
      <c r="DT170">
        <f>SUM(DO170:DP170)</f>
        <v>1</v>
      </c>
      <c r="DU170" s="143" t="str">
        <f>IF(DO170=1,"self-calculated DF",IF(DP170=1,"external DF used","explicit C balance"))</f>
        <v>external DF used</v>
      </c>
      <c r="DV170">
        <v>1</v>
      </c>
      <c r="DW170">
        <v>1</v>
      </c>
      <c r="DX170">
        <v>1</v>
      </c>
      <c r="DY170">
        <v>0</v>
      </c>
      <c r="DZ170">
        <v>0</v>
      </c>
      <c r="EA170" s="143">
        <v>0</v>
      </c>
      <c r="EB170">
        <v>0</v>
      </c>
      <c r="EC170">
        <v>0</v>
      </c>
      <c r="ED170">
        <v>0</v>
      </c>
      <c r="EE170">
        <v>0</v>
      </c>
      <c r="EF170">
        <v>1</v>
      </c>
      <c r="EG170">
        <v>0</v>
      </c>
      <c r="EH170">
        <v>0</v>
      </c>
      <c r="EI170" s="2">
        <v>0</v>
      </c>
      <c r="EJ170" s="1"/>
      <c r="EK170" t="str">
        <f>IF(AND(AND(AND(OR($DX170=1,$DW170=1),OR($EC170=1,$EA170=1)),SUM($DV170:$DZ170,$EF170)&gt;=4),SUM($EA170:$EE170)&gt;=2),"Whole sector","")</f>
        <v/>
      </c>
      <c r="EL170" t="str">
        <f>IF(AND(AND(OR($DX170=1,$DW170=1),AND($EC170=0,$EA170=0)),SUM($DV170:$DZ170,$EF170)&gt;=4),"Ecosystem approach","")</f>
        <v>Ecosystem approach</v>
      </c>
      <c r="EM170" s="2" t="str">
        <f>IF(AND(AND(AND($DX170=0,$DW170=0),OR($EC170=1,$EA170=1)),SUM($EB170:$EE170)&gt;=2),"Technology approach","")</f>
        <v/>
      </c>
      <c r="EN170"/>
      <c r="EO170"/>
      <c r="EP170" t="str">
        <f>IF(ISNUMBER(BU170),IF(ABS(BU170-[3]QC_indicators!$B$2)&gt;3*[3]QC_indicators!$C$2,"C ratio",IF(ISNUMBER(BY170),IF(ABS(BY170-[3]QC_indicators!$B$1)&gt;3*[3]QC_indicators!$C$1,"DF","no"))),IF(ISNUMBER(BY170),IF(ABS(BY170-[3]QC_indicators!$B$1)&gt;3*[3]QC_indicators!$C$1,"DF","no")))</f>
        <v>no</v>
      </c>
      <c r="EQ170"/>
      <c r="ER170"/>
      <c r="ES170"/>
      <c r="ET170" s="264" t="s">
        <v>3407</v>
      </c>
      <c r="EU170"/>
    </row>
    <row r="171" spans="1:151" s="139" customFormat="1" ht="15" customHeight="1">
      <c r="A171" s="1" t="s">
        <v>848</v>
      </c>
      <c r="B171" t="s">
        <v>2037</v>
      </c>
      <c r="C171" t="s">
        <v>2038</v>
      </c>
      <c r="D171" t="s">
        <v>2039</v>
      </c>
      <c r="E171" t="s">
        <v>2040</v>
      </c>
      <c r="F171" t="s">
        <v>2041</v>
      </c>
      <c r="G171" t="s">
        <v>854</v>
      </c>
      <c r="H171" t="s">
        <v>254</v>
      </c>
      <c r="I171">
        <v>2020</v>
      </c>
      <c r="J171">
        <v>1</v>
      </c>
      <c r="K171" t="s">
        <v>2042</v>
      </c>
      <c r="L171"/>
      <c r="M171" t="str">
        <f>LEFT($D171,FIND(",",$D171)-1)&amp;"_"&amp;I171&amp;L171</f>
        <v>Numazawa_2020</v>
      </c>
      <c r="N171" t="s">
        <v>222</v>
      </c>
      <c r="O171" s="157" t="s">
        <v>274</v>
      </c>
      <c r="P171" t="s">
        <v>513</v>
      </c>
      <c r="Q171" t="s">
        <v>389</v>
      </c>
      <c r="R171" s="255" t="s">
        <v>223</v>
      </c>
      <c r="S171" s="1" t="s">
        <v>2043</v>
      </c>
      <c r="T171" t="s">
        <v>2044</v>
      </c>
      <c r="U171" t="s">
        <v>2045</v>
      </c>
      <c r="V171">
        <v>0</v>
      </c>
      <c r="W171">
        <v>0</v>
      </c>
      <c r="X171">
        <v>0</v>
      </c>
      <c r="Y171">
        <v>1</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s="141">
        <f>COUNTIF(V171:AW171,"&lt;&gt;0")</f>
        <v>1</v>
      </c>
      <c r="AY171" s="141">
        <f>COUNTIF(V171:AL171,"&lt;&gt;0")</f>
        <v>1</v>
      </c>
      <c r="AZ171">
        <f>COUNTIF(V171:AC171,"&lt;&gt;0")</f>
        <v>1</v>
      </c>
      <c r="BA171">
        <f>COUNTIF(AD171:AI171,"&lt;&gt;0")</f>
        <v>0</v>
      </c>
      <c r="BB171">
        <f>COUNTIF(AJ171:AL171,"&lt;&gt;0")</f>
        <v>0</v>
      </c>
      <c r="BC171">
        <f>COUNTIF(AS171:AW171,"&lt;&gt;0")</f>
        <v>0</v>
      </c>
      <c r="BD171">
        <f>COUNTIF(AM171:AR171,"&lt;&gt;0")</f>
        <v>0</v>
      </c>
      <c r="BE171" t="str">
        <f t="array" ref="BE171">IF(AY171=1,INDEX($V$7:$AL$7,MATCH(TRUE,INDEX($V171:$AW171&lt;&gt;0,),0)),IF(AY171=0,INDEX($AM$7:$AW$7,MATCH(1,$AM171:$AW171,0)),IF(BF171="Multiple strategies","mixed drivers",IF(BF171="Supply chain","multiple supply","multiple silviculture"))))</f>
        <v xml:space="preserve">cutting intensity </v>
      </c>
      <c r="BF171" s="2" t="str" cm="1">
        <f t="array" ref="BF171">IF(COUNTIF(AZ171:BB171,"&lt;&gt;0")=1,INDEX($V$4:$AW$4,MATCH(TRUE,INDEX($V171:$AW171&lt;&gt;0,),0)),IF(COUNTIF(AZ171:BB171,"&lt;&gt;0")=0,INDEX($AM$4:$AW$4,MATCH(1,$AM171:$AW171,0)),"Multiple strategies"))</f>
        <v>Silviculture for removals</v>
      </c>
      <c r="BG171" s="1" t="s">
        <v>321</v>
      </c>
      <c r="BH171" s="265" t="s">
        <v>3096</v>
      </c>
      <c r="BI171" s="264" t="s">
        <v>396</v>
      </c>
      <c r="BJ171" t="s">
        <v>2046</v>
      </c>
      <c r="BK171">
        <v>0</v>
      </c>
      <c r="BL171">
        <v>27</v>
      </c>
      <c r="BM171" t="str">
        <f>IFERROR(BL171/BK171,"")</f>
        <v/>
      </c>
      <c r="BN171">
        <f>BL171-BK171</f>
        <v>27</v>
      </c>
      <c r="BO171">
        <f>BN171*t_to_m3</f>
        <v>55.102040816326529</v>
      </c>
      <c r="BP171" t="s">
        <v>232</v>
      </c>
      <c r="BQ171" s="234" t="s">
        <v>396</v>
      </c>
      <c r="BR171" t="s">
        <v>2047</v>
      </c>
      <c r="BS171">
        <v>125</v>
      </c>
      <c r="BT171">
        <v>111</v>
      </c>
      <c r="BU171" s="144">
        <f>BT171/BS171</f>
        <v>0.88800000000000001</v>
      </c>
      <c r="BV171">
        <f>BT171-BS171</f>
        <v>-14</v>
      </c>
      <c r="BW171"/>
      <c r="BX171">
        <f>BV171*C_to_CO2</f>
        <v>-51.379999999999995</v>
      </c>
      <c r="BY171">
        <f>IFERROR(BX171/BO171,"")</f>
        <v>-0.93245185185185175</v>
      </c>
      <c r="BZ171">
        <v>0</v>
      </c>
      <c r="CA171">
        <v>0</v>
      </c>
      <c r="CB171">
        <v>0</v>
      </c>
      <c r="CC171">
        <v>0</v>
      </c>
      <c r="CD171">
        <v>0</v>
      </c>
      <c r="CE171">
        <v>0</v>
      </c>
      <c r="CF171">
        <v>0</v>
      </c>
      <c r="CG171">
        <v>0</v>
      </c>
      <c r="CH171">
        <v>0</v>
      </c>
      <c r="CI171">
        <v>0</v>
      </c>
      <c r="CJ171">
        <v>0</v>
      </c>
      <c r="CK171">
        <v>0</v>
      </c>
      <c r="CL171">
        <v>0</v>
      </c>
      <c r="CM171">
        <v>1</v>
      </c>
      <c r="CN171" t="str">
        <f>IF($BL171&lt;$BK171,"refNeedCorrection","refOK")</f>
        <v>refOK</v>
      </c>
      <c r="CO171">
        <f>IF($CN171="refOK",$BK171,$BL171)</f>
        <v>0</v>
      </c>
      <c r="CP171">
        <f>IF($CN171="refOK",$BL171,$BK171)</f>
        <v>27</v>
      </c>
      <c r="CQ171">
        <f>IF($CN171="refOK",$BO171,-$BO171)</f>
        <v>55.102040816326529</v>
      </c>
      <c r="CR171">
        <f>IF($CN171="refOK",$BS171,$BT171)*IF($BP171="Emissions positive",-1,1)</f>
        <v>125</v>
      </c>
      <c r="CS171">
        <f>IF($CN171="refOK",$BT171,$BS171)*IF($BP171="Emissions positive",-1,1)</f>
        <v>111</v>
      </c>
      <c r="CT171">
        <f>IF($CN171="refNeedCorrection",-BX171,BX171)*IF($BP171="Emissions positive",-1,1)</f>
        <v>-51.379999999999995</v>
      </c>
      <c r="CU171">
        <f>IFERROR(CT171/CQ171,"")</f>
        <v>-0.93245185185185175</v>
      </c>
      <c r="CV171" s="2">
        <f>IFERROR((CS171-CR171)/ABS(CR171),"")</f>
        <v>-0.112</v>
      </c>
      <c r="CW171" s="1" t="s">
        <v>2036</v>
      </c>
      <c r="CX171" t="str">
        <f>IF(OR($CW171="prd",$CW171="std",$CW171="cit"),"loc",IF(OR($CW171="eur",$CW171="reg",$CW171="coy"),"reg",$CW171))</f>
        <v>reg</v>
      </c>
      <c r="CY171" t="s">
        <v>520</v>
      </c>
      <c r="CZ171"/>
      <c r="DA171"/>
      <c r="DB171">
        <v>120</v>
      </c>
      <c r="DC171" t="str">
        <f>IF(DB171=0,"0",IF(AND(DB171&gt;=1,DB171&lt;=30),"1-30",IF(AND(DB171&gt;30,DB171&lt;=70),"31-70",IF(AND(DB171&gt;70,DB171&lt;=100),"71-100",IF(DB171&gt;100,"+100")))))</f>
        <v>+100</v>
      </c>
      <c r="DD171">
        <v>1</v>
      </c>
      <c r="DE171">
        <v>0</v>
      </c>
      <c r="DF171">
        <v>0</v>
      </c>
      <c r="DG171">
        <v>0</v>
      </c>
      <c r="DH171">
        <v>0</v>
      </c>
      <c r="DI171">
        <f>SUM(DD171:DG171)</f>
        <v>1</v>
      </c>
      <c r="DJ171" t="str">
        <f>IF(DI171=1,INDEX($DD$7:$DG$7,MATCH(1,$DD171:$DG171,0)),"mixedProduct")</f>
        <v>UpstreamInput</v>
      </c>
      <c r="DK171" t="str">
        <f>IF(DD171=1,DK$7,0)</f>
        <v>Upstream</v>
      </c>
      <c r="DL171">
        <f>IF(DE171=1,DL$7,0)</f>
        <v>0</v>
      </c>
      <c r="DM171">
        <f>IF(DF171=1,DM$7,0)</f>
        <v>0</v>
      </c>
      <c r="DN171">
        <f>IF(DG171=1,DN$7,0)</f>
        <v>0</v>
      </c>
      <c r="DO171"/>
      <c r="DP171"/>
      <c r="DQ171"/>
      <c r="DR171"/>
      <c r="DS171"/>
      <c r="DT171"/>
      <c r="DU171" s="143" t="str">
        <f>IF(DO171=1,"self-calculated DF",IF(DP171=1,"external DF used","explicit C balance"))</f>
        <v>explicit C balance</v>
      </c>
      <c r="DV171">
        <v>1</v>
      </c>
      <c r="DW171">
        <v>1</v>
      </c>
      <c r="DX171">
        <v>1</v>
      </c>
      <c r="DY171">
        <v>0</v>
      </c>
      <c r="DZ171">
        <v>0</v>
      </c>
      <c r="EA171" s="143">
        <v>0</v>
      </c>
      <c r="EB171">
        <v>0</v>
      </c>
      <c r="EC171">
        <v>0</v>
      </c>
      <c r="ED171">
        <v>0</v>
      </c>
      <c r="EE171">
        <v>0</v>
      </c>
      <c r="EF171">
        <v>1</v>
      </c>
      <c r="EG171">
        <v>0</v>
      </c>
      <c r="EH171">
        <v>0</v>
      </c>
      <c r="EI171" s="2">
        <v>0</v>
      </c>
      <c r="EJ171" s="1"/>
      <c r="EK171" t="str">
        <f>IF(AND(AND(AND(OR($DX171=1,$DW171=1),OR($EC171=1,$EA171=1)),SUM($DV171:$DZ171,$EF171)&gt;=4),SUM($EA171:$EE171)&gt;=2),"Whole sector","")</f>
        <v/>
      </c>
      <c r="EL171" t="str">
        <f>IF(AND(AND(OR($DX171=1,$DW171=1),AND($EC171=0,$EA171=0)),SUM($DV171:$DZ171,$EF171)&gt;=4),"Ecosystem approach","")</f>
        <v>Ecosystem approach</v>
      </c>
      <c r="EM171" s="2" t="str">
        <f>IF(AND(AND(AND($DX171=0,$DW171=0),OR($EC171=1,$EA171=1)),SUM($EB171:$EE171)&gt;=2),"Technology approach","")</f>
        <v/>
      </c>
      <c r="EN171"/>
      <c r="EO171"/>
      <c r="EP171" t="str">
        <f>IF(ISNUMBER(BU171),IF(ABS(BU171-[1]QC_indicators!$B$2)&gt;3*[1]QC_indicators!$C$2,"C ratio",IF(ISNUMBER(BY171),IF(ABS(BY171-[1]QC_indicators!$B$1)&gt;3*[1]QC_indicators!$C$1,"DF","no"))),IF(ISNUMBER(BY171),IF(ABS(BY171-[1]QC_indicators!$B$1)&gt;3*[1]QC_indicators!$C$1,"DF","no")))</f>
        <v>no</v>
      </c>
      <c r="EQ171"/>
      <c r="ER171"/>
      <c r="ES171"/>
      <c r="ET171" s="264" t="s">
        <v>3097</v>
      </c>
      <c r="EU171"/>
    </row>
    <row r="172" spans="1:151" s="139" customFormat="1" ht="15" customHeight="1">
      <c r="A172" s="1" t="s">
        <v>265</v>
      </c>
      <c r="B172" t="s">
        <v>1531</v>
      </c>
      <c r="C172" t="s">
        <v>1532</v>
      </c>
      <c r="D172" t="s">
        <v>1533</v>
      </c>
      <c r="E172" t="s">
        <v>1534</v>
      </c>
      <c r="F172" t="s">
        <v>1535</v>
      </c>
      <c r="G172" t="s">
        <v>271</v>
      </c>
      <c r="H172" t="s">
        <v>254</v>
      </c>
      <c r="I172">
        <v>2019</v>
      </c>
      <c r="J172">
        <v>26</v>
      </c>
      <c r="K172" t="s">
        <v>1536</v>
      </c>
      <c r="L172"/>
      <c r="M172" t="str">
        <f>LEFT($D172,FIND(",",$D172)-1)&amp;"_"&amp;I172&amp;L172</f>
        <v>Faraca_2019</v>
      </c>
      <c r="N172" t="s">
        <v>222</v>
      </c>
      <c r="O172" s="145" t="s">
        <v>274</v>
      </c>
      <c r="P172" s="180" t="s">
        <v>223</v>
      </c>
      <c r="Q172" t="s">
        <v>256</v>
      </c>
      <c r="R172" s="262" t="s">
        <v>223</v>
      </c>
      <c r="S172" s="263" t="s">
        <v>3120</v>
      </c>
      <c r="T172" t="s">
        <v>1543</v>
      </c>
      <c r="U172" t="s">
        <v>1544</v>
      </c>
      <c r="V172">
        <v>0</v>
      </c>
      <c r="W172">
        <v>0</v>
      </c>
      <c r="X172">
        <v>0</v>
      </c>
      <c r="Y172">
        <v>0</v>
      </c>
      <c r="Z172">
        <v>0</v>
      </c>
      <c r="AA172">
        <v>0</v>
      </c>
      <c r="AB172">
        <v>0</v>
      </c>
      <c r="AC172">
        <v>0</v>
      </c>
      <c r="AD172">
        <v>0</v>
      </c>
      <c r="AE172">
        <v>0</v>
      </c>
      <c r="AF172">
        <v>0</v>
      </c>
      <c r="AG172">
        <v>0</v>
      </c>
      <c r="AH172">
        <v>0</v>
      </c>
      <c r="AI172">
        <v>1</v>
      </c>
      <c r="AJ172">
        <v>0</v>
      </c>
      <c r="AK172">
        <v>0</v>
      </c>
      <c r="AL172">
        <v>0</v>
      </c>
      <c r="AM172">
        <v>0</v>
      </c>
      <c r="AN172">
        <v>0</v>
      </c>
      <c r="AO172">
        <v>0</v>
      </c>
      <c r="AP172">
        <v>0</v>
      </c>
      <c r="AQ172">
        <v>0</v>
      </c>
      <c r="AR172">
        <v>0</v>
      </c>
      <c r="AS172">
        <v>0</v>
      </c>
      <c r="AT172">
        <v>0</v>
      </c>
      <c r="AU172">
        <v>0</v>
      </c>
      <c r="AV172">
        <v>0</v>
      </c>
      <c r="AW172">
        <v>0</v>
      </c>
      <c r="AX172" s="141">
        <f>COUNTIF(V172:AW172,"&lt;&gt;0")</f>
        <v>1</v>
      </c>
      <c r="AY172" s="141">
        <f>COUNTIF(V172:AL172,"&lt;&gt;0")</f>
        <v>1</v>
      </c>
      <c r="AZ172">
        <f>COUNTIF(V172:AC172,"&lt;&gt;0")</f>
        <v>0</v>
      </c>
      <c r="BA172">
        <f>COUNTIF(AD172:AI172,"&lt;&gt;0")</f>
        <v>1</v>
      </c>
      <c r="BB172">
        <f>COUNTIF(AJ172:AL172,"&lt;&gt;0")</f>
        <v>0</v>
      </c>
      <c r="BC172">
        <f>COUNTIF(AS172:AW172,"&lt;&gt;0")</f>
        <v>0</v>
      </c>
      <c r="BD172">
        <f>COUNTIF(AM172:AR172,"&lt;&gt;0")</f>
        <v>0</v>
      </c>
      <c r="BE172" t="str">
        <f t="array" ref="BE172">IF(AY172=1,INDEX($V$7:$AL$7,MATCH(TRUE,INDEX($V172:$AW172&lt;&gt;0,),0)),IF(AY172=0,INDEX($AM$7:$AW$7,MATCH(1,$AM172:$AW172,0)),IF(BF172="Multiple strategies","mixed drivers",IF(BF172="Supply chain","multiple supply","multiple silviculture"))))</f>
        <v>products lifespan</v>
      </c>
      <c r="BF172" s="2" t="str" cm="1">
        <f t="array" ref="BF172">IF(COUNTIF(AZ172:BB172,"&lt;&gt;0")=1,INDEX($V$4:$AW$4,MATCH(TRUE,INDEX($V172:$AW172&lt;&gt;0,),0)),IF(COUNTIF(AZ172:BB172,"&lt;&gt;0")=0,INDEX($AM$4:$AW$4,MATCH(1,$AM172:$AW172,0)),"Multiple strategies"))</f>
        <v>Supply chain</v>
      </c>
      <c r="BG172" s="1" t="s">
        <v>229</v>
      </c>
      <c r="BH172" t="s">
        <v>1548</v>
      </c>
      <c r="BI172" s="264" t="s">
        <v>3121</v>
      </c>
      <c r="BJ172" t="s">
        <v>345</v>
      </c>
      <c r="BK172">
        <v>478</v>
      </c>
      <c r="BL172">
        <v>638</v>
      </c>
      <c r="BM172">
        <v>1</v>
      </c>
      <c r="BN172">
        <f>BL172-BK172</f>
        <v>160</v>
      </c>
      <c r="BO172">
        <f>BN172*kg_to_m3</f>
        <v>0.32653061224489799</v>
      </c>
      <c r="BP172" t="s">
        <v>395</v>
      </c>
      <c r="BQ172" s="301" t="s">
        <v>426</v>
      </c>
      <c r="BR172" t="s">
        <v>728</v>
      </c>
      <c r="BS172">
        <v>-393.1</v>
      </c>
      <c r="BT172">
        <v>-89.7</v>
      </c>
      <c r="BU172" s="144">
        <v>-0.63186813186813184</v>
      </c>
      <c r="BV172">
        <f>BT172-BS172</f>
        <v>303.40000000000003</v>
      </c>
      <c r="BW172"/>
      <c r="BX172">
        <f>BV172/1000</f>
        <v>0.30340000000000006</v>
      </c>
      <c r="BY172">
        <f>IFERROR(BX172/BO172,"")</f>
        <v>0.92916250000000011</v>
      </c>
      <c r="BZ172">
        <v>0</v>
      </c>
      <c r="CA172">
        <v>0</v>
      </c>
      <c r="CB172">
        <v>0</v>
      </c>
      <c r="CC172">
        <v>0</v>
      </c>
      <c r="CD172">
        <v>0</v>
      </c>
      <c r="CE172">
        <v>0</v>
      </c>
      <c r="CF172">
        <v>0</v>
      </c>
      <c r="CG172">
        <v>0</v>
      </c>
      <c r="CH172">
        <v>0</v>
      </c>
      <c r="CI172">
        <v>0</v>
      </c>
      <c r="CJ172">
        <v>0</v>
      </c>
      <c r="CK172">
        <v>0</v>
      </c>
      <c r="CL172">
        <v>0</v>
      </c>
      <c r="CM172">
        <v>0</v>
      </c>
      <c r="CN172" t="str">
        <f>IF($BL172&lt;$BK172,"refNeedCorrection","refOK")</f>
        <v>refOK</v>
      </c>
      <c r="CO172">
        <f>IF($CN172="refNeedCorrection",BK172,BL172)</f>
        <v>638</v>
      </c>
      <c r="CP172">
        <f>IF($CN172="refNeedCorrection",BL172,BK172)</f>
        <v>478</v>
      </c>
      <c r="CQ172">
        <f>IF($CN172="refOK",$BO172,-$BO172)</f>
        <v>0.32653061224489799</v>
      </c>
      <c r="CR172">
        <f>IF($CN172="refOK",$BS172,$BT172)*IF($BP172="Emissions positive",-1,1)</f>
        <v>393.1</v>
      </c>
      <c r="CS172">
        <f>IF($CN172="refOK",$BT172,$BS172)*IF($BP172="Emissions positive",-1,1)</f>
        <v>89.7</v>
      </c>
      <c r="CT172">
        <f>IF($CN172="refNeedCorrection",-BX172,BX172)*IF($BP172="Emissions positive",-1,1)</f>
        <v>-0.30340000000000006</v>
      </c>
      <c r="CU172">
        <f>IFERROR(CT172/CQ172,"")</f>
        <v>-0.92916250000000011</v>
      </c>
      <c r="CV172" s="2">
        <f>IFERROR((CS172-CR172)/ABS(CR172),"")</f>
        <v>-0.77181378784024424</v>
      </c>
      <c r="CW172" s="1" t="s">
        <v>1199</v>
      </c>
      <c r="CX172" t="str">
        <f>IF(OR($CW172="prd",$CW172="std",$CW172="cit"),"loc",IF(OR($CW172="eur",$CW172="reg",$CW172="coy"),"reg",$CW172))</f>
        <v>reg</v>
      </c>
      <c r="CY172" t="s">
        <v>1540</v>
      </c>
      <c r="CZ172"/>
      <c r="DA172"/>
      <c r="DB172">
        <v>100</v>
      </c>
      <c r="DC172" t="str">
        <f>IF(DB172=0,"0",IF(AND(DB172&gt;=1,DB172&lt;=30),"1-30",IF(AND(DB172&gt;30,DB172&lt;=70),"31-70",IF(AND(DB172&gt;70,DB172&lt;=100),"71-100",IF(DB172&gt;100,"+100")))))</f>
        <v>71-100</v>
      </c>
      <c r="DD172">
        <v>0</v>
      </c>
      <c r="DE172">
        <v>0</v>
      </c>
      <c r="DF172">
        <v>0</v>
      </c>
      <c r="DG172">
        <v>1</v>
      </c>
      <c r="DH172"/>
      <c r="DI172">
        <f>SUM(DD172:DG172)</f>
        <v>1</v>
      </c>
      <c r="DJ172" t="str">
        <f>IF(DI172=1,INDEX($DD$7:$DG$7,MATCH(1,$DD172:$DG172,0)),"mixedProduct")</f>
        <v>TimberInput</v>
      </c>
      <c r="DK172">
        <f>IF(DD172=1,DK$7,0)</f>
        <v>0</v>
      </c>
      <c r="DL172">
        <f>IF(DE172=1,DL$7,0)</f>
        <v>0</v>
      </c>
      <c r="DM172">
        <f>IF(DF172=1,DM$7,0)</f>
        <v>0</v>
      </c>
      <c r="DN172" t="str">
        <f>IF(DG172=1,DN$7,0)</f>
        <v>Timber</v>
      </c>
      <c r="DO172">
        <v>0</v>
      </c>
      <c r="DP172">
        <v>1</v>
      </c>
      <c r="DQ172">
        <v>0</v>
      </c>
      <c r="DR172">
        <v>0</v>
      </c>
      <c r="DS172" t="s">
        <v>1541</v>
      </c>
      <c r="DT172">
        <f>SUM(DO172:DP172)</f>
        <v>1</v>
      </c>
      <c r="DU172" s="143" t="str">
        <f>IF(DO172=1,"self-calculated DF",IF(DP172=1,"external DF used","explicit C balance"))</f>
        <v>external DF used</v>
      </c>
      <c r="DV172">
        <v>0</v>
      </c>
      <c r="DW172">
        <v>0</v>
      </c>
      <c r="DX172">
        <v>0</v>
      </c>
      <c r="DY172">
        <v>0</v>
      </c>
      <c r="DZ172">
        <v>1</v>
      </c>
      <c r="EA172" s="143">
        <v>1</v>
      </c>
      <c r="EB172">
        <v>0</v>
      </c>
      <c r="EC172">
        <v>1</v>
      </c>
      <c r="ED172">
        <v>0</v>
      </c>
      <c r="EE172">
        <v>1</v>
      </c>
      <c r="EF172">
        <v>1</v>
      </c>
      <c r="EG172">
        <v>1</v>
      </c>
      <c r="EH172">
        <v>0</v>
      </c>
      <c r="EI172" s="2">
        <v>0</v>
      </c>
      <c r="EJ172" s="1"/>
      <c r="EK172" t="str">
        <f>IF(AND(AND(AND(OR($DX172=1,$DW172=1),OR($EC172=1,$EA172=1)),SUM($DV172:$DZ172,$EF172)&gt;=4),SUM($EA172:$EE172)&gt;=2),"Whole sector","")</f>
        <v/>
      </c>
      <c r="EL172" t="str">
        <f>IF(AND(AND(OR($DX172=1,$DW172=1),AND($EC172=0,$EA172=0)),SUM($DV172:$DZ172,$EF172)&gt;=4),"Ecosystem approach","")</f>
        <v/>
      </c>
      <c r="EM172" s="2" t="str">
        <f>IF(AND(AND(AND($DX172=0,$DW172=0),OR($EC172=1,$EA172=1)),SUM($EB172:$EE172)&gt;=2),"Technology approach","")</f>
        <v>Technology approach</v>
      </c>
      <c r="EN172"/>
      <c r="EO172"/>
      <c r="EP172" t="str">
        <f>IF(ISNUMBER(BU172),IF(ABS(BU172-[1]QC_indicators!$B$2)&gt;3*[1]QC_indicators!$C$2,"C ratio",IF(ISNUMBER(BY172),IF(ABS(BY172-[1]QC_indicators!$B$1)&gt;3*[1]QC_indicators!$C$1,"DF","no"))),IF(ISNUMBER(BY172),IF(ABS(BY172-[1]QC_indicators!$B$1)&gt;3*[1]QC_indicators!$C$1,"DF","no")))</f>
        <v>no</v>
      </c>
      <c r="EQ172"/>
      <c r="ER172"/>
      <c r="ES172"/>
      <c r="ET172" s="264" t="s">
        <v>3273</v>
      </c>
      <c r="EU172"/>
    </row>
    <row r="173" spans="1:151" s="139" customFormat="1" ht="15" customHeight="1">
      <c r="A173" s="1" t="s">
        <v>1286</v>
      </c>
      <c r="B173" t="s">
        <v>1336</v>
      </c>
      <c r="C173" t="s">
        <v>1337</v>
      </c>
      <c r="D173" t="s">
        <v>1338</v>
      </c>
      <c r="E173" t="s">
        <v>1339</v>
      </c>
      <c r="F173" t="s">
        <v>1340</v>
      </c>
      <c r="G173" t="s">
        <v>1292</v>
      </c>
      <c r="H173" t="s">
        <v>254</v>
      </c>
      <c r="I173">
        <v>2016</v>
      </c>
      <c r="J173">
        <v>27</v>
      </c>
      <c r="K173" t="s">
        <v>1341</v>
      </c>
      <c r="L173"/>
      <c r="M173" t="str">
        <f>LEFT($D173,FIND(",",$D173)-1)&amp;"_"&amp;I173&amp;L173</f>
        <v>Braun_2016</v>
      </c>
      <c r="N173" t="s">
        <v>222</v>
      </c>
      <c r="O173" s="145" t="s">
        <v>223</v>
      </c>
      <c r="P173"/>
      <c r="Q173" t="s">
        <v>256</v>
      </c>
      <c r="R173" s="255" t="s">
        <v>225</v>
      </c>
      <c r="S173" s="1" t="s">
        <v>1348</v>
      </c>
      <c r="T173" t="s">
        <v>1343</v>
      </c>
      <c r="U173" t="s">
        <v>1349</v>
      </c>
      <c r="V173">
        <v>0</v>
      </c>
      <c r="W173">
        <v>0</v>
      </c>
      <c r="X173">
        <v>0</v>
      </c>
      <c r="Y173">
        <v>1</v>
      </c>
      <c r="Z173">
        <v>0</v>
      </c>
      <c r="AA173">
        <v>0</v>
      </c>
      <c r="AB173">
        <v>0</v>
      </c>
      <c r="AC173">
        <v>0</v>
      </c>
      <c r="AD173">
        <v>0</v>
      </c>
      <c r="AE173">
        <v>0</v>
      </c>
      <c r="AF173">
        <v>2</v>
      </c>
      <c r="AG173">
        <v>0</v>
      </c>
      <c r="AH173">
        <v>0</v>
      </c>
      <c r="AI173">
        <v>0</v>
      </c>
      <c r="AJ173">
        <v>0</v>
      </c>
      <c r="AK173">
        <v>0</v>
      </c>
      <c r="AL173">
        <v>0</v>
      </c>
      <c r="AM173">
        <v>0</v>
      </c>
      <c r="AN173">
        <v>0</v>
      </c>
      <c r="AO173">
        <v>0</v>
      </c>
      <c r="AP173">
        <v>0</v>
      </c>
      <c r="AQ173">
        <v>0</v>
      </c>
      <c r="AR173">
        <v>0</v>
      </c>
      <c r="AS173">
        <v>0</v>
      </c>
      <c r="AT173">
        <v>0</v>
      </c>
      <c r="AU173">
        <v>0</v>
      </c>
      <c r="AV173">
        <v>0</v>
      </c>
      <c r="AW173">
        <v>0</v>
      </c>
      <c r="AX173" s="141">
        <f>COUNTIF(V173:AW173,"&lt;&gt;0")</f>
        <v>2</v>
      </c>
      <c r="AY173" s="141">
        <f>COUNTIF(V173:AL173,"&lt;&gt;0")</f>
        <v>2</v>
      </c>
      <c r="AZ173">
        <f>COUNTIF(V173:AC173,"&lt;&gt;0")</f>
        <v>1</v>
      </c>
      <c r="BA173">
        <f>COUNTIF(AD173:AI173,"&lt;&gt;0")</f>
        <v>1</v>
      </c>
      <c r="BB173">
        <f>COUNTIF(AJ173:AL173,"&lt;&gt;0")</f>
        <v>0</v>
      </c>
      <c r="BC173">
        <f>COUNTIF(AS173:AW173,"&lt;&gt;0")</f>
        <v>0</v>
      </c>
      <c r="BD173">
        <f>COUNTIF(AM173:AR173,"&lt;&gt;0")</f>
        <v>0</v>
      </c>
      <c r="BE173" t="str">
        <f t="array" ref="BE173">IF(AY173=1,INDEX($V$7:$AL$7,MATCH(TRUE,INDEX($V173:$AW173&lt;&gt;0,),0)),IF(AY173=0,INDEX($AM$7:$AW$7,MATCH(1,$AM173:$AW173,0)),IF(BF173="Multiple strategies","mixed drivers",IF(BF173="Supply chain","multiple supply","multiple silviculture"))))</f>
        <v>mixed drivers</v>
      </c>
      <c r="BF173" s="2" t="str" cm="1">
        <f t="array" ref="BF173">IF(COUNTIF(AZ173:BB173,"&lt;&gt;0")=1,INDEX($V$4:$AW$4,MATCH(TRUE,INDEX($V173:$AW173&lt;&gt;0,),0)),IF(COUNTIF(AZ173:BB173,"&lt;&gt;0")=0,INDEX($AM$4:$AW$4,MATCH(1,$AM173:$AW173,0)),"Multiple strategies"))</f>
        <v>Multiple strategies</v>
      </c>
      <c r="BG173" s="1" t="s">
        <v>229</v>
      </c>
      <c r="BH173" t="s">
        <v>1344</v>
      </c>
      <c r="BI173" s="260" t="s">
        <v>3277</v>
      </c>
      <c r="BJ173" t="s">
        <v>1345</v>
      </c>
      <c r="BK173">
        <v>1.1674521913429727</v>
      </c>
      <c r="BL173">
        <v>1.9442734851451886</v>
      </c>
      <c r="BM173">
        <f>BL173/BK173</f>
        <v>1.6653988056749489</v>
      </c>
      <c r="BN173">
        <f>BL173-BK173</f>
        <v>0.77682129380221587</v>
      </c>
      <c r="BO173">
        <f>BN173*10^9</f>
        <v>776821293.80221581</v>
      </c>
      <c r="BP173" t="s">
        <v>232</v>
      </c>
      <c r="BQ173" s="300" t="s">
        <v>3278</v>
      </c>
      <c r="BR173" t="s">
        <v>1346</v>
      </c>
      <c r="BS173" s="264">
        <v>1.93686006825938</v>
      </c>
      <c r="BT173" s="264">
        <v>1.22013651877133</v>
      </c>
      <c r="BU173" s="144">
        <f>IFERROR(BT173/BS173,"")</f>
        <v>0.62995594713656522</v>
      </c>
      <c r="BV173">
        <f>BT173-BS173</f>
        <v>-0.71672354948804995</v>
      </c>
      <c r="BW173"/>
      <c r="BX173">
        <f>BV173*10^9</f>
        <v>-716723549.48804998</v>
      </c>
      <c r="BY173">
        <f>IFERROR(BX173/BO173,"")</f>
        <v>-0.92263633245683507</v>
      </c>
      <c r="BZ173" s="143">
        <v>0</v>
      </c>
      <c r="CA173" s="143">
        <v>0</v>
      </c>
      <c r="CB173" s="143">
        <v>0</v>
      </c>
      <c r="CC173" s="143">
        <v>0</v>
      </c>
      <c r="CD173" s="143">
        <v>0</v>
      </c>
      <c r="CE173" s="143">
        <v>0</v>
      </c>
      <c r="CF173" s="143">
        <v>0</v>
      </c>
      <c r="CG173" s="143">
        <v>0</v>
      </c>
      <c r="CH173" s="143">
        <v>0</v>
      </c>
      <c r="CI173" s="143">
        <v>0</v>
      </c>
      <c r="CJ173" s="143">
        <v>0</v>
      </c>
      <c r="CK173" s="143">
        <v>0</v>
      </c>
      <c r="CL173" s="143">
        <v>0</v>
      </c>
      <c r="CM173">
        <v>0</v>
      </c>
      <c r="CN173" t="str">
        <f>IF($BL173&lt;$BK173,"refNeedCorrection","refOK")</f>
        <v>refOK</v>
      </c>
      <c r="CO173">
        <f>IF($CN173="refOK",$BK173,$BL173)</f>
        <v>1.1674521913429727</v>
      </c>
      <c r="CP173">
        <f>IF($CN173="refOK",$BL173,$BK173)</f>
        <v>1.9442734851451886</v>
      </c>
      <c r="CQ173">
        <f>IF($CN173="refOK",$BO173,-$BO173)</f>
        <v>776821293.80221581</v>
      </c>
      <c r="CR173">
        <f>IF($CN173="refOK",$BS173,$BT173)*IF($BP173="Emissions positive",-1,1)</f>
        <v>1.93686006825938</v>
      </c>
      <c r="CS173">
        <f>IF($CN173="refOK",$BT173,$BS173)*IF($BP173="Emissions positive",-1,1)</f>
        <v>1.22013651877133</v>
      </c>
      <c r="CT173">
        <f>IF($CN173="refNeedCorrection",-BX173,BX173)*IF($BP173="Emissions positive",-1,1)</f>
        <v>-716723549.48804998</v>
      </c>
      <c r="CU173">
        <f>IFERROR(CT173/CQ173,"")</f>
        <v>-0.92263633245683507</v>
      </c>
      <c r="CV173" s="2">
        <f>IFERROR((CS173-CR173)/ABS(CR173),"")</f>
        <v>-0.37004405286343484</v>
      </c>
      <c r="CW173" s="1" t="s">
        <v>1203</v>
      </c>
      <c r="CX173" t="str">
        <f>IF(OR($CW173="prd",$CW173="std",$CW173="cit"),"loc",IF(OR($CW173="eur",$CW173="reg",$CW173="coy"),"reg",$CW173))</f>
        <v>reg</v>
      </c>
      <c r="CY173" t="s">
        <v>666</v>
      </c>
      <c r="CZ173">
        <v>2010</v>
      </c>
      <c r="DA173">
        <v>2100</v>
      </c>
      <c r="DB173">
        <f>DA173-CZ173</f>
        <v>90</v>
      </c>
      <c r="DC173" t="str">
        <f>IF(DB173=0,"0",IF(AND(DB173&gt;=1,DB173&lt;=30),"1-30",IF(AND(DB173&gt;30,DB173&lt;=70),"31-70",IF(AND(DB173&gt;70,DB173&lt;=100),"71-100",IF(DB173&gt;100,"+100")))))</f>
        <v>71-100</v>
      </c>
      <c r="DD173">
        <v>0</v>
      </c>
      <c r="DE173">
        <v>1</v>
      </c>
      <c r="DF173">
        <v>1</v>
      </c>
      <c r="DG173">
        <v>1</v>
      </c>
      <c r="DH173"/>
      <c r="DI173">
        <f>SUM(DD173:DG173)</f>
        <v>3</v>
      </c>
      <c r="DJ173" t="str">
        <f>IF(DI173=1,INDEX($DD$7:$DG$7,MATCH(1,$DD173:$DG173,0)),"mixedProduct")</f>
        <v>mixedProduct</v>
      </c>
      <c r="DK173">
        <f>IF(DD173=1,DK$7,0)</f>
        <v>0</v>
      </c>
      <c r="DL173" t="str">
        <f>IF(DE173=1,DL$7,0)</f>
        <v>Energy</v>
      </c>
      <c r="DM173" t="str">
        <f>IF(DF173=1,DM$7,0)</f>
        <v>Pulp/Paper</v>
      </c>
      <c r="DN173" t="str">
        <f>IF(DG173=1,DN$7,0)</f>
        <v>Timber</v>
      </c>
      <c r="DO173">
        <v>1</v>
      </c>
      <c r="DP173" s="143">
        <v>0</v>
      </c>
      <c r="DQ173" s="143">
        <v>0</v>
      </c>
      <c r="DR173" s="143">
        <v>0</v>
      </c>
      <c r="DS173">
        <v>0</v>
      </c>
      <c r="DT173">
        <f>SUM(DO173:DP173)</f>
        <v>1</v>
      </c>
      <c r="DU173" s="143" t="str">
        <f>IF(DO173=1,"self-calculated DF",IF(DP173=1,"external DF used","explicit C balance"))</f>
        <v>self-calculated DF</v>
      </c>
      <c r="DV173">
        <v>1</v>
      </c>
      <c r="DW173" s="143">
        <v>1</v>
      </c>
      <c r="DX173" s="143">
        <v>1</v>
      </c>
      <c r="DY173" s="143">
        <v>1</v>
      </c>
      <c r="DZ173">
        <v>1</v>
      </c>
      <c r="EA173" s="141">
        <v>1</v>
      </c>
      <c r="EB173">
        <v>0</v>
      </c>
      <c r="EC173" s="143">
        <v>1</v>
      </c>
      <c r="ED173" s="143">
        <v>1</v>
      </c>
      <c r="EE173">
        <v>0</v>
      </c>
      <c r="EF173">
        <v>1</v>
      </c>
      <c r="EG173" s="143">
        <v>0</v>
      </c>
      <c r="EH173" s="143">
        <v>0</v>
      </c>
      <c r="EI173" s="2">
        <v>0</v>
      </c>
      <c r="EJ173" s="1"/>
      <c r="EK173" t="str">
        <f>IF(AND(AND(AND(OR($DX173=1,$DW173=1),OR($EC173=1,$EA173=1)),SUM($DV173:$DZ173,$EF173)&gt;=4),SUM($EA173:$EE173)&gt;=2),"Whole sector","")</f>
        <v>Whole sector</v>
      </c>
      <c r="EL173" t="str">
        <f>IF(AND(AND(OR($DX173=1,$DW173=1),AND($EC173=0,$EA173=0)),SUM($DV173:$DZ173,$EF173)&gt;=4),"Ecosystem approach","")</f>
        <v/>
      </c>
      <c r="EM173" s="2" t="str">
        <f>IF(AND(AND(AND($DX173=0,$DW173=0),OR($EC173=1,$EA173=1)),SUM($EB173:$EE173)&gt;=2),"Technology approach","")</f>
        <v/>
      </c>
      <c r="EN173" t="s">
        <v>3283</v>
      </c>
      <c r="EO173"/>
      <c r="EP173" t="str">
        <f>IF(ISNUMBER(BU173),IF(ABS(BU173-[4]QC_indicators!$B$2)&gt;3*[4]QC_indicators!$C$2,"C ratio",IF(ISNUMBER(BY173),IF(ABS(BY173-[4]QC_indicators!$B$1)&gt;3*[4]QC_indicators!$C$1,"DF","no"))),IF(ISNUMBER(BY173),IF(ABS(BY173-[4]QC_indicators!$B$1)&gt;3*[4]QC_indicators!$C$1,"DF","no")))</f>
        <v>no</v>
      </c>
      <c r="EQ173"/>
      <c r="ER173"/>
      <c r="ES173"/>
      <c r="ET173" s="264" t="s">
        <v>3273</v>
      </c>
      <c r="EU173"/>
    </row>
    <row r="174" spans="1:151" s="139" customFormat="1" ht="15" customHeight="1">
      <c r="A174" s="1" t="s">
        <v>1286</v>
      </c>
      <c r="B174" t="s">
        <v>1336</v>
      </c>
      <c r="C174" t="s">
        <v>1337</v>
      </c>
      <c r="D174" t="s">
        <v>1338</v>
      </c>
      <c r="E174" t="s">
        <v>1339</v>
      </c>
      <c r="F174" t="s">
        <v>1340</v>
      </c>
      <c r="G174" t="s">
        <v>1292</v>
      </c>
      <c r="H174" t="s">
        <v>254</v>
      </c>
      <c r="I174">
        <v>2016</v>
      </c>
      <c r="J174">
        <v>27</v>
      </c>
      <c r="K174" t="s">
        <v>1341</v>
      </c>
      <c r="L174"/>
      <c r="M174" t="str">
        <f>LEFT($D174,FIND(",",$D174)-1)&amp;"_"&amp;I174&amp;L174</f>
        <v>Braun_2016</v>
      </c>
      <c r="N174" t="s">
        <v>222</v>
      </c>
      <c r="O174" s="145" t="s">
        <v>223</v>
      </c>
      <c r="P174"/>
      <c r="Q174" t="s">
        <v>256</v>
      </c>
      <c r="R174" s="255" t="s">
        <v>225</v>
      </c>
      <c r="S174" s="1" t="s">
        <v>1348</v>
      </c>
      <c r="T174" t="s">
        <v>1343</v>
      </c>
      <c r="U174" t="s">
        <v>1351</v>
      </c>
      <c r="V174">
        <v>0</v>
      </c>
      <c r="W174">
        <v>0</v>
      </c>
      <c r="X174">
        <v>0</v>
      </c>
      <c r="Y174">
        <v>0</v>
      </c>
      <c r="Z174">
        <v>0</v>
      </c>
      <c r="AA174">
        <v>0</v>
      </c>
      <c r="AB174">
        <v>0</v>
      </c>
      <c r="AC174">
        <v>0</v>
      </c>
      <c r="AD174">
        <v>0</v>
      </c>
      <c r="AE174">
        <v>0</v>
      </c>
      <c r="AF174">
        <v>1</v>
      </c>
      <c r="AG174">
        <v>0</v>
      </c>
      <c r="AH174">
        <v>0</v>
      </c>
      <c r="AI174">
        <v>0</v>
      </c>
      <c r="AJ174">
        <v>0</v>
      </c>
      <c r="AK174">
        <v>0</v>
      </c>
      <c r="AL174">
        <v>0</v>
      </c>
      <c r="AM174">
        <v>0</v>
      </c>
      <c r="AN174">
        <v>0</v>
      </c>
      <c r="AO174">
        <v>0</v>
      </c>
      <c r="AP174">
        <v>0</v>
      </c>
      <c r="AQ174">
        <v>0</v>
      </c>
      <c r="AR174">
        <v>0</v>
      </c>
      <c r="AS174">
        <v>0</v>
      </c>
      <c r="AT174">
        <v>0</v>
      </c>
      <c r="AU174">
        <v>0</v>
      </c>
      <c r="AV174">
        <v>0</v>
      </c>
      <c r="AW174">
        <v>0</v>
      </c>
      <c r="AX174" s="141">
        <f>COUNTIF(V174:AW174,"&lt;&gt;0")</f>
        <v>1</v>
      </c>
      <c r="AY174" s="141">
        <f>COUNTIF(V174:AL174,"&lt;&gt;0")</f>
        <v>1</v>
      </c>
      <c r="AZ174">
        <f>COUNTIF(V174:AC174,"&lt;&gt;0")</f>
        <v>0</v>
      </c>
      <c r="BA174">
        <f>COUNTIF(AD174:AI174,"&lt;&gt;0")</f>
        <v>1</v>
      </c>
      <c r="BB174">
        <f>COUNTIF(AJ174:AL174,"&lt;&gt;0")</f>
        <v>0</v>
      </c>
      <c r="BC174">
        <f>COUNTIF(AS174:AW174,"&lt;&gt;0")</f>
        <v>0</v>
      </c>
      <c r="BD174">
        <f>COUNTIF(AM174:AR174,"&lt;&gt;0")</f>
        <v>0</v>
      </c>
      <c r="BE174" t="str">
        <f t="array" ref="BE174">IF(AY174=1,INDEX($V$7:$AL$7,MATCH(TRUE,INDEX($V174:$AW174&lt;&gt;0,),0)),IF(AY174=0,INDEX($AM$7:$AW$7,MATCH(1,$AM174:$AW174,0)),IF(BF174="Multiple strategies","mixed drivers",IF(BF174="Supply chain","multiple supply","multiple silviculture"))))</f>
        <v>supply chain organization</v>
      </c>
      <c r="BF174" s="2" t="str" cm="1">
        <f t="array" ref="BF174">IF(COUNTIF(AZ174:BB174,"&lt;&gt;0")=1,INDEX($V$4:$AW$4,MATCH(TRUE,INDEX($V174:$AW174&lt;&gt;0,),0)),IF(COUNTIF(AZ174:BB174,"&lt;&gt;0")=0,INDEX($AM$4:$AW$4,MATCH(1,$AM174:$AW174,0)),"Multiple strategies"))</f>
        <v>Supply chain</v>
      </c>
      <c r="BG174" s="1" t="s">
        <v>229</v>
      </c>
      <c r="BH174" t="s">
        <v>1344</v>
      </c>
      <c r="BI174" s="260" t="s">
        <v>3277</v>
      </c>
      <c r="BJ174" t="s">
        <v>1345</v>
      </c>
      <c r="BK174">
        <v>1.1674521913429727</v>
      </c>
      <c r="BL174">
        <v>1.8900610197538394</v>
      </c>
      <c r="BM174">
        <f>BL174/BK174</f>
        <v>1.6189622442522613</v>
      </c>
      <c r="BN174">
        <f>BL174-BK174</f>
        <v>0.72260882841086671</v>
      </c>
      <c r="BO174">
        <f>BN174*10^9</f>
        <v>722608828.41086674</v>
      </c>
      <c r="BP174" t="s">
        <v>232</v>
      </c>
      <c r="BQ174" s="300" t="s">
        <v>3278</v>
      </c>
      <c r="BR174" t="s">
        <v>1346</v>
      </c>
      <c r="BS174" s="264">
        <v>1.93686006825938</v>
      </c>
      <c r="BT174" s="264">
        <v>1.27133105802047</v>
      </c>
      <c r="BU174" s="144">
        <f>IFERROR(BT174/BS174,"")</f>
        <v>0.65638766519823577</v>
      </c>
      <c r="BV174">
        <f>BT174-BS174</f>
        <v>-0.66552901023890998</v>
      </c>
      <c r="BW174"/>
      <c r="BX174">
        <f>BV174*10^9</f>
        <v>-665529010.23890996</v>
      </c>
      <c r="BY174">
        <f>IFERROR(BX174/BO174,"")</f>
        <v>-0.92100868972569228</v>
      </c>
      <c r="BZ174" s="143">
        <v>0</v>
      </c>
      <c r="CA174" s="143">
        <v>0</v>
      </c>
      <c r="CB174" s="143">
        <v>0</v>
      </c>
      <c r="CC174" s="143">
        <v>0</v>
      </c>
      <c r="CD174" s="143">
        <v>0</v>
      </c>
      <c r="CE174" s="143">
        <v>0</v>
      </c>
      <c r="CF174" s="143">
        <v>0</v>
      </c>
      <c r="CG174" s="143">
        <v>0</v>
      </c>
      <c r="CH174" s="143">
        <v>0</v>
      </c>
      <c r="CI174" s="143">
        <v>0</v>
      </c>
      <c r="CJ174" s="143">
        <v>0</v>
      </c>
      <c r="CK174" s="143">
        <v>0</v>
      </c>
      <c r="CL174" s="143">
        <v>0</v>
      </c>
      <c r="CM174">
        <v>0</v>
      </c>
      <c r="CN174" t="str">
        <f>IF($BL174&lt;$BK174,"refNeedCorrection","refOK")</f>
        <v>refOK</v>
      </c>
      <c r="CO174">
        <f>IF($CN174="refOK",$BK174,$BL174)</f>
        <v>1.1674521913429727</v>
      </c>
      <c r="CP174">
        <f>IF($CN174="refOK",$BL174,$BK174)</f>
        <v>1.8900610197538394</v>
      </c>
      <c r="CQ174">
        <f>IF($CN174="refOK",$BO174,-$BO174)</f>
        <v>722608828.41086674</v>
      </c>
      <c r="CR174">
        <f>IF($CN174="refOK",$BS174,$BT174)*IF($BP174="Emissions positive",-1,1)</f>
        <v>1.93686006825938</v>
      </c>
      <c r="CS174">
        <f>IF($CN174="refOK",$BT174,$BS174)*IF($BP174="Emissions positive",-1,1)</f>
        <v>1.27133105802047</v>
      </c>
      <c r="CT174">
        <f>IF($CN174="refNeedCorrection",-BX174,BX174)*IF($BP174="Emissions positive",-1,1)</f>
        <v>-665529010.23890996</v>
      </c>
      <c r="CU174">
        <f>IFERROR(CT174/CQ174,"")</f>
        <v>-0.92100868972569228</v>
      </c>
      <c r="CV174" s="2">
        <f>IFERROR((CS174-CR174)/ABS(CR174),"")</f>
        <v>-0.34361233480176423</v>
      </c>
      <c r="CW174" s="1" t="s">
        <v>1203</v>
      </c>
      <c r="CX174" t="str">
        <f>IF(OR($CW174="prd",$CW174="std",$CW174="cit"),"loc",IF(OR($CW174="eur",$CW174="reg",$CW174="coy"),"reg",$CW174))</f>
        <v>reg</v>
      </c>
      <c r="CY174" t="s">
        <v>666</v>
      </c>
      <c r="CZ174">
        <v>2010</v>
      </c>
      <c r="DA174">
        <v>2100</v>
      </c>
      <c r="DB174">
        <f>DA174-CZ174</f>
        <v>90</v>
      </c>
      <c r="DC174" t="str">
        <f>IF(DB174=0,"0",IF(AND(DB174&gt;=1,DB174&lt;=30),"1-30",IF(AND(DB174&gt;30,DB174&lt;=70),"31-70",IF(AND(DB174&gt;70,DB174&lt;=100),"71-100",IF(DB174&gt;100,"+100")))))</f>
        <v>71-100</v>
      </c>
      <c r="DD174">
        <v>0</v>
      </c>
      <c r="DE174">
        <v>1</v>
      </c>
      <c r="DF174">
        <v>1</v>
      </c>
      <c r="DG174">
        <v>1</v>
      </c>
      <c r="DH174"/>
      <c r="DI174">
        <f>SUM(DD174:DG174)</f>
        <v>3</v>
      </c>
      <c r="DJ174" t="str">
        <f>IF(DI174=1,INDEX($DD$7:$DG$7,MATCH(1,$DD174:$DG174,0)),"mixedProduct")</f>
        <v>mixedProduct</v>
      </c>
      <c r="DK174">
        <f>IF(DD174=1,DK$7,0)</f>
        <v>0</v>
      </c>
      <c r="DL174" t="str">
        <f>IF(DE174=1,DL$7,0)</f>
        <v>Energy</v>
      </c>
      <c r="DM174" t="str">
        <f>IF(DF174=1,DM$7,0)</f>
        <v>Pulp/Paper</v>
      </c>
      <c r="DN174" t="str">
        <f>IF(DG174=1,DN$7,0)</f>
        <v>Timber</v>
      </c>
      <c r="DO174">
        <v>1</v>
      </c>
      <c r="DP174" s="143">
        <v>0</v>
      </c>
      <c r="DQ174" s="143">
        <v>0</v>
      </c>
      <c r="DR174" s="143">
        <v>0</v>
      </c>
      <c r="DS174">
        <v>0</v>
      </c>
      <c r="DT174">
        <f>SUM(DO174:DP174)</f>
        <v>1</v>
      </c>
      <c r="DU174" s="143" t="str">
        <f>IF(DO174=1,"self-calculated DF",IF(DP174=1,"external DF used","explicit C balance"))</f>
        <v>self-calculated DF</v>
      </c>
      <c r="DV174">
        <v>1</v>
      </c>
      <c r="DW174" s="143">
        <v>1</v>
      </c>
      <c r="DX174" s="143">
        <v>1</v>
      </c>
      <c r="DY174" s="143">
        <v>1</v>
      </c>
      <c r="DZ174">
        <v>1</v>
      </c>
      <c r="EA174" s="141">
        <v>1</v>
      </c>
      <c r="EB174">
        <v>0</v>
      </c>
      <c r="EC174" s="143">
        <v>1</v>
      </c>
      <c r="ED174" s="143">
        <v>1</v>
      </c>
      <c r="EE174">
        <v>0</v>
      </c>
      <c r="EF174">
        <v>1</v>
      </c>
      <c r="EG174" s="143">
        <v>0</v>
      </c>
      <c r="EH174" s="143">
        <v>0</v>
      </c>
      <c r="EI174" s="2">
        <v>0</v>
      </c>
      <c r="EJ174" s="1"/>
      <c r="EK174" t="str">
        <f>IF(AND(AND(AND(OR($DX174=1,$DW174=1),OR($EC174=1,$EA174=1)),SUM($DV174:$DZ174,$EF174)&gt;=4),SUM($EA174:$EE174)&gt;=2),"Whole sector","")</f>
        <v>Whole sector</v>
      </c>
      <c r="EL174" t="str">
        <f>IF(AND(AND(OR($DX174=1,$DW174=1),AND($EC174=0,$EA174=0)),SUM($DV174:$DZ174,$EF174)&gt;=4),"Ecosystem approach","")</f>
        <v/>
      </c>
      <c r="EM174" s="2" t="str">
        <f>IF(AND(AND(AND($DX174=0,$DW174=0),OR($EC174=1,$EA174=1)),SUM($EB174:$EE174)&gt;=2),"Technology approach","")</f>
        <v/>
      </c>
      <c r="EN174" t="s">
        <v>3283</v>
      </c>
      <c r="EO174"/>
      <c r="EP174" t="str">
        <f>IF(ISNUMBER(BU174),IF(ABS(BU174-[4]QC_indicators!$B$2)&gt;3*[4]QC_indicators!$C$2,"C ratio",IF(ISNUMBER(BY174),IF(ABS(BY174-[4]QC_indicators!$B$1)&gt;3*[4]QC_indicators!$C$1,"DF","no"))),IF(ISNUMBER(BY174),IF(ABS(BY174-[4]QC_indicators!$B$1)&gt;3*[4]QC_indicators!$C$1,"DF","no")))</f>
        <v>no</v>
      </c>
      <c r="EQ174"/>
      <c r="ER174"/>
      <c r="ES174"/>
      <c r="ET174" s="264" t="s">
        <v>3273</v>
      </c>
      <c r="EU174"/>
    </row>
    <row r="175" spans="1:151" s="139" customFormat="1" ht="15" customHeight="1">
      <c r="A175" s="1" t="s">
        <v>1378</v>
      </c>
      <c r="B175" t="s">
        <v>2571</v>
      </c>
      <c r="C175" t="s">
        <v>2572</v>
      </c>
      <c r="D175" t="s">
        <v>2573</v>
      </c>
      <c r="E175" t="s">
        <v>2574</v>
      </c>
      <c r="F175" t="s">
        <v>2575</v>
      </c>
      <c r="G175" t="s">
        <v>1384</v>
      </c>
      <c r="H175" t="s">
        <v>254</v>
      </c>
      <c r="I175">
        <v>2019</v>
      </c>
      <c r="J175">
        <v>6</v>
      </c>
      <c r="K175" t="s">
        <v>2576</v>
      </c>
      <c r="L175"/>
      <c r="M175" t="str">
        <f>LEFT($D175,FIND(",",$D175)-1)&amp;"_"&amp;I175&amp;L175</f>
        <v>Mendelsohn_2019</v>
      </c>
      <c r="N175" t="s">
        <v>222</v>
      </c>
      <c r="O175" s="145" t="s">
        <v>225</v>
      </c>
      <c r="P175"/>
      <c r="Q175" t="s">
        <v>256</v>
      </c>
      <c r="R175" s="262" t="s">
        <v>223</v>
      </c>
      <c r="S175" s="1" t="s">
        <v>2577</v>
      </c>
      <c r="T175" t="s">
        <v>2578</v>
      </c>
      <c r="U175" s="143" t="s">
        <v>2579</v>
      </c>
      <c r="V175">
        <v>1</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1</v>
      </c>
      <c r="AQ175">
        <v>1</v>
      </c>
      <c r="AR175">
        <v>0</v>
      </c>
      <c r="AS175">
        <v>0</v>
      </c>
      <c r="AT175">
        <v>0</v>
      </c>
      <c r="AU175">
        <v>1</v>
      </c>
      <c r="AV175">
        <v>0</v>
      </c>
      <c r="AW175">
        <v>0</v>
      </c>
      <c r="AX175" s="141">
        <f>COUNTIF(V175:AW175,"&lt;&gt;0")</f>
        <v>4</v>
      </c>
      <c r="AY175" s="141">
        <f>COUNTIF(V175:AL175,"&lt;&gt;0")</f>
        <v>1</v>
      </c>
      <c r="AZ175">
        <f>COUNTIF(V175:AC175,"&lt;&gt;0")</f>
        <v>1</v>
      </c>
      <c r="BA175">
        <f>COUNTIF(AD175:AI175,"&lt;&gt;0")</f>
        <v>0</v>
      </c>
      <c r="BB175">
        <f>COUNTIF(AJ175:AL175,"&lt;&gt;0")</f>
        <v>0</v>
      </c>
      <c r="BC175">
        <f>COUNTIF(AS175:AW175,"&lt;&gt;0")</f>
        <v>1</v>
      </c>
      <c r="BD175">
        <f>COUNTIF(AM175:AR175,"&lt;&gt;0")</f>
        <v>2</v>
      </c>
      <c r="BE175" t="str">
        <f t="array" ref="BE175">IF(AY175=1,INDEX($V$7:$AL$7,MATCH(TRUE,INDEX($V175:$AW175&lt;&gt;0,),0)),IF(AY175=0,INDEX($AM$7:$AW$7,MATCH(1,$AM175:$AW175,0)),IF(BF175="Multiple strategies","mixed drivers",IF(BF175="Supply chain","multiple supply","multiple silviculture"))))</f>
        <v>area subject to harvest</v>
      </c>
      <c r="BF175" s="2" t="str" cm="1">
        <f t="array" ref="BF175">IF(COUNTIF(AZ175:BB175,"&lt;&gt;0")=1,INDEX($V$4:$AW$4,MATCH(TRUE,INDEX($V175:$AW175&lt;&gt;0,),0)),IF(COUNTIF(AZ175:BB175,"&lt;&gt;0")=0,INDEX($AM$4:$AW$4,MATCH(1,$AM175:$AW175,0)),"Multiple strategies"))</f>
        <v>Silviculture for removals</v>
      </c>
      <c r="BG175" s="142" t="s">
        <v>321</v>
      </c>
      <c r="BH175" t="s">
        <v>2580</v>
      </c>
      <c r="BI175" s="264" t="s">
        <v>2611</v>
      </c>
      <c r="BJ175" s="143" t="s">
        <v>2227</v>
      </c>
      <c r="BK175">
        <v>0</v>
      </c>
      <c r="BL175" s="143">
        <v>100444.50859993362</v>
      </c>
      <c r="BM175" s="143"/>
      <c r="BN175">
        <f>BL175-BK175</f>
        <v>100444.50859993362</v>
      </c>
      <c r="BO175" s="143">
        <f>BN175*10^6</f>
        <v>100444508599.93361</v>
      </c>
      <c r="BP175" t="s">
        <v>232</v>
      </c>
      <c r="BQ175" s="303" t="s">
        <v>424</v>
      </c>
      <c r="BR175" t="s">
        <v>2581</v>
      </c>
      <c r="BS175" s="143">
        <v>185.5</v>
      </c>
      <c r="BT175">
        <v>93.8</v>
      </c>
      <c r="BU175" s="144">
        <v>0.50566037735849056</v>
      </c>
      <c r="BV175">
        <f>BT175-BS175</f>
        <v>-91.7</v>
      </c>
      <c r="BW175"/>
      <c r="BX175">
        <f>BV175*10^9</f>
        <v>-91700000000</v>
      </c>
      <c r="BY175">
        <f>IFERROR(BX175/BO175,"")</f>
        <v>-0.91294189476537113</v>
      </c>
      <c r="BZ175">
        <v>0</v>
      </c>
      <c r="CA175">
        <v>0</v>
      </c>
      <c r="CB175">
        <v>0</v>
      </c>
      <c r="CC175">
        <v>0</v>
      </c>
      <c r="CD175">
        <v>0</v>
      </c>
      <c r="CE175">
        <v>0</v>
      </c>
      <c r="CF175">
        <v>0</v>
      </c>
      <c r="CG175">
        <v>0</v>
      </c>
      <c r="CH175">
        <v>0</v>
      </c>
      <c r="CI175">
        <v>0</v>
      </c>
      <c r="CJ175">
        <v>0</v>
      </c>
      <c r="CK175">
        <v>0</v>
      </c>
      <c r="CL175">
        <v>0</v>
      </c>
      <c r="CM175">
        <v>0</v>
      </c>
      <c r="CN175" t="str">
        <f>IF($BL175&lt;$BK175,"refNeedCorrection","refOK")</f>
        <v>refOK</v>
      </c>
      <c r="CO175">
        <f>IF($CN175="refNeedCorrection",BL175,BK175)</f>
        <v>0</v>
      </c>
      <c r="CP175">
        <f>IF($CN175="refNeedCorrection",BK175,BL175)</f>
        <v>100444.50859993362</v>
      </c>
      <c r="CQ175">
        <f>IF($CN175="refOK",$BO175,-$BO175)</f>
        <v>100444508599.93361</v>
      </c>
      <c r="CR175">
        <f>IF($CN175="refOK",$BS175,$BT175)*IF($BP175="Emissions positive",-1,1)</f>
        <v>185.5</v>
      </c>
      <c r="CS175">
        <f>IF($CN175="refOK",$BT175,$BS175)*IF($BP175="Emissions positive",-1,1)</f>
        <v>93.8</v>
      </c>
      <c r="CT175">
        <f>IF($CN175="refNeedCorrection",-BX175,BX175)*IF($BP175="Emissions positive",-1,1)</f>
        <v>-91700000000</v>
      </c>
      <c r="CU175">
        <f>IFERROR(CT175/CQ175,"")</f>
        <v>-0.91294189476537113</v>
      </c>
      <c r="CV175" s="2">
        <f>IFERROR((CS175-CR175)/ABS(CR175),"")</f>
        <v>-0.49433962264150944</v>
      </c>
      <c r="CW175" s="1" t="s">
        <v>2539</v>
      </c>
      <c r="CX175" t="str">
        <f>IF(OR($CW175="prd",$CW175="std",$CW175="cit"),"loc",IF(OR($CW175="eur",$CW175="reg",$CW175="coy"),"reg",$CW175))</f>
        <v>w</v>
      </c>
      <c r="CY175" t="s">
        <v>2540</v>
      </c>
      <c r="CZ175" s="143">
        <v>1901</v>
      </c>
      <c r="DA175" s="143">
        <v>2010</v>
      </c>
      <c r="DB175" s="143">
        <v>110</v>
      </c>
      <c r="DC175" t="str">
        <f>IF(DB175=0,"0",IF(AND(DB175&gt;=1,DB175&lt;=30),"1-30",IF(AND(DB175&gt;30,DB175&lt;=70),"31-70",IF(AND(DB175&gt;70,DB175&lt;=100),"71-100",IF(DB175&gt;100,"+100")))))</f>
        <v>+100</v>
      </c>
      <c r="DD175">
        <v>1</v>
      </c>
      <c r="DE175">
        <v>0</v>
      </c>
      <c r="DF175">
        <v>0</v>
      </c>
      <c r="DG175">
        <v>0</v>
      </c>
      <c r="DH175"/>
      <c r="DI175">
        <f>SUM(DD175:DG175)</f>
        <v>1</v>
      </c>
      <c r="DJ175" t="str">
        <f>IF(DI175=1,INDEX($DD$7:$DG$7,MATCH(1,$DD175:$DG175,0)),"mixedProduct")</f>
        <v>UpstreamInput</v>
      </c>
      <c r="DK175" t="str">
        <f>IF(DD175=1,DK$7,0)</f>
        <v>Upstream</v>
      </c>
      <c r="DL175">
        <f>IF(DE175=1,DL$7,0)</f>
        <v>0</v>
      </c>
      <c r="DM175">
        <f>IF(DF175=1,DM$7,0)</f>
        <v>0</v>
      </c>
      <c r="DN175">
        <f>IF(DG175=1,DN$7,0)</f>
        <v>0</v>
      </c>
      <c r="DO175">
        <v>0</v>
      </c>
      <c r="DP175" s="143">
        <v>0</v>
      </c>
      <c r="DQ175" s="143">
        <v>0</v>
      </c>
      <c r="DR175">
        <v>0</v>
      </c>
      <c r="DS175" s="143">
        <v>0</v>
      </c>
      <c r="DT175">
        <f>SUM(DO175:DP175)</f>
        <v>0</v>
      </c>
      <c r="DU175" s="143" t="str">
        <f>IF(DO175=1,"self-calculated DF",IF(DP175=1,"external DF used","explicit C balance"))</f>
        <v>explicit C balance</v>
      </c>
      <c r="DV175" s="143">
        <v>1</v>
      </c>
      <c r="DW175" s="143">
        <v>1</v>
      </c>
      <c r="DX175" s="143">
        <v>1</v>
      </c>
      <c r="DY175" s="143">
        <v>1</v>
      </c>
      <c r="DZ175">
        <v>1</v>
      </c>
      <c r="EA175" s="143">
        <v>0</v>
      </c>
      <c r="EB175" s="143">
        <v>0</v>
      </c>
      <c r="EC175">
        <v>0</v>
      </c>
      <c r="ED175" s="143">
        <v>0</v>
      </c>
      <c r="EE175">
        <v>0</v>
      </c>
      <c r="EF175">
        <v>0</v>
      </c>
      <c r="EG175" s="143">
        <v>0</v>
      </c>
      <c r="EH175">
        <v>0</v>
      </c>
      <c r="EI175" s="2">
        <v>0</v>
      </c>
      <c r="EJ175" s="1"/>
      <c r="EK175" t="str">
        <f>IF(AND(AND(AND(OR($DX175=1,$DW175=1),OR($EC175=1,$EA175=1)),SUM($DV175:$DZ175,$EF175)&gt;=4),SUM($EA175:$EE175)&gt;=2),"Whole sector","")</f>
        <v/>
      </c>
      <c r="EL175" t="str">
        <f>IF(AND(AND(OR($DX175=1,$DW175=1),AND($EC175=0,$EA175=0)),SUM($DV175:$DZ175,$EF175)&gt;=4),"Ecosystem approach","")</f>
        <v>Ecosystem approach</v>
      </c>
      <c r="EM175" s="2" t="str">
        <f>IF(AND(AND(AND($DX175=0,$DW175=0),OR($EC175=1,$EA175=1)),SUM($EB175:$EE175)&gt;=2),"Technology approach","")</f>
        <v/>
      </c>
      <c r="EN175"/>
      <c r="EO175"/>
      <c r="EP175" t="str">
        <f>IF(ISNUMBER(BU175),IF(ABS(BU175-[1]QC_indicators!$B$2)&gt;3*[1]QC_indicators!$C$2,"C ratio",IF(ISNUMBER(BY175),IF(ABS(BY175-[1]QC_indicators!$B$1)&gt;3*[1]QC_indicators!$C$1,"DF","no"))),IF(ISNUMBER(BY175),IF(ABS(BY175-[1]QC_indicators!$B$1)&gt;3*[1]QC_indicators!$C$1,"DF","no")))</f>
        <v>no</v>
      </c>
      <c r="EQ175"/>
      <c r="ER175" s="149" t="s">
        <v>349</v>
      </c>
      <c r="ES175"/>
      <c r="ET175" s="264" t="s">
        <v>3178</v>
      </c>
      <c r="EU175"/>
    </row>
    <row r="176" spans="1:151" s="139" customFormat="1" ht="15" customHeight="1">
      <c r="A176" s="1" t="s">
        <v>1972</v>
      </c>
      <c r="B176" t="s">
        <v>2445</v>
      </c>
      <c r="C176" t="s">
        <v>2446</v>
      </c>
      <c r="D176" t="s">
        <v>2447</v>
      </c>
      <c r="E176" t="s">
        <v>2448</v>
      </c>
      <c r="F176" t="s">
        <v>2449</v>
      </c>
      <c r="G176" t="s">
        <v>1978</v>
      </c>
      <c r="H176" t="s">
        <v>254</v>
      </c>
      <c r="I176">
        <v>2018</v>
      </c>
      <c r="J176">
        <v>8</v>
      </c>
      <c r="K176" t="s">
        <v>2450</v>
      </c>
      <c r="L176"/>
      <c r="M176" t="str">
        <f>LEFT($D176,FIND(",",$D176)-1)&amp;"_"&amp;I176&amp;L176</f>
        <v>Valade_2018</v>
      </c>
      <c r="N176" t="s">
        <v>222</v>
      </c>
      <c r="O176" s="145" t="s">
        <v>1154</v>
      </c>
      <c r="P176"/>
      <c r="Q176" t="s">
        <v>256</v>
      </c>
      <c r="R176" s="255" t="s">
        <v>225</v>
      </c>
      <c r="S176" s="1" t="s">
        <v>2458</v>
      </c>
      <c r="T176" t="s">
        <v>2444</v>
      </c>
      <c r="U176" t="s">
        <v>2459</v>
      </c>
      <c r="V176">
        <v>0</v>
      </c>
      <c r="W176">
        <v>0</v>
      </c>
      <c r="X176">
        <v>1</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s="141">
        <f>COUNTIF(V176:AW176,"&lt;&gt;0")</f>
        <v>1</v>
      </c>
      <c r="AY176" s="141">
        <f>COUNTIF(V176:AL176,"&lt;&gt;0")</f>
        <v>1</v>
      </c>
      <c r="AZ176">
        <f>COUNTIF(V176:AC176,"&lt;&gt;0")</f>
        <v>1</v>
      </c>
      <c r="BA176">
        <f>COUNTIF(AD176:AI176,"&lt;&gt;0")</f>
        <v>0</v>
      </c>
      <c r="BB176">
        <f>COUNTIF(AJ176:AL176,"&lt;&gt;0")</f>
        <v>0</v>
      </c>
      <c r="BC176">
        <f>COUNTIF(AS176:AW176,"&lt;&gt;0")</f>
        <v>0</v>
      </c>
      <c r="BD176">
        <f>COUNTIF(AM176:AR176,"&lt;&gt;0")</f>
        <v>0</v>
      </c>
      <c r="BE176" t="str">
        <f t="array" ref="BE176">IF(AY176=1,INDEX($V$7:$AL$7,MATCH(TRUE,INDEX($V176:$AW176&lt;&gt;0,),0)),IF(AY176=0,INDEX($AM$7:$AW$7,MATCH(1,$AM176:$AW176,0)),IF(BF176="Multiple strategies","mixed drivers",IF(BF176="Supply chain","multiple supply","multiple silviculture"))))</f>
        <v>rotation length</v>
      </c>
      <c r="BF176" s="2" t="str" cm="1">
        <f t="array" ref="BF176">IF(COUNTIF(AZ176:BB176,"&lt;&gt;0")=1,INDEX($V$4:$AW$4,MATCH(TRUE,INDEX($V176:$AW176&lt;&gt;0,),0)),IF(COUNTIF(AZ176:BB176,"&lt;&gt;0")=0,INDEX($AM$4:$AW$4,MATCH(1,$AM176:$AW176,0)),"Multiple strategies"))</f>
        <v>Silviculture for removals</v>
      </c>
      <c r="BG176" s="1" t="s">
        <v>321</v>
      </c>
      <c r="BH176" t="s">
        <v>2453</v>
      </c>
      <c r="BI176" s="260" t="s">
        <v>3399</v>
      </c>
      <c r="BJ176" t="s">
        <v>1323</v>
      </c>
      <c r="BK176">
        <v>1168.5023099755704</v>
      </c>
      <c r="BL176">
        <v>1580.9377497587932</v>
      </c>
      <c r="BM176" s="143">
        <f>BL176/BK176</f>
        <v>1.3529607397967793</v>
      </c>
      <c r="BN176">
        <f>BL176-BK176</f>
        <v>412.43543978322282</v>
      </c>
      <c r="BO176">
        <f>BN176*10^6</f>
        <v>412435439.78322279</v>
      </c>
      <c r="BP176" t="s">
        <v>232</v>
      </c>
      <c r="BQ176" s="300" t="s">
        <v>3402</v>
      </c>
      <c r="BR176" t="s">
        <v>1359</v>
      </c>
      <c r="BS176">
        <v>391.99006315946394</v>
      </c>
      <c r="BT176">
        <v>290.06454500000001</v>
      </c>
      <c r="BU176" s="144">
        <f>IFERROR(BT176/BS176,"")</f>
        <v>0.73997933177709152</v>
      </c>
      <c r="BV176" s="144">
        <f>BT176-BS176</f>
        <v>-101.92551815946393</v>
      </c>
      <c r="BW176" s="144"/>
      <c r="BX176">
        <f>BV176*10^6*C_to_CO2</f>
        <v>-374066651.64523262</v>
      </c>
      <c r="BY176">
        <f>IFERROR(BX176/BO176,"")</f>
        <v>-0.90697019597016948</v>
      </c>
      <c r="BZ176">
        <v>0</v>
      </c>
      <c r="CA176">
        <v>0</v>
      </c>
      <c r="CB176">
        <v>0</v>
      </c>
      <c r="CC176">
        <v>0</v>
      </c>
      <c r="CD176">
        <v>0</v>
      </c>
      <c r="CE176">
        <v>0</v>
      </c>
      <c r="CF176">
        <v>0</v>
      </c>
      <c r="CG176">
        <v>0</v>
      </c>
      <c r="CH176">
        <v>0</v>
      </c>
      <c r="CI176">
        <v>0</v>
      </c>
      <c r="CJ176">
        <v>0</v>
      </c>
      <c r="CK176">
        <v>0</v>
      </c>
      <c r="CL176">
        <v>0</v>
      </c>
      <c r="CM176">
        <v>0</v>
      </c>
      <c r="CN176" t="str">
        <f>IF($BL176&lt;$BK176,"refNeedCorrection","refOK")</f>
        <v>refOK</v>
      </c>
      <c r="CO176">
        <f>IF($CN176="refNeedCorrection",BL176,BK176)</f>
        <v>1168.5023099755704</v>
      </c>
      <c r="CP176">
        <f>IF($CN176="refNeedCorrection",BK176,BL176)</f>
        <v>1580.9377497587932</v>
      </c>
      <c r="CQ176">
        <f>IF($CN176="refOK",$BO176,-$BO176)</f>
        <v>412435439.78322279</v>
      </c>
      <c r="CR176">
        <f>IF($CN176="refOK",$BS176,$BT176)*IF($BP176="Emissions positive",-1,1)</f>
        <v>391.99006315946394</v>
      </c>
      <c r="CS176">
        <f>IF($CN176="refOK",$BT176,$BS176)*IF($BP176="Emissions positive",-1,1)</f>
        <v>290.06454500000001</v>
      </c>
      <c r="CT176">
        <f>IF($CN176="refNeedCorrection",-BX176,BX176)*IF($BP176="Emissions positive",-1,1)</f>
        <v>-374066651.64523262</v>
      </c>
      <c r="CU176">
        <f>IFERROR(CT176/CQ176,"")</f>
        <v>-0.90697019597016948</v>
      </c>
      <c r="CV176" s="2">
        <f>IFERROR((CS176-CR176)/ABS(CR176),"")</f>
        <v>-0.26002066822290854</v>
      </c>
      <c r="CW176" s="1" t="s">
        <v>1203</v>
      </c>
      <c r="CX176" t="str">
        <f>IF(OR($CW176="prd",$CW176="std",$CW176="cit"),"loc",IF(OR($CW176="eur",$CW176="reg",$CW176="coy"),"reg",$CW176))</f>
        <v>reg</v>
      </c>
      <c r="CY176" t="s">
        <v>729</v>
      </c>
      <c r="CZ176">
        <v>2015</v>
      </c>
      <c r="DA176">
        <v>2040</v>
      </c>
      <c r="DB176">
        <f>DA176-CZ176</f>
        <v>25</v>
      </c>
      <c r="DC176" t="str">
        <f>IF(DB176=0,"0",IF(AND(DB176&gt;=1,DB176&lt;=30),"1-30",IF(AND(DB176&gt;30,DB176&lt;=70),"31-70",IF(AND(DB176&gt;70,DB176&lt;=100),"71-100",IF(DB176&gt;100,"+100")))))</f>
        <v>1-30</v>
      </c>
      <c r="DD176">
        <v>1</v>
      </c>
      <c r="DE176">
        <v>1</v>
      </c>
      <c r="DF176">
        <v>1</v>
      </c>
      <c r="DG176">
        <v>1</v>
      </c>
      <c r="DH176"/>
      <c r="DI176">
        <f>SUM(DD176:DG176)</f>
        <v>4</v>
      </c>
      <c r="DJ176" t="str">
        <f>IF(DI176=1,INDEX($DD$7:$DG$7,MATCH(1,$DD176:$DG176,0)),"mixedProduct")</f>
        <v>mixedProduct</v>
      </c>
      <c r="DK176" t="str">
        <f>IF(DD176=1,DK$7,0)</f>
        <v>Upstream</v>
      </c>
      <c r="DL176" t="str">
        <f>IF(DE176=1,DL$7,0)</f>
        <v>Energy</v>
      </c>
      <c r="DM176" t="str">
        <f>IF(DF176=1,DM$7,0)</f>
        <v>Pulp/Paper</v>
      </c>
      <c r="DN176" t="str">
        <f>IF(DG176=1,DN$7,0)</f>
        <v>Timber</v>
      </c>
      <c r="DO176">
        <v>0</v>
      </c>
      <c r="DP176">
        <v>0</v>
      </c>
      <c r="DQ176">
        <v>0</v>
      </c>
      <c r="DR176">
        <v>0</v>
      </c>
      <c r="DS176">
        <v>0</v>
      </c>
      <c r="DT176">
        <f>SUM(DO176:DP176)</f>
        <v>0</v>
      </c>
      <c r="DU176" s="143" t="str">
        <f>IF(DO176=1,"self-calculated DF",IF(DP176=1,"external DF used","explicit C balance"))</f>
        <v>explicit C balance</v>
      </c>
      <c r="DV176">
        <v>0</v>
      </c>
      <c r="DW176">
        <v>1</v>
      </c>
      <c r="DX176">
        <v>1</v>
      </c>
      <c r="DY176">
        <v>1</v>
      </c>
      <c r="DZ176">
        <v>1</v>
      </c>
      <c r="EA176" s="143">
        <v>0</v>
      </c>
      <c r="EB176">
        <v>0</v>
      </c>
      <c r="EC176">
        <v>0</v>
      </c>
      <c r="ED176">
        <v>0</v>
      </c>
      <c r="EE176">
        <v>0</v>
      </c>
      <c r="EF176">
        <v>1</v>
      </c>
      <c r="EG176">
        <v>0</v>
      </c>
      <c r="EH176">
        <v>0</v>
      </c>
      <c r="EI176" s="2">
        <v>0</v>
      </c>
      <c r="EJ176" s="1"/>
      <c r="EK176" t="str">
        <f>IF(AND(AND(AND(OR($DX176=1,$DW176=1),OR($EC176=1,$EA176=1)),SUM($DV176:$DZ176,$EF176)&gt;=4),SUM($EA176:$EE176)&gt;=2),"Whole sector","")</f>
        <v/>
      </c>
      <c r="EL176" t="str">
        <f>IF(AND(AND(OR($DX176=1,$DW176=1),AND($EC176=0,$EA176=0)),SUM($DV176:$DZ176,$EF176)&gt;=4),"Ecosystem approach","")</f>
        <v>Ecosystem approach</v>
      </c>
      <c r="EM176" s="2" t="str">
        <f>IF(AND(AND(AND($DX176=0,$DW176=0),OR($EC176=1,$EA176=1)),SUM($EB176:$EE176)&gt;=2),"Technology approach","")</f>
        <v/>
      </c>
      <c r="EN176"/>
      <c r="EO176"/>
      <c r="EP176" t="str">
        <f>IF(ISNUMBER(BU176),IF(ABS(BU176-[4]QC_indicators!$B$2)&gt;3*[4]QC_indicators!$C$2,"C ratio",IF(ISNUMBER(BY176),IF(ABS(BY176-[4]QC_indicators!$B$1)&gt;3*[4]QC_indicators!$C$1,"DF","no"))),IF(ISNUMBER(BY176),IF(ABS(BY176-[4]QC_indicators!$B$1)&gt;3*[4]QC_indicators!$C$1,"DF","no")))</f>
        <v>no</v>
      </c>
      <c r="EQ176" t="s">
        <v>2378</v>
      </c>
      <c r="ER176"/>
      <c r="ES176"/>
      <c r="ET176" s="264" t="s">
        <v>3273</v>
      </c>
      <c r="EU176"/>
    </row>
    <row r="177" spans="1:151" s="139" customFormat="1" ht="15" customHeight="1">
      <c r="A177" s="1" t="s">
        <v>2114</v>
      </c>
      <c r="B177" t="s">
        <v>544</v>
      </c>
      <c r="C177" t="s">
        <v>2277</v>
      </c>
      <c r="D177" t="s">
        <v>2278</v>
      </c>
      <c r="E177" t="s">
        <v>2279</v>
      </c>
      <c r="F177" t="s">
        <v>2280</v>
      </c>
      <c r="G177" t="s">
        <v>2115</v>
      </c>
      <c r="H177" t="s">
        <v>254</v>
      </c>
      <c r="I177">
        <v>2014</v>
      </c>
      <c r="J177">
        <v>96</v>
      </c>
      <c r="K177" t="s">
        <v>2281</v>
      </c>
      <c r="L177"/>
      <c r="M177" t="str">
        <f>LEFT($D177,FIND(",",$D177)-1)&amp;"_"&amp;I177&amp;L177</f>
        <v>Smyth_2014</v>
      </c>
      <c r="N177" t="s">
        <v>222</v>
      </c>
      <c r="O177" s="145" t="s">
        <v>341</v>
      </c>
      <c r="P177"/>
      <c r="Q177" t="s">
        <v>256</v>
      </c>
      <c r="R177" s="262" t="s">
        <v>223</v>
      </c>
      <c r="S177" s="1" t="s">
        <v>2302</v>
      </c>
      <c r="T177" t="s">
        <v>1155</v>
      </c>
      <c r="U177" t="s">
        <v>2303</v>
      </c>
      <c r="V177">
        <v>0</v>
      </c>
      <c r="W177">
        <v>0</v>
      </c>
      <c r="X177">
        <v>0</v>
      </c>
      <c r="Y177">
        <v>1</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s="141">
        <f>COUNTIF(V177:AW177,"&lt;&gt;0")</f>
        <v>1</v>
      </c>
      <c r="AY177" s="141">
        <f>COUNTIF(V177:AL177,"&lt;&gt;0")</f>
        <v>1</v>
      </c>
      <c r="AZ177">
        <f>COUNTIF(V177:AC177,"&lt;&gt;0")</f>
        <v>1</v>
      </c>
      <c r="BA177">
        <f>COUNTIF(AD177:AI177,"&lt;&gt;0")</f>
        <v>0</v>
      </c>
      <c r="BB177">
        <f>COUNTIF(AJ177:AL177,"&lt;&gt;0")</f>
        <v>0</v>
      </c>
      <c r="BC177">
        <f>COUNTIF(AS177:AW177,"&lt;&gt;0")</f>
        <v>0</v>
      </c>
      <c r="BD177">
        <f>COUNTIF(AM177:AR177,"&lt;&gt;0")</f>
        <v>0</v>
      </c>
      <c r="BE177" t="str">
        <f t="array" ref="BE177">IF(AY177=1,INDEX($V$7:$AL$7,MATCH(TRUE,INDEX($V177:$AW177&lt;&gt;0,),0)),IF(AY177=0,INDEX($AM$7:$AW$7,MATCH(1,$AM177:$AW177,0)),IF(BF177="Multiple strategies","mixed drivers",IF(BF177="Supply chain","multiple supply","multiple silviculture"))))</f>
        <v xml:space="preserve">cutting intensity </v>
      </c>
      <c r="BF177" s="2" t="str" cm="1">
        <f t="array" ref="BF177">IF(COUNTIF(AZ177:BB177,"&lt;&gt;0")=1,INDEX($V$4:$AW$4,MATCH(TRUE,INDEX($V177:$AW177&lt;&gt;0,),0)),IF(COUNTIF(AZ177:BB177,"&lt;&gt;0")=0,INDEX($AM$4:$AW$4,MATCH(1,$AM177:$AW177,0)),"Multiple strategies"))</f>
        <v>Silviculture for removals</v>
      </c>
      <c r="BG177" s="1" t="s">
        <v>321</v>
      </c>
      <c r="BH177" t="s">
        <v>2287</v>
      </c>
      <c r="BI177" t="s">
        <v>1036</v>
      </c>
      <c r="BJ177" t="s">
        <v>2288</v>
      </c>
      <c r="BK177">
        <v>0</v>
      </c>
      <c r="BL177">
        <v>1.42</v>
      </c>
      <c r="BM177"/>
      <c r="BN177">
        <f>BL177-BK177</f>
        <v>1.42</v>
      </c>
      <c r="BO177">
        <f>BN177*10^6*tC_to_m3</f>
        <v>6165870.6035605734</v>
      </c>
      <c r="BP177" t="s">
        <v>232</v>
      </c>
      <c r="BQ177" s="338" t="s">
        <v>783</v>
      </c>
      <c r="BR177" s="264" t="s">
        <v>3244</v>
      </c>
      <c r="BS177"/>
      <c r="BT177"/>
      <c r="BU177" s="144"/>
      <c r="BV177">
        <f>-194.9/35</f>
        <v>-5.5685714285714285</v>
      </c>
      <c r="BW177"/>
      <c r="BX177">
        <f>BV177*10^6</f>
        <v>-5568571.4285714282</v>
      </c>
      <c r="BY177">
        <f>IFERROR(BX177/BO177,"")</f>
        <v>-0.90312816901408444</v>
      </c>
      <c r="BZ177">
        <v>0</v>
      </c>
      <c r="CA177">
        <v>1</v>
      </c>
      <c r="CB177">
        <v>1</v>
      </c>
      <c r="CC177">
        <v>1</v>
      </c>
      <c r="CD177">
        <v>0</v>
      </c>
      <c r="CE177">
        <v>0</v>
      </c>
      <c r="CF177">
        <v>0</v>
      </c>
      <c r="CG177">
        <v>0</v>
      </c>
      <c r="CH177">
        <v>0</v>
      </c>
      <c r="CI177">
        <v>0</v>
      </c>
      <c r="CJ177">
        <v>0</v>
      </c>
      <c r="CK177">
        <v>0</v>
      </c>
      <c r="CL177">
        <v>0</v>
      </c>
      <c r="CM177">
        <v>0</v>
      </c>
      <c r="CN177" t="str">
        <f>IF($BL177&lt;$BK177,"refNeedCorrection","refOK")</f>
        <v>refOK</v>
      </c>
      <c r="CO177">
        <f>IF($CN177="refOK",$BK177,$BL177)</f>
        <v>0</v>
      </c>
      <c r="CP177">
        <f>IF($CN177="refOK",$BL177,$BK177)</f>
        <v>1.42</v>
      </c>
      <c r="CQ177">
        <f>IF($CN177="refOK",$BO177,-$BO177)</f>
        <v>6165870.6035605734</v>
      </c>
      <c r="CR177">
        <f>IF($CN177="refOK",$BS177,$BT177)*IF($BP177="Emissions positive",-1,1)</f>
        <v>0</v>
      </c>
      <c r="CS177">
        <f>IF($CN177="refOK",$BT177,$BS177)*IF($BP177="Emissions positive",-1,1)</f>
        <v>0</v>
      </c>
      <c r="CT177">
        <f>IF($CN177="refNeedCorrection",-BX177,BX177)*IF($BP177="Emissions positive",-1,1)</f>
        <v>-5568571.4285714282</v>
      </c>
      <c r="CU177">
        <f>IFERROR(CT177/CQ177,"")</f>
        <v>-0.90312816901408444</v>
      </c>
      <c r="CV177" s="2" t="str">
        <f>IFERROR((CS177-CR177)/ABS(CR177),"")</f>
        <v/>
      </c>
      <c r="CW177" s="1" t="s">
        <v>1203</v>
      </c>
      <c r="CX177" t="str">
        <f>IF(OR($CW177="prd",$CW177="std",$CW177="cit"),"loc",IF(OR($CW177="eur",$CW177="reg",$CW177="coy"),"reg",$CW177))</f>
        <v>reg</v>
      </c>
      <c r="CY177" t="s">
        <v>540</v>
      </c>
      <c r="CZ177">
        <v>2015</v>
      </c>
      <c r="DA177">
        <v>2050</v>
      </c>
      <c r="DB177">
        <v>35</v>
      </c>
      <c r="DC177" t="str">
        <f>IF(DB177=0,"0",IF(AND(DB177&gt;=1,DB177&lt;=30),"1-30",IF(AND(DB177&gt;30,DB177&lt;=70),"31-70",IF(AND(DB177&gt;70,DB177&lt;=100),"71-100",IF(DB177&gt;100,"+100")))))</f>
        <v>31-70</v>
      </c>
      <c r="DD177">
        <v>0</v>
      </c>
      <c r="DE177">
        <v>1</v>
      </c>
      <c r="DF177">
        <v>1</v>
      </c>
      <c r="DG177">
        <v>1</v>
      </c>
      <c r="DH177"/>
      <c r="DI177">
        <f>SUM(DD177:DG177)</f>
        <v>3</v>
      </c>
      <c r="DJ177" t="str">
        <f>IF(DI177=1,INDEX($DD$7:$DG$7,MATCH(1,$DD177:$DG177,0)),"mixedProduct")</f>
        <v>mixedProduct</v>
      </c>
      <c r="DK177">
        <f>IF(DD177=1,DK$7,0)</f>
        <v>0</v>
      </c>
      <c r="DL177" t="str">
        <f>IF(DE177=1,DL$7,0)</f>
        <v>Energy</v>
      </c>
      <c r="DM177" t="str">
        <f>IF(DF177=1,DM$7,0)</f>
        <v>Pulp/Paper</v>
      </c>
      <c r="DN177" t="str">
        <f>IF(DG177=1,DN$7,0)</f>
        <v>Timber</v>
      </c>
      <c r="DO177">
        <v>0</v>
      </c>
      <c r="DP177">
        <v>0</v>
      </c>
      <c r="DQ177"/>
      <c r="DR177">
        <v>0</v>
      </c>
      <c r="DS177">
        <v>0</v>
      </c>
      <c r="DT177">
        <f>SUM(DO177:DP177)</f>
        <v>0</v>
      </c>
      <c r="DU177" s="143" t="str">
        <f>IF(DO177=1,"self-calculated DF",IF(DP177=1,"external DF used","explicit C balance"))</f>
        <v>explicit C balance</v>
      </c>
      <c r="DV177">
        <v>1</v>
      </c>
      <c r="DW177">
        <v>1</v>
      </c>
      <c r="DX177">
        <v>1</v>
      </c>
      <c r="DY177">
        <v>0</v>
      </c>
      <c r="DZ177">
        <v>0</v>
      </c>
      <c r="EA177">
        <v>0</v>
      </c>
      <c r="EB177">
        <v>0</v>
      </c>
      <c r="EC177">
        <v>0</v>
      </c>
      <c r="ED177">
        <v>0</v>
      </c>
      <c r="EE177">
        <v>0</v>
      </c>
      <c r="EF177">
        <v>1</v>
      </c>
      <c r="EG177">
        <v>0</v>
      </c>
      <c r="EH177">
        <v>0</v>
      </c>
      <c r="EI177" s="2">
        <v>0</v>
      </c>
      <c r="EJ177" s="1"/>
      <c r="EK177" t="str">
        <f>IF(AND(AND(AND(OR($DX177=1,$DW177=1),OR($EC177=1,$EA177=1)),SUM($DV177:$DZ177,$EF177)&gt;=4),SUM($EA177:$EE177)&gt;=2),"Whole sector","")</f>
        <v/>
      </c>
      <c r="EL177" t="str">
        <f>IF(AND(AND(OR($DX177=1,$DW177=1),AND($EC177=0,$EA177=0)),SUM($DV177:$DZ177,$EF177)&gt;=4),"Ecosystem approach","")</f>
        <v>Ecosystem approach</v>
      </c>
      <c r="EM177" s="2" t="str">
        <f>IF(AND(AND(AND($DX177=0,$DW177=0),OR($EC177=1,$EA177=1)),SUM($EB177:$EE177)&gt;=2),"Technology approach","")</f>
        <v/>
      </c>
      <c r="EN177"/>
      <c r="EO177"/>
      <c r="EP177" t="str">
        <f>IF(ISNUMBER(BU177),IF(ABS(BU177-[1]QC_indicators!$B$2)&gt;3*[1]QC_indicators!$C$2,"C ratio",IF(ISNUMBER(BY177),IF(ABS(BY177-[1]QC_indicators!$B$1)&gt;3*[1]QC_indicators!$C$1,"DF","no"))),IF(ISNUMBER(BY177),IF(ABS(BY177-[1]QC_indicators!$B$1)&gt;3*[1]QC_indicators!$C$1,"DF","no")))</f>
        <v>no</v>
      </c>
      <c r="EQ177"/>
      <c r="ER177"/>
      <c r="ES177"/>
      <c r="ET177" s="268" t="s">
        <v>3242</v>
      </c>
      <c r="EU177"/>
    </row>
    <row r="178" spans="1:151" s="139" customFormat="1" ht="15" customHeight="1">
      <c r="A178" s="1" t="s">
        <v>1972</v>
      </c>
      <c r="B178" t="s">
        <v>2445</v>
      </c>
      <c r="C178" t="s">
        <v>2446</v>
      </c>
      <c r="D178" t="s">
        <v>2447</v>
      </c>
      <c r="E178" t="s">
        <v>2448</v>
      </c>
      <c r="F178" t="s">
        <v>2449</v>
      </c>
      <c r="G178" t="s">
        <v>1978</v>
      </c>
      <c r="H178" t="s">
        <v>254</v>
      </c>
      <c r="I178">
        <v>2018</v>
      </c>
      <c r="J178">
        <v>8</v>
      </c>
      <c r="K178" t="s">
        <v>2450</v>
      </c>
      <c r="L178"/>
      <c r="M178" t="str">
        <f>LEFT($D178,FIND(",",$D178)-1)&amp;"_"&amp;I178&amp;L178</f>
        <v>Valade_2018</v>
      </c>
      <c r="N178" t="s">
        <v>222</v>
      </c>
      <c r="O178" s="145" t="s">
        <v>1154</v>
      </c>
      <c r="P178"/>
      <c r="Q178" t="s">
        <v>256</v>
      </c>
      <c r="R178" s="255" t="s">
        <v>225</v>
      </c>
      <c r="S178" s="1" t="s">
        <v>2454</v>
      </c>
      <c r="T178" t="s">
        <v>2444</v>
      </c>
      <c r="U178" t="s">
        <v>2455</v>
      </c>
      <c r="V178">
        <v>0</v>
      </c>
      <c r="W178">
        <v>0</v>
      </c>
      <c r="X178">
        <v>0</v>
      </c>
      <c r="Y178">
        <v>1</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s="141">
        <f>COUNTIF(V178:AW178,"&lt;&gt;0")</f>
        <v>1</v>
      </c>
      <c r="AY178" s="141">
        <f>COUNTIF(V178:AL178,"&lt;&gt;0")</f>
        <v>1</v>
      </c>
      <c r="AZ178">
        <f>COUNTIF(V178:AC178,"&lt;&gt;0")</f>
        <v>1</v>
      </c>
      <c r="BA178">
        <f>COUNTIF(AD178:AI178,"&lt;&gt;0")</f>
        <v>0</v>
      </c>
      <c r="BB178">
        <f>COUNTIF(AJ178:AL178,"&lt;&gt;0")</f>
        <v>0</v>
      </c>
      <c r="BC178">
        <f>COUNTIF(AS178:AW178,"&lt;&gt;0")</f>
        <v>0</v>
      </c>
      <c r="BD178">
        <f>COUNTIF(AM178:AR178,"&lt;&gt;0")</f>
        <v>0</v>
      </c>
      <c r="BE178" t="str">
        <f t="array" ref="BE178">IF(AY178=1,INDEX($V$7:$AL$7,MATCH(TRUE,INDEX($V178:$AW178&lt;&gt;0,),0)),IF(AY178=0,INDEX($AM$7:$AW$7,MATCH(1,$AM178:$AW178,0)),IF(BF178="Multiple strategies","mixed drivers",IF(BF178="Supply chain","multiple supply","multiple silviculture"))))</f>
        <v xml:space="preserve">cutting intensity </v>
      </c>
      <c r="BF178" s="2" t="str" cm="1">
        <f t="array" ref="BF178">IF(COUNTIF(AZ178:BB178,"&lt;&gt;0")=1,INDEX($V$4:$AW$4,MATCH(TRUE,INDEX($V178:$AW178&lt;&gt;0,),0)),IF(COUNTIF(AZ178:BB178,"&lt;&gt;0")=0,INDEX($AM$4:$AW$4,MATCH(1,$AM178:$AW178,0)),"Multiple strategies"))</f>
        <v>Silviculture for removals</v>
      </c>
      <c r="BG178" s="1" t="s">
        <v>321</v>
      </c>
      <c r="BH178" t="s">
        <v>2453</v>
      </c>
      <c r="BI178" s="260" t="s">
        <v>3399</v>
      </c>
      <c r="BJ178" t="s">
        <v>1323</v>
      </c>
      <c r="BK178">
        <v>1168.5023099755704</v>
      </c>
      <c r="BL178">
        <v>1304.0435025027948</v>
      </c>
      <c r="BM178" s="143">
        <f>BL178/BK178</f>
        <v>1.1159956564656326</v>
      </c>
      <c r="BN178">
        <f>BL178-BK178</f>
        <v>135.54119252722444</v>
      </c>
      <c r="BO178">
        <f>BN178*10^6</f>
        <v>135541192.52722445</v>
      </c>
      <c r="BP178" t="s">
        <v>232</v>
      </c>
      <c r="BQ178" s="300" t="s">
        <v>3401</v>
      </c>
      <c r="BR178" t="s">
        <v>1359</v>
      </c>
      <c r="BS178">
        <v>391.99006315946394</v>
      </c>
      <c r="BT178">
        <v>358.87863800000002</v>
      </c>
      <c r="BU178" s="144">
        <f>IFERROR(BT178/BS178,"")</f>
        <v>0.91552993743621003</v>
      </c>
      <c r="BV178" s="144">
        <f>BT178-BS178</f>
        <v>-33.11142515946392</v>
      </c>
      <c r="BW178" s="144"/>
      <c r="BX178">
        <f>BV178*10^6*C_to_CO2</f>
        <v>-121518930.33523259</v>
      </c>
      <c r="BY178">
        <f>IFERROR(BX178/BO178,"")</f>
        <v>-0.89654612055168847</v>
      </c>
      <c r="BZ178">
        <v>0</v>
      </c>
      <c r="CA178">
        <v>0</v>
      </c>
      <c r="CB178">
        <v>0</v>
      </c>
      <c r="CC178">
        <v>0</v>
      </c>
      <c r="CD178">
        <v>0</v>
      </c>
      <c r="CE178">
        <v>0</v>
      </c>
      <c r="CF178">
        <v>0</v>
      </c>
      <c r="CG178">
        <v>0</v>
      </c>
      <c r="CH178">
        <v>0</v>
      </c>
      <c r="CI178">
        <v>0</v>
      </c>
      <c r="CJ178">
        <v>0</v>
      </c>
      <c r="CK178">
        <v>0</v>
      </c>
      <c r="CL178">
        <v>0</v>
      </c>
      <c r="CM178">
        <v>0</v>
      </c>
      <c r="CN178" t="str">
        <f>IF($BL178&lt;$BK178,"refNeedCorrection","refOK")</f>
        <v>refOK</v>
      </c>
      <c r="CO178">
        <f>IF($CN178="refNeedCorrection",BL178,BK178)</f>
        <v>1168.5023099755704</v>
      </c>
      <c r="CP178">
        <f>IF($CN178="refNeedCorrection",BK178,BL178)</f>
        <v>1304.0435025027948</v>
      </c>
      <c r="CQ178">
        <f>IF($CN178="refOK",$BO178,-$BO178)</f>
        <v>135541192.52722445</v>
      </c>
      <c r="CR178">
        <f>IF($CN178="refOK",$BS178,$BT178)*IF($BP178="Emissions positive",-1,1)</f>
        <v>391.99006315946394</v>
      </c>
      <c r="CS178">
        <f>IF($CN178="refOK",$BT178,$BS178)*IF($BP178="Emissions positive",-1,1)</f>
        <v>358.87863800000002</v>
      </c>
      <c r="CT178">
        <f>IF($CN178="refNeedCorrection",-BX178,BX178)*IF($BP178="Emissions positive",-1,1)</f>
        <v>-121518930.33523259</v>
      </c>
      <c r="CU178">
        <f>IFERROR(CT178/CQ178,"")</f>
        <v>-0.89654612055168847</v>
      </c>
      <c r="CV178" s="2">
        <f>IFERROR((CS178-CR178)/ABS(CR178),"")</f>
        <v>-8.4470062563790013E-2</v>
      </c>
      <c r="CW178" s="1" t="s">
        <v>1203</v>
      </c>
      <c r="CX178" t="str">
        <f>IF(OR($CW178="prd",$CW178="std",$CW178="cit"),"loc",IF(OR($CW178="eur",$CW178="reg",$CW178="coy"),"reg",$CW178))</f>
        <v>reg</v>
      </c>
      <c r="CY178" t="s">
        <v>729</v>
      </c>
      <c r="CZ178">
        <v>2015</v>
      </c>
      <c r="DA178">
        <v>2040</v>
      </c>
      <c r="DB178">
        <f>DA178-CZ178</f>
        <v>25</v>
      </c>
      <c r="DC178" t="str">
        <f>IF(DB178=0,"0",IF(AND(DB178&gt;=1,DB178&lt;=30),"1-30",IF(AND(DB178&gt;30,DB178&lt;=70),"31-70",IF(AND(DB178&gt;70,DB178&lt;=100),"71-100",IF(DB178&gt;100,"+100")))))</f>
        <v>1-30</v>
      </c>
      <c r="DD178">
        <v>1</v>
      </c>
      <c r="DE178">
        <v>1</v>
      </c>
      <c r="DF178">
        <v>1</v>
      </c>
      <c r="DG178">
        <v>1</v>
      </c>
      <c r="DH178"/>
      <c r="DI178">
        <f>SUM(DD178:DG178)</f>
        <v>4</v>
      </c>
      <c r="DJ178" t="str">
        <f>IF(DI178=1,INDEX($DD$7:$DG$7,MATCH(1,$DD178:$DG178,0)),"mixedProduct")</f>
        <v>mixedProduct</v>
      </c>
      <c r="DK178" t="str">
        <f>IF(DD178=1,DK$7,0)</f>
        <v>Upstream</v>
      </c>
      <c r="DL178" t="str">
        <f>IF(DE178=1,DL$7,0)</f>
        <v>Energy</v>
      </c>
      <c r="DM178" t="str">
        <f>IF(DF178=1,DM$7,0)</f>
        <v>Pulp/Paper</v>
      </c>
      <c r="DN178" t="str">
        <f>IF(DG178=1,DN$7,0)</f>
        <v>Timber</v>
      </c>
      <c r="DO178">
        <v>0</v>
      </c>
      <c r="DP178">
        <v>1</v>
      </c>
      <c r="DQ178" t="s">
        <v>2460</v>
      </c>
      <c r="DR178" t="s">
        <v>2461</v>
      </c>
      <c r="DS178" t="s">
        <v>2461</v>
      </c>
      <c r="DT178">
        <f>SUM(DO178:DP178)</f>
        <v>1</v>
      </c>
      <c r="DU178" s="143" t="str">
        <f>IF(DO178=1,"self-calculated DF",IF(DP178=1,"external DF used","explicit C balance"))</f>
        <v>external DF used</v>
      </c>
      <c r="DV178">
        <v>0</v>
      </c>
      <c r="DW178">
        <v>1</v>
      </c>
      <c r="DX178">
        <v>1</v>
      </c>
      <c r="DY178">
        <v>1</v>
      </c>
      <c r="DZ178">
        <v>1</v>
      </c>
      <c r="EA178" s="143">
        <v>1</v>
      </c>
      <c r="EB178">
        <v>1</v>
      </c>
      <c r="EC178">
        <v>1</v>
      </c>
      <c r="ED178">
        <v>0</v>
      </c>
      <c r="EE178">
        <v>0</v>
      </c>
      <c r="EF178">
        <v>1</v>
      </c>
      <c r="EG178">
        <v>0</v>
      </c>
      <c r="EH178">
        <v>0</v>
      </c>
      <c r="EI178" s="2">
        <v>0</v>
      </c>
      <c r="EJ178" s="1"/>
      <c r="EK178" t="str">
        <f>IF(AND(AND(AND(OR($DX178=1,$DW178=1),OR($EC178=1,$EA178=1)),SUM($DV178:$DZ178,$EF178)&gt;=4),SUM($EA178:$EE178)&gt;=2),"Whole sector","")</f>
        <v>Whole sector</v>
      </c>
      <c r="EL178" t="str">
        <f>IF(AND(AND(OR($DX178=1,$DW178=1),AND($EC178=0,$EA178=0)),SUM($DV178:$DZ178,$EF178)&gt;=4),"Ecosystem approach","")</f>
        <v/>
      </c>
      <c r="EM178" s="2" t="str">
        <f>IF(AND(AND(AND($DX178=0,$DW178=0),OR($EC178=1,$EA178=1)),SUM($EB178:$EE178)&gt;=2),"Technology approach","")</f>
        <v/>
      </c>
      <c r="EN178"/>
      <c r="EO178"/>
      <c r="EP178" t="str">
        <f>IF(ISNUMBER(BU178),IF(ABS(BU178-[4]QC_indicators!$B$2)&gt;3*[4]QC_indicators!$C$2,"C ratio",IF(ISNUMBER(BY178),IF(ABS(BY178-[4]QC_indicators!$B$1)&gt;3*[4]QC_indicators!$C$1,"DF","no"))),IF(ISNUMBER(BY178),IF(ABS(BY178-[4]QC_indicators!$B$1)&gt;3*[4]QC_indicators!$C$1,"DF","no")))</f>
        <v>no</v>
      </c>
      <c r="EQ178" t="s">
        <v>2378</v>
      </c>
      <c r="ER178"/>
      <c r="ES178"/>
      <c r="ET178" s="264" t="s">
        <v>3273</v>
      </c>
      <c r="EU178"/>
    </row>
    <row r="179" spans="1:151" s="139" customFormat="1" ht="15" customHeight="1">
      <c r="A179" s="1" t="s">
        <v>1808</v>
      </c>
      <c r="B179" t="s">
        <v>2475</v>
      </c>
      <c r="C179" t="s">
        <v>2476</v>
      </c>
      <c r="D179" t="s">
        <v>2477</v>
      </c>
      <c r="E179" t="s">
        <v>2478</v>
      </c>
      <c r="F179" t="s">
        <v>2479</v>
      </c>
      <c r="G179" t="s">
        <v>1814</v>
      </c>
      <c r="H179" t="s">
        <v>254</v>
      </c>
      <c r="I179">
        <v>2010</v>
      </c>
      <c r="J179">
        <v>100</v>
      </c>
      <c r="K179" t="s">
        <v>2480</v>
      </c>
      <c r="L179"/>
      <c r="M179" t="str">
        <f>LEFT($D179,FIND(",",$D179)-1)&amp;"_"&amp;I179&amp;L179</f>
        <v>Werner_2010</v>
      </c>
      <c r="N179" t="s">
        <v>222</v>
      </c>
      <c r="O179" s="145" t="s">
        <v>1154</v>
      </c>
      <c r="P179"/>
      <c r="Q179" t="s">
        <v>256</v>
      </c>
      <c r="R179" s="262" t="s">
        <v>223</v>
      </c>
      <c r="S179" s="263" t="s">
        <v>3255</v>
      </c>
      <c r="T179" t="s">
        <v>2482</v>
      </c>
      <c r="U179" t="s">
        <v>2488</v>
      </c>
      <c r="V179">
        <v>2</v>
      </c>
      <c r="W179">
        <v>0</v>
      </c>
      <c r="X179">
        <v>1</v>
      </c>
      <c r="Y179">
        <v>2</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s="141">
        <f>COUNTIF(V179:AW179,"&lt;&gt;0")</f>
        <v>3</v>
      </c>
      <c r="AY179" s="141">
        <f>COUNTIF(V179:AL179,"&lt;&gt;0")</f>
        <v>3</v>
      </c>
      <c r="AZ179">
        <f>COUNTIF(V179:AC179,"&lt;&gt;0")</f>
        <v>3</v>
      </c>
      <c r="BA179">
        <f>COUNTIF(AD179:AI179,"&lt;&gt;0")</f>
        <v>0</v>
      </c>
      <c r="BB179">
        <f>COUNTIF(AJ179:AL179,"&lt;&gt;0")</f>
        <v>0</v>
      </c>
      <c r="BC179">
        <f>COUNTIF(AS179:AW179,"&lt;&gt;0")</f>
        <v>0</v>
      </c>
      <c r="BD179">
        <f>COUNTIF(AM179:AR179,"&lt;&gt;0")</f>
        <v>0</v>
      </c>
      <c r="BE179" t="str">
        <f t="array" ref="BE179">IF(AY179=1,INDEX($V$7:$AL$7,MATCH(TRUE,INDEX($V179:$AW179&lt;&gt;0,),0)),IF(AY179=0,INDEX($AM$7:$AW$7,MATCH(1,$AM179:$AW179,0)),IF(BF179="Multiple strategies","mixed drivers",IF(BF179="Supply chain","multiple supply","multiple silviculture"))))</f>
        <v>multiple silviculture</v>
      </c>
      <c r="BF179" s="2" t="str" cm="1">
        <f t="array" ref="BF179">IF(COUNTIF(AZ179:BB179,"&lt;&gt;0")=1,INDEX($V$4:$AW$4,MATCH(TRUE,INDEX($V179:$AW179&lt;&gt;0,),0)),IF(COUNTIF(AZ179:BB179,"&lt;&gt;0")=0,INDEX($AM$4:$AW$4,MATCH(1,$AM179:$AW179,0)),"Multiple strategies"))</f>
        <v>Silviculture for removals</v>
      </c>
      <c r="BG179" s="1" t="s">
        <v>321</v>
      </c>
      <c r="BH179" t="s">
        <v>2453</v>
      </c>
      <c r="BI179" s="264" t="s">
        <v>3252</v>
      </c>
      <c r="BJ179" t="s">
        <v>1323</v>
      </c>
      <c r="BK179">
        <v>120</v>
      </c>
      <c r="BL179">
        <v>213</v>
      </c>
      <c r="BM179" s="143">
        <f>BL179/BK179</f>
        <v>1.7749999999999999</v>
      </c>
      <c r="BN179">
        <f>BL179-BK179</f>
        <v>93</v>
      </c>
      <c r="BO179">
        <f>BN179*10^6</f>
        <v>93000000</v>
      </c>
      <c r="BP179" t="s">
        <v>232</v>
      </c>
      <c r="BQ179" s="303" t="s">
        <v>3253</v>
      </c>
      <c r="BR179" t="s">
        <v>2325</v>
      </c>
      <c r="BS179">
        <v>370.31517322497803</v>
      </c>
      <c r="BT179">
        <v>288.61473481608198</v>
      </c>
      <c r="BU179" s="144">
        <f>IFERROR(BT179/BS179,"")</f>
        <v>0.77937593618595669</v>
      </c>
      <c r="BV179" s="144">
        <f>BT179-BS179</f>
        <v>-81.700438408896048</v>
      </c>
      <c r="BW179" s="144"/>
      <c r="BX179">
        <f>BV179*10^6</f>
        <v>-81700438.408896044</v>
      </c>
      <c r="BY179">
        <f>IFERROR(BX179/BO179,"")</f>
        <v>-0.87849933773006494</v>
      </c>
      <c r="BZ179">
        <v>0</v>
      </c>
      <c r="CA179">
        <v>0</v>
      </c>
      <c r="CB179">
        <v>0</v>
      </c>
      <c r="CC179">
        <v>0</v>
      </c>
      <c r="CD179">
        <v>0</v>
      </c>
      <c r="CE179">
        <v>0</v>
      </c>
      <c r="CF179">
        <v>0</v>
      </c>
      <c r="CG179">
        <v>0</v>
      </c>
      <c r="CH179">
        <v>0</v>
      </c>
      <c r="CI179">
        <v>0</v>
      </c>
      <c r="CJ179">
        <v>0</v>
      </c>
      <c r="CK179">
        <v>0</v>
      </c>
      <c r="CL179">
        <v>0</v>
      </c>
      <c r="CM179">
        <v>1</v>
      </c>
      <c r="CN179" t="str">
        <f>IF($BL179&lt;$BK179,"refNeedCorrection","refOK")</f>
        <v>refOK</v>
      </c>
      <c r="CO179">
        <f>IF($CN179="refOK",$BK179,$BL179)</f>
        <v>120</v>
      </c>
      <c r="CP179">
        <f>IF($CN179="refOK",$BL179,$BK179)</f>
        <v>213</v>
      </c>
      <c r="CQ179">
        <f>IF($CN179="refOK",$BO179,-$BO179)</f>
        <v>93000000</v>
      </c>
      <c r="CR179">
        <f>IF($CN179="refOK",$BS179,$BT179)*IF($BP179="Emissions positive",-1,1)</f>
        <v>370.31517322497803</v>
      </c>
      <c r="CS179">
        <f>IF($CN179="refOK",$BT179,$BS179)*IF($BP179="Emissions positive",-1,1)</f>
        <v>288.61473481608198</v>
      </c>
      <c r="CT179">
        <f>IF($CN179="refNeedCorrection",-BX179,BX179)*IF($BP179="Emissions positive",-1,1)</f>
        <v>-81700438.408896044</v>
      </c>
      <c r="CU179">
        <f>IFERROR(CT179/CQ179,"")</f>
        <v>-0.87849933773006494</v>
      </c>
      <c r="CV179" s="2">
        <f>IFERROR((CS179-CR179)/ABS(CR179),"")</f>
        <v>-0.22062406381404329</v>
      </c>
      <c r="CW179" s="1" t="s">
        <v>1203</v>
      </c>
      <c r="CX179" t="str">
        <f>IF(OR($CW179="prd",$CW179="std",$CW179="cit"),"loc",IF(OR($CW179="eur",$CW179="reg",$CW179="coy"),"reg",$CW179))</f>
        <v>reg</v>
      </c>
      <c r="CY179" t="s">
        <v>639</v>
      </c>
      <c r="CZ179">
        <v>2000</v>
      </c>
      <c r="DA179">
        <v>2030</v>
      </c>
      <c r="DB179">
        <f>DA179-CZ179</f>
        <v>30</v>
      </c>
      <c r="DC179" t="str">
        <f>IF(DB179=0,"0",IF(AND(DB179&gt;=1,DB179&lt;=30),"1-30",IF(AND(DB179&gt;30,DB179&lt;=70),"31-70",IF(AND(DB179&gt;70,DB179&lt;=100),"71-100",IF(DB179&gt;100,"+100")))))</f>
        <v>1-30</v>
      </c>
      <c r="DD179">
        <v>0</v>
      </c>
      <c r="DE179">
        <v>1</v>
      </c>
      <c r="DF179">
        <v>0</v>
      </c>
      <c r="DG179">
        <v>0</v>
      </c>
      <c r="DH179">
        <v>0</v>
      </c>
      <c r="DI179">
        <f>SUM(DD179:DG179)</f>
        <v>1</v>
      </c>
      <c r="DJ179" t="str">
        <f>IF(DI179=1,INDEX($DD$7:$DG$7,MATCH(1,$DD179:$DG179,0)),"mixedProduct")</f>
        <v>EnergyInput</v>
      </c>
      <c r="DK179">
        <f>IF(DD179=1,DK$7,0)</f>
        <v>0</v>
      </c>
      <c r="DL179" t="str">
        <f>IF(DE179=1,DL$7,0)</f>
        <v>Energy</v>
      </c>
      <c r="DM179">
        <f>IF(DF179=1,DM$7,0)</f>
        <v>0</v>
      </c>
      <c r="DN179">
        <f>IF(DG179=1,DN$7,0)</f>
        <v>0</v>
      </c>
      <c r="DO179">
        <v>0</v>
      </c>
      <c r="DP179">
        <v>1</v>
      </c>
      <c r="DQ179" t="s">
        <v>2483</v>
      </c>
      <c r="DR179" t="s">
        <v>2484</v>
      </c>
      <c r="DS179"/>
      <c r="DT179">
        <f>SUM(DO179:DP179)</f>
        <v>1</v>
      </c>
      <c r="DU179" s="143" t="str">
        <f>IF(DO179=1,"self-calculated DF",IF(DP179=1,"external DF used","explicit C balance"))</f>
        <v>external DF used</v>
      </c>
      <c r="DV179">
        <v>1</v>
      </c>
      <c r="DW179">
        <v>1</v>
      </c>
      <c r="DX179">
        <v>1</v>
      </c>
      <c r="DY179">
        <v>1</v>
      </c>
      <c r="DZ179">
        <v>1</v>
      </c>
      <c r="EA179" s="143">
        <v>1</v>
      </c>
      <c r="EB179">
        <v>1</v>
      </c>
      <c r="EC179">
        <v>1</v>
      </c>
      <c r="ED179">
        <v>0</v>
      </c>
      <c r="EE179">
        <v>0</v>
      </c>
      <c r="EF179">
        <v>1</v>
      </c>
      <c r="EG179">
        <v>0</v>
      </c>
      <c r="EH179">
        <v>0</v>
      </c>
      <c r="EI179" s="2">
        <v>0</v>
      </c>
      <c r="EJ179" s="1"/>
      <c r="EK179" t="str">
        <f>IF(AND(AND(AND(OR($DX179=1,$DW179=1),OR($EC179=1,$EA179=1)),SUM($DV179:$DZ179,$EF179)&gt;=4),SUM($EA179:$EE179)&gt;=2),"Whole sector","")</f>
        <v>Whole sector</v>
      </c>
      <c r="EL179" t="str">
        <f>IF(AND(AND(OR($DX179=1,$DW179=1),AND($EC179=0,$EA179=0)),SUM($DV179:$DZ179,$EF179)&gt;=4),"Ecosystem approach","")</f>
        <v/>
      </c>
      <c r="EM179" s="2" t="str">
        <f>IF(AND(AND(AND($DX179=0,$DW179=0),OR($EC179=1,$EA179=1)),SUM($EB179:$EE179)&gt;=2),"Technology approach","")</f>
        <v/>
      </c>
      <c r="EN179" t="s">
        <v>2485</v>
      </c>
      <c r="EO179"/>
      <c r="EP179" t="str">
        <f>IF(ISNUMBER(BU179),IF(ABS(BU179-[1]QC_indicators!$B$2)&gt;3*[1]QC_indicators!$C$2,"C ratio",IF(ISNUMBER(BY179),IF(ABS(BY179-[1]QC_indicators!$B$1)&gt;3*[1]QC_indicators!$C$1,"DF","no"))),IF(ISNUMBER(BY179),IF(ABS(BY179-[1]QC_indicators!$B$1)&gt;3*[1]QC_indicators!$C$1,"DF","no")))</f>
        <v>no</v>
      </c>
      <c r="EQ179"/>
      <c r="ER179"/>
      <c r="ES179"/>
      <c r="ET179" s="264" t="s">
        <v>3254</v>
      </c>
      <c r="EU179"/>
    </row>
    <row r="180" spans="1:151" s="139" customFormat="1" ht="15" customHeight="1">
      <c r="A180" s="186" t="s">
        <v>1423</v>
      </c>
      <c r="B180" s="185" t="s">
        <v>2116</v>
      </c>
      <c r="C180" s="185" t="s">
        <v>2117</v>
      </c>
      <c r="D180" s="185" t="s">
        <v>2118</v>
      </c>
      <c r="E180" s="185" t="s">
        <v>2119</v>
      </c>
      <c r="F180" s="185" t="s">
        <v>2120</v>
      </c>
      <c r="G180" s="185" t="s">
        <v>1429</v>
      </c>
      <c r="H180" s="185" t="s">
        <v>254</v>
      </c>
      <c r="I180" s="185">
        <v>2014</v>
      </c>
      <c r="J180" s="185">
        <v>45</v>
      </c>
      <c r="K180" s="185" t="s">
        <v>2121</v>
      </c>
      <c r="L180" s="185"/>
      <c r="M180" t="str">
        <f>LEFT($D180,FIND(",",$D180)-1)&amp;"_"&amp;I180&amp;L180</f>
        <v>Pukkala_2014</v>
      </c>
      <c r="N180" t="s">
        <v>222</v>
      </c>
      <c r="O180" s="187" t="s">
        <v>225</v>
      </c>
      <c r="P180" s="185" t="s">
        <v>1154</v>
      </c>
      <c r="Q180" s="185"/>
      <c r="R180" s="262" t="s">
        <v>223</v>
      </c>
      <c r="S180" s="186" t="s">
        <v>2130</v>
      </c>
      <c r="T180" s="185" t="s">
        <v>2131</v>
      </c>
      <c r="U180" s="185" t="s">
        <v>2124</v>
      </c>
      <c r="V180" s="185">
        <v>0</v>
      </c>
      <c r="W180" s="185">
        <v>0</v>
      </c>
      <c r="X180" s="185">
        <v>0</v>
      </c>
      <c r="Y180" s="185">
        <v>1</v>
      </c>
      <c r="Z180" s="185">
        <v>0</v>
      </c>
      <c r="AA180" s="185">
        <v>0</v>
      </c>
      <c r="AB180" s="185">
        <v>0</v>
      </c>
      <c r="AC180" s="185">
        <v>0</v>
      </c>
      <c r="AD180" s="185">
        <v>0</v>
      </c>
      <c r="AE180" s="185">
        <v>0</v>
      </c>
      <c r="AF180" s="185">
        <v>0</v>
      </c>
      <c r="AG180" s="185">
        <v>0</v>
      </c>
      <c r="AH180" s="185">
        <v>0</v>
      </c>
      <c r="AI180" s="185">
        <v>0</v>
      </c>
      <c r="AJ180" s="185">
        <v>0</v>
      </c>
      <c r="AK180" s="185">
        <v>0</v>
      </c>
      <c r="AL180" s="185">
        <v>0</v>
      </c>
      <c r="AM180" s="185">
        <v>0</v>
      </c>
      <c r="AN180" s="185">
        <v>0</v>
      </c>
      <c r="AO180" s="185">
        <v>0</v>
      </c>
      <c r="AP180" s="185">
        <v>0</v>
      </c>
      <c r="AQ180" s="185">
        <v>0</v>
      </c>
      <c r="AR180" s="185">
        <v>0</v>
      </c>
      <c r="AS180" s="185">
        <v>0</v>
      </c>
      <c r="AT180" s="185">
        <v>0</v>
      </c>
      <c r="AU180" s="185">
        <v>0</v>
      </c>
      <c r="AV180" s="185">
        <v>0</v>
      </c>
      <c r="AW180" s="185">
        <v>0</v>
      </c>
      <c r="AX180" s="141">
        <f>COUNTIF(V180:AW180,"&lt;&gt;0")</f>
        <v>1</v>
      </c>
      <c r="AY180" s="141">
        <f>COUNTIF(V180:AL180,"&lt;&gt;0")</f>
        <v>1</v>
      </c>
      <c r="AZ180">
        <f>COUNTIF(V180:AC180,"&lt;&gt;0")</f>
        <v>1</v>
      </c>
      <c r="BA180">
        <f>COUNTIF(AD180:AI180,"&lt;&gt;0")</f>
        <v>0</v>
      </c>
      <c r="BB180">
        <f>COUNTIF(AJ180:AL180,"&lt;&gt;0")</f>
        <v>0</v>
      </c>
      <c r="BC180">
        <f>COUNTIF(AS180:AW180,"&lt;&gt;0")</f>
        <v>0</v>
      </c>
      <c r="BD180">
        <f>COUNTIF(AM180:AR180,"&lt;&gt;0")</f>
        <v>0</v>
      </c>
      <c r="BE180" t="str">
        <f t="array" ref="BE180">IF(AY180=1,INDEX($V$7:$AL$7,MATCH(TRUE,INDEX($V180:$AW180&lt;&gt;0,),0)),IF(AY180=0,INDEX($AM$7:$AW$7,MATCH(1,$AM180:$AW180,0)),IF(BF180="Multiple strategies","mixed drivers",IF(BF180="Supply chain","multiple supply","multiple silviculture"))))</f>
        <v xml:space="preserve">cutting intensity </v>
      </c>
      <c r="BF180" s="2" t="str" cm="1">
        <f t="array" ref="BF180">IF(COUNTIF(AZ180:BB180,"&lt;&gt;0")=1,INDEX($V$4:$AW$4,MATCH(TRUE,INDEX($V180:$AW180&lt;&gt;0,),0)),IF(COUNTIF(AZ180:BB180,"&lt;&gt;0")=0,INDEX($AM$4:$AW$4,MATCH(1,$AM180:$AW180,0)),"Multiple strategies"))</f>
        <v>Silviculture for removals</v>
      </c>
      <c r="BG180" s="186" t="s">
        <v>229</v>
      </c>
      <c r="BH180" s="185" t="s">
        <v>2125</v>
      </c>
      <c r="BI180" s="185" t="s">
        <v>2126</v>
      </c>
      <c r="BJ180" s="185" t="s">
        <v>2127</v>
      </c>
      <c r="BK180" s="185">
        <v>0.95599999999999996</v>
      </c>
      <c r="BL180" s="185">
        <v>1.0920000000000001</v>
      </c>
      <c r="BM180" s="185">
        <f>IFERROR(BL180/BK180,"")</f>
        <v>1.1422594142259415</v>
      </c>
      <c r="BN180" s="185">
        <f>BL180-BK180</f>
        <v>0.13600000000000012</v>
      </c>
      <c r="BO180" s="185">
        <f>+BN180*tC_to_m3</f>
        <v>0.59053408597481605</v>
      </c>
      <c r="BP180" s="185" t="s">
        <v>232</v>
      </c>
      <c r="BQ180" s="340" t="s">
        <v>2128</v>
      </c>
      <c r="BR180" s="185" t="s">
        <v>2127</v>
      </c>
      <c r="BS180" s="185">
        <v>0.77500000000000002</v>
      </c>
      <c r="BT180" s="185">
        <v>0.63800000000000001</v>
      </c>
      <c r="BU180" s="189">
        <f>BT180/BS180</f>
        <v>0.82322580645161292</v>
      </c>
      <c r="BV180" s="185">
        <f>BT180-BS180</f>
        <v>-0.13700000000000001</v>
      </c>
      <c r="BW180" s="185"/>
      <c r="BX180" s="185">
        <f>BV180*C_to_CO2</f>
        <v>-0.50279000000000007</v>
      </c>
      <c r="BY180">
        <f>IFERROR(BX180/BO180,"")</f>
        <v>-0.85141571323529341</v>
      </c>
      <c r="BZ180" s="185">
        <v>0</v>
      </c>
      <c r="CA180" s="185">
        <v>0</v>
      </c>
      <c r="CB180" s="185">
        <v>0</v>
      </c>
      <c r="CC180" s="185">
        <v>0</v>
      </c>
      <c r="CD180" s="185">
        <v>0</v>
      </c>
      <c r="CE180" s="185">
        <v>0</v>
      </c>
      <c r="CF180" s="185">
        <v>0</v>
      </c>
      <c r="CG180" s="185">
        <v>0</v>
      </c>
      <c r="CH180" s="185">
        <v>0</v>
      </c>
      <c r="CI180" s="185">
        <v>0</v>
      </c>
      <c r="CJ180" s="185">
        <v>0</v>
      </c>
      <c r="CK180" s="185">
        <v>0</v>
      </c>
      <c r="CL180" s="185">
        <v>0</v>
      </c>
      <c r="CM180" s="185">
        <v>1</v>
      </c>
      <c r="CN180" s="185" t="str">
        <f>IF($BL180&lt;$BK180,"refNeedCorrection","refOK")</f>
        <v>refOK</v>
      </c>
      <c r="CO180" s="185">
        <f>IF($CN180="refOK",$BK180,$BL180)</f>
        <v>0.95599999999999996</v>
      </c>
      <c r="CP180" s="185">
        <f>IF($CN180="refOK",$BL180,$BK180)</f>
        <v>1.0920000000000001</v>
      </c>
      <c r="CQ180" s="185">
        <f>IF($CN180="refOK",$BO180,-$BO180)</f>
        <v>0.59053408597481605</v>
      </c>
      <c r="CR180" s="185">
        <f>IF($CN180="refOK",$BS180,$BT180)*IF($BP180="Emissions positive",-1,1)</f>
        <v>0.77500000000000002</v>
      </c>
      <c r="CS180" s="185">
        <f>IF($CN180="refOK",$BT180,$BS180)*IF($BP180="Emissions positive",-1,1)</f>
        <v>0.63800000000000001</v>
      </c>
      <c r="CT180" s="185">
        <f>IF($CN180="refNeedCorrection",-BX180,BX180)*IF($BP180="Emissions positive",-1,1)</f>
        <v>-0.50279000000000007</v>
      </c>
      <c r="CU180">
        <f>IFERROR(CT180/CQ180,"")</f>
        <v>-0.85141571323529341</v>
      </c>
      <c r="CV180" s="188">
        <f>IFERROR((CS180-CR180)/ABS(CR180),"")</f>
        <v>-0.17677419354838711</v>
      </c>
      <c r="CW180" s="186" t="s">
        <v>2036</v>
      </c>
      <c r="CX180" t="str">
        <f>IF(OR($CW180="prd",$CW180="std",$CW180="cit"),"loc",IF(OR($CW180="eur",$CW180="reg",$CW180="coy"),"reg",$CW180))</f>
        <v>reg</v>
      </c>
      <c r="CY180" s="185" t="s">
        <v>235</v>
      </c>
      <c r="CZ180" s="185"/>
      <c r="DA180" s="185"/>
      <c r="DB180" s="185">
        <v>30</v>
      </c>
      <c r="DC180" t="str">
        <f>IF(DB180=0,"0",IF(AND(DB180&gt;=1,DB180&lt;=30),"1-30",IF(AND(DB180&gt;30,DB180&lt;=70),"31-70",IF(AND(DB180&gt;70,DB180&lt;=100),"71-100",IF(DB180&gt;100,"+100")))))</f>
        <v>1-30</v>
      </c>
      <c r="DD180">
        <v>1</v>
      </c>
      <c r="DE180">
        <v>1</v>
      </c>
      <c r="DF180">
        <v>1</v>
      </c>
      <c r="DG180">
        <v>1</v>
      </c>
      <c r="DH180" s="185">
        <v>0</v>
      </c>
      <c r="DI180">
        <f>SUM(DD180:DG180)</f>
        <v>4</v>
      </c>
      <c r="DJ180" t="str">
        <f>IF(DI180=1,INDEX($DD$7:$DG$7,MATCH(1,$DD180:$DG180,0)),"mixedProduct")</f>
        <v>mixedProduct</v>
      </c>
      <c r="DK180" t="str">
        <f>IF(DD180=1,DK$7,0)</f>
        <v>Upstream</v>
      </c>
      <c r="DL180" t="str">
        <f>IF(DE180=1,DL$7,0)</f>
        <v>Energy</v>
      </c>
      <c r="DM180" t="str">
        <f>IF(DF180=1,DM$7,0)</f>
        <v>Pulp/Paper</v>
      </c>
      <c r="DN180" t="str">
        <f>IF(DG180=1,DN$7,0)</f>
        <v>Timber</v>
      </c>
      <c r="DO180" s="185">
        <v>0</v>
      </c>
      <c r="DP180" s="185">
        <v>1</v>
      </c>
      <c r="DQ180" s="190" t="s">
        <v>2129</v>
      </c>
      <c r="DR180" s="190" t="s">
        <v>2129</v>
      </c>
      <c r="DS180" s="190">
        <v>0</v>
      </c>
      <c r="DT180" s="185"/>
      <c r="DU180" s="191" t="str">
        <f>IF(DO180=1,"self-calculated DF",IF(DP180=1,"external DF used","explicit C balance"))</f>
        <v>external DF used</v>
      </c>
      <c r="DV180" s="185">
        <v>1</v>
      </c>
      <c r="DW180" s="185">
        <v>1</v>
      </c>
      <c r="DX180" s="185">
        <v>1</v>
      </c>
      <c r="DY180" s="185">
        <v>1</v>
      </c>
      <c r="DZ180" s="185">
        <v>1</v>
      </c>
      <c r="EA180" s="185">
        <v>1</v>
      </c>
      <c r="EB180" s="185">
        <v>1</v>
      </c>
      <c r="EC180" s="185">
        <v>1</v>
      </c>
      <c r="ED180" s="185">
        <v>0</v>
      </c>
      <c r="EE180" s="185">
        <v>0</v>
      </c>
      <c r="EF180" s="185">
        <v>1</v>
      </c>
      <c r="EG180" s="185">
        <v>0</v>
      </c>
      <c r="EH180" s="185">
        <v>0</v>
      </c>
      <c r="EI180" s="188">
        <v>0</v>
      </c>
      <c r="EJ180" s="1"/>
      <c r="EK180" t="str">
        <f>IF(AND(AND(AND(OR($DX180=1,$DW180=1),OR($EC180=1,$EA180=1)),SUM($DV180:$DZ180,$EF180)&gt;=4),SUM($EA180:$EE180)&gt;=2),"Whole sector","")</f>
        <v>Whole sector</v>
      </c>
      <c r="EL180" t="str">
        <f>IF(AND(AND(OR($DX180=1,$DW180=1),AND($EC180=0,$EA180=0)),SUM($DV180:$DZ180,$EF180)&gt;=4),"Ecosystem approach","")</f>
        <v/>
      </c>
      <c r="EM180" s="2" t="str">
        <f>IF(AND(AND(AND($DX180=0,$DW180=0),OR($EC180=1,$EA180=1)),SUM($EB180:$EE180)&gt;=2),"Technology approach","")</f>
        <v/>
      </c>
      <c r="EN180" s="185"/>
      <c r="EO180" s="185"/>
      <c r="EP180" t="str">
        <f>IF(ISNUMBER(BU180),IF(ABS(BU180-[1]QC_indicators!$B$2)&gt;3*[1]QC_indicators!$C$2,"C ratio",IF(ISNUMBER(BY180),IF(ABS(BY180-[1]QC_indicators!$B$1)&gt;3*[1]QC_indicators!$C$1,"DF","no"))),IF(ISNUMBER(BY180),IF(ABS(BY180-[1]QC_indicators!$B$1)&gt;3*[1]QC_indicators!$C$1,"DF","no")))</f>
        <v>no</v>
      </c>
      <c r="EQ180" s="185"/>
      <c r="ER180" s="185"/>
      <c r="ES180" s="185"/>
      <c r="ET180" s="264" t="s">
        <v>3223</v>
      </c>
      <c r="EU180"/>
    </row>
    <row r="181" spans="1:151" s="139" customFormat="1" ht="15" customHeight="1">
      <c r="A181" s="1" t="s">
        <v>667</v>
      </c>
      <c r="B181" t="s">
        <v>668</v>
      </c>
      <c r="C181" t="s">
        <v>669</v>
      </c>
      <c r="D181" t="s">
        <v>670</v>
      </c>
      <c r="E181" t="s">
        <v>671</v>
      </c>
      <c r="F181" t="s">
        <v>672</v>
      </c>
      <c r="G181" t="s">
        <v>673</v>
      </c>
      <c r="H181" t="s">
        <v>254</v>
      </c>
      <c r="I181">
        <v>2015</v>
      </c>
      <c r="J181">
        <v>68</v>
      </c>
      <c r="K181" t="s">
        <v>674</v>
      </c>
      <c r="L181"/>
      <c r="M181" t="str">
        <f>LEFT($D181,FIND(",",$D181)-1)&amp;"_"&amp;I181&amp;L181</f>
        <v>Dong_2015</v>
      </c>
      <c r="N181" t="s">
        <v>1352</v>
      </c>
      <c r="O181" s="145" t="s">
        <v>274</v>
      </c>
      <c r="P181"/>
      <c r="Q181" t="s">
        <v>256</v>
      </c>
      <c r="R181" s="262" t="s">
        <v>223</v>
      </c>
      <c r="S181" s="263" t="s">
        <v>3117</v>
      </c>
      <c r="T181" t="s">
        <v>675</v>
      </c>
      <c r="U181" t="s">
        <v>676</v>
      </c>
      <c r="V181">
        <v>0</v>
      </c>
      <c r="W181">
        <v>0</v>
      </c>
      <c r="X181">
        <v>0</v>
      </c>
      <c r="Y181">
        <v>0</v>
      </c>
      <c r="Z181">
        <v>0</v>
      </c>
      <c r="AA181">
        <v>0</v>
      </c>
      <c r="AB181">
        <v>0</v>
      </c>
      <c r="AC181">
        <v>0</v>
      </c>
      <c r="AD181">
        <v>0</v>
      </c>
      <c r="AE181">
        <v>0</v>
      </c>
      <c r="AF181" s="151">
        <v>0</v>
      </c>
      <c r="AG181">
        <v>0</v>
      </c>
      <c r="AH181">
        <v>0</v>
      </c>
      <c r="AI181">
        <v>0</v>
      </c>
      <c r="AJ181">
        <v>0</v>
      </c>
      <c r="AK181">
        <v>1</v>
      </c>
      <c r="AL181">
        <v>0</v>
      </c>
      <c r="AM181">
        <v>0</v>
      </c>
      <c r="AN181">
        <v>0</v>
      </c>
      <c r="AO181">
        <v>0</v>
      </c>
      <c r="AP181">
        <v>0</v>
      </c>
      <c r="AQ181">
        <v>0</v>
      </c>
      <c r="AR181">
        <v>0</v>
      </c>
      <c r="AS181">
        <v>0</v>
      </c>
      <c r="AT181">
        <v>0</v>
      </c>
      <c r="AU181">
        <v>0</v>
      </c>
      <c r="AV181">
        <v>0</v>
      </c>
      <c r="AW181">
        <v>0</v>
      </c>
      <c r="AX181" s="141">
        <f>COUNTIF(V181:AW181,"&lt;&gt;0")</f>
        <v>1</v>
      </c>
      <c r="AY181" s="141">
        <f>COUNTIF(V181:AL181,"&lt;&gt;0")</f>
        <v>1</v>
      </c>
      <c r="AZ181">
        <f>COUNTIF(V181:AC181,"&lt;&gt;0")</f>
        <v>0</v>
      </c>
      <c r="BA181">
        <f>COUNTIF(AD181:AI181,"&lt;&gt;0")</f>
        <v>0</v>
      </c>
      <c r="BB181">
        <f>COUNTIF(AJ181:AL181,"&lt;&gt;0")</f>
        <v>1</v>
      </c>
      <c r="BC181">
        <f>COUNTIF(AS181:AW181,"&lt;&gt;0")</f>
        <v>0</v>
      </c>
      <c r="BD181">
        <f>COUNTIF(AM181:AR181,"&lt;&gt;0")</f>
        <v>0</v>
      </c>
      <c r="BE181" t="str">
        <f t="array" ref="BE181">IF(AY181=1,INDEX($V$7:$AL$7,MATCH(TRUE,INDEX($V181:$AW181&lt;&gt;0,),0)),IF(AY181=0,INDEX($AM$7:$AW$7,MATCH(1,$AM181:$AW181,0)),IF(BF181="Multiple strategies","mixed drivers",IF(BF181="Supply chain","multiple supply","multiple silviculture"))))</f>
        <v>technologies/design switch</v>
      </c>
      <c r="BF181" s="2" t="str" cm="1">
        <f t="array" ref="BF181">IF(COUNTIF(AZ181:BB181,"&lt;&gt;0")=1,INDEX($V$4:$AW$4,MATCH(TRUE,INDEX($V181:$AW181&lt;&gt;0,),0)),IF(COUNTIF(AZ181:BB181,"&lt;&gt;0")=0,INDEX($AM$4:$AW$4,MATCH(1,$AM181:$AW181,0)),"Multiple strategies"))</f>
        <v>Technology</v>
      </c>
      <c r="BG181" s="1" t="s">
        <v>229</v>
      </c>
      <c r="BH181" t="s">
        <v>677</v>
      </c>
      <c r="BI181" s="264" t="s">
        <v>611</v>
      </c>
      <c r="BJ181" s="264" t="s">
        <v>518</v>
      </c>
      <c r="BK181">
        <v>0</v>
      </c>
      <c r="BL181" s="152">
        <v>45.7</v>
      </c>
      <c r="BM181"/>
      <c r="BN181">
        <f>BL181-BK181</f>
        <v>45.7</v>
      </c>
      <c r="BO181">
        <f>BN181*kg_to_m3</f>
        <v>9.3265306122448988E-2</v>
      </c>
      <c r="BP181" s="143" t="s">
        <v>395</v>
      </c>
      <c r="BQ181" s="311"/>
      <c r="BR181" t="s">
        <v>679</v>
      </c>
      <c r="BS181" s="152">
        <v>692</v>
      </c>
      <c r="BT181" s="152">
        <v>770</v>
      </c>
      <c r="BU181" s="144">
        <f>IFERROR(BT181/BS181,"")</f>
        <v>1.1127167630057804</v>
      </c>
      <c r="BV181" s="152">
        <f>BT181-BS181</f>
        <v>78</v>
      </c>
      <c r="BW181" s="152"/>
      <c r="BX181">
        <f>BV181/1000</f>
        <v>7.8E-2</v>
      </c>
      <c r="BY181">
        <f>IFERROR(BX181/BO181,"")</f>
        <v>0.83632385120350106</v>
      </c>
      <c r="BZ181">
        <v>0</v>
      </c>
      <c r="CA181">
        <v>0</v>
      </c>
      <c r="CB181">
        <v>0</v>
      </c>
      <c r="CC181">
        <v>0</v>
      </c>
      <c r="CD181">
        <v>0</v>
      </c>
      <c r="CE181">
        <v>0</v>
      </c>
      <c r="CF181">
        <v>0</v>
      </c>
      <c r="CG181">
        <v>0</v>
      </c>
      <c r="CH181">
        <v>0</v>
      </c>
      <c r="CI181">
        <v>0</v>
      </c>
      <c r="CJ181">
        <v>0</v>
      </c>
      <c r="CK181">
        <v>0</v>
      </c>
      <c r="CL181">
        <v>0</v>
      </c>
      <c r="CM181">
        <v>0</v>
      </c>
      <c r="CN181" t="str">
        <f>IF($BL181&lt;$BK181,"refNeedCorrection","refOK")</f>
        <v>refOK</v>
      </c>
      <c r="CO181">
        <f>IF($CN181="refOK",$BK181,$BL181)</f>
        <v>0</v>
      </c>
      <c r="CP181">
        <f>IF($CN181="refOK",$BL181,$BK181)</f>
        <v>45.7</v>
      </c>
      <c r="CQ181">
        <f>IF($CN181="refOK",$BO181,-$BO181)</f>
        <v>9.3265306122448988E-2</v>
      </c>
      <c r="CR181">
        <f>IF($CN181="refOK",$BS181,$BT181)*IF($BP181="Emissions positive",-1,1)</f>
        <v>-692</v>
      </c>
      <c r="CS181">
        <f>IF($CN181="refOK",$BT181,$BS181)*IF($BP181="Emissions positive",-1,1)</f>
        <v>-770</v>
      </c>
      <c r="CT181">
        <f>IF($CN181="refNeedCorrection",-BX181,BX181)*IF($BP181="Emissions positive",-1,1)</f>
        <v>-7.8E-2</v>
      </c>
      <c r="CU181">
        <f>IFERROR(CT181/CQ181,"")</f>
        <v>-0.83632385120350106</v>
      </c>
      <c r="CV181" s="2">
        <f>IFERROR((CS181-CR181)/ABS(CR181),"")</f>
        <v>-0.11271676300578035</v>
      </c>
      <c r="CW181" s="1" t="s">
        <v>263</v>
      </c>
      <c r="CX181" t="str">
        <f>IF(OR($CW181="prd",$CW181="std",$CW181="cit"),"loc",IF(OR($CW181="eur",$CW181="reg",$CW181="coy"),"reg",$CW181))</f>
        <v>loc</v>
      </c>
      <c r="CY181" t="s">
        <v>680</v>
      </c>
      <c r="CZ181"/>
      <c r="DA181"/>
      <c r="DB181">
        <v>0</v>
      </c>
      <c r="DC181" t="str">
        <f>IF(DB181=0,"0",IF(AND(DB181&gt;=1,DB181&lt;=30),"1-30",IF(AND(DB181&gt;30,DB181&lt;=70),"31-70",IF(AND(DB181&gt;70,DB181&lt;=100),"71-100",IF(DB181&gt;100,"+100")))))</f>
        <v>0</v>
      </c>
      <c r="DD181">
        <v>0</v>
      </c>
      <c r="DE181">
        <v>0</v>
      </c>
      <c r="DF181">
        <v>0</v>
      </c>
      <c r="DG181">
        <v>1</v>
      </c>
      <c r="DH181"/>
      <c r="DI181">
        <f>SUM(DD181:DG181)</f>
        <v>1</v>
      </c>
      <c r="DJ181" t="str">
        <f>IF(DI181=1,INDEX($DD$7:$DG$7,MATCH(1,$DD181:$DG181,0)),"mixedProduct")</f>
        <v>TimberInput</v>
      </c>
      <c r="DK181">
        <f>IF(DD181=1,DK$7,0)</f>
        <v>0</v>
      </c>
      <c r="DL181">
        <f>IF(DE181=1,DL$7,0)</f>
        <v>0</v>
      </c>
      <c r="DM181">
        <f>IF(DF181=1,DM$7,0)</f>
        <v>0</v>
      </c>
      <c r="DN181" t="str">
        <f>IF(DG181=1,DN$7,0)</f>
        <v>Timber</v>
      </c>
      <c r="DO181">
        <v>1</v>
      </c>
      <c r="DP181">
        <v>0</v>
      </c>
      <c r="DQ181">
        <v>0</v>
      </c>
      <c r="DR181">
        <v>0</v>
      </c>
      <c r="DS181">
        <v>0</v>
      </c>
      <c r="DT181">
        <f>SUM(DO181:DP181)</f>
        <v>1</v>
      </c>
      <c r="DU181" s="143" t="str">
        <f>IF(DO181=1,"self-calculated DF",IF(DP181=1,"external DF used","explicit C balance"))</f>
        <v>self-calculated DF</v>
      </c>
      <c r="DV181">
        <v>0</v>
      </c>
      <c r="DW181">
        <v>0</v>
      </c>
      <c r="DX181">
        <v>0</v>
      </c>
      <c r="DY181">
        <v>0</v>
      </c>
      <c r="DZ181">
        <v>0</v>
      </c>
      <c r="EA181" s="143">
        <v>1</v>
      </c>
      <c r="EB181">
        <v>0</v>
      </c>
      <c r="EC181">
        <v>1</v>
      </c>
      <c r="ED181">
        <v>0</v>
      </c>
      <c r="EE181">
        <v>0</v>
      </c>
      <c r="EF181">
        <v>0</v>
      </c>
      <c r="EG181">
        <v>0</v>
      </c>
      <c r="EH181">
        <v>0</v>
      </c>
      <c r="EI181" s="2">
        <v>0</v>
      </c>
      <c r="EJ181" s="1"/>
      <c r="EK181" t="str">
        <f>IF(AND(AND(AND(OR($DX181=1,$DW181=1),OR($EC181=1,$EA181=1)),SUM($DV181:$DZ181,$EF181)&gt;=4),SUM($EA181:$EE181)&gt;=2),"Whole sector","")</f>
        <v/>
      </c>
      <c r="EL181" t="str">
        <f>IF(AND(AND(OR($DX181=1,$DW181=1),AND($EC181=0,$EA181=0)),SUM($DV181:$DZ181,$EF181)&gt;=4),"Ecosystem approach","")</f>
        <v/>
      </c>
      <c r="EM181" s="2" t="str">
        <f>IF(AND(AND(AND($DX181=0,$DW181=0),OR($EC181=1,$EA181=1)),SUM($EB181:$EE181)&gt;=2),"Technology approach","")</f>
        <v/>
      </c>
      <c r="EN181"/>
      <c r="EO181" s="147"/>
      <c r="EP181" t="str">
        <f>IF(ISNUMBER(BU181),IF(ABS(BU181-[1]QC_indicators!$B$2)&gt;3*[1]QC_indicators!$C$2,"C ratio",IF(ISNUMBER(BY181),IF(ABS(BY181-[1]QC_indicators!$B$1)&gt;3*[1]QC_indicators!$C$1,"DF","no"))),IF(ISNUMBER(BY181),IF(ABS(BY181-[1]QC_indicators!$B$1)&gt;3*[1]QC_indicators!$C$1,"DF","no")))</f>
        <v>no</v>
      </c>
      <c r="EQ181"/>
      <c r="ER181"/>
      <c r="ES181"/>
      <c r="ET181" s="264" t="s">
        <v>3118</v>
      </c>
      <c r="EU181"/>
    </row>
    <row r="182" spans="1:151" s="139" customFormat="1" ht="15" customHeight="1">
      <c r="A182" s="1" t="s">
        <v>1423</v>
      </c>
      <c r="B182" t="s">
        <v>2116</v>
      </c>
      <c r="C182" t="s">
        <v>2117</v>
      </c>
      <c r="D182" t="s">
        <v>2118</v>
      </c>
      <c r="E182" t="s">
        <v>2119</v>
      </c>
      <c r="F182" t="s">
        <v>2120</v>
      </c>
      <c r="G182" t="s">
        <v>1429</v>
      </c>
      <c r="H182" t="s">
        <v>254</v>
      </c>
      <c r="I182">
        <v>2014</v>
      </c>
      <c r="J182">
        <v>45</v>
      </c>
      <c r="K182" t="s">
        <v>2121</v>
      </c>
      <c r="L182"/>
      <c r="M182" t="str">
        <f>LEFT($D182,FIND(",",$D182)-1)&amp;"_"&amp;I182&amp;L182</f>
        <v>Pukkala_2014</v>
      </c>
      <c r="N182" t="s">
        <v>222</v>
      </c>
      <c r="O182" s="171" t="s">
        <v>225</v>
      </c>
      <c r="P182" t="s">
        <v>1154</v>
      </c>
      <c r="Q182"/>
      <c r="R182" s="262" t="s">
        <v>223</v>
      </c>
      <c r="S182" s="1" t="s">
        <v>2122</v>
      </c>
      <c r="T182" t="s">
        <v>2123</v>
      </c>
      <c r="U182" t="s">
        <v>2124</v>
      </c>
      <c r="V182">
        <v>0</v>
      </c>
      <c r="W182">
        <v>0</v>
      </c>
      <c r="X182">
        <v>0</v>
      </c>
      <c r="Y182">
        <v>0</v>
      </c>
      <c r="Z182">
        <v>0</v>
      </c>
      <c r="AA182">
        <v>0</v>
      </c>
      <c r="AB182">
        <v>0</v>
      </c>
      <c r="AC182">
        <v>0</v>
      </c>
      <c r="AD182">
        <v>0</v>
      </c>
      <c r="AE182">
        <v>0</v>
      </c>
      <c r="AF182">
        <v>1</v>
      </c>
      <c r="AG182">
        <v>0</v>
      </c>
      <c r="AH182">
        <v>0</v>
      </c>
      <c r="AI182">
        <v>0</v>
      </c>
      <c r="AJ182">
        <v>0</v>
      </c>
      <c r="AK182">
        <v>0</v>
      </c>
      <c r="AL182">
        <v>0</v>
      </c>
      <c r="AM182">
        <v>0</v>
      </c>
      <c r="AN182">
        <v>0</v>
      </c>
      <c r="AO182">
        <v>0</v>
      </c>
      <c r="AP182">
        <v>0</v>
      </c>
      <c r="AQ182">
        <v>0</v>
      </c>
      <c r="AR182">
        <v>0</v>
      </c>
      <c r="AS182">
        <v>0</v>
      </c>
      <c r="AT182">
        <v>0</v>
      </c>
      <c r="AU182">
        <v>0</v>
      </c>
      <c r="AV182">
        <v>0</v>
      </c>
      <c r="AW182">
        <v>0</v>
      </c>
      <c r="AX182" s="141">
        <f>COUNTIF(V182:AW182,"&lt;&gt;0")</f>
        <v>1</v>
      </c>
      <c r="AY182" s="141">
        <f>COUNTIF(V182:AL182,"&lt;&gt;0")</f>
        <v>1</v>
      </c>
      <c r="AZ182">
        <f>COUNTIF(V182:AC182,"&lt;&gt;0")</f>
        <v>0</v>
      </c>
      <c r="BA182">
        <f>COUNTIF(AD182:AI182,"&lt;&gt;0")</f>
        <v>1</v>
      </c>
      <c r="BB182">
        <f>COUNTIF(AJ182:AL182,"&lt;&gt;0")</f>
        <v>0</v>
      </c>
      <c r="BC182">
        <f>COUNTIF(AS182:AW182,"&lt;&gt;0")</f>
        <v>0</v>
      </c>
      <c r="BD182">
        <f>COUNTIF(AM182:AR182,"&lt;&gt;0")</f>
        <v>0</v>
      </c>
      <c r="BE182" t="str">
        <f t="array" ref="BE182">IF(AY182=1,INDEX($V$7:$AL$7,MATCH(TRUE,INDEX($V182:$AW182&lt;&gt;0,),0)),IF(AY182=0,INDEX($AM$7:$AW$7,MATCH(1,$AM182:$AW182,0)),IF(BF182="Multiple strategies","mixed drivers",IF(BF182="Supply chain","multiple supply","multiple silviculture"))))</f>
        <v>supply chain organization</v>
      </c>
      <c r="BF182" s="2" t="str" cm="1">
        <f t="array" ref="BF182">IF(COUNTIF(AZ182:BB182,"&lt;&gt;0")=1,INDEX($V$4:$AW$4,MATCH(TRUE,INDEX($V182:$AW182&lt;&gt;0,),0)),IF(COUNTIF(AZ182:BB182,"&lt;&gt;0")=0,INDEX($AM$4:$AW$4,MATCH(1,$AM182:$AW182,0)),"Multiple strategies"))</f>
        <v>Supply chain</v>
      </c>
      <c r="BG182" s="1" t="s">
        <v>229</v>
      </c>
      <c r="BH182" t="s">
        <v>2125</v>
      </c>
      <c r="BI182" t="s">
        <v>2126</v>
      </c>
      <c r="BJ182" t="s">
        <v>2127</v>
      </c>
      <c r="BK182">
        <v>1.004</v>
      </c>
      <c r="BL182">
        <v>1.0920000000000001</v>
      </c>
      <c r="BM182">
        <f>IFERROR(BL182/BK182,"")</f>
        <v>1.0876494023904384</v>
      </c>
      <c r="BN182">
        <f>BL182-BK182</f>
        <v>8.8000000000000078E-2</v>
      </c>
      <c r="BO182">
        <f>+BN182*tC_to_m3</f>
        <v>0.38211029092488097</v>
      </c>
      <c r="BP182" t="s">
        <v>232</v>
      </c>
      <c r="BQ182" s="234" t="s">
        <v>2128</v>
      </c>
      <c r="BR182" t="s">
        <v>2127</v>
      </c>
      <c r="BS182">
        <v>0.72399999999999998</v>
      </c>
      <c r="BT182">
        <v>0.63800000000000001</v>
      </c>
      <c r="BU182" s="144">
        <f>BT182/BS182</f>
        <v>0.88121546961325969</v>
      </c>
      <c r="BV182">
        <f>BT182-BS182</f>
        <v>-8.5999999999999965E-2</v>
      </c>
      <c r="BW182"/>
      <c r="BX182" s="185">
        <f>BV182*C_to_CO2</f>
        <v>-0.31561999999999985</v>
      </c>
      <c r="BY182">
        <f>IFERROR(BX182/BO182,"")</f>
        <v>-0.82599188636363519</v>
      </c>
      <c r="BZ182">
        <v>0</v>
      </c>
      <c r="CA182">
        <v>0</v>
      </c>
      <c r="CB182">
        <v>0</v>
      </c>
      <c r="CC182">
        <v>0</v>
      </c>
      <c r="CD182">
        <v>0</v>
      </c>
      <c r="CE182">
        <v>0</v>
      </c>
      <c r="CF182">
        <v>0</v>
      </c>
      <c r="CG182">
        <v>0</v>
      </c>
      <c r="CH182">
        <v>0</v>
      </c>
      <c r="CI182">
        <v>0</v>
      </c>
      <c r="CJ182">
        <v>0</v>
      </c>
      <c r="CK182">
        <v>0</v>
      </c>
      <c r="CL182">
        <v>0</v>
      </c>
      <c r="CM182">
        <v>1</v>
      </c>
      <c r="CN182" t="str">
        <f>IF($BL182&lt;$BK182,"refNeedCorrection","refOK")</f>
        <v>refOK</v>
      </c>
      <c r="CO182">
        <f>IF($CN182="refOK",$BK182,$BL182)</f>
        <v>1.004</v>
      </c>
      <c r="CP182">
        <f>IF($CN182="refOK",$BL182,$BK182)</f>
        <v>1.0920000000000001</v>
      </c>
      <c r="CQ182">
        <f>IF($CN182="refOK",$BO182,-$BO182)</f>
        <v>0.38211029092488097</v>
      </c>
      <c r="CR182">
        <f>IF($CN182="refOK",$BS182,$BT182)*IF($BP182="Emissions positive",-1,1)</f>
        <v>0.72399999999999998</v>
      </c>
      <c r="CS182">
        <f>IF($CN182="refOK",$BT182,$BS182)*IF($BP182="Emissions positive",-1,1)</f>
        <v>0.63800000000000001</v>
      </c>
      <c r="CT182">
        <f>IF($CN182="refNeedCorrection",-BX182,BX182)*IF($BP182="Emissions positive",-1,1)</f>
        <v>-0.31561999999999985</v>
      </c>
      <c r="CU182">
        <f>IFERROR(CT182/CQ182,"")</f>
        <v>-0.82599188636363519</v>
      </c>
      <c r="CV182" s="2">
        <f>IFERROR((CS182-CR182)/ABS(CR182),"")</f>
        <v>-0.11878453038674029</v>
      </c>
      <c r="CW182" s="1" t="s">
        <v>2036</v>
      </c>
      <c r="CX182" t="str">
        <f>IF(OR($CW182="prd",$CW182="std",$CW182="cit"),"loc",IF(OR($CW182="eur",$CW182="reg",$CW182="coy"),"reg",$CW182))</f>
        <v>reg</v>
      </c>
      <c r="CY182" t="s">
        <v>235</v>
      </c>
      <c r="CZ182"/>
      <c r="DA182"/>
      <c r="DB182">
        <v>30</v>
      </c>
      <c r="DC182" t="str">
        <f>IF(DB182=0,"0",IF(AND(DB182&gt;=1,DB182&lt;=30),"1-30",IF(AND(DB182&gt;30,DB182&lt;=70),"31-70",IF(AND(DB182&gt;70,DB182&lt;=100),"71-100",IF(DB182&gt;100,"+100")))))</f>
        <v>1-30</v>
      </c>
      <c r="DD182">
        <v>1</v>
      </c>
      <c r="DE182">
        <v>1</v>
      </c>
      <c r="DF182">
        <v>1</v>
      </c>
      <c r="DG182">
        <v>1</v>
      </c>
      <c r="DH182">
        <v>0</v>
      </c>
      <c r="DI182">
        <f>SUM(DD182:DG182)</f>
        <v>4</v>
      </c>
      <c r="DJ182" t="str">
        <f>IF(DI182=1,INDEX($DD$7:$DG$7,MATCH(1,$DD182:$DG182,0)),"mixedProduct")</f>
        <v>mixedProduct</v>
      </c>
      <c r="DK182" t="str">
        <f>IF(DD182=1,DK$7,0)</f>
        <v>Upstream</v>
      </c>
      <c r="DL182" t="str">
        <f>IF(DE182=1,DL$7,0)</f>
        <v>Energy</v>
      </c>
      <c r="DM182" t="str">
        <f>IF(DF182=1,DM$7,0)</f>
        <v>Pulp/Paper</v>
      </c>
      <c r="DN182" t="str">
        <f>IF(DG182=1,DN$7,0)</f>
        <v>Timber</v>
      </c>
      <c r="DO182">
        <v>0</v>
      </c>
      <c r="DP182">
        <v>1</v>
      </c>
      <c r="DQ182" s="184" t="s">
        <v>2129</v>
      </c>
      <c r="DR182" s="184" t="s">
        <v>2129</v>
      </c>
      <c r="DS182" s="184">
        <v>0</v>
      </c>
      <c r="DT182"/>
      <c r="DU182" s="143" t="str">
        <f>IF(DO182=1,"self-calculated DF",IF(DP182=1,"external DF used","explicit C balance"))</f>
        <v>external DF used</v>
      </c>
      <c r="DV182">
        <v>1</v>
      </c>
      <c r="DW182">
        <v>1</v>
      </c>
      <c r="DX182">
        <v>1</v>
      </c>
      <c r="DY182">
        <v>1</v>
      </c>
      <c r="DZ182">
        <v>1</v>
      </c>
      <c r="EA182" s="185">
        <v>1</v>
      </c>
      <c r="EB182">
        <v>1</v>
      </c>
      <c r="EC182">
        <v>1</v>
      </c>
      <c r="ED182" s="185">
        <v>0</v>
      </c>
      <c r="EE182">
        <v>0</v>
      </c>
      <c r="EF182">
        <v>1</v>
      </c>
      <c r="EG182">
        <v>0</v>
      </c>
      <c r="EH182">
        <v>0</v>
      </c>
      <c r="EI182" s="2">
        <v>0</v>
      </c>
      <c r="EJ182" s="1"/>
      <c r="EK182" t="str">
        <f>IF(AND(AND(AND(OR($DX182=1,$DW182=1),OR($EC182=1,$EA182=1)),SUM($DV182:$DZ182,$EF182)&gt;=4),SUM($EA182:$EE182)&gt;=2),"Whole sector","")</f>
        <v>Whole sector</v>
      </c>
      <c r="EL182" t="str">
        <f>IF(AND(AND(OR($DX182=1,$DW182=1),AND($EC182=0,$EA182=0)),SUM($DV182:$DZ182,$EF182)&gt;=4),"Ecosystem approach","")</f>
        <v/>
      </c>
      <c r="EM182" s="2" t="str">
        <f>IF(AND(AND(AND($DX182=0,$DW182=0),OR($EC182=1,$EA182=1)),SUM($EB182:$EE182)&gt;=2),"Technology approach","")</f>
        <v/>
      </c>
      <c r="EN182"/>
      <c r="EO182"/>
      <c r="EP182" t="str">
        <f>IF(ISNUMBER(BU182),IF(ABS(BU182-[1]QC_indicators!$B$2)&gt;3*[1]QC_indicators!$C$2,"C ratio",IF(ISNUMBER(BY182),IF(ABS(BY182-[1]QC_indicators!$B$1)&gt;3*[1]QC_indicators!$C$1,"DF","no"))),IF(ISNUMBER(BY182),IF(ABS(BY182-[1]QC_indicators!$B$1)&gt;3*[1]QC_indicators!$C$1,"DF","no")))</f>
        <v>no</v>
      </c>
      <c r="EQ182"/>
      <c r="ER182"/>
      <c r="ES182"/>
      <c r="ET182" s="264" t="s">
        <v>3223</v>
      </c>
      <c r="EU182"/>
    </row>
    <row r="183" spans="1:151" s="139" customFormat="1" ht="15" customHeight="1">
      <c r="A183" s="1" t="s">
        <v>265</v>
      </c>
      <c r="B183" t="s">
        <v>1531</v>
      </c>
      <c r="C183" t="s">
        <v>1532</v>
      </c>
      <c r="D183" t="s">
        <v>1533</v>
      </c>
      <c r="E183" t="s">
        <v>1534</v>
      </c>
      <c r="F183" t="s">
        <v>1535</v>
      </c>
      <c r="G183" t="s">
        <v>271</v>
      </c>
      <c r="H183" t="s">
        <v>254</v>
      </c>
      <c r="I183">
        <v>2019</v>
      </c>
      <c r="J183">
        <v>26</v>
      </c>
      <c r="K183" t="s">
        <v>1536</v>
      </c>
      <c r="L183"/>
      <c r="M183" t="str">
        <f>LEFT($D183,FIND(",",$D183)-1)&amp;"_"&amp;I183&amp;L183</f>
        <v>Faraca_2019</v>
      </c>
      <c r="N183" t="s">
        <v>222</v>
      </c>
      <c r="O183" s="145" t="s">
        <v>274</v>
      </c>
      <c r="P183" s="180" t="s">
        <v>223</v>
      </c>
      <c r="Q183" t="s">
        <v>256</v>
      </c>
      <c r="R183" s="262" t="s">
        <v>223</v>
      </c>
      <c r="S183" s="263" t="s">
        <v>3123</v>
      </c>
      <c r="T183" s="264" t="s">
        <v>3124</v>
      </c>
      <c r="U183" s="264" t="s">
        <v>3126</v>
      </c>
      <c r="V183">
        <v>0</v>
      </c>
      <c r="W183">
        <v>0</v>
      </c>
      <c r="X183">
        <v>0</v>
      </c>
      <c r="Y183">
        <v>0</v>
      </c>
      <c r="Z183">
        <v>0</v>
      </c>
      <c r="AA183">
        <v>0</v>
      </c>
      <c r="AB183">
        <v>0</v>
      </c>
      <c r="AC183">
        <v>0</v>
      </c>
      <c r="AD183">
        <v>0</v>
      </c>
      <c r="AE183">
        <v>0</v>
      </c>
      <c r="AF183">
        <v>0</v>
      </c>
      <c r="AG183">
        <v>0</v>
      </c>
      <c r="AH183">
        <v>0</v>
      </c>
      <c r="AI183">
        <v>1</v>
      </c>
      <c r="AJ183">
        <v>0</v>
      </c>
      <c r="AK183">
        <v>0</v>
      </c>
      <c r="AL183">
        <v>0</v>
      </c>
      <c r="AM183">
        <v>0</v>
      </c>
      <c r="AN183">
        <v>0</v>
      </c>
      <c r="AO183">
        <v>0</v>
      </c>
      <c r="AP183">
        <v>0</v>
      </c>
      <c r="AQ183">
        <v>0</v>
      </c>
      <c r="AR183">
        <v>0</v>
      </c>
      <c r="AS183">
        <v>0</v>
      </c>
      <c r="AT183">
        <v>0</v>
      </c>
      <c r="AU183">
        <v>0</v>
      </c>
      <c r="AV183">
        <v>0</v>
      </c>
      <c r="AW183">
        <v>0</v>
      </c>
      <c r="AX183" s="141">
        <f>COUNTIF(V183:AW183,"&lt;&gt;0")</f>
        <v>1</v>
      </c>
      <c r="AY183" s="141">
        <f>COUNTIF(V183:AL183,"&lt;&gt;0")</f>
        <v>1</v>
      </c>
      <c r="AZ183">
        <f>COUNTIF(V183:AC183,"&lt;&gt;0")</f>
        <v>0</v>
      </c>
      <c r="BA183">
        <f>COUNTIF(AD183:AI183,"&lt;&gt;0")</f>
        <v>1</v>
      </c>
      <c r="BB183">
        <f>COUNTIF(AJ183:AL183,"&lt;&gt;0")</f>
        <v>0</v>
      </c>
      <c r="BC183">
        <f>COUNTIF(AS183:AW183,"&lt;&gt;0")</f>
        <v>0</v>
      </c>
      <c r="BD183">
        <f>COUNTIF(AM183:AR183,"&lt;&gt;0")</f>
        <v>0</v>
      </c>
      <c r="BE183" t="str">
        <f t="array" ref="BE183">IF(AY183=1,INDEX($V$7:$AL$7,MATCH(TRUE,INDEX($V183:$AW183&lt;&gt;0,),0)),IF(AY183=0,INDEX($AM$7:$AW$7,MATCH(1,$AM183:$AW183,0)),IF(BF183="Multiple strategies","mixed drivers",IF(BF183="Supply chain","multiple supply","multiple silviculture"))))</f>
        <v>products lifespan</v>
      </c>
      <c r="BF183" s="2" t="str" cm="1">
        <f t="array" ref="BF183">IF(COUNTIF(AZ183:BB183,"&lt;&gt;0")=1,INDEX($V$4:$AW$4,MATCH(TRUE,INDEX($V183:$AW183&lt;&gt;0,),0)),IF(COUNTIF(AZ183:BB183,"&lt;&gt;0")=0,INDEX($AM$4:$AW$4,MATCH(1,$AM183:$AW183,0)),"Multiple strategies"))</f>
        <v>Supply chain</v>
      </c>
      <c r="BG183" s="1" t="s">
        <v>229</v>
      </c>
      <c r="BH183" t="s">
        <v>1548</v>
      </c>
      <c r="BI183" s="264" t="s">
        <v>3121</v>
      </c>
      <c r="BJ183" t="s">
        <v>345</v>
      </c>
      <c r="BK183">
        <v>478</v>
      </c>
      <c r="BL183">
        <v>638</v>
      </c>
      <c r="BM183">
        <v>1</v>
      </c>
      <c r="BN183">
        <f>BL183-BK183</f>
        <v>160</v>
      </c>
      <c r="BO183">
        <f>BN183*kg_to_m3</f>
        <v>0.32653061224489799</v>
      </c>
      <c r="BP183" t="s">
        <v>395</v>
      </c>
      <c r="BQ183" s="234" t="s">
        <v>426</v>
      </c>
      <c r="BR183" t="s">
        <v>728</v>
      </c>
      <c r="BS183">
        <v>206.8</v>
      </c>
      <c r="BT183">
        <v>474.6</v>
      </c>
      <c r="BU183" s="144"/>
      <c r="BV183">
        <f>BT183-BS183</f>
        <v>267.8</v>
      </c>
      <c r="BW183"/>
      <c r="BX183">
        <f>BV183/1000</f>
        <v>0.26780000000000004</v>
      </c>
      <c r="BY183">
        <f>IFERROR(BX183/BO183,"")</f>
        <v>0.82013750000000007</v>
      </c>
      <c r="BZ183">
        <v>0</v>
      </c>
      <c r="CA183">
        <v>0</v>
      </c>
      <c r="CB183">
        <v>0</v>
      </c>
      <c r="CC183">
        <v>0</v>
      </c>
      <c r="CD183">
        <v>0</v>
      </c>
      <c r="CE183">
        <v>0</v>
      </c>
      <c r="CF183">
        <v>0</v>
      </c>
      <c r="CG183">
        <v>0</v>
      </c>
      <c r="CH183">
        <v>0</v>
      </c>
      <c r="CI183">
        <v>0</v>
      </c>
      <c r="CJ183">
        <v>0</v>
      </c>
      <c r="CK183">
        <v>0</v>
      </c>
      <c r="CL183">
        <v>0</v>
      </c>
      <c r="CM183">
        <v>0</v>
      </c>
      <c r="CN183" t="str">
        <f>IF($BL183&lt;$BK183,"refNeedCorrection","refOK")</f>
        <v>refOK</v>
      </c>
      <c r="CO183">
        <f>IF($CN183="refNeedCorrection",BK183,BL183)</f>
        <v>638</v>
      </c>
      <c r="CP183">
        <f>IF($CN183="refNeedCorrection",BL183,BK183)</f>
        <v>478</v>
      </c>
      <c r="CQ183">
        <f>IF($CN183="refOK",$BO183,-$BO183)</f>
        <v>0.32653061224489799</v>
      </c>
      <c r="CR183">
        <f>IF($CN183="refOK",$BS183,$BT183)*IF($BP183="Emissions positive",-1,1)</f>
        <v>-206.8</v>
      </c>
      <c r="CS183">
        <f>IF($CN183="refOK",$BT183,$BS183)*IF($BP183="Emissions positive",-1,1)</f>
        <v>-474.6</v>
      </c>
      <c r="CT183">
        <f>IF($CN183="refNeedCorrection",-BX183,BX183)*IF($BP183="Emissions positive",-1,1)</f>
        <v>-0.26780000000000004</v>
      </c>
      <c r="CU183">
        <f>IFERROR(CT183/CQ183,"")</f>
        <v>-0.82013750000000007</v>
      </c>
      <c r="CV183" s="2">
        <f>IFERROR((CS183-CR183)/ABS(CR183),"")</f>
        <v>-1.2949709864603483</v>
      </c>
      <c r="CW183" s="1" t="s">
        <v>1199</v>
      </c>
      <c r="CX183" t="str">
        <f>IF(OR($CW183="prd",$CW183="std",$CW183="cit"),"loc",IF(OR($CW183="eur",$CW183="reg",$CW183="coy"),"reg",$CW183))</f>
        <v>reg</v>
      </c>
      <c r="CY183" t="s">
        <v>1540</v>
      </c>
      <c r="CZ183"/>
      <c r="DA183"/>
      <c r="DB183">
        <v>100</v>
      </c>
      <c r="DC183" t="str">
        <f>IF(DB183=0,"0",IF(AND(DB183&gt;=1,DB183&lt;=30),"1-30",IF(AND(DB183&gt;30,DB183&lt;=70),"31-70",IF(AND(DB183&gt;70,DB183&lt;=100),"71-100",IF(DB183&gt;100,"+100")))))</f>
        <v>71-100</v>
      </c>
      <c r="DD183">
        <v>0</v>
      </c>
      <c r="DE183">
        <v>0</v>
      </c>
      <c r="DF183">
        <v>0</v>
      </c>
      <c r="DG183">
        <v>1</v>
      </c>
      <c r="DH183"/>
      <c r="DI183">
        <f>SUM(DD183:DG183)</f>
        <v>1</v>
      </c>
      <c r="DJ183" t="str">
        <f>IF(DI183=1,INDEX($DD$7:$DG$7,MATCH(1,$DD183:$DG183,0)),"mixedProduct")</f>
        <v>TimberInput</v>
      </c>
      <c r="DK183">
        <f>IF(DD183=1,DK$7,0)</f>
        <v>0</v>
      </c>
      <c r="DL183">
        <f>IF(DE183=1,DL$7,0)</f>
        <v>0</v>
      </c>
      <c r="DM183">
        <f>IF(DF183=1,DM$7,0)</f>
        <v>0</v>
      </c>
      <c r="DN183" t="str">
        <f>IF(DG183=1,DN$7,0)</f>
        <v>Timber</v>
      </c>
      <c r="DO183">
        <v>0</v>
      </c>
      <c r="DP183">
        <v>0</v>
      </c>
      <c r="DQ183">
        <v>0</v>
      </c>
      <c r="DR183">
        <v>0</v>
      </c>
      <c r="DS183">
        <v>0</v>
      </c>
      <c r="DT183">
        <f>SUM(DO183:DP183)</f>
        <v>0</v>
      </c>
      <c r="DU183" s="143" t="str">
        <f>IF(DO183=1,"self-calculated DF",IF(DP183=1,"external DF used","explicit C balance"))</f>
        <v>explicit C balance</v>
      </c>
      <c r="DV183">
        <v>0</v>
      </c>
      <c r="DW183">
        <v>0</v>
      </c>
      <c r="DX183">
        <v>0</v>
      </c>
      <c r="DY183">
        <v>0</v>
      </c>
      <c r="DZ183">
        <v>1</v>
      </c>
      <c r="EA183" s="143">
        <v>0</v>
      </c>
      <c r="EB183">
        <v>0</v>
      </c>
      <c r="EC183">
        <v>1</v>
      </c>
      <c r="ED183">
        <v>0</v>
      </c>
      <c r="EE183">
        <v>1</v>
      </c>
      <c r="EF183">
        <v>1</v>
      </c>
      <c r="EG183">
        <v>1</v>
      </c>
      <c r="EH183">
        <v>0</v>
      </c>
      <c r="EI183" s="2">
        <v>0</v>
      </c>
      <c r="EJ183" s="1"/>
      <c r="EK183" t="str">
        <f>IF(AND(AND(AND(OR($DX183=1,$DW183=1),OR($EC183=1,$EA183=1)),SUM($DV183:$DZ183,$EF183)&gt;=4),SUM($EA183:$EE183)&gt;=2),"Whole sector","")</f>
        <v/>
      </c>
      <c r="EL183" t="str">
        <f>IF(AND(AND(OR($DX183=1,$DW183=1),AND($EC183=0,$EA183=0)),SUM($DV183:$DZ183,$EF183)&gt;=4),"Ecosystem approach","")</f>
        <v/>
      </c>
      <c r="EM183" s="2" t="str">
        <f>IF(AND(AND(AND($DX183=0,$DW183=0),OR($EC183=1,$EA183=1)),SUM($EB183:$EE183)&gt;=2),"Technology approach","")</f>
        <v>Technology approach</v>
      </c>
      <c r="EN183"/>
      <c r="EO183"/>
      <c r="EP183" t="str">
        <f>IF(ISNUMBER(BU183),IF(ABS(BU183-[1]QC_indicators!$B$2)&gt;3*[1]QC_indicators!$C$2,"C ratio",IF(ISNUMBER(BY183),IF(ABS(BY183-[1]QC_indicators!$B$1)&gt;3*[1]QC_indicators!$C$1,"DF","no"))),IF(ISNUMBER(BY183),IF(ABS(BY183-[1]QC_indicators!$B$1)&gt;3*[1]QC_indicators!$C$1,"DF","no")))</f>
        <v>no</v>
      </c>
      <c r="EQ183"/>
      <c r="ER183"/>
      <c r="ES183"/>
      <c r="ET183" s="264" t="s">
        <v>3273</v>
      </c>
      <c r="EU183"/>
    </row>
    <row r="184" spans="1:151" s="139" customFormat="1" ht="15" customHeight="1">
      <c r="A184" s="1" t="s">
        <v>1286</v>
      </c>
      <c r="B184" t="s">
        <v>1336</v>
      </c>
      <c r="C184" t="s">
        <v>1337</v>
      </c>
      <c r="D184" t="s">
        <v>1338</v>
      </c>
      <c r="E184" t="s">
        <v>1339</v>
      </c>
      <c r="F184" t="s">
        <v>1340</v>
      </c>
      <c r="G184" t="s">
        <v>1292</v>
      </c>
      <c r="H184" t="s">
        <v>254</v>
      </c>
      <c r="I184">
        <v>2016</v>
      </c>
      <c r="J184">
        <v>27</v>
      </c>
      <c r="K184" t="s">
        <v>1341</v>
      </c>
      <c r="L184"/>
      <c r="M184" t="str">
        <f>LEFT($D184,FIND(",",$D184)-1)&amp;"_"&amp;I184&amp;L184</f>
        <v>Braun_2016</v>
      </c>
      <c r="N184" t="s">
        <v>222</v>
      </c>
      <c r="O184" s="145" t="s">
        <v>223</v>
      </c>
      <c r="P184"/>
      <c r="Q184" t="s">
        <v>256</v>
      </c>
      <c r="R184" s="255" t="s">
        <v>225</v>
      </c>
      <c r="S184" s="1" t="s">
        <v>1342</v>
      </c>
      <c r="T184" t="s">
        <v>1343</v>
      </c>
      <c r="U184" t="s">
        <v>1043</v>
      </c>
      <c r="V184">
        <v>1</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s="141">
        <f>COUNTIF(V184:AW184,"&lt;&gt;0")</f>
        <v>1</v>
      </c>
      <c r="AY184" s="141">
        <f>COUNTIF(V184:AL184,"&lt;&gt;0")</f>
        <v>1</v>
      </c>
      <c r="AZ184">
        <f>COUNTIF(V184:AC184,"&lt;&gt;0")</f>
        <v>1</v>
      </c>
      <c r="BA184">
        <f>COUNTIF(AD184:AI184,"&lt;&gt;0")</f>
        <v>0</v>
      </c>
      <c r="BB184">
        <f>COUNTIF(AJ184:AL184,"&lt;&gt;0")</f>
        <v>0</v>
      </c>
      <c r="BC184">
        <f>COUNTIF(AS184:AW184,"&lt;&gt;0")</f>
        <v>0</v>
      </c>
      <c r="BD184">
        <f>COUNTIF(AM184:AR184,"&lt;&gt;0")</f>
        <v>0</v>
      </c>
      <c r="BE184" t="str">
        <f t="array" ref="BE184">IF(AY184=1,INDEX($V$7:$AL$7,MATCH(TRUE,INDEX($V184:$AW184&lt;&gt;0,),0)),IF(AY184=0,INDEX($AM$7:$AW$7,MATCH(1,$AM184:$AW184,0)),IF(BF184="Multiple strategies","mixed drivers",IF(BF184="Supply chain","multiple supply","multiple silviculture"))))</f>
        <v>area subject to harvest</v>
      </c>
      <c r="BF184" s="2" t="str" cm="1">
        <f t="array" ref="BF184">IF(COUNTIF(AZ184:BB184,"&lt;&gt;0")=1,INDEX($V$4:$AW$4,MATCH(TRUE,INDEX($V184:$AW184&lt;&gt;0,),0)),IF(COUNTIF(AZ184:BB184,"&lt;&gt;0")=0,INDEX($AM$4:$AW$4,MATCH(1,$AM184:$AW184,0)),"Multiple strategies"))</f>
        <v>Silviculture for removals</v>
      </c>
      <c r="BG184" s="1" t="s">
        <v>229</v>
      </c>
      <c r="BH184" t="s">
        <v>1344</v>
      </c>
      <c r="BI184" s="260" t="s">
        <v>3277</v>
      </c>
      <c r="BJ184" t="s">
        <v>1345</v>
      </c>
      <c r="BK184">
        <v>1.1674521913429727</v>
      </c>
      <c r="BL184">
        <v>1.8051407849829213</v>
      </c>
      <c r="BM184">
        <f>BL184/BK184</f>
        <v>1.5462224477958166</v>
      </c>
      <c r="BN184">
        <f>BL184-BK184</f>
        <v>0.63768859363994856</v>
      </c>
      <c r="BO184">
        <f>BN184*10^9</f>
        <v>637688593.63994861</v>
      </c>
      <c r="BP184" t="s">
        <v>232</v>
      </c>
      <c r="BQ184" s="300" t="s">
        <v>3278</v>
      </c>
      <c r="BR184" t="s">
        <v>1346</v>
      </c>
      <c r="BS184" s="141">
        <v>1.93686006825938</v>
      </c>
      <c r="BT184" s="141">
        <v>1.4146757679180799</v>
      </c>
      <c r="BU184" s="144">
        <f>IFERROR(BT184/BS184,"")</f>
        <v>0.7303964757709227</v>
      </c>
      <c r="BV184">
        <f>BT184-BS184</f>
        <v>-0.52218430034130003</v>
      </c>
      <c r="BW184"/>
      <c r="BX184">
        <f>BV184*10^9</f>
        <v>-522184300.34130001</v>
      </c>
      <c r="BY184">
        <f>IFERROR(BX184/BO184,"")</f>
        <v>-0.81887037897393444</v>
      </c>
      <c r="BZ184" s="143">
        <v>0</v>
      </c>
      <c r="CA184" s="143">
        <v>0</v>
      </c>
      <c r="CB184" s="143">
        <v>0</v>
      </c>
      <c r="CC184" s="143">
        <v>0</v>
      </c>
      <c r="CD184" s="143">
        <v>0</v>
      </c>
      <c r="CE184" s="143">
        <v>0</v>
      </c>
      <c r="CF184" s="143">
        <v>0</v>
      </c>
      <c r="CG184" s="143">
        <v>0</v>
      </c>
      <c r="CH184" s="143">
        <v>0</v>
      </c>
      <c r="CI184" s="143">
        <v>0</v>
      </c>
      <c r="CJ184" s="143">
        <v>0</v>
      </c>
      <c r="CK184" s="143">
        <v>0</v>
      </c>
      <c r="CL184" s="143">
        <v>0</v>
      </c>
      <c r="CM184">
        <v>0</v>
      </c>
      <c r="CN184" t="str">
        <f>IF($BL184&lt;$BK184,"refNeedCorrection","refOK")</f>
        <v>refOK</v>
      </c>
      <c r="CO184">
        <f>IF($CN184="refOK",$BK184,$BL184)</f>
        <v>1.1674521913429727</v>
      </c>
      <c r="CP184">
        <f>IF($CN184="refOK",$BL184,$BK184)</f>
        <v>1.8051407849829213</v>
      </c>
      <c r="CQ184">
        <f>IF($CN184="refOK",$BO184,-$BO184)</f>
        <v>637688593.63994861</v>
      </c>
      <c r="CR184">
        <f>IF($CN184="refOK",$BS184,$BT184)*IF($BP184="Emissions positive",-1,1)</f>
        <v>1.93686006825938</v>
      </c>
      <c r="CS184">
        <f>IF($CN184="refOK",$BT184,$BS184)*IF($BP184="Emissions positive",-1,1)</f>
        <v>1.4146757679180799</v>
      </c>
      <c r="CT184">
        <f>IF($CN184="refNeedCorrection",-BX184,BX184)*IF($BP184="Emissions positive",-1,1)</f>
        <v>-522184300.34130001</v>
      </c>
      <c r="CU184">
        <f>IFERROR(CT184/CQ184,"")</f>
        <v>-0.81887037897393444</v>
      </c>
      <c r="CV184" s="2">
        <f>IFERROR((CS184-CR184)/ABS(CR184),"")</f>
        <v>-0.2696035242290773</v>
      </c>
      <c r="CW184" s="1" t="s">
        <v>1203</v>
      </c>
      <c r="CX184" t="str">
        <f>IF(OR($CW184="prd",$CW184="std",$CW184="cit"),"loc",IF(OR($CW184="eur",$CW184="reg",$CW184="coy"),"reg",$CW184))</f>
        <v>reg</v>
      </c>
      <c r="CY184" t="s">
        <v>666</v>
      </c>
      <c r="CZ184">
        <v>2010</v>
      </c>
      <c r="DA184">
        <v>2100</v>
      </c>
      <c r="DB184">
        <f>DA184-CZ184</f>
        <v>90</v>
      </c>
      <c r="DC184" t="str">
        <f>IF(DB184=0,"0",IF(AND(DB184&gt;=1,DB184&lt;=30),"1-30",IF(AND(DB184&gt;30,DB184&lt;=70),"31-70",IF(AND(DB184&gt;70,DB184&lt;=100),"71-100",IF(DB184&gt;100,"+100")))))</f>
        <v>71-100</v>
      </c>
      <c r="DD184">
        <v>0</v>
      </c>
      <c r="DE184">
        <v>1</v>
      </c>
      <c r="DF184">
        <v>1</v>
      </c>
      <c r="DG184">
        <v>1</v>
      </c>
      <c r="DH184"/>
      <c r="DI184">
        <f>SUM(DD184:DG184)</f>
        <v>3</v>
      </c>
      <c r="DJ184" t="str">
        <f>IF(DI184=1,INDEX($DD$7:$DG$7,MATCH(1,$DD184:$DG184,0)),"mixedProduct")</f>
        <v>mixedProduct</v>
      </c>
      <c r="DK184">
        <f>IF(DD184=1,DK$7,0)</f>
        <v>0</v>
      </c>
      <c r="DL184" t="str">
        <f>IF(DE184=1,DL$7,0)</f>
        <v>Energy</v>
      </c>
      <c r="DM184" t="str">
        <f>IF(DF184=1,DM$7,0)</f>
        <v>Pulp/Paper</v>
      </c>
      <c r="DN184" t="str">
        <f>IF(DG184=1,DN$7,0)</f>
        <v>Timber</v>
      </c>
      <c r="DO184">
        <v>1</v>
      </c>
      <c r="DP184" s="143">
        <v>0</v>
      </c>
      <c r="DQ184" s="143">
        <v>0</v>
      </c>
      <c r="DR184" s="143">
        <v>0</v>
      </c>
      <c r="DS184">
        <v>0</v>
      </c>
      <c r="DT184">
        <f>SUM(DO184:DP184)</f>
        <v>1</v>
      </c>
      <c r="DU184" s="143" t="str">
        <f>IF(DO184=1,"self-calculated DF",IF(DP184=1,"external DF used","explicit C balance"))</f>
        <v>self-calculated DF</v>
      </c>
      <c r="DV184">
        <v>1</v>
      </c>
      <c r="DW184" s="143">
        <v>1</v>
      </c>
      <c r="DX184" s="143">
        <v>1</v>
      </c>
      <c r="DY184" s="143">
        <v>1</v>
      </c>
      <c r="DZ184">
        <v>1</v>
      </c>
      <c r="EA184" s="141">
        <v>1</v>
      </c>
      <c r="EB184">
        <v>0</v>
      </c>
      <c r="EC184" s="143">
        <v>1</v>
      </c>
      <c r="ED184" s="143">
        <v>1</v>
      </c>
      <c r="EE184">
        <v>0</v>
      </c>
      <c r="EF184">
        <v>1</v>
      </c>
      <c r="EG184" s="143">
        <v>0</v>
      </c>
      <c r="EH184" s="143">
        <v>0</v>
      </c>
      <c r="EI184" s="2">
        <v>0</v>
      </c>
      <c r="EJ184" s="1"/>
      <c r="EK184" t="str">
        <f>IF(AND(AND(AND(OR($DX184=1,$DW184=1),OR($EC184=1,$EA184=1)),SUM($DV184:$DZ184,$EF184)&gt;=4),SUM($EA184:$EE184)&gt;=2),"Whole sector","")</f>
        <v>Whole sector</v>
      </c>
      <c r="EL184" t="str">
        <f>IF(AND(AND(OR($DX184=1,$DW184=1),AND($EC184=0,$EA184=0)),SUM($DV184:$DZ184,$EF184)&gt;=4),"Ecosystem approach","")</f>
        <v/>
      </c>
      <c r="EM184" s="2" t="str">
        <f>IF(AND(AND(AND($DX184=0,$DW184=0),OR($EC184=1,$EA184=1)),SUM($EB184:$EE184)&gt;=2),"Technology approach","")</f>
        <v/>
      </c>
      <c r="EN184" s="264" t="s">
        <v>3279</v>
      </c>
      <c r="EO184"/>
      <c r="EP184" t="str">
        <f>IF(ISNUMBER(BU184),IF(ABS(BU184-[4]QC_indicators!$B$2)&gt;3*[4]QC_indicators!$C$2,"C ratio",IF(ISNUMBER(BY184),IF(ABS(BY184-[4]QC_indicators!$B$1)&gt;3*[4]QC_indicators!$C$1,"DF","no"))),IF(ISNUMBER(BY184),IF(ABS(BY184-[4]QC_indicators!$B$1)&gt;3*[4]QC_indicators!$C$1,"DF","no")))</f>
        <v>no</v>
      </c>
      <c r="EQ184" t="s">
        <v>1347</v>
      </c>
      <c r="ER184"/>
      <c r="ES184"/>
      <c r="ET184" s="264" t="s">
        <v>3273</v>
      </c>
      <c r="EU184"/>
    </row>
    <row r="185" spans="1:151" s="139" customFormat="1" ht="15" customHeight="1">
      <c r="A185" s="1" t="s">
        <v>1972</v>
      </c>
      <c r="B185" t="s">
        <v>2445</v>
      </c>
      <c r="C185" t="s">
        <v>2446</v>
      </c>
      <c r="D185" t="s">
        <v>2447</v>
      </c>
      <c r="E185" t="s">
        <v>2448</v>
      </c>
      <c r="F185" t="s">
        <v>2449</v>
      </c>
      <c r="G185" t="s">
        <v>1978</v>
      </c>
      <c r="H185" t="s">
        <v>254</v>
      </c>
      <c r="I185">
        <v>2018</v>
      </c>
      <c r="J185">
        <v>8</v>
      </c>
      <c r="K185" t="s">
        <v>2450</v>
      </c>
      <c r="L185"/>
      <c r="M185" t="str">
        <f>LEFT($D185,FIND(",",$D185)-1)&amp;"_"&amp;I185&amp;L185</f>
        <v>Valade_2018</v>
      </c>
      <c r="N185" t="s">
        <v>222</v>
      </c>
      <c r="O185" s="145" t="s">
        <v>1154</v>
      </c>
      <c r="P185"/>
      <c r="Q185" t="s">
        <v>256</v>
      </c>
      <c r="R185" s="255" t="s">
        <v>225</v>
      </c>
      <c r="S185" s="1" t="s">
        <v>2462</v>
      </c>
      <c r="T185" t="s">
        <v>2444</v>
      </c>
      <c r="U185" t="s">
        <v>2455</v>
      </c>
      <c r="V185">
        <v>0</v>
      </c>
      <c r="W185">
        <v>0</v>
      </c>
      <c r="X185">
        <v>0</v>
      </c>
      <c r="Y185">
        <v>1</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s="141">
        <f>COUNTIF(V185:AW185,"&lt;&gt;0")</f>
        <v>1</v>
      </c>
      <c r="AY185" s="141">
        <f>COUNTIF(V185:AL185,"&lt;&gt;0")</f>
        <v>1</v>
      </c>
      <c r="AZ185">
        <f>COUNTIF(V185:AC185,"&lt;&gt;0")</f>
        <v>1</v>
      </c>
      <c r="BA185">
        <f>COUNTIF(AD185:AI185,"&lt;&gt;0")</f>
        <v>0</v>
      </c>
      <c r="BB185">
        <f>COUNTIF(AJ185:AL185,"&lt;&gt;0")</f>
        <v>0</v>
      </c>
      <c r="BC185">
        <f>COUNTIF(AS185:AW185,"&lt;&gt;0")</f>
        <v>0</v>
      </c>
      <c r="BD185">
        <f>COUNTIF(AM185:AR185,"&lt;&gt;0")</f>
        <v>0</v>
      </c>
      <c r="BE185" t="str">
        <f t="array" ref="BE185">IF(AY185=1,INDEX($V$7:$AL$7,MATCH(TRUE,INDEX($V185:$AW185&lt;&gt;0,),0)),IF(AY185=0,INDEX($AM$7:$AW$7,MATCH(1,$AM185:$AW185,0)),IF(BF185="Multiple strategies","mixed drivers",IF(BF185="Supply chain","multiple supply","multiple silviculture"))))</f>
        <v xml:space="preserve">cutting intensity </v>
      </c>
      <c r="BF185" s="2" t="str" cm="1">
        <f t="array" ref="BF185">IF(COUNTIF(AZ185:BB185,"&lt;&gt;0")=1,INDEX($V$4:$AW$4,MATCH(TRUE,INDEX($V185:$AW185&lt;&gt;0,),0)),IF(COUNTIF(AZ185:BB185,"&lt;&gt;0")=0,INDEX($AM$4:$AW$4,MATCH(1,$AM185:$AW185,0)),"Multiple strategies"))</f>
        <v>Silviculture for removals</v>
      </c>
      <c r="BG185" s="1" t="s">
        <v>321</v>
      </c>
      <c r="BH185" t="s">
        <v>2453</v>
      </c>
      <c r="BI185" s="260" t="s">
        <v>3399</v>
      </c>
      <c r="BJ185" t="s">
        <v>1323</v>
      </c>
      <c r="BK185">
        <v>1168.5023099755704</v>
      </c>
      <c r="BL185">
        <v>1304.0435025027948</v>
      </c>
      <c r="BM185" s="143">
        <f>BL185/BK185</f>
        <v>1.1159956564656326</v>
      </c>
      <c r="BN185">
        <f>BL185-BK185</f>
        <v>135.54119252722444</v>
      </c>
      <c r="BO185">
        <f>+BN185*1000000</f>
        <v>135541192.52722445</v>
      </c>
      <c r="BP185" t="s">
        <v>232</v>
      </c>
      <c r="BQ185" s="300" t="s">
        <v>3401</v>
      </c>
      <c r="BR185" t="s">
        <v>1359</v>
      </c>
      <c r="BS185">
        <v>391.990063159464</v>
      </c>
      <c r="BT185">
        <v>362.41157196968697</v>
      </c>
      <c r="BU185" s="144">
        <f>IFERROR(BT185/BS185,"")</f>
        <v>0.92454275256017315</v>
      </c>
      <c r="BV185" s="144">
        <f>BT185-BS185</f>
        <v>-29.578491189777026</v>
      </c>
      <c r="BW185" s="144"/>
      <c r="BX185">
        <f>BV185*10^6*C_to_CO2</f>
        <v>-108553062.66648167</v>
      </c>
      <c r="BY185">
        <f>IFERROR(BX185/BO185,"")</f>
        <v>-0.80088614127161373</v>
      </c>
      <c r="BZ185">
        <v>0</v>
      </c>
      <c r="CA185">
        <v>0</v>
      </c>
      <c r="CB185">
        <v>0</v>
      </c>
      <c r="CC185">
        <v>0</v>
      </c>
      <c r="CD185">
        <v>0</v>
      </c>
      <c r="CE185">
        <v>0</v>
      </c>
      <c r="CF185">
        <v>0</v>
      </c>
      <c r="CG185">
        <v>0</v>
      </c>
      <c r="CH185">
        <v>0</v>
      </c>
      <c r="CI185">
        <v>0</v>
      </c>
      <c r="CJ185">
        <v>0</v>
      </c>
      <c r="CK185">
        <v>0</v>
      </c>
      <c r="CL185">
        <v>0</v>
      </c>
      <c r="CM185">
        <v>0</v>
      </c>
      <c r="CN185" t="str">
        <f>IF($BL185&lt;$BK185,"refNeedCorrection","refOK")</f>
        <v>refOK</v>
      </c>
      <c r="CO185">
        <f>IF($CN185="refNeedCorrection",BL185,BK185)</f>
        <v>1168.5023099755704</v>
      </c>
      <c r="CP185">
        <f>IF($CN185="refNeedCorrection",BK185,BL185)</f>
        <v>1304.0435025027948</v>
      </c>
      <c r="CQ185">
        <f>IF($CN185="refOK",$BO185,-$BO185)</f>
        <v>135541192.52722445</v>
      </c>
      <c r="CR185">
        <f>IF($CN185="refOK",$BS185,$BT185)*IF($BP185="Emissions positive",-1,1)</f>
        <v>391.990063159464</v>
      </c>
      <c r="CS185">
        <f>IF($CN185="refOK",$BT185,$BS185)*IF($BP185="Emissions positive",-1,1)</f>
        <v>362.41157196968697</v>
      </c>
      <c r="CT185">
        <f>IF($CN185="refNeedCorrection",-BX185,BX185)*IF($BP185="Emissions positive",-1,1)</f>
        <v>-108553062.66648167</v>
      </c>
      <c r="CU185">
        <f>IFERROR(CT185/CQ185,"")</f>
        <v>-0.80088614127161373</v>
      </c>
      <c r="CV185" s="2">
        <f>IFERROR((CS185-CR185)/ABS(CR185),"")</f>
        <v>-7.5457247439826833E-2</v>
      </c>
      <c r="CW185" s="1" t="s">
        <v>1203</v>
      </c>
      <c r="CX185" t="str">
        <f>IF(OR($CW185="prd",$CW185="std",$CW185="cit"),"loc",IF(OR($CW185="eur",$CW185="reg",$CW185="coy"),"reg",$CW185))</f>
        <v>reg</v>
      </c>
      <c r="CY185" t="s">
        <v>729</v>
      </c>
      <c r="CZ185">
        <v>2015</v>
      </c>
      <c r="DA185">
        <v>2040</v>
      </c>
      <c r="DB185">
        <f>DA185-CZ185</f>
        <v>25</v>
      </c>
      <c r="DC185" t="str">
        <f>IF(DB185=0,"0",IF(AND(DB185&gt;=1,DB185&lt;=30),"1-30",IF(AND(DB185&gt;30,DB185&lt;=70),"31-70",IF(AND(DB185&gt;70,DB185&lt;=100),"71-100",IF(DB185&gt;100,"+100")))))</f>
        <v>1-30</v>
      </c>
      <c r="DD185">
        <v>1</v>
      </c>
      <c r="DE185">
        <v>1</v>
      </c>
      <c r="DF185">
        <v>1</v>
      </c>
      <c r="DG185">
        <v>1</v>
      </c>
      <c r="DH185"/>
      <c r="DI185">
        <f>SUM(DD185:DG185)</f>
        <v>4</v>
      </c>
      <c r="DJ185" t="str">
        <f>IF(DI185=1,INDEX($DD$7:$DG$7,MATCH(1,$DD185:$DG185,0)),"mixedProduct")</f>
        <v>mixedProduct</v>
      </c>
      <c r="DK185" t="str">
        <f>IF(DD185=1,DK$7,0)</f>
        <v>Upstream</v>
      </c>
      <c r="DL185" t="str">
        <f>IF(DE185=1,DL$7,0)</f>
        <v>Energy</v>
      </c>
      <c r="DM185" t="str">
        <f>IF(DF185=1,DM$7,0)</f>
        <v>Pulp/Paper</v>
      </c>
      <c r="DN185" t="str">
        <f>IF(DG185=1,DN$7,0)</f>
        <v>Timber</v>
      </c>
      <c r="DO185">
        <v>0</v>
      </c>
      <c r="DP185">
        <v>1</v>
      </c>
      <c r="DQ185" t="s">
        <v>2460</v>
      </c>
      <c r="DR185" t="s">
        <v>2461</v>
      </c>
      <c r="DS185" t="s">
        <v>2461</v>
      </c>
      <c r="DT185">
        <f>SUM(DO185:DP185)</f>
        <v>1</v>
      </c>
      <c r="DU185" s="143" t="str">
        <f>IF(DO185=1,"self-calculated DF",IF(DP185=1,"external DF used","explicit C balance"))</f>
        <v>external DF used</v>
      </c>
      <c r="DV185">
        <v>0</v>
      </c>
      <c r="DW185">
        <v>1</v>
      </c>
      <c r="DX185">
        <v>1</v>
      </c>
      <c r="DY185">
        <v>1</v>
      </c>
      <c r="DZ185">
        <v>1</v>
      </c>
      <c r="EA185" s="143">
        <v>1</v>
      </c>
      <c r="EB185">
        <v>1</v>
      </c>
      <c r="EC185">
        <v>1</v>
      </c>
      <c r="ED185">
        <v>0</v>
      </c>
      <c r="EE185">
        <v>0</v>
      </c>
      <c r="EF185">
        <v>1</v>
      </c>
      <c r="EG185">
        <v>0</v>
      </c>
      <c r="EH185">
        <v>0</v>
      </c>
      <c r="EI185" s="2">
        <v>0</v>
      </c>
      <c r="EJ185" s="1"/>
      <c r="EK185" t="str">
        <f>IF(AND(AND(AND(OR($DX185=1,$DW185=1),OR($EC185=1,$EA185=1)),SUM($DV185:$DZ185,$EF185)&gt;=4),SUM($EA185:$EE185)&gt;=2),"Whole sector","")</f>
        <v>Whole sector</v>
      </c>
      <c r="EL185" t="str">
        <f>IF(AND(AND(OR($DX185=1,$DW185=1),AND($EC185=0,$EA185=0)),SUM($DV185:$DZ185,$EF185)&gt;=4),"Ecosystem approach","")</f>
        <v/>
      </c>
      <c r="EM185" s="2" t="str">
        <f>IF(AND(AND(AND($DX185=0,$DW185=0),OR($EC185=1,$EA185=1)),SUM($EB185:$EE185)&gt;=2),"Technology approach","")</f>
        <v/>
      </c>
      <c r="EN185"/>
      <c r="EO185"/>
      <c r="EP185" t="str">
        <f>IF(ISNUMBER(BU185),IF(ABS(BU185-[4]QC_indicators!$B$2)&gt;3*[4]QC_indicators!$C$2,"C ratio",IF(ISNUMBER(BY185),IF(ABS(BY185-[4]QC_indicators!$B$1)&gt;3*[4]QC_indicators!$C$1,"DF","no"))),IF(ISNUMBER(BY185),IF(ABS(BY185-[4]QC_indicators!$B$1)&gt;3*[4]QC_indicators!$C$1,"DF","no")))</f>
        <v>no</v>
      </c>
      <c r="EQ185"/>
      <c r="ER185"/>
      <c r="ES185"/>
      <c r="ET185" s="264" t="s">
        <v>3273</v>
      </c>
      <c r="EU185"/>
    </row>
    <row r="186" spans="1:151" s="139" customFormat="1" ht="15" customHeight="1">
      <c r="A186" s="1" t="s">
        <v>2067</v>
      </c>
      <c r="B186" t="s">
        <v>2068</v>
      </c>
      <c r="C186" t="s">
        <v>544</v>
      </c>
      <c r="D186" t="s">
        <v>2069</v>
      </c>
      <c r="E186" t="s">
        <v>2070</v>
      </c>
      <c r="F186" t="s">
        <v>2071</v>
      </c>
      <c r="G186" t="s">
        <v>2072</v>
      </c>
      <c r="H186" t="s">
        <v>254</v>
      </c>
      <c r="I186">
        <v>2021</v>
      </c>
      <c r="J186">
        <v>0</v>
      </c>
      <c r="K186" t="s">
        <v>2073</v>
      </c>
      <c r="L186"/>
      <c r="M186" t="str">
        <f>LEFT($D186,FIND(",",$D186)-1)&amp;"_"&amp;I186&amp;L186</f>
        <v>Paletto_2021</v>
      </c>
      <c r="N186" t="s">
        <v>222</v>
      </c>
      <c r="O186" s="157" t="s">
        <v>274</v>
      </c>
      <c r="P186" t="s">
        <v>513</v>
      </c>
      <c r="Q186" t="s">
        <v>389</v>
      </c>
      <c r="R186" s="262" t="s">
        <v>223</v>
      </c>
      <c r="S186" s="1" t="s">
        <v>2074</v>
      </c>
      <c r="T186" t="s">
        <v>2075</v>
      </c>
      <c r="U186" s="184" t="s">
        <v>2079</v>
      </c>
      <c r="V186">
        <v>0</v>
      </c>
      <c r="W186">
        <v>0</v>
      </c>
      <c r="X186">
        <v>0</v>
      </c>
      <c r="Y186">
        <v>1</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s="141">
        <f>COUNTIF(V186:AW186,"&lt;&gt;0")</f>
        <v>1</v>
      </c>
      <c r="AY186" s="141">
        <f>COUNTIF(V186:AL186,"&lt;&gt;0")</f>
        <v>1</v>
      </c>
      <c r="AZ186">
        <f>COUNTIF(V186:AC186,"&lt;&gt;0")</f>
        <v>1</v>
      </c>
      <c r="BA186">
        <f>COUNTIF(AD186:AI186,"&lt;&gt;0")</f>
        <v>0</v>
      </c>
      <c r="BB186">
        <f>COUNTIF(AJ186:AL186,"&lt;&gt;0")</f>
        <v>0</v>
      </c>
      <c r="BC186">
        <f>COUNTIF(AS186:AW186,"&lt;&gt;0")</f>
        <v>0</v>
      </c>
      <c r="BD186">
        <f>COUNTIF(AM186:AR186,"&lt;&gt;0")</f>
        <v>0</v>
      </c>
      <c r="BE186" t="str">
        <f t="array" ref="BE186">IF(AY186=1,INDEX($V$7:$AL$7,MATCH(TRUE,INDEX($V186:$AW186&lt;&gt;0,),0)),IF(AY186=0,INDEX($AM$7:$AW$7,MATCH(1,$AM186:$AW186,0)),IF(BF186="Multiple strategies","mixed drivers",IF(BF186="Supply chain","multiple supply","multiple silviculture"))))</f>
        <v xml:space="preserve">cutting intensity </v>
      </c>
      <c r="BF186" s="2" t="str" cm="1">
        <f t="array" ref="BF186">IF(COUNTIF(AZ186:BB186,"&lt;&gt;0")=1,INDEX($V$4:$AW$4,MATCH(TRUE,INDEX($V186:$AW186&lt;&gt;0,),0)),IF(COUNTIF(AZ186:BB186,"&lt;&gt;0")=0,INDEX($AM$4:$AW$4,MATCH(1,$AM186:$AW186,0)),"Multiple strategies"))</f>
        <v>Silviculture for removals</v>
      </c>
      <c r="BG186" s="1" t="s">
        <v>321</v>
      </c>
      <c r="BH186"/>
      <c r="BI186" s="264" t="s">
        <v>424</v>
      </c>
      <c r="BJ186" t="s">
        <v>2077</v>
      </c>
      <c r="BK186">
        <v>0</v>
      </c>
      <c r="BL186">
        <v>144.19999999999999</v>
      </c>
      <c r="BM186" t="str">
        <f>IFERROR(BL186/BK186,"")</f>
        <v/>
      </c>
      <c r="BN186">
        <f>BL186-BK186</f>
        <v>144.19999999999999</v>
      </c>
      <c r="BO186">
        <f>BN186</f>
        <v>144.19999999999999</v>
      </c>
      <c r="BP186" t="s">
        <v>232</v>
      </c>
      <c r="BQ186" s="301" t="s">
        <v>396</v>
      </c>
      <c r="BR186" t="s">
        <v>2078</v>
      </c>
      <c r="BS186"/>
      <c r="BT186"/>
      <c r="BU186" s="144"/>
      <c r="BV186">
        <v>-114.9</v>
      </c>
      <c r="BW186"/>
      <c r="BX186">
        <f>BV186</f>
        <v>-114.9</v>
      </c>
      <c r="BY186">
        <f>IFERROR(BX186/BO186,"")</f>
        <v>-0.79680998613037457</v>
      </c>
      <c r="BZ186">
        <v>0</v>
      </c>
      <c r="CA186">
        <v>0</v>
      </c>
      <c r="CB186">
        <v>0</v>
      </c>
      <c r="CC186">
        <v>0</v>
      </c>
      <c r="CD186">
        <v>0</v>
      </c>
      <c r="CE186">
        <v>0</v>
      </c>
      <c r="CF186">
        <v>0</v>
      </c>
      <c r="CG186">
        <v>0</v>
      </c>
      <c r="CH186">
        <v>0</v>
      </c>
      <c r="CI186">
        <v>0</v>
      </c>
      <c r="CJ186">
        <v>0</v>
      </c>
      <c r="CK186">
        <v>0</v>
      </c>
      <c r="CL186">
        <v>0</v>
      </c>
      <c r="CM186">
        <v>1</v>
      </c>
      <c r="CN186" t="str">
        <f>IF($BL186&lt;$BK186,"refNeedCorrection","refOK")</f>
        <v>refOK</v>
      </c>
      <c r="CO186">
        <f>IF($CN186="refOK",$BK186,$BL186)</f>
        <v>0</v>
      </c>
      <c r="CP186">
        <f>IF($CN186="refOK",$BL186,$BK186)</f>
        <v>144.19999999999999</v>
      </c>
      <c r="CQ186">
        <f>IF($CN186="refOK",$BO186,-$BO186)</f>
        <v>144.19999999999999</v>
      </c>
      <c r="CR186">
        <f>IF($CN186="refOK",$BS186,$BT186)*IF($BP186="Emissions positive",-1,1)</f>
        <v>0</v>
      </c>
      <c r="CS186">
        <f>IF($CN186="refOK",$BT186,$BS186)*IF($BP186="Emissions positive",-1,1)</f>
        <v>0</v>
      </c>
      <c r="CT186">
        <f>IF($CN186="refNeedCorrection",-BX186,BX186)*IF($BP186="Emissions positive",-1,1)</f>
        <v>-114.9</v>
      </c>
      <c r="CU186">
        <f>IFERROR(CT186/CQ186,"")</f>
        <v>-0.79680998613037457</v>
      </c>
      <c r="CV186" s="2" t="str">
        <f>IFERROR((CS186-CR186)/ABS(CR186),"")</f>
        <v/>
      </c>
      <c r="CW186" s="1" t="s">
        <v>2036</v>
      </c>
      <c r="CX186" t="str">
        <f>IF(OR($CW186="prd",$CW186="std",$CW186="cit"),"loc",IF(OR($CW186="eur",$CW186="reg",$CW186="coy"),"reg",$CW186))</f>
        <v>reg</v>
      </c>
      <c r="CY186" t="s">
        <v>732</v>
      </c>
      <c r="CZ186"/>
      <c r="DA186"/>
      <c r="DB186">
        <v>15</v>
      </c>
      <c r="DC186" t="str">
        <f>IF(DB186=0,"0",IF(AND(DB186&gt;=1,DB186&lt;=30),"1-30",IF(AND(DB186&gt;30,DB186&lt;=70),"31-70",IF(AND(DB186&gt;70,DB186&lt;=100),"71-100",IF(DB186&gt;100,"+100")))))</f>
        <v>1-30</v>
      </c>
      <c r="DD186">
        <v>1</v>
      </c>
      <c r="DE186">
        <v>0</v>
      </c>
      <c r="DF186">
        <v>0</v>
      </c>
      <c r="DG186">
        <v>0</v>
      </c>
      <c r="DH186">
        <v>0</v>
      </c>
      <c r="DI186">
        <f>SUM(DD186:DH186)</f>
        <v>1</v>
      </c>
      <c r="DJ186" t="str">
        <f>IF(DI186=1,INDEX($DD$7:$DG$7,MATCH(1,$DD186:$DG186,0)),"mixedProduct")</f>
        <v>UpstreamInput</v>
      </c>
      <c r="DK186" t="str">
        <f>IF(DD186=1,DK$7,0)</f>
        <v>Upstream</v>
      </c>
      <c r="DL186">
        <f>IF(DE186=1,DL$7,0)</f>
        <v>0</v>
      </c>
      <c r="DM186">
        <f>IF(DF186=1,DM$7,0)</f>
        <v>0</v>
      </c>
      <c r="DN186">
        <f>IF(DG186=1,DN$7,0)</f>
        <v>0</v>
      </c>
      <c r="DO186">
        <v>0</v>
      </c>
      <c r="DP186">
        <v>0</v>
      </c>
      <c r="DQ186">
        <v>0</v>
      </c>
      <c r="DR186">
        <v>0</v>
      </c>
      <c r="DS186">
        <v>0</v>
      </c>
      <c r="DT186"/>
      <c r="DU186" s="143" t="str">
        <f>IF(DO186=1,"self-calculated DF",IF(DP186=1,"external DF used","explicit C balance"))</f>
        <v>explicit C balance</v>
      </c>
      <c r="DV186">
        <v>1</v>
      </c>
      <c r="DW186">
        <v>1</v>
      </c>
      <c r="DX186">
        <v>1</v>
      </c>
      <c r="DY186">
        <v>0</v>
      </c>
      <c r="DZ186">
        <v>0</v>
      </c>
      <c r="EA186" s="143">
        <v>0</v>
      </c>
      <c r="EB186">
        <v>0</v>
      </c>
      <c r="EC186">
        <v>0</v>
      </c>
      <c r="ED186">
        <v>0</v>
      </c>
      <c r="EE186">
        <v>0</v>
      </c>
      <c r="EF186">
        <v>1</v>
      </c>
      <c r="EG186">
        <v>0</v>
      </c>
      <c r="EH186">
        <v>0</v>
      </c>
      <c r="EI186" s="2">
        <v>0</v>
      </c>
      <c r="EJ186" s="1"/>
      <c r="EK186" t="str">
        <f>IF(AND(AND(AND(OR($DX186=1,$DW186=1),OR($EC186=1,$EA186=1)),SUM($DV186:$DZ186,$EF186)&gt;=4),SUM($EA186:$EE186)&gt;=2),"Whole sector","")</f>
        <v/>
      </c>
      <c r="EL186" t="str">
        <f>IF(AND(AND(OR($DX186=1,$DW186=1),AND($EC186=0,$EA186=0)),SUM($DV186:$DZ186,$EF186)&gt;=4),"Ecosystem approach","")</f>
        <v>Ecosystem approach</v>
      </c>
      <c r="EM186" s="2" t="str">
        <f>IF(AND(AND(AND($DX186=0,$DW186=0),OR($EC186=1,$EA186=1)),SUM($EB186:$EE186)&gt;=2),"Technology approach","")</f>
        <v/>
      </c>
      <c r="EN186"/>
      <c r="EO186"/>
      <c r="EP186" t="str">
        <f>IF(ISNUMBER(BU186),IF(ABS(BU186-[1]QC_indicators!$B$2)&gt;3*[1]QC_indicators!$C$2,"C ratio",IF(ISNUMBER(BY186),IF(ABS(BY186-[1]QC_indicators!$B$1)&gt;3*[1]QC_indicators!$C$1,"DF","no"))),IF(ISNUMBER(BY186),IF(ABS(BY186-[1]QC_indicators!$B$1)&gt;3*[1]QC_indicators!$C$1,"DF","no")))</f>
        <v>no</v>
      </c>
      <c r="EQ186"/>
      <c r="ER186"/>
      <c r="ES186"/>
      <c r="ET186" s="264" t="s">
        <v>3151</v>
      </c>
      <c r="EU186"/>
    </row>
    <row r="187" spans="1:151" s="139" customFormat="1" ht="15" customHeight="1">
      <c r="A187" s="1" t="s">
        <v>1808</v>
      </c>
      <c r="B187" t="s">
        <v>2475</v>
      </c>
      <c r="C187" t="s">
        <v>2476</v>
      </c>
      <c r="D187" t="s">
        <v>2477</v>
      </c>
      <c r="E187" t="s">
        <v>2478</v>
      </c>
      <c r="F187" t="s">
        <v>2479</v>
      </c>
      <c r="G187" t="s">
        <v>1814</v>
      </c>
      <c r="H187" t="s">
        <v>254</v>
      </c>
      <c r="I187">
        <v>2010</v>
      </c>
      <c r="J187">
        <v>100</v>
      </c>
      <c r="K187" t="s">
        <v>2480</v>
      </c>
      <c r="L187"/>
      <c r="M187" t="str">
        <f>LEFT($D187,FIND(",",$D187)-1)&amp;"_"&amp;I187&amp;L187</f>
        <v>Werner_2010</v>
      </c>
      <c r="N187" t="s">
        <v>222</v>
      </c>
      <c r="O187" s="145" t="s">
        <v>1154</v>
      </c>
      <c r="P187"/>
      <c r="Q187" t="s">
        <v>256</v>
      </c>
      <c r="R187" s="262" t="s">
        <v>223</v>
      </c>
      <c r="S187" s="263" t="s">
        <v>3255</v>
      </c>
      <c r="T187" t="s">
        <v>2482</v>
      </c>
      <c r="U187" t="s">
        <v>2487</v>
      </c>
      <c r="V187">
        <v>2</v>
      </c>
      <c r="W187">
        <v>0</v>
      </c>
      <c r="X187">
        <v>1</v>
      </c>
      <c r="Y187">
        <v>2</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s="141">
        <f>COUNTIF(V187:AW187,"&lt;&gt;0")</f>
        <v>3</v>
      </c>
      <c r="AY187" s="141">
        <f>COUNTIF(V187:AL187,"&lt;&gt;0")</f>
        <v>3</v>
      </c>
      <c r="AZ187">
        <f>COUNTIF(V187:AC187,"&lt;&gt;0")</f>
        <v>3</v>
      </c>
      <c r="BA187">
        <f>COUNTIF(AD187:AI187,"&lt;&gt;0")</f>
        <v>0</v>
      </c>
      <c r="BB187">
        <f>COUNTIF(AJ187:AL187,"&lt;&gt;0")</f>
        <v>0</v>
      </c>
      <c r="BC187">
        <f>COUNTIF(AS187:AW187,"&lt;&gt;0")</f>
        <v>0</v>
      </c>
      <c r="BD187">
        <f>COUNTIF(AM187:AR187,"&lt;&gt;0")</f>
        <v>0</v>
      </c>
      <c r="BE187" t="str">
        <f t="array" ref="BE187">IF(AY187=1,INDEX($V$7:$AL$7,MATCH(TRUE,INDEX($V187:$AW187&lt;&gt;0,),0)),IF(AY187=0,INDEX($AM$7:$AW$7,MATCH(1,$AM187:$AW187,0)),IF(BF187="Multiple strategies","mixed drivers",IF(BF187="Supply chain","multiple supply","multiple silviculture"))))</f>
        <v>multiple silviculture</v>
      </c>
      <c r="BF187" s="2" t="str" cm="1">
        <f t="array" ref="BF187">IF(COUNTIF(AZ187:BB187,"&lt;&gt;0")=1,INDEX($V$4:$AW$4,MATCH(TRUE,INDEX($V187:$AW187&lt;&gt;0,),0)),IF(COUNTIF(AZ187:BB187,"&lt;&gt;0")=0,INDEX($AM$4:$AW$4,MATCH(1,$AM187:$AW187,0)),"Multiple strategies"))</f>
        <v>Silviculture for removals</v>
      </c>
      <c r="BG187" s="1" t="s">
        <v>321</v>
      </c>
      <c r="BH187" t="s">
        <v>2453</v>
      </c>
      <c r="BI187" s="264" t="s">
        <v>3252</v>
      </c>
      <c r="BJ187" t="s">
        <v>1323</v>
      </c>
      <c r="BK187">
        <v>210</v>
      </c>
      <c r="BL187">
        <v>489</v>
      </c>
      <c r="BM187" s="143">
        <f>BL187/BK187</f>
        <v>2.3285714285714287</v>
      </c>
      <c r="BN187">
        <f>BL187-BK187</f>
        <v>279</v>
      </c>
      <c r="BO187">
        <f>BN187*10^6</f>
        <v>279000000</v>
      </c>
      <c r="BP187" t="s">
        <v>232</v>
      </c>
      <c r="BQ187" s="303" t="s">
        <v>3253</v>
      </c>
      <c r="BR187" t="s">
        <v>2325</v>
      </c>
      <c r="BS187">
        <v>385.51880535301569</v>
      </c>
      <c r="BT187">
        <v>163.99431767864581</v>
      </c>
      <c r="BU187" s="144">
        <f>IFERROR(BT187/BS187,"")</f>
        <v>0.42538603928407037</v>
      </c>
      <c r="BV187" s="144">
        <f>BT187-BS187</f>
        <v>-221.52448767436988</v>
      </c>
      <c r="BW187" s="144"/>
      <c r="BX187">
        <f>BV187*10^6</f>
        <v>-221524487.67436987</v>
      </c>
      <c r="BY187">
        <f>IFERROR(BX187/BO187,"")</f>
        <v>-0.79399457947802821</v>
      </c>
      <c r="BZ187">
        <v>0</v>
      </c>
      <c r="CA187">
        <v>0</v>
      </c>
      <c r="CB187">
        <v>0</v>
      </c>
      <c r="CC187">
        <v>0</v>
      </c>
      <c r="CD187">
        <v>0</v>
      </c>
      <c r="CE187">
        <v>0</v>
      </c>
      <c r="CF187">
        <v>0</v>
      </c>
      <c r="CG187">
        <v>0</v>
      </c>
      <c r="CH187">
        <v>0</v>
      </c>
      <c r="CI187">
        <v>0</v>
      </c>
      <c r="CJ187">
        <v>0</v>
      </c>
      <c r="CK187">
        <v>0</v>
      </c>
      <c r="CL187">
        <v>0</v>
      </c>
      <c r="CM187">
        <v>1</v>
      </c>
      <c r="CN187" t="str">
        <f>IF($BL187&lt;$BK187,"refNeedCorrection","refOK")</f>
        <v>refOK</v>
      </c>
      <c r="CO187">
        <f>IF($CN187="refNeedCorrection",BL187,BK187)</f>
        <v>210</v>
      </c>
      <c r="CP187">
        <f>IF($CN187="refNeedCorrection",BK187,BL187)</f>
        <v>489</v>
      </c>
      <c r="CQ187">
        <f>IF($CN187="refOK",$BO187,-$BO187)</f>
        <v>279000000</v>
      </c>
      <c r="CR187">
        <f>IF($CN187="refOK",$BS187,$BT187)*IF($BP187="Emissions positive",-1,1)</f>
        <v>385.51880535301569</v>
      </c>
      <c r="CS187">
        <f>IF($CN187="refOK",$BT187,$BS187)*IF($BP187="Emissions positive",-1,1)</f>
        <v>163.99431767864581</v>
      </c>
      <c r="CT187">
        <f>IF($CN187="refNeedCorrection",-BX187,BX187)*IF($BP187="Emissions positive",-1,1)</f>
        <v>-221524487.67436987</v>
      </c>
      <c r="CU187">
        <f>IFERROR(CT187/CQ187,"")</f>
        <v>-0.79399457947802821</v>
      </c>
      <c r="CV187" s="2">
        <f>IFERROR((CS187-CR187)/ABS(CR187),"")</f>
        <v>-0.57461396071592963</v>
      </c>
      <c r="CW187" s="1" t="s">
        <v>1203</v>
      </c>
      <c r="CX187" t="str">
        <f>IF(OR($CW187="prd",$CW187="std",$CW187="cit"),"loc",IF(OR($CW187="eur",$CW187="reg",$CW187="coy"),"reg",$CW187))</f>
        <v>reg</v>
      </c>
      <c r="CY187" t="s">
        <v>639</v>
      </c>
      <c r="CZ187">
        <v>2000</v>
      </c>
      <c r="DA187">
        <v>2060</v>
      </c>
      <c r="DB187">
        <f>DA187-CZ187</f>
        <v>60</v>
      </c>
      <c r="DC187" t="str">
        <f>IF(DB187=0,"0",IF(AND(DB187&gt;=1,DB187&lt;=30),"1-30",IF(AND(DB187&gt;30,DB187&lt;=70),"31-70",IF(AND(DB187&gt;70,DB187&lt;=100),"71-100",IF(DB187&gt;100,"+100")))))</f>
        <v>31-70</v>
      </c>
      <c r="DD187">
        <v>0</v>
      </c>
      <c r="DE187">
        <v>0</v>
      </c>
      <c r="DF187">
        <v>0</v>
      </c>
      <c r="DG187">
        <v>1</v>
      </c>
      <c r="DH187">
        <v>0</v>
      </c>
      <c r="DI187">
        <f>SUM(DD187:DG187)</f>
        <v>1</v>
      </c>
      <c r="DJ187" t="str">
        <f>IF(DI187=1,INDEX($DD$7:$DG$7,MATCH(1,$DD187:$DG187,0)),"mixedProduct")</f>
        <v>TimberInput</v>
      </c>
      <c r="DK187">
        <f>IF(DD187=1,DK$7,0)</f>
        <v>0</v>
      </c>
      <c r="DL187">
        <f>IF(DE187=1,DL$7,0)</f>
        <v>0</v>
      </c>
      <c r="DM187">
        <f>IF(DF187=1,DM$7,0)</f>
        <v>0</v>
      </c>
      <c r="DN187" t="str">
        <f>IF(DG187=1,DN$7,0)</f>
        <v>Timber</v>
      </c>
      <c r="DO187">
        <v>0</v>
      </c>
      <c r="DP187">
        <v>0</v>
      </c>
      <c r="DQ187"/>
      <c r="DR187"/>
      <c r="DS187"/>
      <c r="DT187">
        <f>SUM(DO187:DP187)</f>
        <v>0</v>
      </c>
      <c r="DU187" s="143" t="str">
        <f>IF(DO187=1,"self-calculated DF",IF(DP187=1,"external DF used","explicit C balance"))</f>
        <v>explicit C balance</v>
      </c>
      <c r="DV187">
        <v>1</v>
      </c>
      <c r="DW187">
        <v>1</v>
      </c>
      <c r="DX187">
        <v>1</v>
      </c>
      <c r="DY187">
        <v>1</v>
      </c>
      <c r="DZ187">
        <v>0</v>
      </c>
      <c r="EA187" s="143">
        <v>0</v>
      </c>
      <c r="EB187">
        <v>0</v>
      </c>
      <c r="EC187">
        <v>0</v>
      </c>
      <c r="ED187">
        <v>0</v>
      </c>
      <c r="EE187">
        <v>0</v>
      </c>
      <c r="EF187">
        <v>1</v>
      </c>
      <c r="EG187">
        <v>0</v>
      </c>
      <c r="EH187">
        <v>0</v>
      </c>
      <c r="EI187" s="2">
        <v>0</v>
      </c>
      <c r="EJ187" s="1"/>
      <c r="EK187" t="str">
        <f>IF(AND(AND(AND(OR($DX187=1,$DW187=1),OR($EC187=1,$EA187=1)),SUM($DV187:$DZ187,$EF187)&gt;=4),SUM($EA187:$EE187)&gt;=2),"Whole sector","")</f>
        <v/>
      </c>
      <c r="EL187" t="str">
        <f>IF(AND(AND(OR($DX187=1,$DW187=1),AND($EC187=0,$EA187=0)),SUM($DV187:$DZ187,$EF187)&gt;=4),"Ecosystem approach","")</f>
        <v>Ecosystem approach</v>
      </c>
      <c r="EM187" s="2" t="str">
        <f>IF(AND(AND(AND($DX187=0,$DW187=0),OR($EC187=1,$EA187=1)),SUM($EB187:$EE187)&gt;=2),"Technology approach","")</f>
        <v/>
      </c>
      <c r="EN187" t="s">
        <v>2485</v>
      </c>
      <c r="EO187"/>
      <c r="EP187" t="str">
        <f>IF(ISNUMBER(BU187),IF(ABS(BU187-[1]QC_indicators!$B$2)&gt;3*[1]QC_indicators!$C$2,"C ratio",IF(ISNUMBER(BY187),IF(ABS(BY187-[1]QC_indicators!$B$1)&gt;3*[1]QC_indicators!$C$1,"DF","no"))),IF(ISNUMBER(BY187),IF(ABS(BY187-[1]QC_indicators!$B$1)&gt;3*[1]QC_indicators!$C$1,"DF","no")))</f>
        <v>no</v>
      </c>
      <c r="EQ187"/>
      <c r="ER187"/>
      <c r="ES187"/>
      <c r="ET187" s="264" t="s">
        <v>3254</v>
      </c>
      <c r="EU187"/>
    </row>
    <row r="188" spans="1:151" s="139" customFormat="1" ht="15" customHeight="1">
      <c r="A188" s="1" t="s">
        <v>265</v>
      </c>
      <c r="B188" t="s">
        <v>266</v>
      </c>
      <c r="C188" t="s">
        <v>267</v>
      </c>
      <c r="D188" t="s">
        <v>268</v>
      </c>
      <c r="E188" t="s">
        <v>269</v>
      </c>
      <c r="F188" t="s">
        <v>270</v>
      </c>
      <c r="G188" t="s">
        <v>271</v>
      </c>
      <c r="H188" t="s">
        <v>254</v>
      </c>
      <c r="I188">
        <v>2022</v>
      </c>
      <c r="J188">
        <v>0</v>
      </c>
      <c r="K188" t="s">
        <v>272</v>
      </c>
      <c r="L188"/>
      <c r="M188" t="str">
        <f>LEFT($D188,FIND(",",$D188)-1)&amp;"_"&amp;I188&amp;L188</f>
        <v>Aryapratama_2022</v>
      </c>
      <c r="N188" t="s">
        <v>222</v>
      </c>
      <c r="O188" s="145" t="s">
        <v>274</v>
      </c>
      <c r="P188"/>
      <c r="Q188" t="s">
        <v>224</v>
      </c>
      <c r="R188" s="262" t="s">
        <v>223</v>
      </c>
      <c r="S188" s="263" t="s">
        <v>3105</v>
      </c>
      <c r="T188" t="s">
        <v>291</v>
      </c>
      <c r="U188" t="s">
        <v>276</v>
      </c>
      <c r="V188">
        <v>0</v>
      </c>
      <c r="W188">
        <v>0</v>
      </c>
      <c r="X188">
        <v>0</v>
      </c>
      <c r="Y188">
        <v>0</v>
      </c>
      <c r="Z188">
        <v>0</v>
      </c>
      <c r="AA188">
        <v>0</v>
      </c>
      <c r="AB188">
        <v>0</v>
      </c>
      <c r="AC188">
        <v>0</v>
      </c>
      <c r="AD188">
        <v>0</v>
      </c>
      <c r="AE188">
        <v>0</v>
      </c>
      <c r="AF188">
        <v>0</v>
      </c>
      <c r="AG188">
        <v>0</v>
      </c>
      <c r="AH188">
        <v>0</v>
      </c>
      <c r="AI188">
        <v>0</v>
      </c>
      <c r="AJ188">
        <v>0</v>
      </c>
      <c r="AK188">
        <v>1</v>
      </c>
      <c r="AL188">
        <v>0</v>
      </c>
      <c r="AM188">
        <v>0</v>
      </c>
      <c r="AN188">
        <v>0</v>
      </c>
      <c r="AO188">
        <v>0</v>
      </c>
      <c r="AP188">
        <v>0</v>
      </c>
      <c r="AQ188">
        <v>0</v>
      </c>
      <c r="AR188">
        <v>0</v>
      </c>
      <c r="AS188">
        <v>0</v>
      </c>
      <c r="AT188">
        <v>0</v>
      </c>
      <c r="AU188">
        <v>0</v>
      </c>
      <c r="AV188">
        <v>0</v>
      </c>
      <c r="AW188">
        <v>0</v>
      </c>
      <c r="AX188" s="141">
        <f>COUNTIF(V188:AW188,"&lt;&gt;0")</f>
        <v>1</v>
      </c>
      <c r="AY188" s="141">
        <f>COUNTIF(V188:AL188,"&lt;&gt;0")</f>
        <v>1</v>
      </c>
      <c r="AZ188">
        <f>COUNTIF(V188:AC188,"&lt;&gt;0")</f>
        <v>0</v>
      </c>
      <c r="BA188">
        <f>COUNTIF(AD188:AI188,"&lt;&gt;0")</f>
        <v>0</v>
      </c>
      <c r="BB188">
        <f>COUNTIF(AJ188:AL188,"&lt;&gt;0")</f>
        <v>1</v>
      </c>
      <c r="BC188">
        <f>COUNTIF(AS188:AW188,"&lt;&gt;0")</f>
        <v>0</v>
      </c>
      <c r="BD188">
        <f>COUNTIF(AM188:AR188,"&lt;&gt;0")</f>
        <v>0</v>
      </c>
      <c r="BE188" t="str">
        <f t="array" ref="BE188">IF(AY188=1,INDEX($V$7:$AL$7,MATCH(TRUE,INDEX($V188:$AW188&lt;&gt;0,),0)),IF(AY188=0,INDEX($AM$7:$AW$7,MATCH(1,$AM188:$AW188,0)),IF(BF188="Multiple strategies","mixed drivers",IF(BF188="Supply chain","multiple supply","multiple silviculture"))))</f>
        <v>technologies/design switch</v>
      </c>
      <c r="BF188" s="2" t="str" cm="1">
        <f t="array" ref="BF188">IF(COUNTIF(AZ188:BB188,"&lt;&gt;0")=1,INDEX($V$4:$AW$4,MATCH(TRUE,INDEX($V188:$AW188&lt;&gt;0,),0)),IF(COUNTIF(AZ188:BB188,"&lt;&gt;0")=0,INDEX($AM$4:$AW$4,MATCH(1,$AM188:$AW188,0)),"Multiple strategies"))</f>
        <v>Technology</v>
      </c>
      <c r="BG188" s="1" t="s">
        <v>229</v>
      </c>
      <c r="BH188" t="s">
        <v>277</v>
      </c>
      <c r="BI188" s="264" t="s">
        <v>3106</v>
      </c>
      <c r="BJ188" t="s">
        <v>278</v>
      </c>
      <c r="BK188">
        <v>0</v>
      </c>
      <c r="BL188">
        <v>204.03384764150945</v>
      </c>
      <c r="BM188"/>
      <c r="BN188">
        <f>BL188-BK188</f>
        <v>204.03384764150945</v>
      </c>
      <c r="BO188">
        <f>BN188*tC_to_m3</f>
        <v>885.9481009184085</v>
      </c>
      <c r="BP188" t="s">
        <v>232</v>
      </c>
      <c r="BQ188" s="303" t="s">
        <v>3107</v>
      </c>
      <c r="BR188" t="s">
        <v>279</v>
      </c>
      <c r="BS188">
        <v>-514.73759172333291</v>
      </c>
      <c r="BT188">
        <v>-1206.3347109067272</v>
      </c>
      <c r="BU188" s="144">
        <f>IFERROR(BT188/BS188,"")</f>
        <v>2.3435916286353571</v>
      </c>
      <c r="BV188">
        <f>BT188-BS188</f>
        <v>-691.59711918339428</v>
      </c>
      <c r="BW188"/>
      <c r="BX188">
        <f>BV188</f>
        <v>-691.59711918339428</v>
      </c>
      <c r="BY188">
        <f>IFERROR(BX188/BO188,"")</f>
        <v>-0.78062938276684335</v>
      </c>
      <c r="BZ188">
        <v>0</v>
      </c>
      <c r="CA188">
        <v>0</v>
      </c>
      <c r="CB188">
        <v>0</v>
      </c>
      <c r="CC188">
        <v>0</v>
      </c>
      <c r="CD188">
        <v>0</v>
      </c>
      <c r="CE188">
        <v>0</v>
      </c>
      <c r="CF188">
        <v>0</v>
      </c>
      <c r="CG188">
        <v>0</v>
      </c>
      <c r="CH188">
        <v>0</v>
      </c>
      <c r="CI188">
        <v>0</v>
      </c>
      <c r="CJ188">
        <v>0</v>
      </c>
      <c r="CK188">
        <v>0</v>
      </c>
      <c r="CL188">
        <v>0</v>
      </c>
      <c r="CM188">
        <v>0</v>
      </c>
      <c r="CN188" t="str">
        <f>IF($BL188&lt;$BK188,"refNeedCorrection","refOK")</f>
        <v>refOK</v>
      </c>
      <c r="CO188">
        <f>IF($CN188="refOK",$BK188,$BL188)</f>
        <v>0</v>
      </c>
      <c r="CP188">
        <f>IF($CN188="refOK",$BL188,$BK188)</f>
        <v>204.03384764150945</v>
      </c>
      <c r="CQ188">
        <f>IF($CN188="refOK",$BO188,-$BO188)</f>
        <v>885.9481009184085</v>
      </c>
      <c r="CR188">
        <f>IF($CN188="refOK",$BS188,$BT188)*IF($BP188="Emissions positive",-1,1)</f>
        <v>-514.73759172333291</v>
      </c>
      <c r="CS188">
        <f>IF($CN188="refOK",$BT188,$BS188)*IF($BP188="Emissions positive",-1,1)</f>
        <v>-1206.3347109067272</v>
      </c>
      <c r="CT188">
        <f>IF($CN188="refNeedCorrection",-BX188,BX188)*IF($BP188="Emissions positive",-1,1)</f>
        <v>-691.59711918339428</v>
      </c>
      <c r="CU188">
        <f>IFERROR(CT188/CQ188,"")</f>
        <v>-0.78062938276684335</v>
      </c>
      <c r="CV188" s="2">
        <f>IFERROR((CS188-CR188)/ABS(CR188),"")</f>
        <v>-1.3435916286353569</v>
      </c>
      <c r="CW188" s="1" t="s">
        <v>234</v>
      </c>
      <c r="CX188" t="str">
        <f>IF(OR($CW188="prd",$CW188="std",$CW188="cit"),"loc",IF(OR($CW188="eur",$CW188="reg",$CW188="coy"),"reg",$CW188))</f>
        <v>loc</v>
      </c>
      <c r="CY188" t="s">
        <v>280</v>
      </c>
      <c r="CZ188"/>
      <c r="DA188"/>
      <c r="DB188">
        <v>200</v>
      </c>
      <c r="DC188" t="str">
        <f>IF(DB188=0,"0",IF(AND(DB188&gt;=1,DB188&lt;=30),"1-30",IF(AND(DB188&gt;30,DB188&lt;=70),"31-70",IF(AND(DB188&gt;70,DB188&lt;=100),"71-100",IF(DB188&gt;100,"+100")))))</f>
        <v>+100</v>
      </c>
      <c r="DD188">
        <v>0</v>
      </c>
      <c r="DE188">
        <v>0</v>
      </c>
      <c r="DF188">
        <v>0</v>
      </c>
      <c r="DG188">
        <v>1</v>
      </c>
      <c r="DH188"/>
      <c r="DI188">
        <f>SUM(DD188:DG188)</f>
        <v>1</v>
      </c>
      <c r="DJ188" t="str">
        <f>IF(DI188=1,INDEX($DD$7:$DG$7,MATCH(1,$DD188:$DG188,0)),"mixedProduct")</f>
        <v>TimberInput</v>
      </c>
      <c r="DK188">
        <f>IF(DD188=1,DK$7,0)</f>
        <v>0</v>
      </c>
      <c r="DL188">
        <f>IF(DE188=1,DL$7,0)</f>
        <v>0</v>
      </c>
      <c r="DM188">
        <f>IF(DF188=1,DM$7,0)</f>
        <v>0</v>
      </c>
      <c r="DN188" t="str">
        <f>IF(DG188=1,DN$7,0)</f>
        <v>Timber</v>
      </c>
      <c r="DO188">
        <v>0</v>
      </c>
      <c r="DP188">
        <v>1</v>
      </c>
      <c r="DQ188">
        <v>0</v>
      </c>
      <c r="DR188" t="s">
        <v>292</v>
      </c>
      <c r="DS188">
        <v>0</v>
      </c>
      <c r="DT188">
        <f>SUM(DO188:DP188)</f>
        <v>1</v>
      </c>
      <c r="DU188" s="143" t="str">
        <f>IF(DO188=1,"self-calculated DF",IF(DP188=1,"external DF used","explicit C balance"))</f>
        <v>external DF used</v>
      </c>
      <c r="DV188">
        <v>0</v>
      </c>
      <c r="DW188">
        <v>1</v>
      </c>
      <c r="DX188">
        <v>1</v>
      </c>
      <c r="DY188">
        <v>1</v>
      </c>
      <c r="DZ188">
        <v>1</v>
      </c>
      <c r="EA188" s="143">
        <v>0</v>
      </c>
      <c r="EB188">
        <v>1</v>
      </c>
      <c r="EC188">
        <v>1</v>
      </c>
      <c r="ED188">
        <v>0</v>
      </c>
      <c r="EE188">
        <v>1</v>
      </c>
      <c r="EF188">
        <v>1</v>
      </c>
      <c r="EG188">
        <v>1</v>
      </c>
      <c r="EH188">
        <v>0</v>
      </c>
      <c r="EI188" s="2">
        <v>0</v>
      </c>
      <c r="EJ188" s="1"/>
      <c r="EK188" t="str">
        <f>IF(AND(AND(AND(OR($DX188=1,$DW188=1),OR($EC188=1,$EA188=1)),SUM($DV188:$DZ188,$EF188)&gt;=4),SUM($EA188:$EE188)&gt;=2),"Whole sector","")</f>
        <v>Whole sector</v>
      </c>
      <c r="EL188" t="str">
        <f>IF(AND(AND(OR($DX188=1,$DW188=1),AND($EC188=0,$EA188=0)),SUM($DV188:$DZ188,$EF188)&gt;=4),"Ecosystem approach","")</f>
        <v/>
      </c>
      <c r="EM188" s="2" t="str">
        <f>IF(AND(AND(AND($DX188=0,$DW188=0),OR($EC188=1,$EA188=1)),SUM($EB188:$EE188)&gt;=2),"Technology approach","")</f>
        <v/>
      </c>
      <c r="EN188"/>
      <c r="EO188"/>
      <c r="EP188" t="str">
        <f>IF(ISNUMBER(BU188),IF(ABS(BU188-[1]QC_indicators!$B$2)&gt;3*[1]QC_indicators!$C$2,"C ratio",IF(ISNUMBER(BY188),IF(ABS(BY188-[1]QC_indicators!$B$1)&gt;3*[1]QC_indicators!$C$1,"DF","no"))),IF(ISNUMBER(BY188),IF(ABS(BY188-[1]QC_indicators!$B$1)&gt;3*[1]QC_indicators!$C$1,"DF","no")))</f>
        <v>no</v>
      </c>
      <c r="EQ188" t="s">
        <v>286</v>
      </c>
      <c r="ER188"/>
      <c r="ES188"/>
      <c r="ET188" s="264" t="s">
        <v>3273</v>
      </c>
      <c r="EU188"/>
    </row>
    <row r="189" spans="1:151" s="139" customFormat="1" ht="15" customHeight="1">
      <c r="A189" s="1" t="s">
        <v>1204</v>
      </c>
      <c r="B189" t="s">
        <v>1205</v>
      </c>
      <c r="C189" t="s">
        <v>1206</v>
      </c>
      <c r="D189" t="s">
        <v>1207</v>
      </c>
      <c r="E189" t="s">
        <v>1208</v>
      </c>
      <c r="F189" t="s">
        <v>1209</v>
      </c>
      <c r="G189" t="s">
        <v>1210</v>
      </c>
      <c r="H189"/>
      <c r="I189">
        <v>2006</v>
      </c>
      <c r="J189"/>
      <c r="K189" t="s">
        <v>1211</v>
      </c>
      <c r="L189"/>
      <c r="M189" t="str">
        <f>LEFT($D189,FIND(",",$D189)-1)&amp;"_"&amp;I189&amp;L189</f>
        <v>Backeus_2006</v>
      </c>
      <c r="N189" t="s">
        <v>222</v>
      </c>
      <c r="O189" s="140" t="s">
        <v>274</v>
      </c>
      <c r="P189"/>
      <c r="Q189" t="s">
        <v>224</v>
      </c>
      <c r="R189" s="255" t="s">
        <v>223</v>
      </c>
      <c r="S189" s="263" t="s">
        <v>3087</v>
      </c>
      <c r="T189" t="s">
        <v>1217</v>
      </c>
      <c r="U189" t="s">
        <v>1213</v>
      </c>
      <c r="V189">
        <v>0</v>
      </c>
      <c r="W189">
        <v>0</v>
      </c>
      <c r="X189">
        <v>0</v>
      </c>
      <c r="Y189">
        <v>1</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1</v>
      </c>
      <c r="AW189">
        <v>0</v>
      </c>
      <c r="AX189" s="141">
        <f>COUNTIF(V189:AW189,"&lt;&gt;0")</f>
        <v>2</v>
      </c>
      <c r="AY189" s="141">
        <f>COUNTIF(V189:AL189,"&lt;&gt;0")</f>
        <v>1</v>
      </c>
      <c r="AZ189">
        <f>COUNTIF(V189:AC189,"&lt;&gt;0")</f>
        <v>1</v>
      </c>
      <c r="BA189">
        <f>COUNTIF(AD189:AI189,"&lt;&gt;0")</f>
        <v>0</v>
      </c>
      <c r="BB189">
        <f>COUNTIF(AJ189:AL189,"&lt;&gt;0")</f>
        <v>0</v>
      </c>
      <c r="BC189">
        <f>COUNTIF(AS189:AW189,"&lt;&gt;0")</f>
        <v>1</v>
      </c>
      <c r="BD189">
        <f>COUNTIF(AM189:AR189,"&lt;&gt;0")</f>
        <v>0</v>
      </c>
      <c r="BE189" t="str">
        <f t="array" ref="BE189">IF(AY189=1,INDEX($V$7:$AL$7,MATCH(TRUE,INDEX($V189:$AW189&lt;&gt;0,),0)),IF(AY189=0,INDEX($AM$7:$AW$7,MATCH(1,$AM189:$AW189,0)),IF(BF189="Multiple strategies","mixed drivers",IF(BF189="Supply chain","multiple supply","multiple silviculture"))))</f>
        <v xml:space="preserve">cutting intensity </v>
      </c>
      <c r="BF189" s="2" t="str" cm="1">
        <f t="array" ref="BF189">IF(COUNTIF(AZ189:BB189,"&lt;&gt;0")=1,INDEX($V$4:$AW$4,MATCH(TRUE,INDEX($V189:$AW189&lt;&gt;0,),0)),IF(COUNTIF(AZ189:BB189,"&lt;&gt;0")=0,INDEX($AM$4:$AW$4,MATCH(1,$AM189:$AW189,0)),"Multiple strategies"))</f>
        <v>Silviculture for removals</v>
      </c>
      <c r="BG189" s="1" t="s">
        <v>229</v>
      </c>
      <c r="BH189" t="s">
        <v>229</v>
      </c>
      <c r="BI189" s="264" t="s">
        <v>701</v>
      </c>
      <c r="BJ189" t="s">
        <v>1214</v>
      </c>
      <c r="BK189">
        <v>5.0343605295810514</v>
      </c>
      <c r="BL189">
        <v>5.6162990524021872</v>
      </c>
      <c r="BM189">
        <f>BL189/BK189</f>
        <v>1.1155933349234255</v>
      </c>
      <c r="BN189">
        <f>BL189-BK189</f>
        <v>0.58193852282113578</v>
      </c>
      <c r="BO189" s="143">
        <f>BN189*10^6</f>
        <v>581938.52282113582</v>
      </c>
      <c r="BP189" s="143" t="s">
        <v>232</v>
      </c>
      <c r="BQ189" s="311" t="s">
        <v>787</v>
      </c>
      <c r="BR189" s="152" t="s">
        <v>1215</v>
      </c>
      <c r="BS189" s="152">
        <v>1.5941176470588201</v>
      </c>
      <c r="BT189" s="152">
        <v>1.47058823529411</v>
      </c>
      <c r="BU189" s="144">
        <f>IFERROR(BT189/BS189,"")</f>
        <v>0.92250922509224809</v>
      </c>
      <c r="BV189">
        <f>BT189-BS189</f>
        <v>-0.12352941176471011</v>
      </c>
      <c r="BW189"/>
      <c r="BX189">
        <f>BV189*10^6*C_to_CO2</f>
        <v>-453352.94117648609</v>
      </c>
      <c r="BY189">
        <f>IFERROR(BX189/BO189,"")</f>
        <v>-0.77903923421104793</v>
      </c>
      <c r="BZ189">
        <v>0</v>
      </c>
      <c r="CA189">
        <v>0</v>
      </c>
      <c r="CB189">
        <v>0</v>
      </c>
      <c r="CC189">
        <v>0</v>
      </c>
      <c r="CD189">
        <v>0</v>
      </c>
      <c r="CE189">
        <v>0</v>
      </c>
      <c r="CF189">
        <v>0</v>
      </c>
      <c r="CG189">
        <v>0</v>
      </c>
      <c r="CH189">
        <v>0</v>
      </c>
      <c r="CI189">
        <v>0</v>
      </c>
      <c r="CJ189">
        <v>0</v>
      </c>
      <c r="CK189">
        <v>0</v>
      </c>
      <c r="CL189">
        <v>0</v>
      </c>
      <c r="CM189">
        <v>0</v>
      </c>
      <c r="CN189" t="str">
        <f>IF($BL189&lt;$BK189,"refNeedCorrection","refOK")</f>
        <v>refOK</v>
      </c>
      <c r="CO189">
        <f>IF($CN189="refOK",$BK189,$BL189)</f>
        <v>5.0343605295810514</v>
      </c>
      <c r="CP189">
        <f>IF($CN189="refOK",$BL189,$BK189)</f>
        <v>5.6162990524021872</v>
      </c>
      <c r="CQ189">
        <f>IF($CN189="refOK",$BO189,-$BO189)</f>
        <v>581938.52282113582</v>
      </c>
      <c r="CR189">
        <f>IF($CN189="refOK",$BS189,$BT189)*IF($BP189="Emissions positive",-1,1)</f>
        <v>1.5941176470588201</v>
      </c>
      <c r="CS189">
        <f>IF($CN189="refOK",$BT189,$BS189)*IF($BP189="Emissions positive",-1,1)</f>
        <v>1.47058823529411</v>
      </c>
      <c r="CT189">
        <f>IF($CN189="refNeedCorrection",-BX189,BX189)*IF($BP189="Emissions positive",-1,1)</f>
        <v>-453352.94117648609</v>
      </c>
      <c r="CU189">
        <f>IFERROR(CT189/CQ189,"")</f>
        <v>-0.77903923421104793</v>
      </c>
      <c r="CV189" s="2">
        <f>IFERROR((CS189-CR189)/ABS(CR189),"")</f>
        <v>-7.74907749077519E-2</v>
      </c>
      <c r="CW189" s="1" t="s">
        <v>1199</v>
      </c>
      <c r="CX189" t="str">
        <f>IF(OR($CW189="prd",$CW189="std",$CW189="cit"),"loc",IF(OR($CW189="eur",$CW189="reg",$CW189="coy"),"reg",$CW189))</f>
        <v>reg</v>
      </c>
      <c r="CY189" t="s">
        <v>444</v>
      </c>
      <c r="CZ189"/>
      <c r="DA189"/>
      <c r="DB189">
        <v>100</v>
      </c>
      <c r="DC189" t="str">
        <f>IF(DB189=0,"0",IF(AND(DB189&gt;=1,DB189&lt;=30),"1-30",IF(AND(DB189&gt;30,DB189&lt;=70),"31-70",IF(AND(DB189&gt;70,DB189&lt;=100),"71-100",IF(DB189&gt;100,"+100")))))</f>
        <v>71-100</v>
      </c>
      <c r="DD189">
        <v>0</v>
      </c>
      <c r="DE189">
        <v>1</v>
      </c>
      <c r="DF189">
        <v>1</v>
      </c>
      <c r="DG189">
        <v>1</v>
      </c>
      <c r="DH189"/>
      <c r="DI189">
        <f>SUM(DD189:DG189)</f>
        <v>3</v>
      </c>
      <c r="DJ189" t="str">
        <f>IF(DI189=1,INDEX($DD$7:$DG$7,MATCH(1,$DD189:$DG189,0)),"mixedProduct")</f>
        <v>mixedProduct</v>
      </c>
      <c r="DK189">
        <f>IF(DD189=1,DK$7,0)</f>
        <v>0</v>
      </c>
      <c r="DL189" t="str">
        <f>IF(DE189=1,DL$7,0)</f>
        <v>Energy</v>
      </c>
      <c r="DM189" t="str">
        <f>IF(DF189=1,DM$7,0)</f>
        <v>Pulp/Paper</v>
      </c>
      <c r="DN189" t="str">
        <f>IF(DG189=1,DN$7,0)</f>
        <v>Timber</v>
      </c>
      <c r="DO189">
        <v>0</v>
      </c>
      <c r="DP189">
        <v>0</v>
      </c>
      <c r="DQ189">
        <v>0</v>
      </c>
      <c r="DR189">
        <v>0</v>
      </c>
      <c r="DS189">
        <v>0</v>
      </c>
      <c r="DT189">
        <f>SUM(DO189:DP189)</f>
        <v>0</v>
      </c>
      <c r="DU189" s="143" t="str">
        <f>IF(DO189=1,"self-calculated DF",IF(DP189=1,"external DF used","explicit C balance"))</f>
        <v>explicit C balance</v>
      </c>
      <c r="DV189">
        <v>0</v>
      </c>
      <c r="DW189">
        <v>1</v>
      </c>
      <c r="DX189">
        <v>1</v>
      </c>
      <c r="DY189">
        <v>0</v>
      </c>
      <c r="DZ189">
        <v>0</v>
      </c>
      <c r="EA189" s="143">
        <v>0</v>
      </c>
      <c r="EB189">
        <v>0</v>
      </c>
      <c r="EC189">
        <v>0</v>
      </c>
      <c r="ED189">
        <v>0</v>
      </c>
      <c r="EE189">
        <v>0</v>
      </c>
      <c r="EF189">
        <v>1</v>
      </c>
      <c r="EG189">
        <v>1</v>
      </c>
      <c r="EH189">
        <v>0</v>
      </c>
      <c r="EI189" s="2">
        <v>0</v>
      </c>
      <c r="EJ189" s="1"/>
      <c r="EK189" t="str">
        <f>IF(AND(AND(AND(OR($DX189=1,$DW189=1),OR($EC189=1,$EA189=1)),SUM($DV189:$DZ189,$EF189)&gt;=4),SUM($EA189:$EE189)&gt;=2),"Whole sector","")</f>
        <v/>
      </c>
      <c r="EL189" t="str">
        <f>IF(AND(AND(OR($DX189=1,$DW189=1),AND($EC189=0,$EA189=0)),SUM($DV189:$DZ189,$EF189)&gt;=4),"Ecosystem approach","")</f>
        <v/>
      </c>
      <c r="EM189" s="2" t="str">
        <f>IF(AND(AND(AND($DX189=0,$DW189=0),OR($EC189=1,$EA189=1)),SUM($EB189:$EE189)&gt;=2),"Technology approach","")</f>
        <v/>
      </c>
      <c r="EN189"/>
      <c r="EO189"/>
      <c r="EP189" t="str">
        <f>IF(ISNUMBER(BU189),IF(ABS(BU189-[1]QC_indicators!$B$2)&gt;3*[1]QC_indicators!$C$2,"C ratio",IF(ISNUMBER(BY189),IF(ABS(BY189-[1]QC_indicators!$B$1)&gt;3*[1]QC_indicators!$C$1,"DF","no"))),IF(ISNUMBER(BY189),IF(ABS(BY189-[1]QC_indicators!$B$1)&gt;3*[1]QC_indicators!$C$1,"DF","no")))</f>
        <v>no</v>
      </c>
      <c r="EQ189" t="s">
        <v>286</v>
      </c>
      <c r="ER189"/>
      <c r="ES189"/>
      <c r="ET189" s="264" t="s">
        <v>3088</v>
      </c>
      <c r="EU189"/>
    </row>
    <row r="190" spans="1:151" s="139" customFormat="1" ht="15" customHeight="1">
      <c r="A190" s="1" t="s">
        <v>1270</v>
      </c>
      <c r="B190" t="s">
        <v>1271</v>
      </c>
      <c r="C190" t="s">
        <v>1272</v>
      </c>
      <c r="D190" t="s">
        <v>1273</v>
      </c>
      <c r="E190" t="s">
        <v>1274</v>
      </c>
      <c r="F190" t="s">
        <v>1275</v>
      </c>
      <c r="G190" t="s">
        <v>1276</v>
      </c>
      <c r="H190"/>
      <c r="I190">
        <v>2019</v>
      </c>
      <c r="J190"/>
      <c r="K190" t="s">
        <v>1277</v>
      </c>
      <c r="L190"/>
      <c r="M190" t="str">
        <f>LEFT($D190,FIND(",",$D190)-1)&amp;"_"&amp;I190&amp;L190</f>
        <v>Baskent_2019</v>
      </c>
      <c r="N190" t="s">
        <v>222</v>
      </c>
      <c r="O190" s="140" t="s">
        <v>513</v>
      </c>
      <c r="P190"/>
      <c r="Q190" t="s">
        <v>224</v>
      </c>
      <c r="R190" s="269" t="s">
        <v>274</v>
      </c>
      <c r="S190" s="1" t="s">
        <v>1278</v>
      </c>
      <c r="T190" s="143" t="s">
        <v>1279</v>
      </c>
      <c r="U190" t="s">
        <v>1111</v>
      </c>
      <c r="V190" s="143">
        <v>0</v>
      </c>
      <c r="W190" s="143">
        <v>0</v>
      </c>
      <c r="X190" s="143">
        <v>0</v>
      </c>
      <c r="Y190" s="143">
        <v>1</v>
      </c>
      <c r="Z190" s="143">
        <v>2</v>
      </c>
      <c r="AA190" s="143">
        <v>0</v>
      </c>
      <c r="AB190" s="143">
        <v>0</v>
      </c>
      <c r="AC190" s="143">
        <v>0</v>
      </c>
      <c r="AD190">
        <v>0</v>
      </c>
      <c r="AE190">
        <v>0</v>
      </c>
      <c r="AF190">
        <v>2</v>
      </c>
      <c r="AG190">
        <v>0</v>
      </c>
      <c r="AH190">
        <v>0</v>
      </c>
      <c r="AI190">
        <v>0</v>
      </c>
      <c r="AJ190">
        <v>2</v>
      </c>
      <c r="AK190">
        <v>0</v>
      </c>
      <c r="AL190">
        <v>0</v>
      </c>
      <c r="AM190">
        <v>0</v>
      </c>
      <c r="AN190">
        <v>2</v>
      </c>
      <c r="AO190">
        <v>2</v>
      </c>
      <c r="AP190">
        <v>0</v>
      </c>
      <c r="AQ190">
        <v>0</v>
      </c>
      <c r="AR190">
        <v>0</v>
      </c>
      <c r="AS190">
        <v>2</v>
      </c>
      <c r="AT190">
        <v>0</v>
      </c>
      <c r="AU190">
        <v>0</v>
      </c>
      <c r="AV190">
        <v>0</v>
      </c>
      <c r="AW190">
        <v>2</v>
      </c>
      <c r="AX190" s="141">
        <f>COUNTIF(V190:AW190,"&lt;&gt;0")</f>
        <v>8</v>
      </c>
      <c r="AY190" s="141">
        <f>COUNTIF(V190:AL190,"&lt;&gt;0")</f>
        <v>4</v>
      </c>
      <c r="AZ190">
        <f>COUNTIF(V190:AC190,"&lt;&gt;0")</f>
        <v>2</v>
      </c>
      <c r="BA190">
        <f>COUNTIF(AD190:AI190,"&lt;&gt;0")</f>
        <v>1</v>
      </c>
      <c r="BB190">
        <f>COUNTIF(AJ190:AL190,"&lt;&gt;0")</f>
        <v>1</v>
      </c>
      <c r="BC190">
        <f>COUNTIF(AS190:AW190,"&lt;&gt;0")</f>
        <v>2</v>
      </c>
      <c r="BD190">
        <f>COUNTIF(AM190:AR190,"&lt;&gt;0")</f>
        <v>2</v>
      </c>
      <c r="BE190" t="str">
        <f t="array" ref="BE190">IF(AY190=1,INDEX($V$7:$AL$7,MATCH(TRUE,INDEX($V190:$AW190&lt;&gt;0,),0)),IF(AY190=0,INDEX($AM$7:$AW$7,MATCH(1,$AM190:$AW190,0)),IF(BF190="Multiple strategies","mixed drivers",IF(BF190="Supply chain","multiple supply","multiple silviculture"))))</f>
        <v>mixed drivers</v>
      </c>
      <c r="BF190" s="2" t="str" cm="1">
        <f t="array" ref="BF190">IF(COUNTIF(AZ190:BB190,"&lt;&gt;0")=1,INDEX($V$4:$AW$4,MATCH(TRUE,INDEX($V190:$AW190&lt;&gt;0,),0)),IF(COUNTIF(AZ190:BB190,"&lt;&gt;0")=0,INDEX($AM$4:$AW$4,MATCH(1,$AM190:$AW190,0)),"Multiple strategies"))</f>
        <v>Multiple strategies</v>
      </c>
      <c r="BG190" s="1" t="s">
        <v>321</v>
      </c>
      <c r="BH190" t="s">
        <v>1280</v>
      </c>
      <c r="BI190"/>
      <c r="BJ190" s="143" t="s">
        <v>278</v>
      </c>
      <c r="BK190">
        <v>21.305418719211811</v>
      </c>
      <c r="BL190">
        <v>22.204433497536925</v>
      </c>
      <c r="BM190">
        <f>BL190/BK190</f>
        <v>1.0421965317919071</v>
      </c>
      <c r="BN190">
        <f>BL190-BK190</f>
        <v>0.89901477832511389</v>
      </c>
      <c r="BO190" s="143">
        <f>BN190*tC_to_m3</f>
        <v>3.9036681646770037</v>
      </c>
      <c r="BP190" t="s">
        <v>232</v>
      </c>
      <c r="BQ190" s="234" t="s">
        <v>787</v>
      </c>
      <c r="BR190" s="143" t="s">
        <v>278</v>
      </c>
      <c r="BS190">
        <v>34.822007358186738</v>
      </c>
      <c r="BT190">
        <v>33.994657876790122</v>
      </c>
      <c r="BU190" s="144">
        <f>IFERROR(BT190/BS190,"")</f>
        <v>0.9762406149396754</v>
      </c>
      <c r="BV190">
        <f>BT190-BS190</f>
        <v>-0.82734948139661668</v>
      </c>
      <c r="BW190"/>
      <c r="BX190">
        <f>BV190*C_to_CO2</f>
        <v>-3.0363725967255832</v>
      </c>
      <c r="BY190">
        <f>IFERROR(BX190/BO190,"")</f>
        <v>-0.77782548839594257</v>
      </c>
      <c r="BZ190" s="143">
        <v>0</v>
      </c>
      <c r="CA190" s="143">
        <v>0</v>
      </c>
      <c r="CB190" s="143">
        <v>0</v>
      </c>
      <c r="CC190" s="143">
        <v>0</v>
      </c>
      <c r="CD190" s="143">
        <v>0</v>
      </c>
      <c r="CE190" s="143">
        <v>0</v>
      </c>
      <c r="CF190" s="143">
        <v>0</v>
      </c>
      <c r="CG190" s="143">
        <v>1</v>
      </c>
      <c r="CH190" s="143">
        <v>0</v>
      </c>
      <c r="CI190" s="143">
        <v>1</v>
      </c>
      <c r="CJ190" s="143">
        <v>1</v>
      </c>
      <c r="CK190" s="143">
        <v>0</v>
      </c>
      <c r="CL190" s="143">
        <v>1</v>
      </c>
      <c r="CM190" s="143">
        <v>0</v>
      </c>
      <c r="CN190" t="str">
        <f>IF($BL190&lt;$BK190,"refNeedCorrection","refOK")</f>
        <v>refOK</v>
      </c>
      <c r="CO190">
        <f>IF($CN190="refOK",$BK190,$BL190)</f>
        <v>21.305418719211811</v>
      </c>
      <c r="CP190">
        <f>IF($CN190="refOK",$BL190,$BK190)</f>
        <v>22.204433497536925</v>
      </c>
      <c r="CQ190">
        <f>IF($CN190="refOK",$BO190,-$BO190)</f>
        <v>3.9036681646770037</v>
      </c>
      <c r="CR190">
        <f>IF($CN190="refOK",$BS190,$BT190)*IF($BP190="Emissions positive",-1,1)</f>
        <v>34.822007358186738</v>
      </c>
      <c r="CS190">
        <f>IF($CN190="refOK",$BT190,$BS190)*IF($BP190="Emissions positive",-1,1)</f>
        <v>33.994657876790122</v>
      </c>
      <c r="CT190">
        <f>IF($CN190="refNeedCorrection",-BX190,BX190)*IF($BP190="Emissions positive",-1,1)</f>
        <v>-3.0363725967255832</v>
      </c>
      <c r="CU190">
        <f>IFERROR(CT190/CQ190,"")</f>
        <v>-0.77782548839594257</v>
      </c>
      <c r="CV190" s="2">
        <f>IFERROR((CS190-CR190)/ABS(CR190),"")</f>
        <v>-2.3759385060324639E-2</v>
      </c>
      <c r="CW190" s="1" t="s">
        <v>1199</v>
      </c>
      <c r="CX190" t="str">
        <f>IF(OR($CW190="prd",$CW190="std",$CW190="cit"),"loc",IF(OR($CW190="eur",$CW190="reg",$CW190="coy"),"reg",$CW190))</f>
        <v>reg</v>
      </c>
      <c r="CY190" t="s">
        <v>1281</v>
      </c>
      <c r="CZ190">
        <v>2010</v>
      </c>
      <c r="DA190" s="143">
        <v>2100</v>
      </c>
      <c r="DB190" s="143">
        <f>DA190-CZ190</f>
        <v>90</v>
      </c>
      <c r="DC190" t="str">
        <f>IF(DB190=0,"0",IF(AND(DB190&gt;=1,DB190&lt;=30),"1-30",IF(AND(DB190&gt;30,DB190&lt;=70),"31-70",IF(AND(DB190&gt;70,DB190&lt;=100),"71-100",IF(DB190&gt;100,"+100")))))</f>
        <v>71-100</v>
      </c>
      <c r="DD190">
        <v>1</v>
      </c>
      <c r="DE190">
        <v>1</v>
      </c>
      <c r="DF190">
        <v>1</v>
      </c>
      <c r="DG190">
        <v>1</v>
      </c>
      <c r="DH190"/>
      <c r="DI190">
        <f>SUM(DD190:DG190)</f>
        <v>4</v>
      </c>
      <c r="DJ190" t="str">
        <f>IF(DI190=1,INDEX($DD$7:$DG$7,MATCH(1,$DD190:$DG190,0)),"mixedProduct")</f>
        <v>mixedProduct</v>
      </c>
      <c r="DK190" t="str">
        <f>IF(DD190=1,DK$7,0)</f>
        <v>Upstream</v>
      </c>
      <c r="DL190" t="str">
        <f>IF(DE190=1,DL$7,0)</f>
        <v>Energy</v>
      </c>
      <c r="DM190" t="str">
        <f>IF(DF190=1,DM$7,0)</f>
        <v>Pulp/Paper</v>
      </c>
      <c r="DN190" t="str">
        <f>IF(DG190=1,DN$7,0)</f>
        <v>Timber</v>
      </c>
      <c r="DO190" s="143">
        <v>1</v>
      </c>
      <c r="DP190">
        <v>0</v>
      </c>
      <c r="DQ190" s="143">
        <v>0</v>
      </c>
      <c r="DR190" s="143">
        <v>0</v>
      </c>
      <c r="DS190" s="143" t="s">
        <v>1282</v>
      </c>
      <c r="DT190">
        <f>SUM(DO190:DP190)</f>
        <v>1</v>
      </c>
      <c r="DU190" s="143" t="str">
        <f>IF(DO190=1,"self-calculated DF",IF(DP190=1,"external DF used","explicit C balance"))</f>
        <v>self-calculated DF</v>
      </c>
      <c r="DV190" s="143">
        <v>0</v>
      </c>
      <c r="DW190">
        <v>1</v>
      </c>
      <c r="DX190" s="143">
        <v>1</v>
      </c>
      <c r="DY190" s="143">
        <v>1</v>
      </c>
      <c r="DZ190">
        <v>1</v>
      </c>
      <c r="EA190">
        <v>1</v>
      </c>
      <c r="EB190" s="143">
        <v>0</v>
      </c>
      <c r="EC190">
        <v>0</v>
      </c>
      <c r="ED190" s="143">
        <v>0</v>
      </c>
      <c r="EE190">
        <v>0</v>
      </c>
      <c r="EF190">
        <v>1</v>
      </c>
      <c r="EG190" s="143">
        <v>0</v>
      </c>
      <c r="EH190">
        <v>0</v>
      </c>
      <c r="EI190" s="2">
        <v>0</v>
      </c>
      <c r="EJ190" s="1"/>
      <c r="EK190" t="str">
        <f>IF(AND(AND(AND(OR($DX190=1,$DW190=1),OR($EC190=1,$EA190=1)),SUM($DV190:$DZ190,$EF190)&gt;=4),SUM($EA190:$EE190)&gt;=2),"Whole sector","")</f>
        <v/>
      </c>
      <c r="EL190" t="str">
        <f>IF(AND(AND(OR($DX190=1,$DW190=1),AND($EC190=0,$EA190=0)),SUM($DV190:$DZ190,$EF190)&gt;=4),"Ecosystem approach","")</f>
        <v/>
      </c>
      <c r="EM190" s="2" t="str">
        <f>IF(AND(AND(AND($DX190=0,$DW190=0),OR($EC190=1,$EA190=1)),SUM($EB190:$EE190)&gt;=2),"Technology approach","")</f>
        <v/>
      </c>
      <c r="EN190" t="s">
        <v>1283</v>
      </c>
      <c r="EO190"/>
      <c r="EP190" t="str">
        <f>IF(ISNUMBER(BU190),IF(ABS(BU190-[2]QC_indicators!$B$2)&gt;3*[2]QC_indicators!$C$2,"C ratio",IF(ISNUMBER(BY190),IF(ABS(BY190-[2]QC_indicators!$B$1)&gt;3*[2]QC_indicators!$C$1,"DF","no"))),IF(ISNUMBER(BY190),IF(ABS(BY190-[2]QC_indicators!$B$1)&gt;3*[2]QC_indicators!$C$1,"DF","no")))</f>
        <v>no</v>
      </c>
      <c r="EQ190" t="s">
        <v>286</v>
      </c>
      <c r="ER190" t="s">
        <v>1284</v>
      </c>
      <c r="ES190"/>
      <c r="ET190" s="264" t="s">
        <v>3273</v>
      </c>
      <c r="EU190"/>
    </row>
    <row r="191" spans="1:151" s="139" customFormat="1" ht="15" customHeight="1">
      <c r="A191" s="1" t="s">
        <v>1204</v>
      </c>
      <c r="B191" t="s">
        <v>1205</v>
      </c>
      <c r="C191" t="s">
        <v>1206</v>
      </c>
      <c r="D191" t="s">
        <v>1207</v>
      </c>
      <c r="E191" t="s">
        <v>1208</v>
      </c>
      <c r="F191" t="s">
        <v>1209</v>
      </c>
      <c r="G191" t="s">
        <v>1210</v>
      </c>
      <c r="H191"/>
      <c r="I191">
        <v>2006</v>
      </c>
      <c r="J191"/>
      <c r="K191" t="s">
        <v>1211</v>
      </c>
      <c r="L191"/>
      <c r="M191" t="str">
        <f>LEFT($D191,FIND(",",$D191)-1)&amp;"_"&amp;I191&amp;L191</f>
        <v>Backeus_2006</v>
      </c>
      <c r="N191" t="s">
        <v>222</v>
      </c>
      <c r="O191" s="140" t="s">
        <v>274</v>
      </c>
      <c r="P191"/>
      <c r="Q191" t="s">
        <v>224</v>
      </c>
      <c r="R191" s="255" t="s">
        <v>223</v>
      </c>
      <c r="S191" s="263" t="s">
        <v>3087</v>
      </c>
      <c r="T191" t="s">
        <v>1217</v>
      </c>
      <c r="U191" t="s">
        <v>1213</v>
      </c>
      <c r="V191">
        <v>0</v>
      </c>
      <c r="W191">
        <v>0</v>
      </c>
      <c r="X191">
        <v>0</v>
      </c>
      <c r="Y191">
        <v>1</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1</v>
      </c>
      <c r="AW191">
        <v>0</v>
      </c>
      <c r="AX191" s="141">
        <f>COUNTIF(V191:AW191,"&lt;&gt;0")</f>
        <v>2</v>
      </c>
      <c r="AY191" s="141">
        <f>COUNTIF(V191:AL191,"&lt;&gt;0")</f>
        <v>1</v>
      </c>
      <c r="AZ191">
        <f>COUNTIF(V191:AC191,"&lt;&gt;0")</f>
        <v>1</v>
      </c>
      <c r="BA191">
        <f>COUNTIF(AD191:AI191,"&lt;&gt;0")</f>
        <v>0</v>
      </c>
      <c r="BB191">
        <f>COUNTIF(AJ191:AL191,"&lt;&gt;0")</f>
        <v>0</v>
      </c>
      <c r="BC191">
        <f>COUNTIF(AS191:AW191,"&lt;&gt;0")</f>
        <v>1</v>
      </c>
      <c r="BD191">
        <f>COUNTIF(AM191:AR191,"&lt;&gt;0")</f>
        <v>0</v>
      </c>
      <c r="BE191" t="str">
        <f t="array" ref="BE191">IF(AY191=1,INDEX($V$7:$AL$7,MATCH(TRUE,INDEX($V191:$AW191&lt;&gt;0,),0)),IF(AY191=0,INDEX($AM$7:$AW$7,MATCH(1,$AM191:$AW191,0)),IF(BF191="Multiple strategies","mixed drivers",IF(BF191="Supply chain","multiple supply","multiple silviculture"))))</f>
        <v xml:space="preserve">cutting intensity </v>
      </c>
      <c r="BF191" s="2" t="str" cm="1">
        <f t="array" ref="BF191">IF(COUNTIF(AZ191:BB191,"&lt;&gt;0")=1,INDEX($V$4:$AW$4,MATCH(TRUE,INDEX($V191:$AW191&lt;&gt;0,),0)),IF(COUNTIF(AZ191:BB191,"&lt;&gt;0")=0,INDEX($AM$4:$AW$4,MATCH(1,$AM191:$AW191,0)),"Multiple strategies"))</f>
        <v>Silviculture for removals</v>
      </c>
      <c r="BG191" s="1" t="s">
        <v>229</v>
      </c>
      <c r="BH191" t="s">
        <v>229</v>
      </c>
      <c r="BI191" s="264" t="s">
        <v>701</v>
      </c>
      <c r="BJ191" t="s">
        <v>1214</v>
      </c>
      <c r="BK191">
        <v>5.0343605295810514</v>
      </c>
      <c r="BL191">
        <v>5.6162990524021872</v>
      </c>
      <c r="BM191">
        <f>BL191/BK191</f>
        <v>1.1155933349234255</v>
      </c>
      <c r="BN191">
        <f>BL191-BK191</f>
        <v>0.58193852282113578</v>
      </c>
      <c r="BO191" s="143">
        <f>BN191*10^6</f>
        <v>581938.52282113582</v>
      </c>
      <c r="BP191" s="143" t="s">
        <v>232</v>
      </c>
      <c r="BQ191" s="311" t="s">
        <v>787</v>
      </c>
      <c r="BR191" s="152" t="s">
        <v>1215</v>
      </c>
      <c r="BS191" s="152">
        <v>1.6666666666666667</v>
      </c>
      <c r="BT191" s="152">
        <v>1.5434782608695652</v>
      </c>
      <c r="BU191" s="144">
        <f>IFERROR(BT191/BS191,"")</f>
        <v>0.92608695652173911</v>
      </c>
      <c r="BV191">
        <f>BT191-BS191</f>
        <v>-0.12318840579710155</v>
      </c>
      <c r="BW191"/>
      <c r="BX191">
        <f>BV191*10^6*C_to_CO2</f>
        <v>-452101.44927536271</v>
      </c>
      <c r="BY191">
        <f>IFERROR(BX191/BO191,"")</f>
        <v>-0.77688867731879008</v>
      </c>
      <c r="BZ191">
        <v>0</v>
      </c>
      <c r="CA191">
        <v>0</v>
      </c>
      <c r="CB191">
        <v>0</v>
      </c>
      <c r="CC191">
        <v>0</v>
      </c>
      <c r="CD191">
        <v>0</v>
      </c>
      <c r="CE191">
        <v>0</v>
      </c>
      <c r="CF191">
        <v>0</v>
      </c>
      <c r="CG191">
        <v>0</v>
      </c>
      <c r="CH191">
        <v>0</v>
      </c>
      <c r="CI191">
        <v>0</v>
      </c>
      <c r="CJ191">
        <v>0</v>
      </c>
      <c r="CK191">
        <v>0</v>
      </c>
      <c r="CL191">
        <v>0</v>
      </c>
      <c r="CM191">
        <v>0</v>
      </c>
      <c r="CN191" t="str">
        <f>IF($BL191&lt;$BK191,"refNeedCorrection","refOK")</f>
        <v>refOK</v>
      </c>
      <c r="CO191">
        <f>IF($CN191="refOK",$BK191,$BL191)</f>
        <v>5.0343605295810514</v>
      </c>
      <c r="CP191">
        <f>IF($CN191="refOK",$BL191,$BK191)</f>
        <v>5.6162990524021872</v>
      </c>
      <c r="CQ191">
        <f>IF($CN191="refOK",$BO191,-$BO191)</f>
        <v>581938.52282113582</v>
      </c>
      <c r="CR191">
        <f>IF($CN191="refOK",$BS191,$BT191)*IF($BP191="Emissions positive",-1,1)</f>
        <v>1.6666666666666667</v>
      </c>
      <c r="CS191">
        <f>IF($CN191="refOK",$BT191,$BS191)*IF($BP191="Emissions positive",-1,1)</f>
        <v>1.5434782608695652</v>
      </c>
      <c r="CT191">
        <f>IF($CN191="refNeedCorrection",-BX191,BX191)*IF($BP191="Emissions positive",-1,1)</f>
        <v>-452101.44927536271</v>
      </c>
      <c r="CU191">
        <f>IFERROR(CT191/CQ191,"")</f>
        <v>-0.77688867731879008</v>
      </c>
      <c r="CV191" s="2">
        <f>IFERROR((CS191-CR191)/ABS(CR191),"")</f>
        <v>-7.3913043478260929E-2</v>
      </c>
      <c r="CW191" s="1" t="s">
        <v>1199</v>
      </c>
      <c r="CX191" t="str">
        <f>IF(OR($CW191="prd",$CW191="std",$CW191="cit"),"loc",IF(OR($CW191="eur",$CW191="reg",$CW191="coy"),"reg",$CW191))</f>
        <v>reg</v>
      </c>
      <c r="CY191" t="s">
        <v>444</v>
      </c>
      <c r="CZ191"/>
      <c r="DA191"/>
      <c r="DB191">
        <v>100</v>
      </c>
      <c r="DC191" t="str">
        <f>IF(DB191=0,"0",IF(AND(DB191&gt;=1,DB191&lt;=30),"1-30",IF(AND(DB191&gt;30,DB191&lt;=70),"31-70",IF(AND(DB191&gt;70,DB191&lt;=100),"71-100",IF(DB191&gt;100,"+100")))))</f>
        <v>71-100</v>
      </c>
      <c r="DD191">
        <v>0</v>
      </c>
      <c r="DE191">
        <v>1</v>
      </c>
      <c r="DF191">
        <v>1</v>
      </c>
      <c r="DG191">
        <v>1</v>
      </c>
      <c r="DH191"/>
      <c r="DI191">
        <f>SUM(DD191:DG191)</f>
        <v>3</v>
      </c>
      <c r="DJ191" t="str">
        <f>IF(DI191=1,INDEX($DD$7:$DG$7,MATCH(1,$DD191:$DG191,0)),"mixedProduct")</f>
        <v>mixedProduct</v>
      </c>
      <c r="DK191">
        <f>IF(DD191=1,DK$7,0)</f>
        <v>0</v>
      </c>
      <c r="DL191" t="str">
        <f>IF(DE191=1,DL$7,0)</f>
        <v>Energy</v>
      </c>
      <c r="DM191" t="str">
        <f>IF(DF191=1,DM$7,0)</f>
        <v>Pulp/Paper</v>
      </c>
      <c r="DN191" t="str">
        <f>IF(DG191=1,DN$7,0)</f>
        <v>Timber</v>
      </c>
      <c r="DO191">
        <v>1</v>
      </c>
      <c r="DP191">
        <v>0</v>
      </c>
      <c r="DQ191">
        <v>0</v>
      </c>
      <c r="DR191">
        <v>0</v>
      </c>
      <c r="DS191">
        <v>0</v>
      </c>
      <c r="DT191">
        <f>SUM(DO191:DP191)</f>
        <v>1</v>
      </c>
      <c r="DU191" s="143" t="str">
        <f>IF(DO191=1,"self-calculated DF",IF(DP191=1,"external DF used","explicit C balance"))</f>
        <v>self-calculated DF</v>
      </c>
      <c r="DV191">
        <v>0</v>
      </c>
      <c r="DW191">
        <v>1</v>
      </c>
      <c r="DX191">
        <v>1</v>
      </c>
      <c r="DY191">
        <v>0</v>
      </c>
      <c r="DZ191">
        <v>0</v>
      </c>
      <c r="EA191" s="143">
        <v>1</v>
      </c>
      <c r="EB191">
        <v>0</v>
      </c>
      <c r="EC191">
        <v>0</v>
      </c>
      <c r="ED191">
        <v>0</v>
      </c>
      <c r="EE191">
        <v>0</v>
      </c>
      <c r="EF191">
        <v>1</v>
      </c>
      <c r="EG191">
        <v>1</v>
      </c>
      <c r="EH191">
        <v>0</v>
      </c>
      <c r="EI191" s="2">
        <v>0</v>
      </c>
      <c r="EJ191" s="1"/>
      <c r="EK191" t="str">
        <f>IF(AND(AND(AND(OR($DX191=1,$DW191=1),OR($EC191=1,$EA191=1)),SUM($DV191:$DZ191,$EF191)&gt;=4),SUM($EA191:$EE191)&gt;=2),"Whole sector","")</f>
        <v/>
      </c>
      <c r="EL191" t="str">
        <f>IF(AND(AND(OR($DX191=1,$DW191=1),AND($EC191=0,$EA191=0)),SUM($DV191:$DZ191,$EF191)&gt;=4),"Ecosystem approach","")</f>
        <v/>
      </c>
      <c r="EM191" s="2" t="str">
        <f>IF(AND(AND(AND($DX191=0,$DW191=0),OR($EC191=1,$EA191=1)),SUM($EB191:$EE191)&gt;=2),"Technology approach","")</f>
        <v/>
      </c>
      <c r="EN191"/>
      <c r="EO191"/>
      <c r="EP191" t="str">
        <f>IF(ISNUMBER(BU191),IF(ABS(BU191-[1]QC_indicators!$B$2)&gt;3*[1]QC_indicators!$C$2,"C ratio",IF(ISNUMBER(BY191),IF(ABS(BY191-[1]QC_indicators!$B$1)&gt;3*[1]QC_indicators!$C$1,"DF","no"))),IF(ISNUMBER(BY191),IF(ABS(BY191-[1]QC_indicators!$B$1)&gt;3*[1]QC_indicators!$C$1,"DF","no")))</f>
        <v>no</v>
      </c>
      <c r="EQ191" t="s">
        <v>286</v>
      </c>
      <c r="ER191"/>
      <c r="ES191"/>
      <c r="ET191" s="264" t="s">
        <v>3088</v>
      </c>
      <c r="EU191"/>
    </row>
    <row r="192" spans="1:151" s="139" customFormat="1" ht="15" customHeight="1">
      <c r="A192" s="174" t="s">
        <v>1286</v>
      </c>
      <c r="B192" s="141" t="s">
        <v>1287</v>
      </c>
      <c r="C192" s="141" t="s">
        <v>1288</v>
      </c>
      <c r="D192" s="141" t="s">
        <v>1289</v>
      </c>
      <c r="E192" s="141" t="s">
        <v>1290</v>
      </c>
      <c r="F192" s="141" t="s">
        <v>1291</v>
      </c>
      <c r="G192" s="141" t="s">
        <v>1292</v>
      </c>
      <c r="H192" s="141"/>
      <c r="I192" s="141">
        <v>2019</v>
      </c>
      <c r="J192" s="141"/>
      <c r="K192" s="141" t="s">
        <v>1293</v>
      </c>
      <c r="L192" s="141"/>
      <c r="M192" t="str">
        <f>LEFT($D192,FIND(",",$D192)-1)&amp;"_"&amp;I192&amp;L192</f>
        <v>Bosch_2019</v>
      </c>
      <c r="N192" t="s">
        <v>222</v>
      </c>
      <c r="O192" s="175" t="s">
        <v>225</v>
      </c>
      <c r="P192" s="141" t="s">
        <v>223</v>
      </c>
      <c r="Q192" s="264" t="s">
        <v>224</v>
      </c>
      <c r="R192" s="269" t="s">
        <v>1154</v>
      </c>
      <c r="S192" s="174" t="s">
        <v>1303</v>
      </c>
      <c r="T192" s="141" t="s">
        <v>1304</v>
      </c>
      <c r="U192" s="141" t="s">
        <v>1296</v>
      </c>
      <c r="V192" s="141">
        <v>1</v>
      </c>
      <c r="W192" s="141">
        <v>0</v>
      </c>
      <c r="X192" s="141">
        <v>0</v>
      </c>
      <c r="Y192" s="141">
        <v>0</v>
      </c>
      <c r="Z192" s="141">
        <v>0</v>
      </c>
      <c r="AA192" s="141">
        <v>0</v>
      </c>
      <c r="AB192" s="141">
        <v>0</v>
      </c>
      <c r="AC192" s="141">
        <v>0</v>
      </c>
      <c r="AD192" s="141">
        <v>0</v>
      </c>
      <c r="AE192" s="141">
        <v>0</v>
      </c>
      <c r="AF192" s="141">
        <v>0</v>
      </c>
      <c r="AG192" s="141">
        <v>0</v>
      </c>
      <c r="AH192" s="141">
        <v>0</v>
      </c>
      <c r="AI192" s="141">
        <v>0</v>
      </c>
      <c r="AJ192" s="141">
        <v>0</v>
      </c>
      <c r="AK192" s="141">
        <v>0</v>
      </c>
      <c r="AL192" s="141">
        <v>0</v>
      </c>
      <c r="AM192" s="141">
        <v>0</v>
      </c>
      <c r="AN192" s="141">
        <v>0</v>
      </c>
      <c r="AO192" s="141">
        <v>0</v>
      </c>
      <c r="AP192" s="141">
        <v>0</v>
      </c>
      <c r="AQ192" s="141">
        <v>0</v>
      </c>
      <c r="AR192" s="141">
        <v>0</v>
      </c>
      <c r="AS192" s="141">
        <v>0</v>
      </c>
      <c r="AT192" s="141">
        <v>0</v>
      </c>
      <c r="AU192" s="141">
        <v>0</v>
      </c>
      <c r="AV192" s="141">
        <v>0</v>
      </c>
      <c r="AW192" s="141">
        <v>0</v>
      </c>
      <c r="AX192" s="141">
        <f>COUNTIF(V192:AW192,"&lt;&gt;0")</f>
        <v>1</v>
      </c>
      <c r="AY192" s="141">
        <f>COUNTIF(V192:AL192,"&lt;&gt;0")</f>
        <v>1</v>
      </c>
      <c r="AZ192">
        <f>COUNTIF(V192:AC192,"&lt;&gt;0")</f>
        <v>1</v>
      </c>
      <c r="BA192">
        <f>COUNTIF(AD192:AI192,"&lt;&gt;0")</f>
        <v>0</v>
      </c>
      <c r="BB192">
        <f>COUNTIF(AJ192:AL192,"&lt;&gt;0")</f>
        <v>0</v>
      </c>
      <c r="BC192">
        <f>COUNTIF(AS192:AW192,"&lt;&gt;0")</f>
        <v>0</v>
      </c>
      <c r="BD192">
        <f>COUNTIF(AM192:AR192,"&lt;&gt;0")</f>
        <v>0</v>
      </c>
      <c r="BE192" t="str" cm="1">
        <f t="array" ref="BE192">IF(AY192=1,INDEX($V$7:$AL$7,MATCH(TRUE,INDEX($V192:$AW192&lt;&gt;0,),0)),IF(AY192=0,INDEX($AM$7:$AW$7,MATCH(1,$AM192:$AW192,0)),IF(BF192="Multiple strategies","mixed drivers",IF(BF192="Supply chain","multiple supply","multiple silviculture"))))</f>
        <v>area subject to harvest</v>
      </c>
      <c r="BF192" s="2" t="str" cm="1">
        <f t="array" ref="BF192">IF(COUNTIF(AZ192:BB192,"&lt;&gt;0")=1,INDEX($V$4:$AW$4,MATCH(TRUE,INDEX($V192:$AW192&lt;&gt;0,),0)),IF(COUNTIF(AZ192:BB192,"&lt;&gt;0")=0,INDEX($AM$4:$AW$4,MATCH(1,$AM192:$AW192,0)),"Multiple strategies"))</f>
        <v>Silviculture for removals</v>
      </c>
      <c r="BG192" s="173" t="s">
        <v>321</v>
      </c>
      <c r="BH192" s="141" t="s">
        <v>1297</v>
      </c>
      <c r="BI192" s="141" t="s">
        <v>1298</v>
      </c>
      <c r="BJ192" s="163" t="s">
        <v>1299</v>
      </c>
      <c r="BK192" s="176">
        <v>2330</v>
      </c>
      <c r="BL192" s="163">
        <v>2405</v>
      </c>
      <c r="BM192" s="264">
        <f>BL192/BK192</f>
        <v>1.0321888412017168</v>
      </c>
      <c r="BN192">
        <f>BL192-BK192</f>
        <v>75</v>
      </c>
      <c r="BO192" s="158">
        <f>BN192*10^6</f>
        <v>75000000</v>
      </c>
      <c r="BP192" s="264" t="s">
        <v>395</v>
      </c>
      <c r="BQ192" s="303" t="s">
        <v>429</v>
      </c>
      <c r="BR192" s="151" t="s">
        <v>1300</v>
      </c>
      <c r="BS192" s="141"/>
      <c r="BT192" s="163"/>
      <c r="BU192" s="144" t="str">
        <f>IFERROR(BT192/BS192,"")</f>
        <v/>
      </c>
      <c r="BV192" s="176">
        <v>58</v>
      </c>
      <c r="BW192"/>
      <c r="BX192">
        <f>BV192*10^6</f>
        <v>58000000</v>
      </c>
      <c r="BY192">
        <f>IFERROR(BX192/BO192,"")</f>
        <v>0.77333333333333332</v>
      </c>
      <c r="BZ192" s="141">
        <v>0</v>
      </c>
      <c r="CA192" s="141">
        <v>0</v>
      </c>
      <c r="CB192" s="141">
        <v>0</v>
      </c>
      <c r="CC192" s="141">
        <v>0</v>
      </c>
      <c r="CD192" s="141">
        <v>0</v>
      </c>
      <c r="CE192" s="141">
        <v>0</v>
      </c>
      <c r="CF192" s="141">
        <v>0</v>
      </c>
      <c r="CG192" s="141">
        <v>0</v>
      </c>
      <c r="CH192" s="141">
        <v>0</v>
      </c>
      <c r="CI192" s="141">
        <v>0</v>
      </c>
      <c r="CJ192" s="141">
        <v>0</v>
      </c>
      <c r="CK192" s="141">
        <v>0</v>
      </c>
      <c r="CL192" s="141">
        <v>0</v>
      </c>
      <c r="CM192" s="141">
        <v>1</v>
      </c>
      <c r="CN192" t="str">
        <f>IF(BL192&lt;BK192,"refNeedCorrection","refOK")</f>
        <v>refOK</v>
      </c>
      <c r="CO192">
        <f>IF($CN192="refOK",$BK192,$BL192)</f>
        <v>2330</v>
      </c>
      <c r="CP192">
        <f>IF($CN192="refOK",$BL192,$BK192)</f>
        <v>2405</v>
      </c>
      <c r="CQ192">
        <f>IF($CN192="refOK",$BO192,-$BO192)</f>
        <v>75000000</v>
      </c>
      <c r="CR192">
        <f>IF($CN192="refOK",$BS192,$BT192)*IF($BP192="Emissions positive",-1,1)</f>
        <v>0</v>
      </c>
      <c r="CS192">
        <f>IF($CN192="refOK",$BT192,$BS192)*IF($BP192="Emissions positive",-1,1)</f>
        <v>0</v>
      </c>
      <c r="CT192">
        <f>IF($CN192="refNeedCorrection",-BX192,BX192)*IF($BP192="Emissions positive",-1,1)</f>
        <v>-58000000</v>
      </c>
      <c r="CU192">
        <f>IFERROR(CT192/CQ192,"")</f>
        <v>-0.77333333333333332</v>
      </c>
      <c r="CV192" s="2" t="str">
        <f>IFERROR((CS192-CR192)/ABS(CR192),"")</f>
        <v/>
      </c>
      <c r="CW192" s="174" t="s">
        <v>1203</v>
      </c>
      <c r="CX192" s="264" t="str">
        <f>IF(OR($CW192="prd",$CW192="std",$CW192="cit"),"loc",IF(OR($CW192="eur",$CW192="reg",$CW192="coy"),"reg",$CW192))</f>
        <v>reg</v>
      </c>
      <c r="CY192" s="141" t="s">
        <v>1301</v>
      </c>
      <c r="CZ192" s="141">
        <v>2016</v>
      </c>
      <c r="DA192" s="163">
        <v>2046</v>
      </c>
      <c r="DB192" s="163">
        <v>30</v>
      </c>
      <c r="DC192" t="str">
        <f>IF(DB192=0,"0",IF(AND(DB192&gt;=1,DB192&lt;=30),"1-30",IF(AND(DB192&gt;30,DB192&lt;=70),"31-70",IF(AND(DB192&gt;70,DB192&lt;=100),"71-100",IF(DB192&gt;100,"+100")))))</f>
        <v>1-30</v>
      </c>
      <c r="DD192" s="141">
        <v>1</v>
      </c>
      <c r="DE192" s="141">
        <v>1</v>
      </c>
      <c r="DF192" s="141">
        <v>0</v>
      </c>
      <c r="DG192" s="141">
        <v>1</v>
      </c>
      <c r="DH192"/>
      <c r="DI192">
        <f>SUM(DD192:DG192)</f>
        <v>3</v>
      </c>
      <c r="DJ192" t="str">
        <f>IF(DI192=1,INDEX($DD$7:$DG$7,MATCH(1,$DD192:$DG192,0)),"mixedProduct")</f>
        <v>mixedProduct</v>
      </c>
      <c r="DK192" t="str">
        <f>IF(DD192=1,DK$7,0)</f>
        <v>Upstream</v>
      </c>
      <c r="DL192" t="str">
        <f>IF(DE192=1,DL$7,0)</f>
        <v>Energy</v>
      </c>
      <c r="DM192">
        <f>IF(DF192=1,DM$7,0)</f>
        <v>0</v>
      </c>
      <c r="DN192" t="str">
        <f>IF(DG192=1,DN$7,0)</f>
        <v>Timber</v>
      </c>
      <c r="DO192" s="163">
        <v>0</v>
      </c>
      <c r="DP192" s="141">
        <v>0</v>
      </c>
      <c r="DQ192" s="163">
        <v>0</v>
      </c>
      <c r="DR192" s="163">
        <v>0</v>
      </c>
      <c r="DS192" s="163">
        <v>0</v>
      </c>
      <c r="DT192">
        <f>SUM(DO192:DP192)</f>
        <v>0</v>
      </c>
      <c r="DU192" s="143" t="str">
        <f>IF(DO192=1,"self-calculated DF",IF(DP192=1,"external DF used","explicit C balance"))</f>
        <v>explicit C balance</v>
      </c>
      <c r="DV192" s="163">
        <v>1</v>
      </c>
      <c r="DW192" s="141">
        <v>1</v>
      </c>
      <c r="DX192" s="163">
        <v>1</v>
      </c>
      <c r="DY192" s="163">
        <v>1</v>
      </c>
      <c r="DZ192" s="141">
        <v>0</v>
      </c>
      <c r="EA192" s="141">
        <v>0</v>
      </c>
      <c r="EB192" s="143">
        <v>0</v>
      </c>
      <c r="EC192" s="141">
        <v>0</v>
      </c>
      <c r="ED192" s="143">
        <v>0</v>
      </c>
      <c r="EE192" s="143">
        <v>0</v>
      </c>
      <c r="EF192" s="141">
        <v>1</v>
      </c>
      <c r="EG192" s="163">
        <v>0</v>
      </c>
      <c r="EH192" s="141">
        <v>0</v>
      </c>
      <c r="EI192" s="177">
        <v>0</v>
      </c>
      <c r="EJ192" s="1"/>
      <c r="EK192" t="str">
        <f>IF(AND(AND(AND(OR($DX192=1,$DW192=1),OR($EC192=1,$EA192=1)),SUM($DV192:$DZ192,$EF192)&gt;=4),SUM($EA192:$EE192)&gt;=2),"Whole sector","")</f>
        <v/>
      </c>
      <c r="EL192" t="str">
        <f>IF(AND(AND(OR($DX192=1,$DW192=1),AND($EC192=0,$EA192=0)),SUM($DV192:$DZ192,$EF192)&gt;=4),"Ecosystem approach","")</f>
        <v>Ecosystem approach</v>
      </c>
      <c r="EM192" s="2" t="str">
        <f>IF(AND(AND(AND($DX192=0,$DW192=0),OR($EC192=1,$EA192=1)),SUM($EB192:$EE192)&gt;=2),"Technology approach","")</f>
        <v/>
      </c>
      <c r="EN192" s="141"/>
      <c r="EO192"/>
      <c r="EP192" t="str">
        <f>IF(ISNUMBER(BU192),IF(ABS(BU192-[3]QC_indicators!$B$2)&gt;3*[3]QC_indicators!$C$2,"C ratio",IF(ISNUMBER(BY192),IF(ABS(BY192-[3]QC_indicators!$B$1)&gt;3*[3]QC_indicators!$C$1,"DF","no"))),IF(ISNUMBER(BY192),IF(ABS(BY192-[3]QC_indicators!$B$1)&gt;3*[3]QC_indicators!$C$1,"DF","no")))</f>
        <v>no</v>
      </c>
      <c r="EQ192"/>
      <c r="ER192" s="294" t="s">
        <v>1302</v>
      </c>
      <c r="ES192"/>
      <c r="ET192" s="264" t="s">
        <v>3407</v>
      </c>
      <c r="EU192"/>
    </row>
    <row r="193" spans="1:151" s="139" customFormat="1" ht="15" customHeight="1">
      <c r="A193" s="1" t="s">
        <v>265</v>
      </c>
      <c r="B193" t="s">
        <v>266</v>
      </c>
      <c r="C193" t="s">
        <v>267</v>
      </c>
      <c r="D193" t="s">
        <v>268</v>
      </c>
      <c r="E193" t="s">
        <v>269</v>
      </c>
      <c r="F193" t="s">
        <v>270</v>
      </c>
      <c r="G193" t="s">
        <v>271</v>
      </c>
      <c r="H193" t="s">
        <v>254</v>
      </c>
      <c r="I193">
        <v>2022</v>
      </c>
      <c r="J193">
        <v>0</v>
      </c>
      <c r="K193" t="s">
        <v>272</v>
      </c>
      <c r="L193"/>
      <c r="M193" t="str">
        <f>LEFT($D193,FIND(",",$D193)-1)&amp;"_"&amp;I193&amp;L193</f>
        <v>Aryapratama_2022</v>
      </c>
      <c r="N193" t="s">
        <v>222</v>
      </c>
      <c r="O193" s="145" t="s">
        <v>274</v>
      </c>
      <c r="P193"/>
      <c r="Q193" t="s">
        <v>224</v>
      </c>
      <c r="R193" s="262" t="s">
        <v>223</v>
      </c>
      <c r="S193" s="1" t="s">
        <v>314</v>
      </c>
      <c r="T193" t="s">
        <v>315</v>
      </c>
      <c r="U193" t="s">
        <v>316</v>
      </c>
      <c r="V193">
        <v>0</v>
      </c>
      <c r="W193">
        <v>0</v>
      </c>
      <c r="X193">
        <v>1</v>
      </c>
      <c r="Y193">
        <v>0</v>
      </c>
      <c r="Z193">
        <v>0</v>
      </c>
      <c r="AA193">
        <v>0</v>
      </c>
      <c r="AB193">
        <v>0</v>
      </c>
      <c r="AC193">
        <v>0</v>
      </c>
      <c r="AD193">
        <v>0</v>
      </c>
      <c r="AE193">
        <v>0</v>
      </c>
      <c r="AF193">
        <v>0</v>
      </c>
      <c r="AG193">
        <v>0</v>
      </c>
      <c r="AH193">
        <v>0</v>
      </c>
      <c r="AI193">
        <v>2</v>
      </c>
      <c r="AJ193">
        <v>0</v>
      </c>
      <c r="AK193">
        <v>0</v>
      </c>
      <c r="AL193">
        <v>0</v>
      </c>
      <c r="AM193">
        <v>0</v>
      </c>
      <c r="AN193">
        <v>0</v>
      </c>
      <c r="AO193">
        <v>0</v>
      </c>
      <c r="AP193">
        <v>0</v>
      </c>
      <c r="AQ193">
        <v>0</v>
      </c>
      <c r="AR193">
        <v>0</v>
      </c>
      <c r="AS193">
        <v>0</v>
      </c>
      <c r="AT193">
        <v>0</v>
      </c>
      <c r="AU193">
        <v>0</v>
      </c>
      <c r="AV193">
        <v>0</v>
      </c>
      <c r="AW193">
        <v>0</v>
      </c>
      <c r="AX193" s="141">
        <f>COUNTIF(V193:AW193,"&lt;&gt;0")</f>
        <v>2</v>
      </c>
      <c r="AY193" s="141">
        <f>COUNTIF(V193:AL193,"&lt;&gt;0")</f>
        <v>2</v>
      </c>
      <c r="AZ193">
        <f>COUNTIF(V193:AC193,"&lt;&gt;0")</f>
        <v>1</v>
      </c>
      <c r="BA193">
        <f>COUNTIF(AD193:AI193,"&lt;&gt;0")</f>
        <v>1</v>
      </c>
      <c r="BB193">
        <f>COUNTIF(AJ193:AL193,"&lt;&gt;0")</f>
        <v>0</v>
      </c>
      <c r="BC193">
        <f>COUNTIF(AS193:AW193,"&lt;&gt;0")</f>
        <v>0</v>
      </c>
      <c r="BD193">
        <f>COUNTIF(AM193:AR193,"&lt;&gt;0")</f>
        <v>0</v>
      </c>
      <c r="BE193" t="str">
        <f t="array" ref="BE193">IF(AY193=1,INDEX($V$7:$AL$7,MATCH(TRUE,INDEX($V193:$AW193&lt;&gt;0,),0)),IF(AY193=0,INDEX($AM$7:$AW$7,MATCH(1,$AM193:$AW193,0)),IF(BF193="Multiple strategies","mixed drivers",IF(BF193="Supply chain","multiple supply","multiple silviculture"))))</f>
        <v>mixed drivers</v>
      </c>
      <c r="BF193" s="2" t="str" cm="1">
        <f t="array" ref="BF193">IF(COUNTIF(AZ193:BB193,"&lt;&gt;0")=1,INDEX($V$4:$AW$4,MATCH(TRUE,INDEX($V193:$AW193&lt;&gt;0,),0)),IF(COUNTIF(AZ193:BB193,"&lt;&gt;0")=0,INDEX($AM$4:$AW$4,MATCH(1,$AM193:$AW193,0)),"Multiple strategies"))</f>
        <v>Multiple strategies</v>
      </c>
      <c r="BG193" s="1" t="s">
        <v>229</v>
      </c>
      <c r="BH193" t="s">
        <v>277</v>
      </c>
      <c r="BI193" s="264" t="s">
        <v>3106</v>
      </c>
      <c r="BJ193" t="s">
        <v>278</v>
      </c>
      <c r="BK193">
        <v>363.45340303763226</v>
      </c>
      <c r="BL193">
        <v>429.73725876073206</v>
      </c>
      <c r="BM193">
        <f>BL193/BK193</f>
        <v>1.1823723623692051</v>
      </c>
      <c r="BN193">
        <f>BL193-BK193</f>
        <v>66.283855723099805</v>
      </c>
      <c r="BO193">
        <f>BN193*tC_to_m3</f>
        <v>287.81526584064181</v>
      </c>
      <c r="BP193" t="s">
        <v>232</v>
      </c>
      <c r="BQ193" s="303" t="s">
        <v>3107</v>
      </c>
      <c r="BR193" t="s">
        <v>279</v>
      </c>
      <c r="BS193">
        <v>-768.12774512252213</v>
      </c>
      <c r="BT193">
        <v>-990.65809626676389</v>
      </c>
      <c r="BU193" s="144">
        <f>IFERROR(BT193/BS193,"")</f>
        <v>1.2897048733850207</v>
      </c>
      <c r="BV193">
        <f>BT193-BS193</f>
        <v>-222.53035114424176</v>
      </c>
      <c r="BW193"/>
      <c r="BX193">
        <f>BV193</f>
        <v>-222.53035114424176</v>
      </c>
      <c r="BY193">
        <f>IFERROR(BX193/BO193,"")</f>
        <v>-0.77317077151652147</v>
      </c>
      <c r="BZ193">
        <v>0</v>
      </c>
      <c r="CA193">
        <v>0</v>
      </c>
      <c r="CB193">
        <v>0</v>
      </c>
      <c r="CC193">
        <v>0</v>
      </c>
      <c r="CD193">
        <v>0</v>
      </c>
      <c r="CE193">
        <v>0</v>
      </c>
      <c r="CF193">
        <v>0</v>
      </c>
      <c r="CG193">
        <v>0</v>
      </c>
      <c r="CH193">
        <v>0</v>
      </c>
      <c r="CI193">
        <v>0</v>
      </c>
      <c r="CJ193">
        <v>0</v>
      </c>
      <c r="CK193">
        <v>0</v>
      </c>
      <c r="CL193">
        <v>0</v>
      </c>
      <c r="CM193">
        <v>0</v>
      </c>
      <c r="CN193" t="str">
        <f>IF($BL193&lt;$BK193,"refNeedCorrection","refOK")</f>
        <v>refOK</v>
      </c>
      <c r="CO193">
        <f>IF($CN193="refOK",$BK193,$BL193)</f>
        <v>363.45340303763226</v>
      </c>
      <c r="CP193">
        <f>IF($CN193="refOK",$BL193,$BK193)</f>
        <v>429.73725876073206</v>
      </c>
      <c r="CQ193">
        <f>IF($CN193="refOK",$BO193,-$BO193)</f>
        <v>287.81526584064181</v>
      </c>
      <c r="CR193">
        <f>IF($CN193="refOK",$BS193,$BT193)*IF($BP193="Emissions positive",-1,1)</f>
        <v>-768.12774512252213</v>
      </c>
      <c r="CS193">
        <f>IF($CN193="refOK",$BT193,$BS193)*IF($BP193="Emissions positive",-1,1)</f>
        <v>-990.65809626676389</v>
      </c>
      <c r="CT193">
        <f>IF($CN193="refNeedCorrection",-BX193,BX193)*IF($BP193="Emissions positive",-1,1)</f>
        <v>-222.53035114424176</v>
      </c>
      <c r="CU193">
        <f>IFERROR(CT193/CQ193,"")</f>
        <v>-0.77317077151652147</v>
      </c>
      <c r="CV193" s="2">
        <f>IFERROR((CS193-CR193)/ABS(CR193),"")</f>
        <v>-0.28970487338502077</v>
      </c>
      <c r="CW193" s="1" t="s">
        <v>234</v>
      </c>
      <c r="CX193" t="str">
        <f>IF(OR($CW193="prd",$CW193="std",$CW193="cit"),"loc",IF(OR($CW193="eur",$CW193="reg",$CW193="coy"),"reg",$CW193))</f>
        <v>loc</v>
      </c>
      <c r="CY193" t="s">
        <v>280</v>
      </c>
      <c r="CZ193"/>
      <c r="DA193"/>
      <c r="DB193">
        <v>100</v>
      </c>
      <c r="DC193" t="str">
        <f>IF(DB193=0,"0",IF(AND(DB193&gt;=1,DB193&lt;=30),"1-30",IF(AND(DB193&gt;30,DB193&lt;=70),"31-70",IF(AND(DB193&gt;70,DB193&lt;=100),"71-100",IF(DB193&gt;100,"+100")))))</f>
        <v>71-100</v>
      </c>
      <c r="DD193">
        <v>0</v>
      </c>
      <c r="DE193">
        <v>0</v>
      </c>
      <c r="DF193">
        <v>1</v>
      </c>
      <c r="DG193">
        <v>0</v>
      </c>
      <c r="DH193"/>
      <c r="DI193">
        <f>SUM(DD193:DG193)</f>
        <v>1</v>
      </c>
      <c r="DJ193" t="str">
        <f>IF(DI193=1,INDEX($DD$7:$DG$7,MATCH(1,$DD193:$DG193,0)),"mixedProduct")</f>
        <v>PulpPaperInput</v>
      </c>
      <c r="DK193">
        <f>IF(DD193=1,DK$7,0)</f>
        <v>0</v>
      </c>
      <c r="DL193">
        <f>IF(DE193=1,DL$7,0)</f>
        <v>0</v>
      </c>
      <c r="DM193" t="str">
        <f>IF(DF193=1,DM$7,0)</f>
        <v>Pulp/Paper</v>
      </c>
      <c r="DN193">
        <f>IF(DG193=1,DN$7,0)</f>
        <v>0</v>
      </c>
      <c r="DO193">
        <v>0</v>
      </c>
      <c r="DP193">
        <v>1</v>
      </c>
      <c r="DQ193">
        <v>0</v>
      </c>
      <c r="DR193" t="s">
        <v>281</v>
      </c>
      <c r="DS193">
        <v>0</v>
      </c>
      <c r="DT193">
        <f>SUM(DO193:DP193)</f>
        <v>1</v>
      </c>
      <c r="DU193" s="143" t="str">
        <f>IF(DO193=1,"self-calculated DF",IF(DP193=1,"external DF used","explicit C balance"))</f>
        <v>external DF used</v>
      </c>
      <c r="DV193">
        <v>0</v>
      </c>
      <c r="DW193">
        <v>1</v>
      </c>
      <c r="DX193">
        <v>1</v>
      </c>
      <c r="DY193">
        <v>1</v>
      </c>
      <c r="DZ193">
        <v>1</v>
      </c>
      <c r="EA193" s="143">
        <v>0</v>
      </c>
      <c r="EB193">
        <v>1</v>
      </c>
      <c r="EC193">
        <v>1</v>
      </c>
      <c r="ED193">
        <v>0</v>
      </c>
      <c r="EE193">
        <v>1</v>
      </c>
      <c r="EF193">
        <v>1</v>
      </c>
      <c r="EG193">
        <v>1</v>
      </c>
      <c r="EH193">
        <v>0</v>
      </c>
      <c r="EI193" s="2">
        <v>0</v>
      </c>
      <c r="EJ193" s="1"/>
      <c r="EK193" t="str">
        <f>IF(AND(AND(AND(OR($DX193=1,$DW193=1),OR($EC193=1,$EA193=1)),SUM($DV193:$DZ193,$EF193)&gt;=4),SUM($EA193:$EE193)&gt;=2),"Whole sector","")</f>
        <v>Whole sector</v>
      </c>
      <c r="EL193" t="str">
        <f>IF(AND(AND(OR($DX193=1,$DW193=1),AND($EC193=0,$EA193=0)),SUM($DV193:$DZ193,$EF193)&gt;=4),"Ecosystem approach","")</f>
        <v/>
      </c>
      <c r="EM193" s="2" t="str">
        <f>IF(AND(AND(AND($DX193=0,$DW193=0),OR($EC193=1,$EA193=1)),SUM($EB193:$EE193)&gt;=2),"Technology approach","")</f>
        <v/>
      </c>
      <c r="EN193"/>
      <c r="EO193"/>
      <c r="EP193" t="str">
        <f>IF(ISNUMBER(BU193),IF(ABS(BU193-[1]QC_indicators!$B$2)&gt;3*[1]QC_indicators!$C$2,"C ratio",IF(ISNUMBER(BY193),IF(ABS(BY193-[1]QC_indicators!$B$1)&gt;3*[1]QC_indicators!$C$1,"DF","no"))),IF(ISNUMBER(BY193),IF(ABS(BY193-[1]QC_indicators!$B$1)&gt;3*[1]QC_indicators!$C$1,"DF","no")))</f>
        <v>no</v>
      </c>
      <c r="EQ193" t="s">
        <v>286</v>
      </c>
      <c r="ER193"/>
      <c r="ES193"/>
      <c r="ET193" s="264" t="s">
        <v>3273</v>
      </c>
      <c r="EU193"/>
    </row>
    <row r="194" spans="1:151" s="139" customFormat="1" ht="15" customHeight="1">
      <c r="A194" s="174" t="s">
        <v>1286</v>
      </c>
      <c r="B194" s="141" t="s">
        <v>1287</v>
      </c>
      <c r="C194" s="141" t="s">
        <v>1288</v>
      </c>
      <c r="D194" s="141" t="s">
        <v>1289</v>
      </c>
      <c r="E194" s="141" t="s">
        <v>1290</v>
      </c>
      <c r="F194" s="141" t="s">
        <v>1291</v>
      </c>
      <c r="G194" s="141" t="s">
        <v>1292</v>
      </c>
      <c r="H194" s="141"/>
      <c r="I194" s="141">
        <v>2019</v>
      </c>
      <c r="J194" s="141"/>
      <c r="K194" s="141" t="s">
        <v>1293</v>
      </c>
      <c r="L194" s="141"/>
      <c r="M194" t="str">
        <f>LEFT($D194,FIND(",",$D194)-1)&amp;"_"&amp;I194&amp;L194</f>
        <v>Bosch_2019</v>
      </c>
      <c r="N194" t="s">
        <v>222</v>
      </c>
      <c r="O194" s="175" t="s">
        <v>225</v>
      </c>
      <c r="P194" s="141" t="s">
        <v>223</v>
      </c>
      <c r="Q194" s="264" t="s">
        <v>224</v>
      </c>
      <c r="R194" s="269" t="s">
        <v>1154</v>
      </c>
      <c r="S194" s="174" t="s">
        <v>1294</v>
      </c>
      <c r="T194" s="141" t="s">
        <v>1295</v>
      </c>
      <c r="U194" s="141" t="s">
        <v>1296</v>
      </c>
      <c r="V194" s="141">
        <v>1</v>
      </c>
      <c r="W194" s="141">
        <v>0</v>
      </c>
      <c r="X194" s="141">
        <v>0</v>
      </c>
      <c r="Y194" s="141">
        <v>0</v>
      </c>
      <c r="Z194" s="141">
        <v>0</v>
      </c>
      <c r="AA194" s="141">
        <v>0</v>
      </c>
      <c r="AB194" s="141">
        <v>0</v>
      </c>
      <c r="AC194" s="141">
        <v>0</v>
      </c>
      <c r="AD194" s="141">
        <v>0</v>
      </c>
      <c r="AE194" s="141">
        <v>0</v>
      </c>
      <c r="AF194" s="141">
        <v>0</v>
      </c>
      <c r="AG194" s="141">
        <v>0</v>
      </c>
      <c r="AH194" s="141">
        <v>0</v>
      </c>
      <c r="AI194" s="141">
        <v>0</v>
      </c>
      <c r="AJ194" s="141">
        <v>0</v>
      </c>
      <c r="AK194" s="141">
        <v>0</v>
      </c>
      <c r="AL194" s="141">
        <v>0</v>
      </c>
      <c r="AM194" s="141">
        <v>0</v>
      </c>
      <c r="AN194" s="141">
        <v>0</v>
      </c>
      <c r="AO194" s="141">
        <v>0</v>
      </c>
      <c r="AP194" s="141">
        <v>0</v>
      </c>
      <c r="AQ194" s="141">
        <v>0</v>
      </c>
      <c r="AR194" s="141">
        <v>0</v>
      </c>
      <c r="AS194" s="141">
        <v>0</v>
      </c>
      <c r="AT194" s="141">
        <v>0</v>
      </c>
      <c r="AU194" s="141">
        <v>0</v>
      </c>
      <c r="AV194" s="141">
        <v>0</v>
      </c>
      <c r="AW194" s="141">
        <v>0</v>
      </c>
      <c r="AX194" s="141">
        <f>COUNTIF(V194:AW194,"&lt;&gt;0")</f>
        <v>1</v>
      </c>
      <c r="AY194" s="141">
        <f>COUNTIF(V194:AL194,"&lt;&gt;0")</f>
        <v>1</v>
      </c>
      <c r="AZ194">
        <f>COUNTIF(V194:AC194,"&lt;&gt;0")</f>
        <v>1</v>
      </c>
      <c r="BA194">
        <f>COUNTIF(AD194:AI194,"&lt;&gt;0")</f>
        <v>0</v>
      </c>
      <c r="BB194">
        <f>COUNTIF(AJ194:AL194,"&lt;&gt;0")</f>
        <v>0</v>
      </c>
      <c r="BC194">
        <f>COUNTIF(AS194:AW194,"&lt;&gt;0")</f>
        <v>0</v>
      </c>
      <c r="BD194">
        <f>COUNTIF(AM194:AR194,"&lt;&gt;0")</f>
        <v>0</v>
      </c>
      <c r="BE194" t="str" cm="1">
        <f t="array" ref="BE194">IF(AY194=1,INDEX($V$7:$AL$7,MATCH(TRUE,INDEX($V194:$AW194&lt;&gt;0,),0)),IF(AY194=0,INDEX($AM$7:$AW$7,MATCH(1,$AM194:$AW194,0)),IF(BF194="Multiple strategies","mixed drivers",IF(BF194="Supply chain","multiple supply","multiple silviculture"))))</f>
        <v>area subject to harvest</v>
      </c>
      <c r="BF194" s="2" t="str" cm="1">
        <f t="array" ref="BF194">IF(COUNTIF(AZ194:BB194,"&lt;&gt;0")=1,INDEX($V$4:$AW$4,MATCH(TRUE,INDEX($V194:$AW194&lt;&gt;0,),0)),IF(COUNTIF(AZ194:BB194,"&lt;&gt;0")=0,INDEX($AM$4:$AW$4,MATCH(1,$AM194:$AW194,0)),"Multiple strategies"))</f>
        <v>Silviculture for removals</v>
      </c>
      <c r="BG194" s="173" t="s">
        <v>321</v>
      </c>
      <c r="BH194" s="141" t="s">
        <v>1297</v>
      </c>
      <c r="BI194" s="141" t="s">
        <v>1298</v>
      </c>
      <c r="BJ194" s="163" t="s">
        <v>1299</v>
      </c>
      <c r="BK194" s="158">
        <v>2159</v>
      </c>
      <c r="BL194" s="163">
        <v>2405</v>
      </c>
      <c r="BM194" s="264">
        <f>BL194/BK194</f>
        <v>1.1139416396479851</v>
      </c>
      <c r="BN194">
        <f>BL194-BK194</f>
        <v>246</v>
      </c>
      <c r="BO194" s="158">
        <f>BN194*10^6</f>
        <v>246000000</v>
      </c>
      <c r="BP194" s="264" t="s">
        <v>395</v>
      </c>
      <c r="BQ194" s="303" t="s">
        <v>786</v>
      </c>
      <c r="BR194" s="151" t="s">
        <v>1300</v>
      </c>
      <c r="BS194" s="141"/>
      <c r="BT194" s="163"/>
      <c r="BU194" s="144" t="str">
        <f>IFERROR(BT194/BS194,"")</f>
        <v/>
      </c>
      <c r="BV194" s="176">
        <v>190</v>
      </c>
      <c r="BW194"/>
      <c r="BX194">
        <f>BV194*10^6</f>
        <v>190000000</v>
      </c>
      <c r="BY194">
        <f>IFERROR(BX194/BO194,"")</f>
        <v>0.77235772357723576</v>
      </c>
      <c r="BZ194" s="141">
        <v>0</v>
      </c>
      <c r="CA194" s="141">
        <v>0</v>
      </c>
      <c r="CB194" s="141">
        <v>0</v>
      </c>
      <c r="CC194" s="141">
        <v>0</v>
      </c>
      <c r="CD194" s="141">
        <v>0</v>
      </c>
      <c r="CE194" s="141">
        <v>0</v>
      </c>
      <c r="CF194" s="141">
        <v>0</v>
      </c>
      <c r="CG194" s="141">
        <v>0</v>
      </c>
      <c r="CH194" s="141">
        <v>0</v>
      </c>
      <c r="CI194" s="141">
        <v>0</v>
      </c>
      <c r="CJ194" s="141">
        <v>0</v>
      </c>
      <c r="CK194" s="141">
        <v>0</v>
      </c>
      <c r="CL194" s="141">
        <v>0</v>
      </c>
      <c r="CM194" s="141">
        <v>1</v>
      </c>
      <c r="CN194" t="str">
        <f>IF(BL194&lt;BK194,"refNeedCorrection","refOK")</f>
        <v>refOK</v>
      </c>
      <c r="CO194">
        <f>IF($CN194="refOK",$BK194,$BL194)</f>
        <v>2159</v>
      </c>
      <c r="CP194">
        <f>IF($CN194="refOK",$BL194,$BK194)</f>
        <v>2405</v>
      </c>
      <c r="CQ194">
        <f>IF($CN194="refOK",$BO194,-$BO194)</f>
        <v>246000000</v>
      </c>
      <c r="CR194">
        <f>IF($CN194="refOK",$BS194,$BT194)*IF($BP194="Emissions positive",-1,1)</f>
        <v>0</v>
      </c>
      <c r="CS194">
        <f>IF($CN194="refOK",$BT194,$BS194)*IF($BP194="Emissions positive",-1,1)</f>
        <v>0</v>
      </c>
      <c r="CT194">
        <f>IF($CN194="refNeedCorrection",-BX194,BX194)*IF($BP194="Emissions positive",-1,1)</f>
        <v>-190000000</v>
      </c>
      <c r="CU194">
        <f>IFERROR(CT194/CQ194,"")</f>
        <v>-0.77235772357723576</v>
      </c>
      <c r="CV194" s="2" t="str">
        <f>IFERROR((CS194-CR194)/ABS(CR194),"")</f>
        <v/>
      </c>
      <c r="CW194" s="174" t="s">
        <v>1203</v>
      </c>
      <c r="CX194" s="264" t="str">
        <f>IF(OR($CW194="prd",$CW194="std",$CW194="cit"),"loc",IF(OR($CW194="eur",$CW194="reg",$CW194="coy"),"reg",$CW194))</f>
        <v>reg</v>
      </c>
      <c r="CY194" s="141" t="s">
        <v>1301</v>
      </c>
      <c r="CZ194" s="141">
        <v>2016</v>
      </c>
      <c r="DA194" s="163">
        <v>2046</v>
      </c>
      <c r="DB194" s="163">
        <v>30</v>
      </c>
      <c r="DC194" t="str">
        <f>IF(DB194=0,"0",IF(AND(DB194&gt;=1,DB194&lt;=30),"1-30",IF(AND(DB194&gt;30,DB194&lt;=70),"31-70",IF(AND(DB194&gt;70,DB194&lt;=100),"71-100",IF(DB194&gt;100,"+100")))))</f>
        <v>1-30</v>
      </c>
      <c r="DD194" s="141">
        <v>1</v>
      </c>
      <c r="DE194" s="141">
        <v>1</v>
      </c>
      <c r="DF194" s="141">
        <v>0</v>
      </c>
      <c r="DG194" s="141">
        <v>1</v>
      </c>
      <c r="DH194"/>
      <c r="DI194">
        <f>SUM(DD194:DG194)</f>
        <v>3</v>
      </c>
      <c r="DJ194" t="str">
        <f>IF(DI194=1,INDEX($DD$7:$DG$7,MATCH(1,$DD194:$DG194,0)),"mixedProduct")</f>
        <v>mixedProduct</v>
      </c>
      <c r="DK194" t="str">
        <f>IF(DD194=1,DK$7,0)</f>
        <v>Upstream</v>
      </c>
      <c r="DL194" t="str">
        <f>IF(DE194=1,DL$7,0)</f>
        <v>Energy</v>
      </c>
      <c r="DM194">
        <f>IF(DF194=1,DM$7,0)</f>
        <v>0</v>
      </c>
      <c r="DN194" t="str">
        <f>IF(DG194=1,DN$7,0)</f>
        <v>Timber</v>
      </c>
      <c r="DO194" s="163">
        <v>0</v>
      </c>
      <c r="DP194" s="141">
        <v>0</v>
      </c>
      <c r="DQ194" s="163">
        <v>0</v>
      </c>
      <c r="DR194" s="163">
        <v>0</v>
      </c>
      <c r="DS194" s="163">
        <v>0</v>
      </c>
      <c r="DT194">
        <f>SUM(DO194:DP194)</f>
        <v>0</v>
      </c>
      <c r="DU194" s="143" t="str">
        <f>IF(DO194=1,"self-calculated DF",IF(DP194=1,"external DF used","explicit C balance"))</f>
        <v>explicit C balance</v>
      </c>
      <c r="DV194" s="163">
        <v>1</v>
      </c>
      <c r="DW194" s="141">
        <v>1</v>
      </c>
      <c r="DX194" s="163">
        <v>1</v>
      </c>
      <c r="DY194" s="163">
        <v>1</v>
      </c>
      <c r="DZ194" s="141">
        <v>0</v>
      </c>
      <c r="EA194" s="141">
        <v>0</v>
      </c>
      <c r="EB194" s="143">
        <v>0</v>
      </c>
      <c r="EC194" s="141">
        <v>0</v>
      </c>
      <c r="ED194" s="143">
        <v>0</v>
      </c>
      <c r="EE194" s="143">
        <v>0</v>
      </c>
      <c r="EF194" s="141">
        <v>1</v>
      </c>
      <c r="EG194" s="163">
        <v>0</v>
      </c>
      <c r="EH194" s="141">
        <v>0</v>
      </c>
      <c r="EI194" s="177">
        <v>0</v>
      </c>
      <c r="EJ194" s="1"/>
      <c r="EK194" t="str">
        <f>IF(AND(AND(AND(OR($DX194=1,$DW194=1),OR($EC194=1,$EA194=1)),SUM($DV194:$DZ194,$EF194)&gt;=4),SUM($EA194:$EE194)&gt;=2),"Whole sector","")</f>
        <v/>
      </c>
      <c r="EL194" t="str">
        <f>IF(AND(AND(OR($DX194=1,$DW194=1),AND($EC194=0,$EA194=0)),SUM($DV194:$DZ194,$EF194)&gt;=4),"Ecosystem approach","")</f>
        <v>Ecosystem approach</v>
      </c>
      <c r="EM194" s="2" t="str">
        <f>IF(AND(AND(AND($DX194=0,$DW194=0),OR($EC194=1,$EA194=1)),SUM($EB194:$EE194)&gt;=2),"Technology approach","")</f>
        <v/>
      </c>
      <c r="EN194" s="141"/>
      <c r="EO194"/>
      <c r="EP194" t="str">
        <f>IF(ISNUMBER(BU194),IF(ABS(BU194-[3]QC_indicators!$B$2)&gt;3*[3]QC_indicators!$C$2,"C ratio",IF(ISNUMBER(BY194),IF(ABS(BY194-[3]QC_indicators!$B$1)&gt;3*[3]QC_indicators!$C$1,"DF","no"))),IF(ISNUMBER(BY194),IF(ABS(BY194-[3]QC_indicators!$B$1)&gt;3*[3]QC_indicators!$C$1,"DF","no")))</f>
        <v>no</v>
      </c>
      <c r="EQ194"/>
      <c r="ER194" s="294" t="s">
        <v>1302</v>
      </c>
      <c r="ES194"/>
      <c r="ET194" s="264" t="s">
        <v>3407</v>
      </c>
      <c r="EU194"/>
    </row>
    <row r="195" spans="1:151" s="139" customFormat="1" ht="15" customHeight="1">
      <c r="A195" s="1" t="s">
        <v>878</v>
      </c>
      <c r="B195" t="s">
        <v>1791</v>
      </c>
      <c r="C195" t="s">
        <v>1792</v>
      </c>
      <c r="D195" t="s">
        <v>1793</v>
      </c>
      <c r="E195" t="s">
        <v>1794</v>
      </c>
      <c r="F195" t="s">
        <v>1795</v>
      </c>
      <c r="G195" t="s">
        <v>1184</v>
      </c>
      <c r="H195" t="s">
        <v>254</v>
      </c>
      <c r="I195">
        <v>2011</v>
      </c>
      <c r="J195">
        <v>6</v>
      </c>
      <c r="K195" t="s">
        <v>1796</v>
      </c>
      <c r="L195"/>
      <c r="M195" t="str">
        <f>LEFT($D195,FIND(",",$D195)-1)&amp;"_"&amp;I195&amp;L195</f>
        <v>Kayo_2011</v>
      </c>
      <c r="N195" t="s">
        <v>222</v>
      </c>
      <c r="O195" s="145" t="s">
        <v>513</v>
      </c>
      <c r="P195"/>
      <c r="Q195" t="s">
        <v>256</v>
      </c>
      <c r="R195" s="255" t="s">
        <v>225</v>
      </c>
      <c r="S195" s="263" t="s">
        <v>3357</v>
      </c>
      <c r="T195" t="s">
        <v>1673</v>
      </c>
      <c r="U195" t="s">
        <v>1797</v>
      </c>
      <c r="V195">
        <v>0</v>
      </c>
      <c r="W195">
        <v>0</v>
      </c>
      <c r="X195">
        <v>0</v>
      </c>
      <c r="Y195">
        <v>0</v>
      </c>
      <c r="Z195">
        <v>0</v>
      </c>
      <c r="AA195">
        <v>0</v>
      </c>
      <c r="AB195">
        <v>0</v>
      </c>
      <c r="AC195">
        <v>0</v>
      </c>
      <c r="AD195">
        <v>0</v>
      </c>
      <c r="AE195">
        <v>0</v>
      </c>
      <c r="AF195">
        <v>0</v>
      </c>
      <c r="AG195">
        <v>0</v>
      </c>
      <c r="AH195">
        <v>0</v>
      </c>
      <c r="AI195">
        <v>0</v>
      </c>
      <c r="AJ195">
        <v>0</v>
      </c>
      <c r="AK195">
        <v>1</v>
      </c>
      <c r="AL195">
        <v>0</v>
      </c>
      <c r="AM195">
        <v>0</v>
      </c>
      <c r="AN195">
        <v>0</v>
      </c>
      <c r="AO195">
        <v>0</v>
      </c>
      <c r="AP195">
        <v>0</v>
      </c>
      <c r="AQ195">
        <v>0</v>
      </c>
      <c r="AR195">
        <v>0</v>
      </c>
      <c r="AS195">
        <v>0</v>
      </c>
      <c r="AT195">
        <v>0</v>
      </c>
      <c r="AU195">
        <v>0</v>
      </c>
      <c r="AV195">
        <v>0</v>
      </c>
      <c r="AW195">
        <v>0</v>
      </c>
      <c r="AX195" s="141">
        <f>COUNTIF(V195:AW195,"&lt;&gt;0")</f>
        <v>1</v>
      </c>
      <c r="AY195" s="141">
        <f>COUNTIF(V195:AL195,"&lt;&gt;0")</f>
        <v>1</v>
      </c>
      <c r="AZ195">
        <f>COUNTIF(V195:AC195,"&lt;&gt;0")</f>
        <v>0</v>
      </c>
      <c r="BA195">
        <f>COUNTIF(AD195:AI195,"&lt;&gt;0")</f>
        <v>0</v>
      </c>
      <c r="BB195">
        <f>COUNTIF(AJ195:AL195,"&lt;&gt;0")</f>
        <v>1</v>
      </c>
      <c r="BC195">
        <f>COUNTIF(AS195:AW195,"&lt;&gt;0")</f>
        <v>0</v>
      </c>
      <c r="BD195">
        <f>COUNTIF(AM195:AR195,"&lt;&gt;0")</f>
        <v>0</v>
      </c>
      <c r="BE195" t="str">
        <f t="array" ref="BE195">IF(AY195=1,INDEX($V$7:$AL$7,MATCH(TRUE,INDEX($V195:$AW195&lt;&gt;0,),0)),IF(AY195=0,INDEX($AM$7:$AW$7,MATCH(1,$AM195:$AW195,0)),IF(BF195="Multiple strategies","mixed drivers",IF(BF195="Supply chain","multiple supply","multiple silviculture"))))</f>
        <v>technologies/design switch</v>
      </c>
      <c r="BF195" s="2" t="str" cm="1">
        <f t="array" ref="BF195">IF(COUNTIF(AZ195:BB195,"&lt;&gt;0")=1,INDEX($V$4:$AW$4,MATCH(TRUE,INDEX($V195:$AW195&lt;&gt;0,),0)),IF(COUNTIF(AZ195:BB195,"&lt;&gt;0")=0,INDEX($AM$4:$AW$4,MATCH(1,$AM195:$AW195,0)),"Multiple strategies"))</f>
        <v>Technology</v>
      </c>
      <c r="BG195" s="1" t="s">
        <v>229</v>
      </c>
      <c r="BH195" t="s">
        <v>1799</v>
      </c>
      <c r="BI195" s="260" t="s">
        <v>3350</v>
      </c>
      <c r="BJ195" s="260" t="s">
        <v>3347</v>
      </c>
      <c r="BK195">
        <v>0</v>
      </c>
      <c r="BL195">
        <v>15</v>
      </c>
      <c r="BM195"/>
      <c r="BN195">
        <f>BL195-BK195</f>
        <v>15</v>
      </c>
      <c r="BO195">
        <f>BN195*10^6*t_to_m3</f>
        <v>30612244.897959184</v>
      </c>
      <c r="BP195" t="s">
        <v>232</v>
      </c>
      <c r="BQ195" s="300" t="s">
        <v>3358</v>
      </c>
      <c r="BR195" t="s">
        <v>1300</v>
      </c>
      <c r="BS195"/>
      <c r="BT195"/>
      <c r="BU195" s="144" t="str">
        <f>IFERROR(BT195/BS195,"")</f>
        <v/>
      </c>
      <c r="BV195">
        <v>-23</v>
      </c>
      <c r="BW195"/>
      <c r="BX195">
        <f>BV195*10^6</f>
        <v>-23000000</v>
      </c>
      <c r="BY195">
        <f>IFERROR(BX195/BO195,"")</f>
        <v>-0.7513333333333333</v>
      </c>
      <c r="BZ195">
        <v>0</v>
      </c>
      <c r="CA195">
        <v>0</v>
      </c>
      <c r="CB195">
        <v>0</v>
      </c>
      <c r="CC195">
        <v>0</v>
      </c>
      <c r="CD195">
        <v>0</v>
      </c>
      <c r="CE195">
        <v>0</v>
      </c>
      <c r="CF195">
        <v>0</v>
      </c>
      <c r="CG195">
        <v>0</v>
      </c>
      <c r="CH195">
        <v>0</v>
      </c>
      <c r="CI195">
        <v>0</v>
      </c>
      <c r="CJ195">
        <v>0</v>
      </c>
      <c r="CK195">
        <v>0</v>
      </c>
      <c r="CL195">
        <v>0</v>
      </c>
      <c r="CM195">
        <v>0</v>
      </c>
      <c r="CN195" t="str">
        <f>IF(BL195&lt;BK195,"refNeedCorrection","refOK")</f>
        <v>refOK</v>
      </c>
      <c r="CO195">
        <f>IF($CN195="refOK",$BK195,$BL195)</f>
        <v>0</v>
      </c>
      <c r="CP195">
        <f>IF($CN195="refOK",$BL195,$BK195)</f>
        <v>15</v>
      </c>
      <c r="CQ195">
        <f>IF($CN195="refOK",$BO195,-$BO195)</f>
        <v>30612244.897959184</v>
      </c>
      <c r="CR195">
        <f>IF($CN195="refOK",$BS195,$BT195)*IF($BP195="Emissions positive",-1,1)</f>
        <v>0</v>
      </c>
      <c r="CS195">
        <f>IF($CN195="refOK",$BT195,$BS195)*IF($BP195="Emissions positive",-1,1)</f>
        <v>0</v>
      </c>
      <c r="CT195">
        <f>IF($CN195="refNeedCorrection",-BX195,BX195)*IF($BP195="Emissions positive",-1,1)</f>
        <v>-23000000</v>
      </c>
      <c r="CU195">
        <f>IFERROR(CT195/CQ195,"")</f>
        <v>-0.7513333333333333</v>
      </c>
      <c r="CV195" s="2" t="str">
        <f>IFERROR((CS195-CR195)/ABS(CR195),"")</f>
        <v/>
      </c>
      <c r="CW195" s="1" t="s">
        <v>1203</v>
      </c>
      <c r="CX195" t="str">
        <f>IF(OR($CW195="prd",$CW195="std",$CW195="cit"),"loc",IF(OR($CW195="eur",$CW195="reg",$CW195="coy"),"reg",$CW195))</f>
        <v>reg</v>
      </c>
      <c r="CY195" t="s">
        <v>961</v>
      </c>
      <c r="CZ195">
        <v>2005</v>
      </c>
      <c r="DA195">
        <v>2020</v>
      </c>
      <c r="DB195">
        <v>15</v>
      </c>
      <c r="DC195" t="str">
        <f>IF(DB195=0,"0",IF(AND(DB195&gt;=1,DB195&lt;=30),"1-30",IF(AND(DB195&gt;30,DB195&lt;=70),"31-70",IF(AND(DB195&gt;70,DB195&lt;=100),"71-100",IF(DB195&gt;100,"+100")))))</f>
        <v>1-30</v>
      </c>
      <c r="DD195">
        <v>0</v>
      </c>
      <c r="DE195">
        <v>1</v>
      </c>
      <c r="DF195">
        <v>0</v>
      </c>
      <c r="DG195">
        <v>0</v>
      </c>
      <c r="DH195"/>
      <c r="DI195">
        <f>SUM(DD195:DG195)</f>
        <v>1</v>
      </c>
      <c r="DJ195" t="str">
        <f>IF(DI195=1,INDEX($DD$7:$DG$7,MATCH(1,$DD195:$DG195,0)),"mixedProduct")</f>
        <v>EnergyInput</v>
      </c>
      <c r="DK195">
        <f>IF(DD195=1,DK$7,0)</f>
        <v>0</v>
      </c>
      <c r="DL195" t="str">
        <f>IF(DE195=1,DL$7,0)</f>
        <v>Energy</v>
      </c>
      <c r="DM195">
        <f>IF(DF195=1,DM$7,0)</f>
        <v>0</v>
      </c>
      <c r="DN195">
        <f>IF(DG195=1,DN$7,0)</f>
        <v>0</v>
      </c>
      <c r="DO195">
        <v>0</v>
      </c>
      <c r="DP195">
        <v>0</v>
      </c>
      <c r="DQ195">
        <v>0</v>
      </c>
      <c r="DR195">
        <v>0</v>
      </c>
      <c r="DS195">
        <v>0</v>
      </c>
      <c r="DT195">
        <f>SUM(DO195:DP195)</f>
        <v>0</v>
      </c>
      <c r="DU195" s="143" t="str">
        <f>IF(DO195=1,"self-calculated DF",IF(DP195=1,"external DF used","explicit C balance"))</f>
        <v>explicit C balance</v>
      </c>
      <c r="DV195">
        <v>0</v>
      </c>
      <c r="DW195">
        <v>1</v>
      </c>
      <c r="DX195">
        <v>1</v>
      </c>
      <c r="DY195">
        <v>0</v>
      </c>
      <c r="DZ195">
        <v>0</v>
      </c>
      <c r="EA195" s="143">
        <v>1</v>
      </c>
      <c r="EB195">
        <v>1</v>
      </c>
      <c r="EC195">
        <v>0</v>
      </c>
      <c r="ED195">
        <v>0</v>
      </c>
      <c r="EE195">
        <v>0</v>
      </c>
      <c r="EF195">
        <v>1</v>
      </c>
      <c r="EG195">
        <v>1</v>
      </c>
      <c r="EH195">
        <v>0</v>
      </c>
      <c r="EI195" s="2">
        <v>0</v>
      </c>
      <c r="EJ195" s="1"/>
      <c r="EK195" t="str">
        <f>IF(AND(AND(AND(OR($DX195=1,$DW195=1),OR($EC195=1,$EA195=1)),SUM($DV195:$DZ195,$EF195)&gt;=4),SUM($EA195:$EE195)&gt;=2),"Whole sector","")</f>
        <v/>
      </c>
      <c r="EL195" t="str">
        <f>IF(AND(AND(OR($DX195=1,$DW195=1),AND($EC195=0,$EA195=0)),SUM($DV195:$DZ195,$EF195)&gt;=4),"Ecosystem approach","")</f>
        <v/>
      </c>
      <c r="EM195" s="2" t="str">
        <f>IF(AND(AND(AND($DX195=0,$DW195=0),OR($EC195=1,$EA195=1)),SUM($EB195:$EE195)&gt;=2),"Technology approach","")</f>
        <v/>
      </c>
      <c r="EN195"/>
      <c r="EO195"/>
      <c r="EP195" t="str">
        <f>IF(ISNUMBER(BU195),IF(ABS(BU195-[4]QC_indicators!$B$2)&gt;3*[4]QC_indicators!$C$2,"C ratio",IF(ISNUMBER(BY195),IF(ABS(BY195-[4]QC_indicators!$B$1)&gt;3*[4]QC_indicators!$C$1,"DF","no"))),IF(ISNUMBER(BY195),IF(ABS(BY195-[4]QC_indicators!$B$1)&gt;3*[4]QC_indicators!$C$1,"DF","no")))</f>
        <v>no</v>
      </c>
      <c r="EQ195"/>
      <c r="ER195"/>
      <c r="ES195"/>
      <c r="ET195" s="264" t="s">
        <v>3273</v>
      </c>
      <c r="EU195"/>
    </row>
    <row r="196" spans="1:151" s="139" customFormat="1" ht="15" customHeight="1">
      <c r="A196" s="1" t="s">
        <v>1357</v>
      </c>
      <c r="B196" t="s">
        <v>2368</v>
      </c>
      <c r="C196" t="s">
        <v>2369</v>
      </c>
      <c r="D196" t="s">
        <v>2370</v>
      </c>
      <c r="E196" t="s">
        <v>2371</v>
      </c>
      <c r="F196" t="s">
        <v>2372</v>
      </c>
      <c r="G196" t="s">
        <v>1358</v>
      </c>
      <c r="H196" t="s">
        <v>254</v>
      </c>
      <c r="I196">
        <v>2021</v>
      </c>
      <c r="J196">
        <v>0</v>
      </c>
      <c r="K196" t="s">
        <v>2373</v>
      </c>
      <c r="L196"/>
      <c r="M196" t="str">
        <f>LEFT($D196,FIND(",",$D196)-1)&amp;"_"&amp;I196&amp;L196</f>
        <v>Ter-Mikaelian_2021</v>
      </c>
      <c r="N196" t="s">
        <v>222</v>
      </c>
      <c r="O196" s="145" t="s">
        <v>1154</v>
      </c>
      <c r="P196"/>
      <c r="Q196" t="s">
        <v>256</v>
      </c>
      <c r="R196" s="293" t="s">
        <v>225</v>
      </c>
      <c r="S196" s="1" t="s">
        <v>1332</v>
      </c>
      <c r="T196" t="s">
        <v>2374</v>
      </c>
      <c r="U196" t="s">
        <v>2375</v>
      </c>
      <c r="V196">
        <v>1</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s="141">
        <f>COUNTIF(V196:AW196,"&lt;&gt;0")</f>
        <v>1</v>
      </c>
      <c r="AY196" s="141">
        <f>COUNTIF(V196:AL196,"&lt;&gt;0")</f>
        <v>1</v>
      </c>
      <c r="AZ196">
        <f>COUNTIF(V196:AC196,"&lt;&gt;0")</f>
        <v>1</v>
      </c>
      <c r="BA196">
        <f>COUNTIF(AD196:AI196,"&lt;&gt;0")</f>
        <v>0</v>
      </c>
      <c r="BB196">
        <f>COUNTIF(AJ196:AL196,"&lt;&gt;0")</f>
        <v>0</v>
      </c>
      <c r="BC196">
        <f>COUNTIF(AS196:AW196,"&lt;&gt;0")</f>
        <v>0</v>
      </c>
      <c r="BD196">
        <f>COUNTIF(AM196:AR196,"&lt;&gt;0")</f>
        <v>0</v>
      </c>
      <c r="BE196" t="str">
        <f t="array" ref="BE196">IF(AY196=1,INDEX($V$7:$AL$7,MATCH(TRUE,INDEX($V196:$AW196&lt;&gt;0,),0)),IF(AY196=0,INDEX($AM$7:$AW$7,MATCH(1,$AM196:$AW196,0)),IF(BF196="Multiple strategies","mixed drivers",IF(BF196="Supply chain","multiple supply","multiple silviculture"))))</f>
        <v>area subject to harvest</v>
      </c>
      <c r="BF196" s="2" t="str" cm="1">
        <f t="array" ref="BF196">IF(COUNTIF(AZ196:BB196,"&lt;&gt;0")=1,INDEX($V$4:$AW$4,MATCH(TRUE,INDEX($V196:$AW196&lt;&gt;0,),0)),IF(COUNTIF(AZ196:BB196,"&lt;&gt;0")=0,INDEX($AM$4:$AW$4,MATCH(1,$AM196:$AW196,0)),"Multiple strategies"))</f>
        <v>Silviculture for removals</v>
      </c>
      <c r="BG196" s="1" t="s">
        <v>321</v>
      </c>
      <c r="BH196" t="s">
        <v>2376</v>
      </c>
      <c r="BI196"/>
      <c r="BJ196" t="s">
        <v>1323</v>
      </c>
      <c r="BK196">
        <v>0</v>
      </c>
      <c r="BL196">
        <v>433.26389999999998</v>
      </c>
      <c r="BM196" s="143" t="e">
        <f>BL196/BK196</f>
        <v>#DIV/0!</v>
      </c>
      <c r="BN196">
        <f>BL196-BK196</f>
        <v>433.26389999999998</v>
      </c>
      <c r="BO196">
        <f>BN196*10^6</f>
        <v>433263900</v>
      </c>
      <c r="BP196" t="s">
        <v>232</v>
      </c>
      <c r="BQ196" s="300" t="s">
        <v>3398</v>
      </c>
      <c r="BR196" t="s">
        <v>1359</v>
      </c>
      <c r="BS196">
        <v>3757</v>
      </c>
      <c r="BT196">
        <v>3668.4697431</v>
      </c>
      <c r="BU196" s="144">
        <f>IFERROR(BT196/BS196,"")</f>
        <v>0.97643591778014371</v>
      </c>
      <c r="BV196" s="144">
        <f>BT196-BS196</f>
        <v>-88.53025690000004</v>
      </c>
      <c r="BW196" s="144"/>
      <c r="BX196">
        <f>BV196*10^6*C_to_CO2</f>
        <v>-324906042.82300013</v>
      </c>
      <c r="BY196">
        <f>IFERROR(BX196/BO196,"")</f>
        <v>-0.74990333333333359</v>
      </c>
      <c r="BZ196">
        <v>0</v>
      </c>
      <c r="CA196">
        <v>0</v>
      </c>
      <c r="CB196">
        <v>0</v>
      </c>
      <c r="CC196">
        <v>0</v>
      </c>
      <c r="CD196">
        <v>0</v>
      </c>
      <c r="CE196">
        <v>0</v>
      </c>
      <c r="CF196">
        <v>0</v>
      </c>
      <c r="CG196">
        <v>0</v>
      </c>
      <c r="CH196">
        <v>0</v>
      </c>
      <c r="CI196">
        <v>0</v>
      </c>
      <c r="CJ196">
        <v>0</v>
      </c>
      <c r="CK196">
        <v>0</v>
      </c>
      <c r="CL196">
        <v>0</v>
      </c>
      <c r="CM196">
        <v>0</v>
      </c>
      <c r="CN196" t="str">
        <f>IF($BL196&lt;$BK196,"refNeedCorrection","refOK")</f>
        <v>refOK</v>
      </c>
      <c r="CO196">
        <f>IF($CN196="refOK",$BK196,$BL196)</f>
        <v>0</v>
      </c>
      <c r="CP196">
        <f>IF($CN196="refOK",$BL196,$BK196)</f>
        <v>433.26389999999998</v>
      </c>
      <c r="CQ196">
        <f>IF($CN196="refOK",$BO196,-$BO196)</f>
        <v>433263900</v>
      </c>
      <c r="CR196">
        <f>IF($CN196="refOK",$BS196,$BT196)*IF($BP196="Emissions positive",-1,1)</f>
        <v>3757</v>
      </c>
      <c r="CS196">
        <f>IF($CN196="refOK",$BT196,$BS196)*IF($BP196="Emissions positive",-1,1)</f>
        <v>3668.4697431</v>
      </c>
      <c r="CT196">
        <f>IF($CN196="refNeedCorrection",-BX196,BX196)*IF($BP196="Emissions positive",-1,1)</f>
        <v>-324906042.82300013</v>
      </c>
      <c r="CU196">
        <f>IFERROR(CT196/CQ196,"")</f>
        <v>-0.74990333333333359</v>
      </c>
      <c r="CV196" s="2">
        <f>IFERROR((CS196-CR196)/ABS(CR196),"")</f>
        <v>-2.3564082219856279E-2</v>
      </c>
      <c r="CW196" s="1" t="s">
        <v>1199</v>
      </c>
      <c r="CX196" t="str">
        <f>IF(OR($CW196="prd",$CW196="std",$CW196="cit"),"loc",IF(OR($CW196="eur",$CW196="reg",$CW196="coy"),"reg",$CW196))</f>
        <v>reg</v>
      </c>
      <c r="CY196" t="s">
        <v>540</v>
      </c>
      <c r="CZ196">
        <v>2020</v>
      </c>
      <c r="DA196">
        <v>2050</v>
      </c>
      <c r="DB196">
        <f>DA196-CZ196</f>
        <v>30</v>
      </c>
      <c r="DC196" t="str">
        <f>IF(DB196=0,"0",IF(AND(DB196&gt;=1,DB196&lt;=30),"1-30",IF(AND(DB196&gt;30,DB196&lt;=70),"31-70",IF(AND(DB196&gt;70,DB196&lt;=100),"71-100",IF(DB196&gt;100,"+100")))))</f>
        <v>1-30</v>
      </c>
      <c r="DD196">
        <v>1</v>
      </c>
      <c r="DE196">
        <v>1</v>
      </c>
      <c r="DF196">
        <v>1</v>
      </c>
      <c r="DG196">
        <v>1</v>
      </c>
      <c r="DH196"/>
      <c r="DI196">
        <f>SUM(DD196:DG196)</f>
        <v>4</v>
      </c>
      <c r="DJ196" t="str">
        <f>IF(DI196=1,INDEX($DD$7:$DG$7,MATCH(1,$DD196:$DG196,0)),"mixedProduct")</f>
        <v>mixedProduct</v>
      </c>
      <c r="DK196" t="str">
        <f>IF(DD196=1,DK$7,0)</f>
        <v>Upstream</v>
      </c>
      <c r="DL196" t="str">
        <f>IF(DE196=1,DL$7,0)</f>
        <v>Energy</v>
      </c>
      <c r="DM196" t="str">
        <f>IF(DF196=1,DM$7,0)</f>
        <v>Pulp/Paper</v>
      </c>
      <c r="DN196" t="str">
        <f>IF(DG196=1,DN$7,0)</f>
        <v>Timber</v>
      </c>
      <c r="DO196">
        <v>0</v>
      </c>
      <c r="DP196">
        <v>1</v>
      </c>
      <c r="DQ196">
        <v>0</v>
      </c>
      <c r="DR196" t="s">
        <v>2380</v>
      </c>
      <c r="DS196">
        <v>0</v>
      </c>
      <c r="DT196">
        <f>SUM(DO196:DP196)</f>
        <v>1</v>
      </c>
      <c r="DU196" s="143" t="str">
        <f>IF(DO196=1,"self-calculated DF",IF(DP196=1,"external DF used","explicit C balance"))</f>
        <v>external DF used</v>
      </c>
      <c r="DV196">
        <v>1</v>
      </c>
      <c r="DW196">
        <v>1</v>
      </c>
      <c r="DX196">
        <v>1</v>
      </c>
      <c r="DY196">
        <v>1</v>
      </c>
      <c r="DZ196">
        <v>1</v>
      </c>
      <c r="EA196" s="143">
        <v>1</v>
      </c>
      <c r="EB196">
        <v>1</v>
      </c>
      <c r="EC196">
        <v>1</v>
      </c>
      <c r="ED196">
        <v>0</v>
      </c>
      <c r="EE196">
        <v>0</v>
      </c>
      <c r="EF196">
        <v>1</v>
      </c>
      <c r="EG196">
        <v>0</v>
      </c>
      <c r="EH196">
        <v>0</v>
      </c>
      <c r="EI196" s="2">
        <v>0</v>
      </c>
      <c r="EJ196" s="1"/>
      <c r="EK196" t="str">
        <f>IF(AND(AND(AND(OR($DX196=1,$DW196=1),OR($EC196=1,$EA196=1)),SUM($DV196:$DZ196,$EF196)&gt;=4),SUM($EA196:$EE196)&gt;=2),"Whole sector","")</f>
        <v>Whole sector</v>
      </c>
      <c r="EL196" t="str">
        <f>IF(AND(AND(OR($DX196=1,$DW196=1),AND($EC196=0,$EA196=0)),SUM($DV196:$DZ196,$EF196)&gt;=4),"Ecosystem approach","")</f>
        <v/>
      </c>
      <c r="EM196" s="2" t="str">
        <f>IF(AND(AND(AND($DX196=0,$DW196=0),OR($EC196=1,$EA196=1)),SUM($EB196:$EE196)&gt;=2),"Technology approach","")</f>
        <v/>
      </c>
      <c r="EN196" s="264" t="s">
        <v>2377</v>
      </c>
      <c r="EO196"/>
      <c r="EP196" t="str">
        <f>IF(ISNUMBER(BU196),IF(ABS(BU196-[4]QC_indicators!$B$2)&gt;3*[4]QC_indicators!$C$2,"C ratio",IF(ISNUMBER(BY196),IF(ABS(BY196-[4]QC_indicators!$B$1)&gt;3*[4]QC_indicators!$C$1,"DF","no"))),IF(ISNUMBER(BY196),IF(ABS(BY196-[4]QC_indicators!$B$1)&gt;3*[4]QC_indicators!$C$1,"DF","no")))</f>
        <v>no</v>
      </c>
      <c r="EQ196" t="s">
        <v>2378</v>
      </c>
      <c r="ER196"/>
      <c r="ES196"/>
      <c r="ET196" s="305" t="s">
        <v>3408</v>
      </c>
      <c r="EU196"/>
    </row>
    <row r="197" spans="1:151" s="139" customFormat="1" ht="15" customHeight="1">
      <c r="A197" s="1" t="s">
        <v>1357</v>
      </c>
      <c r="B197" t="s">
        <v>2368</v>
      </c>
      <c r="C197" t="s">
        <v>2369</v>
      </c>
      <c r="D197" t="s">
        <v>2370</v>
      </c>
      <c r="E197" t="s">
        <v>2371</v>
      </c>
      <c r="F197" t="s">
        <v>2372</v>
      </c>
      <c r="G197" t="s">
        <v>1358</v>
      </c>
      <c r="H197" t="s">
        <v>254</v>
      </c>
      <c r="I197">
        <v>2021</v>
      </c>
      <c r="J197">
        <v>0</v>
      </c>
      <c r="K197" t="s">
        <v>2373</v>
      </c>
      <c r="L197"/>
      <c r="M197" t="str">
        <f>LEFT($D197,FIND(",",$D197)-1)&amp;"_"&amp;I197&amp;L197</f>
        <v>Ter-Mikaelian_2021</v>
      </c>
      <c r="N197" t="s">
        <v>222</v>
      </c>
      <c r="O197" s="145" t="s">
        <v>1154</v>
      </c>
      <c r="P197"/>
      <c r="Q197" t="s">
        <v>256</v>
      </c>
      <c r="R197" s="293" t="s">
        <v>225</v>
      </c>
      <c r="S197" s="1" t="s">
        <v>1332</v>
      </c>
      <c r="T197" t="s">
        <v>2375</v>
      </c>
      <c r="U197" t="s">
        <v>2379</v>
      </c>
      <c r="V197">
        <v>0</v>
      </c>
      <c r="W197">
        <v>0</v>
      </c>
      <c r="X197">
        <v>0</v>
      </c>
      <c r="Y197">
        <v>1</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s="141">
        <f>COUNTIF(V197:AW197,"&lt;&gt;0")</f>
        <v>1</v>
      </c>
      <c r="AY197" s="141">
        <f>COUNTIF(V197:AL197,"&lt;&gt;0")</f>
        <v>1</v>
      </c>
      <c r="AZ197">
        <f>COUNTIF(V197:AC197,"&lt;&gt;0")</f>
        <v>1</v>
      </c>
      <c r="BA197">
        <f>COUNTIF(AD197:AI197,"&lt;&gt;0")</f>
        <v>0</v>
      </c>
      <c r="BB197">
        <f>COUNTIF(AJ197:AL197,"&lt;&gt;0")</f>
        <v>0</v>
      </c>
      <c r="BC197">
        <f>COUNTIF(AS197:AW197,"&lt;&gt;0")</f>
        <v>0</v>
      </c>
      <c r="BD197">
        <f>COUNTIF(AM197:AR197,"&lt;&gt;0")</f>
        <v>0</v>
      </c>
      <c r="BE197" t="str">
        <f t="array" ref="BE197">IF(AY197=1,INDEX($V$7:$AL$7,MATCH(TRUE,INDEX($V197:$AW197&lt;&gt;0,),0)),IF(AY197=0,INDEX($AM$7:$AW$7,MATCH(1,$AM197:$AW197,0)),IF(BF197="Multiple strategies","mixed drivers",IF(BF197="Supply chain","multiple supply","multiple silviculture"))))</f>
        <v xml:space="preserve">cutting intensity </v>
      </c>
      <c r="BF197" s="2" t="str" cm="1">
        <f t="array" ref="BF197">IF(COUNTIF(AZ197:BB197,"&lt;&gt;0")=1,INDEX($V$4:$AW$4,MATCH(TRUE,INDEX($V197:$AW197&lt;&gt;0,),0)),IF(COUNTIF(AZ197:BB197,"&lt;&gt;0")=0,INDEX($AM$4:$AW$4,MATCH(1,$AM197:$AW197,0)),"Multiple strategies"))</f>
        <v>Silviculture for removals</v>
      </c>
      <c r="BG197" s="1" t="s">
        <v>321</v>
      </c>
      <c r="BH197" t="s">
        <v>2376</v>
      </c>
      <c r="BI197" s="260"/>
      <c r="BJ197" t="s">
        <v>1323</v>
      </c>
      <c r="BK197">
        <v>433.26389999999998</v>
      </c>
      <c r="BL197">
        <v>866.52779999999996</v>
      </c>
      <c r="BM197" s="143">
        <f>BL197/BK197</f>
        <v>2</v>
      </c>
      <c r="BN197">
        <f>BL197-BK197</f>
        <v>433.26389999999998</v>
      </c>
      <c r="BO197">
        <f>BN197*10^6</f>
        <v>433263900</v>
      </c>
      <c r="BP197" t="s">
        <v>232</v>
      </c>
      <c r="BQ197" s="300" t="s">
        <v>3398</v>
      </c>
      <c r="BR197" t="s">
        <v>1359</v>
      </c>
      <c r="BS197">
        <v>3668.4697431</v>
      </c>
      <c r="BT197">
        <v>3579.9394861999999</v>
      </c>
      <c r="BU197" s="144">
        <f>IFERROR(BT197/BS197,"")</f>
        <v>0.9758672517153737</v>
      </c>
      <c r="BV197" s="144">
        <f>BT197-BS197</f>
        <v>-88.53025690000004</v>
      </c>
      <c r="BW197" s="144"/>
      <c r="BX197">
        <f>BV197*10^6*C_to_CO2</f>
        <v>-324906042.82300013</v>
      </c>
      <c r="BY197">
        <f>IFERROR(BX197/BO197,"")</f>
        <v>-0.74990333333333359</v>
      </c>
      <c r="BZ197">
        <v>0</v>
      </c>
      <c r="CA197">
        <v>0</v>
      </c>
      <c r="CB197">
        <v>0</v>
      </c>
      <c r="CC197">
        <v>0</v>
      </c>
      <c r="CD197">
        <v>0</v>
      </c>
      <c r="CE197">
        <v>0</v>
      </c>
      <c r="CF197">
        <v>0</v>
      </c>
      <c r="CG197">
        <v>0</v>
      </c>
      <c r="CH197">
        <v>0</v>
      </c>
      <c r="CI197">
        <v>0</v>
      </c>
      <c r="CJ197">
        <v>0</v>
      </c>
      <c r="CK197">
        <v>0</v>
      </c>
      <c r="CL197">
        <v>0</v>
      </c>
      <c r="CM197">
        <v>0</v>
      </c>
      <c r="CN197" t="str">
        <f>IF($BL197&lt;$BK197,"refNeedCorrection","refOK")</f>
        <v>refOK</v>
      </c>
      <c r="CO197">
        <f>IF($CN197="refNeedCorrection",BL197,BK197)</f>
        <v>433.26389999999998</v>
      </c>
      <c r="CP197">
        <f>IF($CN197="refNeedCorrection",BK197,BL197)</f>
        <v>866.52779999999996</v>
      </c>
      <c r="CQ197">
        <f>IF($CN197="refOK",$BO197,-$BO197)</f>
        <v>433263900</v>
      </c>
      <c r="CR197">
        <f>IF($CN197="refOK",$BS197,$BT197)*IF($BP197="Emissions positive",-1,1)</f>
        <v>3668.4697431</v>
      </c>
      <c r="CS197">
        <f>IF($CN197="refOK",$BT197,$BS197)*IF($BP197="Emissions positive",-1,1)</f>
        <v>3579.9394861999999</v>
      </c>
      <c r="CT197">
        <f>IF($CN197="refNeedCorrection",-BX197,BX197)*IF($BP197="Emissions positive",-1,1)</f>
        <v>-324906042.82300013</v>
      </c>
      <c r="CU197">
        <f>IFERROR(CT197/CQ197,"")</f>
        <v>-0.74990333333333359</v>
      </c>
      <c r="CV197" s="2">
        <f>IFERROR((CS197-CR197)/ABS(CR197),"")</f>
        <v>-2.4132748284626308E-2</v>
      </c>
      <c r="CW197" s="1" t="s">
        <v>1199</v>
      </c>
      <c r="CX197" t="str">
        <f>IF(OR($CW197="prd",$CW197="std",$CW197="cit"),"loc",IF(OR($CW197="eur",$CW197="reg",$CW197="coy"),"reg",$CW197))</f>
        <v>reg</v>
      </c>
      <c r="CY197" t="s">
        <v>540</v>
      </c>
      <c r="CZ197">
        <v>2020</v>
      </c>
      <c r="DA197">
        <v>2050</v>
      </c>
      <c r="DB197">
        <f>DA197-CZ197</f>
        <v>30</v>
      </c>
      <c r="DC197" t="str">
        <f>IF(DB197=0,"0",IF(AND(DB197&gt;=1,DB197&lt;=30),"1-30",IF(AND(DB197&gt;30,DB197&lt;=70),"31-70",IF(AND(DB197&gt;70,DB197&lt;=100),"71-100",IF(DB197&gt;100,"+100")))))</f>
        <v>1-30</v>
      </c>
      <c r="DD197">
        <v>1</v>
      </c>
      <c r="DE197">
        <v>1</v>
      </c>
      <c r="DF197">
        <v>1</v>
      </c>
      <c r="DG197">
        <v>1</v>
      </c>
      <c r="DH197"/>
      <c r="DI197">
        <f>SUM(DD197:DG197)</f>
        <v>4</v>
      </c>
      <c r="DJ197" t="str">
        <f>IF(DI197=1,INDEX($DD$7:$DG$7,MATCH(1,$DD197:$DG197,0)),"mixedProduct")</f>
        <v>mixedProduct</v>
      </c>
      <c r="DK197" t="str">
        <f>IF(DD197=1,DK$7,0)</f>
        <v>Upstream</v>
      </c>
      <c r="DL197" t="str">
        <f>IF(DE197=1,DL$7,0)</f>
        <v>Energy</v>
      </c>
      <c r="DM197" t="str">
        <f>IF(DF197=1,DM$7,0)</f>
        <v>Pulp/Paper</v>
      </c>
      <c r="DN197" t="str">
        <f>IF(DG197=1,DN$7,0)</f>
        <v>Timber</v>
      </c>
      <c r="DO197">
        <v>0</v>
      </c>
      <c r="DP197">
        <v>1</v>
      </c>
      <c r="DQ197">
        <v>0</v>
      </c>
      <c r="DR197" t="s">
        <v>2380</v>
      </c>
      <c r="DS197">
        <v>0</v>
      </c>
      <c r="DT197">
        <f>SUM(DO197:DP197)</f>
        <v>1</v>
      </c>
      <c r="DU197" s="143" t="str">
        <f>IF(DO197=1,"self-calculated DF",IF(DP197=1,"external DF used","explicit C balance"))</f>
        <v>external DF used</v>
      </c>
      <c r="DV197">
        <v>1</v>
      </c>
      <c r="DW197">
        <v>1</v>
      </c>
      <c r="DX197">
        <v>1</v>
      </c>
      <c r="DY197">
        <v>1</v>
      </c>
      <c r="DZ197">
        <v>1</v>
      </c>
      <c r="EA197" s="143">
        <v>1</v>
      </c>
      <c r="EB197">
        <v>1</v>
      </c>
      <c r="EC197">
        <v>1</v>
      </c>
      <c r="ED197">
        <v>0</v>
      </c>
      <c r="EE197">
        <v>0</v>
      </c>
      <c r="EF197">
        <v>1</v>
      </c>
      <c r="EG197">
        <v>0</v>
      </c>
      <c r="EH197">
        <v>0</v>
      </c>
      <c r="EI197" s="2">
        <v>0</v>
      </c>
      <c r="EJ197" s="1"/>
      <c r="EK197" t="str">
        <f>IF(AND(AND(AND(OR($DX197=1,$DW197=1),OR($EC197=1,$EA197=1)),SUM($DV197:$DZ197,$EF197)&gt;=4),SUM($EA197:$EE197)&gt;=2),"Whole sector","")</f>
        <v>Whole sector</v>
      </c>
      <c r="EL197" t="str">
        <f>IF(AND(AND(OR($DX197=1,$DW197=1),AND($EC197=0,$EA197=0)),SUM($DV197:$DZ197,$EF197)&gt;=4),"Ecosystem approach","")</f>
        <v/>
      </c>
      <c r="EM197" s="2" t="str">
        <f>IF(AND(AND(AND($DX197=0,$DW197=0),OR($EC197=1,$EA197=1)),SUM($EB197:$EE197)&gt;=2),"Technology approach","")</f>
        <v/>
      </c>
      <c r="EN197" t="s">
        <v>2377</v>
      </c>
      <c r="EO197"/>
      <c r="EP197" t="str">
        <f>IF(ISNUMBER(BU197),IF(ABS(BU197-[4]QC_indicators!$B$2)&gt;3*[4]QC_indicators!$C$2,"C ratio",IF(ISNUMBER(BY197),IF(ABS(BY197-[4]QC_indicators!$B$1)&gt;3*[4]QC_indicators!$C$1,"DF","no"))),IF(ISNUMBER(BY197),IF(ABS(BY197-[4]QC_indicators!$B$1)&gt;3*[4]QC_indicators!$C$1,"DF","no")))</f>
        <v>no</v>
      </c>
      <c r="EQ197" t="s">
        <v>2378</v>
      </c>
      <c r="ER197"/>
      <c r="ES197"/>
      <c r="ET197" s="305" t="s">
        <v>3408</v>
      </c>
      <c r="EU197"/>
    </row>
    <row r="198" spans="1:151" s="139" customFormat="1" ht="15" customHeight="1">
      <c r="A198" s="1" t="s">
        <v>1400</v>
      </c>
      <c r="B198" t="s">
        <v>1401</v>
      </c>
      <c r="C198" t="s">
        <v>1402</v>
      </c>
      <c r="D198" t="s">
        <v>1403</v>
      </c>
      <c r="E198" t="s">
        <v>1404</v>
      </c>
      <c r="F198" t="s">
        <v>1405</v>
      </c>
      <c r="G198" t="s">
        <v>1406</v>
      </c>
      <c r="H198" t="s">
        <v>254</v>
      </c>
      <c r="I198">
        <v>2021</v>
      </c>
      <c r="J198">
        <v>0</v>
      </c>
      <c r="K198" t="s">
        <v>1407</v>
      </c>
      <c r="L198"/>
      <c r="M198" t="str">
        <f>LEFT($D198,FIND(",",$D198)-1)&amp;"_"&amp;I198&amp;L198</f>
        <v>Dugan_2021</v>
      </c>
      <c r="N198" t="s">
        <v>222</v>
      </c>
      <c r="O198" s="145" t="s">
        <v>274</v>
      </c>
      <c r="P198"/>
      <c r="Q198" t="s">
        <v>256</v>
      </c>
      <c r="R198" s="255" t="s">
        <v>225</v>
      </c>
      <c r="S198" s="1" t="s">
        <v>314</v>
      </c>
      <c r="T198" t="s">
        <v>1413</v>
      </c>
      <c r="U198" t="s">
        <v>1111</v>
      </c>
      <c r="V198">
        <v>0</v>
      </c>
      <c r="W198">
        <v>0</v>
      </c>
      <c r="X198">
        <v>1</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s="141">
        <f>COUNTIF(V198:AW198,"&lt;&gt;0")</f>
        <v>1</v>
      </c>
      <c r="AY198" s="141">
        <f>COUNTIF(V198:AL198,"&lt;&gt;0")</f>
        <v>1</v>
      </c>
      <c r="AZ198">
        <f>COUNTIF(V198:AC198,"&lt;&gt;0")</f>
        <v>1</v>
      </c>
      <c r="BA198">
        <f>COUNTIF(AD198:AI198,"&lt;&gt;0")</f>
        <v>0</v>
      </c>
      <c r="BB198">
        <f>COUNTIF(AJ198:AL198,"&lt;&gt;0")</f>
        <v>0</v>
      </c>
      <c r="BC198">
        <f>COUNTIF(AS198:AW198,"&lt;&gt;0")</f>
        <v>0</v>
      </c>
      <c r="BD198">
        <f>COUNTIF(AM198:AR198,"&lt;&gt;0")</f>
        <v>0</v>
      </c>
      <c r="BE198" t="str">
        <f t="array" ref="BE198">IF(AY198=1,INDEX($V$7:$AL$7,MATCH(TRUE,INDEX($V198:$AW198&lt;&gt;0,),0)),IF(AY198=0,INDEX($AM$7:$AW$7,MATCH(1,$AM198:$AW198,0)),IF(BF198="Multiple strategies","mixed drivers",IF(BF198="Supply chain","multiple supply","multiple silviculture"))))</f>
        <v>rotation length</v>
      </c>
      <c r="BF198" s="2" t="str" cm="1">
        <f t="array" ref="BF198">IF(COUNTIF(AZ198:BB198,"&lt;&gt;0")=1,INDEX($V$4:$AW$4,MATCH(TRUE,INDEX($V198:$AW198&lt;&gt;0,),0)),IF(COUNTIF(AZ198:BB198,"&lt;&gt;0")=0,INDEX($AM$4:$AW$4,MATCH(1,$AM198:$AW198,0)),"Multiple strategies"))</f>
        <v>Silviculture for removals</v>
      </c>
      <c r="BG198" s="1" t="s">
        <v>321</v>
      </c>
      <c r="BH198" t="s">
        <v>1410</v>
      </c>
      <c r="BI198" s="260" t="s">
        <v>3318</v>
      </c>
      <c r="BJ198" t="s">
        <v>1359</v>
      </c>
      <c r="BK198" s="264">
        <f>0.9*BL198</f>
        <v>13.148999999999999</v>
      </c>
      <c r="BL198" s="264">
        <v>14.61</v>
      </c>
      <c r="BM198"/>
      <c r="BN198" s="227">
        <f>BL198-BK198</f>
        <v>1.4610000000000003</v>
      </c>
      <c r="BO198">
        <f>BN198*10^6*tC_to_m3</f>
        <v>6343899.2618323937</v>
      </c>
      <c r="BP198" t="s">
        <v>232</v>
      </c>
      <c r="BQ198" s="300" t="s">
        <v>3321</v>
      </c>
      <c r="BR198" t="s">
        <v>1300</v>
      </c>
      <c r="BS198" s="152"/>
      <c r="BT198" s="152"/>
      <c r="BU198" s="144"/>
      <c r="BV198" s="141">
        <v>-4.6286109425494901</v>
      </c>
      <c r="BW198"/>
      <c r="BX198">
        <f>BV198*10^6</f>
        <v>-4628610.9425494904</v>
      </c>
      <c r="BY198">
        <f>IFERROR(BX198/BO198,"")</f>
        <v>-0.72961608492070329</v>
      </c>
      <c r="BZ198">
        <v>0</v>
      </c>
      <c r="CA198">
        <v>0</v>
      </c>
      <c r="CB198">
        <v>0</v>
      </c>
      <c r="CC198">
        <v>0</v>
      </c>
      <c r="CD198">
        <v>0</v>
      </c>
      <c r="CE198">
        <v>0</v>
      </c>
      <c r="CF198">
        <v>0</v>
      </c>
      <c r="CG198">
        <v>0</v>
      </c>
      <c r="CH198">
        <v>0</v>
      </c>
      <c r="CI198">
        <v>0</v>
      </c>
      <c r="CJ198">
        <v>0</v>
      </c>
      <c r="CK198">
        <v>0</v>
      </c>
      <c r="CL198">
        <v>0</v>
      </c>
      <c r="CM198">
        <v>0</v>
      </c>
      <c r="CN198" t="str">
        <f>IF(BL198&lt;BK198,"refNeedCorrection","refOK")</f>
        <v>refOK</v>
      </c>
      <c r="CO198"/>
      <c r="CP198"/>
      <c r="CQ198">
        <f>IF($CN198="refNeedCorrection",-BO198,BO198)</f>
        <v>6343899.2618323937</v>
      </c>
      <c r="CR198">
        <f>IF($CN198="refOK",$BS198,$BT198)*IF($BP198="Emissions positive",-1,1)</f>
        <v>0</v>
      </c>
      <c r="CS198">
        <f>IF($CN198="refOK",$BT198,$BS198)*IF($BP198="Emissions positive",-1,1)</f>
        <v>0</v>
      </c>
      <c r="CT198">
        <f>IF($CN198="refNeedCorrection",-BX198,BX198)*IF($BP198="Emissions positive",-1,1)</f>
        <v>-4628610.9425494904</v>
      </c>
      <c r="CU198">
        <f>IFERROR(CT198/CQ198,"")</f>
        <v>-0.72961608492070329</v>
      </c>
      <c r="CV198" s="2" t="str">
        <f>IFERROR((CS198-CR198)/ABS(CR198),"")</f>
        <v/>
      </c>
      <c r="CW198" s="1" t="s">
        <v>1199</v>
      </c>
      <c r="CX198" t="str">
        <f>IF(OR($CW198="prd",$CW198="std",$CW198="cit"),"loc",IF(OR($CW198="eur",$CW198="reg",$CW198="coy"),"reg",$CW198))</f>
        <v>reg</v>
      </c>
      <c r="CY198" t="s">
        <v>428</v>
      </c>
      <c r="CZ198">
        <v>2020</v>
      </c>
      <c r="DA198">
        <v>2050</v>
      </c>
      <c r="DB198">
        <v>30</v>
      </c>
      <c r="DC198" t="str">
        <f>IF(DB198=0,"0",IF(AND(DB198&gt;=1,DB198&lt;=30),"1-30",IF(AND(DB198&gt;30,DB198&lt;=70),"31-70",IF(AND(DB198&gt;70,DB198&lt;=100),"71-100",IF(DB198&gt;100,"+100")))))</f>
        <v>1-30</v>
      </c>
      <c r="DD198">
        <v>0</v>
      </c>
      <c r="DE198">
        <v>1</v>
      </c>
      <c r="DF198">
        <v>1</v>
      </c>
      <c r="DG198">
        <v>1</v>
      </c>
      <c r="DH198"/>
      <c r="DI198">
        <f>SUM(DD198:DG198)</f>
        <v>3</v>
      </c>
      <c r="DJ198" t="str">
        <f>IF(DI198=1,INDEX($DD$7:$DG$7,MATCH(1,$DD198:$DG198,0)),"mixedProduct")</f>
        <v>mixedProduct</v>
      </c>
      <c r="DK198">
        <f>IF(DD198=1,DK$7,0)</f>
        <v>0</v>
      </c>
      <c r="DL198" t="str">
        <f>IF(DE198=1,DL$7,0)</f>
        <v>Energy</v>
      </c>
      <c r="DM198" t="str">
        <f>IF(DF198=1,DM$7,0)</f>
        <v>Pulp/Paper</v>
      </c>
      <c r="DN198" t="str">
        <f>IF(DG198=1,DN$7,0)</f>
        <v>Timber</v>
      </c>
      <c r="DO198">
        <v>0</v>
      </c>
      <c r="DP198">
        <v>1</v>
      </c>
      <c r="DQ198" t="s">
        <v>1411</v>
      </c>
      <c r="DR198" t="s">
        <v>1412</v>
      </c>
      <c r="DS198">
        <v>0</v>
      </c>
      <c r="DT198">
        <f>SUM(DO198:DP198)</f>
        <v>1</v>
      </c>
      <c r="DU198" s="143" t="str">
        <f>IF(DO198=1,"self-calculated DF",IF(DP198=1,"external DF used","explicit C balance"))</f>
        <v>external DF used</v>
      </c>
      <c r="DV198">
        <v>1</v>
      </c>
      <c r="DW198">
        <v>1</v>
      </c>
      <c r="DX198">
        <v>1</v>
      </c>
      <c r="DY198">
        <v>0</v>
      </c>
      <c r="DZ198">
        <v>0</v>
      </c>
      <c r="EA198" s="143">
        <v>0</v>
      </c>
      <c r="EB198">
        <v>0</v>
      </c>
      <c r="EC198">
        <v>0</v>
      </c>
      <c r="ED198">
        <v>0</v>
      </c>
      <c r="EE198">
        <v>0</v>
      </c>
      <c r="EF198">
        <v>1</v>
      </c>
      <c r="EG198" s="143">
        <v>0</v>
      </c>
      <c r="EH198" s="143">
        <v>0</v>
      </c>
      <c r="EI198" s="2">
        <v>0</v>
      </c>
      <c r="EJ198" s="1"/>
      <c r="EK198" t="str">
        <f>IF(AND(AND(AND(OR($DX198=1,$DW198=1),OR($EC198=1,$EA198=1)),SUM($DV198:$DZ198,$EF198)&gt;=4),SUM($EA198:$EE198)&gt;=2),"Whole sector","")</f>
        <v/>
      </c>
      <c r="EL198" t="str">
        <f>IF(AND(AND(OR($DX198=1,$DW198=1),AND($EC198=0,$EA198=0)),SUM($DV198:$DZ198,$EF198)&gt;=4),"Ecosystem approach","")</f>
        <v>Ecosystem approach</v>
      </c>
      <c r="EM198" s="2" t="str">
        <f>IF(AND(AND(AND($DX198=0,$DW198=0),OR($EC198=1,$EA198=1)),SUM($EB198:$EE198)&gt;=2),"Technology approach","")</f>
        <v/>
      </c>
      <c r="EN198"/>
      <c r="EO198"/>
      <c r="EP198" t="str">
        <f>IF(ISNUMBER(BU198),IF(ABS(BU198-[4]QC_indicators!$B$2)&gt;3*[4]QC_indicators!$C$2,"C ratio",IF(ISNUMBER(BY198),IF(ABS(BY198-[4]QC_indicators!$B$1)&gt;3*[4]QC_indicators!$C$1,"DF","no"))),IF(ISNUMBER(BY198),IF(ABS(BY198-[4]QC_indicators!$B$1)&gt;3*[4]QC_indicators!$C$1,"DF","no")))</f>
        <v>no</v>
      </c>
      <c r="EQ198" t="s">
        <v>286</v>
      </c>
      <c r="ER198" s="149" t="s">
        <v>349</v>
      </c>
      <c r="ES198"/>
      <c r="ET198" s="264" t="s">
        <v>3273</v>
      </c>
      <c r="EU198"/>
    </row>
    <row r="199" spans="1:151" s="139" customFormat="1" ht="15" customHeight="1">
      <c r="A199" s="1" t="s">
        <v>1808</v>
      </c>
      <c r="B199" t="s">
        <v>2475</v>
      </c>
      <c r="C199" t="s">
        <v>2476</v>
      </c>
      <c r="D199" t="s">
        <v>2477</v>
      </c>
      <c r="E199" t="s">
        <v>2478</v>
      </c>
      <c r="F199" t="s">
        <v>2479</v>
      </c>
      <c r="G199" t="s">
        <v>1814</v>
      </c>
      <c r="H199" t="s">
        <v>254</v>
      </c>
      <c r="I199">
        <v>2010</v>
      </c>
      <c r="J199">
        <v>100</v>
      </c>
      <c r="K199" t="s">
        <v>2480</v>
      </c>
      <c r="L199"/>
      <c r="M199" t="str">
        <f>LEFT($D199,FIND(",",$D199)-1)&amp;"_"&amp;I199&amp;L199</f>
        <v>Werner_2010</v>
      </c>
      <c r="N199" t="s">
        <v>222</v>
      </c>
      <c r="O199" s="145" t="s">
        <v>1154</v>
      </c>
      <c r="P199"/>
      <c r="Q199" t="s">
        <v>256</v>
      </c>
      <c r="R199" s="262" t="s">
        <v>223</v>
      </c>
      <c r="S199" s="1" t="s">
        <v>2481</v>
      </c>
      <c r="T199" t="s">
        <v>2482</v>
      </c>
      <c r="U199" t="s">
        <v>2486</v>
      </c>
      <c r="V199">
        <v>1</v>
      </c>
      <c r="W199">
        <v>0</v>
      </c>
      <c r="X199">
        <v>2</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s="141">
        <f>COUNTIF(V199:AW199,"&lt;&gt;0")</f>
        <v>2</v>
      </c>
      <c r="AY199" s="141">
        <f>COUNTIF(V199:AL199,"&lt;&gt;0")</f>
        <v>2</v>
      </c>
      <c r="AZ199">
        <f>COUNTIF(V199:AC199,"&lt;&gt;0")</f>
        <v>2</v>
      </c>
      <c r="BA199">
        <f>COUNTIF(AD199:AI199,"&lt;&gt;0")</f>
        <v>0</v>
      </c>
      <c r="BB199">
        <f>COUNTIF(AJ199:AL199,"&lt;&gt;0")</f>
        <v>0</v>
      </c>
      <c r="BC199">
        <f>COUNTIF(AS199:AW199,"&lt;&gt;0")</f>
        <v>0</v>
      </c>
      <c r="BD199">
        <f>COUNTIF(AM199:AR199,"&lt;&gt;0")</f>
        <v>0</v>
      </c>
      <c r="BE199" t="str">
        <f t="array" ref="BE199">IF(AY199=1,INDEX($V$7:$AL$7,MATCH(TRUE,INDEX($V199:$AW199&lt;&gt;0,),0)),IF(AY199=0,INDEX($AM$7:$AW$7,MATCH(1,$AM199:$AW199,0)),IF(BF199="Multiple strategies","mixed drivers",IF(BF199="Supply chain","multiple supply","multiple silviculture"))))</f>
        <v>multiple silviculture</v>
      </c>
      <c r="BF199" s="2" t="str" cm="1">
        <f t="array" ref="BF199">IF(COUNTIF(AZ199:BB199,"&lt;&gt;0")=1,INDEX($V$4:$AW$4,MATCH(TRUE,INDEX($V199:$AW199&lt;&gt;0,),0)),IF(COUNTIF(AZ199:BB199,"&lt;&gt;0")=0,INDEX($AM$4:$AW$4,MATCH(1,$AM199:$AW199,0)),"Multiple strategies"))</f>
        <v>Silviculture for removals</v>
      </c>
      <c r="BG199" s="1" t="s">
        <v>321</v>
      </c>
      <c r="BH199" t="s">
        <v>2453</v>
      </c>
      <c r="BI199" s="264" t="s">
        <v>3252</v>
      </c>
      <c r="BJ199" t="s">
        <v>1323</v>
      </c>
      <c r="BK199">
        <v>210</v>
      </c>
      <c r="BL199">
        <v>457.5</v>
      </c>
      <c r="BM199" s="143">
        <f>BL199/BK199</f>
        <v>2.1785714285714284</v>
      </c>
      <c r="BN199">
        <f>BL199-BK199</f>
        <v>247.5</v>
      </c>
      <c r="BO199">
        <f>BN199*10^6</f>
        <v>247500000</v>
      </c>
      <c r="BP199" t="s">
        <v>232</v>
      </c>
      <c r="BQ199" s="303" t="s">
        <v>3253</v>
      </c>
      <c r="BR199" t="s">
        <v>2325</v>
      </c>
      <c r="BS199">
        <v>385.51880535301569</v>
      </c>
      <c r="BT199">
        <v>205.40939665276349</v>
      </c>
      <c r="BU199" s="144">
        <f>IFERROR(BT199/BS199,"")</f>
        <v>0.53281291029285116</v>
      </c>
      <c r="BV199" s="144">
        <f>BT199-BS199</f>
        <v>-180.1094087002522</v>
      </c>
      <c r="BW199" s="144"/>
      <c r="BX199">
        <f>BV199*10^6</f>
        <v>-180109408.70025221</v>
      </c>
      <c r="BY199">
        <f>IFERROR(BX199/BO199,"")</f>
        <v>-0.72771478262728162</v>
      </c>
      <c r="BZ199">
        <v>0</v>
      </c>
      <c r="CA199">
        <v>0</v>
      </c>
      <c r="CB199">
        <v>0</v>
      </c>
      <c r="CC199">
        <v>0</v>
      </c>
      <c r="CD199">
        <v>0</v>
      </c>
      <c r="CE199">
        <v>0</v>
      </c>
      <c r="CF199">
        <v>0</v>
      </c>
      <c r="CG199">
        <v>0</v>
      </c>
      <c r="CH199">
        <v>0</v>
      </c>
      <c r="CI199">
        <v>0</v>
      </c>
      <c r="CJ199">
        <v>0</v>
      </c>
      <c r="CK199">
        <v>0</v>
      </c>
      <c r="CL199">
        <v>0</v>
      </c>
      <c r="CM199">
        <v>1</v>
      </c>
      <c r="CN199" t="str">
        <f>IF($BL199&lt;$BK199,"refNeedCorrection","refOK")</f>
        <v>refOK</v>
      </c>
      <c r="CO199">
        <f>IF($CN199="refNeedCorrection",BL199,BK199)</f>
        <v>210</v>
      </c>
      <c r="CP199">
        <f>IF($CN199="refNeedCorrection",BK199,BL199)</f>
        <v>457.5</v>
      </c>
      <c r="CQ199">
        <f>IF($CN199="refOK",$BO199,-$BO199)</f>
        <v>247500000</v>
      </c>
      <c r="CR199">
        <f>IF($CN199="refOK",$BS199,$BT199)*IF($BP199="Emissions positive",-1,1)</f>
        <v>385.51880535301569</v>
      </c>
      <c r="CS199">
        <f>IF($CN199="refOK",$BT199,$BS199)*IF($BP199="Emissions positive",-1,1)</f>
        <v>205.40939665276349</v>
      </c>
      <c r="CT199">
        <f>IF($CN199="refNeedCorrection",-BX199,BX199)*IF($BP199="Emissions positive",-1,1)</f>
        <v>-180109408.70025221</v>
      </c>
      <c r="CU199">
        <f>IFERROR(CT199/CQ199,"")</f>
        <v>-0.72771478262728162</v>
      </c>
      <c r="CV199" s="2">
        <f>IFERROR((CS199-CR199)/ABS(CR199),"")</f>
        <v>-0.46718708970714884</v>
      </c>
      <c r="CW199" s="1" t="s">
        <v>1203</v>
      </c>
      <c r="CX199" t="str">
        <f>IF(OR($CW199="prd",$CW199="std",$CW199="cit"),"loc",IF(OR($CW199="eur",$CW199="reg",$CW199="coy"),"reg",$CW199))</f>
        <v>reg</v>
      </c>
      <c r="CY199" t="s">
        <v>639</v>
      </c>
      <c r="CZ199">
        <v>2000</v>
      </c>
      <c r="DA199">
        <v>2060</v>
      </c>
      <c r="DB199">
        <f>DA199-CZ199</f>
        <v>60</v>
      </c>
      <c r="DC199" t="str">
        <f>IF(DB199=0,"0",IF(AND(DB199&gt;=1,DB199&lt;=30),"1-30",IF(AND(DB199&gt;30,DB199&lt;=70),"31-70",IF(AND(DB199&gt;70,DB199&lt;=100),"71-100",IF(DB199&gt;100,"+100")))))</f>
        <v>31-70</v>
      </c>
      <c r="DD199">
        <v>1</v>
      </c>
      <c r="DE199">
        <v>0</v>
      </c>
      <c r="DF199">
        <v>0</v>
      </c>
      <c r="DG199">
        <v>0</v>
      </c>
      <c r="DH199">
        <v>0</v>
      </c>
      <c r="DI199">
        <f>SUM(DD199:DG199)</f>
        <v>1</v>
      </c>
      <c r="DJ199" t="str">
        <f>IF(DI199=1,INDEX($DD$7:$DG$7,MATCH(1,$DD199:$DG199,0)),"mixedProduct")</f>
        <v>UpstreamInput</v>
      </c>
      <c r="DK199" t="str">
        <f>IF(DD199=1,DK$7,0)</f>
        <v>Upstream</v>
      </c>
      <c r="DL199">
        <f>IF(DE199=1,DL$7,0)</f>
        <v>0</v>
      </c>
      <c r="DM199">
        <f>IF(DF199=1,DM$7,0)</f>
        <v>0</v>
      </c>
      <c r="DN199">
        <f>IF(DG199=1,DN$7,0)</f>
        <v>0</v>
      </c>
      <c r="DO199">
        <v>0</v>
      </c>
      <c r="DP199">
        <v>0</v>
      </c>
      <c r="DQ199"/>
      <c r="DR199"/>
      <c r="DS199"/>
      <c r="DT199">
        <f>SUM(DO199:DP199)</f>
        <v>0</v>
      </c>
      <c r="DU199" s="143" t="str">
        <f>IF(DO199=1,"self-calculated DF",IF(DP199=1,"external DF used","explicit C balance"))</f>
        <v>explicit C balance</v>
      </c>
      <c r="DV199">
        <v>1</v>
      </c>
      <c r="DW199">
        <v>1</v>
      </c>
      <c r="DX199">
        <v>1</v>
      </c>
      <c r="DY199">
        <v>1</v>
      </c>
      <c r="DZ199">
        <v>0</v>
      </c>
      <c r="EA199" s="143">
        <v>0</v>
      </c>
      <c r="EB199">
        <v>0</v>
      </c>
      <c r="EC199">
        <v>0</v>
      </c>
      <c r="ED199">
        <v>0</v>
      </c>
      <c r="EE199">
        <v>0</v>
      </c>
      <c r="EF199">
        <v>1</v>
      </c>
      <c r="EG199">
        <v>0</v>
      </c>
      <c r="EH199">
        <v>0</v>
      </c>
      <c r="EI199" s="2">
        <v>0</v>
      </c>
      <c r="EJ199" s="1"/>
      <c r="EK199" t="str">
        <f>IF(AND(AND(AND(OR($DX199=1,$DW199=1),OR($EC199=1,$EA199=1)),SUM($DV199:$DZ199,$EF199)&gt;=4),SUM($EA199:$EE199)&gt;=2),"Whole sector","")</f>
        <v/>
      </c>
      <c r="EL199" t="str">
        <f>IF(AND(AND(OR($DX199=1,$DW199=1),AND($EC199=0,$EA199=0)),SUM($DV199:$DZ199,$EF199)&gt;=4),"Ecosystem approach","")</f>
        <v>Ecosystem approach</v>
      </c>
      <c r="EM199" s="2" t="str">
        <f>IF(AND(AND(AND($DX199=0,$DW199=0),OR($EC199=1,$EA199=1)),SUM($EB199:$EE199)&gt;=2),"Technology approach","")</f>
        <v/>
      </c>
      <c r="EN199" t="s">
        <v>2485</v>
      </c>
      <c r="EO199"/>
      <c r="EP199" t="str">
        <f>IF(ISNUMBER(BU199),IF(ABS(BU199-[1]QC_indicators!$B$2)&gt;3*[1]QC_indicators!$C$2,"C ratio",IF(ISNUMBER(BY199),IF(ABS(BY199-[1]QC_indicators!$B$1)&gt;3*[1]QC_indicators!$C$1,"DF","no"))),IF(ISNUMBER(BY199),IF(ABS(BY199-[1]QC_indicators!$B$1)&gt;3*[1]QC_indicators!$C$1,"DF","no")))</f>
        <v>no</v>
      </c>
      <c r="EQ199"/>
      <c r="ER199"/>
      <c r="ES199"/>
      <c r="ET199" s="264" t="s">
        <v>3254</v>
      </c>
      <c r="EU199"/>
    </row>
    <row r="200" spans="1:151" s="139" customFormat="1" ht="15" customHeight="1">
      <c r="A200" s="1" t="s">
        <v>1808</v>
      </c>
      <c r="B200" t="s">
        <v>2475</v>
      </c>
      <c r="C200" t="s">
        <v>2476</v>
      </c>
      <c r="D200" t="s">
        <v>2477</v>
      </c>
      <c r="E200" t="s">
        <v>2478</v>
      </c>
      <c r="F200" t="s">
        <v>2479</v>
      </c>
      <c r="G200" t="s">
        <v>1814</v>
      </c>
      <c r="H200" t="s">
        <v>254</v>
      </c>
      <c r="I200">
        <v>2010</v>
      </c>
      <c r="J200">
        <v>100</v>
      </c>
      <c r="K200" t="s">
        <v>2480</v>
      </c>
      <c r="L200"/>
      <c r="M200" t="str">
        <f>LEFT($D200,FIND(",",$D200)-1)&amp;"_"&amp;I200&amp;L200</f>
        <v>Werner_2010</v>
      </c>
      <c r="N200" t="s">
        <v>222</v>
      </c>
      <c r="O200" s="145" t="s">
        <v>1154</v>
      </c>
      <c r="P200"/>
      <c r="Q200" t="s">
        <v>256</v>
      </c>
      <c r="R200" s="262" t="s">
        <v>223</v>
      </c>
      <c r="S200" s="263" t="s">
        <v>3255</v>
      </c>
      <c r="T200" t="s">
        <v>2482</v>
      </c>
      <c r="U200" t="s">
        <v>2488</v>
      </c>
      <c r="V200">
        <v>2</v>
      </c>
      <c r="W200">
        <v>0</v>
      </c>
      <c r="X200">
        <v>1</v>
      </c>
      <c r="Y200">
        <v>2</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s="141">
        <f>COUNTIF(V200:AW200,"&lt;&gt;0")</f>
        <v>3</v>
      </c>
      <c r="AY200" s="141">
        <f>COUNTIF(V200:AL200,"&lt;&gt;0")</f>
        <v>3</v>
      </c>
      <c r="AZ200">
        <f>COUNTIF(V200:AC200,"&lt;&gt;0")</f>
        <v>3</v>
      </c>
      <c r="BA200">
        <f>COUNTIF(AD200:AI200,"&lt;&gt;0")</f>
        <v>0</v>
      </c>
      <c r="BB200">
        <f>COUNTIF(AJ200:AL200,"&lt;&gt;0")</f>
        <v>0</v>
      </c>
      <c r="BC200">
        <f>COUNTIF(AS200:AW200,"&lt;&gt;0")</f>
        <v>0</v>
      </c>
      <c r="BD200">
        <f>COUNTIF(AM200:AR200,"&lt;&gt;0")</f>
        <v>0</v>
      </c>
      <c r="BE200" t="str">
        <f t="array" ref="BE200">IF(AY200=1,INDEX($V$7:$AL$7,MATCH(TRUE,INDEX($V200:$AW200&lt;&gt;0,),0)),IF(AY200=0,INDEX($AM$7:$AW$7,MATCH(1,$AM200:$AW200,0)),IF(BF200="Multiple strategies","mixed drivers",IF(BF200="Supply chain","multiple supply","multiple silviculture"))))</f>
        <v>multiple silviculture</v>
      </c>
      <c r="BF200" s="2" t="str" cm="1">
        <f t="array" ref="BF200">IF(COUNTIF(AZ200:BB200,"&lt;&gt;0")=1,INDEX($V$4:$AW$4,MATCH(TRUE,INDEX($V200:$AW200&lt;&gt;0,),0)),IF(COUNTIF(AZ200:BB200,"&lt;&gt;0")=0,INDEX($AM$4:$AW$4,MATCH(1,$AM200:$AW200,0)),"Multiple strategies"))</f>
        <v>Silviculture for removals</v>
      </c>
      <c r="BG200" s="1" t="s">
        <v>321</v>
      </c>
      <c r="BH200" t="s">
        <v>2453</v>
      </c>
      <c r="BI200" s="264" t="s">
        <v>3252</v>
      </c>
      <c r="BJ200" t="s">
        <v>1323</v>
      </c>
      <c r="BK200">
        <v>300</v>
      </c>
      <c r="BL200">
        <v>765</v>
      </c>
      <c r="BM200" s="143">
        <f>BL200/BK200</f>
        <v>2.5499999999999998</v>
      </c>
      <c r="BN200">
        <f>BL200-BK200</f>
        <v>465</v>
      </c>
      <c r="BO200">
        <f>BN200*10^6</f>
        <v>465000000</v>
      </c>
      <c r="BP200" t="s">
        <v>232</v>
      </c>
      <c r="BQ200" s="303" t="s">
        <v>3253</v>
      </c>
      <c r="BR200" t="s">
        <v>2325</v>
      </c>
      <c r="BS200">
        <v>350.30815678968798</v>
      </c>
      <c r="BT200">
        <v>39.211061963691201</v>
      </c>
      <c r="BU200" s="144">
        <f>IFERROR(BT200/BS200,"")</f>
        <v>0.11193305437998141</v>
      </c>
      <c r="BV200" s="144">
        <f>BT200-BS200</f>
        <v>-311.09709482599681</v>
      </c>
      <c r="BW200" s="144"/>
      <c r="BX200">
        <f>BV200*10^6</f>
        <v>-311097094.82599682</v>
      </c>
      <c r="BY200">
        <f>IFERROR(BX200/BO200,"")</f>
        <v>-0.66902601037848775</v>
      </c>
      <c r="BZ200">
        <v>0</v>
      </c>
      <c r="CA200">
        <v>0</v>
      </c>
      <c r="CB200">
        <v>0</v>
      </c>
      <c r="CC200">
        <v>0</v>
      </c>
      <c r="CD200">
        <v>0</v>
      </c>
      <c r="CE200">
        <v>0</v>
      </c>
      <c r="CF200">
        <v>0</v>
      </c>
      <c r="CG200">
        <v>0</v>
      </c>
      <c r="CH200">
        <v>0</v>
      </c>
      <c r="CI200">
        <v>0</v>
      </c>
      <c r="CJ200">
        <v>0</v>
      </c>
      <c r="CK200">
        <v>0</v>
      </c>
      <c r="CL200">
        <v>0</v>
      </c>
      <c r="CM200">
        <v>1</v>
      </c>
      <c r="CN200" t="str">
        <f>IF($BL200&lt;$BK200,"refNeedCorrection","refOK")</f>
        <v>refOK</v>
      </c>
      <c r="CO200">
        <f>IF($CN200="refNeedCorrection",BL200,BK200)</f>
        <v>300</v>
      </c>
      <c r="CP200">
        <f>IF($CN200="refNeedCorrection",BK200,BL200)</f>
        <v>765</v>
      </c>
      <c r="CQ200">
        <f>IF($CN200="refOK",$BO200,-$BO200)</f>
        <v>465000000</v>
      </c>
      <c r="CR200">
        <f>IF($CN200="refOK",$BS200,$BT200)*IF($BP200="Emissions positive",-1,1)</f>
        <v>350.30815678968798</v>
      </c>
      <c r="CS200">
        <f>IF($CN200="refOK",$BT200,$BS200)*IF($BP200="Emissions positive",-1,1)</f>
        <v>39.211061963691201</v>
      </c>
      <c r="CT200">
        <f>IF($CN200="refNeedCorrection",-BX200,BX200)*IF($BP200="Emissions positive",-1,1)</f>
        <v>-311097094.82599682</v>
      </c>
      <c r="CU200">
        <f>IFERROR(CT200/CQ200,"")</f>
        <v>-0.66902601037848775</v>
      </c>
      <c r="CV200" s="2">
        <f>IFERROR((CS200-CR200)/ABS(CR200),"")</f>
        <v>-0.88806694562001864</v>
      </c>
      <c r="CW200" s="1" t="s">
        <v>1203</v>
      </c>
      <c r="CX200" t="str">
        <f>IF(OR($CW200="prd",$CW200="std",$CW200="cit"),"loc",IF(OR($CW200="eur",$CW200="reg",$CW200="coy"),"reg",$CW200))</f>
        <v>reg</v>
      </c>
      <c r="CY200" t="s">
        <v>639</v>
      </c>
      <c r="CZ200">
        <v>2000</v>
      </c>
      <c r="DA200">
        <v>2090</v>
      </c>
      <c r="DB200">
        <f>DA200-CZ200</f>
        <v>90</v>
      </c>
      <c r="DC200" t="str">
        <f>IF(DB200=0,"0",IF(AND(DB200&gt;=1,DB200&lt;=30),"1-30",IF(AND(DB200&gt;30,DB200&lt;=70),"31-70",IF(AND(DB200&gt;70,DB200&lt;=100),"71-100",IF(DB200&gt;100,"+100")))))</f>
        <v>71-100</v>
      </c>
      <c r="DD200">
        <v>0</v>
      </c>
      <c r="DE200">
        <v>1</v>
      </c>
      <c r="DF200">
        <v>0</v>
      </c>
      <c r="DG200">
        <v>0</v>
      </c>
      <c r="DH200">
        <v>0</v>
      </c>
      <c r="DI200">
        <f>SUM(DD200:DG200)</f>
        <v>1</v>
      </c>
      <c r="DJ200" t="str">
        <f>IF(DI200=1,INDEX($DD$7:$DG$7,MATCH(1,$DD200:$DG200,0)),"mixedProduct")</f>
        <v>EnergyInput</v>
      </c>
      <c r="DK200">
        <f>IF(DD200=1,DK$7,0)</f>
        <v>0</v>
      </c>
      <c r="DL200" t="str">
        <f>IF(DE200=1,DL$7,0)</f>
        <v>Energy</v>
      </c>
      <c r="DM200">
        <f>IF(DF200=1,DM$7,0)</f>
        <v>0</v>
      </c>
      <c r="DN200">
        <f>IF(DG200=1,DN$7,0)</f>
        <v>0</v>
      </c>
      <c r="DO200">
        <v>0</v>
      </c>
      <c r="DP200">
        <v>0</v>
      </c>
      <c r="DQ200"/>
      <c r="DR200"/>
      <c r="DS200"/>
      <c r="DT200">
        <f>SUM(DO200:DP200)</f>
        <v>0</v>
      </c>
      <c r="DU200" s="143" t="str">
        <f>IF(DO200=1,"self-calculated DF",IF(DP200=1,"external DF used","explicit C balance"))</f>
        <v>explicit C balance</v>
      </c>
      <c r="DV200">
        <v>1</v>
      </c>
      <c r="DW200">
        <v>1</v>
      </c>
      <c r="DX200">
        <v>1</v>
      </c>
      <c r="DY200">
        <v>0</v>
      </c>
      <c r="DZ200">
        <v>0</v>
      </c>
      <c r="EA200" s="143">
        <v>0</v>
      </c>
      <c r="EB200">
        <v>0</v>
      </c>
      <c r="EC200">
        <v>0</v>
      </c>
      <c r="ED200">
        <v>0</v>
      </c>
      <c r="EE200">
        <v>0</v>
      </c>
      <c r="EF200">
        <v>1</v>
      </c>
      <c r="EG200">
        <v>0</v>
      </c>
      <c r="EH200">
        <v>0</v>
      </c>
      <c r="EI200" s="2">
        <v>0</v>
      </c>
      <c r="EJ200" s="1"/>
      <c r="EK200" t="str">
        <f>IF(AND(AND(AND(OR($DX200=1,$DW200=1),OR($EC200=1,$EA200=1)),SUM($DV200:$DZ200,$EF200)&gt;=4),SUM($EA200:$EE200)&gt;=2),"Whole sector","")</f>
        <v/>
      </c>
      <c r="EL200" t="str">
        <f>IF(AND(AND(OR($DX200=1,$DW200=1),AND($EC200=0,$EA200=0)),SUM($DV200:$DZ200,$EF200)&gt;=4),"Ecosystem approach","")</f>
        <v>Ecosystem approach</v>
      </c>
      <c r="EM200" s="2" t="str">
        <f>IF(AND(AND(AND($DX200=0,$DW200=0),OR($EC200=1,$EA200=1)),SUM($EB200:$EE200)&gt;=2),"Technology approach","")</f>
        <v/>
      </c>
      <c r="EN200" t="s">
        <v>2485</v>
      </c>
      <c r="EO200"/>
      <c r="EP200" t="str">
        <f>IF(ISNUMBER(BU200),IF(ABS(BU200-[1]QC_indicators!$B$2)&gt;3*[1]QC_indicators!$C$2,"C ratio",IF(ISNUMBER(BY200),IF(ABS(BY200-[1]QC_indicators!$B$1)&gt;3*[1]QC_indicators!$C$1,"DF","no"))),IF(ISNUMBER(BY200),IF(ABS(BY200-[1]QC_indicators!$B$1)&gt;3*[1]QC_indicators!$C$1,"DF","no")))</f>
        <v>no</v>
      </c>
      <c r="EQ200"/>
      <c r="ER200"/>
      <c r="ES200"/>
      <c r="ET200" s="264" t="s">
        <v>3254</v>
      </c>
      <c r="EU200"/>
    </row>
    <row r="201" spans="1:151" s="139" customFormat="1" ht="15" customHeight="1">
      <c r="A201" s="1" t="s">
        <v>1360</v>
      </c>
      <c r="B201" t="s">
        <v>2135</v>
      </c>
      <c r="C201" t="s">
        <v>2136</v>
      </c>
      <c r="D201" t="s">
        <v>2137</v>
      </c>
      <c r="E201" t="s">
        <v>2138</v>
      </c>
      <c r="F201" t="s">
        <v>2139</v>
      </c>
      <c r="G201" t="s">
        <v>1366</v>
      </c>
      <c r="H201" t="s">
        <v>254</v>
      </c>
      <c r="I201">
        <v>2012</v>
      </c>
      <c r="J201">
        <v>21</v>
      </c>
      <c r="K201" t="s">
        <v>2140</v>
      </c>
      <c r="L201" s="192"/>
      <c r="M201" t="str">
        <f>LEFT($D201,FIND(",",$D201)-1)&amp;"_"&amp;I201&amp;L201</f>
        <v>Pyorala_2012</v>
      </c>
      <c r="N201" t="s">
        <v>222</v>
      </c>
      <c r="O201" s="145" t="s">
        <v>341</v>
      </c>
      <c r="P201" s="180" t="s">
        <v>223</v>
      </c>
      <c r="Q201" s="264" t="s">
        <v>256</v>
      </c>
      <c r="R201" s="269" t="s">
        <v>1154</v>
      </c>
      <c r="S201" s="263" t="s">
        <v>2141</v>
      </c>
      <c r="T201" s="264" t="s">
        <v>2148</v>
      </c>
      <c r="U201" s="264" t="s">
        <v>2143</v>
      </c>
      <c r="V201">
        <v>0</v>
      </c>
      <c r="W201">
        <v>0</v>
      </c>
      <c r="X201">
        <v>0</v>
      </c>
      <c r="Y201">
        <v>1</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s="141">
        <f>COUNTIF(V201:AW201,"&lt;&gt;0")</f>
        <v>1</v>
      </c>
      <c r="AY201" s="141">
        <f>COUNTIF(V201:AL201,"&lt;&gt;0")</f>
        <v>1</v>
      </c>
      <c r="AZ201">
        <f>COUNTIF(V201:AC201,"&lt;&gt;0")</f>
        <v>1</v>
      </c>
      <c r="BA201">
        <f>COUNTIF(AD201:AI201,"&lt;&gt;0")</f>
        <v>0</v>
      </c>
      <c r="BB201">
        <f>COUNTIF(AJ201:AL201,"&lt;&gt;0")</f>
        <v>0</v>
      </c>
      <c r="BC201">
        <f>COUNTIF(AS201:AW201,"&lt;&gt;0")</f>
        <v>0</v>
      </c>
      <c r="BD201">
        <f>COUNTIF(AM201:AR201,"&lt;&gt;0")</f>
        <v>0</v>
      </c>
      <c r="BE201" t="str" cm="1">
        <f t="array" ref="BE201">IF(AY201=1,INDEX($V$7:$AL$7,MATCH(TRUE,INDEX($V201:$AW201&lt;&gt;0,),0)),IF(AY201=0,INDEX($AM$7:$AW$7,MATCH(1,$AM201:$AW201,0)),IF(BF201="Multiple strategies","mixed drivers",IF(BF201="Supply chain","multiple supply","multiple silviculture"))))</f>
        <v xml:space="preserve">cutting intensity </v>
      </c>
      <c r="BF201" s="2" t="str" cm="1">
        <f t="array" ref="BF201">IF(COUNTIF(AZ201:BB201,"&lt;&gt;0")=1,INDEX($V$4:$AW$4,MATCH(TRUE,INDEX($V201:$AW201&lt;&gt;0,),0)),IF(COUNTIF(AZ201:BB201,"&lt;&gt;0")=0,INDEX($AM$4:$AW$4,MATCH(1,$AM201:$AW201,0)),"Multiple strategies"))</f>
        <v>Silviculture for removals</v>
      </c>
      <c r="BG201" s="178" t="s">
        <v>321</v>
      </c>
      <c r="BH201" s="264" t="s">
        <v>2144</v>
      </c>
      <c r="BI201" s="264" t="s">
        <v>701</v>
      </c>
      <c r="BJ201" s="160" t="s">
        <v>700</v>
      </c>
      <c r="BK201">
        <v>8.1</v>
      </c>
      <c r="BL201">
        <v>8.4</v>
      </c>
      <c r="BM201"/>
      <c r="BN201">
        <f>BL201-BK201</f>
        <v>0.30000000000000071</v>
      </c>
      <c r="BO201">
        <f>BN201</f>
        <v>0.30000000000000071</v>
      </c>
      <c r="BP201" s="155" t="s">
        <v>395</v>
      </c>
      <c r="BQ201" s="301" t="s">
        <v>783</v>
      </c>
      <c r="BR201" s="155" t="s">
        <v>279</v>
      </c>
      <c r="BS201">
        <v>0.9</v>
      </c>
      <c r="BT201">
        <v>1.1000000000000001</v>
      </c>
      <c r="BU201" s="144"/>
      <c r="BV201">
        <f>BT201-BS201</f>
        <v>0.20000000000000007</v>
      </c>
      <c r="BW201"/>
      <c r="BX201">
        <f>BV201</f>
        <v>0.20000000000000007</v>
      </c>
      <c r="BY201">
        <f>IFERROR(BX201/BO201,"")</f>
        <v>0.6666666666666653</v>
      </c>
      <c r="BZ201">
        <v>0</v>
      </c>
      <c r="CA201">
        <v>0</v>
      </c>
      <c r="CB201">
        <v>0</v>
      </c>
      <c r="CC201">
        <v>0</v>
      </c>
      <c r="CD201">
        <v>0</v>
      </c>
      <c r="CE201">
        <v>0</v>
      </c>
      <c r="CF201">
        <v>0</v>
      </c>
      <c r="CG201">
        <v>0</v>
      </c>
      <c r="CH201">
        <v>0</v>
      </c>
      <c r="CI201">
        <v>0</v>
      </c>
      <c r="CJ201">
        <v>0</v>
      </c>
      <c r="CK201">
        <v>0</v>
      </c>
      <c r="CL201">
        <v>0</v>
      </c>
      <c r="CM201">
        <v>0</v>
      </c>
      <c r="CN201" t="str">
        <f>IF($BL201&lt;$BK201,"refNeedCorrection","refOK")</f>
        <v>refOK</v>
      </c>
      <c r="CO201">
        <f>IF($CN201="refOK",$BK201,$BL201)</f>
        <v>8.1</v>
      </c>
      <c r="CP201">
        <f>IF($CN201="refOK",$BL201,$BK201)</f>
        <v>8.4</v>
      </c>
      <c r="CQ201">
        <f>IF($CN201="refOK",$BO201,-$BO201)</f>
        <v>0.30000000000000071</v>
      </c>
      <c r="CR201">
        <f>IF($CN201="refOK",$BS201,$BT201)*IF($BP201="Emissions positive",-1,1)</f>
        <v>-0.9</v>
      </c>
      <c r="CS201">
        <f>IF($CN201="refOK",$BT201,$BS201)*IF($BP201="Emissions positive",-1,1)</f>
        <v>-1.1000000000000001</v>
      </c>
      <c r="CT201">
        <f>IF($CN201="refNeedCorrection",-BX201,BX201)*IF($BP201="Emissions positive",-1,1)</f>
        <v>-0.20000000000000007</v>
      </c>
      <c r="CU201">
        <f>IFERROR(CT201/CQ201,"")</f>
        <v>-0.6666666666666653</v>
      </c>
      <c r="CV201" s="2">
        <f>IFERROR((CS201-CR201)/ABS(CR201),"")</f>
        <v>-0.22222222222222229</v>
      </c>
      <c r="CW201" s="1" t="s">
        <v>1199</v>
      </c>
      <c r="CX201" s="264" t="str">
        <f>IF(OR($CW201="prd",$CW201="std",$CW201="cit"),"loc",IF(OR($CW201="eur",$CW201="reg",$CW201="coy"),"reg",$CW201))</f>
        <v>reg</v>
      </c>
      <c r="CY201" t="s">
        <v>235</v>
      </c>
      <c r="CZ201"/>
      <c r="DA201"/>
      <c r="DB201">
        <v>80</v>
      </c>
      <c r="DC201" t="str">
        <f>IF(DB201=0,"0",IF(AND(DB201&gt;=1,DB201&lt;=30),"1-30",IF(AND(DB201&gt;30,DB201&lt;=70),"31-70",IF(AND(DB201&gt;70,DB201&lt;=100),"71-100",IF(DB201&gt;100,"+100")))))</f>
        <v>71-100</v>
      </c>
      <c r="DD201">
        <v>0</v>
      </c>
      <c r="DE201">
        <v>1</v>
      </c>
      <c r="DF201">
        <v>1</v>
      </c>
      <c r="DG201">
        <v>1</v>
      </c>
      <c r="DH201"/>
      <c r="DI201">
        <f>SUM(DD201:DG201)</f>
        <v>3</v>
      </c>
      <c r="DJ201" t="str">
        <f>IF(DI201=1,INDEX($DD$7:$DG$7,MATCH(1,$DD201:$DG201,0)),"mixedProduct")</f>
        <v>mixedProduct</v>
      </c>
      <c r="DK201">
        <f>IF(DD201=1,DK$7,0)</f>
        <v>0</v>
      </c>
      <c r="DL201" t="str">
        <f>IF(DE201=1,DL$7,0)</f>
        <v>Energy</v>
      </c>
      <c r="DM201" t="str">
        <f>IF(DF201=1,DM$7,0)</f>
        <v>Pulp/Paper</v>
      </c>
      <c r="DN201" t="str">
        <f>IF(DG201=1,DN$7,0)</f>
        <v>Timber</v>
      </c>
      <c r="DO201">
        <v>0</v>
      </c>
      <c r="DP201">
        <v>1</v>
      </c>
      <c r="DQ201" t="s">
        <v>2146</v>
      </c>
      <c r="DR201">
        <v>0</v>
      </c>
      <c r="DS201">
        <v>0</v>
      </c>
      <c r="DT201">
        <f>SUM(DO201:DP201)</f>
        <v>1</v>
      </c>
      <c r="DU201" s="143" t="str">
        <f>IF(DO201=1,"self-calculated DF",IF(DP201=1,"external DF used","explicit C balance"))</f>
        <v>external DF used</v>
      </c>
      <c r="DV201">
        <v>1</v>
      </c>
      <c r="DW201">
        <v>1</v>
      </c>
      <c r="DX201">
        <v>1</v>
      </c>
      <c r="DY201">
        <v>0</v>
      </c>
      <c r="DZ201">
        <v>1</v>
      </c>
      <c r="EA201">
        <v>0</v>
      </c>
      <c r="EB201">
        <v>1</v>
      </c>
      <c r="EC201">
        <v>1</v>
      </c>
      <c r="ED201">
        <v>0</v>
      </c>
      <c r="EE201">
        <v>0</v>
      </c>
      <c r="EF201">
        <v>1</v>
      </c>
      <c r="EG201">
        <v>0</v>
      </c>
      <c r="EH201">
        <v>0</v>
      </c>
      <c r="EI201" s="2">
        <v>0</v>
      </c>
      <c r="EJ201" s="1"/>
      <c r="EK201" t="str">
        <f>IF(AND(AND(AND(OR($DX201=1,$DW201=1),OR($EC201=1,$EA201=1)),SUM($DV201:$DZ201,$EF201)&gt;=4),SUM($EA201:$EE201)&gt;=2),"Whole sector","")</f>
        <v>Whole sector</v>
      </c>
      <c r="EL201" t="str">
        <f>IF(AND(AND(OR($DX201=1,$DW201=1),AND($EC201=0,$EA201=0)),SUM($DV201:$DZ201,$EF201)&gt;=4),"Ecosystem approach","")</f>
        <v/>
      </c>
      <c r="EM201" s="2" t="str">
        <f>IF(AND(AND(AND($DX201=0,$DW201=0),OR($EC201=1,$EA201=1)),SUM($EB201:$EE201)&gt;=2),"Technology approach","")</f>
        <v/>
      </c>
      <c r="EN201"/>
      <c r="EO201"/>
      <c r="EP201" t="str">
        <f>IF(ISNUMBER(BU201),IF(ABS(BU201-[3]QC_indicators!$B$2)&gt;3*[3]QC_indicators!$C$2,"C ratio",IF(ISNUMBER(BY201),IF(ABS(BY201-[3]QC_indicators!$B$1)&gt;3*[3]QC_indicators!$C$1,"DF","no"))),IF(ISNUMBER(BY201),IF(ABS(BY201-[3]QC_indicators!$B$1)&gt;3*[3]QC_indicators!$C$1,"DF","no")))</f>
        <v>no</v>
      </c>
      <c r="EQ201"/>
      <c r="ER201"/>
      <c r="ES201"/>
      <c r="ET201" s="264" t="s">
        <v>3407</v>
      </c>
      <c r="EU201"/>
    </row>
    <row r="202" spans="1:151" s="139" customFormat="1" ht="15" customHeight="1">
      <c r="A202" s="1" t="s">
        <v>926</v>
      </c>
      <c r="B202" t="s">
        <v>927</v>
      </c>
      <c r="C202" t="s">
        <v>928</v>
      </c>
      <c r="D202" t="s">
        <v>929</v>
      </c>
      <c r="E202" t="s">
        <v>930</v>
      </c>
      <c r="F202" t="s">
        <v>931</v>
      </c>
      <c r="G202" t="s">
        <v>932</v>
      </c>
      <c r="H202" t="s">
        <v>254</v>
      </c>
      <c r="I202">
        <v>2015</v>
      </c>
      <c r="J202">
        <v>19</v>
      </c>
      <c r="K202" t="s">
        <v>933</v>
      </c>
      <c r="L202"/>
      <c r="M202" t="str">
        <f>LEFT($D202,FIND(",",$D202)-1)&amp;"_"&amp;I202&amp;L202</f>
        <v>Makipaa_2015</v>
      </c>
      <c r="N202" t="s">
        <v>222</v>
      </c>
      <c r="O202" s="145" t="s">
        <v>225</v>
      </c>
      <c r="P202"/>
      <c r="Q202" t="s">
        <v>256</v>
      </c>
      <c r="R202" s="255" t="s">
        <v>223</v>
      </c>
      <c r="S202" s="1" t="s">
        <v>934</v>
      </c>
      <c r="T202" t="s">
        <v>935</v>
      </c>
      <c r="U202" s="143" t="s">
        <v>936</v>
      </c>
      <c r="V202">
        <v>0</v>
      </c>
      <c r="W202">
        <v>0</v>
      </c>
      <c r="X202">
        <v>0</v>
      </c>
      <c r="Y202">
        <v>1</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s="141">
        <f>COUNTIF(V202:AW202,"&lt;&gt;0")</f>
        <v>1</v>
      </c>
      <c r="AY202" s="141">
        <f>COUNTIF(V202:AL202,"&lt;&gt;0")</f>
        <v>1</v>
      </c>
      <c r="AZ202">
        <f>COUNTIF(V202:AC202,"&lt;&gt;0")</f>
        <v>1</v>
      </c>
      <c r="BA202">
        <f>COUNTIF(AD202:AI202,"&lt;&gt;0")</f>
        <v>0</v>
      </c>
      <c r="BB202">
        <f>COUNTIF(AJ202:AL202,"&lt;&gt;0")</f>
        <v>0</v>
      </c>
      <c r="BC202">
        <f>COUNTIF(AS202:AW202,"&lt;&gt;0")</f>
        <v>0</v>
      </c>
      <c r="BD202">
        <f>COUNTIF(AM202:AR202,"&lt;&gt;0")</f>
        <v>0</v>
      </c>
      <c r="BE202" t="str">
        <f t="array" ref="BE202">IF(AY202=1,INDEX($V$7:$AL$7,MATCH(TRUE,INDEX($V202:$AW202&lt;&gt;0,),0)),IF(AY202=0,INDEX($AM$7:$AW$7,MATCH(1,$AM202:$AW202,0)),IF(BF202="Multiple strategies","mixed drivers",IF(BF202="Supply chain","multiple supply","multiple silviculture"))))</f>
        <v xml:space="preserve">cutting intensity </v>
      </c>
      <c r="BF202" s="2" t="str" cm="1">
        <f t="array" ref="BF202">IF(COUNTIF(AZ202:BB202,"&lt;&gt;0")=1,INDEX($V$4:$AW$4,MATCH(TRUE,INDEX($V202:$AW202&lt;&gt;0,),0)),IF(COUNTIF(AZ202:BB202,"&lt;&gt;0")=0,INDEX($AM$4:$AW$4,MATCH(1,$AM202:$AW202,0)),"Multiple strategies"))</f>
        <v>Silviculture for removals</v>
      </c>
      <c r="BG202" s="142" t="s">
        <v>321</v>
      </c>
      <c r="BH202" t="s">
        <v>937</v>
      </c>
      <c r="BI202" s="264" t="s">
        <v>424</v>
      </c>
      <c r="BJ202" s="143" t="s">
        <v>498</v>
      </c>
      <c r="BK202">
        <v>625.20000000000005</v>
      </c>
      <c r="BL202" s="143">
        <v>743.1</v>
      </c>
      <c r="BM202" s="163">
        <f>BL202/BK202</f>
        <v>1.1885796545105565</v>
      </c>
      <c r="BN202">
        <f>BL202-BK202</f>
        <v>117.89999999999998</v>
      </c>
      <c r="BO202" s="159">
        <f>BN202</f>
        <v>117.89999999999998</v>
      </c>
      <c r="BP202" t="s">
        <v>232</v>
      </c>
      <c r="BQ202" s="303" t="s">
        <v>429</v>
      </c>
      <c r="BR202" t="s">
        <v>938</v>
      </c>
      <c r="BS202" s="143">
        <v>139.5</v>
      </c>
      <c r="BT202">
        <v>118.2</v>
      </c>
      <c r="BU202" s="144">
        <f>IFERROR(BT202/BS202,"")</f>
        <v>0.84731182795698923</v>
      </c>
      <c r="BV202">
        <f>BT202-BS202</f>
        <v>-21.299999999999997</v>
      </c>
      <c r="BW202"/>
      <c r="BX202">
        <f>BV202*C_to_CO2</f>
        <v>-78.170999999999992</v>
      </c>
      <c r="BY202">
        <f>IFERROR(BX202/BO202,"")</f>
        <v>-0.66302798982188305</v>
      </c>
      <c r="BZ202">
        <v>0</v>
      </c>
      <c r="CA202">
        <v>0</v>
      </c>
      <c r="CB202">
        <v>0</v>
      </c>
      <c r="CC202">
        <v>0</v>
      </c>
      <c r="CD202">
        <v>0</v>
      </c>
      <c r="CE202">
        <v>0</v>
      </c>
      <c r="CF202">
        <v>0</v>
      </c>
      <c r="CG202">
        <v>0</v>
      </c>
      <c r="CH202">
        <v>0</v>
      </c>
      <c r="CI202">
        <v>0</v>
      </c>
      <c r="CJ202">
        <v>0</v>
      </c>
      <c r="CK202">
        <v>0</v>
      </c>
      <c r="CL202">
        <v>0</v>
      </c>
      <c r="CM202">
        <v>0</v>
      </c>
      <c r="CN202" t="str">
        <f>IF($BL202&lt;$BK202,"refNeedCorrection","refOK")</f>
        <v>refOK</v>
      </c>
      <c r="CO202">
        <f>IF($CN202="refNeedCorrection",BL202,BK202)</f>
        <v>625.20000000000005</v>
      </c>
      <c r="CP202">
        <f>IF($CN202="refNeedCorrection",BK202,BL202)</f>
        <v>743.1</v>
      </c>
      <c r="CQ202">
        <f>IF($CN202="refOK",$BO202,-$BO202)</f>
        <v>117.89999999999998</v>
      </c>
      <c r="CR202">
        <f>IF($CN202="refOK",$BS202,$BT202)*IF($BP202="Emissions positive",-1,1)</f>
        <v>139.5</v>
      </c>
      <c r="CS202">
        <f>IF($CN202="refOK",$BT202,$BS202)*IF($BP202="Emissions positive",-1,1)</f>
        <v>118.2</v>
      </c>
      <c r="CT202">
        <f>IF($CN202="refNeedCorrection",-BX202,BX202)*IF($BP202="Emissions positive",-1,1)</f>
        <v>-78.170999999999992</v>
      </c>
      <c r="CU202">
        <f>IFERROR(CT202/CQ202,"")</f>
        <v>-0.66302798982188305</v>
      </c>
      <c r="CV202" s="2">
        <f>IFERROR((CS202-CR202)/ABS(CR202),"")</f>
        <v>-0.15268817204301074</v>
      </c>
      <c r="CW202" s="1" t="s">
        <v>234</v>
      </c>
      <c r="CX202" t="str">
        <f>IF(OR($CW202="prd",$CW202="std",$CW202="cit"),"loc",IF(OR($CW202="eur",$CW202="reg",$CW202="coy"),"reg",$CW202))</f>
        <v>loc</v>
      </c>
      <c r="CY202" t="s">
        <v>235</v>
      </c>
      <c r="CZ202"/>
      <c r="DA202" s="143"/>
      <c r="DB202" s="143">
        <v>80</v>
      </c>
      <c r="DC202" t="str">
        <f>IF(DB202=0,"0",IF(AND(DB202&gt;=1,DB202&lt;=30),"1-30",IF(AND(DB202&gt;30,DB202&lt;=70),"31-70",IF(AND(DB202&gt;70,DB202&lt;=100),"71-100",IF(DB202&gt;100,"+100")))))</f>
        <v>71-100</v>
      </c>
      <c r="DD202">
        <v>1</v>
      </c>
      <c r="DE202">
        <v>1</v>
      </c>
      <c r="DF202">
        <v>0</v>
      </c>
      <c r="DG202">
        <v>0</v>
      </c>
      <c r="DH202"/>
      <c r="DI202">
        <f>SUM(DD202:DG202)</f>
        <v>2</v>
      </c>
      <c r="DJ202" t="str">
        <f>IF(DI202=1,INDEX($DD$7:$DG$7,MATCH(1,$DD202:$DG202,0)),"mixedProduct")</f>
        <v>mixedProduct</v>
      </c>
      <c r="DK202" t="str">
        <f>IF(DD202=1,DK$7,0)</f>
        <v>Upstream</v>
      </c>
      <c r="DL202" t="str">
        <f>IF(DE202=1,DL$7,0)</f>
        <v>Energy</v>
      </c>
      <c r="DM202">
        <f>IF(DF202=1,DM$7,0)</f>
        <v>0</v>
      </c>
      <c r="DN202">
        <f>IF(DG202=1,DN$7,0)</f>
        <v>0</v>
      </c>
      <c r="DO202">
        <v>0</v>
      </c>
      <c r="DP202" s="143">
        <v>1</v>
      </c>
      <c r="DQ202" s="143" t="s">
        <v>939</v>
      </c>
      <c r="DR202">
        <v>0</v>
      </c>
      <c r="DS202" s="143">
        <v>0</v>
      </c>
      <c r="DT202">
        <f>SUM(DO202:DP202)</f>
        <v>1</v>
      </c>
      <c r="DU202" s="143" t="str">
        <f>IF(DO202=1,"self-calculated DF",IF(DP202=1,"external DF used","explicit C balance"))</f>
        <v>external DF used</v>
      </c>
      <c r="DV202" s="143">
        <v>1</v>
      </c>
      <c r="DW202" s="143">
        <v>1</v>
      </c>
      <c r="DX202" s="143">
        <v>1</v>
      </c>
      <c r="DY202" s="143">
        <v>0</v>
      </c>
      <c r="DZ202">
        <v>1</v>
      </c>
      <c r="EA202" s="143">
        <v>1</v>
      </c>
      <c r="EB202" s="143">
        <v>0</v>
      </c>
      <c r="EC202" s="143">
        <v>0</v>
      </c>
      <c r="ED202" s="143">
        <v>0</v>
      </c>
      <c r="EE202">
        <v>0</v>
      </c>
      <c r="EF202">
        <v>1</v>
      </c>
      <c r="EG202" s="143">
        <v>0</v>
      </c>
      <c r="EH202">
        <v>0</v>
      </c>
      <c r="EI202" s="2">
        <v>0</v>
      </c>
      <c r="EJ202" s="1"/>
      <c r="EK202" t="str">
        <f>IF(AND(AND(AND(OR($DX202=1,$DW202=1),OR($EC202=1,$EA202=1)),SUM($DV202:$DZ202,$EF202)&gt;=4),SUM($EA202:$EE202)&gt;=2),"Whole sector","")</f>
        <v/>
      </c>
      <c r="EL202" t="str">
        <f>IF(AND(AND(OR($DX202=1,$DW202=1),AND($EC202=0,$EA202=0)),SUM($DV202:$DZ202,$EF202)&gt;=4),"Ecosystem approach","")</f>
        <v/>
      </c>
      <c r="EM202" s="2" t="str">
        <f>IF(AND(AND(AND($DX202=0,$DW202=0),OR($EC202=1,$EA202=1)),SUM($EB202:$EE202)&gt;=2),"Technology approach","")</f>
        <v/>
      </c>
      <c r="EN202"/>
      <c r="EO202"/>
      <c r="EP202" t="str">
        <f>IF(ISNUMBER(BU202),IF(ABS(BU202-[1]QC_indicators!$B$2)&gt;3*[1]QC_indicators!$C$2,"C ratio",IF(ISNUMBER(BY202),IF(ABS(BY202-[1]QC_indicators!$B$1)&gt;3*[1]QC_indicators!$C$1,"DF","no"))),IF(ISNUMBER(BY202),IF(ABS(BY202-[1]QC_indicators!$B$1)&gt;3*[1]QC_indicators!$C$1,"DF","no")))</f>
        <v>no</v>
      </c>
      <c r="EQ202"/>
      <c r="ER202"/>
      <c r="ES202"/>
      <c r="ET202" s="264" t="s">
        <v>3094</v>
      </c>
    </row>
    <row r="203" spans="1:151" s="139" customFormat="1" ht="15" customHeight="1">
      <c r="A203" s="1" t="s">
        <v>878</v>
      </c>
      <c r="B203" t="s">
        <v>1791</v>
      </c>
      <c r="C203" t="s">
        <v>1792</v>
      </c>
      <c r="D203" t="s">
        <v>1793</v>
      </c>
      <c r="E203" t="s">
        <v>1794</v>
      </c>
      <c r="F203" t="s">
        <v>1795</v>
      </c>
      <c r="G203" t="s">
        <v>1184</v>
      </c>
      <c r="H203" t="s">
        <v>254</v>
      </c>
      <c r="I203">
        <v>2011</v>
      </c>
      <c r="J203">
        <v>6</v>
      </c>
      <c r="K203" t="s">
        <v>1796</v>
      </c>
      <c r="L203"/>
      <c r="M203" t="str">
        <f>LEFT($D203,FIND(",",$D203)-1)&amp;"_"&amp;I203&amp;L203</f>
        <v>Kayo_2011</v>
      </c>
      <c r="N203" t="s">
        <v>222</v>
      </c>
      <c r="O203" s="145" t="s">
        <v>513</v>
      </c>
      <c r="P203"/>
      <c r="Q203" t="s">
        <v>256</v>
      </c>
      <c r="R203" s="255" t="s">
        <v>225</v>
      </c>
      <c r="S203" s="263" t="s">
        <v>3349</v>
      </c>
      <c r="T203" t="s">
        <v>1797</v>
      </c>
      <c r="U203" s="264" t="s">
        <v>1802</v>
      </c>
      <c r="V203">
        <v>0</v>
      </c>
      <c r="W203">
        <v>0</v>
      </c>
      <c r="X203">
        <v>1</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s="141">
        <f>COUNTIF(V203:AW203,"&lt;&gt;0")</f>
        <v>1</v>
      </c>
      <c r="AY203" s="141">
        <f>COUNTIF(V203:AL203,"&lt;&gt;0")</f>
        <v>1</v>
      </c>
      <c r="AZ203">
        <f>COUNTIF(V203:AC203,"&lt;&gt;0")</f>
        <v>1</v>
      </c>
      <c r="BA203">
        <f>COUNTIF(AD203:AI203,"&lt;&gt;0")</f>
        <v>0</v>
      </c>
      <c r="BB203">
        <f>COUNTIF(AJ203:AL203,"&lt;&gt;0")</f>
        <v>0</v>
      </c>
      <c r="BC203">
        <f>COUNTIF(AS203:AW203,"&lt;&gt;0")</f>
        <v>0</v>
      </c>
      <c r="BD203">
        <f>COUNTIF(AM203:AR203,"&lt;&gt;0")</f>
        <v>0</v>
      </c>
      <c r="BE203" t="str">
        <f t="array" ref="BE203">IF(AY203=1,INDEX($V$7:$AL$7,MATCH(TRUE,INDEX($V203:$AW203&lt;&gt;0,),0)),IF(AY203=0,INDEX($AM$7:$AW$7,MATCH(1,$AM203:$AW203,0)),IF(BF203="Multiple strategies","mixed drivers",IF(BF203="Supply chain","multiple supply","multiple silviculture"))))</f>
        <v>rotation length</v>
      </c>
      <c r="BF203" s="2" t="str" cm="1">
        <f t="array" ref="BF203">IF(COUNTIF(AZ203:BB203,"&lt;&gt;0")=1,INDEX($V$4:$AW$4,MATCH(TRUE,INDEX($V203:$AW203&lt;&gt;0,),0)),IF(COUNTIF(AZ203:BB203,"&lt;&gt;0")=0,INDEX($AM$4:$AW$4,MATCH(1,$AM203:$AW203,0)),"Multiple strategies"))</f>
        <v>Silviculture for removals</v>
      </c>
      <c r="BG203" s="1" t="s">
        <v>229</v>
      </c>
      <c r="BH203" s="264" t="s">
        <v>1799</v>
      </c>
      <c r="BI203" s="260" t="s">
        <v>3350</v>
      </c>
      <c r="BJ203" s="260" t="s">
        <v>3347</v>
      </c>
      <c r="BK203">
        <v>15</v>
      </c>
      <c r="BL203">
        <v>32</v>
      </c>
      <c r="BM203"/>
      <c r="BN203">
        <f>BL203-BK203</f>
        <v>17</v>
      </c>
      <c r="BO203">
        <f>BN203*10^6*t_to_m3</f>
        <v>34693877.551020406</v>
      </c>
      <c r="BP203" t="s">
        <v>232</v>
      </c>
      <c r="BQ203" s="300" t="s">
        <v>3348</v>
      </c>
      <c r="BR203" t="s">
        <v>1300</v>
      </c>
      <c r="BS203"/>
      <c r="BT203"/>
      <c r="BU203" s="288"/>
      <c r="BV203">
        <v>-23</v>
      </c>
      <c r="BW203"/>
      <c r="BX203">
        <f>BV203*10^6</f>
        <v>-23000000</v>
      </c>
      <c r="BY203">
        <f>IFERROR(BX203/BO203,"")</f>
        <v>-0.66294117647058826</v>
      </c>
      <c r="BZ203">
        <v>0</v>
      </c>
      <c r="CA203">
        <v>0</v>
      </c>
      <c r="CB203">
        <v>0</v>
      </c>
      <c r="CC203">
        <v>0</v>
      </c>
      <c r="CD203">
        <v>0</v>
      </c>
      <c r="CE203">
        <v>0</v>
      </c>
      <c r="CF203">
        <v>0</v>
      </c>
      <c r="CG203">
        <v>0</v>
      </c>
      <c r="CH203">
        <v>0</v>
      </c>
      <c r="CI203">
        <v>0</v>
      </c>
      <c r="CJ203">
        <v>0</v>
      </c>
      <c r="CK203">
        <v>0</v>
      </c>
      <c r="CL203">
        <v>0</v>
      </c>
      <c r="CM203">
        <v>0</v>
      </c>
      <c r="CN203" t="str">
        <f>IF(BL203&lt;BK203,"refNeedCorrection","refOK")</f>
        <v>refOK</v>
      </c>
      <c r="CO203">
        <f>IF($CN203="refOK",$BK203,$BL203)</f>
        <v>15</v>
      </c>
      <c r="CP203">
        <f>IF($CN203="refOK",$BL203,$BK203)</f>
        <v>32</v>
      </c>
      <c r="CQ203">
        <f>IF($CN203="refOK",$BO203,-$BO203)</f>
        <v>34693877.551020406</v>
      </c>
      <c r="CR203">
        <f>IF($CN203="refOK",$BS203,$BT203)*IF($BP203="Emissions positive",-1,1)</f>
        <v>0</v>
      </c>
      <c r="CS203">
        <f>IF($CN203="refOK",$BT203,$BS203)*IF($BP203="Emissions positive",-1,1)</f>
        <v>0</v>
      </c>
      <c r="CT203">
        <f>IF($CN203="refNeedCorrection",-BX203,BX203)*IF($BP203="Emissions positive",-1,1)</f>
        <v>-23000000</v>
      </c>
      <c r="CU203">
        <f>IFERROR(CT203/CQ203,"")</f>
        <v>-0.66294117647058826</v>
      </c>
      <c r="CV203" s="2" t="str">
        <f>IFERROR((CS203-CR203)/ABS(CR203),"")</f>
        <v/>
      </c>
      <c r="CW203" s="1" t="s">
        <v>1203</v>
      </c>
      <c r="CX203" t="str">
        <f>IF(OR($CW203="prd",$CW203="std",$CW203="cit"),"loc",IF(OR($CW203="eur",$CW203="reg",$CW203="coy"),"reg",$CW203))</f>
        <v>reg</v>
      </c>
      <c r="CY203" t="s">
        <v>961</v>
      </c>
      <c r="CZ203">
        <v>2005</v>
      </c>
      <c r="DA203">
        <v>2020</v>
      </c>
      <c r="DB203">
        <v>15</v>
      </c>
      <c r="DC203" t="str">
        <f>IF(DB203=0,"0",IF(AND(DB203&gt;=1,DB203&lt;=30),"1-30",IF(AND(DB203&gt;30,DB203&lt;=70),"31-70",IF(AND(DB203&gt;70,DB203&lt;=100),"71-100",IF(DB203&gt;100,"+100")))))</f>
        <v>1-30</v>
      </c>
      <c r="DD203">
        <v>0</v>
      </c>
      <c r="DE203">
        <v>1</v>
      </c>
      <c r="DF203">
        <v>0</v>
      </c>
      <c r="DG203">
        <v>0</v>
      </c>
      <c r="DH203"/>
      <c r="DI203">
        <f>SUM(DD203:DG203)</f>
        <v>1</v>
      </c>
      <c r="DJ203" t="str">
        <f>IF(DI203=1,INDEX($DD$7:$DG$7,MATCH(1,$DD203:$DG203,0)),"mixedProduct")</f>
        <v>EnergyInput</v>
      </c>
      <c r="DK203">
        <f>IF(DD203=1,DK$7,0)</f>
        <v>0</v>
      </c>
      <c r="DL203" t="str">
        <f>IF(DE203=1,DL$7,0)</f>
        <v>Energy</v>
      </c>
      <c r="DM203">
        <f>IF(DF203=1,DM$7,0)</f>
        <v>0</v>
      </c>
      <c r="DN203">
        <f>IF(DG203=1,DN$7,0)</f>
        <v>0</v>
      </c>
      <c r="DO203">
        <v>0</v>
      </c>
      <c r="DP203">
        <v>0</v>
      </c>
      <c r="DQ203">
        <v>0</v>
      </c>
      <c r="DR203">
        <v>0</v>
      </c>
      <c r="DS203">
        <v>0</v>
      </c>
      <c r="DT203">
        <f>SUM(DO203:DP203)</f>
        <v>0</v>
      </c>
      <c r="DU203" s="143" t="str">
        <f>IF(DO203=1,"self-calculated DF",IF(DP203=1,"external DF used","explicit C balance"))</f>
        <v>explicit C balance</v>
      </c>
      <c r="DV203">
        <v>0</v>
      </c>
      <c r="DW203">
        <v>1</v>
      </c>
      <c r="DX203">
        <v>1</v>
      </c>
      <c r="DY203">
        <v>0</v>
      </c>
      <c r="DZ203">
        <v>0</v>
      </c>
      <c r="EA203" s="143">
        <v>1</v>
      </c>
      <c r="EB203">
        <v>1</v>
      </c>
      <c r="EC203">
        <v>0</v>
      </c>
      <c r="ED203">
        <v>0</v>
      </c>
      <c r="EE203">
        <v>0</v>
      </c>
      <c r="EF203">
        <v>1</v>
      </c>
      <c r="EG203">
        <v>1</v>
      </c>
      <c r="EH203">
        <v>0</v>
      </c>
      <c r="EI203" s="2">
        <v>0</v>
      </c>
      <c r="EJ203" s="1"/>
      <c r="EK203" t="str">
        <f>IF(AND(AND(AND(OR($DX203=1,$DW203=1),OR($EC203=1,$EA203=1)),SUM($DV203:$DZ203,$EF203)&gt;=4),SUM($EA203:$EE203)&gt;=2),"Whole sector","")</f>
        <v/>
      </c>
      <c r="EL203" t="str">
        <f>IF(AND(AND(OR($DX203=1,$DW203=1),AND($EC203=0,$EA203=0)),SUM($DV203:$DZ203,$EF203)&gt;=4),"Ecosystem approach","")</f>
        <v/>
      </c>
      <c r="EM203" s="2" t="str">
        <f>IF(AND(AND(AND($DX203=0,$DW203=0),OR($EC203=1,$EA203=1)),SUM($EB203:$EE203)&gt;=2),"Technology approach","")</f>
        <v/>
      </c>
      <c r="EN203"/>
      <c r="EO203"/>
      <c r="EP203" t="str">
        <f>IF(ISNUMBER(BU203),IF(ABS(BU203-[4]QC_indicators!$B$2)&gt;3*[4]QC_indicators!$C$2,"C ratio",IF(ISNUMBER(BY203),IF(ABS(BY203-[4]QC_indicators!$B$1)&gt;3*[4]QC_indicators!$C$1,"DF","no"))),IF(ISNUMBER(BY203),IF(ABS(BY203-[4]QC_indicators!$B$1)&gt;3*[4]QC_indicators!$C$1,"DF","no")))</f>
        <v>no</v>
      </c>
      <c r="EQ203"/>
      <c r="ER203"/>
      <c r="ES203"/>
      <c r="ET203" s="264" t="s">
        <v>3273</v>
      </c>
      <c r="EU203"/>
    </row>
    <row r="204" spans="1:151" s="139" customFormat="1" ht="15" customHeight="1">
      <c r="A204" s="1" t="s">
        <v>1357</v>
      </c>
      <c r="B204" t="s">
        <v>1436</v>
      </c>
      <c r="C204" t="s">
        <v>1437</v>
      </c>
      <c r="D204" t="s">
        <v>1438</v>
      </c>
      <c r="E204" t="s">
        <v>1439</v>
      </c>
      <c r="F204" t="s">
        <v>1440</v>
      </c>
      <c r="G204" t="s">
        <v>1358</v>
      </c>
      <c r="H204" t="s">
        <v>254</v>
      </c>
      <c r="I204">
        <v>2011</v>
      </c>
      <c r="J204">
        <v>0</v>
      </c>
      <c r="K204" t="s">
        <v>1441</v>
      </c>
      <c r="L204"/>
      <c r="M204" t="str">
        <f>LEFT($D204,FIND(",",$D204)-1)&amp;"_"&amp;I204&amp;L204</f>
        <v>Elgie_2011</v>
      </c>
      <c r="N204" t="s">
        <v>222</v>
      </c>
      <c r="O204" s="145" t="s">
        <v>274</v>
      </c>
      <c r="P204"/>
      <c r="Q204" s="264" t="s">
        <v>256</v>
      </c>
      <c r="R204" s="269" t="s">
        <v>1154</v>
      </c>
      <c r="S204" s="1" t="s">
        <v>1442</v>
      </c>
      <c r="T204" t="s">
        <v>1443</v>
      </c>
      <c r="U204" t="s">
        <v>1444</v>
      </c>
      <c r="V204">
        <v>2</v>
      </c>
      <c r="W204">
        <v>0</v>
      </c>
      <c r="X204">
        <v>2</v>
      </c>
      <c r="Y204">
        <v>2</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1</v>
      </c>
      <c r="AW204">
        <v>0</v>
      </c>
      <c r="AX204" s="141">
        <f>COUNTIF(V204:AW204,"&lt;&gt;0")</f>
        <v>4</v>
      </c>
      <c r="AY204" s="141">
        <f>COUNTIF(V204:AL204,"&lt;&gt;0")</f>
        <v>3</v>
      </c>
      <c r="AZ204">
        <f>COUNTIF(V204:AC204,"&lt;&gt;0")</f>
        <v>3</v>
      </c>
      <c r="BA204">
        <f>COUNTIF(AD204:AI204,"&lt;&gt;0")</f>
        <v>0</v>
      </c>
      <c r="BB204">
        <f>COUNTIF(AJ204:AL204,"&lt;&gt;0")</f>
        <v>0</v>
      </c>
      <c r="BC204">
        <f>COUNTIF(AS204:AW204,"&lt;&gt;0")</f>
        <v>1</v>
      </c>
      <c r="BD204">
        <f>COUNTIF(AM204:AR204,"&lt;&gt;0")</f>
        <v>0</v>
      </c>
      <c r="BE204" t="str" cm="1">
        <f t="array" ref="BE204">IF(AY204=1,INDEX($V$7:$AL$7,MATCH(TRUE,INDEX($V204:$AW204&lt;&gt;0,),0)),IF(AY204=0,INDEX($AM$7:$AW$7,MATCH(1,$AM204:$AW204,0)),IF(BF204="Multiple strategies","mixed drivers",IF(BF204="Supply chain","multiple supply","multiple silviculture"))))</f>
        <v>multiple silviculture</v>
      </c>
      <c r="BF204" s="2" t="str" cm="1">
        <f t="array" ref="BF204">IF(COUNTIF(AZ204:BB204,"&lt;&gt;0")=1,INDEX($V$4:$AW$4,MATCH(TRUE,INDEX($V204:$AW204&lt;&gt;0,),0)),IF(COUNTIF(AZ204:BB204,"&lt;&gt;0")=0,INDEX($AM$4:$AW$4,MATCH(1,$AM204:$AW204,0)),"Multiple strategies"))</f>
        <v>Silviculture for removals</v>
      </c>
      <c r="BG204" s="1" t="s">
        <v>321</v>
      </c>
      <c r="BH204" t="s">
        <v>1445</v>
      </c>
      <c r="BI204"/>
      <c r="BJ204" t="s">
        <v>1323</v>
      </c>
      <c r="BK204">
        <v>0</v>
      </c>
      <c r="BL204">
        <v>286.60902583574921</v>
      </c>
      <c r="BM204"/>
      <c r="BN204">
        <f>BL204-BK204</f>
        <v>286.60902583574921</v>
      </c>
      <c r="BO204">
        <f>BN204*10^6</f>
        <v>286609025.83574921</v>
      </c>
      <c r="BP204" t="s">
        <v>232</v>
      </c>
      <c r="BQ204" s="234"/>
      <c r="BR204" t="s">
        <v>1359</v>
      </c>
      <c r="BS204">
        <v>269.14893617021198</v>
      </c>
      <c r="BT204">
        <v>217.87234042553101</v>
      </c>
      <c r="BU204" s="144">
        <f>IFERROR(BT204/BS204,"")</f>
        <v>0.80948616600790413</v>
      </c>
      <c r="BV204">
        <f>BT204-BS204</f>
        <v>-51.276595744680975</v>
      </c>
      <c r="BW204"/>
      <c r="BX204">
        <f>BV204*10^6*C_to_CO2</f>
        <v>-188185106.38297918</v>
      </c>
      <c r="BY204">
        <f>IFERROR(BX204/BO204,"")</f>
        <v>-0.65659169607179391</v>
      </c>
      <c r="BZ204">
        <v>0</v>
      </c>
      <c r="CA204">
        <v>0</v>
      </c>
      <c r="CB204">
        <v>0</v>
      </c>
      <c r="CC204">
        <v>0</v>
      </c>
      <c r="CD204">
        <v>0</v>
      </c>
      <c r="CE204">
        <v>0</v>
      </c>
      <c r="CF204">
        <v>0</v>
      </c>
      <c r="CG204">
        <v>0</v>
      </c>
      <c r="CH204">
        <v>0</v>
      </c>
      <c r="CI204">
        <v>0</v>
      </c>
      <c r="CJ204">
        <v>0</v>
      </c>
      <c r="CK204">
        <v>0</v>
      </c>
      <c r="CL204">
        <v>0</v>
      </c>
      <c r="CM204">
        <v>1</v>
      </c>
      <c r="CN204" t="str">
        <f>IF($BL204&lt;$BK204,"refNeedCorrection","refOK")</f>
        <v>refOK</v>
      </c>
      <c r="CO204">
        <f>IF($CN204="refOK",$BK204,$BL204)</f>
        <v>0</v>
      </c>
      <c r="CP204">
        <f>IF($CN204="refOK",$BL204,$BK204)</f>
        <v>286.60902583574921</v>
      </c>
      <c r="CQ204">
        <f>IF($CN204="refOK",$BO204,-$BO204)</f>
        <v>286609025.83574921</v>
      </c>
      <c r="CR204">
        <f>IF($CN204="refOK",$BS204,$BT204)*IF($BP204="Emissions positive",-1,1)</f>
        <v>269.14893617021198</v>
      </c>
      <c r="CS204">
        <f>IF($CN204="refOK",$BT204,$BS204)*IF($BP204="Emissions positive",-1,1)</f>
        <v>217.87234042553101</v>
      </c>
      <c r="CT204">
        <f>IF($CN204="refNeedCorrection",-BX204,BX204)*IF($BP204="Emissions positive",-1,1)</f>
        <v>-188185106.38297918</v>
      </c>
      <c r="CU204">
        <f>IFERROR(CT204/CQ204,"")</f>
        <v>-0.65659169607179391</v>
      </c>
      <c r="CV204" s="2">
        <f>IFERROR((CS204-CR204)/ABS(CR204),"")</f>
        <v>-0.19051383399209587</v>
      </c>
      <c r="CW204" s="1" t="s">
        <v>1199</v>
      </c>
      <c r="CX204" s="264" t="str">
        <f>IF(OR($CW204="prd",$CW204="std",$CW204="cit"),"loc",IF(OR($CW204="eur",$CW204="reg",$CW204="coy"),"reg",$CW204))</f>
        <v>reg</v>
      </c>
      <c r="CY204" t="s">
        <v>540</v>
      </c>
      <c r="CZ204"/>
      <c r="DA204"/>
      <c r="DB204">
        <v>200</v>
      </c>
      <c r="DC204" t="str">
        <f>IF(DB204=0,"0",IF(AND(DB204&gt;=1,DB204&lt;=30),"1-30",IF(AND(DB204&gt;30,DB204&lt;=70),"31-70",IF(AND(DB204&gt;70,DB204&lt;=100),"71-100",IF(DB204&gt;100,"+100")))))</f>
        <v>+100</v>
      </c>
      <c r="DD204">
        <v>1</v>
      </c>
      <c r="DE204">
        <v>0</v>
      </c>
      <c r="DF204">
        <v>0</v>
      </c>
      <c r="DG204">
        <v>0</v>
      </c>
      <c r="DH204"/>
      <c r="DI204">
        <f>SUM(DD204:DG204)</f>
        <v>1</v>
      </c>
      <c r="DJ204" t="str">
        <f>IF(DI204=1,INDEX($DD$7:$DG$7,MATCH(1,$DD204:$DG204,0)),"mixedProduct")</f>
        <v>UpstreamInput</v>
      </c>
      <c r="DK204" t="str">
        <f>IF(DD204=1,DK$7,0)</f>
        <v>Upstream</v>
      </c>
      <c r="DL204">
        <f>IF(DE204=1,DL$7,0)</f>
        <v>0</v>
      </c>
      <c r="DM204">
        <f>IF(DF204=1,DM$7,0)</f>
        <v>0</v>
      </c>
      <c r="DN204">
        <f>IF(DG204=1,DN$7,0)</f>
        <v>0</v>
      </c>
      <c r="DO204">
        <v>0</v>
      </c>
      <c r="DP204">
        <v>0</v>
      </c>
      <c r="DQ204">
        <v>0</v>
      </c>
      <c r="DR204">
        <v>0</v>
      </c>
      <c r="DS204">
        <v>0</v>
      </c>
      <c r="DT204">
        <f>SUM(DO204:DP204)</f>
        <v>0</v>
      </c>
      <c r="DU204" s="143" t="str">
        <f>IF(DO204=1,"self-calculated DF",IF(DP204=1,"external DF used","explicit C balance"))</f>
        <v>explicit C balance</v>
      </c>
      <c r="DV204">
        <v>1</v>
      </c>
      <c r="DW204">
        <v>0</v>
      </c>
      <c r="DX204">
        <v>1</v>
      </c>
      <c r="DY204">
        <v>0</v>
      </c>
      <c r="DZ204">
        <v>0</v>
      </c>
      <c r="EA204" s="143">
        <v>0</v>
      </c>
      <c r="EB204">
        <v>0</v>
      </c>
      <c r="EC204">
        <v>0</v>
      </c>
      <c r="ED204">
        <v>0</v>
      </c>
      <c r="EE204">
        <v>0</v>
      </c>
      <c r="EF204">
        <v>1</v>
      </c>
      <c r="EG204">
        <v>0</v>
      </c>
      <c r="EH204">
        <v>0</v>
      </c>
      <c r="EI204" s="2">
        <v>1</v>
      </c>
      <c r="EJ204" s="1"/>
      <c r="EK204" t="str">
        <f>IF(AND(AND(AND(OR($DX204=1,$DW204=1),OR($EC204=1,$EA204=1)),SUM($DV204:$DZ204,$EF204)&gt;=4),SUM($EA204:$EE204)&gt;=2),"Whole sector","")</f>
        <v/>
      </c>
      <c r="EL204" t="str">
        <f>IF(AND(AND(OR($DX204=1,$DW204=1),AND($EC204=0,$EA204=0)),SUM($DV204:$DZ204,$EF204)&gt;=4),"Ecosystem approach","")</f>
        <v/>
      </c>
      <c r="EM204" s="2" t="str">
        <f>IF(AND(AND(AND($DX204=0,$DW204=0),OR($EC204=1,$EA204=1)),SUM($EB204:$EE204)&gt;=2),"Technology approach","")</f>
        <v/>
      </c>
      <c r="EN204"/>
      <c r="EO204"/>
      <c r="EP204" t="str">
        <f>IF(ISNUMBER(BU204),IF(ABS(BU204-[3]QC_indicators!$B$2)&gt;3*[3]QC_indicators!$C$2,"C ratio",IF(ISNUMBER(BY204),IF(ABS(BY204-[3]QC_indicators!$B$1)&gt;3*[3]QC_indicators!$C$1,"DF","no"))),IF(ISNUMBER(BY204),IF(ABS(BY204-[3]QC_indicators!$B$1)&gt;3*[3]QC_indicators!$C$1,"DF","no")))</f>
        <v>no</v>
      </c>
      <c r="EQ204" t="s">
        <v>286</v>
      </c>
      <c r="ER204"/>
      <c r="ES204"/>
      <c r="ET204" s="264" t="s">
        <v>3407</v>
      </c>
      <c r="EU204"/>
    </row>
    <row r="205" spans="1:151" s="139" customFormat="1" ht="15" customHeight="1">
      <c r="A205" s="1" t="s">
        <v>265</v>
      </c>
      <c r="B205" t="s">
        <v>266</v>
      </c>
      <c r="C205" t="s">
        <v>267</v>
      </c>
      <c r="D205" t="s">
        <v>268</v>
      </c>
      <c r="E205" t="s">
        <v>269</v>
      </c>
      <c r="F205" t="s">
        <v>270</v>
      </c>
      <c r="G205" t="s">
        <v>271</v>
      </c>
      <c r="H205" t="s">
        <v>254</v>
      </c>
      <c r="I205">
        <v>2022</v>
      </c>
      <c r="J205">
        <v>0</v>
      </c>
      <c r="K205" t="s">
        <v>272</v>
      </c>
      <c r="L205"/>
      <c r="M205" t="str">
        <f>LEFT($D205,FIND(",",$D205)-1)&amp;"_"&amp;I205&amp;L205</f>
        <v>Aryapratama_2022</v>
      </c>
      <c r="N205" t="s">
        <v>222</v>
      </c>
      <c r="O205" s="145" t="s">
        <v>274</v>
      </c>
      <c r="P205"/>
      <c r="Q205" t="s">
        <v>224</v>
      </c>
      <c r="R205" s="262" t="s">
        <v>223</v>
      </c>
      <c r="S205" s="263" t="s">
        <v>3105</v>
      </c>
      <c r="T205" t="s">
        <v>293</v>
      </c>
      <c r="U205" t="s">
        <v>275</v>
      </c>
      <c r="V205">
        <v>0</v>
      </c>
      <c r="W205">
        <v>0</v>
      </c>
      <c r="X205">
        <v>0</v>
      </c>
      <c r="Y205">
        <v>0</v>
      </c>
      <c r="Z205">
        <v>0</v>
      </c>
      <c r="AA205">
        <v>0</v>
      </c>
      <c r="AB205">
        <v>0</v>
      </c>
      <c r="AC205">
        <v>0</v>
      </c>
      <c r="AD205">
        <v>0</v>
      </c>
      <c r="AE205">
        <v>0</v>
      </c>
      <c r="AF205">
        <v>0</v>
      </c>
      <c r="AG205">
        <v>0</v>
      </c>
      <c r="AH205">
        <v>0</v>
      </c>
      <c r="AI205">
        <v>0</v>
      </c>
      <c r="AJ205">
        <v>0</v>
      </c>
      <c r="AK205">
        <v>1</v>
      </c>
      <c r="AL205">
        <v>0</v>
      </c>
      <c r="AM205">
        <v>0</v>
      </c>
      <c r="AN205">
        <v>0</v>
      </c>
      <c r="AO205">
        <v>0</v>
      </c>
      <c r="AP205">
        <v>0</v>
      </c>
      <c r="AQ205">
        <v>0</v>
      </c>
      <c r="AR205">
        <v>0</v>
      </c>
      <c r="AS205">
        <v>0</v>
      </c>
      <c r="AT205">
        <v>0</v>
      </c>
      <c r="AU205">
        <v>0</v>
      </c>
      <c r="AV205">
        <v>0</v>
      </c>
      <c r="AW205">
        <v>0</v>
      </c>
      <c r="AX205" s="141">
        <f>COUNTIF(V205:AW205,"&lt;&gt;0")</f>
        <v>1</v>
      </c>
      <c r="AY205" s="141">
        <f>COUNTIF(V205:AL205,"&lt;&gt;0")</f>
        <v>1</v>
      </c>
      <c r="AZ205">
        <f>COUNTIF(V205:AC205,"&lt;&gt;0")</f>
        <v>0</v>
      </c>
      <c r="BA205">
        <f>COUNTIF(AD205:AI205,"&lt;&gt;0")</f>
        <v>0</v>
      </c>
      <c r="BB205">
        <f>COUNTIF(AJ205:AL205,"&lt;&gt;0")</f>
        <v>1</v>
      </c>
      <c r="BC205">
        <f>COUNTIF(AS205:AW205,"&lt;&gt;0")</f>
        <v>0</v>
      </c>
      <c r="BD205">
        <f>COUNTIF(AM205:AR205,"&lt;&gt;0")</f>
        <v>0</v>
      </c>
      <c r="BE205" t="str">
        <f t="array" ref="BE205">IF(AY205=1,INDEX($V$7:$AL$7,MATCH(TRUE,INDEX($V205:$AW205&lt;&gt;0,),0)),IF(AY205=0,INDEX($AM$7:$AW$7,MATCH(1,$AM205:$AW205,0)),IF(BF205="Multiple strategies","mixed drivers",IF(BF205="Supply chain","multiple supply","multiple silviculture"))))</f>
        <v>technologies/design switch</v>
      </c>
      <c r="BF205" s="2" t="str" cm="1">
        <f t="array" ref="BF205">IF(COUNTIF(AZ205:BB205,"&lt;&gt;0")=1,INDEX($V$4:$AW$4,MATCH(TRUE,INDEX($V205:$AW205&lt;&gt;0,),0)),IF(COUNTIF(AZ205:BB205,"&lt;&gt;0")=0,INDEX($AM$4:$AW$4,MATCH(1,$AM205:$AW205,0)),"Multiple strategies"))</f>
        <v>Technology</v>
      </c>
      <c r="BG205" s="1" t="s">
        <v>229</v>
      </c>
      <c r="BH205" t="s">
        <v>277</v>
      </c>
      <c r="BI205" s="264" t="s">
        <v>3106</v>
      </c>
      <c r="BJ205" t="s">
        <v>278</v>
      </c>
      <c r="BK205">
        <v>0</v>
      </c>
      <c r="BL205">
        <v>135.57962264150939</v>
      </c>
      <c r="BM205"/>
      <c r="BN205">
        <f>BL205-BK205</f>
        <v>135.57962264150939</v>
      </c>
      <c r="BO205">
        <f>BN205*tC_to_m3</f>
        <v>588.70873921628049</v>
      </c>
      <c r="BP205" t="s">
        <v>232</v>
      </c>
      <c r="BQ205" s="303" t="s">
        <v>3107</v>
      </c>
      <c r="BR205" t="s">
        <v>279</v>
      </c>
      <c r="BS205">
        <v>-51.111049251716672</v>
      </c>
      <c r="BT205">
        <v>-435.66826611219864</v>
      </c>
      <c r="BU205" s="144">
        <f>IFERROR(BT205/BS205,"")</f>
        <v>8.5239546534561867</v>
      </c>
      <c r="BV205">
        <f>BT205-BS205</f>
        <v>-384.55721686048196</v>
      </c>
      <c r="BW205"/>
      <c r="BX205">
        <f>BV205</f>
        <v>-384.55721686048196</v>
      </c>
      <c r="BY205">
        <f>IFERROR(BX205/BO205,"")</f>
        <v>-0.65322151896780811</v>
      </c>
      <c r="BZ205">
        <v>0</v>
      </c>
      <c r="CA205">
        <v>0</v>
      </c>
      <c r="CB205">
        <v>0</v>
      </c>
      <c r="CC205">
        <v>0</v>
      </c>
      <c r="CD205">
        <v>0</v>
      </c>
      <c r="CE205">
        <v>0</v>
      </c>
      <c r="CF205">
        <v>0</v>
      </c>
      <c r="CG205">
        <v>0</v>
      </c>
      <c r="CH205">
        <v>0</v>
      </c>
      <c r="CI205">
        <v>0</v>
      </c>
      <c r="CJ205">
        <v>0</v>
      </c>
      <c r="CK205">
        <v>0</v>
      </c>
      <c r="CL205">
        <v>0</v>
      </c>
      <c r="CM205">
        <v>0</v>
      </c>
      <c r="CN205" t="str">
        <f>IF($BL205&lt;$BK205,"refNeedCorrection","refOK")</f>
        <v>refOK</v>
      </c>
      <c r="CO205">
        <f>IF($CN205="refOK",$BK205,$BL205)</f>
        <v>0</v>
      </c>
      <c r="CP205">
        <f>IF($CN205="refOK",$BL205,$BK205)</f>
        <v>135.57962264150939</v>
      </c>
      <c r="CQ205">
        <f>IF($CN205="refOK",$BO205,-$BO205)</f>
        <v>588.70873921628049</v>
      </c>
      <c r="CR205">
        <f>IF($CN205="refOK",$BS205,$BT205)*IF($BP205="Emissions positive",-1,1)</f>
        <v>-51.111049251716672</v>
      </c>
      <c r="CS205">
        <f>IF($CN205="refOK",$BT205,$BS205)*IF($BP205="Emissions positive",-1,1)</f>
        <v>-435.66826611219864</v>
      </c>
      <c r="CT205">
        <f>IF($CN205="refNeedCorrection",-BX205,BX205)*IF($BP205="Emissions positive",-1,1)</f>
        <v>-384.55721686048196</v>
      </c>
      <c r="CU205">
        <f>IFERROR(CT205/CQ205,"")</f>
        <v>-0.65322151896780811</v>
      </c>
      <c r="CV205" s="2">
        <f>IFERROR((CS205-CR205)/ABS(CR205),"")</f>
        <v>-7.5239546534561859</v>
      </c>
      <c r="CW205" s="1" t="s">
        <v>234</v>
      </c>
      <c r="CX205" t="str">
        <f>IF(OR($CW205="prd",$CW205="std",$CW205="cit"),"loc",IF(OR($CW205="eur",$CW205="reg",$CW205="coy"),"reg",$CW205))</f>
        <v>loc</v>
      </c>
      <c r="CY205" t="s">
        <v>280</v>
      </c>
      <c r="CZ205"/>
      <c r="DA205"/>
      <c r="DB205">
        <v>200</v>
      </c>
      <c r="DC205" t="str">
        <f>IF(DB205=0,"0",IF(AND(DB205&gt;=1,DB205&lt;=30),"1-30",IF(AND(DB205&gt;30,DB205&lt;=70),"31-70",IF(AND(DB205&gt;70,DB205&lt;=100),"71-100",IF(DB205&gt;100,"+100")))))</f>
        <v>+100</v>
      </c>
      <c r="DD205">
        <v>0</v>
      </c>
      <c r="DE205">
        <v>0</v>
      </c>
      <c r="DF205">
        <v>0</v>
      </c>
      <c r="DG205">
        <v>1</v>
      </c>
      <c r="DH205"/>
      <c r="DI205">
        <f>SUM(DD205:DG205)</f>
        <v>1</v>
      </c>
      <c r="DJ205" t="str">
        <f>IF(DI205=1,INDEX($DD$7:$DG$7,MATCH(1,$DD205:$DG205,0)),"mixedProduct")</f>
        <v>TimberInput</v>
      </c>
      <c r="DK205">
        <f>IF(DD205=1,DK$7,0)</f>
        <v>0</v>
      </c>
      <c r="DL205">
        <f>IF(DE205=1,DL$7,0)</f>
        <v>0</v>
      </c>
      <c r="DM205">
        <f>IF(DF205=1,DM$7,0)</f>
        <v>0</v>
      </c>
      <c r="DN205" t="str">
        <f>IF(DG205=1,DN$7,0)</f>
        <v>Timber</v>
      </c>
      <c r="DO205">
        <v>0</v>
      </c>
      <c r="DP205">
        <v>1</v>
      </c>
      <c r="DQ205">
        <v>0</v>
      </c>
      <c r="DR205" t="s">
        <v>292</v>
      </c>
      <c r="DS205">
        <v>0</v>
      </c>
      <c r="DT205">
        <f>SUM(DO205:DP205)</f>
        <v>1</v>
      </c>
      <c r="DU205" s="143" t="str">
        <f>IF(DO205=1,"self-calculated DF",IF(DP205=1,"external DF used","explicit C balance"))</f>
        <v>external DF used</v>
      </c>
      <c r="DV205">
        <v>0</v>
      </c>
      <c r="DW205">
        <v>1</v>
      </c>
      <c r="DX205">
        <v>1</v>
      </c>
      <c r="DY205">
        <v>1</v>
      </c>
      <c r="DZ205">
        <v>1</v>
      </c>
      <c r="EA205" s="143">
        <v>0</v>
      </c>
      <c r="EB205">
        <v>1</v>
      </c>
      <c r="EC205">
        <v>1</v>
      </c>
      <c r="ED205">
        <v>0</v>
      </c>
      <c r="EE205">
        <v>1</v>
      </c>
      <c r="EF205">
        <v>1</v>
      </c>
      <c r="EG205">
        <v>1</v>
      </c>
      <c r="EH205">
        <v>0</v>
      </c>
      <c r="EI205" s="2">
        <v>0</v>
      </c>
      <c r="EJ205" s="1"/>
      <c r="EK205" t="str">
        <f>IF(AND(AND(AND(OR($DX205=1,$DW205=1),OR($EC205=1,$EA205=1)),SUM($DV205:$DZ205,$EF205)&gt;=4),SUM($EA205:$EE205)&gt;=2),"Whole sector","")</f>
        <v>Whole sector</v>
      </c>
      <c r="EL205" t="str">
        <f>IF(AND(AND(OR($DX205=1,$DW205=1),AND($EC205=0,$EA205=0)),SUM($DV205:$DZ205,$EF205)&gt;=4),"Ecosystem approach","")</f>
        <v/>
      </c>
      <c r="EM205" s="2" t="str">
        <f>IF(AND(AND(AND($DX205=0,$DW205=0),OR($EC205=1,$EA205=1)),SUM($EB205:$EE205)&gt;=2),"Technology approach","")</f>
        <v/>
      </c>
      <c r="EN205"/>
      <c r="EO205"/>
      <c r="EP205" t="str">
        <f>IF(ISNUMBER(BU205),IF(ABS(BU205-[1]QC_indicators!$B$2)&gt;3*[1]QC_indicators!$C$2,"C ratio",IF(ISNUMBER(BY205),IF(ABS(BY205-[1]QC_indicators!$B$1)&gt;3*[1]QC_indicators!$C$1,"DF","no"))),IF(ISNUMBER(BY205),IF(ABS(BY205-[1]QC_indicators!$B$1)&gt;3*[1]QC_indicators!$C$1,"DF","no")))</f>
        <v>no</v>
      </c>
      <c r="EQ205" t="s">
        <v>286</v>
      </c>
      <c r="ER205"/>
      <c r="ES205"/>
      <c r="ET205" s="264" t="s">
        <v>3273</v>
      </c>
      <c r="EU205"/>
    </row>
    <row r="206" spans="1:151" s="139" customFormat="1" ht="15" customHeight="1">
      <c r="A206" s="1" t="s">
        <v>2114</v>
      </c>
      <c r="B206" t="s">
        <v>544</v>
      </c>
      <c r="C206" t="s">
        <v>2277</v>
      </c>
      <c r="D206" t="s">
        <v>2278</v>
      </c>
      <c r="E206" t="s">
        <v>2279</v>
      </c>
      <c r="F206" t="s">
        <v>2280</v>
      </c>
      <c r="G206" t="s">
        <v>2115</v>
      </c>
      <c r="H206" t="s">
        <v>254</v>
      </c>
      <c r="I206">
        <v>2014</v>
      </c>
      <c r="J206">
        <v>96</v>
      </c>
      <c r="K206" t="s">
        <v>2281</v>
      </c>
      <c r="L206"/>
      <c r="M206" t="str">
        <f>LEFT($D206,FIND(",",$D206)-1)&amp;"_"&amp;I206&amp;L206</f>
        <v>Smyth_2014</v>
      </c>
      <c r="N206" t="s">
        <v>222</v>
      </c>
      <c r="O206" s="145" t="s">
        <v>341</v>
      </c>
      <c r="P206"/>
      <c r="Q206" t="s">
        <v>256</v>
      </c>
      <c r="R206" s="262" t="s">
        <v>223</v>
      </c>
      <c r="S206" s="1" t="s">
        <v>2295</v>
      </c>
      <c r="T206" t="s">
        <v>2296</v>
      </c>
      <c r="U206" t="s">
        <v>1155</v>
      </c>
      <c r="V206">
        <v>1</v>
      </c>
      <c r="W206">
        <v>0</v>
      </c>
      <c r="X206">
        <v>0</v>
      </c>
      <c r="Y206">
        <v>2</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s="141">
        <f>COUNTIF(V206:AW206,"&lt;&gt;0")</f>
        <v>2</v>
      </c>
      <c r="AY206" s="141">
        <f>COUNTIF(V206:AL206,"&lt;&gt;0")</f>
        <v>2</v>
      </c>
      <c r="AZ206">
        <f>COUNTIF(V206:AC206,"&lt;&gt;0")</f>
        <v>2</v>
      </c>
      <c r="BA206">
        <f>COUNTIF(AD206:AI206,"&lt;&gt;0")</f>
        <v>0</v>
      </c>
      <c r="BB206">
        <f>COUNTIF(AJ206:AL206,"&lt;&gt;0")</f>
        <v>0</v>
      </c>
      <c r="BC206">
        <f>COUNTIF(AS206:AW206,"&lt;&gt;0")</f>
        <v>0</v>
      </c>
      <c r="BD206">
        <f>COUNTIF(AM206:AR206,"&lt;&gt;0")</f>
        <v>0</v>
      </c>
      <c r="BE206" t="str">
        <f t="array" ref="BE206">IF(AY206=1,INDEX($V$7:$AL$7,MATCH(TRUE,INDEX($V206:$AW206&lt;&gt;0,),0)),IF(AY206=0,INDEX($AM$7:$AW$7,MATCH(1,$AM206:$AW206,0)),IF(BF206="Multiple strategies","mixed drivers",IF(BF206="Supply chain","multiple supply","multiple silviculture"))))</f>
        <v>multiple silviculture</v>
      </c>
      <c r="BF206" s="2" t="str" cm="1">
        <f t="array" ref="BF206">IF(COUNTIF(AZ206:BB206,"&lt;&gt;0")=1,INDEX($V$4:$AW$4,MATCH(TRUE,INDEX($V206:$AW206&lt;&gt;0,),0)),IF(COUNTIF(AZ206:BB206,"&lt;&gt;0")=0,INDEX($AM$4:$AW$4,MATCH(1,$AM206:$AW206,0)),"Multiple strategies"))</f>
        <v>Silviculture for removals</v>
      </c>
      <c r="BG206" s="1" t="s">
        <v>321</v>
      </c>
      <c r="BH206" t="s">
        <v>2297</v>
      </c>
      <c r="BI206" t="s">
        <v>1036</v>
      </c>
      <c r="BJ206" t="s">
        <v>2288</v>
      </c>
      <c r="BK206">
        <v>-1.41</v>
      </c>
      <c r="BL206">
        <v>0</v>
      </c>
      <c r="BM206"/>
      <c r="BN206">
        <f>BL206-BK206</f>
        <v>1.41</v>
      </c>
      <c r="BO206">
        <f>BN206*10^6*tC_to_m3</f>
        <v>6122448.9795918372</v>
      </c>
      <c r="BP206" t="s">
        <v>232</v>
      </c>
      <c r="BQ206" s="338" t="s">
        <v>783</v>
      </c>
      <c r="BR206" s="264" t="s">
        <v>3244</v>
      </c>
      <c r="BS206"/>
      <c r="BT206"/>
      <c r="BU206" s="144"/>
      <c r="BV206">
        <f>-136/35</f>
        <v>-3.8857142857142857</v>
      </c>
      <c r="BW206"/>
      <c r="BX206">
        <f>BV206*10^6</f>
        <v>-3885714.2857142854</v>
      </c>
      <c r="BY206">
        <f>IFERROR(BX206/BO206,"")</f>
        <v>-0.6346666666666666</v>
      </c>
      <c r="BZ206">
        <v>0</v>
      </c>
      <c r="CA206">
        <v>1</v>
      </c>
      <c r="CB206">
        <v>1</v>
      </c>
      <c r="CC206">
        <v>1</v>
      </c>
      <c r="CD206">
        <v>0</v>
      </c>
      <c r="CE206">
        <v>0</v>
      </c>
      <c r="CF206">
        <v>0</v>
      </c>
      <c r="CG206">
        <v>0</v>
      </c>
      <c r="CH206">
        <v>0</v>
      </c>
      <c r="CI206">
        <v>0</v>
      </c>
      <c r="CJ206">
        <v>0</v>
      </c>
      <c r="CK206">
        <v>0</v>
      </c>
      <c r="CL206">
        <v>0</v>
      </c>
      <c r="CM206">
        <v>0</v>
      </c>
      <c r="CN206" t="str">
        <f>IF(BL206&lt;BK206,"refNeedCorrection","refOK")</f>
        <v>refOK</v>
      </c>
      <c r="CO206">
        <f>IF($CN206="refOK",$BK206,$BL206)</f>
        <v>-1.41</v>
      </c>
      <c r="CP206">
        <f>IF($CN206="refOK",$BL206,$BK206)</f>
        <v>0</v>
      </c>
      <c r="CQ206">
        <f>IF($CN206="refOK",$BO206,-$BO206)</f>
        <v>6122448.9795918372</v>
      </c>
      <c r="CR206">
        <f>IF($CN206="refOK",$BS206,$BT206)*IF($BP206="Emissions positive",-1,1)</f>
        <v>0</v>
      </c>
      <c r="CS206">
        <f>IF($CN206="refOK",$BT206,$BS206)*IF($BP206="Emissions positive",-1,1)</f>
        <v>0</v>
      </c>
      <c r="CT206">
        <f>IF($CN206="refNeedCorrection",-BX206,BX206)*IF($BP206="Emissions positive",-1,1)</f>
        <v>-3885714.2857142854</v>
      </c>
      <c r="CU206">
        <f>IFERROR(CT206/CQ206,"")</f>
        <v>-0.6346666666666666</v>
      </c>
      <c r="CV206" s="2" t="str">
        <f>IFERROR((CS206-CR206)/ABS(CR206),"")</f>
        <v/>
      </c>
      <c r="CW206" s="1" t="s">
        <v>1203</v>
      </c>
      <c r="CX206" t="str">
        <f>IF(OR($CW206="prd",$CW206="std",$CW206="cit"),"loc",IF(OR($CW206="eur",$CW206="reg",$CW206="coy"),"reg",$CW206))</f>
        <v>reg</v>
      </c>
      <c r="CY206" t="s">
        <v>540</v>
      </c>
      <c r="CZ206">
        <v>2015</v>
      </c>
      <c r="DA206">
        <v>2050</v>
      </c>
      <c r="DB206">
        <v>35</v>
      </c>
      <c r="DC206" t="str">
        <f>IF(DB206=0,"0",IF(AND(DB206&gt;=1,DB206&lt;=30),"1-30",IF(AND(DB206&gt;30,DB206&lt;=70),"31-70",IF(AND(DB206&gt;70,DB206&lt;=100),"71-100",IF(DB206&gt;100,"+100")))))</f>
        <v>31-70</v>
      </c>
      <c r="DD206">
        <v>0</v>
      </c>
      <c r="DE206">
        <v>1</v>
      </c>
      <c r="DF206">
        <v>1</v>
      </c>
      <c r="DG206">
        <v>1</v>
      </c>
      <c r="DH206"/>
      <c r="DI206">
        <f>SUM(DD206:DG206)</f>
        <v>3</v>
      </c>
      <c r="DJ206" t="str">
        <f>IF(DI206=1,INDEX($DD$7:$DG$7,MATCH(1,$DD206:$DG206,0)),"mixedProduct")</f>
        <v>mixedProduct</v>
      </c>
      <c r="DK206">
        <f>IF(DD206=1,DK$7,0)</f>
        <v>0</v>
      </c>
      <c r="DL206" t="str">
        <f>IF(DE206=1,DL$7,0)</f>
        <v>Energy</v>
      </c>
      <c r="DM206" t="str">
        <f>IF(DF206=1,DM$7,0)</f>
        <v>Pulp/Paper</v>
      </c>
      <c r="DN206" t="str">
        <f>IF(DG206=1,DN$7,0)</f>
        <v>Timber</v>
      </c>
      <c r="DO206">
        <v>0</v>
      </c>
      <c r="DP206">
        <v>0</v>
      </c>
      <c r="DQ206"/>
      <c r="DR206">
        <v>0</v>
      </c>
      <c r="DS206">
        <v>0</v>
      </c>
      <c r="DT206">
        <f>SUM(DO206:DP206)</f>
        <v>0</v>
      </c>
      <c r="DU206" s="143" t="str">
        <f>IF(DO206=1,"self-calculated DF",IF(DP206=1,"external DF used","explicit C balance"))</f>
        <v>explicit C balance</v>
      </c>
      <c r="DV206">
        <v>1</v>
      </c>
      <c r="DW206">
        <v>1</v>
      </c>
      <c r="DX206">
        <v>1</v>
      </c>
      <c r="DY206">
        <v>0</v>
      </c>
      <c r="DZ206">
        <v>0</v>
      </c>
      <c r="EA206">
        <v>0</v>
      </c>
      <c r="EB206">
        <v>0</v>
      </c>
      <c r="EC206">
        <v>0</v>
      </c>
      <c r="ED206">
        <v>0</v>
      </c>
      <c r="EE206">
        <v>0</v>
      </c>
      <c r="EF206">
        <v>1</v>
      </c>
      <c r="EG206">
        <v>0</v>
      </c>
      <c r="EH206">
        <v>0</v>
      </c>
      <c r="EI206" s="2">
        <v>0</v>
      </c>
      <c r="EJ206" s="1"/>
      <c r="EK206" t="str">
        <f>IF(AND(AND(AND(OR($DX206=1,$DW206=1),OR($EC206=1,$EA206=1)),SUM($DV206:$DZ206,$EF206)&gt;=4),SUM($EA206:$EE206)&gt;=2),"Whole sector","")</f>
        <v/>
      </c>
      <c r="EL206" t="str">
        <f>IF(AND(AND(OR($DX206=1,$DW206=1),AND($EC206=0,$EA206=0)),SUM($DV206:$DZ206,$EF206)&gt;=4),"Ecosystem approach","")</f>
        <v>Ecosystem approach</v>
      </c>
      <c r="EM206" s="2" t="str">
        <f>IF(AND(AND(AND($DX206=0,$DW206=0),OR($EC206=1,$EA206=1)),SUM($EB206:$EE206)&gt;=2),"Technology approach","")</f>
        <v/>
      </c>
      <c r="EN206" t="s">
        <v>2298</v>
      </c>
      <c r="EO206"/>
      <c r="EP206" t="str">
        <f>IF(ISNUMBER(BU206),IF(ABS(BU206-[1]QC_indicators!$B$2)&gt;3*[1]QC_indicators!$C$2,"C ratio",IF(ISNUMBER(BY206),IF(ABS(BY206-[1]QC_indicators!$B$1)&gt;3*[1]QC_indicators!$C$1,"DF","no"))),IF(ISNUMBER(BY206),IF(ABS(BY206-[1]QC_indicators!$B$1)&gt;3*[1]QC_indicators!$C$1,"DF","no")))</f>
        <v>no</v>
      </c>
      <c r="EQ206"/>
      <c r="ER206" t="s">
        <v>2299</v>
      </c>
      <c r="ES206"/>
      <c r="ET206" s="268" t="s">
        <v>3242</v>
      </c>
      <c r="EU206"/>
    </row>
    <row r="207" spans="1:151" s="139" customFormat="1" ht="15" customHeight="1">
      <c r="A207" s="1" t="s">
        <v>1357</v>
      </c>
      <c r="B207" t="s">
        <v>1436</v>
      </c>
      <c r="C207" t="s">
        <v>1437</v>
      </c>
      <c r="D207" t="s">
        <v>1438</v>
      </c>
      <c r="E207" t="s">
        <v>1439</v>
      </c>
      <c r="F207" t="s">
        <v>1440</v>
      </c>
      <c r="G207" t="s">
        <v>1358</v>
      </c>
      <c r="H207" t="s">
        <v>254</v>
      </c>
      <c r="I207">
        <v>2011</v>
      </c>
      <c r="J207">
        <v>0</v>
      </c>
      <c r="K207" t="s">
        <v>1441</v>
      </c>
      <c r="L207"/>
      <c r="M207" t="str">
        <f>LEFT($D207,FIND(",",$D207)-1)&amp;"_"&amp;I207&amp;L207</f>
        <v>Elgie_2011</v>
      </c>
      <c r="N207" t="s">
        <v>222</v>
      </c>
      <c r="O207" s="145" t="s">
        <v>274</v>
      </c>
      <c r="P207"/>
      <c r="Q207" s="264" t="s">
        <v>256</v>
      </c>
      <c r="R207" s="269" t="s">
        <v>1154</v>
      </c>
      <c r="S207" s="1" t="s">
        <v>1442</v>
      </c>
      <c r="T207" t="s">
        <v>1443</v>
      </c>
      <c r="U207" t="s">
        <v>1446</v>
      </c>
      <c r="V207">
        <v>2</v>
      </c>
      <c r="W207">
        <v>0</v>
      </c>
      <c r="X207">
        <v>2</v>
      </c>
      <c r="Y207">
        <v>2</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1</v>
      </c>
      <c r="AW207">
        <v>0</v>
      </c>
      <c r="AX207" s="141">
        <f>COUNTIF(V207:AW207,"&lt;&gt;0")</f>
        <v>4</v>
      </c>
      <c r="AY207" s="141">
        <f>COUNTIF(V207:AL207,"&lt;&gt;0")</f>
        <v>3</v>
      </c>
      <c r="AZ207">
        <f>COUNTIF(V207:AC207,"&lt;&gt;0")</f>
        <v>3</v>
      </c>
      <c r="BA207">
        <f>COUNTIF(AD207:AI207,"&lt;&gt;0")</f>
        <v>0</v>
      </c>
      <c r="BB207">
        <f>COUNTIF(AJ207:AL207,"&lt;&gt;0")</f>
        <v>0</v>
      </c>
      <c r="BC207">
        <f>COUNTIF(AS207:AW207,"&lt;&gt;0")</f>
        <v>1</v>
      </c>
      <c r="BD207">
        <f>COUNTIF(AM207:AR207,"&lt;&gt;0")</f>
        <v>0</v>
      </c>
      <c r="BE207" t="str" cm="1">
        <f t="array" ref="BE207">IF(AY207=1,INDEX($V$7:$AL$7,MATCH(TRUE,INDEX($V207:$AW207&lt;&gt;0,),0)),IF(AY207=0,INDEX($AM$7:$AW$7,MATCH(1,$AM207:$AW207,0)),IF(BF207="Multiple strategies","mixed drivers",IF(BF207="Supply chain","multiple supply","multiple silviculture"))))</f>
        <v>multiple silviculture</v>
      </c>
      <c r="BF207" s="2" t="str" cm="1">
        <f t="array" ref="BF207">IF(COUNTIF(AZ207:BB207,"&lt;&gt;0")=1,INDEX($V$4:$AW$4,MATCH(TRUE,INDEX($V207:$AW207&lt;&gt;0,),0)),IF(COUNTIF(AZ207:BB207,"&lt;&gt;0")=0,INDEX($AM$4:$AW$4,MATCH(1,$AM207:$AW207,0)),"Multiple strategies"))</f>
        <v>Silviculture for removals</v>
      </c>
      <c r="BG207" s="1" t="s">
        <v>321</v>
      </c>
      <c r="BH207" t="s">
        <v>1445</v>
      </c>
      <c r="BI207"/>
      <c r="BJ207" t="s">
        <v>1323</v>
      </c>
      <c r="BK207">
        <v>0</v>
      </c>
      <c r="BL207">
        <v>279.58580701439303</v>
      </c>
      <c r="BM207"/>
      <c r="BN207">
        <f>BL207-BK207</f>
        <v>279.58580701439303</v>
      </c>
      <c r="BO207">
        <f>BN207*10^6</f>
        <v>279585807.01439303</v>
      </c>
      <c r="BP207" t="s">
        <v>232</v>
      </c>
      <c r="BQ207" s="234"/>
      <c r="BR207" t="s">
        <v>1359</v>
      </c>
      <c r="BS207">
        <v>269.14893617021198</v>
      </c>
      <c r="BT207">
        <v>221.063829787234</v>
      </c>
      <c r="BU207" s="144">
        <f>IFERROR(BT207/BS207,"")</f>
        <v>0.82134387351778881</v>
      </c>
      <c r="BV207">
        <f>BT207-BS207</f>
        <v>-48.085106382977983</v>
      </c>
      <c r="BW207"/>
      <c r="BX207">
        <f>BV207*10^6*C_to_CO2</f>
        <v>-176472340.42552921</v>
      </c>
      <c r="BY207">
        <f>IFERROR(BX207/BO207,"")</f>
        <v>-0.63119205624212693</v>
      </c>
      <c r="BZ207">
        <v>0</v>
      </c>
      <c r="CA207">
        <v>0</v>
      </c>
      <c r="CB207">
        <v>0</v>
      </c>
      <c r="CC207">
        <v>0</v>
      </c>
      <c r="CD207">
        <v>0</v>
      </c>
      <c r="CE207">
        <v>0</v>
      </c>
      <c r="CF207">
        <v>0</v>
      </c>
      <c r="CG207">
        <v>0</v>
      </c>
      <c r="CH207">
        <v>0</v>
      </c>
      <c r="CI207">
        <v>0</v>
      </c>
      <c r="CJ207">
        <v>0</v>
      </c>
      <c r="CK207">
        <v>0</v>
      </c>
      <c r="CL207">
        <v>0</v>
      </c>
      <c r="CM207">
        <v>1</v>
      </c>
      <c r="CN207" t="str">
        <f>IF($BL207&lt;$BK207,"refNeedCorrection","refOK")</f>
        <v>refOK</v>
      </c>
      <c r="CO207">
        <f>IF($CN207="refOK",$BK207,$BL207)</f>
        <v>0</v>
      </c>
      <c r="CP207">
        <f>IF($CN207="refOK",$BL207,$BK207)</f>
        <v>279.58580701439303</v>
      </c>
      <c r="CQ207">
        <f>IF($CN207="refOK",$BO207,-$BO207)</f>
        <v>279585807.01439303</v>
      </c>
      <c r="CR207">
        <f>IF($CN207="refOK",$BS207,$BT207)*IF($BP207="Emissions positive",-1,1)</f>
        <v>269.14893617021198</v>
      </c>
      <c r="CS207">
        <f>IF($CN207="refOK",$BT207,$BS207)*IF($BP207="Emissions positive",-1,1)</f>
        <v>221.063829787234</v>
      </c>
      <c r="CT207">
        <f>IF($CN207="refNeedCorrection",-BX207,BX207)*IF($BP207="Emissions positive",-1,1)</f>
        <v>-176472340.42552921</v>
      </c>
      <c r="CU207">
        <f>IFERROR(CT207/CQ207,"")</f>
        <v>-0.63119205624212693</v>
      </c>
      <c r="CV207" s="2">
        <f>IFERROR((CS207-CR207)/ABS(CR207),"")</f>
        <v>-0.17865612648221121</v>
      </c>
      <c r="CW207" s="1" t="s">
        <v>1199</v>
      </c>
      <c r="CX207" s="264" t="str">
        <f>IF(OR($CW207="prd",$CW207="std",$CW207="cit"),"loc",IF(OR($CW207="eur",$CW207="reg",$CW207="coy"),"reg",$CW207))</f>
        <v>reg</v>
      </c>
      <c r="CY207" t="s">
        <v>540</v>
      </c>
      <c r="CZ207"/>
      <c r="DA207"/>
      <c r="DB207">
        <v>200</v>
      </c>
      <c r="DC207" t="str">
        <f>IF(DB207=0,"0",IF(AND(DB207&gt;=1,DB207&lt;=30),"1-30",IF(AND(DB207&gt;30,DB207&lt;=70),"31-70",IF(AND(DB207&gt;70,DB207&lt;=100),"71-100",IF(DB207&gt;100,"+100")))))</f>
        <v>+100</v>
      </c>
      <c r="DD207">
        <v>1</v>
      </c>
      <c r="DE207">
        <v>0</v>
      </c>
      <c r="DF207">
        <v>0</v>
      </c>
      <c r="DG207">
        <v>0</v>
      </c>
      <c r="DH207"/>
      <c r="DI207">
        <f>SUM(DD207:DG207)</f>
        <v>1</v>
      </c>
      <c r="DJ207" t="str">
        <f>IF(DI207=1,INDEX($DD$7:$DG$7,MATCH(1,$DD207:$DG207,0)),"mixedProduct")</f>
        <v>UpstreamInput</v>
      </c>
      <c r="DK207" t="str">
        <f>IF(DD207=1,DK$7,0)</f>
        <v>Upstream</v>
      </c>
      <c r="DL207">
        <f>IF(DE207=1,DL$7,0)</f>
        <v>0</v>
      </c>
      <c r="DM207">
        <f>IF(DF207=1,DM$7,0)</f>
        <v>0</v>
      </c>
      <c r="DN207">
        <f>IF(DG207=1,DN$7,0)</f>
        <v>0</v>
      </c>
      <c r="DO207">
        <v>0</v>
      </c>
      <c r="DP207">
        <v>0</v>
      </c>
      <c r="DQ207">
        <v>0</v>
      </c>
      <c r="DR207">
        <v>0</v>
      </c>
      <c r="DS207">
        <v>0</v>
      </c>
      <c r="DT207">
        <f>SUM(DO207:DP207)</f>
        <v>0</v>
      </c>
      <c r="DU207" s="143" t="str">
        <f>IF(DO207=1,"self-calculated DF",IF(DP207=1,"external DF used","explicit C balance"))</f>
        <v>explicit C balance</v>
      </c>
      <c r="DV207">
        <v>1</v>
      </c>
      <c r="DW207">
        <v>0</v>
      </c>
      <c r="DX207">
        <v>1</v>
      </c>
      <c r="DY207">
        <v>0</v>
      </c>
      <c r="DZ207">
        <v>0</v>
      </c>
      <c r="EA207" s="143">
        <v>0</v>
      </c>
      <c r="EB207">
        <v>0</v>
      </c>
      <c r="EC207">
        <v>0</v>
      </c>
      <c r="ED207">
        <v>0</v>
      </c>
      <c r="EE207">
        <v>0</v>
      </c>
      <c r="EF207">
        <v>1</v>
      </c>
      <c r="EG207">
        <v>0</v>
      </c>
      <c r="EH207">
        <v>0</v>
      </c>
      <c r="EI207" s="2">
        <v>1</v>
      </c>
      <c r="EJ207" s="1"/>
      <c r="EK207" t="str">
        <f>IF(AND(AND(AND(OR($DX207=1,$DW207=1),OR($EC207=1,$EA207=1)),SUM($DV207:$DZ207,$EF207)&gt;=4),SUM($EA207:$EE207)&gt;=2),"Whole sector","")</f>
        <v/>
      </c>
      <c r="EL207" t="str">
        <f>IF(AND(AND(OR($DX207=1,$DW207=1),AND($EC207=0,$EA207=0)),SUM($DV207:$DZ207,$EF207)&gt;=4),"Ecosystem approach","")</f>
        <v/>
      </c>
      <c r="EM207" s="2" t="str">
        <f>IF(AND(AND(AND($DX207=0,$DW207=0),OR($EC207=1,$EA207=1)),SUM($EB207:$EE207)&gt;=2),"Technology approach","")</f>
        <v/>
      </c>
      <c r="EN207"/>
      <c r="EO207"/>
      <c r="EP207" t="str">
        <f>IF(ISNUMBER(BU207),IF(ABS(BU207-[3]QC_indicators!$B$2)&gt;3*[3]QC_indicators!$C$2,"C ratio",IF(ISNUMBER(BY207),IF(ABS(BY207-[3]QC_indicators!$B$1)&gt;3*[3]QC_indicators!$C$1,"DF","no"))),IF(ISNUMBER(BY207),IF(ABS(BY207-[3]QC_indicators!$B$1)&gt;3*[3]QC_indicators!$C$1,"DF","no")))</f>
        <v>no</v>
      </c>
      <c r="EQ207" t="s">
        <v>286</v>
      </c>
      <c r="ER207"/>
      <c r="ES207"/>
      <c r="ET207" s="264" t="s">
        <v>3407</v>
      </c>
      <c r="EU207"/>
    </row>
    <row r="208" spans="1:151" s="139" customFormat="1" ht="15" customHeight="1">
      <c r="A208" s="1" t="s">
        <v>265</v>
      </c>
      <c r="B208" t="s">
        <v>266</v>
      </c>
      <c r="C208" t="s">
        <v>267</v>
      </c>
      <c r="D208" t="s">
        <v>268</v>
      </c>
      <c r="E208" t="s">
        <v>269</v>
      </c>
      <c r="F208" t="s">
        <v>270</v>
      </c>
      <c r="G208" t="s">
        <v>271</v>
      </c>
      <c r="H208" t="s">
        <v>254</v>
      </c>
      <c r="I208">
        <v>2022</v>
      </c>
      <c r="J208">
        <v>0</v>
      </c>
      <c r="K208" t="s">
        <v>272</v>
      </c>
      <c r="L208"/>
      <c r="M208" t="str">
        <f>LEFT($D208,FIND(",",$D208)-1)&amp;"_"&amp;I208&amp;L208</f>
        <v>Aryapratama_2022</v>
      </c>
      <c r="N208" t="s">
        <v>222</v>
      </c>
      <c r="O208" s="145" t="s">
        <v>274</v>
      </c>
      <c r="P208"/>
      <c r="Q208" t="s">
        <v>224</v>
      </c>
      <c r="R208" s="262" t="s">
        <v>223</v>
      </c>
      <c r="S208" s="263" t="s">
        <v>3105</v>
      </c>
      <c r="T208" t="s">
        <v>291</v>
      </c>
      <c r="U208" t="s">
        <v>276</v>
      </c>
      <c r="V208">
        <v>0</v>
      </c>
      <c r="W208">
        <v>0</v>
      </c>
      <c r="X208">
        <v>0</v>
      </c>
      <c r="Y208">
        <v>0</v>
      </c>
      <c r="Z208">
        <v>0</v>
      </c>
      <c r="AA208">
        <v>0</v>
      </c>
      <c r="AB208">
        <v>0</v>
      </c>
      <c r="AC208">
        <v>0</v>
      </c>
      <c r="AD208">
        <v>0</v>
      </c>
      <c r="AE208">
        <v>0</v>
      </c>
      <c r="AF208">
        <v>0</v>
      </c>
      <c r="AG208">
        <v>0</v>
      </c>
      <c r="AH208">
        <v>0</v>
      </c>
      <c r="AI208">
        <v>0</v>
      </c>
      <c r="AJ208">
        <v>0</v>
      </c>
      <c r="AK208">
        <v>1</v>
      </c>
      <c r="AL208">
        <v>0</v>
      </c>
      <c r="AM208">
        <v>0</v>
      </c>
      <c r="AN208">
        <v>0</v>
      </c>
      <c r="AO208">
        <v>0</v>
      </c>
      <c r="AP208">
        <v>0</v>
      </c>
      <c r="AQ208">
        <v>0</v>
      </c>
      <c r="AR208">
        <v>0</v>
      </c>
      <c r="AS208">
        <v>0</v>
      </c>
      <c r="AT208">
        <v>0</v>
      </c>
      <c r="AU208">
        <v>0</v>
      </c>
      <c r="AV208">
        <v>0</v>
      </c>
      <c r="AW208">
        <v>0</v>
      </c>
      <c r="AX208" s="141">
        <f>COUNTIF(V208:AW208,"&lt;&gt;0")</f>
        <v>1</v>
      </c>
      <c r="AY208" s="141">
        <f>COUNTIF(V208:AL208,"&lt;&gt;0")</f>
        <v>1</v>
      </c>
      <c r="AZ208">
        <f>COUNTIF(V208:AC208,"&lt;&gt;0")</f>
        <v>0</v>
      </c>
      <c r="BA208">
        <f>COUNTIF(AD208:AI208,"&lt;&gt;0")</f>
        <v>0</v>
      </c>
      <c r="BB208">
        <f>COUNTIF(AJ208:AL208,"&lt;&gt;0")</f>
        <v>1</v>
      </c>
      <c r="BC208">
        <f>COUNTIF(AS208:AW208,"&lt;&gt;0")</f>
        <v>0</v>
      </c>
      <c r="BD208">
        <f>COUNTIF(AM208:AR208,"&lt;&gt;0")</f>
        <v>0</v>
      </c>
      <c r="BE208" t="str">
        <f t="array" ref="BE208">IF(AY208=1,INDEX($V$7:$AL$7,MATCH(TRUE,INDEX($V208:$AW208&lt;&gt;0,),0)),IF(AY208=0,INDEX($AM$7:$AW$7,MATCH(1,$AM208:$AW208,0)),IF(BF208="Multiple strategies","mixed drivers",IF(BF208="Supply chain","multiple supply","multiple silviculture"))))</f>
        <v>technologies/design switch</v>
      </c>
      <c r="BF208" s="2" t="str" cm="1">
        <f t="array" ref="BF208">IF(COUNTIF(AZ208:BB208,"&lt;&gt;0")=1,INDEX($V$4:$AW$4,MATCH(TRUE,INDEX($V208:$AW208&lt;&gt;0,),0)),IF(COUNTIF(AZ208:BB208,"&lt;&gt;0")=0,INDEX($AM$4:$AW$4,MATCH(1,$AM208:$AW208,0)),"Multiple strategies"))</f>
        <v>Technology</v>
      </c>
      <c r="BG208" s="1" t="s">
        <v>229</v>
      </c>
      <c r="BH208" t="s">
        <v>277</v>
      </c>
      <c r="BI208" s="264" t="s">
        <v>3106</v>
      </c>
      <c r="BJ208" t="s">
        <v>278</v>
      </c>
      <c r="BK208">
        <v>0</v>
      </c>
      <c r="BL208">
        <v>164.91714764150942</v>
      </c>
      <c r="BM208"/>
      <c r="BN208">
        <f>BL208-BK208</f>
        <v>164.91714764150942</v>
      </c>
      <c r="BO208">
        <f>BN208*tC_to_m3</f>
        <v>716.09703708862105</v>
      </c>
      <c r="BP208" t="s">
        <v>232</v>
      </c>
      <c r="BQ208" s="303" t="s">
        <v>3107</v>
      </c>
      <c r="BR208" t="s">
        <v>279</v>
      </c>
      <c r="BS208">
        <v>-476.23317385650159</v>
      </c>
      <c r="BT208">
        <v>-922.29525217943831</v>
      </c>
      <c r="BU208" s="144">
        <f>IFERROR(BT208/BS208,"")</f>
        <v>1.9366463799881022</v>
      </c>
      <c r="BV208">
        <f>BT208-BS208</f>
        <v>-446.06207832293671</v>
      </c>
      <c r="BW208"/>
      <c r="BX208">
        <f>BV208</f>
        <v>-446.06207832293671</v>
      </c>
      <c r="BY208">
        <f>IFERROR(BX208/BO208,"")</f>
        <v>-0.622907308954183</v>
      </c>
      <c r="BZ208">
        <v>0</v>
      </c>
      <c r="CA208">
        <v>0</v>
      </c>
      <c r="CB208">
        <v>0</v>
      </c>
      <c r="CC208">
        <v>0</v>
      </c>
      <c r="CD208">
        <v>0</v>
      </c>
      <c r="CE208">
        <v>0</v>
      </c>
      <c r="CF208">
        <v>0</v>
      </c>
      <c r="CG208">
        <v>0</v>
      </c>
      <c r="CH208">
        <v>0</v>
      </c>
      <c r="CI208">
        <v>0</v>
      </c>
      <c r="CJ208">
        <v>0</v>
      </c>
      <c r="CK208">
        <v>0</v>
      </c>
      <c r="CL208">
        <v>0</v>
      </c>
      <c r="CM208">
        <v>0</v>
      </c>
      <c r="CN208" t="str">
        <f>IF($BL208&lt;$BK208,"refNeedCorrection","refOK")</f>
        <v>refOK</v>
      </c>
      <c r="CO208">
        <f>IF($CN208="refOK",$BK208,$BL208)</f>
        <v>0</v>
      </c>
      <c r="CP208">
        <f>IF($CN208="refOK",$BL208,$BK208)</f>
        <v>164.91714764150942</v>
      </c>
      <c r="CQ208">
        <f>IF($CN208="refOK",$BO208,-$BO208)</f>
        <v>716.09703708862105</v>
      </c>
      <c r="CR208">
        <f>IF($CN208="refOK",$BS208,$BT208)*IF($BP208="Emissions positive",-1,1)</f>
        <v>-476.23317385650159</v>
      </c>
      <c r="CS208">
        <f>IF($CN208="refOK",$BT208,$BS208)*IF($BP208="Emissions positive",-1,1)</f>
        <v>-922.29525217943831</v>
      </c>
      <c r="CT208">
        <f>IF($CN208="refNeedCorrection",-BX208,BX208)*IF($BP208="Emissions positive",-1,1)</f>
        <v>-446.06207832293671</v>
      </c>
      <c r="CU208">
        <f>IFERROR(CT208/CQ208,"")</f>
        <v>-0.622907308954183</v>
      </c>
      <c r="CV208" s="2">
        <f>IFERROR((CS208-CR208)/ABS(CR208),"")</f>
        <v>-0.93664637998810218</v>
      </c>
      <c r="CW208" s="1" t="s">
        <v>234</v>
      </c>
      <c r="CX208" t="str">
        <f>IF(OR($CW208="prd",$CW208="std",$CW208="cit"),"loc",IF(OR($CW208="eur",$CW208="reg",$CW208="coy"),"reg",$CW208))</f>
        <v>loc</v>
      </c>
      <c r="CY208" t="s">
        <v>280</v>
      </c>
      <c r="CZ208"/>
      <c r="DA208"/>
      <c r="DB208">
        <v>100</v>
      </c>
      <c r="DC208" t="str">
        <f>IF(DB208=0,"0",IF(AND(DB208&gt;=1,DB208&lt;=30),"1-30",IF(AND(DB208&gt;30,DB208&lt;=70),"31-70",IF(AND(DB208&gt;70,DB208&lt;=100),"71-100",IF(DB208&gt;100,"+100")))))</f>
        <v>71-100</v>
      </c>
      <c r="DD208">
        <v>0</v>
      </c>
      <c r="DE208">
        <v>0</v>
      </c>
      <c r="DF208">
        <v>0</v>
      </c>
      <c r="DG208">
        <v>1</v>
      </c>
      <c r="DH208"/>
      <c r="DI208">
        <f>SUM(DD208:DG208)</f>
        <v>1</v>
      </c>
      <c r="DJ208" t="str">
        <f>IF(DI208=1,INDEX($DD$7:$DG$7,MATCH(1,$DD208:$DG208,0)),"mixedProduct")</f>
        <v>TimberInput</v>
      </c>
      <c r="DK208">
        <f>IF(DD208=1,DK$7,0)</f>
        <v>0</v>
      </c>
      <c r="DL208">
        <f>IF(DE208=1,DL$7,0)</f>
        <v>0</v>
      </c>
      <c r="DM208">
        <f>IF(DF208=1,DM$7,0)</f>
        <v>0</v>
      </c>
      <c r="DN208" t="str">
        <f>IF(DG208=1,DN$7,0)</f>
        <v>Timber</v>
      </c>
      <c r="DO208">
        <v>0</v>
      </c>
      <c r="DP208">
        <v>1</v>
      </c>
      <c r="DQ208">
        <v>0</v>
      </c>
      <c r="DR208" t="s">
        <v>292</v>
      </c>
      <c r="DS208">
        <v>0</v>
      </c>
      <c r="DT208">
        <f>SUM(DO208:DP208)</f>
        <v>1</v>
      </c>
      <c r="DU208" s="143" t="str">
        <f>IF(DO208=1,"self-calculated DF",IF(DP208=1,"external DF used","explicit C balance"))</f>
        <v>external DF used</v>
      </c>
      <c r="DV208">
        <v>0</v>
      </c>
      <c r="DW208">
        <v>1</v>
      </c>
      <c r="DX208">
        <v>1</v>
      </c>
      <c r="DY208">
        <v>1</v>
      </c>
      <c r="DZ208">
        <v>1</v>
      </c>
      <c r="EA208" s="143">
        <v>0</v>
      </c>
      <c r="EB208">
        <v>1</v>
      </c>
      <c r="EC208">
        <v>1</v>
      </c>
      <c r="ED208">
        <v>0</v>
      </c>
      <c r="EE208">
        <v>1</v>
      </c>
      <c r="EF208">
        <v>1</v>
      </c>
      <c r="EG208">
        <v>1</v>
      </c>
      <c r="EH208">
        <v>0</v>
      </c>
      <c r="EI208" s="2">
        <v>0</v>
      </c>
      <c r="EJ208" s="1"/>
      <c r="EK208" t="str">
        <f>IF(AND(AND(AND(OR($DX208=1,$DW208=1),OR($EC208=1,$EA208=1)),SUM($DV208:$DZ208,$EF208)&gt;=4),SUM($EA208:$EE208)&gt;=2),"Whole sector","")</f>
        <v>Whole sector</v>
      </c>
      <c r="EL208" t="str">
        <f>IF(AND(AND(OR($DX208=1,$DW208=1),AND($EC208=0,$EA208=0)),SUM($DV208:$DZ208,$EF208)&gt;=4),"Ecosystem approach","")</f>
        <v/>
      </c>
      <c r="EM208" s="2" t="str">
        <f>IF(AND(AND(AND($DX208=0,$DW208=0),OR($EC208=1,$EA208=1)),SUM($EB208:$EE208)&gt;=2),"Technology approach","")</f>
        <v/>
      </c>
      <c r="EN208"/>
      <c r="EO208"/>
      <c r="EP208" t="str">
        <f>IF(ISNUMBER(BU208),IF(ABS(BU208-[1]QC_indicators!$B$2)&gt;3*[1]QC_indicators!$C$2,"C ratio",IF(ISNUMBER(BY208),IF(ABS(BY208-[1]QC_indicators!$B$1)&gt;3*[1]QC_indicators!$C$1,"DF","no"))),IF(ISNUMBER(BY208),IF(ABS(BY208-[1]QC_indicators!$B$1)&gt;3*[1]QC_indicators!$C$1,"DF","no")))</f>
        <v>no</v>
      </c>
      <c r="EQ208" t="s">
        <v>286</v>
      </c>
      <c r="ER208"/>
      <c r="ES208"/>
      <c r="ET208" s="264" t="s">
        <v>3273</v>
      </c>
      <c r="EU208"/>
    </row>
    <row r="209" spans="1:151" s="139" customFormat="1" ht="15" customHeight="1">
      <c r="A209" s="1" t="s">
        <v>1808</v>
      </c>
      <c r="B209" t="s">
        <v>2475</v>
      </c>
      <c r="C209" t="s">
        <v>2476</v>
      </c>
      <c r="D209" t="s">
        <v>2477</v>
      </c>
      <c r="E209" t="s">
        <v>2478</v>
      </c>
      <c r="F209" t="s">
        <v>2479</v>
      </c>
      <c r="G209" t="s">
        <v>1814</v>
      </c>
      <c r="H209" t="s">
        <v>254</v>
      </c>
      <c r="I209">
        <v>2010</v>
      </c>
      <c r="J209">
        <v>100</v>
      </c>
      <c r="K209" t="s">
        <v>2480</v>
      </c>
      <c r="L209"/>
      <c r="M209" t="str">
        <f>LEFT($D209,FIND(",",$D209)-1)&amp;"_"&amp;I209&amp;L209</f>
        <v>Werner_2010</v>
      </c>
      <c r="N209" t="s">
        <v>222</v>
      </c>
      <c r="O209" s="145" t="s">
        <v>1154</v>
      </c>
      <c r="P209"/>
      <c r="Q209" t="s">
        <v>256</v>
      </c>
      <c r="R209" s="262" t="s">
        <v>223</v>
      </c>
      <c r="S209" s="1" t="s">
        <v>2481</v>
      </c>
      <c r="T209" t="s">
        <v>2482</v>
      </c>
      <c r="U209" t="s">
        <v>2486</v>
      </c>
      <c r="V209">
        <v>1</v>
      </c>
      <c r="W209">
        <v>0</v>
      </c>
      <c r="X209">
        <v>2</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s="141">
        <f>COUNTIF(V209:AW209,"&lt;&gt;0")</f>
        <v>2</v>
      </c>
      <c r="AY209" s="141">
        <f>COUNTIF(V209:AL209,"&lt;&gt;0")</f>
        <v>2</v>
      </c>
      <c r="AZ209">
        <f>COUNTIF(V209:AC209,"&lt;&gt;0")</f>
        <v>2</v>
      </c>
      <c r="BA209">
        <f>COUNTIF(AD209:AI209,"&lt;&gt;0")</f>
        <v>0</v>
      </c>
      <c r="BB209">
        <f>COUNTIF(AJ209:AL209,"&lt;&gt;0")</f>
        <v>0</v>
      </c>
      <c r="BC209">
        <f>COUNTIF(AS209:AW209,"&lt;&gt;0")</f>
        <v>0</v>
      </c>
      <c r="BD209">
        <f>COUNTIF(AM209:AR209,"&lt;&gt;0")</f>
        <v>0</v>
      </c>
      <c r="BE209" t="str">
        <f t="array" ref="BE209">IF(AY209=1,INDEX($V$7:$AL$7,MATCH(TRUE,INDEX($V209:$AW209&lt;&gt;0,),0)),IF(AY209=0,INDEX($AM$7:$AW$7,MATCH(1,$AM209:$AW209,0)),IF(BF209="Multiple strategies","mixed drivers",IF(BF209="Supply chain","multiple supply","multiple silviculture"))))</f>
        <v>multiple silviculture</v>
      </c>
      <c r="BF209" s="2" t="str" cm="1">
        <f t="array" ref="BF209">IF(COUNTIF(AZ209:BB209,"&lt;&gt;0")=1,INDEX($V$4:$AW$4,MATCH(TRUE,INDEX($V209:$AW209&lt;&gt;0,),0)),IF(COUNTIF(AZ209:BB209,"&lt;&gt;0")=0,INDEX($AM$4:$AW$4,MATCH(1,$AM209:$AW209,0)),"Multiple strategies"))</f>
        <v>Silviculture for removals</v>
      </c>
      <c r="BG209" s="1" t="s">
        <v>321</v>
      </c>
      <c r="BH209" t="s">
        <v>2453</v>
      </c>
      <c r="BI209" s="264" t="s">
        <v>3252</v>
      </c>
      <c r="BJ209" t="s">
        <v>1323</v>
      </c>
      <c r="BK209">
        <v>120</v>
      </c>
      <c r="BL209">
        <v>202.5</v>
      </c>
      <c r="BM209" s="143">
        <f>BL209/BK209</f>
        <v>1.6875</v>
      </c>
      <c r="BN209">
        <f>BL209-BK209</f>
        <v>82.5</v>
      </c>
      <c r="BO209">
        <f>BN209*10^6</f>
        <v>82500000</v>
      </c>
      <c r="BP209" t="s">
        <v>232</v>
      </c>
      <c r="BQ209" s="303" t="s">
        <v>3253</v>
      </c>
      <c r="BR209" t="s">
        <v>2325</v>
      </c>
      <c r="BS209">
        <v>370.31517322497803</v>
      </c>
      <c r="BT209">
        <v>319.65087681779301</v>
      </c>
      <c r="BU209" s="144">
        <f>IFERROR(BT209/BS209,"")</f>
        <v>0.86318600999801631</v>
      </c>
      <c r="BV209" s="144">
        <f>BT209-BS209</f>
        <v>-50.66429640718502</v>
      </c>
      <c r="BW209" s="144"/>
      <c r="BX209">
        <f>BV209*10^6</f>
        <v>-50664296.407185018</v>
      </c>
      <c r="BY209">
        <f>IFERROR(BX209/BO209,"")</f>
        <v>-0.61411268372345473</v>
      </c>
      <c r="BZ209">
        <v>0</v>
      </c>
      <c r="CA209">
        <v>0</v>
      </c>
      <c r="CB209">
        <v>0</v>
      </c>
      <c r="CC209">
        <v>0</v>
      </c>
      <c r="CD209">
        <v>0</v>
      </c>
      <c r="CE209">
        <v>0</v>
      </c>
      <c r="CF209">
        <v>0</v>
      </c>
      <c r="CG209">
        <v>0</v>
      </c>
      <c r="CH209">
        <v>0</v>
      </c>
      <c r="CI209">
        <v>0</v>
      </c>
      <c r="CJ209">
        <v>0</v>
      </c>
      <c r="CK209">
        <v>0</v>
      </c>
      <c r="CL209">
        <v>0</v>
      </c>
      <c r="CM209">
        <v>1</v>
      </c>
      <c r="CN209" t="str">
        <f>IF($BL209&lt;$BK209,"refNeedCorrection","refOK")</f>
        <v>refOK</v>
      </c>
      <c r="CO209">
        <f>IF($CN209="refOK",$BK209,$BL209)</f>
        <v>120</v>
      </c>
      <c r="CP209">
        <f>IF($CN209="refOK",$BL209,$BK209)</f>
        <v>202.5</v>
      </c>
      <c r="CQ209">
        <f>IF($CN209="refOK",$BO209,-$BO209)</f>
        <v>82500000</v>
      </c>
      <c r="CR209">
        <f>IF($CN209="refOK",$BS209,$BT209)*IF($BP209="Emissions positive",-1,1)</f>
        <v>370.31517322497803</v>
      </c>
      <c r="CS209">
        <f>IF($CN209="refOK",$BT209,$BS209)*IF($BP209="Emissions positive",-1,1)</f>
        <v>319.65087681779301</v>
      </c>
      <c r="CT209">
        <f>IF($CN209="refNeedCorrection",-BX209,BX209)*IF($BP209="Emissions positive",-1,1)</f>
        <v>-50664296.407185018</v>
      </c>
      <c r="CU209">
        <f>IFERROR(CT209/CQ209,"")</f>
        <v>-0.61411268372345473</v>
      </c>
      <c r="CV209" s="2">
        <f>IFERROR((CS209-CR209)/ABS(CR209),"")</f>
        <v>-0.13681399000198374</v>
      </c>
      <c r="CW209" s="1" t="s">
        <v>1203</v>
      </c>
      <c r="CX209" t="str">
        <f>IF(OR($CW209="prd",$CW209="std",$CW209="cit"),"loc",IF(OR($CW209="eur",$CW209="reg",$CW209="coy"),"reg",$CW209))</f>
        <v>reg</v>
      </c>
      <c r="CY209" t="s">
        <v>639</v>
      </c>
      <c r="CZ209">
        <v>2000</v>
      </c>
      <c r="DA209">
        <v>2030</v>
      </c>
      <c r="DB209">
        <f>DA209-CZ209</f>
        <v>30</v>
      </c>
      <c r="DC209" t="str">
        <f>IF(DB209=0,"0",IF(AND(DB209&gt;=1,DB209&lt;=30),"1-30",IF(AND(DB209&gt;30,DB209&lt;=70),"31-70",IF(AND(DB209&gt;70,DB209&lt;=100),"71-100",IF(DB209&gt;100,"+100")))))</f>
        <v>1-30</v>
      </c>
      <c r="DD209">
        <v>1</v>
      </c>
      <c r="DE209">
        <v>1</v>
      </c>
      <c r="DF209">
        <v>1</v>
      </c>
      <c r="DG209">
        <v>1</v>
      </c>
      <c r="DH209">
        <v>0</v>
      </c>
      <c r="DI209">
        <f>SUM(DD209:DG209)</f>
        <v>4</v>
      </c>
      <c r="DJ209" t="str">
        <f>IF(DI209=1,INDEX($DD$7:$DG$7,MATCH(1,$DD209:$DG209,0)),"mixedProduct")</f>
        <v>mixedProduct</v>
      </c>
      <c r="DK209" t="str">
        <f>IF(DD209=1,DK$7,0)</f>
        <v>Upstream</v>
      </c>
      <c r="DL209" t="str">
        <f>IF(DE209=1,DL$7,0)</f>
        <v>Energy</v>
      </c>
      <c r="DM209" t="str">
        <f>IF(DF209=1,DM$7,0)</f>
        <v>Pulp/Paper</v>
      </c>
      <c r="DN209" t="str">
        <f>IF(DG209=1,DN$7,0)</f>
        <v>Timber</v>
      </c>
      <c r="DO209">
        <v>0</v>
      </c>
      <c r="DP209">
        <v>1</v>
      </c>
      <c r="DQ209" t="s">
        <v>2483</v>
      </c>
      <c r="DR209" t="s">
        <v>2484</v>
      </c>
      <c r="DS209"/>
      <c r="DT209">
        <f>SUM(DO209:DP209)</f>
        <v>1</v>
      </c>
      <c r="DU209" s="143" t="str">
        <f>IF(DO209=1,"self-calculated DF",IF(DP209=1,"external DF used","explicit C balance"))</f>
        <v>external DF used</v>
      </c>
      <c r="DV209">
        <v>1</v>
      </c>
      <c r="DW209">
        <v>1</v>
      </c>
      <c r="DX209">
        <v>1</v>
      </c>
      <c r="DY209">
        <v>1</v>
      </c>
      <c r="DZ209">
        <v>1</v>
      </c>
      <c r="EA209" s="143">
        <v>1</v>
      </c>
      <c r="EB209">
        <v>1</v>
      </c>
      <c r="EC209">
        <v>1</v>
      </c>
      <c r="ED209">
        <v>0</v>
      </c>
      <c r="EE209">
        <v>0</v>
      </c>
      <c r="EF209">
        <v>1</v>
      </c>
      <c r="EG209">
        <v>0</v>
      </c>
      <c r="EH209">
        <v>0</v>
      </c>
      <c r="EI209" s="2">
        <v>0</v>
      </c>
      <c r="EJ209" s="1"/>
      <c r="EK209" t="str">
        <f>IF(AND(AND(AND(OR($DX209=1,$DW209=1),OR($EC209=1,$EA209=1)),SUM($DV209:$DZ209,$EF209)&gt;=4),SUM($EA209:$EE209)&gt;=2),"Whole sector","")</f>
        <v>Whole sector</v>
      </c>
      <c r="EL209" t="str">
        <f>IF(AND(AND(OR($DX209=1,$DW209=1),AND($EC209=0,$EA209=0)),SUM($DV209:$DZ209,$EF209)&gt;=4),"Ecosystem approach","")</f>
        <v/>
      </c>
      <c r="EM209" s="2" t="str">
        <f>IF(AND(AND(AND($DX209=0,$DW209=0),OR($EC209=1,$EA209=1)),SUM($EB209:$EE209)&gt;=2),"Technology approach","")</f>
        <v/>
      </c>
      <c r="EN209" t="s">
        <v>2485</v>
      </c>
      <c r="EO209"/>
      <c r="EP209" t="str">
        <f>IF(ISNUMBER(BU209),IF(ABS(BU209-[1]QC_indicators!$B$2)&gt;3*[1]QC_indicators!$C$2,"C ratio",IF(ISNUMBER(BY209),IF(ABS(BY209-[1]QC_indicators!$B$1)&gt;3*[1]QC_indicators!$C$1,"DF","no"))),IF(ISNUMBER(BY209),IF(ABS(BY209-[1]QC_indicators!$B$1)&gt;3*[1]QC_indicators!$C$1,"DF","no")))</f>
        <v>no</v>
      </c>
      <c r="EQ209"/>
      <c r="ER209"/>
      <c r="ES209"/>
      <c r="ET209" s="264" t="s">
        <v>3254</v>
      </c>
      <c r="EU209"/>
    </row>
    <row r="210" spans="1:151" s="139" customFormat="1" ht="15" customHeight="1">
      <c r="A210" s="1" t="s">
        <v>848</v>
      </c>
      <c r="B210" t="s">
        <v>2037</v>
      </c>
      <c r="C210" t="s">
        <v>2038</v>
      </c>
      <c r="D210" t="s">
        <v>2039</v>
      </c>
      <c r="E210" t="s">
        <v>2040</v>
      </c>
      <c r="F210" t="s">
        <v>2041</v>
      </c>
      <c r="G210" t="s">
        <v>854</v>
      </c>
      <c r="H210" t="s">
        <v>254</v>
      </c>
      <c r="I210">
        <v>2020</v>
      </c>
      <c r="J210">
        <v>1</v>
      </c>
      <c r="K210" t="s">
        <v>2042</v>
      </c>
      <c r="L210"/>
      <c r="M210" t="str">
        <f>LEFT($D210,FIND(",",$D210)-1)&amp;"_"&amp;I210&amp;L210</f>
        <v>Numazawa_2020</v>
      </c>
      <c r="N210" t="s">
        <v>222</v>
      </c>
      <c r="O210" s="157" t="s">
        <v>274</v>
      </c>
      <c r="P210" t="s">
        <v>513</v>
      </c>
      <c r="Q210" t="s">
        <v>389</v>
      </c>
      <c r="R210" s="255" t="s">
        <v>223</v>
      </c>
      <c r="S210" s="1" t="s">
        <v>1741</v>
      </c>
      <c r="T210" t="s">
        <v>2044</v>
      </c>
      <c r="U210" s="264" t="s">
        <v>2048</v>
      </c>
      <c r="V210">
        <v>0</v>
      </c>
      <c r="W210">
        <v>0</v>
      </c>
      <c r="X210">
        <v>0</v>
      </c>
      <c r="Y210">
        <v>1</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s="141">
        <f>COUNTIF(V210:AW210,"&lt;&gt;0")</f>
        <v>1</v>
      </c>
      <c r="AY210" s="141">
        <f>COUNTIF(V210:AL210,"&lt;&gt;0")</f>
        <v>1</v>
      </c>
      <c r="AZ210">
        <f>COUNTIF(V210:AC210,"&lt;&gt;0")</f>
        <v>1</v>
      </c>
      <c r="BA210">
        <f>COUNTIF(AD210:AI210,"&lt;&gt;0")</f>
        <v>0</v>
      </c>
      <c r="BB210">
        <f>COUNTIF(AJ210:AL210,"&lt;&gt;0")</f>
        <v>0</v>
      </c>
      <c r="BC210">
        <f>COUNTIF(AS210:AW210,"&lt;&gt;0")</f>
        <v>0</v>
      </c>
      <c r="BD210">
        <f>COUNTIF(AM210:AR210,"&lt;&gt;0")</f>
        <v>0</v>
      </c>
      <c r="BE210" t="str">
        <f t="array" ref="BE210">IF(AY210=1,INDEX($V$7:$AL$7,MATCH(TRUE,INDEX($V210:$AW210&lt;&gt;0,),0)),IF(AY210=0,INDEX($AM$7:$AW$7,MATCH(1,$AM210:$AW210,0)),IF(BF210="Multiple strategies","mixed drivers",IF(BF210="Supply chain","multiple supply","multiple silviculture"))))</f>
        <v xml:space="preserve">cutting intensity </v>
      </c>
      <c r="BF210" s="2" t="str" cm="1">
        <f t="array" ref="BF210">IF(COUNTIF(AZ210:BB210,"&lt;&gt;0")=1,INDEX($V$4:$AW$4,MATCH(TRUE,INDEX($V210:$AW210&lt;&gt;0,),0)),IF(COUNTIF(AZ210:BB210,"&lt;&gt;0")=0,INDEX($AM$4:$AW$4,MATCH(1,$AM210:$AW210,0)),"Multiple strategies"))</f>
        <v>Silviculture for removals</v>
      </c>
      <c r="BG210" s="1" t="s">
        <v>321</v>
      </c>
      <c r="BH210" s="265" t="s">
        <v>3096</v>
      </c>
      <c r="BI210" s="264" t="s">
        <v>1148</v>
      </c>
      <c r="BJ210" t="s">
        <v>2046</v>
      </c>
      <c r="BK210">
        <v>0</v>
      </c>
      <c r="BL210">
        <v>9</v>
      </c>
      <c r="BM210" t="str">
        <f>IFERROR(BL210/BK210,"")</f>
        <v/>
      </c>
      <c r="BN210">
        <f>BL210-BK210</f>
        <v>9</v>
      </c>
      <c r="BO210">
        <f>BN210*t_to_m3</f>
        <v>18.367346938775512</v>
      </c>
      <c r="BP210" t="s">
        <v>232</v>
      </c>
      <c r="BQ210" t="s">
        <v>396</v>
      </c>
      <c r="BR210" t="s">
        <v>2047</v>
      </c>
      <c r="BS210">
        <v>125</v>
      </c>
      <c r="BT210">
        <v>122</v>
      </c>
      <c r="BU210" s="144">
        <f>BT210/BS210</f>
        <v>0.97599999999999998</v>
      </c>
      <c r="BV210">
        <f>BT210-BS210</f>
        <v>-3</v>
      </c>
      <c r="BW210"/>
      <c r="BX210">
        <f>BV210*C_to_CO2</f>
        <v>-11.01</v>
      </c>
      <c r="BY210">
        <f>IFERROR(BX210/BO210,"")</f>
        <v>-0.59943333333333326</v>
      </c>
      <c r="BZ210">
        <v>0</v>
      </c>
      <c r="CA210">
        <v>0</v>
      </c>
      <c r="CB210">
        <v>0</v>
      </c>
      <c r="CC210">
        <v>0</v>
      </c>
      <c r="CD210">
        <v>0</v>
      </c>
      <c r="CE210">
        <v>0</v>
      </c>
      <c r="CF210">
        <v>0</v>
      </c>
      <c r="CG210">
        <v>0</v>
      </c>
      <c r="CH210">
        <v>0</v>
      </c>
      <c r="CI210">
        <v>0</v>
      </c>
      <c r="CJ210">
        <v>0</v>
      </c>
      <c r="CK210">
        <v>0</v>
      </c>
      <c r="CL210">
        <v>0</v>
      </c>
      <c r="CM210">
        <v>1</v>
      </c>
      <c r="CN210" t="str">
        <f>IF($BL210&lt;$BK210,"refNeedCorrection","refOK")</f>
        <v>refOK</v>
      </c>
      <c r="CO210">
        <f>IF($CN210="refOK",$BK210,$BL210)</f>
        <v>0</v>
      </c>
      <c r="CP210">
        <f>IF($CN210="refOK",$BL210,$BK210)</f>
        <v>9</v>
      </c>
      <c r="CQ210">
        <f>IF($CN210="refOK",$BO210,-$BO210)</f>
        <v>18.367346938775512</v>
      </c>
      <c r="CR210">
        <f>IF($CN210="refOK",$BS210,$BT210)*IF($BP210="Emissions positive",-1,1)</f>
        <v>125</v>
      </c>
      <c r="CS210">
        <f>IF($CN210="refOK",$BT210,$BS210)*IF($BP210="Emissions positive",-1,1)</f>
        <v>122</v>
      </c>
      <c r="CT210">
        <f>IF($CN210="refNeedCorrection",-BX210,BX210)*IF($BP210="Emissions positive",-1,1)</f>
        <v>-11.01</v>
      </c>
      <c r="CU210">
        <f>IFERROR(CT210/CQ210,"")</f>
        <v>-0.59943333333333326</v>
      </c>
      <c r="CV210" s="2">
        <f>IFERROR((CS210-CR210)/ABS(CR210),"")</f>
        <v>-2.4E-2</v>
      </c>
      <c r="CW210" s="1" t="s">
        <v>2036</v>
      </c>
      <c r="CX210" t="str">
        <f>IF(OR($CW210="prd",$CW210="std",$CW210="cit"),"loc",IF(OR($CW210="eur",$CW210="reg",$CW210="coy"),"reg",$CW210))</f>
        <v>reg</v>
      </c>
      <c r="CY210" t="s">
        <v>520</v>
      </c>
      <c r="CZ210"/>
      <c r="DA210"/>
      <c r="DB210">
        <v>120</v>
      </c>
      <c r="DC210" t="str">
        <f>IF(DB210=0,"0",IF(AND(DB210&gt;=1,DB210&lt;=30),"1-30",IF(AND(DB210&gt;30,DB210&lt;=70),"31-70",IF(AND(DB210&gt;70,DB210&lt;=100),"71-100",IF(DB210&gt;100,"+100")))))</f>
        <v>+100</v>
      </c>
      <c r="DD210">
        <v>1</v>
      </c>
      <c r="DE210">
        <v>0</v>
      </c>
      <c r="DF210">
        <v>0</v>
      </c>
      <c r="DG210">
        <v>0</v>
      </c>
      <c r="DH210">
        <v>0</v>
      </c>
      <c r="DI210">
        <f>SUM(DD210:DH210)</f>
        <v>1</v>
      </c>
      <c r="DJ210" t="str">
        <f>IF(DI210=1,INDEX($DD$7:$DG$7,MATCH(1,$DD210:$DG210,0)),"mixedProduct")</f>
        <v>UpstreamInput</v>
      </c>
      <c r="DK210" t="str">
        <f>IF(DD210=1,DK$7,0)</f>
        <v>Upstream</v>
      </c>
      <c r="DL210">
        <f>IF(DE210=1,DL$7,0)</f>
        <v>0</v>
      </c>
      <c r="DM210">
        <f>IF(DF210=1,DM$7,0)</f>
        <v>0</v>
      </c>
      <c r="DN210">
        <f>IF(DG210=1,DN$7,0)</f>
        <v>0</v>
      </c>
      <c r="DO210"/>
      <c r="DP210"/>
      <c r="DQ210"/>
      <c r="DR210"/>
      <c r="DS210"/>
      <c r="DT210"/>
      <c r="DU210" s="143" t="str">
        <f>IF(DO210=1,"self-calculated DF",IF(DP210=1,"external DF used","explicit C balance"))</f>
        <v>explicit C balance</v>
      </c>
      <c r="DV210">
        <v>1</v>
      </c>
      <c r="DW210">
        <v>1</v>
      </c>
      <c r="DX210">
        <v>1</v>
      </c>
      <c r="DY210">
        <v>0</v>
      </c>
      <c r="DZ210">
        <v>0</v>
      </c>
      <c r="EA210" s="143">
        <v>0</v>
      </c>
      <c r="EB210">
        <v>0</v>
      </c>
      <c r="EC210">
        <v>0</v>
      </c>
      <c r="ED210">
        <v>0</v>
      </c>
      <c r="EE210">
        <v>0</v>
      </c>
      <c r="EF210">
        <v>1</v>
      </c>
      <c r="EG210">
        <v>0</v>
      </c>
      <c r="EH210">
        <v>0</v>
      </c>
      <c r="EI210" s="2">
        <v>0</v>
      </c>
      <c r="EJ210" s="1"/>
      <c r="EK210" t="str">
        <f>IF(AND(AND(AND(OR($DX210=1,$DW210=1),OR($EC210=1,$EA210=1)),SUM($DV210:$DZ210,$EF210)&gt;=4),SUM($EA210:$EE210)&gt;=2),"Whole sector","")</f>
        <v/>
      </c>
      <c r="EL210" t="str">
        <f>IF(AND(AND(OR($DX210=1,$DW210=1),AND($EC210=0,$EA210=0)),SUM($DV210:$DZ210,$EF210)&gt;=4),"Ecosystem approach","")</f>
        <v>Ecosystem approach</v>
      </c>
      <c r="EM210" s="2" t="str">
        <f>IF(AND(AND(AND($DX210=0,$DW210=0),OR($EC210=1,$EA210=1)),SUM($EB210:$EE210)&gt;=2),"Technology approach","")</f>
        <v/>
      </c>
      <c r="EN210"/>
      <c r="EO210"/>
      <c r="EP210" t="str">
        <f>IF(ISNUMBER(BU210),IF(ABS(BU210-[1]QC_indicators!$B$2)&gt;3*[1]QC_indicators!$C$2,"C ratio",IF(ISNUMBER(BY210),IF(ABS(BY210-[1]QC_indicators!$B$1)&gt;3*[1]QC_indicators!$C$1,"DF","no"))),IF(ISNUMBER(BY210),IF(ABS(BY210-[1]QC_indicators!$B$1)&gt;3*[1]QC_indicators!$C$1,"DF","no")))</f>
        <v>no</v>
      </c>
      <c r="EQ210"/>
      <c r="ER210"/>
      <c r="ES210"/>
      <c r="ET210" s="264" t="s">
        <v>3097</v>
      </c>
      <c r="EU210"/>
    </row>
    <row r="211" spans="1:151" s="139" customFormat="1" ht="15" customHeight="1">
      <c r="A211" s="1" t="s">
        <v>1808</v>
      </c>
      <c r="B211" t="s">
        <v>2475</v>
      </c>
      <c r="C211" t="s">
        <v>2476</v>
      </c>
      <c r="D211" t="s">
        <v>2477</v>
      </c>
      <c r="E211" t="s">
        <v>2478</v>
      </c>
      <c r="F211" t="s">
        <v>2479</v>
      </c>
      <c r="G211" t="s">
        <v>1814</v>
      </c>
      <c r="H211" t="s">
        <v>254</v>
      </c>
      <c r="I211">
        <v>2010</v>
      </c>
      <c r="J211">
        <v>100</v>
      </c>
      <c r="K211" t="s">
        <v>2480</v>
      </c>
      <c r="L211"/>
      <c r="M211" t="str">
        <f>LEFT($D211,FIND(",",$D211)-1)&amp;"_"&amp;I211&amp;L211</f>
        <v>Werner_2010</v>
      </c>
      <c r="N211" t="s">
        <v>222</v>
      </c>
      <c r="O211" s="145" t="s">
        <v>1154</v>
      </c>
      <c r="P211"/>
      <c r="Q211" t="s">
        <v>256</v>
      </c>
      <c r="R211" s="262" t="s">
        <v>223</v>
      </c>
      <c r="S211" s="1" t="s">
        <v>2481</v>
      </c>
      <c r="T211" t="s">
        <v>2482</v>
      </c>
      <c r="U211" t="s">
        <v>2486</v>
      </c>
      <c r="V211">
        <v>1</v>
      </c>
      <c r="W211">
        <v>0</v>
      </c>
      <c r="X211">
        <v>2</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s="141">
        <f>COUNTIF(V211:AW211,"&lt;&gt;0")</f>
        <v>2</v>
      </c>
      <c r="AY211" s="141">
        <f>COUNTIF(V211:AL211,"&lt;&gt;0")</f>
        <v>2</v>
      </c>
      <c r="AZ211">
        <f>COUNTIF(V211:AC211,"&lt;&gt;0")</f>
        <v>2</v>
      </c>
      <c r="BA211">
        <f>COUNTIF(AD211:AI211,"&lt;&gt;0")</f>
        <v>0</v>
      </c>
      <c r="BB211">
        <f>COUNTIF(AJ211:AL211,"&lt;&gt;0")</f>
        <v>0</v>
      </c>
      <c r="BC211">
        <f>COUNTIF(AS211:AW211,"&lt;&gt;0")</f>
        <v>0</v>
      </c>
      <c r="BD211">
        <f>COUNTIF(AM211:AR211,"&lt;&gt;0")</f>
        <v>0</v>
      </c>
      <c r="BE211" t="str">
        <f t="array" ref="BE211">IF(AY211=1,INDEX($V$7:$AL$7,MATCH(TRUE,INDEX($V211:$AW211&lt;&gt;0,),0)),IF(AY211=0,INDEX($AM$7:$AW$7,MATCH(1,$AM211:$AW211,0)),IF(BF211="Multiple strategies","mixed drivers",IF(BF211="Supply chain","multiple supply","multiple silviculture"))))</f>
        <v>multiple silviculture</v>
      </c>
      <c r="BF211" s="2" t="str" cm="1">
        <f t="array" ref="BF211">IF(COUNTIF(AZ211:BB211,"&lt;&gt;0")=1,INDEX($V$4:$AW$4,MATCH(TRUE,INDEX($V211:$AW211&lt;&gt;0,),0)),IF(COUNTIF(AZ211:BB211,"&lt;&gt;0")=0,INDEX($AM$4:$AW$4,MATCH(1,$AM211:$AW211,0)),"Multiple strategies"))</f>
        <v>Silviculture for removals</v>
      </c>
      <c r="BG211" s="1" t="s">
        <v>321</v>
      </c>
      <c r="BH211" t="s">
        <v>2453</v>
      </c>
      <c r="BI211" s="264" t="s">
        <v>3252</v>
      </c>
      <c r="BJ211" t="s">
        <v>1323</v>
      </c>
      <c r="BK211">
        <v>300</v>
      </c>
      <c r="BL211">
        <v>712.5</v>
      </c>
      <c r="BM211" s="143">
        <f>BL211/BK211</f>
        <v>2.375</v>
      </c>
      <c r="BN211">
        <f>BL211-BK211</f>
        <v>412.5</v>
      </c>
      <c r="BO211">
        <f>BN211*10^6</f>
        <v>412500000</v>
      </c>
      <c r="BP211" t="s">
        <v>232</v>
      </c>
      <c r="BQ211" s="153" t="s">
        <v>3253</v>
      </c>
      <c r="BR211" t="s">
        <v>2325</v>
      </c>
      <c r="BS211">
        <v>350.30815678968798</v>
      </c>
      <c r="BT211">
        <v>103.43853301218</v>
      </c>
      <c r="BU211" s="144">
        <f>IFERROR(BT211/BS211,"")</f>
        <v>0.29527868822729314</v>
      </c>
      <c r="BV211" s="144">
        <f>BT211-BS211</f>
        <v>-246.86962377750797</v>
      </c>
      <c r="BW211" s="144"/>
      <c r="BX211">
        <f>BV211*10^6</f>
        <v>-246869623.77750796</v>
      </c>
      <c r="BY211">
        <f>IFERROR(BX211/BO211,"")</f>
        <v>-0.59847181521820114</v>
      </c>
      <c r="BZ211">
        <v>0</v>
      </c>
      <c r="CA211">
        <v>0</v>
      </c>
      <c r="CB211">
        <v>0</v>
      </c>
      <c r="CC211">
        <v>0</v>
      </c>
      <c r="CD211">
        <v>0</v>
      </c>
      <c r="CE211">
        <v>0</v>
      </c>
      <c r="CF211">
        <v>0</v>
      </c>
      <c r="CG211">
        <v>0</v>
      </c>
      <c r="CH211">
        <v>0</v>
      </c>
      <c r="CI211">
        <v>0</v>
      </c>
      <c r="CJ211">
        <v>0</v>
      </c>
      <c r="CK211">
        <v>0</v>
      </c>
      <c r="CL211">
        <v>0</v>
      </c>
      <c r="CM211">
        <v>1</v>
      </c>
      <c r="CN211" t="str">
        <f>IF($BL211&lt;$BK211,"refNeedCorrection","refOK")</f>
        <v>refOK</v>
      </c>
      <c r="CO211">
        <f>IF($CN211="refNeedCorrection",BL211,BK211)</f>
        <v>300</v>
      </c>
      <c r="CP211">
        <f>IF($CN211="refNeedCorrection",BK211,BL211)</f>
        <v>712.5</v>
      </c>
      <c r="CQ211">
        <f>IF($CN211="refOK",$BO211,-$BO211)</f>
        <v>412500000</v>
      </c>
      <c r="CR211">
        <f>IF($CN211="refOK",$BS211,$BT211)*IF($BP211="Emissions positive",-1,1)</f>
        <v>350.30815678968798</v>
      </c>
      <c r="CS211">
        <f>IF($CN211="refOK",$BT211,$BS211)*IF($BP211="Emissions positive",-1,1)</f>
        <v>103.43853301218</v>
      </c>
      <c r="CT211">
        <f>IF($CN211="refNeedCorrection",-BX211,BX211)*IF($BP211="Emissions positive",-1,1)</f>
        <v>-246869623.77750796</v>
      </c>
      <c r="CU211">
        <f>IFERROR(CT211/CQ211,"")</f>
        <v>-0.59847181521820114</v>
      </c>
      <c r="CV211" s="2">
        <f>IFERROR((CS211-CR211)/ABS(CR211),"")</f>
        <v>-0.7047213117727068</v>
      </c>
      <c r="CW211" s="1" t="s">
        <v>1203</v>
      </c>
      <c r="CX211" t="str">
        <f>IF(OR($CW211="prd",$CW211="std",$CW211="cit"),"loc",IF(OR($CW211="eur",$CW211="reg",$CW211="coy"),"reg",$CW211))</f>
        <v>reg</v>
      </c>
      <c r="CY211" t="s">
        <v>639</v>
      </c>
      <c r="CZ211">
        <v>2000</v>
      </c>
      <c r="DA211">
        <v>2090</v>
      </c>
      <c r="DB211">
        <f>DA211-CZ211</f>
        <v>90</v>
      </c>
      <c r="DC211" t="str">
        <f>IF(DB211=0,"0",IF(AND(DB211&gt;=1,DB211&lt;=30),"1-30",IF(AND(DB211&gt;30,DB211&lt;=70),"31-70",IF(AND(DB211&gt;70,DB211&lt;=100),"71-100",IF(DB211&gt;100,"+100")))))</f>
        <v>71-100</v>
      </c>
      <c r="DD211">
        <v>1</v>
      </c>
      <c r="DE211">
        <v>0</v>
      </c>
      <c r="DF211">
        <v>0</v>
      </c>
      <c r="DG211">
        <v>0</v>
      </c>
      <c r="DH211">
        <v>0</v>
      </c>
      <c r="DI211">
        <f>SUM(DD211:DG211)</f>
        <v>1</v>
      </c>
      <c r="DJ211" t="str">
        <f>IF(DI211=1,INDEX($DD$7:$DG$7,MATCH(1,$DD211:$DG211,0)),"mixedProduct")</f>
        <v>UpstreamInput</v>
      </c>
      <c r="DK211" t="str">
        <f>IF(DD211=1,DK$7,0)</f>
        <v>Upstream</v>
      </c>
      <c r="DL211">
        <f>IF(DE211=1,DL$7,0)</f>
        <v>0</v>
      </c>
      <c r="DM211">
        <f>IF(DF211=1,DM$7,0)</f>
        <v>0</v>
      </c>
      <c r="DN211">
        <f>IF(DG211=1,DN$7,0)</f>
        <v>0</v>
      </c>
      <c r="DO211">
        <v>0</v>
      </c>
      <c r="DP211">
        <v>0</v>
      </c>
      <c r="DQ211"/>
      <c r="DR211"/>
      <c r="DS211"/>
      <c r="DT211">
        <f>SUM(DO211:DP211)</f>
        <v>0</v>
      </c>
      <c r="DU211" s="143" t="str">
        <f>IF(DO211=1,"self-calculated DF",IF(DP211=1,"external DF used","explicit C balance"))</f>
        <v>explicit C balance</v>
      </c>
      <c r="DV211">
        <v>1</v>
      </c>
      <c r="DW211">
        <v>1</v>
      </c>
      <c r="DX211">
        <v>1</v>
      </c>
      <c r="DY211">
        <v>0</v>
      </c>
      <c r="DZ211">
        <v>0</v>
      </c>
      <c r="EA211" s="143">
        <v>0</v>
      </c>
      <c r="EB211">
        <v>0</v>
      </c>
      <c r="EC211">
        <v>0</v>
      </c>
      <c r="ED211">
        <v>0</v>
      </c>
      <c r="EE211">
        <v>0</v>
      </c>
      <c r="EF211">
        <v>1</v>
      </c>
      <c r="EG211">
        <v>0</v>
      </c>
      <c r="EH211">
        <v>0</v>
      </c>
      <c r="EI211" s="2">
        <v>0</v>
      </c>
      <c r="EJ211" s="1"/>
      <c r="EK211" t="str">
        <f>IF(AND(AND(AND(OR($DX211=1,$DW211=1),OR($EC211=1,$EA211=1)),SUM($DV211:$DZ211,$EF211)&gt;=4),SUM($EA211:$EE211)&gt;=2),"Whole sector","")</f>
        <v/>
      </c>
      <c r="EL211" t="str">
        <f>IF(AND(AND(OR($DX211=1,$DW211=1),AND($EC211=0,$EA211=0)),SUM($DV211:$DZ211,$EF211)&gt;=4),"Ecosystem approach","")</f>
        <v>Ecosystem approach</v>
      </c>
      <c r="EM211" s="2" t="str">
        <f>IF(AND(AND(AND($DX211=0,$DW211=0),OR($EC211=1,$EA211=1)),SUM($EB211:$EE211)&gt;=2),"Technology approach","")</f>
        <v/>
      </c>
      <c r="EN211" t="s">
        <v>2485</v>
      </c>
      <c r="EO211"/>
      <c r="EP211" t="str">
        <f>IF(ISNUMBER(BU211),IF(ABS(BU211-[1]QC_indicators!$B$2)&gt;3*[1]QC_indicators!$C$2,"C ratio",IF(ISNUMBER(BY211),IF(ABS(BY211-[1]QC_indicators!$B$1)&gt;3*[1]QC_indicators!$C$1,"DF","no"))),IF(ISNUMBER(BY211),IF(ABS(BY211-[1]QC_indicators!$B$1)&gt;3*[1]QC_indicators!$C$1,"DF","no")))</f>
        <v>no</v>
      </c>
      <c r="EQ211"/>
      <c r="ER211"/>
      <c r="ES211"/>
      <c r="ET211" s="264" t="s">
        <v>3254</v>
      </c>
      <c r="EU211"/>
    </row>
    <row r="212" spans="1:151" s="139" customFormat="1" ht="15" customHeight="1">
      <c r="A212" s="1" t="s">
        <v>1808</v>
      </c>
      <c r="B212" t="s">
        <v>2475</v>
      </c>
      <c r="C212" t="s">
        <v>2476</v>
      </c>
      <c r="D212" t="s">
        <v>2477</v>
      </c>
      <c r="E212" t="s">
        <v>2478</v>
      </c>
      <c r="F212" t="s">
        <v>2479</v>
      </c>
      <c r="G212" t="s">
        <v>1814</v>
      </c>
      <c r="H212" t="s">
        <v>254</v>
      </c>
      <c r="I212">
        <v>2010</v>
      </c>
      <c r="J212">
        <v>100</v>
      </c>
      <c r="K212" t="s">
        <v>2480</v>
      </c>
      <c r="L212"/>
      <c r="M212" t="str">
        <f>LEFT($D212,FIND(",",$D212)-1)&amp;"_"&amp;I212&amp;L212</f>
        <v>Werner_2010</v>
      </c>
      <c r="N212" t="s">
        <v>222</v>
      </c>
      <c r="O212" s="145" t="s">
        <v>1154</v>
      </c>
      <c r="P212"/>
      <c r="Q212" t="s">
        <v>256</v>
      </c>
      <c r="R212" s="262" t="s">
        <v>223</v>
      </c>
      <c r="S212" s="263" t="s">
        <v>3255</v>
      </c>
      <c r="T212" t="s">
        <v>2482</v>
      </c>
      <c r="U212" t="s">
        <v>2488</v>
      </c>
      <c r="V212">
        <v>2</v>
      </c>
      <c r="W212">
        <v>0</v>
      </c>
      <c r="X212">
        <v>1</v>
      </c>
      <c r="Y212">
        <v>2</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s="141">
        <f>COUNTIF(V212:AW212,"&lt;&gt;0")</f>
        <v>3</v>
      </c>
      <c r="AY212" s="141">
        <f>COUNTIF(V212:AL212,"&lt;&gt;0")</f>
        <v>3</v>
      </c>
      <c r="AZ212">
        <f>COUNTIF(V212:AC212,"&lt;&gt;0")</f>
        <v>3</v>
      </c>
      <c r="BA212">
        <f>COUNTIF(AD212:AI212,"&lt;&gt;0")</f>
        <v>0</v>
      </c>
      <c r="BB212">
        <f>COUNTIF(AJ212:AL212,"&lt;&gt;0")</f>
        <v>0</v>
      </c>
      <c r="BC212">
        <f>COUNTIF(AS212:AW212,"&lt;&gt;0")</f>
        <v>0</v>
      </c>
      <c r="BD212">
        <f>COUNTIF(AM212:AR212,"&lt;&gt;0")</f>
        <v>0</v>
      </c>
      <c r="BE212" t="str">
        <f t="array" ref="BE212">IF(AY212=1,INDEX($V$7:$AL$7,MATCH(TRUE,INDEX($V212:$AW212&lt;&gt;0,),0)),IF(AY212=0,INDEX($AM$7:$AW$7,MATCH(1,$AM212:$AW212,0)),IF(BF212="Multiple strategies","mixed drivers",IF(BF212="Supply chain","multiple supply","multiple silviculture"))))</f>
        <v>multiple silviculture</v>
      </c>
      <c r="BF212" s="2" t="str" cm="1">
        <f t="array" ref="BF212">IF(COUNTIF(AZ212:BB212,"&lt;&gt;0")=1,INDEX($V$4:$AW$4,MATCH(TRUE,INDEX($V212:$AW212&lt;&gt;0,),0)),IF(COUNTIF(AZ212:BB212,"&lt;&gt;0")=0,INDEX($AM$4:$AW$4,MATCH(1,$AM212:$AW212,0)),"Multiple strategies"))</f>
        <v>Silviculture for removals</v>
      </c>
      <c r="BG212" s="1" t="s">
        <v>321</v>
      </c>
      <c r="BH212" t="s">
        <v>2453</v>
      </c>
      <c r="BI212" s="264" t="s">
        <v>3252</v>
      </c>
      <c r="BJ212" t="s">
        <v>1323</v>
      </c>
      <c r="BK212">
        <v>300</v>
      </c>
      <c r="BL212">
        <v>765</v>
      </c>
      <c r="BM212" s="143">
        <f>BL212/BK212</f>
        <v>2.5499999999999998</v>
      </c>
      <c r="BN212">
        <f>BL212-BK212</f>
        <v>465</v>
      </c>
      <c r="BO212">
        <f>BN212*10^6</f>
        <v>465000000</v>
      </c>
      <c r="BP212" t="s">
        <v>232</v>
      </c>
      <c r="BQ212" s="303" t="s">
        <v>3253</v>
      </c>
      <c r="BR212" t="s">
        <v>2325</v>
      </c>
      <c r="BS212">
        <v>345.6503741652154</v>
      </c>
      <c r="BT212">
        <v>69.739247716902497</v>
      </c>
      <c r="BU212" s="144">
        <f>IFERROR(BT212/BS212,"")</f>
        <v>0.20176239613606853</v>
      </c>
      <c r="BV212" s="144">
        <f>BT212-BS212</f>
        <v>-275.91112644831287</v>
      </c>
      <c r="BW212" s="144"/>
      <c r="BX212">
        <f>BV212*10^6</f>
        <v>-275911126.44831288</v>
      </c>
      <c r="BY212">
        <f>IFERROR(BX212/BO212,"")</f>
        <v>-0.59335726117916743</v>
      </c>
      <c r="BZ212">
        <v>0</v>
      </c>
      <c r="CA212">
        <v>0</v>
      </c>
      <c r="CB212">
        <v>0</v>
      </c>
      <c r="CC212">
        <v>0</v>
      </c>
      <c r="CD212">
        <v>0</v>
      </c>
      <c r="CE212">
        <v>0</v>
      </c>
      <c r="CF212">
        <v>0</v>
      </c>
      <c r="CG212">
        <v>0</v>
      </c>
      <c r="CH212">
        <v>0</v>
      </c>
      <c r="CI212">
        <v>0</v>
      </c>
      <c r="CJ212">
        <v>0</v>
      </c>
      <c r="CK212">
        <v>0</v>
      </c>
      <c r="CL212">
        <v>0</v>
      </c>
      <c r="CM212">
        <v>1</v>
      </c>
      <c r="CN212" t="str">
        <f>IF($BL212&lt;$BK212,"refNeedCorrection","refOK")</f>
        <v>refOK</v>
      </c>
      <c r="CO212">
        <f>IF($CN212="refNeedCorrection",BL212,BK212)</f>
        <v>300</v>
      </c>
      <c r="CP212">
        <f>IF($CN212="refNeedCorrection",BK212,BL212)</f>
        <v>765</v>
      </c>
      <c r="CQ212">
        <f>IF($CN212="refOK",$BO212,-$BO212)</f>
        <v>465000000</v>
      </c>
      <c r="CR212">
        <f>IF($CN212="refOK",$BS212,$BT212)*IF($BP212="Emissions positive",-1,1)</f>
        <v>345.6503741652154</v>
      </c>
      <c r="CS212">
        <f>IF($CN212="refOK",$BT212,$BS212)*IF($BP212="Emissions positive",-1,1)</f>
        <v>69.739247716902497</v>
      </c>
      <c r="CT212">
        <f>IF($CN212="refNeedCorrection",-BX212,BX212)*IF($BP212="Emissions positive",-1,1)</f>
        <v>-275911126.44831288</v>
      </c>
      <c r="CU212">
        <f>IFERROR(CT212/CQ212,"")</f>
        <v>-0.59335726117916743</v>
      </c>
      <c r="CV212" s="2">
        <f>IFERROR((CS212-CR212)/ABS(CR212),"")</f>
        <v>-0.79823760386393139</v>
      </c>
      <c r="CW212" s="1" t="s">
        <v>1203</v>
      </c>
      <c r="CX212" t="str">
        <f>IF(OR($CW212="prd",$CW212="std",$CW212="cit"),"loc",IF(OR($CW212="eur",$CW212="reg",$CW212="coy"),"reg",$CW212))</f>
        <v>reg</v>
      </c>
      <c r="CY212" t="s">
        <v>639</v>
      </c>
      <c r="CZ212">
        <v>2000</v>
      </c>
      <c r="DA212">
        <v>2090</v>
      </c>
      <c r="DB212">
        <f>DA212-CZ212</f>
        <v>90</v>
      </c>
      <c r="DC212" t="str">
        <f>IF(DB212=0,"0",IF(AND(DB212&gt;=1,DB212&lt;=30),"1-30",IF(AND(DB212&gt;30,DB212&lt;=70),"31-70",IF(AND(DB212&gt;70,DB212&lt;=100),"71-100",IF(DB212&gt;100,"+100")))))</f>
        <v>71-100</v>
      </c>
      <c r="DD212">
        <v>0</v>
      </c>
      <c r="DE212">
        <v>1</v>
      </c>
      <c r="DF212">
        <v>0</v>
      </c>
      <c r="DG212">
        <v>0</v>
      </c>
      <c r="DH212">
        <v>0</v>
      </c>
      <c r="DI212">
        <f>SUM(DD212:DG212)</f>
        <v>1</v>
      </c>
      <c r="DJ212" t="str">
        <f>IF(DI212=1,INDEX($DD$7:$DG$7,MATCH(1,$DD212:$DG212,0)),"mixedProduct")</f>
        <v>EnergyInput</v>
      </c>
      <c r="DK212">
        <f>IF(DD212=1,DK$7,0)</f>
        <v>0</v>
      </c>
      <c r="DL212" t="str">
        <f>IF(DE212=1,DL$7,0)</f>
        <v>Energy</v>
      </c>
      <c r="DM212">
        <f>IF(DF212=1,DM$7,0)</f>
        <v>0</v>
      </c>
      <c r="DN212">
        <f>IF(DG212=1,DN$7,0)</f>
        <v>0</v>
      </c>
      <c r="DO212">
        <v>0</v>
      </c>
      <c r="DP212">
        <v>0</v>
      </c>
      <c r="DQ212"/>
      <c r="DR212"/>
      <c r="DS212"/>
      <c r="DT212">
        <f>SUM(DO212:DP212)</f>
        <v>0</v>
      </c>
      <c r="DU212" s="143" t="str">
        <f>IF(DO212=1,"self-calculated DF",IF(DP212=1,"external DF used","explicit C balance"))</f>
        <v>explicit C balance</v>
      </c>
      <c r="DV212">
        <v>1</v>
      </c>
      <c r="DW212">
        <v>1</v>
      </c>
      <c r="DX212">
        <v>1</v>
      </c>
      <c r="DY212">
        <v>1</v>
      </c>
      <c r="DZ212">
        <v>0</v>
      </c>
      <c r="EA212" s="143">
        <v>0</v>
      </c>
      <c r="EB212">
        <v>0</v>
      </c>
      <c r="EC212">
        <v>0</v>
      </c>
      <c r="ED212">
        <v>0</v>
      </c>
      <c r="EE212">
        <v>0</v>
      </c>
      <c r="EF212">
        <v>1</v>
      </c>
      <c r="EG212">
        <v>0</v>
      </c>
      <c r="EH212">
        <v>0</v>
      </c>
      <c r="EI212" s="2">
        <v>0</v>
      </c>
      <c r="EJ212" s="1"/>
      <c r="EK212" t="str">
        <f>IF(AND(AND(AND(OR($DX212=1,$DW212=1),OR($EC212=1,$EA212=1)),SUM($DV212:$DZ212,$EF212)&gt;=4),SUM($EA212:$EE212)&gt;=2),"Whole sector","")</f>
        <v/>
      </c>
      <c r="EL212" t="str">
        <f>IF(AND(AND(OR($DX212=1,$DW212=1),AND($EC212=0,$EA212=0)),SUM($DV212:$DZ212,$EF212)&gt;=4),"Ecosystem approach","")</f>
        <v>Ecosystem approach</v>
      </c>
      <c r="EM212" s="2" t="str">
        <f>IF(AND(AND(AND($DX212=0,$DW212=0),OR($EC212=1,$EA212=1)),SUM($EB212:$EE212)&gt;=2),"Technology approach","")</f>
        <v/>
      </c>
      <c r="EN212" t="s">
        <v>2485</v>
      </c>
      <c r="EO212"/>
      <c r="EP212" t="str">
        <f>IF(ISNUMBER(BU212),IF(ABS(BU212-[1]QC_indicators!$B$2)&gt;3*[1]QC_indicators!$C$2,"C ratio",IF(ISNUMBER(BY212),IF(ABS(BY212-[1]QC_indicators!$B$1)&gt;3*[1]QC_indicators!$C$1,"DF","no"))),IF(ISNUMBER(BY212),IF(ABS(BY212-[1]QC_indicators!$B$1)&gt;3*[1]QC_indicators!$C$1,"DF","no")))</f>
        <v>no</v>
      </c>
      <c r="EQ212"/>
      <c r="ER212"/>
      <c r="ES212"/>
      <c r="ET212" s="264" t="s">
        <v>3254</v>
      </c>
      <c r="EU212"/>
    </row>
    <row r="213" spans="1:151" s="139" customFormat="1" ht="15" customHeight="1">
      <c r="A213" s="1" t="s">
        <v>878</v>
      </c>
      <c r="B213" t="s">
        <v>1791</v>
      </c>
      <c r="C213" t="s">
        <v>1792</v>
      </c>
      <c r="D213" t="s">
        <v>1793</v>
      </c>
      <c r="E213" t="s">
        <v>1794</v>
      </c>
      <c r="F213" t="s">
        <v>1795</v>
      </c>
      <c r="G213" t="s">
        <v>1184</v>
      </c>
      <c r="H213" t="s">
        <v>254</v>
      </c>
      <c r="I213">
        <v>2011</v>
      </c>
      <c r="J213">
        <v>6</v>
      </c>
      <c r="K213" t="s">
        <v>1796</v>
      </c>
      <c r="L213"/>
      <c r="M213" t="str">
        <f>LEFT($D213,FIND(",",$D213)-1)&amp;"_"&amp;I213&amp;L213</f>
        <v>Kayo_2011</v>
      </c>
      <c r="N213" t="s">
        <v>222</v>
      </c>
      <c r="O213" s="145" t="s">
        <v>513</v>
      </c>
      <c r="P213"/>
      <c r="Q213" t="s">
        <v>256</v>
      </c>
      <c r="R213" s="255" t="s">
        <v>225</v>
      </c>
      <c r="S213" s="263" t="s">
        <v>3359</v>
      </c>
      <c r="T213" t="s">
        <v>1804</v>
      </c>
      <c r="U213" t="s">
        <v>1800</v>
      </c>
      <c r="V213">
        <v>0</v>
      </c>
      <c r="W213">
        <v>0</v>
      </c>
      <c r="X213">
        <v>0</v>
      </c>
      <c r="Y213">
        <v>0</v>
      </c>
      <c r="Z213">
        <v>0</v>
      </c>
      <c r="AA213">
        <v>0</v>
      </c>
      <c r="AB213">
        <v>0</v>
      </c>
      <c r="AC213">
        <v>0</v>
      </c>
      <c r="AD213">
        <v>0</v>
      </c>
      <c r="AE213">
        <v>0</v>
      </c>
      <c r="AF213">
        <v>0</v>
      </c>
      <c r="AG213">
        <v>0</v>
      </c>
      <c r="AH213">
        <v>0</v>
      </c>
      <c r="AI213">
        <v>0</v>
      </c>
      <c r="AJ213">
        <v>0</v>
      </c>
      <c r="AK213">
        <v>1</v>
      </c>
      <c r="AL213">
        <v>0</v>
      </c>
      <c r="AM213">
        <v>0</v>
      </c>
      <c r="AN213">
        <v>0</v>
      </c>
      <c r="AO213">
        <v>0</v>
      </c>
      <c r="AP213">
        <v>0</v>
      </c>
      <c r="AQ213">
        <v>0</v>
      </c>
      <c r="AR213">
        <v>0</v>
      </c>
      <c r="AS213">
        <v>0</v>
      </c>
      <c r="AT213">
        <v>0</v>
      </c>
      <c r="AU213">
        <v>0</v>
      </c>
      <c r="AV213">
        <v>0</v>
      </c>
      <c r="AW213">
        <v>0</v>
      </c>
      <c r="AX213" s="141">
        <f>COUNTIF(V213:AW213,"&lt;&gt;0")</f>
        <v>1</v>
      </c>
      <c r="AY213" s="141">
        <f>COUNTIF(V213:AL213,"&lt;&gt;0")</f>
        <v>1</v>
      </c>
      <c r="AZ213">
        <f>COUNTIF(V213:AC213,"&lt;&gt;0")</f>
        <v>0</v>
      </c>
      <c r="BA213">
        <f>COUNTIF(AD213:AI213,"&lt;&gt;0")</f>
        <v>0</v>
      </c>
      <c r="BB213">
        <f>COUNTIF(AJ213:AL213,"&lt;&gt;0")</f>
        <v>1</v>
      </c>
      <c r="BC213">
        <f>COUNTIF(AS213:AW213,"&lt;&gt;0")</f>
        <v>0</v>
      </c>
      <c r="BD213">
        <f>COUNTIF(AM213:AR213,"&lt;&gt;0")</f>
        <v>0</v>
      </c>
      <c r="BE213" t="str">
        <f t="array" ref="BE213">IF(AY213=1,INDEX($V$7:$AL$7,MATCH(TRUE,INDEX($V213:$AW213&lt;&gt;0,),0)),IF(AY213=0,INDEX($AM$7:$AW$7,MATCH(1,$AM213:$AW213,0)),IF(BF213="Multiple strategies","mixed drivers",IF(BF213="Supply chain","multiple supply","multiple silviculture"))))</f>
        <v>technologies/design switch</v>
      </c>
      <c r="BF213" s="2" t="str" cm="1">
        <f t="array" ref="BF213">IF(COUNTIF(AZ213:BB213,"&lt;&gt;0")=1,INDEX($V$4:$AW$4,MATCH(TRUE,INDEX($V213:$AW213&lt;&gt;0,),0)),IF(COUNTIF(AZ213:BB213,"&lt;&gt;0")=0,INDEX($AM$4:$AW$4,MATCH(1,$AM213:$AW213,0)),"Multiple strategies"))</f>
        <v>Technology</v>
      </c>
      <c r="BG213" s="1" t="s">
        <v>229</v>
      </c>
      <c r="BH213" t="s">
        <v>1799</v>
      </c>
      <c r="BI213" s="260" t="s">
        <v>3350</v>
      </c>
      <c r="BJ213" s="260" t="s">
        <v>3347</v>
      </c>
      <c r="BK213">
        <v>0</v>
      </c>
      <c r="BL213">
        <v>15</v>
      </c>
      <c r="BM213"/>
      <c r="BN213">
        <f>BL213-BK213</f>
        <v>15</v>
      </c>
      <c r="BO213">
        <f>BN213*10^6*t_to_m3</f>
        <v>30612244.897959184</v>
      </c>
      <c r="BP213" t="s">
        <v>232</v>
      </c>
      <c r="BQ213" s="300" t="s">
        <v>3360</v>
      </c>
      <c r="BR213" t="s">
        <v>1300</v>
      </c>
      <c r="BS213"/>
      <c r="BT213"/>
      <c r="BU213" s="144" t="str">
        <f>IFERROR(BT213/BS213,"")</f>
        <v/>
      </c>
      <c r="BV213">
        <v>-18</v>
      </c>
      <c r="BW213"/>
      <c r="BX213">
        <f>BV213*10^6</f>
        <v>-18000000</v>
      </c>
      <c r="BY213">
        <f>IFERROR(BX213/BO213,"")</f>
        <v>-0.58799999999999997</v>
      </c>
      <c r="BZ213">
        <v>0</v>
      </c>
      <c r="CA213">
        <v>0</v>
      </c>
      <c r="CB213">
        <v>0</v>
      </c>
      <c r="CC213">
        <v>0</v>
      </c>
      <c r="CD213">
        <v>0</v>
      </c>
      <c r="CE213">
        <v>0</v>
      </c>
      <c r="CF213">
        <v>0</v>
      </c>
      <c r="CG213">
        <v>0</v>
      </c>
      <c r="CH213">
        <v>0</v>
      </c>
      <c r="CI213">
        <v>0</v>
      </c>
      <c r="CJ213">
        <v>0</v>
      </c>
      <c r="CK213">
        <v>0</v>
      </c>
      <c r="CL213">
        <v>0</v>
      </c>
      <c r="CM213">
        <v>0</v>
      </c>
      <c r="CN213" t="str">
        <f>IF(BL213&lt;BK213,"refNeedCorrection","refOK")</f>
        <v>refOK</v>
      </c>
      <c r="CO213">
        <f>IF($CN213="refOK",$BK213,$BL213)</f>
        <v>0</v>
      </c>
      <c r="CP213">
        <f>IF($CN213="refOK",$BL213,$BK213)</f>
        <v>15</v>
      </c>
      <c r="CQ213">
        <f>IF($CN213="refOK",$BO213,-$BO213)</f>
        <v>30612244.897959184</v>
      </c>
      <c r="CR213">
        <f>IF($CN213="refOK",$BS213,$BT213)*IF($BP213="Emissions positive",-1,1)</f>
        <v>0</v>
      </c>
      <c r="CS213">
        <f>IF($CN213="refOK",$BT213,$BS213)*IF($BP213="Emissions positive",-1,1)</f>
        <v>0</v>
      </c>
      <c r="CT213">
        <f>IF($CN213="refNeedCorrection",-BX213,BX213)*IF($BP213="Emissions positive",-1,1)</f>
        <v>-18000000</v>
      </c>
      <c r="CU213">
        <f>IFERROR(CT213/CQ213,"")</f>
        <v>-0.58799999999999997</v>
      </c>
      <c r="CV213" s="2" t="str">
        <f>IFERROR((CS213-CR213)/ABS(CR213),"")</f>
        <v/>
      </c>
      <c r="CW213" s="1" t="s">
        <v>1203</v>
      </c>
      <c r="CX213" t="str">
        <f>IF(OR($CW213="prd",$CW213="std",$CW213="cit"),"loc",IF(OR($CW213="eur",$CW213="reg",$CW213="coy"),"reg",$CW213))</f>
        <v>reg</v>
      </c>
      <c r="CY213" t="s">
        <v>961</v>
      </c>
      <c r="CZ213">
        <v>2005</v>
      </c>
      <c r="DA213">
        <v>2020</v>
      </c>
      <c r="DB213">
        <v>15</v>
      </c>
      <c r="DC213" t="str">
        <f>IF(DB213=0,"0",IF(AND(DB213&gt;=1,DB213&lt;=30),"1-30",IF(AND(DB213&gt;30,DB213&lt;=70),"31-70",IF(AND(DB213&gt;70,DB213&lt;=100),"71-100",IF(DB213&gt;100,"+100")))))</f>
        <v>1-30</v>
      </c>
      <c r="DD213">
        <v>0</v>
      </c>
      <c r="DE213">
        <v>1</v>
      </c>
      <c r="DF213">
        <v>0</v>
      </c>
      <c r="DG213">
        <v>0</v>
      </c>
      <c r="DH213"/>
      <c r="DI213">
        <f>SUM(DD213:DG213)</f>
        <v>1</v>
      </c>
      <c r="DJ213" t="str">
        <f>IF(DI213=1,INDEX($DD$7:$DG$7,MATCH(1,$DD213:$DG213,0)),"mixedProduct")</f>
        <v>EnergyInput</v>
      </c>
      <c r="DK213">
        <f>IF(DD213=1,DK$7,0)</f>
        <v>0</v>
      </c>
      <c r="DL213" t="str">
        <f>IF(DE213=1,DL$7,0)</f>
        <v>Energy</v>
      </c>
      <c r="DM213">
        <f>IF(DF213=1,DM$7,0)</f>
        <v>0</v>
      </c>
      <c r="DN213">
        <f>IF(DG213=1,DN$7,0)</f>
        <v>0</v>
      </c>
      <c r="DO213">
        <v>0</v>
      </c>
      <c r="DP213">
        <v>0</v>
      </c>
      <c r="DQ213">
        <v>0</v>
      </c>
      <c r="DR213">
        <v>0</v>
      </c>
      <c r="DS213">
        <v>0</v>
      </c>
      <c r="DT213">
        <f>SUM(DO213:DP213)</f>
        <v>0</v>
      </c>
      <c r="DU213" s="143" t="str">
        <f>IF(DO213=1,"self-calculated DF",IF(DP213=1,"external DF used","explicit C balance"))</f>
        <v>explicit C balance</v>
      </c>
      <c r="DV213">
        <v>0</v>
      </c>
      <c r="DW213">
        <v>1</v>
      </c>
      <c r="DX213">
        <v>1</v>
      </c>
      <c r="DY213">
        <v>0</v>
      </c>
      <c r="DZ213">
        <v>0</v>
      </c>
      <c r="EA213" s="143">
        <v>1</v>
      </c>
      <c r="EB213">
        <v>1</v>
      </c>
      <c r="EC213">
        <v>0</v>
      </c>
      <c r="ED213">
        <v>0</v>
      </c>
      <c r="EE213">
        <v>0</v>
      </c>
      <c r="EF213">
        <v>1</v>
      </c>
      <c r="EG213">
        <v>1</v>
      </c>
      <c r="EH213">
        <v>0</v>
      </c>
      <c r="EI213" s="2">
        <v>0</v>
      </c>
      <c r="EJ213" s="1"/>
      <c r="EK213" t="str">
        <f>IF(AND(AND(AND(OR($DX213=1,$DW213=1),OR($EC213=1,$EA213=1)),SUM($DV213:$DZ213,$EF213)&gt;=4),SUM($EA213:$EE213)&gt;=2),"Whole sector","")</f>
        <v/>
      </c>
      <c r="EL213" t="str">
        <f>IF(AND(AND(OR($DX213=1,$DW213=1),AND($EC213=0,$EA213=0)),SUM($DV213:$DZ213,$EF213)&gt;=4),"Ecosystem approach","")</f>
        <v/>
      </c>
      <c r="EM213" s="2" t="str">
        <f>IF(AND(AND(AND($DX213=0,$DW213=0),OR($EC213=1,$EA213=1)),SUM($EB213:$EE213)&gt;=2),"Technology approach","")</f>
        <v/>
      </c>
      <c r="EN213"/>
      <c r="EO213"/>
      <c r="EP213" t="str">
        <f>IF(ISNUMBER(BU213),IF(ABS(BU213-[4]QC_indicators!$B$2)&gt;3*[4]QC_indicators!$C$2,"C ratio",IF(ISNUMBER(BY213),IF(ABS(BY213-[4]QC_indicators!$B$1)&gt;3*[4]QC_indicators!$C$1,"DF","no"))),IF(ISNUMBER(BY213),IF(ABS(BY213-[4]QC_indicators!$B$1)&gt;3*[4]QC_indicators!$C$1,"DF","no")))</f>
        <v>no</v>
      </c>
      <c r="EQ213"/>
      <c r="ER213"/>
      <c r="ES213"/>
      <c r="ET213" s="264" t="s">
        <v>3273</v>
      </c>
      <c r="EU213"/>
    </row>
    <row r="214" spans="1:151" s="139" customFormat="1" ht="15" customHeight="1">
      <c r="A214" s="1"/>
      <c r="B214"/>
      <c r="C214"/>
      <c r="D214" t="s">
        <v>963</v>
      </c>
      <c r="E214" t="s">
        <v>964</v>
      </c>
      <c r="F214"/>
      <c r="G214" t="s">
        <v>965</v>
      </c>
      <c r="H214"/>
      <c r="I214">
        <v>2002</v>
      </c>
      <c r="J214"/>
      <c r="K214" s="295" t="s">
        <v>966</v>
      </c>
      <c r="L214"/>
      <c r="M214" t="str">
        <f>LEFT($D214,FIND(",",$D214)-1)&amp;"_"&amp;I214&amp;L214</f>
        <v>Petersen_2002</v>
      </c>
      <c r="N214" t="s">
        <v>222</v>
      </c>
      <c r="O214" s="171" t="s">
        <v>513</v>
      </c>
      <c r="P214" s="141" t="s">
        <v>225</v>
      </c>
      <c r="Q214" s="264" t="s">
        <v>389</v>
      </c>
      <c r="R214" s="269" t="s">
        <v>1154</v>
      </c>
      <c r="S214" s="263" t="s">
        <v>978</v>
      </c>
      <c r="T214" s="264" t="s">
        <v>979</v>
      </c>
      <c r="U214" s="264" t="s">
        <v>980</v>
      </c>
      <c r="V214">
        <v>0</v>
      </c>
      <c r="W214">
        <v>0</v>
      </c>
      <c r="X214">
        <v>0</v>
      </c>
      <c r="Y214">
        <v>0</v>
      </c>
      <c r="Z214">
        <v>0</v>
      </c>
      <c r="AA214">
        <v>0</v>
      </c>
      <c r="AB214">
        <v>0</v>
      </c>
      <c r="AC214">
        <v>0</v>
      </c>
      <c r="AD214">
        <v>0</v>
      </c>
      <c r="AE214">
        <v>0</v>
      </c>
      <c r="AF214">
        <v>0</v>
      </c>
      <c r="AG214">
        <v>0</v>
      </c>
      <c r="AH214">
        <v>0</v>
      </c>
      <c r="AI214">
        <v>0</v>
      </c>
      <c r="AJ214">
        <v>0</v>
      </c>
      <c r="AK214">
        <v>1</v>
      </c>
      <c r="AL214">
        <v>0</v>
      </c>
      <c r="AM214">
        <v>0</v>
      </c>
      <c r="AN214">
        <v>0</v>
      </c>
      <c r="AO214">
        <v>0</v>
      </c>
      <c r="AP214">
        <v>0</v>
      </c>
      <c r="AQ214">
        <v>0</v>
      </c>
      <c r="AR214">
        <v>0</v>
      </c>
      <c r="AS214">
        <v>0</v>
      </c>
      <c r="AT214">
        <v>0</v>
      </c>
      <c r="AU214">
        <v>0</v>
      </c>
      <c r="AV214">
        <v>0</v>
      </c>
      <c r="AW214">
        <v>0</v>
      </c>
      <c r="AX214" s="141">
        <f>COUNTIF(V214:AW214,"&lt;&gt;0")</f>
        <v>1</v>
      </c>
      <c r="AY214" s="141">
        <f>COUNTIF(V214:AL214,"&lt;&gt;0")</f>
        <v>1</v>
      </c>
      <c r="AZ214">
        <f>COUNTIF(V214:AC214,"&lt;&gt;0")</f>
        <v>0</v>
      </c>
      <c r="BA214">
        <f>COUNTIF(AD214:AI214,"&lt;&gt;0")</f>
        <v>0</v>
      </c>
      <c r="BB214">
        <f>COUNTIF(AJ214:AL214,"&lt;&gt;0")</f>
        <v>1</v>
      </c>
      <c r="BC214">
        <f>COUNTIF(AS214:AW214,"&lt;&gt;0")</f>
        <v>0</v>
      </c>
      <c r="BD214">
        <f>COUNTIF(AM214:AR214,"&lt;&gt;0")</f>
        <v>0</v>
      </c>
      <c r="BE214" t="str" cm="1">
        <f t="array" ref="BE214">IF(AY214=1,INDEX($V$7:$AL$7,MATCH(TRUE,INDEX($V214:$AW214&lt;&gt;0,),0)),IF(AY214=0,INDEX($AM$7:$AW$7,MATCH(1,$AM214:$AW214,0)),IF(BF214="Multiple strategies","mixed drivers",IF(BF214="Supply chain","multiple supply","multiple silviculture"))))</f>
        <v>technologies/design switch</v>
      </c>
      <c r="BF214" s="2" t="str" cm="1">
        <f t="array" ref="BF214">IF(COUNTIF(AZ214:BB214,"&lt;&gt;0")=1,INDEX($V$4:$AW$4,MATCH(TRUE,INDEX($V214:$AW214&lt;&gt;0,),0)),IF(COUNTIF(AZ214:BB214,"&lt;&gt;0")=0,INDEX($AM$4:$AW$4,MATCH(1,$AM214:$AW214,0)),"Multiple strategies"))</f>
        <v>Technology</v>
      </c>
      <c r="BG214" s="142" t="s">
        <v>229</v>
      </c>
      <c r="BH214" t="s">
        <v>970</v>
      </c>
      <c r="BI214" t="s">
        <v>971</v>
      </c>
      <c r="BJ214" t="s">
        <v>498</v>
      </c>
      <c r="BK214">
        <v>0</v>
      </c>
      <c r="BL214">
        <v>1</v>
      </c>
      <c r="BM214" t="str">
        <f>IFERROR(BL214/BK214,"")</f>
        <v/>
      </c>
      <c r="BN214">
        <f>BL214-BK214</f>
        <v>1</v>
      </c>
      <c r="BO214">
        <v>1</v>
      </c>
      <c r="BP214" t="s">
        <v>232</v>
      </c>
      <c r="BQ214" s="234" t="s">
        <v>972</v>
      </c>
      <c r="BR214" s="264" t="s">
        <v>973</v>
      </c>
      <c r="BS214"/>
      <c r="BT214"/>
      <c r="BU214"/>
      <c r="BV214">
        <v>-0.58299999999999996</v>
      </c>
      <c r="BW214"/>
      <c r="BX214">
        <f>BV214</f>
        <v>-0.58299999999999996</v>
      </c>
      <c r="BY214">
        <f>IFERROR(BX214/BO214,"")</f>
        <v>-0.58299999999999996</v>
      </c>
      <c r="BZ214">
        <v>0</v>
      </c>
      <c r="CA214">
        <v>0</v>
      </c>
      <c r="CB214">
        <v>0</v>
      </c>
      <c r="CC214">
        <v>0</v>
      </c>
      <c r="CD214">
        <v>0</v>
      </c>
      <c r="CE214">
        <v>0</v>
      </c>
      <c r="CF214">
        <v>0</v>
      </c>
      <c r="CG214">
        <v>0</v>
      </c>
      <c r="CH214">
        <v>0</v>
      </c>
      <c r="CI214">
        <v>0</v>
      </c>
      <c r="CJ214">
        <v>0</v>
      </c>
      <c r="CK214">
        <v>0</v>
      </c>
      <c r="CL214">
        <v>0</v>
      </c>
      <c r="CM214">
        <v>0</v>
      </c>
      <c r="CN214" t="str">
        <f>IF($BL214&lt;$BK214,"refNeedCorrection","refOK")</f>
        <v>refOK</v>
      </c>
      <c r="CO214">
        <f>IF($CN214="refOK",$BK214,$BL214)</f>
        <v>0</v>
      </c>
      <c r="CP214">
        <f>IF($CN214="refOK",$BL214,$BK214)</f>
        <v>1</v>
      </c>
      <c r="CQ214">
        <f>IF($CN214="refOK",$BO214,-$BO214)</f>
        <v>1</v>
      </c>
      <c r="CR214">
        <f>IF($CN214="refOK",$BS214,$BT214)*IF($BP214="Emissions positive",-1,1)</f>
        <v>0</v>
      </c>
      <c r="CS214">
        <f>IF($CN214="refOK",$BT214,$BS214)*IF($BP214="Emissions positive",-1,1)</f>
        <v>0</v>
      </c>
      <c r="CT214">
        <f>IF($CN214="refNeedCorrection",-BX214,BX214)*IF($BP214="Emissions positive",-1,1)</f>
        <v>-0.58299999999999996</v>
      </c>
      <c r="CU214">
        <f>IFERROR(CT214/CQ214,"")</f>
        <v>-0.58299999999999996</v>
      </c>
      <c r="CV214" s="2" t="str">
        <f>IFERROR((CS214-CR214)/ABS(CR214),"")</f>
        <v/>
      </c>
      <c r="CW214" s="1" t="s">
        <v>974</v>
      </c>
      <c r="CX214" s="264" t="str">
        <f>IF(OR($CW214="prd",$CW214="std",$CW214="cit"),"loc",IF(OR($CW214="eur",$CW214="reg",$CW214="coy"),"reg",$CW214))</f>
        <v>loc</v>
      </c>
      <c r="CY214" t="s">
        <v>264</v>
      </c>
      <c r="CZ214"/>
      <c r="DA214"/>
      <c r="DB214">
        <v>50</v>
      </c>
      <c r="DC214" t="str">
        <f>IF(DB214=0,"0",IF(AND(DB214&gt;=1,DB214&lt;=30),"1-30",IF(AND(DB214&gt;30,DB214&lt;=70),"31-70",IF(AND(DB214&gt;70,DB214&lt;=100),"71-100",IF(DB214&gt;100,"+100")))))</f>
        <v>31-70</v>
      </c>
      <c r="DD214">
        <v>0</v>
      </c>
      <c r="DE214">
        <v>0</v>
      </c>
      <c r="DF214">
        <v>0</v>
      </c>
      <c r="DG214">
        <v>1</v>
      </c>
      <c r="DH214">
        <v>0</v>
      </c>
      <c r="DI214">
        <f>SUM(DD214:DG214)</f>
        <v>1</v>
      </c>
      <c r="DJ214" t="str">
        <f>IF(DI214=1,INDEX($DD$7:$DG$7,MATCH(1,$DD214:$DG214,0)),"mixedProduct")</f>
        <v>TimberInput</v>
      </c>
      <c r="DK214">
        <f>IF(DD214=1,DK$7,0)</f>
        <v>0</v>
      </c>
      <c r="DL214">
        <f>IF(DE214=1,DL$7,0)</f>
        <v>0</v>
      </c>
      <c r="DM214">
        <f>IF(DF214=1,DM$7,0)</f>
        <v>0</v>
      </c>
      <c r="DN214" t="str">
        <f>IF(DG214=1,DN$7,0)</f>
        <v>Timber</v>
      </c>
      <c r="DO214">
        <v>1</v>
      </c>
      <c r="DP214">
        <v>0</v>
      </c>
      <c r="DQ214">
        <v>0</v>
      </c>
      <c r="DR214">
        <v>0</v>
      </c>
      <c r="DS214">
        <v>0</v>
      </c>
      <c r="DT214">
        <f>SUM(DO214:DP214)</f>
        <v>1</v>
      </c>
      <c r="DU214" s="143" t="str">
        <f>IF(DO214=1,"self-calculated DF",IF(DP214=1,"external DF used","explicit C balance"))</f>
        <v>self-calculated DF</v>
      </c>
      <c r="DV214" s="143">
        <v>0</v>
      </c>
      <c r="DW214" s="143">
        <v>0</v>
      </c>
      <c r="DX214" s="143">
        <v>0</v>
      </c>
      <c r="DY214" s="143">
        <v>0</v>
      </c>
      <c r="DZ214">
        <v>0</v>
      </c>
      <c r="EA214" s="143">
        <v>1</v>
      </c>
      <c r="EB214" s="143">
        <v>0</v>
      </c>
      <c r="EC214" s="143">
        <v>1</v>
      </c>
      <c r="ED214" s="143">
        <v>0</v>
      </c>
      <c r="EE214">
        <v>1</v>
      </c>
      <c r="EF214">
        <v>0</v>
      </c>
      <c r="EG214" s="143">
        <v>0</v>
      </c>
      <c r="EH214" s="143">
        <v>0</v>
      </c>
      <c r="EI214" s="2">
        <v>0</v>
      </c>
      <c r="EJ214" s="1"/>
      <c r="EK214" t="str">
        <f>IF(AND(AND(AND(OR($DX214=1,$DW214=1),OR($EC214=1,$EA214=1)),SUM($DV214:$DZ214,$EF214)&gt;=4),SUM($EA214:$EE214)&gt;=2),"Whole sector","")</f>
        <v/>
      </c>
      <c r="EL214" t="str">
        <f>IF(AND(AND(OR($DX214=1,$DW214=1),AND($EC214=0,$EA214=0)),SUM($DV214:$DZ214,$EF214)&gt;=4),"Ecosystem approach","")</f>
        <v/>
      </c>
      <c r="EM214" s="2" t="str">
        <f>IF(AND(AND(AND($DX214=0,$DW214=0),OR($EC214=1,$EA214=1)),SUM($EB214:$EE214)&gt;=2),"Technology approach","")</f>
        <v>Technology approach</v>
      </c>
      <c r="EN214" t="s">
        <v>981</v>
      </c>
      <c r="EO214"/>
      <c r="EP214" t="str">
        <f>IF(ISNUMBER(BU214),IF(ABS(BU214-[3]QC_indicators!$B$2)&gt;3*[3]QC_indicators!$C$2,"C ratio",IF(ISNUMBER(BY214),IF(ABS(BY214-[3]QC_indicators!$B$1)&gt;3*[3]QC_indicators!$C$1,"DF","no"))),IF(ISNUMBER(BY214),IF(ABS(BY214-[3]QC_indicators!$B$1)&gt;3*[3]QC_indicators!$C$1,"DF","no")))</f>
        <v>no</v>
      </c>
      <c r="EQ214"/>
      <c r="ER214"/>
      <c r="ES214"/>
      <c r="ET214" s="264" t="s">
        <v>3407</v>
      </c>
      <c r="EU214"/>
    </row>
    <row r="215" spans="1:151" s="139" customFormat="1" ht="15" customHeight="1">
      <c r="A215" s="1" t="s">
        <v>265</v>
      </c>
      <c r="B215" t="s">
        <v>266</v>
      </c>
      <c r="C215" t="s">
        <v>267</v>
      </c>
      <c r="D215" t="s">
        <v>268</v>
      </c>
      <c r="E215" t="s">
        <v>269</v>
      </c>
      <c r="F215" t="s">
        <v>270</v>
      </c>
      <c r="G215" t="s">
        <v>271</v>
      </c>
      <c r="H215" t="s">
        <v>254</v>
      </c>
      <c r="I215">
        <v>2022</v>
      </c>
      <c r="J215">
        <v>0</v>
      </c>
      <c r="K215" t="s">
        <v>272</v>
      </c>
      <c r="L215"/>
      <c r="M215" t="str">
        <f>LEFT($D215,FIND(",",$D215)-1)&amp;"_"&amp;I215&amp;L215</f>
        <v>Aryapratama_2022</v>
      </c>
      <c r="N215" t="s">
        <v>222</v>
      </c>
      <c r="O215" s="145" t="s">
        <v>274</v>
      </c>
      <c r="P215"/>
      <c r="Q215" t="s">
        <v>224</v>
      </c>
      <c r="R215" s="262" t="s">
        <v>223</v>
      </c>
      <c r="S215" s="1" t="s">
        <v>314</v>
      </c>
      <c r="T215" t="s">
        <v>317</v>
      </c>
      <c r="U215" t="s">
        <v>318</v>
      </c>
      <c r="V215">
        <v>0</v>
      </c>
      <c r="W215">
        <v>0</v>
      </c>
      <c r="X215">
        <v>1</v>
      </c>
      <c r="Y215">
        <v>0</v>
      </c>
      <c r="Z215">
        <v>0</v>
      </c>
      <c r="AA215">
        <v>0</v>
      </c>
      <c r="AB215">
        <v>0</v>
      </c>
      <c r="AC215">
        <v>0</v>
      </c>
      <c r="AD215">
        <v>0</v>
      </c>
      <c r="AE215">
        <v>0</v>
      </c>
      <c r="AF215">
        <v>0</v>
      </c>
      <c r="AG215">
        <v>0</v>
      </c>
      <c r="AH215">
        <v>0</v>
      </c>
      <c r="AI215">
        <v>2</v>
      </c>
      <c r="AJ215">
        <v>0</v>
      </c>
      <c r="AK215">
        <v>0</v>
      </c>
      <c r="AL215">
        <v>0</v>
      </c>
      <c r="AM215">
        <v>0</v>
      </c>
      <c r="AN215">
        <v>0</v>
      </c>
      <c r="AO215">
        <v>0</v>
      </c>
      <c r="AP215">
        <v>0</v>
      </c>
      <c r="AQ215">
        <v>0</v>
      </c>
      <c r="AR215">
        <v>0</v>
      </c>
      <c r="AS215">
        <v>0</v>
      </c>
      <c r="AT215">
        <v>0</v>
      </c>
      <c r="AU215">
        <v>0</v>
      </c>
      <c r="AV215">
        <v>0</v>
      </c>
      <c r="AW215">
        <v>0</v>
      </c>
      <c r="AX215" s="141">
        <f>COUNTIF(V215:AW215,"&lt;&gt;0")</f>
        <v>2</v>
      </c>
      <c r="AY215" s="141">
        <f>COUNTIF(V215:AL215,"&lt;&gt;0")</f>
        <v>2</v>
      </c>
      <c r="AZ215">
        <f>COUNTIF(V215:AC215,"&lt;&gt;0")</f>
        <v>1</v>
      </c>
      <c r="BA215">
        <f>COUNTIF(AD215:AI215,"&lt;&gt;0")</f>
        <v>1</v>
      </c>
      <c r="BB215">
        <f>COUNTIF(AJ215:AL215,"&lt;&gt;0")</f>
        <v>0</v>
      </c>
      <c r="BC215">
        <f>COUNTIF(AS215:AW215,"&lt;&gt;0")</f>
        <v>0</v>
      </c>
      <c r="BD215">
        <f>COUNTIF(AM215:AR215,"&lt;&gt;0")</f>
        <v>0</v>
      </c>
      <c r="BE215" t="str">
        <f t="array" ref="BE215">IF(AY215=1,INDEX($V$7:$AL$7,MATCH(TRUE,INDEX($V215:$AW215&lt;&gt;0,),0)),IF(AY215=0,INDEX($AM$7:$AW$7,MATCH(1,$AM215:$AW215,0)),IF(BF215="Multiple strategies","mixed drivers",IF(BF215="Supply chain","multiple supply","multiple silviculture"))))</f>
        <v>mixed drivers</v>
      </c>
      <c r="BF215" s="2" t="str" cm="1">
        <f t="array" ref="BF215">IF(COUNTIF(AZ215:BB215,"&lt;&gt;0")=1,INDEX($V$4:$AW$4,MATCH(TRUE,INDEX($V215:$AW215&lt;&gt;0,),0)),IF(COUNTIF(AZ215:BB215,"&lt;&gt;0")=0,INDEX($AM$4:$AW$4,MATCH(1,$AM215:$AW215,0)),"Multiple strategies"))</f>
        <v>Multiple strategies</v>
      </c>
      <c r="BG215" s="1" t="s">
        <v>229</v>
      </c>
      <c r="BH215" t="s">
        <v>277</v>
      </c>
      <c r="BI215" s="264" t="s">
        <v>3106</v>
      </c>
      <c r="BJ215" t="s">
        <v>278</v>
      </c>
      <c r="BK215">
        <v>91.149512158449113</v>
      </c>
      <c r="BL215">
        <v>164.02627088979997</v>
      </c>
      <c r="BM215">
        <f>BL215/BK215</f>
        <v>1.7995298823395354</v>
      </c>
      <c r="BN215">
        <f>BL215-BK215</f>
        <v>72.876758731350861</v>
      </c>
      <c r="BO215">
        <f>BN215*tC_to_m3</f>
        <v>316.44272136930465</v>
      </c>
      <c r="BP215" t="s">
        <v>232</v>
      </c>
      <c r="BQ215" s="303" t="s">
        <v>3107</v>
      </c>
      <c r="BR215" t="s">
        <v>279</v>
      </c>
      <c r="BS215">
        <v>254.21120760929861</v>
      </c>
      <c r="BT215">
        <v>77.331302173432363</v>
      </c>
      <c r="BU215" s="144">
        <f>IFERROR(BT215/BS215,"")</f>
        <v>0.30420099452217747</v>
      </c>
      <c r="BV215">
        <f>BT215-BS215</f>
        <v>-176.87990543586625</v>
      </c>
      <c r="BW215"/>
      <c r="BX215">
        <f>BV215</f>
        <v>-176.87990543586625</v>
      </c>
      <c r="BY215">
        <f>IFERROR(BX215/BO215,"")</f>
        <v>-0.55896341894190216</v>
      </c>
      <c r="BZ215">
        <v>0</v>
      </c>
      <c r="CA215">
        <v>0</v>
      </c>
      <c r="CB215">
        <v>0</v>
      </c>
      <c r="CC215">
        <v>0</v>
      </c>
      <c r="CD215">
        <v>0</v>
      </c>
      <c r="CE215">
        <v>0</v>
      </c>
      <c r="CF215">
        <v>0</v>
      </c>
      <c r="CG215">
        <v>0</v>
      </c>
      <c r="CH215">
        <v>0</v>
      </c>
      <c r="CI215">
        <v>0</v>
      </c>
      <c r="CJ215">
        <v>0</v>
      </c>
      <c r="CK215">
        <v>0</v>
      </c>
      <c r="CL215">
        <v>0</v>
      </c>
      <c r="CM215">
        <v>0</v>
      </c>
      <c r="CN215" t="str">
        <f>IF($BL215&lt;$BK215,"refNeedCorrection","refOK")</f>
        <v>refOK</v>
      </c>
      <c r="CO215">
        <f>IF($CN215="refOK",$BK215,$BL215)</f>
        <v>91.149512158449113</v>
      </c>
      <c r="CP215">
        <f>IF($CN215="refOK",$BL215,$BK215)</f>
        <v>164.02627088979997</v>
      </c>
      <c r="CQ215">
        <f>IF($CN215="refOK",$BO215,-$BO215)</f>
        <v>316.44272136930465</v>
      </c>
      <c r="CR215">
        <f>IF($CN215="refOK",$BS215,$BT215)*IF($BP215="Emissions positive",-1,1)</f>
        <v>254.21120760929861</v>
      </c>
      <c r="CS215">
        <f>IF($CN215="refOK",$BT215,$BS215)*IF($BP215="Emissions positive",-1,1)</f>
        <v>77.331302173432363</v>
      </c>
      <c r="CT215">
        <f>IF($CN215="refNeedCorrection",-BX215,BX215)*IF($BP215="Emissions positive",-1,1)</f>
        <v>-176.87990543586625</v>
      </c>
      <c r="CU215">
        <f>IFERROR(CT215/CQ215,"")</f>
        <v>-0.55896341894190216</v>
      </c>
      <c r="CV215" s="2">
        <f>IFERROR((CS215-CR215)/ABS(CR215),"")</f>
        <v>-0.69579900547782259</v>
      </c>
      <c r="CW215" s="1" t="s">
        <v>234</v>
      </c>
      <c r="CX215" t="str">
        <f>IF(OR($CW215="prd",$CW215="std",$CW215="cit"),"loc",IF(OR($CW215="eur",$CW215="reg",$CW215="coy"),"reg",$CW215))</f>
        <v>loc</v>
      </c>
      <c r="CY215" t="s">
        <v>280</v>
      </c>
      <c r="CZ215"/>
      <c r="DA215"/>
      <c r="DB215">
        <v>50</v>
      </c>
      <c r="DC215" t="str">
        <f>IF(DB215=0,"0",IF(AND(DB215&gt;=1,DB215&lt;=30),"1-30",IF(AND(DB215&gt;30,DB215&lt;=70),"31-70",IF(AND(DB215&gt;70,DB215&lt;=100),"71-100",IF(DB215&gt;100,"+100")))))</f>
        <v>31-70</v>
      </c>
      <c r="DD215">
        <v>0</v>
      </c>
      <c r="DE215">
        <v>0</v>
      </c>
      <c r="DF215">
        <v>1</v>
      </c>
      <c r="DG215">
        <v>0</v>
      </c>
      <c r="DH215"/>
      <c r="DI215">
        <f>SUM(DD215:DG215)</f>
        <v>1</v>
      </c>
      <c r="DJ215" t="str">
        <f>IF(DI215=1,INDEX($DD$7:$DG$7,MATCH(1,$DD215:$DG215,0)),"mixedProduct")</f>
        <v>PulpPaperInput</v>
      </c>
      <c r="DK215">
        <f>IF(DD215=1,DK$7,0)</f>
        <v>0</v>
      </c>
      <c r="DL215">
        <f>IF(DE215=1,DL$7,0)</f>
        <v>0</v>
      </c>
      <c r="DM215" t="str">
        <f>IF(DF215=1,DM$7,0)</f>
        <v>Pulp/Paper</v>
      </c>
      <c r="DN215">
        <f>IF(DG215=1,DN$7,0)</f>
        <v>0</v>
      </c>
      <c r="DO215">
        <v>0</v>
      </c>
      <c r="DP215">
        <v>1</v>
      </c>
      <c r="DQ215">
        <v>0</v>
      </c>
      <c r="DR215" t="s">
        <v>281</v>
      </c>
      <c r="DS215">
        <v>0</v>
      </c>
      <c r="DT215">
        <f>SUM(DO215:DP215)</f>
        <v>1</v>
      </c>
      <c r="DU215" s="143" t="str">
        <f>IF(DO215=1,"self-calculated DF",IF(DP215=1,"external DF used","explicit C balance"))</f>
        <v>external DF used</v>
      </c>
      <c r="DV215">
        <v>0</v>
      </c>
      <c r="DW215">
        <v>1</v>
      </c>
      <c r="DX215">
        <v>1</v>
      </c>
      <c r="DY215">
        <v>1</v>
      </c>
      <c r="DZ215">
        <v>1</v>
      </c>
      <c r="EA215" s="143">
        <v>0</v>
      </c>
      <c r="EB215">
        <v>1</v>
      </c>
      <c r="EC215">
        <v>1</v>
      </c>
      <c r="ED215">
        <v>0</v>
      </c>
      <c r="EE215">
        <v>1</v>
      </c>
      <c r="EF215">
        <v>1</v>
      </c>
      <c r="EG215">
        <v>1</v>
      </c>
      <c r="EH215">
        <v>0</v>
      </c>
      <c r="EI215" s="2">
        <v>0</v>
      </c>
      <c r="EJ215" s="1"/>
      <c r="EK215" t="str">
        <f>IF(AND(AND(AND(OR($DX215=1,$DW215=1),OR($EC215=1,$EA215=1)),SUM($DV215:$DZ215,$EF215)&gt;=4),SUM($EA215:$EE215)&gt;=2),"Whole sector","")</f>
        <v>Whole sector</v>
      </c>
      <c r="EL215" t="str">
        <f>IF(AND(AND(OR($DX215=1,$DW215=1),AND($EC215=0,$EA215=0)),SUM($DV215:$DZ215,$EF215)&gt;=4),"Ecosystem approach","")</f>
        <v/>
      </c>
      <c r="EM215" s="2" t="str">
        <f>IF(AND(AND(AND($DX215=0,$DW215=0),OR($EC215=1,$EA215=1)),SUM($EB215:$EE215)&gt;=2),"Technology approach","")</f>
        <v/>
      </c>
      <c r="EN215"/>
      <c r="EO215"/>
      <c r="EP215" t="str">
        <f>IF(ISNUMBER(BU215),IF(ABS(BU215-[1]QC_indicators!$B$2)&gt;3*[1]QC_indicators!$C$2,"C ratio",IF(ISNUMBER(BY215),IF(ABS(BY215-[1]QC_indicators!$B$1)&gt;3*[1]QC_indicators!$C$1,"DF","no"))),IF(ISNUMBER(BY215),IF(ABS(BY215-[1]QC_indicators!$B$1)&gt;3*[1]QC_indicators!$C$1,"DF","no")))</f>
        <v>no</v>
      </c>
      <c r="EQ215" t="s">
        <v>286</v>
      </c>
      <c r="ER215"/>
      <c r="ES215"/>
      <c r="ET215" s="264" t="s">
        <v>3273</v>
      </c>
      <c r="EU215"/>
    </row>
    <row r="216" spans="1:151" s="139" customFormat="1" ht="15" customHeight="1">
      <c r="A216" s="1" t="s">
        <v>265</v>
      </c>
      <c r="B216" t="s">
        <v>266</v>
      </c>
      <c r="C216" t="s">
        <v>267</v>
      </c>
      <c r="D216" t="s">
        <v>268</v>
      </c>
      <c r="E216" t="s">
        <v>269</v>
      </c>
      <c r="F216" t="s">
        <v>270</v>
      </c>
      <c r="G216" t="s">
        <v>271</v>
      </c>
      <c r="H216" t="s">
        <v>254</v>
      </c>
      <c r="I216">
        <v>2022</v>
      </c>
      <c r="J216">
        <v>0</v>
      </c>
      <c r="K216" t="s">
        <v>272</v>
      </c>
      <c r="L216"/>
      <c r="M216" t="str">
        <f>LEFT($D216,FIND(",",$D216)-1)&amp;"_"&amp;I216&amp;L216</f>
        <v>Aryapratama_2022</v>
      </c>
      <c r="N216" t="s">
        <v>222</v>
      </c>
      <c r="O216" s="145" t="s">
        <v>274</v>
      </c>
      <c r="P216"/>
      <c r="Q216" t="s">
        <v>224</v>
      </c>
      <c r="R216" s="262" t="s">
        <v>223</v>
      </c>
      <c r="S216" s="1" t="s">
        <v>314</v>
      </c>
      <c r="T216" t="s">
        <v>317</v>
      </c>
      <c r="U216" t="s">
        <v>318</v>
      </c>
      <c r="V216">
        <v>0</v>
      </c>
      <c r="W216">
        <v>0</v>
      </c>
      <c r="X216">
        <v>1</v>
      </c>
      <c r="Y216">
        <v>0</v>
      </c>
      <c r="Z216">
        <v>0</v>
      </c>
      <c r="AA216">
        <v>0</v>
      </c>
      <c r="AB216">
        <v>0</v>
      </c>
      <c r="AC216">
        <v>0</v>
      </c>
      <c r="AD216">
        <v>0</v>
      </c>
      <c r="AE216">
        <v>0</v>
      </c>
      <c r="AF216">
        <v>0</v>
      </c>
      <c r="AG216">
        <v>0</v>
      </c>
      <c r="AH216">
        <v>0</v>
      </c>
      <c r="AI216">
        <v>2</v>
      </c>
      <c r="AJ216">
        <v>0</v>
      </c>
      <c r="AK216">
        <v>0</v>
      </c>
      <c r="AL216">
        <v>0</v>
      </c>
      <c r="AM216">
        <v>0</v>
      </c>
      <c r="AN216">
        <v>0</v>
      </c>
      <c r="AO216">
        <v>0</v>
      </c>
      <c r="AP216">
        <v>0</v>
      </c>
      <c r="AQ216">
        <v>0</v>
      </c>
      <c r="AR216">
        <v>0</v>
      </c>
      <c r="AS216">
        <v>0</v>
      </c>
      <c r="AT216">
        <v>0</v>
      </c>
      <c r="AU216">
        <v>0</v>
      </c>
      <c r="AV216">
        <v>0</v>
      </c>
      <c r="AW216">
        <v>0</v>
      </c>
      <c r="AX216" s="141">
        <f>COUNTIF(V216:AW216,"&lt;&gt;0")</f>
        <v>2</v>
      </c>
      <c r="AY216" s="141">
        <f>COUNTIF(V216:AL216,"&lt;&gt;0")</f>
        <v>2</v>
      </c>
      <c r="AZ216">
        <f>COUNTIF(V216:AC216,"&lt;&gt;0")</f>
        <v>1</v>
      </c>
      <c r="BA216">
        <f>COUNTIF(AD216:AI216,"&lt;&gt;0")</f>
        <v>1</v>
      </c>
      <c r="BB216">
        <f>COUNTIF(AJ216:AL216,"&lt;&gt;0")</f>
        <v>0</v>
      </c>
      <c r="BC216">
        <f>COUNTIF(AS216:AW216,"&lt;&gt;0")</f>
        <v>0</v>
      </c>
      <c r="BD216">
        <f>COUNTIF(AM216:AR216,"&lt;&gt;0")</f>
        <v>0</v>
      </c>
      <c r="BE216" t="str">
        <f t="array" ref="BE216">IF(AY216=1,INDEX($V$7:$AL$7,MATCH(TRUE,INDEX($V216:$AW216&lt;&gt;0,),0)),IF(AY216=0,INDEX($AM$7:$AW$7,MATCH(1,$AM216:$AW216,0)),IF(BF216="Multiple strategies","mixed drivers",IF(BF216="Supply chain","multiple supply","multiple silviculture"))))</f>
        <v>mixed drivers</v>
      </c>
      <c r="BF216" s="2" t="str" cm="1">
        <f t="array" ref="BF216">IF(COUNTIF(AZ216:BB216,"&lt;&gt;0")=1,INDEX($V$4:$AW$4,MATCH(TRUE,INDEX($V216:$AW216&lt;&gt;0,),0)),IF(COUNTIF(AZ216:BB216,"&lt;&gt;0")=0,INDEX($AM$4:$AW$4,MATCH(1,$AM216:$AW216,0)),"Multiple strategies"))</f>
        <v>Multiple strategies</v>
      </c>
      <c r="BG216" s="1" t="s">
        <v>229</v>
      </c>
      <c r="BH216" t="s">
        <v>277</v>
      </c>
      <c r="BI216" s="264" t="s">
        <v>3106</v>
      </c>
      <c r="BJ216" t="s">
        <v>278</v>
      </c>
      <c r="BK216">
        <v>227.87378039612278</v>
      </c>
      <c r="BL216">
        <v>328.05254177959995</v>
      </c>
      <c r="BM216">
        <f>BL216/BK216</f>
        <v>1.4396239058716283</v>
      </c>
      <c r="BN216">
        <f>BL216-BK216</f>
        <v>100.17876138347717</v>
      </c>
      <c r="BO216">
        <f>BN216*tC_to_m3</f>
        <v>434.99245064471199</v>
      </c>
      <c r="BP216" t="s">
        <v>232</v>
      </c>
      <c r="BQ216" s="303" t="s">
        <v>3107</v>
      </c>
      <c r="BR216" t="s">
        <v>279</v>
      </c>
      <c r="BS216">
        <v>185.53811788022131</v>
      </c>
      <c r="BT216">
        <v>-41.927947193381058</v>
      </c>
      <c r="BU216" s="144">
        <f>IFERROR(BT216/BS216,"")</f>
        <v>-0.22598023345503954</v>
      </c>
      <c r="BV216">
        <f>BT216-BS216</f>
        <v>-227.46606507360235</v>
      </c>
      <c r="BW216"/>
      <c r="BX216">
        <f>BV216</f>
        <v>-227.46606507360235</v>
      </c>
      <c r="BY216">
        <f>IFERROR(BX216/BO216,"")</f>
        <v>-0.52291956960740316</v>
      </c>
      <c r="BZ216">
        <v>0</v>
      </c>
      <c r="CA216">
        <v>0</v>
      </c>
      <c r="CB216">
        <v>0</v>
      </c>
      <c r="CC216">
        <v>0</v>
      </c>
      <c r="CD216">
        <v>0</v>
      </c>
      <c r="CE216">
        <v>0</v>
      </c>
      <c r="CF216">
        <v>0</v>
      </c>
      <c r="CG216">
        <v>0</v>
      </c>
      <c r="CH216">
        <v>0</v>
      </c>
      <c r="CI216">
        <v>0</v>
      </c>
      <c r="CJ216">
        <v>0</v>
      </c>
      <c r="CK216">
        <v>0</v>
      </c>
      <c r="CL216">
        <v>0</v>
      </c>
      <c r="CM216">
        <v>0</v>
      </c>
      <c r="CN216" t="str">
        <f>IF($BL216&lt;$BK216,"refNeedCorrection","refOK")</f>
        <v>refOK</v>
      </c>
      <c r="CO216">
        <f>IF($CN216="refOK",$BK216,$BL216)</f>
        <v>227.87378039612278</v>
      </c>
      <c r="CP216">
        <f>IF($CN216="refOK",$BL216,$BK216)</f>
        <v>328.05254177959995</v>
      </c>
      <c r="CQ216">
        <f>IF($CN216="refOK",$BO216,-$BO216)</f>
        <v>434.99245064471199</v>
      </c>
      <c r="CR216">
        <f>IF($CN216="refOK",$BS216,$BT216)*IF($BP216="Emissions positive",-1,1)</f>
        <v>185.53811788022131</v>
      </c>
      <c r="CS216">
        <f>IF($CN216="refOK",$BT216,$BS216)*IF($BP216="Emissions positive",-1,1)</f>
        <v>-41.927947193381058</v>
      </c>
      <c r="CT216">
        <f>IF($CN216="refNeedCorrection",-BX216,BX216)*IF($BP216="Emissions positive",-1,1)</f>
        <v>-227.46606507360235</v>
      </c>
      <c r="CU216">
        <f>IFERROR(CT216/CQ216,"")</f>
        <v>-0.52291956960740316</v>
      </c>
      <c r="CV216" s="2">
        <f>IFERROR((CS216-CR216)/ABS(CR216),"")</f>
        <v>-1.2259802334550394</v>
      </c>
      <c r="CW216" s="1" t="s">
        <v>234</v>
      </c>
      <c r="CX216" t="str">
        <f>IF(OR($CW216="prd",$CW216="std",$CW216="cit"),"loc",IF(OR($CW216="eur",$CW216="reg",$CW216="coy"),"reg",$CW216))</f>
        <v>loc</v>
      </c>
      <c r="CY216" t="s">
        <v>280</v>
      </c>
      <c r="CZ216"/>
      <c r="DA216"/>
      <c r="DB216">
        <v>100</v>
      </c>
      <c r="DC216" t="str">
        <f>IF(DB216=0,"0",IF(AND(DB216&gt;=1,DB216&lt;=30),"1-30",IF(AND(DB216&gt;30,DB216&lt;=70),"31-70",IF(AND(DB216&gt;70,DB216&lt;=100),"71-100",IF(DB216&gt;100,"+100")))))</f>
        <v>71-100</v>
      </c>
      <c r="DD216">
        <v>0</v>
      </c>
      <c r="DE216">
        <v>0</v>
      </c>
      <c r="DF216">
        <v>1</v>
      </c>
      <c r="DG216">
        <v>0</v>
      </c>
      <c r="DH216"/>
      <c r="DI216">
        <f>SUM(DD216:DG216)</f>
        <v>1</v>
      </c>
      <c r="DJ216" t="str">
        <f>IF(DI216=1,INDEX($DD$7:$DG$7,MATCH(1,$DD216:$DG216,0)),"mixedProduct")</f>
        <v>PulpPaperInput</v>
      </c>
      <c r="DK216">
        <f>IF(DD216=1,DK$7,0)</f>
        <v>0</v>
      </c>
      <c r="DL216">
        <f>IF(DE216=1,DL$7,0)</f>
        <v>0</v>
      </c>
      <c r="DM216" t="str">
        <f>IF(DF216=1,DM$7,0)</f>
        <v>Pulp/Paper</v>
      </c>
      <c r="DN216">
        <f>IF(DG216=1,DN$7,0)</f>
        <v>0</v>
      </c>
      <c r="DO216">
        <v>0</v>
      </c>
      <c r="DP216">
        <v>1</v>
      </c>
      <c r="DQ216">
        <v>0</v>
      </c>
      <c r="DR216" t="s">
        <v>281</v>
      </c>
      <c r="DS216">
        <v>0</v>
      </c>
      <c r="DT216">
        <f>SUM(DO216:DP216)</f>
        <v>1</v>
      </c>
      <c r="DU216" s="143" t="str">
        <f>IF(DO216=1,"self-calculated DF",IF(DP216=1,"external DF used","explicit C balance"))</f>
        <v>external DF used</v>
      </c>
      <c r="DV216">
        <v>0</v>
      </c>
      <c r="DW216">
        <v>1</v>
      </c>
      <c r="DX216">
        <v>1</v>
      </c>
      <c r="DY216">
        <v>1</v>
      </c>
      <c r="DZ216">
        <v>1</v>
      </c>
      <c r="EA216" s="143">
        <v>0</v>
      </c>
      <c r="EB216">
        <v>1</v>
      </c>
      <c r="EC216">
        <v>1</v>
      </c>
      <c r="ED216">
        <v>0</v>
      </c>
      <c r="EE216">
        <v>1</v>
      </c>
      <c r="EF216">
        <v>1</v>
      </c>
      <c r="EG216">
        <v>1</v>
      </c>
      <c r="EH216">
        <v>0</v>
      </c>
      <c r="EI216" s="2">
        <v>0</v>
      </c>
      <c r="EJ216" s="1"/>
      <c r="EK216" t="str">
        <f>IF(AND(AND(AND(OR($DX216=1,$DW216=1),OR($EC216=1,$EA216=1)),SUM($DV216:$DZ216,$EF216)&gt;=4),SUM($EA216:$EE216)&gt;=2),"Whole sector","")</f>
        <v>Whole sector</v>
      </c>
      <c r="EL216" t="str">
        <f>IF(AND(AND(OR($DX216=1,$DW216=1),AND($EC216=0,$EA216=0)),SUM($DV216:$DZ216,$EF216)&gt;=4),"Ecosystem approach","")</f>
        <v/>
      </c>
      <c r="EM216" s="2" t="str">
        <f>IF(AND(AND(AND($DX216=0,$DW216=0),OR($EC216=1,$EA216=1)),SUM($EB216:$EE216)&gt;=2),"Technology approach","")</f>
        <v/>
      </c>
      <c r="EN216"/>
      <c r="EO216"/>
      <c r="EP216" t="str">
        <f>IF(ISNUMBER(BU216),IF(ABS(BU216-[1]QC_indicators!$B$2)&gt;3*[1]QC_indicators!$C$2,"C ratio",IF(ISNUMBER(BY216),IF(ABS(BY216-[1]QC_indicators!$B$1)&gt;3*[1]QC_indicators!$C$1,"DF","no"))),IF(ISNUMBER(BY216),IF(ABS(BY216-[1]QC_indicators!$B$1)&gt;3*[1]QC_indicators!$C$1,"DF","no")))</f>
        <v>no</v>
      </c>
      <c r="EQ216" t="s">
        <v>286</v>
      </c>
      <c r="ER216"/>
      <c r="ES216"/>
      <c r="ET216" s="264" t="s">
        <v>3273</v>
      </c>
      <c r="EU216"/>
    </row>
    <row r="217" spans="1:151" s="139" customFormat="1" ht="15" customHeight="1">
      <c r="A217" s="1" t="s">
        <v>486</v>
      </c>
      <c r="B217" t="s">
        <v>487</v>
      </c>
      <c r="C217" t="s">
        <v>488</v>
      </c>
      <c r="D217" t="s">
        <v>489</v>
      </c>
      <c r="E217" t="s">
        <v>490</v>
      </c>
      <c r="F217" t="s">
        <v>491</v>
      </c>
      <c r="G217" t="s">
        <v>492</v>
      </c>
      <c r="H217" t="s">
        <v>254</v>
      </c>
      <c r="I217">
        <v>2019</v>
      </c>
      <c r="J217">
        <v>3</v>
      </c>
      <c r="K217" t="s">
        <v>493</v>
      </c>
      <c r="L217"/>
      <c r="M217" t="str">
        <f>LEFT($D217,FIND(",",$D217)-1)&amp;"_"&amp;I217&amp;L217</f>
        <v>Butarbutar_2019</v>
      </c>
      <c r="N217" t="s">
        <v>222</v>
      </c>
      <c r="O217" s="145" t="s">
        <v>223</v>
      </c>
      <c r="P217"/>
      <c r="Q217" s="264" t="s">
        <v>256</v>
      </c>
      <c r="R217" s="269" t="s">
        <v>1154</v>
      </c>
      <c r="S217" s="1" t="s">
        <v>500</v>
      </c>
      <c r="T217" t="s">
        <v>501</v>
      </c>
      <c r="U217" t="s">
        <v>502</v>
      </c>
      <c r="V217">
        <v>0</v>
      </c>
      <c r="W217">
        <v>0</v>
      </c>
      <c r="X217">
        <v>0</v>
      </c>
      <c r="Y217">
        <v>0</v>
      </c>
      <c r="Z217">
        <v>0</v>
      </c>
      <c r="AA217">
        <v>0</v>
      </c>
      <c r="AB217">
        <v>0</v>
      </c>
      <c r="AC217">
        <v>1</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s="141">
        <f>COUNTIF(V217:AW217,"&lt;&gt;0")</f>
        <v>1</v>
      </c>
      <c r="AY217" s="141">
        <f>COUNTIF(V217:AL217,"&lt;&gt;0")</f>
        <v>1</v>
      </c>
      <c r="AZ217">
        <f>COUNTIF(V217:AC217,"&lt;&gt;0")</f>
        <v>1</v>
      </c>
      <c r="BA217">
        <f>COUNTIF(AD217:AI217,"&lt;&gt;0")</f>
        <v>0</v>
      </c>
      <c r="BB217">
        <f>COUNTIF(AJ217:AL217,"&lt;&gt;0")</f>
        <v>0</v>
      </c>
      <c r="BC217">
        <f>COUNTIF(AS217:AW217,"&lt;&gt;0")</f>
        <v>0</v>
      </c>
      <c r="BD217">
        <f>COUNTIF(AM217:AR217,"&lt;&gt;0")</f>
        <v>0</v>
      </c>
      <c r="BE217" t="str" cm="1">
        <f t="array" ref="BE217">IF(AY217=1,INDEX($V$7:$AL$7,MATCH(TRUE,INDEX($V217:$AW217&lt;&gt;0,),0)),IF(AY217=0,INDEX($AM$7:$AW$7,MATCH(1,$AM217:$AW217,0)),IF(BF217="Multiple strategies","mixed drivers",IF(BF217="Supply chain","multiple supply","multiple silviculture"))))</f>
        <v>site fertility</v>
      </c>
      <c r="BF217" s="2" t="str" cm="1">
        <f t="array" ref="BF217">IF(COUNTIF(AZ217:BB217,"&lt;&gt;0")=1,INDEX($V$4:$AW$4,MATCH(TRUE,INDEX($V217:$AW217&lt;&gt;0,),0)),IF(COUNTIF(AZ217:BB217,"&lt;&gt;0")=0,INDEX($AM$4:$AW$4,MATCH(1,$AM217:$AW217,0)),"Multiple strategies"))</f>
        <v>Silviculture for productivity</v>
      </c>
      <c r="BG217" s="1" t="s">
        <v>321</v>
      </c>
      <c r="BH217" t="s">
        <v>497</v>
      </c>
      <c r="BI217"/>
      <c r="BJ217" t="s">
        <v>498</v>
      </c>
      <c r="BK217">
        <v>165.50800000000001</v>
      </c>
      <c r="BL217">
        <v>236.78800000000001</v>
      </c>
      <c r="BM217"/>
      <c r="BN217">
        <f>BL217-BK217</f>
        <v>71.28</v>
      </c>
      <c r="BO217">
        <f>BL217-BK217</f>
        <v>71.28</v>
      </c>
      <c r="BP217" s="264" t="s">
        <v>232</v>
      </c>
      <c r="BQ217" s="301"/>
      <c r="BR217" t="s">
        <v>278</v>
      </c>
      <c r="BS217">
        <v>-55.46</v>
      </c>
      <c r="BT217">
        <v>-65.53</v>
      </c>
      <c r="BU217" s="144">
        <v>1.1815723043635051</v>
      </c>
      <c r="BV217">
        <v>-10.07</v>
      </c>
      <c r="BW217"/>
      <c r="BX217">
        <f>BV217*C_to_CO2</f>
        <v>-36.956899999999997</v>
      </c>
      <c r="BY217">
        <f>IFERROR(BX217/BO217,"")</f>
        <v>-0.51847502805836132</v>
      </c>
      <c r="BZ217" s="143">
        <v>0</v>
      </c>
      <c r="CA217" s="143">
        <v>0</v>
      </c>
      <c r="CB217" s="143">
        <v>0</v>
      </c>
      <c r="CC217" s="143">
        <v>0</v>
      </c>
      <c r="CD217" s="143">
        <v>0</v>
      </c>
      <c r="CE217" s="143">
        <v>0</v>
      </c>
      <c r="CF217" s="143">
        <v>0</v>
      </c>
      <c r="CG217" s="143">
        <v>0</v>
      </c>
      <c r="CH217" s="143">
        <v>0</v>
      </c>
      <c r="CI217" s="143">
        <v>0</v>
      </c>
      <c r="CJ217" s="143">
        <v>0</v>
      </c>
      <c r="CK217" s="143">
        <v>0</v>
      </c>
      <c r="CL217" s="143">
        <v>0</v>
      </c>
      <c r="CM217">
        <v>0</v>
      </c>
      <c r="CN217" t="str">
        <f>IF($BL217&lt;$BK217,"refNeedCorrection","refOK")</f>
        <v>refOK</v>
      </c>
      <c r="CO217">
        <f>IF($CN217="refOK",$BK217,$BL217)</f>
        <v>165.50800000000001</v>
      </c>
      <c r="CP217">
        <f>IF($CN217="refOK",$BL217,$BK217)</f>
        <v>236.78800000000001</v>
      </c>
      <c r="CQ217">
        <f>IF($CN217="refOK",$BO217,-$BO217)</f>
        <v>71.28</v>
      </c>
      <c r="CR217">
        <f>IF($CN217="refOK",$BS217,$BT217)*IF($BP217="Emissions positive",-1,1)</f>
        <v>-55.46</v>
      </c>
      <c r="CS217">
        <f>IF($CN217="refOK",$BT217,$BS217)*IF($BP217="Emissions positive",-1,1)</f>
        <v>-65.53</v>
      </c>
      <c r="CT217">
        <f>IF($CN217="refNeedCorrection",-BX217,BX217)*IF($BP217="Emissions positive",-1,1)</f>
        <v>-36.956899999999997</v>
      </c>
      <c r="CU217">
        <f>IFERROR(CT217/CQ217,"")</f>
        <v>-0.51847502805836132</v>
      </c>
      <c r="CV217" s="2">
        <f>IFERROR((CS217-CR217)/ABS(CR217),"")</f>
        <v>-0.18157230436350524</v>
      </c>
      <c r="CW217" s="1" t="s">
        <v>234</v>
      </c>
      <c r="CX217" s="264" t="str">
        <f>IF(OR($CW217="prd",$CW217="std",$CW217="cit"),"loc",IF(OR($CW217="eur",$CW217="reg",$CW217="coy"),"reg",$CW217))</f>
        <v>loc</v>
      </c>
      <c r="CY217" t="s">
        <v>280</v>
      </c>
      <c r="CZ217">
        <v>1985</v>
      </c>
      <c r="DA217">
        <v>2016</v>
      </c>
      <c r="DB217">
        <f>DA217-CZ217</f>
        <v>31</v>
      </c>
      <c r="DC217" t="str">
        <f>IF(DB217=0,"0",IF(AND(DB217&gt;=1,DB217&lt;=30),"1-30",IF(AND(DB217&gt;30,DB217&lt;=70),"31-70",IF(AND(DB217&gt;70,DB217&lt;=100),"71-100",IF(DB217&gt;100,"+100")))))</f>
        <v>31-70</v>
      </c>
      <c r="DD217">
        <v>1</v>
      </c>
      <c r="DE217">
        <v>0</v>
      </c>
      <c r="DF217">
        <v>0</v>
      </c>
      <c r="DG217">
        <v>0</v>
      </c>
      <c r="DH217"/>
      <c r="DI217">
        <f>SUM(DD217:DG217)</f>
        <v>1</v>
      </c>
      <c r="DJ217" t="str">
        <f>IF(DI217=1,INDEX($DD$7:$DG$7,MATCH(1,$DD217:$DG217,0)),"mixedProduct")</f>
        <v>UpstreamInput</v>
      </c>
      <c r="DK217" t="str">
        <f>IF(DD217=1,DK$7,0)</f>
        <v>Upstream</v>
      </c>
      <c r="DL217">
        <f>IF(DE217=1,DL$7,0)</f>
        <v>0</v>
      </c>
      <c r="DM217">
        <f>IF(DF217=1,DM$7,0)</f>
        <v>0</v>
      </c>
      <c r="DN217">
        <f>IF(DG217=1,DN$7,0)</f>
        <v>0</v>
      </c>
      <c r="DO217">
        <v>0</v>
      </c>
      <c r="DP217" s="143">
        <v>0</v>
      </c>
      <c r="DQ217" s="143">
        <v>0</v>
      </c>
      <c r="DR217" s="143">
        <v>0</v>
      </c>
      <c r="DS217">
        <v>0</v>
      </c>
      <c r="DT217">
        <f>SUM(DO217:DP217)</f>
        <v>0</v>
      </c>
      <c r="DU217" s="143" t="str">
        <f>IF(DO217=1,"self-calculated DF",IF(DP217=1,"external DF used","explicit C balance"))</f>
        <v>explicit C balance</v>
      </c>
      <c r="DV217">
        <v>1</v>
      </c>
      <c r="DW217" s="143">
        <v>1</v>
      </c>
      <c r="DX217" s="143">
        <v>1</v>
      </c>
      <c r="DY217" s="143">
        <v>0</v>
      </c>
      <c r="DZ217">
        <v>0</v>
      </c>
      <c r="EA217" s="141">
        <v>0</v>
      </c>
      <c r="EB217">
        <v>0</v>
      </c>
      <c r="EC217" s="143">
        <v>0</v>
      </c>
      <c r="ED217" s="143">
        <v>0</v>
      </c>
      <c r="EE217">
        <v>0</v>
      </c>
      <c r="EF217">
        <v>1</v>
      </c>
      <c r="EG217" s="143">
        <v>0</v>
      </c>
      <c r="EH217" s="143">
        <v>0</v>
      </c>
      <c r="EI217" s="2">
        <v>0</v>
      </c>
      <c r="EJ217" s="1"/>
      <c r="EK217" t="str">
        <f>IF(AND(AND(AND(OR($DX217=1,$DW217=1),OR($EC217=1,$EA217=1)),SUM($DV217:$DZ217,$EF217)&gt;=4),SUM($EA217:$EE217)&gt;=2),"Whole sector","")</f>
        <v/>
      </c>
      <c r="EL217" t="str">
        <f>IF(AND(AND(OR($DX217=1,$DW217=1),AND($EC217=0,$EA217=0)),SUM($DV217:$DZ217,$EF217)&gt;=4),"Ecosystem approach","")</f>
        <v>Ecosystem approach</v>
      </c>
      <c r="EM217" s="2" t="str">
        <f>IF(AND(AND(AND($DX217=0,$DW217=0),OR($EC217=1,$EA217=1)),SUM($EB217:$EE217)&gt;=2),"Technology approach","")</f>
        <v/>
      </c>
      <c r="EN217"/>
      <c r="EO217"/>
      <c r="EP217" t="str">
        <f>IF(ISNUMBER(BU217),IF(ABS(BU217-[3]QC_indicators!$B$2)&gt;3*[3]QC_indicators!$C$2,"C ratio",IF(ISNUMBER(BY217),IF(ABS(BY217-[3]QC_indicators!$B$1)&gt;3*[3]QC_indicators!$C$1,"DF","no"))),IF(ISNUMBER(BY217),IF(ABS(BY217-[3]QC_indicators!$B$1)&gt;3*[3]QC_indicators!$C$1,"DF","no")))</f>
        <v>no</v>
      </c>
      <c r="EQ217"/>
      <c r="ER217" s="294" t="s">
        <v>349</v>
      </c>
      <c r="ES217"/>
      <c r="ET217" s="264" t="s">
        <v>3407</v>
      </c>
      <c r="EU217"/>
    </row>
    <row r="218" spans="1:151" s="139" customFormat="1" ht="15" customHeight="1">
      <c r="A218" s="1" t="s">
        <v>1972</v>
      </c>
      <c r="B218" t="s">
        <v>2445</v>
      </c>
      <c r="C218" t="s">
        <v>2446</v>
      </c>
      <c r="D218" t="s">
        <v>2447</v>
      </c>
      <c r="E218" t="s">
        <v>2448</v>
      </c>
      <c r="F218" t="s">
        <v>2449</v>
      </c>
      <c r="G218" t="s">
        <v>1978</v>
      </c>
      <c r="H218" t="s">
        <v>254</v>
      </c>
      <c r="I218">
        <v>2018</v>
      </c>
      <c r="J218">
        <v>8</v>
      </c>
      <c r="K218" t="s">
        <v>2450</v>
      </c>
      <c r="L218"/>
      <c r="M218" t="str">
        <f>LEFT($D218,FIND(",",$D218)-1)&amp;"_"&amp;I218&amp;L218</f>
        <v>Valade_2018</v>
      </c>
      <c r="N218" t="s">
        <v>222</v>
      </c>
      <c r="O218" s="145" t="s">
        <v>1154</v>
      </c>
      <c r="P218"/>
      <c r="Q218" t="s">
        <v>256</v>
      </c>
      <c r="R218" s="255" t="s">
        <v>225</v>
      </c>
      <c r="S218" s="1" t="s">
        <v>2451</v>
      </c>
      <c r="T218" t="s">
        <v>2444</v>
      </c>
      <c r="U218" t="s">
        <v>2452</v>
      </c>
      <c r="V218">
        <v>1</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s="141">
        <f>COUNTIF(V218:AW218,"&lt;&gt;0")</f>
        <v>1</v>
      </c>
      <c r="AY218" s="141">
        <f>COUNTIF(V218:AL218,"&lt;&gt;0")</f>
        <v>1</v>
      </c>
      <c r="AZ218">
        <f>COUNTIF(V218:AC218,"&lt;&gt;0")</f>
        <v>1</v>
      </c>
      <c r="BA218">
        <f>COUNTIF(AD218:AI218,"&lt;&gt;0")</f>
        <v>0</v>
      </c>
      <c r="BB218">
        <f>COUNTIF(AJ218:AL218,"&lt;&gt;0")</f>
        <v>0</v>
      </c>
      <c r="BC218">
        <f>COUNTIF(AS218:AW218,"&lt;&gt;0")</f>
        <v>0</v>
      </c>
      <c r="BD218">
        <f>COUNTIF(AM218:AR218,"&lt;&gt;0")</f>
        <v>0</v>
      </c>
      <c r="BE218" t="str">
        <f t="array" ref="BE218">IF(AY218=1,INDEX($V$7:$AL$7,MATCH(TRUE,INDEX($V218:$AW218&lt;&gt;0,),0)),IF(AY218=0,INDEX($AM$7:$AW$7,MATCH(1,$AM218:$AW218,0)),IF(BF218="Multiple strategies","mixed drivers",IF(BF218="Supply chain","multiple supply","multiple silviculture"))))</f>
        <v>area subject to harvest</v>
      </c>
      <c r="BF218" s="2" t="str" cm="1">
        <f t="array" ref="BF218">IF(COUNTIF(AZ218:BB218,"&lt;&gt;0")=1,INDEX($V$4:$AW$4,MATCH(TRUE,INDEX($V218:$AW218&lt;&gt;0,),0)),IF(COUNTIF(AZ218:BB218,"&lt;&gt;0")=0,INDEX($AM$4:$AW$4,MATCH(1,$AM218:$AW218,0)),"Multiple strategies"))</f>
        <v>Silviculture for removals</v>
      </c>
      <c r="BG218" s="1" t="s">
        <v>321</v>
      </c>
      <c r="BH218" t="s">
        <v>2453</v>
      </c>
      <c r="BI218" s="260" t="s">
        <v>3399</v>
      </c>
      <c r="BJ218" t="s">
        <v>1323</v>
      </c>
      <c r="BK218">
        <v>1168.5023099755704</v>
      </c>
      <c r="BL218">
        <v>1547.3378240138293</v>
      </c>
      <c r="BM218" s="143">
        <f>BL218/BK218</f>
        <v>1.3242060463245291</v>
      </c>
      <c r="BN218">
        <f>BL218-BK218</f>
        <v>378.83551403825891</v>
      </c>
      <c r="BO218">
        <f>+BN218*1000000</f>
        <v>378835514.03825891</v>
      </c>
      <c r="BP218" t="s">
        <v>232</v>
      </c>
      <c r="BQ218" s="300" t="s">
        <v>3401</v>
      </c>
      <c r="BR218" t="s">
        <v>1359</v>
      </c>
      <c r="BS218">
        <v>391.990063159464</v>
      </c>
      <c r="BT218">
        <v>340.20373499999999</v>
      </c>
      <c r="BU218" s="144">
        <f>IFERROR(BT218/BS218,"")</f>
        <v>0.86788867110032586</v>
      </c>
      <c r="BV218" s="144">
        <f>BT218-BS218</f>
        <v>-51.786328159464006</v>
      </c>
      <c r="BW218" s="144"/>
      <c r="BX218">
        <f>BV218*10^6*C_to_CO2</f>
        <v>-190055824.3452329</v>
      </c>
      <c r="BY218">
        <f>IFERROR(BX218/BO218,"")</f>
        <v>-0.50168428593006464</v>
      </c>
      <c r="BZ218">
        <v>0</v>
      </c>
      <c r="CA218">
        <v>0</v>
      </c>
      <c r="CB218">
        <v>0</v>
      </c>
      <c r="CC218">
        <v>0</v>
      </c>
      <c r="CD218">
        <v>0</v>
      </c>
      <c r="CE218">
        <v>0</v>
      </c>
      <c r="CF218">
        <v>0</v>
      </c>
      <c r="CG218">
        <v>0</v>
      </c>
      <c r="CH218">
        <v>0</v>
      </c>
      <c r="CI218">
        <v>0</v>
      </c>
      <c r="CJ218">
        <v>0</v>
      </c>
      <c r="CK218">
        <v>0</v>
      </c>
      <c r="CL218">
        <v>0</v>
      </c>
      <c r="CM218">
        <v>0</v>
      </c>
      <c r="CN218" t="str">
        <f>IF($BL218&lt;$BK218,"refNeedCorrection","refOK")</f>
        <v>refOK</v>
      </c>
      <c r="CO218">
        <f>IF($CN218="refNeedCorrection",BL218,BK218)</f>
        <v>1168.5023099755704</v>
      </c>
      <c r="CP218">
        <f>IF($CN218="refNeedCorrection",BK218,BL218)</f>
        <v>1547.3378240138293</v>
      </c>
      <c r="CQ218">
        <f>IF($CN218="refOK",$BO218,-$BO218)</f>
        <v>378835514.03825891</v>
      </c>
      <c r="CR218">
        <f>IF($CN218="refOK",$BS218,$BT218)*IF($BP218="Emissions positive",-1,1)</f>
        <v>391.990063159464</v>
      </c>
      <c r="CS218">
        <f>IF($CN218="refOK",$BT218,$BS218)*IF($BP218="Emissions positive",-1,1)</f>
        <v>340.20373499999999</v>
      </c>
      <c r="CT218">
        <f>IF($CN218="refNeedCorrection",-BX218,BX218)*IF($BP218="Emissions positive",-1,1)</f>
        <v>-190055824.3452329</v>
      </c>
      <c r="CU218">
        <f>IFERROR(CT218/CQ218,"")</f>
        <v>-0.50168428593006464</v>
      </c>
      <c r="CV218" s="2">
        <f>IFERROR((CS218-CR218)/ABS(CR218),"")</f>
        <v>-0.1321113288996742</v>
      </c>
      <c r="CW218" s="1" t="s">
        <v>1203</v>
      </c>
      <c r="CX218" t="str">
        <f>IF(OR($CW218="prd",$CW218="std",$CW218="cit"),"loc",IF(OR($CW218="eur",$CW218="reg",$CW218="coy"),"reg",$CW218))</f>
        <v>reg</v>
      </c>
      <c r="CY218" t="s">
        <v>729</v>
      </c>
      <c r="CZ218">
        <v>2015</v>
      </c>
      <c r="DA218">
        <v>2040</v>
      </c>
      <c r="DB218">
        <f>DA218-CZ218</f>
        <v>25</v>
      </c>
      <c r="DC218" t="str">
        <f>IF(DB218=0,"0",IF(AND(DB218&gt;=1,DB218&lt;=30),"1-30",IF(AND(DB218&gt;30,DB218&lt;=70),"31-70",IF(AND(DB218&gt;70,DB218&lt;=100),"71-100",IF(DB218&gt;100,"+100")))))</f>
        <v>1-30</v>
      </c>
      <c r="DD218">
        <v>1</v>
      </c>
      <c r="DE218">
        <v>1</v>
      </c>
      <c r="DF218">
        <v>1</v>
      </c>
      <c r="DG218">
        <v>1</v>
      </c>
      <c r="DH218"/>
      <c r="DI218">
        <f>SUM(DD218:DG218)</f>
        <v>4</v>
      </c>
      <c r="DJ218" t="str">
        <f>IF(DI218=1,INDEX($DD$7:$DG$7,MATCH(1,$DD218:$DG218,0)),"mixedProduct")</f>
        <v>mixedProduct</v>
      </c>
      <c r="DK218" t="str">
        <f>IF(DD218=1,DK$7,0)</f>
        <v>Upstream</v>
      </c>
      <c r="DL218" t="str">
        <f>IF(DE218=1,DL$7,0)</f>
        <v>Energy</v>
      </c>
      <c r="DM218" t="str">
        <f>IF(DF218=1,DM$7,0)</f>
        <v>Pulp/Paper</v>
      </c>
      <c r="DN218" t="str">
        <f>IF(DG218=1,DN$7,0)</f>
        <v>Timber</v>
      </c>
      <c r="DO218">
        <v>0</v>
      </c>
      <c r="DP218">
        <v>1</v>
      </c>
      <c r="DQ218" t="s">
        <v>2460</v>
      </c>
      <c r="DR218" t="s">
        <v>2461</v>
      </c>
      <c r="DS218" t="s">
        <v>2461</v>
      </c>
      <c r="DT218">
        <f>SUM(DO218:DP218)</f>
        <v>1</v>
      </c>
      <c r="DU218" s="143" t="str">
        <f>IF(DO218=1,"self-calculated DF",IF(DP218=1,"external DF used","explicit C balance"))</f>
        <v>external DF used</v>
      </c>
      <c r="DV218">
        <v>0</v>
      </c>
      <c r="DW218">
        <v>1</v>
      </c>
      <c r="DX218">
        <v>1</v>
      </c>
      <c r="DY218">
        <v>1</v>
      </c>
      <c r="DZ218">
        <v>1</v>
      </c>
      <c r="EA218" s="143">
        <v>1</v>
      </c>
      <c r="EB218">
        <v>1</v>
      </c>
      <c r="EC218">
        <v>1</v>
      </c>
      <c r="ED218">
        <v>0</v>
      </c>
      <c r="EE218">
        <v>0</v>
      </c>
      <c r="EF218">
        <v>1</v>
      </c>
      <c r="EG218">
        <v>0</v>
      </c>
      <c r="EH218">
        <v>0</v>
      </c>
      <c r="EI218" s="2">
        <v>0</v>
      </c>
      <c r="EJ218" s="1"/>
      <c r="EK218" t="str">
        <f>IF(AND(AND(AND(OR($DX218=1,$DW218=1),OR($EC218=1,$EA218=1)),SUM($DV218:$DZ218,$EF218)&gt;=4),SUM($EA218:$EE218)&gt;=2),"Whole sector","")</f>
        <v>Whole sector</v>
      </c>
      <c r="EL218" t="str">
        <f>IF(AND(AND(OR($DX218=1,$DW218=1),AND($EC218=0,$EA218=0)),SUM($DV218:$DZ218,$EF218)&gt;=4),"Ecosystem approach","")</f>
        <v/>
      </c>
      <c r="EM218" s="2" t="str">
        <f>IF(AND(AND(AND($DX218=0,$DW218=0),OR($EC218=1,$EA218=1)),SUM($EB218:$EE218)&gt;=2),"Technology approach","")</f>
        <v/>
      </c>
      <c r="EN218"/>
      <c r="EO218"/>
      <c r="EP218" t="str">
        <f>IF(ISNUMBER(BU218),IF(ABS(BU218-[4]QC_indicators!$B$2)&gt;3*[4]QC_indicators!$C$2,"C ratio",IF(ISNUMBER(BY218),IF(ABS(BY218-[4]QC_indicators!$B$1)&gt;3*[4]QC_indicators!$C$1,"DF","no"))),IF(ISNUMBER(BY218),IF(ABS(BY218-[4]QC_indicators!$B$1)&gt;3*[4]QC_indicators!$C$1,"DF","no")))</f>
        <v>no</v>
      </c>
      <c r="EQ218" t="s">
        <v>2378</v>
      </c>
      <c r="ER218"/>
      <c r="ES218"/>
      <c r="ET218" s="264" t="s">
        <v>3273</v>
      </c>
      <c r="EU218"/>
    </row>
    <row r="219" spans="1:151" s="139" customFormat="1" ht="15" customHeight="1">
      <c r="A219" s="1" t="s">
        <v>1204</v>
      </c>
      <c r="B219" t="s">
        <v>1205</v>
      </c>
      <c r="C219" t="s">
        <v>1206</v>
      </c>
      <c r="D219" t="s">
        <v>1207</v>
      </c>
      <c r="E219" t="s">
        <v>1208</v>
      </c>
      <c r="F219" t="s">
        <v>1209</v>
      </c>
      <c r="G219" t="s">
        <v>1210</v>
      </c>
      <c r="H219"/>
      <c r="I219">
        <v>2006</v>
      </c>
      <c r="J219"/>
      <c r="K219" t="s">
        <v>1211</v>
      </c>
      <c r="L219"/>
      <c r="M219" t="str">
        <f>LEFT($D219,FIND(",",$D219)-1)&amp;"_"&amp;I219&amp;L219</f>
        <v>Backeus_2006</v>
      </c>
      <c r="N219" t="s">
        <v>222</v>
      </c>
      <c r="O219" s="140" t="s">
        <v>274</v>
      </c>
      <c r="P219"/>
      <c r="Q219" t="s">
        <v>224</v>
      </c>
      <c r="R219" s="255" t="s">
        <v>223</v>
      </c>
      <c r="S219" s="263" t="s">
        <v>3087</v>
      </c>
      <c r="T219" t="s">
        <v>1218</v>
      </c>
      <c r="U219" t="s">
        <v>1213</v>
      </c>
      <c r="V219">
        <v>0</v>
      </c>
      <c r="W219">
        <v>0</v>
      </c>
      <c r="X219">
        <v>0</v>
      </c>
      <c r="Y219">
        <v>1</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1</v>
      </c>
      <c r="AW219">
        <v>0</v>
      </c>
      <c r="AX219" s="141">
        <f>COUNTIF(V219:AW219,"&lt;&gt;0")</f>
        <v>2</v>
      </c>
      <c r="AY219" s="141">
        <f>COUNTIF(V219:AL219,"&lt;&gt;0")</f>
        <v>1</v>
      </c>
      <c r="AZ219">
        <f>COUNTIF(V219:AC219,"&lt;&gt;0")</f>
        <v>1</v>
      </c>
      <c r="BA219">
        <f>COUNTIF(AD219:AI219,"&lt;&gt;0")</f>
        <v>0</v>
      </c>
      <c r="BB219">
        <f>COUNTIF(AJ219:AL219,"&lt;&gt;0")</f>
        <v>0</v>
      </c>
      <c r="BC219">
        <f>COUNTIF(AS219:AW219,"&lt;&gt;0")</f>
        <v>1</v>
      </c>
      <c r="BD219">
        <f>COUNTIF(AM219:AR219,"&lt;&gt;0")</f>
        <v>0</v>
      </c>
      <c r="BE219" t="str">
        <f t="array" ref="BE219">IF(AY219=1,INDEX($V$7:$AL$7,MATCH(TRUE,INDEX($V219:$AW219&lt;&gt;0,),0)),IF(AY219=0,INDEX($AM$7:$AW$7,MATCH(1,$AM219:$AW219,0)),IF(BF219="Multiple strategies","mixed drivers",IF(BF219="Supply chain","multiple supply","multiple silviculture"))))</f>
        <v xml:space="preserve">cutting intensity </v>
      </c>
      <c r="BF219" s="2" t="str" cm="1">
        <f t="array" ref="BF219">IF(COUNTIF(AZ219:BB219,"&lt;&gt;0")=1,INDEX($V$4:$AW$4,MATCH(TRUE,INDEX($V219:$AW219&lt;&gt;0,),0)),IF(COUNTIF(AZ219:BB219,"&lt;&gt;0")=0,INDEX($AM$4:$AW$4,MATCH(1,$AM219:$AW219,0)),"Multiple strategies"))</f>
        <v>Silviculture for removals</v>
      </c>
      <c r="BG219" s="1" t="s">
        <v>229</v>
      </c>
      <c r="BH219" t="s">
        <v>229</v>
      </c>
      <c r="BI219" s="264" t="s">
        <v>701</v>
      </c>
      <c r="BJ219" t="s">
        <v>1214</v>
      </c>
      <c r="BK219">
        <v>1.8154092996757019</v>
      </c>
      <c r="BL219">
        <v>5.6162990524021872</v>
      </c>
      <c r="BM219">
        <f>BL219/BK219</f>
        <v>3.0936819886322398</v>
      </c>
      <c r="BN219">
        <f>BL219-BK219</f>
        <v>3.8008897527264853</v>
      </c>
      <c r="BO219" s="143">
        <f>BN219*10^6</f>
        <v>3800889.7527264855</v>
      </c>
      <c r="BP219" s="143" t="s">
        <v>232</v>
      </c>
      <c r="BQ219" s="311" t="s">
        <v>787</v>
      </c>
      <c r="BR219" s="152" t="s">
        <v>1215</v>
      </c>
      <c r="BS219" s="152">
        <v>1.98823529411764</v>
      </c>
      <c r="BT219" s="152">
        <v>1.47058823529411</v>
      </c>
      <c r="BU219" s="144">
        <f>IFERROR(BT219/BS219,"")</f>
        <v>0.73964497041419996</v>
      </c>
      <c r="BV219">
        <f>BT219-BS219</f>
        <v>-0.51764705882353002</v>
      </c>
      <c r="BW219"/>
      <c r="BX219">
        <f>BV219*10^6*C_to_CO2</f>
        <v>-1899764.7058823551</v>
      </c>
      <c r="BY219">
        <f>IFERROR(BX219/BO219,"")</f>
        <v>-0.49982104966859414</v>
      </c>
      <c r="BZ219">
        <v>0</v>
      </c>
      <c r="CA219">
        <v>0</v>
      </c>
      <c r="CB219">
        <v>0</v>
      </c>
      <c r="CC219">
        <v>0</v>
      </c>
      <c r="CD219">
        <v>0</v>
      </c>
      <c r="CE219">
        <v>0</v>
      </c>
      <c r="CF219">
        <v>0</v>
      </c>
      <c r="CG219">
        <v>0</v>
      </c>
      <c r="CH219">
        <v>0</v>
      </c>
      <c r="CI219">
        <v>0</v>
      </c>
      <c r="CJ219">
        <v>0</v>
      </c>
      <c r="CK219">
        <v>0</v>
      </c>
      <c r="CL219">
        <v>0</v>
      </c>
      <c r="CM219">
        <v>0</v>
      </c>
      <c r="CN219" t="str">
        <f>IF($BL219&lt;$BK219,"refNeedCorrection","refOK")</f>
        <v>refOK</v>
      </c>
      <c r="CO219">
        <f>IF($CN219="refOK",$BK219,$BL219)</f>
        <v>1.8154092996757019</v>
      </c>
      <c r="CP219">
        <f>IF($CN219="refOK",$BL219,$BK219)</f>
        <v>5.6162990524021872</v>
      </c>
      <c r="CQ219">
        <f>IF($CN219="refOK",$BO219,-$BO219)</f>
        <v>3800889.7527264855</v>
      </c>
      <c r="CR219">
        <f>IF($CN219="refOK",$BS219,$BT219)*IF($BP219="Emissions positive",-1,1)</f>
        <v>1.98823529411764</v>
      </c>
      <c r="CS219">
        <f>IF($CN219="refOK",$BT219,$BS219)*IF($BP219="Emissions positive",-1,1)</f>
        <v>1.47058823529411</v>
      </c>
      <c r="CT219">
        <f>IF($CN219="refNeedCorrection",-BX219,BX219)*IF($BP219="Emissions positive",-1,1)</f>
        <v>-1899764.7058823551</v>
      </c>
      <c r="CU219">
        <f>IFERROR(CT219/CQ219,"")</f>
        <v>-0.49982104966859414</v>
      </c>
      <c r="CV219" s="2">
        <f>IFERROR((CS219-CR219)/ABS(CR219),"")</f>
        <v>-0.26035502958580004</v>
      </c>
      <c r="CW219" s="1" t="s">
        <v>1199</v>
      </c>
      <c r="CX219" t="str">
        <f>IF(OR($CW219="prd",$CW219="std",$CW219="cit"),"loc",IF(OR($CW219="eur",$CW219="reg",$CW219="coy"),"reg",$CW219))</f>
        <v>reg</v>
      </c>
      <c r="CY219" t="s">
        <v>444</v>
      </c>
      <c r="CZ219"/>
      <c r="DA219"/>
      <c r="DB219">
        <v>100</v>
      </c>
      <c r="DC219" t="str">
        <f>IF(DB219=0,"0",IF(AND(DB219&gt;=1,DB219&lt;=30),"1-30",IF(AND(DB219&gt;30,DB219&lt;=70),"31-70",IF(AND(DB219&gt;70,DB219&lt;=100),"71-100",IF(DB219&gt;100,"+100")))))</f>
        <v>71-100</v>
      </c>
      <c r="DD219">
        <v>0</v>
      </c>
      <c r="DE219">
        <v>1</v>
      </c>
      <c r="DF219">
        <v>1</v>
      </c>
      <c r="DG219">
        <v>1</v>
      </c>
      <c r="DH219"/>
      <c r="DI219">
        <f>SUM(DD219:DG219)</f>
        <v>3</v>
      </c>
      <c r="DJ219" t="str">
        <f>IF(DI219=1,INDEX($DD$7:$DG$7,MATCH(1,$DD219:$DG219,0)),"mixedProduct")</f>
        <v>mixedProduct</v>
      </c>
      <c r="DK219">
        <f>IF(DD219=1,DK$7,0)</f>
        <v>0</v>
      </c>
      <c r="DL219" t="str">
        <f>IF(DE219=1,DL$7,0)</f>
        <v>Energy</v>
      </c>
      <c r="DM219" t="str">
        <f>IF(DF219=1,DM$7,0)</f>
        <v>Pulp/Paper</v>
      </c>
      <c r="DN219" t="str">
        <f>IF(DG219=1,DN$7,0)</f>
        <v>Timber</v>
      </c>
      <c r="DO219">
        <v>0</v>
      </c>
      <c r="DP219">
        <v>0</v>
      </c>
      <c r="DQ219">
        <v>0</v>
      </c>
      <c r="DR219">
        <v>0</v>
      </c>
      <c r="DS219">
        <v>0</v>
      </c>
      <c r="DT219">
        <f>SUM(DO219:DP219)</f>
        <v>0</v>
      </c>
      <c r="DU219" s="143" t="str">
        <f>IF(DO219=1,"self-calculated DF",IF(DP219=1,"external DF used","explicit C balance"))</f>
        <v>explicit C balance</v>
      </c>
      <c r="DV219">
        <v>0</v>
      </c>
      <c r="DW219">
        <v>1</v>
      </c>
      <c r="DX219">
        <v>1</v>
      </c>
      <c r="DY219">
        <v>0</v>
      </c>
      <c r="DZ219">
        <v>0</v>
      </c>
      <c r="EA219" s="143">
        <v>0</v>
      </c>
      <c r="EB219">
        <v>0</v>
      </c>
      <c r="EC219">
        <v>0</v>
      </c>
      <c r="ED219">
        <v>0</v>
      </c>
      <c r="EE219">
        <v>0</v>
      </c>
      <c r="EF219">
        <v>1</v>
      </c>
      <c r="EG219">
        <v>1</v>
      </c>
      <c r="EH219">
        <v>0</v>
      </c>
      <c r="EI219" s="2">
        <v>0</v>
      </c>
      <c r="EJ219" s="1"/>
      <c r="EK219" t="str">
        <f>IF(AND(AND(AND(OR($DX219=1,$DW219=1),OR($EC219=1,$EA219=1)),SUM($DV219:$DZ219,$EF219)&gt;=4),SUM($EA219:$EE219)&gt;=2),"Whole sector","")</f>
        <v/>
      </c>
      <c r="EL219" t="str">
        <f>IF(AND(AND(OR($DX219=1,$DW219=1),AND($EC219=0,$EA219=0)),SUM($DV219:$DZ219,$EF219)&gt;=4),"Ecosystem approach","")</f>
        <v/>
      </c>
      <c r="EM219" s="2" t="str">
        <f>IF(AND(AND(AND($DX219=0,$DW219=0),OR($EC219=1,$EA219=1)),SUM($EB219:$EE219)&gt;=2),"Technology approach","")</f>
        <v/>
      </c>
      <c r="EN219"/>
      <c r="EO219"/>
      <c r="EP219" t="str">
        <f>IF(ISNUMBER(BU219),IF(ABS(BU219-[1]QC_indicators!$B$2)&gt;3*[1]QC_indicators!$C$2,"C ratio",IF(ISNUMBER(BY219),IF(ABS(BY219-[1]QC_indicators!$B$1)&gt;3*[1]QC_indicators!$C$1,"DF","no"))),IF(ISNUMBER(BY219),IF(ABS(BY219-[1]QC_indicators!$B$1)&gt;3*[1]QC_indicators!$C$1,"DF","no")))</f>
        <v>no</v>
      </c>
      <c r="EQ219" t="s">
        <v>286</v>
      </c>
      <c r="ER219"/>
      <c r="ES219"/>
      <c r="ET219" s="264" t="s">
        <v>3088</v>
      </c>
      <c r="EU219"/>
    </row>
    <row r="220" spans="1:151" s="139" customFormat="1" ht="15" customHeight="1">
      <c r="A220" s="174" t="s">
        <v>1286</v>
      </c>
      <c r="B220" s="141" t="s">
        <v>1287</v>
      </c>
      <c r="C220" s="141" t="s">
        <v>1288</v>
      </c>
      <c r="D220" s="141" t="s">
        <v>1289</v>
      </c>
      <c r="E220" s="141" t="s">
        <v>1290</v>
      </c>
      <c r="F220" s="141" t="s">
        <v>1291</v>
      </c>
      <c r="G220" s="141" t="s">
        <v>1292</v>
      </c>
      <c r="H220" s="141"/>
      <c r="I220" s="141">
        <v>2019</v>
      </c>
      <c r="J220" s="141"/>
      <c r="K220" s="141" t="s">
        <v>1293</v>
      </c>
      <c r="L220" s="141"/>
      <c r="M220" t="str">
        <f>LEFT($D220,FIND(",",$D220)-1)&amp;"_"&amp;I220&amp;L220</f>
        <v>Bosch_2019</v>
      </c>
      <c r="N220" t="s">
        <v>222</v>
      </c>
      <c r="O220" s="175" t="s">
        <v>225</v>
      </c>
      <c r="P220" s="141" t="s">
        <v>223</v>
      </c>
      <c r="Q220" s="264" t="s">
        <v>224</v>
      </c>
      <c r="R220" s="269" t="s">
        <v>1154</v>
      </c>
      <c r="S220" s="174" t="s">
        <v>1309</v>
      </c>
      <c r="T220" s="141" t="s">
        <v>1296</v>
      </c>
      <c r="U220" s="141" t="s">
        <v>1310</v>
      </c>
      <c r="V220" s="141">
        <v>0</v>
      </c>
      <c r="W220" s="141">
        <v>0</v>
      </c>
      <c r="X220" s="141">
        <v>1</v>
      </c>
      <c r="Y220" s="141">
        <v>0</v>
      </c>
      <c r="Z220" s="141">
        <v>0</v>
      </c>
      <c r="AA220" s="141">
        <v>0</v>
      </c>
      <c r="AB220" s="141">
        <v>0</v>
      </c>
      <c r="AC220" s="141">
        <v>0</v>
      </c>
      <c r="AD220" s="141">
        <v>0</v>
      </c>
      <c r="AE220" s="141">
        <v>0</v>
      </c>
      <c r="AF220" s="141">
        <v>0</v>
      </c>
      <c r="AG220" s="141">
        <v>0</v>
      </c>
      <c r="AH220" s="141">
        <v>0</v>
      </c>
      <c r="AI220" s="141">
        <v>0</v>
      </c>
      <c r="AJ220" s="141">
        <v>0</v>
      </c>
      <c r="AK220" s="141">
        <v>0</v>
      </c>
      <c r="AL220" s="141">
        <v>0</v>
      </c>
      <c r="AM220" s="141">
        <v>0</v>
      </c>
      <c r="AN220" s="141">
        <v>0</v>
      </c>
      <c r="AO220" s="141">
        <v>0</v>
      </c>
      <c r="AP220" s="141">
        <v>0</v>
      </c>
      <c r="AQ220" s="141">
        <v>0</v>
      </c>
      <c r="AR220" s="141">
        <v>0</v>
      </c>
      <c r="AS220" s="141">
        <v>0</v>
      </c>
      <c r="AT220" s="141">
        <v>0</v>
      </c>
      <c r="AU220" s="141">
        <v>0</v>
      </c>
      <c r="AV220" s="141">
        <v>0</v>
      </c>
      <c r="AW220" s="141">
        <v>0</v>
      </c>
      <c r="AX220" s="141">
        <f>COUNTIF(V220:AW220,"&lt;&gt;0")</f>
        <v>1</v>
      </c>
      <c r="AY220" s="141">
        <f>COUNTIF(V220:AL220,"&lt;&gt;0")</f>
        <v>1</v>
      </c>
      <c r="AZ220">
        <f>COUNTIF(V220:AC220,"&lt;&gt;0")</f>
        <v>1</v>
      </c>
      <c r="BA220">
        <f>COUNTIF(AD220:AI220,"&lt;&gt;0")</f>
        <v>0</v>
      </c>
      <c r="BB220">
        <f>COUNTIF(AJ220:AL220,"&lt;&gt;0")</f>
        <v>0</v>
      </c>
      <c r="BC220">
        <f>COUNTIF(AS220:AW220,"&lt;&gt;0")</f>
        <v>0</v>
      </c>
      <c r="BD220">
        <f>COUNTIF(AM220:AR220,"&lt;&gt;0")</f>
        <v>0</v>
      </c>
      <c r="BE220" t="str" cm="1">
        <f t="array" ref="BE220">IF(AY220=1,INDEX($V$7:$AL$7,MATCH(TRUE,INDEX($V220:$AW220&lt;&gt;0,),0)),IF(AY220=0,INDEX($AM$7:$AW$7,MATCH(1,$AM220:$AW220,0)),IF(BF220="Multiple strategies","mixed drivers",IF(BF220="Supply chain","multiple supply","multiple silviculture"))))</f>
        <v>rotation length</v>
      </c>
      <c r="BF220" s="2" t="str" cm="1">
        <f t="array" ref="BF220">IF(COUNTIF(AZ220:BB220,"&lt;&gt;0")=1,INDEX($V$4:$AW$4,MATCH(TRUE,INDEX($V220:$AW220&lt;&gt;0,),0)),IF(COUNTIF(AZ220:BB220,"&lt;&gt;0")=0,INDEX($AM$4:$AW$4,MATCH(1,$AM220:$AW220,0)),"Multiple strategies"))</f>
        <v>Silviculture for removals</v>
      </c>
      <c r="BG220" s="173" t="s">
        <v>321</v>
      </c>
      <c r="BH220" s="141" t="s">
        <v>1297</v>
      </c>
      <c r="BI220" s="141" t="s">
        <v>1298</v>
      </c>
      <c r="BJ220" s="163" t="s">
        <v>1299</v>
      </c>
      <c r="BK220" s="163">
        <v>2405</v>
      </c>
      <c r="BL220" s="176">
        <v>2642</v>
      </c>
      <c r="BM220" s="264">
        <f>BL220/BK220</f>
        <v>1.0985446985446985</v>
      </c>
      <c r="BN220">
        <f>BL220-BK220</f>
        <v>237</v>
      </c>
      <c r="BO220" s="158">
        <f>BN220*10^6</f>
        <v>237000000</v>
      </c>
      <c r="BP220" s="264" t="s">
        <v>395</v>
      </c>
      <c r="BQ220" s="301" t="s">
        <v>426</v>
      </c>
      <c r="BR220" s="151" t="s">
        <v>1300</v>
      </c>
      <c r="BS220" s="141"/>
      <c r="BT220" s="163"/>
      <c r="BU220" s="144" t="str">
        <f>IFERROR(BT220/BS220,"")</f>
        <v/>
      </c>
      <c r="BV220" s="176">
        <v>116.5</v>
      </c>
      <c r="BW220"/>
      <c r="BX220">
        <f>BV220*10^6</f>
        <v>116500000</v>
      </c>
      <c r="BY220">
        <f>IFERROR(BX220/BO220,"")</f>
        <v>0.49156118143459915</v>
      </c>
      <c r="BZ220" s="141">
        <v>0</v>
      </c>
      <c r="CA220" s="141">
        <v>0</v>
      </c>
      <c r="CB220" s="141">
        <v>0</v>
      </c>
      <c r="CC220" s="141">
        <v>0</v>
      </c>
      <c r="CD220" s="141">
        <v>0</v>
      </c>
      <c r="CE220" s="141">
        <v>0</v>
      </c>
      <c r="CF220" s="141">
        <v>0</v>
      </c>
      <c r="CG220" s="141">
        <v>0</v>
      </c>
      <c r="CH220" s="141">
        <v>0</v>
      </c>
      <c r="CI220" s="141">
        <v>0</v>
      </c>
      <c r="CJ220" s="141">
        <v>0</v>
      </c>
      <c r="CK220" s="141">
        <v>0</v>
      </c>
      <c r="CL220" s="141">
        <v>0</v>
      </c>
      <c r="CM220" s="141">
        <v>1</v>
      </c>
      <c r="CN220" t="str">
        <f>IF(BL220&lt;BK220,"refNeedCorrection","refOK")</f>
        <v>refOK</v>
      </c>
      <c r="CO220">
        <f>IF($CN220="refOK",$BK220,$BL220)</f>
        <v>2405</v>
      </c>
      <c r="CP220">
        <f>IF($CN220="refOK",$BL220,$BK220)</f>
        <v>2642</v>
      </c>
      <c r="CQ220">
        <f>IF($CN220="refOK",$BO220,-$BO220)</f>
        <v>237000000</v>
      </c>
      <c r="CR220">
        <f>IF($CN220="refOK",$BS220,$BT220)*IF($BP220="Emissions positive",-1,1)</f>
        <v>0</v>
      </c>
      <c r="CS220">
        <f>IF($CN220="refOK",$BT220,$BS220)*IF($BP220="Emissions positive",-1,1)</f>
        <v>0</v>
      </c>
      <c r="CT220">
        <f>IF($CN220="refNeedCorrection",-BX220,BX220)*IF($BP220="Emissions positive",-1,1)</f>
        <v>-116500000</v>
      </c>
      <c r="CU220">
        <f>IFERROR(CT220/CQ220,"")</f>
        <v>-0.49156118143459915</v>
      </c>
      <c r="CV220" s="2" t="str">
        <f>IFERROR((CS220-CR220)/ABS(CR220),"")</f>
        <v/>
      </c>
      <c r="CW220" s="174" t="s">
        <v>1203</v>
      </c>
      <c r="CX220" s="264" t="str">
        <f>IF(OR($CW220="prd",$CW220="std",$CW220="cit"),"loc",IF(OR($CW220="eur",$CW220="reg",$CW220="coy"),"reg",$CW220))</f>
        <v>reg</v>
      </c>
      <c r="CY220" s="141" t="s">
        <v>1301</v>
      </c>
      <c r="CZ220" s="141">
        <v>2016</v>
      </c>
      <c r="DA220" s="163">
        <v>2046</v>
      </c>
      <c r="DB220" s="163">
        <v>30</v>
      </c>
      <c r="DC220" t="str">
        <f>IF(DB220=0,"0",IF(AND(DB220&gt;=1,DB220&lt;=30),"1-30",IF(AND(DB220&gt;30,DB220&lt;=70),"31-70",IF(AND(DB220&gt;70,DB220&lt;=100),"71-100",IF(DB220&gt;100,"+100")))))</f>
        <v>1-30</v>
      </c>
      <c r="DD220" s="141">
        <v>1</v>
      </c>
      <c r="DE220" s="141">
        <v>1</v>
      </c>
      <c r="DF220" s="141">
        <v>0</v>
      </c>
      <c r="DG220" s="141">
        <v>1</v>
      </c>
      <c r="DH220"/>
      <c r="DI220">
        <f>SUM(DD220:DG220)</f>
        <v>3</v>
      </c>
      <c r="DJ220" t="str">
        <f>IF(DI220=1,INDEX($DD$7:$DG$7,MATCH(1,$DD220:$DG220,0)),"mixedProduct")</f>
        <v>mixedProduct</v>
      </c>
      <c r="DK220" t="str">
        <f>IF(DD220=1,DK$7,0)</f>
        <v>Upstream</v>
      </c>
      <c r="DL220" t="str">
        <f>IF(DE220=1,DL$7,0)</f>
        <v>Energy</v>
      </c>
      <c r="DM220">
        <f>IF(DF220=1,DM$7,0)</f>
        <v>0</v>
      </c>
      <c r="DN220" t="str">
        <f>IF(DG220=1,DN$7,0)</f>
        <v>Timber</v>
      </c>
      <c r="DO220" s="163">
        <v>0</v>
      </c>
      <c r="DP220" s="141">
        <v>1</v>
      </c>
      <c r="DQ220" s="163" t="s">
        <v>1305</v>
      </c>
      <c r="DR220" s="163" t="s">
        <v>1306</v>
      </c>
      <c r="DS220" s="163">
        <v>0</v>
      </c>
      <c r="DT220">
        <f>SUM(DO220:DP220)</f>
        <v>1</v>
      </c>
      <c r="DU220" s="143" t="str">
        <f>IF(DO220=1,"self-calculated DF",IF(DP220=1,"external DF used","explicit C balance"))</f>
        <v>external DF used</v>
      </c>
      <c r="DV220" s="163">
        <v>1</v>
      </c>
      <c r="DW220" s="141">
        <v>1</v>
      </c>
      <c r="DX220" s="163">
        <v>1</v>
      </c>
      <c r="DY220" s="163">
        <v>1</v>
      </c>
      <c r="DZ220" s="141">
        <v>1</v>
      </c>
      <c r="EA220" s="141">
        <v>1</v>
      </c>
      <c r="EB220" s="143">
        <v>0</v>
      </c>
      <c r="EC220" s="141">
        <v>0</v>
      </c>
      <c r="ED220" s="143">
        <v>0</v>
      </c>
      <c r="EE220" s="143">
        <v>0</v>
      </c>
      <c r="EF220" s="141">
        <v>1</v>
      </c>
      <c r="EG220" s="163">
        <v>0</v>
      </c>
      <c r="EH220" s="141">
        <v>0</v>
      </c>
      <c r="EI220" s="177">
        <v>0</v>
      </c>
      <c r="EJ220" s="1"/>
      <c r="EK220" t="str">
        <f>IF(AND(AND(AND(OR($DX220=1,$DW220=1),OR($EC220=1,$EA220=1)),SUM($DV220:$DZ220,$EF220)&gt;=4),SUM($EA220:$EE220)&gt;=2),"Whole sector","")</f>
        <v/>
      </c>
      <c r="EL220" t="str">
        <f>IF(AND(AND(OR($DX220=1,$DW220=1),AND($EC220=0,$EA220=0)),SUM($DV220:$DZ220,$EF220)&gt;=4),"Ecosystem approach","")</f>
        <v/>
      </c>
      <c r="EM220" s="2" t="str">
        <f>IF(AND(AND(AND($DX220=0,$DW220=0),OR($EC220=1,$EA220=1)),SUM($EB220:$EE220)&gt;=2),"Technology approach","")</f>
        <v/>
      </c>
      <c r="EN220" s="141"/>
      <c r="EO220"/>
      <c r="EP220" t="str">
        <f>IF(ISNUMBER(BU220),IF(ABS(BU220-[3]QC_indicators!$B$2)&gt;3*[3]QC_indicators!$C$2,"C ratio",IF(ISNUMBER(BY220),IF(ABS(BY220-[3]QC_indicators!$B$1)&gt;3*[3]QC_indicators!$C$1,"DF","no"))),IF(ISNUMBER(BY220),IF(ABS(BY220-[3]QC_indicators!$B$1)&gt;3*[3]QC_indicators!$C$1,"DF","no")))</f>
        <v>no</v>
      </c>
      <c r="EQ220"/>
      <c r="ER220" s="294" t="s">
        <v>1302</v>
      </c>
      <c r="ES220"/>
      <c r="ET220" s="264" t="s">
        <v>3407</v>
      </c>
      <c r="EU220"/>
    </row>
    <row r="221" spans="1:151" s="139" customFormat="1" ht="15" customHeight="1">
      <c r="A221" s="1" t="s">
        <v>333</v>
      </c>
      <c r="B221" t="s">
        <v>1081</v>
      </c>
      <c r="C221" t="s">
        <v>1082</v>
      </c>
      <c r="D221" t="s">
        <v>1083</v>
      </c>
      <c r="E221" t="s">
        <v>1084</v>
      </c>
      <c r="F221" t="s">
        <v>1085</v>
      </c>
      <c r="G221" t="s">
        <v>339</v>
      </c>
      <c r="H221" t="s">
        <v>254</v>
      </c>
      <c r="I221">
        <v>2022</v>
      </c>
      <c r="J221">
        <v>3</v>
      </c>
      <c r="K221" t="s">
        <v>1086</v>
      </c>
      <c r="L221"/>
      <c r="M221" t="str">
        <f>LEFT($D221,FIND(",",$D221)-1)&amp;"_"&amp;I221&amp;L221</f>
        <v>Robati_2022</v>
      </c>
      <c r="N221" t="s">
        <v>222</v>
      </c>
      <c r="O221" s="264" t="s">
        <v>223</v>
      </c>
      <c r="P221"/>
      <c r="Q221" s="264" t="s">
        <v>389</v>
      </c>
      <c r="R221" s="269" t="s">
        <v>1154</v>
      </c>
      <c r="S221" s="263" t="s">
        <v>1101</v>
      </c>
      <c r="T221" s="264" t="s">
        <v>1096</v>
      </c>
      <c r="U221" s="264" t="s">
        <v>1089</v>
      </c>
      <c r="V221">
        <v>0</v>
      </c>
      <c r="W221">
        <v>0</v>
      </c>
      <c r="X221">
        <v>0</v>
      </c>
      <c r="Y221">
        <v>0</v>
      </c>
      <c r="Z221">
        <v>0</v>
      </c>
      <c r="AA221">
        <v>0</v>
      </c>
      <c r="AB221">
        <v>0</v>
      </c>
      <c r="AC221">
        <v>0</v>
      </c>
      <c r="AD221">
        <v>0</v>
      </c>
      <c r="AE221">
        <v>0</v>
      </c>
      <c r="AF221">
        <v>0</v>
      </c>
      <c r="AG221">
        <v>0</v>
      </c>
      <c r="AH221">
        <v>0</v>
      </c>
      <c r="AI221">
        <v>0</v>
      </c>
      <c r="AJ221">
        <v>0</v>
      </c>
      <c r="AK221">
        <v>1</v>
      </c>
      <c r="AL221">
        <v>0</v>
      </c>
      <c r="AM221">
        <v>0</v>
      </c>
      <c r="AN221">
        <v>0</v>
      </c>
      <c r="AO221">
        <v>0</v>
      </c>
      <c r="AP221">
        <v>0</v>
      </c>
      <c r="AQ221">
        <v>0</v>
      </c>
      <c r="AR221">
        <v>0</v>
      </c>
      <c r="AS221">
        <v>0</v>
      </c>
      <c r="AT221">
        <v>0</v>
      </c>
      <c r="AU221">
        <v>0</v>
      </c>
      <c r="AV221">
        <v>0</v>
      </c>
      <c r="AW221">
        <v>0</v>
      </c>
      <c r="AX221" s="141">
        <f>COUNTIF(V221:AW221,"&lt;&gt;0")</f>
        <v>1</v>
      </c>
      <c r="AY221" s="141">
        <f>COUNTIF(V221:AL221,"&lt;&gt;0")</f>
        <v>1</v>
      </c>
      <c r="AZ221">
        <f>COUNTIF(V221:AC221,"&lt;&gt;0")</f>
        <v>0</v>
      </c>
      <c r="BA221">
        <f>COUNTIF(AD221:AI221,"&lt;&gt;0")</f>
        <v>0</v>
      </c>
      <c r="BB221">
        <f>COUNTIF(AJ221:AL221,"&lt;&gt;0")</f>
        <v>1</v>
      </c>
      <c r="BC221">
        <f>COUNTIF(AS221:AW221,"&lt;&gt;0")</f>
        <v>0</v>
      </c>
      <c r="BD221">
        <f>COUNTIF(AM221:AR221,"&lt;&gt;0")</f>
        <v>0</v>
      </c>
      <c r="BE221" t="str" cm="1">
        <f t="array" ref="BE221">IF(AY221=1,INDEX($V$7:$AL$7,MATCH(TRUE,INDEX($V221:$AW221&lt;&gt;0,),0)),IF(AY221=0,INDEX($AM$7:$AW$7,MATCH(1,$AM221:$AW221,0)),IF(BF221="Multiple strategies","mixed drivers",IF(BF221="Supply chain","multiple supply","multiple silviculture"))))</f>
        <v>technologies/design switch</v>
      </c>
      <c r="BF221" s="2" t="str" cm="1">
        <f t="array" ref="BF221">IF(COUNTIF(AZ221:BB221,"&lt;&gt;0")=1,INDEX($V$4:$AW$4,MATCH(TRUE,INDEX($V221:$AW221&lt;&gt;0,),0)),IF(COUNTIF(AZ221:BB221,"&lt;&gt;0")=0,INDEX($AM$4:$AW$4,MATCH(1,$AM221:$AW221,0)),"Multiple strategies"))</f>
        <v>Technology</v>
      </c>
      <c r="BG221" s="1" t="s">
        <v>229</v>
      </c>
      <c r="BH221" s="264" t="s">
        <v>1090</v>
      </c>
      <c r="BI221" s="264" t="s">
        <v>716</v>
      </c>
      <c r="BJ221" s="264" t="s">
        <v>1091</v>
      </c>
      <c r="BK221">
        <f>(6.17+4901.94+10375.04)/43229</f>
        <v>0.35353929075389212</v>
      </c>
      <c r="BL221">
        <f>(6.17+4901.94+10375.04+8069.52+1195.9)/43229</f>
        <v>0.56787272432857583</v>
      </c>
      <c r="BM221"/>
      <c r="BN221">
        <f>BL221-BK221</f>
        <v>0.21433343357468371</v>
      </c>
      <c r="BO221">
        <f>BL221-BK221</f>
        <v>0.21433343357468371</v>
      </c>
      <c r="BP221" s="264" t="s">
        <v>395</v>
      </c>
      <c r="BQ221" s="301" t="s">
        <v>785</v>
      </c>
      <c r="BR221" s="264" t="s">
        <v>1092</v>
      </c>
      <c r="BS221">
        <v>-5.6</v>
      </c>
      <c r="BT221">
        <v>97.6</v>
      </c>
      <c r="BU221" s="144">
        <f>IFERROR(BT221/BS221,"")</f>
        <v>-17.428571428571427</v>
      </c>
      <c r="BV221">
        <f>BT221-BS221</f>
        <v>103.19999999999999</v>
      </c>
      <c r="BW221"/>
      <c r="BX221">
        <f>BV221/1000</f>
        <v>0.10319999999999999</v>
      </c>
      <c r="BY221">
        <f>IFERROR(BX221/BO221,"")</f>
        <v>0.48149277636631677</v>
      </c>
      <c r="BZ221">
        <v>0</v>
      </c>
      <c r="CA221">
        <v>0</v>
      </c>
      <c r="CB221">
        <v>0</v>
      </c>
      <c r="CC221">
        <v>0</v>
      </c>
      <c r="CD221">
        <v>0</v>
      </c>
      <c r="CE221">
        <v>0</v>
      </c>
      <c r="CF221">
        <v>0</v>
      </c>
      <c r="CG221">
        <v>0</v>
      </c>
      <c r="CH221">
        <v>0</v>
      </c>
      <c r="CI221">
        <v>0</v>
      </c>
      <c r="CJ221">
        <v>0</v>
      </c>
      <c r="CK221">
        <v>0</v>
      </c>
      <c r="CL221">
        <v>0</v>
      </c>
      <c r="CM221">
        <v>0</v>
      </c>
      <c r="CN221" t="str">
        <f>IF($BL221&lt;$BK221,"refNeedCorrection","refOK")</f>
        <v>refOK</v>
      </c>
      <c r="CO221">
        <f>IF($CN221="refOK",$BK221,$BL221)</f>
        <v>0.35353929075389212</v>
      </c>
      <c r="CP221">
        <f>IF($CN221="refOK",$BL221,$BK221)</f>
        <v>0.56787272432857583</v>
      </c>
      <c r="CQ221">
        <f>IF($CN221="refOK",$BO221,-$BO221)</f>
        <v>0.21433343357468371</v>
      </c>
      <c r="CR221">
        <f>IF($CN221="refOK",$BS221,$BT221)*IF($BP221="Emissions positive",-1,1)</f>
        <v>5.6</v>
      </c>
      <c r="CS221">
        <f>IF($CN221="refOK",$BT221,$BS221)*IF($BP221="Emissions positive",-1,1)</f>
        <v>-97.6</v>
      </c>
      <c r="CT221">
        <f>IF($CN221="refNeedCorrection",-BX221,BX221)*IF($BP221="Emissions positive",-1,1)</f>
        <v>-0.10319999999999999</v>
      </c>
      <c r="CU221">
        <f>IFERROR(CT221/CQ221,"")</f>
        <v>-0.48149277636631677</v>
      </c>
      <c r="CV221" s="2">
        <f>IFERROR((CS221-CR221)/ABS(CR221),"")</f>
        <v>-18.428571428571427</v>
      </c>
      <c r="CW221" s="263" t="s">
        <v>263</v>
      </c>
      <c r="CX221" s="264" t="str">
        <f>IF(OR($CW221="prd",$CW221="std",$CW221="cit"),"loc",IF(OR($CW221="eur",$CW221="reg",$CW221="coy"),"reg",$CW221))</f>
        <v>loc</v>
      </c>
      <c r="CY221" s="264" t="s">
        <v>574</v>
      </c>
      <c r="CZ221"/>
      <c r="DA221"/>
      <c r="DB221">
        <v>0</v>
      </c>
      <c r="DC221" t="str">
        <f>IF(DB221=0,"0",IF(AND(DB221&gt;=1,DB221&lt;=30),"1-30",IF(AND(DB221&gt;30,DB221&lt;=70),"31-70",IF(AND(DB221&gt;70,DB221&lt;=100),"71-100",IF(DB221&gt;100,"+100")))))</f>
        <v>0</v>
      </c>
      <c r="DD221">
        <v>0</v>
      </c>
      <c r="DE221">
        <v>0</v>
      </c>
      <c r="DF221">
        <v>0</v>
      </c>
      <c r="DG221">
        <v>1</v>
      </c>
      <c r="DH221">
        <v>0</v>
      </c>
      <c r="DI221">
        <f>SUM(DD221:DG221)</f>
        <v>1</v>
      </c>
      <c r="DJ221" t="str">
        <f>IF(DI221=1,INDEX($DD$7:$DG$7,MATCH(1,$DD221:$DG221,0)),"mixedProduct")</f>
        <v>TimberInput</v>
      </c>
      <c r="DK221">
        <f>IF(DD221=1,DK$7,0)</f>
        <v>0</v>
      </c>
      <c r="DL221">
        <f>IF(DE221=1,DL$7,0)</f>
        <v>0</v>
      </c>
      <c r="DM221">
        <f>IF(DF221=1,DM$7,0)</f>
        <v>0</v>
      </c>
      <c r="DN221" t="str">
        <f>IF(DG221=1,DN$7,0)</f>
        <v>Timber</v>
      </c>
      <c r="DO221">
        <v>0</v>
      </c>
      <c r="DP221">
        <v>0</v>
      </c>
      <c r="DQ221">
        <v>0</v>
      </c>
      <c r="DR221">
        <v>0</v>
      </c>
      <c r="DS221">
        <v>0</v>
      </c>
      <c r="DT221">
        <f>SUM(DO221:DP221)</f>
        <v>0</v>
      </c>
      <c r="DU221" s="143" t="str">
        <f>IF(DO221=1,"self-calculated DF",IF(DP221=1,"external DF used","explicit C balance"))</f>
        <v>explicit C balance</v>
      </c>
      <c r="DV221">
        <v>0</v>
      </c>
      <c r="DW221">
        <v>0</v>
      </c>
      <c r="DX221">
        <v>0</v>
      </c>
      <c r="DY221">
        <v>0</v>
      </c>
      <c r="DZ221">
        <v>1</v>
      </c>
      <c r="EA221">
        <v>0</v>
      </c>
      <c r="EB221">
        <v>0</v>
      </c>
      <c r="EC221">
        <v>0</v>
      </c>
      <c r="ED221">
        <v>0</v>
      </c>
      <c r="EE221">
        <v>1</v>
      </c>
      <c r="EF221">
        <v>0</v>
      </c>
      <c r="EG221">
        <v>0</v>
      </c>
      <c r="EH221">
        <v>0</v>
      </c>
      <c r="EI221" s="2">
        <v>0</v>
      </c>
      <c r="EJ221" s="1"/>
      <c r="EK221" t="str">
        <f>IF(AND(AND(AND(OR($DX221=1,$DW221=1),OR($EC221=1,$EA221=1)),SUM($DV221:$DZ221,$EF221)&gt;=4),SUM($EA221:$EE221)&gt;=2),"Whole sector","")</f>
        <v/>
      </c>
      <c r="EL221" t="str">
        <f>IF(AND(AND(OR($DX221=1,$DW221=1),AND($EC221=0,$EA221=0)),SUM($DV221:$DZ221,$EF221)&gt;=4),"Ecosystem approach","")</f>
        <v/>
      </c>
      <c r="EM221" s="2" t="str">
        <f>IF(AND(AND(AND($DX221=0,$DW221=0),OR($EC221=1,$EA221=1)),SUM($EB221:$EE221)&gt;=2),"Technology approach","")</f>
        <v/>
      </c>
      <c r="EN221"/>
      <c r="EO221"/>
      <c r="EP221" t="str">
        <f>IF(ISNUMBER(BU221),IF(ABS(BU221-[3]QC_indicators!$B$2)&gt;3*[3]QC_indicators!$C$2,"C ratio",IF(ISNUMBER(BY221),IF(ABS(BY221-[3]QC_indicators!$B$1)&gt;3*[3]QC_indicators!$C$1,"DF","no"))),IF(ISNUMBER(BY221),IF(ABS(BY221-[3]QC_indicators!$B$1)&gt;3*[3]QC_indicators!$C$1,"DF","no")))</f>
        <v>no</v>
      </c>
      <c r="EQ221"/>
      <c r="ER221"/>
      <c r="ES221"/>
      <c r="ET221" s="264" t="s">
        <v>3407</v>
      </c>
      <c r="EU221"/>
    </row>
    <row r="222" spans="1:151" s="139" customFormat="1" ht="15" customHeight="1">
      <c r="A222" s="1" t="s">
        <v>1204</v>
      </c>
      <c r="B222" t="s">
        <v>1205</v>
      </c>
      <c r="C222" t="s">
        <v>1206</v>
      </c>
      <c r="D222" t="s">
        <v>1207</v>
      </c>
      <c r="E222" t="s">
        <v>1208</v>
      </c>
      <c r="F222" t="s">
        <v>1209</v>
      </c>
      <c r="G222" t="s">
        <v>1210</v>
      </c>
      <c r="H222"/>
      <c r="I222">
        <v>2006</v>
      </c>
      <c r="J222"/>
      <c r="K222" t="s">
        <v>1211</v>
      </c>
      <c r="L222"/>
      <c r="M222" t="str">
        <f>LEFT($D222,FIND(",",$D222)-1)&amp;"_"&amp;I222&amp;L222</f>
        <v>Backeus_2006</v>
      </c>
      <c r="N222" t="s">
        <v>222</v>
      </c>
      <c r="O222" s="140" t="s">
        <v>274</v>
      </c>
      <c r="P222"/>
      <c r="Q222" t="s">
        <v>224</v>
      </c>
      <c r="R222" s="255" t="s">
        <v>223</v>
      </c>
      <c r="S222" s="263" t="s">
        <v>3087</v>
      </c>
      <c r="T222" t="s">
        <v>1218</v>
      </c>
      <c r="U222" t="s">
        <v>1213</v>
      </c>
      <c r="V222">
        <v>0</v>
      </c>
      <c r="W222">
        <v>0</v>
      </c>
      <c r="X222">
        <v>0</v>
      </c>
      <c r="Y222">
        <v>1</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1</v>
      </c>
      <c r="AW222">
        <v>0</v>
      </c>
      <c r="AX222" s="141">
        <f>COUNTIF(V222:AW222,"&lt;&gt;0")</f>
        <v>2</v>
      </c>
      <c r="AY222" s="141">
        <f>COUNTIF(V222:AL222,"&lt;&gt;0")</f>
        <v>1</v>
      </c>
      <c r="AZ222">
        <f>COUNTIF(V222:AC222,"&lt;&gt;0")</f>
        <v>1</v>
      </c>
      <c r="BA222">
        <f>COUNTIF(AD222:AI222,"&lt;&gt;0")</f>
        <v>0</v>
      </c>
      <c r="BB222">
        <f>COUNTIF(AJ222:AL222,"&lt;&gt;0")</f>
        <v>0</v>
      </c>
      <c r="BC222">
        <f>COUNTIF(AS222:AW222,"&lt;&gt;0")</f>
        <v>1</v>
      </c>
      <c r="BD222">
        <f>COUNTIF(AM222:AR222,"&lt;&gt;0")</f>
        <v>0</v>
      </c>
      <c r="BE222" t="str">
        <f t="array" ref="BE222">IF(AY222=1,INDEX($V$7:$AL$7,MATCH(TRUE,INDEX($V222:$AW222&lt;&gt;0,),0)),IF(AY222=0,INDEX($AM$7:$AW$7,MATCH(1,$AM222:$AW222,0)),IF(BF222="Multiple strategies","mixed drivers",IF(BF222="Supply chain","multiple supply","multiple silviculture"))))</f>
        <v xml:space="preserve">cutting intensity </v>
      </c>
      <c r="BF222" s="2" t="str" cm="1">
        <f t="array" ref="BF222">IF(COUNTIF(AZ222:BB222,"&lt;&gt;0")=1,INDEX($V$4:$AW$4,MATCH(TRUE,INDEX($V222:$AW222&lt;&gt;0,),0)),IF(COUNTIF(AZ222:BB222,"&lt;&gt;0")=0,INDEX($AM$4:$AW$4,MATCH(1,$AM222:$AW222,0)),"Multiple strategies"))</f>
        <v>Silviculture for removals</v>
      </c>
      <c r="BG222" s="1" t="s">
        <v>229</v>
      </c>
      <c r="BH222" t="s">
        <v>229</v>
      </c>
      <c r="BI222" s="264" t="s">
        <v>701</v>
      </c>
      <c r="BJ222" t="s">
        <v>1214</v>
      </c>
      <c r="BK222">
        <v>1.8154092996757019</v>
      </c>
      <c r="BL222">
        <v>5.6162990524021872</v>
      </c>
      <c r="BM222">
        <f>BL222/BK222</f>
        <v>3.0936819886322398</v>
      </c>
      <c r="BN222">
        <f>BL222-BK222</f>
        <v>3.8008897527264853</v>
      </c>
      <c r="BO222" s="143">
        <f>BN222*10^6</f>
        <v>3800889.7527264855</v>
      </c>
      <c r="BP222" s="143" t="s">
        <v>232</v>
      </c>
      <c r="BQ222" s="311" t="s">
        <v>787</v>
      </c>
      <c r="BR222" s="152" t="s">
        <v>1215</v>
      </c>
      <c r="BS222" s="152">
        <v>2.0289855072463769</v>
      </c>
      <c r="BT222" s="152">
        <v>1.5434782608695652</v>
      </c>
      <c r="BU222" s="144">
        <f>IFERROR(BT222/BS222,"")</f>
        <v>0.76071428571428568</v>
      </c>
      <c r="BV222">
        <f>BT222-BS222</f>
        <v>-0.48550724637681175</v>
      </c>
      <c r="BW222"/>
      <c r="BX222">
        <f>BV222*10^6*C_to_CO2</f>
        <v>-1781811.5942028991</v>
      </c>
      <c r="BY222">
        <f>IFERROR(BX222/BO222,"")</f>
        <v>-0.46878802336341258</v>
      </c>
      <c r="BZ222">
        <v>0</v>
      </c>
      <c r="CA222">
        <v>0</v>
      </c>
      <c r="CB222">
        <v>0</v>
      </c>
      <c r="CC222">
        <v>0</v>
      </c>
      <c r="CD222">
        <v>0</v>
      </c>
      <c r="CE222">
        <v>0</v>
      </c>
      <c r="CF222">
        <v>0</v>
      </c>
      <c r="CG222">
        <v>0</v>
      </c>
      <c r="CH222">
        <v>0</v>
      </c>
      <c r="CI222">
        <v>0</v>
      </c>
      <c r="CJ222">
        <v>0</v>
      </c>
      <c r="CK222">
        <v>0</v>
      </c>
      <c r="CL222">
        <v>0</v>
      </c>
      <c r="CM222">
        <v>0</v>
      </c>
      <c r="CN222" t="str">
        <f>IF($BL222&lt;$BK222,"refNeedCorrection","refOK")</f>
        <v>refOK</v>
      </c>
      <c r="CO222">
        <f>IF($CN222="refOK",$BK222,$BL222)</f>
        <v>1.8154092996757019</v>
      </c>
      <c r="CP222">
        <f>IF($CN222="refOK",$BL222,$BK222)</f>
        <v>5.6162990524021872</v>
      </c>
      <c r="CQ222">
        <f>IF($CN222="refOK",$BO222,-$BO222)</f>
        <v>3800889.7527264855</v>
      </c>
      <c r="CR222">
        <f>IF($CN222="refOK",$BS222,$BT222)*IF($BP222="Emissions positive",-1,1)</f>
        <v>2.0289855072463769</v>
      </c>
      <c r="CS222">
        <f>IF($CN222="refOK",$BT222,$BS222)*IF($BP222="Emissions positive",-1,1)</f>
        <v>1.5434782608695652</v>
      </c>
      <c r="CT222">
        <f>IF($CN222="refNeedCorrection",-BX222,BX222)*IF($BP222="Emissions positive",-1,1)</f>
        <v>-1781811.5942028991</v>
      </c>
      <c r="CU222">
        <f>IFERROR(CT222/CQ222,"")</f>
        <v>-0.46878802336341258</v>
      </c>
      <c r="CV222" s="2">
        <f>IFERROR((CS222-CR222)/ABS(CR222),"")</f>
        <v>-0.23928571428571435</v>
      </c>
      <c r="CW222" s="1" t="s">
        <v>1199</v>
      </c>
      <c r="CX222" t="str">
        <f>IF(OR($CW222="prd",$CW222="std",$CW222="cit"),"loc",IF(OR($CW222="eur",$CW222="reg",$CW222="coy"),"reg",$CW222))</f>
        <v>reg</v>
      </c>
      <c r="CY222" t="s">
        <v>444</v>
      </c>
      <c r="CZ222"/>
      <c r="DA222"/>
      <c r="DB222">
        <v>100</v>
      </c>
      <c r="DC222" t="str">
        <f>IF(DB222=0,"0",IF(AND(DB222&gt;=1,DB222&lt;=30),"1-30",IF(AND(DB222&gt;30,DB222&lt;=70),"31-70",IF(AND(DB222&gt;70,DB222&lt;=100),"71-100",IF(DB222&gt;100,"+100")))))</f>
        <v>71-100</v>
      </c>
      <c r="DD222">
        <v>0</v>
      </c>
      <c r="DE222">
        <v>1</v>
      </c>
      <c r="DF222">
        <v>1</v>
      </c>
      <c r="DG222">
        <v>1</v>
      </c>
      <c r="DH222"/>
      <c r="DI222">
        <f>SUM(DD222:DG222)</f>
        <v>3</v>
      </c>
      <c r="DJ222" t="str">
        <f>IF(DI222=1,INDEX($DD$7:$DG$7,MATCH(1,$DD222:$DG222,0)),"mixedProduct")</f>
        <v>mixedProduct</v>
      </c>
      <c r="DK222">
        <f>IF(DD222=1,DK$7,0)</f>
        <v>0</v>
      </c>
      <c r="DL222" t="str">
        <f>IF(DE222=1,DL$7,0)</f>
        <v>Energy</v>
      </c>
      <c r="DM222" t="str">
        <f>IF(DF222=1,DM$7,0)</f>
        <v>Pulp/Paper</v>
      </c>
      <c r="DN222" t="str">
        <f>IF(DG222=1,DN$7,0)</f>
        <v>Timber</v>
      </c>
      <c r="DO222">
        <v>1</v>
      </c>
      <c r="DP222">
        <v>0</v>
      </c>
      <c r="DQ222">
        <v>0</v>
      </c>
      <c r="DR222">
        <v>0</v>
      </c>
      <c r="DS222">
        <v>0</v>
      </c>
      <c r="DT222">
        <f>SUM(DO222:DP222)</f>
        <v>1</v>
      </c>
      <c r="DU222" s="143" t="str">
        <f>IF(DO222=1,"self-calculated DF",IF(DP222=1,"external DF used","explicit C balance"))</f>
        <v>self-calculated DF</v>
      </c>
      <c r="DV222">
        <v>0</v>
      </c>
      <c r="DW222">
        <v>1</v>
      </c>
      <c r="DX222">
        <v>1</v>
      </c>
      <c r="DY222">
        <v>0</v>
      </c>
      <c r="DZ222">
        <v>0</v>
      </c>
      <c r="EA222" s="143">
        <v>1</v>
      </c>
      <c r="EB222">
        <v>0</v>
      </c>
      <c r="EC222">
        <v>0</v>
      </c>
      <c r="ED222">
        <v>0</v>
      </c>
      <c r="EE222">
        <v>0</v>
      </c>
      <c r="EF222">
        <v>1</v>
      </c>
      <c r="EG222">
        <v>1</v>
      </c>
      <c r="EH222">
        <v>0</v>
      </c>
      <c r="EI222" s="2">
        <v>0</v>
      </c>
      <c r="EJ222" s="1"/>
      <c r="EK222" t="str">
        <f>IF(AND(AND(AND(OR($DX222=1,$DW222=1),OR($EC222=1,$EA222=1)),SUM($DV222:$DZ222,$EF222)&gt;=4),SUM($EA222:$EE222)&gt;=2),"Whole sector","")</f>
        <v/>
      </c>
      <c r="EL222" t="str">
        <f>IF(AND(AND(OR($DX222=1,$DW222=1),AND($EC222=0,$EA222=0)),SUM($DV222:$DZ222,$EF222)&gt;=4),"Ecosystem approach","")</f>
        <v/>
      </c>
      <c r="EM222" s="2" t="str">
        <f>IF(AND(AND(AND($DX222=0,$DW222=0),OR($EC222=1,$EA222=1)),SUM($EB222:$EE222)&gt;=2),"Technology approach","")</f>
        <v/>
      </c>
      <c r="EN222"/>
      <c r="EO222"/>
      <c r="EP222" t="str">
        <f>IF(ISNUMBER(BU222),IF(ABS(BU222-[1]QC_indicators!$B$2)&gt;3*[1]QC_indicators!$C$2,"C ratio",IF(ISNUMBER(BY222),IF(ABS(BY222-[1]QC_indicators!$B$1)&gt;3*[1]QC_indicators!$C$1,"DF","no"))),IF(ISNUMBER(BY222),IF(ABS(BY222-[1]QC_indicators!$B$1)&gt;3*[1]QC_indicators!$C$1,"DF","no")))</f>
        <v>no</v>
      </c>
      <c r="EQ222" t="s">
        <v>286</v>
      </c>
      <c r="ER222"/>
      <c r="ES222"/>
      <c r="ET222" s="264" t="s">
        <v>3088</v>
      </c>
      <c r="EU222"/>
    </row>
    <row r="223" spans="1:151" s="139" customFormat="1" ht="15" customHeight="1">
      <c r="A223" s="1" t="s">
        <v>1400</v>
      </c>
      <c r="B223" t="s">
        <v>1401</v>
      </c>
      <c r="C223" t="s">
        <v>1402</v>
      </c>
      <c r="D223" t="s">
        <v>1403</v>
      </c>
      <c r="E223" t="s">
        <v>1404</v>
      </c>
      <c r="F223" t="s">
        <v>1405</v>
      </c>
      <c r="G223" t="s">
        <v>1406</v>
      </c>
      <c r="H223" t="s">
        <v>254</v>
      </c>
      <c r="I223">
        <v>2021</v>
      </c>
      <c r="J223">
        <v>0</v>
      </c>
      <c r="K223" t="s">
        <v>1407</v>
      </c>
      <c r="L223"/>
      <c r="M223" t="str">
        <f>LEFT($D223,FIND(",",$D223)-1)&amp;"_"&amp;I223&amp;L223</f>
        <v>Dugan_2021</v>
      </c>
      <c r="N223" t="s">
        <v>222</v>
      </c>
      <c r="O223" s="145" t="s">
        <v>274</v>
      </c>
      <c r="P223"/>
      <c r="Q223" t="s">
        <v>256</v>
      </c>
      <c r="R223" s="255" t="s">
        <v>225</v>
      </c>
      <c r="S223" s="1" t="s">
        <v>314</v>
      </c>
      <c r="T223" t="s">
        <v>1111</v>
      </c>
      <c r="U223" t="s">
        <v>1414</v>
      </c>
      <c r="V223">
        <v>0</v>
      </c>
      <c r="W223">
        <v>0</v>
      </c>
      <c r="X223">
        <v>1</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s="141">
        <f>COUNTIF(V223:AW223,"&lt;&gt;0")</f>
        <v>1</v>
      </c>
      <c r="AY223" s="141">
        <f>COUNTIF(V223:AL223,"&lt;&gt;0")</f>
        <v>1</v>
      </c>
      <c r="AZ223">
        <f>COUNTIF(V223:AC223,"&lt;&gt;0")</f>
        <v>1</v>
      </c>
      <c r="BA223">
        <f>COUNTIF(AD223:AI223,"&lt;&gt;0")</f>
        <v>0</v>
      </c>
      <c r="BB223">
        <f>COUNTIF(AJ223:AL223,"&lt;&gt;0")</f>
        <v>0</v>
      </c>
      <c r="BC223">
        <f>COUNTIF(AS223:AW223,"&lt;&gt;0")</f>
        <v>0</v>
      </c>
      <c r="BD223">
        <f>COUNTIF(AM223:AR223,"&lt;&gt;0")</f>
        <v>0</v>
      </c>
      <c r="BE223" t="str">
        <f t="array" ref="BE223">IF(AY223=1,INDEX($V$7:$AL$7,MATCH(TRUE,INDEX($V223:$AW223&lt;&gt;0,),0)),IF(AY223=0,INDEX($AM$7:$AW$7,MATCH(1,$AM223:$AW223,0)),IF(BF223="Multiple strategies","mixed drivers",IF(BF223="Supply chain","multiple supply","multiple silviculture"))))</f>
        <v>rotation length</v>
      </c>
      <c r="BF223" s="2" t="str" cm="1">
        <f t="array" ref="BF223">IF(COUNTIF(AZ223:BB223,"&lt;&gt;0")=1,INDEX($V$4:$AW$4,MATCH(TRUE,INDEX($V223:$AW223&lt;&gt;0,),0)),IF(COUNTIF(AZ223:BB223,"&lt;&gt;0")=0,INDEX($AM$4:$AW$4,MATCH(1,$AM223:$AW223,0)),"Multiple strategies"))</f>
        <v>Silviculture for removals</v>
      </c>
      <c r="BG223" s="1" t="s">
        <v>321</v>
      </c>
      <c r="BH223" t="s">
        <v>1410</v>
      </c>
      <c r="BI223" s="260" t="s">
        <v>3318</v>
      </c>
      <c r="BJ223" t="s">
        <v>1359</v>
      </c>
      <c r="BK223" s="264">
        <v>14.61</v>
      </c>
      <c r="BL223">
        <f>BK223*1.1</f>
        <v>16.071000000000002</v>
      </c>
      <c r="BM223"/>
      <c r="BN223" s="227">
        <f>BL223-BK223</f>
        <v>1.4610000000000021</v>
      </c>
      <c r="BO223">
        <f>BN223*10^6*tC_to_m3</f>
        <v>6343899.2618324021</v>
      </c>
      <c r="BP223" t="s">
        <v>232</v>
      </c>
      <c r="BQ223" s="300" t="s">
        <v>3321</v>
      </c>
      <c r="BR223" t="s">
        <v>1300</v>
      </c>
      <c r="BS223" s="152"/>
      <c r="BT223" s="152"/>
      <c r="BU223" s="144"/>
      <c r="BV223" s="141">
        <v>-2.93861691668666</v>
      </c>
      <c r="BW223"/>
      <c r="BX223">
        <f>BV223*10^6</f>
        <v>-2938616.9166866601</v>
      </c>
      <c r="BY223">
        <f>IFERROR(BX223/BO223,"")</f>
        <v>-0.46321935380762275</v>
      </c>
      <c r="BZ223">
        <v>0</v>
      </c>
      <c r="CA223">
        <v>0</v>
      </c>
      <c r="CB223">
        <v>0</v>
      </c>
      <c r="CC223">
        <v>0</v>
      </c>
      <c r="CD223">
        <v>0</v>
      </c>
      <c r="CE223">
        <v>0</v>
      </c>
      <c r="CF223">
        <v>0</v>
      </c>
      <c r="CG223">
        <v>0</v>
      </c>
      <c r="CH223">
        <v>0</v>
      </c>
      <c r="CI223">
        <v>0</v>
      </c>
      <c r="CJ223">
        <v>0</v>
      </c>
      <c r="CK223">
        <v>0</v>
      </c>
      <c r="CL223">
        <v>0</v>
      </c>
      <c r="CM223">
        <v>0</v>
      </c>
      <c r="CN223" t="str">
        <f>IF(BL223&lt;BK223,"refNeedCorrection","refOK")</f>
        <v>refOK</v>
      </c>
      <c r="CO223"/>
      <c r="CP223"/>
      <c r="CQ223">
        <f>IF($CN223="refNeedCorrection",-BO223,BO223)</f>
        <v>6343899.2618324021</v>
      </c>
      <c r="CR223">
        <f>IF($CN223="refOK",$BS223,$BT223)*IF($BP223="Emissions positive",-1,1)</f>
        <v>0</v>
      </c>
      <c r="CS223">
        <f>IF($CN223="refOK",$BT223,$BS223)*IF($BP223="Emissions positive",-1,1)</f>
        <v>0</v>
      </c>
      <c r="CT223">
        <f>IF($CN223="refNeedCorrection",-BX223,BX223)*IF($BP223="Emissions positive",-1,1)</f>
        <v>-2938616.9166866601</v>
      </c>
      <c r="CU223">
        <f>IFERROR(CT223/CQ223,"")</f>
        <v>-0.46321935380762275</v>
      </c>
      <c r="CV223" s="2" t="str">
        <f>IFERROR((CS223-CR223)/ABS(CR223),"")</f>
        <v/>
      </c>
      <c r="CW223" s="1" t="s">
        <v>1199</v>
      </c>
      <c r="CX223" t="str">
        <f>IF(OR($CW223="prd",$CW223="std",$CW223="cit"),"loc",IF(OR($CW223="eur",$CW223="reg",$CW223="coy"),"reg",$CW223))</f>
        <v>reg</v>
      </c>
      <c r="CY223" t="s">
        <v>428</v>
      </c>
      <c r="CZ223">
        <v>2020</v>
      </c>
      <c r="DA223">
        <v>2050</v>
      </c>
      <c r="DB223">
        <v>30</v>
      </c>
      <c r="DC223" t="str">
        <f>IF(DB223=0,"0",IF(AND(DB223&gt;=1,DB223&lt;=30),"1-30",IF(AND(DB223&gt;30,DB223&lt;=70),"31-70",IF(AND(DB223&gt;70,DB223&lt;=100),"71-100",IF(DB223&gt;100,"+100")))))</f>
        <v>1-30</v>
      </c>
      <c r="DD223">
        <v>0</v>
      </c>
      <c r="DE223">
        <v>1</v>
      </c>
      <c r="DF223">
        <v>1</v>
      </c>
      <c r="DG223">
        <v>1</v>
      </c>
      <c r="DH223"/>
      <c r="DI223">
        <f>SUM(DD223:DG223)</f>
        <v>3</v>
      </c>
      <c r="DJ223" t="str">
        <f>IF(DI223=1,INDEX($DD$7:$DG$7,MATCH(1,$DD223:$DG223,0)),"mixedProduct")</f>
        <v>mixedProduct</v>
      </c>
      <c r="DK223">
        <f>IF(DD223=1,DK$7,0)</f>
        <v>0</v>
      </c>
      <c r="DL223" t="str">
        <f>IF(DE223=1,DL$7,0)</f>
        <v>Energy</v>
      </c>
      <c r="DM223" t="str">
        <f>IF(DF223=1,DM$7,0)</f>
        <v>Pulp/Paper</v>
      </c>
      <c r="DN223" t="str">
        <f>IF(DG223=1,DN$7,0)</f>
        <v>Timber</v>
      </c>
      <c r="DO223">
        <v>0</v>
      </c>
      <c r="DP223">
        <v>1</v>
      </c>
      <c r="DQ223" t="s">
        <v>1411</v>
      </c>
      <c r="DR223" t="s">
        <v>1412</v>
      </c>
      <c r="DS223">
        <v>0</v>
      </c>
      <c r="DT223">
        <f>SUM(DO223:DP223)</f>
        <v>1</v>
      </c>
      <c r="DU223" s="143" t="str">
        <f>IF(DO223=1,"self-calculated DF",IF(DP223=1,"external DF used","explicit C balance"))</f>
        <v>external DF used</v>
      </c>
      <c r="DV223">
        <v>1</v>
      </c>
      <c r="DW223">
        <v>1</v>
      </c>
      <c r="DX223">
        <v>1</v>
      </c>
      <c r="DY223">
        <v>0</v>
      </c>
      <c r="DZ223">
        <v>0</v>
      </c>
      <c r="EA223" s="143">
        <v>0</v>
      </c>
      <c r="EB223">
        <v>0</v>
      </c>
      <c r="EC223">
        <v>0</v>
      </c>
      <c r="ED223">
        <v>0</v>
      </c>
      <c r="EE223">
        <v>0</v>
      </c>
      <c r="EF223">
        <v>1</v>
      </c>
      <c r="EG223" s="143">
        <v>0</v>
      </c>
      <c r="EH223" s="143">
        <v>0</v>
      </c>
      <c r="EI223" s="2">
        <v>0</v>
      </c>
      <c r="EJ223" s="1"/>
      <c r="EK223" t="str">
        <f>IF(AND(AND(AND(OR($DX223=1,$DW223=1),OR($EC223=1,$EA223=1)),SUM($DV223:$DZ223,$EF223)&gt;=4),SUM($EA223:$EE223)&gt;=2),"Whole sector","")</f>
        <v/>
      </c>
      <c r="EL223" t="str">
        <f>IF(AND(AND(OR($DX223=1,$DW223=1),AND($EC223=0,$EA223=0)),SUM($DV223:$DZ223,$EF223)&gt;=4),"Ecosystem approach","")</f>
        <v>Ecosystem approach</v>
      </c>
      <c r="EM223" s="2" t="str">
        <f>IF(AND(AND(AND($DX223=0,$DW223=0),OR($EC223=1,$EA223=1)),SUM($EB223:$EE223)&gt;=2),"Technology approach","")</f>
        <v/>
      </c>
      <c r="EN223"/>
      <c r="EO223"/>
      <c r="EP223" t="str">
        <f>IF(ISNUMBER(BU223),IF(ABS(BU223-[4]QC_indicators!$B$2)&gt;3*[4]QC_indicators!$C$2,"C ratio",IF(ISNUMBER(BY223),IF(ABS(BY223-[4]QC_indicators!$B$1)&gt;3*[4]QC_indicators!$C$1,"DF","no"))),IF(ISNUMBER(BY223),IF(ABS(BY223-[4]QC_indicators!$B$1)&gt;3*[4]QC_indicators!$C$1,"DF","no")))</f>
        <v>no</v>
      </c>
      <c r="EQ223" t="s">
        <v>286</v>
      </c>
      <c r="ER223" s="149" t="s">
        <v>349</v>
      </c>
      <c r="ES223"/>
      <c r="ET223" s="264" t="s">
        <v>3273</v>
      </c>
      <c r="EU223"/>
    </row>
    <row r="224" spans="1:151" s="139" customFormat="1" ht="15" customHeight="1">
      <c r="A224" s="1" t="s">
        <v>265</v>
      </c>
      <c r="B224" t="s">
        <v>1531</v>
      </c>
      <c r="C224" t="s">
        <v>1532</v>
      </c>
      <c r="D224" t="s">
        <v>1533</v>
      </c>
      <c r="E224" t="s">
        <v>1534</v>
      </c>
      <c r="F224" t="s">
        <v>1535</v>
      </c>
      <c r="G224" t="s">
        <v>271</v>
      </c>
      <c r="H224" t="s">
        <v>254</v>
      </c>
      <c r="I224">
        <v>2019</v>
      </c>
      <c r="J224">
        <v>26</v>
      </c>
      <c r="K224" t="s">
        <v>1536</v>
      </c>
      <c r="L224"/>
      <c r="M224" t="str">
        <f>LEFT($D224,FIND(",",$D224)-1)&amp;"_"&amp;I224&amp;L224</f>
        <v>Faraca_2019</v>
      </c>
      <c r="N224" t="s">
        <v>222</v>
      </c>
      <c r="O224" s="145" t="s">
        <v>274</v>
      </c>
      <c r="P224" s="180" t="s">
        <v>223</v>
      </c>
      <c r="Q224" t="s">
        <v>256</v>
      </c>
      <c r="R224" s="262" t="s">
        <v>223</v>
      </c>
      <c r="S224" s="1" t="s">
        <v>1542</v>
      </c>
      <c r="T224" t="s">
        <v>1543</v>
      </c>
      <c r="U224" t="s">
        <v>1544</v>
      </c>
      <c r="V224">
        <v>0</v>
      </c>
      <c r="W224">
        <v>0</v>
      </c>
      <c r="X224">
        <v>0</v>
      </c>
      <c r="Y224">
        <v>0</v>
      </c>
      <c r="Z224">
        <v>0</v>
      </c>
      <c r="AA224">
        <v>0</v>
      </c>
      <c r="AB224">
        <v>0</v>
      </c>
      <c r="AC224">
        <v>0</v>
      </c>
      <c r="AD224">
        <v>0</v>
      </c>
      <c r="AE224">
        <v>0</v>
      </c>
      <c r="AF224">
        <v>0</v>
      </c>
      <c r="AG224">
        <v>0</v>
      </c>
      <c r="AH224">
        <v>0</v>
      </c>
      <c r="AI224">
        <v>1</v>
      </c>
      <c r="AJ224">
        <v>0</v>
      </c>
      <c r="AK224">
        <v>0</v>
      </c>
      <c r="AL224">
        <v>0</v>
      </c>
      <c r="AM224">
        <v>0</v>
      </c>
      <c r="AN224">
        <v>0</v>
      </c>
      <c r="AO224">
        <v>0</v>
      </c>
      <c r="AP224">
        <v>0</v>
      </c>
      <c r="AQ224">
        <v>0</v>
      </c>
      <c r="AR224">
        <v>0</v>
      </c>
      <c r="AS224">
        <v>0</v>
      </c>
      <c r="AT224">
        <v>0</v>
      </c>
      <c r="AU224">
        <v>0</v>
      </c>
      <c r="AV224">
        <v>0</v>
      </c>
      <c r="AW224">
        <v>0</v>
      </c>
      <c r="AX224" s="141">
        <f>COUNTIF(V224:AW224,"&lt;&gt;0")</f>
        <v>1</v>
      </c>
      <c r="AY224" s="141">
        <f>COUNTIF(V224:AL224,"&lt;&gt;0")</f>
        <v>1</v>
      </c>
      <c r="AZ224">
        <f>COUNTIF(V224:AC224,"&lt;&gt;0")</f>
        <v>0</v>
      </c>
      <c r="BA224">
        <f>COUNTIF(AD224:AI224,"&lt;&gt;0")</f>
        <v>1</v>
      </c>
      <c r="BB224">
        <f>COUNTIF(AJ224:AL224,"&lt;&gt;0")</f>
        <v>0</v>
      </c>
      <c r="BC224">
        <f>COUNTIF(AS224:AW224,"&lt;&gt;0")</f>
        <v>0</v>
      </c>
      <c r="BD224">
        <f>COUNTIF(AM224:AR224,"&lt;&gt;0")</f>
        <v>0</v>
      </c>
      <c r="BE224" t="str">
        <f t="array" ref="BE224">IF(AY224=1,INDEX($V$7:$AL$7,MATCH(TRUE,INDEX($V224:$AW224&lt;&gt;0,),0)),IF(AY224=0,INDEX($AM$7:$AW$7,MATCH(1,$AM224:$AW224,0)),IF(BF224="Multiple strategies","mixed drivers",IF(BF224="Supply chain","multiple supply","multiple silviculture"))))</f>
        <v>products lifespan</v>
      </c>
      <c r="BF224" s="2" t="str" cm="1">
        <f t="array" ref="BF224">IF(COUNTIF(AZ224:BB224,"&lt;&gt;0")=1,INDEX($V$4:$AW$4,MATCH(TRUE,INDEX($V224:$AW224&lt;&gt;0,),0)),IF(COUNTIF(AZ224:BB224,"&lt;&gt;0")=0,INDEX($AM$4:$AW$4,MATCH(1,$AM224:$AW224,0)),"Multiple strategies"))</f>
        <v>Supply chain</v>
      </c>
      <c r="BG224" s="1" t="s">
        <v>229</v>
      </c>
      <c r="BH224" t="s">
        <v>1548</v>
      </c>
      <c r="BI224" s="264" t="s">
        <v>3121</v>
      </c>
      <c r="BJ224" t="s">
        <v>345</v>
      </c>
      <c r="BK224">
        <v>478</v>
      </c>
      <c r="BL224">
        <v>638</v>
      </c>
      <c r="BM224">
        <v>1</v>
      </c>
      <c r="BN224">
        <f>BL224-BK224</f>
        <v>160</v>
      </c>
      <c r="BO224">
        <f>BN224*kg_to_m3</f>
        <v>0.32653061224489799</v>
      </c>
      <c r="BP224" t="s">
        <v>395</v>
      </c>
      <c r="BQ224" s="301" t="s">
        <v>429</v>
      </c>
      <c r="BR224" t="s">
        <v>728</v>
      </c>
      <c r="BS224">
        <v>-696.6</v>
      </c>
      <c r="BT224">
        <v>-548.29999999999995</v>
      </c>
      <c r="BU224" s="144">
        <v>-0.63186813186813184</v>
      </c>
      <c r="BV224">
        <f>BT224-BS224</f>
        <v>148.30000000000007</v>
      </c>
      <c r="BW224"/>
      <c r="BX224">
        <f>BV224/1000</f>
        <v>0.14830000000000007</v>
      </c>
      <c r="BY224">
        <f>IFERROR(BX224/BO224,"")</f>
        <v>0.45416875000000018</v>
      </c>
      <c r="BZ224">
        <v>0</v>
      </c>
      <c r="CA224">
        <v>0</v>
      </c>
      <c r="CB224">
        <v>0</v>
      </c>
      <c r="CC224">
        <v>0</v>
      </c>
      <c r="CD224">
        <v>0</v>
      </c>
      <c r="CE224">
        <v>0</v>
      </c>
      <c r="CF224">
        <v>0</v>
      </c>
      <c r="CG224">
        <v>0</v>
      </c>
      <c r="CH224">
        <v>0</v>
      </c>
      <c r="CI224">
        <v>0</v>
      </c>
      <c r="CJ224">
        <v>0</v>
      </c>
      <c r="CK224">
        <v>0</v>
      </c>
      <c r="CL224">
        <v>0</v>
      </c>
      <c r="CM224">
        <v>0</v>
      </c>
      <c r="CN224" t="str">
        <f>IF($BL224&lt;$BK224,"refNeedCorrection","refOK")</f>
        <v>refOK</v>
      </c>
      <c r="CO224">
        <f>IF($CN224="refNeedCorrection",BK224,BL224)</f>
        <v>638</v>
      </c>
      <c r="CP224">
        <f>IF($CN224="refNeedCorrection",BL224,BK224)</f>
        <v>478</v>
      </c>
      <c r="CQ224">
        <f>IF($CN224="refOK",$BO224,-$BO224)</f>
        <v>0.32653061224489799</v>
      </c>
      <c r="CR224">
        <f>IF($CN224="refOK",$BS224,$BT224)*IF($BP224="Emissions positive",-1,1)</f>
        <v>696.6</v>
      </c>
      <c r="CS224">
        <f>IF($CN224="refOK",$BT224,$BS224)*IF($BP224="Emissions positive",-1,1)</f>
        <v>548.29999999999995</v>
      </c>
      <c r="CT224">
        <f>IF($CN224="refNeedCorrection",-BX224,BX224)*IF($BP224="Emissions positive",-1,1)</f>
        <v>-0.14830000000000007</v>
      </c>
      <c r="CU224">
        <f>IFERROR(CT224/CQ224,"")</f>
        <v>-0.45416875000000018</v>
      </c>
      <c r="CV224" s="2">
        <f>IFERROR((CS224-CR224)/ABS(CR224),"")</f>
        <v>-0.21289118575940291</v>
      </c>
      <c r="CW224" s="1" t="s">
        <v>1199</v>
      </c>
      <c r="CX224" t="str">
        <f>IF(OR($CW224="prd",$CW224="std",$CW224="cit"),"loc",IF(OR($CW224="eur",$CW224="reg",$CW224="coy"),"reg",$CW224))</f>
        <v>reg</v>
      </c>
      <c r="CY224" t="s">
        <v>1540</v>
      </c>
      <c r="CZ224"/>
      <c r="DA224"/>
      <c r="DB224">
        <v>100</v>
      </c>
      <c r="DC224" t="str">
        <f>IF(DB224=0,"0",IF(AND(DB224&gt;=1,DB224&lt;=30),"1-30",IF(AND(DB224&gt;30,DB224&lt;=70),"31-70",IF(AND(DB224&gt;70,DB224&lt;=100),"71-100",IF(DB224&gt;100,"+100")))))</f>
        <v>71-100</v>
      </c>
      <c r="DD224">
        <v>0</v>
      </c>
      <c r="DE224">
        <v>0</v>
      </c>
      <c r="DF224">
        <v>0</v>
      </c>
      <c r="DG224">
        <v>1</v>
      </c>
      <c r="DH224"/>
      <c r="DI224">
        <f>SUM(DD224:DG224)</f>
        <v>1</v>
      </c>
      <c r="DJ224" t="str">
        <f>IF(DI224=1,INDEX($DD$7:$DG$7,MATCH(1,$DD224:$DG224,0)),"mixedProduct")</f>
        <v>TimberInput</v>
      </c>
      <c r="DK224">
        <f>IF(DD224=1,DK$7,0)</f>
        <v>0</v>
      </c>
      <c r="DL224">
        <f>IF(DE224=1,DL$7,0)</f>
        <v>0</v>
      </c>
      <c r="DM224">
        <f>IF(DF224=1,DM$7,0)</f>
        <v>0</v>
      </c>
      <c r="DN224" t="str">
        <f>IF(DG224=1,DN$7,0)</f>
        <v>Timber</v>
      </c>
      <c r="DO224">
        <v>0</v>
      </c>
      <c r="DP224">
        <v>1</v>
      </c>
      <c r="DQ224">
        <v>0</v>
      </c>
      <c r="DR224">
        <v>0</v>
      </c>
      <c r="DS224" t="s">
        <v>1541</v>
      </c>
      <c r="DT224">
        <f>SUM(DO224:DP224)</f>
        <v>1</v>
      </c>
      <c r="DU224" s="143" t="str">
        <f>IF(DO224=1,"self-calculated DF",IF(DP224=1,"external DF used","explicit C balance"))</f>
        <v>external DF used</v>
      </c>
      <c r="DV224">
        <v>0</v>
      </c>
      <c r="DW224">
        <v>0</v>
      </c>
      <c r="DX224">
        <v>0</v>
      </c>
      <c r="DY224">
        <v>0</v>
      </c>
      <c r="DZ224">
        <v>1</v>
      </c>
      <c r="EA224" s="143">
        <v>1</v>
      </c>
      <c r="EB224">
        <v>0</v>
      </c>
      <c r="EC224">
        <v>1</v>
      </c>
      <c r="ED224">
        <v>0</v>
      </c>
      <c r="EE224">
        <v>1</v>
      </c>
      <c r="EF224">
        <v>1</v>
      </c>
      <c r="EG224">
        <v>1</v>
      </c>
      <c r="EH224">
        <v>1</v>
      </c>
      <c r="EI224" s="2">
        <v>0</v>
      </c>
      <c r="EJ224" s="1"/>
      <c r="EK224" t="str">
        <f>IF(AND(AND(AND(OR($DX224=1,$DW224=1),OR($EC224=1,$EA224=1)),SUM($DV224:$DZ224,$EF224)&gt;=4),SUM($EA224:$EE224)&gt;=2),"Whole sector","")</f>
        <v/>
      </c>
      <c r="EL224" t="str">
        <f>IF(AND(AND(OR($DX224=1,$DW224=1),AND($EC224=0,$EA224=0)),SUM($DV224:$DZ224,$EF224)&gt;=4),"Ecosystem approach","")</f>
        <v/>
      </c>
      <c r="EM224" s="2" t="str">
        <f>IF(AND(AND(AND($DX224=0,$DW224=0),OR($EC224=1,$EA224=1)),SUM($EB224:$EE224)&gt;=2),"Technology approach","")</f>
        <v>Technology approach</v>
      </c>
      <c r="EN224"/>
      <c r="EO224"/>
      <c r="EP224" t="str">
        <f>IF(ISNUMBER(BU224),IF(ABS(BU224-[1]QC_indicators!$B$2)&gt;3*[1]QC_indicators!$C$2,"C ratio",IF(ISNUMBER(BY224),IF(ABS(BY224-[1]QC_indicators!$B$1)&gt;3*[1]QC_indicators!$C$1,"DF","no"))),IF(ISNUMBER(BY224),IF(ABS(BY224-[1]QC_indicators!$B$1)&gt;3*[1]QC_indicators!$C$1,"DF","no")))</f>
        <v>no</v>
      </c>
      <c r="EQ224"/>
      <c r="ER224"/>
      <c r="ES224"/>
      <c r="ET224" s="264" t="s">
        <v>3273</v>
      </c>
      <c r="EU224"/>
    </row>
    <row r="225" spans="1:151" s="139" customFormat="1" ht="15" customHeight="1">
      <c r="A225" s="1" t="s">
        <v>265</v>
      </c>
      <c r="B225" t="s">
        <v>266</v>
      </c>
      <c r="C225" t="s">
        <v>267</v>
      </c>
      <c r="D225" t="s">
        <v>268</v>
      </c>
      <c r="E225" t="s">
        <v>269</v>
      </c>
      <c r="F225" t="s">
        <v>270</v>
      </c>
      <c r="G225" t="s">
        <v>271</v>
      </c>
      <c r="H225" t="s">
        <v>254</v>
      </c>
      <c r="I225">
        <v>2022</v>
      </c>
      <c r="J225">
        <v>0</v>
      </c>
      <c r="K225" t="s">
        <v>272</v>
      </c>
      <c r="L225"/>
      <c r="M225" t="str">
        <f>LEFT($D225,FIND(",",$D225)-1)&amp;"_"&amp;I225&amp;L225</f>
        <v>Aryapratama_2022</v>
      </c>
      <c r="N225" t="s">
        <v>222</v>
      </c>
      <c r="O225" s="145" t="s">
        <v>274</v>
      </c>
      <c r="P225"/>
      <c r="Q225" t="s">
        <v>224</v>
      </c>
      <c r="R225" s="262" t="s">
        <v>223</v>
      </c>
      <c r="S225" s="263" t="s">
        <v>3105</v>
      </c>
      <c r="T225" t="s">
        <v>327</v>
      </c>
      <c r="U225" t="s">
        <v>326</v>
      </c>
      <c r="V225">
        <v>0</v>
      </c>
      <c r="W225">
        <v>0</v>
      </c>
      <c r="X225">
        <v>0</v>
      </c>
      <c r="Y225">
        <v>0</v>
      </c>
      <c r="Z225">
        <v>0</v>
      </c>
      <c r="AA225">
        <v>0</v>
      </c>
      <c r="AB225">
        <v>0</v>
      </c>
      <c r="AC225">
        <v>0</v>
      </c>
      <c r="AD225">
        <v>0</v>
      </c>
      <c r="AE225">
        <v>0</v>
      </c>
      <c r="AF225">
        <v>0</v>
      </c>
      <c r="AG225">
        <v>0</v>
      </c>
      <c r="AH225">
        <v>0</v>
      </c>
      <c r="AI225">
        <v>0</v>
      </c>
      <c r="AJ225">
        <v>0</v>
      </c>
      <c r="AK225">
        <v>1</v>
      </c>
      <c r="AL225">
        <v>0</v>
      </c>
      <c r="AM225">
        <v>0</v>
      </c>
      <c r="AN225">
        <v>0</v>
      </c>
      <c r="AO225">
        <v>0</v>
      </c>
      <c r="AP225">
        <v>0</v>
      </c>
      <c r="AQ225">
        <v>0</v>
      </c>
      <c r="AR225">
        <v>0</v>
      </c>
      <c r="AS225">
        <v>0</v>
      </c>
      <c r="AT225">
        <v>0</v>
      </c>
      <c r="AU225">
        <v>0</v>
      </c>
      <c r="AV225">
        <v>0</v>
      </c>
      <c r="AW225">
        <v>0</v>
      </c>
      <c r="AX225" s="141">
        <f>COUNTIF(V225:AW225,"&lt;&gt;0")</f>
        <v>1</v>
      </c>
      <c r="AY225" s="141">
        <f>COUNTIF(V225:AL225,"&lt;&gt;0")</f>
        <v>1</v>
      </c>
      <c r="AZ225">
        <f>COUNTIF(V225:AC225,"&lt;&gt;0")</f>
        <v>0</v>
      </c>
      <c r="BA225">
        <f>COUNTIF(AD225:AI225,"&lt;&gt;0")</f>
        <v>0</v>
      </c>
      <c r="BB225">
        <f>COUNTIF(AJ225:AL225,"&lt;&gt;0")</f>
        <v>1</v>
      </c>
      <c r="BC225">
        <f>COUNTIF(AS225:AW225,"&lt;&gt;0")</f>
        <v>0</v>
      </c>
      <c r="BD225">
        <f>COUNTIF(AM225:AR225,"&lt;&gt;0")</f>
        <v>0</v>
      </c>
      <c r="BE225" t="str">
        <f t="array" ref="BE225">IF(AY225=1,INDEX($V$7:$AL$7,MATCH(TRUE,INDEX($V225:$AW225&lt;&gt;0,),0)),IF(AY225=0,INDEX($AM$7:$AW$7,MATCH(1,$AM225:$AW225,0)),IF(BF225="Multiple strategies","mixed drivers",IF(BF225="Supply chain","multiple supply","multiple silviculture"))))</f>
        <v>technologies/design switch</v>
      </c>
      <c r="BF225" s="2" t="str" cm="1">
        <f t="array" ref="BF225">IF(COUNTIF(AZ225:BB225,"&lt;&gt;0")=1,INDEX($V$4:$AW$4,MATCH(TRUE,INDEX($V225:$AW225&lt;&gt;0,),0)),IF(COUNTIF(AZ225:BB225,"&lt;&gt;0")=0,INDEX($AM$4:$AW$4,MATCH(1,$AM225:$AW225,0)),"Multiple strategies"))</f>
        <v>Technology</v>
      </c>
      <c r="BG225" s="1" t="s">
        <v>229</v>
      </c>
      <c r="BH225" t="s">
        <v>277</v>
      </c>
      <c r="BI225" s="264" t="s">
        <v>3106</v>
      </c>
      <c r="BJ225" t="s">
        <v>278</v>
      </c>
      <c r="BK225">
        <v>0</v>
      </c>
      <c r="BL225">
        <v>290.2995901886793</v>
      </c>
      <c r="BM225"/>
      <c r="BN225">
        <f>BL225-BK225</f>
        <v>290.2995901886793</v>
      </c>
      <c r="BO225">
        <f>BN225*tC_to_m3</f>
        <v>1260.5279643451122</v>
      </c>
      <c r="BP225" t="s">
        <v>232</v>
      </c>
      <c r="BQ225" s="303" t="s">
        <v>3107</v>
      </c>
      <c r="BR225" t="s">
        <v>279</v>
      </c>
      <c r="BS225">
        <v>-719.97535000585367</v>
      </c>
      <c r="BT225">
        <v>-1282.169207878547</v>
      </c>
      <c r="BU225" s="144">
        <f>IFERROR(BT225/BS225,"")</f>
        <v>1.7808515359145594</v>
      </c>
      <c r="BV225">
        <f>BT225-BS225</f>
        <v>-562.19385787269334</v>
      </c>
      <c r="BW225"/>
      <c r="BX225">
        <f>BV225</f>
        <v>-562.19385787269334</v>
      </c>
      <c r="BY225">
        <f>IFERROR(BX225/BO225,"")</f>
        <v>-0.44599871940546154</v>
      </c>
      <c r="BZ225">
        <v>0</v>
      </c>
      <c r="CA225">
        <v>0</v>
      </c>
      <c r="CB225">
        <v>0</v>
      </c>
      <c r="CC225">
        <v>0</v>
      </c>
      <c r="CD225">
        <v>0</v>
      </c>
      <c r="CE225">
        <v>0</v>
      </c>
      <c r="CF225">
        <v>0</v>
      </c>
      <c r="CG225">
        <v>0</v>
      </c>
      <c r="CH225">
        <v>0</v>
      </c>
      <c r="CI225">
        <v>0</v>
      </c>
      <c r="CJ225">
        <v>0</v>
      </c>
      <c r="CK225">
        <v>0</v>
      </c>
      <c r="CL225">
        <v>0</v>
      </c>
      <c r="CM225">
        <v>0</v>
      </c>
      <c r="CN225" t="str">
        <f>IF($BL225&lt;$BK225,"refNeedCorrection","refOK")</f>
        <v>refOK</v>
      </c>
      <c r="CO225">
        <f>IF($CN225="refOK",$BK225,$BL225)</f>
        <v>0</v>
      </c>
      <c r="CP225">
        <f>IF($CN225="refOK",$BL225,$BK225)</f>
        <v>290.2995901886793</v>
      </c>
      <c r="CQ225">
        <f>IF($CN225="refOK",$BO225,-$BO225)</f>
        <v>1260.5279643451122</v>
      </c>
      <c r="CR225">
        <f>IF($CN225="refOK",$BS225,$BT225)*IF($BP225="Emissions positive",-1,1)</f>
        <v>-719.97535000585367</v>
      </c>
      <c r="CS225">
        <f>IF($CN225="refOK",$BT225,$BS225)*IF($BP225="Emissions positive",-1,1)</f>
        <v>-1282.169207878547</v>
      </c>
      <c r="CT225">
        <f>IF($CN225="refNeedCorrection",-BX225,BX225)*IF($BP225="Emissions positive",-1,1)</f>
        <v>-562.19385787269334</v>
      </c>
      <c r="CU225">
        <f>IFERROR(CT225/CQ225,"")</f>
        <v>-0.44599871940546154</v>
      </c>
      <c r="CV225" s="2">
        <f>IFERROR((CS225-CR225)/ABS(CR225),"")</f>
        <v>-0.78085153591455947</v>
      </c>
      <c r="CW225" s="1" t="s">
        <v>234</v>
      </c>
      <c r="CX225" t="str">
        <f>IF(OR($CW225="prd",$CW225="std",$CW225="cit"),"loc",IF(OR($CW225="eur",$CW225="reg",$CW225="coy"),"reg",$CW225))</f>
        <v>loc</v>
      </c>
      <c r="CY225" t="s">
        <v>280</v>
      </c>
      <c r="CZ225"/>
      <c r="DA225"/>
      <c r="DB225">
        <v>200</v>
      </c>
      <c r="DC225" t="str">
        <f>IF(DB225=0,"0",IF(AND(DB225&gt;=1,DB225&lt;=30),"1-30",IF(AND(DB225&gt;30,DB225&lt;=70),"31-70",IF(AND(DB225&gt;70,DB225&lt;=100),"71-100",IF(DB225&gt;100,"+100")))))</f>
        <v>+100</v>
      </c>
      <c r="DD225">
        <v>0</v>
      </c>
      <c r="DE225">
        <v>1</v>
      </c>
      <c r="DF225">
        <v>0</v>
      </c>
      <c r="DG225">
        <v>0</v>
      </c>
      <c r="DH225"/>
      <c r="DI225">
        <f>SUM(DD225:DG225)</f>
        <v>1</v>
      </c>
      <c r="DJ225" t="str">
        <f>IF(DI225=1,INDEX($DD$7:$DG$7,MATCH(1,$DD225:$DG225,0)),"mixedProduct")</f>
        <v>EnergyInput</v>
      </c>
      <c r="DK225">
        <f>IF(DD225=1,DK$7,0)</f>
        <v>0</v>
      </c>
      <c r="DL225" t="str">
        <f>IF(DE225=1,DL$7,0)</f>
        <v>Energy</v>
      </c>
      <c r="DM225">
        <f>IF(DF225=1,DM$7,0)</f>
        <v>0</v>
      </c>
      <c r="DN225">
        <f>IF(DG225=1,DN$7,0)</f>
        <v>0</v>
      </c>
      <c r="DO225">
        <v>0</v>
      </c>
      <c r="DP225">
        <v>1</v>
      </c>
      <c r="DQ225" t="s">
        <v>304</v>
      </c>
      <c r="DR225">
        <v>0</v>
      </c>
      <c r="DS225">
        <v>0</v>
      </c>
      <c r="DT225">
        <f>SUM(DO225:DP225)</f>
        <v>1</v>
      </c>
      <c r="DU225" s="143" t="str">
        <f>IF(DO225=1,"self-calculated DF",IF(DP225=1,"external DF used","explicit C balance"))</f>
        <v>external DF used</v>
      </c>
      <c r="DV225">
        <v>0</v>
      </c>
      <c r="DW225">
        <v>1</v>
      </c>
      <c r="DX225">
        <v>1</v>
      </c>
      <c r="DY225">
        <v>1</v>
      </c>
      <c r="DZ225">
        <v>1</v>
      </c>
      <c r="EA225" s="143">
        <v>0</v>
      </c>
      <c r="EB225">
        <v>1</v>
      </c>
      <c r="EC225">
        <v>1</v>
      </c>
      <c r="ED225">
        <v>0</v>
      </c>
      <c r="EE225">
        <v>1</v>
      </c>
      <c r="EF225">
        <v>1</v>
      </c>
      <c r="EG225">
        <v>1</v>
      </c>
      <c r="EH225">
        <v>0</v>
      </c>
      <c r="EI225" s="2">
        <v>0</v>
      </c>
      <c r="EJ225" s="1"/>
      <c r="EK225" t="str">
        <f>IF(AND(AND(AND(OR($DX225=1,$DW225=1),OR($EC225=1,$EA225=1)),SUM($DV225:$DZ225,$EF225)&gt;=4),SUM($EA225:$EE225)&gt;=2),"Whole sector","")</f>
        <v>Whole sector</v>
      </c>
      <c r="EL225" t="str">
        <f>IF(AND(AND(OR($DX225=1,$DW225=1),AND($EC225=0,$EA225=0)),SUM($DV225:$DZ225,$EF225)&gt;=4),"Ecosystem approach","")</f>
        <v/>
      </c>
      <c r="EM225" s="2" t="str">
        <f>IF(AND(AND(AND($DX225=0,$DW225=0),OR($EC225=1,$EA225=1)),SUM($EB225:$EE225)&gt;=2),"Technology approach","")</f>
        <v/>
      </c>
      <c r="EN225"/>
      <c r="EO225"/>
      <c r="EP225" t="str">
        <f>IF(ISNUMBER(BU225),IF(ABS(BU225-[1]QC_indicators!$B$2)&gt;3*[1]QC_indicators!$C$2,"C ratio",IF(ISNUMBER(BY225),IF(ABS(BY225-[1]QC_indicators!$B$1)&gt;3*[1]QC_indicators!$C$1,"DF","no"))),IF(ISNUMBER(BY225),IF(ABS(BY225-[1]QC_indicators!$B$1)&gt;3*[1]QC_indicators!$C$1,"DF","no")))</f>
        <v>no</v>
      </c>
      <c r="EQ225" t="s">
        <v>286</v>
      </c>
      <c r="ER225"/>
      <c r="ES225"/>
      <c r="ET225" s="264" t="s">
        <v>3273</v>
      </c>
      <c r="EU225"/>
    </row>
    <row r="226" spans="1:151" s="139" customFormat="1" ht="15" customHeight="1">
      <c r="A226" s="1" t="s">
        <v>1808</v>
      </c>
      <c r="B226" t="s">
        <v>2475</v>
      </c>
      <c r="C226" t="s">
        <v>2476</v>
      </c>
      <c r="D226" t="s">
        <v>2477</v>
      </c>
      <c r="E226" t="s">
        <v>2478</v>
      </c>
      <c r="F226" t="s">
        <v>2479</v>
      </c>
      <c r="G226" t="s">
        <v>1814</v>
      </c>
      <c r="H226" t="s">
        <v>254</v>
      </c>
      <c r="I226">
        <v>2010</v>
      </c>
      <c r="J226">
        <v>100</v>
      </c>
      <c r="K226" t="s">
        <v>2480</v>
      </c>
      <c r="L226"/>
      <c r="M226" t="str">
        <f>LEFT($D226,FIND(",",$D226)-1)&amp;"_"&amp;I226&amp;L226</f>
        <v>Werner_2010</v>
      </c>
      <c r="N226" t="s">
        <v>222</v>
      </c>
      <c r="O226" s="145" t="s">
        <v>1154</v>
      </c>
      <c r="P226"/>
      <c r="Q226" t="s">
        <v>256</v>
      </c>
      <c r="R226" s="262" t="s">
        <v>223</v>
      </c>
      <c r="S226" s="263" t="s">
        <v>3255</v>
      </c>
      <c r="T226" t="s">
        <v>2482</v>
      </c>
      <c r="U226" t="s">
        <v>2487</v>
      </c>
      <c r="V226">
        <v>2</v>
      </c>
      <c r="W226">
        <v>0</v>
      </c>
      <c r="X226">
        <v>1</v>
      </c>
      <c r="Y226">
        <v>2</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s="141">
        <f>COUNTIF(V226:AW226,"&lt;&gt;0")</f>
        <v>3</v>
      </c>
      <c r="AY226" s="141">
        <f>COUNTIF(V226:AL226,"&lt;&gt;0")</f>
        <v>3</v>
      </c>
      <c r="AZ226">
        <f>COUNTIF(V226:AC226,"&lt;&gt;0")</f>
        <v>3</v>
      </c>
      <c r="BA226">
        <f>COUNTIF(AD226:AI226,"&lt;&gt;0")</f>
        <v>0</v>
      </c>
      <c r="BB226">
        <f>COUNTIF(AJ226:AL226,"&lt;&gt;0")</f>
        <v>0</v>
      </c>
      <c r="BC226">
        <f>COUNTIF(AS226:AW226,"&lt;&gt;0")</f>
        <v>0</v>
      </c>
      <c r="BD226">
        <f>COUNTIF(AM226:AR226,"&lt;&gt;0")</f>
        <v>0</v>
      </c>
      <c r="BE226" t="str">
        <f t="array" ref="BE226">IF(AY226=1,INDEX($V$7:$AL$7,MATCH(TRUE,INDEX($V226:$AW226&lt;&gt;0,),0)),IF(AY226=0,INDEX($AM$7:$AW$7,MATCH(1,$AM226:$AW226,0)),IF(BF226="Multiple strategies","mixed drivers",IF(BF226="Supply chain","multiple supply","multiple silviculture"))))</f>
        <v>multiple silviculture</v>
      </c>
      <c r="BF226" s="2" t="str" cm="1">
        <f t="array" ref="BF226">IF(COUNTIF(AZ226:BB226,"&lt;&gt;0")=1,INDEX($V$4:$AW$4,MATCH(TRUE,INDEX($V226:$AW226&lt;&gt;0,),0)),IF(COUNTIF(AZ226:BB226,"&lt;&gt;0")=0,INDEX($AM$4:$AW$4,MATCH(1,$AM226:$AW226,0)),"Multiple strategies"))</f>
        <v>Silviculture for removals</v>
      </c>
      <c r="BG226" s="1" t="s">
        <v>321</v>
      </c>
      <c r="BH226" t="s">
        <v>2453</v>
      </c>
      <c r="BI226" s="264" t="s">
        <v>3252</v>
      </c>
      <c r="BJ226" t="s">
        <v>1323</v>
      </c>
      <c r="BK226">
        <v>120</v>
      </c>
      <c r="BL226">
        <v>213</v>
      </c>
      <c r="BM226" s="143">
        <f>BL226/BK226</f>
        <v>1.7749999999999999</v>
      </c>
      <c r="BN226">
        <f>BL226-BK226</f>
        <v>93</v>
      </c>
      <c r="BO226">
        <f>BN226*10^6</f>
        <v>93000000</v>
      </c>
      <c r="BP226" t="s">
        <v>232</v>
      </c>
      <c r="BQ226" s="303" t="s">
        <v>3253</v>
      </c>
      <c r="BR226" t="s">
        <v>2325</v>
      </c>
      <c r="BS226">
        <v>370.31517322497803</v>
      </c>
      <c r="BT226">
        <v>329.01578554855797</v>
      </c>
      <c r="BU226" s="144">
        <f>IFERROR(BT226/BS226,"")</f>
        <v>0.8884750324520746</v>
      </c>
      <c r="BV226" s="144">
        <f>BT226-BS226</f>
        <v>-41.299387676420054</v>
      </c>
      <c r="BW226" s="144"/>
      <c r="BX226">
        <f>BV226*10^6</f>
        <v>-41299387.676420055</v>
      </c>
      <c r="BY226">
        <f>IFERROR(BX226/BO226,"")</f>
        <v>-0.44407943738086081</v>
      </c>
      <c r="BZ226">
        <v>0</v>
      </c>
      <c r="CA226">
        <v>0</v>
      </c>
      <c r="CB226">
        <v>0</v>
      </c>
      <c r="CC226">
        <v>0</v>
      </c>
      <c r="CD226">
        <v>0</v>
      </c>
      <c r="CE226">
        <v>0</v>
      </c>
      <c r="CF226">
        <v>0</v>
      </c>
      <c r="CG226">
        <v>0</v>
      </c>
      <c r="CH226">
        <v>0</v>
      </c>
      <c r="CI226">
        <v>0</v>
      </c>
      <c r="CJ226">
        <v>0</v>
      </c>
      <c r="CK226">
        <v>0</v>
      </c>
      <c r="CL226">
        <v>0</v>
      </c>
      <c r="CM226">
        <v>1</v>
      </c>
      <c r="CN226" t="str">
        <f>IF($BL226&lt;$BK226,"refNeedCorrection","refOK")</f>
        <v>refOK</v>
      </c>
      <c r="CO226">
        <f>IF($CN226="refOK",$BK226,$BL226)</f>
        <v>120</v>
      </c>
      <c r="CP226">
        <f>IF($CN226="refOK",$BL226,$BK226)</f>
        <v>213</v>
      </c>
      <c r="CQ226">
        <f>IF($CN226="refOK",$BO226,-$BO226)</f>
        <v>93000000</v>
      </c>
      <c r="CR226">
        <f>IF($CN226="refOK",$BS226,$BT226)*IF($BP226="Emissions positive",-1,1)</f>
        <v>370.31517322497803</v>
      </c>
      <c r="CS226">
        <f>IF($CN226="refOK",$BT226,$BS226)*IF($BP226="Emissions positive",-1,1)</f>
        <v>329.01578554855797</v>
      </c>
      <c r="CT226">
        <f>IF($CN226="refNeedCorrection",-BX226,BX226)*IF($BP226="Emissions positive",-1,1)</f>
        <v>-41299387.676420055</v>
      </c>
      <c r="CU226">
        <f>IFERROR(CT226/CQ226,"")</f>
        <v>-0.44407943738086081</v>
      </c>
      <c r="CV226" s="2">
        <f>IFERROR((CS226-CR226)/ABS(CR226),"")</f>
        <v>-0.11152496754792542</v>
      </c>
      <c r="CW226" s="1" t="s">
        <v>1203</v>
      </c>
      <c r="CX226" t="str">
        <f>IF(OR($CW226="prd",$CW226="std",$CW226="cit"),"loc",IF(OR($CW226="eur",$CW226="reg",$CW226="coy"),"reg",$CW226))</f>
        <v>reg</v>
      </c>
      <c r="CY226" t="s">
        <v>639</v>
      </c>
      <c r="CZ226">
        <v>2000</v>
      </c>
      <c r="DA226">
        <v>2030</v>
      </c>
      <c r="DB226">
        <f>DA226-CZ226</f>
        <v>30</v>
      </c>
      <c r="DC226" t="str">
        <f>IF(DB226=0,"0",IF(AND(DB226&gt;=1,DB226&lt;=30),"1-30",IF(AND(DB226&gt;30,DB226&lt;=70),"31-70",IF(AND(DB226&gt;70,DB226&lt;=100),"71-100",IF(DB226&gt;100,"+100")))))</f>
        <v>1-30</v>
      </c>
      <c r="DD226">
        <v>0</v>
      </c>
      <c r="DE226">
        <v>0</v>
      </c>
      <c r="DF226">
        <v>0</v>
      </c>
      <c r="DG226">
        <v>1</v>
      </c>
      <c r="DH226">
        <v>0</v>
      </c>
      <c r="DI226">
        <f>SUM(DD226:DG226)</f>
        <v>1</v>
      </c>
      <c r="DJ226" t="str">
        <f>IF(DI226=1,INDEX($DD$7:$DG$7,MATCH(1,$DD226:$DG226,0)),"mixedProduct")</f>
        <v>TimberInput</v>
      </c>
      <c r="DK226">
        <f>IF(DD226=1,DK$7,0)</f>
        <v>0</v>
      </c>
      <c r="DL226">
        <f>IF(DE226=1,DL$7,0)</f>
        <v>0</v>
      </c>
      <c r="DM226">
        <f>IF(DF226=1,DM$7,0)</f>
        <v>0</v>
      </c>
      <c r="DN226" t="str">
        <f>IF(DG226=1,DN$7,0)</f>
        <v>Timber</v>
      </c>
      <c r="DO226">
        <v>0</v>
      </c>
      <c r="DP226">
        <v>1</v>
      </c>
      <c r="DQ226" t="s">
        <v>2483</v>
      </c>
      <c r="DR226" t="s">
        <v>2484</v>
      </c>
      <c r="DS226"/>
      <c r="DT226">
        <f>SUM(DO226:DP226)</f>
        <v>1</v>
      </c>
      <c r="DU226" s="143" t="str">
        <f>IF(DO226=1,"self-calculated DF",IF(DP226=1,"external DF used","explicit C balance"))</f>
        <v>external DF used</v>
      </c>
      <c r="DV226">
        <v>1</v>
      </c>
      <c r="DW226">
        <v>1</v>
      </c>
      <c r="DX226">
        <v>1</v>
      </c>
      <c r="DY226">
        <v>1</v>
      </c>
      <c r="DZ226">
        <v>1</v>
      </c>
      <c r="EA226" s="143">
        <v>1</v>
      </c>
      <c r="EB226">
        <v>1</v>
      </c>
      <c r="EC226">
        <v>1</v>
      </c>
      <c r="ED226">
        <v>0</v>
      </c>
      <c r="EE226">
        <v>0</v>
      </c>
      <c r="EF226">
        <v>1</v>
      </c>
      <c r="EG226">
        <v>0</v>
      </c>
      <c r="EH226">
        <v>0</v>
      </c>
      <c r="EI226" s="2">
        <v>0</v>
      </c>
      <c r="EJ226" s="1"/>
      <c r="EK226" t="str">
        <f>IF(AND(AND(AND(OR($DX226=1,$DW226=1),OR($EC226=1,$EA226=1)),SUM($DV226:$DZ226,$EF226)&gt;=4),SUM($EA226:$EE226)&gt;=2),"Whole sector","")</f>
        <v>Whole sector</v>
      </c>
      <c r="EL226" t="str">
        <f>IF(AND(AND(OR($DX226=1,$DW226=1),AND($EC226=0,$EA226=0)),SUM($DV226:$DZ226,$EF226)&gt;=4),"Ecosystem approach","")</f>
        <v/>
      </c>
      <c r="EM226" s="2" t="str">
        <f>IF(AND(AND(AND($DX226=0,$DW226=0),OR($EC226=1,$EA226=1)),SUM($EB226:$EE226)&gt;=2),"Technology approach","")</f>
        <v/>
      </c>
      <c r="EN226" t="s">
        <v>2485</v>
      </c>
      <c r="EO226"/>
      <c r="EP226" t="str">
        <f>IF(ISNUMBER(BU226),IF(ABS(BU226-[1]QC_indicators!$B$2)&gt;3*[1]QC_indicators!$C$2,"C ratio",IF(ISNUMBER(BY226),IF(ABS(BY226-[1]QC_indicators!$B$1)&gt;3*[1]QC_indicators!$C$1,"DF","no"))),IF(ISNUMBER(BY226),IF(ABS(BY226-[1]QC_indicators!$B$1)&gt;3*[1]QC_indicators!$C$1,"DF","no")))</f>
        <v>no</v>
      </c>
      <c r="EQ226"/>
      <c r="ER226"/>
      <c r="ES226"/>
      <c r="ET226" s="264" t="s">
        <v>3254</v>
      </c>
      <c r="EU226"/>
    </row>
    <row r="227" spans="1:151" s="139" customFormat="1" ht="15" customHeight="1">
      <c r="A227" s="1" t="s">
        <v>656</v>
      </c>
      <c r="B227" t="s">
        <v>657</v>
      </c>
      <c r="C227" t="s">
        <v>658</v>
      </c>
      <c r="D227" t="s">
        <v>659</v>
      </c>
      <c r="E227" t="s">
        <v>660</v>
      </c>
      <c r="F227" t="s">
        <v>661</v>
      </c>
      <c r="G227" t="s">
        <v>662</v>
      </c>
      <c r="H227" t="s">
        <v>254</v>
      </c>
      <c r="I227">
        <v>2021</v>
      </c>
      <c r="J227">
        <v>1</v>
      </c>
      <c r="K227" t="s">
        <v>663</v>
      </c>
      <c r="L227"/>
      <c r="M227" t="str">
        <f>LEFT($D227,FIND(",",$D227)-1)&amp;"_"&amp;I227&amp;L227</f>
        <v>Dolezal_2021</v>
      </c>
      <c r="N227" t="s">
        <v>222</v>
      </c>
      <c r="O227" s="145" t="s">
        <v>274</v>
      </c>
      <c r="P227"/>
      <c r="Q227" t="s">
        <v>256</v>
      </c>
      <c r="R227" s="255" t="s">
        <v>225</v>
      </c>
      <c r="S227" s="1" t="s">
        <v>664</v>
      </c>
      <c r="T227" t="s">
        <v>665</v>
      </c>
      <c r="U227" t="s">
        <v>182</v>
      </c>
      <c r="V227">
        <v>0</v>
      </c>
      <c r="W227">
        <v>0</v>
      </c>
      <c r="X227">
        <v>0</v>
      </c>
      <c r="Y227">
        <v>0</v>
      </c>
      <c r="Z227">
        <v>0</v>
      </c>
      <c r="AA227">
        <v>0</v>
      </c>
      <c r="AB227">
        <v>0</v>
      </c>
      <c r="AC227">
        <v>0</v>
      </c>
      <c r="AD227">
        <v>0</v>
      </c>
      <c r="AE227">
        <v>0</v>
      </c>
      <c r="AF227">
        <v>0</v>
      </c>
      <c r="AG227">
        <v>0</v>
      </c>
      <c r="AH227">
        <v>0</v>
      </c>
      <c r="AI227">
        <v>0</v>
      </c>
      <c r="AJ227">
        <v>0</v>
      </c>
      <c r="AK227">
        <v>1</v>
      </c>
      <c r="AL227">
        <v>0</v>
      </c>
      <c r="AM227">
        <v>0</v>
      </c>
      <c r="AN227">
        <v>0</v>
      </c>
      <c r="AO227">
        <v>0</v>
      </c>
      <c r="AP227">
        <v>0</v>
      </c>
      <c r="AQ227">
        <v>0</v>
      </c>
      <c r="AR227">
        <v>0</v>
      </c>
      <c r="AS227">
        <v>0</v>
      </c>
      <c r="AT227">
        <v>0</v>
      </c>
      <c r="AU227">
        <v>0</v>
      </c>
      <c r="AV227">
        <v>0</v>
      </c>
      <c r="AW227">
        <v>0</v>
      </c>
      <c r="AX227" s="141">
        <f>COUNTIF(V227:AW227,"&lt;&gt;0")</f>
        <v>1</v>
      </c>
      <c r="AY227" s="141">
        <f>COUNTIF(V227:AL227,"&lt;&gt;0")</f>
        <v>1</v>
      </c>
      <c r="AZ227">
        <f>COUNTIF(V227:AC227,"&lt;&gt;0")</f>
        <v>0</v>
      </c>
      <c r="BA227">
        <f>COUNTIF(AD227:AI227,"&lt;&gt;0")</f>
        <v>0</v>
      </c>
      <c r="BB227">
        <f>COUNTIF(AJ227:AL227,"&lt;&gt;0")</f>
        <v>1</v>
      </c>
      <c r="BC227">
        <f>COUNTIF(AS227:AW227,"&lt;&gt;0")</f>
        <v>0</v>
      </c>
      <c r="BD227">
        <f>COUNTIF(AM227:AR227,"&lt;&gt;0")</f>
        <v>0</v>
      </c>
      <c r="BE227" t="str">
        <f t="array" ref="BE227">IF(AY227=1,INDEX($V$7:$AL$7,MATCH(TRUE,INDEX($V227:$AW227&lt;&gt;0,),0)),IF(AY227=0,INDEX($AM$7:$AW$7,MATCH(1,$AM227:$AW227,0)),IF(BF227="Multiple strategies","mixed drivers",IF(BF227="Supply chain","multiple supply","multiple silviculture"))))</f>
        <v>technologies/design switch</v>
      </c>
      <c r="BF227" s="2" t="str" cm="1">
        <f t="array" ref="BF227">IF(COUNTIF(AZ227:BB227,"&lt;&gt;0")=1,INDEX($V$4:$AW$4,MATCH(TRUE,INDEX($V227:$AW227&lt;&gt;0,),0)),IF(COUNTIF(AZ227:BB227,"&lt;&gt;0")=0,INDEX($AM$4:$AW$4,MATCH(1,$AM227:$AW227,0)),"Multiple strategies"))</f>
        <v>Technology</v>
      </c>
      <c r="BG227" s="1" t="s">
        <v>229</v>
      </c>
      <c r="BH227" s="264" t="s">
        <v>259</v>
      </c>
      <c r="BI227" s="264" t="s">
        <v>3315</v>
      </c>
      <c r="BJ227" s="264" t="s">
        <v>651</v>
      </c>
      <c r="BK227" s="260">
        <v>0</v>
      </c>
      <c r="BL227" s="260">
        <v>528</v>
      </c>
      <c r="BM227" s="261"/>
      <c r="BN227" s="260">
        <f>BL227-BK227</f>
        <v>528</v>
      </c>
      <c r="BO227" s="260">
        <f>BN227*t_to_m3</f>
        <v>1077.5510204081634</v>
      </c>
      <c r="BP227" s="260" t="s">
        <v>395</v>
      </c>
      <c r="BQ227" s="300" t="s">
        <v>3316</v>
      </c>
      <c r="BR227" s="260" t="s">
        <v>3314</v>
      </c>
      <c r="BS227" s="260">
        <f>(186+22+0+57+1942+29-149)*3528.65</f>
        <v>7364292.5499999998</v>
      </c>
      <c r="BT227" s="260">
        <f>(215+22+15+51+1942+44-71)*3528.65</f>
        <v>7826545.7000000002</v>
      </c>
      <c r="BU227" s="144">
        <f>IFERROR(BT227/BS227,"")</f>
        <v>1.0627695256348826</v>
      </c>
      <c r="BV227">
        <f>BT227-BS227</f>
        <v>462253.15000000037</v>
      </c>
      <c r="BW227"/>
      <c r="BX227">
        <f>BV227/1000</f>
        <v>462.25315000000035</v>
      </c>
      <c r="BY227">
        <f>IFERROR(BX227/BO227,"")</f>
        <v>0.42898493087121242</v>
      </c>
      <c r="BZ227">
        <v>0</v>
      </c>
      <c r="CA227">
        <v>0</v>
      </c>
      <c r="CB227">
        <v>0</v>
      </c>
      <c r="CC227">
        <v>0</v>
      </c>
      <c r="CD227">
        <v>0</v>
      </c>
      <c r="CE227">
        <v>0</v>
      </c>
      <c r="CF227">
        <v>0</v>
      </c>
      <c r="CG227">
        <v>0</v>
      </c>
      <c r="CH227">
        <v>0</v>
      </c>
      <c r="CI227">
        <v>0</v>
      </c>
      <c r="CJ227">
        <v>0</v>
      </c>
      <c r="CK227">
        <v>0</v>
      </c>
      <c r="CL227">
        <v>0</v>
      </c>
      <c r="CM227">
        <v>0</v>
      </c>
      <c r="CN227" t="str">
        <f>IF($BL227&lt;$BK227,"refNeedCorrection","refOK")</f>
        <v>refOK</v>
      </c>
      <c r="CO227">
        <f>IF($CN227="refNeedCorrection",BL227,BK227)</f>
        <v>0</v>
      </c>
      <c r="CP227">
        <f>IF($CN227="refNeedCorrection",BK227,BL227)</f>
        <v>528</v>
      </c>
      <c r="CQ227">
        <f>IF($CN227="refOK",$BO227,-$BO227)</f>
        <v>1077.5510204081634</v>
      </c>
      <c r="CR227">
        <f>IF($CN227="refOK",$BS228,$BT228)*IF($BP227="Emissions positive",-1,1)</f>
        <v>393.1</v>
      </c>
      <c r="CS227">
        <f>IF($CN227="refOK",$BT228,$BS228)*IF($BP227="Emissions positive",-1,1)</f>
        <v>10.3</v>
      </c>
      <c r="CT227">
        <f>IF($CN227="refNeedCorrection",-BX227,BX227)*IF($BP227="Emissions positive",-1,1)</f>
        <v>-462.25315000000035</v>
      </c>
      <c r="CU227">
        <f>IFERROR(CT227/CQ227,"")</f>
        <v>-0.42898493087121242</v>
      </c>
      <c r="CV227" s="2">
        <f>IFERROR((CS227-CR227)/ABS(CR227),"")</f>
        <v>-0.97379801577206815</v>
      </c>
      <c r="CW227" s="1" t="s">
        <v>263</v>
      </c>
      <c r="CX227" t="str">
        <f>IF(OR($CW227="prd",$CW227="std",$CW227="cit"),"loc",IF(OR($CW227="eur",$CW227="reg",$CW227="coy"),"reg",$CW227))</f>
        <v>loc</v>
      </c>
      <c r="CY227" t="s">
        <v>666</v>
      </c>
      <c r="CZ227"/>
      <c r="DA227"/>
      <c r="DB227">
        <v>100</v>
      </c>
      <c r="DC227" t="str">
        <f>IF(DB227=0,"0",IF(AND(DB227&gt;=1,DB227&lt;=30),"1-30",IF(AND(DB227&gt;30,DB227&lt;=70),"31-70",IF(AND(DB227&gt;70,DB227&lt;=100),"71-100",IF(DB227&gt;100,"+100")))))</f>
        <v>71-100</v>
      </c>
      <c r="DD227">
        <v>0</v>
      </c>
      <c r="DE227">
        <v>0</v>
      </c>
      <c r="DF227">
        <v>0</v>
      </c>
      <c r="DG227">
        <v>1</v>
      </c>
      <c r="DH227"/>
      <c r="DI227">
        <f>SUM(DD227:DG227)</f>
        <v>1</v>
      </c>
      <c r="DJ227" t="str">
        <f>IF(DI227=1,INDEX($DD$7:$DG$7,MATCH(1,$DD227:$DG227,0)),"mixedProduct")</f>
        <v>TimberInput</v>
      </c>
      <c r="DK227">
        <f>IF(DD227=1,DK$7,0)</f>
        <v>0</v>
      </c>
      <c r="DL227">
        <f>IF(DE227=1,DL$7,0)</f>
        <v>0</v>
      </c>
      <c r="DM227">
        <f>IF(DF227=1,DM$7,0)</f>
        <v>0</v>
      </c>
      <c r="DN227" t="str">
        <f>IF(DG227=1,DN$7,0)</f>
        <v>Timber</v>
      </c>
      <c r="DO227">
        <v>0</v>
      </c>
      <c r="DP227">
        <v>0</v>
      </c>
      <c r="DQ227">
        <v>0</v>
      </c>
      <c r="DR227">
        <v>0</v>
      </c>
      <c r="DS227">
        <v>0</v>
      </c>
      <c r="DT227">
        <f>SUM(DO227:DP227)</f>
        <v>0</v>
      </c>
      <c r="DU227" s="143" t="str">
        <f>IF(DO227=1,"self-calculated DF",IF(DP227=1,"external DF used","explicit C balance"))</f>
        <v>explicit C balance</v>
      </c>
      <c r="DV227">
        <v>0</v>
      </c>
      <c r="DW227">
        <v>0</v>
      </c>
      <c r="DX227">
        <v>0</v>
      </c>
      <c r="DY227">
        <v>1</v>
      </c>
      <c r="DZ227">
        <v>0</v>
      </c>
      <c r="EA227">
        <v>1</v>
      </c>
      <c r="EB227">
        <v>0</v>
      </c>
      <c r="EC227">
        <v>1</v>
      </c>
      <c r="ED227">
        <v>1</v>
      </c>
      <c r="EE227">
        <v>1</v>
      </c>
      <c r="EF227" s="260">
        <v>0</v>
      </c>
      <c r="EG227" s="260">
        <v>0</v>
      </c>
      <c r="EH227">
        <v>0</v>
      </c>
      <c r="EI227" s="2">
        <v>0</v>
      </c>
      <c r="EJ227" s="1"/>
      <c r="EK227" t="str">
        <f>IF(AND(AND(AND(OR($DX227=1,$DW227=1),OR($EC227=1,$EA227=1)),SUM($DV227:$DZ227,$EF227)&gt;=4),SUM($EA227:$EE227)&gt;=2),"Whole sector","")</f>
        <v/>
      </c>
      <c r="EL227" t="str">
        <f>IF(AND(AND(OR($DX227=1,$DW227=1),AND($EC227=0,$EA227=0)),SUM($DV227:$DZ227,$EF227)&gt;=4),"Ecosystem approach","")</f>
        <v/>
      </c>
      <c r="EM227" s="2" t="str">
        <f>IF(AND(AND(AND($DX227=0,$DW227=0),OR($EC227=1,$EA227=1)),SUM($EB227:$EE227)&gt;=2),"Technology approach","")</f>
        <v>Technology approach</v>
      </c>
      <c r="EN227"/>
      <c r="EO227"/>
      <c r="EP227" t="str">
        <f>IF(ISNUMBER(BU227),IF(ABS(BU227-[4]QC_indicators!$B$2)&gt;3*[4]QC_indicators!$C$2,"C ratio",IF(ISNUMBER(BY227),IF(ABS(BY227-[4]QC_indicators!$B$1)&gt;3*[4]QC_indicators!$C$1,"DF","no"))),IF(ISNUMBER(BY227),IF(ABS(BY227-[4]QC_indicators!$B$1)&gt;3*[4]QC_indicators!$C$1,"DF","no")))</f>
        <v>no</v>
      </c>
      <c r="EQ227"/>
      <c r="ER227"/>
      <c r="ES227"/>
      <c r="ET227" s="264" t="s">
        <v>3273</v>
      </c>
      <c r="EU227"/>
    </row>
    <row r="228" spans="1:151" s="139" customFormat="1" ht="15" customHeight="1">
      <c r="A228" s="1" t="s">
        <v>265</v>
      </c>
      <c r="B228" t="s">
        <v>1531</v>
      </c>
      <c r="C228" t="s">
        <v>1532</v>
      </c>
      <c r="D228" t="s">
        <v>1533</v>
      </c>
      <c r="E228" t="s">
        <v>1534</v>
      </c>
      <c r="F228" t="s">
        <v>1535</v>
      </c>
      <c r="G228" t="s">
        <v>271</v>
      </c>
      <c r="H228" t="s">
        <v>254</v>
      </c>
      <c r="I228">
        <v>2019</v>
      </c>
      <c r="J228">
        <v>26</v>
      </c>
      <c r="K228" t="s">
        <v>1536</v>
      </c>
      <c r="L228"/>
      <c r="M228" t="str">
        <f>LEFT($D228,FIND(",",$D228)-1)&amp;"_"&amp;I228&amp;L228</f>
        <v>Faraca_2019</v>
      </c>
      <c r="N228" t="s">
        <v>222</v>
      </c>
      <c r="O228" s="145" t="s">
        <v>274</v>
      </c>
      <c r="P228" s="180" t="s">
        <v>223</v>
      </c>
      <c r="Q228" t="s">
        <v>256</v>
      </c>
      <c r="R228" s="262" t="s">
        <v>223</v>
      </c>
      <c r="S228" s="263" t="s">
        <v>3120</v>
      </c>
      <c r="T228" t="s">
        <v>1543</v>
      </c>
      <c r="U228" t="s">
        <v>1545</v>
      </c>
      <c r="V228">
        <v>0</v>
      </c>
      <c r="W228">
        <v>0</v>
      </c>
      <c r="X228">
        <v>0</v>
      </c>
      <c r="Y228">
        <v>0</v>
      </c>
      <c r="Z228">
        <v>0</v>
      </c>
      <c r="AA228">
        <v>0</v>
      </c>
      <c r="AB228">
        <v>0</v>
      </c>
      <c r="AC228">
        <v>0</v>
      </c>
      <c r="AD228">
        <v>0</v>
      </c>
      <c r="AE228">
        <v>0</v>
      </c>
      <c r="AF228">
        <v>0</v>
      </c>
      <c r="AG228">
        <v>0</v>
      </c>
      <c r="AH228">
        <v>0</v>
      </c>
      <c r="AI228">
        <v>1</v>
      </c>
      <c r="AJ228">
        <v>0</v>
      </c>
      <c r="AK228">
        <v>0</v>
      </c>
      <c r="AL228">
        <v>0</v>
      </c>
      <c r="AM228">
        <v>0</v>
      </c>
      <c r="AN228">
        <v>0</v>
      </c>
      <c r="AO228">
        <v>0</v>
      </c>
      <c r="AP228">
        <v>0</v>
      </c>
      <c r="AQ228">
        <v>0</v>
      </c>
      <c r="AR228">
        <v>0</v>
      </c>
      <c r="AS228">
        <v>0</v>
      </c>
      <c r="AT228">
        <v>0</v>
      </c>
      <c r="AU228">
        <v>0</v>
      </c>
      <c r="AV228">
        <v>0</v>
      </c>
      <c r="AW228">
        <v>0</v>
      </c>
      <c r="AX228" s="141">
        <f>COUNTIF(V228:AW228,"&lt;&gt;0")</f>
        <v>1</v>
      </c>
      <c r="AY228" s="141">
        <f>COUNTIF(V228:AL228,"&lt;&gt;0")</f>
        <v>1</v>
      </c>
      <c r="AZ228">
        <f>COUNTIF(V228:AC228,"&lt;&gt;0")</f>
        <v>0</v>
      </c>
      <c r="BA228">
        <f>COUNTIF(AD228:AI228,"&lt;&gt;0")</f>
        <v>1</v>
      </c>
      <c r="BB228">
        <f>COUNTIF(AJ228:AL228,"&lt;&gt;0")</f>
        <v>0</v>
      </c>
      <c r="BC228">
        <f>COUNTIF(AS228:AW228,"&lt;&gt;0")</f>
        <v>0</v>
      </c>
      <c r="BD228">
        <f>COUNTIF(AM228:AR228,"&lt;&gt;0")</f>
        <v>0</v>
      </c>
      <c r="BE228" t="str">
        <f t="array" ref="BE228">IF(AY228=1,INDEX($V$7:$AL$7,MATCH(TRUE,INDEX($V228:$AW228&lt;&gt;0,),0)),IF(AY228=0,INDEX($AM$7:$AW$7,MATCH(1,$AM228:$AW228,0)),IF(BF228="Multiple strategies","mixed drivers",IF(BF228="Supply chain","multiple supply","multiple silviculture"))))</f>
        <v>products lifespan</v>
      </c>
      <c r="BF228" s="2" t="str" cm="1">
        <f t="array" ref="BF228">IF(COUNTIF(AZ228:BB228,"&lt;&gt;0")=1,INDEX($V$4:$AW$4,MATCH(TRUE,INDEX($V228:$AW228&lt;&gt;0,),0)),IF(COUNTIF(AZ228:BB228,"&lt;&gt;0")=0,INDEX($AM$4:$AW$4,MATCH(1,$AM228:$AW228,0)),"Multiple strategies"))</f>
        <v>Supply chain</v>
      </c>
      <c r="BG228" s="1" t="s">
        <v>229</v>
      </c>
      <c r="BH228" t="s">
        <v>1548</v>
      </c>
      <c r="BI228" s="264" t="s">
        <v>3121</v>
      </c>
      <c r="BJ228" t="s">
        <v>345</v>
      </c>
      <c r="BK228">
        <v>478</v>
      </c>
      <c r="BL228">
        <v>922</v>
      </c>
      <c r="BM228">
        <f>BK228/BL228</f>
        <v>0.51843817787418656</v>
      </c>
      <c r="BN228">
        <f>BL228-BK228</f>
        <v>444</v>
      </c>
      <c r="BO228">
        <f>BN228*kg_to_m3</f>
        <v>0.90612244897959193</v>
      </c>
      <c r="BP228" t="s">
        <v>395</v>
      </c>
      <c r="BQ228" s="301" t="s">
        <v>426</v>
      </c>
      <c r="BR228" t="s">
        <v>728</v>
      </c>
      <c r="BS228">
        <v>-393.1</v>
      </c>
      <c r="BT228">
        <v>-10.3</v>
      </c>
      <c r="BU228" s="144">
        <f>IFERROR(BS228/BT228,"")</f>
        <v>38.165048543689323</v>
      </c>
      <c r="BV228">
        <f>BT228-BS228</f>
        <v>382.8</v>
      </c>
      <c r="BW228"/>
      <c r="BX228">
        <f>BV228/1000</f>
        <v>0.38280000000000003</v>
      </c>
      <c r="BY228">
        <f>IFERROR(BX228/BO228,"")</f>
        <v>0.42245945945945945</v>
      </c>
      <c r="BZ228">
        <v>0</v>
      </c>
      <c r="CA228">
        <v>0</v>
      </c>
      <c r="CB228">
        <v>0</v>
      </c>
      <c r="CC228">
        <v>0</v>
      </c>
      <c r="CD228">
        <v>0</v>
      </c>
      <c r="CE228">
        <v>0</v>
      </c>
      <c r="CF228">
        <v>0</v>
      </c>
      <c r="CG228">
        <v>0</v>
      </c>
      <c r="CH228">
        <v>0</v>
      </c>
      <c r="CI228">
        <v>0</v>
      </c>
      <c r="CJ228">
        <v>0</v>
      </c>
      <c r="CK228">
        <v>0</v>
      </c>
      <c r="CL228">
        <v>0</v>
      </c>
      <c r="CM228">
        <v>0</v>
      </c>
      <c r="CN228" t="str">
        <f>IF($BL228&lt;$BK228,"refNeedCorrection","refOK")</f>
        <v>refOK</v>
      </c>
      <c r="CO228">
        <f>IF($CN228="refNeedCorrection",BL228,BK228)</f>
        <v>478</v>
      </c>
      <c r="CP228">
        <f>IF($CN228="refNeedCorrection",BK228,BL228)</f>
        <v>922</v>
      </c>
      <c r="CQ228">
        <f>IF($CN228="refOK",$BO228,-$BO228)</f>
        <v>0.90612244897959193</v>
      </c>
      <c r="CR228">
        <f>IF($CN228="refOK",$BS228,$BT228)*IF($BP228="Emissions positive",-1,1)</f>
        <v>393.1</v>
      </c>
      <c r="CS228">
        <f>IF($CN228="refOK",$BT228,$BS228)*IF($BP228="Emissions positive",-1,1)</f>
        <v>10.3</v>
      </c>
      <c r="CT228">
        <f>IF($CN228="refNeedCorrection",-BX228,BX228)*IF($BP228="Emissions positive",-1,1)</f>
        <v>-0.38280000000000003</v>
      </c>
      <c r="CU228">
        <f>IFERROR(CT228/CQ228,"")</f>
        <v>-0.42245945945945945</v>
      </c>
      <c r="CV228" s="2">
        <f>IFERROR((CS228-CR228)/ABS(CR228),"")</f>
        <v>-0.97379801577206815</v>
      </c>
      <c r="CW228" s="1" t="s">
        <v>1199</v>
      </c>
      <c r="CX228" t="str">
        <f>IF(OR($CW228="prd",$CW228="std",$CW228="cit"),"loc",IF(OR($CW228="eur",$CW228="reg",$CW228="coy"),"reg",$CW228))</f>
        <v>reg</v>
      </c>
      <c r="CY228" t="s">
        <v>1540</v>
      </c>
      <c r="CZ228"/>
      <c r="DA228"/>
      <c r="DB228">
        <v>100</v>
      </c>
      <c r="DC228" t="str">
        <f>IF(DB228=0,"0",IF(AND(DB228&gt;=1,DB228&lt;=30),"1-30",IF(AND(DB228&gt;30,DB228&lt;=70),"31-70",IF(AND(DB228&gt;70,DB228&lt;=100),"71-100",IF(DB228&gt;100,"+100")))))</f>
        <v>71-100</v>
      </c>
      <c r="DD228">
        <v>0</v>
      </c>
      <c r="DE228">
        <v>0</v>
      </c>
      <c r="DF228">
        <v>0</v>
      </c>
      <c r="DG228">
        <v>1</v>
      </c>
      <c r="DH228"/>
      <c r="DI228">
        <f>SUM(DD228:DG228)</f>
        <v>1</v>
      </c>
      <c r="DJ228" t="str">
        <f>IF(DI228=1,INDEX($DD$7:$DG$7,MATCH(1,$DD228:$DG228,0)),"mixedProduct")</f>
        <v>TimberInput</v>
      </c>
      <c r="DK228">
        <f>IF(DD228=1,DK$7,0)</f>
        <v>0</v>
      </c>
      <c r="DL228">
        <f>IF(DE228=1,DL$7,0)</f>
        <v>0</v>
      </c>
      <c r="DM228">
        <f>IF(DF228=1,DM$7,0)</f>
        <v>0</v>
      </c>
      <c r="DN228" t="str">
        <f>IF(DG228=1,DN$7,0)</f>
        <v>Timber</v>
      </c>
      <c r="DO228">
        <v>0</v>
      </c>
      <c r="DP228">
        <v>1</v>
      </c>
      <c r="DQ228">
        <v>0</v>
      </c>
      <c r="DR228">
        <v>0</v>
      </c>
      <c r="DS228" t="s">
        <v>1541</v>
      </c>
      <c r="DT228">
        <f>SUM(DO228:DP228)</f>
        <v>1</v>
      </c>
      <c r="DU228" s="143" t="str">
        <f>IF(DO228=1,"self-calculated DF",IF(DP228=1,"external DF used","explicit C balance"))</f>
        <v>external DF used</v>
      </c>
      <c r="DV228">
        <v>0</v>
      </c>
      <c r="DW228">
        <v>0</v>
      </c>
      <c r="DX228">
        <v>0</v>
      </c>
      <c r="DY228">
        <v>0</v>
      </c>
      <c r="DZ228">
        <v>1</v>
      </c>
      <c r="EA228" s="143">
        <v>1</v>
      </c>
      <c r="EB228">
        <v>0</v>
      </c>
      <c r="EC228">
        <v>1</v>
      </c>
      <c r="ED228">
        <v>0</v>
      </c>
      <c r="EE228">
        <v>1</v>
      </c>
      <c r="EF228">
        <v>1</v>
      </c>
      <c r="EG228">
        <v>1</v>
      </c>
      <c r="EH228">
        <v>0</v>
      </c>
      <c r="EI228" s="2">
        <v>0</v>
      </c>
      <c r="EJ228" s="1"/>
      <c r="EK228" t="str">
        <f>IF(AND(AND(AND(OR($DX228=1,$DW228=1),OR($EC228=1,$EA228=1)),SUM($DV228:$DZ228,$EF228)&gt;=4),SUM($EA228:$EE228)&gt;=2),"Whole sector","")</f>
        <v/>
      </c>
      <c r="EL228" t="str">
        <f>IF(AND(AND(OR($DX228=1,$DW228=1),AND($EC228=0,$EA228=0)),SUM($DV228:$DZ228,$EF228)&gt;=4),"Ecosystem approach","")</f>
        <v/>
      </c>
      <c r="EM228" s="2" t="str">
        <f>IF(AND(AND(AND($DX228=0,$DW228=0),OR($EC228=1,$EA228=1)),SUM($EB228:$EE228)&gt;=2),"Technology approach","")</f>
        <v>Technology approach</v>
      </c>
      <c r="EN228"/>
      <c r="EO228"/>
      <c r="EP228" t="str">
        <f>IF(ISNUMBER(BU228),IF(ABS(BU228-[1]QC_indicators!$B$2)&gt;3*[1]QC_indicators!$C$2,"C ratio",IF(ISNUMBER(BY228),IF(ABS(BY228-[1]QC_indicators!$B$1)&gt;3*[1]QC_indicators!$C$1,"DF","no"))),IF(ISNUMBER(BY228),IF(ABS(BY228-[1]QC_indicators!$B$1)&gt;3*[1]QC_indicators!$C$1,"DF","no")))</f>
        <v>C ratio</v>
      </c>
      <c r="EQ228"/>
      <c r="ER228"/>
      <c r="ES228"/>
      <c r="ET228" s="264" t="s">
        <v>3273</v>
      </c>
      <c r="EU228"/>
    </row>
    <row r="229" spans="1:151" s="139" customFormat="1" ht="15" customHeight="1">
      <c r="A229" s="1" t="s">
        <v>265</v>
      </c>
      <c r="B229" t="s">
        <v>266</v>
      </c>
      <c r="C229" t="s">
        <v>267</v>
      </c>
      <c r="D229" t="s">
        <v>268</v>
      </c>
      <c r="E229" t="s">
        <v>269</v>
      </c>
      <c r="F229" t="s">
        <v>270</v>
      </c>
      <c r="G229" t="s">
        <v>271</v>
      </c>
      <c r="H229" t="s">
        <v>254</v>
      </c>
      <c r="I229">
        <v>2022</v>
      </c>
      <c r="J229">
        <v>0</v>
      </c>
      <c r="K229" t="s">
        <v>272</v>
      </c>
      <c r="L229"/>
      <c r="M229" t="str">
        <f>LEFT($D229,FIND(",",$D229)-1)&amp;"_"&amp;I229&amp;L229</f>
        <v>Aryapratama_2022</v>
      </c>
      <c r="N229" t="s">
        <v>222</v>
      </c>
      <c r="O229" s="145" t="s">
        <v>274</v>
      </c>
      <c r="P229"/>
      <c r="Q229" t="s">
        <v>224</v>
      </c>
      <c r="R229" s="262" t="s">
        <v>223</v>
      </c>
      <c r="S229" s="263" t="s">
        <v>3105</v>
      </c>
      <c r="T229" t="s">
        <v>293</v>
      </c>
      <c r="U229" t="s">
        <v>275</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0</v>
      </c>
      <c r="AQ229">
        <v>0</v>
      </c>
      <c r="AR229">
        <v>0</v>
      </c>
      <c r="AS229">
        <v>0</v>
      </c>
      <c r="AT229">
        <v>0</v>
      </c>
      <c r="AU229">
        <v>0</v>
      </c>
      <c r="AV229">
        <v>0</v>
      </c>
      <c r="AW229">
        <v>0</v>
      </c>
      <c r="AX229" s="141">
        <f>COUNTIF(V229:AW229,"&lt;&gt;0")</f>
        <v>1</v>
      </c>
      <c r="AY229" s="141">
        <f>COUNTIF(V229:AL229,"&lt;&gt;0")</f>
        <v>1</v>
      </c>
      <c r="AZ229">
        <f>COUNTIF(V229:AC229,"&lt;&gt;0")</f>
        <v>0</v>
      </c>
      <c r="BA229">
        <f>COUNTIF(AD229:AI229,"&lt;&gt;0")</f>
        <v>0</v>
      </c>
      <c r="BB229">
        <f>COUNTIF(AJ229:AL229,"&lt;&gt;0")</f>
        <v>1</v>
      </c>
      <c r="BC229">
        <f>COUNTIF(AS229:AW229,"&lt;&gt;0")</f>
        <v>0</v>
      </c>
      <c r="BD229">
        <f>COUNTIF(AM229:AR229,"&lt;&gt;0")</f>
        <v>0</v>
      </c>
      <c r="BE229" t="str">
        <f t="array" ref="BE229">IF(AY229=1,INDEX($V$7:$AL$7,MATCH(TRUE,INDEX($V229:$AW229&lt;&gt;0,),0)),IF(AY229=0,INDEX($AM$7:$AW$7,MATCH(1,$AM229:$AW229,0)),IF(BF229="Multiple strategies","mixed drivers",IF(BF229="Supply chain","multiple supply","multiple silviculture"))))</f>
        <v>technologies/design switch</v>
      </c>
      <c r="BF229" s="2" t="str" cm="1">
        <f t="array" ref="BF229">IF(COUNTIF(AZ229:BB229,"&lt;&gt;0")=1,INDEX($V$4:$AW$4,MATCH(TRUE,INDEX($V229:$AW229&lt;&gt;0,),0)),IF(COUNTIF(AZ229:BB229,"&lt;&gt;0")=0,INDEX($AM$4:$AW$4,MATCH(1,$AM229:$AW229,0)),"Multiple strategies"))</f>
        <v>Technology</v>
      </c>
      <c r="BG229" s="1" t="s">
        <v>229</v>
      </c>
      <c r="BH229" t="s">
        <v>277</v>
      </c>
      <c r="BI229" s="264" t="s">
        <v>3106</v>
      </c>
      <c r="BJ229" t="s">
        <v>278</v>
      </c>
      <c r="BK229">
        <v>0</v>
      </c>
      <c r="BL229">
        <v>135.57962264150939</v>
      </c>
      <c r="BM229"/>
      <c r="BN229">
        <f>BL229-BK229</f>
        <v>135.57962264150939</v>
      </c>
      <c r="BO229">
        <f>BN229*tC_to_m3</f>
        <v>588.70873921628049</v>
      </c>
      <c r="BP229" t="s">
        <v>232</v>
      </c>
      <c r="BQ229" s="303" t="s">
        <v>3107</v>
      </c>
      <c r="BR229" t="s">
        <v>279</v>
      </c>
      <c r="BS229">
        <v>-256.36341951965699</v>
      </c>
      <c r="BT229">
        <v>-502.68675849347369</v>
      </c>
      <c r="BU229" s="144">
        <f>IFERROR(BT229/BS229,"")</f>
        <v>1.9608365321204866</v>
      </c>
      <c r="BV229">
        <f>BT229-BS229</f>
        <v>-246.3233389738167</v>
      </c>
      <c r="BW229"/>
      <c r="BX229">
        <f>BV229</f>
        <v>-246.3233389738167</v>
      </c>
      <c r="BY229">
        <f>IFERROR(BX229/BO229,"")</f>
        <v>-0.41841291383194867</v>
      </c>
      <c r="BZ229">
        <v>0</v>
      </c>
      <c r="CA229">
        <v>0</v>
      </c>
      <c r="CB229">
        <v>0</v>
      </c>
      <c r="CC229">
        <v>0</v>
      </c>
      <c r="CD229">
        <v>0</v>
      </c>
      <c r="CE229">
        <v>0</v>
      </c>
      <c r="CF229">
        <v>0</v>
      </c>
      <c r="CG229">
        <v>0</v>
      </c>
      <c r="CH229">
        <v>0</v>
      </c>
      <c r="CI229">
        <v>0</v>
      </c>
      <c r="CJ229">
        <v>0</v>
      </c>
      <c r="CK229">
        <v>0</v>
      </c>
      <c r="CL229">
        <v>0</v>
      </c>
      <c r="CM229">
        <v>0</v>
      </c>
      <c r="CN229" t="str">
        <f>IF($BL229&lt;$BK229,"refNeedCorrection","refOK")</f>
        <v>refOK</v>
      </c>
      <c r="CO229">
        <f>IF($CN229="refOK",$BK229,$BL229)</f>
        <v>0</v>
      </c>
      <c r="CP229">
        <f>IF($CN229="refOK",$BL229,$BK229)</f>
        <v>135.57962264150939</v>
      </c>
      <c r="CQ229">
        <f>IF($CN229="refOK",$BO229,-$BO229)</f>
        <v>588.70873921628049</v>
      </c>
      <c r="CR229">
        <f>IF($CN229="refOK",$BS229,$BT229)*IF($BP229="Emissions positive",-1,1)</f>
        <v>-256.36341951965699</v>
      </c>
      <c r="CS229">
        <f>IF($CN229="refOK",$BT229,$BS229)*IF($BP229="Emissions positive",-1,1)</f>
        <v>-502.68675849347369</v>
      </c>
      <c r="CT229">
        <f>IF($CN229="refNeedCorrection",-BX229,BX229)*IF($BP229="Emissions positive",-1,1)</f>
        <v>-246.3233389738167</v>
      </c>
      <c r="CU229">
        <f>IFERROR(CT229/CQ229,"")</f>
        <v>-0.41841291383194867</v>
      </c>
      <c r="CV229" s="2">
        <f>IFERROR((CS229-CR229)/ABS(CR229),"")</f>
        <v>-0.9608365321204867</v>
      </c>
      <c r="CW229" s="1" t="s">
        <v>234</v>
      </c>
      <c r="CX229" t="str">
        <f>IF(OR($CW229="prd",$CW229="std",$CW229="cit"),"loc",IF(OR($CW229="eur",$CW229="reg",$CW229="coy"),"reg",$CW229))</f>
        <v>loc</v>
      </c>
      <c r="CY229" t="s">
        <v>280</v>
      </c>
      <c r="CZ229"/>
      <c r="DA229"/>
      <c r="DB229">
        <v>100</v>
      </c>
      <c r="DC229" t="str">
        <f>IF(DB229=0,"0",IF(AND(DB229&gt;=1,DB229&lt;=30),"1-30",IF(AND(DB229&gt;30,DB229&lt;=70),"31-70",IF(AND(DB229&gt;70,DB229&lt;=100),"71-100",IF(DB229&gt;100,"+100")))))</f>
        <v>71-100</v>
      </c>
      <c r="DD229">
        <v>0</v>
      </c>
      <c r="DE229">
        <v>0</v>
      </c>
      <c r="DF229">
        <v>0</v>
      </c>
      <c r="DG229">
        <v>1</v>
      </c>
      <c r="DH229"/>
      <c r="DI229">
        <f>SUM(DD229:DG229)</f>
        <v>1</v>
      </c>
      <c r="DJ229" t="str">
        <f>IF(DI229=1,INDEX($DD$7:$DG$7,MATCH(1,$DD229:$DG229,0)),"mixedProduct")</f>
        <v>TimberInput</v>
      </c>
      <c r="DK229">
        <f>IF(DD229=1,DK$7,0)</f>
        <v>0</v>
      </c>
      <c r="DL229">
        <f>IF(DE229=1,DL$7,0)</f>
        <v>0</v>
      </c>
      <c r="DM229">
        <f>IF(DF229=1,DM$7,0)</f>
        <v>0</v>
      </c>
      <c r="DN229" t="str">
        <f>IF(DG229=1,DN$7,0)</f>
        <v>Timber</v>
      </c>
      <c r="DO229">
        <v>0</v>
      </c>
      <c r="DP229">
        <v>1</v>
      </c>
      <c r="DQ229">
        <v>0</v>
      </c>
      <c r="DR229" t="s">
        <v>292</v>
      </c>
      <c r="DS229">
        <v>0</v>
      </c>
      <c r="DT229">
        <f>SUM(DO229:DP229)</f>
        <v>1</v>
      </c>
      <c r="DU229" s="143" t="str">
        <f>IF(DO229=1,"self-calculated DF",IF(DP229=1,"external DF used","explicit C balance"))</f>
        <v>external DF used</v>
      </c>
      <c r="DV229">
        <v>0</v>
      </c>
      <c r="DW229">
        <v>1</v>
      </c>
      <c r="DX229">
        <v>1</v>
      </c>
      <c r="DY229">
        <v>1</v>
      </c>
      <c r="DZ229">
        <v>1</v>
      </c>
      <c r="EA229" s="143">
        <v>0</v>
      </c>
      <c r="EB229">
        <v>1</v>
      </c>
      <c r="EC229">
        <v>1</v>
      </c>
      <c r="ED229">
        <v>0</v>
      </c>
      <c r="EE229">
        <v>1</v>
      </c>
      <c r="EF229">
        <v>1</v>
      </c>
      <c r="EG229">
        <v>1</v>
      </c>
      <c r="EH229">
        <v>0</v>
      </c>
      <c r="EI229" s="2">
        <v>0</v>
      </c>
      <c r="EJ229" s="1"/>
      <c r="EK229" t="str">
        <f>IF(AND(AND(AND(OR($DX229=1,$DW229=1),OR($EC229=1,$EA229=1)),SUM($DV229:$DZ229,$EF229)&gt;=4),SUM($EA229:$EE229)&gt;=2),"Whole sector","")</f>
        <v>Whole sector</v>
      </c>
      <c r="EL229" t="str">
        <f>IF(AND(AND(OR($DX229=1,$DW229=1),AND($EC229=0,$EA229=0)),SUM($DV229:$DZ229,$EF229)&gt;=4),"Ecosystem approach","")</f>
        <v/>
      </c>
      <c r="EM229" s="2" t="str">
        <f>IF(AND(AND(AND($DX229=0,$DW229=0),OR($EC229=1,$EA229=1)),SUM($EB229:$EE229)&gt;=2),"Technology approach","")</f>
        <v/>
      </c>
      <c r="EN229"/>
      <c r="EO229"/>
      <c r="EP229" t="str">
        <f>IF(ISNUMBER(BU229),IF(ABS(BU229-[1]QC_indicators!$B$2)&gt;3*[1]QC_indicators!$C$2,"C ratio",IF(ISNUMBER(BY229),IF(ABS(BY229-[1]QC_indicators!$B$1)&gt;3*[1]QC_indicators!$C$1,"DF","no"))),IF(ISNUMBER(BY229),IF(ABS(BY229-[1]QC_indicators!$B$1)&gt;3*[1]QC_indicators!$C$1,"DF","no")))</f>
        <v>no</v>
      </c>
      <c r="EQ229" t="s">
        <v>286</v>
      </c>
      <c r="ER229"/>
      <c r="ES229"/>
      <c r="ET229" s="264" t="s">
        <v>3273</v>
      </c>
      <c r="EU229"/>
    </row>
    <row r="230" spans="1:151" s="139" customFormat="1" ht="15" customHeight="1">
      <c r="A230" s="1" t="s">
        <v>265</v>
      </c>
      <c r="B230" t="s">
        <v>266</v>
      </c>
      <c r="C230" t="s">
        <v>267</v>
      </c>
      <c r="D230" t="s">
        <v>268</v>
      </c>
      <c r="E230" t="s">
        <v>269</v>
      </c>
      <c r="F230" t="s">
        <v>270</v>
      </c>
      <c r="G230" t="s">
        <v>271</v>
      </c>
      <c r="H230" t="s">
        <v>254</v>
      </c>
      <c r="I230">
        <v>2022</v>
      </c>
      <c r="J230">
        <v>0</v>
      </c>
      <c r="K230" t="s">
        <v>272</v>
      </c>
      <c r="L230"/>
      <c r="M230" t="str">
        <f>LEFT($D230,FIND(",",$D230)-1)&amp;"_"&amp;I230&amp;L230</f>
        <v>Aryapratama_2022</v>
      </c>
      <c r="N230" t="s">
        <v>222</v>
      </c>
      <c r="O230" s="145" t="s">
        <v>274</v>
      </c>
      <c r="P230"/>
      <c r="Q230" t="s">
        <v>224</v>
      </c>
      <c r="R230" s="262" t="s">
        <v>223</v>
      </c>
      <c r="S230" s="263" t="s">
        <v>3105</v>
      </c>
      <c r="T230" t="s">
        <v>327</v>
      </c>
      <c r="U230" t="s">
        <v>326</v>
      </c>
      <c r="V230">
        <v>0</v>
      </c>
      <c r="W230">
        <v>0</v>
      </c>
      <c r="X230">
        <v>0</v>
      </c>
      <c r="Y230">
        <v>0</v>
      </c>
      <c r="Z230">
        <v>0</v>
      </c>
      <c r="AA230">
        <v>0</v>
      </c>
      <c r="AB230">
        <v>0</v>
      </c>
      <c r="AC230">
        <v>0</v>
      </c>
      <c r="AD230">
        <v>0</v>
      </c>
      <c r="AE230">
        <v>0</v>
      </c>
      <c r="AF230">
        <v>0</v>
      </c>
      <c r="AG230">
        <v>0</v>
      </c>
      <c r="AH230">
        <v>0</v>
      </c>
      <c r="AI230">
        <v>0</v>
      </c>
      <c r="AJ230">
        <v>0</v>
      </c>
      <c r="AK230">
        <v>1</v>
      </c>
      <c r="AL230">
        <v>0</v>
      </c>
      <c r="AM230">
        <v>0</v>
      </c>
      <c r="AN230">
        <v>0</v>
      </c>
      <c r="AO230">
        <v>0</v>
      </c>
      <c r="AP230">
        <v>0</v>
      </c>
      <c r="AQ230">
        <v>0</v>
      </c>
      <c r="AR230">
        <v>0</v>
      </c>
      <c r="AS230">
        <v>0</v>
      </c>
      <c r="AT230">
        <v>0</v>
      </c>
      <c r="AU230">
        <v>0</v>
      </c>
      <c r="AV230">
        <v>0</v>
      </c>
      <c r="AW230">
        <v>0</v>
      </c>
      <c r="AX230" s="141">
        <f>COUNTIF(V230:AW230,"&lt;&gt;0")</f>
        <v>1</v>
      </c>
      <c r="AY230" s="141">
        <f>COUNTIF(V230:AL230,"&lt;&gt;0")</f>
        <v>1</v>
      </c>
      <c r="AZ230">
        <f>COUNTIF(V230:AC230,"&lt;&gt;0")</f>
        <v>0</v>
      </c>
      <c r="BA230">
        <f>COUNTIF(AD230:AI230,"&lt;&gt;0")</f>
        <v>0</v>
      </c>
      <c r="BB230">
        <f>COUNTIF(AJ230:AL230,"&lt;&gt;0")</f>
        <v>1</v>
      </c>
      <c r="BC230">
        <f>COUNTIF(AS230:AW230,"&lt;&gt;0")</f>
        <v>0</v>
      </c>
      <c r="BD230">
        <f>COUNTIF(AM230:AR230,"&lt;&gt;0")</f>
        <v>0</v>
      </c>
      <c r="BE230" t="str">
        <f t="array" ref="BE230">IF(AY230=1,INDEX($V$7:$AL$7,MATCH(TRUE,INDEX($V230:$AW230&lt;&gt;0,),0)),IF(AY230=0,INDEX($AM$7:$AW$7,MATCH(1,$AM230:$AW230,0)),IF(BF230="Multiple strategies","mixed drivers",IF(BF230="Supply chain","multiple supply","multiple silviculture"))))</f>
        <v>technologies/design switch</v>
      </c>
      <c r="BF230" s="2" t="str" cm="1">
        <f t="array" ref="BF230">IF(COUNTIF(AZ230:BB230,"&lt;&gt;0")=1,INDEX($V$4:$AW$4,MATCH(TRUE,INDEX($V230:$AW230&lt;&gt;0,),0)),IF(COUNTIF(AZ230:BB230,"&lt;&gt;0")=0,INDEX($AM$4:$AW$4,MATCH(1,$AM230:$AW230,0)),"Multiple strategies"))</f>
        <v>Technology</v>
      </c>
      <c r="BG230" s="1" t="s">
        <v>229</v>
      </c>
      <c r="BH230" t="s">
        <v>277</v>
      </c>
      <c r="BI230" s="264" t="s">
        <v>3106</v>
      </c>
      <c r="BJ230" t="s">
        <v>278</v>
      </c>
      <c r="BK230">
        <v>0</v>
      </c>
      <c r="BL230">
        <v>227.71287018867932</v>
      </c>
      <c r="BM230"/>
      <c r="BN230">
        <f>BL230-BK230</f>
        <v>227.71287018867932</v>
      </c>
      <c r="BO230">
        <f>BN230*tC_to_m3</f>
        <v>988.76626221745255</v>
      </c>
      <c r="BP230" t="s">
        <v>232</v>
      </c>
      <c r="BQ230" s="303" t="s">
        <v>3107</v>
      </c>
      <c r="BR230" t="s">
        <v>279</v>
      </c>
      <c r="BS230">
        <v>-640.9681065668517</v>
      </c>
      <c r="BT230">
        <v>-1049.6296143500765</v>
      </c>
      <c r="BU230" s="144">
        <f>IFERROR(BT230/BS230,"")</f>
        <v>1.6375691763699356</v>
      </c>
      <c r="BV230">
        <f>BT230-BS230</f>
        <v>-408.66150778322481</v>
      </c>
      <c r="BW230"/>
      <c r="BX230">
        <f>BV230</f>
        <v>-408.66150778322481</v>
      </c>
      <c r="BY230">
        <f>IFERROR(BX230/BO230,"")</f>
        <v>-0.41330446173066399</v>
      </c>
      <c r="BZ230">
        <v>0</v>
      </c>
      <c r="CA230">
        <v>0</v>
      </c>
      <c r="CB230">
        <v>0</v>
      </c>
      <c r="CC230">
        <v>0</v>
      </c>
      <c r="CD230">
        <v>0</v>
      </c>
      <c r="CE230">
        <v>0</v>
      </c>
      <c r="CF230">
        <v>0</v>
      </c>
      <c r="CG230">
        <v>0</v>
      </c>
      <c r="CH230">
        <v>0</v>
      </c>
      <c r="CI230">
        <v>0</v>
      </c>
      <c r="CJ230">
        <v>0</v>
      </c>
      <c r="CK230">
        <v>0</v>
      </c>
      <c r="CL230">
        <v>0</v>
      </c>
      <c r="CM230">
        <v>0</v>
      </c>
      <c r="CN230" t="str">
        <f>IF($BL230&lt;$BK230,"refNeedCorrection","refOK")</f>
        <v>refOK</v>
      </c>
      <c r="CO230">
        <f>IF($CN230="refOK",$BK230,$BL230)</f>
        <v>0</v>
      </c>
      <c r="CP230">
        <f>IF($CN230="refOK",$BL230,$BK230)</f>
        <v>227.71287018867932</v>
      </c>
      <c r="CQ230">
        <f>IF($CN230="refOK",$BO230,-$BO230)</f>
        <v>988.76626221745255</v>
      </c>
      <c r="CR230">
        <f>IF($CN230="refOK",$BS230,$BT230)*IF($BP230="Emissions positive",-1,1)</f>
        <v>-640.9681065668517</v>
      </c>
      <c r="CS230">
        <f>IF($CN230="refOK",$BT230,$BS230)*IF($BP230="Emissions positive",-1,1)</f>
        <v>-1049.6296143500765</v>
      </c>
      <c r="CT230">
        <f>IF($CN230="refNeedCorrection",-BX230,BX230)*IF($BP230="Emissions positive",-1,1)</f>
        <v>-408.66150778322481</v>
      </c>
      <c r="CU230">
        <f>IFERROR(CT230/CQ230,"")</f>
        <v>-0.41330446173066399</v>
      </c>
      <c r="CV230" s="2">
        <f>IFERROR((CS230-CR230)/ABS(CR230),"")</f>
        <v>-0.63756917636993571</v>
      </c>
      <c r="CW230" s="1" t="s">
        <v>234</v>
      </c>
      <c r="CX230" t="str">
        <f>IF(OR($CW230="prd",$CW230="std",$CW230="cit"),"loc",IF(OR($CW230="eur",$CW230="reg",$CW230="coy"),"reg",$CW230))</f>
        <v>loc</v>
      </c>
      <c r="CY230" t="s">
        <v>280</v>
      </c>
      <c r="CZ230"/>
      <c r="DA230"/>
      <c r="DB230">
        <v>100</v>
      </c>
      <c r="DC230" t="str">
        <f>IF(DB230=0,"0",IF(AND(DB230&gt;=1,DB230&lt;=30),"1-30",IF(AND(DB230&gt;30,DB230&lt;=70),"31-70",IF(AND(DB230&gt;70,DB230&lt;=100),"71-100",IF(DB230&gt;100,"+100")))))</f>
        <v>71-100</v>
      </c>
      <c r="DD230">
        <v>0</v>
      </c>
      <c r="DE230">
        <v>1</v>
      </c>
      <c r="DF230">
        <v>0</v>
      </c>
      <c r="DG230">
        <v>0</v>
      </c>
      <c r="DH230"/>
      <c r="DI230">
        <f>SUM(DD230:DG230)</f>
        <v>1</v>
      </c>
      <c r="DJ230" t="str">
        <f>IF(DI230=1,INDEX($DD$7:$DG$7,MATCH(1,$DD230:$DG230,0)),"mixedProduct")</f>
        <v>EnergyInput</v>
      </c>
      <c r="DK230">
        <f>IF(DD230=1,DK$7,0)</f>
        <v>0</v>
      </c>
      <c r="DL230" t="str">
        <f>IF(DE230=1,DL$7,0)</f>
        <v>Energy</v>
      </c>
      <c r="DM230">
        <f>IF(DF230=1,DM$7,0)</f>
        <v>0</v>
      </c>
      <c r="DN230">
        <f>IF(DG230=1,DN$7,0)</f>
        <v>0</v>
      </c>
      <c r="DO230">
        <v>0</v>
      </c>
      <c r="DP230">
        <v>1</v>
      </c>
      <c r="DQ230" t="s">
        <v>304</v>
      </c>
      <c r="DR230">
        <v>0</v>
      </c>
      <c r="DS230">
        <v>0</v>
      </c>
      <c r="DT230">
        <f>SUM(DO230:DP230)</f>
        <v>1</v>
      </c>
      <c r="DU230" s="143" t="str">
        <f>IF(DO230=1,"self-calculated DF",IF(DP230=1,"external DF used","explicit C balance"))</f>
        <v>external DF used</v>
      </c>
      <c r="DV230">
        <v>0</v>
      </c>
      <c r="DW230">
        <v>1</v>
      </c>
      <c r="DX230">
        <v>1</v>
      </c>
      <c r="DY230">
        <v>1</v>
      </c>
      <c r="DZ230">
        <v>1</v>
      </c>
      <c r="EA230" s="143">
        <v>0</v>
      </c>
      <c r="EB230">
        <v>1</v>
      </c>
      <c r="EC230">
        <v>1</v>
      </c>
      <c r="ED230">
        <v>0</v>
      </c>
      <c r="EE230">
        <v>1</v>
      </c>
      <c r="EF230">
        <v>1</v>
      </c>
      <c r="EG230">
        <v>1</v>
      </c>
      <c r="EH230">
        <v>0</v>
      </c>
      <c r="EI230" s="2">
        <v>0</v>
      </c>
      <c r="EJ230" s="1"/>
      <c r="EK230" t="str">
        <f>IF(AND(AND(AND(OR($DX230=1,$DW230=1),OR($EC230=1,$EA230=1)),SUM($DV230:$DZ230,$EF230)&gt;=4),SUM($EA230:$EE230)&gt;=2),"Whole sector","")</f>
        <v>Whole sector</v>
      </c>
      <c r="EL230" t="str">
        <f>IF(AND(AND(OR($DX230=1,$DW230=1),AND($EC230=0,$EA230=0)),SUM($DV230:$DZ230,$EF230)&gt;=4),"Ecosystem approach","")</f>
        <v/>
      </c>
      <c r="EM230" s="2" t="str">
        <f>IF(AND(AND(AND($DX230=0,$DW230=0),OR($EC230=1,$EA230=1)),SUM($EB230:$EE230)&gt;=2),"Technology approach","")</f>
        <v/>
      </c>
      <c r="EN230"/>
      <c r="EO230"/>
      <c r="EP230" t="str">
        <f>IF(ISNUMBER(BU230),IF(ABS(BU230-[1]QC_indicators!$B$2)&gt;3*[1]QC_indicators!$C$2,"C ratio",IF(ISNUMBER(BY230),IF(ABS(BY230-[1]QC_indicators!$B$1)&gt;3*[1]QC_indicators!$C$1,"DF","no"))),IF(ISNUMBER(BY230),IF(ABS(BY230-[1]QC_indicators!$B$1)&gt;3*[1]QC_indicators!$C$1,"DF","no")))</f>
        <v>no</v>
      </c>
      <c r="EQ230" t="s">
        <v>286</v>
      </c>
      <c r="ER230"/>
      <c r="ES230"/>
      <c r="ET230" s="264" t="s">
        <v>3273</v>
      </c>
      <c r="EU230"/>
    </row>
    <row r="231" spans="1:151" s="139" customFormat="1" ht="15" customHeight="1">
      <c r="A231" s="1" t="s">
        <v>1808</v>
      </c>
      <c r="B231" t="s">
        <v>2475</v>
      </c>
      <c r="C231" t="s">
        <v>2476</v>
      </c>
      <c r="D231" t="s">
        <v>2477</v>
      </c>
      <c r="E231" t="s">
        <v>2478</v>
      </c>
      <c r="F231" t="s">
        <v>2479</v>
      </c>
      <c r="G231" t="s">
        <v>1814</v>
      </c>
      <c r="H231" t="s">
        <v>254</v>
      </c>
      <c r="I231">
        <v>2010</v>
      </c>
      <c r="J231">
        <v>100</v>
      </c>
      <c r="K231" t="s">
        <v>2480</v>
      </c>
      <c r="L231"/>
      <c r="M231" t="str">
        <f>LEFT($D231,FIND(",",$D231)-1)&amp;"_"&amp;I231&amp;L231</f>
        <v>Werner_2010</v>
      </c>
      <c r="N231" t="s">
        <v>222</v>
      </c>
      <c r="O231" s="145" t="s">
        <v>1154</v>
      </c>
      <c r="P231"/>
      <c r="Q231" t="s">
        <v>256</v>
      </c>
      <c r="R231" s="262" t="s">
        <v>223</v>
      </c>
      <c r="S231" s="263" t="s">
        <v>3255</v>
      </c>
      <c r="T231" t="s">
        <v>2482</v>
      </c>
      <c r="U231" t="s">
        <v>2487</v>
      </c>
      <c r="V231">
        <v>2</v>
      </c>
      <c r="W231">
        <v>0</v>
      </c>
      <c r="X231">
        <v>1</v>
      </c>
      <c r="Y231">
        <v>2</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s="141">
        <f>COUNTIF(V231:AW231,"&lt;&gt;0")</f>
        <v>3</v>
      </c>
      <c r="AY231" s="141">
        <f>COUNTIF(V231:AL231,"&lt;&gt;0")</f>
        <v>3</v>
      </c>
      <c r="AZ231">
        <f>COUNTIF(V231:AC231,"&lt;&gt;0")</f>
        <v>3</v>
      </c>
      <c r="BA231">
        <f>COUNTIF(AD231:AI231,"&lt;&gt;0")</f>
        <v>0</v>
      </c>
      <c r="BB231">
        <f>COUNTIF(AJ231:AL231,"&lt;&gt;0")</f>
        <v>0</v>
      </c>
      <c r="BC231">
        <f>COUNTIF(AS231:AW231,"&lt;&gt;0")</f>
        <v>0</v>
      </c>
      <c r="BD231">
        <f>COUNTIF(AM231:AR231,"&lt;&gt;0")</f>
        <v>0</v>
      </c>
      <c r="BE231" t="str">
        <f t="array" ref="BE231">IF(AY231=1,INDEX($V$7:$AL$7,MATCH(TRUE,INDEX($V231:$AW231&lt;&gt;0,),0)),IF(AY231=0,INDEX($AM$7:$AW$7,MATCH(1,$AM231:$AW231,0)),IF(BF231="Multiple strategies","mixed drivers",IF(BF231="Supply chain","multiple supply","multiple silviculture"))))</f>
        <v>multiple silviculture</v>
      </c>
      <c r="BF231" s="2" t="str" cm="1">
        <f t="array" ref="BF231">IF(COUNTIF(AZ231:BB231,"&lt;&gt;0")=1,INDEX($V$4:$AW$4,MATCH(TRUE,INDEX($V231:$AW231&lt;&gt;0,),0)),IF(COUNTIF(AZ231:BB231,"&lt;&gt;0")=0,INDEX($AM$4:$AW$4,MATCH(1,$AM231:$AW231,0)),"Multiple strategies"))</f>
        <v>Silviculture for removals</v>
      </c>
      <c r="BG231" s="1" t="s">
        <v>321</v>
      </c>
      <c r="BH231" t="s">
        <v>2453</v>
      </c>
      <c r="BI231" s="264" t="s">
        <v>3252</v>
      </c>
      <c r="BJ231" t="s">
        <v>1323</v>
      </c>
      <c r="BK231">
        <v>300</v>
      </c>
      <c r="BL231">
        <v>765</v>
      </c>
      <c r="BM231" s="143">
        <f>BL231/BK231</f>
        <v>2.5499999999999998</v>
      </c>
      <c r="BN231">
        <f>BL231-BK231</f>
        <v>465</v>
      </c>
      <c r="BO231">
        <f>BN231*10^6</f>
        <v>465000000</v>
      </c>
      <c r="BP231" t="s">
        <v>232</v>
      </c>
      <c r="BQ231" s="303" t="s">
        <v>3253</v>
      </c>
      <c r="BR231" t="s">
        <v>2325</v>
      </c>
      <c r="BS231">
        <v>345.6503741652154</v>
      </c>
      <c r="BT231">
        <v>154.92997037322621</v>
      </c>
      <c r="BU231" s="144">
        <f>IFERROR(BT231/BS231,"")</f>
        <v>0.44822740535837563</v>
      </c>
      <c r="BV231" s="144">
        <f>BT231-BS231</f>
        <v>-190.72040379198918</v>
      </c>
      <c r="BW231" s="144"/>
      <c r="BX231">
        <f>BV231*10^6</f>
        <v>-190720403.79198918</v>
      </c>
      <c r="BY231">
        <f>IFERROR(BX231/BO231,"")</f>
        <v>-0.4101514060042778</v>
      </c>
      <c r="BZ231">
        <v>0</v>
      </c>
      <c r="CA231">
        <v>0</v>
      </c>
      <c r="CB231">
        <v>0</v>
      </c>
      <c r="CC231">
        <v>0</v>
      </c>
      <c r="CD231">
        <v>0</v>
      </c>
      <c r="CE231">
        <v>0</v>
      </c>
      <c r="CF231">
        <v>0</v>
      </c>
      <c r="CG231">
        <v>0</v>
      </c>
      <c r="CH231">
        <v>0</v>
      </c>
      <c r="CI231">
        <v>0</v>
      </c>
      <c r="CJ231">
        <v>0</v>
      </c>
      <c r="CK231">
        <v>0</v>
      </c>
      <c r="CL231">
        <v>0</v>
      </c>
      <c r="CM231">
        <v>1</v>
      </c>
      <c r="CN231" t="str">
        <f>IF($BL231&lt;$BK231,"refNeedCorrection","refOK")</f>
        <v>refOK</v>
      </c>
      <c r="CO231">
        <f>IF($CN231="refNeedCorrection",BL231,BK231)</f>
        <v>300</v>
      </c>
      <c r="CP231">
        <f>IF($CN231="refNeedCorrection",BK231,BL231)</f>
        <v>765</v>
      </c>
      <c r="CQ231">
        <f>IF($CN231="refOK",$BO231,-$BO231)</f>
        <v>465000000</v>
      </c>
      <c r="CR231">
        <f>IF($CN231="refOK",$BS231,$BT231)*IF($BP231="Emissions positive",-1,1)</f>
        <v>345.6503741652154</v>
      </c>
      <c r="CS231">
        <f>IF($CN231="refOK",$BT231,$BS231)*IF($BP231="Emissions positive",-1,1)</f>
        <v>154.92997037322621</v>
      </c>
      <c r="CT231">
        <f>IF($CN231="refNeedCorrection",-BX231,BX231)*IF($BP231="Emissions positive",-1,1)</f>
        <v>-190720403.79198918</v>
      </c>
      <c r="CU231">
        <f>IFERROR(CT231/CQ231,"")</f>
        <v>-0.4101514060042778</v>
      </c>
      <c r="CV231" s="2">
        <f>IFERROR((CS231-CR231)/ABS(CR231),"")</f>
        <v>-0.55177259464162431</v>
      </c>
      <c r="CW231" s="1" t="s">
        <v>1203</v>
      </c>
      <c r="CX231" t="str">
        <f>IF(OR($CW231="prd",$CW231="std",$CW231="cit"),"loc",IF(OR($CW231="eur",$CW231="reg",$CW231="coy"),"reg",$CW231))</f>
        <v>reg</v>
      </c>
      <c r="CY231" t="s">
        <v>639</v>
      </c>
      <c r="CZ231">
        <v>2000</v>
      </c>
      <c r="DA231">
        <v>2090</v>
      </c>
      <c r="DB231">
        <f>DA231-CZ231</f>
        <v>90</v>
      </c>
      <c r="DC231" t="str">
        <f>IF(DB231=0,"0",IF(AND(DB231&gt;=1,DB231&lt;=30),"1-30",IF(AND(DB231&gt;30,DB231&lt;=70),"31-70",IF(AND(DB231&gt;70,DB231&lt;=100),"71-100",IF(DB231&gt;100,"+100")))))</f>
        <v>71-100</v>
      </c>
      <c r="DD231">
        <v>0</v>
      </c>
      <c r="DE231">
        <v>0</v>
      </c>
      <c r="DF231">
        <v>0</v>
      </c>
      <c r="DG231">
        <v>1</v>
      </c>
      <c r="DH231">
        <v>0</v>
      </c>
      <c r="DI231">
        <f>SUM(DD231:DG231)</f>
        <v>1</v>
      </c>
      <c r="DJ231" t="str">
        <f>IF(DI231=1,INDEX($DD$7:$DG$7,MATCH(1,$DD231:$DG231,0)),"mixedProduct")</f>
        <v>TimberInput</v>
      </c>
      <c r="DK231">
        <f>IF(DD231=1,DK$7,0)</f>
        <v>0</v>
      </c>
      <c r="DL231">
        <f>IF(DE231=1,DL$7,0)</f>
        <v>0</v>
      </c>
      <c r="DM231">
        <f>IF(DF231=1,DM$7,0)</f>
        <v>0</v>
      </c>
      <c r="DN231" t="str">
        <f>IF(DG231=1,DN$7,0)</f>
        <v>Timber</v>
      </c>
      <c r="DO231">
        <v>0</v>
      </c>
      <c r="DP231">
        <v>0</v>
      </c>
      <c r="DQ231"/>
      <c r="DR231"/>
      <c r="DS231"/>
      <c r="DT231">
        <f>SUM(DO231:DP231)</f>
        <v>0</v>
      </c>
      <c r="DU231" s="143" t="str">
        <f>IF(DO231=1,"self-calculated DF",IF(DP231=1,"external DF used","explicit C balance"))</f>
        <v>explicit C balance</v>
      </c>
      <c r="DV231">
        <v>1</v>
      </c>
      <c r="DW231">
        <v>1</v>
      </c>
      <c r="DX231">
        <v>1</v>
      </c>
      <c r="DY231">
        <v>1</v>
      </c>
      <c r="DZ231">
        <v>0</v>
      </c>
      <c r="EA231" s="143">
        <v>0</v>
      </c>
      <c r="EB231">
        <v>0</v>
      </c>
      <c r="EC231">
        <v>0</v>
      </c>
      <c r="ED231">
        <v>0</v>
      </c>
      <c r="EE231">
        <v>0</v>
      </c>
      <c r="EF231">
        <v>1</v>
      </c>
      <c r="EG231">
        <v>0</v>
      </c>
      <c r="EH231">
        <v>0</v>
      </c>
      <c r="EI231" s="2">
        <v>0</v>
      </c>
      <c r="EJ231" s="1"/>
      <c r="EK231" t="str">
        <f>IF(AND(AND(AND(OR($DX231=1,$DW231=1),OR($EC231=1,$EA231=1)),SUM($DV231:$DZ231,$EF231)&gt;=4),SUM($EA231:$EE231)&gt;=2),"Whole sector","")</f>
        <v/>
      </c>
      <c r="EL231" t="str">
        <f>IF(AND(AND(OR($DX231=1,$DW231=1),AND($EC231=0,$EA231=0)),SUM($DV231:$DZ231,$EF231)&gt;=4),"Ecosystem approach","")</f>
        <v>Ecosystem approach</v>
      </c>
      <c r="EM231" s="2" t="str">
        <f>IF(AND(AND(AND($DX231=0,$DW231=0),OR($EC231=1,$EA231=1)),SUM($EB231:$EE231)&gt;=2),"Technology approach","")</f>
        <v/>
      </c>
      <c r="EN231" t="s">
        <v>2485</v>
      </c>
      <c r="EO231"/>
      <c r="EP231" t="str">
        <f>IF(ISNUMBER(BU231),IF(ABS(BU231-[1]QC_indicators!$B$2)&gt;3*[1]QC_indicators!$C$2,"C ratio",IF(ISNUMBER(BY231),IF(ABS(BY231-[1]QC_indicators!$B$1)&gt;3*[1]QC_indicators!$C$1,"DF","no"))),IF(ISNUMBER(BY231),IF(ABS(BY231-[1]QC_indicators!$B$1)&gt;3*[1]QC_indicators!$C$1,"DF","no")))</f>
        <v>no</v>
      </c>
      <c r="EQ231"/>
      <c r="ER231"/>
      <c r="ES231"/>
      <c r="ET231" s="264" t="s">
        <v>3254</v>
      </c>
      <c r="EU231"/>
    </row>
    <row r="232" spans="1:151" s="139" customFormat="1" ht="15" customHeight="1">
      <c r="A232" s="1" t="s">
        <v>265</v>
      </c>
      <c r="B232" t="s">
        <v>266</v>
      </c>
      <c r="C232" t="s">
        <v>267</v>
      </c>
      <c r="D232" t="s">
        <v>268</v>
      </c>
      <c r="E232" t="s">
        <v>269</v>
      </c>
      <c r="F232" t="s">
        <v>270</v>
      </c>
      <c r="G232" t="s">
        <v>271</v>
      </c>
      <c r="H232" t="s">
        <v>254</v>
      </c>
      <c r="I232">
        <v>2022</v>
      </c>
      <c r="J232">
        <v>0</v>
      </c>
      <c r="K232" t="s">
        <v>272</v>
      </c>
      <c r="L232"/>
      <c r="M232" t="str">
        <f>LEFT($D232,FIND(",",$D232)-1)&amp;"_"&amp;I232&amp;L232</f>
        <v>Aryapratama_2022</v>
      </c>
      <c r="N232" t="s">
        <v>222</v>
      </c>
      <c r="O232" s="145" t="s">
        <v>274</v>
      </c>
      <c r="P232"/>
      <c r="Q232" t="s">
        <v>224</v>
      </c>
      <c r="R232" s="262" t="s">
        <v>223</v>
      </c>
      <c r="S232" s="263" t="s">
        <v>3105</v>
      </c>
      <c r="T232" t="s">
        <v>327</v>
      </c>
      <c r="U232" t="s">
        <v>326</v>
      </c>
      <c r="V232">
        <v>0</v>
      </c>
      <c r="W232">
        <v>0</v>
      </c>
      <c r="X232">
        <v>0</v>
      </c>
      <c r="Y232">
        <v>0</v>
      </c>
      <c r="Z232">
        <v>0</v>
      </c>
      <c r="AA232">
        <v>0</v>
      </c>
      <c r="AB232">
        <v>0</v>
      </c>
      <c r="AC232">
        <v>0</v>
      </c>
      <c r="AD232">
        <v>0</v>
      </c>
      <c r="AE232">
        <v>0</v>
      </c>
      <c r="AF232">
        <v>0</v>
      </c>
      <c r="AG232">
        <v>0</v>
      </c>
      <c r="AH232">
        <v>0</v>
      </c>
      <c r="AI232">
        <v>0</v>
      </c>
      <c r="AJ232">
        <v>0</v>
      </c>
      <c r="AK232">
        <v>1</v>
      </c>
      <c r="AL232">
        <v>0</v>
      </c>
      <c r="AM232">
        <v>0</v>
      </c>
      <c r="AN232">
        <v>0</v>
      </c>
      <c r="AO232">
        <v>0</v>
      </c>
      <c r="AP232">
        <v>0</v>
      </c>
      <c r="AQ232">
        <v>0</v>
      </c>
      <c r="AR232">
        <v>0</v>
      </c>
      <c r="AS232">
        <v>0</v>
      </c>
      <c r="AT232">
        <v>0</v>
      </c>
      <c r="AU232">
        <v>0</v>
      </c>
      <c r="AV232">
        <v>0</v>
      </c>
      <c r="AW232">
        <v>0</v>
      </c>
      <c r="AX232" s="141">
        <f>COUNTIF(V232:AW232,"&lt;&gt;0")</f>
        <v>1</v>
      </c>
      <c r="AY232" s="141">
        <f>COUNTIF(V232:AL232,"&lt;&gt;0")</f>
        <v>1</v>
      </c>
      <c r="AZ232">
        <f>COUNTIF(V232:AC232,"&lt;&gt;0")</f>
        <v>0</v>
      </c>
      <c r="BA232">
        <f>COUNTIF(AD232:AI232,"&lt;&gt;0")</f>
        <v>0</v>
      </c>
      <c r="BB232">
        <f>COUNTIF(AJ232:AL232,"&lt;&gt;0")</f>
        <v>1</v>
      </c>
      <c r="BC232">
        <f>COUNTIF(AS232:AW232,"&lt;&gt;0")</f>
        <v>0</v>
      </c>
      <c r="BD232">
        <f>COUNTIF(AM232:AR232,"&lt;&gt;0")</f>
        <v>0</v>
      </c>
      <c r="BE232" t="str">
        <f t="array" ref="BE232">IF(AY232=1,INDEX($V$7:$AL$7,MATCH(TRUE,INDEX($V232:$AW232&lt;&gt;0,),0)),IF(AY232=0,INDEX($AM$7:$AW$7,MATCH(1,$AM232:$AW232,0)),IF(BF232="Multiple strategies","mixed drivers",IF(BF232="Supply chain","multiple supply","multiple silviculture"))))</f>
        <v>technologies/design switch</v>
      </c>
      <c r="BF232" s="2" t="str" cm="1">
        <f t="array" ref="BF232">IF(COUNTIF(AZ232:BB232,"&lt;&gt;0")=1,INDEX($V$4:$AW$4,MATCH(TRUE,INDEX($V232:$AW232&lt;&gt;0,),0)),IF(COUNTIF(AZ232:BB232,"&lt;&gt;0")=0,INDEX($AM$4:$AW$4,MATCH(1,$AM232:$AW232,0)),"Multiple strategies"))</f>
        <v>Technology</v>
      </c>
      <c r="BG232" s="1" t="s">
        <v>229</v>
      </c>
      <c r="BH232" t="s">
        <v>277</v>
      </c>
      <c r="BI232" s="264" t="s">
        <v>3106</v>
      </c>
      <c r="BJ232" t="s">
        <v>278</v>
      </c>
      <c r="BK232">
        <v>0</v>
      </c>
      <c r="BL232">
        <v>196.41951018867931</v>
      </c>
      <c r="BM232"/>
      <c r="BN232">
        <f>BL232-BK232</f>
        <v>196.41951018867931</v>
      </c>
      <c r="BO232">
        <f>BN232*tC_to_m3</f>
        <v>852.88541115362273</v>
      </c>
      <c r="BP232" t="s">
        <v>232</v>
      </c>
      <c r="BQ232" s="303" t="s">
        <v>3107</v>
      </c>
      <c r="BR232" t="s">
        <v>279</v>
      </c>
      <c r="BS232">
        <v>-601.12201901040225</v>
      </c>
      <c r="BT232">
        <v>-930.07336759388943</v>
      </c>
      <c r="BU232" s="144">
        <f>IFERROR(BT232/BS232,"")</f>
        <v>1.5472289122348633</v>
      </c>
      <c r="BV232">
        <f>BT232-BS232</f>
        <v>-328.95134858348717</v>
      </c>
      <c r="BW232"/>
      <c r="BX232">
        <f>BV232</f>
        <v>-328.95134858348717</v>
      </c>
      <c r="BY232">
        <f>IFERROR(BX232/BO232,"")</f>
        <v>-0.38569231491314143</v>
      </c>
      <c r="BZ232">
        <v>0</v>
      </c>
      <c r="CA232">
        <v>0</v>
      </c>
      <c r="CB232">
        <v>0</v>
      </c>
      <c r="CC232">
        <v>0</v>
      </c>
      <c r="CD232">
        <v>0</v>
      </c>
      <c r="CE232">
        <v>0</v>
      </c>
      <c r="CF232">
        <v>0</v>
      </c>
      <c r="CG232">
        <v>0</v>
      </c>
      <c r="CH232">
        <v>0</v>
      </c>
      <c r="CI232">
        <v>0</v>
      </c>
      <c r="CJ232">
        <v>0</v>
      </c>
      <c r="CK232">
        <v>0</v>
      </c>
      <c r="CL232">
        <v>0</v>
      </c>
      <c r="CM232">
        <v>0</v>
      </c>
      <c r="CN232" t="str">
        <f>IF($BL232&lt;$BK232,"refNeedCorrection","refOK")</f>
        <v>refOK</v>
      </c>
      <c r="CO232">
        <f>IF($CN232="refOK",$BK232,$BL232)</f>
        <v>0</v>
      </c>
      <c r="CP232">
        <f>IF($CN232="refOK",$BL232,$BK232)</f>
        <v>196.41951018867931</v>
      </c>
      <c r="CQ232">
        <f>IF($CN232="refOK",$BO232,-$BO232)</f>
        <v>852.88541115362273</v>
      </c>
      <c r="CR232">
        <f>IF($CN232="refOK",$BS232,$BT232)*IF($BP232="Emissions positive",-1,1)</f>
        <v>-601.12201901040225</v>
      </c>
      <c r="CS232">
        <f>IF($CN232="refOK",$BT232,$BS232)*IF($BP232="Emissions positive",-1,1)</f>
        <v>-930.07336759388943</v>
      </c>
      <c r="CT232">
        <f>IF($CN232="refNeedCorrection",-BX232,BX232)*IF($BP232="Emissions positive",-1,1)</f>
        <v>-328.95134858348717</v>
      </c>
      <c r="CU232">
        <f>IFERROR(CT232/CQ232,"")</f>
        <v>-0.38569231491314143</v>
      </c>
      <c r="CV232" s="2">
        <f>IFERROR((CS232-CR232)/ABS(CR232),"")</f>
        <v>-0.54722891223486314</v>
      </c>
      <c r="CW232" s="1" t="s">
        <v>234</v>
      </c>
      <c r="CX232" t="str">
        <f>IF(OR($CW232="prd",$CW232="std",$CW232="cit"),"loc",IF(OR($CW232="eur",$CW232="reg",$CW232="coy"),"reg",$CW232))</f>
        <v>loc</v>
      </c>
      <c r="CY232" t="s">
        <v>280</v>
      </c>
      <c r="CZ232"/>
      <c r="DA232"/>
      <c r="DB232">
        <v>50</v>
      </c>
      <c r="DC232" t="str">
        <f>IF(DB232=0,"0",IF(AND(DB232&gt;=1,DB232&lt;=30),"1-30",IF(AND(DB232&gt;30,DB232&lt;=70),"31-70",IF(AND(DB232&gt;70,DB232&lt;=100),"71-100",IF(DB232&gt;100,"+100")))))</f>
        <v>31-70</v>
      </c>
      <c r="DD232">
        <v>0</v>
      </c>
      <c r="DE232">
        <v>1</v>
      </c>
      <c r="DF232">
        <v>0</v>
      </c>
      <c r="DG232">
        <v>0</v>
      </c>
      <c r="DH232"/>
      <c r="DI232">
        <f>SUM(DD232:DG232)</f>
        <v>1</v>
      </c>
      <c r="DJ232" t="str">
        <f>IF(DI232=1,INDEX($DD$7:$DG$7,MATCH(1,$DD232:$DG232,0)),"mixedProduct")</f>
        <v>EnergyInput</v>
      </c>
      <c r="DK232">
        <f>IF(DD232=1,DK$7,0)</f>
        <v>0</v>
      </c>
      <c r="DL232" t="str">
        <f>IF(DE232=1,DL$7,0)</f>
        <v>Energy</v>
      </c>
      <c r="DM232">
        <f>IF(DF232=1,DM$7,0)</f>
        <v>0</v>
      </c>
      <c r="DN232">
        <f>IF(DG232=1,DN$7,0)</f>
        <v>0</v>
      </c>
      <c r="DO232">
        <v>0</v>
      </c>
      <c r="DP232">
        <v>1</v>
      </c>
      <c r="DQ232" t="s">
        <v>304</v>
      </c>
      <c r="DR232">
        <v>0</v>
      </c>
      <c r="DS232">
        <v>0</v>
      </c>
      <c r="DT232">
        <f>SUM(DO232:DP232)</f>
        <v>1</v>
      </c>
      <c r="DU232" s="143" t="str">
        <f>IF(DO232=1,"self-calculated DF",IF(DP232=1,"external DF used","explicit C balance"))</f>
        <v>external DF used</v>
      </c>
      <c r="DV232">
        <v>0</v>
      </c>
      <c r="DW232">
        <v>1</v>
      </c>
      <c r="DX232">
        <v>1</v>
      </c>
      <c r="DY232">
        <v>1</v>
      </c>
      <c r="DZ232">
        <v>1</v>
      </c>
      <c r="EA232" s="143">
        <v>0</v>
      </c>
      <c r="EB232">
        <v>1</v>
      </c>
      <c r="EC232">
        <v>1</v>
      </c>
      <c r="ED232">
        <v>0</v>
      </c>
      <c r="EE232">
        <v>1</v>
      </c>
      <c r="EF232">
        <v>1</v>
      </c>
      <c r="EG232">
        <v>1</v>
      </c>
      <c r="EH232">
        <v>0</v>
      </c>
      <c r="EI232" s="2">
        <v>0</v>
      </c>
      <c r="EJ232" s="1"/>
      <c r="EK232" t="str">
        <f>IF(AND(AND(AND(OR($DX232=1,$DW232=1),OR($EC232=1,$EA232=1)),SUM($DV232:$DZ232,$EF232)&gt;=4),SUM($EA232:$EE232)&gt;=2),"Whole sector","")</f>
        <v>Whole sector</v>
      </c>
      <c r="EL232" t="str">
        <f>IF(AND(AND(OR($DX232=1,$DW232=1),AND($EC232=0,$EA232=0)),SUM($DV232:$DZ232,$EF232)&gt;=4),"Ecosystem approach","")</f>
        <v/>
      </c>
      <c r="EM232" s="2" t="str">
        <f>IF(AND(AND(AND($DX232=0,$DW232=0),OR($EC232=1,$EA232=1)),SUM($EB232:$EE232)&gt;=2),"Technology approach","")</f>
        <v/>
      </c>
      <c r="EN232"/>
      <c r="EO232"/>
      <c r="EP232" t="str">
        <f>IF(ISNUMBER(BU232),IF(ABS(BU232-[1]QC_indicators!$B$2)&gt;3*[1]QC_indicators!$C$2,"C ratio",IF(ISNUMBER(BY232),IF(ABS(BY232-[1]QC_indicators!$B$1)&gt;3*[1]QC_indicators!$C$1,"DF","no"))),IF(ISNUMBER(BY232),IF(ABS(BY232-[1]QC_indicators!$B$1)&gt;3*[1]QC_indicators!$C$1,"DF","no")))</f>
        <v>no</v>
      </c>
      <c r="EQ232" t="s">
        <v>286</v>
      </c>
      <c r="ER232"/>
      <c r="ES232"/>
      <c r="ET232" s="264" t="s">
        <v>3273</v>
      </c>
      <c r="EU232"/>
    </row>
    <row r="233" spans="1:151" s="139" customFormat="1" ht="15" customHeight="1">
      <c r="A233" s="1" t="s">
        <v>878</v>
      </c>
      <c r="B233" t="s">
        <v>1791</v>
      </c>
      <c r="C233" t="s">
        <v>1792</v>
      </c>
      <c r="D233" t="s">
        <v>1793</v>
      </c>
      <c r="E233" t="s">
        <v>1794</v>
      </c>
      <c r="F233" t="s">
        <v>1795</v>
      </c>
      <c r="G233" t="s">
        <v>1184</v>
      </c>
      <c r="H233" t="s">
        <v>254</v>
      </c>
      <c r="I233">
        <v>2011</v>
      </c>
      <c r="J233">
        <v>6</v>
      </c>
      <c r="K233" t="s">
        <v>1796</v>
      </c>
      <c r="L233"/>
      <c r="M233" t="str">
        <f>LEFT($D233,FIND(",",$D233)-1)&amp;"_"&amp;I233&amp;L233</f>
        <v>Kayo_2011</v>
      </c>
      <c r="N233" t="s">
        <v>222</v>
      </c>
      <c r="O233" s="145" t="s">
        <v>513</v>
      </c>
      <c r="P233"/>
      <c r="Q233" t="s">
        <v>256</v>
      </c>
      <c r="R233" s="255" t="s">
        <v>225</v>
      </c>
      <c r="S233" s="263" t="s">
        <v>3361</v>
      </c>
      <c r="T233" t="s">
        <v>1673</v>
      </c>
      <c r="U233" t="s">
        <v>1797</v>
      </c>
      <c r="V233">
        <v>0</v>
      </c>
      <c r="W233">
        <v>0</v>
      </c>
      <c r="X233">
        <v>0</v>
      </c>
      <c r="Y233">
        <v>0</v>
      </c>
      <c r="Z233">
        <v>0</v>
      </c>
      <c r="AA233">
        <v>0</v>
      </c>
      <c r="AB233">
        <v>0</v>
      </c>
      <c r="AC233">
        <v>0</v>
      </c>
      <c r="AD233">
        <v>0</v>
      </c>
      <c r="AE233">
        <v>0</v>
      </c>
      <c r="AF233">
        <v>0</v>
      </c>
      <c r="AG233">
        <v>0</v>
      </c>
      <c r="AH233">
        <v>0</v>
      </c>
      <c r="AI233">
        <v>0</v>
      </c>
      <c r="AJ233">
        <v>0</v>
      </c>
      <c r="AK233">
        <v>1</v>
      </c>
      <c r="AL233">
        <v>0</v>
      </c>
      <c r="AM233">
        <v>0</v>
      </c>
      <c r="AN233">
        <v>0</v>
      </c>
      <c r="AO233">
        <v>0</v>
      </c>
      <c r="AP233">
        <v>0</v>
      </c>
      <c r="AQ233">
        <v>0</v>
      </c>
      <c r="AR233">
        <v>0</v>
      </c>
      <c r="AS233">
        <v>0</v>
      </c>
      <c r="AT233">
        <v>0</v>
      </c>
      <c r="AU233">
        <v>0</v>
      </c>
      <c r="AV233">
        <v>0</v>
      </c>
      <c r="AW233">
        <v>0</v>
      </c>
      <c r="AX233" s="141">
        <f>COUNTIF(V233:AW233,"&lt;&gt;0")</f>
        <v>1</v>
      </c>
      <c r="AY233" s="141">
        <f>COUNTIF(V233:AL233,"&lt;&gt;0")</f>
        <v>1</v>
      </c>
      <c r="AZ233">
        <f>COUNTIF(V233:AC233,"&lt;&gt;0")</f>
        <v>0</v>
      </c>
      <c r="BA233">
        <f>COUNTIF(AD233:AI233,"&lt;&gt;0")</f>
        <v>0</v>
      </c>
      <c r="BB233">
        <f>COUNTIF(AJ233:AL233,"&lt;&gt;0")</f>
        <v>1</v>
      </c>
      <c r="BC233">
        <f>COUNTIF(AS233:AW233,"&lt;&gt;0")</f>
        <v>0</v>
      </c>
      <c r="BD233">
        <f>COUNTIF(AM233:AR233,"&lt;&gt;0")</f>
        <v>0</v>
      </c>
      <c r="BE233" t="str">
        <f t="array" ref="BE233">IF(AY233=1,INDEX($V$7:$AL$7,MATCH(TRUE,INDEX($V233:$AW233&lt;&gt;0,),0)),IF(AY233=0,INDEX($AM$7:$AW$7,MATCH(1,$AM233:$AW233,0)),IF(BF233="Multiple strategies","mixed drivers",IF(BF233="Supply chain","multiple supply","multiple silviculture"))))</f>
        <v>technologies/design switch</v>
      </c>
      <c r="BF233" s="2" t="str" cm="1">
        <f t="array" ref="BF233">IF(COUNTIF(AZ233:BB233,"&lt;&gt;0")=1,INDEX($V$4:$AW$4,MATCH(TRUE,INDEX($V233:$AW233&lt;&gt;0,),0)),IF(COUNTIF(AZ233:BB233,"&lt;&gt;0")=0,INDEX($AM$4:$AW$4,MATCH(1,$AM233:$AW233,0)),"Multiple strategies"))</f>
        <v>Technology</v>
      </c>
      <c r="BG233" s="1" t="s">
        <v>229</v>
      </c>
      <c r="BH233" t="s">
        <v>1799</v>
      </c>
      <c r="BI233" s="260" t="s">
        <v>3346</v>
      </c>
      <c r="BJ233" s="260" t="s">
        <v>3347</v>
      </c>
      <c r="BK233">
        <v>0</v>
      </c>
      <c r="BL233">
        <v>18</v>
      </c>
      <c r="BM233"/>
      <c r="BN233">
        <f>BL233-BK233</f>
        <v>18</v>
      </c>
      <c r="BO233">
        <f>BN233*10^6*t_to_m3</f>
        <v>36734693.877551019</v>
      </c>
      <c r="BP233" t="s">
        <v>232</v>
      </c>
      <c r="BQ233" s="300" t="s">
        <v>3358</v>
      </c>
      <c r="BR233" t="s">
        <v>1300</v>
      </c>
      <c r="BS233"/>
      <c r="BT233"/>
      <c r="BU233" s="144" t="str">
        <f>IFERROR(BT233/BS233,"")</f>
        <v/>
      </c>
      <c r="BV233">
        <v>-13.8</v>
      </c>
      <c r="BW233"/>
      <c r="BX233">
        <f>BV233*10^6</f>
        <v>-13800000</v>
      </c>
      <c r="BY233">
        <f>IFERROR(BX233/BO233,"")</f>
        <v>-0.3756666666666667</v>
      </c>
      <c r="BZ233">
        <v>0</v>
      </c>
      <c r="CA233">
        <v>0</v>
      </c>
      <c r="CB233">
        <v>0</v>
      </c>
      <c r="CC233">
        <v>0</v>
      </c>
      <c r="CD233">
        <v>0</v>
      </c>
      <c r="CE233">
        <v>0</v>
      </c>
      <c r="CF233">
        <v>0</v>
      </c>
      <c r="CG233">
        <v>0</v>
      </c>
      <c r="CH233">
        <v>0</v>
      </c>
      <c r="CI233">
        <v>0</v>
      </c>
      <c r="CJ233">
        <v>0</v>
      </c>
      <c r="CK233">
        <v>0</v>
      </c>
      <c r="CL233">
        <v>0</v>
      </c>
      <c r="CM233">
        <v>0</v>
      </c>
      <c r="CN233" t="str">
        <f>IF(BL233&lt;BK233,"refNeedCorrection","refOK")</f>
        <v>refOK</v>
      </c>
      <c r="CO233">
        <f>IF($CN233="refOK",$BK233,$BL233)</f>
        <v>0</v>
      </c>
      <c r="CP233">
        <f>IF($CN233="refOK",$BL233,$BK233)</f>
        <v>18</v>
      </c>
      <c r="CQ233">
        <f>IF($CN233="refOK",$BO233,-$BO233)</f>
        <v>36734693.877551019</v>
      </c>
      <c r="CR233">
        <f>IF($CN233="refOK",$BS233,$BT233)*IF($BP233="Emissions positive",-1,1)</f>
        <v>0</v>
      </c>
      <c r="CS233">
        <f>IF($CN233="refOK",$BT233,$BS233)*IF($BP233="Emissions positive",-1,1)</f>
        <v>0</v>
      </c>
      <c r="CT233">
        <f>IF($CN233="refNeedCorrection",-BX233,BX233)*IF($BP233="Emissions positive",-1,1)</f>
        <v>-13800000</v>
      </c>
      <c r="CU233">
        <f>IFERROR(CT233/CQ233,"")</f>
        <v>-0.3756666666666667</v>
      </c>
      <c r="CV233" s="2" t="str">
        <f>IFERROR((CS233-CR233)/ABS(CR233),"")</f>
        <v/>
      </c>
      <c r="CW233" s="1" t="s">
        <v>1203</v>
      </c>
      <c r="CX233" t="str">
        <f>IF(OR($CW233="prd",$CW233="std",$CW233="cit"),"loc",IF(OR($CW233="eur",$CW233="reg",$CW233="coy"),"reg",$CW233))</f>
        <v>reg</v>
      </c>
      <c r="CY233" t="s">
        <v>961</v>
      </c>
      <c r="CZ233">
        <v>2005</v>
      </c>
      <c r="DA233">
        <v>2050</v>
      </c>
      <c r="DB233">
        <v>45</v>
      </c>
      <c r="DC233" t="str">
        <f>IF(DB233=0,"0",IF(AND(DB233&gt;=1,DB233&lt;=30),"1-30",IF(AND(DB233&gt;30,DB233&lt;=70),"31-70",IF(AND(DB233&gt;70,DB233&lt;=100),"71-100",IF(DB233&gt;100,"+100")))))</f>
        <v>31-70</v>
      </c>
      <c r="DD233">
        <v>0</v>
      </c>
      <c r="DE233">
        <v>1</v>
      </c>
      <c r="DF233">
        <v>0</v>
      </c>
      <c r="DG233">
        <v>0</v>
      </c>
      <c r="DH233"/>
      <c r="DI233">
        <f>SUM(DD233:DG233)</f>
        <v>1</v>
      </c>
      <c r="DJ233" t="str">
        <f>IF(DI233=1,INDEX($DD$7:$DG$7,MATCH(1,$DD233:$DG233,0)),"mixedProduct")</f>
        <v>EnergyInput</v>
      </c>
      <c r="DK233">
        <f>IF(DD233=1,DK$7,0)</f>
        <v>0</v>
      </c>
      <c r="DL233" t="str">
        <f>IF(DE233=1,DL$7,0)</f>
        <v>Energy</v>
      </c>
      <c r="DM233">
        <f>IF(DF233=1,DM$7,0)</f>
        <v>0</v>
      </c>
      <c r="DN233">
        <f>IF(DG233=1,DN$7,0)</f>
        <v>0</v>
      </c>
      <c r="DO233">
        <v>0</v>
      </c>
      <c r="DP233">
        <v>0</v>
      </c>
      <c r="DQ233">
        <v>0</v>
      </c>
      <c r="DR233">
        <v>0</v>
      </c>
      <c r="DS233">
        <v>0</v>
      </c>
      <c r="DT233">
        <f>SUM(DO233:DP233)</f>
        <v>0</v>
      </c>
      <c r="DU233" s="143" t="str">
        <f>IF(DO233=1,"self-calculated DF",IF(DP233=1,"external DF used","explicit C balance"))</f>
        <v>explicit C balance</v>
      </c>
      <c r="DV233">
        <v>0</v>
      </c>
      <c r="DW233">
        <v>1</v>
      </c>
      <c r="DX233">
        <v>1</v>
      </c>
      <c r="DY233">
        <v>0</v>
      </c>
      <c r="DZ233">
        <v>0</v>
      </c>
      <c r="EA233" s="143">
        <v>1</v>
      </c>
      <c r="EB233">
        <v>1</v>
      </c>
      <c r="EC233">
        <v>0</v>
      </c>
      <c r="ED233">
        <v>0</v>
      </c>
      <c r="EE233">
        <v>0</v>
      </c>
      <c r="EF233">
        <v>1</v>
      </c>
      <c r="EG233">
        <v>1</v>
      </c>
      <c r="EH233">
        <v>0</v>
      </c>
      <c r="EI233" s="2">
        <v>0</v>
      </c>
      <c r="EJ233" s="1"/>
      <c r="EK233" t="str">
        <f>IF(AND(AND(AND(OR($DX233=1,$DW233=1),OR($EC233=1,$EA233=1)),SUM($DV233:$DZ233,$EF233)&gt;=4),SUM($EA233:$EE233)&gt;=2),"Whole sector","")</f>
        <v/>
      </c>
      <c r="EL233" t="str">
        <f>IF(AND(AND(OR($DX233=1,$DW233=1),AND($EC233=0,$EA233=0)),SUM($DV233:$DZ233,$EF233)&gt;=4),"Ecosystem approach","")</f>
        <v/>
      </c>
      <c r="EM233" s="2" t="str">
        <f>IF(AND(AND(AND($DX233=0,$DW233=0),OR($EC233=1,$EA233=1)),SUM($EB233:$EE233)&gt;=2),"Technology approach","")</f>
        <v/>
      </c>
      <c r="EN233"/>
      <c r="EO233"/>
      <c r="EP233" t="str">
        <f>IF(ISNUMBER(BU233),IF(ABS(BU233-[4]QC_indicators!$B$2)&gt;3*[4]QC_indicators!$C$2,"C ratio",IF(ISNUMBER(BY233),IF(ABS(BY233-[4]QC_indicators!$B$1)&gt;3*[4]QC_indicators!$C$1,"DF","no"))),IF(ISNUMBER(BY233),IF(ABS(BY233-[4]QC_indicators!$B$1)&gt;3*[4]QC_indicators!$C$1,"DF","no")))</f>
        <v>no</v>
      </c>
      <c r="EQ233"/>
      <c r="ER233"/>
      <c r="ES233"/>
      <c r="ET233" s="264" t="s">
        <v>3273</v>
      </c>
      <c r="EU233"/>
    </row>
    <row r="234" spans="1:151" s="139" customFormat="1" ht="15" customHeight="1">
      <c r="A234" s="1" t="s">
        <v>1204</v>
      </c>
      <c r="B234" t="s">
        <v>1205</v>
      </c>
      <c r="C234" t="s">
        <v>1206</v>
      </c>
      <c r="D234" t="s">
        <v>1207</v>
      </c>
      <c r="E234" t="s">
        <v>1208</v>
      </c>
      <c r="F234" t="s">
        <v>1209</v>
      </c>
      <c r="G234" t="s">
        <v>1210</v>
      </c>
      <c r="H234"/>
      <c r="I234">
        <v>2006</v>
      </c>
      <c r="J234"/>
      <c r="K234" t="s">
        <v>1211</v>
      </c>
      <c r="L234"/>
      <c r="M234" t="str">
        <f>LEFT($D234,FIND(",",$D234)-1)&amp;"_"&amp;I234&amp;L234</f>
        <v>Backeus_2006</v>
      </c>
      <c r="N234" t="s">
        <v>222</v>
      </c>
      <c r="O234" s="140" t="s">
        <v>274</v>
      </c>
      <c r="P234"/>
      <c r="Q234" t="s">
        <v>224</v>
      </c>
      <c r="R234" s="255" t="s">
        <v>223</v>
      </c>
      <c r="S234" s="263" t="s">
        <v>3087</v>
      </c>
      <c r="T234" t="s">
        <v>1219</v>
      </c>
      <c r="U234" t="s">
        <v>1213</v>
      </c>
      <c r="V234">
        <v>0</v>
      </c>
      <c r="W234">
        <v>0</v>
      </c>
      <c r="X234">
        <v>0</v>
      </c>
      <c r="Y234">
        <v>1</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1</v>
      </c>
      <c r="AW234">
        <v>0</v>
      </c>
      <c r="AX234" s="141">
        <f>COUNTIF(V234:AW234,"&lt;&gt;0")</f>
        <v>2</v>
      </c>
      <c r="AY234" s="141">
        <f>COUNTIF(V234:AL234,"&lt;&gt;0")</f>
        <v>1</v>
      </c>
      <c r="AZ234">
        <f>COUNTIF(V234:AC234,"&lt;&gt;0")</f>
        <v>1</v>
      </c>
      <c r="BA234">
        <f>COUNTIF(AD234:AI234,"&lt;&gt;0")</f>
        <v>0</v>
      </c>
      <c r="BB234">
        <f>COUNTIF(AJ234:AL234,"&lt;&gt;0")</f>
        <v>0</v>
      </c>
      <c r="BC234">
        <f>COUNTIF(AS234:AW234,"&lt;&gt;0")</f>
        <v>1</v>
      </c>
      <c r="BD234">
        <f>COUNTIF(AM234:AR234,"&lt;&gt;0")</f>
        <v>0</v>
      </c>
      <c r="BE234" t="str">
        <f t="array" ref="BE234">IF(AY234=1,INDEX($V$7:$AL$7,MATCH(TRUE,INDEX($V234:$AW234&lt;&gt;0,),0)),IF(AY234=0,INDEX($AM$7:$AW$7,MATCH(1,$AM234:$AW234,0)),IF(BF234="Multiple strategies","mixed drivers",IF(BF234="Supply chain","multiple supply","multiple silviculture"))))</f>
        <v xml:space="preserve">cutting intensity </v>
      </c>
      <c r="BF234" s="2" t="str" cm="1">
        <f t="array" ref="BF234">IF(COUNTIF(AZ234:BB234,"&lt;&gt;0")=1,INDEX($V$4:$AW$4,MATCH(TRUE,INDEX($V234:$AW234&lt;&gt;0,),0)),IF(COUNTIF(AZ234:BB234,"&lt;&gt;0")=0,INDEX($AM$4:$AW$4,MATCH(1,$AM234:$AW234,0)),"Multiple strategies"))</f>
        <v>Silviculture for removals</v>
      </c>
      <c r="BG234" s="1" t="s">
        <v>229</v>
      </c>
      <c r="BH234" t="s">
        <v>229</v>
      </c>
      <c r="BI234" s="264" t="s">
        <v>701</v>
      </c>
      <c r="BJ234" t="s">
        <v>1214</v>
      </c>
      <c r="BK234">
        <v>0</v>
      </c>
      <c r="BL234">
        <v>5.6162990524021872</v>
      </c>
      <c r="BM234"/>
      <c r="BN234">
        <f>BL234-BK234</f>
        <v>5.6162990524021872</v>
      </c>
      <c r="BO234" s="143">
        <f>BN234*10^6</f>
        <v>5616299.0524021871</v>
      </c>
      <c r="BP234" s="143" t="s">
        <v>232</v>
      </c>
      <c r="BQ234" s="311" t="s">
        <v>787</v>
      </c>
      <c r="BR234" s="152" t="s">
        <v>1215</v>
      </c>
      <c r="BS234" s="152">
        <v>2.04</v>
      </c>
      <c r="BT234" s="152">
        <v>1.47058823529411</v>
      </c>
      <c r="BU234" s="144" t="str">
        <f>IFERROR(BT234/BS233,"")</f>
        <v/>
      </c>
      <c r="BV234">
        <f>BT234-BS234</f>
        <v>-0.56941176470589006</v>
      </c>
      <c r="BW234"/>
      <c r="BX234">
        <f>BV234*10^6*C_to_CO2</f>
        <v>-2089741.1764706166</v>
      </c>
      <c r="BY234">
        <f>IFERROR(BX234/BO234,"")</f>
        <v>-0.37208509678215917</v>
      </c>
      <c r="BZ234">
        <v>0</v>
      </c>
      <c r="CA234">
        <v>0</v>
      </c>
      <c r="CB234">
        <v>0</v>
      </c>
      <c r="CC234">
        <v>0</v>
      </c>
      <c r="CD234">
        <v>0</v>
      </c>
      <c r="CE234">
        <v>0</v>
      </c>
      <c r="CF234">
        <v>0</v>
      </c>
      <c r="CG234">
        <v>0</v>
      </c>
      <c r="CH234">
        <v>0</v>
      </c>
      <c r="CI234">
        <v>0</v>
      </c>
      <c r="CJ234">
        <v>0</v>
      </c>
      <c r="CK234">
        <v>0</v>
      </c>
      <c r="CL234">
        <v>0</v>
      </c>
      <c r="CM234">
        <v>0</v>
      </c>
      <c r="CN234" t="str">
        <f>IF($BL234&lt;$BK234,"refNeedCorrection","refOK")</f>
        <v>refOK</v>
      </c>
      <c r="CO234">
        <f>IF($CN234="refOK",$BK234,$BL234)</f>
        <v>0</v>
      </c>
      <c r="CP234">
        <f>IF($CN234="refOK",$BL234,$BK234)</f>
        <v>5.6162990524021872</v>
      </c>
      <c r="CQ234">
        <f>IF($CN234="refOK",$BO234,-$BO234)</f>
        <v>5616299.0524021871</v>
      </c>
      <c r="CR234">
        <f>IF($CN234="refOK",$BS233,$BT234)*IF($BP234="Emissions positive",-1,1)</f>
        <v>0</v>
      </c>
      <c r="CS234">
        <f>IF($CN234="refOK",$BT234,$BS233)*IF($BP234="Emissions positive",-1,1)</f>
        <v>1.47058823529411</v>
      </c>
      <c r="CT234">
        <f>IF($CN234="refNeedCorrection",-BX234,BX234)*IF($BP234="Emissions positive",-1,1)</f>
        <v>-2089741.1764706166</v>
      </c>
      <c r="CU234">
        <f>IFERROR(CT234/CQ234,"")</f>
        <v>-0.37208509678215917</v>
      </c>
      <c r="CV234" s="2" t="str">
        <f>IFERROR((CS234-CR234)/ABS(CR234),"")</f>
        <v/>
      </c>
      <c r="CW234" s="1" t="s">
        <v>1199</v>
      </c>
      <c r="CX234" t="str">
        <f>IF(OR($CW234="prd",$CW234="std",$CW234="cit"),"loc",IF(OR($CW234="eur",$CW234="reg",$CW234="coy"),"reg",$CW234))</f>
        <v>reg</v>
      </c>
      <c r="CY234" t="s">
        <v>444</v>
      </c>
      <c r="CZ234"/>
      <c r="DA234"/>
      <c r="DB234">
        <v>100</v>
      </c>
      <c r="DC234" t="str">
        <f>IF(DB234=0,"0",IF(AND(DB234&gt;=1,DB234&lt;=30),"1-30",IF(AND(DB234&gt;30,DB234&lt;=70),"31-70",IF(AND(DB234&gt;70,DB234&lt;=100),"71-100",IF(DB234&gt;100,"+100")))))</f>
        <v>71-100</v>
      </c>
      <c r="DD234">
        <v>0</v>
      </c>
      <c r="DE234">
        <v>1</v>
      </c>
      <c r="DF234">
        <v>1</v>
      </c>
      <c r="DG234">
        <v>1</v>
      </c>
      <c r="DH234"/>
      <c r="DI234">
        <f>SUM(DD234:DG234)</f>
        <v>3</v>
      </c>
      <c r="DJ234" t="str">
        <f>IF(DI234=1,INDEX($DD$7:$DG$7,MATCH(1,$DD234:$DG234,0)),"mixedProduct")</f>
        <v>mixedProduct</v>
      </c>
      <c r="DK234">
        <f>IF(DD234=1,DK$7,0)</f>
        <v>0</v>
      </c>
      <c r="DL234" t="str">
        <f>IF(DE234=1,DL$7,0)</f>
        <v>Energy</v>
      </c>
      <c r="DM234" t="str">
        <f>IF(DF234=1,DM$7,0)</f>
        <v>Pulp/Paper</v>
      </c>
      <c r="DN234" t="str">
        <f>IF(DG234=1,DN$7,0)</f>
        <v>Timber</v>
      </c>
      <c r="DO234">
        <v>0</v>
      </c>
      <c r="DP234">
        <v>0</v>
      </c>
      <c r="DQ234">
        <v>0</v>
      </c>
      <c r="DR234">
        <v>0</v>
      </c>
      <c r="DS234">
        <v>0</v>
      </c>
      <c r="DT234">
        <f>SUM(DO234:DP234)</f>
        <v>0</v>
      </c>
      <c r="DU234" s="143" t="str">
        <f>IF(DO234=1,"self-calculated DF",IF(DP234=1,"external DF used","explicit C balance"))</f>
        <v>explicit C balance</v>
      </c>
      <c r="DV234">
        <v>0</v>
      </c>
      <c r="DW234">
        <v>1</v>
      </c>
      <c r="DX234">
        <v>1</v>
      </c>
      <c r="DY234">
        <v>0</v>
      </c>
      <c r="DZ234">
        <v>0</v>
      </c>
      <c r="EA234" s="143">
        <v>0</v>
      </c>
      <c r="EB234">
        <v>0</v>
      </c>
      <c r="EC234">
        <v>0</v>
      </c>
      <c r="ED234">
        <v>0</v>
      </c>
      <c r="EE234">
        <v>0</v>
      </c>
      <c r="EF234">
        <v>1</v>
      </c>
      <c r="EG234">
        <v>1</v>
      </c>
      <c r="EH234">
        <v>0</v>
      </c>
      <c r="EI234" s="2">
        <v>0</v>
      </c>
      <c r="EJ234" s="1"/>
      <c r="EK234" t="str">
        <f>IF(AND(AND(AND(OR($DX234=1,$DW234=1),OR($EC234=1,$EA234=1)),SUM($DV234:$DZ234,$EF234)&gt;=4),SUM($EA234:$EE234)&gt;=2),"Whole sector","")</f>
        <v/>
      </c>
      <c r="EL234" t="str">
        <f>IF(AND(AND(OR($DX234=1,$DW234=1),AND($EC234=0,$EA234=0)),SUM($DV234:$DZ234,$EF234)&gt;=4),"Ecosystem approach","")</f>
        <v/>
      </c>
      <c r="EM234" s="2" t="str">
        <f>IF(AND(AND(AND($DX234=0,$DW234=0),OR($EC234=1,$EA234=1)),SUM($EB234:$EE234)&gt;=2),"Technology approach","")</f>
        <v/>
      </c>
      <c r="EN234"/>
      <c r="EO234"/>
      <c r="EP234" t="str">
        <f>IF(ISNUMBER(BU234),IF(ABS(BU234-[1]QC_indicators!$B$2)&gt;3*[1]QC_indicators!$C$2,"C ratio",IF(ISNUMBER(BY234),IF(ABS(BY234-[1]QC_indicators!$B$1)&gt;3*[1]QC_indicators!$C$1,"DF","no"))),IF(ISNUMBER(BY234),IF(ABS(BY234-[1]QC_indicators!$B$1)&gt;3*[1]QC_indicators!$C$1,"DF","no")))</f>
        <v>no</v>
      </c>
      <c r="EQ234" t="s">
        <v>286</v>
      </c>
      <c r="ER234"/>
      <c r="ES234"/>
      <c r="ET234" s="264" t="s">
        <v>3088</v>
      </c>
      <c r="EU234"/>
    </row>
    <row r="235" spans="1:151" s="139" customFormat="1" ht="15" customHeight="1">
      <c r="A235" s="1" t="s">
        <v>505</v>
      </c>
      <c r="B235" t="s">
        <v>528</v>
      </c>
      <c r="C235" t="s">
        <v>529</v>
      </c>
      <c r="D235" t="s">
        <v>530</v>
      </c>
      <c r="E235" t="s">
        <v>531</v>
      </c>
      <c r="F235" t="s">
        <v>532</v>
      </c>
      <c r="G235" t="s">
        <v>511</v>
      </c>
      <c r="H235" t="s">
        <v>254</v>
      </c>
      <c r="I235">
        <v>2015</v>
      </c>
      <c r="J235">
        <v>31</v>
      </c>
      <c r="K235" t="s">
        <v>533</v>
      </c>
      <c r="L235"/>
      <c r="M235" t="str">
        <f>LEFT($D235,FIND(",",$D235)-1)&amp;"_"&amp;I235&amp;L235</f>
        <v>Cambero_2015</v>
      </c>
      <c r="N235" t="s">
        <v>222</v>
      </c>
      <c r="O235" s="145" t="s">
        <v>223</v>
      </c>
      <c r="P235"/>
      <c r="Q235" t="s">
        <v>256</v>
      </c>
      <c r="R235" s="255" t="s">
        <v>225</v>
      </c>
      <c r="S235" s="1" t="s">
        <v>534</v>
      </c>
      <c r="T235" t="s">
        <v>535</v>
      </c>
      <c r="U235" t="s">
        <v>536</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s="141">
        <f>COUNTIF(V235:AW235,"&lt;&gt;0")</f>
        <v>1</v>
      </c>
      <c r="AY235" s="141">
        <f>COUNTIF(V235:AL235,"&lt;&gt;0")</f>
        <v>1</v>
      </c>
      <c r="AZ235">
        <f>COUNTIF(V235:AC235,"&lt;&gt;0")</f>
        <v>0</v>
      </c>
      <c r="BA235">
        <f>COUNTIF(AD235:AI235,"&lt;&gt;0")</f>
        <v>0</v>
      </c>
      <c r="BB235">
        <f>COUNTIF(AJ235:AL235,"&lt;&gt;0")</f>
        <v>1</v>
      </c>
      <c r="BC235">
        <f>COUNTIF(AS235:AW235,"&lt;&gt;0")</f>
        <v>0</v>
      </c>
      <c r="BD235">
        <f>COUNTIF(AM235:AR235,"&lt;&gt;0")</f>
        <v>0</v>
      </c>
      <c r="BE235" t="str">
        <f t="array" ref="BE235">IF(AY235=1,INDEX($V$7:$AL$7,MATCH(TRUE,INDEX($V235:$AW235&lt;&gt;0,),0)),IF(AY235=0,INDEX($AM$7:$AW$7,MATCH(1,$AM235:$AW235,0)),IF(BF235="Multiple strategies","mixed drivers",IF(BF235="Supply chain","multiple supply","multiple silviculture"))))</f>
        <v>technologies/design switch</v>
      </c>
      <c r="BF235" s="2" t="str" cm="1">
        <f t="array" ref="BF235">IF(COUNTIF(AZ235:BB235,"&lt;&gt;0")=1,INDEX($V$4:$AW$4,MATCH(TRUE,INDEX($V235:$AW235&lt;&gt;0,),0)),IF(COUNTIF(AZ235:BB235,"&lt;&gt;0")=0,INDEX($AM$4:$AW$4,MATCH(1,$AM235:$AW235,0)),"Multiple strategies"))</f>
        <v>Technology</v>
      </c>
      <c r="BG235" s="1" t="s">
        <v>229</v>
      </c>
      <c r="BH235" t="s">
        <v>537</v>
      </c>
      <c r="BI235" s="260" t="s">
        <v>3284</v>
      </c>
      <c r="BJ235" t="s">
        <v>538</v>
      </c>
      <c r="BK235">
        <v>0</v>
      </c>
      <c r="BL235">
        <v>4897.9591840000003</v>
      </c>
      <c r="BM235"/>
      <c r="BN235">
        <f>BL235-BK235</f>
        <v>4897.9591840000003</v>
      </c>
      <c r="BO235">
        <f>BN235*t_to_m3</f>
        <v>9995.8350693877564</v>
      </c>
      <c r="BP235" t="s">
        <v>232</v>
      </c>
      <c r="BQ235" s="300" t="s">
        <v>3285</v>
      </c>
      <c r="BR235" t="s">
        <v>539</v>
      </c>
      <c r="BS235">
        <v>-143400</v>
      </c>
      <c r="BT235">
        <v>-147100</v>
      </c>
      <c r="BU235" s="144">
        <v>1.0258019525801954</v>
      </c>
      <c r="BV235">
        <v>-3700</v>
      </c>
      <c r="BW235"/>
      <c r="BX235">
        <f>BV235</f>
        <v>-3700</v>
      </c>
      <c r="BY235">
        <f>IFERROR(BX235/BO235,"")</f>
        <v>-0.37015416664198969</v>
      </c>
      <c r="BZ235" s="143">
        <v>0</v>
      </c>
      <c r="CA235" s="143">
        <v>0</v>
      </c>
      <c r="CB235" s="143">
        <v>0</v>
      </c>
      <c r="CC235" s="143">
        <v>0</v>
      </c>
      <c r="CD235" s="143">
        <v>0</v>
      </c>
      <c r="CE235" s="143">
        <v>0</v>
      </c>
      <c r="CF235" s="143">
        <v>0</v>
      </c>
      <c r="CG235" s="143">
        <v>0</v>
      </c>
      <c r="CH235" s="143">
        <v>0</v>
      </c>
      <c r="CI235" s="143">
        <v>0</v>
      </c>
      <c r="CJ235" s="143">
        <v>0</v>
      </c>
      <c r="CK235" s="143">
        <v>0</v>
      </c>
      <c r="CL235" s="143">
        <v>0</v>
      </c>
      <c r="CM235">
        <v>1</v>
      </c>
      <c r="CN235" t="str">
        <f>IF($BL235&lt;$BK235,"refNeedCorrection","refOK")</f>
        <v>refOK</v>
      </c>
      <c r="CO235">
        <f>IF($CN235="refNeedCorrection",BL235,BK235)</f>
        <v>0</v>
      </c>
      <c r="CP235">
        <f>IF($CN235="refNeedCorrection",BK235,BL235)</f>
        <v>4897.9591840000003</v>
      </c>
      <c r="CQ235">
        <f>IF($CN235="refOK",$BO235,-$BO235)</f>
        <v>9995.8350693877564</v>
      </c>
      <c r="CR235">
        <f>IF($CN235="refOK",$BS235,$BT235)*IF($BP235="Emissions positive",-1,1)</f>
        <v>-143400</v>
      </c>
      <c r="CS235">
        <f>IF($CN235="refOK",$BT235,$BS235)*IF($BP235="Emissions positive",-1,1)</f>
        <v>-147100</v>
      </c>
      <c r="CT235">
        <f>IF($CN235="refNeedCorrection",-BX235,BX235)*IF($BP235="Emissions positive",-1,1)</f>
        <v>-3700</v>
      </c>
      <c r="CU235">
        <f>IFERROR(CT235/CQ235,"")</f>
        <v>-0.37015416664198969</v>
      </c>
      <c r="CV235" s="2">
        <f>IFERROR((CS235-CR235)/ABS(CR235),"")</f>
        <v>-2.5801952580195259E-2</v>
      </c>
      <c r="CW235" s="1" t="s">
        <v>347</v>
      </c>
      <c r="CX235" t="str">
        <f>IF(OR($CW235="prd",$CW235="std",$CW235="cit"),"loc",IF(OR($CW235="eur",$CW235="reg",$CW235="coy"),"reg",$CW235))</f>
        <v>loc</v>
      </c>
      <c r="CY235" t="s">
        <v>540</v>
      </c>
      <c r="CZ235"/>
      <c r="DA235"/>
      <c r="DB235">
        <v>0</v>
      </c>
      <c r="DC235" t="str">
        <f>IF(DB235=0,"0",IF(AND(DB235&gt;=1,DB235&lt;=30),"1-30",IF(AND(DB235&gt;30,DB235&lt;=70),"31-70",IF(AND(DB235&gt;70,DB235&lt;=100),"71-100",IF(DB235&gt;100,"+100")))))</f>
        <v>0</v>
      </c>
      <c r="DD235">
        <v>0</v>
      </c>
      <c r="DE235">
        <v>1</v>
      </c>
      <c r="DF235">
        <v>0</v>
      </c>
      <c r="DG235">
        <v>0</v>
      </c>
      <c r="DH235"/>
      <c r="DI235">
        <f>SUM(DD235:DG235)</f>
        <v>1</v>
      </c>
      <c r="DJ235" t="str">
        <f>IF(DI235=1,INDEX($DD$7:$DG$7,MATCH(1,$DD235:$DG235,0)),"mixedProduct")</f>
        <v>EnergyInput</v>
      </c>
      <c r="DK235">
        <f>IF(DD235=1,DK$7,0)</f>
        <v>0</v>
      </c>
      <c r="DL235" t="str">
        <f>IF(DE235=1,DL$7,0)</f>
        <v>Energy</v>
      </c>
      <c r="DM235">
        <f>IF(DF235=1,DM$7,0)</f>
        <v>0</v>
      </c>
      <c r="DN235">
        <f>IF(DG235=1,DN$7,0)</f>
        <v>0</v>
      </c>
      <c r="DO235">
        <v>0</v>
      </c>
      <c r="DP235" s="143">
        <v>0</v>
      </c>
      <c r="DQ235" s="143">
        <v>0</v>
      </c>
      <c r="DR235" s="143">
        <v>0</v>
      </c>
      <c r="DS235">
        <v>0</v>
      </c>
      <c r="DT235">
        <f>SUM(DO235:DP235)</f>
        <v>0</v>
      </c>
      <c r="DU235" s="143" t="str">
        <f>IF(DO235=1,"self-calculated DF",IF(DP235=1,"external DF used","explicit C balance"))</f>
        <v>explicit C balance</v>
      </c>
      <c r="DV235">
        <v>0</v>
      </c>
      <c r="DW235" s="143">
        <v>1</v>
      </c>
      <c r="DX235" s="143">
        <v>0</v>
      </c>
      <c r="DY235" s="143">
        <v>0</v>
      </c>
      <c r="DZ235">
        <v>1</v>
      </c>
      <c r="EA235" s="143">
        <v>0</v>
      </c>
      <c r="EB235">
        <v>0</v>
      </c>
      <c r="EC235" s="143">
        <v>1</v>
      </c>
      <c r="ED235" s="143">
        <v>0</v>
      </c>
      <c r="EE235">
        <v>0</v>
      </c>
      <c r="EF235">
        <v>0</v>
      </c>
      <c r="EG235" s="143">
        <v>0</v>
      </c>
      <c r="EH235" s="143">
        <v>0</v>
      </c>
      <c r="EI235" s="2">
        <v>0</v>
      </c>
      <c r="EJ235" s="1"/>
      <c r="EK235" t="str">
        <f>IF(AND(AND(AND(OR($DX235=1,$DW235=1),OR($EC235=1,$EA235=1)),SUM($DV235:$DZ235,$EF235)&gt;=4),SUM($EA235:$EE235)&gt;=2),"Whole sector","")</f>
        <v/>
      </c>
      <c r="EL235" t="str">
        <f>IF(AND(AND(OR($DX235=1,$DW235=1),AND($EC235=0,$EA235=0)),SUM($DV235:$DZ235,$EF235)&gt;=4),"Ecosystem approach","")</f>
        <v/>
      </c>
      <c r="EM235" s="2" t="str">
        <f>IF(AND(AND(AND($DX235=0,$DW235=0),OR($EC235=1,$EA235=1)),SUM($EB235:$EE235)&gt;=2),"Technology approach","")</f>
        <v/>
      </c>
      <c r="EN235"/>
      <c r="EO235"/>
      <c r="EP235" t="str">
        <f>IF(ISNUMBER(BU235),IF(ABS(BU235-[4]QC_indicators!$B$2)&gt;3*[4]QC_indicators!$C$2,"C ratio",IF(ISNUMBER(BY235),IF(ABS(BY235-[4]QC_indicators!$B$1)&gt;3*[4]QC_indicators!$C$1,"DF","no"))),IF(ISNUMBER(BY235),IF(ABS(BY235-[4]QC_indicators!$B$1)&gt;3*[4]QC_indicators!$C$1,"DF","no")))</f>
        <v>no</v>
      </c>
      <c r="EQ235"/>
      <c r="ER235" s="149" t="s">
        <v>349</v>
      </c>
      <c r="ES235"/>
      <c r="ET235" s="264" t="s">
        <v>3273</v>
      </c>
      <c r="EU235"/>
    </row>
    <row r="236" spans="1:151" s="139" customFormat="1" ht="15" customHeight="1">
      <c r="A236" s="1" t="s">
        <v>398</v>
      </c>
      <c r="B236" t="s">
        <v>681</v>
      </c>
      <c r="C236" t="s">
        <v>682</v>
      </c>
      <c r="D236" t="s">
        <v>683</v>
      </c>
      <c r="E236" t="s">
        <v>684</v>
      </c>
      <c r="F236" t="s">
        <v>685</v>
      </c>
      <c r="G236" t="s">
        <v>404</v>
      </c>
      <c r="H236" t="s">
        <v>254</v>
      </c>
      <c r="I236">
        <v>2022</v>
      </c>
      <c r="J236">
        <v>1</v>
      </c>
      <c r="K236" t="s">
        <v>686</v>
      </c>
      <c r="L236"/>
      <c r="M236" t="str">
        <f>LEFT($D236,FIND(",",$D236)-1)&amp;"_"&amp;I236&amp;L236</f>
        <v>Duan_2022</v>
      </c>
      <c r="N236" t="s">
        <v>222</v>
      </c>
      <c r="O236" s="145" t="s">
        <v>223</v>
      </c>
      <c r="P236"/>
      <c r="Q236" t="s">
        <v>389</v>
      </c>
      <c r="R236" s="283" t="s">
        <v>225</v>
      </c>
      <c r="S236" s="1" t="s">
        <v>607</v>
      </c>
      <c r="T236" s="151" t="s">
        <v>810</v>
      </c>
      <c r="U236" t="s">
        <v>259</v>
      </c>
      <c r="V236">
        <v>0</v>
      </c>
      <c r="W236">
        <v>0</v>
      </c>
      <c r="X236">
        <v>0</v>
      </c>
      <c r="Y236">
        <v>0</v>
      </c>
      <c r="Z236">
        <v>0</v>
      </c>
      <c r="AA236">
        <v>0</v>
      </c>
      <c r="AB236">
        <v>0</v>
      </c>
      <c r="AC236">
        <v>0</v>
      </c>
      <c r="AD236">
        <v>0</v>
      </c>
      <c r="AE236">
        <v>0</v>
      </c>
      <c r="AF236">
        <v>0</v>
      </c>
      <c r="AG236">
        <v>0</v>
      </c>
      <c r="AH236">
        <v>0</v>
      </c>
      <c r="AI236">
        <v>0</v>
      </c>
      <c r="AJ236">
        <v>0</v>
      </c>
      <c r="AK236">
        <v>1</v>
      </c>
      <c r="AL236">
        <v>0</v>
      </c>
      <c r="AM236">
        <v>0</v>
      </c>
      <c r="AN236">
        <v>0</v>
      </c>
      <c r="AO236">
        <v>0</v>
      </c>
      <c r="AP236">
        <v>0</v>
      </c>
      <c r="AQ236">
        <v>0</v>
      </c>
      <c r="AR236">
        <v>0</v>
      </c>
      <c r="AS236">
        <v>0</v>
      </c>
      <c r="AT236">
        <v>0</v>
      </c>
      <c r="AU236">
        <v>0</v>
      </c>
      <c r="AV236">
        <v>0</v>
      </c>
      <c r="AW236">
        <v>0</v>
      </c>
      <c r="AX236" s="141">
        <f>COUNTIF(V236:AW236,"&lt;&gt;0")</f>
        <v>1</v>
      </c>
      <c r="AY236" s="141">
        <f>COUNTIF(V236:AL236,"&lt;&gt;0")</f>
        <v>1</v>
      </c>
      <c r="AZ236">
        <f>COUNTIF(V236:AC236,"&lt;&gt;0")</f>
        <v>0</v>
      </c>
      <c r="BA236">
        <f>COUNTIF(AD236:AI236,"&lt;&gt;0")</f>
        <v>0</v>
      </c>
      <c r="BB236">
        <f>COUNTIF(AJ236:AL236,"&lt;&gt;0")</f>
        <v>1</v>
      </c>
      <c r="BC236">
        <f>COUNTIF(AS236:AW236,"&lt;&gt;0")</f>
        <v>0</v>
      </c>
      <c r="BD236">
        <f>COUNTIF(AM236:AR236,"&lt;&gt;0")</f>
        <v>0</v>
      </c>
      <c r="BE236" t="str">
        <f t="array" ref="BE236">IF(AY236=1,INDEX($V$7:$AL$7,MATCH(TRUE,INDEX($V236:$AW236&lt;&gt;0,),0)),IF(AY236=0,INDEX($AM$7:$AW$7,MATCH(1,$AM236:$AW236,0)),IF(BF236="Multiple strategies","mixed drivers",IF(BF236="Supply chain","multiple supply","multiple silviculture"))))</f>
        <v>technologies/design switch</v>
      </c>
      <c r="BF236" s="2" t="str" cm="1">
        <f t="array" ref="BF236">IF(COUNTIF(AZ236:BB236,"&lt;&gt;0")=1,INDEX($V$4:$AW$4,MATCH(TRUE,INDEX($V236:$AW236&lt;&gt;0,),0)),IF(COUNTIF(AZ236:BB236,"&lt;&gt;0")=0,INDEX($AM$4:$AW$4,MATCH(1,$AM236:$AW236,0)),"Multiple strategies"))</f>
        <v>Technology</v>
      </c>
      <c r="BG236" s="1" t="s">
        <v>229</v>
      </c>
      <c r="BH236" t="s">
        <v>687</v>
      </c>
      <c r="BI236" s="141" t="s">
        <v>688</v>
      </c>
      <c r="BJ236" t="s">
        <v>651</v>
      </c>
      <c r="BK236">
        <f>25.35</f>
        <v>25.35</v>
      </c>
      <c r="BL236">
        <f>25.35+3.2+500.73</f>
        <v>529.28</v>
      </c>
      <c r="BM236"/>
      <c r="BN236">
        <f>BL236-BK236</f>
        <v>503.92999999999995</v>
      </c>
      <c r="BO236">
        <f>BN236*t_to_m3</f>
        <v>1028.4285714285713</v>
      </c>
      <c r="BP236" t="s">
        <v>395</v>
      </c>
      <c r="BQ236" s="234" t="s">
        <v>3078</v>
      </c>
      <c r="BR236" t="s">
        <v>262</v>
      </c>
      <c r="BS236">
        <f>1193.28*2347</f>
        <v>2800628.16</v>
      </c>
      <c r="BT236">
        <f>1343.23*2347</f>
        <v>3152560.81</v>
      </c>
      <c r="BU236" s="144">
        <f>IFERROR(BT236/BS236,"")</f>
        <v>1.1256620407615983</v>
      </c>
      <c r="BV236">
        <f>BT236-BS236</f>
        <v>351932.64999999991</v>
      </c>
      <c r="BW236"/>
      <c r="BX236">
        <f>BV236/1000</f>
        <v>351.93264999999991</v>
      </c>
      <c r="BY236">
        <f>IFERROR(BX236/BO236,"")</f>
        <v>0.34220427142658699</v>
      </c>
      <c r="BZ236">
        <v>0</v>
      </c>
      <c r="CA236">
        <v>0</v>
      </c>
      <c r="CB236">
        <v>0</v>
      </c>
      <c r="CC236">
        <v>0</v>
      </c>
      <c r="CD236">
        <v>0</v>
      </c>
      <c r="CE236">
        <v>0</v>
      </c>
      <c r="CF236">
        <v>0</v>
      </c>
      <c r="CG236">
        <v>0</v>
      </c>
      <c r="CH236">
        <v>0</v>
      </c>
      <c r="CI236">
        <v>0</v>
      </c>
      <c r="CJ236">
        <v>0</v>
      </c>
      <c r="CK236">
        <v>0</v>
      </c>
      <c r="CL236">
        <v>0</v>
      </c>
      <c r="CM236">
        <v>0</v>
      </c>
      <c r="CN236" t="str">
        <f>IF($BL236&lt;$BK236,"refNeedCorrection","refOK")</f>
        <v>refOK</v>
      </c>
      <c r="CO236"/>
      <c r="CP236"/>
      <c r="CQ236">
        <f>IF($CN236="refOK",$BO236,-$BO236)</f>
        <v>1028.4285714285713</v>
      </c>
      <c r="CR236">
        <f>IF($CN236="refOK",$BS236,$BT236)*IF($BP236="Emissions positive",-1,1)</f>
        <v>-2800628.16</v>
      </c>
      <c r="CS236">
        <f>IF($CN236="refOK",$BT236,$BS236)*IF($BP236="Emissions positive",-1,1)</f>
        <v>-3152560.81</v>
      </c>
      <c r="CT236">
        <f>IF($CN236="refNeedCorrection",-BX236,BX236)*IF($BP236="Emissions positive",-1,1)</f>
        <v>-351.93264999999991</v>
      </c>
      <c r="CU236">
        <f>IFERROR(CT236/CQ236,"")</f>
        <v>-0.34220427142658699</v>
      </c>
      <c r="CV236" s="2">
        <f>IFERROR((CS236-CR236)/ABS(CR236),"")</f>
        <v>-0.12566204076159823</v>
      </c>
      <c r="CW236" s="1" t="s">
        <v>263</v>
      </c>
      <c r="CX236" t="str">
        <f>IF(OR($CW236="prd",$CW236="std",$CW236="cit"),"loc",IF(OR($CW236="eur",$CW236="reg",$CW236="coy"),"reg",$CW236))</f>
        <v>loc</v>
      </c>
      <c r="CY236" t="s">
        <v>690</v>
      </c>
      <c r="CZ236"/>
      <c r="DA236"/>
      <c r="DB236">
        <v>0</v>
      </c>
      <c r="DC236" t="str">
        <f>IF(DB236=0,"0",IF(AND(DB236&gt;=1,DB236&lt;=30),"1-30",IF(AND(DB236&gt;30,DB236&lt;=70),"31-70",IF(AND(DB236&gt;70,DB236&lt;=100),"71-100",IF(DB236&gt;100,"+100")))))</f>
        <v>0</v>
      </c>
      <c r="DD236">
        <v>0</v>
      </c>
      <c r="DE236">
        <v>0</v>
      </c>
      <c r="DF236">
        <v>0</v>
      </c>
      <c r="DG236">
        <v>1</v>
      </c>
      <c r="DH236">
        <v>0</v>
      </c>
      <c r="DI236">
        <f>SUM(DD236:DH236)</f>
        <v>1</v>
      </c>
      <c r="DJ236" t="str">
        <f>IF(DI236=1,INDEX($DD$7:$DG$7,MATCH(1,$DD236:$DG236,0)),"mixedProduct")</f>
        <v>TimberInput</v>
      </c>
      <c r="DK236">
        <f>IF(DD236=1,DK$7,0)</f>
        <v>0</v>
      </c>
      <c r="DL236">
        <f>IF(DE236=1,DL$7,0)</f>
        <v>0</v>
      </c>
      <c r="DM236">
        <f>IF(DF236=1,DM$7,0)</f>
        <v>0</v>
      </c>
      <c r="DN236" t="str">
        <f>IF(DG236=1,DN$7,0)</f>
        <v>Timber</v>
      </c>
      <c r="DO236">
        <v>0</v>
      </c>
      <c r="DP236">
        <v>0</v>
      </c>
      <c r="DQ236">
        <v>0</v>
      </c>
      <c r="DR236">
        <v>0</v>
      </c>
      <c r="DS236">
        <v>0</v>
      </c>
      <c r="DT236">
        <f>SUM(DO236:DP236)</f>
        <v>0</v>
      </c>
      <c r="DU236" t="str">
        <f>IF(DO236=1,"self-calculated DF",IF(DP236=1,"external DF used","explicit C balance"))</f>
        <v>explicit C balance</v>
      </c>
      <c r="DV236">
        <v>0</v>
      </c>
      <c r="DW236">
        <v>0</v>
      </c>
      <c r="DX236">
        <v>0</v>
      </c>
      <c r="DY236">
        <v>0</v>
      </c>
      <c r="DZ236">
        <v>0</v>
      </c>
      <c r="EA236" s="143">
        <v>0</v>
      </c>
      <c r="EB236">
        <v>0</v>
      </c>
      <c r="EC236">
        <v>0</v>
      </c>
      <c r="ED236">
        <v>1</v>
      </c>
      <c r="EE236">
        <v>0</v>
      </c>
      <c r="EF236">
        <v>0</v>
      </c>
      <c r="EG236">
        <v>0</v>
      </c>
      <c r="EH236">
        <v>0</v>
      </c>
      <c r="EI236" s="2">
        <v>0</v>
      </c>
      <c r="EJ236" s="1"/>
      <c r="EK236" t="str">
        <f>IF(AND(AND(AND(OR($DX236=1,$DW236=1),OR($EC236=1,$EA236=1)),SUM($DV236:$DZ236,$EF236)&gt;=4),SUM($EA236:$EE236)&gt;=2),"Whole sector","")</f>
        <v/>
      </c>
      <c r="EL236" t="str">
        <f>IF(AND(AND(OR($DX236=1,$DW236=1),AND($EC236=0,$EA236=0)),SUM($DV236:$DZ236,$EF236)&gt;=4),"Ecosystem approach","")</f>
        <v/>
      </c>
      <c r="EM236" s="2" t="str">
        <f>IF(AND(AND(AND($DX236=0,$DW236=0),OR($EC236=1,$EA236=1)),SUM($EB236:$EE236)&gt;=2),"Technology approach","")</f>
        <v/>
      </c>
      <c r="EN236"/>
      <c r="EO236"/>
      <c r="EP236" t="str">
        <f>IF(ISNUMBER(BU236),IF(ABS(BU236-[4]QC_indicators!$B$2)&gt;3*[4]QC_indicators!$C$2,"C ratio",IF(ISNUMBER(BY236),IF(ABS(BY236-[4]QC_indicators!$B$1)&gt;3*[4]QC_indicators!$C$1,"DF","no"))),IF(ISNUMBER(BY236),IF(ABS(BY236-[4]QC_indicators!$B$1)&gt;3*[4]QC_indicators!$C$1,"DF","no")))</f>
        <v>no</v>
      </c>
      <c r="EQ236"/>
      <c r="ER236"/>
      <c r="ES236"/>
      <c r="ET236" t="s">
        <v>3273</v>
      </c>
      <c r="EU236"/>
    </row>
    <row r="237" spans="1:151" s="139" customFormat="1" ht="15" customHeight="1">
      <c r="A237" s="1" t="s">
        <v>265</v>
      </c>
      <c r="B237" t="s">
        <v>1531</v>
      </c>
      <c r="C237" t="s">
        <v>1532</v>
      </c>
      <c r="D237" t="s">
        <v>1533</v>
      </c>
      <c r="E237" t="s">
        <v>1534</v>
      </c>
      <c r="F237" t="s">
        <v>1535</v>
      </c>
      <c r="G237" t="s">
        <v>271</v>
      </c>
      <c r="H237" t="s">
        <v>254</v>
      </c>
      <c r="I237">
        <v>2019</v>
      </c>
      <c r="J237">
        <v>26</v>
      </c>
      <c r="K237" t="s">
        <v>1536</v>
      </c>
      <c r="L237"/>
      <c r="M237" t="str">
        <f>LEFT($D237,FIND(",",$D237)-1)&amp;"_"&amp;I237&amp;L237</f>
        <v>Faraca_2019</v>
      </c>
      <c r="N237" t="s">
        <v>222</v>
      </c>
      <c r="O237" s="145" t="s">
        <v>274</v>
      </c>
      <c r="P237" s="180" t="s">
        <v>223</v>
      </c>
      <c r="Q237" t="s">
        <v>256</v>
      </c>
      <c r="R237" s="262" t="s">
        <v>223</v>
      </c>
      <c r="S237" s="263" t="s">
        <v>3123</v>
      </c>
      <c r="T237" s="264" t="s">
        <v>3124</v>
      </c>
      <c r="U237" s="264" t="s">
        <v>3125</v>
      </c>
      <c r="V237">
        <v>0</v>
      </c>
      <c r="W237">
        <v>0</v>
      </c>
      <c r="X237">
        <v>0</v>
      </c>
      <c r="Y237">
        <v>0</v>
      </c>
      <c r="Z237">
        <v>0</v>
      </c>
      <c r="AA237">
        <v>0</v>
      </c>
      <c r="AB237">
        <v>0</v>
      </c>
      <c r="AC237">
        <v>0</v>
      </c>
      <c r="AD237">
        <v>0</v>
      </c>
      <c r="AE237">
        <v>0</v>
      </c>
      <c r="AF237">
        <v>0</v>
      </c>
      <c r="AG237">
        <v>0</v>
      </c>
      <c r="AH237">
        <v>0</v>
      </c>
      <c r="AI237">
        <v>1</v>
      </c>
      <c r="AJ237">
        <v>0</v>
      </c>
      <c r="AK237">
        <v>0</v>
      </c>
      <c r="AL237">
        <v>0</v>
      </c>
      <c r="AM237">
        <v>0</v>
      </c>
      <c r="AN237">
        <v>0</v>
      </c>
      <c r="AO237">
        <v>0</v>
      </c>
      <c r="AP237">
        <v>0</v>
      </c>
      <c r="AQ237">
        <v>0</v>
      </c>
      <c r="AR237">
        <v>0</v>
      </c>
      <c r="AS237">
        <v>0</v>
      </c>
      <c r="AT237">
        <v>0</v>
      </c>
      <c r="AU237">
        <v>0</v>
      </c>
      <c r="AV237">
        <v>0</v>
      </c>
      <c r="AW237">
        <v>0</v>
      </c>
      <c r="AX237" s="141">
        <f>COUNTIF(V237:AW237,"&lt;&gt;0")</f>
        <v>1</v>
      </c>
      <c r="AY237" s="141">
        <f>COUNTIF(V237:AL237,"&lt;&gt;0")</f>
        <v>1</v>
      </c>
      <c r="AZ237">
        <f>COUNTIF(V237:AC237,"&lt;&gt;0")</f>
        <v>0</v>
      </c>
      <c r="BA237">
        <f>COUNTIF(AD237:AI237,"&lt;&gt;0")</f>
        <v>1</v>
      </c>
      <c r="BB237">
        <f>COUNTIF(AJ237:AL237,"&lt;&gt;0")</f>
        <v>0</v>
      </c>
      <c r="BC237">
        <f>COUNTIF(AS237:AW237,"&lt;&gt;0")</f>
        <v>0</v>
      </c>
      <c r="BD237">
        <f>COUNTIF(AM237:AR237,"&lt;&gt;0")</f>
        <v>0</v>
      </c>
      <c r="BE237" t="str">
        <f t="array" ref="BE237">IF(AY237=1,INDEX($V$7:$AL$7,MATCH(TRUE,INDEX($V237:$AW237&lt;&gt;0,),0)),IF(AY237=0,INDEX($AM$7:$AW$7,MATCH(1,$AM237:$AW237,0)),IF(BF237="Multiple strategies","mixed drivers",IF(BF237="Supply chain","multiple supply","multiple silviculture"))))</f>
        <v>products lifespan</v>
      </c>
      <c r="BF237" s="2" t="str" cm="1">
        <f t="array" ref="BF237">IF(COUNTIF(AZ237:BB237,"&lt;&gt;0")=1,INDEX($V$4:$AW$4,MATCH(TRUE,INDEX($V237:$AW237&lt;&gt;0,),0)),IF(COUNTIF(AZ237:BB237,"&lt;&gt;0")=0,INDEX($AM$4:$AW$4,MATCH(1,$AM237:$AW237,0)),"Multiple strategies"))</f>
        <v>Supply chain</v>
      </c>
      <c r="BG237" s="1" t="s">
        <v>229</v>
      </c>
      <c r="BH237" t="s">
        <v>1548</v>
      </c>
      <c r="BI237" s="264" t="s">
        <v>3121</v>
      </c>
      <c r="BJ237" t="s">
        <v>345</v>
      </c>
      <c r="BK237">
        <v>478</v>
      </c>
      <c r="BL237">
        <v>922</v>
      </c>
      <c r="BM237">
        <f>BK237/BL237</f>
        <v>0.51843817787418656</v>
      </c>
      <c r="BN237">
        <f>BL237-BK237</f>
        <v>444</v>
      </c>
      <c r="BO237">
        <f>BN237*kg_to_m3</f>
        <v>0.90612244897959193</v>
      </c>
      <c r="BP237" t="s">
        <v>395</v>
      </c>
      <c r="BQ237" s="234" t="s">
        <v>426</v>
      </c>
      <c r="BR237" t="s">
        <v>728</v>
      </c>
      <c r="BS237">
        <v>206.8</v>
      </c>
      <c r="BT237">
        <v>515.29999999999995</v>
      </c>
      <c r="BU237" s="144"/>
      <c r="BV237">
        <f>BT237-BS237</f>
        <v>308.49999999999994</v>
      </c>
      <c r="BW237"/>
      <c r="BX237">
        <f>BV237/1000</f>
        <v>0.30849999999999994</v>
      </c>
      <c r="BY237">
        <f>IFERROR(BX237/BO237,"")</f>
        <v>0.34046171171171163</v>
      </c>
      <c r="BZ237">
        <v>0</v>
      </c>
      <c r="CA237">
        <v>0</v>
      </c>
      <c r="CB237">
        <v>0</v>
      </c>
      <c r="CC237">
        <v>0</v>
      </c>
      <c r="CD237">
        <v>0</v>
      </c>
      <c r="CE237">
        <v>0</v>
      </c>
      <c r="CF237">
        <v>0</v>
      </c>
      <c r="CG237">
        <v>0</v>
      </c>
      <c r="CH237">
        <v>0</v>
      </c>
      <c r="CI237">
        <v>0</v>
      </c>
      <c r="CJ237">
        <v>0</v>
      </c>
      <c r="CK237">
        <v>0</v>
      </c>
      <c r="CL237">
        <v>0</v>
      </c>
      <c r="CM237">
        <v>0</v>
      </c>
      <c r="CN237" t="str">
        <f>IF($BL237&lt;$BK237,"refNeedCorrection","refOK")</f>
        <v>refOK</v>
      </c>
      <c r="CO237">
        <f>IF($CN237="refNeedCorrection",BL237,BK237)</f>
        <v>478</v>
      </c>
      <c r="CP237">
        <f>IF($CN237="refNeedCorrection",BK237,BL237)</f>
        <v>922</v>
      </c>
      <c r="CQ237">
        <f>IF($CN237="refOK",$BO237,-$BO237)</f>
        <v>0.90612244897959193</v>
      </c>
      <c r="CR237">
        <f>IF($CN237="refOK",$BS237,$BT237)*IF($BP237="Emissions positive",-1,1)</f>
        <v>-206.8</v>
      </c>
      <c r="CS237">
        <f>IF($CN237="refOK",$BT237,$BS237)*IF($BP237="Emissions positive",-1,1)</f>
        <v>-515.29999999999995</v>
      </c>
      <c r="CT237">
        <f>IF($CN237="refNeedCorrection",-BX237,BX237)*IF($BP237="Emissions positive",-1,1)</f>
        <v>-0.30849999999999994</v>
      </c>
      <c r="CU237">
        <f>IFERROR(CT237/CQ237,"")</f>
        <v>-0.34046171171171163</v>
      </c>
      <c r="CV237" s="2">
        <f>IFERROR((CS237-CR237)/ABS(CR237),"")</f>
        <v>-1.4917794970986458</v>
      </c>
      <c r="CW237" s="1" t="s">
        <v>1199</v>
      </c>
      <c r="CX237" t="str">
        <f>IF(OR($CW237="prd",$CW237="std",$CW237="cit"),"loc",IF(OR($CW237="eur",$CW237="reg",$CW237="coy"),"reg",$CW237))</f>
        <v>reg</v>
      </c>
      <c r="CY237" t="s">
        <v>1540</v>
      </c>
      <c r="CZ237"/>
      <c r="DA237"/>
      <c r="DB237">
        <v>100</v>
      </c>
      <c r="DC237" t="str">
        <f>IF(DB237=0,"0",IF(AND(DB237&gt;=1,DB237&lt;=30),"1-30",IF(AND(DB237&gt;30,DB237&lt;=70),"31-70",IF(AND(DB237&gt;70,DB237&lt;=100),"71-100",IF(DB237&gt;100,"+100")))))</f>
        <v>71-100</v>
      </c>
      <c r="DD237">
        <v>0</v>
      </c>
      <c r="DE237">
        <v>0</v>
      </c>
      <c r="DF237">
        <v>0</v>
      </c>
      <c r="DG237">
        <v>1</v>
      </c>
      <c r="DH237"/>
      <c r="DI237">
        <f>SUM(DD237:DG237)</f>
        <v>1</v>
      </c>
      <c r="DJ237" t="str">
        <f>IF(DI237=1,INDEX($DD$7:$DG$7,MATCH(1,$DD237:$DG237,0)),"mixedProduct")</f>
        <v>TimberInput</v>
      </c>
      <c r="DK237">
        <f>IF(DD237=1,DK$7,0)</f>
        <v>0</v>
      </c>
      <c r="DL237">
        <f>IF(DE237=1,DL$7,0)</f>
        <v>0</v>
      </c>
      <c r="DM237">
        <f>IF(DF237=1,DM$7,0)</f>
        <v>0</v>
      </c>
      <c r="DN237" t="str">
        <f>IF(DG237=1,DN$7,0)</f>
        <v>Timber</v>
      </c>
      <c r="DO237">
        <v>0</v>
      </c>
      <c r="DP237">
        <v>0</v>
      </c>
      <c r="DQ237">
        <v>0</v>
      </c>
      <c r="DR237">
        <v>0</v>
      </c>
      <c r="DS237">
        <v>0</v>
      </c>
      <c r="DT237">
        <f>SUM(DO237:DP237)</f>
        <v>0</v>
      </c>
      <c r="DU237" s="143" t="str">
        <f>IF(DO237=1,"self-calculated DF",IF(DP237=1,"external DF used","explicit C balance"))</f>
        <v>explicit C balance</v>
      </c>
      <c r="DV237">
        <v>0</v>
      </c>
      <c r="DW237">
        <v>0</v>
      </c>
      <c r="DX237">
        <v>0</v>
      </c>
      <c r="DY237">
        <v>0</v>
      </c>
      <c r="DZ237">
        <v>1</v>
      </c>
      <c r="EA237" s="143">
        <v>0</v>
      </c>
      <c r="EB237">
        <v>0</v>
      </c>
      <c r="EC237">
        <v>1</v>
      </c>
      <c r="ED237">
        <v>0</v>
      </c>
      <c r="EE237">
        <v>1</v>
      </c>
      <c r="EF237">
        <v>1</v>
      </c>
      <c r="EG237">
        <v>1</v>
      </c>
      <c r="EH237">
        <v>0</v>
      </c>
      <c r="EI237" s="2">
        <v>0</v>
      </c>
      <c r="EJ237" s="1"/>
      <c r="EK237" t="str">
        <f>IF(AND(AND(AND(OR($DX237=1,$DW237=1),OR($EC237=1,$EA237=1)),SUM($DV237:$DZ237,$EF237)&gt;=4),SUM($EA237:$EE237)&gt;=2),"Whole sector","")</f>
        <v/>
      </c>
      <c r="EL237" t="str">
        <f>IF(AND(AND(OR($DX237=1,$DW237=1),AND($EC237=0,$EA237=0)),SUM($DV237:$DZ237,$EF237)&gt;=4),"Ecosystem approach","")</f>
        <v/>
      </c>
      <c r="EM237" s="2" t="str">
        <f>IF(AND(AND(AND($DX237=0,$DW237=0),OR($EC237=1,$EA237=1)),SUM($EB237:$EE237)&gt;=2),"Technology approach","")</f>
        <v>Technology approach</v>
      </c>
      <c r="EN237"/>
      <c r="EO237"/>
      <c r="EP237" t="str">
        <f>IF(ISNUMBER(BU237),IF(ABS(BU237-[1]QC_indicators!$B$2)&gt;3*[1]QC_indicators!$C$2,"C ratio",IF(ISNUMBER(BY237),IF(ABS(BY237-[1]QC_indicators!$B$1)&gt;3*[1]QC_indicators!$C$1,"DF","no"))),IF(ISNUMBER(BY237),IF(ABS(BY237-[1]QC_indicators!$B$1)&gt;3*[1]QC_indicators!$C$1,"DF","no")))</f>
        <v>no</v>
      </c>
      <c r="EQ237"/>
      <c r="ER237"/>
      <c r="ES237"/>
      <c r="ET237" s="264" t="s">
        <v>3273</v>
      </c>
      <c r="EU237"/>
    </row>
    <row r="238" spans="1:151" s="139" customFormat="1" ht="15" customHeight="1">
      <c r="A238" s="1" t="s">
        <v>1204</v>
      </c>
      <c r="B238" t="s">
        <v>1205</v>
      </c>
      <c r="C238" t="s">
        <v>1206</v>
      </c>
      <c r="D238" t="s">
        <v>1207</v>
      </c>
      <c r="E238" t="s">
        <v>1208</v>
      </c>
      <c r="F238" t="s">
        <v>1209</v>
      </c>
      <c r="G238" t="s">
        <v>1210</v>
      </c>
      <c r="H238"/>
      <c r="I238">
        <v>2006</v>
      </c>
      <c r="J238"/>
      <c r="K238" t="s">
        <v>1211</v>
      </c>
      <c r="L238"/>
      <c r="M238" t="str">
        <f>LEFT($D238,FIND(",",$D238)-1)&amp;"_"&amp;I238&amp;L238</f>
        <v>Backeus_2006</v>
      </c>
      <c r="N238" t="s">
        <v>222</v>
      </c>
      <c r="O238" s="140" t="s">
        <v>274</v>
      </c>
      <c r="P238"/>
      <c r="Q238" t="s">
        <v>224</v>
      </c>
      <c r="R238" s="255" t="s">
        <v>223</v>
      </c>
      <c r="S238" s="263" t="s">
        <v>3087</v>
      </c>
      <c r="T238" t="s">
        <v>1219</v>
      </c>
      <c r="U238" t="s">
        <v>1213</v>
      </c>
      <c r="V238">
        <v>0</v>
      </c>
      <c r="W238">
        <v>0</v>
      </c>
      <c r="X238">
        <v>0</v>
      </c>
      <c r="Y238">
        <v>1</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1</v>
      </c>
      <c r="AW238">
        <v>0</v>
      </c>
      <c r="AX238" s="141">
        <f>COUNTIF(V238:AW238,"&lt;&gt;0")</f>
        <v>2</v>
      </c>
      <c r="AY238" s="141">
        <f>COUNTIF(V238:AL238,"&lt;&gt;0")</f>
        <v>1</v>
      </c>
      <c r="AZ238">
        <f>COUNTIF(V238:AC238,"&lt;&gt;0")</f>
        <v>1</v>
      </c>
      <c r="BA238">
        <f>COUNTIF(AD238:AI238,"&lt;&gt;0")</f>
        <v>0</v>
      </c>
      <c r="BB238">
        <f>COUNTIF(AJ238:AL238,"&lt;&gt;0")</f>
        <v>0</v>
      </c>
      <c r="BC238">
        <f>COUNTIF(AS238:AW238,"&lt;&gt;0")</f>
        <v>1</v>
      </c>
      <c r="BD238">
        <f>COUNTIF(AM238:AR238,"&lt;&gt;0")</f>
        <v>0</v>
      </c>
      <c r="BE238" t="str">
        <f t="array" ref="BE238">IF(AY238=1,INDEX($V$7:$AL$7,MATCH(TRUE,INDEX($V238:$AW238&lt;&gt;0,),0)),IF(AY238=0,INDEX($AM$7:$AW$7,MATCH(1,$AM238:$AW238,0)),IF(BF238="Multiple strategies","mixed drivers",IF(BF238="Supply chain","multiple supply","multiple silviculture"))))</f>
        <v xml:space="preserve">cutting intensity </v>
      </c>
      <c r="BF238" s="2" t="str" cm="1">
        <f t="array" ref="BF238">IF(COUNTIF(AZ238:BB238,"&lt;&gt;0")=1,INDEX($V$4:$AW$4,MATCH(TRUE,INDEX($V238:$AW238&lt;&gt;0,),0)),IF(COUNTIF(AZ238:BB238,"&lt;&gt;0")=0,INDEX($AM$4:$AW$4,MATCH(1,$AM238:$AW238,0)),"Multiple strategies"))</f>
        <v>Silviculture for removals</v>
      </c>
      <c r="BG238" s="1" t="s">
        <v>229</v>
      </c>
      <c r="BH238" t="s">
        <v>229</v>
      </c>
      <c r="BI238" s="264" t="s">
        <v>701</v>
      </c>
      <c r="BJ238" t="s">
        <v>1214</v>
      </c>
      <c r="BK238">
        <v>0</v>
      </c>
      <c r="BL238">
        <v>5.6162990524021872</v>
      </c>
      <c r="BM238"/>
      <c r="BN238">
        <f>BL238-BK238</f>
        <v>5.6162990524021872</v>
      </c>
      <c r="BO238" s="143">
        <f>BN238*10^6</f>
        <v>5616299.0524021871</v>
      </c>
      <c r="BP238" s="143" t="s">
        <v>232</v>
      </c>
      <c r="BQ238" s="311" t="s">
        <v>787</v>
      </c>
      <c r="BR238" s="152" t="s">
        <v>1215</v>
      </c>
      <c r="BS238" s="152">
        <v>2.0588235294117601</v>
      </c>
      <c r="BT238" s="152">
        <v>1.5434782608695652</v>
      </c>
      <c r="BU238" s="144">
        <f>IFERROR(BT238/BS238,"")</f>
        <v>0.74968944099379053</v>
      </c>
      <c r="BV238">
        <f>BT238-BS238</f>
        <v>-0.51534526854219487</v>
      </c>
      <c r="BW238"/>
      <c r="BX238">
        <f>BV238*10^6*C_to_CO2</f>
        <v>-1891317.1355498552</v>
      </c>
      <c r="BY238">
        <f>IFERROR(BX238/BO238,"")</f>
        <v>-0.33675506199067273</v>
      </c>
      <c r="BZ238">
        <v>0</v>
      </c>
      <c r="CA238">
        <v>0</v>
      </c>
      <c r="CB238">
        <v>0</v>
      </c>
      <c r="CC238">
        <v>0</v>
      </c>
      <c r="CD238">
        <v>0</v>
      </c>
      <c r="CE238">
        <v>0</v>
      </c>
      <c r="CF238">
        <v>0</v>
      </c>
      <c r="CG238">
        <v>0</v>
      </c>
      <c r="CH238">
        <v>0</v>
      </c>
      <c r="CI238">
        <v>0</v>
      </c>
      <c r="CJ238">
        <v>0</v>
      </c>
      <c r="CK238">
        <v>0</v>
      </c>
      <c r="CL238">
        <v>0</v>
      </c>
      <c r="CM238">
        <v>0</v>
      </c>
      <c r="CN238" t="str">
        <f>IF($BL238&lt;$BK238,"refNeedCorrection","refOK")</f>
        <v>refOK</v>
      </c>
      <c r="CO238">
        <f>IF($CN238="refOK",$BK238,$BL238)</f>
        <v>0</v>
      </c>
      <c r="CP238">
        <f>IF($CN238="refOK",$BL238,$BK238)</f>
        <v>5.6162990524021872</v>
      </c>
      <c r="CQ238">
        <f>IF($CN238="refOK",$BO238,-$BO238)</f>
        <v>5616299.0524021871</v>
      </c>
      <c r="CR238" t="e">
        <f>IF($CN238="refOK",#REF!,$BT238)*IF($BP238="Emissions positive",-1,1)</f>
        <v>#REF!</v>
      </c>
      <c r="CS238">
        <f>IF($CN238="refOK",$BT238,#REF!)*IF($BP238="Emissions positive",-1,1)</f>
        <v>1.5434782608695652</v>
      </c>
      <c r="CT238">
        <f>IF($CN238="refNeedCorrection",-BX238,BX238)*IF($BP238="Emissions positive",-1,1)</f>
        <v>-1891317.1355498552</v>
      </c>
      <c r="CU238">
        <f>IFERROR(CT238/CQ238,"")</f>
        <v>-0.33675506199067273</v>
      </c>
      <c r="CV238" s="2" t="str">
        <f>IFERROR((CS238-CR238)/ABS(CR238),"")</f>
        <v/>
      </c>
      <c r="CW238" s="1" t="s">
        <v>1199</v>
      </c>
      <c r="CX238" t="str">
        <f>IF(OR($CW238="prd",$CW238="std",$CW238="cit"),"loc",IF(OR($CW238="eur",$CW238="reg",$CW238="coy"),"reg",$CW238))</f>
        <v>reg</v>
      </c>
      <c r="CY238" t="s">
        <v>444</v>
      </c>
      <c r="CZ238"/>
      <c r="DA238"/>
      <c r="DB238">
        <v>100</v>
      </c>
      <c r="DC238" t="str">
        <f>IF(DB238=0,"0",IF(AND(DB238&gt;=1,DB238&lt;=30),"1-30",IF(AND(DB238&gt;30,DB238&lt;=70),"31-70",IF(AND(DB238&gt;70,DB238&lt;=100),"71-100",IF(DB238&gt;100,"+100")))))</f>
        <v>71-100</v>
      </c>
      <c r="DD238">
        <v>0</v>
      </c>
      <c r="DE238">
        <v>1</v>
      </c>
      <c r="DF238">
        <v>1</v>
      </c>
      <c r="DG238">
        <v>1</v>
      </c>
      <c r="DH238"/>
      <c r="DI238">
        <f>SUM(DD238:DG238)</f>
        <v>3</v>
      </c>
      <c r="DJ238" t="str">
        <f>IF(DI238=1,INDEX($DD$7:$DG$7,MATCH(1,$DD238:$DG238,0)),"mixedProduct")</f>
        <v>mixedProduct</v>
      </c>
      <c r="DK238">
        <f>IF(DD238=1,DK$7,0)</f>
        <v>0</v>
      </c>
      <c r="DL238" t="str">
        <f>IF(DE238=1,DL$7,0)</f>
        <v>Energy</v>
      </c>
      <c r="DM238" t="str">
        <f>IF(DF238=1,DM$7,0)</f>
        <v>Pulp/Paper</v>
      </c>
      <c r="DN238" t="str">
        <f>IF(DG238=1,DN$7,0)</f>
        <v>Timber</v>
      </c>
      <c r="DO238">
        <v>1</v>
      </c>
      <c r="DP238">
        <v>0</v>
      </c>
      <c r="DQ238">
        <v>0</v>
      </c>
      <c r="DR238">
        <v>0</v>
      </c>
      <c r="DS238">
        <v>0</v>
      </c>
      <c r="DT238">
        <f>SUM(DO238:DP238)</f>
        <v>1</v>
      </c>
      <c r="DU238" s="143" t="str">
        <f>IF(DO238=1,"self-calculated DF",IF(DP238=1,"external DF used","explicit C balance"))</f>
        <v>self-calculated DF</v>
      </c>
      <c r="DV238">
        <v>0</v>
      </c>
      <c r="DW238">
        <v>1</v>
      </c>
      <c r="DX238">
        <v>1</v>
      </c>
      <c r="DY238">
        <v>0</v>
      </c>
      <c r="DZ238">
        <v>0</v>
      </c>
      <c r="EA238" s="143">
        <v>1</v>
      </c>
      <c r="EB238">
        <v>0</v>
      </c>
      <c r="EC238">
        <v>0</v>
      </c>
      <c r="ED238">
        <v>0</v>
      </c>
      <c r="EE238">
        <v>0</v>
      </c>
      <c r="EF238">
        <v>1</v>
      </c>
      <c r="EG238">
        <v>1</v>
      </c>
      <c r="EH238">
        <v>0</v>
      </c>
      <c r="EI238" s="2">
        <v>0</v>
      </c>
      <c r="EJ238" s="1"/>
      <c r="EK238" t="str">
        <f>IF(AND(AND(AND(OR($DX238=1,$DW238=1),OR($EC238=1,$EA238=1)),SUM($DV238:$DZ238,$EF238)&gt;=4),SUM($EA238:$EE238)&gt;=2),"Whole sector","")</f>
        <v/>
      </c>
      <c r="EL238" t="str">
        <f>IF(AND(AND(OR($DX238=1,$DW238=1),AND($EC238=0,$EA238=0)),SUM($DV238:$DZ238,$EF238)&gt;=4),"Ecosystem approach","")</f>
        <v/>
      </c>
      <c r="EM238" s="2" t="str">
        <f>IF(AND(AND(AND($DX238=0,$DW238=0),OR($EC238=1,$EA238=1)),SUM($EB238:$EE238)&gt;=2),"Technology approach","")</f>
        <v/>
      </c>
      <c r="EN238"/>
      <c r="EO238"/>
      <c r="EP238" t="str">
        <f>IF(ISNUMBER(BU238),IF(ABS(BU238-[1]QC_indicators!$B$2)&gt;3*[1]QC_indicators!$C$2,"C ratio",IF(ISNUMBER(BY238),IF(ABS(BY238-[1]QC_indicators!$B$1)&gt;3*[1]QC_indicators!$C$1,"DF","no"))),IF(ISNUMBER(BY238),IF(ABS(BY238-[1]QC_indicators!$B$1)&gt;3*[1]QC_indicators!$C$1,"DF","no")))</f>
        <v>no</v>
      </c>
      <c r="EQ238" t="s">
        <v>286</v>
      </c>
      <c r="ER238"/>
      <c r="ES238"/>
      <c r="ET238" s="264" t="s">
        <v>3088</v>
      </c>
      <c r="EU238"/>
    </row>
    <row r="239" spans="1:151" s="139" customFormat="1" ht="15" customHeight="1">
      <c r="A239" s="1" t="s">
        <v>265</v>
      </c>
      <c r="B239" t="s">
        <v>266</v>
      </c>
      <c r="C239" t="s">
        <v>267</v>
      </c>
      <c r="D239" t="s">
        <v>268</v>
      </c>
      <c r="E239" t="s">
        <v>269</v>
      </c>
      <c r="F239" t="s">
        <v>270</v>
      </c>
      <c r="G239" t="s">
        <v>271</v>
      </c>
      <c r="H239" t="s">
        <v>254</v>
      </c>
      <c r="I239">
        <v>2022</v>
      </c>
      <c r="J239">
        <v>0</v>
      </c>
      <c r="K239" t="s">
        <v>272</v>
      </c>
      <c r="L239"/>
      <c r="M239" t="str">
        <f>LEFT($D239,FIND(",",$D239)-1)&amp;"_"&amp;I239&amp;L239</f>
        <v>Aryapratama_2022</v>
      </c>
      <c r="N239" t="s">
        <v>222</v>
      </c>
      <c r="O239" s="145" t="s">
        <v>274</v>
      </c>
      <c r="P239"/>
      <c r="Q239" t="s">
        <v>224</v>
      </c>
      <c r="R239" s="262" t="s">
        <v>223</v>
      </c>
      <c r="S239" s="263" t="s">
        <v>3105</v>
      </c>
      <c r="T239" t="s">
        <v>328</v>
      </c>
      <c r="U239" t="s">
        <v>320</v>
      </c>
      <c r="V239">
        <v>0</v>
      </c>
      <c r="W239">
        <v>0</v>
      </c>
      <c r="X239">
        <v>0</v>
      </c>
      <c r="Y239">
        <v>0</v>
      </c>
      <c r="Z239">
        <v>0</v>
      </c>
      <c r="AA239">
        <v>0</v>
      </c>
      <c r="AB239">
        <v>0</v>
      </c>
      <c r="AC239">
        <v>0</v>
      </c>
      <c r="AD239">
        <v>0</v>
      </c>
      <c r="AE239">
        <v>0</v>
      </c>
      <c r="AF239">
        <v>0</v>
      </c>
      <c r="AG239">
        <v>0</v>
      </c>
      <c r="AH239">
        <v>0</v>
      </c>
      <c r="AI239">
        <v>0</v>
      </c>
      <c r="AJ239">
        <v>0</v>
      </c>
      <c r="AK239">
        <v>1</v>
      </c>
      <c r="AL239">
        <v>0</v>
      </c>
      <c r="AM239">
        <v>0</v>
      </c>
      <c r="AN239">
        <v>0</v>
      </c>
      <c r="AO239">
        <v>0</v>
      </c>
      <c r="AP239">
        <v>0</v>
      </c>
      <c r="AQ239">
        <v>0</v>
      </c>
      <c r="AR239">
        <v>0</v>
      </c>
      <c r="AS239">
        <v>0</v>
      </c>
      <c r="AT239">
        <v>0</v>
      </c>
      <c r="AU239">
        <v>0</v>
      </c>
      <c r="AV239">
        <v>0</v>
      </c>
      <c r="AW239">
        <v>0</v>
      </c>
      <c r="AX239" s="141">
        <f>COUNTIF(V239:AW239,"&lt;&gt;0")</f>
        <v>1</v>
      </c>
      <c r="AY239" s="141">
        <f>COUNTIF(V239:AL239,"&lt;&gt;0")</f>
        <v>1</v>
      </c>
      <c r="AZ239">
        <f>COUNTIF(V239:AC239,"&lt;&gt;0")</f>
        <v>0</v>
      </c>
      <c r="BA239">
        <f>COUNTIF(AD239:AI239,"&lt;&gt;0")</f>
        <v>0</v>
      </c>
      <c r="BB239">
        <f>COUNTIF(AJ239:AL239,"&lt;&gt;0")</f>
        <v>1</v>
      </c>
      <c r="BC239">
        <f>COUNTIF(AS239:AW239,"&lt;&gt;0")</f>
        <v>0</v>
      </c>
      <c r="BD239">
        <f>COUNTIF(AM239:AR239,"&lt;&gt;0")</f>
        <v>0</v>
      </c>
      <c r="BE239" t="str">
        <f t="array" ref="BE239">IF(AY239=1,INDEX($V$7:$AL$7,MATCH(TRUE,INDEX($V239:$AW239&lt;&gt;0,),0)),IF(AY239=0,INDEX($AM$7:$AW$7,MATCH(1,$AM239:$AW239,0)),IF(BF239="Multiple strategies","mixed drivers",IF(BF239="Supply chain","multiple supply","multiple silviculture"))))</f>
        <v>technologies/design switch</v>
      </c>
      <c r="BF239" s="2" t="str" cm="1">
        <f t="array" ref="BF239">IF(COUNTIF(AZ239:BB239,"&lt;&gt;0")=1,INDEX($V$4:$AW$4,MATCH(TRUE,INDEX($V239:$AW239&lt;&gt;0,),0)),IF(COUNTIF(AZ239:BB239,"&lt;&gt;0")=0,INDEX($AM$4:$AW$4,MATCH(1,$AM239:$AW239,0)),"Multiple strategies"))</f>
        <v>Technology</v>
      </c>
      <c r="BG239" s="1" t="s">
        <v>229</v>
      </c>
      <c r="BH239" t="s">
        <v>277</v>
      </c>
      <c r="BI239" s="264" t="s">
        <v>3106</v>
      </c>
      <c r="BJ239" t="s">
        <v>278</v>
      </c>
      <c r="BK239">
        <v>0</v>
      </c>
      <c r="BL239">
        <v>180.77283018867931</v>
      </c>
      <c r="BM239"/>
      <c r="BN239">
        <f>BL239-BK239</f>
        <v>180.77283018867931</v>
      </c>
      <c r="BO239">
        <f>BN239*tC_to_m3</f>
        <v>784.94498562170781</v>
      </c>
      <c r="BP239" t="s">
        <v>232</v>
      </c>
      <c r="BQ239" s="303" t="s">
        <v>3107</v>
      </c>
      <c r="BR239" t="s">
        <v>279</v>
      </c>
      <c r="BS239">
        <v>-184.68959838926031</v>
      </c>
      <c r="BT239">
        <v>-448.98121307248744</v>
      </c>
      <c r="BU239" s="144">
        <f>IFERROR(BT239/BS239,"")</f>
        <v>2.4310043282794624</v>
      </c>
      <c r="BV239">
        <f>BT239-BS239</f>
        <v>-264.29161468322712</v>
      </c>
      <c r="BW239"/>
      <c r="BX239">
        <f>BV239</f>
        <v>-264.29161468322712</v>
      </c>
      <c r="BY239">
        <f>IFERROR(BX239/BO239,"")</f>
        <v>-0.33670081282689845</v>
      </c>
      <c r="BZ239">
        <v>0</v>
      </c>
      <c r="CA239">
        <v>0</v>
      </c>
      <c r="CB239">
        <v>0</v>
      </c>
      <c r="CC239">
        <v>0</v>
      </c>
      <c r="CD239">
        <v>0</v>
      </c>
      <c r="CE239">
        <v>0</v>
      </c>
      <c r="CF239">
        <v>0</v>
      </c>
      <c r="CG239">
        <v>0</v>
      </c>
      <c r="CH239">
        <v>0</v>
      </c>
      <c r="CI239">
        <v>0</v>
      </c>
      <c r="CJ239">
        <v>0</v>
      </c>
      <c r="CK239">
        <v>0</v>
      </c>
      <c r="CL239">
        <v>0</v>
      </c>
      <c r="CM239">
        <v>0</v>
      </c>
      <c r="CN239" t="str">
        <f>IF($BL239&lt;$BK239,"refNeedCorrection","refOK")</f>
        <v>refOK</v>
      </c>
      <c r="CO239">
        <f>IF($CN239="refOK",$BK239,$BL239)</f>
        <v>0</v>
      </c>
      <c r="CP239">
        <f>IF($CN239="refOK",$BL239,$BK239)</f>
        <v>180.77283018867931</v>
      </c>
      <c r="CQ239">
        <f>IF($CN239="refOK",$BO239,-$BO239)</f>
        <v>784.94498562170781</v>
      </c>
      <c r="CR239">
        <f>IF($CN239="refOK",$BS239,$BT239)*IF($BP239="Emissions positive",-1,1)</f>
        <v>-184.68959838926031</v>
      </c>
      <c r="CS239">
        <f>IF($CN239="refOK",$BT239,$BS239)*IF($BP239="Emissions positive",-1,1)</f>
        <v>-448.98121307248744</v>
      </c>
      <c r="CT239">
        <f>IF($CN239="refNeedCorrection",-BX239,BX239)*IF($BP239="Emissions positive",-1,1)</f>
        <v>-264.29161468322712</v>
      </c>
      <c r="CU239">
        <f>IFERROR(CT239/CQ239,"")</f>
        <v>-0.33670081282689845</v>
      </c>
      <c r="CV239" s="2">
        <f>IFERROR((CS239-CR239)/ABS(CR239),"")</f>
        <v>-1.4310043282794624</v>
      </c>
      <c r="CW239" s="1" t="s">
        <v>234</v>
      </c>
      <c r="CX239" t="str">
        <f>IF(OR($CW239="prd",$CW239="std",$CW239="cit"),"loc",IF(OR($CW239="eur",$CW239="reg",$CW239="coy"),"reg",$CW239))</f>
        <v>loc</v>
      </c>
      <c r="CY239" t="s">
        <v>280</v>
      </c>
      <c r="CZ239"/>
      <c r="DA239"/>
      <c r="DB239">
        <v>200</v>
      </c>
      <c r="DC239" t="str">
        <f>IF(DB239=0,"0",IF(AND(DB239&gt;=1,DB239&lt;=30),"1-30",IF(AND(DB239&gt;30,DB239&lt;=70),"31-70",IF(AND(DB239&gt;70,DB239&lt;=100),"71-100",IF(DB239&gt;100,"+100")))))</f>
        <v>+100</v>
      </c>
      <c r="DD239">
        <v>0</v>
      </c>
      <c r="DE239">
        <v>1</v>
      </c>
      <c r="DF239">
        <v>0</v>
      </c>
      <c r="DG239">
        <v>0</v>
      </c>
      <c r="DH239"/>
      <c r="DI239">
        <f>SUM(DD239:DG239)</f>
        <v>1</v>
      </c>
      <c r="DJ239" t="str">
        <f>IF(DI239=1,INDEX($DD$7:$DG$7,MATCH(1,$DD239:$DG239,0)),"mixedProduct")</f>
        <v>EnergyInput</v>
      </c>
      <c r="DK239">
        <f>IF(DD239=1,DK$7,0)</f>
        <v>0</v>
      </c>
      <c r="DL239" t="str">
        <f>IF(DE239=1,DL$7,0)</f>
        <v>Energy</v>
      </c>
      <c r="DM239">
        <f>IF(DF239=1,DM$7,0)</f>
        <v>0</v>
      </c>
      <c r="DN239">
        <f>IF(DG239=1,DN$7,0)</f>
        <v>0</v>
      </c>
      <c r="DO239">
        <v>0</v>
      </c>
      <c r="DP239">
        <v>1</v>
      </c>
      <c r="DQ239" t="s">
        <v>304</v>
      </c>
      <c r="DR239">
        <v>0</v>
      </c>
      <c r="DS239">
        <v>0</v>
      </c>
      <c r="DT239">
        <f>SUM(DO239:DP239)</f>
        <v>1</v>
      </c>
      <c r="DU239" s="143" t="str">
        <f>IF(DO239=1,"self-calculated DF",IF(DP239=1,"external DF used","explicit C balance"))</f>
        <v>external DF used</v>
      </c>
      <c r="DV239">
        <v>0</v>
      </c>
      <c r="DW239">
        <v>1</v>
      </c>
      <c r="DX239">
        <v>1</v>
      </c>
      <c r="DY239">
        <v>1</v>
      </c>
      <c r="DZ239">
        <v>1</v>
      </c>
      <c r="EA239" s="143">
        <v>0</v>
      </c>
      <c r="EB239">
        <v>1</v>
      </c>
      <c r="EC239">
        <v>1</v>
      </c>
      <c r="ED239">
        <v>0</v>
      </c>
      <c r="EE239">
        <v>1</v>
      </c>
      <c r="EF239">
        <v>1</v>
      </c>
      <c r="EG239">
        <v>1</v>
      </c>
      <c r="EH239">
        <v>0</v>
      </c>
      <c r="EI239" s="2">
        <v>0</v>
      </c>
      <c r="EJ239" s="1"/>
      <c r="EK239" t="str">
        <f>IF(AND(AND(AND(OR($DX239=1,$DW239=1),OR($EC239=1,$EA239=1)),SUM($DV239:$DZ239,$EF239)&gt;=4),SUM($EA239:$EE239)&gt;=2),"Whole sector","")</f>
        <v>Whole sector</v>
      </c>
      <c r="EL239" t="str">
        <f>IF(AND(AND(OR($DX239=1,$DW239=1),AND($EC239=0,$EA239=0)),SUM($DV239:$DZ239,$EF239)&gt;=4),"Ecosystem approach","")</f>
        <v/>
      </c>
      <c r="EM239" s="2" t="str">
        <f>IF(AND(AND(AND($DX239=0,$DW239=0),OR($EC239=1,$EA239=1)),SUM($EB239:$EE239)&gt;=2),"Technology approach","")</f>
        <v/>
      </c>
      <c r="EN239"/>
      <c r="EO239"/>
      <c r="EP239" t="str">
        <f>IF(ISNUMBER(BU239),IF(ABS(BU239-[1]QC_indicators!$B$2)&gt;3*[1]QC_indicators!$C$2,"C ratio",IF(ISNUMBER(BY239),IF(ABS(BY239-[1]QC_indicators!$B$1)&gt;3*[1]QC_indicators!$C$1,"DF","no"))),IF(ISNUMBER(BY239),IF(ABS(BY239-[1]QC_indicators!$B$1)&gt;3*[1]QC_indicators!$C$1,"DF","no")))</f>
        <v>no</v>
      </c>
      <c r="EQ239" t="s">
        <v>286</v>
      </c>
      <c r="ER239"/>
      <c r="ES239"/>
      <c r="ET239" s="264" t="s">
        <v>3273</v>
      </c>
      <c r="EU239"/>
    </row>
    <row r="240" spans="1:151" s="139" customFormat="1" ht="15" customHeight="1">
      <c r="A240" s="1" t="s">
        <v>656</v>
      </c>
      <c r="B240" t="s">
        <v>1141</v>
      </c>
      <c r="C240" t="s">
        <v>1142</v>
      </c>
      <c r="D240" t="s">
        <v>1143</v>
      </c>
      <c r="E240" t="s">
        <v>1144</v>
      </c>
      <c r="F240" t="s">
        <v>1145</v>
      </c>
      <c r="G240" t="s">
        <v>662</v>
      </c>
      <c r="H240" t="s">
        <v>254</v>
      </c>
      <c r="I240">
        <v>2022</v>
      </c>
      <c r="J240">
        <v>1</v>
      </c>
      <c r="K240" t="s">
        <v>1146</v>
      </c>
      <c r="L240"/>
      <c r="M240" t="str">
        <f>LEFT($D240,FIND(",",$D240)-1)&amp;"_"&amp;I240&amp;L240</f>
        <v>Su_2022</v>
      </c>
      <c r="N240" t="s">
        <v>222</v>
      </c>
      <c r="O240" s="264" t="s">
        <v>223</v>
      </c>
      <c r="P240"/>
      <c r="Q240" s="264" t="s">
        <v>389</v>
      </c>
      <c r="R240" s="269" t="s">
        <v>1154</v>
      </c>
      <c r="S240" s="263" t="s">
        <v>257</v>
      </c>
      <c r="T240" s="264" t="s">
        <v>1152</v>
      </c>
      <c r="U240" s="264" t="s">
        <v>1153</v>
      </c>
      <c r="V240">
        <v>0</v>
      </c>
      <c r="W240">
        <v>0</v>
      </c>
      <c r="X240">
        <v>0</v>
      </c>
      <c r="Y240">
        <v>0</v>
      </c>
      <c r="Z240">
        <v>0</v>
      </c>
      <c r="AA240">
        <v>0</v>
      </c>
      <c r="AB240">
        <v>0</v>
      </c>
      <c r="AC240">
        <v>0</v>
      </c>
      <c r="AD240">
        <v>0</v>
      </c>
      <c r="AE240">
        <v>0</v>
      </c>
      <c r="AF240">
        <v>0</v>
      </c>
      <c r="AG240">
        <v>0</v>
      </c>
      <c r="AH240">
        <v>0</v>
      </c>
      <c r="AI240">
        <v>0</v>
      </c>
      <c r="AJ240">
        <v>0</v>
      </c>
      <c r="AK240">
        <v>1</v>
      </c>
      <c r="AL240">
        <v>0</v>
      </c>
      <c r="AM240">
        <v>0</v>
      </c>
      <c r="AN240">
        <v>0</v>
      </c>
      <c r="AO240">
        <v>0</v>
      </c>
      <c r="AP240">
        <v>0</v>
      </c>
      <c r="AQ240">
        <v>0</v>
      </c>
      <c r="AR240">
        <v>0</v>
      </c>
      <c r="AS240">
        <v>0</v>
      </c>
      <c r="AT240">
        <v>0</v>
      </c>
      <c r="AU240">
        <v>0</v>
      </c>
      <c r="AV240">
        <v>0</v>
      </c>
      <c r="AW240">
        <v>0</v>
      </c>
      <c r="AX240" s="141">
        <f>COUNTIF(V240:AW240,"&lt;&gt;0")</f>
        <v>1</v>
      </c>
      <c r="AY240" s="141">
        <f>COUNTIF(V240:AL240,"&lt;&gt;0")</f>
        <v>1</v>
      </c>
      <c r="AZ240">
        <f>COUNTIF(V240:AC240,"&lt;&gt;0")</f>
        <v>0</v>
      </c>
      <c r="BA240">
        <f>COUNTIF(AD240:AI240,"&lt;&gt;0")</f>
        <v>0</v>
      </c>
      <c r="BB240">
        <f>COUNTIF(AJ240:AL240,"&lt;&gt;0")</f>
        <v>1</v>
      </c>
      <c r="BC240">
        <f>COUNTIF(AS240:AW240,"&lt;&gt;0")</f>
        <v>0</v>
      </c>
      <c r="BD240">
        <f>COUNTIF(AM240:AR240,"&lt;&gt;0")</f>
        <v>0</v>
      </c>
      <c r="BE240" t="str" cm="1">
        <f t="array" ref="BE240">IF(AY240=1,INDEX($V$7:$AL$7,MATCH(TRUE,INDEX($V240:$AW240&lt;&gt;0,),0)),IF(AY240=0,INDEX($AM$7:$AW$7,MATCH(1,$AM240:$AW240,0)),IF(BF240="Multiple strategies","mixed drivers",IF(BF240="Supply chain","multiple supply","multiple silviculture"))))</f>
        <v>technologies/design switch</v>
      </c>
      <c r="BF240" s="2" t="str" cm="1">
        <f t="array" ref="BF240">IF(COUNTIF(AZ240:BB240,"&lt;&gt;0")=1,INDEX($V$4:$AW$4,MATCH(TRUE,INDEX($V240:$AW240&lt;&gt;0,),0)),IF(COUNTIF(AZ240:BB240,"&lt;&gt;0")=0,INDEX($AM$4:$AW$4,MATCH(1,$AM240:$AW240,0)),"Multiple strategies"))</f>
        <v>Technology</v>
      </c>
      <c r="BG240" s="1" t="s">
        <v>229</v>
      </c>
      <c r="BH240" t="s">
        <v>1147</v>
      </c>
      <c r="BI240" s="264" t="s">
        <v>1148</v>
      </c>
      <c r="BJ240" s="264" t="s">
        <v>1149</v>
      </c>
      <c r="BK240">
        <f>(565731+64622+51138+7369)/2/3000</f>
        <v>114.81</v>
      </c>
      <c r="BL240">
        <f>(565731+64622+51138+7369)*1.5/3000</f>
        <v>344.43</v>
      </c>
      <c r="BM240"/>
      <c r="BN240">
        <f>BL240-BK240</f>
        <v>229.62</v>
      </c>
      <c r="BO240">
        <f>BN240*kg_to_m3</f>
        <v>0.46861224489795922</v>
      </c>
      <c r="BP240" s="264" t="s">
        <v>395</v>
      </c>
      <c r="BQ240" s="301" t="s">
        <v>1150</v>
      </c>
      <c r="BR240" s="264" t="s">
        <v>1151</v>
      </c>
      <c r="BS240">
        <v>-212</v>
      </c>
      <c r="BT240">
        <v>-54.6</v>
      </c>
      <c r="BU240"/>
      <c r="BV240">
        <f>BT240-BS240</f>
        <v>157.4</v>
      </c>
      <c r="BW240"/>
      <c r="BX240">
        <f>BV240/1000</f>
        <v>0.15740000000000001</v>
      </c>
      <c r="BY240">
        <f>IFERROR(BX240/BO240,"")</f>
        <v>0.3358853758383416</v>
      </c>
      <c r="BZ240">
        <v>0</v>
      </c>
      <c r="CA240">
        <v>0</v>
      </c>
      <c r="CB240">
        <v>0</v>
      </c>
      <c r="CC240">
        <v>0</v>
      </c>
      <c r="CD240">
        <v>0</v>
      </c>
      <c r="CE240">
        <v>0</v>
      </c>
      <c r="CF240">
        <v>0</v>
      </c>
      <c r="CG240">
        <v>0</v>
      </c>
      <c r="CH240">
        <v>0</v>
      </c>
      <c r="CI240">
        <v>0</v>
      </c>
      <c r="CJ240">
        <v>0</v>
      </c>
      <c r="CK240">
        <v>0</v>
      </c>
      <c r="CL240">
        <v>0</v>
      </c>
      <c r="CM240">
        <v>0</v>
      </c>
      <c r="CN240" t="str">
        <f>IF($BL240&lt;$BK240,"refNeedCorrection","refOK")</f>
        <v>refOK</v>
      </c>
      <c r="CO240">
        <f>IF($CN240="refOK",$BL240,$BK240)</f>
        <v>344.43</v>
      </c>
      <c r="CP240">
        <f>IF($CN240="refOK",$BK240,$BL240)</f>
        <v>114.81</v>
      </c>
      <c r="CQ240">
        <f>IF($CN240="refOK",$BO240,-$BO240)</f>
        <v>0.46861224489795922</v>
      </c>
      <c r="CR240">
        <f>IF($CN240="refOK",$BT240,$BS240)*IF($BP240="Emissions positive",-1,1)</f>
        <v>54.6</v>
      </c>
      <c r="CS240">
        <f>IF($CN240="refOK",$BS240,$BT240)*IF($BP240="Emissions positive",-1,1)</f>
        <v>212</v>
      </c>
      <c r="CT240">
        <f>IF($CN240="refNeedCorrection",-BX240,BX240)*IF($BP240="Emissions positive",-1,1)</f>
        <v>-0.15740000000000001</v>
      </c>
      <c r="CU240">
        <f>IFERROR(CT240/CQ240,"")</f>
        <v>-0.3358853758383416</v>
      </c>
      <c r="CV240" s="2">
        <f>IFERROR((CS240-CR240)/ABS(CR240),"")</f>
        <v>2.8827838827838828</v>
      </c>
      <c r="CW240" s="263" t="s">
        <v>263</v>
      </c>
      <c r="CX240" s="264" t="str">
        <f>IF(OR($CW240="prd",$CW240="std",$CW240="cit"),"loc",IF(OR($CW240="eur",$CW240="reg",$CW240="coy"),"reg",$CW240))</f>
        <v>loc</v>
      </c>
      <c r="CY240" s="264" t="s">
        <v>690</v>
      </c>
      <c r="CZ240"/>
      <c r="DA240"/>
      <c r="DB240">
        <v>0</v>
      </c>
      <c r="DC240" t="str">
        <f>IF(DB240=0,"0",IF(AND(DB240&gt;=1,DB240&lt;=30),"1-30",IF(AND(DB240&gt;30,DB240&lt;=70),"31-70",IF(AND(DB240&gt;70,DB240&lt;=100),"71-100",IF(DB240&gt;100,"+100")))))</f>
        <v>0</v>
      </c>
      <c r="DD240">
        <v>0</v>
      </c>
      <c r="DE240">
        <v>0</v>
      </c>
      <c r="DF240">
        <v>0</v>
      </c>
      <c r="DG240">
        <v>1</v>
      </c>
      <c r="DH240">
        <v>0</v>
      </c>
      <c r="DI240">
        <f>SUM(DD240:DG240)</f>
        <v>1</v>
      </c>
      <c r="DJ240" t="str">
        <f>IF(DI240=1,INDEX($DD$7:$DG$7,MATCH(1,$DD240:$DG240,0)),"mixedProduct")</f>
        <v>TimberInput</v>
      </c>
      <c r="DK240">
        <f>IF(DD240=1,DK$7,0)</f>
        <v>0</v>
      </c>
      <c r="DL240">
        <f>IF(DE240=1,DL$7,0)</f>
        <v>0</v>
      </c>
      <c r="DM240">
        <f>IF(DF240=1,DM$7,0)</f>
        <v>0</v>
      </c>
      <c r="DN240" t="str">
        <f>IF(DG240=1,DN$7,0)</f>
        <v>Timber</v>
      </c>
      <c r="DO240">
        <v>0</v>
      </c>
      <c r="DP240">
        <v>0</v>
      </c>
      <c r="DQ240">
        <v>0</v>
      </c>
      <c r="DR240">
        <v>0</v>
      </c>
      <c r="DS240">
        <v>0</v>
      </c>
      <c r="DT240">
        <f>SUM(DO240:DP240)</f>
        <v>0</v>
      </c>
      <c r="DU240" s="143" t="str">
        <f>IF(DO240=1,"self-calculated DF",IF(DP240=1,"external DF used","explicit C balance"))</f>
        <v>explicit C balance</v>
      </c>
      <c r="DV240">
        <v>0</v>
      </c>
      <c r="DW240">
        <v>0</v>
      </c>
      <c r="DX240">
        <v>0</v>
      </c>
      <c r="DY240">
        <v>1</v>
      </c>
      <c r="DZ240">
        <v>0</v>
      </c>
      <c r="EA240">
        <v>1</v>
      </c>
      <c r="EB240">
        <v>1</v>
      </c>
      <c r="EC240">
        <v>1</v>
      </c>
      <c r="ED240">
        <v>1</v>
      </c>
      <c r="EE240">
        <v>1</v>
      </c>
      <c r="EF240">
        <v>0</v>
      </c>
      <c r="EG240">
        <v>0</v>
      </c>
      <c r="EH240">
        <v>0</v>
      </c>
      <c r="EI240" s="2">
        <v>0</v>
      </c>
      <c r="EJ240" s="1"/>
      <c r="EK240" t="str">
        <f>IF(AND(AND(AND(OR($DX240=1,$DW240=1),OR($EC240=1,$EA240=1)),SUM($DV240:$DZ240,$EF240)&gt;=4),SUM($EA240:$EE240)&gt;=2),"Whole sector","")</f>
        <v/>
      </c>
      <c r="EL240" t="str">
        <f>IF(AND(AND(OR($DX240=1,$DW240=1),AND($EC240=0,$EA240=0)),SUM($DV240:$DZ240,$EF240)&gt;=4),"Ecosystem approach","")</f>
        <v/>
      </c>
      <c r="EM240" s="2" t="str">
        <f>IF(AND(AND(AND($DX240=0,$DW240=0),OR($EC240=1,$EA240=1)),SUM($EB240:$EE240)&gt;=2),"Technology approach","")</f>
        <v>Technology approach</v>
      </c>
      <c r="EN240"/>
      <c r="EO240"/>
      <c r="EP240" t="str">
        <f>IF(ISNUMBER(BU240),IF(ABS(BU240-[3]QC_indicators!$B$2)&gt;3*[3]QC_indicators!$C$2,"C ratio",IF(ISNUMBER(BY240),IF(ABS(BY240-[3]QC_indicators!$B$1)&gt;3*[3]QC_indicators!$C$1,"DF","no"))),IF(ISNUMBER(BY240),IF(ABS(BY240-[3]QC_indicators!$B$1)&gt;3*[3]QC_indicators!$C$1,"DF","no")))</f>
        <v>no</v>
      </c>
      <c r="EQ240"/>
      <c r="ER240"/>
      <c r="ES240"/>
      <c r="ET240" s="264" t="s">
        <v>3407</v>
      </c>
      <c r="EU240"/>
    </row>
    <row r="241" spans="1:151" s="139" customFormat="1" ht="15" customHeight="1">
      <c r="A241" s="1" t="s">
        <v>1360</v>
      </c>
      <c r="B241" t="s">
        <v>2135</v>
      </c>
      <c r="C241" t="s">
        <v>2136</v>
      </c>
      <c r="D241" t="s">
        <v>2137</v>
      </c>
      <c r="E241" t="s">
        <v>2138</v>
      </c>
      <c r="F241" t="s">
        <v>2139</v>
      </c>
      <c r="G241" t="s">
        <v>1366</v>
      </c>
      <c r="H241" t="s">
        <v>254</v>
      </c>
      <c r="I241">
        <v>2012</v>
      </c>
      <c r="J241">
        <v>21</v>
      </c>
      <c r="K241" t="s">
        <v>2140</v>
      </c>
      <c r="L241" s="192"/>
      <c r="M241" t="str">
        <f>LEFT($D241,FIND(",",$D241)-1)&amp;"_"&amp;I241&amp;L241</f>
        <v>Pyorala_2012</v>
      </c>
      <c r="N241" t="s">
        <v>222</v>
      </c>
      <c r="O241" s="145" t="s">
        <v>341</v>
      </c>
      <c r="P241" s="180" t="s">
        <v>223</v>
      </c>
      <c r="Q241" s="264" t="s">
        <v>256</v>
      </c>
      <c r="R241" s="269" t="s">
        <v>1154</v>
      </c>
      <c r="S241" s="263" t="s">
        <v>2150</v>
      </c>
      <c r="T241" s="264" t="s">
        <v>2143</v>
      </c>
      <c r="U241" s="264" t="s">
        <v>2148</v>
      </c>
      <c r="V241">
        <v>0</v>
      </c>
      <c r="W241">
        <v>0</v>
      </c>
      <c r="X241">
        <v>0</v>
      </c>
      <c r="Y241">
        <v>1</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s="141">
        <f>COUNTIF(V241:AW241,"&lt;&gt;0")</f>
        <v>1</v>
      </c>
      <c r="AY241" s="141">
        <f>COUNTIF(V241:AL241,"&lt;&gt;0")</f>
        <v>1</v>
      </c>
      <c r="AZ241">
        <f>COUNTIF(V241:AC241,"&lt;&gt;0")</f>
        <v>1</v>
      </c>
      <c r="BA241">
        <f>COUNTIF(AD241:AI241,"&lt;&gt;0")</f>
        <v>0</v>
      </c>
      <c r="BB241">
        <f>COUNTIF(AJ241:AL241,"&lt;&gt;0")</f>
        <v>0</v>
      </c>
      <c r="BC241">
        <f>COUNTIF(AS241:AW241,"&lt;&gt;0")</f>
        <v>0</v>
      </c>
      <c r="BD241">
        <f>COUNTIF(AM241:AR241,"&lt;&gt;0")</f>
        <v>0</v>
      </c>
      <c r="BE241" t="str" cm="1">
        <f t="array" ref="BE241">IF(AY241=1,INDEX($V$7:$AL$7,MATCH(TRUE,INDEX($V241:$AW241&lt;&gt;0,),0)),IF(AY241=0,INDEX($AM$7:$AW$7,MATCH(1,$AM241:$AW241,0)),IF(BF241="Multiple strategies","mixed drivers",IF(BF241="Supply chain","multiple supply","multiple silviculture"))))</f>
        <v xml:space="preserve">cutting intensity </v>
      </c>
      <c r="BF241" s="2" t="str" cm="1">
        <f t="array" ref="BF241">IF(COUNTIF(AZ241:BB241,"&lt;&gt;0")=1,INDEX($V$4:$AW$4,MATCH(TRUE,INDEX($V241:$AW241&lt;&gt;0,),0)),IF(COUNTIF(AZ241:BB241,"&lt;&gt;0")=0,INDEX($AM$4:$AW$4,MATCH(1,$AM241:$AW241,0)),"Multiple strategies"))</f>
        <v>Silviculture for removals</v>
      </c>
      <c r="BG241" s="178" t="s">
        <v>321</v>
      </c>
      <c r="BH241" s="264" t="s">
        <v>2144</v>
      </c>
      <c r="BI241" s="264" t="s">
        <v>701</v>
      </c>
      <c r="BJ241" s="160" t="s">
        <v>700</v>
      </c>
      <c r="BK241">
        <v>6.5</v>
      </c>
      <c r="BL241">
        <v>6.8</v>
      </c>
      <c r="BM241"/>
      <c r="BN241">
        <f>BL241-BK241</f>
        <v>0.29999999999999982</v>
      </c>
      <c r="BO241">
        <f>BN241</f>
        <v>0.29999999999999982</v>
      </c>
      <c r="BP241" s="155" t="s">
        <v>395</v>
      </c>
      <c r="BQ241" s="301" t="s">
        <v>783</v>
      </c>
      <c r="BR241" s="155" t="s">
        <v>279</v>
      </c>
      <c r="BS241">
        <v>1</v>
      </c>
      <c r="BT241">
        <v>1.1000000000000001</v>
      </c>
      <c r="BU241" s="144"/>
      <c r="BV241">
        <f>BT241-BS241</f>
        <v>0.10000000000000009</v>
      </c>
      <c r="BW241"/>
      <c r="BX241">
        <f>BV241</f>
        <v>0.10000000000000009</v>
      </c>
      <c r="BY241">
        <f>IFERROR(BX241/BO241,"")</f>
        <v>0.33333333333333381</v>
      </c>
      <c r="BZ241">
        <v>0</v>
      </c>
      <c r="CA241">
        <v>0</v>
      </c>
      <c r="CB241">
        <v>0</v>
      </c>
      <c r="CC241">
        <v>0</v>
      </c>
      <c r="CD241">
        <v>0</v>
      </c>
      <c r="CE241">
        <v>0</v>
      </c>
      <c r="CF241">
        <v>0</v>
      </c>
      <c r="CG241">
        <v>0</v>
      </c>
      <c r="CH241">
        <v>0</v>
      </c>
      <c r="CI241">
        <v>0</v>
      </c>
      <c r="CJ241">
        <v>0</v>
      </c>
      <c r="CK241">
        <v>0</v>
      </c>
      <c r="CL241">
        <v>0</v>
      </c>
      <c r="CM241">
        <v>0</v>
      </c>
      <c r="CN241" t="str">
        <f>IF($BL241&lt;$BK241,"refNeedCorrection","refOK")</f>
        <v>refOK</v>
      </c>
      <c r="CO241">
        <f>IF($CN241="refOK",$BK241,$BL241)</f>
        <v>6.5</v>
      </c>
      <c r="CP241">
        <f>IF($CN241="refOK",$BL241,$BK241)</f>
        <v>6.8</v>
      </c>
      <c r="CQ241">
        <f>IF($CN241="refOK",$BO241,-$BO241)</f>
        <v>0.29999999999999982</v>
      </c>
      <c r="CR241">
        <f>IF($CN241="refOK",$BS241,$BT241)*IF($BP241="Emissions positive",-1,1)</f>
        <v>-1</v>
      </c>
      <c r="CS241">
        <f>IF($CN241="refOK",$BT241,$BS241)*IF($BP241="Emissions positive",-1,1)</f>
        <v>-1.1000000000000001</v>
      </c>
      <c r="CT241">
        <f>IF($CN241="refNeedCorrection",-BX241,BX241)*IF($BP241="Emissions positive",-1,1)</f>
        <v>-0.10000000000000009</v>
      </c>
      <c r="CU241">
        <f>IFERROR(CT241/CQ241,"")</f>
        <v>-0.33333333333333381</v>
      </c>
      <c r="CV241" s="2">
        <f>IFERROR((CS241-CR241)/ABS(CR241),"")</f>
        <v>-0.10000000000000009</v>
      </c>
      <c r="CW241" s="1" t="s">
        <v>1199</v>
      </c>
      <c r="CX241" s="264" t="str">
        <f>IF(OR($CW241="prd",$CW241="std",$CW241="cit"),"loc",IF(OR($CW241="eur",$CW241="reg",$CW241="coy"),"reg",$CW241))</f>
        <v>reg</v>
      </c>
      <c r="CY241" t="s">
        <v>235</v>
      </c>
      <c r="CZ241"/>
      <c r="DA241"/>
      <c r="DB241">
        <v>80</v>
      </c>
      <c r="DC241" t="str">
        <f>IF(DB241=0,"0",IF(AND(DB241&gt;=1,DB241&lt;=30),"1-30",IF(AND(DB241&gt;30,DB241&lt;=70),"31-70",IF(AND(DB241&gt;70,DB241&lt;=100),"71-100",IF(DB241&gt;100,"+100")))))</f>
        <v>71-100</v>
      </c>
      <c r="DD241">
        <v>0</v>
      </c>
      <c r="DE241">
        <v>1</v>
      </c>
      <c r="DF241">
        <v>1</v>
      </c>
      <c r="DG241">
        <v>1</v>
      </c>
      <c r="DH241"/>
      <c r="DI241">
        <f>SUM(DD241:DG241)</f>
        <v>3</v>
      </c>
      <c r="DJ241" t="str">
        <f>IF(DI241=1,INDEX($DD$7:$DG$7,MATCH(1,$DD241:$DG241,0)),"mixedProduct")</f>
        <v>mixedProduct</v>
      </c>
      <c r="DK241">
        <f>IF(DD241=1,DK$7,0)</f>
        <v>0</v>
      </c>
      <c r="DL241" t="str">
        <f>IF(DE241=1,DL$7,0)</f>
        <v>Energy</v>
      </c>
      <c r="DM241" t="str">
        <f>IF(DF241=1,DM$7,0)</f>
        <v>Pulp/Paper</v>
      </c>
      <c r="DN241" t="str">
        <f>IF(DG241=1,DN$7,0)</f>
        <v>Timber</v>
      </c>
      <c r="DO241">
        <v>0</v>
      </c>
      <c r="DP241">
        <v>1</v>
      </c>
      <c r="DQ241" t="s">
        <v>2146</v>
      </c>
      <c r="DR241">
        <v>0</v>
      </c>
      <c r="DS241">
        <v>0</v>
      </c>
      <c r="DT241">
        <f>SUM(DO241:DP241)</f>
        <v>1</v>
      </c>
      <c r="DU241" s="143" t="str">
        <f>IF(DO241=1,"self-calculated DF",IF(DP241=1,"external DF used","explicit C balance"))</f>
        <v>external DF used</v>
      </c>
      <c r="DV241">
        <v>1</v>
      </c>
      <c r="DW241">
        <v>1</v>
      </c>
      <c r="DX241">
        <v>1</v>
      </c>
      <c r="DY241">
        <v>0</v>
      </c>
      <c r="DZ241">
        <v>1</v>
      </c>
      <c r="EA241">
        <v>0</v>
      </c>
      <c r="EB241">
        <v>1</v>
      </c>
      <c r="EC241">
        <v>1</v>
      </c>
      <c r="ED241">
        <v>0</v>
      </c>
      <c r="EE241">
        <v>0</v>
      </c>
      <c r="EF241">
        <v>1</v>
      </c>
      <c r="EG241">
        <v>0</v>
      </c>
      <c r="EH241">
        <v>0</v>
      </c>
      <c r="EI241" s="2">
        <v>0</v>
      </c>
      <c r="EJ241" s="1"/>
      <c r="EK241" t="str">
        <f>IF(AND(AND(AND(OR($DX241=1,$DW241=1),OR($EC241=1,$EA241=1)),SUM($DV241:$DZ241,$EF241)&gt;=4),SUM($EA241:$EE241)&gt;=2),"Whole sector","")</f>
        <v>Whole sector</v>
      </c>
      <c r="EL241" t="str">
        <f>IF(AND(AND(OR($DX241=1,$DW241=1),AND($EC241=0,$EA241=0)),SUM($DV241:$DZ241,$EF241)&gt;=4),"Ecosystem approach","")</f>
        <v/>
      </c>
      <c r="EM241" s="2" t="str">
        <f>IF(AND(AND(AND($DX241=0,$DW241=0),OR($EC241=1,$EA241=1)),SUM($EB241:$EE241)&gt;=2),"Technology approach","")</f>
        <v/>
      </c>
      <c r="EN241"/>
      <c r="EO241"/>
      <c r="EP241" t="str">
        <f>IF(ISNUMBER(BU241),IF(ABS(BU241-[3]QC_indicators!$B$2)&gt;3*[3]QC_indicators!$C$2,"C ratio",IF(ISNUMBER(BY241),IF(ABS(BY241-[3]QC_indicators!$B$1)&gt;3*[3]QC_indicators!$C$1,"DF","no"))),IF(ISNUMBER(BY241),IF(ABS(BY241-[3]QC_indicators!$B$1)&gt;3*[3]QC_indicators!$C$1,"DF","no")))</f>
        <v>no</v>
      </c>
      <c r="EQ241"/>
      <c r="ER241"/>
      <c r="ES241"/>
      <c r="ET241" s="264" t="s">
        <v>3407</v>
      </c>
      <c r="EU241"/>
    </row>
    <row r="242" spans="1:151" s="139" customFormat="1" ht="15" customHeight="1">
      <c r="A242" s="1"/>
      <c r="B242"/>
      <c r="C242"/>
      <c r="D242" t="s">
        <v>2052</v>
      </c>
      <c r="E242" t="s">
        <v>2053</v>
      </c>
      <c r="F242"/>
      <c r="G242" t="s">
        <v>2054</v>
      </c>
      <c r="H242"/>
      <c r="I242">
        <v>2018</v>
      </c>
      <c r="J242"/>
      <c r="K242" s="150" t="s">
        <v>2055</v>
      </c>
      <c r="L242"/>
      <c r="M242" t="str">
        <f>LEFT($D242,FIND(",",$D242)-1)&amp;"_"&amp;I242&amp;L242</f>
        <v>Olguin_2018</v>
      </c>
      <c r="N242" t="s">
        <v>222</v>
      </c>
      <c r="O242" s="157" t="s">
        <v>274</v>
      </c>
      <c r="P242" t="s">
        <v>513</v>
      </c>
      <c r="Q242" t="s">
        <v>389</v>
      </c>
      <c r="R242" s="262" t="s">
        <v>223</v>
      </c>
      <c r="S242" s="263" t="s">
        <v>3194</v>
      </c>
      <c r="T242" t="s">
        <v>2056</v>
      </c>
      <c r="U242" t="s">
        <v>2057</v>
      </c>
      <c r="V242">
        <v>0</v>
      </c>
      <c r="W242">
        <v>0</v>
      </c>
      <c r="X242">
        <v>0</v>
      </c>
      <c r="Y242">
        <v>0</v>
      </c>
      <c r="Z242">
        <v>0</v>
      </c>
      <c r="AA242">
        <v>0</v>
      </c>
      <c r="AB242">
        <v>0</v>
      </c>
      <c r="AC242">
        <v>1</v>
      </c>
      <c r="AD242">
        <v>0</v>
      </c>
      <c r="AE242">
        <v>0</v>
      </c>
      <c r="AF242">
        <v>1</v>
      </c>
      <c r="AG242">
        <v>0</v>
      </c>
      <c r="AH242">
        <v>0</v>
      </c>
      <c r="AI242">
        <v>0</v>
      </c>
      <c r="AJ242">
        <v>0</v>
      </c>
      <c r="AK242">
        <v>0</v>
      </c>
      <c r="AL242">
        <v>0</v>
      </c>
      <c r="AM242">
        <v>0</v>
      </c>
      <c r="AN242">
        <v>0</v>
      </c>
      <c r="AO242">
        <v>0</v>
      </c>
      <c r="AP242">
        <v>0</v>
      </c>
      <c r="AQ242">
        <v>0</v>
      </c>
      <c r="AR242">
        <v>0</v>
      </c>
      <c r="AS242">
        <v>0</v>
      </c>
      <c r="AT242">
        <v>0</v>
      </c>
      <c r="AU242">
        <v>0</v>
      </c>
      <c r="AV242">
        <v>0</v>
      </c>
      <c r="AW242">
        <v>0</v>
      </c>
      <c r="AX242" s="141">
        <f>COUNTIF(V242:AW242,"&lt;&gt;0")</f>
        <v>2</v>
      </c>
      <c r="AY242" s="141">
        <f>COUNTIF(V242:AL242,"&lt;&gt;0")</f>
        <v>2</v>
      </c>
      <c r="AZ242">
        <f>COUNTIF(V242:AC242,"&lt;&gt;0")</f>
        <v>1</v>
      </c>
      <c r="BA242">
        <f>COUNTIF(AD242:AI242,"&lt;&gt;0")</f>
        <v>1</v>
      </c>
      <c r="BB242">
        <f>COUNTIF(AJ242:AL242,"&lt;&gt;0")</f>
        <v>0</v>
      </c>
      <c r="BC242">
        <f>COUNTIF(AS242:AW242,"&lt;&gt;0")</f>
        <v>0</v>
      </c>
      <c r="BD242">
        <f>COUNTIF(AM242:AR242,"&lt;&gt;0")</f>
        <v>0</v>
      </c>
      <c r="BE242" t="str">
        <f t="array" ref="BE242">IF(AY242=1,INDEX($V$7:$AL$7,MATCH(TRUE,INDEX($V242:$AW242&lt;&gt;0,),0)),IF(AY242=0,INDEX($AM$7:$AW$7,MATCH(1,$AM242:$AW242,0)),IF(BF242="Multiple strategies","mixed drivers",IF(BF242="Supply chain","multiple supply","multiple silviculture"))))</f>
        <v>mixed drivers</v>
      </c>
      <c r="BF242" s="2" t="str" cm="1">
        <f t="array" ref="BF242">IF(COUNTIF(AZ242:BB242,"&lt;&gt;0")=1,INDEX($V$4:$AW$4,MATCH(TRUE,INDEX($V242:$AW242&lt;&gt;0,),0)),IF(COUNTIF(AZ242:BB242,"&lt;&gt;0")=0,INDEX($AM$4:$AW$4,MATCH(1,$AM242:$AW242,0)),"Multiple strategies"))</f>
        <v>Multiple strategies</v>
      </c>
      <c r="BG242" s="1" t="s">
        <v>321</v>
      </c>
      <c r="BH242"/>
      <c r="BI242" s="264" t="s">
        <v>1036</v>
      </c>
      <c r="BJ242" s="264" t="s">
        <v>2058</v>
      </c>
      <c r="BK242">
        <v>0</v>
      </c>
      <c r="BL242">
        <v>218025</v>
      </c>
      <c r="BM242" t="str">
        <f>IFERROR(#REF!/BK242,"")</f>
        <v/>
      </c>
      <c r="BN242">
        <f>BL242-BK242</f>
        <v>218025</v>
      </c>
      <c r="BO242">
        <f>BN242*tC_to_m3</f>
        <v>946699.95657837612</v>
      </c>
      <c r="BP242" t="s">
        <v>232</v>
      </c>
      <c r="BQ242" s="234" t="s">
        <v>424</v>
      </c>
      <c r="BR242" t="s">
        <v>2059</v>
      </c>
      <c r="BS242"/>
      <c r="BT242"/>
      <c r="BU242" s="144"/>
      <c r="BV242">
        <v>-0.31</v>
      </c>
      <c r="BW242"/>
      <c r="BX242">
        <f>BV242*10^6</f>
        <v>-310000</v>
      </c>
      <c r="BY242">
        <f>IFERROR(BX242/BO242,"")</f>
        <v>-0.32745327370714367</v>
      </c>
      <c r="BZ242">
        <v>0</v>
      </c>
      <c r="CA242">
        <v>0</v>
      </c>
      <c r="CB242">
        <v>0</v>
      </c>
      <c r="CC242">
        <v>0</v>
      </c>
      <c r="CD242">
        <v>0</v>
      </c>
      <c r="CE242">
        <v>0</v>
      </c>
      <c r="CF242">
        <v>0</v>
      </c>
      <c r="CG242">
        <v>0</v>
      </c>
      <c r="CH242">
        <v>0</v>
      </c>
      <c r="CI242">
        <v>0</v>
      </c>
      <c r="CJ242">
        <v>0</v>
      </c>
      <c r="CK242">
        <v>0</v>
      </c>
      <c r="CL242">
        <v>0</v>
      </c>
      <c r="CM242">
        <v>0</v>
      </c>
      <c r="CN242" t="str">
        <f>IF($BL242&lt;$BK242,"refNeedCorrection","refOK")</f>
        <v>refOK</v>
      </c>
      <c r="CO242">
        <f>IF($CN242="refOK",$BK242,$BL242)</f>
        <v>0</v>
      </c>
      <c r="CP242">
        <f>IF($CN242="refOK",$BL242,$BK242)</f>
        <v>218025</v>
      </c>
      <c r="CQ242">
        <f>IF($CN242="refOK",$BO242,-$BO242)</f>
        <v>946699.95657837612</v>
      </c>
      <c r="CR242">
        <f>IF($CN242="refOK",$BS242,$BT242)*IF($BP242="Emissions positive",-1,1)</f>
        <v>0</v>
      </c>
      <c r="CS242">
        <f>IF($CN242="refOK",$BT242,$BS242)*IF($BP242="Emissions positive",-1,1)</f>
        <v>0</v>
      </c>
      <c r="CT242">
        <f>IF($CN242="refNeedCorrection",-BX242,BX242)*IF($BP242="Emissions positive",-1,1)</f>
        <v>-310000</v>
      </c>
      <c r="CU242">
        <f>IFERROR(CT242/CQ242,"")</f>
        <v>-0.32745327370714367</v>
      </c>
      <c r="CV242" s="2" t="str">
        <f>IFERROR((CS242-CR242)/ABS(CR242),"")</f>
        <v/>
      </c>
      <c r="CW242" s="1" t="s">
        <v>2036</v>
      </c>
      <c r="CX242" t="str">
        <f>IF(OR($CW242="prd",$CW242="std",$CW242="cit"),"loc",IF(OR($CW242="eur",$CW242="reg",$CW242="coy"),"reg",$CW242))</f>
        <v>reg</v>
      </c>
      <c r="CY242" t="s">
        <v>2060</v>
      </c>
      <c r="CZ242">
        <v>2021</v>
      </c>
      <c r="DA242">
        <v>2030</v>
      </c>
      <c r="DB242">
        <f>DA242-CZ242</f>
        <v>9</v>
      </c>
      <c r="DC242" t="str">
        <f>IF(DB242=0,"0",IF(AND(DB242&gt;=1,DB242&lt;=30),"1-30",IF(AND(DB242&gt;30,DB242&lt;=70),"31-70",IF(AND(DB242&gt;70,DB242&lt;=100),"71-100",IF(DB242&gt;100,"+100")))))</f>
        <v>1-30</v>
      </c>
      <c r="DD242">
        <v>0</v>
      </c>
      <c r="DE242">
        <v>0</v>
      </c>
      <c r="DF242">
        <v>0</v>
      </c>
      <c r="DG242">
        <v>1</v>
      </c>
      <c r="DH242">
        <v>0</v>
      </c>
      <c r="DI242">
        <f>SUM(DD242:DG242)</f>
        <v>1</v>
      </c>
      <c r="DJ242" t="str">
        <f>IF(DI242=1,INDEX($DD$7:$DG$7,MATCH(1,$DD242:$DG242,0)),"mixedProduct")</f>
        <v>TimberInput</v>
      </c>
      <c r="DK242">
        <f>IF(DD242=1,DK$7,0)</f>
        <v>0</v>
      </c>
      <c r="DL242">
        <f>IF(DE242=1,DL$7,0)</f>
        <v>0</v>
      </c>
      <c r="DM242">
        <f>IF(DF242=1,DM$7,0)</f>
        <v>0</v>
      </c>
      <c r="DN242" t="str">
        <f>IF(DG242=1,DN$7,0)</f>
        <v>Timber</v>
      </c>
      <c r="DO242"/>
      <c r="DP242">
        <v>1</v>
      </c>
      <c r="DQ242"/>
      <c r="DR242"/>
      <c r="DS242" s="184" t="s">
        <v>2061</v>
      </c>
      <c r="DT242"/>
      <c r="DU242" s="143" t="str">
        <f>IF(DO242=1,"self-calculated DF",IF(DP242=1,"external DF used","explicit C balance"))</f>
        <v>external DF used</v>
      </c>
      <c r="DV242">
        <v>1</v>
      </c>
      <c r="DW242">
        <v>1</v>
      </c>
      <c r="DX242">
        <v>1</v>
      </c>
      <c r="DY242">
        <v>1</v>
      </c>
      <c r="DZ242">
        <v>1</v>
      </c>
      <c r="EA242">
        <v>1</v>
      </c>
      <c r="EB242">
        <v>0</v>
      </c>
      <c r="EC242">
        <v>0</v>
      </c>
      <c r="ED242">
        <v>0</v>
      </c>
      <c r="EE242">
        <v>0</v>
      </c>
      <c r="EF242">
        <v>1</v>
      </c>
      <c r="EG242">
        <v>0</v>
      </c>
      <c r="EH242">
        <v>1</v>
      </c>
      <c r="EI242" s="2">
        <v>0</v>
      </c>
      <c r="EJ242" s="1"/>
      <c r="EK242" t="str">
        <f>IF(AND(AND(AND(OR($DX242=1,$DW242=1),OR($EC242=1,$EA242=1)),SUM($DV242:$DZ242,$EF242)&gt;=4),SUM($EA242:$EE242)&gt;=2),"Whole sector","")</f>
        <v/>
      </c>
      <c r="EL242" t="str">
        <f>IF(AND(AND(OR($DX242=1,$DW242=1),AND($EC242=0,$EA242=0)),SUM($DV242:$DZ242,$EF242)&gt;=4),"Ecosystem approach","")</f>
        <v/>
      </c>
      <c r="EM242" s="2" t="str">
        <f>IF(AND(AND(AND($DX242=0,$DW242=0),OR($EC242=1,$EA242=1)),SUM($EB242:$EE242)&gt;=2),"Technology approach","")</f>
        <v/>
      </c>
      <c r="EN242"/>
      <c r="EO242"/>
      <c r="EP242" t="str">
        <f>IF(ISNUMBER(BU242),IF(ABS(BU242-[1]QC_indicators!$B$2)&gt;3*[1]QC_indicators!$C$2,"C ratio",IF(ISNUMBER(BY242),IF(ABS(BY242-[1]QC_indicators!$B$1)&gt;3*[1]QC_indicators!$C$1,"DF","no"))),IF(ISNUMBER(BY242),IF(ABS(BY242-[1]QC_indicators!$B$1)&gt;3*[1]QC_indicators!$C$1,"DF","no")))</f>
        <v>no</v>
      </c>
      <c r="EQ242"/>
      <c r="ER242"/>
      <c r="ES242"/>
      <c r="ET242" s="264" t="s">
        <v>3273</v>
      </c>
      <c r="EU242"/>
    </row>
    <row r="243" spans="1:151" s="139" customFormat="1" ht="15" customHeight="1">
      <c r="A243" s="1" t="s">
        <v>1972</v>
      </c>
      <c r="B243" t="s">
        <v>2445</v>
      </c>
      <c r="C243" t="s">
        <v>2446</v>
      </c>
      <c r="D243" t="s">
        <v>2447</v>
      </c>
      <c r="E243" t="s">
        <v>2448</v>
      </c>
      <c r="F243" t="s">
        <v>2449</v>
      </c>
      <c r="G243" t="s">
        <v>1978</v>
      </c>
      <c r="H243" t="s">
        <v>254</v>
      </c>
      <c r="I243">
        <v>2018</v>
      </c>
      <c r="J243">
        <v>8</v>
      </c>
      <c r="K243" t="s">
        <v>2450</v>
      </c>
      <c r="L243"/>
      <c r="M243" t="str">
        <f>LEFT($D243,FIND(",",$D243)-1)&amp;"_"&amp;I243&amp;L243</f>
        <v>Valade_2018</v>
      </c>
      <c r="N243" t="s">
        <v>222</v>
      </c>
      <c r="O243" s="145" t="s">
        <v>1154</v>
      </c>
      <c r="P243"/>
      <c r="Q243" t="s">
        <v>256</v>
      </c>
      <c r="R243" s="255" t="s">
        <v>225</v>
      </c>
      <c r="S243" s="1" t="s">
        <v>2456</v>
      </c>
      <c r="T243" t="s">
        <v>2444</v>
      </c>
      <c r="U243" t="s">
        <v>2457</v>
      </c>
      <c r="V243">
        <v>0</v>
      </c>
      <c r="W243">
        <v>0</v>
      </c>
      <c r="X243">
        <v>1</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s="141">
        <f>COUNTIF(V243:AW243,"&lt;&gt;0")</f>
        <v>1</v>
      </c>
      <c r="AY243" s="141">
        <f>COUNTIF(V243:AL243,"&lt;&gt;0")</f>
        <v>1</v>
      </c>
      <c r="AZ243">
        <f>COUNTIF(V243:AC243,"&lt;&gt;0")</f>
        <v>1</v>
      </c>
      <c r="BA243">
        <f>COUNTIF(AD243:AI243,"&lt;&gt;0")</f>
        <v>0</v>
      </c>
      <c r="BB243">
        <f>COUNTIF(AJ243:AL243,"&lt;&gt;0")</f>
        <v>0</v>
      </c>
      <c r="BC243">
        <f>COUNTIF(AS243:AW243,"&lt;&gt;0")</f>
        <v>0</v>
      </c>
      <c r="BD243">
        <f>COUNTIF(AM243:AR243,"&lt;&gt;0")</f>
        <v>0</v>
      </c>
      <c r="BE243" t="str">
        <f t="array" ref="BE243">IF(AY243=1,INDEX($V$7:$AL$7,MATCH(TRUE,INDEX($V243:$AW243&lt;&gt;0,),0)),IF(AY243=0,INDEX($AM$7:$AW$7,MATCH(1,$AM243:$AW243,0)),IF(BF243="Multiple strategies","mixed drivers",IF(BF243="Supply chain","multiple supply","multiple silviculture"))))</f>
        <v>rotation length</v>
      </c>
      <c r="BF243" s="2" t="str" cm="1">
        <f t="array" ref="BF243">IF(COUNTIF(AZ243:BB243,"&lt;&gt;0")=1,INDEX($V$4:$AW$4,MATCH(TRUE,INDEX($V243:$AW243&lt;&gt;0,),0)),IF(COUNTIF(AZ243:BB243,"&lt;&gt;0")=0,INDEX($AM$4:$AW$4,MATCH(1,$AM243:$AW243,0)),"Multiple strategies"))</f>
        <v>Silviculture for removals</v>
      </c>
      <c r="BG243" s="1" t="s">
        <v>321</v>
      </c>
      <c r="BH243" t="s">
        <v>2453</v>
      </c>
      <c r="BI243" s="260" t="s">
        <v>3399</v>
      </c>
      <c r="BJ243" t="s">
        <v>1323</v>
      </c>
      <c r="BK243">
        <v>1168.5023099755704</v>
      </c>
      <c r="BL243">
        <v>2095.3144563242754</v>
      </c>
      <c r="BM243" s="143">
        <f>BL243/BK243</f>
        <v>1.7931624425869399</v>
      </c>
      <c r="BN243">
        <f>BL243-BK243</f>
        <v>926.81214634870503</v>
      </c>
      <c r="BO243">
        <f>+BN243*1000000</f>
        <v>926812146.34870505</v>
      </c>
      <c r="BP243" t="s">
        <v>232</v>
      </c>
      <c r="BQ243" s="300" t="s">
        <v>3401</v>
      </c>
      <c r="BR243" t="s">
        <v>1359</v>
      </c>
      <c r="BS243">
        <v>391.990063159464</v>
      </c>
      <c r="BT243">
        <v>310.62524300000001</v>
      </c>
      <c r="BU243" s="144">
        <f>IFERROR(BT243/BS243,"")</f>
        <v>0.79243142159355129</v>
      </c>
      <c r="BV243" s="144">
        <f>BT243-BS243</f>
        <v>-81.364820159463989</v>
      </c>
      <c r="BW243" s="144"/>
      <c r="BX243">
        <f>BV243*10^6*C_to_CO2</f>
        <v>-298608889.98523283</v>
      </c>
      <c r="BY243">
        <f>IFERROR(BX243/BO243,"")</f>
        <v>-0.32218922805623634</v>
      </c>
      <c r="BZ243">
        <v>0</v>
      </c>
      <c r="CA243">
        <v>0</v>
      </c>
      <c r="CB243">
        <v>0</v>
      </c>
      <c r="CC243">
        <v>0</v>
      </c>
      <c r="CD243">
        <v>0</v>
      </c>
      <c r="CE243">
        <v>0</v>
      </c>
      <c r="CF243">
        <v>0</v>
      </c>
      <c r="CG243">
        <v>0</v>
      </c>
      <c r="CH243">
        <v>0</v>
      </c>
      <c r="CI243">
        <v>0</v>
      </c>
      <c r="CJ243">
        <v>0</v>
      </c>
      <c r="CK243">
        <v>0</v>
      </c>
      <c r="CL243">
        <v>0</v>
      </c>
      <c r="CM243">
        <v>0</v>
      </c>
      <c r="CN243" t="str">
        <f>IF($BL243&lt;$BK243,"refNeedCorrection","refOK")</f>
        <v>refOK</v>
      </c>
      <c r="CO243">
        <f>IF($CN243="refNeedCorrection",BL243,BK243)</f>
        <v>1168.5023099755704</v>
      </c>
      <c r="CP243">
        <f>IF($CN243="refNeedCorrection",BK243,BL243)</f>
        <v>2095.3144563242754</v>
      </c>
      <c r="CQ243">
        <f>IF($CN243="refOK",$BO243,-$BO243)</f>
        <v>926812146.34870505</v>
      </c>
      <c r="CR243">
        <f>IF($CN243="refOK",$BS243,$BT243)*IF($BP243="Emissions positive",-1,1)</f>
        <v>391.990063159464</v>
      </c>
      <c r="CS243">
        <f>IF($CN243="refOK",$BT243,$BS243)*IF($BP243="Emissions positive",-1,1)</f>
        <v>310.62524300000001</v>
      </c>
      <c r="CT243">
        <f>IF($CN243="refNeedCorrection",-BX243,BX243)*IF($BP243="Emissions positive",-1,1)</f>
        <v>-298608889.98523283</v>
      </c>
      <c r="CU243">
        <f>IFERROR(CT243/CQ243,"")</f>
        <v>-0.32218922805623634</v>
      </c>
      <c r="CV243" s="2">
        <f>IFERROR((CS243-CR243)/ABS(CR243),"")</f>
        <v>-0.20756857840644871</v>
      </c>
      <c r="CW243" s="1" t="s">
        <v>1203</v>
      </c>
      <c r="CX243" t="str">
        <f>IF(OR($CW243="prd",$CW243="std",$CW243="cit"),"loc",IF(OR($CW243="eur",$CW243="reg",$CW243="coy"),"reg",$CW243))</f>
        <v>reg</v>
      </c>
      <c r="CY243" t="s">
        <v>729</v>
      </c>
      <c r="CZ243">
        <v>2015</v>
      </c>
      <c r="DA243">
        <v>2040</v>
      </c>
      <c r="DB243">
        <f>DA243-CZ243</f>
        <v>25</v>
      </c>
      <c r="DC243" t="str">
        <f>IF(DB243=0,"0",IF(AND(DB243&gt;=1,DB243&lt;=30),"1-30",IF(AND(DB243&gt;30,DB243&lt;=70),"31-70",IF(AND(DB243&gt;70,DB243&lt;=100),"71-100",IF(DB243&gt;100,"+100")))))</f>
        <v>1-30</v>
      </c>
      <c r="DD243">
        <v>1</v>
      </c>
      <c r="DE243">
        <v>1</v>
      </c>
      <c r="DF243">
        <v>1</v>
      </c>
      <c r="DG243">
        <v>1</v>
      </c>
      <c r="DH243"/>
      <c r="DI243">
        <f>SUM(DD243:DG243)</f>
        <v>4</v>
      </c>
      <c r="DJ243" t="str">
        <f>IF(DI243=1,INDEX($DD$7:$DG$7,MATCH(1,$DD243:$DG243,0)),"mixedProduct")</f>
        <v>mixedProduct</v>
      </c>
      <c r="DK243" t="str">
        <f>IF(DD243=1,DK$7,0)</f>
        <v>Upstream</v>
      </c>
      <c r="DL243" t="str">
        <f>IF(DE243=1,DL$7,0)</f>
        <v>Energy</v>
      </c>
      <c r="DM243" t="str">
        <f>IF(DF243=1,DM$7,0)</f>
        <v>Pulp/Paper</v>
      </c>
      <c r="DN243" t="str">
        <f>IF(DG243=1,DN$7,0)</f>
        <v>Timber</v>
      </c>
      <c r="DO243">
        <v>0</v>
      </c>
      <c r="DP243">
        <v>1</v>
      </c>
      <c r="DQ243" t="s">
        <v>2460</v>
      </c>
      <c r="DR243" t="s">
        <v>2461</v>
      </c>
      <c r="DS243" t="s">
        <v>2461</v>
      </c>
      <c r="DT243">
        <f>SUM(DO243:DP243)</f>
        <v>1</v>
      </c>
      <c r="DU243" s="143" t="str">
        <f>IF(DO243=1,"self-calculated DF",IF(DP243=1,"external DF used","explicit C balance"))</f>
        <v>external DF used</v>
      </c>
      <c r="DV243">
        <v>0</v>
      </c>
      <c r="DW243">
        <v>1</v>
      </c>
      <c r="DX243">
        <v>1</v>
      </c>
      <c r="DY243">
        <v>1</v>
      </c>
      <c r="DZ243">
        <v>1</v>
      </c>
      <c r="EA243" s="143">
        <v>1</v>
      </c>
      <c r="EB243">
        <v>1</v>
      </c>
      <c r="EC243">
        <v>1</v>
      </c>
      <c r="ED243">
        <v>0</v>
      </c>
      <c r="EE243">
        <v>0</v>
      </c>
      <c r="EF243">
        <v>1</v>
      </c>
      <c r="EG243">
        <v>0</v>
      </c>
      <c r="EH243">
        <v>0</v>
      </c>
      <c r="EI243" s="2">
        <v>0</v>
      </c>
      <c r="EJ243" s="1"/>
      <c r="EK243" t="str">
        <f>IF(AND(AND(AND(OR($DX243=1,$DW243=1),OR($EC243=1,$EA243=1)),SUM($DV243:$DZ243,$EF243)&gt;=4),SUM($EA243:$EE243)&gt;=2),"Whole sector","")</f>
        <v>Whole sector</v>
      </c>
      <c r="EL243" t="str">
        <f>IF(AND(AND(OR($DX243=1,$DW243=1),AND($EC243=0,$EA243=0)),SUM($DV243:$DZ243,$EF243)&gt;=4),"Ecosystem approach","")</f>
        <v/>
      </c>
      <c r="EM243" s="2" t="str">
        <f>IF(AND(AND(AND($DX243=0,$DW243=0),OR($EC243=1,$EA243=1)),SUM($EB243:$EE243)&gt;=2),"Technology approach","")</f>
        <v/>
      </c>
      <c r="EN243"/>
      <c r="EO243"/>
      <c r="EP243" t="str">
        <f>IF(ISNUMBER(BU243),IF(ABS(BU243-[4]QC_indicators!$B$2)&gt;3*[4]QC_indicators!$C$2,"C ratio",IF(ISNUMBER(BY243),IF(ABS(BY243-[4]QC_indicators!$B$1)&gt;3*[4]QC_indicators!$C$1,"DF","no"))),IF(ISNUMBER(BY243),IF(ABS(BY243-[4]QC_indicators!$B$1)&gt;3*[4]QC_indicators!$C$1,"DF","no")))</f>
        <v>no</v>
      </c>
      <c r="EQ243" t="s">
        <v>2378</v>
      </c>
      <c r="ER243"/>
      <c r="ES243"/>
      <c r="ET243" s="264" t="s">
        <v>3273</v>
      </c>
      <c r="EU243"/>
    </row>
    <row r="244" spans="1:151" s="139" customFormat="1" ht="15" customHeight="1">
      <c r="A244" s="1" t="s">
        <v>878</v>
      </c>
      <c r="B244" t="s">
        <v>1791</v>
      </c>
      <c r="C244" t="s">
        <v>1792</v>
      </c>
      <c r="D244" t="s">
        <v>1793</v>
      </c>
      <c r="E244" t="s">
        <v>1794</v>
      </c>
      <c r="F244" t="s">
        <v>1795</v>
      </c>
      <c r="G244" t="s">
        <v>1184</v>
      </c>
      <c r="H244" t="s">
        <v>254</v>
      </c>
      <c r="I244">
        <v>2011</v>
      </c>
      <c r="J244">
        <v>6</v>
      </c>
      <c r="K244" t="s">
        <v>1796</v>
      </c>
      <c r="L244"/>
      <c r="M244" t="str">
        <f>LEFT($D244,FIND(",",$D244)-1)&amp;"_"&amp;I244&amp;L244</f>
        <v>Kayo_2011</v>
      </c>
      <c r="N244" t="s">
        <v>222</v>
      </c>
      <c r="O244" s="145" t="s">
        <v>513</v>
      </c>
      <c r="P244"/>
      <c r="Q244" t="s">
        <v>256</v>
      </c>
      <c r="R244" s="255" t="s">
        <v>225</v>
      </c>
      <c r="S244" s="263" t="s">
        <v>3351</v>
      </c>
      <c r="T244" t="s">
        <v>1800</v>
      </c>
      <c r="U244" t="s">
        <v>1801</v>
      </c>
      <c r="V244">
        <v>0</v>
      </c>
      <c r="W244">
        <v>0</v>
      </c>
      <c r="X244">
        <v>1</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s="141">
        <f>COUNTIF(V244:AW244,"&lt;&gt;0")</f>
        <v>1</v>
      </c>
      <c r="AY244" s="141">
        <f>COUNTIF(V244:AL244,"&lt;&gt;0")</f>
        <v>1</v>
      </c>
      <c r="AZ244">
        <f>COUNTIF(V244:AC244,"&lt;&gt;0")</f>
        <v>1</v>
      </c>
      <c r="BA244">
        <f>COUNTIF(AD244:AI244,"&lt;&gt;0")</f>
        <v>0</v>
      </c>
      <c r="BB244">
        <f>COUNTIF(AJ244:AL244,"&lt;&gt;0")</f>
        <v>0</v>
      </c>
      <c r="BC244">
        <f>COUNTIF(AS244:AW244,"&lt;&gt;0")</f>
        <v>0</v>
      </c>
      <c r="BD244">
        <f>COUNTIF(AM244:AR244,"&lt;&gt;0")</f>
        <v>0</v>
      </c>
      <c r="BE244" t="str">
        <f t="array" ref="BE244">IF(AY244=1,INDEX($V$7:$AL$7,MATCH(TRUE,INDEX($V244:$AW244&lt;&gt;0,),0)),IF(AY244=0,INDEX($AM$7:$AW$7,MATCH(1,$AM244:$AW244,0)),IF(BF244="Multiple strategies","mixed drivers",IF(BF244="Supply chain","multiple supply","multiple silviculture"))))</f>
        <v>rotation length</v>
      </c>
      <c r="BF244" s="2" t="str" cm="1">
        <f t="array" ref="BF244">IF(COUNTIF(AZ244:BB244,"&lt;&gt;0")=1,INDEX($V$4:$AW$4,MATCH(TRUE,INDEX($V244:$AW244&lt;&gt;0,),0)),IF(COUNTIF(AZ244:BB244,"&lt;&gt;0")=0,INDEX($AM$4:$AW$4,MATCH(1,$AM244:$AW244,0)),"Multiple strategies"))</f>
        <v>Silviculture for removals</v>
      </c>
      <c r="BG244" s="1" t="s">
        <v>229</v>
      </c>
      <c r="BH244" t="s">
        <v>1799</v>
      </c>
      <c r="BI244" s="260" t="s">
        <v>3350</v>
      </c>
      <c r="BJ244" s="260" t="s">
        <v>3347</v>
      </c>
      <c r="BK244">
        <v>15</v>
      </c>
      <c r="BL244">
        <v>32</v>
      </c>
      <c r="BM244"/>
      <c r="BN244">
        <f>BL244-BK244</f>
        <v>17</v>
      </c>
      <c r="BO244">
        <f>BN244*10^6*t_to_m3</f>
        <v>34693877.551020406</v>
      </c>
      <c r="BP244" t="s">
        <v>232</v>
      </c>
      <c r="BQ244" s="300" t="s">
        <v>3352</v>
      </c>
      <c r="BR244" t="s">
        <v>1300</v>
      </c>
      <c r="BS244"/>
      <c r="BT244"/>
      <c r="BU244" s="144" t="str">
        <f>IFERROR(BT244/BS244,"")</f>
        <v/>
      </c>
      <c r="BV244">
        <v>-11</v>
      </c>
      <c r="BW244"/>
      <c r="BX244">
        <f>BV244*10^6</f>
        <v>-11000000</v>
      </c>
      <c r="BY244">
        <f>IFERROR(BX244/BO244,"")</f>
        <v>-0.31705882352941178</v>
      </c>
      <c r="BZ244">
        <v>0</v>
      </c>
      <c r="CA244">
        <v>0</v>
      </c>
      <c r="CB244">
        <v>0</v>
      </c>
      <c r="CC244">
        <v>0</v>
      </c>
      <c r="CD244">
        <v>0</v>
      </c>
      <c r="CE244">
        <v>0</v>
      </c>
      <c r="CF244">
        <v>0</v>
      </c>
      <c r="CG244">
        <v>0</v>
      </c>
      <c r="CH244">
        <v>0</v>
      </c>
      <c r="CI244">
        <v>0</v>
      </c>
      <c r="CJ244">
        <v>0</v>
      </c>
      <c r="CK244">
        <v>0</v>
      </c>
      <c r="CL244">
        <v>0</v>
      </c>
      <c r="CM244">
        <v>0</v>
      </c>
      <c r="CN244" t="str">
        <f>IF(BL244&lt;BK244,"refNeedCorrection","refOK")</f>
        <v>refOK</v>
      </c>
      <c r="CO244">
        <f>IF($CN244="refOK",$BK244,$BL244)</f>
        <v>15</v>
      </c>
      <c r="CP244">
        <f>IF($CN244="refOK",$BL244,$BK244)</f>
        <v>32</v>
      </c>
      <c r="CQ244">
        <f>IF($CN244="refOK",$BO244,-$BO244)</f>
        <v>34693877.551020406</v>
      </c>
      <c r="CR244">
        <f>IF($CN244="refOK",$BS244,$BT244)*IF($BP244="Emissions positive",-1,1)</f>
        <v>0</v>
      </c>
      <c r="CS244">
        <f>IF($CN244="refOK",$BT244,$BS244)*IF($BP244="Emissions positive",-1,1)</f>
        <v>0</v>
      </c>
      <c r="CT244">
        <f>IF($CN244="refNeedCorrection",-BX244,BX244)*IF($BP244="Emissions positive",-1,1)</f>
        <v>-11000000</v>
      </c>
      <c r="CU244">
        <f>IFERROR(CT244/CQ244,"")</f>
        <v>-0.31705882352941178</v>
      </c>
      <c r="CV244" s="2" t="str">
        <f>IFERROR((CS244-CR244)/ABS(CR244),"")</f>
        <v/>
      </c>
      <c r="CW244" s="1" t="s">
        <v>1203</v>
      </c>
      <c r="CX244" t="str">
        <f>IF(OR($CW244="prd",$CW244="std",$CW244="cit"),"loc",IF(OR($CW244="eur",$CW244="reg",$CW244="coy"),"reg",$CW244))</f>
        <v>reg</v>
      </c>
      <c r="CY244" t="s">
        <v>961</v>
      </c>
      <c r="CZ244">
        <v>2005</v>
      </c>
      <c r="DA244">
        <v>2020</v>
      </c>
      <c r="DB244">
        <v>15</v>
      </c>
      <c r="DC244" t="str">
        <f>IF(DB244=0,"0",IF(AND(DB244&gt;=1,DB244&lt;=30),"1-30",IF(AND(DB244&gt;30,DB244&lt;=70),"31-70",IF(AND(DB244&gt;70,DB244&lt;=100),"71-100",IF(DB244&gt;100,"+100")))))</f>
        <v>1-30</v>
      </c>
      <c r="DD244">
        <v>0</v>
      </c>
      <c r="DE244">
        <v>1</v>
      </c>
      <c r="DF244">
        <v>0</v>
      </c>
      <c r="DG244">
        <v>0</v>
      </c>
      <c r="DH244"/>
      <c r="DI244">
        <f>SUM(DD244:DG244)</f>
        <v>1</v>
      </c>
      <c r="DJ244" t="str">
        <f>IF(DI244=1,INDEX($DD$7:$DG$7,MATCH(1,$DD244:$DG244,0)),"mixedProduct")</f>
        <v>EnergyInput</v>
      </c>
      <c r="DK244">
        <f>IF(DD244=1,DK$7,0)</f>
        <v>0</v>
      </c>
      <c r="DL244" t="str">
        <f>IF(DE244=1,DL$7,0)</f>
        <v>Energy</v>
      </c>
      <c r="DM244">
        <f>IF(DF244=1,DM$7,0)</f>
        <v>0</v>
      </c>
      <c r="DN244">
        <f>IF(DG244=1,DN$7,0)</f>
        <v>0</v>
      </c>
      <c r="DO244">
        <v>0</v>
      </c>
      <c r="DP244">
        <v>0</v>
      </c>
      <c r="DQ244">
        <v>0</v>
      </c>
      <c r="DR244">
        <v>0</v>
      </c>
      <c r="DS244">
        <v>0</v>
      </c>
      <c r="DT244">
        <f>SUM(DO244:DP244)</f>
        <v>0</v>
      </c>
      <c r="DU244" s="143" t="str">
        <f>IF(DO244=1,"self-calculated DF",IF(DP244=1,"external DF used","explicit C balance"))</f>
        <v>explicit C balance</v>
      </c>
      <c r="DV244">
        <v>0</v>
      </c>
      <c r="DW244">
        <v>1</v>
      </c>
      <c r="DX244">
        <v>1</v>
      </c>
      <c r="DY244">
        <v>0</v>
      </c>
      <c r="DZ244">
        <v>0</v>
      </c>
      <c r="EA244" s="143">
        <v>1</v>
      </c>
      <c r="EB244">
        <v>1</v>
      </c>
      <c r="EC244">
        <v>0</v>
      </c>
      <c r="ED244">
        <v>0</v>
      </c>
      <c r="EE244">
        <v>0</v>
      </c>
      <c r="EF244">
        <v>1</v>
      </c>
      <c r="EG244">
        <v>1</v>
      </c>
      <c r="EH244">
        <v>0</v>
      </c>
      <c r="EI244" s="2">
        <v>0</v>
      </c>
      <c r="EJ244" s="1"/>
      <c r="EK244" t="str">
        <f>IF(AND(AND(AND(OR($DX244=1,$DW244=1),OR($EC244=1,$EA244=1)),SUM($DV244:$DZ244,$EF244)&gt;=4),SUM($EA244:$EE244)&gt;=2),"Whole sector","")</f>
        <v/>
      </c>
      <c r="EL244" t="str">
        <f>IF(AND(AND(OR($DX244=1,$DW244=1),AND($EC244=0,$EA244=0)),SUM($DV244:$DZ244,$EF244)&gt;=4),"Ecosystem approach","")</f>
        <v/>
      </c>
      <c r="EM244" s="2" t="str">
        <f>IF(AND(AND(AND($DX244=0,$DW244=0),OR($EC244=1,$EA244=1)),SUM($EB244:$EE244)&gt;=2),"Technology approach","")</f>
        <v/>
      </c>
      <c r="EN244"/>
      <c r="EO244"/>
      <c r="EP244" t="str">
        <f>IF(ISNUMBER(BU244),IF(ABS(BU244-[4]QC_indicators!$B$2)&gt;3*[4]QC_indicators!$C$2,"C ratio",IF(ISNUMBER(BY244),IF(ABS(BY244-[4]QC_indicators!$B$1)&gt;3*[4]QC_indicators!$C$1,"DF","no"))),IF(ISNUMBER(BY244),IF(ABS(BY244-[4]QC_indicators!$B$1)&gt;3*[4]QC_indicators!$C$1,"DF","no")))</f>
        <v>no</v>
      </c>
      <c r="EQ244"/>
      <c r="ER244"/>
      <c r="ES244"/>
      <c r="ET244" s="264" t="s">
        <v>3273</v>
      </c>
      <c r="EU244"/>
    </row>
    <row r="245" spans="1:151" s="139" customFormat="1" ht="15" customHeight="1">
      <c r="A245" s="1" t="s">
        <v>265</v>
      </c>
      <c r="B245" t="s">
        <v>266</v>
      </c>
      <c r="C245" t="s">
        <v>267</v>
      </c>
      <c r="D245" t="s">
        <v>268</v>
      </c>
      <c r="E245" t="s">
        <v>269</v>
      </c>
      <c r="F245" t="s">
        <v>270</v>
      </c>
      <c r="G245" t="s">
        <v>271</v>
      </c>
      <c r="H245" t="s">
        <v>254</v>
      </c>
      <c r="I245">
        <v>2022</v>
      </c>
      <c r="J245">
        <v>0</v>
      </c>
      <c r="K245" t="s">
        <v>272</v>
      </c>
      <c r="L245"/>
      <c r="M245" t="str">
        <f>LEFT($D245,FIND(",",$D245)-1)&amp;"_"&amp;I245&amp;L245</f>
        <v>Aryapratama_2022</v>
      </c>
      <c r="N245" t="s">
        <v>222</v>
      </c>
      <c r="O245" s="145" t="s">
        <v>274</v>
      </c>
      <c r="P245"/>
      <c r="Q245" t="s">
        <v>224</v>
      </c>
      <c r="R245" s="262" t="s">
        <v>223</v>
      </c>
      <c r="S245" s="263" t="s">
        <v>3105</v>
      </c>
      <c r="T245" t="s">
        <v>291</v>
      </c>
      <c r="U245" t="s">
        <v>276</v>
      </c>
      <c r="V245">
        <v>0</v>
      </c>
      <c r="W245">
        <v>0</v>
      </c>
      <c r="X245">
        <v>0</v>
      </c>
      <c r="Y245">
        <v>0</v>
      </c>
      <c r="Z245">
        <v>0</v>
      </c>
      <c r="AA245">
        <v>0</v>
      </c>
      <c r="AB245">
        <v>0</v>
      </c>
      <c r="AC245">
        <v>0</v>
      </c>
      <c r="AD245">
        <v>0</v>
      </c>
      <c r="AE245">
        <v>0</v>
      </c>
      <c r="AF245">
        <v>0</v>
      </c>
      <c r="AG245">
        <v>0</v>
      </c>
      <c r="AH245">
        <v>0</v>
      </c>
      <c r="AI245">
        <v>0</v>
      </c>
      <c r="AJ245">
        <v>0</v>
      </c>
      <c r="AK245">
        <v>1</v>
      </c>
      <c r="AL245">
        <v>0</v>
      </c>
      <c r="AM245">
        <v>0</v>
      </c>
      <c r="AN245">
        <v>0</v>
      </c>
      <c r="AO245">
        <v>0</v>
      </c>
      <c r="AP245">
        <v>0</v>
      </c>
      <c r="AQ245">
        <v>0</v>
      </c>
      <c r="AR245">
        <v>0</v>
      </c>
      <c r="AS245">
        <v>0</v>
      </c>
      <c r="AT245">
        <v>0</v>
      </c>
      <c r="AU245">
        <v>0</v>
      </c>
      <c r="AV245">
        <v>0</v>
      </c>
      <c r="AW245">
        <v>0</v>
      </c>
      <c r="AX245" s="141">
        <f>COUNTIF(V245:AW245,"&lt;&gt;0")</f>
        <v>1</v>
      </c>
      <c r="AY245" s="141">
        <f>COUNTIF(V245:AL245,"&lt;&gt;0")</f>
        <v>1</v>
      </c>
      <c r="AZ245">
        <f>COUNTIF(V245:AC245,"&lt;&gt;0")</f>
        <v>0</v>
      </c>
      <c r="BA245">
        <f>COUNTIF(AD245:AI245,"&lt;&gt;0")</f>
        <v>0</v>
      </c>
      <c r="BB245">
        <f>COUNTIF(AJ245:AL245,"&lt;&gt;0")</f>
        <v>1</v>
      </c>
      <c r="BC245">
        <f>COUNTIF(AS245:AW245,"&lt;&gt;0")</f>
        <v>0</v>
      </c>
      <c r="BD245">
        <f>COUNTIF(AM245:AR245,"&lt;&gt;0")</f>
        <v>0</v>
      </c>
      <c r="BE245" t="str">
        <f t="array" ref="BE245">IF(AY245=1,INDEX($V$7:$AL$7,MATCH(TRUE,INDEX($V245:$AW245&lt;&gt;0,),0)),IF(AY245=0,INDEX($AM$7:$AW$7,MATCH(1,$AM245:$AW245,0)),IF(BF245="Multiple strategies","mixed drivers",IF(BF245="Supply chain","multiple supply","multiple silviculture"))))</f>
        <v>technologies/design switch</v>
      </c>
      <c r="BF245" s="2" t="str" cm="1">
        <f t="array" ref="BF245">IF(COUNTIF(AZ245:BB245,"&lt;&gt;0")=1,INDEX($V$4:$AW$4,MATCH(TRUE,INDEX($V245:$AW245&lt;&gt;0,),0)),IF(COUNTIF(AZ245:BB245,"&lt;&gt;0")=0,INDEX($AM$4:$AW$4,MATCH(1,$AM245:$AW245,0)),"Multiple strategies"))</f>
        <v>Technology</v>
      </c>
      <c r="BG245" s="1" t="s">
        <v>229</v>
      </c>
      <c r="BH245" t="s">
        <v>277</v>
      </c>
      <c r="BI245" s="264" t="s">
        <v>3106</v>
      </c>
      <c r="BJ245" t="s">
        <v>278</v>
      </c>
      <c r="BK245">
        <v>0</v>
      </c>
      <c r="BL245">
        <v>145.3587976415094</v>
      </c>
      <c r="BM245"/>
      <c r="BN245">
        <f>BL245-BK245</f>
        <v>145.3587976415094</v>
      </c>
      <c r="BO245">
        <f>BN245*tC_to_m3</f>
        <v>631.17150517372738</v>
      </c>
      <c r="BP245" t="s">
        <v>232</v>
      </c>
      <c r="BQ245" s="303" t="s">
        <v>3107</v>
      </c>
      <c r="BR245" t="s">
        <v>279</v>
      </c>
      <c r="BS245">
        <v>-456.78692783823215</v>
      </c>
      <c r="BT245">
        <v>-654.85817268246092</v>
      </c>
      <c r="BU245" s="144">
        <f>IFERROR(BT245/BS245,"")</f>
        <v>1.43361846141616</v>
      </c>
      <c r="BV245">
        <f>BT245-BS245</f>
        <v>-198.07124484422877</v>
      </c>
      <c r="BW245"/>
      <c r="BX245">
        <f>BV245</f>
        <v>-198.07124484422877</v>
      </c>
      <c r="BY245">
        <f>IFERROR(BX245/BO245,"")</f>
        <v>-0.3138152518303412</v>
      </c>
      <c r="BZ245">
        <v>0</v>
      </c>
      <c r="CA245">
        <v>0</v>
      </c>
      <c r="CB245">
        <v>0</v>
      </c>
      <c r="CC245">
        <v>0</v>
      </c>
      <c r="CD245">
        <v>0</v>
      </c>
      <c r="CE245">
        <v>0</v>
      </c>
      <c r="CF245">
        <v>0</v>
      </c>
      <c r="CG245">
        <v>0</v>
      </c>
      <c r="CH245">
        <v>0</v>
      </c>
      <c r="CI245">
        <v>0</v>
      </c>
      <c r="CJ245">
        <v>0</v>
      </c>
      <c r="CK245">
        <v>0</v>
      </c>
      <c r="CL245">
        <v>0</v>
      </c>
      <c r="CM245">
        <v>0</v>
      </c>
      <c r="CN245" t="str">
        <f>IF($BL245&lt;$BK245,"refNeedCorrection","refOK")</f>
        <v>refOK</v>
      </c>
      <c r="CO245">
        <f>IF($CN245="refOK",$BK245,$BL245)</f>
        <v>0</v>
      </c>
      <c r="CP245">
        <f>IF($CN245="refOK",$BL245,$BK245)</f>
        <v>145.3587976415094</v>
      </c>
      <c r="CQ245">
        <f>IF($CN245="refOK",$BO245,-$BO245)</f>
        <v>631.17150517372738</v>
      </c>
      <c r="CR245">
        <f>IF($CN245="refOK",$BS245,$BT245)*IF($BP245="Emissions positive",-1,1)</f>
        <v>-456.78692783823215</v>
      </c>
      <c r="CS245">
        <f>IF($CN245="refOK",$BT245,$BS245)*IF($BP245="Emissions positive",-1,1)</f>
        <v>-654.85817268246092</v>
      </c>
      <c r="CT245">
        <f>IF($CN245="refNeedCorrection",-BX245,BX245)*IF($BP245="Emissions positive",-1,1)</f>
        <v>-198.07124484422877</v>
      </c>
      <c r="CU245">
        <f>IFERROR(CT245/CQ245,"")</f>
        <v>-0.3138152518303412</v>
      </c>
      <c r="CV245" s="2">
        <f>IFERROR((CS245-CR245)/ABS(CR245),"")</f>
        <v>-0.43361846141616012</v>
      </c>
      <c r="CW245" s="1" t="s">
        <v>234</v>
      </c>
      <c r="CX245" t="str">
        <f>IF(OR($CW245="prd",$CW245="std",$CW245="cit"),"loc",IF(OR($CW245="eur",$CW245="reg",$CW245="coy"),"reg",$CW245))</f>
        <v>loc</v>
      </c>
      <c r="CY245" t="s">
        <v>280</v>
      </c>
      <c r="CZ245"/>
      <c r="DA245"/>
      <c r="DB245">
        <v>50</v>
      </c>
      <c r="DC245" t="str">
        <f>IF(DB245=0,"0",IF(AND(DB245&gt;=1,DB245&lt;=30),"1-30",IF(AND(DB245&gt;30,DB245&lt;=70),"31-70",IF(AND(DB245&gt;70,DB245&lt;=100),"71-100",IF(DB245&gt;100,"+100")))))</f>
        <v>31-70</v>
      </c>
      <c r="DD245">
        <v>0</v>
      </c>
      <c r="DE245">
        <v>0</v>
      </c>
      <c r="DF245">
        <v>0</v>
      </c>
      <c r="DG245">
        <v>1</v>
      </c>
      <c r="DH245"/>
      <c r="DI245">
        <f>SUM(DD245:DG245)</f>
        <v>1</v>
      </c>
      <c r="DJ245" t="str">
        <f>IF(DI245=1,INDEX($DD$7:$DG$7,MATCH(1,$DD245:$DG245,0)),"mixedProduct")</f>
        <v>TimberInput</v>
      </c>
      <c r="DK245">
        <f>IF(DD245=1,DK$7,0)</f>
        <v>0</v>
      </c>
      <c r="DL245">
        <f>IF(DE245=1,DL$7,0)</f>
        <v>0</v>
      </c>
      <c r="DM245">
        <f>IF(DF245=1,DM$7,0)</f>
        <v>0</v>
      </c>
      <c r="DN245" t="str">
        <f>IF(DG245=1,DN$7,0)</f>
        <v>Timber</v>
      </c>
      <c r="DO245">
        <v>0</v>
      </c>
      <c r="DP245">
        <v>1</v>
      </c>
      <c r="DQ245">
        <v>0</v>
      </c>
      <c r="DR245" t="s">
        <v>292</v>
      </c>
      <c r="DS245">
        <v>0</v>
      </c>
      <c r="DT245">
        <f>SUM(DO245:DP245)</f>
        <v>1</v>
      </c>
      <c r="DU245" s="143" t="str">
        <f>IF(DO245=1,"self-calculated DF",IF(DP245=1,"external DF used","explicit C balance"))</f>
        <v>external DF used</v>
      </c>
      <c r="DV245">
        <v>0</v>
      </c>
      <c r="DW245">
        <v>1</v>
      </c>
      <c r="DX245">
        <v>1</v>
      </c>
      <c r="DY245">
        <v>1</v>
      </c>
      <c r="DZ245">
        <v>1</v>
      </c>
      <c r="EA245" s="143">
        <v>0</v>
      </c>
      <c r="EB245">
        <v>1</v>
      </c>
      <c r="EC245">
        <v>1</v>
      </c>
      <c r="ED245">
        <v>0</v>
      </c>
      <c r="EE245">
        <v>1</v>
      </c>
      <c r="EF245">
        <v>1</v>
      </c>
      <c r="EG245">
        <v>1</v>
      </c>
      <c r="EH245">
        <v>0</v>
      </c>
      <c r="EI245" s="2">
        <v>0</v>
      </c>
      <c r="EJ245" s="1"/>
      <c r="EK245" t="str">
        <f>IF(AND(AND(AND(OR($DX245=1,$DW245=1),OR($EC245=1,$EA245=1)),SUM($DV245:$DZ245,$EF245)&gt;=4),SUM($EA245:$EE245)&gt;=2),"Whole sector","")</f>
        <v>Whole sector</v>
      </c>
      <c r="EL245" t="str">
        <f>IF(AND(AND(OR($DX245=1,$DW245=1),AND($EC245=0,$EA245=0)),SUM($DV245:$DZ245,$EF245)&gt;=4),"Ecosystem approach","")</f>
        <v/>
      </c>
      <c r="EM245" s="2" t="str">
        <f>IF(AND(AND(AND($DX245=0,$DW245=0),OR($EC245=1,$EA245=1)),SUM($EB245:$EE245)&gt;=2),"Technology approach","")</f>
        <v/>
      </c>
      <c r="EN245" t="s">
        <v>294</v>
      </c>
      <c r="EO245"/>
      <c r="EP245" t="str">
        <f>IF(ISNUMBER(BU245),IF(ABS(BU245-[1]QC_indicators!$B$2)&gt;3*[1]QC_indicators!$C$2,"C ratio",IF(ISNUMBER(BY245),IF(ABS(BY245-[1]QC_indicators!$B$1)&gt;3*[1]QC_indicators!$C$1,"DF","no"))),IF(ISNUMBER(BY245),IF(ABS(BY245-[1]QC_indicators!$B$1)&gt;3*[1]QC_indicators!$C$1,"DF","no")))</f>
        <v>no</v>
      </c>
      <c r="EQ245" t="s">
        <v>286</v>
      </c>
      <c r="ER245"/>
      <c r="ES245"/>
      <c r="ET245" s="264" t="s">
        <v>3273</v>
      </c>
      <c r="EU245"/>
    </row>
    <row r="246" spans="1:151" s="139" customFormat="1" ht="15" customHeight="1">
      <c r="A246" s="1" t="s">
        <v>505</v>
      </c>
      <c r="B246" t="s">
        <v>528</v>
      </c>
      <c r="C246" t="s">
        <v>529</v>
      </c>
      <c r="D246" t="s">
        <v>530</v>
      </c>
      <c r="E246" t="s">
        <v>531</v>
      </c>
      <c r="F246" t="s">
        <v>532</v>
      </c>
      <c r="G246" t="s">
        <v>511</v>
      </c>
      <c r="H246" t="s">
        <v>254</v>
      </c>
      <c r="I246">
        <v>2015</v>
      </c>
      <c r="J246">
        <v>31</v>
      </c>
      <c r="K246" t="s">
        <v>533</v>
      </c>
      <c r="L246"/>
      <c r="M246" t="str">
        <f>LEFT($D246,FIND(",",$D246)-1)&amp;"_"&amp;I246&amp;L246</f>
        <v>Cambero_2015</v>
      </c>
      <c r="N246" t="s">
        <v>222</v>
      </c>
      <c r="O246" s="145" t="s">
        <v>223</v>
      </c>
      <c r="P246"/>
      <c r="Q246" t="s">
        <v>256</v>
      </c>
      <c r="R246" s="255" t="s">
        <v>225</v>
      </c>
      <c r="S246" s="1" t="s">
        <v>534</v>
      </c>
      <c r="T246" t="s">
        <v>535</v>
      </c>
      <c r="U246" t="s">
        <v>541</v>
      </c>
      <c r="V246">
        <v>0</v>
      </c>
      <c r="W246">
        <v>0</v>
      </c>
      <c r="X246">
        <v>0</v>
      </c>
      <c r="Y246">
        <v>0</v>
      </c>
      <c r="Z246">
        <v>0</v>
      </c>
      <c r="AA246">
        <v>0</v>
      </c>
      <c r="AB246">
        <v>0</v>
      </c>
      <c r="AC246">
        <v>0</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0</v>
      </c>
      <c r="AW246">
        <v>0</v>
      </c>
      <c r="AX246" s="141">
        <f>COUNTIF(V246:AW246,"&lt;&gt;0")</f>
        <v>1</v>
      </c>
      <c r="AY246" s="141">
        <f>COUNTIF(V246:AL246,"&lt;&gt;0")</f>
        <v>1</v>
      </c>
      <c r="AZ246">
        <f>COUNTIF(V246:AC246,"&lt;&gt;0")</f>
        <v>0</v>
      </c>
      <c r="BA246">
        <f>COUNTIF(AD246:AI246,"&lt;&gt;0")</f>
        <v>0</v>
      </c>
      <c r="BB246">
        <f>COUNTIF(AJ246:AL246,"&lt;&gt;0")</f>
        <v>1</v>
      </c>
      <c r="BC246">
        <f>COUNTIF(AS246:AW246,"&lt;&gt;0")</f>
        <v>0</v>
      </c>
      <c r="BD246">
        <f>COUNTIF(AM246:AR246,"&lt;&gt;0")</f>
        <v>0</v>
      </c>
      <c r="BE246" t="str">
        <f t="array" ref="BE246">IF(AY246=1,INDEX($V$7:$AL$7,MATCH(TRUE,INDEX($V246:$AW246&lt;&gt;0,),0)),IF(AY246=0,INDEX($AM$7:$AW$7,MATCH(1,$AM246:$AW246,0)),IF(BF246="Multiple strategies","mixed drivers",IF(BF246="Supply chain","multiple supply","multiple silviculture"))))</f>
        <v>technologies/design switch</v>
      </c>
      <c r="BF246" s="2" t="str" cm="1">
        <f t="array" ref="BF246">IF(COUNTIF(AZ246:BB246,"&lt;&gt;0")=1,INDEX($V$4:$AW$4,MATCH(TRUE,INDEX($V246:$AW246&lt;&gt;0,),0)),IF(COUNTIF(AZ246:BB246,"&lt;&gt;0")=0,INDEX($AM$4:$AW$4,MATCH(1,$AM246:$AW246,0)),"Multiple strategies"))</f>
        <v>Technology</v>
      </c>
      <c r="BG246" s="1" t="s">
        <v>229</v>
      </c>
      <c r="BH246" t="s">
        <v>537</v>
      </c>
      <c r="BI246" s="260" t="s">
        <v>3284</v>
      </c>
      <c r="BJ246" t="s">
        <v>538</v>
      </c>
      <c r="BK246">
        <v>0</v>
      </c>
      <c r="BL246">
        <v>5986.394558</v>
      </c>
      <c r="BM246"/>
      <c r="BN246">
        <f>BL246-BK246</f>
        <v>5986.394558</v>
      </c>
      <c r="BO246">
        <f>BN246*t_to_m3</f>
        <v>12217.131751020408</v>
      </c>
      <c r="BP246" t="s">
        <v>232</v>
      </c>
      <c r="BQ246" s="300" t="s">
        <v>3285</v>
      </c>
      <c r="BR246" t="s">
        <v>539</v>
      </c>
      <c r="BS246">
        <v>-143400</v>
      </c>
      <c r="BT246">
        <v>-147200</v>
      </c>
      <c r="BU246" s="144">
        <v>1.0264993026499303</v>
      </c>
      <c r="BV246">
        <v>-3800</v>
      </c>
      <c r="BW246"/>
      <c r="BX246">
        <f>BV246</f>
        <v>-3800</v>
      </c>
      <c r="BY246">
        <f>IFERROR(BX246/BO246,"")</f>
        <v>-0.31103863635444656</v>
      </c>
      <c r="BZ246" s="143">
        <v>0</v>
      </c>
      <c r="CA246" s="143">
        <v>0</v>
      </c>
      <c r="CB246" s="143">
        <v>0</v>
      </c>
      <c r="CC246" s="143">
        <v>0</v>
      </c>
      <c r="CD246" s="143">
        <v>0</v>
      </c>
      <c r="CE246" s="143">
        <v>0</v>
      </c>
      <c r="CF246" s="143">
        <v>0</v>
      </c>
      <c r="CG246" s="143">
        <v>0</v>
      </c>
      <c r="CH246" s="143">
        <v>0</v>
      </c>
      <c r="CI246" s="143">
        <v>0</v>
      </c>
      <c r="CJ246" s="143">
        <v>0</v>
      </c>
      <c r="CK246" s="143">
        <v>0</v>
      </c>
      <c r="CL246" s="143">
        <v>0</v>
      </c>
      <c r="CM246">
        <v>1</v>
      </c>
      <c r="CN246" t="str">
        <f>IF($BL246&lt;$BK246,"refNeedCorrection","refOK")</f>
        <v>refOK</v>
      </c>
      <c r="CO246">
        <f>IF($CN246="refNeedCorrection",BL246,BK246)</f>
        <v>0</v>
      </c>
      <c r="CP246">
        <f>IF($CN246="refNeedCorrection",BK246,BL246)</f>
        <v>5986.394558</v>
      </c>
      <c r="CQ246">
        <f>IF($CN246="refOK",$BO246,-$BO246)</f>
        <v>12217.131751020408</v>
      </c>
      <c r="CR246">
        <f>IF($CN246="refOK",$BS246,$BT246)*IF($BP246="Emissions positive",-1,1)</f>
        <v>-143400</v>
      </c>
      <c r="CS246">
        <f>IF($CN246="refOK",$BT246,$BS246)*IF($BP246="Emissions positive",-1,1)</f>
        <v>-147200</v>
      </c>
      <c r="CT246">
        <f>IF($CN246="refNeedCorrection",-BX246,BX246)*IF($BP246="Emissions positive",-1,1)</f>
        <v>-3800</v>
      </c>
      <c r="CU246">
        <f>IFERROR(CT246/CQ246,"")</f>
        <v>-0.31103863635444656</v>
      </c>
      <c r="CV246" s="2">
        <f>IFERROR((CS246-CR246)/ABS(CR246),"")</f>
        <v>-2.6499302649930265E-2</v>
      </c>
      <c r="CW246" s="1" t="s">
        <v>347</v>
      </c>
      <c r="CX246" t="str">
        <f>IF(OR($CW246="prd",$CW246="std",$CW246="cit"),"loc",IF(OR($CW246="eur",$CW246="reg",$CW246="coy"),"reg",$CW246))</f>
        <v>loc</v>
      </c>
      <c r="CY246" t="s">
        <v>540</v>
      </c>
      <c r="CZ246"/>
      <c r="DA246"/>
      <c r="DB246">
        <v>0</v>
      </c>
      <c r="DC246" t="str">
        <f>IF(DB246=0,"0",IF(AND(DB246&gt;=1,DB246&lt;=30),"1-30",IF(AND(DB246&gt;30,DB246&lt;=70),"31-70",IF(AND(DB246&gt;70,DB246&lt;=100),"71-100",IF(DB246&gt;100,"+100")))))</f>
        <v>0</v>
      </c>
      <c r="DD246">
        <v>0</v>
      </c>
      <c r="DE246">
        <v>1</v>
      </c>
      <c r="DF246">
        <v>0</v>
      </c>
      <c r="DG246">
        <v>0</v>
      </c>
      <c r="DH246"/>
      <c r="DI246">
        <f>SUM(DD246:DG246)</f>
        <v>1</v>
      </c>
      <c r="DJ246" t="str">
        <f>IF(DI246=1,INDEX($DD$7:$DG$7,MATCH(1,$DD246:$DG246,0)),"mixedProduct")</f>
        <v>EnergyInput</v>
      </c>
      <c r="DK246">
        <f>IF(DD246=1,DK$7,0)</f>
        <v>0</v>
      </c>
      <c r="DL246" t="str">
        <f>IF(DE246=1,DL$7,0)</f>
        <v>Energy</v>
      </c>
      <c r="DM246">
        <f>IF(DF246=1,DM$7,0)</f>
        <v>0</v>
      </c>
      <c r="DN246">
        <f>IF(DG246=1,DN$7,0)</f>
        <v>0</v>
      </c>
      <c r="DO246">
        <v>0</v>
      </c>
      <c r="DP246" s="143">
        <v>0</v>
      </c>
      <c r="DQ246" s="143">
        <v>0</v>
      </c>
      <c r="DR246" s="143">
        <v>0</v>
      </c>
      <c r="DS246">
        <v>0</v>
      </c>
      <c r="DT246">
        <f>SUM(DO246:DP246)</f>
        <v>0</v>
      </c>
      <c r="DU246" s="143" t="str">
        <f>IF(DO246=1,"self-calculated DF",IF(DP246=1,"external DF used","explicit C balance"))</f>
        <v>explicit C balance</v>
      </c>
      <c r="DV246">
        <v>0</v>
      </c>
      <c r="DW246" s="143">
        <v>1</v>
      </c>
      <c r="DX246" s="143">
        <v>0</v>
      </c>
      <c r="DY246" s="143">
        <v>0</v>
      </c>
      <c r="DZ246">
        <v>1</v>
      </c>
      <c r="EA246" s="143">
        <v>0</v>
      </c>
      <c r="EB246">
        <v>0</v>
      </c>
      <c r="EC246" s="143">
        <v>1</v>
      </c>
      <c r="ED246" s="143">
        <v>0</v>
      </c>
      <c r="EE246">
        <v>0</v>
      </c>
      <c r="EF246">
        <v>0</v>
      </c>
      <c r="EG246" s="143">
        <v>0</v>
      </c>
      <c r="EH246" s="143">
        <v>0</v>
      </c>
      <c r="EI246" s="2">
        <v>0</v>
      </c>
      <c r="EJ246" s="1"/>
      <c r="EK246" t="str">
        <f>IF(AND(AND(AND(OR($DX246=1,$DW246=1),OR($EC246=1,$EA246=1)),SUM($DV246:$DZ246,$EF246)&gt;=4),SUM($EA246:$EE246)&gt;=2),"Whole sector","")</f>
        <v/>
      </c>
      <c r="EL246" t="str">
        <f>IF(AND(AND(OR($DX246=1,$DW246=1),AND($EC246=0,$EA246=0)),SUM($DV246:$DZ246,$EF246)&gt;=4),"Ecosystem approach","")</f>
        <v/>
      </c>
      <c r="EM246" s="2" t="str">
        <f>IF(AND(AND(AND($DX246=0,$DW246=0),OR($EC246=1,$EA246=1)),SUM($EB246:$EE246)&gt;=2),"Technology approach","")</f>
        <v/>
      </c>
      <c r="EN246"/>
      <c r="EO246"/>
      <c r="EP246" t="str">
        <f>IF(ISNUMBER(BU246),IF(ABS(BU246-[4]QC_indicators!$B$2)&gt;3*[4]QC_indicators!$C$2,"C ratio",IF(ISNUMBER(BY246),IF(ABS(BY246-[4]QC_indicators!$B$1)&gt;3*[4]QC_indicators!$C$1,"DF","no"))),IF(ISNUMBER(BY246),IF(ABS(BY246-[4]QC_indicators!$B$1)&gt;3*[4]QC_indicators!$C$1,"DF","no")))</f>
        <v>no</v>
      </c>
      <c r="EQ246"/>
      <c r="ER246" s="149" t="s">
        <v>349</v>
      </c>
      <c r="ES246"/>
      <c r="ET246" s="264" t="s">
        <v>3273</v>
      </c>
      <c r="EU246"/>
    </row>
    <row r="247" spans="1:151" s="139" customFormat="1" ht="15" customHeight="1">
      <c r="A247" s="1" t="s">
        <v>505</v>
      </c>
      <c r="B247" t="s">
        <v>528</v>
      </c>
      <c r="C247" t="s">
        <v>529</v>
      </c>
      <c r="D247" t="s">
        <v>530</v>
      </c>
      <c r="E247" t="s">
        <v>531</v>
      </c>
      <c r="F247" t="s">
        <v>532</v>
      </c>
      <c r="G247" t="s">
        <v>511</v>
      </c>
      <c r="H247" t="s">
        <v>254</v>
      </c>
      <c r="I247">
        <v>2015</v>
      </c>
      <c r="J247">
        <v>31</v>
      </c>
      <c r="K247" t="s">
        <v>533</v>
      </c>
      <c r="L247"/>
      <c r="M247" t="str">
        <f>LEFT($D247,FIND(",",$D247)-1)&amp;"_"&amp;I247&amp;L247</f>
        <v>Cambero_2015</v>
      </c>
      <c r="N247" t="s">
        <v>222</v>
      </c>
      <c r="O247" s="145" t="s">
        <v>223</v>
      </c>
      <c r="P247"/>
      <c r="Q247" t="s">
        <v>256</v>
      </c>
      <c r="R247" s="255" t="s">
        <v>225</v>
      </c>
      <c r="S247" s="1" t="s">
        <v>534</v>
      </c>
      <c r="T247" t="s">
        <v>535</v>
      </c>
      <c r="U247" t="s">
        <v>542</v>
      </c>
      <c r="V247">
        <v>0</v>
      </c>
      <c r="W247">
        <v>0</v>
      </c>
      <c r="X247">
        <v>0</v>
      </c>
      <c r="Y247">
        <v>0</v>
      </c>
      <c r="Z247">
        <v>0</v>
      </c>
      <c r="AA247">
        <v>0</v>
      </c>
      <c r="AB247">
        <v>0</v>
      </c>
      <c r="AC247">
        <v>0</v>
      </c>
      <c r="AD247">
        <v>0</v>
      </c>
      <c r="AE247">
        <v>0</v>
      </c>
      <c r="AF247">
        <v>0</v>
      </c>
      <c r="AG247">
        <v>0</v>
      </c>
      <c r="AH247">
        <v>0</v>
      </c>
      <c r="AI247">
        <v>0</v>
      </c>
      <c r="AJ247">
        <v>0</v>
      </c>
      <c r="AK247">
        <v>1</v>
      </c>
      <c r="AL247">
        <v>0</v>
      </c>
      <c r="AM247">
        <v>0</v>
      </c>
      <c r="AN247">
        <v>0</v>
      </c>
      <c r="AO247">
        <v>0</v>
      </c>
      <c r="AP247">
        <v>0</v>
      </c>
      <c r="AQ247">
        <v>0</v>
      </c>
      <c r="AR247">
        <v>0</v>
      </c>
      <c r="AS247">
        <v>0</v>
      </c>
      <c r="AT247">
        <v>0</v>
      </c>
      <c r="AU247">
        <v>0</v>
      </c>
      <c r="AV247">
        <v>0</v>
      </c>
      <c r="AW247">
        <v>0</v>
      </c>
      <c r="AX247" s="141">
        <f>COUNTIF(V247:AW247,"&lt;&gt;0")</f>
        <v>1</v>
      </c>
      <c r="AY247" s="141">
        <f>COUNTIF(V247:AL247,"&lt;&gt;0")</f>
        <v>1</v>
      </c>
      <c r="AZ247">
        <f>COUNTIF(V247:AC247,"&lt;&gt;0")</f>
        <v>0</v>
      </c>
      <c r="BA247">
        <f>COUNTIF(AD247:AI247,"&lt;&gt;0")</f>
        <v>0</v>
      </c>
      <c r="BB247">
        <f>COUNTIF(AJ247:AL247,"&lt;&gt;0")</f>
        <v>1</v>
      </c>
      <c r="BC247">
        <f>COUNTIF(AS247:AW247,"&lt;&gt;0")</f>
        <v>0</v>
      </c>
      <c r="BD247">
        <f>COUNTIF(AM247:AR247,"&lt;&gt;0")</f>
        <v>0</v>
      </c>
      <c r="BE247" t="str">
        <f t="array" ref="BE247">IF(AY247=1,INDEX($V$7:$AL$7,MATCH(TRUE,INDEX($V247:$AW247&lt;&gt;0,),0)),IF(AY247=0,INDEX($AM$7:$AW$7,MATCH(1,$AM247:$AW247,0)),IF(BF247="Multiple strategies","mixed drivers",IF(BF247="Supply chain","multiple supply","multiple silviculture"))))</f>
        <v>technologies/design switch</v>
      </c>
      <c r="BF247" s="2" t="str" cm="1">
        <f t="array" ref="BF247">IF(COUNTIF(AZ247:BB247,"&lt;&gt;0")=1,INDEX($V$4:$AW$4,MATCH(TRUE,INDEX($V247:$AW247&lt;&gt;0,),0)),IF(COUNTIF(AZ247:BB247,"&lt;&gt;0")=0,INDEX($AM$4:$AW$4,MATCH(1,$AM247:$AW247,0)),"Multiple strategies"))</f>
        <v>Technology</v>
      </c>
      <c r="BG247" s="1" t="s">
        <v>229</v>
      </c>
      <c r="BH247" t="s">
        <v>537</v>
      </c>
      <c r="BI247" s="260" t="s">
        <v>3284</v>
      </c>
      <c r="BJ247" t="s">
        <v>538</v>
      </c>
      <c r="BK247">
        <v>0</v>
      </c>
      <c r="BL247">
        <v>7619.0476189999999</v>
      </c>
      <c r="BM247"/>
      <c r="BN247">
        <f>BL247-BK247</f>
        <v>7619.0476189999999</v>
      </c>
      <c r="BO247">
        <f>BN247*t_to_m3</f>
        <v>15549.076773469387</v>
      </c>
      <c r="BP247" t="s">
        <v>232</v>
      </c>
      <c r="BQ247" s="300" t="s">
        <v>3285</v>
      </c>
      <c r="BR247" t="s">
        <v>539</v>
      </c>
      <c r="BS247">
        <v>-143400</v>
      </c>
      <c r="BT247">
        <v>-148200</v>
      </c>
      <c r="BU247" s="144">
        <v>1.0334728033472804</v>
      </c>
      <c r="BV247">
        <v>-4800</v>
      </c>
      <c r="BW247"/>
      <c r="BX247">
        <f>BV247</f>
        <v>-4800</v>
      </c>
      <c r="BY247">
        <f>IFERROR(BX247/BO247,"")</f>
        <v>-0.30870000000192938</v>
      </c>
      <c r="BZ247" s="143">
        <v>0</v>
      </c>
      <c r="CA247" s="143">
        <v>0</v>
      </c>
      <c r="CB247" s="143">
        <v>0</v>
      </c>
      <c r="CC247" s="143">
        <v>0</v>
      </c>
      <c r="CD247" s="143">
        <v>0</v>
      </c>
      <c r="CE247" s="143">
        <v>0</v>
      </c>
      <c r="CF247" s="143">
        <v>0</v>
      </c>
      <c r="CG247" s="143">
        <v>0</v>
      </c>
      <c r="CH247" s="143">
        <v>0</v>
      </c>
      <c r="CI247" s="143">
        <v>0</v>
      </c>
      <c r="CJ247" s="143">
        <v>0</v>
      </c>
      <c r="CK247" s="143">
        <v>0</v>
      </c>
      <c r="CL247" s="143">
        <v>0</v>
      </c>
      <c r="CM247">
        <v>1</v>
      </c>
      <c r="CN247" t="str">
        <f>IF($BL247&lt;$BK247,"refNeedCorrection","refOK")</f>
        <v>refOK</v>
      </c>
      <c r="CO247">
        <f>IF($CN247="refNeedCorrection",BL247,BK247)</f>
        <v>0</v>
      </c>
      <c r="CP247">
        <f>IF($CN247="refNeedCorrection",BK247,BL247)</f>
        <v>7619.0476189999999</v>
      </c>
      <c r="CQ247">
        <f>IF($CN247="refOK",$BO247,-$BO247)</f>
        <v>15549.076773469387</v>
      </c>
      <c r="CR247">
        <f>IF($CN247="refOK",$BS247,$BT247)*IF($BP247="Emissions positive",-1,1)</f>
        <v>-143400</v>
      </c>
      <c r="CS247">
        <f>IF($CN247="refOK",$BT247,$BS247)*IF($BP247="Emissions positive",-1,1)</f>
        <v>-148200</v>
      </c>
      <c r="CT247">
        <f>IF($CN247="refNeedCorrection",-BX247,BX247)*IF($BP247="Emissions positive",-1,1)</f>
        <v>-4800</v>
      </c>
      <c r="CU247">
        <f>IFERROR(CT247/CQ247,"")</f>
        <v>-0.30870000000192938</v>
      </c>
      <c r="CV247" s="2">
        <f>IFERROR((CS247-CR247)/ABS(CR247),"")</f>
        <v>-3.3472803347280332E-2</v>
      </c>
      <c r="CW247" s="1" t="s">
        <v>347</v>
      </c>
      <c r="CX247" t="str">
        <f>IF(OR($CW247="prd",$CW247="std",$CW247="cit"),"loc",IF(OR($CW247="eur",$CW247="reg",$CW247="coy"),"reg",$CW247))</f>
        <v>loc</v>
      </c>
      <c r="CY247" t="s">
        <v>540</v>
      </c>
      <c r="CZ247"/>
      <c r="DA247"/>
      <c r="DB247">
        <v>0</v>
      </c>
      <c r="DC247" t="str">
        <f>IF(DB247=0,"0",IF(AND(DB247&gt;=1,DB247&lt;=30),"1-30",IF(AND(DB247&gt;30,DB247&lt;=70),"31-70",IF(AND(DB247&gt;70,DB247&lt;=100),"71-100",IF(DB247&gt;100,"+100")))))</f>
        <v>0</v>
      </c>
      <c r="DD247">
        <v>0</v>
      </c>
      <c r="DE247">
        <v>1</v>
      </c>
      <c r="DF247">
        <v>0</v>
      </c>
      <c r="DG247">
        <v>0</v>
      </c>
      <c r="DH247"/>
      <c r="DI247">
        <f>SUM(DD247:DG247)</f>
        <v>1</v>
      </c>
      <c r="DJ247" t="str">
        <f>IF(DI247=1,INDEX($DD$7:$DG$7,MATCH(1,$DD247:$DG247,0)),"mixedProduct")</f>
        <v>EnergyInput</v>
      </c>
      <c r="DK247">
        <f>IF(DD247=1,DK$7,0)</f>
        <v>0</v>
      </c>
      <c r="DL247" t="str">
        <f>IF(DE247=1,DL$7,0)</f>
        <v>Energy</v>
      </c>
      <c r="DM247">
        <f>IF(DF247=1,DM$7,0)</f>
        <v>0</v>
      </c>
      <c r="DN247">
        <f>IF(DG247=1,DN$7,0)</f>
        <v>0</v>
      </c>
      <c r="DO247">
        <v>0</v>
      </c>
      <c r="DP247" s="143">
        <v>0</v>
      </c>
      <c r="DQ247" s="143">
        <v>0</v>
      </c>
      <c r="DR247" s="143">
        <v>0</v>
      </c>
      <c r="DS247">
        <v>0</v>
      </c>
      <c r="DT247">
        <f>SUM(DO247:DP247)</f>
        <v>0</v>
      </c>
      <c r="DU247" s="143" t="str">
        <f>IF(DO247=1,"self-calculated DF",IF(DP247=1,"external DF used","explicit C balance"))</f>
        <v>explicit C balance</v>
      </c>
      <c r="DV247">
        <v>0</v>
      </c>
      <c r="DW247" s="143">
        <v>1</v>
      </c>
      <c r="DX247" s="143">
        <v>0</v>
      </c>
      <c r="DY247" s="143">
        <v>0</v>
      </c>
      <c r="DZ247">
        <v>1</v>
      </c>
      <c r="EA247" s="143">
        <v>0</v>
      </c>
      <c r="EB247">
        <v>0</v>
      </c>
      <c r="EC247" s="143">
        <v>1</v>
      </c>
      <c r="ED247" s="143">
        <v>0</v>
      </c>
      <c r="EE247">
        <v>0</v>
      </c>
      <c r="EF247">
        <v>0</v>
      </c>
      <c r="EG247" s="143">
        <v>0</v>
      </c>
      <c r="EH247" s="143">
        <v>0</v>
      </c>
      <c r="EI247" s="2">
        <v>0</v>
      </c>
      <c r="EJ247" s="1"/>
      <c r="EK247" t="str">
        <f>IF(AND(AND(AND(OR($DX247=1,$DW247=1),OR($EC247=1,$EA247=1)),SUM($DV247:$DZ247,$EF247)&gt;=4),SUM($EA247:$EE247)&gt;=2),"Whole sector","")</f>
        <v/>
      </c>
      <c r="EL247" t="str">
        <f>IF(AND(AND(OR($DX247=1,$DW247=1),AND($EC247=0,$EA247=0)),SUM($DV247:$DZ247,$EF247)&gt;=4),"Ecosystem approach","")</f>
        <v/>
      </c>
      <c r="EM247" s="2" t="str">
        <f>IF(AND(AND(AND($DX247=0,$DW247=0),OR($EC247=1,$EA247=1)),SUM($EB247:$EE247)&gt;=2),"Technology approach","")</f>
        <v/>
      </c>
      <c r="EN247"/>
      <c r="EO247"/>
      <c r="EP247" t="str">
        <f>IF(ISNUMBER(BU247),IF(ABS(BU247-[4]QC_indicators!$B$2)&gt;3*[4]QC_indicators!$C$2,"C ratio",IF(ISNUMBER(BY247),IF(ABS(BY247-[4]QC_indicators!$B$1)&gt;3*[4]QC_indicators!$C$1,"DF","no"))),IF(ISNUMBER(BY247),IF(ABS(BY247-[4]QC_indicators!$B$1)&gt;3*[4]QC_indicators!$C$1,"DF","no")))</f>
        <v>no</v>
      </c>
      <c r="EQ247"/>
      <c r="ER247" s="149" t="s">
        <v>349</v>
      </c>
      <c r="ES247"/>
      <c r="ET247" s="264" t="s">
        <v>3273</v>
      </c>
      <c r="EU247"/>
    </row>
    <row r="248" spans="1:151" s="139" customFormat="1" ht="15" customHeight="1">
      <c r="A248" s="1" t="s">
        <v>505</v>
      </c>
      <c r="B248" t="s">
        <v>528</v>
      </c>
      <c r="C248" t="s">
        <v>529</v>
      </c>
      <c r="D248" t="s">
        <v>530</v>
      </c>
      <c r="E248" t="s">
        <v>531</v>
      </c>
      <c r="F248" t="s">
        <v>532</v>
      </c>
      <c r="G248" t="s">
        <v>511</v>
      </c>
      <c r="H248" t="s">
        <v>254</v>
      </c>
      <c r="I248">
        <v>2015</v>
      </c>
      <c r="J248">
        <v>31</v>
      </c>
      <c r="K248" t="s">
        <v>533</v>
      </c>
      <c r="L248"/>
      <c r="M248" t="str">
        <f>LEFT($D248,FIND(",",$D248)-1)&amp;"_"&amp;I248&amp;L248</f>
        <v>Cambero_2015</v>
      </c>
      <c r="N248" t="s">
        <v>222</v>
      </c>
      <c r="O248" s="145" t="s">
        <v>223</v>
      </c>
      <c r="P248"/>
      <c r="Q248" t="s">
        <v>256</v>
      </c>
      <c r="R248" s="255" t="s">
        <v>225</v>
      </c>
      <c r="S248" s="1" t="s">
        <v>534</v>
      </c>
      <c r="T248" t="s">
        <v>535</v>
      </c>
      <c r="U248" t="s">
        <v>543</v>
      </c>
      <c r="V248">
        <v>0</v>
      </c>
      <c r="W248">
        <v>0</v>
      </c>
      <c r="X248">
        <v>0</v>
      </c>
      <c r="Y248">
        <v>0</v>
      </c>
      <c r="Z248">
        <v>0</v>
      </c>
      <c r="AA248">
        <v>0</v>
      </c>
      <c r="AB248">
        <v>0</v>
      </c>
      <c r="AC248">
        <v>0</v>
      </c>
      <c r="AD248">
        <v>0</v>
      </c>
      <c r="AE248">
        <v>0</v>
      </c>
      <c r="AF248">
        <v>0</v>
      </c>
      <c r="AG248">
        <v>0</v>
      </c>
      <c r="AH248">
        <v>0</v>
      </c>
      <c r="AI248">
        <v>0</v>
      </c>
      <c r="AJ248">
        <v>0</v>
      </c>
      <c r="AK248">
        <v>1</v>
      </c>
      <c r="AL248">
        <v>0</v>
      </c>
      <c r="AM248">
        <v>0</v>
      </c>
      <c r="AN248">
        <v>0</v>
      </c>
      <c r="AO248">
        <v>0</v>
      </c>
      <c r="AP248">
        <v>0</v>
      </c>
      <c r="AQ248">
        <v>0</v>
      </c>
      <c r="AR248">
        <v>0</v>
      </c>
      <c r="AS248">
        <v>0</v>
      </c>
      <c r="AT248">
        <v>0</v>
      </c>
      <c r="AU248">
        <v>0</v>
      </c>
      <c r="AV248">
        <v>0</v>
      </c>
      <c r="AW248">
        <v>0</v>
      </c>
      <c r="AX248" s="141">
        <f>COUNTIF(V248:AW248,"&lt;&gt;0")</f>
        <v>1</v>
      </c>
      <c r="AY248" s="141">
        <f>COUNTIF(V248:AL248,"&lt;&gt;0")</f>
        <v>1</v>
      </c>
      <c r="AZ248">
        <f>COUNTIF(V248:AC248,"&lt;&gt;0")</f>
        <v>0</v>
      </c>
      <c r="BA248">
        <f>COUNTIF(AD248:AI248,"&lt;&gt;0")</f>
        <v>0</v>
      </c>
      <c r="BB248">
        <f>COUNTIF(AJ248:AL248,"&lt;&gt;0")</f>
        <v>1</v>
      </c>
      <c r="BC248">
        <f>COUNTIF(AS248:AW248,"&lt;&gt;0")</f>
        <v>0</v>
      </c>
      <c r="BD248">
        <f>COUNTIF(AM248:AR248,"&lt;&gt;0")</f>
        <v>0</v>
      </c>
      <c r="BE248" t="str">
        <f t="array" ref="BE248">IF(AY248=1,INDEX($V$7:$AL$7,MATCH(TRUE,INDEX($V248:$AW248&lt;&gt;0,),0)),IF(AY248=0,INDEX($AM$7:$AW$7,MATCH(1,$AM248:$AW248,0)),IF(BF248="Multiple strategies","mixed drivers",IF(BF248="Supply chain","multiple supply","multiple silviculture"))))</f>
        <v>technologies/design switch</v>
      </c>
      <c r="BF248" s="2" t="str" cm="1">
        <f t="array" ref="BF248">IF(COUNTIF(AZ248:BB248,"&lt;&gt;0")=1,INDEX($V$4:$AW$4,MATCH(TRUE,INDEX($V248:$AW248&lt;&gt;0,),0)),IF(COUNTIF(AZ248:BB248,"&lt;&gt;0")=0,INDEX($AM$4:$AW$4,MATCH(1,$AM248:$AW248,0)),"Multiple strategies"))</f>
        <v>Technology</v>
      </c>
      <c r="BG248" s="1" t="s">
        <v>229</v>
      </c>
      <c r="BH248" t="s">
        <v>537</v>
      </c>
      <c r="BI248" s="260" t="s">
        <v>3284</v>
      </c>
      <c r="BJ248" t="s">
        <v>538</v>
      </c>
      <c r="BK248">
        <v>0</v>
      </c>
      <c r="BL248">
        <v>6530.6122450000003</v>
      </c>
      <c r="BM248"/>
      <c r="BN248">
        <f>BL248-BK248</f>
        <v>6530.6122450000003</v>
      </c>
      <c r="BO248">
        <f>BN248*t_to_m3</f>
        <v>13327.780091836736</v>
      </c>
      <c r="BP248" t="s">
        <v>232</v>
      </c>
      <c r="BQ248" s="300" t="s">
        <v>3285</v>
      </c>
      <c r="BR248" t="s">
        <v>539</v>
      </c>
      <c r="BS248">
        <v>-143400</v>
      </c>
      <c r="BT248">
        <v>-147500</v>
      </c>
      <c r="BU248" s="144">
        <v>1.0285913528591353</v>
      </c>
      <c r="BV248">
        <v>-4100</v>
      </c>
      <c r="BW248"/>
      <c r="BX248">
        <f>BV248</f>
        <v>-4100</v>
      </c>
      <c r="BY248">
        <f>IFERROR(BX248/BO248,"")</f>
        <v>-0.30762812499519326</v>
      </c>
      <c r="BZ248" s="143">
        <v>0</v>
      </c>
      <c r="CA248" s="143">
        <v>0</v>
      </c>
      <c r="CB248" s="143">
        <v>0</v>
      </c>
      <c r="CC248" s="143">
        <v>0</v>
      </c>
      <c r="CD248" s="143">
        <v>0</v>
      </c>
      <c r="CE248" s="143">
        <v>0</v>
      </c>
      <c r="CF248" s="143">
        <v>0</v>
      </c>
      <c r="CG248" s="143">
        <v>0</v>
      </c>
      <c r="CH248" s="143">
        <v>0</v>
      </c>
      <c r="CI248" s="143">
        <v>0</v>
      </c>
      <c r="CJ248" s="143">
        <v>0</v>
      </c>
      <c r="CK248" s="143">
        <v>0</v>
      </c>
      <c r="CL248" s="143">
        <v>0</v>
      </c>
      <c r="CM248">
        <v>1</v>
      </c>
      <c r="CN248" t="str">
        <f>IF($BL248&lt;$BK248,"refNeedCorrection","refOK")</f>
        <v>refOK</v>
      </c>
      <c r="CO248">
        <f>IF($CN248="refNeedCorrection",BL248,BK248)</f>
        <v>0</v>
      </c>
      <c r="CP248">
        <f>IF($CN248="refNeedCorrection",BK248,BL248)</f>
        <v>6530.6122450000003</v>
      </c>
      <c r="CQ248">
        <f>IF($CN248="refOK",$BO248,-$BO248)</f>
        <v>13327.780091836736</v>
      </c>
      <c r="CR248">
        <f>IF($CN248="refOK",$BS248,$BT248)*IF($BP248="Emissions positive",-1,1)</f>
        <v>-143400</v>
      </c>
      <c r="CS248">
        <f>IF($CN248="refOK",$BT248,$BS248)*IF($BP248="Emissions positive",-1,1)</f>
        <v>-147500</v>
      </c>
      <c r="CT248">
        <f>IF($CN248="refNeedCorrection",-BX248,BX248)*IF($BP248="Emissions positive",-1,1)</f>
        <v>-4100</v>
      </c>
      <c r="CU248">
        <f>IFERROR(CT248/CQ248,"")</f>
        <v>-0.30762812499519326</v>
      </c>
      <c r="CV248" s="2">
        <f>IFERROR((CS248-CR248)/ABS(CR248),"")</f>
        <v>-2.8591352859135284E-2</v>
      </c>
      <c r="CW248" s="1" t="s">
        <v>347</v>
      </c>
      <c r="CX248" t="str">
        <f>IF(OR($CW248="prd",$CW248="std",$CW248="cit"),"loc",IF(OR($CW248="eur",$CW248="reg",$CW248="coy"),"reg",$CW248))</f>
        <v>loc</v>
      </c>
      <c r="CY248" t="s">
        <v>540</v>
      </c>
      <c r="CZ248"/>
      <c r="DA248"/>
      <c r="DB248">
        <v>0</v>
      </c>
      <c r="DC248" t="str">
        <f>IF(DB248=0,"0",IF(AND(DB248&gt;=1,DB248&lt;=30),"1-30",IF(AND(DB248&gt;30,DB248&lt;=70),"31-70",IF(AND(DB248&gt;70,DB248&lt;=100),"71-100",IF(DB248&gt;100,"+100")))))</f>
        <v>0</v>
      </c>
      <c r="DD248">
        <v>0</v>
      </c>
      <c r="DE248">
        <v>1</v>
      </c>
      <c r="DF248">
        <v>0</v>
      </c>
      <c r="DG248">
        <v>0</v>
      </c>
      <c r="DH248"/>
      <c r="DI248">
        <f>SUM(DD248:DG248)</f>
        <v>1</v>
      </c>
      <c r="DJ248" t="str">
        <f>IF(DI248=1,INDEX($DD$7:$DG$7,MATCH(1,$DD248:$DG248,0)),"mixedProduct")</f>
        <v>EnergyInput</v>
      </c>
      <c r="DK248">
        <f>IF(DD248=1,DK$7,0)</f>
        <v>0</v>
      </c>
      <c r="DL248" t="str">
        <f>IF(DE248=1,DL$7,0)</f>
        <v>Energy</v>
      </c>
      <c r="DM248">
        <f>IF(DF248=1,DM$7,0)</f>
        <v>0</v>
      </c>
      <c r="DN248">
        <f>IF(DG248=1,DN$7,0)</f>
        <v>0</v>
      </c>
      <c r="DO248">
        <v>0</v>
      </c>
      <c r="DP248" s="143">
        <v>0</v>
      </c>
      <c r="DQ248" s="143">
        <v>0</v>
      </c>
      <c r="DR248" s="143">
        <v>0</v>
      </c>
      <c r="DS248">
        <v>0</v>
      </c>
      <c r="DT248">
        <f>SUM(DO248:DP248)</f>
        <v>0</v>
      </c>
      <c r="DU248" s="143" t="str">
        <f>IF(DO248=1,"self-calculated DF",IF(DP248=1,"external DF used","explicit C balance"))</f>
        <v>explicit C balance</v>
      </c>
      <c r="DV248">
        <v>0</v>
      </c>
      <c r="DW248" s="143">
        <v>1</v>
      </c>
      <c r="DX248" s="143">
        <v>0</v>
      </c>
      <c r="DY248" s="143">
        <v>0</v>
      </c>
      <c r="DZ248">
        <v>1</v>
      </c>
      <c r="EA248" s="143">
        <v>0</v>
      </c>
      <c r="EB248">
        <v>0</v>
      </c>
      <c r="EC248" s="143">
        <v>1</v>
      </c>
      <c r="ED248" s="143">
        <v>0</v>
      </c>
      <c r="EE248">
        <v>0</v>
      </c>
      <c r="EF248">
        <v>0</v>
      </c>
      <c r="EG248" s="143">
        <v>0</v>
      </c>
      <c r="EH248" s="143">
        <v>0</v>
      </c>
      <c r="EI248" s="2">
        <v>0</v>
      </c>
      <c r="EJ248" s="1"/>
      <c r="EK248" t="str">
        <f>IF(AND(AND(AND(OR($DX248=1,$DW248=1),OR($EC248=1,$EA248=1)),SUM($DV248:$DZ248,$EF248)&gt;=4),SUM($EA248:$EE248)&gt;=2),"Whole sector","")</f>
        <v/>
      </c>
      <c r="EL248" t="str">
        <f>IF(AND(AND(OR($DX248=1,$DW248=1),AND($EC248=0,$EA248=0)),SUM($DV248:$DZ248,$EF248)&gt;=4),"Ecosystem approach","")</f>
        <v/>
      </c>
      <c r="EM248" s="2" t="str">
        <f>IF(AND(AND(AND($DX248=0,$DW248=0),OR($EC248=1,$EA248=1)),SUM($EB248:$EE248)&gt;=2),"Technology approach","")</f>
        <v/>
      </c>
      <c r="EN248"/>
      <c r="EO248"/>
      <c r="EP248" t="str">
        <f>IF(ISNUMBER(BU248),IF(ABS(BU248-[4]QC_indicators!$B$2)&gt;3*[4]QC_indicators!$C$2,"C ratio",IF(ISNUMBER(BY248),IF(ABS(BY248-[4]QC_indicators!$B$1)&gt;3*[4]QC_indicators!$C$1,"DF","no"))),IF(ISNUMBER(BY248),IF(ABS(BY248-[4]QC_indicators!$B$1)&gt;3*[4]QC_indicators!$C$1,"DF","no")))</f>
        <v>no</v>
      </c>
      <c r="EQ248"/>
      <c r="ER248" s="149" t="s">
        <v>349</v>
      </c>
      <c r="ES248"/>
      <c r="ET248" s="264" t="s">
        <v>3273</v>
      </c>
      <c r="EU248"/>
    </row>
    <row r="249" spans="1:151" s="139" customFormat="1" ht="15" customHeight="1">
      <c r="A249" s="1" t="s">
        <v>1808</v>
      </c>
      <c r="B249" t="s">
        <v>2475</v>
      </c>
      <c r="C249" t="s">
        <v>2476</v>
      </c>
      <c r="D249" t="s">
        <v>2477</v>
      </c>
      <c r="E249" t="s">
        <v>2478</v>
      </c>
      <c r="F249" t="s">
        <v>2479</v>
      </c>
      <c r="G249" t="s">
        <v>1814</v>
      </c>
      <c r="H249" t="s">
        <v>254</v>
      </c>
      <c r="I249">
        <v>2010</v>
      </c>
      <c r="J249">
        <v>100</v>
      </c>
      <c r="K249" t="s">
        <v>2480</v>
      </c>
      <c r="L249"/>
      <c r="M249" t="str">
        <f>LEFT($D249,FIND(",",$D249)-1)&amp;"_"&amp;I249&amp;L249</f>
        <v>Werner_2010</v>
      </c>
      <c r="N249" t="s">
        <v>222</v>
      </c>
      <c r="O249" s="145" t="s">
        <v>1154</v>
      </c>
      <c r="P249"/>
      <c r="Q249" t="s">
        <v>256</v>
      </c>
      <c r="R249" s="262" t="s">
        <v>223</v>
      </c>
      <c r="S249" s="1" t="s">
        <v>2481</v>
      </c>
      <c r="T249" t="s">
        <v>2482</v>
      </c>
      <c r="U249" t="s">
        <v>2486</v>
      </c>
      <c r="V249">
        <v>1</v>
      </c>
      <c r="W249">
        <v>0</v>
      </c>
      <c r="X249">
        <v>2</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s="141">
        <f>COUNTIF(V249:AW249,"&lt;&gt;0")</f>
        <v>2</v>
      </c>
      <c r="AY249" s="141">
        <f>COUNTIF(V249:AL249,"&lt;&gt;0")</f>
        <v>2</v>
      </c>
      <c r="AZ249">
        <f>COUNTIF(V249:AC249,"&lt;&gt;0")</f>
        <v>2</v>
      </c>
      <c r="BA249">
        <f>COUNTIF(AD249:AI249,"&lt;&gt;0")</f>
        <v>0</v>
      </c>
      <c r="BB249">
        <f>COUNTIF(AJ249:AL249,"&lt;&gt;0")</f>
        <v>0</v>
      </c>
      <c r="BC249">
        <f>COUNTIF(AS249:AW249,"&lt;&gt;0")</f>
        <v>0</v>
      </c>
      <c r="BD249">
        <f>COUNTIF(AM249:AR249,"&lt;&gt;0")</f>
        <v>0</v>
      </c>
      <c r="BE249" t="str">
        <f t="array" ref="BE249">IF(AY249=1,INDEX($V$7:$AL$7,MATCH(TRUE,INDEX($V249:$AW249&lt;&gt;0,),0)),IF(AY249=0,INDEX($AM$7:$AW$7,MATCH(1,$AM249:$AW249,0)),IF(BF249="Multiple strategies","mixed drivers",IF(BF249="Supply chain","multiple supply","multiple silviculture"))))</f>
        <v>multiple silviculture</v>
      </c>
      <c r="BF249" s="2" t="str" cm="1">
        <f t="array" ref="BF249">IF(COUNTIF(AZ249:BB249,"&lt;&gt;0")=1,INDEX($V$4:$AW$4,MATCH(TRUE,INDEX($V249:$AW249&lt;&gt;0,),0)),IF(COUNTIF(AZ249:BB249,"&lt;&gt;0")=0,INDEX($AM$4:$AW$4,MATCH(1,$AM249:$AW249,0)),"Multiple strategies"))</f>
        <v>Silviculture for removals</v>
      </c>
      <c r="BG249" s="1" t="s">
        <v>321</v>
      </c>
      <c r="BH249" t="s">
        <v>2453</v>
      </c>
      <c r="BI249" s="264" t="s">
        <v>3252</v>
      </c>
      <c r="BJ249" t="s">
        <v>1323</v>
      </c>
      <c r="BK249">
        <v>300</v>
      </c>
      <c r="BL249">
        <v>712.5</v>
      </c>
      <c r="BM249" s="143">
        <f>BL249/BK249</f>
        <v>2.375</v>
      </c>
      <c r="BN249">
        <f>BL249-BK249</f>
        <v>412.5</v>
      </c>
      <c r="BO249">
        <f>BN249*10^6</f>
        <v>412500000</v>
      </c>
      <c r="BP249" t="s">
        <v>232</v>
      </c>
      <c r="BQ249" s="303" t="s">
        <v>3253</v>
      </c>
      <c r="BR249" t="s">
        <v>2325</v>
      </c>
      <c r="BS249">
        <v>345.6503741652154</v>
      </c>
      <c r="BT249">
        <v>219.15744142171502</v>
      </c>
      <c r="BU249" s="144">
        <f>IFERROR(BT249/BS249,"")</f>
        <v>0.63404369791586346</v>
      </c>
      <c r="BV249" s="144">
        <f>BT249-BS249</f>
        <v>-126.49293274350038</v>
      </c>
      <c r="BW249" s="144"/>
      <c r="BX249">
        <f>BV249*10^6</f>
        <v>-126492932.74350038</v>
      </c>
      <c r="BY249">
        <f>IFERROR(BX249/BO249,"")</f>
        <v>-0.30664953392363731</v>
      </c>
      <c r="BZ249">
        <v>0</v>
      </c>
      <c r="CA249">
        <v>0</v>
      </c>
      <c r="CB249">
        <v>0</v>
      </c>
      <c r="CC249">
        <v>0</v>
      </c>
      <c r="CD249">
        <v>0</v>
      </c>
      <c r="CE249">
        <v>0</v>
      </c>
      <c r="CF249">
        <v>0</v>
      </c>
      <c r="CG249">
        <v>0</v>
      </c>
      <c r="CH249">
        <v>0</v>
      </c>
      <c r="CI249">
        <v>0</v>
      </c>
      <c r="CJ249">
        <v>0</v>
      </c>
      <c r="CK249">
        <v>0</v>
      </c>
      <c r="CL249">
        <v>0</v>
      </c>
      <c r="CM249">
        <v>1</v>
      </c>
      <c r="CN249" t="str">
        <f>IF($BL249&lt;$BK249,"refNeedCorrection","refOK")</f>
        <v>refOK</v>
      </c>
      <c r="CO249">
        <f>IF($CN249="refNeedCorrection",BL249,BK249)</f>
        <v>300</v>
      </c>
      <c r="CP249">
        <f>IF($CN249="refNeedCorrection",BK249,BL249)</f>
        <v>712.5</v>
      </c>
      <c r="CQ249">
        <f>IF($CN249="refOK",$BO249,-$BO249)</f>
        <v>412500000</v>
      </c>
      <c r="CR249">
        <f>IF($CN249="refOK",$BS249,$BT249)*IF($BP249="Emissions positive",-1,1)</f>
        <v>345.6503741652154</v>
      </c>
      <c r="CS249">
        <f>IF($CN249="refOK",$BT249,$BS249)*IF($BP249="Emissions positive",-1,1)</f>
        <v>219.15744142171502</v>
      </c>
      <c r="CT249">
        <f>IF($CN249="refNeedCorrection",-BX249,BX249)*IF($BP249="Emissions positive",-1,1)</f>
        <v>-126492932.74350038</v>
      </c>
      <c r="CU249">
        <f>IFERROR(CT249/CQ249,"")</f>
        <v>-0.30664953392363731</v>
      </c>
      <c r="CV249" s="2">
        <f>IFERROR((CS249-CR249)/ABS(CR249),"")</f>
        <v>-0.36595630208413649</v>
      </c>
      <c r="CW249" s="1" t="s">
        <v>1203</v>
      </c>
      <c r="CX249" t="str">
        <f>IF(OR($CW249="prd",$CW249="std",$CW249="cit"),"loc",IF(OR($CW249="eur",$CW249="reg",$CW249="coy"),"reg",$CW249))</f>
        <v>reg</v>
      </c>
      <c r="CY249" t="s">
        <v>639</v>
      </c>
      <c r="CZ249">
        <v>2000</v>
      </c>
      <c r="DA249">
        <v>2090</v>
      </c>
      <c r="DB249">
        <f>DA249-CZ249</f>
        <v>90</v>
      </c>
      <c r="DC249" t="str">
        <f>IF(DB249=0,"0",IF(AND(DB249&gt;=1,DB249&lt;=30),"1-30",IF(AND(DB249&gt;30,DB249&lt;=70),"31-70",IF(AND(DB249&gt;70,DB249&lt;=100),"71-100",IF(DB249&gt;100,"+100")))))</f>
        <v>71-100</v>
      </c>
      <c r="DD249">
        <v>1</v>
      </c>
      <c r="DE249">
        <v>0</v>
      </c>
      <c r="DF249">
        <v>0</v>
      </c>
      <c r="DG249">
        <v>0</v>
      </c>
      <c r="DH249">
        <v>0</v>
      </c>
      <c r="DI249">
        <f>SUM(DD249:DG249)</f>
        <v>1</v>
      </c>
      <c r="DJ249" t="str">
        <f>IF(DI249=1,INDEX($DD$7:$DG$7,MATCH(1,$DD249:$DG249,0)),"mixedProduct")</f>
        <v>UpstreamInput</v>
      </c>
      <c r="DK249" t="str">
        <f>IF(DD249=1,DK$7,0)</f>
        <v>Upstream</v>
      </c>
      <c r="DL249">
        <f>IF(DE249=1,DL$7,0)</f>
        <v>0</v>
      </c>
      <c r="DM249">
        <f>IF(DF249=1,DM$7,0)</f>
        <v>0</v>
      </c>
      <c r="DN249">
        <f>IF(DG249=1,DN$7,0)</f>
        <v>0</v>
      </c>
      <c r="DO249">
        <v>0</v>
      </c>
      <c r="DP249">
        <v>0</v>
      </c>
      <c r="DQ249"/>
      <c r="DR249"/>
      <c r="DS249"/>
      <c r="DT249">
        <f>SUM(DO249:DP249)</f>
        <v>0</v>
      </c>
      <c r="DU249" s="143" t="str">
        <f>IF(DO249=1,"self-calculated DF",IF(DP249=1,"external DF used","explicit C balance"))</f>
        <v>explicit C balance</v>
      </c>
      <c r="DV249">
        <v>1</v>
      </c>
      <c r="DW249">
        <v>1</v>
      </c>
      <c r="DX249">
        <v>1</v>
      </c>
      <c r="DY249">
        <v>1</v>
      </c>
      <c r="DZ249">
        <v>0</v>
      </c>
      <c r="EA249" s="143">
        <v>0</v>
      </c>
      <c r="EB249">
        <v>0</v>
      </c>
      <c r="EC249">
        <v>0</v>
      </c>
      <c r="ED249">
        <v>0</v>
      </c>
      <c r="EE249">
        <v>0</v>
      </c>
      <c r="EF249">
        <v>1</v>
      </c>
      <c r="EG249">
        <v>0</v>
      </c>
      <c r="EH249">
        <v>0</v>
      </c>
      <c r="EI249" s="2">
        <v>0</v>
      </c>
      <c r="EJ249" s="1"/>
      <c r="EK249" t="str">
        <f>IF(AND(AND(AND(OR($DX249=1,$DW249=1),OR($EC249=1,$EA249=1)),SUM($DV249:$DZ249,$EF249)&gt;=4),SUM($EA249:$EE249)&gt;=2),"Whole sector","")</f>
        <v/>
      </c>
      <c r="EL249" t="str">
        <f>IF(AND(AND(OR($DX249=1,$DW249=1),AND($EC249=0,$EA249=0)),SUM($DV249:$DZ249,$EF249)&gt;=4),"Ecosystem approach","")</f>
        <v>Ecosystem approach</v>
      </c>
      <c r="EM249" s="2" t="str">
        <f>IF(AND(AND(AND($DX249=0,$DW249=0),OR($EC249=1,$EA249=1)),SUM($EB249:$EE249)&gt;=2),"Technology approach","")</f>
        <v/>
      </c>
      <c r="EN249" t="s">
        <v>2485</v>
      </c>
      <c r="EO249"/>
      <c r="EP249" t="str">
        <f>IF(ISNUMBER(BU249),IF(ABS(BU249-[1]QC_indicators!$B$2)&gt;3*[1]QC_indicators!$C$2,"C ratio",IF(ISNUMBER(BY249),IF(ABS(BY249-[1]QC_indicators!$B$1)&gt;3*[1]QC_indicators!$C$1,"DF","no"))),IF(ISNUMBER(BY249),IF(ABS(BY249-[1]QC_indicators!$B$1)&gt;3*[1]QC_indicators!$C$1,"DF","no")))</f>
        <v>no</v>
      </c>
      <c r="EQ249"/>
      <c r="ER249"/>
      <c r="ES249"/>
      <c r="ET249" s="264" t="s">
        <v>3254</v>
      </c>
      <c r="EU249"/>
    </row>
    <row r="250" spans="1:151" s="139" customFormat="1" ht="15" customHeight="1">
      <c r="A250" s="1" t="s">
        <v>1808</v>
      </c>
      <c r="B250" t="s">
        <v>2475</v>
      </c>
      <c r="C250" t="s">
        <v>2476</v>
      </c>
      <c r="D250" t="s">
        <v>2477</v>
      </c>
      <c r="E250" t="s">
        <v>2478</v>
      </c>
      <c r="F250" t="s">
        <v>2479</v>
      </c>
      <c r="G250" t="s">
        <v>1814</v>
      </c>
      <c r="H250" t="s">
        <v>254</v>
      </c>
      <c r="I250">
        <v>2010</v>
      </c>
      <c r="J250">
        <v>100</v>
      </c>
      <c r="K250" t="s">
        <v>2480</v>
      </c>
      <c r="L250"/>
      <c r="M250" t="str">
        <f>LEFT($D250,FIND(",",$D250)-1)&amp;"_"&amp;I250&amp;L250</f>
        <v>Werner_2010</v>
      </c>
      <c r="N250" t="s">
        <v>222</v>
      </c>
      <c r="O250" s="145" t="s">
        <v>1154</v>
      </c>
      <c r="P250"/>
      <c r="Q250" t="s">
        <v>256</v>
      </c>
      <c r="R250" s="262" t="s">
        <v>223</v>
      </c>
      <c r="S250" s="1" t="s">
        <v>2481</v>
      </c>
      <c r="T250" t="s">
        <v>2482</v>
      </c>
      <c r="U250" t="s">
        <v>1155</v>
      </c>
      <c r="V250">
        <v>1</v>
      </c>
      <c r="W250">
        <v>0</v>
      </c>
      <c r="X250">
        <v>2</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s="141">
        <f>COUNTIF(V250:AW250,"&lt;&gt;0")</f>
        <v>2</v>
      </c>
      <c r="AY250" s="141">
        <f>COUNTIF(V250:AL250,"&lt;&gt;0")</f>
        <v>2</v>
      </c>
      <c r="AZ250">
        <f>COUNTIF(V250:AC250,"&lt;&gt;0")</f>
        <v>2</v>
      </c>
      <c r="BA250">
        <f>COUNTIF(AD250:AI250,"&lt;&gt;0")</f>
        <v>0</v>
      </c>
      <c r="BB250">
        <f>COUNTIF(AJ250:AL250,"&lt;&gt;0")</f>
        <v>0</v>
      </c>
      <c r="BC250">
        <f>COUNTIF(AS250:AW250,"&lt;&gt;0")</f>
        <v>0</v>
      </c>
      <c r="BD250">
        <f>COUNTIF(AM250:AR250,"&lt;&gt;0")</f>
        <v>0</v>
      </c>
      <c r="BE250" t="str">
        <f t="array" ref="BE250">IF(AY250=1,INDEX($V$7:$AL$7,MATCH(TRUE,INDEX($V250:$AW250&lt;&gt;0,),0)),IF(AY250=0,INDEX($AM$7:$AW$7,MATCH(1,$AM250:$AW250,0)),IF(BF250="Multiple strategies","mixed drivers",IF(BF250="Supply chain","multiple supply","multiple silviculture"))))</f>
        <v>multiple silviculture</v>
      </c>
      <c r="BF250" s="2" t="str" cm="1">
        <f t="array" ref="BF250">IF(COUNTIF(AZ250:BB250,"&lt;&gt;0")=1,INDEX($V$4:$AW$4,MATCH(TRUE,INDEX($V250:$AW250&lt;&gt;0,),0)),IF(COUNTIF(AZ250:BB250,"&lt;&gt;0")=0,INDEX($AM$4:$AW$4,MATCH(1,$AM250:$AW250,0)),"Multiple strategies"))</f>
        <v>Silviculture for removals</v>
      </c>
      <c r="BG250" s="1" t="s">
        <v>321</v>
      </c>
      <c r="BH250" t="s">
        <v>2453</v>
      </c>
      <c r="BI250" s="264" t="s">
        <v>3252</v>
      </c>
      <c r="BJ250" t="s">
        <v>1323</v>
      </c>
      <c r="BK250">
        <v>300</v>
      </c>
      <c r="BL250">
        <v>517.5</v>
      </c>
      <c r="BM250" s="143">
        <f>BL250/BK250</f>
        <v>1.7250000000000001</v>
      </c>
      <c r="BN250">
        <f>BL250-BK250</f>
        <v>217.5</v>
      </c>
      <c r="BO250">
        <f>BN250*1000000</f>
        <v>217500000</v>
      </c>
      <c r="BP250" t="s">
        <v>232</v>
      </c>
      <c r="BQ250" s="303" t="s">
        <v>3253</v>
      </c>
      <c r="BR250" t="s">
        <v>2325</v>
      </c>
      <c r="BS250">
        <v>728.49390504704797</v>
      </c>
      <c r="BT250">
        <v>662.23802395209498</v>
      </c>
      <c r="BU250" s="144">
        <f>IFERROR(BT250/BS250,"")</f>
        <v>0.90905087793332462</v>
      </c>
      <c r="BV250" s="144">
        <f>BT250-BS250</f>
        <v>-66.255881094952997</v>
      </c>
      <c r="BW250" s="144"/>
      <c r="BX250">
        <f>BV250*10^6</f>
        <v>-66255881.094953001</v>
      </c>
      <c r="BY250">
        <f>IFERROR(BX250/BO250,"")</f>
        <v>-0.30462474066645057</v>
      </c>
      <c r="BZ250">
        <v>0</v>
      </c>
      <c r="CA250">
        <v>0</v>
      </c>
      <c r="CB250">
        <v>0</v>
      </c>
      <c r="CC250">
        <v>0</v>
      </c>
      <c r="CD250">
        <v>0</v>
      </c>
      <c r="CE250">
        <v>0</v>
      </c>
      <c r="CF250">
        <v>0</v>
      </c>
      <c r="CG250">
        <v>0</v>
      </c>
      <c r="CH250">
        <v>0</v>
      </c>
      <c r="CI250">
        <v>0</v>
      </c>
      <c r="CJ250">
        <v>0</v>
      </c>
      <c r="CK250">
        <v>0</v>
      </c>
      <c r="CL250">
        <v>0</v>
      </c>
      <c r="CM250">
        <v>1</v>
      </c>
      <c r="CN250" t="str">
        <f>IF($BL250&lt;$BK250,"refNeedCorrection","refOK")</f>
        <v>refOK</v>
      </c>
      <c r="CO250">
        <f>IF($CN250="refNeedCorrection",BL250,BK250)</f>
        <v>300</v>
      </c>
      <c r="CP250">
        <f>IF($CN250="refNeedCorrection",BK250,BL250)</f>
        <v>517.5</v>
      </c>
      <c r="CQ250">
        <f>IF($CN250="refOK",$BO250,-$BO250)</f>
        <v>217500000</v>
      </c>
      <c r="CR250">
        <f>IF($CN250="refOK",$BS250,$BT250)*IF($BP250="Emissions positive",-1,1)</f>
        <v>728.49390504704797</v>
      </c>
      <c r="CS250">
        <f>IF($CN250="refOK",$BT250,$BS250)*IF($BP250="Emissions positive",-1,1)</f>
        <v>662.23802395209498</v>
      </c>
      <c r="CT250">
        <f>IF($CN250="refNeedCorrection",-BX250,BX250)*IF($BP250="Emissions positive",-1,1)</f>
        <v>-66255881.094953001</v>
      </c>
      <c r="CU250">
        <f>IFERROR(CT250/CQ250,"")</f>
        <v>-0.30462474066645057</v>
      </c>
      <c r="CV250" s="2">
        <f>IFERROR((CS250-CR250)/ABS(CR250),"")</f>
        <v>-9.0949122066675395E-2</v>
      </c>
      <c r="CW250" s="1" t="s">
        <v>1203</v>
      </c>
      <c r="CX250" t="str">
        <f>IF(OR($CW250="prd",$CW250="std",$CW250="cit"),"loc",IF(OR($CW250="eur",$CW250="reg",$CW250="coy"),"reg",$CW250))</f>
        <v>reg</v>
      </c>
      <c r="CY250" t="s">
        <v>639</v>
      </c>
      <c r="CZ250">
        <v>2000</v>
      </c>
      <c r="DA250">
        <v>2090</v>
      </c>
      <c r="DB250">
        <f>DA250-CZ250</f>
        <v>90</v>
      </c>
      <c r="DC250" t="str">
        <f>IF(DB250=0,"0",IF(AND(DB250&gt;=1,DB250&lt;=30),"1-30",IF(AND(DB250&gt;30,DB250&lt;=70),"31-70",IF(AND(DB250&gt;70,DB250&lt;=100),"71-100",IF(DB250&gt;100,"+100")))))</f>
        <v>71-100</v>
      </c>
      <c r="DD250">
        <v>1</v>
      </c>
      <c r="DE250">
        <v>1</v>
      </c>
      <c r="DF250">
        <v>1</v>
      </c>
      <c r="DG250">
        <v>1</v>
      </c>
      <c r="DH250">
        <v>0</v>
      </c>
      <c r="DI250">
        <f>SUM(DD250:DG250)</f>
        <v>4</v>
      </c>
      <c r="DJ250" t="str">
        <f>IF(DI250=1,INDEX($DD$7:$DG$7,MATCH(1,$DD250:$DG250,0)),"mixedProduct")</f>
        <v>mixedProduct</v>
      </c>
      <c r="DK250" t="str">
        <f>IF(DD250=1,DK$7,0)</f>
        <v>Upstream</v>
      </c>
      <c r="DL250" t="str">
        <f>IF(DE250=1,DL$7,0)</f>
        <v>Energy</v>
      </c>
      <c r="DM250" t="str">
        <f>IF(DF250=1,DM$7,0)</f>
        <v>Pulp/Paper</v>
      </c>
      <c r="DN250" t="str">
        <f>IF(DG250=1,DN$7,0)</f>
        <v>Timber</v>
      </c>
      <c r="DO250">
        <v>0</v>
      </c>
      <c r="DP250">
        <v>1</v>
      </c>
      <c r="DQ250" t="s">
        <v>2483</v>
      </c>
      <c r="DR250" t="s">
        <v>2484</v>
      </c>
      <c r="DS250"/>
      <c r="DT250">
        <f>SUM(DO250:DP250)</f>
        <v>1</v>
      </c>
      <c r="DU250" s="143" t="str">
        <f>IF(DO250=1,"self-calculated DF",IF(DP250=1,"external DF used","explicit C balance"))</f>
        <v>external DF used</v>
      </c>
      <c r="DV250">
        <v>1</v>
      </c>
      <c r="DW250">
        <v>1</v>
      </c>
      <c r="DX250">
        <v>1</v>
      </c>
      <c r="DY250">
        <v>1</v>
      </c>
      <c r="DZ250">
        <v>1</v>
      </c>
      <c r="EA250" s="143">
        <v>1</v>
      </c>
      <c r="EB250">
        <v>1</v>
      </c>
      <c r="EC250">
        <v>1</v>
      </c>
      <c r="ED250">
        <v>0</v>
      </c>
      <c r="EE250">
        <v>0</v>
      </c>
      <c r="EF250">
        <v>1</v>
      </c>
      <c r="EG250">
        <v>0</v>
      </c>
      <c r="EH250">
        <v>0</v>
      </c>
      <c r="EI250" s="2">
        <v>0</v>
      </c>
      <c r="EJ250" s="1"/>
      <c r="EK250" t="str">
        <f>IF(AND(AND(AND(OR($DX250=1,$DW250=1),OR($EC250=1,$EA250=1)),SUM($DV250:$DZ250,$EF250)&gt;=4),SUM($EA250:$EE250)&gt;=2),"Whole sector","")</f>
        <v>Whole sector</v>
      </c>
      <c r="EL250" t="str">
        <f>IF(AND(AND(OR($DX250=1,$DW250=1),AND($EC250=0,$EA250=0)),SUM($DV250:$DZ250,$EF250)&gt;=4),"Ecosystem approach","")</f>
        <v/>
      </c>
      <c r="EM250" s="2" t="str">
        <f>IF(AND(AND(AND($DX250=0,$DW250=0),OR($EC250=1,$EA250=1)),SUM($EB250:$EE250)&gt;=2),"Technology approach","")</f>
        <v/>
      </c>
      <c r="EN250" t="s">
        <v>2485</v>
      </c>
      <c r="EO250"/>
      <c r="EP250" t="str">
        <f>IF(ISNUMBER(BU250),IF(ABS(BU250-[1]QC_indicators!$B$2)&gt;3*[1]QC_indicators!$C$2,"C ratio",IF(ISNUMBER(BY250),IF(ABS(BY250-[1]QC_indicators!$B$1)&gt;3*[1]QC_indicators!$C$1,"DF","no"))),IF(ISNUMBER(BY250),IF(ABS(BY250-[1]QC_indicators!$B$1)&gt;3*[1]QC_indicators!$C$1,"DF","no")))</f>
        <v>no</v>
      </c>
      <c r="EQ250"/>
      <c r="ER250"/>
      <c r="ES250"/>
      <c r="ET250" s="264" t="s">
        <v>3254</v>
      </c>
      <c r="EU250"/>
    </row>
    <row r="251" spans="1:151" s="139" customFormat="1" ht="15" customHeight="1">
      <c r="A251" s="1" t="s">
        <v>1102</v>
      </c>
      <c r="B251" t="s">
        <v>2381</v>
      </c>
      <c r="C251" t="s">
        <v>2382</v>
      </c>
      <c r="D251" t="s">
        <v>2383</v>
      </c>
      <c r="E251" t="s">
        <v>2384</v>
      </c>
      <c r="F251" t="s">
        <v>2385</v>
      </c>
      <c r="G251" t="s">
        <v>1108</v>
      </c>
      <c r="H251" t="s">
        <v>254</v>
      </c>
      <c r="I251">
        <v>2016</v>
      </c>
      <c r="J251">
        <v>13</v>
      </c>
      <c r="K251" t="s">
        <v>2386</v>
      </c>
      <c r="L251"/>
      <c r="M251" t="str">
        <f>LEFT($D251,FIND(",",$D251)-1)&amp;"_"&amp;I251&amp;L251</f>
        <v>Torssonen_2016</v>
      </c>
      <c r="N251" t="s">
        <v>222</v>
      </c>
      <c r="O251" s="145" t="s">
        <v>1154</v>
      </c>
      <c r="P251"/>
      <c r="Q251" s="264" t="s">
        <v>256</v>
      </c>
      <c r="R251" s="269" t="s">
        <v>341</v>
      </c>
      <c r="S251" s="1" t="s">
        <v>2387</v>
      </c>
      <c r="T251" t="s">
        <v>2398</v>
      </c>
      <c r="U251" s="264" t="s">
        <v>2399</v>
      </c>
      <c r="V251">
        <v>0</v>
      </c>
      <c r="W251">
        <v>0</v>
      </c>
      <c r="X251">
        <v>0</v>
      </c>
      <c r="Y251">
        <v>1</v>
      </c>
      <c r="Z251">
        <v>0</v>
      </c>
      <c r="AA251">
        <v>0</v>
      </c>
      <c r="AB251">
        <v>1</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s="141">
        <f>COUNTIF(V251:AW251,"&lt;&gt;0")</f>
        <v>2</v>
      </c>
      <c r="AY251" s="141">
        <f>COUNTIF(V251:AL251,"&lt;&gt;0")</f>
        <v>2</v>
      </c>
      <c r="AZ251">
        <f>COUNTIF(V251:AC251,"&lt;&gt;0")</f>
        <v>2</v>
      </c>
      <c r="BA251">
        <f>COUNTIF(AD251:AI251,"&lt;&gt;0")</f>
        <v>0</v>
      </c>
      <c r="BB251">
        <f>COUNTIF(AJ251:AL251,"&lt;&gt;0")</f>
        <v>0</v>
      </c>
      <c r="BC251">
        <f>COUNTIF(AS251:AW251,"&lt;&gt;0")</f>
        <v>0</v>
      </c>
      <c r="BD251">
        <f>COUNTIF(AM251:AR251,"&lt;&gt;0")</f>
        <v>0</v>
      </c>
      <c r="BE251" t="str" cm="1">
        <f t="array" ref="BE251">IF(AY251=1,INDEX($V$7:$AL$7,MATCH(TRUE,INDEX($V251:$AW251&lt;&gt;0,),0)),IF(AY251=0,INDEX($AM$7:$AW$7,MATCH(1,$AM251:$AW251,0)),IF(BF251="Multiple strategies","mixed drivers",IF(BF251="Supply chain","multiple supply","multiple silviculture"))))</f>
        <v>multiple silviculture</v>
      </c>
      <c r="BF251" s="2" t="str" cm="1">
        <f t="array" ref="BF251">IF(COUNTIF(AZ251:BB251,"&lt;&gt;0")=1,INDEX($V$4:$AW$4,MATCH(TRUE,INDEX($V251:$AW251&lt;&gt;0,),0)),IF(COUNTIF(AZ251:BB251,"&lt;&gt;0")=0,INDEX($AM$4:$AW$4,MATCH(1,$AM251:$AW251,0)),"Multiple strategies"))</f>
        <v>Silviculture for removals</v>
      </c>
      <c r="BG251" s="1" t="s">
        <v>229</v>
      </c>
      <c r="BH251" s="306" t="s">
        <v>2144</v>
      </c>
      <c r="BI251" s="264" t="s">
        <v>2391</v>
      </c>
      <c r="BJ251" s="306" t="s">
        <v>1058</v>
      </c>
      <c r="BK251">
        <v>6.697959172</v>
      </c>
      <c r="BL251">
        <v>7.0346938679999997</v>
      </c>
      <c r="BM251" s="143">
        <f>BL251/BK251</f>
        <v>1.0502742234392348</v>
      </c>
      <c r="BN251">
        <f>BL251-BK251</f>
        <v>0.33673469599999972</v>
      </c>
      <c r="BO251">
        <f>BN251</f>
        <v>0.33673469599999972</v>
      </c>
      <c r="BP251" s="306" t="s">
        <v>395</v>
      </c>
      <c r="BQ251" s="303" t="s">
        <v>3421</v>
      </c>
      <c r="BR251" s="264" t="s">
        <v>2393</v>
      </c>
      <c r="BS251" s="299">
        <v>-334.54545000000002</v>
      </c>
      <c r="BT251">
        <v>-324.36363636363598</v>
      </c>
      <c r="BU251" s="144"/>
      <c r="BV251" s="144">
        <f>BT251-BS251</f>
        <v>10.181813636364041</v>
      </c>
      <c r="BW251" s="144"/>
      <c r="BX251" s="144">
        <f>BV251*10^4/10^6</f>
        <v>0.1018181363636404</v>
      </c>
      <c r="BY251">
        <f>IFERROR(BX251/BO251,"")</f>
        <v>0.30236900911345493</v>
      </c>
      <c r="BZ251">
        <v>0</v>
      </c>
      <c r="CA251">
        <v>0</v>
      </c>
      <c r="CB251">
        <v>0</v>
      </c>
      <c r="CC251">
        <v>0</v>
      </c>
      <c r="CD251">
        <v>0</v>
      </c>
      <c r="CE251">
        <v>0</v>
      </c>
      <c r="CF251">
        <v>0</v>
      </c>
      <c r="CG251">
        <v>0</v>
      </c>
      <c r="CH251">
        <v>0</v>
      </c>
      <c r="CI251">
        <v>0</v>
      </c>
      <c r="CJ251">
        <v>0</v>
      </c>
      <c r="CK251">
        <v>0</v>
      </c>
      <c r="CL251">
        <v>0</v>
      </c>
      <c r="CM251">
        <v>1</v>
      </c>
      <c r="CN251" t="str">
        <f>IF($BL251&lt;$BK251,"refNeedCorrection","refOK")</f>
        <v>refOK</v>
      </c>
      <c r="CO251">
        <f>IF($CN251="refOK",$BK251,$BL251)</f>
        <v>6.697959172</v>
      </c>
      <c r="CP251">
        <f>IF($CN251="refOK",$BL251,$BK251)</f>
        <v>7.0346938679999997</v>
      </c>
      <c r="CQ251">
        <f>IF($CN251="refOK",$BO251,-$BO251)</f>
        <v>0.33673469599999972</v>
      </c>
      <c r="CR251">
        <f>IF($CN251="refOK",$BS251,$BT251)*IF($BP251="Emissions positive",-1,1)</f>
        <v>334.54545000000002</v>
      </c>
      <c r="CS251">
        <f>IF($CN251="refOK",$BT251,$BS251)*IF($BP251="Emissions positive",-1,1)</f>
        <v>324.36363636363598</v>
      </c>
      <c r="CT251">
        <f>IF($CN251="refNeedCorrection",-BX251,BX251)*IF($BP251="Emissions positive",-1,1)</f>
        <v>-0.1018181363636404</v>
      </c>
      <c r="CU251">
        <f>IFERROR(CT251/CQ251,"")</f>
        <v>-0.30236900911345493</v>
      </c>
      <c r="CV251" s="2">
        <f>IFERROR((CS251-CR251)/ABS(CR251),"")</f>
        <v>-3.0434769435256227E-2</v>
      </c>
      <c r="CW251" s="1" t="s">
        <v>1199</v>
      </c>
      <c r="CX251" s="264" t="str">
        <f>IF(OR($CW251="prd",$CW251="std",$CW251="cit"),"loc",IF(OR($CW251="eur",$CW251="reg",$CW251="coy"),"reg",$CW251))</f>
        <v>reg</v>
      </c>
      <c r="CY251" t="s">
        <v>235</v>
      </c>
      <c r="CZ251">
        <v>2020</v>
      </c>
      <c r="DA251">
        <v>2100</v>
      </c>
      <c r="DB251">
        <f>DA251-CZ251</f>
        <v>80</v>
      </c>
      <c r="DC251" t="str">
        <f>IF(DB251=0,"0",IF(AND(DB251&gt;=1,DB251&lt;=30),"1-30",IF(AND(DB251&gt;30,DB251&lt;=70),"31-70",IF(AND(DB251&gt;70,DB251&lt;=100),"71-100",IF(DB251&gt;100,"+100")))))</f>
        <v>71-100</v>
      </c>
      <c r="DD251">
        <v>0</v>
      </c>
      <c r="DE251">
        <v>1</v>
      </c>
      <c r="DF251">
        <v>0</v>
      </c>
      <c r="DG251">
        <v>1</v>
      </c>
      <c r="DH251"/>
      <c r="DI251">
        <f>SUM(DD251:DG251)</f>
        <v>2</v>
      </c>
      <c r="DJ251" t="str">
        <f>IF(DI251=1,INDEX($DD$7:$DG$7,MATCH(1,$DD251:$DG251,0)),"mixedProduct")</f>
        <v>mixedProduct</v>
      </c>
      <c r="DK251">
        <f>IF(DD251=1,DK$7,0)</f>
        <v>0</v>
      </c>
      <c r="DL251" t="str">
        <f>IF(DE251=1,DL$7,0)</f>
        <v>Energy</v>
      </c>
      <c r="DM251">
        <f>IF(DF251=1,DM$7,0)</f>
        <v>0</v>
      </c>
      <c r="DN251" t="str">
        <f>IF(DG251=1,DN$7,0)</f>
        <v>Timber</v>
      </c>
      <c r="DO251">
        <v>1</v>
      </c>
      <c r="DP251">
        <v>0</v>
      </c>
      <c r="DQ251">
        <v>0</v>
      </c>
      <c r="DR251">
        <v>0</v>
      </c>
      <c r="DS251">
        <v>0</v>
      </c>
      <c r="DT251">
        <f>SUM(DO251:DP251)</f>
        <v>1</v>
      </c>
      <c r="DU251" s="143" t="str">
        <f>IF(DO251=1,"self-calculated DF",IF(DP251=1,"external DF used","explicit C balance"))</f>
        <v>self-calculated DF</v>
      </c>
      <c r="DV251">
        <v>1</v>
      </c>
      <c r="DW251">
        <v>0</v>
      </c>
      <c r="DX251">
        <v>1</v>
      </c>
      <c r="DY251">
        <v>0</v>
      </c>
      <c r="DZ251">
        <v>0</v>
      </c>
      <c r="EA251" s="143">
        <v>0</v>
      </c>
      <c r="EB251">
        <v>0</v>
      </c>
      <c r="EC251">
        <v>0</v>
      </c>
      <c r="ED251">
        <v>0</v>
      </c>
      <c r="EE251">
        <v>0</v>
      </c>
      <c r="EF251">
        <v>1</v>
      </c>
      <c r="EG251">
        <v>0</v>
      </c>
      <c r="EH251">
        <v>0</v>
      </c>
      <c r="EI251" s="2">
        <v>0</v>
      </c>
      <c r="EJ251" s="1"/>
      <c r="EK251" t="str">
        <f>IF(AND(AND(AND(OR($DX251=1,$DW251=1),OR($EC251=1,$EA251=1)),SUM($DV251:$DZ251,$EF251)&gt;=4),SUM($EA251:$EE251)&gt;=2),"Whole sector","")</f>
        <v/>
      </c>
      <c r="EL251" t="str">
        <f>IF(AND(AND(OR($DX251=1,$DW251=1),AND($EC251=0,$EA251=0)),SUM($DV251:$DZ251,$EF251)&gt;=4),"Ecosystem approach","")</f>
        <v/>
      </c>
      <c r="EM251" s="2" t="str">
        <f>IF(AND(AND(AND($DX251=0,$DW251=0),OR($EC251=1,$EA251=1)),SUM($EB251:$EE251)&gt;=2),"Technology approach","")</f>
        <v/>
      </c>
      <c r="EN251"/>
      <c r="EO251"/>
      <c r="EP251" t="str">
        <f>IF(ISNUMBER(BU251),IF(ABS(BU251-[3]QC_indicators!$B$2)&gt;3*[3]QC_indicators!$C$2,"C ratio",IF(ISNUMBER(BY251),IF(ABS(BY251-[3]QC_indicators!$B$1)&gt;3*[3]QC_indicators!$C$1,"DF","no"))),IF(ISNUMBER(BY251),IF(ABS(BY251-[3]QC_indicators!$B$1)&gt;3*[3]QC_indicators!$C$1,"DF","no")))</f>
        <v>no</v>
      </c>
      <c r="EQ251"/>
      <c r="ER251" s="264" t="s">
        <v>2394</v>
      </c>
      <c r="ES251"/>
      <c r="ET251" s="306" t="s">
        <v>3422</v>
      </c>
      <c r="EU251"/>
    </row>
    <row r="252" spans="1:151" s="139" customFormat="1" ht="15" customHeight="1">
      <c r="A252" s="1" t="s">
        <v>1400</v>
      </c>
      <c r="B252" t="s">
        <v>1401</v>
      </c>
      <c r="C252" t="s">
        <v>1402</v>
      </c>
      <c r="D252" t="s">
        <v>1403</v>
      </c>
      <c r="E252" t="s">
        <v>1404</v>
      </c>
      <c r="F252" t="s">
        <v>1405</v>
      </c>
      <c r="G252" t="s">
        <v>1406</v>
      </c>
      <c r="H252" t="s">
        <v>254</v>
      </c>
      <c r="I252">
        <v>2021</v>
      </c>
      <c r="J252">
        <v>0</v>
      </c>
      <c r="K252" t="s">
        <v>1407</v>
      </c>
      <c r="L252"/>
      <c r="M252" t="str">
        <f>LEFT($D252,FIND(",",$D252)-1)&amp;"_"&amp;I252&amp;L252</f>
        <v>Dugan_2021</v>
      </c>
      <c r="N252" t="s">
        <v>222</v>
      </c>
      <c r="O252" s="145" t="s">
        <v>274</v>
      </c>
      <c r="P252"/>
      <c r="Q252" t="s">
        <v>256</v>
      </c>
      <c r="R252" s="255" t="s">
        <v>225</v>
      </c>
      <c r="S252" s="1" t="s">
        <v>314</v>
      </c>
      <c r="T252" t="s">
        <v>1111</v>
      </c>
      <c r="U252" t="s">
        <v>1414</v>
      </c>
      <c r="V252">
        <v>0</v>
      </c>
      <c r="W252">
        <v>0</v>
      </c>
      <c r="X252">
        <v>1</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s="141">
        <f>COUNTIF(V252:AW252,"&lt;&gt;0")</f>
        <v>1</v>
      </c>
      <c r="AY252" s="141">
        <f>COUNTIF(V252:AL252,"&lt;&gt;0")</f>
        <v>1</v>
      </c>
      <c r="AZ252">
        <f>COUNTIF(V252:AC252,"&lt;&gt;0")</f>
        <v>1</v>
      </c>
      <c r="BA252">
        <f>COUNTIF(AD252:AI252,"&lt;&gt;0")</f>
        <v>0</v>
      </c>
      <c r="BB252">
        <f>COUNTIF(AJ252:AL252,"&lt;&gt;0")</f>
        <v>0</v>
      </c>
      <c r="BC252">
        <f>COUNTIF(AS252:AW252,"&lt;&gt;0")</f>
        <v>0</v>
      </c>
      <c r="BD252">
        <f>COUNTIF(AM252:AR252,"&lt;&gt;0")</f>
        <v>0</v>
      </c>
      <c r="BE252" t="str">
        <f t="array" ref="BE252">IF(AY252=1,INDEX($V$7:$AL$7,MATCH(TRUE,INDEX($V252:$AW252&lt;&gt;0,),0)),IF(AY252=0,INDEX($AM$7:$AW$7,MATCH(1,$AM252:$AW252,0)),IF(BF252="Multiple strategies","mixed drivers",IF(BF252="Supply chain","multiple supply","multiple silviculture"))))</f>
        <v>rotation length</v>
      </c>
      <c r="BF252" s="2" t="str" cm="1">
        <f t="array" ref="BF252">IF(COUNTIF(AZ252:BB252,"&lt;&gt;0")=1,INDEX($V$4:$AW$4,MATCH(TRUE,INDEX($V252:$AW252&lt;&gt;0,),0)),IF(COUNTIF(AZ252:BB252,"&lt;&gt;0")=0,INDEX($AM$4:$AW$4,MATCH(1,$AM252:$AW252,0)),"Multiple strategies"))</f>
        <v>Silviculture for removals</v>
      </c>
      <c r="BG252" s="1" t="s">
        <v>321</v>
      </c>
      <c r="BH252" t="s">
        <v>1410</v>
      </c>
      <c r="BI252" s="260" t="s">
        <v>3318</v>
      </c>
      <c r="BJ252" t="s">
        <v>1359</v>
      </c>
      <c r="BK252" s="264">
        <v>14.61</v>
      </c>
      <c r="BL252">
        <f>BK252*1.1</f>
        <v>16.071000000000002</v>
      </c>
      <c r="BM252"/>
      <c r="BN252" s="227">
        <f>BL252-BK252</f>
        <v>1.4610000000000021</v>
      </c>
      <c r="BO252">
        <f>BN252*10^6*tC_to_m3</f>
        <v>6343899.2618324021</v>
      </c>
      <c r="BP252" t="s">
        <v>232</v>
      </c>
      <c r="BQ252" s="300" t="s">
        <v>3320</v>
      </c>
      <c r="BR252" t="s">
        <v>1300</v>
      </c>
      <c r="BS252" s="152"/>
      <c r="BT252" s="152"/>
      <c r="BU252" s="144"/>
      <c r="BV252" s="284">
        <v>-1.8383920458338849</v>
      </c>
      <c r="BW252"/>
      <c r="BX252">
        <f>BV252*10^6</f>
        <v>-1838392.045833885</v>
      </c>
      <c r="BY252">
        <f>IFERROR(BX252/BO252,"")</f>
        <v>-0.28978897204349285</v>
      </c>
      <c r="BZ252">
        <v>0</v>
      </c>
      <c r="CA252">
        <v>0</v>
      </c>
      <c r="CB252">
        <v>0</v>
      </c>
      <c r="CC252">
        <v>0</v>
      </c>
      <c r="CD252">
        <v>0</v>
      </c>
      <c r="CE252">
        <v>0</v>
      </c>
      <c r="CF252">
        <v>0</v>
      </c>
      <c r="CG252">
        <v>0</v>
      </c>
      <c r="CH252">
        <v>0</v>
      </c>
      <c r="CI252">
        <v>0</v>
      </c>
      <c r="CJ252">
        <v>0</v>
      </c>
      <c r="CK252">
        <v>0</v>
      </c>
      <c r="CL252">
        <v>0</v>
      </c>
      <c r="CM252">
        <v>0</v>
      </c>
      <c r="CN252" t="str">
        <f>IF(BL252&lt;BK252,"refNeedCorrection","refOK")</f>
        <v>refOK</v>
      </c>
      <c r="CO252"/>
      <c r="CP252"/>
      <c r="CQ252">
        <f>IF($CN252="refNeedCorrection",-BO252,BO252)</f>
        <v>6343899.2618324021</v>
      </c>
      <c r="CR252">
        <f>IF($CN252="refOK",$BS252,$BT252)*IF($BP252="Emissions positive",-1,1)</f>
        <v>0</v>
      </c>
      <c r="CS252">
        <f>IF($CN252="refOK",$BT252,$BS252)*IF($BP252="Emissions positive",-1,1)</f>
        <v>0</v>
      </c>
      <c r="CT252">
        <f>IF($CN252="refNeedCorrection",-BX252,BX252)*IF($BP252="Emissions positive",-1,1)</f>
        <v>-1838392.045833885</v>
      </c>
      <c r="CU252">
        <f>IFERROR(CT252/CQ252,"")</f>
        <v>-0.28978897204349285</v>
      </c>
      <c r="CV252" s="2" t="str">
        <f>IFERROR((CS252-CR252)/ABS(CR252),"")</f>
        <v/>
      </c>
      <c r="CW252" s="1" t="s">
        <v>1199</v>
      </c>
      <c r="CX252" t="str">
        <f>IF(OR($CW252="prd",$CW252="std",$CW252="cit"),"loc",IF(OR($CW252="eur",$CW252="reg",$CW252="coy"),"reg",$CW252))</f>
        <v>reg</v>
      </c>
      <c r="CY252" t="s">
        <v>428</v>
      </c>
      <c r="CZ252">
        <v>2020</v>
      </c>
      <c r="DA252">
        <v>2050</v>
      </c>
      <c r="DB252">
        <v>30</v>
      </c>
      <c r="DC252" t="str">
        <f>IF(DB252=0,"0",IF(AND(DB252&gt;=1,DB252&lt;=30),"1-30",IF(AND(DB252&gt;30,DB252&lt;=70),"31-70",IF(AND(DB252&gt;70,DB252&lt;=100),"71-100",IF(DB252&gt;100,"+100")))))</f>
        <v>1-30</v>
      </c>
      <c r="DD252">
        <v>0</v>
      </c>
      <c r="DE252">
        <v>1</v>
      </c>
      <c r="DF252">
        <v>1</v>
      </c>
      <c r="DG252">
        <v>1</v>
      </c>
      <c r="DH252"/>
      <c r="DI252">
        <f>SUM(DD252:DG252)</f>
        <v>3</v>
      </c>
      <c r="DJ252" t="str">
        <f>IF(DI252=1,INDEX($DD$7:$DG$7,MATCH(1,$DD252:$DG252,0)),"mixedProduct")</f>
        <v>mixedProduct</v>
      </c>
      <c r="DK252">
        <f>IF(DD252=1,DK$7,0)</f>
        <v>0</v>
      </c>
      <c r="DL252" t="str">
        <f>IF(DE252=1,DL$7,0)</f>
        <v>Energy</v>
      </c>
      <c r="DM252" t="str">
        <f>IF(DF252=1,DM$7,0)</f>
        <v>Pulp/Paper</v>
      </c>
      <c r="DN252" t="str">
        <f>IF(DG252=1,DN$7,0)</f>
        <v>Timber</v>
      </c>
      <c r="DO252">
        <v>0</v>
      </c>
      <c r="DP252">
        <v>1</v>
      </c>
      <c r="DQ252" t="s">
        <v>1411</v>
      </c>
      <c r="DR252" t="s">
        <v>1412</v>
      </c>
      <c r="DS252">
        <v>0</v>
      </c>
      <c r="DT252">
        <f>SUM(DO252:DP252)</f>
        <v>1</v>
      </c>
      <c r="DU252" s="143" t="str">
        <f>IF(DO252=1,"self-calculated DF",IF(DP252=1,"external DF used","explicit C balance"))</f>
        <v>external DF used</v>
      </c>
      <c r="DV252">
        <v>1</v>
      </c>
      <c r="DW252">
        <v>1</v>
      </c>
      <c r="DX252">
        <v>1</v>
      </c>
      <c r="DY252">
        <v>1</v>
      </c>
      <c r="DZ252">
        <v>0</v>
      </c>
      <c r="EA252" s="143">
        <v>1</v>
      </c>
      <c r="EB252">
        <v>0</v>
      </c>
      <c r="EC252">
        <v>1</v>
      </c>
      <c r="ED252">
        <v>0</v>
      </c>
      <c r="EE252">
        <v>0</v>
      </c>
      <c r="EF252">
        <v>1</v>
      </c>
      <c r="EG252" s="143">
        <v>0</v>
      </c>
      <c r="EH252" s="143">
        <v>0</v>
      </c>
      <c r="EI252" s="2">
        <v>0</v>
      </c>
      <c r="EJ252" s="1"/>
      <c r="EK252" t="str">
        <f>IF(AND(AND(AND(OR($DX252=1,$DW252=1),OR($EC252=1,$EA252=1)),SUM($DV252:$DZ252,$EF252)&gt;=4),SUM($EA252:$EE252)&gt;=2),"Whole sector","")</f>
        <v>Whole sector</v>
      </c>
      <c r="EL252" t="str">
        <f>IF(AND(AND(OR($DX252=1,$DW252=1),AND($EC252=0,$EA252=0)),SUM($DV252:$DZ252,$EF252)&gt;=4),"Ecosystem approach","")</f>
        <v/>
      </c>
      <c r="EM252" s="2" t="str">
        <f>IF(AND(AND(AND($DX252=0,$DW252=0),OR($EC252=1,$EA252=1)),SUM($EB252:$EE252)&gt;=2),"Technology approach","")</f>
        <v/>
      </c>
      <c r="EN252"/>
      <c r="EO252"/>
      <c r="EP252" t="str">
        <f>IF(ISNUMBER(BU252),IF(ABS(BU252-[4]QC_indicators!$B$2)&gt;3*[4]QC_indicators!$C$2,"C ratio",IF(ISNUMBER(BY252),IF(ABS(BY252-[4]QC_indicators!$B$1)&gt;3*[4]QC_indicators!$C$1,"DF","no"))),IF(ISNUMBER(BY252),IF(ABS(BY252-[4]QC_indicators!$B$1)&gt;3*[4]QC_indicators!$C$1,"DF","no")))</f>
        <v>no</v>
      </c>
      <c r="EQ252" t="s">
        <v>286</v>
      </c>
      <c r="ER252" s="149" t="s">
        <v>349</v>
      </c>
      <c r="ES252"/>
      <c r="ET252" s="264" t="s">
        <v>3273</v>
      </c>
      <c r="EU252"/>
    </row>
    <row r="253" spans="1:151" s="139" customFormat="1" ht="15" customHeight="1">
      <c r="A253" s="1" t="s">
        <v>265</v>
      </c>
      <c r="B253" t="s">
        <v>266</v>
      </c>
      <c r="C253" t="s">
        <v>267</v>
      </c>
      <c r="D253" t="s">
        <v>268</v>
      </c>
      <c r="E253" t="s">
        <v>269</v>
      </c>
      <c r="F253" t="s">
        <v>270</v>
      </c>
      <c r="G253" t="s">
        <v>271</v>
      </c>
      <c r="H253" t="s">
        <v>254</v>
      </c>
      <c r="I253">
        <v>2022</v>
      </c>
      <c r="J253">
        <v>0</v>
      </c>
      <c r="K253" t="s">
        <v>272</v>
      </c>
      <c r="L253"/>
      <c r="M253" t="str">
        <f>LEFT($D253,FIND(",",$D253)-1)&amp;"_"&amp;I253&amp;L253</f>
        <v>Aryapratama_2022</v>
      </c>
      <c r="N253" t="s">
        <v>222</v>
      </c>
      <c r="O253" s="145" t="s">
        <v>274</v>
      </c>
      <c r="P253"/>
      <c r="Q253" t="s">
        <v>224</v>
      </c>
      <c r="R253" s="262" t="s">
        <v>223</v>
      </c>
      <c r="S253" s="1" t="s">
        <v>314</v>
      </c>
      <c r="T253" t="s">
        <v>317</v>
      </c>
      <c r="U253" t="s">
        <v>318</v>
      </c>
      <c r="V253">
        <v>0</v>
      </c>
      <c r="W253">
        <v>0</v>
      </c>
      <c r="X253">
        <v>1</v>
      </c>
      <c r="Y253">
        <v>0</v>
      </c>
      <c r="Z253">
        <v>0</v>
      </c>
      <c r="AA253">
        <v>0</v>
      </c>
      <c r="AB253">
        <v>0</v>
      </c>
      <c r="AC253">
        <v>0</v>
      </c>
      <c r="AD253">
        <v>0</v>
      </c>
      <c r="AE253">
        <v>0</v>
      </c>
      <c r="AF253">
        <v>0</v>
      </c>
      <c r="AG253">
        <v>0</v>
      </c>
      <c r="AH253">
        <v>0</v>
      </c>
      <c r="AI253">
        <v>2</v>
      </c>
      <c r="AJ253">
        <v>0</v>
      </c>
      <c r="AK253">
        <v>0</v>
      </c>
      <c r="AL253">
        <v>0</v>
      </c>
      <c r="AM253">
        <v>0</v>
      </c>
      <c r="AN253">
        <v>0</v>
      </c>
      <c r="AO253">
        <v>0</v>
      </c>
      <c r="AP253">
        <v>0</v>
      </c>
      <c r="AQ253">
        <v>0</v>
      </c>
      <c r="AR253">
        <v>0</v>
      </c>
      <c r="AS253">
        <v>0</v>
      </c>
      <c r="AT253">
        <v>0</v>
      </c>
      <c r="AU253">
        <v>0</v>
      </c>
      <c r="AV253">
        <v>0</v>
      </c>
      <c r="AW253">
        <v>0</v>
      </c>
      <c r="AX253" s="141">
        <f>COUNTIF(V253:AW253,"&lt;&gt;0")</f>
        <v>2</v>
      </c>
      <c r="AY253" s="141">
        <f>COUNTIF(V253:AL253,"&lt;&gt;0")</f>
        <v>2</v>
      </c>
      <c r="AZ253">
        <f>COUNTIF(V253:AC253,"&lt;&gt;0")</f>
        <v>1</v>
      </c>
      <c r="BA253">
        <f>COUNTIF(AD253:AI253,"&lt;&gt;0")</f>
        <v>1</v>
      </c>
      <c r="BB253">
        <f>COUNTIF(AJ253:AL253,"&lt;&gt;0")</f>
        <v>0</v>
      </c>
      <c r="BC253">
        <f>COUNTIF(AS253:AW253,"&lt;&gt;0")</f>
        <v>0</v>
      </c>
      <c r="BD253">
        <f>COUNTIF(AM253:AR253,"&lt;&gt;0")</f>
        <v>0</v>
      </c>
      <c r="BE253" t="str">
        <f t="array" ref="BE253">IF(AY253=1,INDEX($V$7:$AL$7,MATCH(TRUE,INDEX($V253:$AW253&lt;&gt;0,),0)),IF(AY253=0,INDEX($AM$7:$AW$7,MATCH(1,$AM253:$AW253,0)),IF(BF253="Multiple strategies","mixed drivers",IF(BF253="Supply chain","multiple supply","multiple silviculture"))))</f>
        <v>mixed drivers</v>
      </c>
      <c r="BF253" s="2" t="str" cm="1">
        <f t="array" ref="BF253">IF(COUNTIF(AZ253:BB253,"&lt;&gt;0")=1,INDEX($V$4:$AW$4,MATCH(TRUE,INDEX($V253:$AW253&lt;&gt;0,),0)),IF(COUNTIF(AZ253:BB253,"&lt;&gt;0")=0,INDEX($AM$4:$AW$4,MATCH(1,$AM253:$AW253,0)),"Multiple strategies"))</f>
        <v>Multiple strategies</v>
      </c>
      <c r="BG253" s="1" t="s">
        <v>229</v>
      </c>
      <c r="BH253" t="s">
        <v>277</v>
      </c>
      <c r="BI253" s="264" t="s">
        <v>3106</v>
      </c>
      <c r="BJ253" t="s">
        <v>278</v>
      </c>
      <c r="BK253">
        <v>455.74756079224562</v>
      </c>
      <c r="BL253">
        <v>656.10508355919967</v>
      </c>
      <c r="BM253">
        <f>BL253/BK253</f>
        <v>1.4396239058716276</v>
      </c>
      <c r="BN253">
        <f>BL253-BK253</f>
        <v>200.35752276695405</v>
      </c>
      <c r="BO253">
        <f>BN253*tC_to_m3</f>
        <v>869.98490128942274</v>
      </c>
      <c r="BP253" t="s">
        <v>232</v>
      </c>
      <c r="BQ253" s="303" t="s">
        <v>3107</v>
      </c>
      <c r="BR253" t="s">
        <v>279</v>
      </c>
      <c r="BS253">
        <v>23.49403951814293</v>
      </c>
      <c r="BT253">
        <v>-227.6520247861325</v>
      </c>
      <c r="BU253" s="144">
        <f>IFERROR(BT253/BS253,"")</f>
        <v>-9.6897778949563591</v>
      </c>
      <c r="BV253">
        <f>BT253-BS253</f>
        <v>-251.14606430427543</v>
      </c>
      <c r="BW253"/>
      <c r="BX253">
        <f>BV253</f>
        <v>-251.14606430427543</v>
      </c>
      <c r="BY253">
        <f>IFERROR(BX253/BO253,"")</f>
        <v>-0.28867864710300906</v>
      </c>
      <c r="BZ253">
        <v>0</v>
      </c>
      <c r="CA253">
        <v>0</v>
      </c>
      <c r="CB253">
        <v>0</v>
      </c>
      <c r="CC253">
        <v>0</v>
      </c>
      <c r="CD253">
        <v>0</v>
      </c>
      <c r="CE253">
        <v>0</v>
      </c>
      <c r="CF253">
        <v>0</v>
      </c>
      <c r="CG253">
        <v>0</v>
      </c>
      <c r="CH253">
        <v>0</v>
      </c>
      <c r="CI253">
        <v>0</v>
      </c>
      <c r="CJ253">
        <v>0</v>
      </c>
      <c r="CK253">
        <v>0</v>
      </c>
      <c r="CL253">
        <v>0</v>
      </c>
      <c r="CM253">
        <v>0</v>
      </c>
      <c r="CN253" t="str">
        <f>IF($BL253&lt;$BK253,"refNeedCorrection","refOK")</f>
        <v>refOK</v>
      </c>
      <c r="CO253">
        <f>IF($CN253="refNeedCorrection",BL253,BK253)</f>
        <v>455.74756079224562</v>
      </c>
      <c r="CP253">
        <f>IF($CN253="refNeedCorrection",BK253,BL253)</f>
        <v>656.10508355919967</v>
      </c>
      <c r="CQ253">
        <f>IF($CN253="refOK",$BO253,-$BO253)</f>
        <v>869.98490128942274</v>
      </c>
      <c r="CR253">
        <f>IF($CN253="refOK",$BS253,$BT253)*IF($BP253="Emissions positive",-1,1)</f>
        <v>23.49403951814293</v>
      </c>
      <c r="CS253">
        <f>IF($CN253="refOK",$BT253,$BS253)*IF($BP253="Emissions positive",-1,1)</f>
        <v>-227.6520247861325</v>
      </c>
      <c r="CT253">
        <f>IF($CN253="refNeedCorrection",-BX253,BX253)*IF($BP253="Emissions positive",-1,1)</f>
        <v>-251.14606430427543</v>
      </c>
      <c r="CU253">
        <f>IFERROR(CT253/CQ253,"")</f>
        <v>-0.28867864710300906</v>
      </c>
      <c r="CV253" s="2">
        <f>IFERROR((CS253-CR253)/ABS(CR253),"")</f>
        <v>-10.689777894956359</v>
      </c>
      <c r="CW253" s="1" t="s">
        <v>234</v>
      </c>
      <c r="CX253" t="str">
        <f>IF(OR($CW253="prd",$CW253="std",$CW253="cit"),"loc",IF(OR($CW253="eur",$CW253="reg",$CW253="coy"),"reg",$CW253))</f>
        <v>loc</v>
      </c>
      <c r="CY253" t="s">
        <v>280</v>
      </c>
      <c r="CZ253"/>
      <c r="DA253"/>
      <c r="DB253">
        <v>200</v>
      </c>
      <c r="DC253" t="str">
        <f>IF(DB253=0,"0",IF(AND(DB253&gt;=1,DB253&lt;=30),"1-30",IF(AND(DB253&gt;30,DB253&lt;=70),"31-70",IF(AND(DB253&gt;70,DB253&lt;=100),"71-100",IF(DB253&gt;100,"+100")))))</f>
        <v>+100</v>
      </c>
      <c r="DD253">
        <v>0</v>
      </c>
      <c r="DE253">
        <v>0</v>
      </c>
      <c r="DF253">
        <v>1</v>
      </c>
      <c r="DG253">
        <v>0</v>
      </c>
      <c r="DH253"/>
      <c r="DI253">
        <f>SUM(DD253:DG253)</f>
        <v>1</v>
      </c>
      <c r="DJ253" t="str">
        <f>IF(DI253=1,INDEX($DD$7:$DG$7,MATCH(1,$DD253:$DG253,0)),"mixedProduct")</f>
        <v>PulpPaperInput</v>
      </c>
      <c r="DK253">
        <f>IF(DD253=1,DK$7,0)</f>
        <v>0</v>
      </c>
      <c r="DL253">
        <f>IF(DE253=1,DL$7,0)</f>
        <v>0</v>
      </c>
      <c r="DM253" t="str">
        <f>IF(DF253=1,DM$7,0)</f>
        <v>Pulp/Paper</v>
      </c>
      <c r="DN253">
        <f>IF(DG253=1,DN$7,0)</f>
        <v>0</v>
      </c>
      <c r="DO253">
        <v>0</v>
      </c>
      <c r="DP253">
        <v>1</v>
      </c>
      <c r="DQ253">
        <v>0</v>
      </c>
      <c r="DR253" t="s">
        <v>281</v>
      </c>
      <c r="DS253">
        <v>0</v>
      </c>
      <c r="DT253">
        <f>SUM(DO253:DP253)</f>
        <v>1</v>
      </c>
      <c r="DU253" s="143" t="str">
        <f>IF(DO253=1,"self-calculated DF",IF(DP253=1,"external DF used","explicit C balance"))</f>
        <v>external DF used</v>
      </c>
      <c r="DV253">
        <v>0</v>
      </c>
      <c r="DW253">
        <v>1</v>
      </c>
      <c r="DX253">
        <v>1</v>
      </c>
      <c r="DY253">
        <v>1</v>
      </c>
      <c r="DZ253">
        <v>1</v>
      </c>
      <c r="EA253" s="143">
        <v>0</v>
      </c>
      <c r="EB253">
        <v>1</v>
      </c>
      <c r="EC253">
        <v>1</v>
      </c>
      <c r="ED253">
        <v>0</v>
      </c>
      <c r="EE253">
        <v>1</v>
      </c>
      <c r="EF253">
        <v>1</v>
      </c>
      <c r="EG253">
        <v>1</v>
      </c>
      <c r="EH253">
        <v>0</v>
      </c>
      <c r="EI253" s="2">
        <v>0</v>
      </c>
      <c r="EJ253" s="1"/>
      <c r="EK253" t="str">
        <f>IF(AND(AND(AND(OR($DX253=1,$DW253=1),OR($EC253=1,$EA253=1)),SUM($DV253:$DZ253,$EF253)&gt;=4),SUM($EA253:$EE253)&gt;=2),"Whole sector","")</f>
        <v>Whole sector</v>
      </c>
      <c r="EL253" t="str">
        <f>IF(AND(AND(OR($DX253=1,$DW253=1),AND($EC253=0,$EA253=0)),SUM($DV253:$DZ253,$EF253)&gt;=4),"Ecosystem approach","")</f>
        <v/>
      </c>
      <c r="EM253" s="2" t="str">
        <f>IF(AND(AND(AND($DX253=0,$DW253=0),OR($EC253=1,$EA253=1)),SUM($EB253:$EE253)&gt;=2),"Technology approach","")</f>
        <v/>
      </c>
      <c r="EN253"/>
      <c r="EO253"/>
      <c r="EP253" t="str">
        <f>IF(ISNUMBER(BU253),IF(ABS(BU253-[1]QC_indicators!$B$2)&gt;3*[1]QC_indicators!$C$2,"C ratio",IF(ISNUMBER(BY253),IF(ABS(BY253-[1]QC_indicators!$B$1)&gt;3*[1]QC_indicators!$C$1,"DF","no"))),IF(ISNUMBER(BY253),IF(ABS(BY253-[1]QC_indicators!$B$1)&gt;3*[1]QC_indicators!$C$1,"DF","no")))</f>
        <v>C ratio</v>
      </c>
      <c r="EQ253" t="s">
        <v>286</v>
      </c>
      <c r="ER253"/>
      <c r="ES253"/>
      <c r="ET253" s="264" t="s">
        <v>3273</v>
      </c>
      <c r="EU253"/>
    </row>
    <row r="254" spans="1:151" s="139" customFormat="1" ht="15" customHeight="1">
      <c r="A254" s="1" t="s">
        <v>265</v>
      </c>
      <c r="B254" t="s">
        <v>266</v>
      </c>
      <c r="C254" t="s">
        <v>267</v>
      </c>
      <c r="D254" t="s">
        <v>268</v>
      </c>
      <c r="E254" t="s">
        <v>269</v>
      </c>
      <c r="F254" t="s">
        <v>270</v>
      </c>
      <c r="G254" t="s">
        <v>271</v>
      </c>
      <c r="H254" t="s">
        <v>254</v>
      </c>
      <c r="I254">
        <v>2022</v>
      </c>
      <c r="J254">
        <v>0</v>
      </c>
      <c r="K254" t="s">
        <v>272</v>
      </c>
      <c r="L254"/>
      <c r="M254" t="str">
        <f>LEFT($D254,FIND(",",$D254)-1)&amp;"_"&amp;I254&amp;L254</f>
        <v>Aryapratama_2022</v>
      </c>
      <c r="N254" t="s">
        <v>222</v>
      </c>
      <c r="O254" s="145" t="s">
        <v>274</v>
      </c>
      <c r="P254"/>
      <c r="Q254" t="s">
        <v>224</v>
      </c>
      <c r="R254" s="262" t="s">
        <v>223</v>
      </c>
      <c r="S254" s="1" t="s">
        <v>314</v>
      </c>
      <c r="T254" t="s">
        <v>315</v>
      </c>
      <c r="U254" t="s">
        <v>316</v>
      </c>
      <c r="V254">
        <v>0</v>
      </c>
      <c r="W254">
        <v>0</v>
      </c>
      <c r="X254">
        <v>1</v>
      </c>
      <c r="Y254">
        <v>0</v>
      </c>
      <c r="Z254">
        <v>0</v>
      </c>
      <c r="AA254">
        <v>0</v>
      </c>
      <c r="AB254">
        <v>0</v>
      </c>
      <c r="AC254">
        <v>0</v>
      </c>
      <c r="AD254">
        <v>0</v>
      </c>
      <c r="AE254">
        <v>0</v>
      </c>
      <c r="AF254">
        <v>0</v>
      </c>
      <c r="AG254">
        <v>0</v>
      </c>
      <c r="AH254">
        <v>0</v>
      </c>
      <c r="AI254">
        <v>2</v>
      </c>
      <c r="AJ254">
        <v>0</v>
      </c>
      <c r="AK254">
        <v>0</v>
      </c>
      <c r="AL254">
        <v>0</v>
      </c>
      <c r="AM254">
        <v>0</v>
      </c>
      <c r="AN254">
        <v>0</v>
      </c>
      <c r="AO254">
        <v>0</v>
      </c>
      <c r="AP254">
        <v>0</v>
      </c>
      <c r="AQ254">
        <v>0</v>
      </c>
      <c r="AR254">
        <v>0</v>
      </c>
      <c r="AS254">
        <v>0</v>
      </c>
      <c r="AT254">
        <v>0</v>
      </c>
      <c r="AU254">
        <v>0</v>
      </c>
      <c r="AV254">
        <v>0</v>
      </c>
      <c r="AW254">
        <v>0</v>
      </c>
      <c r="AX254" s="141">
        <f>COUNTIF(V254:AW254,"&lt;&gt;0")</f>
        <v>2</v>
      </c>
      <c r="AY254" s="141">
        <f>COUNTIF(V254:AL254,"&lt;&gt;0")</f>
        <v>2</v>
      </c>
      <c r="AZ254">
        <f>COUNTIF(V254:AC254,"&lt;&gt;0")</f>
        <v>1</v>
      </c>
      <c r="BA254">
        <f>COUNTIF(AD254:AI254,"&lt;&gt;0")</f>
        <v>1</v>
      </c>
      <c r="BB254">
        <f>COUNTIF(AJ254:AL254,"&lt;&gt;0")</f>
        <v>0</v>
      </c>
      <c r="BC254">
        <f>COUNTIF(AS254:AW254,"&lt;&gt;0")</f>
        <v>0</v>
      </c>
      <c r="BD254">
        <f>COUNTIF(AM254:AR254,"&lt;&gt;0")</f>
        <v>0</v>
      </c>
      <c r="BE254" t="str">
        <f t="array" ref="BE254">IF(AY254=1,INDEX($V$7:$AL$7,MATCH(TRUE,INDEX($V254:$AW254&lt;&gt;0,),0)),IF(AY254=0,INDEX($AM$7:$AW$7,MATCH(1,$AM254:$AW254,0)),IF(BF254="Multiple strategies","mixed drivers",IF(BF254="Supply chain","multiple supply","multiple silviculture"))))</f>
        <v>mixed drivers</v>
      </c>
      <c r="BF254" s="2" t="str" cm="1">
        <f t="array" ref="BF254">IF(COUNTIF(AZ254:BB254,"&lt;&gt;0")=1,INDEX($V$4:$AW$4,MATCH(TRUE,INDEX($V254:$AW254&lt;&gt;0,),0)),IF(COUNTIF(AZ254:BB254,"&lt;&gt;0")=0,INDEX($AM$4:$AW$4,MATCH(1,$AM254:$AW254,0)),"Multiple strategies"))</f>
        <v>Multiple strategies</v>
      </c>
      <c r="BG254" s="1" t="s">
        <v>229</v>
      </c>
      <c r="BH254" t="s">
        <v>277</v>
      </c>
      <c r="BI254" s="264" t="s">
        <v>3106</v>
      </c>
      <c r="BJ254" t="s">
        <v>278</v>
      </c>
      <c r="BK254">
        <v>591.32718343375518</v>
      </c>
      <c r="BL254">
        <v>757.78980054033161</v>
      </c>
      <c r="BM254">
        <f>BL254/BK254</f>
        <v>1.2815067897605368</v>
      </c>
      <c r="BN254">
        <f>BL254-BK254</f>
        <v>166.46261710657643</v>
      </c>
      <c r="BO254">
        <f>BN254*tC_to_m3</f>
        <v>722.80771648535142</v>
      </c>
      <c r="BP254" t="s">
        <v>232</v>
      </c>
      <c r="BQ254" s="303" t="s">
        <v>3107</v>
      </c>
      <c r="BR254" t="s">
        <v>279</v>
      </c>
      <c r="BS254">
        <v>-956.54496754124091</v>
      </c>
      <c r="BT254">
        <v>-1160.011828609915</v>
      </c>
      <c r="BU254" s="144">
        <f>IFERROR(BT254/BS254,"")</f>
        <v>1.2127101892466983</v>
      </c>
      <c r="BV254">
        <f>BT254-BS254</f>
        <v>-203.46686106867412</v>
      </c>
      <c r="BW254"/>
      <c r="BX254">
        <f>BV254</f>
        <v>-203.46686106867412</v>
      </c>
      <c r="BY254">
        <f>IFERROR(BX254/BO254,"")</f>
        <v>-0.2814951423845205</v>
      </c>
      <c r="BZ254">
        <v>0</v>
      </c>
      <c r="CA254">
        <v>0</v>
      </c>
      <c r="CB254">
        <v>0</v>
      </c>
      <c r="CC254">
        <v>0</v>
      </c>
      <c r="CD254">
        <v>0</v>
      </c>
      <c r="CE254">
        <v>0</v>
      </c>
      <c r="CF254">
        <v>0</v>
      </c>
      <c r="CG254">
        <v>0</v>
      </c>
      <c r="CH254">
        <v>0</v>
      </c>
      <c r="CI254">
        <v>0</v>
      </c>
      <c r="CJ254">
        <v>0</v>
      </c>
      <c r="CK254">
        <v>0</v>
      </c>
      <c r="CL254">
        <v>0</v>
      </c>
      <c r="CM254">
        <v>0</v>
      </c>
      <c r="CN254" t="str">
        <f>IF($BL254&lt;$BK254,"refNeedCorrection","refOK")</f>
        <v>refOK</v>
      </c>
      <c r="CO254">
        <f>IF($CN254="refNeedCorrection",BL254,BK254)</f>
        <v>591.32718343375518</v>
      </c>
      <c r="CP254">
        <f>IF($CN254="refNeedCorrection",BK254,BL254)</f>
        <v>757.78980054033161</v>
      </c>
      <c r="CQ254">
        <f>IF($CN254="refOK",$BO254,-$BO254)</f>
        <v>722.80771648535142</v>
      </c>
      <c r="CR254">
        <f>IF($CN254="refOK",$BS254,$BT254)*IF($BP254="Emissions positive",-1,1)</f>
        <v>-956.54496754124091</v>
      </c>
      <c r="CS254">
        <f>IF($CN254="refOK",$BT254,$BS254)*IF($BP254="Emissions positive",-1,1)</f>
        <v>-1160.011828609915</v>
      </c>
      <c r="CT254">
        <f>IF($CN254="refNeedCorrection",-BX254,BX254)*IF($BP254="Emissions positive",-1,1)</f>
        <v>-203.46686106867412</v>
      </c>
      <c r="CU254">
        <f>IFERROR(CT254/CQ254,"")</f>
        <v>-0.2814951423845205</v>
      </c>
      <c r="CV254" s="2">
        <f>IFERROR((CS254-CR254)/ABS(CR254),"")</f>
        <v>-0.21271018924669818</v>
      </c>
      <c r="CW254" s="1" t="s">
        <v>234</v>
      </c>
      <c r="CX254" t="str">
        <f>IF(OR($CW254="prd",$CW254="std",$CW254="cit"),"loc",IF(OR($CW254="eur",$CW254="reg",$CW254="coy"),"reg",$CW254))</f>
        <v>loc</v>
      </c>
      <c r="CY254" t="s">
        <v>280</v>
      </c>
      <c r="CZ254"/>
      <c r="DA254"/>
      <c r="DB254">
        <v>200</v>
      </c>
      <c r="DC254" t="str">
        <f>IF(DB254=0,"0",IF(AND(DB254&gt;=1,DB254&lt;=30),"1-30",IF(AND(DB254&gt;30,DB254&lt;=70),"31-70",IF(AND(DB254&gt;70,DB254&lt;=100),"71-100",IF(DB254&gt;100,"+100")))))</f>
        <v>+100</v>
      </c>
      <c r="DD254">
        <v>0</v>
      </c>
      <c r="DE254">
        <v>0</v>
      </c>
      <c r="DF254">
        <v>1</v>
      </c>
      <c r="DG254">
        <v>0</v>
      </c>
      <c r="DH254"/>
      <c r="DI254">
        <f>SUM(DD254:DG254)</f>
        <v>1</v>
      </c>
      <c r="DJ254" t="str">
        <f>IF(DI254=1,INDEX($DD$7:$DG$7,MATCH(1,$DD254:$DG254,0)),"mixedProduct")</f>
        <v>PulpPaperInput</v>
      </c>
      <c r="DK254">
        <f>IF(DD254=1,DK$7,0)</f>
        <v>0</v>
      </c>
      <c r="DL254">
        <f>IF(DE254=1,DL$7,0)</f>
        <v>0</v>
      </c>
      <c r="DM254" t="str">
        <f>IF(DF254=1,DM$7,0)</f>
        <v>Pulp/Paper</v>
      </c>
      <c r="DN254">
        <f>IF(DG254=1,DN$7,0)</f>
        <v>0</v>
      </c>
      <c r="DO254">
        <v>0</v>
      </c>
      <c r="DP254">
        <v>1</v>
      </c>
      <c r="DQ254">
        <v>0</v>
      </c>
      <c r="DR254" t="s">
        <v>281</v>
      </c>
      <c r="DS254">
        <v>0</v>
      </c>
      <c r="DT254">
        <f>SUM(DO254:DP254)</f>
        <v>1</v>
      </c>
      <c r="DU254" s="143" t="str">
        <f>IF(DO254=1,"self-calculated DF",IF(DP254=1,"external DF used","explicit C balance"))</f>
        <v>external DF used</v>
      </c>
      <c r="DV254">
        <v>0</v>
      </c>
      <c r="DW254">
        <v>1</v>
      </c>
      <c r="DX254">
        <v>1</v>
      </c>
      <c r="DY254">
        <v>1</v>
      </c>
      <c r="DZ254">
        <v>1</v>
      </c>
      <c r="EA254" s="143">
        <v>0</v>
      </c>
      <c r="EB254">
        <v>1</v>
      </c>
      <c r="EC254">
        <v>1</v>
      </c>
      <c r="ED254">
        <v>0</v>
      </c>
      <c r="EE254">
        <v>1</v>
      </c>
      <c r="EF254">
        <v>1</v>
      </c>
      <c r="EG254">
        <v>1</v>
      </c>
      <c r="EH254">
        <v>0</v>
      </c>
      <c r="EI254" s="2">
        <v>0</v>
      </c>
      <c r="EJ254" s="1"/>
      <c r="EK254" t="str">
        <f>IF(AND(AND(AND(OR($DX254=1,$DW254=1),OR($EC254=1,$EA254=1)),SUM($DV254:$DZ254,$EF254)&gt;=4),SUM($EA254:$EE254)&gt;=2),"Whole sector","")</f>
        <v>Whole sector</v>
      </c>
      <c r="EL254" t="str">
        <f>IF(AND(AND(OR($DX254=1,$DW254=1),AND($EC254=0,$EA254=0)),SUM($DV254:$DZ254,$EF254)&gt;=4),"Ecosystem approach","")</f>
        <v/>
      </c>
      <c r="EM254" s="2" t="str">
        <f>IF(AND(AND(AND($DX254=0,$DW254=0),OR($EC254=1,$EA254=1)),SUM($EB254:$EE254)&gt;=2),"Technology approach","")</f>
        <v/>
      </c>
      <c r="EN254"/>
      <c r="EO254"/>
      <c r="EP254" t="str">
        <f>IF(ISNUMBER(BU254),IF(ABS(BU254-[1]QC_indicators!$B$2)&gt;3*[1]QC_indicators!$C$2,"C ratio",IF(ISNUMBER(BY254),IF(ABS(BY254-[1]QC_indicators!$B$1)&gt;3*[1]QC_indicators!$C$1,"DF","no"))),IF(ISNUMBER(BY254),IF(ABS(BY254-[1]QC_indicators!$B$1)&gt;3*[1]QC_indicators!$C$1,"DF","no")))</f>
        <v>no</v>
      </c>
      <c r="EQ254" t="s">
        <v>286</v>
      </c>
      <c r="ER254"/>
      <c r="ES254"/>
      <c r="ET254" s="264" t="s">
        <v>3273</v>
      </c>
      <c r="EU254"/>
    </row>
    <row r="255" spans="1:151" s="139" customFormat="1" ht="15" customHeight="1">
      <c r="A255" s="1" t="s">
        <v>848</v>
      </c>
      <c r="B255" t="s">
        <v>2037</v>
      </c>
      <c r="C255" t="s">
        <v>2038</v>
      </c>
      <c r="D255" t="s">
        <v>2039</v>
      </c>
      <c r="E255" t="s">
        <v>2040</v>
      </c>
      <c r="F255" t="s">
        <v>2041</v>
      </c>
      <c r="G255" t="s">
        <v>854</v>
      </c>
      <c r="H255" t="s">
        <v>254</v>
      </c>
      <c r="I255">
        <v>2020</v>
      </c>
      <c r="J255">
        <v>1</v>
      </c>
      <c r="K255" t="s">
        <v>2042</v>
      </c>
      <c r="L255"/>
      <c r="M255" t="str">
        <f>LEFT($D255,FIND(",",$D255)-1)&amp;"_"&amp;I255&amp;L255</f>
        <v>Numazawa_2020</v>
      </c>
      <c r="N255" t="s">
        <v>222</v>
      </c>
      <c r="O255" s="157" t="s">
        <v>274</v>
      </c>
      <c r="P255" t="s">
        <v>513</v>
      </c>
      <c r="Q255" t="s">
        <v>389</v>
      </c>
      <c r="R255" s="255" t="s">
        <v>223</v>
      </c>
      <c r="S255" s="1" t="s">
        <v>2049</v>
      </c>
      <c r="T255" t="s">
        <v>2044</v>
      </c>
      <c r="U255" t="s">
        <v>2050</v>
      </c>
      <c r="V255">
        <v>0</v>
      </c>
      <c r="W255">
        <v>0</v>
      </c>
      <c r="X255">
        <v>0</v>
      </c>
      <c r="Y255">
        <v>1</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s="141">
        <f>COUNTIF(V255:AW255,"&lt;&gt;0")</f>
        <v>1</v>
      </c>
      <c r="AY255" s="141">
        <f>COUNTIF(V255:AL255,"&lt;&gt;0")</f>
        <v>1</v>
      </c>
      <c r="AZ255">
        <f>COUNTIF(V255:AC255,"&lt;&gt;0")</f>
        <v>1</v>
      </c>
      <c r="BA255">
        <f>COUNTIF(AD255:AI255,"&lt;&gt;0")</f>
        <v>0</v>
      </c>
      <c r="BB255">
        <f>COUNTIF(AJ255:AL255,"&lt;&gt;0")</f>
        <v>0</v>
      </c>
      <c r="BC255">
        <f>COUNTIF(AS255:AW255,"&lt;&gt;0")</f>
        <v>0</v>
      </c>
      <c r="BD255">
        <f>COUNTIF(AM255:AR255,"&lt;&gt;0")</f>
        <v>0</v>
      </c>
      <c r="BE255" t="str">
        <f t="array" ref="BE255">IF(AY255=1,INDEX($V$7:$AL$7,MATCH(TRUE,INDEX($V255:$AW255&lt;&gt;0,),0)),IF(AY255=0,INDEX($AM$7:$AW$7,MATCH(1,$AM255:$AW255,0)),IF(BF255="Multiple strategies","mixed drivers",IF(BF255="Supply chain","multiple supply","multiple silviculture"))))</f>
        <v xml:space="preserve">cutting intensity </v>
      </c>
      <c r="BF255" s="2" t="str" cm="1">
        <f t="array" ref="BF255">IF(COUNTIF(AZ255:BB255,"&lt;&gt;0")=1,INDEX($V$4:$AW$4,MATCH(TRUE,INDEX($V255:$AW255&lt;&gt;0,),0)),IF(COUNTIF(AZ255:BB255,"&lt;&gt;0")=0,INDEX($AM$4:$AW$4,MATCH(1,$AM255:$AW255,0)),"Multiple strategies"))</f>
        <v>Silviculture for removals</v>
      </c>
      <c r="BG255" s="1" t="s">
        <v>321</v>
      </c>
      <c r="BH255" s="265" t="s">
        <v>3096</v>
      </c>
      <c r="BI255" s="264" t="s">
        <v>396</v>
      </c>
      <c r="BJ255" t="s">
        <v>2046</v>
      </c>
      <c r="BK255">
        <v>0</v>
      </c>
      <c r="BL255">
        <v>84</v>
      </c>
      <c r="BM255" t="str">
        <f>IFERROR(BL255/BK255,"")</f>
        <v/>
      </c>
      <c r="BN255">
        <f>BL255-BK255</f>
        <v>84</v>
      </c>
      <c r="BO255">
        <f>BN255*t_to_m3</f>
        <v>171.42857142857144</v>
      </c>
      <c r="BP255" t="s">
        <v>232</v>
      </c>
      <c r="BQ255" s="234" t="s">
        <v>396</v>
      </c>
      <c r="BR255" t="s">
        <v>2047</v>
      </c>
      <c r="BS255">
        <v>125</v>
      </c>
      <c r="BT255">
        <v>112</v>
      </c>
      <c r="BU255" s="144">
        <f>BT255/BS255</f>
        <v>0.89600000000000002</v>
      </c>
      <c r="BV255">
        <f>BT255-BS255</f>
        <v>-13</v>
      </c>
      <c r="BW255"/>
      <c r="BX255">
        <f>BV255*C_to_CO2</f>
        <v>-47.71</v>
      </c>
      <c r="BY255">
        <f>IFERROR(BX255/BO255,"")</f>
        <v>-0.27830833333333332</v>
      </c>
      <c r="BZ255">
        <v>0</v>
      </c>
      <c r="CA255">
        <v>0</v>
      </c>
      <c r="CB255">
        <v>0</v>
      </c>
      <c r="CC255">
        <v>0</v>
      </c>
      <c r="CD255">
        <v>0</v>
      </c>
      <c r="CE255">
        <v>0</v>
      </c>
      <c r="CF255">
        <v>0</v>
      </c>
      <c r="CG255">
        <v>0</v>
      </c>
      <c r="CH255">
        <v>0</v>
      </c>
      <c r="CI255">
        <v>0</v>
      </c>
      <c r="CJ255">
        <v>0</v>
      </c>
      <c r="CK255">
        <v>0</v>
      </c>
      <c r="CL255">
        <v>0</v>
      </c>
      <c r="CM255">
        <v>1</v>
      </c>
      <c r="CN255" t="str">
        <f>IF($BL255&lt;$BK255,"refNeedCorrection","refOK")</f>
        <v>refOK</v>
      </c>
      <c r="CO255">
        <f>IF($CN255="refOK",$BK255,$BL255)</f>
        <v>0</v>
      </c>
      <c r="CP255">
        <f>IF($CN255="refOK",$BL255,$BK255)</f>
        <v>84</v>
      </c>
      <c r="CQ255">
        <f>IF($CN255="refOK",$BO255,-$BO255)</f>
        <v>171.42857142857144</v>
      </c>
      <c r="CR255">
        <f>IF($CN255="refOK",$BS255,$BT255)*IF($BP255="Emissions positive",-1,1)</f>
        <v>125</v>
      </c>
      <c r="CS255">
        <f>IF($CN255="refOK",$BT255,$BS255)*IF($BP255="Emissions positive",-1,1)</f>
        <v>112</v>
      </c>
      <c r="CT255">
        <f>IF($CN255="refNeedCorrection",-BX255,BX255)*IF($BP255="Emissions positive",-1,1)</f>
        <v>-47.71</v>
      </c>
      <c r="CU255">
        <f>IFERROR(CT255/CQ255,"")</f>
        <v>-0.27830833333333332</v>
      </c>
      <c r="CV255" s="2">
        <f>IFERROR((CS255-CR255)/ABS(CR255),"")</f>
        <v>-0.104</v>
      </c>
      <c r="CW255" s="1" t="s">
        <v>2036</v>
      </c>
      <c r="CX255" t="str">
        <f>IF(OR($CW255="prd",$CW255="std",$CW255="cit"),"loc",IF(OR($CW255="eur",$CW255="reg",$CW255="coy"),"reg",$CW255))</f>
        <v>reg</v>
      </c>
      <c r="CY255" t="s">
        <v>520</v>
      </c>
      <c r="CZ255"/>
      <c r="DA255"/>
      <c r="DB255">
        <v>120</v>
      </c>
      <c r="DC255" t="str">
        <f>IF(DB255=0,"0",IF(AND(DB255&gt;=1,DB255&lt;=30),"1-30",IF(AND(DB255&gt;30,DB255&lt;=70),"31-70",IF(AND(DB255&gt;70,DB255&lt;=100),"71-100",IF(DB255&gt;100,"+100")))))</f>
        <v>+100</v>
      </c>
      <c r="DD255">
        <v>1</v>
      </c>
      <c r="DE255">
        <v>0</v>
      </c>
      <c r="DF255">
        <v>0</v>
      </c>
      <c r="DG255">
        <v>0</v>
      </c>
      <c r="DH255">
        <v>0</v>
      </c>
      <c r="DI255">
        <f>SUM(DD255:DG255)</f>
        <v>1</v>
      </c>
      <c r="DJ255" t="str">
        <f>IF(DI255=1,INDEX($DD$7:$DG$7,MATCH(1,$DD255:$DG255,0)),"mixedProduct")</f>
        <v>UpstreamInput</v>
      </c>
      <c r="DK255" t="str">
        <f>IF(DD255=1,DK$7,0)</f>
        <v>Upstream</v>
      </c>
      <c r="DL255">
        <f>IF(DE255=1,DL$7,0)</f>
        <v>0</v>
      </c>
      <c r="DM255">
        <f>IF(DF255=1,DM$7,0)</f>
        <v>0</v>
      </c>
      <c r="DN255">
        <f>IF(DG255=1,DN$7,0)</f>
        <v>0</v>
      </c>
      <c r="DO255"/>
      <c r="DP255"/>
      <c r="DQ255"/>
      <c r="DR255"/>
      <c r="DS255"/>
      <c r="DT255"/>
      <c r="DU255" s="143" t="str">
        <f>IF(DO255=1,"self-calculated DF",IF(DP255=1,"external DF used","explicit C balance"))</f>
        <v>explicit C balance</v>
      </c>
      <c r="DV255">
        <v>1</v>
      </c>
      <c r="DW255">
        <v>1</v>
      </c>
      <c r="DX255">
        <v>1</v>
      </c>
      <c r="DY255">
        <v>0</v>
      </c>
      <c r="DZ255">
        <v>0</v>
      </c>
      <c r="EA255" s="143">
        <v>0</v>
      </c>
      <c r="EB255">
        <v>0</v>
      </c>
      <c r="EC255">
        <v>0</v>
      </c>
      <c r="ED255">
        <v>0</v>
      </c>
      <c r="EE255">
        <v>0</v>
      </c>
      <c r="EF255">
        <v>1</v>
      </c>
      <c r="EG255">
        <v>0</v>
      </c>
      <c r="EH255">
        <v>0</v>
      </c>
      <c r="EI255" s="2">
        <v>0</v>
      </c>
      <c r="EJ255" s="1"/>
      <c r="EK255" t="str">
        <f>IF(AND(AND(AND(OR($DX255=1,$DW255=1),OR($EC255=1,$EA255=1)),SUM($DV255:$DZ255,$EF255)&gt;=4),SUM($EA255:$EE255)&gt;=2),"Whole sector","")</f>
        <v/>
      </c>
      <c r="EL255" t="str">
        <f>IF(AND(AND(OR($DX255=1,$DW255=1),AND($EC255=0,$EA255=0)),SUM($DV255:$DZ255,$EF255)&gt;=4),"Ecosystem approach","")</f>
        <v>Ecosystem approach</v>
      </c>
      <c r="EM255" s="2" t="str">
        <f>IF(AND(AND(AND($DX255=0,$DW255=0),OR($EC255=1,$EA255=1)),SUM($EB255:$EE255)&gt;=2),"Technology approach","")</f>
        <v/>
      </c>
      <c r="EN255"/>
      <c r="EO255"/>
      <c r="EP255" t="str">
        <f>IF(ISNUMBER(BU255),IF(ABS(BU255-[1]QC_indicators!$B$2)&gt;3*[1]QC_indicators!$C$2,"C ratio",IF(ISNUMBER(BY255),IF(ABS(BY255-[1]QC_indicators!$B$1)&gt;3*[1]QC_indicators!$C$1,"DF","no"))),IF(ISNUMBER(BY255),IF(ABS(BY255-[1]QC_indicators!$B$1)&gt;3*[1]QC_indicators!$C$1,"DF","no")))</f>
        <v>no</v>
      </c>
      <c r="EQ255"/>
      <c r="ER255"/>
      <c r="ES255"/>
      <c r="ET255" s="264" t="s">
        <v>3097</v>
      </c>
      <c r="EU255"/>
    </row>
    <row r="256" spans="1:151" s="139" customFormat="1" ht="15" customHeight="1">
      <c r="A256" s="1"/>
      <c r="B256"/>
      <c r="C256"/>
      <c r="D256" t="s">
        <v>757</v>
      </c>
      <c r="E256" t="s">
        <v>758</v>
      </c>
      <c r="F256"/>
      <c r="G256" t="s">
        <v>759</v>
      </c>
      <c r="H256"/>
      <c r="I256">
        <v>2006</v>
      </c>
      <c r="J256"/>
      <c r="K256" s="296" t="s">
        <v>760</v>
      </c>
      <c r="L256"/>
      <c r="M256" t="str">
        <f>LEFT($D256,FIND(",",$D256)-1)&amp;"_"&amp;I256&amp;L256</f>
        <v>Gustavsson_2006</v>
      </c>
      <c r="N256" t="s">
        <v>222</v>
      </c>
      <c r="O256" t="s">
        <v>223</v>
      </c>
      <c r="P256"/>
      <c r="Q256" s="264" t="s">
        <v>256</v>
      </c>
      <c r="R256" s="269" t="s">
        <v>1154</v>
      </c>
      <c r="S256" s="263" t="s">
        <v>761</v>
      </c>
      <c r="T256" t="s">
        <v>753</v>
      </c>
      <c r="U256" s="143" t="s">
        <v>754</v>
      </c>
      <c r="V256">
        <v>0</v>
      </c>
      <c r="W256">
        <v>0</v>
      </c>
      <c r="X256">
        <v>0</v>
      </c>
      <c r="Y256">
        <v>0</v>
      </c>
      <c r="Z256">
        <v>0</v>
      </c>
      <c r="AA256">
        <v>0</v>
      </c>
      <c r="AB256">
        <v>0</v>
      </c>
      <c r="AC256">
        <v>0</v>
      </c>
      <c r="AD256">
        <v>0</v>
      </c>
      <c r="AE256">
        <v>0</v>
      </c>
      <c r="AF256">
        <v>0</v>
      </c>
      <c r="AG256">
        <v>0</v>
      </c>
      <c r="AH256">
        <v>0</v>
      </c>
      <c r="AI256">
        <v>0</v>
      </c>
      <c r="AJ256">
        <v>0</v>
      </c>
      <c r="AK256">
        <v>1</v>
      </c>
      <c r="AL256">
        <v>0</v>
      </c>
      <c r="AM256">
        <v>0</v>
      </c>
      <c r="AN256">
        <v>0</v>
      </c>
      <c r="AO256">
        <v>0</v>
      </c>
      <c r="AP256">
        <v>0</v>
      </c>
      <c r="AQ256">
        <v>0</v>
      </c>
      <c r="AR256">
        <v>0</v>
      </c>
      <c r="AS256">
        <v>0</v>
      </c>
      <c r="AT256">
        <v>0</v>
      </c>
      <c r="AU256">
        <v>0</v>
      </c>
      <c r="AV256">
        <v>0</v>
      </c>
      <c r="AW256">
        <v>0</v>
      </c>
      <c r="AX256" s="141">
        <f>COUNTIF(V256:AW256,"&lt;&gt;0")</f>
        <v>1</v>
      </c>
      <c r="AY256" s="141">
        <f>COUNTIF(V256:AL256,"&lt;&gt;0")</f>
        <v>1</v>
      </c>
      <c r="AZ256">
        <f>COUNTIF(V256:AC256,"&lt;&gt;0")</f>
        <v>0</v>
      </c>
      <c r="BA256">
        <f>COUNTIF(AD256:AI256,"&lt;&gt;0")</f>
        <v>0</v>
      </c>
      <c r="BB256">
        <f>COUNTIF(AJ256:AL256,"&lt;&gt;0")</f>
        <v>1</v>
      </c>
      <c r="BC256">
        <f>COUNTIF(AS256:AW256,"&lt;&gt;0")</f>
        <v>0</v>
      </c>
      <c r="BD256">
        <f>COUNTIF(AM256:AR256,"&lt;&gt;0")</f>
        <v>0</v>
      </c>
      <c r="BE256" t="str" cm="1">
        <f t="array" ref="BE256">IF(AY256=1,INDEX($V$7:$AL$7,MATCH(TRUE,INDEX($V256:$AW256&lt;&gt;0,),0)),IF(AY256=0,INDEX($AM$7:$AW$7,MATCH(1,$AM256:$AW256,0)),IF(BF256="Multiple strategies","mixed drivers",IF(BF256="Supply chain","multiple supply","multiple silviculture"))))</f>
        <v>technologies/design switch</v>
      </c>
      <c r="BF256" s="2" t="str" cm="1">
        <f t="array" ref="BF256">IF(COUNTIF(AZ256:BB256,"&lt;&gt;0")=1,INDEX($V$4:$AW$4,MATCH(TRUE,INDEX($V256:$AW256&lt;&gt;0,),0)),IF(COUNTIF(AZ256:BB256,"&lt;&gt;0")=0,INDEX($AM$4:$AW$4,MATCH(1,$AM256:$AW256,0)),"Multiple strategies"))</f>
        <v>Technology</v>
      </c>
      <c r="BG256" s="142" t="s">
        <v>229</v>
      </c>
      <c r="BH256" t="s">
        <v>393</v>
      </c>
      <c r="BI256" s="264" t="s">
        <v>762</v>
      </c>
      <c r="BJ256" s="143" t="s">
        <v>763</v>
      </c>
      <c r="BK256">
        <v>32</v>
      </c>
      <c r="BL256" s="143">
        <v>145</v>
      </c>
      <c r="BM256" s="143"/>
      <c r="BN256">
        <f>BL256-BK256</f>
        <v>113</v>
      </c>
      <c r="BO256" s="143">
        <f>BN256*t_to_m3</f>
        <v>230.61224489795919</v>
      </c>
      <c r="BP256" s="264" t="s">
        <v>232</v>
      </c>
      <c r="BQ256" s="336" t="s">
        <v>764</v>
      </c>
      <c r="BR256" t="s">
        <v>442</v>
      </c>
      <c r="BS256" s="143">
        <v>-119.4</v>
      </c>
      <c r="BT256" s="151">
        <v>-136.69999999999999</v>
      </c>
      <c r="BU256"/>
      <c r="BV256">
        <f>BT256-BS256</f>
        <v>-17.299999999999983</v>
      </c>
      <c r="BW256"/>
      <c r="BX256">
        <f>BV256*C_to_CO2</f>
        <v>-63.490999999999936</v>
      </c>
      <c r="BY256">
        <f>IFERROR(BX256/BO256,"")</f>
        <v>-0.2753149557522121</v>
      </c>
      <c r="BZ256" s="143">
        <v>0</v>
      </c>
      <c r="CA256" s="143">
        <v>0</v>
      </c>
      <c r="CB256" s="143">
        <v>0</v>
      </c>
      <c r="CC256" s="143">
        <v>0</v>
      </c>
      <c r="CD256" s="143">
        <v>0</v>
      </c>
      <c r="CE256" s="143">
        <v>0</v>
      </c>
      <c r="CF256" s="143">
        <v>0</v>
      </c>
      <c r="CG256" s="143">
        <v>0</v>
      </c>
      <c r="CH256" s="143">
        <v>0</v>
      </c>
      <c r="CI256" s="143">
        <v>0</v>
      </c>
      <c r="CJ256" s="143">
        <v>0</v>
      </c>
      <c r="CK256" s="143">
        <v>0</v>
      </c>
      <c r="CL256" s="143">
        <v>0</v>
      </c>
      <c r="CM256">
        <v>0</v>
      </c>
      <c r="CN256" t="str">
        <f>IF($BL256&lt;$BK256,"refNeedCorrection","refOK")</f>
        <v>refOK</v>
      </c>
      <c r="CO256">
        <f>IF($CN256="refOK",$BK256,$BL256)</f>
        <v>32</v>
      </c>
      <c r="CP256">
        <f>IF($CN256="refOK",$BL256,$BK256)</f>
        <v>145</v>
      </c>
      <c r="CQ256">
        <f>IF($CN256="refOK",$BO256,-$BO256)</f>
        <v>230.61224489795919</v>
      </c>
      <c r="CR256">
        <f>IF($CN256="refOK",$BS256,$BT256)*IF($BP256="Emissions positive",-1,1)</f>
        <v>-119.4</v>
      </c>
      <c r="CS256">
        <f>IF($CN256="refOK",$BT256,$BS256)*IF($BP256="Emissions positive",-1,1)</f>
        <v>-136.69999999999999</v>
      </c>
      <c r="CT256">
        <f>IF($CN256="refNeedCorrection",-BX256,BX256)*IF($BP256="Emissions positive",-1,1)</f>
        <v>-63.490999999999936</v>
      </c>
      <c r="CU256">
        <f>IFERROR(CT256/CQ256,"")</f>
        <v>-0.2753149557522121</v>
      </c>
      <c r="CV256" s="2">
        <f>IFERROR((CS256-CR256)/ABS(CR256),"")</f>
        <v>-0.14489112227805681</v>
      </c>
      <c r="CW256" s="1" t="s">
        <v>263</v>
      </c>
      <c r="CX256" s="264" t="str">
        <f>IF(OR($CW256="prd",$CW256="std",$CW256="cit"),"loc",IF(OR($CW256="eur",$CW256="reg",$CW256="coy"),"reg",$CW256))</f>
        <v>loc</v>
      </c>
      <c r="CY256" t="s">
        <v>235</v>
      </c>
      <c r="CZ256"/>
      <c r="DA256" s="143"/>
      <c r="DB256" s="143">
        <v>0</v>
      </c>
      <c r="DC256" t="str">
        <f>IF(DB256=0,"0",IF(AND(DB256&gt;=1,DB256&lt;=30),"1-30",IF(AND(DB256&gt;30,DB256&lt;=70),"31-70",IF(AND(DB256&gt;70,DB256&lt;=100),"71-100",IF(DB256&gt;100,"+100")))))</f>
        <v>0</v>
      </c>
      <c r="DD256">
        <v>0</v>
      </c>
      <c r="DE256">
        <v>0</v>
      </c>
      <c r="DF256">
        <v>0</v>
      </c>
      <c r="DG256">
        <v>1</v>
      </c>
      <c r="DH256"/>
      <c r="DI256">
        <f>SUM(DD256:DG256)</f>
        <v>1</v>
      </c>
      <c r="DJ256" t="str">
        <f>IF(DI256=1,INDEX($DD$7:$DG$7,MATCH(1,$DD256:$DG256,0)),"mixedProduct")</f>
        <v>TimberInput</v>
      </c>
      <c r="DK256">
        <f>IF(DD256=1,DK$7,0)</f>
        <v>0</v>
      </c>
      <c r="DL256">
        <f>IF(DE256=1,DL$7,0)</f>
        <v>0</v>
      </c>
      <c r="DM256">
        <f>IF(DF256=1,DM$7,0)</f>
        <v>0</v>
      </c>
      <c r="DN256" t="str">
        <f>IF(DG256=1,DN$7,0)</f>
        <v>Timber</v>
      </c>
      <c r="DO256">
        <v>1</v>
      </c>
      <c r="DP256" s="143">
        <v>0</v>
      </c>
      <c r="DQ256" s="143">
        <v>0</v>
      </c>
      <c r="DR256">
        <v>0</v>
      </c>
      <c r="DS256" s="143">
        <v>0</v>
      </c>
      <c r="DT256">
        <f>SUM(DO256:DP256)</f>
        <v>1</v>
      </c>
      <c r="DU256" s="143" t="str">
        <f>IF(DO256=1,"self-calculated DF",IF(DP256=1,"external DF used","explicit C balance"))</f>
        <v>self-calculated DF</v>
      </c>
      <c r="DV256" s="143">
        <v>0</v>
      </c>
      <c r="DW256" s="143">
        <v>0</v>
      </c>
      <c r="DX256" s="143">
        <v>1</v>
      </c>
      <c r="DY256" s="143">
        <v>1</v>
      </c>
      <c r="DZ256">
        <v>0</v>
      </c>
      <c r="EA256" s="143">
        <v>1</v>
      </c>
      <c r="EB256" s="143">
        <v>1</v>
      </c>
      <c r="EC256" s="143">
        <v>1</v>
      </c>
      <c r="ED256" s="143">
        <v>0</v>
      </c>
      <c r="EE256">
        <v>0</v>
      </c>
      <c r="EF256">
        <v>1</v>
      </c>
      <c r="EG256" s="143">
        <v>0</v>
      </c>
      <c r="EH256" s="143">
        <v>0</v>
      </c>
      <c r="EI256" s="2">
        <v>0</v>
      </c>
      <c r="EJ256" s="1"/>
      <c r="EK256" t="str">
        <f>IF(AND(AND(AND(OR($DX256=1,$DW256=1),OR($EC256=1,$EA256=1)),SUM($DV256:$DZ256,$EF256)&gt;=4),SUM($EA256:$EE256)&gt;=2),"Whole sector","")</f>
        <v/>
      </c>
      <c r="EL256" t="str">
        <f>IF(AND(AND(OR($DX256=1,$DW256=1),AND($EC256=0,$EA256=0)),SUM($DV256:$DZ256,$EF256)&gt;=4),"Ecosystem approach","")</f>
        <v/>
      </c>
      <c r="EM256" s="2" t="str">
        <f>IF(AND(AND(AND($DX256=0,$DW256=0),OR($EC256=1,$EA256=1)),SUM($EB256:$EE256)&gt;=2),"Technology approach","")</f>
        <v/>
      </c>
      <c r="EN256"/>
      <c r="EO256"/>
      <c r="EP256" t="str">
        <f>IF(ISNUMBER(BU256),IF(ABS(BU256-[3]QC_indicators!$B$2)&gt;3*[3]QC_indicators!$C$2,"C ratio",IF(ISNUMBER(BY256),IF(ABS(BY256-[3]QC_indicators!$B$1)&gt;3*[3]QC_indicators!$C$1,"DF","no"))),IF(ISNUMBER(BY256),IF(ABS(BY256-[3]QC_indicators!$B$1)&gt;3*[3]QC_indicators!$C$1,"DF","no")))</f>
        <v>no</v>
      </c>
      <c r="EQ256"/>
      <c r="ER256" s="294" t="s">
        <v>349</v>
      </c>
      <c r="ES256"/>
      <c r="ET256" s="264" t="s">
        <v>3407</v>
      </c>
      <c r="EU256"/>
    </row>
    <row r="257" spans="1:151" s="139" customFormat="1" ht="15" customHeight="1">
      <c r="A257" s="1" t="s">
        <v>265</v>
      </c>
      <c r="B257" t="s">
        <v>266</v>
      </c>
      <c r="C257" t="s">
        <v>267</v>
      </c>
      <c r="D257" t="s">
        <v>268</v>
      </c>
      <c r="E257" t="s">
        <v>269</v>
      </c>
      <c r="F257" t="s">
        <v>270</v>
      </c>
      <c r="G257" t="s">
        <v>271</v>
      </c>
      <c r="H257" t="s">
        <v>254</v>
      </c>
      <c r="I257">
        <v>2022</v>
      </c>
      <c r="J257">
        <v>0</v>
      </c>
      <c r="K257" t="s">
        <v>272</v>
      </c>
      <c r="L257"/>
      <c r="M257" t="str">
        <f>LEFT($D257,FIND(",",$D257)-1)&amp;"_"&amp;I257&amp;L257</f>
        <v>Aryapratama_2022</v>
      </c>
      <c r="N257" t="s">
        <v>222</v>
      </c>
      <c r="O257" s="145" t="s">
        <v>274</v>
      </c>
      <c r="P257"/>
      <c r="Q257" t="s">
        <v>224</v>
      </c>
      <c r="R257" s="262" t="s">
        <v>223</v>
      </c>
      <c r="S257" s="263" t="s">
        <v>3105</v>
      </c>
      <c r="T257" t="s">
        <v>295</v>
      </c>
      <c r="U257" t="s">
        <v>289</v>
      </c>
      <c r="V257">
        <v>0</v>
      </c>
      <c r="W257">
        <v>0</v>
      </c>
      <c r="X257">
        <v>0</v>
      </c>
      <c r="Y257">
        <v>0</v>
      </c>
      <c r="Z257">
        <v>0</v>
      </c>
      <c r="AA257">
        <v>0</v>
      </c>
      <c r="AB257">
        <v>0</v>
      </c>
      <c r="AC257">
        <v>0</v>
      </c>
      <c r="AD257">
        <v>0</v>
      </c>
      <c r="AE257">
        <v>0</v>
      </c>
      <c r="AF257">
        <v>0</v>
      </c>
      <c r="AG257">
        <v>0</v>
      </c>
      <c r="AH257">
        <v>0</v>
      </c>
      <c r="AI257">
        <v>0</v>
      </c>
      <c r="AJ257">
        <v>0</v>
      </c>
      <c r="AK257">
        <v>1</v>
      </c>
      <c r="AL257">
        <v>0</v>
      </c>
      <c r="AM257">
        <v>0</v>
      </c>
      <c r="AN257">
        <v>0</v>
      </c>
      <c r="AO257">
        <v>0</v>
      </c>
      <c r="AP257">
        <v>0</v>
      </c>
      <c r="AQ257">
        <v>0</v>
      </c>
      <c r="AR257">
        <v>0</v>
      </c>
      <c r="AS257">
        <v>0</v>
      </c>
      <c r="AT257">
        <v>0</v>
      </c>
      <c r="AU257">
        <v>0</v>
      </c>
      <c r="AV257">
        <v>0</v>
      </c>
      <c r="AW257">
        <v>0</v>
      </c>
      <c r="AX257" s="141">
        <f>COUNTIF(V257:AW257,"&lt;&gt;0")</f>
        <v>1</v>
      </c>
      <c r="AY257" s="141">
        <f>COUNTIF(V257:AL257,"&lt;&gt;0")</f>
        <v>1</v>
      </c>
      <c r="AZ257">
        <f>COUNTIF(V257:AC257,"&lt;&gt;0")</f>
        <v>0</v>
      </c>
      <c r="BA257">
        <f>COUNTIF(AD257:AI257,"&lt;&gt;0")</f>
        <v>0</v>
      </c>
      <c r="BB257">
        <f>COUNTIF(AJ257:AL257,"&lt;&gt;0")</f>
        <v>1</v>
      </c>
      <c r="BC257">
        <f>COUNTIF(AS257:AW257,"&lt;&gt;0")</f>
        <v>0</v>
      </c>
      <c r="BD257">
        <f>COUNTIF(AM257:AR257,"&lt;&gt;0")</f>
        <v>0</v>
      </c>
      <c r="BE257" t="str">
        <f t="array" ref="BE257">IF(AY257=1,INDEX($V$7:$AL$7,MATCH(TRUE,INDEX($V257:$AW257&lt;&gt;0,),0)),IF(AY257=0,INDEX($AM$7:$AW$7,MATCH(1,$AM257:$AW257,0)),IF(BF257="Multiple strategies","mixed drivers",IF(BF257="Supply chain","multiple supply","multiple silviculture"))))</f>
        <v>technologies/design switch</v>
      </c>
      <c r="BF257" s="2" t="str" cm="1">
        <f t="array" ref="BF257">IF(COUNTIF(AZ257:BB257,"&lt;&gt;0")=1,INDEX($V$4:$AW$4,MATCH(TRUE,INDEX($V257:$AW257&lt;&gt;0,),0)),IF(COUNTIF(AZ257:BB257,"&lt;&gt;0")=0,INDEX($AM$4:$AW$4,MATCH(1,$AM257:$AW257,0)),"Multiple strategies"))</f>
        <v>Technology</v>
      </c>
      <c r="BG257" s="1" t="s">
        <v>229</v>
      </c>
      <c r="BH257" t="s">
        <v>277</v>
      </c>
      <c r="BI257" s="264" t="s">
        <v>3106</v>
      </c>
      <c r="BJ257" t="s">
        <v>278</v>
      </c>
      <c r="BK257">
        <v>0</v>
      </c>
      <c r="BL257">
        <v>265.71098787093206</v>
      </c>
      <c r="BM257"/>
      <c r="BN257">
        <f>BL257-BK257</f>
        <v>265.71098787093206</v>
      </c>
      <c r="BO257">
        <f>BN257*tC_to_m3</f>
        <v>1153.76025996931</v>
      </c>
      <c r="BP257" t="s">
        <v>232</v>
      </c>
      <c r="BQ257" s="303" t="s">
        <v>3107</v>
      </c>
      <c r="BR257" t="s">
        <v>279</v>
      </c>
      <c r="BS257">
        <v>-559.28752781846788</v>
      </c>
      <c r="BT257">
        <v>-870.70033536556764</v>
      </c>
      <c r="BU257" s="144">
        <f>IFERROR(BT257/BS257,"")</f>
        <v>1.556802703542814</v>
      </c>
      <c r="BV257">
        <f>BT257-BS257</f>
        <v>-311.41280754709976</v>
      </c>
      <c r="BW257"/>
      <c r="BX257">
        <f>BV257</f>
        <v>-311.41280754709976</v>
      </c>
      <c r="BY257">
        <f>IFERROR(BX257/BO257,"")</f>
        <v>-0.26991119243037831</v>
      </c>
      <c r="BZ257">
        <v>0</v>
      </c>
      <c r="CA257">
        <v>0</v>
      </c>
      <c r="CB257">
        <v>0</v>
      </c>
      <c r="CC257">
        <v>0</v>
      </c>
      <c r="CD257">
        <v>0</v>
      </c>
      <c r="CE257">
        <v>0</v>
      </c>
      <c r="CF257">
        <v>0</v>
      </c>
      <c r="CG257">
        <v>0</v>
      </c>
      <c r="CH257">
        <v>0</v>
      </c>
      <c r="CI257">
        <v>0</v>
      </c>
      <c r="CJ257">
        <v>0</v>
      </c>
      <c r="CK257">
        <v>0</v>
      </c>
      <c r="CL257">
        <v>0</v>
      </c>
      <c r="CM257">
        <v>0</v>
      </c>
      <c r="CN257" t="str">
        <f>IF($BL257&lt;$BK257,"refNeedCorrection","refOK")</f>
        <v>refOK</v>
      </c>
      <c r="CO257">
        <f>IF($CN257="refOK",$BK257,$BL257)</f>
        <v>0</v>
      </c>
      <c r="CP257">
        <f>IF($CN257="refOK",$BL257,$BK257)</f>
        <v>265.71098787093206</v>
      </c>
      <c r="CQ257">
        <f>IF($CN257="refOK",$BO257,-$BO257)</f>
        <v>1153.76025996931</v>
      </c>
      <c r="CR257">
        <f>IF($CN257="refOK",$BS257,$BT257)*IF($BP257="Emissions positive",-1,1)</f>
        <v>-559.28752781846788</v>
      </c>
      <c r="CS257">
        <f>IF($CN257="refOK",$BT257,$BS257)*IF($BP257="Emissions positive",-1,1)</f>
        <v>-870.70033536556764</v>
      </c>
      <c r="CT257">
        <f>IF($CN257="refNeedCorrection",-BX257,BX257)*IF($BP257="Emissions positive",-1,1)</f>
        <v>-311.41280754709976</v>
      </c>
      <c r="CU257">
        <f>IFERROR(CT257/CQ257,"")</f>
        <v>-0.26991119243037831</v>
      </c>
      <c r="CV257" s="2">
        <f>IFERROR((CS257-CR257)/ABS(CR257),"")</f>
        <v>-0.55680270354281414</v>
      </c>
      <c r="CW257" s="1" t="s">
        <v>234</v>
      </c>
      <c r="CX257" t="str">
        <f>IF(OR($CW257="prd",$CW257="std",$CW257="cit"),"loc",IF(OR($CW257="eur",$CW257="reg",$CW257="coy"),"reg",$CW257))</f>
        <v>loc</v>
      </c>
      <c r="CY257" t="s">
        <v>280</v>
      </c>
      <c r="CZ257"/>
      <c r="DA257"/>
      <c r="DB257">
        <v>50</v>
      </c>
      <c r="DC257" t="str">
        <f>IF(DB257=0,"0",IF(AND(DB257&gt;=1,DB257&lt;=30),"1-30",IF(AND(DB257&gt;30,DB257&lt;=70),"31-70",IF(AND(DB257&gt;70,DB257&lt;=100),"71-100",IF(DB257&gt;100,"+100")))))</f>
        <v>31-70</v>
      </c>
      <c r="DD257">
        <v>0</v>
      </c>
      <c r="DE257">
        <v>0</v>
      </c>
      <c r="DF257">
        <v>0</v>
      </c>
      <c r="DG257">
        <v>1</v>
      </c>
      <c r="DH257"/>
      <c r="DI257">
        <f>SUM(DD257:DG257)</f>
        <v>1</v>
      </c>
      <c r="DJ257" t="str">
        <f>IF(DI257=1,INDEX($DD$7:$DG$7,MATCH(1,$DD257:$DG257,0)),"mixedProduct")</f>
        <v>TimberInput</v>
      </c>
      <c r="DK257">
        <f>IF(DD257=1,DK$7,0)</f>
        <v>0</v>
      </c>
      <c r="DL257">
        <f>IF(DE257=1,DL$7,0)</f>
        <v>0</v>
      </c>
      <c r="DM257">
        <f>IF(DF257=1,DM$7,0)</f>
        <v>0</v>
      </c>
      <c r="DN257" t="str">
        <f>IF(DG257=1,DN$7,0)</f>
        <v>Timber</v>
      </c>
      <c r="DO257">
        <v>0</v>
      </c>
      <c r="DP257">
        <v>1</v>
      </c>
      <c r="DQ257">
        <v>0</v>
      </c>
      <c r="DR257" t="s">
        <v>292</v>
      </c>
      <c r="DS257">
        <v>0</v>
      </c>
      <c r="DT257">
        <f>SUM(DO257:DP257)</f>
        <v>1</v>
      </c>
      <c r="DU257" s="143" t="str">
        <f>IF(DO257=1,"self-calculated DF",IF(DP257=1,"external DF used","explicit C balance"))</f>
        <v>external DF used</v>
      </c>
      <c r="DV257">
        <v>0</v>
      </c>
      <c r="DW257">
        <v>1</v>
      </c>
      <c r="DX257">
        <v>1</v>
      </c>
      <c r="DY257">
        <v>1</v>
      </c>
      <c r="DZ257">
        <v>1</v>
      </c>
      <c r="EA257" s="143">
        <v>0</v>
      </c>
      <c r="EB257">
        <v>1</v>
      </c>
      <c r="EC257">
        <v>1</v>
      </c>
      <c r="ED257">
        <v>0</v>
      </c>
      <c r="EE257">
        <v>1</v>
      </c>
      <c r="EF257">
        <v>1</v>
      </c>
      <c r="EG257">
        <v>1</v>
      </c>
      <c r="EH257">
        <v>0</v>
      </c>
      <c r="EI257" s="2">
        <v>0</v>
      </c>
      <c r="EJ257" s="1"/>
      <c r="EK257" t="str">
        <f>IF(AND(AND(AND(OR($DX257=1,$DW257=1),OR($EC257=1,$EA257=1)),SUM($DV257:$DZ257,$EF257)&gt;=4),SUM($EA257:$EE257)&gt;=2),"Whole sector","")</f>
        <v>Whole sector</v>
      </c>
      <c r="EL257" t="str">
        <f>IF(AND(AND(OR($DX257=1,$DW257=1),AND($EC257=0,$EA257=0)),SUM($DV257:$DZ257,$EF257)&gt;=4),"Ecosystem approach","")</f>
        <v/>
      </c>
      <c r="EM257" s="2" t="str">
        <f>IF(AND(AND(AND($DX257=0,$DW257=0),OR($EC257=1,$EA257=1)),SUM($EB257:$EE257)&gt;=2),"Technology approach","")</f>
        <v/>
      </c>
      <c r="EN257"/>
      <c r="EO257"/>
      <c r="EP257" t="str">
        <f>IF(ISNUMBER(BU257),IF(ABS(BU257-[1]QC_indicators!$B$2)&gt;3*[1]QC_indicators!$C$2,"C ratio",IF(ISNUMBER(BY257),IF(ABS(BY257-[1]QC_indicators!$B$1)&gt;3*[1]QC_indicators!$C$1,"DF","no"))),IF(ISNUMBER(BY257),IF(ABS(BY257-[1]QC_indicators!$B$1)&gt;3*[1]QC_indicators!$C$1,"DF","no")))</f>
        <v>no</v>
      </c>
      <c r="EQ257" t="s">
        <v>286</v>
      </c>
      <c r="ER257" t="s">
        <v>296</v>
      </c>
      <c r="ES257"/>
      <c r="ET257" s="264" t="s">
        <v>3273</v>
      </c>
      <c r="EU257"/>
    </row>
    <row r="258" spans="1:151" s="139" customFormat="1" ht="15" customHeight="1">
      <c r="A258" s="1" t="s">
        <v>265</v>
      </c>
      <c r="B258" t="s">
        <v>266</v>
      </c>
      <c r="C258" t="s">
        <v>267</v>
      </c>
      <c r="D258" t="s">
        <v>268</v>
      </c>
      <c r="E258" t="s">
        <v>269</v>
      </c>
      <c r="F258" t="s">
        <v>270</v>
      </c>
      <c r="G258" t="s">
        <v>271</v>
      </c>
      <c r="H258" t="s">
        <v>254</v>
      </c>
      <c r="I258">
        <v>2022</v>
      </c>
      <c r="J258">
        <v>0</v>
      </c>
      <c r="K258" t="s">
        <v>272</v>
      </c>
      <c r="L258"/>
      <c r="M258" t="str">
        <f>LEFT($D258,FIND(",",$D258)-1)&amp;"_"&amp;I258&amp;L258</f>
        <v>Aryapratama_2022</v>
      </c>
      <c r="N258" t="s">
        <v>222</v>
      </c>
      <c r="O258" s="145" t="s">
        <v>274</v>
      </c>
      <c r="P258"/>
      <c r="Q258" t="s">
        <v>224</v>
      </c>
      <c r="R258" s="262" t="s">
        <v>223</v>
      </c>
      <c r="S258" s="263" t="s">
        <v>3105</v>
      </c>
      <c r="T258" t="s">
        <v>297</v>
      </c>
      <c r="U258" t="s">
        <v>298</v>
      </c>
      <c r="V258">
        <v>0</v>
      </c>
      <c r="W258">
        <v>0</v>
      </c>
      <c r="X258">
        <v>0</v>
      </c>
      <c r="Y258">
        <v>0</v>
      </c>
      <c r="Z258">
        <v>0</v>
      </c>
      <c r="AA258">
        <v>0</v>
      </c>
      <c r="AB258">
        <v>0</v>
      </c>
      <c r="AC258">
        <v>0</v>
      </c>
      <c r="AD258">
        <v>0</v>
      </c>
      <c r="AE258">
        <v>0</v>
      </c>
      <c r="AF258">
        <v>0</v>
      </c>
      <c r="AG258">
        <v>0</v>
      </c>
      <c r="AH258">
        <v>0</v>
      </c>
      <c r="AI258">
        <v>0</v>
      </c>
      <c r="AJ258">
        <v>0</v>
      </c>
      <c r="AK258">
        <v>1</v>
      </c>
      <c r="AL258">
        <v>0</v>
      </c>
      <c r="AM258">
        <v>0</v>
      </c>
      <c r="AN258">
        <v>0</v>
      </c>
      <c r="AO258">
        <v>0</v>
      </c>
      <c r="AP258">
        <v>0</v>
      </c>
      <c r="AQ258">
        <v>0</v>
      </c>
      <c r="AR258">
        <v>0</v>
      </c>
      <c r="AS258">
        <v>0</v>
      </c>
      <c r="AT258">
        <v>0</v>
      </c>
      <c r="AU258">
        <v>0</v>
      </c>
      <c r="AV258">
        <v>0</v>
      </c>
      <c r="AW258">
        <v>0</v>
      </c>
      <c r="AX258" s="141">
        <f>COUNTIF(V258:AW258,"&lt;&gt;0")</f>
        <v>1</v>
      </c>
      <c r="AY258" s="141">
        <f>COUNTIF(V258:AL258,"&lt;&gt;0")</f>
        <v>1</v>
      </c>
      <c r="AZ258">
        <f>COUNTIF(V258:AC258,"&lt;&gt;0")</f>
        <v>0</v>
      </c>
      <c r="BA258">
        <f>COUNTIF(AD258:AI258,"&lt;&gt;0")</f>
        <v>0</v>
      </c>
      <c r="BB258">
        <f>COUNTIF(AJ258:AL258,"&lt;&gt;0")</f>
        <v>1</v>
      </c>
      <c r="BC258">
        <f>COUNTIF(AS258:AW258,"&lt;&gt;0")</f>
        <v>0</v>
      </c>
      <c r="BD258">
        <f>COUNTIF(AM258:AR258,"&lt;&gt;0")</f>
        <v>0</v>
      </c>
      <c r="BE258" t="str">
        <f t="array" ref="BE258">IF(AY258=1,INDEX($V$7:$AL$7,MATCH(TRUE,INDEX($V258:$AW258&lt;&gt;0,),0)),IF(AY258=0,INDEX($AM$7:$AW$7,MATCH(1,$AM258:$AW258,0)),IF(BF258="Multiple strategies","mixed drivers",IF(BF258="Supply chain","multiple supply","multiple silviculture"))))</f>
        <v>technologies/design switch</v>
      </c>
      <c r="BF258" s="2" t="str" cm="1">
        <f t="array" ref="BF258">IF(COUNTIF(AZ258:BB258,"&lt;&gt;0")=1,INDEX($V$4:$AW$4,MATCH(TRUE,INDEX($V258:$AW258&lt;&gt;0,),0)),IF(COUNTIF(AZ258:BB258,"&lt;&gt;0")=0,INDEX($AM$4:$AW$4,MATCH(1,$AM258:$AW258,0)),"Multiple strategies"))</f>
        <v>Technology</v>
      </c>
      <c r="BG258" s="1" t="s">
        <v>229</v>
      </c>
      <c r="BH258" t="s">
        <v>277</v>
      </c>
      <c r="BI258" s="264" t="s">
        <v>3106</v>
      </c>
      <c r="BJ258" t="s">
        <v>278</v>
      </c>
      <c r="BK258">
        <v>0</v>
      </c>
      <c r="BL258">
        <v>193.54702102312467</v>
      </c>
      <c r="BM258"/>
      <c r="BN258">
        <f>BL258-BK258</f>
        <v>193.54702102312467</v>
      </c>
      <c r="BO258">
        <f>BN258*tC_to_m3</f>
        <v>840.41259671352441</v>
      </c>
      <c r="BP258" t="s">
        <v>232</v>
      </c>
      <c r="BQ258" s="303" t="s">
        <v>3107</v>
      </c>
      <c r="BR258" t="s">
        <v>279</v>
      </c>
      <c r="BS258">
        <v>-354.25011993341019</v>
      </c>
      <c r="BT258">
        <v>-567.94520592120887</v>
      </c>
      <c r="BU258" s="144">
        <f>IFERROR(BT258/BS258,"")</f>
        <v>1.6032322191675412</v>
      </c>
      <c r="BV258">
        <f>BT258-BS258</f>
        <v>-213.69508598779868</v>
      </c>
      <c r="BW258"/>
      <c r="BX258">
        <f>BV258</f>
        <v>-213.69508598779868</v>
      </c>
      <c r="BY258">
        <f>IFERROR(BX258/BO258,"")</f>
        <v>-0.25427401591011844</v>
      </c>
      <c r="BZ258">
        <v>0</v>
      </c>
      <c r="CA258">
        <v>0</v>
      </c>
      <c r="CB258">
        <v>0</v>
      </c>
      <c r="CC258">
        <v>0</v>
      </c>
      <c r="CD258">
        <v>0</v>
      </c>
      <c r="CE258">
        <v>0</v>
      </c>
      <c r="CF258">
        <v>0</v>
      </c>
      <c r="CG258">
        <v>0</v>
      </c>
      <c r="CH258">
        <v>0</v>
      </c>
      <c r="CI258">
        <v>0</v>
      </c>
      <c r="CJ258">
        <v>0</v>
      </c>
      <c r="CK258">
        <v>0</v>
      </c>
      <c r="CL258">
        <v>0</v>
      </c>
      <c r="CM258">
        <v>0</v>
      </c>
      <c r="CN258" t="str">
        <f>IF($BL258&lt;$BK258,"refNeedCorrection","refOK")</f>
        <v>refOK</v>
      </c>
      <c r="CO258">
        <f>IF($CN258="refOK",$BK258,$BL258)</f>
        <v>0</v>
      </c>
      <c r="CP258">
        <f>IF($CN258="refOK",$BL258,$BK258)</f>
        <v>193.54702102312467</v>
      </c>
      <c r="CQ258">
        <f>IF($CN258="refOK",$BO258,-$BO258)</f>
        <v>840.41259671352441</v>
      </c>
      <c r="CR258">
        <f>IF($CN258="refOK",$BS258,$BT258)*IF($BP258="Emissions positive",-1,1)</f>
        <v>-354.25011993341019</v>
      </c>
      <c r="CS258">
        <f>IF($CN258="refOK",$BT258,$BS258)*IF($BP258="Emissions positive",-1,1)</f>
        <v>-567.94520592120887</v>
      </c>
      <c r="CT258">
        <f>IF($CN258="refNeedCorrection",-BX258,BX258)*IF($BP258="Emissions positive",-1,1)</f>
        <v>-213.69508598779868</v>
      </c>
      <c r="CU258">
        <f>IFERROR(CT258/CQ258,"")</f>
        <v>-0.25427401591011844</v>
      </c>
      <c r="CV258" s="2">
        <f>IFERROR((CS258-CR258)/ABS(CR258),"")</f>
        <v>-0.60323221916754133</v>
      </c>
      <c r="CW258" s="1" t="s">
        <v>234</v>
      </c>
      <c r="CX258" t="str">
        <f>IF(OR($CW258="prd",$CW258="std",$CW258="cit"),"loc",IF(OR($CW258="eur",$CW258="reg",$CW258="coy"),"reg",$CW258))</f>
        <v>loc</v>
      </c>
      <c r="CY258" t="s">
        <v>280</v>
      </c>
      <c r="CZ258"/>
      <c r="DA258"/>
      <c r="DB258">
        <v>100</v>
      </c>
      <c r="DC258" t="str">
        <f>IF(DB258=0,"0",IF(AND(DB258&gt;=1,DB258&lt;=30),"1-30",IF(AND(DB258&gt;30,DB258&lt;=70),"31-70",IF(AND(DB258&gt;70,DB258&lt;=100),"71-100",IF(DB258&gt;100,"+100")))))</f>
        <v>71-100</v>
      </c>
      <c r="DD258">
        <v>0</v>
      </c>
      <c r="DE258">
        <v>0</v>
      </c>
      <c r="DF258">
        <v>0</v>
      </c>
      <c r="DG258">
        <v>1</v>
      </c>
      <c r="DH258"/>
      <c r="DI258">
        <f>SUM(DD258:DG258)</f>
        <v>1</v>
      </c>
      <c r="DJ258" t="str">
        <f>IF(DI258=1,INDEX($DD$7:$DG$7,MATCH(1,$DD258:$DG258,0)),"mixedProduct")</f>
        <v>TimberInput</v>
      </c>
      <c r="DK258">
        <f>IF(DD258=1,DK$7,0)</f>
        <v>0</v>
      </c>
      <c r="DL258">
        <f>IF(DE258=1,DL$7,0)</f>
        <v>0</v>
      </c>
      <c r="DM258">
        <f>IF(DF258=1,DM$7,0)</f>
        <v>0</v>
      </c>
      <c r="DN258" t="str">
        <f>IF(DG258=1,DN$7,0)</f>
        <v>Timber</v>
      </c>
      <c r="DO258">
        <v>0</v>
      </c>
      <c r="DP258">
        <v>1</v>
      </c>
      <c r="DQ258">
        <v>0</v>
      </c>
      <c r="DR258" t="s">
        <v>281</v>
      </c>
      <c r="DS258">
        <v>0</v>
      </c>
      <c r="DT258">
        <f>SUM(DO258:DP258)</f>
        <v>1</v>
      </c>
      <c r="DU258" s="143" t="str">
        <f>IF(DO258=1,"self-calculated DF",IF(DP258=1,"external DF used","explicit C balance"))</f>
        <v>external DF used</v>
      </c>
      <c r="DV258">
        <v>0</v>
      </c>
      <c r="DW258">
        <v>1</v>
      </c>
      <c r="DX258">
        <v>1</v>
      </c>
      <c r="DY258">
        <v>1</v>
      </c>
      <c r="DZ258">
        <v>1</v>
      </c>
      <c r="EA258" s="143">
        <v>0</v>
      </c>
      <c r="EB258">
        <v>1</v>
      </c>
      <c r="EC258">
        <v>1</v>
      </c>
      <c r="ED258">
        <v>0</v>
      </c>
      <c r="EE258">
        <v>1</v>
      </c>
      <c r="EF258">
        <v>1</v>
      </c>
      <c r="EG258">
        <v>1</v>
      </c>
      <c r="EH258">
        <v>0</v>
      </c>
      <c r="EI258" s="2">
        <v>0</v>
      </c>
      <c r="EJ258" s="1"/>
      <c r="EK258" t="str">
        <f>IF(AND(AND(AND(OR($DX258=1,$DW258=1),OR($EC258=1,$EA258=1)),SUM($DV258:$DZ258,$EF258)&gt;=4),SUM($EA258:$EE258)&gt;=2),"Whole sector","")</f>
        <v>Whole sector</v>
      </c>
      <c r="EL258" t="str">
        <f>IF(AND(AND(OR($DX258=1,$DW258=1),AND($EC258=0,$EA258=0)),SUM($DV258:$DZ258,$EF258)&gt;=4),"Ecosystem approach","")</f>
        <v/>
      </c>
      <c r="EM258" s="2" t="str">
        <f>IF(AND(AND(AND($DX258=0,$DW258=0),OR($EC258=1,$EA258=1)),SUM($EB258:$EE258)&gt;=2),"Technology approach","")</f>
        <v/>
      </c>
      <c r="EN258"/>
      <c r="EO258"/>
      <c r="EP258" t="str">
        <f>IF(ISNUMBER(BU258),IF(ABS(BU258-[1]QC_indicators!$B$2)&gt;3*[1]QC_indicators!$C$2,"C ratio",IF(ISNUMBER(BY258),IF(ABS(BY258-[1]QC_indicators!$B$1)&gt;3*[1]QC_indicators!$C$1,"DF","no"))),IF(ISNUMBER(BY258),IF(ABS(BY258-[1]QC_indicators!$B$1)&gt;3*[1]QC_indicators!$C$1,"DF","no")))</f>
        <v>no</v>
      </c>
      <c r="EQ258" t="s">
        <v>286</v>
      </c>
      <c r="ER258"/>
      <c r="ES258"/>
      <c r="ET258" s="264" t="s">
        <v>3273</v>
      </c>
      <c r="EU258"/>
    </row>
    <row r="259" spans="1:151" s="139" customFormat="1" ht="15" customHeight="1">
      <c r="A259" s="1" t="s">
        <v>265</v>
      </c>
      <c r="B259" t="s">
        <v>266</v>
      </c>
      <c r="C259" t="s">
        <v>267</v>
      </c>
      <c r="D259" t="s">
        <v>268</v>
      </c>
      <c r="E259" t="s">
        <v>269</v>
      </c>
      <c r="F259" t="s">
        <v>270</v>
      </c>
      <c r="G259" t="s">
        <v>271</v>
      </c>
      <c r="H259" t="s">
        <v>254</v>
      </c>
      <c r="I259">
        <v>2022</v>
      </c>
      <c r="J259">
        <v>0</v>
      </c>
      <c r="K259" t="s">
        <v>272</v>
      </c>
      <c r="L259"/>
      <c r="M259" t="str">
        <f>LEFT($D259,FIND(",",$D259)-1)&amp;"_"&amp;I259&amp;L259</f>
        <v>Aryapratama_2022</v>
      </c>
      <c r="N259" t="s">
        <v>222</v>
      </c>
      <c r="O259" s="145" t="s">
        <v>274</v>
      </c>
      <c r="P259"/>
      <c r="Q259" t="s">
        <v>224</v>
      </c>
      <c r="R259" s="262" t="s">
        <v>223</v>
      </c>
      <c r="S259" s="263" t="s">
        <v>3105</v>
      </c>
      <c r="T259" t="s">
        <v>328</v>
      </c>
      <c r="U259" t="s">
        <v>320</v>
      </c>
      <c r="V259">
        <v>0</v>
      </c>
      <c r="W259">
        <v>0</v>
      </c>
      <c r="X259">
        <v>0</v>
      </c>
      <c r="Y259">
        <v>0</v>
      </c>
      <c r="Z259">
        <v>0</v>
      </c>
      <c r="AA259">
        <v>0</v>
      </c>
      <c r="AB259">
        <v>0</v>
      </c>
      <c r="AC259">
        <v>0</v>
      </c>
      <c r="AD259">
        <v>0</v>
      </c>
      <c r="AE259">
        <v>0</v>
      </c>
      <c r="AF259">
        <v>0</v>
      </c>
      <c r="AG259">
        <v>0</v>
      </c>
      <c r="AH259">
        <v>0</v>
      </c>
      <c r="AI259">
        <v>0</v>
      </c>
      <c r="AJ259">
        <v>0</v>
      </c>
      <c r="AK259">
        <v>1</v>
      </c>
      <c r="AL259">
        <v>0</v>
      </c>
      <c r="AM259">
        <v>0</v>
      </c>
      <c r="AN259">
        <v>0</v>
      </c>
      <c r="AO259">
        <v>0</v>
      </c>
      <c r="AP259">
        <v>0</v>
      </c>
      <c r="AQ259">
        <v>0</v>
      </c>
      <c r="AR259">
        <v>0</v>
      </c>
      <c r="AS259">
        <v>0</v>
      </c>
      <c r="AT259">
        <v>0</v>
      </c>
      <c r="AU259">
        <v>0</v>
      </c>
      <c r="AV259">
        <v>0</v>
      </c>
      <c r="AW259">
        <v>0</v>
      </c>
      <c r="AX259" s="141">
        <f>COUNTIF(V259:AW259,"&lt;&gt;0")</f>
        <v>1</v>
      </c>
      <c r="AY259" s="141">
        <f>COUNTIF(V259:AL259,"&lt;&gt;0")</f>
        <v>1</v>
      </c>
      <c r="AZ259">
        <f>COUNTIF(V259:AC259,"&lt;&gt;0")</f>
        <v>0</v>
      </c>
      <c r="BA259">
        <f>COUNTIF(AD259:AI259,"&lt;&gt;0")</f>
        <v>0</v>
      </c>
      <c r="BB259">
        <f>COUNTIF(AJ259:AL259,"&lt;&gt;0")</f>
        <v>1</v>
      </c>
      <c r="BC259">
        <f>COUNTIF(AS259:AW259,"&lt;&gt;0")</f>
        <v>0</v>
      </c>
      <c r="BD259">
        <f>COUNTIF(AM259:AR259,"&lt;&gt;0")</f>
        <v>0</v>
      </c>
      <c r="BE259" t="str">
        <f t="array" ref="BE259">IF(AY259=1,INDEX($V$7:$AL$7,MATCH(TRUE,INDEX($V259:$AW259&lt;&gt;0,),0)),IF(AY259=0,INDEX($AM$7:$AW$7,MATCH(1,$AM259:$AW259,0)),IF(BF259="Multiple strategies","mixed drivers",IF(BF259="Supply chain","multiple supply","multiple silviculture"))))</f>
        <v>technologies/design switch</v>
      </c>
      <c r="BF259" s="2" t="str" cm="1">
        <f t="array" ref="BF259">IF(COUNTIF(AZ259:BB259,"&lt;&gt;0")=1,INDEX($V$4:$AW$4,MATCH(TRUE,INDEX($V259:$AW259&lt;&gt;0,),0)),IF(COUNTIF(AZ259:BB259,"&lt;&gt;0")=0,INDEX($AM$4:$AW$4,MATCH(1,$AM259:$AW259,0)),"Multiple strategies"))</f>
        <v>Technology</v>
      </c>
      <c r="BG259" s="1" t="s">
        <v>229</v>
      </c>
      <c r="BH259" t="s">
        <v>277</v>
      </c>
      <c r="BI259" s="264" t="s">
        <v>3106</v>
      </c>
      <c r="BJ259" t="s">
        <v>278</v>
      </c>
      <c r="BK259">
        <v>0</v>
      </c>
      <c r="BL259">
        <v>180.77283018867931</v>
      </c>
      <c r="BM259"/>
      <c r="BN259">
        <f>BL259-BK259</f>
        <v>180.77283018867931</v>
      </c>
      <c r="BO259">
        <f>BN259*tC_to_m3</f>
        <v>784.94498562170781</v>
      </c>
      <c r="BP259" t="s">
        <v>232</v>
      </c>
      <c r="BQ259" s="303" t="s">
        <v>3107</v>
      </c>
      <c r="BR259" t="s">
        <v>279</v>
      </c>
      <c r="BS259">
        <v>-389.94196865720068</v>
      </c>
      <c r="BT259">
        <v>-588.42624598329485</v>
      </c>
      <c r="BU259" s="144">
        <f>IFERROR(BT259/BS259,"")</f>
        <v>1.5090097842240273</v>
      </c>
      <c r="BV259">
        <f>BT259-BS259</f>
        <v>-198.48427732609417</v>
      </c>
      <c r="BW259"/>
      <c r="BX259">
        <f>BV259</f>
        <v>-198.48427732609417</v>
      </c>
      <c r="BY259">
        <f>IFERROR(BX259/BO259,"")</f>
        <v>-0.25286393436717947</v>
      </c>
      <c r="BZ259">
        <v>0</v>
      </c>
      <c r="CA259">
        <v>0</v>
      </c>
      <c r="CB259">
        <v>0</v>
      </c>
      <c r="CC259">
        <v>0</v>
      </c>
      <c r="CD259">
        <v>0</v>
      </c>
      <c r="CE259">
        <v>0</v>
      </c>
      <c r="CF259">
        <v>0</v>
      </c>
      <c r="CG259">
        <v>0</v>
      </c>
      <c r="CH259">
        <v>0</v>
      </c>
      <c r="CI259">
        <v>0</v>
      </c>
      <c r="CJ259">
        <v>0</v>
      </c>
      <c r="CK259">
        <v>0</v>
      </c>
      <c r="CL259">
        <v>0</v>
      </c>
      <c r="CM259">
        <v>0</v>
      </c>
      <c r="CN259" t="str">
        <f>IF($BL259&lt;$BK259,"refNeedCorrection","refOK")</f>
        <v>refOK</v>
      </c>
      <c r="CO259">
        <f>IF($CN259="refOK",$BK259,$BL259)</f>
        <v>0</v>
      </c>
      <c r="CP259">
        <f>IF($CN259="refOK",$BL259,$BK259)</f>
        <v>180.77283018867931</v>
      </c>
      <c r="CQ259">
        <f>IF($CN259="refOK",$BO259,-$BO259)</f>
        <v>784.94498562170781</v>
      </c>
      <c r="CR259">
        <f>IF($CN259="refOK",$BS259,$BT259)*IF($BP259="Emissions positive",-1,1)</f>
        <v>-389.94196865720068</v>
      </c>
      <c r="CS259">
        <f>IF($CN259="refOK",$BT259,$BS259)*IF($BP259="Emissions positive",-1,1)</f>
        <v>-588.42624598329485</v>
      </c>
      <c r="CT259">
        <f>IF($CN259="refNeedCorrection",-BX259,BX259)*IF($BP259="Emissions positive",-1,1)</f>
        <v>-198.48427732609417</v>
      </c>
      <c r="CU259">
        <f>IFERROR(CT259/CQ259,"")</f>
        <v>-0.25286393436717947</v>
      </c>
      <c r="CV259" s="2">
        <f>IFERROR((CS259-CR259)/ABS(CR259),"")</f>
        <v>-0.50900978422402743</v>
      </c>
      <c r="CW259" s="1" t="s">
        <v>234</v>
      </c>
      <c r="CX259" t="str">
        <f>IF(OR($CW259="prd",$CW259="std",$CW259="cit"),"loc",IF(OR($CW259="eur",$CW259="reg",$CW259="coy"),"reg",$CW259))</f>
        <v>loc</v>
      </c>
      <c r="CY259" t="s">
        <v>280</v>
      </c>
      <c r="CZ259"/>
      <c r="DA259"/>
      <c r="DB259">
        <v>100</v>
      </c>
      <c r="DC259" t="str">
        <f>IF(DB259=0,"0",IF(AND(DB259&gt;=1,DB259&lt;=30),"1-30",IF(AND(DB259&gt;30,DB259&lt;=70),"31-70",IF(AND(DB259&gt;70,DB259&lt;=100),"71-100",IF(DB259&gt;100,"+100")))))</f>
        <v>71-100</v>
      </c>
      <c r="DD259">
        <v>0</v>
      </c>
      <c r="DE259">
        <v>1</v>
      </c>
      <c r="DF259">
        <v>0</v>
      </c>
      <c r="DG259">
        <v>0</v>
      </c>
      <c r="DH259"/>
      <c r="DI259">
        <f>SUM(DD259:DG259)</f>
        <v>1</v>
      </c>
      <c r="DJ259" t="str">
        <f>IF(DI259=1,INDEX($DD$7:$DG$7,MATCH(1,$DD259:$DG259,0)),"mixedProduct")</f>
        <v>EnergyInput</v>
      </c>
      <c r="DK259">
        <f>IF(DD259=1,DK$7,0)</f>
        <v>0</v>
      </c>
      <c r="DL259" t="str">
        <f>IF(DE259=1,DL$7,0)</f>
        <v>Energy</v>
      </c>
      <c r="DM259">
        <f>IF(DF259=1,DM$7,0)</f>
        <v>0</v>
      </c>
      <c r="DN259">
        <f>IF(DG259=1,DN$7,0)</f>
        <v>0</v>
      </c>
      <c r="DO259">
        <v>0</v>
      </c>
      <c r="DP259">
        <v>1</v>
      </c>
      <c r="DQ259" t="s">
        <v>304</v>
      </c>
      <c r="DR259">
        <v>0</v>
      </c>
      <c r="DS259">
        <v>0</v>
      </c>
      <c r="DT259">
        <f>SUM(DO259:DP259)</f>
        <v>1</v>
      </c>
      <c r="DU259" s="143" t="str">
        <f>IF(DO259=1,"self-calculated DF",IF(DP259=1,"external DF used","explicit C balance"))</f>
        <v>external DF used</v>
      </c>
      <c r="DV259">
        <v>0</v>
      </c>
      <c r="DW259">
        <v>1</v>
      </c>
      <c r="DX259">
        <v>1</v>
      </c>
      <c r="DY259">
        <v>1</v>
      </c>
      <c r="DZ259">
        <v>1</v>
      </c>
      <c r="EA259" s="143">
        <v>0</v>
      </c>
      <c r="EB259">
        <v>1</v>
      </c>
      <c r="EC259">
        <v>1</v>
      </c>
      <c r="ED259">
        <v>0</v>
      </c>
      <c r="EE259">
        <v>1</v>
      </c>
      <c r="EF259">
        <v>1</v>
      </c>
      <c r="EG259">
        <v>1</v>
      </c>
      <c r="EH259">
        <v>0</v>
      </c>
      <c r="EI259" s="2">
        <v>0</v>
      </c>
      <c r="EJ259" s="1"/>
      <c r="EK259" t="str">
        <f>IF(AND(AND(AND(OR($DX259=1,$DW259=1),OR($EC259=1,$EA259=1)),SUM($DV259:$DZ259,$EF259)&gt;=4),SUM($EA259:$EE259)&gt;=2),"Whole sector","")</f>
        <v>Whole sector</v>
      </c>
      <c r="EL259" t="str">
        <f>IF(AND(AND(OR($DX259=1,$DW259=1),AND($EC259=0,$EA259=0)),SUM($DV259:$DZ259,$EF259)&gt;=4),"Ecosystem approach","")</f>
        <v/>
      </c>
      <c r="EM259" s="2" t="str">
        <f>IF(AND(AND(AND($DX259=0,$DW259=0),OR($EC259=1,$EA259=1)),SUM($EB259:$EE259)&gt;=2),"Technology approach","")</f>
        <v/>
      </c>
      <c r="EN259"/>
      <c r="EO259"/>
      <c r="EP259" t="str">
        <f>IF(ISNUMBER(BU259),IF(ABS(BU259-[1]QC_indicators!$B$2)&gt;3*[1]QC_indicators!$C$2,"C ratio",IF(ISNUMBER(BY259),IF(ABS(BY259-[1]QC_indicators!$B$1)&gt;3*[1]QC_indicators!$C$1,"DF","no"))),IF(ISNUMBER(BY259),IF(ABS(BY259-[1]QC_indicators!$B$1)&gt;3*[1]QC_indicators!$C$1,"DF","no")))</f>
        <v>no</v>
      </c>
      <c r="EQ259" t="s">
        <v>286</v>
      </c>
      <c r="ER259"/>
      <c r="ES259"/>
      <c r="ET259" s="264" t="s">
        <v>3273</v>
      </c>
      <c r="EU259"/>
    </row>
    <row r="260" spans="1:151" s="139" customFormat="1" ht="15" customHeight="1">
      <c r="A260" s="1" t="s">
        <v>265</v>
      </c>
      <c r="B260" t="s">
        <v>266</v>
      </c>
      <c r="C260" t="s">
        <v>267</v>
      </c>
      <c r="D260" t="s">
        <v>268</v>
      </c>
      <c r="E260" t="s">
        <v>269</v>
      </c>
      <c r="F260" t="s">
        <v>270</v>
      </c>
      <c r="G260" t="s">
        <v>271</v>
      </c>
      <c r="H260" t="s">
        <v>254</v>
      </c>
      <c r="I260">
        <v>2022</v>
      </c>
      <c r="J260">
        <v>0</v>
      </c>
      <c r="K260" t="s">
        <v>272</v>
      </c>
      <c r="L260"/>
      <c r="M260" t="str">
        <f>LEFT($D260,FIND(",",$D260)-1)&amp;"_"&amp;I260&amp;L260</f>
        <v>Aryapratama_2022</v>
      </c>
      <c r="N260" t="s">
        <v>222</v>
      </c>
      <c r="O260" s="145" t="s">
        <v>274</v>
      </c>
      <c r="P260"/>
      <c r="Q260" t="s">
        <v>224</v>
      </c>
      <c r="R260" s="262" t="s">
        <v>223</v>
      </c>
      <c r="S260" s="263" t="s">
        <v>3105</v>
      </c>
      <c r="T260" t="s">
        <v>328</v>
      </c>
      <c r="U260" t="s">
        <v>320</v>
      </c>
      <c r="V260">
        <v>0</v>
      </c>
      <c r="W260">
        <v>0</v>
      </c>
      <c r="X260">
        <v>0</v>
      </c>
      <c r="Y260">
        <v>0</v>
      </c>
      <c r="Z260">
        <v>0</v>
      </c>
      <c r="AA260">
        <v>0</v>
      </c>
      <c r="AB260">
        <v>0</v>
      </c>
      <c r="AC260">
        <v>0</v>
      </c>
      <c r="AD260">
        <v>0</v>
      </c>
      <c r="AE260">
        <v>0</v>
      </c>
      <c r="AF260">
        <v>0</v>
      </c>
      <c r="AG260">
        <v>0</v>
      </c>
      <c r="AH260">
        <v>0</v>
      </c>
      <c r="AI260">
        <v>0</v>
      </c>
      <c r="AJ260">
        <v>0</v>
      </c>
      <c r="AK260">
        <v>1</v>
      </c>
      <c r="AL260">
        <v>0</v>
      </c>
      <c r="AM260">
        <v>0</v>
      </c>
      <c r="AN260">
        <v>0</v>
      </c>
      <c r="AO260">
        <v>0</v>
      </c>
      <c r="AP260">
        <v>0</v>
      </c>
      <c r="AQ260">
        <v>0</v>
      </c>
      <c r="AR260">
        <v>0</v>
      </c>
      <c r="AS260">
        <v>0</v>
      </c>
      <c r="AT260">
        <v>0</v>
      </c>
      <c r="AU260">
        <v>0</v>
      </c>
      <c r="AV260">
        <v>0</v>
      </c>
      <c r="AW260">
        <v>0</v>
      </c>
      <c r="AX260" s="141">
        <f>COUNTIF(V260:AW260,"&lt;&gt;0")</f>
        <v>1</v>
      </c>
      <c r="AY260" s="141">
        <f>COUNTIF(V260:AL260,"&lt;&gt;0")</f>
        <v>1</v>
      </c>
      <c r="AZ260">
        <f>COUNTIF(V260:AC260,"&lt;&gt;0")</f>
        <v>0</v>
      </c>
      <c r="BA260">
        <f>COUNTIF(AD260:AI260,"&lt;&gt;0")</f>
        <v>0</v>
      </c>
      <c r="BB260">
        <f>COUNTIF(AJ260:AL260,"&lt;&gt;0")</f>
        <v>1</v>
      </c>
      <c r="BC260">
        <f>COUNTIF(AS260:AW260,"&lt;&gt;0")</f>
        <v>0</v>
      </c>
      <c r="BD260">
        <f>COUNTIF(AM260:AR260,"&lt;&gt;0")</f>
        <v>0</v>
      </c>
      <c r="BE260" t="str">
        <f t="array" ref="BE260">IF(AY260=1,INDEX($V$7:$AL$7,MATCH(TRUE,INDEX($V260:$AW260&lt;&gt;0,),0)),IF(AY260=0,INDEX($AM$7:$AW$7,MATCH(1,$AM260:$AW260,0)),IF(BF260="Multiple strategies","mixed drivers",IF(BF260="Supply chain","multiple supply","multiple silviculture"))))</f>
        <v>technologies/design switch</v>
      </c>
      <c r="BF260" s="2" t="str" cm="1">
        <f t="array" ref="BF260">IF(COUNTIF(AZ260:BB260,"&lt;&gt;0")=1,INDEX($V$4:$AW$4,MATCH(TRUE,INDEX($V260:$AW260&lt;&gt;0,),0)),IF(COUNTIF(AZ260:BB260,"&lt;&gt;0")=0,INDEX($AM$4:$AW$4,MATCH(1,$AM260:$AW260,0)),"Multiple strategies"))</f>
        <v>Technology</v>
      </c>
      <c r="BG260" s="1" t="s">
        <v>229</v>
      </c>
      <c r="BH260" t="s">
        <v>277</v>
      </c>
      <c r="BI260" s="264" t="s">
        <v>3106</v>
      </c>
      <c r="BJ260" t="s">
        <v>278</v>
      </c>
      <c r="BK260">
        <v>0</v>
      </c>
      <c r="BL260">
        <v>180.77283018867931</v>
      </c>
      <c r="BM260"/>
      <c r="BN260">
        <f>BL260-BK260</f>
        <v>180.77283018867931</v>
      </c>
      <c r="BO260">
        <f>BN260*tC_to_m3</f>
        <v>784.94498562170781</v>
      </c>
      <c r="BP260" t="s">
        <v>232</v>
      </c>
      <c r="BQ260" s="303" t="s">
        <v>3107</v>
      </c>
      <c r="BR260" t="s">
        <v>279</v>
      </c>
      <c r="BS260">
        <v>-492.14170694588267</v>
      </c>
      <c r="BT260">
        <v>-683.46368424028469</v>
      </c>
      <c r="BU260" s="144">
        <f>IFERROR(BT260/BS260,"")</f>
        <v>1.3887538377547837</v>
      </c>
      <c r="BV260">
        <f>BT260-BS260</f>
        <v>-191.32197729440202</v>
      </c>
      <c r="BW260"/>
      <c r="BX260">
        <f>BV260</f>
        <v>-191.32197729440202</v>
      </c>
      <c r="BY260">
        <f>IFERROR(BX260/BO260,"")</f>
        <v>-0.24373934581270987</v>
      </c>
      <c r="BZ260">
        <v>0</v>
      </c>
      <c r="CA260">
        <v>0</v>
      </c>
      <c r="CB260">
        <v>0</v>
      </c>
      <c r="CC260">
        <v>0</v>
      </c>
      <c r="CD260">
        <v>0</v>
      </c>
      <c r="CE260">
        <v>0</v>
      </c>
      <c r="CF260">
        <v>0</v>
      </c>
      <c r="CG260">
        <v>0</v>
      </c>
      <c r="CH260">
        <v>0</v>
      </c>
      <c r="CI260">
        <v>0</v>
      </c>
      <c r="CJ260">
        <v>0</v>
      </c>
      <c r="CK260">
        <v>0</v>
      </c>
      <c r="CL260">
        <v>0</v>
      </c>
      <c r="CM260">
        <v>0</v>
      </c>
      <c r="CN260" t="str">
        <f>IF($BL260&lt;$BK260,"refNeedCorrection","refOK")</f>
        <v>refOK</v>
      </c>
      <c r="CO260">
        <f>IF($CN260="refOK",$BK260,$BL260)</f>
        <v>0</v>
      </c>
      <c r="CP260">
        <f>IF($CN260="refOK",$BL260,$BK260)</f>
        <v>180.77283018867931</v>
      </c>
      <c r="CQ260">
        <f>IF($CN260="refOK",$BO260,-$BO260)</f>
        <v>784.94498562170781</v>
      </c>
      <c r="CR260">
        <f>IF($CN260="refOK",$BS260,$BT260)*IF($BP260="Emissions positive",-1,1)</f>
        <v>-492.14170694588267</v>
      </c>
      <c r="CS260">
        <f>IF($CN260="refOK",$BT260,$BS260)*IF($BP260="Emissions positive",-1,1)</f>
        <v>-683.46368424028469</v>
      </c>
      <c r="CT260">
        <f>IF($CN260="refNeedCorrection",-BX260,BX260)*IF($BP260="Emissions positive",-1,1)</f>
        <v>-191.32197729440202</v>
      </c>
      <c r="CU260">
        <f>IFERROR(CT260/CQ260,"")</f>
        <v>-0.24373934581270987</v>
      </c>
      <c r="CV260" s="2">
        <f>IFERROR((CS260-CR260)/ABS(CR260),"")</f>
        <v>-0.38875383775478378</v>
      </c>
      <c r="CW260" s="1" t="s">
        <v>234</v>
      </c>
      <c r="CX260" t="str">
        <f>IF(OR($CW260="prd",$CW260="std",$CW260="cit"),"loc",IF(OR($CW260="eur",$CW260="reg",$CW260="coy"),"reg",$CW260))</f>
        <v>loc</v>
      </c>
      <c r="CY260" t="s">
        <v>280</v>
      </c>
      <c r="CZ260"/>
      <c r="DA260"/>
      <c r="DB260">
        <v>50</v>
      </c>
      <c r="DC260" t="str">
        <f>IF(DB260=0,"0",IF(AND(DB260&gt;=1,DB260&lt;=30),"1-30",IF(AND(DB260&gt;30,DB260&lt;=70),"31-70",IF(AND(DB260&gt;70,DB260&lt;=100),"71-100",IF(DB260&gt;100,"+100")))))</f>
        <v>31-70</v>
      </c>
      <c r="DD260">
        <v>0</v>
      </c>
      <c r="DE260">
        <v>1</v>
      </c>
      <c r="DF260">
        <v>0</v>
      </c>
      <c r="DG260">
        <v>0</v>
      </c>
      <c r="DH260"/>
      <c r="DI260">
        <f>SUM(DD260:DG260)</f>
        <v>1</v>
      </c>
      <c r="DJ260" t="str">
        <f>IF(DI260=1,INDEX($DD$7:$DG$7,MATCH(1,$DD260:$DG260,0)),"mixedProduct")</f>
        <v>EnergyInput</v>
      </c>
      <c r="DK260">
        <f>IF(DD260=1,DK$7,0)</f>
        <v>0</v>
      </c>
      <c r="DL260" t="str">
        <f>IF(DE260=1,DL$7,0)</f>
        <v>Energy</v>
      </c>
      <c r="DM260">
        <f>IF(DF260=1,DM$7,0)</f>
        <v>0</v>
      </c>
      <c r="DN260">
        <f>IF(DG260=1,DN$7,0)</f>
        <v>0</v>
      </c>
      <c r="DO260">
        <v>0</v>
      </c>
      <c r="DP260">
        <v>1</v>
      </c>
      <c r="DQ260" t="s">
        <v>304</v>
      </c>
      <c r="DR260">
        <v>0</v>
      </c>
      <c r="DS260">
        <v>0</v>
      </c>
      <c r="DT260">
        <f>SUM(DO260:DP260)</f>
        <v>1</v>
      </c>
      <c r="DU260" s="143" t="str">
        <f>IF(DO260=1,"self-calculated DF",IF(DP260=1,"external DF used","explicit C balance"))</f>
        <v>external DF used</v>
      </c>
      <c r="DV260">
        <v>0</v>
      </c>
      <c r="DW260">
        <v>1</v>
      </c>
      <c r="DX260">
        <v>1</v>
      </c>
      <c r="DY260">
        <v>1</v>
      </c>
      <c r="DZ260">
        <v>1</v>
      </c>
      <c r="EA260" s="143">
        <v>0</v>
      </c>
      <c r="EB260">
        <v>1</v>
      </c>
      <c r="EC260">
        <v>1</v>
      </c>
      <c r="ED260">
        <v>0</v>
      </c>
      <c r="EE260">
        <v>1</v>
      </c>
      <c r="EF260">
        <v>1</v>
      </c>
      <c r="EG260">
        <v>1</v>
      </c>
      <c r="EH260">
        <v>0</v>
      </c>
      <c r="EI260" s="2">
        <v>0</v>
      </c>
      <c r="EJ260" s="1"/>
      <c r="EK260" t="str">
        <f>IF(AND(AND(AND(OR($DX260=1,$DW260=1),OR($EC260=1,$EA260=1)),SUM($DV260:$DZ260,$EF260)&gt;=4),SUM($EA260:$EE260)&gt;=2),"Whole sector","")</f>
        <v>Whole sector</v>
      </c>
      <c r="EL260" t="str">
        <f>IF(AND(AND(OR($DX260=1,$DW260=1),AND($EC260=0,$EA260=0)),SUM($DV260:$DZ260,$EF260)&gt;=4),"Ecosystem approach","")</f>
        <v/>
      </c>
      <c r="EM260" s="2" t="str">
        <f>IF(AND(AND(AND($DX260=0,$DW260=0),OR($EC260=1,$EA260=1)),SUM($EB260:$EE260)&gt;=2),"Technology approach","")</f>
        <v/>
      </c>
      <c r="EN260"/>
      <c r="EO260"/>
      <c r="EP260" t="str">
        <f>IF(ISNUMBER(BU260),IF(ABS(BU260-[1]QC_indicators!$B$2)&gt;3*[1]QC_indicators!$C$2,"C ratio",IF(ISNUMBER(BY260),IF(ABS(BY260-[1]QC_indicators!$B$1)&gt;3*[1]QC_indicators!$C$1,"DF","no"))),IF(ISNUMBER(BY260),IF(ABS(BY260-[1]QC_indicators!$B$1)&gt;3*[1]QC_indicators!$C$1,"DF","no")))</f>
        <v>no</v>
      </c>
      <c r="EQ260" t="s">
        <v>286</v>
      </c>
      <c r="ER260"/>
      <c r="ES260"/>
      <c r="ET260" s="264" t="s">
        <v>3273</v>
      </c>
      <c r="EU260"/>
    </row>
    <row r="261" spans="1:151" s="139" customFormat="1" ht="15" customHeight="1">
      <c r="A261" s="1" t="s">
        <v>265</v>
      </c>
      <c r="B261" t="s">
        <v>1531</v>
      </c>
      <c r="C261" t="s">
        <v>1532</v>
      </c>
      <c r="D261" t="s">
        <v>1533</v>
      </c>
      <c r="E261" t="s">
        <v>1534</v>
      </c>
      <c r="F261" t="s">
        <v>1535</v>
      </c>
      <c r="G261" t="s">
        <v>271</v>
      </c>
      <c r="H261" t="s">
        <v>254</v>
      </c>
      <c r="I261">
        <v>2019</v>
      </c>
      <c r="J261">
        <v>26</v>
      </c>
      <c r="K261" t="s">
        <v>1536</v>
      </c>
      <c r="L261"/>
      <c r="M261" t="str">
        <f>LEFT($D261,FIND(",",$D261)-1)&amp;"_"&amp;I261&amp;L261</f>
        <v>Faraca_2019</v>
      </c>
      <c r="N261" t="s">
        <v>222</v>
      </c>
      <c r="O261" s="145" t="s">
        <v>274</v>
      </c>
      <c r="P261"/>
      <c r="Q261" t="s">
        <v>256</v>
      </c>
      <c r="R261" s="262" t="s">
        <v>223</v>
      </c>
      <c r="S261" s="263" t="s">
        <v>3122</v>
      </c>
      <c r="T261" t="s">
        <v>1543</v>
      </c>
      <c r="U261" t="s">
        <v>1544</v>
      </c>
      <c r="V261">
        <v>0</v>
      </c>
      <c r="W261">
        <v>0</v>
      </c>
      <c r="X261">
        <v>0</v>
      </c>
      <c r="Y261">
        <v>0</v>
      </c>
      <c r="Z261">
        <v>0</v>
      </c>
      <c r="AA261">
        <v>0</v>
      </c>
      <c r="AB261">
        <v>0</v>
      </c>
      <c r="AC261">
        <v>0</v>
      </c>
      <c r="AD261">
        <v>0</v>
      </c>
      <c r="AE261">
        <v>0</v>
      </c>
      <c r="AF261">
        <v>0</v>
      </c>
      <c r="AG261">
        <v>0</v>
      </c>
      <c r="AH261">
        <v>0</v>
      </c>
      <c r="AI261">
        <v>1</v>
      </c>
      <c r="AJ261">
        <v>0</v>
      </c>
      <c r="AK261">
        <v>0</v>
      </c>
      <c r="AL261">
        <v>0</v>
      </c>
      <c r="AM261">
        <v>0</v>
      </c>
      <c r="AN261">
        <v>0</v>
      </c>
      <c r="AO261">
        <v>0</v>
      </c>
      <c r="AP261">
        <v>0</v>
      </c>
      <c r="AQ261">
        <v>0</v>
      </c>
      <c r="AR261">
        <v>0</v>
      </c>
      <c r="AS261">
        <v>0</v>
      </c>
      <c r="AT261">
        <v>0</v>
      </c>
      <c r="AU261">
        <v>0</v>
      </c>
      <c r="AV261">
        <v>0</v>
      </c>
      <c r="AW261">
        <v>0</v>
      </c>
      <c r="AX261" s="141">
        <f>COUNTIF(V261:AW261,"&lt;&gt;0")</f>
        <v>1</v>
      </c>
      <c r="AY261" s="141">
        <f>COUNTIF(V261:AL261,"&lt;&gt;0")</f>
        <v>1</v>
      </c>
      <c r="AZ261">
        <f>COUNTIF(V261:AC261,"&lt;&gt;0")</f>
        <v>0</v>
      </c>
      <c r="BA261">
        <f>COUNTIF(AD261:AI261,"&lt;&gt;0")</f>
        <v>1</v>
      </c>
      <c r="BB261">
        <f>COUNTIF(AJ261:AL261,"&lt;&gt;0")</f>
        <v>0</v>
      </c>
      <c r="BC261">
        <f>COUNTIF(AS261:AW261,"&lt;&gt;0")</f>
        <v>0</v>
      </c>
      <c r="BD261">
        <f>COUNTIF(AM261:AR261,"&lt;&gt;0")</f>
        <v>0</v>
      </c>
      <c r="BE261" t="str">
        <f t="array" ref="BE261">IF(AY261=1,INDEX($V$7:$AL$7,MATCH(TRUE,INDEX($V261:$AW261&lt;&gt;0,),0)),IF(AY261=0,INDEX($AM$7:$AW$7,MATCH(1,$AM261:$AW261,0)),IF(BF261="Multiple strategies","mixed drivers",IF(BF261="Supply chain","multiple supply","multiple silviculture"))))</f>
        <v>products lifespan</v>
      </c>
      <c r="BF261" s="2" t="str" cm="1">
        <f t="array" ref="BF261">IF(COUNTIF(AZ261:BB261,"&lt;&gt;0")=1,INDEX($V$4:$AW$4,MATCH(TRUE,INDEX($V261:$AW261&lt;&gt;0,),0)),IF(COUNTIF(AZ261:BB261,"&lt;&gt;0")=0,INDEX($AM$4:$AW$4,MATCH(1,$AM261:$AW261,0)),"Multiple strategies"))</f>
        <v>Supply chain</v>
      </c>
      <c r="BG261" s="1" t="s">
        <v>229</v>
      </c>
      <c r="BH261" t="s">
        <v>1548</v>
      </c>
      <c r="BI261" s="264" t="s">
        <v>3121</v>
      </c>
      <c r="BJ261" t="s">
        <v>345</v>
      </c>
      <c r="BK261">
        <v>478</v>
      </c>
      <c r="BL261">
        <v>638</v>
      </c>
      <c r="BM261">
        <v>1</v>
      </c>
      <c r="BN261">
        <f>BL261-BK261</f>
        <v>160</v>
      </c>
      <c r="BO261">
        <f>BN261*kg_to_m3</f>
        <v>0.32653061224489799</v>
      </c>
      <c r="BP261" t="s">
        <v>395</v>
      </c>
      <c r="BQ261" s="301" t="s">
        <v>426</v>
      </c>
      <c r="BR261" t="s">
        <v>728</v>
      </c>
      <c r="BS261">
        <v>-206.9</v>
      </c>
      <c r="BT261">
        <v>-127.6</v>
      </c>
      <c r="BU261" s="144"/>
      <c r="BV261">
        <f>BT261-BS261</f>
        <v>79.300000000000011</v>
      </c>
      <c r="BW261"/>
      <c r="BX261">
        <f>BV261/1000</f>
        <v>7.9300000000000009E-2</v>
      </c>
      <c r="BY261">
        <f>IFERROR(BX261/BO261,"")</f>
        <v>0.24285625</v>
      </c>
      <c r="BZ261">
        <v>0</v>
      </c>
      <c r="CA261">
        <v>0</v>
      </c>
      <c r="CB261">
        <v>0</v>
      </c>
      <c r="CC261">
        <v>0</v>
      </c>
      <c r="CD261">
        <v>0</v>
      </c>
      <c r="CE261">
        <v>0</v>
      </c>
      <c r="CF261">
        <v>0</v>
      </c>
      <c r="CG261">
        <v>0</v>
      </c>
      <c r="CH261">
        <v>0</v>
      </c>
      <c r="CI261">
        <v>0</v>
      </c>
      <c r="CJ261">
        <v>0</v>
      </c>
      <c r="CK261">
        <v>0</v>
      </c>
      <c r="CL261">
        <v>0</v>
      </c>
      <c r="CM261">
        <v>0</v>
      </c>
      <c r="CN261" t="str">
        <f>IF($BL261&lt;$BK261,"refNeedCorrection","refOK")</f>
        <v>refOK</v>
      </c>
      <c r="CO261">
        <f>IF($CN261="refNeedCorrection",BK261,BL261)</f>
        <v>638</v>
      </c>
      <c r="CP261">
        <f>IF($CN261="refNeedCorrection",BL261,BK261)</f>
        <v>478</v>
      </c>
      <c r="CQ261">
        <f>IF($CN261="refOK",$BO261,-$BO261)</f>
        <v>0.32653061224489799</v>
      </c>
      <c r="CR261">
        <f>IF($CN261="refOK",$BS261,$BT261)*IF($BP261="Emissions positive",-1,1)</f>
        <v>206.9</v>
      </c>
      <c r="CS261">
        <f>IF($CN261="refOK",$BT261,$BS261)*IF($BP261="Emissions positive",-1,1)</f>
        <v>127.6</v>
      </c>
      <c r="CT261">
        <f>IF($CN261="refNeedCorrection",-BX261,BX261)*IF($BP261="Emissions positive",-1,1)</f>
        <v>-7.9300000000000009E-2</v>
      </c>
      <c r="CU261">
        <f>IFERROR(CT261/CQ261,"")</f>
        <v>-0.24285625</v>
      </c>
      <c r="CV261" s="2">
        <f>IFERROR((CS261-CR261)/ABS(CR261),"")</f>
        <v>-0.38327694538424362</v>
      </c>
      <c r="CW261" s="1" t="s">
        <v>1199</v>
      </c>
      <c r="CX261" t="str">
        <f>IF(OR($CW261="prd",$CW261="std",$CW261="cit"),"loc",IF(OR($CW261="eur",$CW261="reg",$CW261="coy"),"reg",$CW261))</f>
        <v>reg</v>
      </c>
      <c r="CY261" t="s">
        <v>1540</v>
      </c>
      <c r="CZ261"/>
      <c r="DA261"/>
      <c r="DB261">
        <v>500</v>
      </c>
      <c r="DC261" t="str">
        <f>IF(DB261=0,"0",IF(AND(DB261&gt;=1,DB261&lt;=30),"1-30",IF(AND(DB261&gt;30,DB261&lt;=70),"31-70",IF(AND(DB261&gt;70,DB261&lt;=100),"71-100",IF(DB261&gt;100,"+100")))))</f>
        <v>+100</v>
      </c>
      <c r="DD261">
        <v>0</v>
      </c>
      <c r="DE261">
        <v>0</v>
      </c>
      <c r="DF261">
        <v>0</v>
      </c>
      <c r="DG261">
        <v>1</v>
      </c>
      <c r="DH261"/>
      <c r="DI261">
        <f>SUM(DD261:DG261)</f>
        <v>1</v>
      </c>
      <c r="DJ261" t="str">
        <f>IF(DI261=1,INDEX($DD$7:$DG$7,MATCH(1,$DD261:$DG261,0)),"mixedProduct")</f>
        <v>TimberInput</v>
      </c>
      <c r="DK261">
        <f>IF(DD261=1,DK$7,0)</f>
        <v>0</v>
      </c>
      <c r="DL261">
        <f>IF(DE261=1,DL$7,0)</f>
        <v>0</v>
      </c>
      <c r="DM261">
        <f>IF(DF261=1,DM$7,0)</f>
        <v>0</v>
      </c>
      <c r="DN261" t="str">
        <f>IF(DG261=1,DN$7,0)</f>
        <v>Timber</v>
      </c>
      <c r="DO261">
        <v>0</v>
      </c>
      <c r="DP261">
        <v>1</v>
      </c>
      <c r="DQ261">
        <v>0</v>
      </c>
      <c r="DR261">
        <v>0</v>
      </c>
      <c r="DS261" t="s">
        <v>1541</v>
      </c>
      <c r="DT261">
        <f>SUM(DO261:DP261)</f>
        <v>1</v>
      </c>
      <c r="DU261" s="143" t="str">
        <f>IF(DO261=1,"self-calculated DF",IF(DP261=1,"external DF used","explicit C balance"))</f>
        <v>external DF used</v>
      </c>
      <c r="DV261">
        <v>0</v>
      </c>
      <c r="DW261">
        <v>0</v>
      </c>
      <c r="DX261">
        <v>0</v>
      </c>
      <c r="DY261">
        <v>0</v>
      </c>
      <c r="DZ261">
        <v>1</v>
      </c>
      <c r="EA261" s="143">
        <v>1</v>
      </c>
      <c r="EB261">
        <v>0</v>
      </c>
      <c r="EC261">
        <v>1</v>
      </c>
      <c r="ED261">
        <v>0</v>
      </c>
      <c r="EE261">
        <v>1</v>
      </c>
      <c r="EF261">
        <v>1</v>
      </c>
      <c r="EG261">
        <v>1</v>
      </c>
      <c r="EH261">
        <v>0</v>
      </c>
      <c r="EI261" s="2">
        <v>0</v>
      </c>
      <c r="EJ261" s="1"/>
      <c r="EK261" t="str">
        <f>IF(AND(AND(AND(OR($DX261=1,$DW261=1),OR($EC261=1,$EA261=1)),SUM($DV261:$DZ261,$EF261)&gt;=4),SUM($EA261:$EE261)&gt;=2),"Whole sector","")</f>
        <v/>
      </c>
      <c r="EL261" t="str">
        <f>IF(AND(AND(OR($DX261=1,$DW261=1),AND($EC261=0,$EA261=0)),SUM($DV261:$DZ261,$EF261)&gt;=4),"Ecosystem approach","")</f>
        <v/>
      </c>
      <c r="EM261" s="2" t="str">
        <f>IF(AND(AND(AND($DX261=0,$DW261=0),OR($EC261=1,$EA261=1)),SUM($EB261:$EE261)&gt;=2),"Technology approach","")</f>
        <v>Technology approach</v>
      </c>
      <c r="EN261"/>
      <c r="EO261"/>
      <c r="EP261" t="str">
        <f>IF(ISNUMBER(BU261),IF(ABS(BU261-[1]QC_indicators!$B$2)&gt;3*[1]QC_indicators!$C$2,"C ratio",IF(ISNUMBER(BY261),IF(ABS(BY261-[1]QC_indicators!$B$1)&gt;3*[1]QC_indicators!$C$1,"DF","no"))),IF(ISNUMBER(BY261),IF(ABS(BY261-[1]QC_indicators!$B$1)&gt;3*[1]QC_indicators!$C$1,"DF","no")))</f>
        <v>no</v>
      </c>
      <c r="EQ261"/>
      <c r="ER261"/>
      <c r="ES261"/>
      <c r="ET261" s="264" t="s">
        <v>3273</v>
      </c>
      <c r="EU261"/>
    </row>
    <row r="262" spans="1:151" s="139" customFormat="1" ht="15" customHeight="1">
      <c r="A262" s="1" t="s">
        <v>265</v>
      </c>
      <c r="B262" t="s">
        <v>266</v>
      </c>
      <c r="C262" t="s">
        <v>267</v>
      </c>
      <c r="D262" t="s">
        <v>268</v>
      </c>
      <c r="E262" t="s">
        <v>269</v>
      </c>
      <c r="F262" t="s">
        <v>270</v>
      </c>
      <c r="G262" t="s">
        <v>271</v>
      </c>
      <c r="H262" t="s">
        <v>254</v>
      </c>
      <c r="I262">
        <v>2022</v>
      </c>
      <c r="J262">
        <v>0</v>
      </c>
      <c r="K262" t="s">
        <v>272</v>
      </c>
      <c r="L262"/>
      <c r="M262" t="str">
        <f>LEFT($D262,FIND(",",$D262)-1)&amp;"_"&amp;I262&amp;L262</f>
        <v>Aryapratama_2022</v>
      </c>
      <c r="N262" t="s">
        <v>222</v>
      </c>
      <c r="O262" s="145" t="s">
        <v>274</v>
      </c>
      <c r="P262"/>
      <c r="Q262" t="s">
        <v>224</v>
      </c>
      <c r="R262" s="262" t="s">
        <v>223</v>
      </c>
      <c r="S262" s="263" t="s">
        <v>3105</v>
      </c>
      <c r="T262" t="s">
        <v>329</v>
      </c>
      <c r="U262" t="s">
        <v>330</v>
      </c>
      <c r="V262">
        <v>0</v>
      </c>
      <c r="W262">
        <v>0</v>
      </c>
      <c r="X262">
        <v>0</v>
      </c>
      <c r="Y262">
        <v>0</v>
      </c>
      <c r="Z262">
        <v>0</v>
      </c>
      <c r="AA262">
        <v>0</v>
      </c>
      <c r="AB262">
        <v>0</v>
      </c>
      <c r="AC262">
        <v>0</v>
      </c>
      <c r="AD262">
        <v>0</v>
      </c>
      <c r="AE262">
        <v>0</v>
      </c>
      <c r="AF262">
        <v>0</v>
      </c>
      <c r="AG262">
        <v>0</v>
      </c>
      <c r="AH262">
        <v>0</v>
      </c>
      <c r="AI262">
        <v>0</v>
      </c>
      <c r="AJ262">
        <v>0</v>
      </c>
      <c r="AK262">
        <v>1</v>
      </c>
      <c r="AL262">
        <v>0</v>
      </c>
      <c r="AM262">
        <v>0</v>
      </c>
      <c r="AN262">
        <v>0</v>
      </c>
      <c r="AO262">
        <v>0</v>
      </c>
      <c r="AP262">
        <v>0</v>
      </c>
      <c r="AQ262">
        <v>0</v>
      </c>
      <c r="AR262">
        <v>0</v>
      </c>
      <c r="AS262">
        <v>0</v>
      </c>
      <c r="AT262">
        <v>0</v>
      </c>
      <c r="AU262">
        <v>0</v>
      </c>
      <c r="AV262">
        <v>0</v>
      </c>
      <c r="AW262">
        <v>0</v>
      </c>
      <c r="AX262" s="141">
        <f>COUNTIF(V262:AW262,"&lt;&gt;0")</f>
        <v>1</v>
      </c>
      <c r="AY262" s="141">
        <f>COUNTIF(V262:AL262,"&lt;&gt;0")</f>
        <v>1</v>
      </c>
      <c r="AZ262">
        <f>COUNTIF(V262:AC262,"&lt;&gt;0")</f>
        <v>0</v>
      </c>
      <c r="BA262">
        <f>COUNTIF(AD262:AI262,"&lt;&gt;0")</f>
        <v>0</v>
      </c>
      <c r="BB262">
        <f>COUNTIF(AJ262:AL262,"&lt;&gt;0")</f>
        <v>1</v>
      </c>
      <c r="BC262">
        <f>COUNTIF(AS262:AW262,"&lt;&gt;0")</f>
        <v>0</v>
      </c>
      <c r="BD262">
        <f>COUNTIF(AM262:AR262,"&lt;&gt;0")</f>
        <v>0</v>
      </c>
      <c r="BE262" t="str">
        <f t="array" ref="BE262">IF(AY262=1,INDEX($V$7:$AL$7,MATCH(TRUE,INDEX($V262:$AW262&lt;&gt;0,),0)),IF(AY262=0,INDEX($AM$7:$AW$7,MATCH(1,$AM262:$AW262,0)),IF(BF262="Multiple strategies","mixed drivers",IF(BF262="Supply chain","multiple supply","multiple silviculture"))))</f>
        <v>technologies/design switch</v>
      </c>
      <c r="BF262" s="2" t="str" cm="1">
        <f t="array" ref="BF262">IF(COUNTIF(AZ262:BB262,"&lt;&gt;0")=1,INDEX($V$4:$AW$4,MATCH(TRUE,INDEX($V262:$AW262&lt;&gt;0,),0)),IF(COUNTIF(AZ262:BB262,"&lt;&gt;0")=0,INDEX($AM$4:$AW$4,MATCH(1,$AM262:$AW262,0)),"Multiple strategies"))</f>
        <v>Technology</v>
      </c>
      <c r="BG262" s="1" t="s">
        <v>229</v>
      </c>
      <c r="BH262" t="s">
        <v>277</v>
      </c>
      <c r="BI262" s="264" t="s">
        <v>3106</v>
      </c>
      <c r="BJ262" t="s">
        <v>278</v>
      </c>
      <c r="BK262">
        <v>0</v>
      </c>
      <c r="BL262">
        <v>228.87547169811316</v>
      </c>
      <c r="BM262"/>
      <c r="BN262">
        <f>BL262-BK262</f>
        <v>228.87547169811316</v>
      </c>
      <c r="BO262">
        <f>BN262*tC_to_m3</f>
        <v>993.81446677426482</v>
      </c>
      <c r="BP262" t="s">
        <v>232</v>
      </c>
      <c r="BQ262" s="303" t="s">
        <v>3107</v>
      </c>
      <c r="BR262" t="s">
        <v>279</v>
      </c>
      <c r="BS262">
        <v>-574.00406694837011</v>
      </c>
      <c r="BT262">
        <v>-811.16014590587781</v>
      </c>
      <c r="BU262" s="144">
        <f>IFERROR(BT262/BS262,"")</f>
        <v>1.4131609732633466</v>
      </c>
      <c r="BV262">
        <f>BT262-BS262</f>
        <v>-237.1560789575077</v>
      </c>
      <c r="BW262"/>
      <c r="BX262">
        <f>BV262</f>
        <v>-237.1560789575077</v>
      </c>
      <c r="BY262">
        <f>IFERROR(BX262/BO262,"")</f>
        <v>-0.23863214602547678</v>
      </c>
      <c r="BZ262">
        <v>0</v>
      </c>
      <c r="CA262">
        <v>0</v>
      </c>
      <c r="CB262">
        <v>0</v>
      </c>
      <c r="CC262">
        <v>0</v>
      </c>
      <c r="CD262">
        <v>0</v>
      </c>
      <c r="CE262">
        <v>0</v>
      </c>
      <c r="CF262">
        <v>0</v>
      </c>
      <c r="CG262">
        <v>0</v>
      </c>
      <c r="CH262">
        <v>0</v>
      </c>
      <c r="CI262">
        <v>0</v>
      </c>
      <c r="CJ262">
        <v>0</v>
      </c>
      <c r="CK262">
        <v>0</v>
      </c>
      <c r="CL262">
        <v>0</v>
      </c>
      <c r="CM262">
        <v>0</v>
      </c>
      <c r="CN262" t="str">
        <f>IF($BL262&lt;$BK262,"refNeedCorrection","refOK")</f>
        <v>refOK</v>
      </c>
      <c r="CO262">
        <f>IF($CN262="refOK",$BK262,$BL262)</f>
        <v>0</v>
      </c>
      <c r="CP262">
        <f>IF($CN262="refOK",$BL262,$BK262)</f>
        <v>228.87547169811316</v>
      </c>
      <c r="CQ262">
        <f>IF($CN262="refOK",$BO262,-$BO262)</f>
        <v>993.81446677426482</v>
      </c>
      <c r="CR262">
        <f>IF($CN262="refOK",$BS262,$BT262)*IF($BP262="Emissions positive",-1,1)</f>
        <v>-574.00406694837011</v>
      </c>
      <c r="CS262">
        <f>IF($CN262="refOK",$BT262,$BS262)*IF($BP262="Emissions positive",-1,1)</f>
        <v>-811.16014590587781</v>
      </c>
      <c r="CT262">
        <f>IF($CN262="refNeedCorrection",-BX262,BX262)*IF($BP262="Emissions positive",-1,1)</f>
        <v>-237.1560789575077</v>
      </c>
      <c r="CU262">
        <f>IFERROR(CT262/CQ262,"")</f>
        <v>-0.23863214602547678</v>
      </c>
      <c r="CV262" s="2">
        <f>IFERROR((CS262-CR262)/ABS(CR262),"")</f>
        <v>-0.4131609732633465</v>
      </c>
      <c r="CW262" s="1" t="s">
        <v>234</v>
      </c>
      <c r="CX262" t="str">
        <f>IF(OR($CW262="prd",$CW262="std",$CW262="cit"),"loc",IF(OR($CW262="eur",$CW262="reg",$CW262="coy"),"reg",$CW262))</f>
        <v>loc</v>
      </c>
      <c r="CY262" t="s">
        <v>280</v>
      </c>
      <c r="CZ262"/>
      <c r="DA262"/>
      <c r="DB262">
        <v>50</v>
      </c>
      <c r="DC262" t="str">
        <f>IF(DB262=0,"0",IF(AND(DB262&gt;=1,DB262&lt;=30),"1-30",IF(AND(DB262&gt;30,DB262&lt;=70),"31-70",IF(AND(DB262&gt;70,DB262&lt;=100),"71-100",IF(DB262&gt;100,"+100")))))</f>
        <v>31-70</v>
      </c>
      <c r="DD262">
        <v>0</v>
      </c>
      <c r="DE262">
        <v>1</v>
      </c>
      <c r="DF262">
        <v>0</v>
      </c>
      <c r="DG262">
        <v>0</v>
      </c>
      <c r="DH262"/>
      <c r="DI262">
        <f>SUM(DD262:DG262)</f>
        <v>1</v>
      </c>
      <c r="DJ262" t="str">
        <f>IF(DI262=1,INDEX($DD$7:$DG$7,MATCH(1,$DD262:$DG262,0)),"mixedProduct")</f>
        <v>EnergyInput</v>
      </c>
      <c r="DK262">
        <f>IF(DD262=1,DK$7,0)</f>
        <v>0</v>
      </c>
      <c r="DL262" t="str">
        <f>IF(DE262=1,DL$7,0)</f>
        <v>Energy</v>
      </c>
      <c r="DM262">
        <f>IF(DF262=1,DM$7,0)</f>
        <v>0</v>
      </c>
      <c r="DN262">
        <f>IF(DG262=1,DN$7,0)</f>
        <v>0</v>
      </c>
      <c r="DO262">
        <v>0</v>
      </c>
      <c r="DP262">
        <v>1</v>
      </c>
      <c r="DQ262" t="s">
        <v>304</v>
      </c>
      <c r="DR262">
        <v>0</v>
      </c>
      <c r="DS262">
        <v>0</v>
      </c>
      <c r="DT262">
        <f>SUM(DO262:DP262)</f>
        <v>1</v>
      </c>
      <c r="DU262" s="143" t="str">
        <f>IF(DO262=1,"self-calculated DF",IF(DP262=1,"external DF used","explicit C balance"))</f>
        <v>external DF used</v>
      </c>
      <c r="DV262">
        <v>0</v>
      </c>
      <c r="DW262">
        <v>1</v>
      </c>
      <c r="DX262">
        <v>1</v>
      </c>
      <c r="DY262">
        <v>1</v>
      </c>
      <c r="DZ262">
        <v>1</v>
      </c>
      <c r="EA262" s="143">
        <v>0</v>
      </c>
      <c r="EB262">
        <v>1</v>
      </c>
      <c r="EC262">
        <v>1</v>
      </c>
      <c r="ED262">
        <v>0</v>
      </c>
      <c r="EE262">
        <v>1</v>
      </c>
      <c r="EF262">
        <v>1</v>
      </c>
      <c r="EG262">
        <v>1</v>
      </c>
      <c r="EH262">
        <v>0</v>
      </c>
      <c r="EI262" s="2">
        <v>0</v>
      </c>
      <c r="EJ262" s="1"/>
      <c r="EK262" t="str">
        <f>IF(AND(AND(AND(OR($DX262=1,$DW262=1),OR($EC262=1,$EA262=1)),SUM($DV262:$DZ262,$EF262)&gt;=4),SUM($EA262:$EE262)&gt;=2),"Whole sector","")</f>
        <v>Whole sector</v>
      </c>
      <c r="EL262" t="str">
        <f>IF(AND(AND(OR($DX262=1,$DW262=1),AND($EC262=0,$EA262=0)),SUM($DV262:$DZ262,$EF262)&gt;=4),"Ecosystem approach","")</f>
        <v/>
      </c>
      <c r="EM262" s="2" t="str">
        <f>IF(AND(AND(AND($DX262=0,$DW262=0),OR($EC262=1,$EA262=1)),SUM($EB262:$EE262)&gt;=2),"Technology approach","")</f>
        <v/>
      </c>
      <c r="EN262"/>
      <c r="EO262"/>
      <c r="EP262" t="str">
        <f>IF(ISNUMBER(BU262),IF(ABS(BU262-[1]QC_indicators!$B$2)&gt;3*[1]QC_indicators!$C$2,"C ratio",IF(ISNUMBER(BY262),IF(ABS(BY262-[1]QC_indicators!$B$1)&gt;3*[1]QC_indicators!$C$1,"DF","no"))),IF(ISNUMBER(BY262),IF(ABS(BY262-[1]QC_indicators!$B$1)&gt;3*[1]QC_indicators!$C$1,"DF","no")))</f>
        <v>no</v>
      </c>
      <c r="EQ262" t="s">
        <v>286</v>
      </c>
      <c r="ER262"/>
      <c r="ES262"/>
      <c r="ET262" s="264" t="s">
        <v>3273</v>
      </c>
      <c r="EU262"/>
    </row>
    <row r="263" spans="1:151" s="139" customFormat="1" ht="15" customHeight="1">
      <c r="A263" s="1" t="s">
        <v>1423</v>
      </c>
      <c r="B263" t="s">
        <v>2116</v>
      </c>
      <c r="C263" t="s">
        <v>2117</v>
      </c>
      <c r="D263" t="s">
        <v>2118</v>
      </c>
      <c r="E263" t="s">
        <v>2119</v>
      </c>
      <c r="F263" t="s">
        <v>2120</v>
      </c>
      <c r="G263" t="s">
        <v>1429</v>
      </c>
      <c r="H263" t="s">
        <v>254</v>
      </c>
      <c r="I263">
        <v>2014</v>
      </c>
      <c r="J263">
        <v>45</v>
      </c>
      <c r="K263" t="s">
        <v>2121</v>
      </c>
      <c r="L263"/>
      <c r="M263" t="str">
        <f>LEFT($D263,FIND(",",$D263)-1)&amp;"_"&amp;I263&amp;L263</f>
        <v>Pukkala_2014</v>
      </c>
      <c r="N263" t="s">
        <v>222</v>
      </c>
      <c r="O263" s="171" t="s">
        <v>225</v>
      </c>
      <c r="P263" t="s">
        <v>1154</v>
      </c>
      <c r="Q263"/>
      <c r="R263" s="262" t="s">
        <v>223</v>
      </c>
      <c r="S263" s="1" t="s">
        <v>2132</v>
      </c>
      <c r="T263" t="s">
        <v>2133</v>
      </c>
      <c r="U263" t="s">
        <v>2124</v>
      </c>
      <c r="V263">
        <v>0</v>
      </c>
      <c r="W263">
        <v>0</v>
      </c>
      <c r="X263">
        <v>0</v>
      </c>
      <c r="Y263">
        <v>0</v>
      </c>
      <c r="Z263">
        <v>0</v>
      </c>
      <c r="AA263">
        <v>0</v>
      </c>
      <c r="AB263">
        <v>0</v>
      </c>
      <c r="AC263">
        <v>0</v>
      </c>
      <c r="AD263">
        <v>0</v>
      </c>
      <c r="AE263">
        <v>0</v>
      </c>
      <c r="AF263">
        <v>1</v>
      </c>
      <c r="AG263">
        <v>0</v>
      </c>
      <c r="AH263">
        <v>0</v>
      </c>
      <c r="AI263">
        <v>0</v>
      </c>
      <c r="AJ263">
        <v>0</v>
      </c>
      <c r="AK263">
        <v>0</v>
      </c>
      <c r="AL263">
        <v>0</v>
      </c>
      <c r="AM263">
        <v>0</v>
      </c>
      <c r="AN263">
        <v>0</v>
      </c>
      <c r="AO263">
        <v>0</v>
      </c>
      <c r="AP263">
        <v>0</v>
      </c>
      <c r="AQ263">
        <v>0</v>
      </c>
      <c r="AR263">
        <v>0</v>
      </c>
      <c r="AS263">
        <v>0</v>
      </c>
      <c r="AT263">
        <v>0</v>
      </c>
      <c r="AU263">
        <v>0</v>
      </c>
      <c r="AV263">
        <v>0</v>
      </c>
      <c r="AW263">
        <v>0</v>
      </c>
      <c r="AX263" s="141">
        <f>COUNTIF(V263:AW263,"&lt;&gt;0")</f>
        <v>1</v>
      </c>
      <c r="AY263" s="141">
        <f>COUNTIF(V263:AL263,"&lt;&gt;0")</f>
        <v>1</v>
      </c>
      <c r="AZ263">
        <f>COUNTIF(V263:AC263,"&lt;&gt;0")</f>
        <v>0</v>
      </c>
      <c r="BA263">
        <f>COUNTIF(AD263:AI263,"&lt;&gt;0")</f>
        <v>1</v>
      </c>
      <c r="BB263">
        <f>COUNTIF(AJ263:AL263,"&lt;&gt;0")</f>
        <v>0</v>
      </c>
      <c r="BC263">
        <f>COUNTIF(AS263:AW263,"&lt;&gt;0")</f>
        <v>0</v>
      </c>
      <c r="BD263">
        <f>COUNTIF(AM263:AR263,"&lt;&gt;0")</f>
        <v>0</v>
      </c>
      <c r="BE263" t="str">
        <f t="array" ref="BE263">IF(AY263=1,INDEX($V$7:$AL$7,MATCH(TRUE,INDEX($V263:$AW263&lt;&gt;0,),0)),IF(AY263=0,INDEX($AM$7:$AW$7,MATCH(1,$AM263:$AW263,0)),IF(BF263="Multiple strategies","mixed drivers",IF(BF263="Supply chain","multiple supply","multiple silviculture"))))</f>
        <v>supply chain organization</v>
      </c>
      <c r="BF263" s="2" t="str" cm="1">
        <f t="array" ref="BF263">IF(COUNTIF(AZ263:BB263,"&lt;&gt;0")=1,INDEX($V$4:$AW$4,MATCH(TRUE,INDEX($V263:$AW263&lt;&gt;0,),0)),IF(COUNTIF(AZ263:BB263,"&lt;&gt;0")=0,INDEX($AM$4:$AW$4,MATCH(1,$AM263:$AW263,0)),"Multiple strategies"))</f>
        <v>Supply chain</v>
      </c>
      <c r="BG263" s="1" t="s">
        <v>229</v>
      </c>
      <c r="BH263" t="s">
        <v>2125</v>
      </c>
      <c r="BI263" t="s">
        <v>2126</v>
      </c>
      <c r="BJ263" t="s">
        <v>2127</v>
      </c>
      <c r="BK263">
        <v>1.002</v>
      </c>
      <c r="BL263">
        <v>1.0920000000000001</v>
      </c>
      <c r="BM263">
        <f>IFERROR(BL263/BK263,"")</f>
        <v>1.0898203592814373</v>
      </c>
      <c r="BN263">
        <f>BL263-BK263</f>
        <v>9.000000000000008E-2</v>
      </c>
      <c r="BO263">
        <f>+BN263*tC_to_m3</f>
        <v>0.39079461571862822</v>
      </c>
      <c r="BP263" t="s">
        <v>232</v>
      </c>
      <c r="BQ263" s="234" t="s">
        <v>2128</v>
      </c>
      <c r="BR263" t="s">
        <v>2127</v>
      </c>
      <c r="BS263">
        <v>7.8E-2</v>
      </c>
      <c r="BT263">
        <v>5.2999999999999999E-2</v>
      </c>
      <c r="BU263" s="144">
        <f>BT263/BS263</f>
        <v>0.67948717948717952</v>
      </c>
      <c r="BV263">
        <f>BT263-BS263</f>
        <v>-2.5000000000000001E-2</v>
      </c>
      <c r="BW263"/>
      <c r="BX263" s="185">
        <f>BV263*C_to_CO2</f>
        <v>-9.1749999999999998E-2</v>
      </c>
      <c r="BY263">
        <f>IFERROR(BX263/BO263,"")</f>
        <v>-0.23477805555555534</v>
      </c>
      <c r="BZ263">
        <v>0</v>
      </c>
      <c r="CA263">
        <v>0</v>
      </c>
      <c r="CB263">
        <v>0</v>
      </c>
      <c r="CC263">
        <v>0</v>
      </c>
      <c r="CD263">
        <v>0</v>
      </c>
      <c r="CE263">
        <v>0</v>
      </c>
      <c r="CF263">
        <v>0</v>
      </c>
      <c r="CG263">
        <v>0</v>
      </c>
      <c r="CH263">
        <v>0</v>
      </c>
      <c r="CI263">
        <v>0</v>
      </c>
      <c r="CJ263">
        <v>0</v>
      </c>
      <c r="CK263">
        <v>0</v>
      </c>
      <c r="CL263">
        <v>0</v>
      </c>
      <c r="CM263">
        <v>1</v>
      </c>
      <c r="CN263" t="str">
        <f>IF($BL263&lt;$BK263,"refNeedCorrection","refOK")</f>
        <v>refOK</v>
      </c>
      <c r="CO263">
        <f>IF($CN263="refOK",$BK263,$BL263)</f>
        <v>1.002</v>
      </c>
      <c r="CP263">
        <f>IF($CN263="refOK",$BL263,$BK263)</f>
        <v>1.0920000000000001</v>
      </c>
      <c r="CQ263">
        <f>IF($CN263="refOK",$BO263,-$BO263)</f>
        <v>0.39079461571862822</v>
      </c>
      <c r="CR263">
        <f>IF($CN263="refOK",$BS263,$BT263)*IF($BP263="Emissions positive",-1,1)</f>
        <v>7.8E-2</v>
      </c>
      <c r="CS263">
        <f>IF($CN263="refOK",$BT263,$BS263)*IF($BP263="Emissions positive",-1,1)</f>
        <v>5.2999999999999999E-2</v>
      </c>
      <c r="CT263">
        <f>IF($CN263="refNeedCorrection",-BX263,BX263)*IF($BP263="Emissions positive",-1,1)</f>
        <v>-9.1749999999999998E-2</v>
      </c>
      <c r="CU263">
        <f>IFERROR(CT263/CQ263,"")</f>
        <v>-0.23477805555555534</v>
      </c>
      <c r="CV263" s="2">
        <f>IFERROR((CS263-CR263)/ABS(CR263),"")</f>
        <v>-0.32051282051282054</v>
      </c>
      <c r="CW263" s="1" t="s">
        <v>2036</v>
      </c>
      <c r="CX263" t="str">
        <f>IF(OR($CW263="prd",$CW263="std",$CW263="cit"),"loc",IF(OR($CW263="eur",$CW263="reg",$CW263="coy"),"reg",$CW263))</f>
        <v>reg</v>
      </c>
      <c r="CY263" t="s">
        <v>235</v>
      </c>
      <c r="CZ263"/>
      <c r="DA263"/>
      <c r="DB263">
        <v>30</v>
      </c>
      <c r="DC263" t="str">
        <f>IF(DB263=0,"0",IF(AND(DB263&gt;=1,DB263&lt;=30),"1-30",IF(AND(DB263&gt;30,DB263&lt;=70),"31-70",IF(AND(DB263&gt;70,DB263&lt;=100),"71-100",IF(DB263&gt;100,"+100")))))</f>
        <v>1-30</v>
      </c>
      <c r="DD263">
        <v>1</v>
      </c>
      <c r="DE263">
        <v>0</v>
      </c>
      <c r="DF263">
        <v>0</v>
      </c>
      <c r="DG263">
        <v>0</v>
      </c>
      <c r="DH263">
        <v>0</v>
      </c>
      <c r="DI263">
        <f>SUM(DD263:DG263)</f>
        <v>1</v>
      </c>
      <c r="DJ263" t="str">
        <f>IF(DI263=1,INDEX($DD$7:$DG$7,MATCH(1,$DD263:$DG263,0)),"mixedProduct")</f>
        <v>UpstreamInput</v>
      </c>
      <c r="DK263" t="str">
        <f>IF(DD263=1,DK$7,0)</f>
        <v>Upstream</v>
      </c>
      <c r="DL263">
        <f>IF(DE263=1,DL$7,0)</f>
        <v>0</v>
      </c>
      <c r="DM263">
        <f>IF(DF263=1,DM$7,0)</f>
        <v>0</v>
      </c>
      <c r="DN263">
        <f>IF(DG263=1,DN$7,0)</f>
        <v>0</v>
      </c>
      <c r="DO263">
        <v>0</v>
      </c>
      <c r="DP263" s="185">
        <v>0</v>
      </c>
      <c r="DQ263" s="190"/>
      <c r="DR263" s="190"/>
      <c r="DS263" s="184">
        <v>0</v>
      </c>
      <c r="DT263"/>
      <c r="DU263" s="143" t="str">
        <f>IF(DO263=1,"self-calculated DF",IF(DP263=1,"external DF used","explicit C balance"))</f>
        <v>explicit C balance</v>
      </c>
      <c r="DV263">
        <v>1</v>
      </c>
      <c r="DW263">
        <v>1</v>
      </c>
      <c r="DX263">
        <v>1</v>
      </c>
      <c r="DY263">
        <v>1</v>
      </c>
      <c r="DZ263">
        <v>1</v>
      </c>
      <c r="EA263">
        <v>0</v>
      </c>
      <c r="EB263">
        <v>0</v>
      </c>
      <c r="EC263">
        <v>0</v>
      </c>
      <c r="ED263">
        <v>0</v>
      </c>
      <c r="EE263">
        <v>0</v>
      </c>
      <c r="EF263">
        <v>1</v>
      </c>
      <c r="EG263">
        <v>0</v>
      </c>
      <c r="EH263">
        <v>0</v>
      </c>
      <c r="EI263" s="2">
        <v>0</v>
      </c>
      <c r="EJ263" s="1"/>
      <c r="EK263" t="str">
        <f>IF(AND(AND(AND(OR($DX263=1,$DW263=1),OR($EC263=1,$EA263=1)),SUM($DV263:$DZ263,$EF263)&gt;=4),SUM($EA263:$EE263)&gt;=2),"Whole sector","")</f>
        <v/>
      </c>
      <c r="EL263" t="str">
        <f>IF(AND(AND(OR($DX263=1,$DW263=1),AND($EC263=0,$EA263=0)),SUM($DV263:$DZ263,$EF263)&gt;=4),"Ecosystem approach","")</f>
        <v>Ecosystem approach</v>
      </c>
      <c r="EM263" s="2" t="str">
        <f>IF(AND(AND(AND($DX263=0,$DW263=0),OR($EC263=1,$EA263=1)),SUM($EB263:$EE263)&gt;=2),"Technology approach","")</f>
        <v/>
      </c>
      <c r="EN263"/>
      <c r="EO263"/>
      <c r="EP263" t="str">
        <f>IF(ISNUMBER(BU263),IF(ABS(BU263-[1]QC_indicators!$B$2)&gt;3*[1]QC_indicators!$C$2,"C ratio",IF(ISNUMBER(BY263),IF(ABS(BY263-[1]QC_indicators!$B$1)&gt;3*[1]QC_indicators!$C$1,"DF","no"))),IF(ISNUMBER(BY263),IF(ABS(BY263-[1]QC_indicators!$B$1)&gt;3*[1]QC_indicators!$C$1,"DF","no")))</f>
        <v>no</v>
      </c>
      <c r="EQ263"/>
      <c r="ER263"/>
      <c r="ES263"/>
      <c r="ET263" s="264" t="s">
        <v>3223</v>
      </c>
      <c r="EU263"/>
    </row>
    <row r="264" spans="1:151" s="139" customFormat="1" ht="15" customHeight="1">
      <c r="A264" s="1" t="s">
        <v>265</v>
      </c>
      <c r="B264" t="s">
        <v>266</v>
      </c>
      <c r="C264" t="s">
        <v>267</v>
      </c>
      <c r="D264" t="s">
        <v>268</v>
      </c>
      <c r="E264" t="s">
        <v>269</v>
      </c>
      <c r="F264" t="s">
        <v>270</v>
      </c>
      <c r="G264" t="s">
        <v>271</v>
      </c>
      <c r="H264" t="s">
        <v>254</v>
      </c>
      <c r="I264">
        <v>2022</v>
      </c>
      <c r="J264">
        <v>0</v>
      </c>
      <c r="K264" t="s">
        <v>272</v>
      </c>
      <c r="L264"/>
      <c r="M264" t="str">
        <f>LEFT($D264,FIND(",",$D264)-1)&amp;"_"&amp;I264&amp;L264</f>
        <v>Aryapratama_2022</v>
      </c>
      <c r="N264" t="s">
        <v>222</v>
      </c>
      <c r="O264" s="145" t="s">
        <v>274</v>
      </c>
      <c r="P264"/>
      <c r="Q264" t="s">
        <v>224</v>
      </c>
      <c r="R264" s="262" t="s">
        <v>223</v>
      </c>
      <c r="S264" s="263" t="s">
        <v>3105</v>
      </c>
      <c r="T264" t="s">
        <v>297</v>
      </c>
      <c r="U264" t="s">
        <v>298</v>
      </c>
      <c r="V264">
        <v>0</v>
      </c>
      <c r="W264">
        <v>0</v>
      </c>
      <c r="X264">
        <v>0</v>
      </c>
      <c r="Y264">
        <v>0</v>
      </c>
      <c r="Z264">
        <v>0</v>
      </c>
      <c r="AA264">
        <v>0</v>
      </c>
      <c r="AB264">
        <v>0</v>
      </c>
      <c r="AC264">
        <v>0</v>
      </c>
      <c r="AD264">
        <v>0</v>
      </c>
      <c r="AE264">
        <v>0</v>
      </c>
      <c r="AF264">
        <v>0</v>
      </c>
      <c r="AG264">
        <v>0</v>
      </c>
      <c r="AH264">
        <v>0</v>
      </c>
      <c r="AI264">
        <v>0</v>
      </c>
      <c r="AJ264">
        <v>0</v>
      </c>
      <c r="AK264">
        <v>1</v>
      </c>
      <c r="AL264">
        <v>0</v>
      </c>
      <c r="AM264">
        <v>0</v>
      </c>
      <c r="AN264">
        <v>0</v>
      </c>
      <c r="AO264">
        <v>0</v>
      </c>
      <c r="AP264">
        <v>0</v>
      </c>
      <c r="AQ264">
        <v>0</v>
      </c>
      <c r="AR264">
        <v>0</v>
      </c>
      <c r="AS264">
        <v>0</v>
      </c>
      <c r="AT264">
        <v>0</v>
      </c>
      <c r="AU264">
        <v>0</v>
      </c>
      <c r="AV264">
        <v>0</v>
      </c>
      <c r="AW264">
        <v>0</v>
      </c>
      <c r="AX264" s="141">
        <f>COUNTIF(V264:AW264,"&lt;&gt;0")</f>
        <v>1</v>
      </c>
      <c r="AY264" s="141">
        <f>COUNTIF(V264:AL264,"&lt;&gt;0")</f>
        <v>1</v>
      </c>
      <c r="AZ264">
        <f>COUNTIF(V264:AC264,"&lt;&gt;0")</f>
        <v>0</v>
      </c>
      <c r="BA264">
        <f>COUNTIF(AD264:AI264,"&lt;&gt;0")</f>
        <v>0</v>
      </c>
      <c r="BB264">
        <f>COUNTIF(AJ264:AL264,"&lt;&gt;0")</f>
        <v>1</v>
      </c>
      <c r="BC264">
        <f>COUNTIF(AS264:AW264,"&lt;&gt;0")</f>
        <v>0</v>
      </c>
      <c r="BD264">
        <f>COUNTIF(AM264:AR264,"&lt;&gt;0")</f>
        <v>0</v>
      </c>
      <c r="BE264" t="str">
        <f t="array" ref="BE264">IF(AY264=1,INDEX($V$7:$AL$7,MATCH(TRUE,INDEX($V264:$AW264&lt;&gt;0,),0)),IF(AY264=0,INDEX($AM$7:$AW$7,MATCH(1,$AM264:$AW264,0)),IF(BF264="Multiple strategies","mixed drivers",IF(BF264="Supply chain","multiple supply","multiple silviculture"))))</f>
        <v>technologies/design switch</v>
      </c>
      <c r="BF264" s="2" t="str" cm="1">
        <f t="array" ref="BF264">IF(COUNTIF(AZ264:BB264,"&lt;&gt;0")=1,INDEX($V$4:$AW$4,MATCH(TRUE,INDEX($V264:$AW264&lt;&gt;0,),0)),IF(COUNTIF(AZ264:BB264,"&lt;&gt;0")=0,INDEX($AM$4:$AW$4,MATCH(1,$AM264:$AW264,0)),"Multiple strategies"))</f>
        <v>Technology</v>
      </c>
      <c r="BG264" s="1" t="s">
        <v>229</v>
      </c>
      <c r="BH264" t="s">
        <v>277</v>
      </c>
      <c r="BI264" s="264" t="s">
        <v>3106</v>
      </c>
      <c r="BJ264" t="s">
        <v>278</v>
      </c>
      <c r="BK264">
        <v>0</v>
      </c>
      <c r="BL264">
        <v>309.48181778635524</v>
      </c>
      <c r="BM264"/>
      <c r="BN264">
        <f>BL264-BK264</f>
        <v>309.48181778635524</v>
      </c>
      <c r="BO264">
        <f>BN264*tC_to_m3</f>
        <v>1343.8203117080125</v>
      </c>
      <c r="BP264" t="s">
        <v>232</v>
      </c>
      <c r="BQ264" s="303" t="s">
        <v>3107</v>
      </c>
      <c r="BR264" t="s">
        <v>279</v>
      </c>
      <c r="BS264">
        <v>-329.48380978417958</v>
      </c>
      <c r="BT264">
        <v>-628.19875545968</v>
      </c>
      <c r="BU264" s="144">
        <f>IFERROR(BT264/BS264,"")</f>
        <v>1.9066149437544941</v>
      </c>
      <c r="BV264">
        <f>BT264-BS264</f>
        <v>-298.71494567550042</v>
      </c>
      <c r="BW264"/>
      <c r="BX264">
        <f>BV264</f>
        <v>-298.71494567550042</v>
      </c>
      <c r="BY264">
        <f>IFERROR(BX264/BO264,"")</f>
        <v>-0.22228786324551827</v>
      </c>
      <c r="BZ264">
        <v>0</v>
      </c>
      <c r="CA264">
        <v>0</v>
      </c>
      <c r="CB264">
        <v>0</v>
      </c>
      <c r="CC264">
        <v>0</v>
      </c>
      <c r="CD264">
        <v>0</v>
      </c>
      <c r="CE264">
        <v>0</v>
      </c>
      <c r="CF264">
        <v>0</v>
      </c>
      <c r="CG264">
        <v>0</v>
      </c>
      <c r="CH264">
        <v>0</v>
      </c>
      <c r="CI264">
        <v>0</v>
      </c>
      <c r="CJ264">
        <v>0</v>
      </c>
      <c r="CK264">
        <v>0</v>
      </c>
      <c r="CL264">
        <v>0</v>
      </c>
      <c r="CM264">
        <v>0</v>
      </c>
      <c r="CN264" t="str">
        <f>IF($BL264&lt;$BK264,"refNeedCorrection","refOK")</f>
        <v>refOK</v>
      </c>
      <c r="CO264">
        <f>IF($CN264="refOK",$BK264,$BL264)</f>
        <v>0</v>
      </c>
      <c r="CP264">
        <f>IF($CN264="refOK",$BL264,$BK264)</f>
        <v>309.48181778635524</v>
      </c>
      <c r="CQ264">
        <f>IF($CN264="refOK",$BO264,-$BO264)</f>
        <v>1343.8203117080125</v>
      </c>
      <c r="CR264">
        <f>IF($CN264="refOK",$BS264,$BT264)*IF($BP264="Emissions positive",-1,1)</f>
        <v>-329.48380978417958</v>
      </c>
      <c r="CS264">
        <f>IF($CN264="refOK",$BT264,$BS264)*IF($BP264="Emissions positive",-1,1)</f>
        <v>-628.19875545968</v>
      </c>
      <c r="CT264">
        <f>IF($CN264="refNeedCorrection",-BX264,BX264)*IF($BP264="Emissions positive",-1,1)</f>
        <v>-298.71494567550042</v>
      </c>
      <c r="CU264">
        <f>IFERROR(CT264/CQ264,"")</f>
        <v>-0.22228786324551827</v>
      </c>
      <c r="CV264" s="2">
        <f>IFERROR((CS264-CR264)/ABS(CR264),"")</f>
        <v>-0.90661494375449414</v>
      </c>
      <c r="CW264" s="1" t="s">
        <v>234</v>
      </c>
      <c r="CX264" t="str">
        <f>IF(OR($CW264="prd",$CW264="std",$CW264="cit"),"loc",IF(OR($CW264="eur",$CW264="reg",$CW264="coy"),"reg",$CW264))</f>
        <v>loc</v>
      </c>
      <c r="CY264" t="s">
        <v>280</v>
      </c>
      <c r="CZ264"/>
      <c r="DA264"/>
      <c r="DB264">
        <v>200</v>
      </c>
      <c r="DC264" t="str">
        <f>IF(DB264=0,"0",IF(AND(DB264&gt;=1,DB264&lt;=30),"1-30",IF(AND(DB264&gt;30,DB264&lt;=70),"31-70",IF(AND(DB264&gt;70,DB264&lt;=100),"71-100",IF(DB264&gt;100,"+100")))))</f>
        <v>+100</v>
      </c>
      <c r="DD264">
        <v>0</v>
      </c>
      <c r="DE264">
        <v>0</v>
      </c>
      <c r="DF264">
        <v>0</v>
      </c>
      <c r="DG264">
        <v>1</v>
      </c>
      <c r="DH264"/>
      <c r="DI264">
        <f>SUM(DD264:DG264)</f>
        <v>1</v>
      </c>
      <c r="DJ264" t="str">
        <f>IF(DI264=1,INDEX($DD$7:$DG$7,MATCH(1,$DD264:$DG264,0)),"mixedProduct")</f>
        <v>TimberInput</v>
      </c>
      <c r="DK264">
        <f>IF(DD264=1,DK$7,0)</f>
        <v>0</v>
      </c>
      <c r="DL264">
        <f>IF(DE264=1,DL$7,0)</f>
        <v>0</v>
      </c>
      <c r="DM264">
        <f>IF(DF264=1,DM$7,0)</f>
        <v>0</v>
      </c>
      <c r="DN264" t="str">
        <f>IF(DG264=1,DN$7,0)</f>
        <v>Timber</v>
      </c>
      <c r="DO264">
        <v>0</v>
      </c>
      <c r="DP264">
        <v>1</v>
      </c>
      <c r="DQ264">
        <v>0</v>
      </c>
      <c r="DR264" t="s">
        <v>281</v>
      </c>
      <c r="DS264">
        <v>0</v>
      </c>
      <c r="DT264">
        <f>SUM(DO264:DP264)</f>
        <v>1</v>
      </c>
      <c r="DU264" s="143" t="str">
        <f>IF(DO264=1,"self-calculated DF",IF(DP264=1,"external DF used","explicit C balance"))</f>
        <v>external DF used</v>
      </c>
      <c r="DV264">
        <v>0</v>
      </c>
      <c r="DW264">
        <v>1</v>
      </c>
      <c r="DX264">
        <v>1</v>
      </c>
      <c r="DY264">
        <v>1</v>
      </c>
      <c r="DZ264">
        <v>1</v>
      </c>
      <c r="EA264" s="143">
        <v>0</v>
      </c>
      <c r="EB264">
        <v>1</v>
      </c>
      <c r="EC264">
        <v>1</v>
      </c>
      <c r="ED264">
        <v>0</v>
      </c>
      <c r="EE264">
        <v>1</v>
      </c>
      <c r="EF264">
        <v>1</v>
      </c>
      <c r="EG264">
        <v>1</v>
      </c>
      <c r="EH264">
        <v>0</v>
      </c>
      <c r="EI264" s="2">
        <v>0</v>
      </c>
      <c r="EJ264" s="1"/>
      <c r="EK264" t="str">
        <f>IF(AND(AND(AND(OR($DX264=1,$DW264=1),OR($EC264=1,$EA264=1)),SUM($DV264:$DZ264,$EF264)&gt;=4),SUM($EA264:$EE264)&gt;=2),"Whole sector","")</f>
        <v>Whole sector</v>
      </c>
      <c r="EL264" t="str">
        <f>IF(AND(AND(OR($DX264=1,$DW264=1),AND($EC264=0,$EA264=0)),SUM($DV264:$DZ264,$EF264)&gt;=4),"Ecosystem approach","")</f>
        <v/>
      </c>
      <c r="EM264" s="2" t="str">
        <f>IF(AND(AND(AND($DX264=0,$DW264=0),OR($EC264=1,$EA264=1)),SUM($EB264:$EE264)&gt;=2),"Technology approach","")</f>
        <v/>
      </c>
      <c r="EN264"/>
      <c r="EO264"/>
      <c r="EP264" t="str">
        <f>IF(ISNUMBER(BU264),IF(ABS(BU264-[1]QC_indicators!$B$2)&gt;3*[1]QC_indicators!$C$2,"C ratio",IF(ISNUMBER(BY264),IF(ABS(BY264-[1]QC_indicators!$B$1)&gt;3*[1]QC_indicators!$C$1,"DF","no"))),IF(ISNUMBER(BY264),IF(ABS(BY264-[1]QC_indicators!$B$1)&gt;3*[1]QC_indicators!$C$1,"DF","no")))</f>
        <v>no</v>
      </c>
      <c r="EQ264" t="s">
        <v>286</v>
      </c>
      <c r="ER264"/>
      <c r="ES264"/>
      <c r="ET264" s="264" t="s">
        <v>3273</v>
      </c>
      <c r="EU264"/>
    </row>
    <row r="265" spans="1:151" s="139" customFormat="1" ht="15" customHeight="1">
      <c r="A265" s="1" t="s">
        <v>848</v>
      </c>
      <c r="B265" t="s">
        <v>2037</v>
      </c>
      <c r="C265" t="s">
        <v>2038</v>
      </c>
      <c r="D265" t="s">
        <v>2039</v>
      </c>
      <c r="E265" t="s">
        <v>2040</v>
      </c>
      <c r="F265" t="s">
        <v>2041</v>
      </c>
      <c r="G265" t="s">
        <v>854</v>
      </c>
      <c r="H265" t="s">
        <v>254</v>
      </c>
      <c r="I265">
        <v>2020</v>
      </c>
      <c r="J265">
        <v>1</v>
      </c>
      <c r="K265" t="s">
        <v>2042</v>
      </c>
      <c r="L265"/>
      <c r="M265" t="str">
        <f>LEFT($D265,FIND(",",$D265)-1)&amp;"_"&amp;I265&amp;L265</f>
        <v>Numazawa_2020</v>
      </c>
      <c r="N265" t="s">
        <v>222</v>
      </c>
      <c r="O265" s="157" t="s">
        <v>274</v>
      </c>
      <c r="P265" t="s">
        <v>513</v>
      </c>
      <c r="Q265" t="s">
        <v>389</v>
      </c>
      <c r="R265" s="255" t="s">
        <v>223</v>
      </c>
      <c r="S265" s="1" t="s">
        <v>2049</v>
      </c>
      <c r="T265" t="s">
        <v>2044</v>
      </c>
      <c r="U265" t="s">
        <v>2051</v>
      </c>
      <c r="V265">
        <v>0</v>
      </c>
      <c r="W265">
        <v>0</v>
      </c>
      <c r="X265">
        <v>0</v>
      </c>
      <c r="Y265">
        <v>1</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s="141">
        <f>COUNTIF(V265:AW265,"&lt;&gt;0")</f>
        <v>1</v>
      </c>
      <c r="AY265" s="141">
        <f>COUNTIF(V265:AL265,"&lt;&gt;0")</f>
        <v>1</v>
      </c>
      <c r="AZ265">
        <f>COUNTIF(V265:AC265,"&lt;&gt;0")</f>
        <v>1</v>
      </c>
      <c r="BA265">
        <f>COUNTIF(AD265:AI265,"&lt;&gt;0")</f>
        <v>0</v>
      </c>
      <c r="BB265">
        <f>COUNTIF(AJ265:AL265,"&lt;&gt;0")</f>
        <v>0</v>
      </c>
      <c r="BC265">
        <f>COUNTIF(AS265:AW265,"&lt;&gt;0")</f>
        <v>0</v>
      </c>
      <c r="BD265">
        <f>COUNTIF(AM265:AR265,"&lt;&gt;0")</f>
        <v>0</v>
      </c>
      <c r="BE265" t="str">
        <f t="array" ref="BE265">IF(AY265=1,INDEX($V$7:$AL$7,MATCH(TRUE,INDEX($V265:$AW265&lt;&gt;0,),0)),IF(AY265=0,INDEX($AM$7:$AW$7,MATCH(1,$AM265:$AW265,0)),IF(BF265="Multiple strategies","mixed drivers",IF(BF265="Supply chain","multiple supply","multiple silviculture"))))</f>
        <v xml:space="preserve">cutting intensity </v>
      </c>
      <c r="BF265" s="2" t="str" cm="1">
        <f t="array" ref="BF265">IF(COUNTIF(AZ265:BB265,"&lt;&gt;0")=1,INDEX($V$4:$AW$4,MATCH(TRUE,INDEX($V265:$AW265&lt;&gt;0,),0)),IF(COUNTIF(AZ265:BB265,"&lt;&gt;0")=0,INDEX($AM$4:$AW$4,MATCH(1,$AM265:$AW265,0)),"Multiple strategies"))</f>
        <v>Silviculture for removals</v>
      </c>
      <c r="BG265" s="1" t="s">
        <v>321</v>
      </c>
      <c r="BH265" s="265" t="s">
        <v>3096</v>
      </c>
      <c r="BI265" s="264" t="s">
        <v>396</v>
      </c>
      <c r="BJ265" t="s">
        <v>2046</v>
      </c>
      <c r="BK265">
        <v>0</v>
      </c>
      <c r="BL265">
        <v>28</v>
      </c>
      <c r="BM265" t="str">
        <f>IFERROR(BL265/BK265,"")</f>
        <v/>
      </c>
      <c r="BN265">
        <f>BL265-BK265</f>
        <v>28</v>
      </c>
      <c r="BO265">
        <f>BN265*t_to_m3</f>
        <v>57.142857142857146</v>
      </c>
      <c r="BP265" t="s">
        <v>232</v>
      </c>
      <c r="BQ265" s="234" t="s">
        <v>396</v>
      </c>
      <c r="BR265" t="s">
        <v>2047</v>
      </c>
      <c r="BS265">
        <v>125</v>
      </c>
      <c r="BT265">
        <v>122</v>
      </c>
      <c r="BU265" s="144">
        <f>BT265/BS265</f>
        <v>0.97599999999999998</v>
      </c>
      <c r="BV265">
        <f>BT265-BS265</f>
        <v>-3</v>
      </c>
      <c r="BW265"/>
      <c r="BX265">
        <f>BV265*C_to_CO2</f>
        <v>-11.01</v>
      </c>
      <c r="BY265">
        <f>IFERROR(BX265/BO265,"")</f>
        <v>-0.19267499999999999</v>
      </c>
      <c r="BZ265">
        <v>0</v>
      </c>
      <c r="CA265">
        <v>0</v>
      </c>
      <c r="CB265">
        <v>0</v>
      </c>
      <c r="CC265">
        <v>0</v>
      </c>
      <c r="CD265">
        <v>0</v>
      </c>
      <c r="CE265">
        <v>0</v>
      </c>
      <c r="CF265">
        <v>0</v>
      </c>
      <c r="CG265">
        <v>0</v>
      </c>
      <c r="CH265">
        <v>0</v>
      </c>
      <c r="CI265">
        <v>0</v>
      </c>
      <c r="CJ265">
        <v>0</v>
      </c>
      <c r="CK265">
        <v>0</v>
      </c>
      <c r="CL265">
        <v>0</v>
      </c>
      <c r="CM265">
        <v>1</v>
      </c>
      <c r="CN265" t="str">
        <f>IF($BL265&lt;$BK265,"refNeedCorrection","refOK")</f>
        <v>refOK</v>
      </c>
      <c r="CO265">
        <f>IF($CN265="refOK",$BK265,$BL265)</f>
        <v>0</v>
      </c>
      <c r="CP265">
        <f>IF($CN265="refOK",$BL265,$BK265)</f>
        <v>28</v>
      </c>
      <c r="CQ265">
        <f>IF($CN265="refOK",$BO265,-$BO265)</f>
        <v>57.142857142857146</v>
      </c>
      <c r="CR265">
        <f>IF($CN265="refOK",$BS265,$BT265)*IF($BP265="Emissions positive",-1,1)</f>
        <v>125</v>
      </c>
      <c r="CS265">
        <f>IF($CN265="refOK",$BT265,$BS265)*IF($BP265="Emissions positive",-1,1)</f>
        <v>122</v>
      </c>
      <c r="CT265">
        <f>IF($CN265="refNeedCorrection",-BX265,BX265)*IF($BP265="Emissions positive",-1,1)</f>
        <v>-11.01</v>
      </c>
      <c r="CU265">
        <f>IFERROR(CT265/CQ265,"")</f>
        <v>-0.19267499999999999</v>
      </c>
      <c r="CV265" s="2">
        <f>IFERROR((CS265-CR265)/ABS(CR265),"")</f>
        <v>-2.4E-2</v>
      </c>
      <c r="CW265" s="1" t="s">
        <v>2036</v>
      </c>
      <c r="CX265" t="str">
        <f>IF(OR($CW265="prd",$CW265="std",$CW265="cit"),"loc",IF(OR($CW265="eur",$CW265="reg",$CW265="coy"),"reg",$CW265))</f>
        <v>reg</v>
      </c>
      <c r="CY265" t="s">
        <v>520</v>
      </c>
      <c r="CZ265"/>
      <c r="DA265"/>
      <c r="DB265">
        <v>120</v>
      </c>
      <c r="DC265" t="str">
        <f>IF(DB265=0,"0",IF(AND(DB265&gt;=1,DB265&lt;=30),"1-30",IF(AND(DB265&gt;30,DB265&lt;=70),"31-70",IF(AND(DB265&gt;70,DB265&lt;=100),"71-100",IF(DB265&gt;100,"+100")))))</f>
        <v>+100</v>
      </c>
      <c r="DD265">
        <v>1</v>
      </c>
      <c r="DE265">
        <v>0</v>
      </c>
      <c r="DF265">
        <v>0</v>
      </c>
      <c r="DG265">
        <v>0</v>
      </c>
      <c r="DH265">
        <v>0</v>
      </c>
      <c r="DI265">
        <f>SUM(DD265:DG265)</f>
        <v>1</v>
      </c>
      <c r="DJ265" t="str">
        <f>IF(DI265=1,INDEX($DD$7:$DG$7,MATCH(1,$DD265:$DG265,0)),"mixedProduct")</f>
        <v>UpstreamInput</v>
      </c>
      <c r="DK265" t="str">
        <f>IF(DD265=1,DK$7,0)</f>
        <v>Upstream</v>
      </c>
      <c r="DL265">
        <f>IF(DE265=1,DL$7,0)</f>
        <v>0</v>
      </c>
      <c r="DM265">
        <f>IF(DF265=1,DM$7,0)</f>
        <v>0</v>
      </c>
      <c r="DN265">
        <f>IF(DG265=1,DN$7,0)</f>
        <v>0</v>
      </c>
      <c r="DO265"/>
      <c r="DP265"/>
      <c r="DQ265"/>
      <c r="DR265"/>
      <c r="DS265"/>
      <c r="DT265"/>
      <c r="DU265" s="143" t="str">
        <f>IF(DO265=1,"self-calculated DF",IF(DP265=1,"external DF used","explicit C balance"))</f>
        <v>explicit C balance</v>
      </c>
      <c r="DV265">
        <v>1</v>
      </c>
      <c r="DW265">
        <v>1</v>
      </c>
      <c r="DX265">
        <v>1</v>
      </c>
      <c r="DY265">
        <v>0</v>
      </c>
      <c r="DZ265">
        <v>0</v>
      </c>
      <c r="EA265" s="143">
        <v>0</v>
      </c>
      <c r="EB265">
        <v>0</v>
      </c>
      <c r="EC265">
        <v>0</v>
      </c>
      <c r="ED265">
        <v>0</v>
      </c>
      <c r="EE265">
        <v>0</v>
      </c>
      <c r="EF265">
        <v>1</v>
      </c>
      <c r="EG265">
        <v>0</v>
      </c>
      <c r="EH265">
        <v>0</v>
      </c>
      <c r="EI265" s="2">
        <v>0</v>
      </c>
      <c r="EJ265" s="1"/>
      <c r="EK265" t="str">
        <f>IF(AND(AND(AND(OR($DX265=1,$DW265=1),OR($EC265=1,$EA265=1)),SUM($DV265:$DZ265,$EF265)&gt;=4),SUM($EA265:$EE265)&gt;=2),"Whole sector","")</f>
        <v/>
      </c>
      <c r="EL265" t="str">
        <f>IF(AND(AND(OR($DX265=1,$DW265=1),AND($EC265=0,$EA265=0)),SUM($DV265:$DZ265,$EF265)&gt;=4),"Ecosystem approach","")</f>
        <v>Ecosystem approach</v>
      </c>
      <c r="EM265" s="2" t="str">
        <f>IF(AND(AND(AND($DX265=0,$DW265=0),OR($EC265=1,$EA265=1)),SUM($EB265:$EE265)&gt;=2),"Technology approach","")</f>
        <v/>
      </c>
      <c r="EN265"/>
      <c r="EO265"/>
      <c r="EP265" t="str">
        <f>IF(ISNUMBER(BU265),IF(ABS(BU265-[1]QC_indicators!$B$2)&gt;3*[1]QC_indicators!$C$2,"C ratio",IF(ISNUMBER(BY265),IF(ABS(BY265-[1]QC_indicators!$B$1)&gt;3*[1]QC_indicators!$C$1,"DF","no"))),IF(ISNUMBER(BY265),IF(ABS(BY265-[1]QC_indicators!$B$1)&gt;3*[1]QC_indicators!$C$1,"DF","no")))</f>
        <v>no</v>
      </c>
      <c r="EQ265"/>
      <c r="ER265"/>
      <c r="ES265"/>
      <c r="ET265" s="264" t="s">
        <v>3097</v>
      </c>
      <c r="EU265"/>
    </row>
    <row r="266" spans="1:151" s="139" customFormat="1" ht="15" customHeight="1">
      <c r="A266" s="1"/>
      <c r="B266"/>
      <c r="C266"/>
      <c r="D266" t="s">
        <v>963</v>
      </c>
      <c r="E266" t="s">
        <v>988</v>
      </c>
      <c r="F266"/>
      <c r="G266" t="s">
        <v>693</v>
      </c>
      <c r="H266"/>
      <c r="I266">
        <v>2003</v>
      </c>
      <c r="J266"/>
      <c r="K266" s="295" t="s">
        <v>989</v>
      </c>
      <c r="L266"/>
      <c r="M266" t="str">
        <f>LEFT($D266,FIND(",",$D266)-1)&amp;"_"&amp;I266&amp;L266</f>
        <v>Petersen_2003</v>
      </c>
      <c r="N266" t="s">
        <v>222</v>
      </c>
      <c r="O266" s="171" t="s">
        <v>513</v>
      </c>
      <c r="P266" s="141" t="s">
        <v>225</v>
      </c>
      <c r="Q266" s="264" t="s">
        <v>389</v>
      </c>
      <c r="R266" s="269" t="s">
        <v>1154</v>
      </c>
      <c r="S266" s="263" t="s">
        <v>996</v>
      </c>
      <c r="T266" s="264" t="s">
        <v>997</v>
      </c>
      <c r="U266">
        <v>90</v>
      </c>
      <c r="V266">
        <v>0</v>
      </c>
      <c r="W266">
        <v>0</v>
      </c>
      <c r="X266">
        <v>0</v>
      </c>
      <c r="Y266">
        <v>0</v>
      </c>
      <c r="Z266">
        <v>0</v>
      </c>
      <c r="AA266">
        <v>0</v>
      </c>
      <c r="AB266">
        <v>0</v>
      </c>
      <c r="AC266">
        <v>0</v>
      </c>
      <c r="AD266">
        <v>0</v>
      </c>
      <c r="AE266">
        <v>0</v>
      </c>
      <c r="AF266">
        <v>0</v>
      </c>
      <c r="AG266">
        <v>0</v>
      </c>
      <c r="AH266">
        <v>0</v>
      </c>
      <c r="AI266">
        <v>1</v>
      </c>
      <c r="AJ266">
        <v>0</v>
      </c>
      <c r="AK266">
        <v>0</v>
      </c>
      <c r="AL266">
        <v>0</v>
      </c>
      <c r="AM266">
        <v>0</v>
      </c>
      <c r="AN266">
        <v>0</v>
      </c>
      <c r="AO266">
        <v>0</v>
      </c>
      <c r="AP266">
        <v>0</v>
      </c>
      <c r="AQ266">
        <v>0</v>
      </c>
      <c r="AR266">
        <v>0</v>
      </c>
      <c r="AS266">
        <v>0</v>
      </c>
      <c r="AT266">
        <v>0</v>
      </c>
      <c r="AU266">
        <v>0</v>
      </c>
      <c r="AV266">
        <v>0</v>
      </c>
      <c r="AW266">
        <v>0</v>
      </c>
      <c r="AX266" s="141">
        <f>COUNTIF(V266:AW266,"&lt;&gt;0")</f>
        <v>1</v>
      </c>
      <c r="AY266" s="141">
        <f>COUNTIF(V266:AL266,"&lt;&gt;0")</f>
        <v>1</v>
      </c>
      <c r="AZ266">
        <f>COUNTIF(V266:AC266,"&lt;&gt;0")</f>
        <v>0</v>
      </c>
      <c r="BA266">
        <f>COUNTIF(AD266:AI266,"&lt;&gt;0")</f>
        <v>1</v>
      </c>
      <c r="BB266">
        <f>COUNTIF(AJ266:AL266,"&lt;&gt;0")</f>
        <v>0</v>
      </c>
      <c r="BC266">
        <f>COUNTIF(AS266:AW266,"&lt;&gt;0")</f>
        <v>0</v>
      </c>
      <c r="BD266">
        <f>COUNTIF(AM266:AR266,"&lt;&gt;0")</f>
        <v>0</v>
      </c>
      <c r="BE266" t="str" cm="1">
        <f t="array" ref="BE266">IF(AY266=1,INDEX($V$7:$AL$7,MATCH(TRUE,INDEX($V266:$AW266&lt;&gt;0,),0)),IF(AY266=0,INDEX($AM$7:$AW$7,MATCH(1,$AM266:$AW266,0)),IF(BF266="Multiple strategies","mixed drivers",IF(BF266="Supply chain","multiple supply","multiple silviculture"))))</f>
        <v>products lifespan</v>
      </c>
      <c r="BF266" s="2" t="str" cm="1">
        <f t="array" ref="BF266">IF(COUNTIF(AZ266:BB266,"&lt;&gt;0")=1,INDEX($V$4:$AW$4,MATCH(TRUE,INDEX($V266:$AW266&lt;&gt;0,),0)),IF(COUNTIF(AZ266:BB266,"&lt;&gt;0")=0,INDEX($AM$4:$AW$4,MATCH(1,$AM266:$AW266,0)),"Multiple strategies"))</f>
        <v>Supply chain</v>
      </c>
      <c r="BG266" s="142" t="s">
        <v>229</v>
      </c>
      <c r="BH266" t="s">
        <v>970</v>
      </c>
      <c r="BI266" t="s">
        <v>993</v>
      </c>
      <c r="BJ266" t="s">
        <v>498</v>
      </c>
      <c r="BK266">
        <v>1</v>
      </c>
      <c r="BL266">
        <v>1</v>
      </c>
      <c r="BM266">
        <f>IFERROR(BL266/BK266,"")</f>
        <v>1</v>
      </c>
      <c r="BN266">
        <f>BL266-BK266</f>
        <v>0</v>
      </c>
      <c r="BO266">
        <v>1</v>
      </c>
      <c r="BP266" t="s">
        <v>232</v>
      </c>
      <c r="BQ266" s="234" t="s">
        <v>742</v>
      </c>
      <c r="BR266" s="264" t="s">
        <v>973</v>
      </c>
      <c r="BS266">
        <v>0.39600000000000002</v>
      </c>
      <c r="BT266">
        <v>0.21099999999999999</v>
      </c>
      <c r="BU266"/>
      <c r="BV266">
        <f>BT266-BS266</f>
        <v>-0.18500000000000003</v>
      </c>
      <c r="BW266"/>
      <c r="BX266">
        <f>BV266</f>
        <v>-0.18500000000000003</v>
      </c>
      <c r="BY266">
        <f>IFERROR(BX266/BO266,"")</f>
        <v>-0.18500000000000003</v>
      </c>
      <c r="BZ266">
        <v>0</v>
      </c>
      <c r="CA266">
        <v>0</v>
      </c>
      <c r="CB266">
        <v>0</v>
      </c>
      <c r="CC266">
        <v>0</v>
      </c>
      <c r="CD266">
        <v>0</v>
      </c>
      <c r="CE266">
        <v>0</v>
      </c>
      <c r="CF266">
        <v>0</v>
      </c>
      <c r="CG266">
        <v>0</v>
      </c>
      <c r="CH266">
        <v>0</v>
      </c>
      <c r="CI266">
        <v>0</v>
      </c>
      <c r="CJ266">
        <v>0</v>
      </c>
      <c r="CK266">
        <v>0</v>
      </c>
      <c r="CL266">
        <v>0</v>
      </c>
      <c r="CM266">
        <v>0</v>
      </c>
      <c r="CN266" t="str">
        <f>IF($BL266&lt;$BK266,"refNeedCorrection","refOK")</f>
        <v>refOK</v>
      </c>
      <c r="CO266">
        <f>IF($CN266="refOK",$BK266,$BL266)</f>
        <v>1</v>
      </c>
      <c r="CP266">
        <f>IF($CN266="refOK",$BL266,$BK266)</f>
        <v>1</v>
      </c>
      <c r="CQ266">
        <f>IF($CN266="refOK",$BO266,-$BO266)</f>
        <v>1</v>
      </c>
      <c r="CR266">
        <f>IF($CN266="refOK",$BS266,$BT266)*IF($BP266="Emissions positive",-1,1)</f>
        <v>0.39600000000000002</v>
      </c>
      <c r="CS266">
        <f>IF($CN266="refOK",$BT266,$BS266)*IF($BP266="Emissions positive",-1,1)</f>
        <v>0.21099999999999999</v>
      </c>
      <c r="CT266">
        <f>IF($CN266="refNeedCorrection",-BX266,BX266)*IF($BP266="Emissions positive",-1,1)</f>
        <v>-0.18500000000000003</v>
      </c>
      <c r="CU266">
        <f>IFERROR(CT266/CQ266,"")</f>
        <v>-0.18500000000000003</v>
      </c>
      <c r="CV266" s="2">
        <f>IFERROR((CS266-CR266)/ABS(CR266),"")</f>
        <v>-0.46717171717171724</v>
      </c>
      <c r="CW266" s="1" t="s">
        <v>263</v>
      </c>
      <c r="CX266" s="264" t="str">
        <f>IF(OR($CW266="prd",$CW266="std",$CW266="cit"),"loc",IF(OR($CW266="eur",$CW266="reg",$CW266="coy"),"reg",$CW266))</f>
        <v>loc</v>
      </c>
      <c r="CY266" t="s">
        <v>264</v>
      </c>
      <c r="CZ266"/>
      <c r="DA266" s="143"/>
      <c r="DB266" s="143">
        <v>45</v>
      </c>
      <c r="DC266" t="str">
        <f>IF(DB266=0,"0",IF(AND(DB266&gt;=1,DB266&lt;=30),"1-30",IF(AND(DB266&gt;30,DB266&lt;=70),"31-70",IF(AND(DB266&gt;70,DB266&lt;=100),"71-100",IF(DB266&gt;100,"+100")))))</f>
        <v>31-70</v>
      </c>
      <c r="DD266">
        <v>0</v>
      </c>
      <c r="DE266">
        <v>0</v>
      </c>
      <c r="DF266">
        <v>0</v>
      </c>
      <c r="DG266">
        <v>1</v>
      </c>
      <c r="DH266">
        <v>0</v>
      </c>
      <c r="DI266">
        <f>SUM(DD266:DG266)</f>
        <v>1</v>
      </c>
      <c r="DJ266" t="str">
        <f>IF(DI266=1,INDEX($DD$7:$DG$7,MATCH(1,$DD266:$DG266,0)),"mixedProduct")</f>
        <v>TimberInput</v>
      </c>
      <c r="DK266">
        <f>IF(DD266=1,DK$7,0)</f>
        <v>0</v>
      </c>
      <c r="DL266">
        <f>IF(DE266=1,DL$7,0)</f>
        <v>0</v>
      </c>
      <c r="DM266">
        <f>IF(DF266=1,DM$7,0)</f>
        <v>0</v>
      </c>
      <c r="DN266" t="str">
        <f>IF(DG266=1,DN$7,0)</f>
        <v>Timber</v>
      </c>
      <c r="DO266">
        <v>1</v>
      </c>
      <c r="DP266">
        <v>0</v>
      </c>
      <c r="DQ266">
        <v>0</v>
      </c>
      <c r="DR266">
        <v>0</v>
      </c>
      <c r="DS266">
        <v>0</v>
      </c>
      <c r="DT266">
        <f>SUM(DO266:DP266)</f>
        <v>1</v>
      </c>
      <c r="DU266" s="143" t="str">
        <f>IF(DO266=1,"self-calculated DF",IF(DP266=1,"external DF used","explicit C balance"))</f>
        <v>self-calculated DF</v>
      </c>
      <c r="DV266" s="143">
        <v>0</v>
      </c>
      <c r="DW266" s="143">
        <v>0</v>
      </c>
      <c r="DX266" s="143">
        <v>0</v>
      </c>
      <c r="DY266" s="143">
        <v>0</v>
      </c>
      <c r="DZ266">
        <v>0</v>
      </c>
      <c r="EA266" s="143">
        <v>0</v>
      </c>
      <c r="EB266" s="143">
        <v>0</v>
      </c>
      <c r="EC266" s="143">
        <v>1</v>
      </c>
      <c r="ED266" s="143">
        <v>0</v>
      </c>
      <c r="EE266">
        <v>1</v>
      </c>
      <c r="EF266">
        <v>0</v>
      </c>
      <c r="EG266" s="143">
        <v>0</v>
      </c>
      <c r="EH266" s="143">
        <v>0</v>
      </c>
      <c r="EI266" s="2">
        <v>0</v>
      </c>
      <c r="EJ266" s="1"/>
      <c r="EK266" t="str">
        <f>IF(AND(AND(AND(OR($DX266=1,$DW266=1),OR($EC266=1,$EA266=1)),SUM($DV266:$DZ266,$EF266)&gt;=4),SUM($EA266:$EE266)&gt;=2),"Whole sector","")</f>
        <v/>
      </c>
      <c r="EL266" t="str">
        <f>IF(AND(AND(OR($DX266=1,$DW266=1),AND($EC266=0,$EA266=0)),SUM($DV266:$DZ266,$EF266)&gt;=4),"Ecosystem approach","")</f>
        <v/>
      </c>
      <c r="EM266" s="2" t="str">
        <f>IF(AND(AND(AND($DX266=0,$DW266=0),OR($EC266=1,$EA266=1)),SUM($EB266:$EE266)&gt;=2),"Technology approach","")</f>
        <v>Technology approach</v>
      </c>
      <c r="EN266" t="s">
        <v>994</v>
      </c>
      <c r="EO266"/>
      <c r="EP266" t="str">
        <f>IF(ISNUMBER(BU266),IF(ABS(BU266-[3]QC_indicators!$B$2)&gt;3*[3]QC_indicators!$C$2,"C ratio",IF(ISNUMBER(BY266),IF(ABS(BY266-[3]QC_indicators!$B$1)&gt;3*[3]QC_indicators!$C$1,"DF","no"))),IF(ISNUMBER(BY266),IF(ABS(BY266-[3]QC_indicators!$B$1)&gt;3*[3]QC_indicators!$C$1,"DF","no")))</f>
        <v>no</v>
      </c>
      <c r="EQ266"/>
      <c r="ER266" s="264" t="s">
        <v>995</v>
      </c>
      <c r="ES266"/>
      <c r="ET266" s="264" t="s">
        <v>3407</v>
      </c>
      <c r="EU266"/>
    </row>
    <row r="267" spans="1:151" s="139" customFormat="1" ht="15" customHeight="1">
      <c r="A267" s="1" t="s">
        <v>1636</v>
      </c>
      <c r="B267" t="s">
        <v>1637</v>
      </c>
      <c r="C267" t="s">
        <v>1638</v>
      </c>
      <c r="D267" t="s">
        <v>1639</v>
      </c>
      <c r="E267" t="s">
        <v>1640</v>
      </c>
      <c r="F267" t="s">
        <v>1641</v>
      </c>
      <c r="G267" t="s">
        <v>1642</v>
      </c>
      <c r="H267" t="s">
        <v>254</v>
      </c>
      <c r="I267">
        <v>2022</v>
      </c>
      <c r="J267">
        <v>0</v>
      </c>
      <c r="K267" t="s">
        <v>1643</v>
      </c>
      <c r="L267"/>
      <c r="M267" t="str">
        <f>LEFT($D267,FIND(",",$D267)-1)&amp;"_"&amp;I267&amp;L267</f>
        <v>Gregor_2022</v>
      </c>
      <c r="N267" t="s">
        <v>222</v>
      </c>
      <c r="O267" s="161" t="s">
        <v>223</v>
      </c>
      <c r="P267"/>
      <c r="Q267" s="264" t="s">
        <v>389</v>
      </c>
      <c r="R267" s="269" t="s">
        <v>1154</v>
      </c>
      <c r="S267" s="154" t="s">
        <v>1644</v>
      </c>
      <c r="T267" s="294" t="s">
        <v>1646</v>
      </c>
      <c r="U267" s="264" t="s">
        <v>1653</v>
      </c>
      <c r="V267">
        <v>0</v>
      </c>
      <c r="W267">
        <v>0</v>
      </c>
      <c r="X267">
        <v>0</v>
      </c>
      <c r="Y267">
        <v>0</v>
      </c>
      <c r="Z267">
        <v>1</v>
      </c>
      <c r="AA267">
        <v>0</v>
      </c>
      <c r="AB267">
        <v>0</v>
      </c>
      <c r="AC267">
        <v>0</v>
      </c>
      <c r="AD267">
        <v>0</v>
      </c>
      <c r="AE267">
        <v>0</v>
      </c>
      <c r="AF267">
        <v>2</v>
      </c>
      <c r="AG267">
        <v>0</v>
      </c>
      <c r="AH267">
        <v>0</v>
      </c>
      <c r="AI267">
        <v>0</v>
      </c>
      <c r="AJ267">
        <v>0</v>
      </c>
      <c r="AK267">
        <v>0</v>
      </c>
      <c r="AL267">
        <v>0</v>
      </c>
      <c r="AM267">
        <v>0</v>
      </c>
      <c r="AN267">
        <v>2</v>
      </c>
      <c r="AO267">
        <v>2</v>
      </c>
      <c r="AP267">
        <v>2</v>
      </c>
      <c r="AQ267">
        <v>2</v>
      </c>
      <c r="AR267">
        <v>0</v>
      </c>
      <c r="AS267">
        <v>0</v>
      </c>
      <c r="AT267">
        <v>0</v>
      </c>
      <c r="AU267">
        <v>0</v>
      </c>
      <c r="AV267">
        <v>0</v>
      </c>
      <c r="AW267">
        <v>0</v>
      </c>
      <c r="AX267" s="141">
        <f>COUNTIF(V267:AW267,"&lt;&gt;0")</f>
        <v>6</v>
      </c>
      <c r="AY267" s="141">
        <f>COUNTIF(V267:AL267,"&lt;&gt;0")</f>
        <v>2</v>
      </c>
      <c r="AZ267">
        <f>COUNTIF(V267:AC267,"&lt;&gt;0")</f>
        <v>1</v>
      </c>
      <c r="BA267">
        <f>COUNTIF(AD267:AI267,"&lt;&gt;0")</f>
        <v>1</v>
      </c>
      <c r="BB267">
        <f>COUNTIF(AJ267:AL267,"&lt;&gt;0")</f>
        <v>0</v>
      </c>
      <c r="BC267">
        <f>COUNTIF(AS267:AW267,"&lt;&gt;0")</f>
        <v>0</v>
      </c>
      <c r="BD267">
        <f>COUNTIF(AM267:AR267,"&lt;&gt;0")</f>
        <v>4</v>
      </c>
      <c r="BE267" t="str" cm="1">
        <f t="array" ref="BE267">IF(AY267=1,INDEX($V$7:$AL$7,MATCH(TRUE,INDEX($V267:$AW267&lt;&gt;0,),0)),IF(AY267=0,INDEX($AM$7:$AW$7,MATCH(1,$AM267:$AW267,0)),IF(BF267="Multiple strategies","mixed drivers",IF(BF267="Supply chain","multiple supply","multiple silviculture"))))</f>
        <v>mixed drivers</v>
      </c>
      <c r="BF267" s="2" t="str" cm="1">
        <f t="array" ref="BF267">IF(COUNTIF(AZ267:BB267,"&lt;&gt;0")=1,INDEX($V$4:$AW$4,MATCH(TRUE,INDEX($V267:$AW267&lt;&gt;0,),0)),IF(COUNTIF(AZ267:BB267,"&lt;&gt;0")=0,INDEX($AM$4:$AW$4,MATCH(1,$AM267:$AW267,0)),"Multiple strategies"))</f>
        <v>Multiple strategies</v>
      </c>
      <c r="BG267" s="1" t="s">
        <v>321</v>
      </c>
      <c r="BH267" s="264" t="s">
        <v>1647</v>
      </c>
      <c r="BI267" s="264" t="s">
        <v>688</v>
      </c>
      <c r="BJ267" s="264" t="s">
        <v>1648</v>
      </c>
      <c r="BK267">
        <f>2.99*(2115-2020)</f>
        <v>284.05</v>
      </c>
      <c r="BL267">
        <f>3.2*(2115-2020)</f>
        <v>304</v>
      </c>
      <c r="BM267"/>
      <c r="BN267">
        <f>BL267-BK267</f>
        <v>19.949999999999989</v>
      </c>
      <c r="BO267">
        <f>BL267-BK267</f>
        <v>19.949999999999989</v>
      </c>
      <c r="BP267" s="264" t="s">
        <v>232</v>
      </c>
      <c r="BQ267" s="301" t="s">
        <v>1652</v>
      </c>
      <c r="BR267" s="264" t="s">
        <v>1650</v>
      </c>
      <c r="BS267" s="264">
        <f>9.8*10000</f>
        <v>98000</v>
      </c>
      <c r="BT267" s="264">
        <f>9.7*10000</f>
        <v>97000</v>
      </c>
      <c r="BU267"/>
      <c r="BV267">
        <f>BT267-BS267</f>
        <v>-1000</v>
      </c>
      <c r="BW267"/>
      <c r="BX267">
        <f>BV267/1000*C_to_CO2</f>
        <v>-3.67</v>
      </c>
      <c r="BY267">
        <f>IFERROR(BX267/BO267,"")</f>
        <v>-0.18395989974937355</v>
      </c>
      <c r="BZ267">
        <v>0</v>
      </c>
      <c r="CA267">
        <v>0</v>
      </c>
      <c r="CB267">
        <v>0</v>
      </c>
      <c r="CC267">
        <v>0</v>
      </c>
      <c r="CD267">
        <v>0</v>
      </c>
      <c r="CE267">
        <v>0</v>
      </c>
      <c r="CF267">
        <v>0</v>
      </c>
      <c r="CG267">
        <v>0</v>
      </c>
      <c r="CH267">
        <v>0</v>
      </c>
      <c r="CI267">
        <v>0</v>
      </c>
      <c r="CJ267">
        <v>0</v>
      </c>
      <c r="CK267">
        <v>0</v>
      </c>
      <c r="CL267">
        <v>0</v>
      </c>
      <c r="CM267">
        <v>0</v>
      </c>
      <c r="CN267" t="str">
        <f>IF($BL267&lt;$BK267,"refNeedCorrection","refOK")</f>
        <v>refOK</v>
      </c>
      <c r="CO267">
        <f>IF($CN267="refOK",$BK267,$BL267)</f>
        <v>284.05</v>
      </c>
      <c r="CP267">
        <f>IF($CN267="refOK",$BL267,$BK267)</f>
        <v>304</v>
      </c>
      <c r="CQ267">
        <f>IF($CN267="refOK",$BO267,-$BO267)</f>
        <v>19.949999999999989</v>
      </c>
      <c r="CR267">
        <f>IF($CN267="refOK",$BS267,$BT267)*IF($BP267="Emissions positive",-1,1)</f>
        <v>98000</v>
      </c>
      <c r="CS267">
        <f>IF($CN267="refOK",$BT267,$BS267)*IF($BP267="Emissions positive",-1,1)</f>
        <v>97000</v>
      </c>
      <c r="CT267">
        <f>IF($CN267="refNeedCorrection",-BX267,BX267)*IF($BP267="Emissions positive",-1,1)</f>
        <v>-3.67</v>
      </c>
      <c r="CU267">
        <f>IFERROR(CT267/CQ267,"")</f>
        <v>-0.18395989974937355</v>
      </c>
      <c r="CV267" s="2">
        <f>IFERROR((CS267-CR267)/ABS(CR267),"")</f>
        <v>-1.020408163265306E-2</v>
      </c>
      <c r="CW267" s="162" t="s">
        <v>1462</v>
      </c>
      <c r="CX267" s="264" t="str">
        <f>IF(OR($CW267="prd",$CW267="std",$CW267="cit"),"loc",IF(OR($CW267="eur",$CW267="reg",$CW267="coy"),"reg",$CW267))</f>
        <v>reg</v>
      </c>
      <c r="CY267" s="155" t="s">
        <v>743</v>
      </c>
      <c r="CZ267">
        <v>2010</v>
      </c>
      <c r="DA267">
        <v>2115</v>
      </c>
      <c r="DB267">
        <f>DA267-CZ267</f>
        <v>105</v>
      </c>
      <c r="DC267" t="str">
        <f>IF(DB267=0,"0",IF(AND(DB267&gt;=1,DB267&lt;=30),"1-30",IF(AND(DB267&gt;30,DB267&lt;=70),"31-70",IF(AND(DB267&gt;70,DB267&lt;=100),"71-100",IF(DB267&gt;100,"+100")))))</f>
        <v>+100</v>
      </c>
      <c r="DD267">
        <v>0</v>
      </c>
      <c r="DE267">
        <v>1</v>
      </c>
      <c r="DF267">
        <v>1</v>
      </c>
      <c r="DG267">
        <v>1</v>
      </c>
      <c r="DH267">
        <v>0</v>
      </c>
      <c r="DI267">
        <f>SUM(DD267:DG267)</f>
        <v>3</v>
      </c>
      <c r="DJ267" t="str">
        <f>IF(DI267=1,INDEX($DD$7:$DG$7,MATCH(1,$DD267:$DG267,0)),"mixedProduct")</f>
        <v>mixedProduct</v>
      </c>
      <c r="DK267">
        <f>IF(DD267=1,DK$7,0)</f>
        <v>0</v>
      </c>
      <c r="DL267" t="str">
        <f>IF(DE267=1,DL$7,0)</f>
        <v>Energy</v>
      </c>
      <c r="DM267" t="str">
        <f>IF(DF267=1,DM$7,0)</f>
        <v>Pulp/Paper</v>
      </c>
      <c r="DN267" t="str">
        <f>IF(DG267=1,DN$7,0)</f>
        <v>Timber</v>
      </c>
      <c r="DO267">
        <v>0</v>
      </c>
      <c r="DP267">
        <v>1</v>
      </c>
      <c r="DQ267" s="264" t="s">
        <v>1651</v>
      </c>
      <c r="DR267" s="264" t="s">
        <v>1651</v>
      </c>
      <c r="DS267" s="264" t="s">
        <v>1651</v>
      </c>
      <c r="DT267">
        <f>SUM(DO267:DP267)</f>
        <v>1</v>
      </c>
      <c r="DU267" s="143" t="str">
        <f>IF(DO267=1,"self-calculated DF",IF(DP267=1,"external DF used","explicit C balance"))</f>
        <v>external DF used</v>
      </c>
      <c r="DV267">
        <v>1</v>
      </c>
      <c r="DW267">
        <v>1</v>
      </c>
      <c r="DX267">
        <v>1</v>
      </c>
      <c r="DY267">
        <v>1</v>
      </c>
      <c r="DZ267">
        <v>0</v>
      </c>
      <c r="EA267">
        <v>0</v>
      </c>
      <c r="EB267">
        <v>0</v>
      </c>
      <c r="EC267">
        <v>0</v>
      </c>
      <c r="ED267">
        <v>0</v>
      </c>
      <c r="EE267">
        <v>0</v>
      </c>
      <c r="EF267">
        <v>1</v>
      </c>
      <c r="EG267">
        <v>0</v>
      </c>
      <c r="EH267">
        <v>1</v>
      </c>
      <c r="EI267" s="2">
        <v>0</v>
      </c>
      <c r="EJ267" s="1"/>
      <c r="EK267" t="str">
        <f>IF(AND(AND(AND(OR($DX267=1,$DW267=1),OR($EC267=1,$EA267=1)),SUM($DV267:$DZ267,$EF267)&gt;=4),SUM($EA267:$EE267)&gt;=2),"Whole sector","")</f>
        <v/>
      </c>
      <c r="EL267" t="str">
        <f>IF(AND(AND(OR($DX267=1,$DW267=1),AND($EC267=0,$EA267=0)),SUM($DV267:$DZ267,$EF267)&gt;=4),"Ecosystem approach","")</f>
        <v>Ecosystem approach</v>
      </c>
      <c r="EM267" s="2" t="str">
        <f>IF(AND(AND(AND($DX267=0,$DW267=0),OR($EC267=1,$EA267=1)),SUM($EB267:$EE267)&gt;=2),"Technology approach","")</f>
        <v/>
      </c>
      <c r="EN267"/>
      <c r="EO267"/>
      <c r="EP267" t="str">
        <f>IF(ISNUMBER(BU267),IF(ABS(BU267-[3]QC_indicators!$B$2)&gt;3*[3]QC_indicators!$C$2,"C ratio",IF(ISNUMBER(BY267),IF(ABS(BY267-[3]QC_indicators!$B$1)&gt;3*[3]QC_indicators!$C$1,"DF","no"))),IF(ISNUMBER(BY267),IF(ABS(BY267-[3]QC_indicators!$B$1)&gt;3*[3]QC_indicators!$C$1,"DF","no")))</f>
        <v>no</v>
      </c>
      <c r="EQ267"/>
      <c r="ER267"/>
      <c r="ES267"/>
      <c r="ET267" s="264" t="s">
        <v>3407</v>
      </c>
      <c r="EU267"/>
    </row>
    <row r="268" spans="1:151" s="139" customFormat="1" ht="15" customHeight="1">
      <c r="A268" s="1" t="s">
        <v>1357</v>
      </c>
      <c r="B268" t="s">
        <v>1436</v>
      </c>
      <c r="C268" t="s">
        <v>1437</v>
      </c>
      <c r="D268" t="s">
        <v>1438</v>
      </c>
      <c r="E268" t="s">
        <v>1439</v>
      </c>
      <c r="F268" t="s">
        <v>1440</v>
      </c>
      <c r="G268" t="s">
        <v>1358</v>
      </c>
      <c r="H268" t="s">
        <v>254</v>
      </c>
      <c r="I268">
        <v>2011</v>
      </c>
      <c r="J268">
        <v>0</v>
      </c>
      <c r="K268" t="s">
        <v>1441</v>
      </c>
      <c r="L268"/>
      <c r="M268" t="str">
        <f>LEFT($D268,FIND(",",$D268)-1)&amp;"_"&amp;I268&amp;L268</f>
        <v>Elgie_2011</v>
      </c>
      <c r="N268" t="s">
        <v>222</v>
      </c>
      <c r="O268" s="145" t="s">
        <v>274</v>
      </c>
      <c r="P268"/>
      <c r="Q268" s="264" t="s">
        <v>256</v>
      </c>
      <c r="R268" s="269" t="s">
        <v>1154</v>
      </c>
      <c r="S268" s="1" t="s">
        <v>1442</v>
      </c>
      <c r="T268" t="s">
        <v>1443</v>
      </c>
      <c r="U268" t="s">
        <v>1447</v>
      </c>
      <c r="V268">
        <v>2</v>
      </c>
      <c r="W268">
        <v>0</v>
      </c>
      <c r="X268">
        <v>2</v>
      </c>
      <c r="Y268">
        <v>2</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1</v>
      </c>
      <c r="AW268">
        <v>0</v>
      </c>
      <c r="AX268" s="141">
        <f>COUNTIF(V268:AW268,"&lt;&gt;0")</f>
        <v>4</v>
      </c>
      <c r="AY268" s="141">
        <f>COUNTIF(V268:AL268,"&lt;&gt;0")</f>
        <v>3</v>
      </c>
      <c r="AZ268">
        <f>COUNTIF(V268:AC268,"&lt;&gt;0")</f>
        <v>3</v>
      </c>
      <c r="BA268">
        <f>COUNTIF(AD268:AI268,"&lt;&gt;0")</f>
        <v>0</v>
      </c>
      <c r="BB268">
        <f>COUNTIF(AJ268:AL268,"&lt;&gt;0")</f>
        <v>0</v>
      </c>
      <c r="BC268">
        <f>COUNTIF(AS268:AW268,"&lt;&gt;0")</f>
        <v>1</v>
      </c>
      <c r="BD268">
        <f>COUNTIF(AM268:AR268,"&lt;&gt;0")</f>
        <v>0</v>
      </c>
      <c r="BE268" t="str" cm="1">
        <f t="array" ref="BE268">IF(AY268=1,INDEX($V$7:$AL$7,MATCH(TRUE,INDEX($V268:$AW268&lt;&gt;0,),0)),IF(AY268=0,INDEX($AM$7:$AW$7,MATCH(1,$AM268:$AW268,0)),IF(BF268="Multiple strategies","mixed drivers",IF(BF268="Supply chain","multiple supply","multiple silviculture"))))</f>
        <v>multiple silviculture</v>
      </c>
      <c r="BF268" s="2" t="str" cm="1">
        <f t="array" ref="BF268">IF(COUNTIF(AZ268:BB268,"&lt;&gt;0")=1,INDEX($V$4:$AW$4,MATCH(TRUE,INDEX($V268:$AW268&lt;&gt;0,),0)),IF(COUNTIF(AZ268:BB268,"&lt;&gt;0")=0,INDEX($AM$4:$AW$4,MATCH(1,$AM268:$AW268,0)),"Multiple strategies"))</f>
        <v>Silviculture for removals</v>
      </c>
      <c r="BG268" s="1" t="s">
        <v>321</v>
      </c>
      <c r="BH268" t="s">
        <v>1445</v>
      </c>
      <c r="BI268"/>
      <c r="BJ268" t="s">
        <v>1323</v>
      </c>
      <c r="BK268">
        <v>0</v>
      </c>
      <c r="BL268">
        <v>161.3345306206223</v>
      </c>
      <c r="BM268"/>
      <c r="BN268">
        <f>BL268-BK268</f>
        <v>161.3345306206223</v>
      </c>
      <c r="BO268">
        <f>BN268*10^6</f>
        <v>161334530.62062231</v>
      </c>
      <c r="BP268" t="s">
        <v>232</v>
      </c>
      <c r="BQ268" s="234"/>
      <c r="BR268" t="s">
        <v>1359</v>
      </c>
      <c r="BS268">
        <v>269.14893617021198</v>
      </c>
      <c r="BT268">
        <v>261.063829787234</v>
      </c>
      <c r="BU268" s="144">
        <f>IFERROR(BT268/BS268,"")</f>
        <v>0.96996047430830301</v>
      </c>
      <c r="BV268">
        <f>BT268-BS268</f>
        <v>-8.0851063829779832</v>
      </c>
      <c r="BW268"/>
      <c r="BX268">
        <f>BV268*10^6*C_to_CO2</f>
        <v>-29672340.425529197</v>
      </c>
      <c r="BY268">
        <f>IFERROR(BX268/BO268,"")</f>
        <v>-0.18391810055408175</v>
      </c>
      <c r="BZ268">
        <v>0</v>
      </c>
      <c r="CA268">
        <v>0</v>
      </c>
      <c r="CB268">
        <v>0</v>
      </c>
      <c r="CC268">
        <v>0</v>
      </c>
      <c r="CD268">
        <v>0</v>
      </c>
      <c r="CE268">
        <v>0</v>
      </c>
      <c r="CF268">
        <v>0</v>
      </c>
      <c r="CG268">
        <v>0</v>
      </c>
      <c r="CH268">
        <v>0</v>
      </c>
      <c r="CI268">
        <v>0</v>
      </c>
      <c r="CJ268">
        <v>0</v>
      </c>
      <c r="CK268">
        <v>0</v>
      </c>
      <c r="CL268">
        <v>0</v>
      </c>
      <c r="CM268">
        <v>1</v>
      </c>
      <c r="CN268" t="str">
        <f>IF($BL268&lt;$BK268,"refNeedCorrection","refOK")</f>
        <v>refOK</v>
      </c>
      <c r="CO268">
        <f>IF($CN268="refOK",$BK268,$BL268)</f>
        <v>0</v>
      </c>
      <c r="CP268">
        <f>IF($CN268="refOK",$BL268,$BK268)</f>
        <v>161.3345306206223</v>
      </c>
      <c r="CQ268">
        <f>IF($CN268="refOK",$BO268,-$BO268)</f>
        <v>161334530.62062231</v>
      </c>
      <c r="CR268">
        <f>IF($CN268="refOK",$BS268,$BT268)*IF($BP268="Emissions positive",-1,1)</f>
        <v>269.14893617021198</v>
      </c>
      <c r="CS268">
        <f>IF($CN268="refOK",$BT268,$BS268)*IF($BP268="Emissions positive",-1,1)</f>
        <v>261.063829787234</v>
      </c>
      <c r="CT268">
        <f>IF($CN268="refNeedCorrection",-BX268,BX268)*IF($BP268="Emissions positive",-1,1)</f>
        <v>-29672340.425529197</v>
      </c>
      <c r="CU268">
        <f>IFERROR(CT268/CQ268,"")</f>
        <v>-0.18391810055408175</v>
      </c>
      <c r="CV268" s="2">
        <f>IFERROR((CS268-CR268)/ABS(CR268),"")</f>
        <v>-3.0039525691696944E-2</v>
      </c>
      <c r="CW268" s="1" t="s">
        <v>1199</v>
      </c>
      <c r="CX268" s="264" t="str">
        <f>IF(OR($CW268="prd",$CW268="std",$CW268="cit"),"loc",IF(OR($CW268="eur",$CW268="reg",$CW268="coy"),"reg",$CW268))</f>
        <v>reg</v>
      </c>
      <c r="CY268" t="s">
        <v>540</v>
      </c>
      <c r="CZ268"/>
      <c r="DA268"/>
      <c r="DB268">
        <v>200</v>
      </c>
      <c r="DC268" t="str">
        <f>IF(DB268=0,"0",IF(AND(DB268&gt;=1,DB268&lt;=30),"1-30",IF(AND(DB268&gt;30,DB268&lt;=70),"31-70",IF(AND(DB268&gt;70,DB268&lt;=100),"71-100",IF(DB268&gt;100,"+100")))))</f>
        <v>+100</v>
      </c>
      <c r="DD268">
        <v>1</v>
      </c>
      <c r="DE268">
        <v>0</v>
      </c>
      <c r="DF268">
        <v>0</v>
      </c>
      <c r="DG268">
        <v>0</v>
      </c>
      <c r="DH268"/>
      <c r="DI268">
        <f>SUM(DD268:DG268)</f>
        <v>1</v>
      </c>
      <c r="DJ268" t="str">
        <f>IF(DI268=1,INDEX($DD$7:$DG$7,MATCH(1,$DD268:$DG268,0)),"mixedProduct")</f>
        <v>UpstreamInput</v>
      </c>
      <c r="DK268" t="str">
        <f>IF(DD268=1,DK$7,0)</f>
        <v>Upstream</v>
      </c>
      <c r="DL268">
        <f>IF(DE268=1,DL$7,0)</f>
        <v>0</v>
      </c>
      <c r="DM268">
        <f>IF(DF268=1,DM$7,0)</f>
        <v>0</v>
      </c>
      <c r="DN268">
        <f>IF(DG268=1,DN$7,0)</f>
        <v>0</v>
      </c>
      <c r="DO268">
        <v>0</v>
      </c>
      <c r="DP268">
        <v>0</v>
      </c>
      <c r="DQ268">
        <v>0</v>
      </c>
      <c r="DR268">
        <v>0</v>
      </c>
      <c r="DS268">
        <v>0</v>
      </c>
      <c r="DT268">
        <f>SUM(DO268:DP268)</f>
        <v>0</v>
      </c>
      <c r="DU268" s="143" t="str">
        <f>IF(DO268=1,"self-calculated DF",IF(DP268=1,"external DF used","explicit C balance"))</f>
        <v>explicit C balance</v>
      </c>
      <c r="DV268">
        <v>1</v>
      </c>
      <c r="DW268">
        <v>0</v>
      </c>
      <c r="DX268">
        <v>1</v>
      </c>
      <c r="DY268">
        <v>0</v>
      </c>
      <c r="DZ268">
        <v>0</v>
      </c>
      <c r="EA268" s="143">
        <v>0</v>
      </c>
      <c r="EB268">
        <v>0</v>
      </c>
      <c r="EC268">
        <v>0</v>
      </c>
      <c r="ED268">
        <v>0</v>
      </c>
      <c r="EE268">
        <v>0</v>
      </c>
      <c r="EF268">
        <v>1</v>
      </c>
      <c r="EG268">
        <v>0</v>
      </c>
      <c r="EH268">
        <v>0</v>
      </c>
      <c r="EI268" s="2">
        <v>1</v>
      </c>
      <c r="EJ268" s="1"/>
      <c r="EK268" t="str">
        <f>IF(AND(AND(AND(OR($DX268=1,$DW268=1),OR($EC268=1,$EA268=1)),SUM($DV268:$DZ268,$EF268)&gt;=4),SUM($EA268:$EE268)&gt;=2),"Whole sector","")</f>
        <v/>
      </c>
      <c r="EL268" t="str">
        <f>IF(AND(AND(OR($DX268=1,$DW268=1),AND($EC268=0,$EA268=0)),SUM($DV268:$DZ268,$EF268)&gt;=4),"Ecosystem approach","")</f>
        <v/>
      </c>
      <c r="EM268" s="2" t="str">
        <f>IF(AND(AND(AND($DX268=0,$DW268=0),OR($EC268=1,$EA268=1)),SUM($EB268:$EE268)&gt;=2),"Technology approach","")</f>
        <v/>
      </c>
      <c r="EN268"/>
      <c r="EO268"/>
      <c r="EP268" t="str">
        <f>IF(ISNUMBER(BU268),IF(ABS(BU268-[3]QC_indicators!$B$2)&gt;3*[3]QC_indicators!$C$2,"C ratio",IF(ISNUMBER(BY268),IF(ABS(BY268-[3]QC_indicators!$B$1)&gt;3*[3]QC_indicators!$C$1,"DF","no"))),IF(ISNUMBER(BY268),IF(ABS(BY268-[3]QC_indicators!$B$1)&gt;3*[3]QC_indicators!$C$1,"DF","no")))</f>
        <v>no</v>
      </c>
      <c r="EQ268" t="s">
        <v>286</v>
      </c>
      <c r="ER268"/>
      <c r="ES268"/>
      <c r="ET268" s="264" t="s">
        <v>3407</v>
      </c>
      <c r="EU268"/>
    </row>
    <row r="269" spans="1:151" s="139" customFormat="1" ht="15" customHeight="1">
      <c r="A269" s="1" t="s">
        <v>1102</v>
      </c>
      <c r="B269" t="s">
        <v>2381</v>
      </c>
      <c r="C269" t="s">
        <v>2382</v>
      </c>
      <c r="D269" t="s">
        <v>2383</v>
      </c>
      <c r="E269" t="s">
        <v>2384</v>
      </c>
      <c r="F269" t="s">
        <v>2385</v>
      </c>
      <c r="G269" t="s">
        <v>1108</v>
      </c>
      <c r="H269" t="s">
        <v>254</v>
      </c>
      <c r="I269">
        <v>2016</v>
      </c>
      <c r="J269">
        <v>13</v>
      </c>
      <c r="K269" t="s">
        <v>2386</v>
      </c>
      <c r="L269"/>
      <c r="M269" t="str">
        <f>LEFT($D269,FIND(",",$D269)-1)&amp;"_"&amp;I269&amp;L269</f>
        <v>Torssonen_2016</v>
      </c>
      <c r="N269" t="s">
        <v>222</v>
      </c>
      <c r="O269" s="145" t="s">
        <v>1154</v>
      </c>
      <c r="P269"/>
      <c r="Q269" s="264" t="s">
        <v>256</v>
      </c>
      <c r="R269" s="269" t="s">
        <v>341</v>
      </c>
      <c r="S269" s="1" t="s">
        <v>2404</v>
      </c>
      <c r="T269" s="264" t="s">
        <v>2419</v>
      </c>
      <c r="U269" t="s">
        <v>2421</v>
      </c>
      <c r="V269">
        <v>0</v>
      </c>
      <c r="W269">
        <v>0</v>
      </c>
      <c r="X269">
        <v>0</v>
      </c>
      <c r="Y269">
        <v>0</v>
      </c>
      <c r="Z269">
        <v>0</v>
      </c>
      <c r="AA269">
        <v>0</v>
      </c>
      <c r="AB269">
        <v>0</v>
      </c>
      <c r="AC269">
        <v>0</v>
      </c>
      <c r="AD269">
        <v>0</v>
      </c>
      <c r="AE269">
        <v>0</v>
      </c>
      <c r="AF269">
        <v>0</v>
      </c>
      <c r="AG269">
        <v>0</v>
      </c>
      <c r="AH269">
        <v>0</v>
      </c>
      <c r="AI269">
        <v>0</v>
      </c>
      <c r="AJ269">
        <v>0</v>
      </c>
      <c r="AK269">
        <v>0</v>
      </c>
      <c r="AL269">
        <v>0</v>
      </c>
      <c r="AM269">
        <v>0</v>
      </c>
      <c r="AN269">
        <v>1</v>
      </c>
      <c r="AO269">
        <v>1</v>
      </c>
      <c r="AP269">
        <v>0</v>
      </c>
      <c r="AQ269">
        <v>0</v>
      </c>
      <c r="AR269">
        <v>0</v>
      </c>
      <c r="AS269">
        <v>0</v>
      </c>
      <c r="AT269">
        <v>0</v>
      </c>
      <c r="AU269">
        <v>0</v>
      </c>
      <c r="AV269">
        <v>0</v>
      </c>
      <c r="AW269">
        <v>0</v>
      </c>
      <c r="AX269" s="141">
        <f>COUNTIF(V269:AW269,"&lt;&gt;0")</f>
        <v>2</v>
      </c>
      <c r="AY269" s="141">
        <f>COUNTIF(V269:AL269,"&lt;&gt;0")</f>
        <v>0</v>
      </c>
      <c r="AZ269">
        <f>COUNTIF(V269:AC269,"&lt;&gt;0")</f>
        <v>0</v>
      </c>
      <c r="BA269">
        <f>COUNTIF(AD269:AI269,"&lt;&gt;0")</f>
        <v>0</v>
      </c>
      <c r="BB269">
        <f>COUNTIF(AJ269:AL269,"&lt;&gt;0")</f>
        <v>0</v>
      </c>
      <c r="BC269">
        <f>COUNTIF(AS269:AW269,"&lt;&gt;0")</f>
        <v>0</v>
      </c>
      <c r="BD269">
        <f>COUNTIF(AM269:AR269,"&lt;&gt;0")</f>
        <v>2</v>
      </c>
      <c r="BE269" t="str" cm="1">
        <f t="array" ref="BE269">IF(AY269=1,INDEX($V$7:$AL$7,MATCH(TRUE,INDEX($V269:$AW269&lt;&gt;0,),0)),IF(AY269=0,INDEX($AM$7:$AW$7,MATCH(1,$AM269:$AW269,0)),IF(BF269="Multiple strategies","mixed drivers",IF(BF269="Supply chain","multiple supply","multiple silviculture"))))</f>
        <v>Temperature</v>
      </c>
      <c r="BF269" s="2" t="str" cm="1">
        <f t="array" ref="BF269">IF(COUNTIF(AZ269:BB269,"&lt;&gt;0")=1,INDEX($V$4:$AW$4,MATCH(TRUE,INDEX($V269:$AW269&lt;&gt;0,),0)),IF(COUNTIF(AZ269:BB269,"&lt;&gt;0")=0,INDEX($AM$4:$AW$4,MATCH(1,$AM269:$AW269,0)),"Multiple strategies"))</f>
        <v>Environmental change</v>
      </c>
      <c r="BG269" s="1" t="s">
        <v>229</v>
      </c>
      <c r="BH269" s="306" t="s">
        <v>2144</v>
      </c>
      <c r="BI269" s="264" t="s">
        <v>2391</v>
      </c>
      <c r="BJ269" s="306" t="s">
        <v>1058</v>
      </c>
      <c r="BK269">
        <v>7.0346938679999997</v>
      </c>
      <c r="BL269">
        <v>7.1551020310000002</v>
      </c>
      <c r="BM269" s="143">
        <f>BL269/BK269</f>
        <v>1.0171163330287509</v>
      </c>
      <c r="BN269">
        <f>BL269-BK269</f>
        <v>0.12040816300000046</v>
      </c>
      <c r="BO269">
        <f>+BN269*t_to_m3</f>
        <v>0.24573094489796013</v>
      </c>
      <c r="BP269" s="306" t="s">
        <v>395</v>
      </c>
      <c r="BQ269" s="303" t="s">
        <v>3421</v>
      </c>
      <c r="BR269" s="264" t="s">
        <v>2393</v>
      </c>
      <c r="BS269">
        <v>-324.36363636363598</v>
      </c>
      <c r="BT269">
        <v>-320</v>
      </c>
      <c r="BU269" s="144"/>
      <c r="BV269" s="144">
        <f>BT269-BS269</f>
        <v>4.3636363636359761</v>
      </c>
      <c r="BW269" s="144"/>
      <c r="BX269" s="144">
        <f>BV269*10^4/10^6</f>
        <v>4.3636363636359761E-2</v>
      </c>
      <c r="BY269">
        <f>IFERROR(BX269/BO269,"")</f>
        <v>0.17757781240974668</v>
      </c>
      <c r="BZ269">
        <v>0</v>
      </c>
      <c r="CA269">
        <v>0</v>
      </c>
      <c r="CB269">
        <v>0</v>
      </c>
      <c r="CC269">
        <v>0</v>
      </c>
      <c r="CD269">
        <v>0</v>
      </c>
      <c r="CE269">
        <v>0</v>
      </c>
      <c r="CF269">
        <v>0</v>
      </c>
      <c r="CG269">
        <v>0</v>
      </c>
      <c r="CH269">
        <v>0</v>
      </c>
      <c r="CI269">
        <v>0</v>
      </c>
      <c r="CJ269">
        <v>0</v>
      </c>
      <c r="CK269">
        <v>0</v>
      </c>
      <c r="CL269">
        <v>0</v>
      </c>
      <c r="CM269">
        <v>1</v>
      </c>
      <c r="CN269" t="str">
        <f>IF($BL269&lt;$BK269,"refNeedCorrection","refOK")</f>
        <v>refOK</v>
      </c>
      <c r="CO269">
        <f>IF($CN269="refOK",$BK269,$BL269)</f>
        <v>7.0346938679999997</v>
      </c>
      <c r="CP269">
        <f>IF($CN269="refOK",$BL269,$BK269)</f>
        <v>7.1551020310000002</v>
      </c>
      <c r="CQ269">
        <f>IF($CN269="refOK",$BO269,-$BO269)</f>
        <v>0.24573094489796013</v>
      </c>
      <c r="CR269">
        <f>IF($CN269="refOK",$BS269,$BT269)*IF($BP269="Emissions positive",-1,1)</f>
        <v>324.36363636363598</v>
      </c>
      <c r="CS269">
        <f>IF($CN269="refOK",$BT269,$BS269)*IF($BP269="Emissions positive",-1,1)</f>
        <v>320</v>
      </c>
      <c r="CT269">
        <f>IF($CN269="refNeedCorrection",-BX269,BX269)*IF($BP269="Emissions positive",-1,1)</f>
        <v>-4.3636363636359761E-2</v>
      </c>
      <c r="CU269">
        <f>IFERROR(CT269/CQ269,"")</f>
        <v>-0.17757781240974668</v>
      </c>
      <c r="CV269" s="2">
        <f>IFERROR((CS269-CR269)/ABS(CR269),"")</f>
        <v>-1.3452914798205099E-2</v>
      </c>
      <c r="CW269" s="1" t="s">
        <v>1199</v>
      </c>
      <c r="CX269" s="264" t="str">
        <f>IF(OR($CW269="prd",$CW269="std",$CW269="cit"),"loc",IF(OR($CW269="eur",$CW269="reg",$CW269="coy"),"reg",$CW269))</f>
        <v>reg</v>
      </c>
      <c r="CY269" t="s">
        <v>235</v>
      </c>
      <c r="CZ269">
        <v>2020</v>
      </c>
      <c r="DA269">
        <v>2100</v>
      </c>
      <c r="DB269">
        <f>DA269-CZ269</f>
        <v>80</v>
      </c>
      <c r="DC269" t="str">
        <f>IF(DB269=0,"0",IF(AND(DB269&gt;=1,DB269&lt;=30),"1-30",IF(AND(DB269&gt;30,DB269&lt;=70),"31-70",IF(AND(DB269&gt;70,DB269&lt;=100),"71-100",IF(DB269&gt;100,"+100")))))</f>
        <v>71-100</v>
      </c>
      <c r="DD269">
        <v>0</v>
      </c>
      <c r="DE269">
        <v>1</v>
      </c>
      <c r="DF269">
        <v>0</v>
      </c>
      <c r="DG269">
        <v>1</v>
      </c>
      <c r="DH269"/>
      <c r="DI269">
        <f>SUM(DD269:DG269)</f>
        <v>2</v>
      </c>
      <c r="DJ269" t="str">
        <f>IF(DI269=1,INDEX($DD$7:$DG$7,MATCH(1,$DD269:$DG269,0)),"mixedProduct")</f>
        <v>mixedProduct</v>
      </c>
      <c r="DK269">
        <f>IF(DD269=1,DK$7,0)</f>
        <v>0</v>
      </c>
      <c r="DL269" t="str">
        <f>IF(DE269=1,DL$7,0)</f>
        <v>Energy</v>
      </c>
      <c r="DM269">
        <f>IF(DF269=1,DM$7,0)</f>
        <v>0</v>
      </c>
      <c r="DN269" t="str">
        <f>IF(DG269=1,DN$7,0)</f>
        <v>Timber</v>
      </c>
      <c r="DO269">
        <v>1</v>
      </c>
      <c r="DP269">
        <v>0</v>
      </c>
      <c r="DQ269">
        <v>0</v>
      </c>
      <c r="DR269">
        <v>0</v>
      </c>
      <c r="DS269">
        <v>0</v>
      </c>
      <c r="DT269">
        <f>SUM(DO269:DP269)</f>
        <v>1</v>
      </c>
      <c r="DU269" s="143" t="str">
        <f>IF(DO269=1,"self-calculated DF",IF(DP269=1,"external DF used","explicit C balance"))</f>
        <v>self-calculated DF</v>
      </c>
      <c r="DV269">
        <v>1</v>
      </c>
      <c r="DW269">
        <v>0</v>
      </c>
      <c r="DX269">
        <v>1</v>
      </c>
      <c r="DY269">
        <v>0</v>
      </c>
      <c r="DZ269">
        <v>0</v>
      </c>
      <c r="EA269" s="143">
        <v>0</v>
      </c>
      <c r="EB269">
        <v>0</v>
      </c>
      <c r="EC269">
        <v>0</v>
      </c>
      <c r="ED269">
        <v>0</v>
      </c>
      <c r="EE269">
        <v>0</v>
      </c>
      <c r="EF269">
        <v>1</v>
      </c>
      <c r="EG269">
        <v>0</v>
      </c>
      <c r="EH269">
        <v>0</v>
      </c>
      <c r="EI269" s="2">
        <v>0</v>
      </c>
      <c r="EJ269" s="1"/>
      <c r="EK269" t="str">
        <f>IF(AND(AND(AND(OR($DX269=1,$DW269=1),OR($EC269=1,$EA269=1)),SUM($DV269:$DZ269,$EF269)&gt;=4),SUM($EA269:$EE269)&gt;=2),"Whole sector","")</f>
        <v/>
      </c>
      <c r="EL269" t="str">
        <f>IF(AND(AND(OR($DX269=1,$DW269=1),AND($EC269=0,$EA269=0)),SUM($DV269:$DZ269,$EF269)&gt;=4),"Ecosystem approach","")</f>
        <v/>
      </c>
      <c r="EM269" s="2" t="str">
        <f>IF(AND(AND(AND($DX269=0,$DW269=0),OR($EC269=1,$EA269=1)),SUM($EB269:$EE269)&gt;=2),"Technology approach","")</f>
        <v/>
      </c>
      <c r="EN269" t="s">
        <v>2403</v>
      </c>
      <c r="EO269"/>
      <c r="EP269" t="str">
        <f>IF(ISNUMBER(BU269),IF(ABS(BU269-[3]QC_indicators!$B$2)&gt;3*[3]QC_indicators!$C$2,"C ratio",IF(ISNUMBER(BY269),IF(ABS(BY269-[3]QC_indicators!$B$1)&gt;3*[3]QC_indicators!$C$1,"DF","no"))),IF(ISNUMBER(BY269),IF(ABS(BY269-[3]QC_indicators!$B$1)&gt;3*[3]QC_indicators!$C$1,"DF","no")))</f>
        <v>no</v>
      </c>
      <c r="EQ269"/>
      <c r="ER269" s="264" t="s">
        <v>2394</v>
      </c>
      <c r="ES269"/>
      <c r="ET269" s="306" t="s">
        <v>3422</v>
      </c>
      <c r="EU269"/>
    </row>
    <row r="270" spans="1:151" s="139" customFormat="1" ht="15" customHeight="1">
      <c r="A270" s="1" t="s">
        <v>265</v>
      </c>
      <c r="B270" t="s">
        <v>1531</v>
      </c>
      <c r="C270" t="s">
        <v>1532</v>
      </c>
      <c r="D270" t="s">
        <v>1533</v>
      </c>
      <c r="E270" t="s">
        <v>1534</v>
      </c>
      <c r="F270" t="s">
        <v>1535</v>
      </c>
      <c r="G270" t="s">
        <v>271</v>
      </c>
      <c r="H270" t="s">
        <v>254</v>
      </c>
      <c r="I270">
        <v>2019</v>
      </c>
      <c r="J270">
        <v>26</v>
      </c>
      <c r="K270" t="s">
        <v>1536</v>
      </c>
      <c r="L270"/>
      <c r="M270" t="str">
        <f>LEFT($D270,FIND(",",$D270)-1)&amp;"_"&amp;I270&amp;L270</f>
        <v>Faraca_2019</v>
      </c>
      <c r="N270" t="s">
        <v>222</v>
      </c>
      <c r="O270" s="145" t="s">
        <v>274</v>
      </c>
      <c r="P270" s="180" t="s">
        <v>223</v>
      </c>
      <c r="Q270" t="s">
        <v>256</v>
      </c>
      <c r="R270" s="262" t="s">
        <v>223</v>
      </c>
      <c r="S270" s="263" t="s">
        <v>3133</v>
      </c>
      <c r="T270" t="s">
        <v>1552</v>
      </c>
      <c r="U270" t="s">
        <v>1538</v>
      </c>
      <c r="V270">
        <v>0</v>
      </c>
      <c r="W270">
        <v>0</v>
      </c>
      <c r="X270">
        <v>0</v>
      </c>
      <c r="Y270">
        <v>0</v>
      </c>
      <c r="Z270">
        <v>0</v>
      </c>
      <c r="AA270">
        <v>0</v>
      </c>
      <c r="AB270">
        <v>0</v>
      </c>
      <c r="AC270">
        <v>0</v>
      </c>
      <c r="AD270">
        <v>0</v>
      </c>
      <c r="AE270">
        <v>0</v>
      </c>
      <c r="AF270">
        <v>1</v>
      </c>
      <c r="AG270">
        <v>0</v>
      </c>
      <c r="AH270">
        <v>0</v>
      </c>
      <c r="AI270">
        <v>0</v>
      </c>
      <c r="AJ270">
        <v>0</v>
      </c>
      <c r="AK270">
        <v>0</v>
      </c>
      <c r="AL270">
        <v>0</v>
      </c>
      <c r="AM270">
        <v>0</v>
      </c>
      <c r="AN270">
        <v>0</v>
      </c>
      <c r="AO270">
        <v>0</v>
      </c>
      <c r="AP270">
        <v>0</v>
      </c>
      <c r="AQ270">
        <v>0</v>
      </c>
      <c r="AR270">
        <v>0</v>
      </c>
      <c r="AS270">
        <v>0</v>
      </c>
      <c r="AT270">
        <v>0</v>
      </c>
      <c r="AU270">
        <v>0</v>
      </c>
      <c r="AV270">
        <v>0</v>
      </c>
      <c r="AW270">
        <v>0</v>
      </c>
      <c r="AX270" s="141">
        <f>COUNTIF(V270:AW270,"&lt;&gt;0")</f>
        <v>1</v>
      </c>
      <c r="AY270" s="141">
        <f>COUNTIF(V270:AL270,"&lt;&gt;0")</f>
        <v>1</v>
      </c>
      <c r="AZ270">
        <f>COUNTIF(V270:AC270,"&lt;&gt;0")</f>
        <v>0</v>
      </c>
      <c r="BA270">
        <f>COUNTIF(AD270:AI270,"&lt;&gt;0")</f>
        <v>1</v>
      </c>
      <c r="BB270">
        <f>COUNTIF(AJ270:AL270,"&lt;&gt;0")</f>
        <v>0</v>
      </c>
      <c r="BC270">
        <f>COUNTIF(AS270:AW270,"&lt;&gt;0")</f>
        <v>0</v>
      </c>
      <c r="BD270">
        <f>COUNTIF(AM270:AR270,"&lt;&gt;0")</f>
        <v>0</v>
      </c>
      <c r="BE270" t="str">
        <f t="array" ref="BE270">IF(AY270=1,INDEX($V$7:$AL$7,MATCH(TRUE,INDEX($V270:$AW270&lt;&gt;0,),0)),IF(AY270=0,INDEX($AM$7:$AW$7,MATCH(1,$AM270:$AW270,0)),IF(BF270="Multiple strategies","mixed drivers",IF(BF270="Supply chain","multiple supply","multiple silviculture"))))</f>
        <v>supply chain organization</v>
      </c>
      <c r="BF270" s="2" t="str" cm="1">
        <f t="array" ref="BF270">IF(COUNTIF(AZ270:BB270,"&lt;&gt;0")=1,INDEX($V$4:$AW$4,MATCH(TRUE,INDEX($V270:$AW270&lt;&gt;0,),0)),IF(COUNTIF(AZ270:BB270,"&lt;&gt;0")=0,INDEX($AM$4:$AW$4,MATCH(1,$AM270:$AW270,0)),"Multiple strategies"))</f>
        <v>Supply chain</v>
      </c>
      <c r="BG270" s="1" t="s">
        <v>229</v>
      </c>
      <c r="BH270" t="s">
        <v>1548</v>
      </c>
      <c r="BI270" s="264" t="s">
        <v>3121</v>
      </c>
      <c r="BJ270" t="s">
        <v>345</v>
      </c>
      <c r="BK270">
        <v>562</v>
      </c>
      <c r="BL270">
        <v>922</v>
      </c>
      <c r="BM270">
        <v>1.6405693950177935</v>
      </c>
      <c r="BN270">
        <f>BL270-BK270</f>
        <v>360</v>
      </c>
      <c r="BO270">
        <f>BN270*kg_to_m3</f>
        <v>0.73469387755102045</v>
      </c>
      <c r="BP270" s="264" t="s">
        <v>395</v>
      </c>
      <c r="BQ270" s="234" t="s">
        <v>426</v>
      </c>
      <c r="BR270" t="s">
        <v>728</v>
      </c>
      <c r="BS270">
        <v>-145.80000000000001</v>
      </c>
      <c r="BT270">
        <v>-16.899999999999999</v>
      </c>
      <c r="BU270" s="144"/>
      <c r="BV270">
        <f>BT270-BS270</f>
        <v>128.9</v>
      </c>
      <c r="BW270"/>
      <c r="BX270">
        <f>BV270/1000</f>
        <v>0.12890000000000001</v>
      </c>
      <c r="BY270">
        <f>IFERROR(BX270/BO270,"")</f>
        <v>0.17544722222222223</v>
      </c>
      <c r="BZ270">
        <v>0</v>
      </c>
      <c r="CA270">
        <v>0</v>
      </c>
      <c r="CB270">
        <v>0</v>
      </c>
      <c r="CC270">
        <v>0</v>
      </c>
      <c r="CD270">
        <v>0</v>
      </c>
      <c r="CE270">
        <v>0</v>
      </c>
      <c r="CF270">
        <v>0</v>
      </c>
      <c r="CG270">
        <v>0</v>
      </c>
      <c r="CH270">
        <v>0</v>
      </c>
      <c r="CI270">
        <v>0</v>
      </c>
      <c r="CJ270">
        <v>0</v>
      </c>
      <c r="CK270">
        <v>0</v>
      </c>
      <c r="CL270">
        <v>0</v>
      </c>
      <c r="CM270">
        <v>0</v>
      </c>
      <c r="CN270" t="str">
        <f>IF($BL270&lt;$BK270,"refNeedCorrection","refOK")</f>
        <v>refOK</v>
      </c>
      <c r="CO270">
        <f>IF($CN270="refNeedCorrection",BL270,BK270)</f>
        <v>562</v>
      </c>
      <c r="CP270">
        <f>IF($CN270="refNeedCorrection",BK270,BL270)</f>
        <v>922</v>
      </c>
      <c r="CQ270">
        <f>IF($CN270="refOK",$BO270,-$BO270)</f>
        <v>0.73469387755102045</v>
      </c>
      <c r="CR270">
        <f>IF($CN270="refOK",$BS270,$BT270)*IF($BP270="Emissions positive",-1,1)</f>
        <v>145.80000000000001</v>
      </c>
      <c r="CS270">
        <f>IF($CN270="refOK",$BT270,$BS270)*IF($BP270="Emissions positive",-1,1)</f>
        <v>16.899999999999999</v>
      </c>
      <c r="CT270">
        <f>IF($CN270="refNeedCorrection",-BX270,BX270)*IF($BP270="Emissions positive",-1,1)</f>
        <v>-0.12890000000000001</v>
      </c>
      <c r="CU270">
        <f>IFERROR(CT270/CQ270,"")</f>
        <v>-0.17544722222222223</v>
      </c>
      <c r="CV270" s="2">
        <f>IFERROR((CS270-CR270)/ABS(CR270),"")</f>
        <v>-0.88408779149519889</v>
      </c>
      <c r="CW270" s="1" t="s">
        <v>1199</v>
      </c>
      <c r="CX270" t="str">
        <f>IF(OR($CW270="prd",$CW270="std",$CW270="cit"),"loc",IF(OR($CW270="eur",$CW270="reg",$CW270="coy"),"reg",$CW270))</f>
        <v>reg</v>
      </c>
      <c r="CY270" t="s">
        <v>1540</v>
      </c>
      <c r="CZ270"/>
      <c r="DA270"/>
      <c r="DB270">
        <v>500</v>
      </c>
      <c r="DC270" t="str">
        <f>IF(DB270=0,"0",IF(AND(DB270&gt;=1,DB270&lt;=30),"1-30",IF(AND(DB270&gt;30,DB270&lt;=70),"31-70",IF(AND(DB270&gt;70,DB270&lt;=100),"71-100",IF(DB270&gt;100,"+100")))))</f>
        <v>+100</v>
      </c>
      <c r="DD270">
        <v>0</v>
      </c>
      <c r="DE270">
        <v>0</v>
      </c>
      <c r="DF270">
        <v>0</v>
      </c>
      <c r="DG270">
        <v>1</v>
      </c>
      <c r="DH270"/>
      <c r="DI270">
        <f>SUM(DD270:DG270)</f>
        <v>1</v>
      </c>
      <c r="DJ270" t="str">
        <f>IF(DI270=1,INDEX($DD$7:$DG$7,MATCH(1,$DD270:$DG270,0)),"mixedProduct")</f>
        <v>TimberInput</v>
      </c>
      <c r="DK270">
        <f>IF(DD270=1,DK$7,0)</f>
        <v>0</v>
      </c>
      <c r="DL270">
        <f>IF(DE270=1,DL$7,0)</f>
        <v>0</v>
      </c>
      <c r="DM270">
        <f>IF(DF270=1,DM$7,0)</f>
        <v>0</v>
      </c>
      <c r="DN270" t="str">
        <f>IF(DG270=1,DN$7,0)</f>
        <v>Timber</v>
      </c>
      <c r="DO270">
        <v>0</v>
      </c>
      <c r="DP270">
        <v>0</v>
      </c>
      <c r="DQ270">
        <v>0</v>
      </c>
      <c r="DR270">
        <v>0</v>
      </c>
      <c r="DS270">
        <v>0</v>
      </c>
      <c r="DT270">
        <f>SUM(DO270:DP270)</f>
        <v>0</v>
      </c>
      <c r="DU270" s="143" t="str">
        <f>IF(DO270=1,"self-calculated DF",IF(DP270=1,"external DF used","explicit C balance"))</f>
        <v>explicit C balance</v>
      </c>
      <c r="DV270">
        <v>0</v>
      </c>
      <c r="DW270">
        <v>0</v>
      </c>
      <c r="DX270">
        <v>0</v>
      </c>
      <c r="DY270">
        <v>0</v>
      </c>
      <c r="DZ270">
        <v>1</v>
      </c>
      <c r="EA270" s="143">
        <v>1</v>
      </c>
      <c r="EB270">
        <v>0</v>
      </c>
      <c r="EC270">
        <v>1</v>
      </c>
      <c r="ED270">
        <v>0</v>
      </c>
      <c r="EE270">
        <v>1</v>
      </c>
      <c r="EF270">
        <v>1</v>
      </c>
      <c r="EG270">
        <v>1</v>
      </c>
      <c r="EH270">
        <v>0</v>
      </c>
      <c r="EI270" s="2">
        <v>0</v>
      </c>
      <c r="EJ270" s="1"/>
      <c r="EK270" t="str">
        <f>IF(AND(AND(AND(OR($DX270=1,$DW270=1),OR($EC270=1,$EA270=1)),SUM($DV270:$DZ270,$EF270)&gt;=4),SUM($EA270:$EE270)&gt;=2),"Whole sector","")</f>
        <v/>
      </c>
      <c r="EL270" t="str">
        <f>IF(AND(AND(OR($DX270=1,$DW270=1),AND($EC270=0,$EA270=0)),SUM($DV270:$DZ270,$EF270)&gt;=4),"Ecosystem approach","")</f>
        <v/>
      </c>
      <c r="EM270" s="2" t="str">
        <f>IF(AND(AND(AND($DX270=0,$DW270=0),OR($EC270=1,$EA270=1)),SUM($EB270:$EE270)&gt;=2),"Technology approach","")</f>
        <v>Technology approach</v>
      </c>
      <c r="EN270"/>
      <c r="EO270"/>
      <c r="EP270" t="str">
        <f>IF(ISNUMBER(BU270),IF(ABS(BU270-[1]QC_indicators!$B$2)&gt;3*[1]QC_indicators!$C$2,"C ratio",IF(ISNUMBER(BY270),IF(ABS(BY270-[1]QC_indicators!$B$1)&gt;3*[1]QC_indicators!$C$1,"DF","no"))),IF(ISNUMBER(BY270),IF(ABS(BY270-[1]QC_indicators!$B$1)&gt;3*[1]QC_indicators!$C$1,"DF","no")))</f>
        <v>no</v>
      </c>
      <c r="EQ270"/>
      <c r="ER270"/>
      <c r="ES270"/>
      <c r="ET270" s="264" t="s">
        <v>3273</v>
      </c>
      <c r="EU270"/>
    </row>
    <row r="271" spans="1:151" s="139" customFormat="1" ht="15" customHeight="1">
      <c r="A271" s="1" t="s">
        <v>1972</v>
      </c>
      <c r="B271" t="s">
        <v>1973</v>
      </c>
      <c r="C271" t="s">
        <v>1974</v>
      </c>
      <c r="D271" t="s">
        <v>1975</v>
      </c>
      <c r="E271" t="s">
        <v>1976</v>
      </c>
      <c r="F271" t="s">
        <v>1977</v>
      </c>
      <c r="G271" t="s">
        <v>1978</v>
      </c>
      <c r="H271" t="s">
        <v>254</v>
      </c>
      <c r="I271">
        <v>2018</v>
      </c>
      <c r="J271">
        <v>21</v>
      </c>
      <c r="K271" t="s">
        <v>1979</v>
      </c>
      <c r="L271"/>
      <c r="M271" t="str">
        <f>LEFT($D271,FIND(",",$D271)-1)&amp;"_"&amp;I271&amp;L271</f>
        <v>Nabuurs_2018</v>
      </c>
      <c r="N271" t="s">
        <v>222</v>
      </c>
      <c r="O271" s="157" t="s">
        <v>274</v>
      </c>
      <c r="P271" t="s">
        <v>960</v>
      </c>
      <c r="Q271" t="s">
        <v>389</v>
      </c>
      <c r="R271" s="255" t="s">
        <v>225</v>
      </c>
      <c r="S271" s="1" t="s">
        <v>1980</v>
      </c>
      <c r="T271" s="152" t="s">
        <v>1981</v>
      </c>
      <c r="U271" t="s">
        <v>1986</v>
      </c>
      <c r="V271">
        <v>0</v>
      </c>
      <c r="W271">
        <v>0</v>
      </c>
      <c r="X271">
        <v>0</v>
      </c>
      <c r="Y271">
        <v>1</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s="141">
        <f>COUNTIF(V271:AW271,"&lt;&gt;0")</f>
        <v>1</v>
      </c>
      <c r="AY271" s="141">
        <f>COUNTIF(V271:AL271,"&lt;&gt;0")</f>
        <v>1</v>
      </c>
      <c r="AZ271">
        <f>COUNTIF(V271:AC271,"&lt;&gt;0")</f>
        <v>1</v>
      </c>
      <c r="BA271">
        <f>COUNTIF(AD271:AI271,"&lt;&gt;0")</f>
        <v>0</v>
      </c>
      <c r="BB271">
        <f>COUNTIF(AJ271:AL271,"&lt;&gt;0")</f>
        <v>0</v>
      </c>
      <c r="BC271">
        <f>COUNTIF(AS271:AW271,"&lt;&gt;0")</f>
        <v>0</v>
      </c>
      <c r="BD271">
        <f>COUNTIF(AM271:AR271,"&lt;&gt;0")</f>
        <v>0</v>
      </c>
      <c r="BE271" t="str">
        <f t="array" ref="BE271">IF(AY271=1,INDEX($V$7:$AL$7,MATCH(TRUE,INDEX($V271:$AW271&lt;&gt;0,),0)),IF(AY271=0,INDEX($AM$7:$AW$7,MATCH(1,$AM271:$AW271,0)),IF(BF271="Multiple strategies","mixed drivers",IF(BF271="Supply chain","multiple supply","multiple silviculture"))))</f>
        <v xml:space="preserve">cutting intensity </v>
      </c>
      <c r="BF271" s="2" t="str" cm="1">
        <f t="array" ref="BF271">IF(COUNTIF(AZ271:BB271,"&lt;&gt;0")=1,INDEX($V$4:$AW$4,MATCH(TRUE,INDEX($V271:$AW271&lt;&gt;0,),0)),IF(COUNTIF(AZ271:BB271,"&lt;&gt;0")=0,INDEX($AM$4:$AW$4,MATCH(1,$AM271:$AW271,0)),"Multiple strategies"))</f>
        <v>Silviculture for removals</v>
      </c>
      <c r="BG271" s="1" t="s">
        <v>321</v>
      </c>
      <c r="BH271" t="s">
        <v>1983</v>
      </c>
      <c r="BI271" s="260" t="s">
        <v>3387</v>
      </c>
      <c r="BJ271" t="s">
        <v>1984</v>
      </c>
      <c r="BK271" s="152">
        <v>4176029909.5067401</v>
      </c>
      <c r="BL271" s="152">
        <v>4913231274.6944609</v>
      </c>
      <c r="BM271">
        <v>1.1765316296009951</v>
      </c>
      <c r="BN271">
        <f>BL271-BK271</f>
        <v>737201365.18772078</v>
      </c>
      <c r="BO271">
        <f>BN271</f>
        <v>737201365.18772078</v>
      </c>
      <c r="BP271" t="s">
        <v>395</v>
      </c>
      <c r="BQ271" s="260" t="s">
        <v>3388</v>
      </c>
      <c r="BR271" t="s">
        <v>1985</v>
      </c>
      <c r="BS271" s="289">
        <f>-273.8*1000000</f>
        <v>-273800000</v>
      </c>
      <c r="BT271" s="289">
        <f>-93.69*1000000</f>
        <v>-93690000</v>
      </c>
      <c r="BU271" s="144">
        <v>0.65184988385004727</v>
      </c>
      <c r="BV271" s="152">
        <v>125900277.00830999</v>
      </c>
      <c r="BW271"/>
      <c r="BX271" s="152">
        <f>BV271</f>
        <v>125900277.00830999</v>
      </c>
      <c r="BY271">
        <f>IFERROR(BX271/BO271,"")</f>
        <v>0.17078139427515951</v>
      </c>
      <c r="BZ271">
        <v>0</v>
      </c>
      <c r="CA271">
        <v>0</v>
      </c>
      <c r="CB271">
        <v>0</v>
      </c>
      <c r="CC271">
        <v>0</v>
      </c>
      <c r="CD271">
        <v>0</v>
      </c>
      <c r="CE271">
        <v>0</v>
      </c>
      <c r="CF271">
        <v>0</v>
      </c>
      <c r="CG271">
        <v>0</v>
      </c>
      <c r="CH271">
        <v>0</v>
      </c>
      <c r="CI271">
        <v>0</v>
      </c>
      <c r="CJ271">
        <v>0</v>
      </c>
      <c r="CK271">
        <v>0</v>
      </c>
      <c r="CL271">
        <v>0</v>
      </c>
      <c r="CM271">
        <v>0</v>
      </c>
      <c r="CN271" t="str">
        <f>IF($BL271&lt;$BK271,"refNeedCorrection","refOK")</f>
        <v>refOK</v>
      </c>
      <c r="CO271">
        <f>IF($CN271="refOK",$BK271,$BL271)</f>
        <v>4176029909.5067401</v>
      </c>
      <c r="CP271">
        <f>IF($CN271="refOK",$BL271,$BK271)</f>
        <v>4913231274.6944609</v>
      </c>
      <c r="CQ271">
        <f>IF($CN271="refOK",$BO271,-$BO271)</f>
        <v>737201365.18772078</v>
      </c>
      <c r="CR271">
        <f>IF($CN271="refOK",$BS271,$BT271)*IF($BP271="Emissions positive",-1,1)</f>
        <v>273800000</v>
      </c>
      <c r="CS271">
        <f>IF($CN271="refOK",$BT271,$BS271)*IF($BP271="Emissions positive",-1,1)</f>
        <v>93690000</v>
      </c>
      <c r="CT271">
        <f>IF($CN271="refNeedCorrection",-BX271,BX271)*IF($BP271="Emissions positive",-1,1)</f>
        <v>-125900277.00830999</v>
      </c>
      <c r="CU271">
        <f>IFERROR(CT271/CQ271,"")</f>
        <v>-0.17078139427515951</v>
      </c>
      <c r="CV271" s="2">
        <f>IFERROR((CS271-CR271)/ABS(CR271),"")</f>
        <v>-0.65781592403214029</v>
      </c>
      <c r="CW271" s="1" t="s">
        <v>1231</v>
      </c>
      <c r="CX271" t="str">
        <f>IF(OR($CW271="prd",$CW271="std",$CW271="cit"),"loc",IF(OR($CW271="eur",$CW271="reg",$CW271="coy"),"reg",$CW271))</f>
        <v>reg</v>
      </c>
      <c r="CY271" t="s">
        <v>743</v>
      </c>
      <c r="CZ271">
        <v>2015</v>
      </c>
      <c r="DA271">
        <v>2050</v>
      </c>
      <c r="DB271">
        <v>0</v>
      </c>
      <c r="DC271" t="str">
        <f>IF(DB271=0,"0",IF(AND(DB271&gt;=1,DB271&lt;=30),"1-30",IF(AND(DB271&gt;30,DB271&lt;=70),"31-70",IF(AND(DB271&gt;70,DB271&lt;=100),"71-100",IF(DB271&gt;100,"+100")))))</f>
        <v>0</v>
      </c>
      <c r="DD271">
        <v>1</v>
      </c>
      <c r="DE271">
        <v>0</v>
      </c>
      <c r="DF271">
        <v>0</v>
      </c>
      <c r="DG271">
        <v>0</v>
      </c>
      <c r="DH271"/>
      <c r="DI271">
        <v>1</v>
      </c>
      <c r="DJ271" t="str">
        <f>IF(DI271=1,INDEX($DD$7:$DG$7,MATCH(1,$DD271:$DG271,0)),"mixedProduct")</f>
        <v>UpstreamInput</v>
      </c>
      <c r="DK271" t="str">
        <f>IF(DD271=1,DK$7,0)</f>
        <v>Upstream</v>
      </c>
      <c r="DL271">
        <f>IF(DE271=1,DL$7,0)</f>
        <v>0</v>
      </c>
      <c r="DM271">
        <f>IF(DF271=1,DM$7,0)</f>
        <v>0</v>
      </c>
      <c r="DN271">
        <f>IF(DG271=1,DN$7,0)</f>
        <v>0</v>
      </c>
      <c r="DO271">
        <v>0</v>
      </c>
      <c r="DP271">
        <v>0</v>
      </c>
      <c r="DQ271">
        <v>0</v>
      </c>
      <c r="DR271">
        <v>0</v>
      </c>
      <c r="DS271">
        <v>0</v>
      </c>
      <c r="DT271">
        <f>SUM(DO271:DP271)</f>
        <v>0</v>
      </c>
      <c r="DU271" s="143" t="s">
        <v>962</v>
      </c>
      <c r="DV271">
        <v>0</v>
      </c>
      <c r="DW271">
        <v>0</v>
      </c>
      <c r="DX271">
        <v>0</v>
      </c>
      <c r="DY271">
        <v>0</v>
      </c>
      <c r="DZ271">
        <v>0</v>
      </c>
      <c r="EA271" s="143">
        <v>0</v>
      </c>
      <c r="EB271">
        <v>1</v>
      </c>
      <c r="EC271">
        <v>0</v>
      </c>
      <c r="ED271">
        <v>0</v>
      </c>
      <c r="EE271">
        <v>0</v>
      </c>
      <c r="EF271">
        <v>0</v>
      </c>
      <c r="EG271">
        <v>0</v>
      </c>
      <c r="EH271">
        <v>0</v>
      </c>
      <c r="EI271" s="2">
        <v>0</v>
      </c>
      <c r="EJ271" s="1"/>
      <c r="EK271" t="str">
        <f>IF(AND(AND(AND(OR($DX271=1,$DW271=1),OR($EC271=1,$EA271=1)),SUM($DV271:$DZ271,$EF271)&gt;=4),SUM($EA271:$EE271)&gt;=2),"Whole sector","")</f>
        <v/>
      </c>
      <c r="EL271" t="str">
        <f>IF(AND(AND(OR($DX271=1,$DW271=1),AND($EC271=0,$EA271=0)),SUM($DV271:$DZ271,$EF271)&gt;=4),"Ecosystem approach","")</f>
        <v/>
      </c>
      <c r="EM271" s="2" t="str">
        <f>IF(AND(AND(AND($DX271=0,$DW271=0),OR($EC271=1,$EA271=1)),SUM($EB271:$EE271)&gt;=2),"Technology approach","")</f>
        <v/>
      </c>
      <c r="EN271"/>
      <c r="EO271"/>
      <c r="EP271" t="str">
        <f>IF(ISNUMBER(BU271),IF(ABS(BU271-[4]QC_indicators!$B$2)&gt;3*[4]QC_indicators!$C$2,"C ratio",IF(ISNUMBER(BY271),IF(ABS(BY271-[4]QC_indicators!$B$1)&gt;3*[4]QC_indicators!$C$1,"DF","no"))),IF(ISNUMBER(BY271),IF(ABS(BY271-[4]QC_indicators!$B$1)&gt;3*[4]QC_indicators!$C$1,"DF","no")))</f>
        <v>no</v>
      </c>
      <c r="EQ271"/>
      <c r="ER271"/>
      <c r="ES271"/>
      <c r="ET271" s="264" t="s">
        <v>3273</v>
      </c>
      <c r="EU271"/>
    </row>
    <row r="272" spans="1:151" s="139" customFormat="1" ht="15" customHeight="1">
      <c r="A272" s="1" t="s">
        <v>265</v>
      </c>
      <c r="B272" t="s">
        <v>266</v>
      </c>
      <c r="C272" t="s">
        <v>267</v>
      </c>
      <c r="D272" t="s">
        <v>268</v>
      </c>
      <c r="E272" t="s">
        <v>269</v>
      </c>
      <c r="F272" t="s">
        <v>270</v>
      </c>
      <c r="G272" t="s">
        <v>271</v>
      </c>
      <c r="H272" t="s">
        <v>254</v>
      </c>
      <c r="I272">
        <v>2022</v>
      </c>
      <c r="J272">
        <v>0</v>
      </c>
      <c r="K272" t="s">
        <v>272</v>
      </c>
      <c r="L272"/>
      <c r="M272" t="str">
        <f>LEFT($D272,FIND(",",$D272)-1)&amp;"_"&amp;I272&amp;L272</f>
        <v>Aryapratama_2022</v>
      </c>
      <c r="N272" t="s">
        <v>222</v>
      </c>
      <c r="O272" s="145" t="s">
        <v>274</v>
      </c>
      <c r="P272"/>
      <c r="Q272" t="s">
        <v>224</v>
      </c>
      <c r="R272" s="262" t="s">
        <v>223</v>
      </c>
      <c r="S272" s="263" t="s">
        <v>3105</v>
      </c>
      <c r="T272" t="s">
        <v>329</v>
      </c>
      <c r="U272" t="s">
        <v>330</v>
      </c>
      <c r="V272">
        <v>0</v>
      </c>
      <c r="W272">
        <v>0</v>
      </c>
      <c r="X272">
        <v>0</v>
      </c>
      <c r="Y272">
        <v>0</v>
      </c>
      <c r="Z272">
        <v>0</v>
      </c>
      <c r="AA272">
        <v>0</v>
      </c>
      <c r="AB272">
        <v>0</v>
      </c>
      <c r="AC272">
        <v>0</v>
      </c>
      <c r="AD272">
        <v>0</v>
      </c>
      <c r="AE272">
        <v>0</v>
      </c>
      <c r="AF272">
        <v>0</v>
      </c>
      <c r="AG272">
        <v>0</v>
      </c>
      <c r="AH272">
        <v>0</v>
      </c>
      <c r="AI272">
        <v>0</v>
      </c>
      <c r="AJ272">
        <v>0</v>
      </c>
      <c r="AK272">
        <v>1</v>
      </c>
      <c r="AL272">
        <v>0</v>
      </c>
      <c r="AM272">
        <v>0</v>
      </c>
      <c r="AN272">
        <v>0</v>
      </c>
      <c r="AO272">
        <v>0</v>
      </c>
      <c r="AP272">
        <v>0</v>
      </c>
      <c r="AQ272">
        <v>0</v>
      </c>
      <c r="AR272">
        <v>0</v>
      </c>
      <c r="AS272">
        <v>0</v>
      </c>
      <c r="AT272">
        <v>0</v>
      </c>
      <c r="AU272">
        <v>0</v>
      </c>
      <c r="AV272">
        <v>0</v>
      </c>
      <c r="AW272">
        <v>0</v>
      </c>
      <c r="AX272" s="141">
        <f>COUNTIF(V272:AW272,"&lt;&gt;0")</f>
        <v>1</v>
      </c>
      <c r="AY272" s="141">
        <f>COUNTIF(V272:AL272,"&lt;&gt;0")</f>
        <v>1</v>
      </c>
      <c r="AZ272">
        <f>COUNTIF(V272:AC272,"&lt;&gt;0")</f>
        <v>0</v>
      </c>
      <c r="BA272">
        <f>COUNTIF(AD272:AI272,"&lt;&gt;0")</f>
        <v>0</v>
      </c>
      <c r="BB272">
        <f>COUNTIF(AJ272:AL272,"&lt;&gt;0")</f>
        <v>1</v>
      </c>
      <c r="BC272">
        <f>COUNTIF(AS272:AW272,"&lt;&gt;0")</f>
        <v>0</v>
      </c>
      <c r="BD272">
        <f>COUNTIF(AM272:AR272,"&lt;&gt;0")</f>
        <v>0</v>
      </c>
      <c r="BE272" t="str">
        <f t="array" ref="BE272">IF(AY272=1,INDEX($V$7:$AL$7,MATCH(TRUE,INDEX($V272:$AW272&lt;&gt;0,),0)),IF(AY272=0,INDEX($AM$7:$AW$7,MATCH(1,$AM272:$AW272,0)),IF(BF272="Multiple strategies","mixed drivers",IF(BF272="Supply chain","multiple supply","multiple silviculture"))))</f>
        <v>technologies/design switch</v>
      </c>
      <c r="BF272" s="2" t="str" cm="1">
        <f t="array" ref="BF272">IF(COUNTIF(AZ272:BB272,"&lt;&gt;0")=1,INDEX($V$4:$AW$4,MATCH(TRUE,INDEX($V272:$AW272&lt;&gt;0,),0)),IF(COUNTIF(AZ272:BB272,"&lt;&gt;0")=0,INDEX($AM$4:$AW$4,MATCH(1,$AM272:$AW272,0)),"Multiple strategies"))</f>
        <v>Technology</v>
      </c>
      <c r="BG272" s="1" t="s">
        <v>229</v>
      </c>
      <c r="BH272" t="s">
        <v>277</v>
      </c>
      <c r="BI272" s="264" t="s">
        <v>3106</v>
      </c>
      <c r="BJ272" t="s">
        <v>278</v>
      </c>
      <c r="BK272">
        <v>0</v>
      </c>
      <c r="BL272">
        <v>276.97811320754715</v>
      </c>
      <c r="BM272"/>
      <c r="BN272">
        <f>BL272-BK272</f>
        <v>276.97811320754715</v>
      </c>
      <c r="BO272">
        <f>BN272*tC_to_m3</f>
        <v>1202.6839479268224</v>
      </c>
      <c r="BP272" t="s">
        <v>232</v>
      </c>
      <c r="BQ272" s="337" t="s">
        <v>3107</v>
      </c>
      <c r="BR272" t="s">
        <v>279</v>
      </c>
      <c r="BS272">
        <v>-627.22269789912832</v>
      </c>
      <c r="BT272">
        <v>-832.29941220987405</v>
      </c>
      <c r="BU272" s="144">
        <f>IFERROR(BT272/BS272,"")</f>
        <v>1.3269599697167316</v>
      </c>
      <c r="BV272">
        <f>BT272-BS272</f>
        <v>-205.07671431074573</v>
      </c>
      <c r="BW272"/>
      <c r="BX272">
        <f>BV272</f>
        <v>-205.07671431074573</v>
      </c>
      <c r="BY272">
        <f>IFERROR(BX272/BO272,"")</f>
        <v>-0.17051588213533192</v>
      </c>
      <c r="BZ272">
        <v>0</v>
      </c>
      <c r="CA272">
        <v>0</v>
      </c>
      <c r="CB272">
        <v>0</v>
      </c>
      <c r="CC272">
        <v>0</v>
      </c>
      <c r="CD272">
        <v>0</v>
      </c>
      <c r="CE272">
        <v>0</v>
      </c>
      <c r="CF272">
        <v>0</v>
      </c>
      <c r="CG272">
        <v>0</v>
      </c>
      <c r="CH272">
        <v>0</v>
      </c>
      <c r="CI272">
        <v>0</v>
      </c>
      <c r="CJ272">
        <v>0</v>
      </c>
      <c r="CK272">
        <v>0</v>
      </c>
      <c r="CL272">
        <v>0</v>
      </c>
      <c r="CM272">
        <v>0</v>
      </c>
      <c r="CN272" t="str">
        <f>IF($BL272&lt;$BK272,"refNeedCorrection","refOK")</f>
        <v>refOK</v>
      </c>
      <c r="CO272">
        <f>IF($CN272="refOK",$BK272,$BL272)</f>
        <v>0</v>
      </c>
      <c r="CP272">
        <f>IF($CN272="refOK",$BL272,$BK272)</f>
        <v>276.97811320754715</v>
      </c>
      <c r="CQ272">
        <f>IF($CN272="refOK",$BO272,-$BO272)</f>
        <v>1202.6839479268224</v>
      </c>
      <c r="CR272">
        <f>IF($CN272="refOK",$BS272,$BT272)*IF($BP272="Emissions positive",-1,1)</f>
        <v>-627.22269789912832</v>
      </c>
      <c r="CS272">
        <f>IF($CN272="refOK",$BT272,$BS272)*IF($BP272="Emissions positive",-1,1)</f>
        <v>-832.29941220987405</v>
      </c>
      <c r="CT272">
        <f>IF($CN272="refNeedCorrection",-BX272,BX272)*IF($BP272="Emissions positive",-1,1)</f>
        <v>-205.07671431074573</v>
      </c>
      <c r="CU272">
        <f>IFERROR(CT272/CQ272,"")</f>
        <v>-0.17051588213533192</v>
      </c>
      <c r="CV272" s="2">
        <f>IFERROR((CS272-CR272)/ABS(CR272),"")</f>
        <v>-0.32695996971673169</v>
      </c>
      <c r="CW272" s="1" t="s">
        <v>234</v>
      </c>
      <c r="CX272" t="str">
        <f>IF(OR($CW272="prd",$CW272="std",$CW272="cit"),"loc",IF(OR($CW272="eur",$CW272="reg",$CW272="coy"),"reg",$CW272))</f>
        <v>loc</v>
      </c>
      <c r="CY272" t="s">
        <v>280</v>
      </c>
      <c r="CZ272"/>
      <c r="DA272"/>
      <c r="DB272">
        <v>100</v>
      </c>
      <c r="DC272" t="str">
        <f>IF(DB272=0,"0",IF(AND(DB272&gt;=1,DB272&lt;=30),"1-30",IF(AND(DB272&gt;30,DB272&lt;=70),"31-70",IF(AND(DB272&gt;70,DB272&lt;=100),"71-100",IF(DB272&gt;100,"+100")))))</f>
        <v>71-100</v>
      </c>
      <c r="DD272">
        <v>0</v>
      </c>
      <c r="DE272">
        <v>1</v>
      </c>
      <c r="DF272">
        <v>0</v>
      </c>
      <c r="DG272">
        <v>0</v>
      </c>
      <c r="DH272"/>
      <c r="DI272">
        <f>SUM(DD272:DG272)</f>
        <v>1</v>
      </c>
      <c r="DJ272" t="str">
        <f>IF(DI272=1,INDEX($DD$7:$DG$7,MATCH(1,$DD272:$DG272,0)),"mixedProduct")</f>
        <v>EnergyInput</v>
      </c>
      <c r="DK272">
        <f>IF(DD272=1,DK$7,0)</f>
        <v>0</v>
      </c>
      <c r="DL272" t="str">
        <f>IF(DE272=1,DL$7,0)</f>
        <v>Energy</v>
      </c>
      <c r="DM272">
        <f>IF(DF272=1,DM$7,0)</f>
        <v>0</v>
      </c>
      <c r="DN272">
        <f>IF(DG272=1,DN$7,0)</f>
        <v>0</v>
      </c>
      <c r="DO272">
        <v>0</v>
      </c>
      <c r="DP272">
        <v>1</v>
      </c>
      <c r="DQ272" t="s">
        <v>304</v>
      </c>
      <c r="DR272">
        <v>0</v>
      </c>
      <c r="DS272">
        <v>0</v>
      </c>
      <c r="DT272">
        <f>SUM(DO272:DP272)</f>
        <v>1</v>
      </c>
      <c r="DU272" s="143" t="str">
        <f>IF(DO272=1,"self-calculated DF",IF(DP272=1,"external DF used","explicit C balance"))</f>
        <v>external DF used</v>
      </c>
      <c r="DV272">
        <v>0</v>
      </c>
      <c r="DW272">
        <v>1</v>
      </c>
      <c r="DX272">
        <v>1</v>
      </c>
      <c r="DY272">
        <v>1</v>
      </c>
      <c r="DZ272">
        <v>1</v>
      </c>
      <c r="EA272" s="143">
        <v>0</v>
      </c>
      <c r="EB272">
        <v>1</v>
      </c>
      <c r="EC272">
        <v>1</v>
      </c>
      <c r="ED272">
        <v>0</v>
      </c>
      <c r="EE272">
        <v>1</v>
      </c>
      <c r="EF272">
        <v>1</v>
      </c>
      <c r="EG272">
        <v>1</v>
      </c>
      <c r="EH272">
        <v>0</v>
      </c>
      <c r="EI272" s="2">
        <v>0</v>
      </c>
      <c r="EJ272" s="1"/>
      <c r="EK272" t="str">
        <f>IF(AND(AND(AND(OR($DX272=1,$DW272=1),OR($EC272=1,$EA272=1)),SUM($DV272:$DZ272,$EF272)&gt;=4),SUM($EA272:$EE272)&gt;=2),"Whole sector","")</f>
        <v>Whole sector</v>
      </c>
      <c r="EL272" t="str">
        <f>IF(AND(AND(OR($DX272=1,$DW272=1),AND($EC272=0,$EA272=0)),SUM($DV272:$DZ272,$EF272)&gt;=4),"Ecosystem approach","")</f>
        <v/>
      </c>
      <c r="EM272" s="2" t="str">
        <f>IF(AND(AND(AND($DX272=0,$DW272=0),OR($EC272=1,$EA272=1)),SUM($EB272:$EE272)&gt;=2),"Technology approach","")</f>
        <v/>
      </c>
      <c r="EN272"/>
      <c r="EO272"/>
      <c r="EP272" t="str">
        <f>IF(ISNUMBER(BU272),IF(ABS(BU272-[1]QC_indicators!$B$2)&gt;3*[1]QC_indicators!$C$2,"C ratio",IF(ISNUMBER(BY272),IF(ABS(BY272-[1]QC_indicators!$B$1)&gt;3*[1]QC_indicators!$C$1,"DF","no"))),IF(ISNUMBER(BY272),IF(ABS(BY272-[1]QC_indicators!$B$1)&gt;3*[1]QC_indicators!$C$1,"DF","no")))</f>
        <v>no</v>
      </c>
      <c r="EQ272" t="s">
        <v>286</v>
      </c>
      <c r="ER272"/>
      <c r="ES272"/>
      <c r="ET272" s="264" t="s">
        <v>3273</v>
      </c>
      <c r="EU272"/>
    </row>
    <row r="273" spans="1:151" s="139" customFormat="1" ht="15" customHeight="1">
      <c r="A273" s="1" t="s">
        <v>878</v>
      </c>
      <c r="B273" t="s">
        <v>1791</v>
      </c>
      <c r="C273" t="s">
        <v>1792</v>
      </c>
      <c r="D273" t="s">
        <v>1793</v>
      </c>
      <c r="E273" t="s">
        <v>1794</v>
      </c>
      <c r="F273" t="s">
        <v>1795</v>
      </c>
      <c r="G273" t="s">
        <v>1184</v>
      </c>
      <c r="H273" t="s">
        <v>254</v>
      </c>
      <c r="I273">
        <v>2011</v>
      </c>
      <c r="J273">
        <v>6</v>
      </c>
      <c r="K273" t="s">
        <v>1796</v>
      </c>
      <c r="L273"/>
      <c r="M273" t="str">
        <f>LEFT($D273,FIND(",",$D273)-1)&amp;"_"&amp;I273&amp;L273</f>
        <v>Kayo_2011</v>
      </c>
      <c r="N273" t="s">
        <v>222</v>
      </c>
      <c r="O273" s="145" t="s">
        <v>513</v>
      </c>
      <c r="P273"/>
      <c r="Q273" t="s">
        <v>256</v>
      </c>
      <c r="R273" s="255" t="s">
        <v>225</v>
      </c>
      <c r="S273" s="263" t="s">
        <v>3362</v>
      </c>
      <c r="T273" t="s">
        <v>1805</v>
      </c>
      <c r="U273" t="s">
        <v>1806</v>
      </c>
      <c r="V273">
        <v>0</v>
      </c>
      <c r="W273">
        <v>0</v>
      </c>
      <c r="X273">
        <v>0</v>
      </c>
      <c r="Y273">
        <v>0</v>
      </c>
      <c r="Z273">
        <v>0</v>
      </c>
      <c r="AA273">
        <v>0</v>
      </c>
      <c r="AB273">
        <v>0</v>
      </c>
      <c r="AC273">
        <v>0</v>
      </c>
      <c r="AD273">
        <v>0</v>
      </c>
      <c r="AE273">
        <v>0</v>
      </c>
      <c r="AF273">
        <v>0</v>
      </c>
      <c r="AG273">
        <v>0</v>
      </c>
      <c r="AH273">
        <v>0</v>
      </c>
      <c r="AI273">
        <v>0</v>
      </c>
      <c r="AJ273">
        <v>0</v>
      </c>
      <c r="AK273">
        <v>1</v>
      </c>
      <c r="AL273">
        <v>0</v>
      </c>
      <c r="AM273">
        <v>0</v>
      </c>
      <c r="AN273">
        <v>0</v>
      </c>
      <c r="AO273">
        <v>0</v>
      </c>
      <c r="AP273">
        <v>0</v>
      </c>
      <c r="AQ273">
        <v>0</v>
      </c>
      <c r="AR273">
        <v>0</v>
      </c>
      <c r="AS273">
        <v>0</v>
      </c>
      <c r="AT273">
        <v>0</v>
      </c>
      <c r="AU273">
        <v>0</v>
      </c>
      <c r="AV273">
        <v>0</v>
      </c>
      <c r="AW273">
        <v>0</v>
      </c>
      <c r="AX273" s="141">
        <f>COUNTIF(V273:AW273,"&lt;&gt;0")</f>
        <v>1</v>
      </c>
      <c r="AY273" s="141">
        <f>COUNTIF(V273:AL273,"&lt;&gt;0")</f>
        <v>1</v>
      </c>
      <c r="AZ273">
        <f>COUNTIF(V273:AC273,"&lt;&gt;0")</f>
        <v>0</v>
      </c>
      <c r="BA273">
        <f>COUNTIF(AD273:AI273,"&lt;&gt;0")</f>
        <v>0</v>
      </c>
      <c r="BB273">
        <f>COUNTIF(AJ273:AL273,"&lt;&gt;0")</f>
        <v>1</v>
      </c>
      <c r="BC273">
        <f>COUNTIF(AS273:AW273,"&lt;&gt;0")</f>
        <v>0</v>
      </c>
      <c r="BD273">
        <f>COUNTIF(AM273:AR273,"&lt;&gt;0")</f>
        <v>0</v>
      </c>
      <c r="BE273" t="str">
        <f t="array" ref="BE273">IF(AY273=1,INDEX($V$7:$AL$7,MATCH(TRUE,INDEX($V273:$AW273&lt;&gt;0,),0)),IF(AY273=0,INDEX($AM$7:$AW$7,MATCH(1,$AM273:$AW273,0)),IF(BF273="Multiple strategies","mixed drivers",IF(BF273="Supply chain","multiple supply","multiple silviculture"))))</f>
        <v>technologies/design switch</v>
      </c>
      <c r="BF273" s="2" t="str" cm="1">
        <f t="array" ref="BF273">IF(COUNTIF(AZ273:BB273,"&lt;&gt;0")=1,INDEX($V$4:$AW$4,MATCH(TRUE,INDEX($V273:$AW273&lt;&gt;0,),0)),IF(COUNTIF(AZ273:BB273,"&lt;&gt;0")=0,INDEX($AM$4:$AW$4,MATCH(1,$AM273:$AW273,0)),"Multiple strategies"))</f>
        <v>Technology</v>
      </c>
      <c r="BG273" s="1" t="s">
        <v>229</v>
      </c>
      <c r="BH273" t="s">
        <v>1799</v>
      </c>
      <c r="BI273" s="260" t="s">
        <v>3350</v>
      </c>
      <c r="BJ273" s="260" t="s">
        <v>3347</v>
      </c>
      <c r="BK273">
        <v>0</v>
      </c>
      <c r="BL273">
        <v>32</v>
      </c>
      <c r="BM273"/>
      <c r="BN273">
        <f>BL273-BK273</f>
        <v>32</v>
      </c>
      <c r="BO273">
        <f>BN273*10^6*t_to_m3</f>
        <v>65306122.448979594</v>
      </c>
      <c r="BP273" t="s">
        <v>232</v>
      </c>
      <c r="BQ273" s="260" t="s">
        <v>3341</v>
      </c>
      <c r="BR273" t="s">
        <v>1300</v>
      </c>
      <c r="BS273"/>
      <c r="BT273"/>
      <c r="BU273" s="144" t="str">
        <f>IFERROR(BT273/BS273,"")</f>
        <v/>
      </c>
      <c r="BV273">
        <v>-11</v>
      </c>
      <c r="BW273"/>
      <c r="BX273">
        <f>BV273*10^6</f>
        <v>-11000000</v>
      </c>
      <c r="BY273">
        <f>IFERROR(BX273/BO273,"")</f>
        <v>-0.16843749999999999</v>
      </c>
      <c r="BZ273">
        <v>0</v>
      </c>
      <c r="CA273">
        <v>0</v>
      </c>
      <c r="CB273">
        <v>0</v>
      </c>
      <c r="CC273">
        <v>0</v>
      </c>
      <c r="CD273">
        <v>0</v>
      </c>
      <c r="CE273">
        <v>0</v>
      </c>
      <c r="CF273">
        <v>0</v>
      </c>
      <c r="CG273">
        <v>0</v>
      </c>
      <c r="CH273">
        <v>0</v>
      </c>
      <c r="CI273">
        <v>0</v>
      </c>
      <c r="CJ273">
        <v>0</v>
      </c>
      <c r="CK273">
        <v>0</v>
      </c>
      <c r="CL273">
        <v>0</v>
      </c>
      <c r="CM273">
        <v>0</v>
      </c>
      <c r="CN273" t="str">
        <f>IF(BL273&lt;BK273,"refNeedCorrection","refOK")</f>
        <v>refOK</v>
      </c>
      <c r="CO273">
        <f>IF($CN273="refOK",$BK273,$BL273)</f>
        <v>0</v>
      </c>
      <c r="CP273">
        <f>IF($CN273="refOK",$BL273,$BK273)</f>
        <v>32</v>
      </c>
      <c r="CQ273">
        <f>IF($CN273="refOK",$BO273,-$BO273)</f>
        <v>65306122.448979594</v>
      </c>
      <c r="CR273">
        <f>IF($CN273="refOK",$BS273,$BT273)*IF($BP273="Emissions positive",-1,1)</f>
        <v>0</v>
      </c>
      <c r="CS273">
        <f>IF($CN273="refOK",$BT273,$BS273)*IF($BP273="Emissions positive",-1,1)</f>
        <v>0</v>
      </c>
      <c r="CT273">
        <f>IF($CN273="refNeedCorrection",-BX273,BX273)*IF($BP273="Emissions positive",-1,1)</f>
        <v>-11000000</v>
      </c>
      <c r="CU273">
        <f>IFERROR(CT273/CQ273,"")</f>
        <v>-0.16843749999999999</v>
      </c>
      <c r="CV273" s="2" t="str">
        <f>IFERROR((CS273-CR273)/ABS(CR273),"")</f>
        <v/>
      </c>
      <c r="CW273" s="1" t="s">
        <v>1203</v>
      </c>
      <c r="CX273" t="str">
        <f>IF(OR($CW273="prd",$CW273="std",$CW273="cit"),"loc",IF(OR($CW273="eur",$CW273="reg",$CW273="coy"),"reg",$CW273))</f>
        <v>reg</v>
      </c>
      <c r="CY273" t="s">
        <v>961</v>
      </c>
      <c r="CZ273">
        <v>2005</v>
      </c>
      <c r="DA273">
        <v>2020</v>
      </c>
      <c r="DB273">
        <v>15</v>
      </c>
      <c r="DC273" t="str">
        <f>IF(DB273=0,"0",IF(AND(DB273&gt;=1,DB273&lt;=30),"1-30",IF(AND(DB273&gt;30,DB273&lt;=70),"31-70",IF(AND(DB273&gt;70,DB273&lt;=100),"71-100",IF(DB273&gt;100,"+100")))))</f>
        <v>1-30</v>
      </c>
      <c r="DD273">
        <v>0</v>
      </c>
      <c r="DE273">
        <v>1</v>
      </c>
      <c r="DF273">
        <v>0</v>
      </c>
      <c r="DG273">
        <v>0</v>
      </c>
      <c r="DH273"/>
      <c r="DI273">
        <f>SUM(DD273:DG273)</f>
        <v>1</v>
      </c>
      <c r="DJ273" t="str">
        <f>IF(DI273=1,INDEX($DD$7:$DG$7,MATCH(1,$DD273:$DG273,0)),"mixedProduct")</f>
        <v>EnergyInput</v>
      </c>
      <c r="DK273">
        <f>IF(DD273=1,DK$7,0)</f>
        <v>0</v>
      </c>
      <c r="DL273" t="str">
        <f>IF(DE273=1,DL$7,0)</f>
        <v>Energy</v>
      </c>
      <c r="DM273">
        <f>IF(DF273=1,DM$7,0)</f>
        <v>0</v>
      </c>
      <c r="DN273">
        <f>IF(DG273=1,DN$7,0)</f>
        <v>0</v>
      </c>
      <c r="DO273">
        <v>0</v>
      </c>
      <c r="DP273">
        <v>0</v>
      </c>
      <c r="DQ273">
        <v>0</v>
      </c>
      <c r="DR273">
        <v>0</v>
      </c>
      <c r="DS273">
        <v>0</v>
      </c>
      <c r="DT273">
        <f>SUM(DO273:DP273)</f>
        <v>0</v>
      </c>
      <c r="DU273" s="143" t="str">
        <f>IF(DO273=1,"self-calculated DF",IF(DP273=1,"external DF used","explicit C balance"))</f>
        <v>explicit C balance</v>
      </c>
      <c r="DV273">
        <v>0</v>
      </c>
      <c r="DW273">
        <v>1</v>
      </c>
      <c r="DX273">
        <v>1</v>
      </c>
      <c r="DY273">
        <v>0</v>
      </c>
      <c r="DZ273">
        <v>0</v>
      </c>
      <c r="EA273" s="143">
        <v>1</v>
      </c>
      <c r="EB273">
        <v>1</v>
      </c>
      <c r="EC273">
        <v>0</v>
      </c>
      <c r="ED273">
        <v>0</v>
      </c>
      <c r="EE273">
        <v>0</v>
      </c>
      <c r="EF273">
        <v>1</v>
      </c>
      <c r="EG273">
        <v>1</v>
      </c>
      <c r="EH273">
        <v>0</v>
      </c>
      <c r="EI273" s="2">
        <v>0</v>
      </c>
      <c r="EJ273" s="1"/>
      <c r="EK273" t="str">
        <f>IF(AND(AND(AND(OR($DX273=1,$DW273=1),OR($EC273=1,$EA273=1)),SUM($DV273:$DZ273,$EF273)&gt;=4),SUM($EA273:$EE273)&gt;=2),"Whole sector","")</f>
        <v/>
      </c>
      <c r="EL273" t="str">
        <f>IF(AND(AND(OR($DX273=1,$DW273=1),AND($EC273=0,$EA273=0)),SUM($DV273:$DZ273,$EF273)&gt;=4),"Ecosystem approach","")</f>
        <v/>
      </c>
      <c r="EM273" s="2" t="str">
        <f>IF(AND(AND(AND($DX273=0,$DW273=0),OR($EC273=1,$EA273=1)),SUM($EB273:$EE273)&gt;=2),"Technology approach","")</f>
        <v/>
      </c>
      <c r="EN273"/>
      <c r="EO273"/>
      <c r="EP273" t="str">
        <f>IF(ISNUMBER(BU273),IF(ABS(BU273-[4]QC_indicators!$B$2)&gt;3*[4]QC_indicators!$C$2,"C ratio",IF(ISNUMBER(BY273),IF(ABS(BY273-[4]QC_indicators!$B$1)&gt;3*[4]QC_indicators!$C$1,"DF","no"))),IF(ISNUMBER(BY273),IF(ABS(BY273-[4]QC_indicators!$B$1)&gt;3*[4]QC_indicators!$C$1,"DF","no")))</f>
        <v>no</v>
      </c>
      <c r="EQ273"/>
      <c r="ER273"/>
      <c r="ES273"/>
      <c r="ET273" s="264" t="s">
        <v>3273</v>
      </c>
      <c r="EU273"/>
    </row>
    <row r="274" spans="1:151" s="139" customFormat="1" ht="15" customHeight="1">
      <c r="A274" s="1" t="s">
        <v>265</v>
      </c>
      <c r="B274" t="s">
        <v>1531</v>
      </c>
      <c r="C274" t="s">
        <v>1532</v>
      </c>
      <c r="D274" t="s">
        <v>1533</v>
      </c>
      <c r="E274" t="s">
        <v>1534</v>
      </c>
      <c r="F274" t="s">
        <v>1535</v>
      </c>
      <c r="G274" t="s">
        <v>271</v>
      </c>
      <c r="H274" t="s">
        <v>254</v>
      </c>
      <c r="I274">
        <v>2019</v>
      </c>
      <c r="J274">
        <v>26</v>
      </c>
      <c r="K274" t="s">
        <v>1536</v>
      </c>
      <c r="L274"/>
      <c r="M274" t="str">
        <f>LEFT($D274,FIND(",",$D274)-1)&amp;"_"&amp;I274&amp;L274</f>
        <v>Faraca_2019</v>
      </c>
      <c r="N274" t="s">
        <v>222</v>
      </c>
      <c r="O274" s="145" t="s">
        <v>274</v>
      </c>
      <c r="P274"/>
      <c r="Q274" t="s">
        <v>256</v>
      </c>
      <c r="R274" s="262" t="s">
        <v>223</v>
      </c>
      <c r="S274" s="263" t="s">
        <v>3122</v>
      </c>
      <c r="T274" t="s">
        <v>1543</v>
      </c>
      <c r="U274" t="s">
        <v>1545</v>
      </c>
      <c r="V274">
        <v>0</v>
      </c>
      <c r="W274">
        <v>0</v>
      </c>
      <c r="X274">
        <v>0</v>
      </c>
      <c r="Y274">
        <v>0</v>
      </c>
      <c r="Z274">
        <v>0</v>
      </c>
      <c r="AA274">
        <v>0</v>
      </c>
      <c r="AB274">
        <v>0</v>
      </c>
      <c r="AC274">
        <v>0</v>
      </c>
      <c r="AD274">
        <v>0</v>
      </c>
      <c r="AE274">
        <v>0</v>
      </c>
      <c r="AF274">
        <v>0</v>
      </c>
      <c r="AG274">
        <v>0</v>
      </c>
      <c r="AH274">
        <v>0</v>
      </c>
      <c r="AI274">
        <v>1</v>
      </c>
      <c r="AJ274">
        <v>0</v>
      </c>
      <c r="AK274">
        <v>0</v>
      </c>
      <c r="AL274">
        <v>0</v>
      </c>
      <c r="AM274">
        <v>0</v>
      </c>
      <c r="AN274">
        <v>0</v>
      </c>
      <c r="AO274">
        <v>0</v>
      </c>
      <c r="AP274">
        <v>0</v>
      </c>
      <c r="AQ274">
        <v>0</v>
      </c>
      <c r="AR274">
        <v>0</v>
      </c>
      <c r="AS274">
        <v>0</v>
      </c>
      <c r="AT274">
        <v>0</v>
      </c>
      <c r="AU274">
        <v>0</v>
      </c>
      <c r="AV274">
        <v>0</v>
      </c>
      <c r="AW274">
        <v>0</v>
      </c>
      <c r="AX274" s="141">
        <f>COUNTIF(V274:AW274,"&lt;&gt;0")</f>
        <v>1</v>
      </c>
      <c r="AY274" s="141">
        <f>COUNTIF(V274:AL274,"&lt;&gt;0")</f>
        <v>1</v>
      </c>
      <c r="AZ274">
        <f>COUNTIF(V274:AC274,"&lt;&gt;0")</f>
        <v>0</v>
      </c>
      <c r="BA274">
        <f>COUNTIF(AD274:AI274,"&lt;&gt;0")</f>
        <v>1</v>
      </c>
      <c r="BB274">
        <f>COUNTIF(AJ274:AL274,"&lt;&gt;0")</f>
        <v>0</v>
      </c>
      <c r="BC274">
        <f>COUNTIF(AS274:AW274,"&lt;&gt;0")</f>
        <v>0</v>
      </c>
      <c r="BD274">
        <f>COUNTIF(AM274:AR274,"&lt;&gt;0")</f>
        <v>0</v>
      </c>
      <c r="BE274" t="str">
        <f t="array" ref="BE274">IF(AY274=1,INDEX($V$7:$AL$7,MATCH(TRUE,INDEX($V274:$AW274&lt;&gt;0,),0)),IF(AY274=0,INDEX($AM$7:$AW$7,MATCH(1,$AM274:$AW274,0)),IF(BF274="Multiple strategies","mixed drivers",IF(BF274="Supply chain","multiple supply","multiple silviculture"))))</f>
        <v>products lifespan</v>
      </c>
      <c r="BF274" s="2" t="str" cm="1">
        <f t="array" ref="BF274">IF(COUNTIF(AZ274:BB274,"&lt;&gt;0")=1,INDEX($V$4:$AW$4,MATCH(TRUE,INDEX($V274:$AW274&lt;&gt;0,),0)),IF(COUNTIF(AZ274:BB274,"&lt;&gt;0")=0,INDEX($AM$4:$AW$4,MATCH(1,$AM274:$AW274,0)),"Multiple strategies"))</f>
        <v>Supply chain</v>
      </c>
      <c r="BG274" s="1" t="s">
        <v>229</v>
      </c>
      <c r="BH274" t="s">
        <v>1548</v>
      </c>
      <c r="BI274" s="264" t="s">
        <v>3121</v>
      </c>
      <c r="BJ274" t="s">
        <v>345</v>
      </c>
      <c r="BK274">
        <v>478</v>
      </c>
      <c r="BL274">
        <v>922</v>
      </c>
      <c r="BM274">
        <f>BK274/BL274</f>
        <v>0.51843817787418656</v>
      </c>
      <c r="BN274">
        <f>BL274-BK274</f>
        <v>444</v>
      </c>
      <c r="BO274">
        <f>BN274*kg_to_m3</f>
        <v>0.90612244897959193</v>
      </c>
      <c r="BP274" t="s">
        <v>395</v>
      </c>
      <c r="BQ274" s="264" t="s">
        <v>426</v>
      </c>
      <c r="BR274" t="s">
        <v>728</v>
      </c>
      <c r="BS274">
        <v>-206.9</v>
      </c>
      <c r="BT274">
        <v>-55.2</v>
      </c>
      <c r="BU274" s="144"/>
      <c r="BV274">
        <f>BT274-BS274</f>
        <v>151.69999999999999</v>
      </c>
      <c r="BW274"/>
      <c r="BX274">
        <f>BV274/1000</f>
        <v>0.1517</v>
      </c>
      <c r="BY274">
        <f>IFERROR(BX274/BO274,"")</f>
        <v>0.16741666666666666</v>
      </c>
      <c r="BZ274">
        <v>0</v>
      </c>
      <c r="CA274">
        <v>0</v>
      </c>
      <c r="CB274">
        <v>0</v>
      </c>
      <c r="CC274">
        <v>0</v>
      </c>
      <c r="CD274">
        <v>0</v>
      </c>
      <c r="CE274">
        <v>0</v>
      </c>
      <c r="CF274">
        <v>0</v>
      </c>
      <c r="CG274">
        <v>0</v>
      </c>
      <c r="CH274">
        <v>0</v>
      </c>
      <c r="CI274">
        <v>0</v>
      </c>
      <c r="CJ274">
        <v>0</v>
      </c>
      <c r="CK274">
        <v>0</v>
      </c>
      <c r="CL274">
        <v>0</v>
      </c>
      <c r="CM274">
        <v>0</v>
      </c>
      <c r="CN274" t="str">
        <f>IF($BL274&lt;$BK274,"refNeedCorrection","refOK")</f>
        <v>refOK</v>
      </c>
      <c r="CO274">
        <f>IF($CN274="refNeedCorrection",BL274,BK274)</f>
        <v>478</v>
      </c>
      <c r="CP274">
        <f>IF($CN274="refNeedCorrection",BK274,BL274)</f>
        <v>922</v>
      </c>
      <c r="CQ274">
        <f>IF($CN274="refOK",$BO274,-$BO274)</f>
        <v>0.90612244897959193</v>
      </c>
      <c r="CR274">
        <f>IF($CN274="refOK",$BS274,$BT274)*IF($BP274="Emissions positive",-1,1)</f>
        <v>206.9</v>
      </c>
      <c r="CS274">
        <f>IF($CN274="refOK",$BT274,$BS274)*IF($BP274="Emissions positive",-1,1)</f>
        <v>55.2</v>
      </c>
      <c r="CT274">
        <f>IF($CN274="refNeedCorrection",-BX274,BX274)*IF($BP274="Emissions positive",-1,1)</f>
        <v>-0.1517</v>
      </c>
      <c r="CU274">
        <f>IFERROR(CT274/CQ274,"")</f>
        <v>-0.16741666666666666</v>
      </c>
      <c r="CV274" s="2">
        <f>IFERROR((CS274-CR274)/ABS(CR274),"")</f>
        <v>-0.73320444659255668</v>
      </c>
      <c r="CW274" s="1" t="s">
        <v>1199</v>
      </c>
      <c r="CX274" t="str">
        <f>IF(OR($CW274="prd",$CW274="std",$CW274="cit"),"loc",IF(OR($CW274="eur",$CW274="reg",$CW274="coy"),"reg",$CW274))</f>
        <v>reg</v>
      </c>
      <c r="CY274" t="s">
        <v>1540</v>
      </c>
      <c r="CZ274"/>
      <c r="DA274"/>
      <c r="DB274">
        <v>500</v>
      </c>
      <c r="DC274" t="str">
        <f>IF(DB274=0,"0",IF(AND(DB274&gt;=1,DB274&lt;=30),"1-30",IF(AND(DB274&gt;30,DB274&lt;=70),"31-70",IF(AND(DB274&gt;70,DB274&lt;=100),"71-100",IF(DB274&gt;100,"+100")))))</f>
        <v>+100</v>
      </c>
      <c r="DD274">
        <v>0</v>
      </c>
      <c r="DE274">
        <v>0</v>
      </c>
      <c r="DF274">
        <v>0</v>
      </c>
      <c r="DG274">
        <v>1</v>
      </c>
      <c r="DH274"/>
      <c r="DI274">
        <f>SUM(DD274:DG274)</f>
        <v>1</v>
      </c>
      <c r="DJ274" t="str">
        <f>IF(DI274=1,INDEX($DD$7:$DG$7,MATCH(1,$DD274:$DG274,0)),"mixedProduct")</f>
        <v>TimberInput</v>
      </c>
      <c r="DK274">
        <f>IF(DD274=1,DK$7,0)</f>
        <v>0</v>
      </c>
      <c r="DL274">
        <f>IF(DE274=1,DL$7,0)</f>
        <v>0</v>
      </c>
      <c r="DM274">
        <f>IF(DF274=1,DM$7,0)</f>
        <v>0</v>
      </c>
      <c r="DN274" t="str">
        <f>IF(DG274=1,DN$7,0)</f>
        <v>Timber</v>
      </c>
      <c r="DO274">
        <v>0</v>
      </c>
      <c r="DP274">
        <v>1</v>
      </c>
      <c r="DQ274">
        <v>0</v>
      </c>
      <c r="DR274">
        <v>0</v>
      </c>
      <c r="DS274" t="s">
        <v>1541</v>
      </c>
      <c r="DT274">
        <f>SUM(DO274:DP274)</f>
        <v>1</v>
      </c>
      <c r="DU274" s="143" t="str">
        <f>IF(DO274=1,"self-calculated DF",IF(DP274=1,"external DF used","explicit C balance"))</f>
        <v>external DF used</v>
      </c>
      <c r="DV274">
        <v>0</v>
      </c>
      <c r="DW274">
        <v>0</v>
      </c>
      <c r="DX274">
        <v>0</v>
      </c>
      <c r="DY274">
        <v>0</v>
      </c>
      <c r="DZ274">
        <v>1</v>
      </c>
      <c r="EA274" s="143">
        <v>1</v>
      </c>
      <c r="EB274">
        <v>0</v>
      </c>
      <c r="EC274">
        <v>1</v>
      </c>
      <c r="ED274">
        <v>0</v>
      </c>
      <c r="EE274">
        <v>1</v>
      </c>
      <c r="EF274">
        <v>1</v>
      </c>
      <c r="EG274">
        <v>1</v>
      </c>
      <c r="EH274">
        <v>0</v>
      </c>
      <c r="EI274" s="2">
        <v>0</v>
      </c>
      <c r="EJ274" s="1"/>
      <c r="EK274" t="str">
        <f>IF(AND(AND(AND(OR($DX274=1,$DW274=1),OR($EC274=1,$EA274=1)),SUM($DV274:$DZ274,$EF274)&gt;=4),SUM($EA274:$EE274)&gt;=2),"Whole sector","")</f>
        <v/>
      </c>
      <c r="EL274" t="str">
        <f>IF(AND(AND(OR($DX274=1,$DW274=1),AND($EC274=0,$EA274=0)),SUM($DV274:$DZ274,$EF274)&gt;=4),"Ecosystem approach","")</f>
        <v/>
      </c>
      <c r="EM274" s="2" t="str">
        <f>IF(AND(AND(AND($DX274=0,$DW274=0),OR($EC274=1,$EA274=1)),SUM($EB274:$EE274)&gt;=2),"Technology approach","")</f>
        <v>Technology approach</v>
      </c>
      <c r="EN274"/>
      <c r="EO274"/>
      <c r="EP274" t="str">
        <f>IF(ISNUMBER(BU274),IF(ABS(BU274-[1]QC_indicators!$B$2)&gt;3*[1]QC_indicators!$C$2,"C ratio",IF(ISNUMBER(BY274),IF(ABS(BY274-[1]QC_indicators!$B$1)&gt;3*[1]QC_indicators!$C$1,"DF","no"))),IF(ISNUMBER(BY274),IF(ABS(BY274-[1]QC_indicators!$B$1)&gt;3*[1]QC_indicators!$C$1,"DF","no")))</f>
        <v>no</v>
      </c>
      <c r="EQ274"/>
      <c r="ER274"/>
      <c r="ES274"/>
      <c r="ET274" s="264" t="s">
        <v>3273</v>
      </c>
      <c r="EU274"/>
    </row>
    <row r="275" spans="1:151" s="139" customFormat="1" ht="15" customHeight="1">
      <c r="A275" s="1" t="s">
        <v>265</v>
      </c>
      <c r="B275" t="s">
        <v>266</v>
      </c>
      <c r="C275" t="s">
        <v>267</v>
      </c>
      <c r="D275" t="s">
        <v>268</v>
      </c>
      <c r="E275" t="s">
        <v>269</v>
      </c>
      <c r="F275" t="s">
        <v>270</v>
      </c>
      <c r="G275" t="s">
        <v>271</v>
      </c>
      <c r="H275" t="s">
        <v>254</v>
      </c>
      <c r="I275">
        <v>2022</v>
      </c>
      <c r="J275">
        <v>0</v>
      </c>
      <c r="K275" t="s">
        <v>272</v>
      </c>
      <c r="L275"/>
      <c r="M275" t="str">
        <f>LEFT($D275,FIND(",",$D275)-1)&amp;"_"&amp;I275&amp;L275</f>
        <v>Aryapratama_2022</v>
      </c>
      <c r="N275" t="s">
        <v>222</v>
      </c>
      <c r="O275" s="145" t="s">
        <v>274</v>
      </c>
      <c r="P275"/>
      <c r="Q275" t="s">
        <v>224</v>
      </c>
      <c r="R275" s="262" t="s">
        <v>223</v>
      </c>
      <c r="S275" s="263" t="s">
        <v>3105</v>
      </c>
      <c r="T275" t="s">
        <v>297</v>
      </c>
      <c r="U275" t="s">
        <v>298</v>
      </c>
      <c r="V275">
        <v>0</v>
      </c>
      <c r="W275">
        <v>0</v>
      </c>
      <c r="X275">
        <v>0</v>
      </c>
      <c r="Y275">
        <v>0</v>
      </c>
      <c r="Z275">
        <v>0</v>
      </c>
      <c r="AA275">
        <v>0</v>
      </c>
      <c r="AB275">
        <v>0</v>
      </c>
      <c r="AC275">
        <v>0</v>
      </c>
      <c r="AD275">
        <v>0</v>
      </c>
      <c r="AE275">
        <v>0</v>
      </c>
      <c r="AF275">
        <v>0</v>
      </c>
      <c r="AG275">
        <v>0</v>
      </c>
      <c r="AH275">
        <v>0</v>
      </c>
      <c r="AI275">
        <v>0</v>
      </c>
      <c r="AJ275">
        <v>0</v>
      </c>
      <c r="AK275">
        <v>1</v>
      </c>
      <c r="AL275">
        <v>0</v>
      </c>
      <c r="AM275">
        <v>0</v>
      </c>
      <c r="AN275">
        <v>0</v>
      </c>
      <c r="AO275">
        <v>0</v>
      </c>
      <c r="AP275">
        <v>0</v>
      </c>
      <c r="AQ275">
        <v>0</v>
      </c>
      <c r="AR275">
        <v>0</v>
      </c>
      <c r="AS275">
        <v>0</v>
      </c>
      <c r="AT275">
        <v>0</v>
      </c>
      <c r="AU275">
        <v>0</v>
      </c>
      <c r="AV275">
        <v>0</v>
      </c>
      <c r="AW275">
        <v>0</v>
      </c>
      <c r="AX275" s="141">
        <f>COUNTIF(V275:AW275,"&lt;&gt;0")</f>
        <v>1</v>
      </c>
      <c r="AY275" s="141">
        <f>COUNTIF(V275:AL275,"&lt;&gt;0")</f>
        <v>1</v>
      </c>
      <c r="AZ275">
        <f>COUNTIF(V275:AC275,"&lt;&gt;0")</f>
        <v>0</v>
      </c>
      <c r="BA275">
        <f>COUNTIF(AD275:AI275,"&lt;&gt;0")</f>
        <v>0</v>
      </c>
      <c r="BB275">
        <f>COUNTIF(AJ275:AL275,"&lt;&gt;0")</f>
        <v>1</v>
      </c>
      <c r="BC275">
        <f>COUNTIF(AS275:AW275,"&lt;&gt;0")</f>
        <v>0</v>
      </c>
      <c r="BD275">
        <f>COUNTIF(AM275:AR275,"&lt;&gt;0")</f>
        <v>0</v>
      </c>
      <c r="BE275" t="str">
        <f t="array" ref="BE275">IF(AY275=1,INDEX($V$7:$AL$7,MATCH(TRUE,INDEX($V275:$AW275&lt;&gt;0,),0)),IF(AY275=0,INDEX($AM$7:$AW$7,MATCH(1,$AM275:$AW275,0)),IF(BF275="Multiple strategies","mixed drivers",IF(BF275="Supply chain","multiple supply","multiple silviculture"))))</f>
        <v>technologies/design switch</v>
      </c>
      <c r="BF275" s="2" t="str" cm="1">
        <f t="array" ref="BF275">IF(COUNTIF(AZ275:BB275,"&lt;&gt;0")=1,INDEX($V$4:$AW$4,MATCH(TRUE,INDEX($V275:$AW275&lt;&gt;0,),0)),IF(COUNTIF(AZ275:BB275,"&lt;&gt;0")=0,INDEX($AM$4:$AW$4,MATCH(1,$AM275:$AW275,0)),"Multiple strategies"))</f>
        <v>Technology</v>
      </c>
      <c r="BG275" s="1" t="s">
        <v>229</v>
      </c>
      <c r="BH275" t="s">
        <v>277</v>
      </c>
      <c r="BI275" s="264" t="s">
        <v>3106</v>
      </c>
      <c r="BJ275" t="s">
        <v>278</v>
      </c>
      <c r="BK275">
        <v>0</v>
      </c>
      <c r="BL275">
        <v>135.57962264150939</v>
      </c>
      <c r="BM275"/>
      <c r="BN275">
        <f>BL275-BK275</f>
        <v>135.57962264150939</v>
      </c>
      <c r="BO275">
        <f>BN275*tC_to_m3</f>
        <v>588.70873921628049</v>
      </c>
      <c r="BP275" t="s">
        <v>232</v>
      </c>
      <c r="BQ275" s="337" t="s">
        <v>3107</v>
      </c>
      <c r="BR275" t="s">
        <v>279</v>
      </c>
      <c r="BS275">
        <v>-360.60902005912311</v>
      </c>
      <c r="BT275">
        <v>-458.81565081209919</v>
      </c>
      <c r="BU275" s="144">
        <f>IFERROR(BT275/BS275,"")</f>
        <v>1.2723354805070455</v>
      </c>
      <c r="BV275">
        <f>BT275-BS275</f>
        <v>-98.206630752976082</v>
      </c>
      <c r="BW275"/>
      <c r="BX275">
        <f>BV275</f>
        <v>-98.206630752976082</v>
      </c>
      <c r="BY275">
        <f>IFERROR(BX275/BO275,"")</f>
        <v>-0.16681700849848743</v>
      </c>
      <c r="BZ275">
        <v>0</v>
      </c>
      <c r="CA275">
        <v>0</v>
      </c>
      <c r="CB275">
        <v>0</v>
      </c>
      <c r="CC275">
        <v>0</v>
      </c>
      <c r="CD275">
        <v>0</v>
      </c>
      <c r="CE275">
        <v>0</v>
      </c>
      <c r="CF275">
        <v>0</v>
      </c>
      <c r="CG275">
        <v>0</v>
      </c>
      <c r="CH275">
        <v>0</v>
      </c>
      <c r="CI275">
        <v>0</v>
      </c>
      <c r="CJ275">
        <v>0</v>
      </c>
      <c r="CK275">
        <v>0</v>
      </c>
      <c r="CL275">
        <v>0</v>
      </c>
      <c r="CM275">
        <v>0</v>
      </c>
      <c r="CN275" t="str">
        <f>IF($BL275&lt;$BK275,"refNeedCorrection","refOK")</f>
        <v>refOK</v>
      </c>
      <c r="CO275">
        <f>IF($CN275="refOK",$BK275,$BL275)</f>
        <v>0</v>
      </c>
      <c r="CP275">
        <f>IF($CN275="refOK",$BL275,$BK275)</f>
        <v>135.57962264150939</v>
      </c>
      <c r="CQ275">
        <f>IF($CN275="refOK",$BO275,-$BO275)</f>
        <v>588.70873921628049</v>
      </c>
      <c r="CR275">
        <f>IF($CN275="refOK",$BS275,$BT275)*IF($BP275="Emissions positive",-1,1)</f>
        <v>-360.60902005912311</v>
      </c>
      <c r="CS275">
        <f>IF($CN275="refOK",$BT275,$BS275)*IF($BP275="Emissions positive",-1,1)</f>
        <v>-458.81565081209919</v>
      </c>
      <c r="CT275">
        <f>IF($CN275="refNeedCorrection",-BX275,BX275)*IF($BP275="Emissions positive",-1,1)</f>
        <v>-98.206630752976082</v>
      </c>
      <c r="CU275">
        <f>IFERROR(CT275/CQ275,"")</f>
        <v>-0.16681700849848743</v>
      </c>
      <c r="CV275" s="2">
        <f>IFERROR((CS275-CR275)/ABS(CR275),"")</f>
        <v>-0.27233548050704542</v>
      </c>
      <c r="CW275" s="1" t="s">
        <v>234</v>
      </c>
      <c r="CX275" t="str">
        <f>IF(OR($CW275="prd",$CW275="std",$CW275="cit"),"loc",IF(OR($CW275="eur",$CW275="reg",$CW275="coy"),"reg",$CW275))</f>
        <v>loc</v>
      </c>
      <c r="CY275" t="s">
        <v>280</v>
      </c>
      <c r="CZ275"/>
      <c r="DA275"/>
      <c r="DB275">
        <v>50</v>
      </c>
      <c r="DC275" t="str">
        <f>IF(DB275=0,"0",IF(AND(DB275&gt;=1,DB275&lt;=30),"1-30",IF(AND(DB275&gt;30,DB275&lt;=70),"31-70",IF(AND(DB275&gt;70,DB275&lt;=100),"71-100",IF(DB275&gt;100,"+100")))))</f>
        <v>31-70</v>
      </c>
      <c r="DD275">
        <v>0</v>
      </c>
      <c r="DE275">
        <v>0</v>
      </c>
      <c r="DF275">
        <v>0</v>
      </c>
      <c r="DG275">
        <v>1</v>
      </c>
      <c r="DH275"/>
      <c r="DI275">
        <f>SUM(DD275:DG275)</f>
        <v>1</v>
      </c>
      <c r="DJ275" t="str">
        <f>IF(DI275=1,INDEX($DD$7:$DG$7,MATCH(1,$DD275:$DG275,0)),"mixedProduct")</f>
        <v>TimberInput</v>
      </c>
      <c r="DK275">
        <f>IF(DD275=1,DK$7,0)</f>
        <v>0</v>
      </c>
      <c r="DL275">
        <f>IF(DE275=1,DL$7,0)</f>
        <v>0</v>
      </c>
      <c r="DM275">
        <f>IF(DF275=1,DM$7,0)</f>
        <v>0</v>
      </c>
      <c r="DN275" t="str">
        <f>IF(DG275=1,DN$7,0)</f>
        <v>Timber</v>
      </c>
      <c r="DO275">
        <v>0</v>
      </c>
      <c r="DP275">
        <v>1</v>
      </c>
      <c r="DQ275">
        <v>0</v>
      </c>
      <c r="DR275" t="s">
        <v>281</v>
      </c>
      <c r="DS275">
        <v>0</v>
      </c>
      <c r="DT275">
        <f>SUM(DO275:DP275)</f>
        <v>1</v>
      </c>
      <c r="DU275" s="143" t="str">
        <f>IF(DO275=1,"self-calculated DF",IF(DP275=1,"external DF used","explicit C balance"))</f>
        <v>external DF used</v>
      </c>
      <c r="DV275">
        <v>0</v>
      </c>
      <c r="DW275">
        <v>1</v>
      </c>
      <c r="DX275">
        <v>1</v>
      </c>
      <c r="DY275">
        <v>1</v>
      </c>
      <c r="DZ275">
        <v>1</v>
      </c>
      <c r="EA275" s="143">
        <v>0</v>
      </c>
      <c r="EB275">
        <v>1</v>
      </c>
      <c r="EC275">
        <v>1</v>
      </c>
      <c r="ED275">
        <v>0</v>
      </c>
      <c r="EE275">
        <v>1</v>
      </c>
      <c r="EF275">
        <v>1</v>
      </c>
      <c r="EG275">
        <v>1</v>
      </c>
      <c r="EH275">
        <v>0</v>
      </c>
      <c r="EI275" s="2">
        <v>0</v>
      </c>
      <c r="EJ275" s="1"/>
      <c r="EK275" t="str">
        <f>IF(AND(AND(AND(OR($DX275=1,$DW275=1),OR($EC275=1,$EA275=1)),SUM($DV275:$DZ275,$EF275)&gt;=4),SUM($EA275:$EE275)&gt;=2),"Whole sector","")</f>
        <v>Whole sector</v>
      </c>
      <c r="EL275" t="str">
        <f>IF(AND(AND(OR($DX275=1,$DW275=1),AND($EC275=0,$EA275=0)),SUM($DV275:$DZ275,$EF275)&gt;=4),"Ecosystem approach","")</f>
        <v/>
      </c>
      <c r="EM275" s="2" t="str">
        <f>IF(AND(AND(AND($DX275=0,$DW275=0),OR($EC275=1,$EA275=1)),SUM($EB275:$EE275)&gt;=2),"Technology approach","")</f>
        <v/>
      </c>
      <c r="EN275"/>
      <c r="EO275"/>
      <c r="EP275" t="str">
        <f>IF(ISNUMBER(BU275),IF(ABS(BU275-[1]QC_indicators!$B$2)&gt;3*[1]QC_indicators!$C$2,"C ratio",IF(ISNUMBER(BY275),IF(ABS(BY275-[1]QC_indicators!$B$1)&gt;3*[1]QC_indicators!$C$1,"DF","no"))),IF(ISNUMBER(BY275),IF(ABS(BY275-[1]QC_indicators!$B$1)&gt;3*[1]QC_indicators!$C$1,"DF","no")))</f>
        <v>no</v>
      </c>
      <c r="EQ275" t="s">
        <v>286</v>
      </c>
      <c r="ER275"/>
      <c r="ES275"/>
      <c r="ET275" s="264" t="s">
        <v>3273</v>
      </c>
      <c r="EU275"/>
    </row>
    <row r="276" spans="1:151" s="139" customFormat="1" ht="15" customHeight="1">
      <c r="A276" s="1" t="s">
        <v>1972</v>
      </c>
      <c r="B276" t="s">
        <v>1973</v>
      </c>
      <c r="C276" t="s">
        <v>1974</v>
      </c>
      <c r="D276" t="s">
        <v>1975</v>
      </c>
      <c r="E276" t="s">
        <v>1976</v>
      </c>
      <c r="F276" t="s">
        <v>1977</v>
      </c>
      <c r="G276" t="s">
        <v>1978</v>
      </c>
      <c r="H276" t="s">
        <v>254</v>
      </c>
      <c r="I276">
        <v>2018</v>
      </c>
      <c r="J276">
        <v>21</v>
      </c>
      <c r="K276" t="s">
        <v>1979</v>
      </c>
      <c r="L276"/>
      <c r="M276" t="str">
        <f>LEFT($D276,FIND(",",$D276)-1)&amp;"_"&amp;I276&amp;L276</f>
        <v>Nabuurs_2018</v>
      </c>
      <c r="N276" t="s">
        <v>222</v>
      </c>
      <c r="O276" s="157" t="s">
        <v>274</v>
      </c>
      <c r="P276" t="s">
        <v>960</v>
      </c>
      <c r="Q276" t="s">
        <v>389</v>
      </c>
      <c r="R276" s="255" t="s">
        <v>225</v>
      </c>
      <c r="S276" s="1" t="s">
        <v>1980</v>
      </c>
      <c r="T276" s="152" t="s">
        <v>1981</v>
      </c>
      <c r="U276" t="s">
        <v>1986</v>
      </c>
      <c r="V276">
        <v>0</v>
      </c>
      <c r="W276">
        <v>0</v>
      </c>
      <c r="X276">
        <v>0</v>
      </c>
      <c r="Y276">
        <v>1</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s="141">
        <f>COUNTIF(V276:AW276,"&lt;&gt;0")</f>
        <v>1</v>
      </c>
      <c r="AY276" s="141">
        <f>COUNTIF(V276:AL276,"&lt;&gt;0")</f>
        <v>1</v>
      </c>
      <c r="AZ276">
        <f>COUNTIF(V276:AC276,"&lt;&gt;0")</f>
        <v>1</v>
      </c>
      <c r="BA276">
        <f>COUNTIF(AD276:AI276,"&lt;&gt;0")</f>
        <v>0</v>
      </c>
      <c r="BB276">
        <f>COUNTIF(AJ276:AL276,"&lt;&gt;0")</f>
        <v>0</v>
      </c>
      <c r="BC276">
        <f>COUNTIF(AS276:AW276,"&lt;&gt;0")</f>
        <v>0</v>
      </c>
      <c r="BD276">
        <f>COUNTIF(AM276:AR276,"&lt;&gt;0")</f>
        <v>0</v>
      </c>
      <c r="BE276" t="str">
        <f t="array" ref="BE276">IF(AY276=1,INDEX($V$7:$AL$7,MATCH(TRUE,INDEX($V276:$AW276&lt;&gt;0,),0)),IF(AY276=0,INDEX($AM$7:$AW$7,MATCH(1,$AM276:$AW276,0)),IF(BF276="Multiple strategies","mixed drivers",IF(BF276="Supply chain","multiple supply","multiple silviculture"))))</f>
        <v xml:space="preserve">cutting intensity </v>
      </c>
      <c r="BF276" s="2" t="str" cm="1">
        <f t="array" ref="BF276">IF(COUNTIF(AZ276:BB276,"&lt;&gt;0")=1,INDEX($V$4:$AW$4,MATCH(TRUE,INDEX($V276:$AW276&lt;&gt;0,),0)),IF(COUNTIF(AZ276:BB276,"&lt;&gt;0")=0,INDEX($AM$4:$AW$4,MATCH(1,$AM276:$AW276,0)),"Multiple strategies"))</f>
        <v>Silviculture for removals</v>
      </c>
      <c r="BG276" s="1" t="s">
        <v>321</v>
      </c>
      <c r="BH276" t="s">
        <v>1983</v>
      </c>
      <c r="BI276" s="260" t="s">
        <v>3385</v>
      </c>
      <c r="BJ276" t="s">
        <v>1984</v>
      </c>
      <c r="BK276" s="152">
        <v>4190644782.1222701</v>
      </c>
      <c r="BL276" s="152">
        <v>4426139662.6683397</v>
      </c>
      <c r="BM276">
        <v>1.0561953810904507</v>
      </c>
      <c r="BN276">
        <f>BL276-BK276</f>
        <v>235494880.54606962</v>
      </c>
      <c r="BO276">
        <f>BN276</f>
        <v>235494880.54606962</v>
      </c>
      <c r="BP276" t="s">
        <v>395</v>
      </c>
      <c r="BQ276" s="260" t="s">
        <v>3386</v>
      </c>
      <c r="BR276" t="s">
        <v>1985</v>
      </c>
      <c r="BS276" s="289">
        <f>-373.8*1000000</f>
        <v>-373800000</v>
      </c>
      <c r="BT276" s="289">
        <f>-361.11*1000000</f>
        <v>-361110000</v>
      </c>
      <c r="BU276" s="144">
        <v>0.90757039082667901</v>
      </c>
      <c r="BV276" s="152">
        <v>37928240.61401701</v>
      </c>
      <c r="BW276"/>
      <c r="BX276" s="152">
        <f>BV276</f>
        <v>37928240.61401701</v>
      </c>
      <c r="BY276">
        <f>IFERROR(BX276/BO276,"")</f>
        <v>0.16105760144793105</v>
      </c>
      <c r="BZ276">
        <v>0</v>
      </c>
      <c r="CA276">
        <v>0</v>
      </c>
      <c r="CB276">
        <v>0</v>
      </c>
      <c r="CC276">
        <v>0</v>
      </c>
      <c r="CD276">
        <v>0</v>
      </c>
      <c r="CE276">
        <v>0</v>
      </c>
      <c r="CF276">
        <v>0</v>
      </c>
      <c r="CG276">
        <v>0</v>
      </c>
      <c r="CH276">
        <v>0</v>
      </c>
      <c r="CI276">
        <v>0</v>
      </c>
      <c r="CJ276">
        <v>0</v>
      </c>
      <c r="CK276">
        <v>0</v>
      </c>
      <c r="CL276">
        <v>0</v>
      </c>
      <c r="CM276">
        <v>0</v>
      </c>
      <c r="CN276" t="str">
        <f>IF($BL276&lt;$BK276,"refNeedCorrection","refOK")</f>
        <v>refOK</v>
      </c>
      <c r="CO276">
        <f>IF($CN276="refOK",$BK276,$BL276)</f>
        <v>4190644782.1222701</v>
      </c>
      <c r="CP276">
        <f>IF($CN276="refOK",$BL276,$BK276)</f>
        <v>4426139662.6683397</v>
      </c>
      <c r="CQ276">
        <f>IF($CN276="refOK",$BO276,-$BO276)</f>
        <v>235494880.54606962</v>
      </c>
      <c r="CR276">
        <f>IF($CN276="refOK",$BS276,$BT276)*IF($BP276="Emissions positive",-1,1)</f>
        <v>373800000</v>
      </c>
      <c r="CS276">
        <f>IF($CN276="refOK",$BT276,$BS276)*IF($BP276="Emissions positive",-1,1)</f>
        <v>361110000</v>
      </c>
      <c r="CT276">
        <f>IF($CN276="refNeedCorrection",-BX276,BX276)*IF($BP276="Emissions positive",-1,1)</f>
        <v>-37928240.61401701</v>
      </c>
      <c r="CU276">
        <f>IFERROR(CT276/CQ276,"")</f>
        <v>-0.16105760144793105</v>
      </c>
      <c r="CV276" s="2">
        <f>IFERROR((CS276-CR276)/ABS(CR276),"")</f>
        <v>-3.394863563402889E-2</v>
      </c>
      <c r="CW276" s="1" t="s">
        <v>1231</v>
      </c>
      <c r="CX276" t="str">
        <f>IF(OR($CW276="prd",$CW276="std",$CW276="cit"),"loc",IF(OR($CW276="eur",$CW276="reg",$CW276="coy"),"reg",$CW276))</f>
        <v>reg</v>
      </c>
      <c r="CY276" t="s">
        <v>743</v>
      </c>
      <c r="CZ276">
        <v>2015</v>
      </c>
      <c r="DA276">
        <v>2025</v>
      </c>
      <c r="DB276">
        <v>0</v>
      </c>
      <c r="DC276" t="str">
        <f>IF(DB276=0,"0",IF(AND(DB276&gt;=1,DB276&lt;=30),"1-30",IF(AND(DB276&gt;30,DB276&lt;=70),"31-70",IF(AND(DB276&gt;70,DB276&lt;=100),"71-100",IF(DB276&gt;100,"+100")))))</f>
        <v>0</v>
      </c>
      <c r="DD276">
        <v>1</v>
      </c>
      <c r="DE276">
        <v>0</v>
      </c>
      <c r="DF276">
        <v>0</v>
      </c>
      <c r="DG276">
        <v>0</v>
      </c>
      <c r="DH276"/>
      <c r="DI276">
        <v>1</v>
      </c>
      <c r="DJ276" t="str">
        <f>IF(DI276=1,INDEX($DD$7:$DG$7,MATCH(1,$DD276:$DG276,0)),"mixedProduct")</f>
        <v>UpstreamInput</v>
      </c>
      <c r="DK276" t="str">
        <f>IF(DD276=1,DK$7,0)</f>
        <v>Upstream</v>
      </c>
      <c r="DL276">
        <f>IF(DE276=1,DL$7,0)</f>
        <v>0</v>
      </c>
      <c r="DM276">
        <f>IF(DF276=1,DM$7,0)</f>
        <v>0</v>
      </c>
      <c r="DN276">
        <f>IF(DG276=1,DN$7,0)</f>
        <v>0</v>
      </c>
      <c r="DO276">
        <v>0</v>
      </c>
      <c r="DP276">
        <v>0</v>
      </c>
      <c r="DQ276">
        <v>0</v>
      </c>
      <c r="DR276">
        <v>0</v>
      </c>
      <c r="DS276">
        <v>0</v>
      </c>
      <c r="DT276">
        <f>SUM(DO276:DP276)</f>
        <v>0</v>
      </c>
      <c r="DU276" s="143" t="s">
        <v>962</v>
      </c>
      <c r="DV276">
        <v>0</v>
      </c>
      <c r="DW276">
        <v>0</v>
      </c>
      <c r="DX276">
        <v>0</v>
      </c>
      <c r="DY276">
        <v>0</v>
      </c>
      <c r="DZ276">
        <v>0</v>
      </c>
      <c r="EA276" s="143">
        <v>0</v>
      </c>
      <c r="EB276">
        <v>1</v>
      </c>
      <c r="EC276">
        <v>0</v>
      </c>
      <c r="ED276">
        <v>0</v>
      </c>
      <c r="EE276">
        <v>0</v>
      </c>
      <c r="EF276">
        <v>0</v>
      </c>
      <c r="EG276">
        <v>0</v>
      </c>
      <c r="EH276">
        <v>0</v>
      </c>
      <c r="EI276" s="2">
        <v>0</v>
      </c>
      <c r="EJ276" s="1"/>
      <c r="EK276" t="str">
        <f>IF(AND(AND(AND(OR($DX276=1,$DW276=1),OR($EC276=1,$EA276=1)),SUM($DV276:$DZ276,$EF276)&gt;=4),SUM($EA276:$EE276)&gt;=2),"Whole sector","")</f>
        <v/>
      </c>
      <c r="EL276" t="str">
        <f>IF(AND(AND(OR($DX276=1,$DW276=1),AND($EC276=0,$EA276=0)),SUM($DV276:$DZ276,$EF276)&gt;=4),"Ecosystem approach","")</f>
        <v/>
      </c>
      <c r="EM276" s="2" t="str">
        <f>IF(AND(AND(AND($DX276=0,$DW276=0),OR($EC276=1,$EA276=1)),SUM($EB276:$EE276)&gt;=2),"Technology approach","")</f>
        <v/>
      </c>
      <c r="EN276"/>
      <c r="EO276"/>
      <c r="EP276" t="str">
        <f>IF(ISNUMBER(BU276),IF(ABS(BU276-[4]QC_indicators!$B$2)&gt;3*[4]QC_indicators!$C$2,"C ratio",IF(ISNUMBER(BY276),IF(ABS(BY276-[4]QC_indicators!$B$1)&gt;3*[4]QC_indicators!$C$1,"DF","no"))),IF(ISNUMBER(BY276),IF(ABS(BY276-[4]QC_indicators!$B$1)&gt;3*[4]QC_indicators!$C$1,"DF","no")))</f>
        <v>no</v>
      </c>
      <c r="EQ276"/>
      <c r="ER276"/>
      <c r="ES276"/>
      <c r="ET276" s="264" t="s">
        <v>3273</v>
      </c>
      <c r="EU276"/>
    </row>
    <row r="277" spans="1:151" s="139" customFormat="1" ht="15" customHeight="1">
      <c r="A277" s="1" t="s">
        <v>656</v>
      </c>
      <c r="B277" t="s">
        <v>657</v>
      </c>
      <c r="C277" t="s">
        <v>658</v>
      </c>
      <c r="D277" t="s">
        <v>659</v>
      </c>
      <c r="E277" t="s">
        <v>660</v>
      </c>
      <c r="F277" t="s">
        <v>661</v>
      </c>
      <c r="G277" t="s">
        <v>662</v>
      </c>
      <c r="H277" t="s">
        <v>254</v>
      </c>
      <c r="I277">
        <v>2021</v>
      </c>
      <c r="J277">
        <v>1</v>
      </c>
      <c r="K277" t="s">
        <v>663</v>
      </c>
      <c r="L277"/>
      <c r="M277" t="str">
        <f>LEFT($D277,FIND(",",$D277)-1)&amp;"_"&amp;I277&amp;L277</f>
        <v>Dolezal_2021</v>
      </c>
      <c r="N277" t="s">
        <v>222</v>
      </c>
      <c r="O277" s="145" t="s">
        <v>274</v>
      </c>
      <c r="P277"/>
      <c r="Q277" t="s">
        <v>256</v>
      </c>
      <c r="R277" s="255" t="s">
        <v>225</v>
      </c>
      <c r="S277" s="1" t="s">
        <v>664</v>
      </c>
      <c r="T277" t="s">
        <v>665</v>
      </c>
      <c r="U277" t="s">
        <v>182</v>
      </c>
      <c r="V277">
        <v>0</v>
      </c>
      <c r="W277">
        <v>0</v>
      </c>
      <c r="X277">
        <v>0</v>
      </c>
      <c r="Y277">
        <v>0</v>
      </c>
      <c r="Z277">
        <v>0</v>
      </c>
      <c r="AA277">
        <v>0</v>
      </c>
      <c r="AB277">
        <v>0</v>
      </c>
      <c r="AC277">
        <v>0</v>
      </c>
      <c r="AD277">
        <v>0</v>
      </c>
      <c r="AE277">
        <v>0</v>
      </c>
      <c r="AF277">
        <v>0</v>
      </c>
      <c r="AG277">
        <v>0</v>
      </c>
      <c r="AH277">
        <v>0</v>
      </c>
      <c r="AI277">
        <v>0</v>
      </c>
      <c r="AJ277">
        <v>0</v>
      </c>
      <c r="AK277">
        <v>1</v>
      </c>
      <c r="AL277">
        <v>0</v>
      </c>
      <c r="AM277">
        <v>0</v>
      </c>
      <c r="AN277">
        <v>0</v>
      </c>
      <c r="AO277">
        <v>0</v>
      </c>
      <c r="AP277">
        <v>0</v>
      </c>
      <c r="AQ277">
        <v>0</v>
      </c>
      <c r="AR277">
        <v>0</v>
      </c>
      <c r="AS277">
        <v>0</v>
      </c>
      <c r="AT277">
        <v>0</v>
      </c>
      <c r="AU277">
        <v>0</v>
      </c>
      <c r="AV277">
        <v>0</v>
      </c>
      <c r="AW277">
        <v>0</v>
      </c>
      <c r="AX277" s="141">
        <f>COUNTIF(V277:AW277,"&lt;&gt;0")</f>
        <v>1</v>
      </c>
      <c r="AY277" s="141">
        <f>COUNTIF(V277:AL277,"&lt;&gt;0")</f>
        <v>1</v>
      </c>
      <c r="AZ277">
        <f>COUNTIF(V277:AC277,"&lt;&gt;0")</f>
        <v>0</v>
      </c>
      <c r="BA277">
        <f>COUNTIF(AD277:AI277,"&lt;&gt;0")</f>
        <v>0</v>
      </c>
      <c r="BB277">
        <f>COUNTIF(AJ277:AL277,"&lt;&gt;0")</f>
        <v>1</v>
      </c>
      <c r="BC277">
        <f>COUNTIF(AS277:AW277,"&lt;&gt;0")</f>
        <v>0</v>
      </c>
      <c r="BD277">
        <f>COUNTIF(AM277:AR277,"&lt;&gt;0")</f>
        <v>0</v>
      </c>
      <c r="BE277" t="str">
        <f t="array" ref="BE277">IF(AY277=1,INDEX($V$7:$AL$7,MATCH(TRUE,INDEX($V277:$AW277&lt;&gt;0,),0)),IF(AY277=0,INDEX($AM$7:$AW$7,MATCH(1,$AM277:$AW277,0)),IF(BF277="Multiple strategies","mixed drivers",IF(BF277="Supply chain","multiple supply","multiple silviculture"))))</f>
        <v>technologies/design switch</v>
      </c>
      <c r="BF277" s="2" t="str" cm="1">
        <f t="array" ref="BF277">IF(COUNTIF(AZ277:BB277,"&lt;&gt;0")=1,INDEX($V$4:$AW$4,MATCH(TRUE,INDEX($V277:$AW277&lt;&gt;0,),0)),IF(COUNTIF(AZ277:BB277,"&lt;&gt;0")=0,INDEX($AM$4:$AW$4,MATCH(1,$AM277:$AW277,0)),"Multiple strategies"))</f>
        <v>Technology</v>
      </c>
      <c r="BG277" s="1" t="s">
        <v>229</v>
      </c>
      <c r="BH277" s="264" t="s">
        <v>259</v>
      </c>
      <c r="BI277" s="264" t="s">
        <v>3315</v>
      </c>
      <c r="BJ277" s="264" t="s">
        <v>651</v>
      </c>
      <c r="BK277" s="260">
        <v>0</v>
      </c>
      <c r="BL277" s="260">
        <v>528</v>
      </c>
      <c r="BM277" s="261"/>
      <c r="BN277" s="260">
        <f>BL277-BK277</f>
        <v>528</v>
      </c>
      <c r="BO277" s="260">
        <f>BN277*t_to_m3</f>
        <v>1077.5510204081634</v>
      </c>
      <c r="BP277" s="260" t="s">
        <v>395</v>
      </c>
      <c r="BQ277" s="260" t="s">
        <v>3317</v>
      </c>
      <c r="BR277" s="260" t="s">
        <v>3314</v>
      </c>
      <c r="BS277" s="260">
        <f xml:space="preserve"> 218*3528.65</f>
        <v>769245.70000000007</v>
      </c>
      <c r="BT277" s="260">
        <f xml:space="preserve"> 266*3528.65</f>
        <v>938620.9</v>
      </c>
      <c r="BU277" s="144">
        <f>IFERROR(BT277/BS277,"")</f>
        <v>1.2201834862385321</v>
      </c>
      <c r="BV277">
        <f>BT277-BS277</f>
        <v>169375.19999999995</v>
      </c>
      <c r="BW277"/>
      <c r="BX277">
        <f>BV277/1000</f>
        <v>169.37519999999995</v>
      </c>
      <c r="BY277">
        <f>IFERROR(BX277/BO277,"")</f>
        <v>0.15718531818181811</v>
      </c>
      <c r="BZ277">
        <v>0</v>
      </c>
      <c r="CA277">
        <v>0</v>
      </c>
      <c r="CB277">
        <v>0</v>
      </c>
      <c r="CC277">
        <v>0</v>
      </c>
      <c r="CD277">
        <v>0</v>
      </c>
      <c r="CE277">
        <v>0</v>
      </c>
      <c r="CF277">
        <v>0</v>
      </c>
      <c r="CG277">
        <v>0</v>
      </c>
      <c r="CH277">
        <v>0</v>
      </c>
      <c r="CI277">
        <v>0</v>
      </c>
      <c r="CJ277">
        <v>0</v>
      </c>
      <c r="CK277">
        <v>0</v>
      </c>
      <c r="CL277">
        <v>0</v>
      </c>
      <c r="CM277">
        <v>0</v>
      </c>
      <c r="CN277" t="str">
        <f>IF($BL277&lt;$BK277,"refNeedCorrection","refOK")</f>
        <v>refOK</v>
      </c>
      <c r="CO277">
        <f>IF($CN277="refNeedCorrection",BL277,BK277)</f>
        <v>0</v>
      </c>
      <c r="CP277">
        <f>IF($CN277="refNeedCorrection",BK277,BL277)</f>
        <v>528</v>
      </c>
      <c r="CQ277">
        <f>IF($CN277="refOK",$BO277,-$BO277)</f>
        <v>1077.5510204081634</v>
      </c>
      <c r="CR277" t="e">
        <f>IF($CN277="refOK",#REF!,#REF!)*IF($BP277="Emissions positive",-1,1)</f>
        <v>#REF!</v>
      </c>
      <c r="CS277" t="e">
        <f>IF($CN277="refOK",#REF!,#REF!)*IF($BP277="Emissions positive",-1,1)</f>
        <v>#REF!</v>
      </c>
      <c r="CT277">
        <f>IF($CN277="refNeedCorrection",-BX277,BX277)*IF($BP277="Emissions positive",-1,1)</f>
        <v>-169.37519999999995</v>
      </c>
      <c r="CU277">
        <f>IFERROR(CT277/CQ277,"")</f>
        <v>-0.15718531818181811</v>
      </c>
      <c r="CV277" s="2" t="str">
        <f>IFERROR((CS277-CR277)/ABS(CR277),"")</f>
        <v/>
      </c>
      <c r="CW277" s="1" t="s">
        <v>263</v>
      </c>
      <c r="CX277" t="str">
        <f>IF(OR($CW277="prd",$CW277="std",$CW277="cit"),"loc",IF(OR($CW277="eur",$CW277="reg",$CW277="coy"),"reg",$CW277))</f>
        <v>loc</v>
      </c>
      <c r="CY277" t="s">
        <v>666</v>
      </c>
      <c r="CZ277"/>
      <c r="DA277"/>
      <c r="DB277">
        <v>100</v>
      </c>
      <c r="DC277" t="str">
        <f>IF(DB277=0,"0",IF(AND(DB277&gt;=1,DB277&lt;=30),"1-30",IF(AND(DB277&gt;30,DB277&lt;=70),"31-70",IF(AND(DB277&gt;70,DB277&lt;=100),"71-100",IF(DB277&gt;100,"+100")))))</f>
        <v>71-100</v>
      </c>
      <c r="DD277">
        <v>0</v>
      </c>
      <c r="DE277">
        <v>0</v>
      </c>
      <c r="DF277">
        <v>0</v>
      </c>
      <c r="DG277">
        <v>1</v>
      </c>
      <c r="DH277"/>
      <c r="DI277">
        <f>SUM(DD277:DG277)</f>
        <v>1</v>
      </c>
      <c r="DJ277" t="str">
        <f>IF(DI277=1,INDEX($DD$7:$DG$7,MATCH(1,$DD277:$DG277,0)),"mixedProduct")</f>
        <v>TimberInput</v>
      </c>
      <c r="DK277">
        <f>IF(DD277=1,DK$7,0)</f>
        <v>0</v>
      </c>
      <c r="DL277">
        <f>IF(DE277=1,DL$7,0)</f>
        <v>0</v>
      </c>
      <c r="DM277">
        <f>IF(DF277=1,DM$7,0)</f>
        <v>0</v>
      </c>
      <c r="DN277" t="str">
        <f>IF(DG277=1,DN$7,0)</f>
        <v>Timber</v>
      </c>
      <c r="DO277">
        <v>0</v>
      </c>
      <c r="DP277">
        <v>0</v>
      </c>
      <c r="DQ277">
        <v>0</v>
      </c>
      <c r="DR277">
        <v>0</v>
      </c>
      <c r="DS277">
        <v>0</v>
      </c>
      <c r="DT277">
        <f>SUM(DO277:DP277)</f>
        <v>0</v>
      </c>
      <c r="DU277" s="143" t="str">
        <f>IF(DO277=1,"self-calculated DF",IF(DP277=1,"external DF used","explicit C balance"))</f>
        <v>explicit C balance</v>
      </c>
      <c r="DV277">
        <v>0</v>
      </c>
      <c r="DW277">
        <v>0</v>
      </c>
      <c r="DX277">
        <v>0</v>
      </c>
      <c r="DY277">
        <v>1</v>
      </c>
      <c r="DZ277">
        <v>0</v>
      </c>
      <c r="EA277">
        <v>1</v>
      </c>
      <c r="EB277">
        <v>0</v>
      </c>
      <c r="EC277">
        <v>1</v>
      </c>
      <c r="ED277">
        <v>0</v>
      </c>
      <c r="EE277">
        <v>1</v>
      </c>
      <c r="EF277" s="260">
        <v>0</v>
      </c>
      <c r="EG277" s="260">
        <v>0</v>
      </c>
      <c r="EH277">
        <v>0</v>
      </c>
      <c r="EI277" s="2">
        <v>0</v>
      </c>
      <c r="EJ277" s="1"/>
      <c r="EK277" t="str">
        <f>IF(AND(AND(AND(OR($DX277=1,$DW277=1),OR($EC277=1,$EA277=1)),SUM($DV277:$DZ277,$EF277)&gt;=4),SUM($EA277:$EE277)&gt;=2),"Whole sector","")</f>
        <v/>
      </c>
      <c r="EL277" t="str">
        <f>IF(AND(AND(OR($DX277=1,$DW277=1),AND($EC277=0,$EA277=0)),SUM($DV277:$DZ277,$EF277)&gt;=4),"Ecosystem approach","")</f>
        <v/>
      </c>
      <c r="EM277" s="2" t="str">
        <f>IF(AND(AND(AND($DX277=0,$DW277=0),OR($EC277=1,$EA277=1)),SUM($EB277:$EE277)&gt;=2),"Technology approach","")</f>
        <v>Technology approach</v>
      </c>
      <c r="EN277"/>
      <c r="EO277"/>
      <c r="EP277" t="str">
        <f>IF(ISNUMBER(BU277),IF(ABS(BU277-[4]QC_indicators!$B$2)&gt;3*[4]QC_indicators!$C$2,"C ratio",IF(ISNUMBER(BY277),IF(ABS(BY277-[4]QC_indicators!$B$1)&gt;3*[4]QC_indicators!$C$1,"DF","no"))),IF(ISNUMBER(BY277),IF(ABS(BY277-[4]QC_indicators!$B$1)&gt;3*[4]QC_indicators!$C$1,"DF","no")))</f>
        <v>no</v>
      </c>
      <c r="EQ277"/>
      <c r="ER277"/>
      <c r="ES277"/>
      <c r="ET277" s="264" t="s">
        <v>3273</v>
      </c>
      <c r="EU277"/>
    </row>
    <row r="278" spans="1:151" s="139" customFormat="1" ht="15" customHeight="1">
      <c r="A278" s="1" t="s">
        <v>878</v>
      </c>
      <c r="B278" t="s">
        <v>1791</v>
      </c>
      <c r="C278" t="s">
        <v>1792</v>
      </c>
      <c r="D278" t="s">
        <v>1793</v>
      </c>
      <c r="E278" t="s">
        <v>1794</v>
      </c>
      <c r="F278" t="s">
        <v>1795</v>
      </c>
      <c r="G278" t="s">
        <v>1184</v>
      </c>
      <c r="H278" t="s">
        <v>254</v>
      </c>
      <c r="I278">
        <v>2011</v>
      </c>
      <c r="J278">
        <v>6</v>
      </c>
      <c r="K278" t="s">
        <v>1796</v>
      </c>
      <c r="L278"/>
      <c r="M278" t="str">
        <f>LEFT($D278,FIND(",",$D278)-1)&amp;"_"&amp;I278&amp;L278</f>
        <v>Kayo_2011</v>
      </c>
      <c r="N278" t="s">
        <v>222</v>
      </c>
      <c r="O278" s="145" t="s">
        <v>513</v>
      </c>
      <c r="P278"/>
      <c r="Q278" t="s">
        <v>256</v>
      </c>
      <c r="R278" s="255" t="s">
        <v>225</v>
      </c>
      <c r="S278" s="263" t="s">
        <v>3345</v>
      </c>
      <c r="T278" t="s">
        <v>1797</v>
      </c>
      <c r="U278" s="264" t="s">
        <v>1802</v>
      </c>
      <c r="V278">
        <v>0</v>
      </c>
      <c r="W278">
        <v>0</v>
      </c>
      <c r="X278">
        <v>1</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s="141">
        <f>COUNTIF(V278:AW278,"&lt;&gt;0")</f>
        <v>1</v>
      </c>
      <c r="AY278" s="141">
        <f>COUNTIF(V278:AL278,"&lt;&gt;0")</f>
        <v>1</v>
      </c>
      <c r="AZ278">
        <f>COUNTIF(V278:AC278,"&lt;&gt;0")</f>
        <v>1</v>
      </c>
      <c r="BA278">
        <f>COUNTIF(AD278:AI278,"&lt;&gt;0")</f>
        <v>0</v>
      </c>
      <c r="BB278">
        <f>COUNTIF(AJ278:AL278,"&lt;&gt;0")</f>
        <v>0</v>
      </c>
      <c r="BC278">
        <f>COUNTIF(AS278:AW278,"&lt;&gt;0")</f>
        <v>0</v>
      </c>
      <c r="BD278">
        <f>COUNTIF(AM278:AR278,"&lt;&gt;0")</f>
        <v>0</v>
      </c>
      <c r="BE278" t="str">
        <f t="array" ref="BE278">IF(AY278=1,INDEX($V$7:$AL$7,MATCH(TRUE,INDEX($V278:$AW278&lt;&gt;0,),0)),IF(AY278=0,INDEX($AM$7:$AW$7,MATCH(1,$AM278:$AW278,0)),IF(BF278="Multiple strategies","mixed drivers",IF(BF278="Supply chain","multiple supply","multiple silviculture"))))</f>
        <v>rotation length</v>
      </c>
      <c r="BF278" s="2" t="str" cm="1">
        <f t="array" ref="BF278">IF(COUNTIF(AZ278:BB278,"&lt;&gt;0")=1,INDEX($V$4:$AW$4,MATCH(TRUE,INDEX($V278:$AW278&lt;&gt;0,),0)),IF(COUNTIF(AZ278:BB278,"&lt;&gt;0")=0,INDEX($AM$4:$AW$4,MATCH(1,$AM278:$AW278,0)),"Multiple strategies"))</f>
        <v>Silviculture for removals</v>
      </c>
      <c r="BG278" s="1" t="s">
        <v>229</v>
      </c>
      <c r="BH278" t="s">
        <v>1799</v>
      </c>
      <c r="BI278" s="260" t="s">
        <v>3346</v>
      </c>
      <c r="BJ278" s="260" t="s">
        <v>3347</v>
      </c>
      <c r="BK278">
        <v>18</v>
      </c>
      <c r="BL278">
        <v>86</v>
      </c>
      <c r="BM278">
        <f>BL278/BK278</f>
        <v>4.7777777777777777</v>
      </c>
      <c r="BN278">
        <f>BL278-BK278</f>
        <v>68</v>
      </c>
      <c r="BO278">
        <f>BN278*10^6*t_to_m3</f>
        <v>138775510.20408162</v>
      </c>
      <c r="BP278" t="s">
        <v>232</v>
      </c>
      <c r="BQ278" s="260" t="s">
        <v>3348</v>
      </c>
      <c r="BR278" t="s">
        <v>1300</v>
      </c>
      <c r="BS278"/>
      <c r="BT278"/>
      <c r="BU278" s="287"/>
      <c r="BV278">
        <v>-20.5</v>
      </c>
      <c r="BW278"/>
      <c r="BX278">
        <f>BV278*10^6</f>
        <v>-20500000</v>
      </c>
      <c r="BY278">
        <f>IFERROR(BX278/BO278,"")</f>
        <v>-0.14772058823529413</v>
      </c>
      <c r="BZ278">
        <v>0</v>
      </c>
      <c r="CA278">
        <v>0</v>
      </c>
      <c r="CB278">
        <v>0</v>
      </c>
      <c r="CC278">
        <v>0</v>
      </c>
      <c r="CD278">
        <v>0</v>
      </c>
      <c r="CE278">
        <v>0</v>
      </c>
      <c r="CF278">
        <v>0</v>
      </c>
      <c r="CG278">
        <v>0</v>
      </c>
      <c r="CH278">
        <v>0</v>
      </c>
      <c r="CI278">
        <v>0</v>
      </c>
      <c r="CJ278">
        <v>0</v>
      </c>
      <c r="CK278">
        <v>0</v>
      </c>
      <c r="CL278">
        <v>0</v>
      </c>
      <c r="CM278">
        <v>0</v>
      </c>
      <c r="CN278" t="str">
        <f>IF(BL278&lt;BK278,"refNeedCorrection","refOK")</f>
        <v>refOK</v>
      </c>
      <c r="CO278">
        <f>IF($CN278="refOK",$BK278,$BL278)</f>
        <v>18</v>
      </c>
      <c r="CP278">
        <f>IF($CN278="refOK",$BL278,$BK278)</f>
        <v>86</v>
      </c>
      <c r="CQ278">
        <f>IF($CN278="refOK",$BO278,-$BO278)</f>
        <v>138775510.20408162</v>
      </c>
      <c r="CR278">
        <f>IF($CN278="refOK",$BS278,$BT278)*IF($BP278="Emissions positive",-1,1)</f>
        <v>0</v>
      </c>
      <c r="CS278">
        <f>IF($CN278="refOK",$BT278,$BS278)*IF($BP278="Emissions positive",-1,1)</f>
        <v>0</v>
      </c>
      <c r="CT278">
        <f>IF($CN278="refNeedCorrection",-BX278,BX278)*IF($BP278="Emissions positive",-1,1)</f>
        <v>-20500000</v>
      </c>
      <c r="CU278">
        <f>IFERROR(CT278/CQ278,"")</f>
        <v>-0.14772058823529413</v>
      </c>
      <c r="CV278" s="2" t="str">
        <f>IFERROR((CS278-CR278)/ABS(CR278),"")</f>
        <v/>
      </c>
      <c r="CW278" s="1" t="s">
        <v>1203</v>
      </c>
      <c r="CX278" t="str">
        <f>IF(OR($CW278="prd",$CW278="std",$CW278="cit"),"loc",IF(OR($CW278="eur",$CW278="reg",$CW278="coy"),"reg",$CW278))</f>
        <v>reg</v>
      </c>
      <c r="CY278" t="s">
        <v>961</v>
      </c>
      <c r="CZ278">
        <v>2005</v>
      </c>
      <c r="DA278">
        <v>2050</v>
      </c>
      <c r="DB278">
        <v>45</v>
      </c>
      <c r="DC278" t="str">
        <f>IF(DB278=0,"0",IF(AND(DB278&gt;=1,DB278&lt;=30),"1-30",IF(AND(DB278&gt;30,DB278&lt;=70),"31-70",IF(AND(DB278&gt;70,DB278&lt;=100),"71-100",IF(DB278&gt;100,"+100")))))</f>
        <v>31-70</v>
      </c>
      <c r="DD278">
        <v>0</v>
      </c>
      <c r="DE278">
        <v>1</v>
      </c>
      <c r="DF278">
        <v>0</v>
      </c>
      <c r="DG278">
        <v>0</v>
      </c>
      <c r="DH278"/>
      <c r="DI278">
        <f>SUM(DD278:DG278)</f>
        <v>1</v>
      </c>
      <c r="DJ278" t="str">
        <f>IF(DI278=1,INDEX($DD$7:$DG$7,MATCH(1,$DD278:$DG278,0)),"mixedProduct")</f>
        <v>EnergyInput</v>
      </c>
      <c r="DK278">
        <f>IF(DD278=1,DK$7,0)</f>
        <v>0</v>
      </c>
      <c r="DL278" t="str">
        <f>IF(DE278=1,DL$7,0)</f>
        <v>Energy</v>
      </c>
      <c r="DM278">
        <f>IF(DF278=1,DM$7,0)</f>
        <v>0</v>
      </c>
      <c r="DN278">
        <f>IF(DG278=1,DN$7,0)</f>
        <v>0</v>
      </c>
      <c r="DO278">
        <v>0</v>
      </c>
      <c r="DP278">
        <v>0</v>
      </c>
      <c r="DQ278">
        <v>0</v>
      </c>
      <c r="DR278">
        <v>0</v>
      </c>
      <c r="DS278">
        <v>0</v>
      </c>
      <c r="DT278">
        <f>SUM(DO278:DP278)</f>
        <v>0</v>
      </c>
      <c r="DU278" s="143" t="str">
        <f>IF(DO278=1,"self-calculated DF",IF(DP278=1,"external DF used","explicit C balance"))</f>
        <v>explicit C balance</v>
      </c>
      <c r="DV278">
        <v>0</v>
      </c>
      <c r="DW278">
        <v>1</v>
      </c>
      <c r="DX278">
        <v>1</v>
      </c>
      <c r="DY278">
        <v>0</v>
      </c>
      <c r="DZ278">
        <v>0</v>
      </c>
      <c r="EA278" s="143">
        <v>1</v>
      </c>
      <c r="EB278">
        <v>1</v>
      </c>
      <c r="EC278">
        <v>0</v>
      </c>
      <c r="ED278">
        <v>0</v>
      </c>
      <c r="EE278">
        <v>0</v>
      </c>
      <c r="EF278">
        <v>1</v>
      </c>
      <c r="EG278">
        <v>1</v>
      </c>
      <c r="EH278">
        <v>0</v>
      </c>
      <c r="EI278" s="2">
        <v>0</v>
      </c>
      <c r="EJ278" s="1"/>
      <c r="EK278" t="str">
        <f>IF(AND(AND(AND(OR($DX278=1,$DW278=1),OR($EC278=1,$EA278=1)),SUM($DV278:$DZ278,$EF278)&gt;=4),SUM($EA278:$EE278)&gt;=2),"Whole sector","")</f>
        <v/>
      </c>
      <c r="EL278" t="str">
        <f>IF(AND(AND(OR($DX278=1,$DW278=1),AND($EC278=0,$EA278=0)),SUM($DV278:$DZ278,$EF278)&gt;=4),"Ecosystem approach","")</f>
        <v/>
      </c>
      <c r="EM278" s="2" t="str">
        <f>IF(AND(AND(AND($DX278=0,$DW278=0),OR($EC278=1,$EA278=1)),SUM($EB278:$EE278)&gt;=2),"Technology approach","")</f>
        <v/>
      </c>
      <c r="EN278"/>
      <c r="EO278"/>
      <c r="EP278" t="str">
        <f>IF(ISNUMBER(BU278),IF(ABS(BU278-[4]QC_indicators!$B$2)&gt;3*[4]QC_indicators!$C$2,"C ratio",IF(ISNUMBER(BY278),IF(ABS(BY278-[4]QC_indicators!$B$1)&gt;3*[4]QC_indicators!$C$1,"DF","no"))),IF(ISNUMBER(BY278),IF(ABS(BY278-[4]QC_indicators!$B$1)&gt;3*[4]QC_indicators!$C$1,"DF","no")))</f>
        <v>no</v>
      </c>
      <c r="EQ278"/>
      <c r="ER278"/>
      <c r="ES278"/>
      <c r="ET278" s="264" t="s">
        <v>3273</v>
      </c>
      <c r="EU278"/>
    </row>
    <row r="279" spans="1:151" s="139" customFormat="1" ht="15" customHeight="1">
      <c r="A279" s="1" t="s">
        <v>333</v>
      </c>
      <c r="B279" t="s">
        <v>945</v>
      </c>
      <c r="C279" t="s">
        <v>946</v>
      </c>
      <c r="D279" t="s">
        <v>947</v>
      </c>
      <c r="E279" t="s">
        <v>948</v>
      </c>
      <c r="F279" t="s">
        <v>949</v>
      </c>
      <c r="G279" t="s">
        <v>339</v>
      </c>
      <c r="H279" t="s">
        <v>254</v>
      </c>
      <c r="I279">
        <v>2021</v>
      </c>
      <c r="J279">
        <v>0</v>
      </c>
      <c r="K279" t="s">
        <v>950</v>
      </c>
      <c r="L279"/>
      <c r="M279" t="str">
        <f>LEFT($D279,FIND(",",$D279)-1)&amp;"_"&amp;I279&amp;L279</f>
        <v>Morris_2021</v>
      </c>
      <c r="N279" t="s">
        <v>222</v>
      </c>
      <c r="O279" t="s">
        <v>223</v>
      </c>
      <c r="P279"/>
      <c r="Q279" t="s">
        <v>256</v>
      </c>
      <c r="R279" s="255" t="s">
        <v>225</v>
      </c>
      <c r="S279" s="1" t="s">
        <v>956</v>
      </c>
      <c r="T279" t="s">
        <v>795</v>
      </c>
      <c r="U279" t="s">
        <v>957</v>
      </c>
      <c r="V279">
        <v>0</v>
      </c>
      <c r="W279">
        <v>0</v>
      </c>
      <c r="X279">
        <v>0</v>
      </c>
      <c r="Y279">
        <v>0</v>
      </c>
      <c r="Z279">
        <v>0</v>
      </c>
      <c r="AA279">
        <v>0</v>
      </c>
      <c r="AB279">
        <v>0</v>
      </c>
      <c r="AC279">
        <v>0</v>
      </c>
      <c r="AD279">
        <v>0</v>
      </c>
      <c r="AE279">
        <v>0</v>
      </c>
      <c r="AF279">
        <v>0</v>
      </c>
      <c r="AG279">
        <v>0</v>
      </c>
      <c r="AH279">
        <v>0</v>
      </c>
      <c r="AI279">
        <v>0</v>
      </c>
      <c r="AJ279">
        <v>0</v>
      </c>
      <c r="AK279">
        <v>1</v>
      </c>
      <c r="AL279">
        <v>0</v>
      </c>
      <c r="AM279">
        <v>0</v>
      </c>
      <c r="AN279">
        <v>0</v>
      </c>
      <c r="AO279">
        <v>0</v>
      </c>
      <c r="AP279">
        <v>0</v>
      </c>
      <c r="AQ279">
        <v>0</v>
      </c>
      <c r="AR279">
        <v>0</v>
      </c>
      <c r="AS279">
        <v>0</v>
      </c>
      <c r="AT279">
        <v>0</v>
      </c>
      <c r="AU279">
        <v>0</v>
      </c>
      <c r="AV279">
        <v>0</v>
      </c>
      <c r="AW279">
        <v>0</v>
      </c>
      <c r="AX279" s="141">
        <f>COUNTIF(V279:AW279,"&lt;&gt;0")</f>
        <v>1</v>
      </c>
      <c r="AY279" s="141">
        <f>COUNTIF(V279:AL279,"&lt;&gt;0")</f>
        <v>1</v>
      </c>
      <c r="AZ279">
        <f>COUNTIF(V279:AC279,"&lt;&gt;0")</f>
        <v>0</v>
      </c>
      <c r="BA279">
        <f>COUNTIF(AD279:AI279,"&lt;&gt;0")</f>
        <v>0</v>
      </c>
      <c r="BB279">
        <f>COUNTIF(AJ279:AL279,"&lt;&gt;0")</f>
        <v>1</v>
      </c>
      <c r="BC279">
        <f>COUNTIF(AS279:AW279,"&lt;&gt;0")</f>
        <v>0</v>
      </c>
      <c r="BD279">
        <f>COUNTIF(AM279:AR279,"&lt;&gt;0")</f>
        <v>0</v>
      </c>
      <c r="BE279" t="str">
        <f t="array" ref="BE279">IF(AY279=1,INDEX($V$7:$AL$7,MATCH(TRUE,INDEX($V279:$AW279&lt;&gt;0,),0)),IF(AY279=0,INDEX($AM$7:$AW$7,MATCH(1,$AM279:$AW279,0)),IF(BF279="Multiple strategies","mixed drivers",IF(BF279="Supply chain","multiple supply","multiple silviculture"))))</f>
        <v>technologies/design switch</v>
      </c>
      <c r="BF279" s="2" t="str" cm="1">
        <f t="array" ref="BF279">IF(COUNTIF(AZ279:BB279,"&lt;&gt;0")=1,INDEX($V$4:$AW$4,MATCH(TRUE,INDEX($V279:$AW279&lt;&gt;0,),0)),IF(COUNTIF(AZ279:BB279,"&lt;&gt;0")=0,INDEX($AM$4:$AW$4,MATCH(1,$AM279:$AW279,0)),"Multiple strategies"))</f>
        <v>Technology</v>
      </c>
      <c r="BG279" s="1" t="s">
        <v>229</v>
      </c>
      <c r="BH279" t="s">
        <v>954</v>
      </c>
      <c r="BI279" s="260" t="s">
        <v>3373</v>
      </c>
      <c r="BJ279" t="s">
        <v>345</v>
      </c>
      <c r="BK279">
        <v>0</v>
      </c>
      <c r="BL279">
        <v>116.6</v>
      </c>
      <c r="BM279"/>
      <c r="BN279">
        <f>BL279-BK279</f>
        <v>116.6</v>
      </c>
      <c r="BO279">
        <f>BN279*kg_to_m3</f>
        <v>0.23795918367346941</v>
      </c>
      <c r="BP279" t="s">
        <v>232</v>
      </c>
      <c r="BQ279" s="260" t="s">
        <v>3376</v>
      </c>
      <c r="BR279" t="s">
        <v>955</v>
      </c>
      <c r="BS279">
        <v>-141.19999999999999</v>
      </c>
      <c r="BT279">
        <v>-175.4</v>
      </c>
      <c r="BU279" s="144">
        <f>IFERROR(BT279/BS279,"")</f>
        <v>1.2422096317280455</v>
      </c>
      <c r="BV279">
        <f>BT279-BS279</f>
        <v>-34.200000000000017</v>
      </c>
      <c r="BW279"/>
      <c r="BX279">
        <f>BV279/1000</f>
        <v>-3.4200000000000015E-2</v>
      </c>
      <c r="BY279">
        <f>IFERROR(BX279/BO279,"")</f>
        <v>-0.14372212692967415</v>
      </c>
      <c r="BZ279">
        <v>1</v>
      </c>
      <c r="CA279">
        <v>0</v>
      </c>
      <c r="CB279">
        <v>0</v>
      </c>
      <c r="CC279">
        <v>0</v>
      </c>
      <c r="CD279">
        <v>0</v>
      </c>
      <c r="CE279">
        <v>1</v>
      </c>
      <c r="CF279">
        <v>0</v>
      </c>
      <c r="CG279">
        <v>1</v>
      </c>
      <c r="CH279">
        <v>0</v>
      </c>
      <c r="CI279">
        <v>0</v>
      </c>
      <c r="CJ279">
        <v>0</v>
      </c>
      <c r="CK279">
        <v>0</v>
      </c>
      <c r="CL279">
        <v>0</v>
      </c>
      <c r="CM279">
        <v>0</v>
      </c>
      <c r="CN279" t="str">
        <f>IF($BL279&lt;$BK279,"refNeedCorrection","refOK")</f>
        <v>refOK</v>
      </c>
      <c r="CO279">
        <f>IF($CN279="refOK",$BK279,$BL279)</f>
        <v>0</v>
      </c>
      <c r="CP279">
        <f>IF($CN279="refOK",$BL279,$BK279)</f>
        <v>116.6</v>
      </c>
      <c r="CQ279">
        <f>IF($CN279="refOK",$BO279,-$BO279)</f>
        <v>0.23795918367346941</v>
      </c>
      <c r="CR279">
        <f>IF($CN279="refOK",$BS279,$BT279)*IF($BP279="Emissions positive",-1,1)</f>
        <v>-141.19999999999999</v>
      </c>
      <c r="CS279">
        <f>IF($CN279="refOK",$BT279,$BS279)*IF($BP279="Emissions positive",-1,1)</f>
        <v>-175.4</v>
      </c>
      <c r="CT279">
        <f>IF($CN279="refNeedCorrection",-BX279,BX279)*IF($BP279="Emissions positive",-1,1)</f>
        <v>-3.4200000000000015E-2</v>
      </c>
      <c r="CU279">
        <f>IFERROR(CT279/CQ279,"")</f>
        <v>-0.14372212692967415</v>
      </c>
      <c r="CV279" s="2">
        <f>IFERROR((CS279-CR279)/ABS(CR279),"")</f>
        <v>-0.24220963172804547</v>
      </c>
      <c r="CW279" s="1" t="s">
        <v>263</v>
      </c>
      <c r="CX279" t="str">
        <f>IF(OR($CW279="prd",$CW279="std",$CW279="cit"),"loc",IF(OR($CW279="eur",$CW279="reg",$CW279="coy"),"reg",$CW279))</f>
        <v>loc</v>
      </c>
      <c r="CY279" s="309" t="s">
        <v>3423</v>
      </c>
      <c r="CZ279"/>
      <c r="DA279"/>
      <c r="DB279">
        <v>0</v>
      </c>
      <c r="DC279" t="str">
        <f>IF(DB279=0,"0",IF(AND(DB279&gt;=1,DB279&lt;=30),"1-30",IF(AND(DB279&gt;30,DB279&lt;=70),"31-70",IF(AND(DB279&gt;70,DB279&lt;=100),"71-100",IF(DB279&gt;100,"+100")))))</f>
        <v>0</v>
      </c>
      <c r="DD279">
        <v>0</v>
      </c>
      <c r="DE279">
        <v>0</v>
      </c>
      <c r="DF279">
        <v>0</v>
      </c>
      <c r="DG279">
        <v>1</v>
      </c>
      <c r="DH279"/>
      <c r="DI279">
        <f>SUM(DD279:DG279)</f>
        <v>1</v>
      </c>
      <c r="DJ279" t="str">
        <f>IF(DI279=1,INDEX($DD$7:$DG$7,MATCH(1,$DD279:$DG279,0)),"mixedProduct")</f>
        <v>TimberInput</v>
      </c>
      <c r="DK279">
        <f>IF(DD279=1,DK$7,0)</f>
        <v>0</v>
      </c>
      <c r="DL279">
        <f>IF(DE279=1,DL$7,0)</f>
        <v>0</v>
      </c>
      <c r="DM279">
        <f>IF(DF279=1,DM$7,0)</f>
        <v>0</v>
      </c>
      <c r="DN279" t="str">
        <f>IF(DG279=1,DN$7,0)</f>
        <v>Timber</v>
      </c>
      <c r="DO279">
        <v>0</v>
      </c>
      <c r="DP279">
        <v>1</v>
      </c>
      <c r="DQ279">
        <v>0</v>
      </c>
      <c r="DR279">
        <v>0</v>
      </c>
      <c r="DS279">
        <v>0</v>
      </c>
      <c r="DT279">
        <f>SUM(DO279:DP279)</f>
        <v>1</v>
      </c>
      <c r="DU279" s="143" t="str">
        <f>IF(DO279=1,"self-calculated DF",IF(DP279=1,"external DF used","explicit C balance"))</f>
        <v>external DF used</v>
      </c>
      <c r="DV279">
        <v>0</v>
      </c>
      <c r="DW279">
        <v>0</v>
      </c>
      <c r="DX279">
        <v>0</v>
      </c>
      <c r="DY279">
        <v>1</v>
      </c>
      <c r="DZ279">
        <v>0</v>
      </c>
      <c r="EA279" s="143">
        <v>1</v>
      </c>
      <c r="EB279">
        <v>1</v>
      </c>
      <c r="EC279">
        <v>1</v>
      </c>
      <c r="ED279">
        <v>0</v>
      </c>
      <c r="EE279">
        <v>1</v>
      </c>
      <c r="EF279">
        <v>0</v>
      </c>
      <c r="EG279">
        <v>0</v>
      </c>
      <c r="EH279">
        <v>0</v>
      </c>
      <c r="EI279" s="2">
        <v>0</v>
      </c>
      <c r="EJ279" s="1"/>
      <c r="EK279" t="str">
        <f>IF(AND(AND(AND(OR($DX279=1,$DW279=1),OR($EC279=1,$EA279=1)),SUM($DV279:$DZ279,$EF279)&gt;=4),SUM($EA279:$EE279)&gt;=2),"Whole sector","")</f>
        <v/>
      </c>
      <c r="EL279" t="str">
        <f>IF(AND(AND(OR($DX279=1,$DW279=1),AND($EC279=0,$EA279=0)),SUM($DV279:$DZ279,$EF279)&gt;=4),"Ecosystem approach","")</f>
        <v/>
      </c>
      <c r="EM279" s="2" t="str">
        <f>IF(AND(AND(AND($DX279=0,$DW279=0),OR($EC279=1,$EA279=1)),SUM($EB279:$EE279)&gt;=2),"Technology approach","")</f>
        <v>Technology approach</v>
      </c>
      <c r="EN279"/>
      <c r="EO279"/>
      <c r="EP279" t="str">
        <f>IF(ISNUMBER(BU279),IF(ABS(BU279-[4]QC_indicators!$B$2)&gt;3*[4]QC_indicators!$C$2,"C ratio",IF(ISNUMBER(BY279),IF(ABS(BY279-[4]QC_indicators!$B$1)&gt;3*[4]QC_indicators!$C$1,"DF","no"))),IF(ISNUMBER(BY279),IF(ABS(BY279-[4]QC_indicators!$B$1)&gt;3*[4]QC_indicators!$C$1,"DF","no")))</f>
        <v>no</v>
      </c>
      <c r="EQ279"/>
      <c r="ER279" s="149" t="s">
        <v>349</v>
      </c>
      <c r="ES279"/>
      <c r="ET279" s="264" t="s">
        <v>3273</v>
      </c>
      <c r="EU279"/>
    </row>
    <row r="280" spans="1:151" s="139" customFormat="1" ht="15" customHeight="1">
      <c r="A280" s="1" t="s">
        <v>1972</v>
      </c>
      <c r="B280" t="s">
        <v>1973</v>
      </c>
      <c r="C280" t="s">
        <v>1974</v>
      </c>
      <c r="D280" t="s">
        <v>1975</v>
      </c>
      <c r="E280" t="s">
        <v>1976</v>
      </c>
      <c r="F280" t="s">
        <v>1977</v>
      </c>
      <c r="G280" t="s">
        <v>1978</v>
      </c>
      <c r="H280" t="s">
        <v>254</v>
      </c>
      <c r="I280">
        <v>2018</v>
      </c>
      <c r="J280">
        <v>21</v>
      </c>
      <c r="K280" t="s">
        <v>1979</v>
      </c>
      <c r="L280"/>
      <c r="M280" t="str">
        <f>LEFT($D280,FIND(",",$D280)-1)&amp;"_"&amp;I280&amp;L280</f>
        <v>Nabuurs_2018</v>
      </c>
      <c r="N280" t="s">
        <v>222</v>
      </c>
      <c r="O280" s="157" t="s">
        <v>274</v>
      </c>
      <c r="P280" t="s">
        <v>960</v>
      </c>
      <c r="Q280" t="s">
        <v>389</v>
      </c>
      <c r="R280" s="255" t="s">
        <v>225</v>
      </c>
      <c r="S280" s="1" t="s">
        <v>1980</v>
      </c>
      <c r="T280" s="152" t="s">
        <v>1981</v>
      </c>
      <c r="U280" s="184" t="s">
        <v>1982</v>
      </c>
      <c r="V280">
        <v>0</v>
      </c>
      <c r="W280">
        <v>0</v>
      </c>
      <c r="X280">
        <v>0</v>
      </c>
      <c r="Y280">
        <v>1</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s="141">
        <f>COUNTIF(V280:AW280,"&lt;&gt;0")</f>
        <v>1</v>
      </c>
      <c r="AY280" s="141">
        <f>COUNTIF(V280:AL280,"&lt;&gt;0")</f>
        <v>1</v>
      </c>
      <c r="AZ280">
        <f>COUNTIF(V280:AC280,"&lt;&gt;0")</f>
        <v>1</v>
      </c>
      <c r="BA280">
        <f>COUNTIF(AD280:AI280,"&lt;&gt;0")</f>
        <v>0</v>
      </c>
      <c r="BB280">
        <f>COUNTIF(AJ280:AL280,"&lt;&gt;0")</f>
        <v>0</v>
      </c>
      <c r="BC280">
        <f>COUNTIF(AS280:AW280,"&lt;&gt;0")</f>
        <v>0</v>
      </c>
      <c r="BD280">
        <f>COUNTIF(AM280:AR280,"&lt;&gt;0")</f>
        <v>0</v>
      </c>
      <c r="BE280" t="str">
        <f t="array" ref="BE280">IF(AY280=1,INDEX($V$7:$AL$7,MATCH(TRUE,INDEX($V280:$AW280&lt;&gt;0,),0)),IF(AY280=0,INDEX($AM$7:$AW$7,MATCH(1,$AM280:$AW280,0)),IF(BF280="Multiple strategies","mixed drivers",IF(BF280="Supply chain","multiple supply","multiple silviculture"))))</f>
        <v xml:space="preserve">cutting intensity </v>
      </c>
      <c r="BF280" s="2" t="str" cm="1">
        <f t="array" ref="BF280">IF(COUNTIF(AZ280:BB280,"&lt;&gt;0")=1,INDEX($V$4:$AW$4,MATCH(TRUE,INDEX($V280:$AW280&lt;&gt;0,),0)),IF(COUNTIF(AZ280:BB280,"&lt;&gt;0")=0,INDEX($AM$4:$AW$4,MATCH(1,$AM280:$AW280,0)),"Multiple strategies"))</f>
        <v>Silviculture for removals</v>
      </c>
      <c r="BG280" s="1" t="s">
        <v>321</v>
      </c>
      <c r="BH280" t="s">
        <v>1983</v>
      </c>
      <c r="BI280" s="260" t="s">
        <v>3383</v>
      </c>
      <c r="BJ280" t="s">
        <v>1984</v>
      </c>
      <c r="BK280" s="152">
        <v>4176029909.5067401</v>
      </c>
      <c r="BL280" s="152">
        <v>5588977950.2357893</v>
      </c>
      <c r="BM280">
        <v>1.3383472032880968</v>
      </c>
      <c r="BN280">
        <f>BL280-BK280</f>
        <v>1412948040.7290492</v>
      </c>
      <c r="BO280">
        <f>BN280</f>
        <v>1412948040.7290492</v>
      </c>
      <c r="BP280" t="s">
        <v>395</v>
      </c>
      <c r="BQ280" s="260" t="s">
        <v>3384</v>
      </c>
      <c r="BR280" t="s">
        <v>1985</v>
      </c>
      <c r="BS280" s="289">
        <f>-273.8*1000000</f>
        <v>-273800000</v>
      </c>
      <c r="BT280" s="289">
        <f>-148.41*1000000</f>
        <v>-148410000</v>
      </c>
      <c r="BU280" s="144">
        <v>0.50707458802531458</v>
      </c>
      <c r="BV280" s="152">
        <v>178254847.64542899</v>
      </c>
      <c r="BW280"/>
      <c r="BX280" s="152">
        <f>BV280</f>
        <v>178254847.64542899</v>
      </c>
      <c r="BY280">
        <f>IFERROR(BX280/BO280,"")</f>
        <v>0.12615810525732674</v>
      </c>
      <c r="BZ280">
        <v>0</v>
      </c>
      <c r="CA280">
        <v>0</v>
      </c>
      <c r="CB280">
        <v>0</v>
      </c>
      <c r="CC280">
        <v>0</v>
      </c>
      <c r="CD280">
        <v>0</v>
      </c>
      <c r="CE280">
        <v>0</v>
      </c>
      <c r="CF280">
        <v>0</v>
      </c>
      <c r="CG280">
        <v>0</v>
      </c>
      <c r="CH280">
        <v>0</v>
      </c>
      <c r="CI280">
        <v>0</v>
      </c>
      <c r="CJ280">
        <v>0</v>
      </c>
      <c r="CK280">
        <v>0</v>
      </c>
      <c r="CL280">
        <v>0</v>
      </c>
      <c r="CM280">
        <v>0</v>
      </c>
      <c r="CN280" t="str">
        <f>IF($BL280&lt;$BK280,"refNeedCorrection","refOK")</f>
        <v>refOK</v>
      </c>
      <c r="CO280">
        <f>IF($CN280="refOK",$BK280,$BL280)</f>
        <v>4176029909.5067401</v>
      </c>
      <c r="CP280">
        <f>IF($CN280="refOK",$BL280,$BK280)</f>
        <v>5588977950.2357893</v>
      </c>
      <c r="CQ280">
        <f>IF($CN280="refOK",$BO280,-$BO280)</f>
        <v>1412948040.7290492</v>
      </c>
      <c r="CR280">
        <f>IF($CN280="refOK",$BS280,$BT280)*IF($BP280="Emissions positive",-1,1)</f>
        <v>273800000</v>
      </c>
      <c r="CS280">
        <f>IF($CN280="refOK",$BT280,$BS280)*IF($BP280="Emissions positive",-1,1)</f>
        <v>148410000</v>
      </c>
      <c r="CT280">
        <f>IF($CN280="refNeedCorrection",-BX280,BX280)*IF($BP280="Emissions positive",-1,1)</f>
        <v>-178254847.64542899</v>
      </c>
      <c r="CU280">
        <f>IFERROR(CT280/CQ280,"")</f>
        <v>-0.12615810525732674</v>
      </c>
      <c r="CV280" s="2">
        <f>IFERROR((CS280-CR280)/ABS(CR280),"")</f>
        <v>-0.45796201607012416</v>
      </c>
      <c r="CW280" s="1" t="s">
        <v>1231</v>
      </c>
      <c r="CX280" t="str">
        <f>IF(OR($CW280="prd",$CW280="std",$CW280="cit"),"loc",IF(OR($CW280="eur",$CW280="reg",$CW280="coy"),"reg",$CW280))</f>
        <v>reg</v>
      </c>
      <c r="CY280" t="s">
        <v>743</v>
      </c>
      <c r="CZ280">
        <v>2015</v>
      </c>
      <c r="DA280">
        <v>2050</v>
      </c>
      <c r="DB280">
        <v>0</v>
      </c>
      <c r="DC280" t="str">
        <f>IF(DB280=0,"0",IF(AND(DB280&gt;=1,DB280&lt;=30),"1-30",IF(AND(DB280&gt;30,DB280&lt;=70),"31-70",IF(AND(DB280&gt;70,DB280&lt;=100),"71-100",IF(DB280&gt;100,"+100")))))</f>
        <v>0</v>
      </c>
      <c r="DD280">
        <v>1</v>
      </c>
      <c r="DE280">
        <v>0</v>
      </c>
      <c r="DF280">
        <v>0</v>
      </c>
      <c r="DG280">
        <v>0</v>
      </c>
      <c r="DH280"/>
      <c r="DI280">
        <v>1</v>
      </c>
      <c r="DJ280" t="str">
        <f>IF(DI280=1,INDEX($DD$7:$DG$7,MATCH(1,$DD280:$DG280,0)),"mixedProduct")</f>
        <v>UpstreamInput</v>
      </c>
      <c r="DK280" t="str">
        <f>IF(DD280=1,DK$7,0)</f>
        <v>Upstream</v>
      </c>
      <c r="DL280">
        <f>IF(DE280=1,DL$7,0)</f>
        <v>0</v>
      </c>
      <c r="DM280">
        <f>IF(DF280=1,DM$7,0)</f>
        <v>0</v>
      </c>
      <c r="DN280">
        <f>IF(DG280=1,DN$7,0)</f>
        <v>0</v>
      </c>
      <c r="DO280">
        <v>0</v>
      </c>
      <c r="DP280">
        <v>0</v>
      </c>
      <c r="DQ280">
        <v>0</v>
      </c>
      <c r="DR280">
        <v>0</v>
      </c>
      <c r="DS280">
        <v>0</v>
      </c>
      <c r="DT280">
        <f>SUM(DO280:DP280)</f>
        <v>0</v>
      </c>
      <c r="DU280" s="143" t="s">
        <v>962</v>
      </c>
      <c r="DV280">
        <v>0</v>
      </c>
      <c r="DW280">
        <v>0</v>
      </c>
      <c r="DX280">
        <v>0</v>
      </c>
      <c r="DY280">
        <v>0</v>
      </c>
      <c r="DZ280">
        <v>0</v>
      </c>
      <c r="EA280" s="143">
        <v>0</v>
      </c>
      <c r="EB280">
        <v>1</v>
      </c>
      <c r="EC280">
        <v>0</v>
      </c>
      <c r="ED280">
        <v>0</v>
      </c>
      <c r="EE280">
        <v>0</v>
      </c>
      <c r="EF280">
        <v>0</v>
      </c>
      <c r="EG280">
        <v>0</v>
      </c>
      <c r="EH280">
        <v>0</v>
      </c>
      <c r="EI280" s="2">
        <v>0</v>
      </c>
      <c r="EJ280" s="1"/>
      <c r="EK280" t="str">
        <f>IF(AND(AND(AND(OR($DX280=1,$DW280=1),OR($EC280=1,$EA280=1)),SUM($DV280:$DZ280,$EF280)&gt;=4),SUM($EA280:$EE280)&gt;=2),"Whole sector","")</f>
        <v/>
      </c>
      <c r="EL280" t="str">
        <f>IF(AND(AND(OR($DX280=1,$DW280=1),AND($EC280=0,$EA280=0)),SUM($DV280:$DZ280,$EF280)&gt;=4),"Ecosystem approach","")</f>
        <v/>
      </c>
      <c r="EM280" s="2" t="str">
        <f>IF(AND(AND(AND($DX280=0,$DW280=0),OR($EC280=1,$EA280=1)),SUM($EB280:$EE280)&gt;=2),"Technology approach","")</f>
        <v/>
      </c>
      <c r="EN280"/>
      <c r="EO280"/>
      <c r="EP280" t="str">
        <f>IF(ISNUMBER(BU280),IF(ABS(BU280-[4]QC_indicators!$B$2)&gt;3*[4]QC_indicators!$C$2,"C ratio",IF(ISNUMBER(BY280),IF(ABS(BY280-[4]QC_indicators!$B$1)&gt;3*[4]QC_indicators!$C$1,"DF","no"))),IF(ISNUMBER(BY280),IF(ABS(BY280-[4]QC_indicators!$B$1)&gt;3*[4]QC_indicators!$C$1,"DF","no")))</f>
        <v>no</v>
      </c>
      <c r="EQ280"/>
      <c r="ER280"/>
      <c r="ES280"/>
      <c r="ET280" s="264" t="s">
        <v>3273</v>
      </c>
      <c r="EU280"/>
    </row>
    <row r="281" spans="1:151" s="139" customFormat="1" ht="15" customHeight="1">
      <c r="A281" s="1" t="s">
        <v>265</v>
      </c>
      <c r="B281" t="s">
        <v>266</v>
      </c>
      <c r="C281" t="s">
        <v>267</v>
      </c>
      <c r="D281" t="s">
        <v>268</v>
      </c>
      <c r="E281" t="s">
        <v>269</v>
      </c>
      <c r="F281" t="s">
        <v>270</v>
      </c>
      <c r="G281" t="s">
        <v>271</v>
      </c>
      <c r="H281" t="s">
        <v>254</v>
      </c>
      <c r="I281">
        <v>2022</v>
      </c>
      <c r="J281">
        <v>0</v>
      </c>
      <c r="K281" t="s">
        <v>272</v>
      </c>
      <c r="L281"/>
      <c r="M281" t="str">
        <f>LEFT($D281,FIND(",",$D281)-1)&amp;"_"&amp;I281&amp;L281</f>
        <v>Aryapratama_2022</v>
      </c>
      <c r="N281" t="s">
        <v>222</v>
      </c>
      <c r="O281" s="145" t="s">
        <v>274</v>
      </c>
      <c r="P281"/>
      <c r="Q281" t="s">
        <v>224</v>
      </c>
      <c r="R281" s="262" t="s">
        <v>223</v>
      </c>
      <c r="S281" s="263" t="s">
        <v>3105</v>
      </c>
      <c r="T281" t="s">
        <v>293</v>
      </c>
      <c r="U281" t="s">
        <v>275</v>
      </c>
      <c r="V281">
        <v>0</v>
      </c>
      <c r="W281">
        <v>0</v>
      </c>
      <c r="X281">
        <v>0</v>
      </c>
      <c r="Y281">
        <v>0</v>
      </c>
      <c r="Z281">
        <v>0</v>
      </c>
      <c r="AA281">
        <v>0</v>
      </c>
      <c r="AB281">
        <v>0</v>
      </c>
      <c r="AC281">
        <v>0</v>
      </c>
      <c r="AD281">
        <v>0</v>
      </c>
      <c r="AE281">
        <v>0</v>
      </c>
      <c r="AF281">
        <v>0</v>
      </c>
      <c r="AG281">
        <v>0</v>
      </c>
      <c r="AH281">
        <v>0</v>
      </c>
      <c r="AI281">
        <v>0</v>
      </c>
      <c r="AJ281">
        <v>0</v>
      </c>
      <c r="AK281">
        <v>1</v>
      </c>
      <c r="AL281">
        <v>0</v>
      </c>
      <c r="AM281">
        <v>0</v>
      </c>
      <c r="AN281">
        <v>0</v>
      </c>
      <c r="AO281">
        <v>0</v>
      </c>
      <c r="AP281">
        <v>0</v>
      </c>
      <c r="AQ281">
        <v>0</v>
      </c>
      <c r="AR281">
        <v>0</v>
      </c>
      <c r="AS281">
        <v>0</v>
      </c>
      <c r="AT281">
        <v>0</v>
      </c>
      <c r="AU281">
        <v>0</v>
      </c>
      <c r="AV281">
        <v>0</v>
      </c>
      <c r="AW281">
        <v>0</v>
      </c>
      <c r="AX281" s="141">
        <f>COUNTIF(V281:AW281,"&lt;&gt;0")</f>
        <v>1</v>
      </c>
      <c r="AY281" s="141">
        <f>COUNTIF(V281:AL281,"&lt;&gt;0")</f>
        <v>1</v>
      </c>
      <c r="AZ281">
        <f>COUNTIF(V281:AC281,"&lt;&gt;0")</f>
        <v>0</v>
      </c>
      <c r="BA281">
        <f>COUNTIF(AD281:AI281,"&lt;&gt;0")</f>
        <v>0</v>
      </c>
      <c r="BB281">
        <f>COUNTIF(AJ281:AL281,"&lt;&gt;0")</f>
        <v>1</v>
      </c>
      <c r="BC281">
        <f>COUNTIF(AS281:AW281,"&lt;&gt;0")</f>
        <v>0</v>
      </c>
      <c r="BD281">
        <f>COUNTIF(AM281:AR281,"&lt;&gt;0")</f>
        <v>0</v>
      </c>
      <c r="BE281" t="str">
        <f t="array" ref="BE281">IF(AY281=1,INDEX($V$7:$AL$7,MATCH(TRUE,INDEX($V281:$AW281&lt;&gt;0,),0)),IF(AY281=0,INDEX($AM$7:$AW$7,MATCH(1,$AM281:$AW281,0)),IF(BF281="Multiple strategies","mixed drivers",IF(BF281="Supply chain","multiple supply","multiple silviculture"))))</f>
        <v>technologies/design switch</v>
      </c>
      <c r="BF281" s="2" t="str" cm="1">
        <f t="array" ref="BF281">IF(COUNTIF(AZ281:BB281,"&lt;&gt;0")=1,INDEX($V$4:$AW$4,MATCH(TRUE,INDEX($V281:$AW281&lt;&gt;0,),0)),IF(COUNTIF(AZ281:BB281,"&lt;&gt;0")=0,INDEX($AM$4:$AW$4,MATCH(1,$AM281:$AW281,0)),"Multiple strategies"))</f>
        <v>Technology</v>
      </c>
      <c r="BG281" s="1" t="s">
        <v>229</v>
      </c>
      <c r="BH281" t="s">
        <v>277</v>
      </c>
      <c r="BI281" s="264" t="s">
        <v>3106</v>
      </c>
      <c r="BJ281" t="s">
        <v>278</v>
      </c>
      <c r="BK281">
        <v>0</v>
      </c>
      <c r="BL281">
        <v>135.57962264150939</v>
      </c>
      <c r="BM281"/>
      <c r="BN281">
        <f>BL281-BK281</f>
        <v>135.57962264150939</v>
      </c>
      <c r="BO281">
        <f>BN281*tC_to_m3</f>
        <v>588.70873921628049</v>
      </c>
      <c r="BP281" t="s">
        <v>232</v>
      </c>
      <c r="BQ281" s="337" t="s">
        <v>3107</v>
      </c>
      <c r="BR281" t="s">
        <v>279</v>
      </c>
      <c r="BS281">
        <v>-358.5631578083391</v>
      </c>
      <c r="BT281">
        <v>-430.22235574765915</v>
      </c>
      <c r="BU281" s="144">
        <f>IFERROR(BT281/BS281,"")</f>
        <v>1.1998509784923963</v>
      </c>
      <c r="BV281">
        <f>BT281-BS281</f>
        <v>-71.659197939320052</v>
      </c>
      <c r="BW281"/>
      <c r="BX281">
        <f>BV281</f>
        <v>-71.659197939320052</v>
      </c>
      <c r="BY281">
        <f>IFERROR(BX281/BO281,"")</f>
        <v>-0.12172266719654354</v>
      </c>
      <c r="BZ281">
        <v>0</v>
      </c>
      <c r="CA281">
        <v>0</v>
      </c>
      <c r="CB281">
        <v>0</v>
      </c>
      <c r="CC281">
        <v>0</v>
      </c>
      <c r="CD281">
        <v>0</v>
      </c>
      <c r="CE281">
        <v>0</v>
      </c>
      <c r="CF281">
        <v>0</v>
      </c>
      <c r="CG281">
        <v>0</v>
      </c>
      <c r="CH281">
        <v>0</v>
      </c>
      <c r="CI281">
        <v>0</v>
      </c>
      <c r="CJ281">
        <v>0</v>
      </c>
      <c r="CK281">
        <v>0</v>
      </c>
      <c r="CL281">
        <v>0</v>
      </c>
      <c r="CM281">
        <v>0</v>
      </c>
      <c r="CN281" t="str">
        <f>IF($BL281&lt;$BK281,"refNeedCorrection","refOK")</f>
        <v>refOK</v>
      </c>
      <c r="CO281">
        <f>IF($CN281="refOK",$BK281,$BL281)</f>
        <v>0</v>
      </c>
      <c r="CP281">
        <f>IF($CN281="refOK",$BL281,$BK281)</f>
        <v>135.57962264150939</v>
      </c>
      <c r="CQ281">
        <f>IF($CN281="refOK",$BO281,-$BO281)</f>
        <v>588.70873921628049</v>
      </c>
      <c r="CR281">
        <f>IF($CN281="refOK",$BS281,$BT281)*IF($BP281="Emissions positive",-1,1)</f>
        <v>-358.5631578083391</v>
      </c>
      <c r="CS281">
        <f>IF($CN281="refOK",$BT281,$BS281)*IF($BP281="Emissions positive",-1,1)</f>
        <v>-430.22235574765915</v>
      </c>
      <c r="CT281">
        <f>IF($CN281="refNeedCorrection",-BX281,BX281)*IF($BP281="Emissions positive",-1,1)</f>
        <v>-71.659197939320052</v>
      </c>
      <c r="CU281">
        <f>IFERROR(CT281/CQ281,"")</f>
        <v>-0.12172266719654354</v>
      </c>
      <c r="CV281" s="2">
        <f>IFERROR((CS281-CR281)/ABS(CR281),"")</f>
        <v>-0.19985097849239622</v>
      </c>
      <c r="CW281" s="1" t="s">
        <v>234</v>
      </c>
      <c r="CX281" t="str">
        <f>IF(OR($CW281="prd",$CW281="std",$CW281="cit"),"loc",IF(OR($CW281="eur",$CW281="reg",$CW281="coy"),"reg",$CW281))</f>
        <v>loc</v>
      </c>
      <c r="CY281" t="s">
        <v>280</v>
      </c>
      <c r="CZ281"/>
      <c r="DA281"/>
      <c r="DB281">
        <v>50</v>
      </c>
      <c r="DC281" t="str">
        <f>IF(DB281=0,"0",IF(AND(DB281&gt;=1,DB281&lt;=30),"1-30",IF(AND(DB281&gt;30,DB281&lt;=70),"31-70",IF(AND(DB281&gt;70,DB281&lt;=100),"71-100",IF(DB281&gt;100,"+100")))))</f>
        <v>31-70</v>
      </c>
      <c r="DD281">
        <v>0</v>
      </c>
      <c r="DE281">
        <v>0</v>
      </c>
      <c r="DF281">
        <v>0</v>
      </c>
      <c r="DG281">
        <v>1</v>
      </c>
      <c r="DH281"/>
      <c r="DI281">
        <f>SUM(DD281:DG281)</f>
        <v>1</v>
      </c>
      <c r="DJ281" t="str">
        <f>IF(DI281=1,INDEX($DD$7:$DG$7,MATCH(1,$DD281:$DG281,0)),"mixedProduct")</f>
        <v>TimberInput</v>
      </c>
      <c r="DK281">
        <f>IF(DD281=1,DK$7,0)</f>
        <v>0</v>
      </c>
      <c r="DL281">
        <f>IF(DE281=1,DL$7,0)</f>
        <v>0</v>
      </c>
      <c r="DM281">
        <f>IF(DF281=1,DM$7,0)</f>
        <v>0</v>
      </c>
      <c r="DN281" t="str">
        <f>IF(DG281=1,DN$7,0)</f>
        <v>Timber</v>
      </c>
      <c r="DO281">
        <v>0</v>
      </c>
      <c r="DP281">
        <v>1</v>
      </c>
      <c r="DQ281">
        <v>0</v>
      </c>
      <c r="DR281" t="s">
        <v>292</v>
      </c>
      <c r="DS281">
        <v>0</v>
      </c>
      <c r="DT281">
        <f>SUM(DO281:DP281)</f>
        <v>1</v>
      </c>
      <c r="DU281" s="143" t="str">
        <f>IF(DO281=1,"self-calculated DF",IF(DP281=1,"external DF used","explicit C balance"))</f>
        <v>external DF used</v>
      </c>
      <c r="DV281">
        <v>0</v>
      </c>
      <c r="DW281">
        <v>1</v>
      </c>
      <c r="DX281">
        <v>1</v>
      </c>
      <c r="DY281">
        <v>1</v>
      </c>
      <c r="DZ281">
        <v>1</v>
      </c>
      <c r="EA281" s="143">
        <v>0</v>
      </c>
      <c r="EB281">
        <v>1</v>
      </c>
      <c r="EC281">
        <v>1</v>
      </c>
      <c r="ED281">
        <v>0</v>
      </c>
      <c r="EE281">
        <v>1</v>
      </c>
      <c r="EF281">
        <v>1</v>
      </c>
      <c r="EG281">
        <v>1</v>
      </c>
      <c r="EH281">
        <v>0</v>
      </c>
      <c r="EI281" s="2">
        <v>0</v>
      </c>
      <c r="EJ281" s="1"/>
      <c r="EK281" t="str">
        <f>IF(AND(AND(AND(OR($DX281=1,$DW281=1),OR($EC281=1,$EA281=1)),SUM($DV281:$DZ281,$EF281)&gt;=4),SUM($EA281:$EE281)&gt;=2),"Whole sector","")</f>
        <v>Whole sector</v>
      </c>
      <c r="EL281" t="str">
        <f>IF(AND(AND(OR($DX281=1,$DW281=1),AND($EC281=0,$EA281=0)),SUM($DV281:$DZ281,$EF281)&gt;=4),"Ecosystem approach","")</f>
        <v/>
      </c>
      <c r="EM281" s="2" t="str">
        <f>IF(AND(AND(AND($DX281=0,$DW281=0),OR($EC281=1,$EA281=1)),SUM($EB281:$EE281)&gt;=2),"Technology approach","")</f>
        <v/>
      </c>
      <c r="EN281"/>
      <c r="EO281"/>
      <c r="EP281" t="str">
        <f>IF(ISNUMBER(BU281),IF(ABS(BU281-[1]QC_indicators!$B$2)&gt;3*[1]QC_indicators!$C$2,"C ratio",IF(ISNUMBER(BY281),IF(ABS(BY281-[1]QC_indicators!$B$1)&gt;3*[1]QC_indicators!$C$1,"DF","no"))),IF(ISNUMBER(BY281),IF(ABS(BY281-[1]QC_indicators!$B$1)&gt;3*[1]QC_indicators!$C$1,"DF","no")))</f>
        <v>no</v>
      </c>
      <c r="EQ281" t="s">
        <v>286</v>
      </c>
      <c r="ER281"/>
      <c r="ES281"/>
      <c r="ET281" s="264" t="s">
        <v>3273</v>
      </c>
      <c r="EU281"/>
    </row>
    <row r="282" spans="1:151" s="139" customFormat="1" ht="15" customHeight="1">
      <c r="A282" s="1" t="s">
        <v>1102</v>
      </c>
      <c r="B282" t="s">
        <v>2381</v>
      </c>
      <c r="C282" t="s">
        <v>2382</v>
      </c>
      <c r="D282" t="s">
        <v>2383</v>
      </c>
      <c r="E282" t="s">
        <v>2384</v>
      </c>
      <c r="F282" t="s">
        <v>2385</v>
      </c>
      <c r="G282" t="s">
        <v>1108</v>
      </c>
      <c r="H282" t="s">
        <v>254</v>
      </c>
      <c r="I282">
        <v>2016</v>
      </c>
      <c r="J282">
        <v>13</v>
      </c>
      <c r="K282" t="s">
        <v>2386</v>
      </c>
      <c r="L282"/>
      <c r="M282" t="str">
        <f>LEFT($D282,FIND(",",$D282)-1)&amp;"_"&amp;I282&amp;L282</f>
        <v>Torssonen_2016</v>
      </c>
      <c r="N282" t="s">
        <v>222</v>
      </c>
      <c r="O282" s="145" t="s">
        <v>1154</v>
      </c>
      <c r="P282"/>
      <c r="Q282" s="264" t="s">
        <v>256</v>
      </c>
      <c r="R282" s="269" t="s">
        <v>341</v>
      </c>
      <c r="S282" s="1" t="s">
        <v>2400</v>
      </c>
      <c r="T282" s="264" t="s">
        <v>2401</v>
      </c>
      <c r="U282" t="s">
        <v>2402</v>
      </c>
      <c r="V282">
        <v>0</v>
      </c>
      <c r="W282">
        <v>0</v>
      </c>
      <c r="X282">
        <v>0</v>
      </c>
      <c r="Y282">
        <v>0</v>
      </c>
      <c r="Z282">
        <v>0</v>
      </c>
      <c r="AA282">
        <v>0</v>
      </c>
      <c r="AB282">
        <v>0</v>
      </c>
      <c r="AC282">
        <v>0</v>
      </c>
      <c r="AD282">
        <v>0</v>
      </c>
      <c r="AE282">
        <v>0</v>
      </c>
      <c r="AF282">
        <v>0</v>
      </c>
      <c r="AG282">
        <v>0</v>
      </c>
      <c r="AH282">
        <v>0</v>
      </c>
      <c r="AI282">
        <v>0</v>
      </c>
      <c r="AJ282">
        <v>0</v>
      </c>
      <c r="AK282">
        <v>0</v>
      </c>
      <c r="AL282">
        <v>0</v>
      </c>
      <c r="AM282">
        <v>0</v>
      </c>
      <c r="AN282">
        <v>1</v>
      </c>
      <c r="AO282">
        <v>1</v>
      </c>
      <c r="AP282">
        <v>0</v>
      </c>
      <c r="AQ282">
        <v>0</v>
      </c>
      <c r="AR282">
        <v>0</v>
      </c>
      <c r="AS282">
        <v>0</v>
      </c>
      <c r="AT282">
        <v>0</v>
      </c>
      <c r="AU282">
        <v>0</v>
      </c>
      <c r="AV282">
        <v>0</v>
      </c>
      <c r="AW282">
        <v>0</v>
      </c>
      <c r="AX282" s="141">
        <f>COUNTIF(V282:AW282,"&lt;&gt;0")</f>
        <v>2</v>
      </c>
      <c r="AY282" s="141">
        <f>COUNTIF(V282:AL282,"&lt;&gt;0")</f>
        <v>0</v>
      </c>
      <c r="AZ282">
        <f>COUNTIF(V282:AC282,"&lt;&gt;0")</f>
        <v>0</v>
      </c>
      <c r="BA282">
        <f>COUNTIF(AD282:AI282,"&lt;&gt;0")</f>
        <v>0</v>
      </c>
      <c r="BB282">
        <f>COUNTIF(AJ282:AL282,"&lt;&gt;0")</f>
        <v>0</v>
      </c>
      <c r="BC282">
        <f>COUNTIF(AS282:AW282,"&lt;&gt;0")</f>
        <v>0</v>
      </c>
      <c r="BD282">
        <f>COUNTIF(AM282:AR282,"&lt;&gt;0")</f>
        <v>2</v>
      </c>
      <c r="BE282" t="str" cm="1">
        <f t="array" ref="BE282">IF(AY282=1,INDEX($V$7:$AL$7,MATCH(TRUE,INDEX($V282:$AW282&lt;&gt;0,),0)),IF(AY282=0,INDEX($AM$7:$AW$7,MATCH(1,$AM282:$AW282,0)),IF(BF282="Multiple strategies","mixed drivers",IF(BF282="Supply chain","multiple supply","multiple silviculture"))))</f>
        <v>Temperature</v>
      </c>
      <c r="BF282" s="2" t="str" cm="1">
        <f t="array" ref="BF282">IF(COUNTIF(AZ282:BB282,"&lt;&gt;0")=1,INDEX($V$4:$AW$4,MATCH(TRUE,INDEX($V282:$AW282&lt;&gt;0,),0)),IF(COUNTIF(AZ282:BB282,"&lt;&gt;0")=0,INDEX($AM$4:$AW$4,MATCH(1,$AM282:$AW282,0)),"Multiple strategies"))</f>
        <v>Environmental change</v>
      </c>
      <c r="BG282" s="1" t="s">
        <v>229</v>
      </c>
      <c r="BH282" s="306" t="s">
        <v>2144</v>
      </c>
      <c r="BI282" s="264" t="s">
        <v>2391</v>
      </c>
      <c r="BJ282" s="306" t="s">
        <v>1058</v>
      </c>
      <c r="BK282">
        <v>6.8142857049999996</v>
      </c>
      <c r="BL282">
        <v>6.9346938680000001</v>
      </c>
      <c r="BM282" s="143">
        <f>BL282/BK282</f>
        <v>1.0176699610513322</v>
      </c>
      <c r="BN282">
        <f>BL282-BK282</f>
        <v>0.12040816300000046</v>
      </c>
      <c r="BO282">
        <f>BN282</f>
        <v>0.12040816300000046</v>
      </c>
      <c r="BP282" s="306" t="s">
        <v>395</v>
      </c>
      <c r="BQ282" s="153" t="s">
        <v>3421</v>
      </c>
      <c r="BR282" s="264" t="s">
        <v>2393</v>
      </c>
      <c r="BS282">
        <v>-302.54545454545399</v>
      </c>
      <c r="BT282">
        <v>-301.09090909090901</v>
      </c>
      <c r="BU282" s="144"/>
      <c r="BV282" s="144">
        <f>BT282-BS282</f>
        <v>1.4545454545449843</v>
      </c>
      <c r="BW282" s="144"/>
      <c r="BX282" s="144">
        <f>BV282*10^4/10^6</f>
        <v>1.4545454545449844E-2</v>
      </c>
      <c r="BY282">
        <f>IFERROR(BX282/BO282,"")</f>
        <v>0.12080123293177215</v>
      </c>
      <c r="BZ282">
        <v>0</v>
      </c>
      <c r="CA282">
        <v>0</v>
      </c>
      <c r="CB282">
        <v>0</v>
      </c>
      <c r="CC282">
        <v>0</v>
      </c>
      <c r="CD282">
        <v>0</v>
      </c>
      <c r="CE282">
        <v>0</v>
      </c>
      <c r="CF282">
        <v>0</v>
      </c>
      <c r="CG282">
        <v>0</v>
      </c>
      <c r="CH282">
        <v>0</v>
      </c>
      <c r="CI282">
        <v>0</v>
      </c>
      <c r="CJ282">
        <v>0</v>
      </c>
      <c r="CK282">
        <v>0</v>
      </c>
      <c r="CL282">
        <v>0</v>
      </c>
      <c r="CM282">
        <v>1</v>
      </c>
      <c r="CN282" t="str">
        <f>IF($BL282&lt;$BK282,"refNeedCorrection","refOK")</f>
        <v>refOK</v>
      </c>
      <c r="CO282">
        <f>IF($CN282="refOK",$BK282,$BL282)</f>
        <v>6.8142857049999996</v>
      </c>
      <c r="CP282">
        <f>IF($CN282="refOK",$BL282,$BK282)</f>
        <v>6.9346938680000001</v>
      </c>
      <c r="CQ282">
        <f>IF($CN282="refOK",$BO282,-$BO282)</f>
        <v>0.12040816300000046</v>
      </c>
      <c r="CR282">
        <f>IF($CN282="refOK",$BS282,$BT282)*IF($BP282="Emissions positive",-1,1)</f>
        <v>302.54545454545399</v>
      </c>
      <c r="CS282">
        <f>IF($CN282="refOK",$BT282,$BS282)*IF($BP282="Emissions positive",-1,1)</f>
        <v>301.09090909090901</v>
      </c>
      <c r="CT282">
        <f>IF($CN282="refNeedCorrection",-BX282,BX282)*IF($BP282="Emissions positive",-1,1)</f>
        <v>-1.4545454545449844E-2</v>
      </c>
      <c r="CU282">
        <f>IFERROR(CT282/CQ282,"")</f>
        <v>-0.12080123293177215</v>
      </c>
      <c r="CV282" s="2">
        <f>IFERROR((CS282-CR282)/ABS(CR282),"")</f>
        <v>-4.8076923076907623E-3</v>
      </c>
      <c r="CW282" s="1" t="s">
        <v>1199</v>
      </c>
      <c r="CX282" s="264" t="str">
        <f>IF(OR($CW282="prd",$CW282="std",$CW282="cit"),"loc",IF(OR($CW282="eur",$CW282="reg",$CW282="coy"),"reg",$CW282))</f>
        <v>reg</v>
      </c>
      <c r="CY282" t="s">
        <v>235</v>
      </c>
      <c r="CZ282">
        <v>2020</v>
      </c>
      <c r="DA282">
        <v>2100</v>
      </c>
      <c r="DB282">
        <f>DA282-CZ282</f>
        <v>80</v>
      </c>
      <c r="DC282" t="str">
        <f>IF(DB282=0,"0",IF(AND(DB282&gt;=1,DB282&lt;=30),"1-30",IF(AND(DB282&gt;30,DB282&lt;=70),"31-70",IF(AND(DB282&gt;70,DB282&lt;=100),"71-100",IF(DB282&gt;100,"+100")))))</f>
        <v>71-100</v>
      </c>
      <c r="DD282">
        <v>0</v>
      </c>
      <c r="DE282">
        <v>1</v>
      </c>
      <c r="DF282">
        <v>0</v>
      </c>
      <c r="DG282">
        <v>1</v>
      </c>
      <c r="DH282"/>
      <c r="DI282">
        <f>SUM(DD282:DG282)</f>
        <v>2</v>
      </c>
      <c r="DJ282" t="str">
        <f>IF(DI282=1,INDEX($DD$7:$DG$7,MATCH(1,$DD282:$DG282,0)),"mixedProduct")</f>
        <v>mixedProduct</v>
      </c>
      <c r="DK282">
        <f>IF(DD282=1,DK$7,0)</f>
        <v>0</v>
      </c>
      <c r="DL282" t="str">
        <f>IF(DE282=1,DL$7,0)</f>
        <v>Energy</v>
      </c>
      <c r="DM282">
        <f>IF(DF282=1,DM$7,0)</f>
        <v>0</v>
      </c>
      <c r="DN282" t="str">
        <f>IF(DG282=1,DN$7,0)</f>
        <v>Timber</v>
      </c>
      <c r="DO282">
        <v>1</v>
      </c>
      <c r="DP282">
        <v>0</v>
      </c>
      <c r="DQ282">
        <v>0</v>
      </c>
      <c r="DR282">
        <v>0</v>
      </c>
      <c r="DS282">
        <v>0</v>
      </c>
      <c r="DT282">
        <f>SUM(DO282:DP282)</f>
        <v>1</v>
      </c>
      <c r="DU282" s="143" t="str">
        <f>IF(DO282=1,"self-calculated DF",IF(DP282=1,"external DF used","explicit C balance"))</f>
        <v>self-calculated DF</v>
      </c>
      <c r="DV282">
        <v>1</v>
      </c>
      <c r="DW282">
        <v>0</v>
      </c>
      <c r="DX282">
        <v>1</v>
      </c>
      <c r="DY282">
        <v>0</v>
      </c>
      <c r="DZ282">
        <v>0</v>
      </c>
      <c r="EA282" s="143">
        <v>0</v>
      </c>
      <c r="EB282">
        <v>0</v>
      </c>
      <c r="EC282">
        <v>0</v>
      </c>
      <c r="ED282">
        <v>0</v>
      </c>
      <c r="EE282">
        <v>0</v>
      </c>
      <c r="EF282">
        <v>1</v>
      </c>
      <c r="EG282">
        <v>0</v>
      </c>
      <c r="EH282">
        <v>0</v>
      </c>
      <c r="EI282" s="2">
        <v>0</v>
      </c>
      <c r="EJ282" s="1"/>
      <c r="EK282" t="str">
        <f>IF(AND(AND(AND(OR($DX282=1,$DW282=1),OR($EC282=1,$EA282=1)),SUM($DV282:$DZ282,$EF282)&gt;=4),SUM($EA282:$EE282)&gt;=2),"Whole sector","")</f>
        <v/>
      </c>
      <c r="EL282" t="str">
        <f>IF(AND(AND(OR($DX282=1,$DW282=1),AND($EC282=0,$EA282=0)),SUM($DV282:$DZ282,$EF282)&gt;=4),"Ecosystem approach","")</f>
        <v/>
      </c>
      <c r="EM282" s="2" t="str">
        <f>IF(AND(AND(AND($DX282=0,$DW282=0),OR($EC282=1,$EA282=1)),SUM($EB282:$EE282)&gt;=2),"Technology approach","")</f>
        <v/>
      </c>
      <c r="EN282" t="s">
        <v>2403</v>
      </c>
      <c r="EO282"/>
      <c r="EP282" t="str">
        <f>IF(ISNUMBER(BU282),IF(ABS(BU282-[3]QC_indicators!$B$2)&gt;3*[3]QC_indicators!$C$2,"C ratio",IF(ISNUMBER(BY282),IF(ABS(BY282-[3]QC_indicators!$B$1)&gt;3*[3]QC_indicators!$C$1,"DF","no"))),IF(ISNUMBER(BY282),IF(ABS(BY282-[3]QC_indicators!$B$1)&gt;3*[3]QC_indicators!$C$1,"DF","no")))</f>
        <v>no</v>
      </c>
      <c r="EQ282"/>
      <c r="ER282" s="264" t="s">
        <v>2394</v>
      </c>
      <c r="ES282"/>
      <c r="ET282" s="306" t="s">
        <v>3422</v>
      </c>
      <c r="EU282"/>
    </row>
    <row r="283" spans="1:151" s="139" customFormat="1" ht="15" customHeight="1">
      <c r="A283" s="1" t="s">
        <v>265</v>
      </c>
      <c r="B283" t="s">
        <v>1531</v>
      </c>
      <c r="C283" t="s">
        <v>1532</v>
      </c>
      <c r="D283" t="s">
        <v>1533</v>
      </c>
      <c r="E283" t="s">
        <v>1534</v>
      </c>
      <c r="F283" t="s">
        <v>1535</v>
      </c>
      <c r="G283" t="s">
        <v>271</v>
      </c>
      <c r="H283" t="s">
        <v>254</v>
      </c>
      <c r="I283">
        <v>2019</v>
      </c>
      <c r="J283">
        <v>26</v>
      </c>
      <c r="K283" t="s">
        <v>1536</v>
      </c>
      <c r="L283"/>
      <c r="M283" t="str">
        <f>LEFT($D283,FIND(",",$D283)-1)&amp;"_"&amp;I283&amp;L283</f>
        <v>Faraca_2019</v>
      </c>
      <c r="N283" t="s">
        <v>222</v>
      </c>
      <c r="O283" s="145" t="s">
        <v>274</v>
      </c>
      <c r="P283" s="180" t="s">
        <v>223</v>
      </c>
      <c r="Q283" t="s">
        <v>256</v>
      </c>
      <c r="R283" s="262" t="s">
        <v>223</v>
      </c>
      <c r="S283" s="263" t="s">
        <v>3132</v>
      </c>
      <c r="T283" t="s">
        <v>1552</v>
      </c>
      <c r="U283" t="s">
        <v>1538</v>
      </c>
      <c r="V283">
        <v>0</v>
      </c>
      <c r="W283">
        <v>0</v>
      </c>
      <c r="X283">
        <v>0</v>
      </c>
      <c r="Y283">
        <v>0</v>
      </c>
      <c r="Z283">
        <v>0</v>
      </c>
      <c r="AA283">
        <v>0</v>
      </c>
      <c r="AB283">
        <v>0</v>
      </c>
      <c r="AC283">
        <v>0</v>
      </c>
      <c r="AD283">
        <v>0</v>
      </c>
      <c r="AE283">
        <v>0</v>
      </c>
      <c r="AF283">
        <v>1</v>
      </c>
      <c r="AG283">
        <v>0</v>
      </c>
      <c r="AH283">
        <v>0</v>
      </c>
      <c r="AI283">
        <v>0</v>
      </c>
      <c r="AJ283">
        <v>0</v>
      </c>
      <c r="AK283">
        <v>0</v>
      </c>
      <c r="AL283">
        <v>0</v>
      </c>
      <c r="AM283">
        <v>0</v>
      </c>
      <c r="AN283">
        <v>0</v>
      </c>
      <c r="AO283">
        <v>0</v>
      </c>
      <c r="AP283">
        <v>0</v>
      </c>
      <c r="AQ283">
        <v>0</v>
      </c>
      <c r="AR283">
        <v>0</v>
      </c>
      <c r="AS283">
        <v>0</v>
      </c>
      <c r="AT283">
        <v>0</v>
      </c>
      <c r="AU283">
        <v>0</v>
      </c>
      <c r="AV283">
        <v>0</v>
      </c>
      <c r="AW283">
        <v>0</v>
      </c>
      <c r="AX283" s="141">
        <f>COUNTIF(V283:AW283,"&lt;&gt;0")</f>
        <v>1</v>
      </c>
      <c r="AY283" s="141">
        <f>COUNTIF(V283:AL283,"&lt;&gt;0")</f>
        <v>1</v>
      </c>
      <c r="AZ283">
        <f>COUNTIF(V283:AC283,"&lt;&gt;0")</f>
        <v>0</v>
      </c>
      <c r="BA283">
        <f>COUNTIF(AD283:AI283,"&lt;&gt;0")</f>
        <v>1</v>
      </c>
      <c r="BB283">
        <f>COUNTIF(AJ283:AL283,"&lt;&gt;0")</f>
        <v>0</v>
      </c>
      <c r="BC283">
        <f>COUNTIF(AS283:AW283,"&lt;&gt;0")</f>
        <v>0</v>
      </c>
      <c r="BD283">
        <f>COUNTIF(AM283:AR283,"&lt;&gt;0")</f>
        <v>0</v>
      </c>
      <c r="BE283" t="str">
        <f t="array" ref="BE283">IF(AY283=1,INDEX($V$7:$AL$7,MATCH(TRUE,INDEX($V283:$AW283&lt;&gt;0,),0)),IF(AY283=0,INDEX($AM$7:$AW$7,MATCH(1,$AM283:$AW283,0)),IF(BF283="Multiple strategies","mixed drivers",IF(BF283="Supply chain","multiple supply","multiple silviculture"))))</f>
        <v>supply chain organization</v>
      </c>
      <c r="BF283" s="2" t="str" cm="1">
        <f t="array" ref="BF283">IF(COUNTIF(AZ283:BB283,"&lt;&gt;0")=1,INDEX($V$4:$AW$4,MATCH(TRUE,INDEX($V283:$AW283&lt;&gt;0,),0)),IF(COUNTIF(AZ283:BB283,"&lt;&gt;0")=0,INDEX($AM$4:$AW$4,MATCH(1,$AM283:$AW283,0)),"Multiple strategies"))</f>
        <v>Supply chain</v>
      </c>
      <c r="BG283" s="1" t="s">
        <v>229</v>
      </c>
      <c r="BH283" t="s">
        <v>1548</v>
      </c>
      <c r="BI283" s="264" t="s">
        <v>3121</v>
      </c>
      <c r="BJ283" t="s">
        <v>345</v>
      </c>
      <c r="BK283">
        <v>562</v>
      </c>
      <c r="BL283">
        <v>922</v>
      </c>
      <c r="BM283">
        <v>1.6405693950177935</v>
      </c>
      <c r="BN283">
        <f>BL283-BK283</f>
        <v>360</v>
      </c>
      <c r="BO283">
        <f>BN283*kg_to_m3</f>
        <v>0.73469387755102045</v>
      </c>
      <c r="BP283" s="264" t="s">
        <v>395</v>
      </c>
      <c r="BQ283" t="s">
        <v>426</v>
      </c>
      <c r="BR283" t="s">
        <v>728</v>
      </c>
      <c r="BS283">
        <v>430.5</v>
      </c>
      <c r="BT283">
        <v>515.20000000000005</v>
      </c>
      <c r="BU283" s="144"/>
      <c r="BV283">
        <f>BT283-BS283</f>
        <v>84.700000000000045</v>
      </c>
      <c r="BW283"/>
      <c r="BX283">
        <f>BV283/1000</f>
        <v>8.4700000000000039E-2</v>
      </c>
      <c r="BY283">
        <f>IFERROR(BX283/BO283,"")</f>
        <v>0.11528611111111116</v>
      </c>
      <c r="BZ283">
        <v>0</v>
      </c>
      <c r="CA283">
        <v>0</v>
      </c>
      <c r="CB283">
        <v>0</v>
      </c>
      <c r="CC283">
        <v>0</v>
      </c>
      <c r="CD283">
        <v>0</v>
      </c>
      <c r="CE283">
        <v>0</v>
      </c>
      <c r="CF283">
        <v>0</v>
      </c>
      <c r="CG283">
        <v>0</v>
      </c>
      <c r="CH283">
        <v>0</v>
      </c>
      <c r="CI283">
        <v>0</v>
      </c>
      <c r="CJ283">
        <v>0</v>
      </c>
      <c r="CK283">
        <v>0</v>
      </c>
      <c r="CL283">
        <v>0</v>
      </c>
      <c r="CM283">
        <v>0</v>
      </c>
      <c r="CN283" t="str">
        <f>IF($BL283&lt;$BK283,"refNeedCorrection","refOK")</f>
        <v>refOK</v>
      </c>
      <c r="CO283">
        <f>IF($CN283="refNeedCorrection",BL283,BK283)</f>
        <v>562</v>
      </c>
      <c r="CP283">
        <f>IF($CN283="refNeedCorrection",BK283,BL283)</f>
        <v>922</v>
      </c>
      <c r="CQ283">
        <f>IF($CN283="refOK",$BO283,-$BO283)</f>
        <v>0.73469387755102045</v>
      </c>
      <c r="CR283">
        <f>IF($CN283="refOK",$BS283,$BT283)*IF($BP283="Emissions positive",-1,1)</f>
        <v>-430.5</v>
      </c>
      <c r="CS283">
        <f>IF($CN283="refOK",$BT283,$BS283)*IF($BP283="Emissions positive",-1,1)</f>
        <v>-515.20000000000005</v>
      </c>
      <c r="CT283">
        <f>IF($CN283="refNeedCorrection",-BX283,BX283)*IF($BP283="Emissions positive",-1,1)</f>
        <v>-8.4700000000000039E-2</v>
      </c>
      <c r="CU283">
        <f>IFERROR(CT283/CQ283,"")</f>
        <v>-0.11528611111111116</v>
      </c>
      <c r="CV283" s="2">
        <f>IFERROR((CS283-CR283)/ABS(CR283),"")</f>
        <v>-0.19674796747967491</v>
      </c>
      <c r="CW283" s="1" t="s">
        <v>1199</v>
      </c>
      <c r="CX283" t="str">
        <f>IF(OR($CW283="prd",$CW283="std",$CW283="cit"),"loc",IF(OR($CW283="eur",$CW283="reg",$CW283="coy"),"reg",$CW283))</f>
        <v>reg</v>
      </c>
      <c r="CY283" t="s">
        <v>1540</v>
      </c>
      <c r="CZ283"/>
      <c r="DA283"/>
      <c r="DB283">
        <v>100</v>
      </c>
      <c r="DC283" t="str">
        <f>IF(DB283=0,"0",IF(AND(DB283&gt;=1,DB283&lt;=30),"1-30",IF(AND(DB283&gt;30,DB283&lt;=70),"31-70",IF(AND(DB283&gt;70,DB283&lt;=100),"71-100",IF(DB283&gt;100,"+100")))))</f>
        <v>71-100</v>
      </c>
      <c r="DD283">
        <v>0</v>
      </c>
      <c r="DE283">
        <v>0</v>
      </c>
      <c r="DF283">
        <v>0</v>
      </c>
      <c r="DG283">
        <v>1</v>
      </c>
      <c r="DH283"/>
      <c r="DI283">
        <f>SUM(DD283:DG283)</f>
        <v>1</v>
      </c>
      <c r="DJ283" t="str">
        <f>IF(DI283=1,INDEX($DD$7:$DG$7,MATCH(1,$DD283:$DG283,0)),"mixedProduct")</f>
        <v>TimberInput</v>
      </c>
      <c r="DK283">
        <f>IF(DD283=1,DK$7,0)</f>
        <v>0</v>
      </c>
      <c r="DL283">
        <f>IF(DE283=1,DL$7,0)</f>
        <v>0</v>
      </c>
      <c r="DM283">
        <f>IF(DF283=1,DM$7,0)</f>
        <v>0</v>
      </c>
      <c r="DN283" t="str">
        <f>IF(DG283=1,DN$7,0)</f>
        <v>Timber</v>
      </c>
      <c r="DO283">
        <v>0</v>
      </c>
      <c r="DP283">
        <v>0</v>
      </c>
      <c r="DQ283">
        <v>0</v>
      </c>
      <c r="DR283">
        <v>0</v>
      </c>
      <c r="DS283">
        <v>0</v>
      </c>
      <c r="DT283">
        <f>SUM(DO283:DP283)</f>
        <v>0</v>
      </c>
      <c r="DU283" s="143" t="str">
        <f>IF(DO283=1,"self-calculated DF",IF(DP283=1,"external DF used","explicit C balance"))</f>
        <v>explicit C balance</v>
      </c>
      <c r="DV283">
        <v>0</v>
      </c>
      <c r="DW283">
        <v>0</v>
      </c>
      <c r="DX283">
        <v>0</v>
      </c>
      <c r="DY283">
        <v>0</v>
      </c>
      <c r="DZ283">
        <v>1</v>
      </c>
      <c r="EA283" s="143">
        <v>0</v>
      </c>
      <c r="EB283">
        <v>0</v>
      </c>
      <c r="EC283">
        <v>1</v>
      </c>
      <c r="ED283">
        <v>0</v>
      </c>
      <c r="EE283">
        <v>1</v>
      </c>
      <c r="EF283">
        <v>1</v>
      </c>
      <c r="EG283">
        <v>1</v>
      </c>
      <c r="EH283">
        <v>0</v>
      </c>
      <c r="EI283" s="2">
        <v>0</v>
      </c>
      <c r="EJ283" s="1"/>
      <c r="EK283" t="str">
        <f>IF(AND(AND(AND(OR($DX283=1,$DW283=1),OR($EC283=1,$EA283=1)),SUM($DV283:$DZ283,$EF283)&gt;=4),SUM($EA283:$EE283)&gt;=2),"Whole sector","")</f>
        <v/>
      </c>
      <c r="EL283" t="str">
        <f>IF(AND(AND(OR($DX283=1,$DW283=1),AND($EC283=0,$EA283=0)),SUM($DV283:$DZ283,$EF283)&gt;=4),"Ecosystem approach","")</f>
        <v/>
      </c>
      <c r="EM283" s="2" t="str">
        <f>IF(AND(AND(AND($DX283=0,$DW283=0),OR($EC283=1,$EA283=1)),SUM($EB283:$EE283)&gt;=2),"Technology approach","")</f>
        <v>Technology approach</v>
      </c>
      <c r="EN283"/>
      <c r="EO283"/>
      <c r="EP283" t="str">
        <f>IF(ISNUMBER(BU283),IF(ABS(BU283-[1]QC_indicators!$B$2)&gt;3*[1]QC_indicators!$C$2,"C ratio",IF(ISNUMBER(BY283),IF(ABS(BY283-[1]QC_indicators!$B$1)&gt;3*[1]QC_indicators!$C$1,"DF","no"))),IF(ISNUMBER(BY283),IF(ABS(BY283-[1]QC_indicators!$B$1)&gt;3*[1]QC_indicators!$C$1,"DF","no")))</f>
        <v>no</v>
      </c>
      <c r="EQ283"/>
      <c r="ER283"/>
      <c r="ES283"/>
      <c r="ET283" s="264" t="s">
        <v>3273</v>
      </c>
      <c r="EU283"/>
    </row>
    <row r="284" spans="1:151" s="139" customFormat="1" ht="15" customHeight="1">
      <c r="A284" s="1" t="s">
        <v>265</v>
      </c>
      <c r="B284" t="s">
        <v>266</v>
      </c>
      <c r="C284" t="s">
        <v>267</v>
      </c>
      <c r="D284" t="s">
        <v>268</v>
      </c>
      <c r="E284" t="s">
        <v>269</v>
      </c>
      <c r="F284" t="s">
        <v>270</v>
      </c>
      <c r="G284" t="s">
        <v>271</v>
      </c>
      <c r="H284" t="s">
        <v>254</v>
      </c>
      <c r="I284">
        <v>2022</v>
      </c>
      <c r="J284">
        <v>0</v>
      </c>
      <c r="K284" t="s">
        <v>272</v>
      </c>
      <c r="L284"/>
      <c r="M284" t="str">
        <f>LEFT($D284,FIND(",",$D284)-1)&amp;"_"&amp;I284&amp;L284</f>
        <v>Aryapratama_2022</v>
      </c>
      <c r="N284" t="s">
        <v>222</v>
      </c>
      <c r="O284" s="145" t="s">
        <v>274</v>
      </c>
      <c r="P284"/>
      <c r="Q284" t="s">
        <v>224</v>
      </c>
      <c r="R284" s="262" t="s">
        <v>223</v>
      </c>
      <c r="S284" s="263" t="s">
        <v>3105</v>
      </c>
      <c r="T284" t="s">
        <v>299</v>
      </c>
      <c r="U284" t="s">
        <v>300</v>
      </c>
      <c r="V284">
        <v>0</v>
      </c>
      <c r="W284">
        <v>0</v>
      </c>
      <c r="X284">
        <v>0</v>
      </c>
      <c r="Y284">
        <v>0</v>
      </c>
      <c r="Z284">
        <v>0</v>
      </c>
      <c r="AA284">
        <v>0</v>
      </c>
      <c r="AB284">
        <v>0</v>
      </c>
      <c r="AC284">
        <v>0</v>
      </c>
      <c r="AD284">
        <v>0</v>
      </c>
      <c r="AE284">
        <v>0</v>
      </c>
      <c r="AF284">
        <v>0</v>
      </c>
      <c r="AG284">
        <v>0</v>
      </c>
      <c r="AH284">
        <v>0</v>
      </c>
      <c r="AI284">
        <v>0</v>
      </c>
      <c r="AJ284">
        <v>0</v>
      </c>
      <c r="AK284">
        <v>1</v>
      </c>
      <c r="AL284">
        <v>0</v>
      </c>
      <c r="AM284">
        <v>0</v>
      </c>
      <c r="AN284">
        <v>0</v>
      </c>
      <c r="AO284">
        <v>0</v>
      </c>
      <c r="AP284">
        <v>0</v>
      </c>
      <c r="AQ284">
        <v>0</v>
      </c>
      <c r="AR284">
        <v>0</v>
      </c>
      <c r="AS284">
        <v>0</v>
      </c>
      <c r="AT284">
        <v>0</v>
      </c>
      <c r="AU284">
        <v>0</v>
      </c>
      <c r="AV284">
        <v>0</v>
      </c>
      <c r="AW284">
        <v>0</v>
      </c>
      <c r="AX284" s="141">
        <f>COUNTIF(V284:AW284,"&lt;&gt;0")</f>
        <v>1</v>
      </c>
      <c r="AY284" s="141">
        <f>COUNTIF(V284:AL284,"&lt;&gt;0")</f>
        <v>1</v>
      </c>
      <c r="AZ284">
        <f>COUNTIF(V284:AC284,"&lt;&gt;0")</f>
        <v>0</v>
      </c>
      <c r="BA284">
        <f>COUNTIF(AD284:AI284,"&lt;&gt;0")</f>
        <v>0</v>
      </c>
      <c r="BB284">
        <f>COUNTIF(AJ284:AL284,"&lt;&gt;0")</f>
        <v>1</v>
      </c>
      <c r="BC284">
        <f>COUNTIF(AS284:AW284,"&lt;&gt;0")</f>
        <v>0</v>
      </c>
      <c r="BD284">
        <f>COUNTIF(AM284:AR284,"&lt;&gt;0")</f>
        <v>0</v>
      </c>
      <c r="BE284" t="str">
        <f t="array" ref="BE284">IF(AY284=1,INDEX($V$7:$AL$7,MATCH(TRUE,INDEX($V284:$AW284&lt;&gt;0,),0)),IF(AY284=0,INDEX($AM$7:$AW$7,MATCH(1,$AM284:$AW284,0)),IF(BF284="Multiple strategies","mixed drivers",IF(BF284="Supply chain","multiple supply","multiple silviculture"))))</f>
        <v>technologies/design switch</v>
      </c>
      <c r="BF284" s="2" t="str" cm="1">
        <f t="array" ref="BF284">IF(COUNTIF(AZ284:BB284,"&lt;&gt;0")=1,INDEX($V$4:$AW$4,MATCH(TRUE,INDEX($V284:$AW284&lt;&gt;0,),0)),IF(COUNTIF(AZ284:BB284,"&lt;&gt;0")=0,INDEX($AM$4:$AW$4,MATCH(1,$AM284:$AW284,0)),"Multiple strategies"))</f>
        <v>Technology</v>
      </c>
      <c r="BG284" s="1" t="s">
        <v>229</v>
      </c>
      <c r="BH284" t="s">
        <v>277</v>
      </c>
      <c r="BI284" s="264" t="s">
        <v>3106</v>
      </c>
      <c r="BJ284" t="s">
        <v>278</v>
      </c>
      <c r="BK284">
        <v>0</v>
      </c>
      <c r="BL284">
        <v>226.7291347999585</v>
      </c>
      <c r="BM284"/>
      <c r="BN284">
        <f>BL284-BK284</f>
        <v>226.7291347999585</v>
      </c>
      <c r="BO284">
        <f>BN284*tC_to_m3</f>
        <v>984.49472340407522</v>
      </c>
      <c r="BP284" t="s">
        <v>232</v>
      </c>
      <c r="BQ284" s="337" t="s">
        <v>3107</v>
      </c>
      <c r="BR284" t="s">
        <v>279</v>
      </c>
      <c r="BS284">
        <v>-515.07151116792033</v>
      </c>
      <c r="BT284">
        <v>-617.93246272463909</v>
      </c>
      <c r="BU284" s="144">
        <f>IFERROR(BT284/BS284,"")</f>
        <v>1.1997022730367719</v>
      </c>
      <c r="BV284">
        <f>BT284-BS284</f>
        <v>-102.86095155671876</v>
      </c>
      <c r="BW284"/>
      <c r="BX284">
        <f>BV284</f>
        <v>-102.86095155671876</v>
      </c>
      <c r="BY284">
        <f>IFERROR(BX284/BO284,"")</f>
        <v>-0.10448095770494099</v>
      </c>
      <c r="BZ284">
        <v>0</v>
      </c>
      <c r="CA284">
        <v>0</v>
      </c>
      <c r="CB284">
        <v>0</v>
      </c>
      <c r="CC284">
        <v>0</v>
      </c>
      <c r="CD284">
        <v>0</v>
      </c>
      <c r="CE284">
        <v>0</v>
      </c>
      <c r="CF284">
        <v>0</v>
      </c>
      <c r="CG284">
        <v>0</v>
      </c>
      <c r="CH284">
        <v>0</v>
      </c>
      <c r="CI284">
        <v>0</v>
      </c>
      <c r="CJ284">
        <v>0</v>
      </c>
      <c r="CK284">
        <v>0</v>
      </c>
      <c r="CL284">
        <v>0</v>
      </c>
      <c r="CM284">
        <v>0</v>
      </c>
      <c r="CN284" t="str">
        <f>IF($BL284&lt;$BK284,"refNeedCorrection","refOK")</f>
        <v>refOK</v>
      </c>
      <c r="CO284">
        <f>IF($CN284="refOK",$BK284,$BL284)</f>
        <v>0</v>
      </c>
      <c r="CP284">
        <f>IF($CN284="refOK",$BL284,$BK284)</f>
        <v>226.7291347999585</v>
      </c>
      <c r="CQ284">
        <f>IF($CN284="refOK",$BO284,-$BO284)</f>
        <v>984.49472340407522</v>
      </c>
      <c r="CR284">
        <f>IF($CN284="refOK",$BS284,$BT284)*IF($BP284="Emissions positive",-1,1)</f>
        <v>-515.07151116792033</v>
      </c>
      <c r="CS284">
        <f>IF($CN284="refOK",$BT284,$BS284)*IF($BP284="Emissions positive",-1,1)</f>
        <v>-617.93246272463909</v>
      </c>
      <c r="CT284">
        <f>IF($CN284="refNeedCorrection",-BX284,BX284)*IF($BP284="Emissions positive",-1,1)</f>
        <v>-102.86095155671876</v>
      </c>
      <c r="CU284">
        <f>IFERROR(CT284/CQ284,"")</f>
        <v>-0.10448095770494099</v>
      </c>
      <c r="CV284" s="2">
        <f>IFERROR((CS284-CR284)/ABS(CR284),"")</f>
        <v>-0.19970227303677196</v>
      </c>
      <c r="CW284" s="1" t="s">
        <v>234</v>
      </c>
      <c r="CX284" t="str">
        <f>IF(OR($CW284="prd",$CW284="std",$CW284="cit"),"loc",IF(OR($CW284="eur",$CW284="reg",$CW284="coy"),"reg",$CW284))</f>
        <v>loc</v>
      </c>
      <c r="CY284" t="s">
        <v>280</v>
      </c>
      <c r="CZ284"/>
      <c r="DA284"/>
      <c r="DB284">
        <v>50</v>
      </c>
      <c r="DC284" t="str">
        <f>IF(DB284=0,"0",IF(AND(DB284&gt;=1,DB284&lt;=30),"1-30",IF(AND(DB284&gt;30,DB284&lt;=70),"31-70",IF(AND(DB284&gt;70,DB284&lt;=100),"71-100",IF(DB284&gt;100,"+100")))))</f>
        <v>31-70</v>
      </c>
      <c r="DD284">
        <v>0</v>
      </c>
      <c r="DE284">
        <v>0</v>
      </c>
      <c r="DF284">
        <v>0</v>
      </c>
      <c r="DG284">
        <v>1</v>
      </c>
      <c r="DH284"/>
      <c r="DI284">
        <f>SUM(DD284:DG284)</f>
        <v>1</v>
      </c>
      <c r="DJ284" t="str">
        <f>IF(DI284=1,INDEX($DD$7:$DG$7,MATCH(1,$DD284:$DG284,0)),"mixedProduct")</f>
        <v>TimberInput</v>
      </c>
      <c r="DK284">
        <f>IF(DD284=1,DK$7,0)</f>
        <v>0</v>
      </c>
      <c r="DL284">
        <f>IF(DE284=1,DL$7,0)</f>
        <v>0</v>
      </c>
      <c r="DM284">
        <f>IF(DF284=1,DM$7,0)</f>
        <v>0</v>
      </c>
      <c r="DN284" t="str">
        <f>IF(DG284=1,DN$7,0)</f>
        <v>Timber</v>
      </c>
      <c r="DO284">
        <v>0</v>
      </c>
      <c r="DP284">
        <v>1</v>
      </c>
      <c r="DQ284">
        <v>0</v>
      </c>
      <c r="DR284" t="s">
        <v>301</v>
      </c>
      <c r="DS284">
        <v>0</v>
      </c>
      <c r="DT284">
        <f>SUM(DO284:DP284)</f>
        <v>1</v>
      </c>
      <c r="DU284" s="143" t="str">
        <f>IF(DO284=1,"self-calculated DF",IF(DP284=1,"external DF used","explicit C balance"))</f>
        <v>external DF used</v>
      </c>
      <c r="DV284">
        <v>0</v>
      </c>
      <c r="DW284">
        <v>1</v>
      </c>
      <c r="DX284">
        <v>1</v>
      </c>
      <c r="DY284">
        <v>1</v>
      </c>
      <c r="DZ284">
        <v>1</v>
      </c>
      <c r="EA284" s="143">
        <v>0</v>
      </c>
      <c r="EB284">
        <v>1</v>
      </c>
      <c r="EC284">
        <v>1</v>
      </c>
      <c r="ED284">
        <v>0</v>
      </c>
      <c r="EE284">
        <v>1</v>
      </c>
      <c r="EF284">
        <v>1</v>
      </c>
      <c r="EG284">
        <v>1</v>
      </c>
      <c r="EH284">
        <v>0</v>
      </c>
      <c r="EI284" s="2">
        <v>0</v>
      </c>
      <c r="EJ284" s="1"/>
      <c r="EK284" t="str">
        <f>IF(AND(AND(AND(OR($DX284=1,$DW284=1),OR($EC284=1,$EA284=1)),SUM($DV284:$DZ284,$EF284)&gt;=4),SUM($EA284:$EE284)&gt;=2),"Whole sector","")</f>
        <v>Whole sector</v>
      </c>
      <c r="EL284" t="str">
        <f>IF(AND(AND(OR($DX284=1,$DW284=1),AND($EC284=0,$EA284=0)),SUM($DV284:$DZ284,$EF284)&gt;=4),"Ecosystem approach","")</f>
        <v/>
      </c>
      <c r="EM284" s="2" t="str">
        <f>IF(AND(AND(AND($DX284=0,$DW284=0),OR($EC284=1,$EA284=1)),SUM($EB284:$EE284)&gt;=2),"Technology approach","")</f>
        <v/>
      </c>
      <c r="EN284"/>
      <c r="EO284"/>
      <c r="EP284" t="str">
        <f>IF(ISNUMBER(BU284),IF(ABS(BU284-[1]QC_indicators!$B$2)&gt;3*[1]QC_indicators!$C$2,"C ratio",IF(ISNUMBER(BY284),IF(ABS(BY284-[1]QC_indicators!$B$1)&gt;3*[1]QC_indicators!$C$1,"DF","no"))),IF(ISNUMBER(BY284),IF(ABS(BY284-[1]QC_indicators!$B$1)&gt;3*[1]QC_indicators!$C$1,"DF","no")))</f>
        <v>no</v>
      </c>
      <c r="EQ284" t="s">
        <v>286</v>
      </c>
      <c r="ER284" t="s">
        <v>296</v>
      </c>
      <c r="ES284"/>
      <c r="ET284" s="264" t="s">
        <v>3273</v>
      </c>
      <c r="EU284"/>
    </row>
    <row r="285" spans="1:151" s="139" customFormat="1" ht="15" customHeight="1">
      <c r="A285" s="1" t="s">
        <v>265</v>
      </c>
      <c r="B285" t="s">
        <v>1531</v>
      </c>
      <c r="C285" t="s">
        <v>1532</v>
      </c>
      <c r="D285" t="s">
        <v>1533</v>
      </c>
      <c r="E285" t="s">
        <v>1534</v>
      </c>
      <c r="F285" t="s">
        <v>1535</v>
      </c>
      <c r="G285" t="s">
        <v>271</v>
      </c>
      <c r="H285" t="s">
        <v>254</v>
      </c>
      <c r="I285">
        <v>2019</v>
      </c>
      <c r="J285">
        <v>26</v>
      </c>
      <c r="K285" t="s">
        <v>1536</v>
      </c>
      <c r="L285"/>
      <c r="M285" t="str">
        <f>LEFT($D285,FIND(",",$D285)-1)&amp;"_"&amp;I285&amp;L285</f>
        <v>Faraca_2019</v>
      </c>
      <c r="N285" t="s">
        <v>222</v>
      </c>
      <c r="O285" s="145" t="s">
        <v>274</v>
      </c>
      <c r="P285" s="180" t="s">
        <v>223</v>
      </c>
      <c r="Q285" t="s">
        <v>256</v>
      </c>
      <c r="R285" s="262" t="s">
        <v>223</v>
      </c>
      <c r="S285" s="1" t="s">
        <v>1542</v>
      </c>
      <c r="T285" s="264" t="s">
        <v>3127</v>
      </c>
      <c r="U285" s="264" t="s">
        <v>3129</v>
      </c>
      <c r="V285">
        <v>0</v>
      </c>
      <c r="W285">
        <v>0</v>
      </c>
      <c r="X285">
        <v>0</v>
      </c>
      <c r="Y285">
        <v>0</v>
      </c>
      <c r="Z285">
        <v>0</v>
      </c>
      <c r="AA285">
        <v>0</v>
      </c>
      <c r="AB285">
        <v>0</v>
      </c>
      <c r="AC285">
        <v>0</v>
      </c>
      <c r="AD285">
        <v>0</v>
      </c>
      <c r="AE285">
        <v>0</v>
      </c>
      <c r="AF285">
        <v>0</v>
      </c>
      <c r="AG285">
        <v>0</v>
      </c>
      <c r="AH285">
        <v>0</v>
      </c>
      <c r="AI285">
        <v>1</v>
      </c>
      <c r="AJ285">
        <v>0</v>
      </c>
      <c r="AK285">
        <v>0</v>
      </c>
      <c r="AL285">
        <v>0</v>
      </c>
      <c r="AM285">
        <v>0</v>
      </c>
      <c r="AN285">
        <v>0</v>
      </c>
      <c r="AO285">
        <v>0</v>
      </c>
      <c r="AP285">
        <v>0</v>
      </c>
      <c r="AQ285">
        <v>0</v>
      </c>
      <c r="AR285">
        <v>0</v>
      </c>
      <c r="AS285">
        <v>0</v>
      </c>
      <c r="AT285">
        <v>0</v>
      </c>
      <c r="AU285">
        <v>0</v>
      </c>
      <c r="AV285">
        <v>0</v>
      </c>
      <c r="AW285">
        <v>0</v>
      </c>
      <c r="AX285" s="141">
        <f>COUNTIF(V285:AW285,"&lt;&gt;0")</f>
        <v>1</v>
      </c>
      <c r="AY285" s="141">
        <f>COUNTIF(V285:AL285,"&lt;&gt;0")</f>
        <v>1</v>
      </c>
      <c r="AZ285">
        <f>COUNTIF(V285:AC285,"&lt;&gt;0")</f>
        <v>0</v>
      </c>
      <c r="BA285">
        <f>COUNTIF(AD285:AI285,"&lt;&gt;0")</f>
        <v>1</v>
      </c>
      <c r="BB285">
        <f>COUNTIF(AJ285:AL285,"&lt;&gt;0")</f>
        <v>0</v>
      </c>
      <c r="BC285">
        <f>COUNTIF(AS285:AW285,"&lt;&gt;0")</f>
        <v>0</v>
      </c>
      <c r="BD285">
        <f>COUNTIF(AM285:AR285,"&lt;&gt;0")</f>
        <v>0</v>
      </c>
      <c r="BE285" t="str">
        <f t="array" ref="BE285">IF(AY285=1,INDEX($V$7:$AL$7,MATCH(TRUE,INDEX($V285:$AW285&lt;&gt;0,),0)),IF(AY285=0,INDEX($AM$7:$AW$7,MATCH(1,$AM285:$AW285,0)),IF(BF285="Multiple strategies","mixed drivers",IF(BF285="Supply chain","multiple supply","multiple silviculture"))))</f>
        <v>products lifespan</v>
      </c>
      <c r="BF285" s="2" t="str" cm="1">
        <f t="array" ref="BF285">IF(COUNTIF(AZ285:BB285,"&lt;&gt;0")=1,INDEX($V$4:$AW$4,MATCH(TRUE,INDEX($V285:$AW285&lt;&gt;0,),0)),IF(COUNTIF(AZ285:BB285,"&lt;&gt;0")=0,INDEX($AM$4:$AW$4,MATCH(1,$AM285:$AW285,0)),"Multiple strategies"))</f>
        <v>Supply chain</v>
      </c>
      <c r="BG285" s="1" t="s">
        <v>229</v>
      </c>
      <c r="BH285" t="s">
        <v>1548</v>
      </c>
      <c r="BI285" s="264" t="s">
        <v>3121</v>
      </c>
      <c r="BJ285" t="s">
        <v>345</v>
      </c>
      <c r="BK285">
        <v>478</v>
      </c>
      <c r="BL285">
        <v>922</v>
      </c>
      <c r="BM285">
        <f>BK285/BL285</f>
        <v>0.51843817787418656</v>
      </c>
      <c r="BN285">
        <f>BL285-BK285</f>
        <v>444</v>
      </c>
      <c r="BO285">
        <f>BN285*kg_to_m3</f>
        <v>0.90612244897959193</v>
      </c>
      <c r="BP285" t="s">
        <v>395</v>
      </c>
      <c r="BQ285" t="s">
        <v>426</v>
      </c>
      <c r="BR285" t="s">
        <v>728</v>
      </c>
      <c r="BS285">
        <v>115.3</v>
      </c>
      <c r="BT285">
        <v>206.8</v>
      </c>
      <c r="BU285" s="144"/>
      <c r="BV285">
        <f>BT285-BS285</f>
        <v>91.500000000000014</v>
      </c>
      <c r="BW285"/>
      <c r="BX285">
        <f>BV285/1000</f>
        <v>9.1500000000000012E-2</v>
      </c>
      <c r="BY285">
        <f>IFERROR(BX285/BO285,"")</f>
        <v>0.10097972972972973</v>
      </c>
      <c r="BZ285">
        <v>0</v>
      </c>
      <c r="CA285">
        <v>0</v>
      </c>
      <c r="CB285">
        <v>0</v>
      </c>
      <c r="CC285">
        <v>0</v>
      </c>
      <c r="CD285">
        <v>0</v>
      </c>
      <c r="CE285">
        <v>0</v>
      </c>
      <c r="CF285">
        <v>0</v>
      </c>
      <c r="CG285">
        <v>0</v>
      </c>
      <c r="CH285">
        <v>0</v>
      </c>
      <c r="CI285">
        <v>0</v>
      </c>
      <c r="CJ285">
        <v>0</v>
      </c>
      <c r="CK285">
        <v>0</v>
      </c>
      <c r="CL285">
        <v>0</v>
      </c>
      <c r="CM285">
        <v>0</v>
      </c>
      <c r="CN285" t="str">
        <f>IF($BL285&lt;$BK285,"refNeedCorrection","refOK")</f>
        <v>refOK</v>
      </c>
      <c r="CO285">
        <f>IF($CN285="refNeedCorrection",BL285,BK285)</f>
        <v>478</v>
      </c>
      <c r="CP285">
        <f>IF($CN285="refNeedCorrection",BK285,BL285)</f>
        <v>922</v>
      </c>
      <c r="CQ285">
        <f>IF($CN285="refOK",$BO285,-$BO285)</f>
        <v>0.90612244897959193</v>
      </c>
      <c r="CR285">
        <f>IF($CN285="refOK",$BS285,$BT285)*IF($BP285="Emissions positive",-1,1)</f>
        <v>-115.3</v>
      </c>
      <c r="CS285">
        <f>IF($CN285="refOK",$BT285,$BS285)*IF($BP285="Emissions positive",-1,1)</f>
        <v>-206.8</v>
      </c>
      <c r="CT285">
        <f>IF($CN285="refNeedCorrection",-BX285,BX285)*IF($BP285="Emissions positive",-1,1)</f>
        <v>-9.1500000000000012E-2</v>
      </c>
      <c r="CU285">
        <f>IFERROR(CT285/CQ285,"")</f>
        <v>-0.10097972972972973</v>
      </c>
      <c r="CV285" s="2">
        <f>IFERROR((CS285-CR285)/ABS(CR285),"")</f>
        <v>-0.79358196010407644</v>
      </c>
      <c r="CW285" s="1" t="s">
        <v>1199</v>
      </c>
      <c r="CX285" t="str">
        <f>IF(OR($CW285="prd",$CW285="std",$CW285="cit"),"loc",IF(OR($CW285="eur",$CW285="reg",$CW285="coy"),"reg",$CW285))</f>
        <v>reg</v>
      </c>
      <c r="CY285" t="s">
        <v>1540</v>
      </c>
      <c r="CZ285"/>
      <c r="DA285"/>
      <c r="DB285">
        <v>100</v>
      </c>
      <c r="DC285" t="str">
        <f>IF(DB285=0,"0",IF(AND(DB285&gt;=1,DB285&lt;=30),"1-30",IF(AND(DB285&gt;30,DB285&lt;=70),"31-70",IF(AND(DB285&gt;70,DB285&lt;=100),"71-100",IF(DB285&gt;100,"+100")))))</f>
        <v>71-100</v>
      </c>
      <c r="DD285">
        <v>0</v>
      </c>
      <c r="DE285">
        <v>0</v>
      </c>
      <c r="DF285">
        <v>0</v>
      </c>
      <c r="DG285">
        <v>1</v>
      </c>
      <c r="DH285"/>
      <c r="DI285">
        <f>SUM(DD285:DG285)</f>
        <v>1</v>
      </c>
      <c r="DJ285" t="str">
        <f>IF(DI285=1,INDEX($DD$7:$DG$7,MATCH(1,$DD285:$DG285,0)),"mixedProduct")</f>
        <v>TimberInput</v>
      </c>
      <c r="DK285">
        <f>IF(DD285=1,DK$7,0)</f>
        <v>0</v>
      </c>
      <c r="DL285">
        <f>IF(DE285=1,DL$7,0)</f>
        <v>0</v>
      </c>
      <c r="DM285">
        <f>IF(DF285=1,DM$7,0)</f>
        <v>0</v>
      </c>
      <c r="DN285" t="str">
        <f>IF(DG285=1,DN$7,0)</f>
        <v>Timber</v>
      </c>
      <c r="DO285">
        <v>0</v>
      </c>
      <c r="DP285">
        <v>0</v>
      </c>
      <c r="DQ285">
        <v>0</v>
      </c>
      <c r="DR285">
        <v>0</v>
      </c>
      <c r="DS285">
        <v>0</v>
      </c>
      <c r="DT285">
        <f>SUM(DO285:DP285)</f>
        <v>0</v>
      </c>
      <c r="DU285" s="143" t="str">
        <f>IF(DO285=1,"self-calculated DF",IF(DP285=1,"external DF used","explicit C balance"))</f>
        <v>explicit C balance</v>
      </c>
      <c r="DV285">
        <v>0</v>
      </c>
      <c r="DW285">
        <v>0</v>
      </c>
      <c r="DX285">
        <v>0</v>
      </c>
      <c r="DY285">
        <v>0</v>
      </c>
      <c r="DZ285">
        <v>0</v>
      </c>
      <c r="EA285" s="143">
        <v>0</v>
      </c>
      <c r="EB285">
        <v>0</v>
      </c>
      <c r="EC285">
        <v>1</v>
      </c>
      <c r="ED285">
        <v>0</v>
      </c>
      <c r="EE285">
        <v>1</v>
      </c>
      <c r="EF285">
        <v>1</v>
      </c>
      <c r="EG285">
        <v>1</v>
      </c>
      <c r="EH285">
        <v>0</v>
      </c>
      <c r="EI285" s="2">
        <v>0</v>
      </c>
      <c r="EJ285" s="1"/>
      <c r="EK285" t="str">
        <f>IF(AND(AND(AND(OR($DX285=1,$DW285=1),OR($EC285=1,$EA285=1)),SUM($DV285:$DZ285,$EF285)&gt;=4),SUM($EA285:$EE285)&gt;=2),"Whole sector","")</f>
        <v/>
      </c>
      <c r="EL285" t="str">
        <f>IF(AND(AND(OR($DX285=1,$DW285=1),AND($EC285=0,$EA285=0)),SUM($DV285:$DZ285,$EF285)&gt;=4),"Ecosystem approach","")</f>
        <v/>
      </c>
      <c r="EM285" s="2" t="str">
        <f>IF(AND(AND(AND($DX285=0,$DW285=0),OR($EC285=1,$EA285=1)),SUM($EB285:$EE285)&gt;=2),"Technology approach","")</f>
        <v>Technology approach</v>
      </c>
      <c r="EN285"/>
      <c r="EO285"/>
      <c r="EP285" t="str">
        <f>IF(ISNUMBER(BU285),IF(ABS(BU285-[1]QC_indicators!$B$2)&gt;3*[1]QC_indicators!$C$2,"C ratio",IF(ISNUMBER(BY285),IF(ABS(BY285-[1]QC_indicators!$B$1)&gt;3*[1]QC_indicators!$C$1,"DF","no"))),IF(ISNUMBER(BY285),IF(ABS(BY285-[1]QC_indicators!$B$1)&gt;3*[1]QC_indicators!$C$1,"DF","no")))</f>
        <v>no</v>
      </c>
      <c r="EQ285"/>
      <c r="ER285"/>
      <c r="ES285"/>
      <c r="ET285" s="264" t="s">
        <v>3273</v>
      </c>
      <c r="EU285"/>
    </row>
    <row r="286" spans="1:151" s="139" customFormat="1" ht="15" customHeight="1">
      <c r="A286" s="1" t="s">
        <v>265</v>
      </c>
      <c r="B286" t="s">
        <v>266</v>
      </c>
      <c r="C286" t="s">
        <v>267</v>
      </c>
      <c r="D286" t="s">
        <v>268</v>
      </c>
      <c r="E286" t="s">
        <v>269</v>
      </c>
      <c r="F286" t="s">
        <v>270</v>
      </c>
      <c r="G286" t="s">
        <v>271</v>
      </c>
      <c r="H286" t="s">
        <v>254</v>
      </c>
      <c r="I286">
        <v>2022</v>
      </c>
      <c r="J286">
        <v>0</v>
      </c>
      <c r="K286" t="s">
        <v>272</v>
      </c>
      <c r="L286"/>
      <c r="M286" t="str">
        <f>LEFT($D286,FIND(",",$D286)-1)&amp;"_"&amp;I286&amp;L286</f>
        <v>Aryapratama_2022</v>
      </c>
      <c r="N286" t="s">
        <v>222</v>
      </c>
      <c r="O286" s="145" t="s">
        <v>274</v>
      </c>
      <c r="P286"/>
      <c r="Q286" t="s">
        <v>224</v>
      </c>
      <c r="R286" s="262" t="s">
        <v>223</v>
      </c>
      <c r="S286" s="263" t="s">
        <v>3105</v>
      </c>
      <c r="T286" t="s">
        <v>295</v>
      </c>
      <c r="U286" t="s">
        <v>289</v>
      </c>
      <c r="V286">
        <v>0</v>
      </c>
      <c r="W286">
        <v>0</v>
      </c>
      <c r="X286">
        <v>0</v>
      </c>
      <c r="Y286">
        <v>0</v>
      </c>
      <c r="Z286">
        <v>0</v>
      </c>
      <c r="AA286">
        <v>0</v>
      </c>
      <c r="AB286">
        <v>0</v>
      </c>
      <c r="AC286">
        <v>0</v>
      </c>
      <c r="AD286">
        <v>0</v>
      </c>
      <c r="AE286">
        <v>0</v>
      </c>
      <c r="AF286">
        <v>0</v>
      </c>
      <c r="AG286">
        <v>0</v>
      </c>
      <c r="AH286">
        <v>0</v>
      </c>
      <c r="AI286">
        <v>0</v>
      </c>
      <c r="AJ286">
        <v>0</v>
      </c>
      <c r="AK286">
        <v>1</v>
      </c>
      <c r="AL286">
        <v>0</v>
      </c>
      <c r="AM286">
        <v>0</v>
      </c>
      <c r="AN286">
        <v>0</v>
      </c>
      <c r="AO286">
        <v>0</v>
      </c>
      <c r="AP286">
        <v>0</v>
      </c>
      <c r="AQ286">
        <v>0</v>
      </c>
      <c r="AR286">
        <v>0</v>
      </c>
      <c r="AS286">
        <v>0</v>
      </c>
      <c r="AT286">
        <v>0</v>
      </c>
      <c r="AU286">
        <v>0</v>
      </c>
      <c r="AV286">
        <v>0</v>
      </c>
      <c r="AW286">
        <v>0</v>
      </c>
      <c r="AX286" s="141">
        <f>COUNTIF(V286:AW286,"&lt;&gt;0")</f>
        <v>1</v>
      </c>
      <c r="AY286" s="141">
        <f>COUNTIF(V286:AL286,"&lt;&gt;0")</f>
        <v>1</v>
      </c>
      <c r="AZ286">
        <f>COUNTIF(V286:AC286,"&lt;&gt;0")</f>
        <v>0</v>
      </c>
      <c r="BA286">
        <f>COUNTIF(AD286:AI286,"&lt;&gt;0")</f>
        <v>0</v>
      </c>
      <c r="BB286">
        <f>COUNTIF(AJ286:AL286,"&lt;&gt;0")</f>
        <v>1</v>
      </c>
      <c r="BC286">
        <f>COUNTIF(AS286:AW286,"&lt;&gt;0")</f>
        <v>0</v>
      </c>
      <c r="BD286">
        <f>COUNTIF(AM286:AR286,"&lt;&gt;0")</f>
        <v>0</v>
      </c>
      <c r="BE286" t="str">
        <f t="array" ref="BE286">IF(AY286=1,INDEX($V$7:$AL$7,MATCH(TRUE,INDEX($V286:$AW286&lt;&gt;0,),0)),IF(AY286=0,INDEX($AM$7:$AW$7,MATCH(1,$AM286:$AW286,0)),IF(BF286="Multiple strategies","mixed drivers",IF(BF286="Supply chain","multiple supply","multiple silviculture"))))</f>
        <v>technologies/design switch</v>
      </c>
      <c r="BF286" s="2" t="str" cm="1">
        <f t="array" ref="BF286">IF(COUNTIF(AZ286:BB286,"&lt;&gt;0")=1,INDEX($V$4:$AW$4,MATCH(TRUE,INDEX($V286:$AW286&lt;&gt;0,),0)),IF(COUNTIF(AZ286:BB286,"&lt;&gt;0")=0,INDEX($AM$4:$AW$4,MATCH(1,$AM286:$AW286,0)),"Multiple strategies"))</f>
        <v>Technology</v>
      </c>
      <c r="BG286" s="1" t="s">
        <v>229</v>
      </c>
      <c r="BH286" t="s">
        <v>277</v>
      </c>
      <c r="BI286" s="264" t="s">
        <v>3106</v>
      </c>
      <c r="BJ286" t="s">
        <v>278</v>
      </c>
      <c r="BK286">
        <v>0</v>
      </c>
      <c r="BL286">
        <v>429.73725876073206</v>
      </c>
      <c r="BM286"/>
      <c r="BN286">
        <f>BL286-BK286</f>
        <v>429.73725876073206</v>
      </c>
      <c r="BO286">
        <f>BN286*tC_to_m3</f>
        <v>1865.9889655264094</v>
      </c>
      <c r="BP286" t="s">
        <v>232</v>
      </c>
      <c r="BQ286" s="337" t="s">
        <v>3107</v>
      </c>
      <c r="BR286" t="s">
        <v>279</v>
      </c>
      <c r="BS286">
        <v>-808.82207371160791</v>
      </c>
      <c r="BT286">
        <v>-990.65809626676389</v>
      </c>
      <c r="BU286" s="144">
        <f>IFERROR(BT286/BS286,"")</f>
        <v>1.224815850686082</v>
      </c>
      <c r="BV286">
        <f>BT286-BS286</f>
        <v>-181.83602255515598</v>
      </c>
      <c r="BW286"/>
      <c r="BX286">
        <f>BV286</f>
        <v>-181.83602255515598</v>
      </c>
      <c r="BY286">
        <f>IFERROR(BX286/BO286,"")</f>
        <v>-9.7447533674915751E-2</v>
      </c>
      <c r="BZ286">
        <v>0</v>
      </c>
      <c r="CA286">
        <v>0</v>
      </c>
      <c r="CB286">
        <v>0</v>
      </c>
      <c r="CC286">
        <v>0</v>
      </c>
      <c r="CD286">
        <v>0</v>
      </c>
      <c r="CE286">
        <v>0</v>
      </c>
      <c r="CF286">
        <v>0</v>
      </c>
      <c r="CG286">
        <v>0</v>
      </c>
      <c r="CH286">
        <v>0</v>
      </c>
      <c r="CI286">
        <v>0</v>
      </c>
      <c r="CJ286">
        <v>0</v>
      </c>
      <c r="CK286">
        <v>0</v>
      </c>
      <c r="CL286">
        <v>0</v>
      </c>
      <c r="CM286">
        <v>0</v>
      </c>
      <c r="CN286" t="str">
        <f>IF($BL286&lt;$BK286,"refNeedCorrection","refOK")</f>
        <v>refOK</v>
      </c>
      <c r="CO286">
        <f>IF($CN286="refOK",$BK286,$BL286)</f>
        <v>0</v>
      </c>
      <c r="CP286">
        <f>IF($CN286="refOK",$BL286,$BK286)</f>
        <v>429.73725876073206</v>
      </c>
      <c r="CQ286">
        <f>IF($CN286="refOK",$BO286,-$BO286)</f>
        <v>1865.9889655264094</v>
      </c>
      <c r="CR286">
        <f>IF($CN286="refOK",$BS286,$BT286)*IF($BP286="Emissions positive",-1,1)</f>
        <v>-808.82207371160791</v>
      </c>
      <c r="CS286">
        <f>IF($CN286="refOK",$BT286,$BS286)*IF($BP286="Emissions positive",-1,1)</f>
        <v>-990.65809626676389</v>
      </c>
      <c r="CT286">
        <f>IF($CN286="refNeedCorrection",-BX286,BX286)*IF($BP286="Emissions positive",-1,1)</f>
        <v>-181.83602255515598</v>
      </c>
      <c r="CU286">
        <f>IFERROR(CT286/CQ286,"")</f>
        <v>-9.7447533674915751E-2</v>
      </c>
      <c r="CV286" s="2">
        <f>IFERROR((CS286-CR286)/ABS(CR286),"")</f>
        <v>-0.2248158506860819</v>
      </c>
      <c r="CW286" s="1" t="s">
        <v>234</v>
      </c>
      <c r="CX286" t="str">
        <f>IF(OR($CW286="prd",$CW286="std",$CW286="cit"),"loc",IF(OR($CW286="eur",$CW286="reg",$CW286="coy"),"reg",$CW286))</f>
        <v>loc</v>
      </c>
      <c r="CY286" t="s">
        <v>280</v>
      </c>
      <c r="CZ286"/>
      <c r="DA286"/>
      <c r="DB286">
        <v>100</v>
      </c>
      <c r="DC286" t="str">
        <f>IF(DB286=0,"0",IF(AND(DB286&gt;=1,DB286&lt;=30),"1-30",IF(AND(DB286&gt;30,DB286&lt;=70),"31-70",IF(AND(DB286&gt;70,DB286&lt;=100),"71-100",IF(DB286&gt;100,"+100")))))</f>
        <v>71-100</v>
      </c>
      <c r="DD286">
        <v>0</v>
      </c>
      <c r="DE286">
        <v>0</v>
      </c>
      <c r="DF286">
        <v>0</v>
      </c>
      <c r="DG286">
        <v>1</v>
      </c>
      <c r="DH286"/>
      <c r="DI286">
        <f>SUM(DD286:DG286)</f>
        <v>1</v>
      </c>
      <c r="DJ286" t="str">
        <f>IF(DI286=1,INDEX($DD$7:$DG$7,MATCH(1,$DD286:$DG286,0)),"mixedProduct")</f>
        <v>TimberInput</v>
      </c>
      <c r="DK286">
        <f>IF(DD286=1,DK$7,0)</f>
        <v>0</v>
      </c>
      <c r="DL286">
        <f>IF(DE286=1,DL$7,0)</f>
        <v>0</v>
      </c>
      <c r="DM286">
        <f>IF(DF286=1,DM$7,0)</f>
        <v>0</v>
      </c>
      <c r="DN286" t="str">
        <f>IF(DG286=1,DN$7,0)</f>
        <v>Timber</v>
      </c>
      <c r="DO286">
        <v>0</v>
      </c>
      <c r="DP286">
        <v>1</v>
      </c>
      <c r="DQ286">
        <v>0</v>
      </c>
      <c r="DR286" t="s">
        <v>292</v>
      </c>
      <c r="DS286">
        <v>0</v>
      </c>
      <c r="DT286">
        <f>SUM(DO286:DP286)</f>
        <v>1</v>
      </c>
      <c r="DU286" s="143" t="str">
        <f>IF(DO286=1,"self-calculated DF",IF(DP286=1,"external DF used","explicit C balance"))</f>
        <v>external DF used</v>
      </c>
      <c r="DV286">
        <v>0</v>
      </c>
      <c r="DW286">
        <v>1</v>
      </c>
      <c r="DX286">
        <v>1</v>
      </c>
      <c r="DY286">
        <v>1</v>
      </c>
      <c r="DZ286">
        <v>1</v>
      </c>
      <c r="EA286" s="143">
        <v>0</v>
      </c>
      <c r="EB286">
        <v>1</v>
      </c>
      <c r="EC286">
        <v>1</v>
      </c>
      <c r="ED286">
        <v>0</v>
      </c>
      <c r="EE286">
        <v>1</v>
      </c>
      <c r="EF286">
        <v>1</v>
      </c>
      <c r="EG286">
        <v>1</v>
      </c>
      <c r="EH286">
        <v>0</v>
      </c>
      <c r="EI286" s="2">
        <v>0</v>
      </c>
      <c r="EJ286" s="1"/>
      <c r="EK286" t="str">
        <f>IF(AND(AND(AND(OR($DX286=1,$DW286=1),OR($EC286=1,$EA286=1)),SUM($DV286:$DZ286,$EF286)&gt;=4),SUM($EA286:$EE286)&gt;=2),"Whole sector","")</f>
        <v>Whole sector</v>
      </c>
      <c r="EL286" t="str">
        <f>IF(AND(AND(OR($DX286=1,$DW286=1),AND($EC286=0,$EA286=0)),SUM($DV286:$DZ286,$EF286)&gt;=4),"Ecosystem approach","")</f>
        <v/>
      </c>
      <c r="EM286" s="2" t="str">
        <f>IF(AND(AND(AND($DX286=0,$DW286=0),OR($EC286=1,$EA286=1)),SUM($EB286:$EE286)&gt;=2),"Technology approach","")</f>
        <v/>
      </c>
      <c r="EN286"/>
      <c r="EO286"/>
      <c r="EP286" t="str">
        <f>IF(ISNUMBER(BU286),IF(ABS(BU286-[1]QC_indicators!$B$2)&gt;3*[1]QC_indicators!$C$2,"C ratio",IF(ISNUMBER(BY286),IF(ABS(BY286-[1]QC_indicators!$B$1)&gt;3*[1]QC_indicators!$C$1,"DF","no"))),IF(ISNUMBER(BY286),IF(ABS(BY286-[1]QC_indicators!$B$1)&gt;3*[1]QC_indicators!$C$1,"DF","no")))</f>
        <v>no</v>
      </c>
      <c r="EQ286" t="s">
        <v>286</v>
      </c>
      <c r="ER286" t="s">
        <v>296</v>
      </c>
      <c r="ES286"/>
      <c r="ET286" s="264" t="s">
        <v>3273</v>
      </c>
      <c r="EU286"/>
    </row>
    <row r="287" spans="1:151" s="139" customFormat="1" ht="15" customHeight="1">
      <c r="A287" s="1"/>
      <c r="B287"/>
      <c r="C287"/>
      <c r="D287" t="s">
        <v>757</v>
      </c>
      <c r="E287" t="s">
        <v>758</v>
      </c>
      <c r="F287"/>
      <c r="G287" t="s">
        <v>759</v>
      </c>
      <c r="H287"/>
      <c r="I287">
        <v>2006</v>
      </c>
      <c r="J287"/>
      <c r="K287" s="296" t="s">
        <v>760</v>
      </c>
      <c r="L287"/>
      <c r="M287" t="str">
        <f>LEFT($D287,FIND(",",$D287)-1)&amp;"_"&amp;I287&amp;L287</f>
        <v>Gustavsson_2006</v>
      </c>
      <c r="N287" t="s">
        <v>222</v>
      </c>
      <c r="O287" t="s">
        <v>223</v>
      </c>
      <c r="P287"/>
      <c r="Q287" s="264" t="s">
        <v>256</v>
      </c>
      <c r="R287" s="269" t="s">
        <v>1154</v>
      </c>
      <c r="S287" s="263" t="s">
        <v>765</v>
      </c>
      <c r="T287" t="s">
        <v>753</v>
      </c>
      <c r="U287" s="143" t="s">
        <v>754</v>
      </c>
      <c r="V287">
        <v>0</v>
      </c>
      <c r="W287">
        <v>0</v>
      </c>
      <c r="X287">
        <v>0</v>
      </c>
      <c r="Y287">
        <v>0</v>
      </c>
      <c r="Z287">
        <v>0</v>
      </c>
      <c r="AA287">
        <v>0</v>
      </c>
      <c r="AB287">
        <v>0</v>
      </c>
      <c r="AC287">
        <v>0</v>
      </c>
      <c r="AD287">
        <v>0</v>
      </c>
      <c r="AE287">
        <v>0</v>
      </c>
      <c r="AF287">
        <v>0</v>
      </c>
      <c r="AG287">
        <v>0</v>
      </c>
      <c r="AH287">
        <v>0</v>
      </c>
      <c r="AI287">
        <v>0</v>
      </c>
      <c r="AJ287">
        <v>0</v>
      </c>
      <c r="AK287">
        <v>1</v>
      </c>
      <c r="AL287">
        <v>0</v>
      </c>
      <c r="AM287">
        <v>0</v>
      </c>
      <c r="AN287">
        <v>0</v>
      </c>
      <c r="AO287">
        <v>0</v>
      </c>
      <c r="AP287">
        <v>0</v>
      </c>
      <c r="AQ287">
        <v>0</v>
      </c>
      <c r="AR287">
        <v>0</v>
      </c>
      <c r="AS287">
        <v>0</v>
      </c>
      <c r="AT287">
        <v>0</v>
      </c>
      <c r="AU287">
        <v>0</v>
      </c>
      <c r="AV287">
        <v>0</v>
      </c>
      <c r="AW287">
        <v>0</v>
      </c>
      <c r="AX287" s="141">
        <f>COUNTIF(V287:AW287,"&lt;&gt;0")</f>
        <v>1</v>
      </c>
      <c r="AY287" s="141">
        <f>COUNTIF(V287:AL287,"&lt;&gt;0")</f>
        <v>1</v>
      </c>
      <c r="AZ287">
        <f>COUNTIF(V287:AC287,"&lt;&gt;0")</f>
        <v>0</v>
      </c>
      <c r="BA287">
        <f>COUNTIF(AD287:AI287,"&lt;&gt;0")</f>
        <v>0</v>
      </c>
      <c r="BB287">
        <f>COUNTIF(AJ287:AL287,"&lt;&gt;0")</f>
        <v>1</v>
      </c>
      <c r="BC287">
        <f>COUNTIF(AS287:AW287,"&lt;&gt;0")</f>
        <v>0</v>
      </c>
      <c r="BD287">
        <f>COUNTIF(AM287:AR287,"&lt;&gt;0")</f>
        <v>0</v>
      </c>
      <c r="BE287" t="str" cm="1">
        <f t="array" ref="BE287">IF(AY287=1,INDEX($V$7:$AL$7,MATCH(TRUE,INDEX($V287:$AW287&lt;&gt;0,),0)),IF(AY287=0,INDEX($AM$7:$AW$7,MATCH(1,$AM287:$AW287,0)),IF(BF287="Multiple strategies","mixed drivers",IF(BF287="Supply chain","multiple supply","multiple silviculture"))))</f>
        <v>technologies/design switch</v>
      </c>
      <c r="BF287" s="2" t="str" cm="1">
        <f t="array" ref="BF287">IF(COUNTIF(AZ287:BB287,"&lt;&gt;0")=1,INDEX($V$4:$AW$4,MATCH(TRUE,INDEX($V287:$AW287&lt;&gt;0,),0)),IF(COUNTIF(AZ287:BB287,"&lt;&gt;0")=0,INDEX($AM$4:$AW$4,MATCH(1,$AM287:$AW287,0)),"Multiple strategies"))</f>
        <v>Technology</v>
      </c>
      <c r="BG287" s="142" t="s">
        <v>229</v>
      </c>
      <c r="BH287" t="s">
        <v>393</v>
      </c>
      <c r="BI287" s="264" t="s">
        <v>762</v>
      </c>
      <c r="BJ287" s="143" t="s">
        <v>763</v>
      </c>
      <c r="BK287">
        <v>86.6</v>
      </c>
      <c r="BL287" s="143">
        <v>428</v>
      </c>
      <c r="BM287" s="143"/>
      <c r="BN287">
        <f>BL287-BK287</f>
        <v>341.4</v>
      </c>
      <c r="BO287" s="143">
        <f>BN287*t_to_m3</f>
        <v>696.73469387755097</v>
      </c>
      <c r="BP287" s="264" t="s">
        <v>232</v>
      </c>
      <c r="BQ287" s="155" t="s">
        <v>764</v>
      </c>
      <c r="BR287" t="s">
        <v>442</v>
      </c>
      <c r="BS287" s="143">
        <v>-119.4</v>
      </c>
      <c r="BT287" s="151">
        <v>-136.69999999999999</v>
      </c>
      <c r="BU287"/>
      <c r="BV287">
        <f>BT287-BS287</f>
        <v>-17.299999999999983</v>
      </c>
      <c r="BW287"/>
      <c r="BX287">
        <f>BV287*C_to_CO2</f>
        <v>-63.490999999999936</v>
      </c>
      <c r="BY287">
        <f>IFERROR(BX287/BO287,"")</f>
        <v>-9.1126508494434599E-2</v>
      </c>
      <c r="BZ287" s="143">
        <v>0</v>
      </c>
      <c r="CA287" s="143">
        <v>0</v>
      </c>
      <c r="CB287" s="143">
        <v>0</v>
      </c>
      <c r="CC287" s="143">
        <v>0</v>
      </c>
      <c r="CD287" s="143">
        <v>0</v>
      </c>
      <c r="CE287" s="143">
        <v>0</v>
      </c>
      <c r="CF287" s="143">
        <v>0</v>
      </c>
      <c r="CG287" s="143">
        <v>0</v>
      </c>
      <c r="CH287" s="143">
        <v>0</v>
      </c>
      <c r="CI287" s="143">
        <v>0</v>
      </c>
      <c r="CJ287" s="143">
        <v>0</v>
      </c>
      <c r="CK287" s="143">
        <v>0</v>
      </c>
      <c r="CL287" s="143">
        <v>0</v>
      </c>
      <c r="CM287">
        <v>0</v>
      </c>
      <c r="CN287" t="str">
        <f>IF($BL287&lt;$BK287,"refNeedCorrection","refOK")</f>
        <v>refOK</v>
      </c>
      <c r="CO287">
        <f>IF($CN287="refOK",$BK287,$BL287)</f>
        <v>86.6</v>
      </c>
      <c r="CP287">
        <f>IF($CN287="refOK",$BL287,$BK287)</f>
        <v>428</v>
      </c>
      <c r="CQ287">
        <f>IF($CN287="refOK",$BO287,-$BO287)</f>
        <v>696.73469387755097</v>
      </c>
      <c r="CR287">
        <f>IF($CN287="refOK",$BS287,$BT287)*IF($BP287="Emissions positive",-1,1)</f>
        <v>-119.4</v>
      </c>
      <c r="CS287">
        <f>IF($CN287="refOK",$BT287,$BS287)*IF($BP287="Emissions positive",-1,1)</f>
        <v>-136.69999999999999</v>
      </c>
      <c r="CT287">
        <f>IF($CN287="refNeedCorrection",-BX287,BX287)*IF($BP287="Emissions positive",-1,1)</f>
        <v>-63.490999999999936</v>
      </c>
      <c r="CU287">
        <f>IFERROR(CT287/CQ287,"")</f>
        <v>-9.1126508494434599E-2</v>
      </c>
      <c r="CV287" s="2">
        <f>IFERROR((CS287-CR287)/ABS(CR287),"")</f>
        <v>-0.14489112227805681</v>
      </c>
      <c r="CW287" s="1" t="s">
        <v>263</v>
      </c>
      <c r="CX287" s="264" t="str">
        <f>IF(OR($CW287="prd",$CW287="std",$CW287="cit"),"loc",IF(OR($CW287="eur",$CW287="reg",$CW287="coy"),"reg",$CW287))</f>
        <v>loc</v>
      </c>
      <c r="CY287" t="s">
        <v>235</v>
      </c>
      <c r="CZ287"/>
      <c r="DA287" s="143"/>
      <c r="DB287" s="143">
        <v>0</v>
      </c>
      <c r="DC287" t="str">
        <f>IF(DB287=0,"0",IF(AND(DB287&gt;=1,DB287&lt;=30),"1-30",IF(AND(DB287&gt;30,DB287&lt;=70),"31-70",IF(AND(DB287&gt;70,DB287&lt;=100),"71-100",IF(DB287&gt;100,"+100")))))</f>
        <v>0</v>
      </c>
      <c r="DD287">
        <v>0</v>
      </c>
      <c r="DE287">
        <v>0</v>
      </c>
      <c r="DF287">
        <v>0</v>
      </c>
      <c r="DG287">
        <v>1</v>
      </c>
      <c r="DH287"/>
      <c r="DI287">
        <f>SUM(DD287:DG287)</f>
        <v>1</v>
      </c>
      <c r="DJ287" t="str">
        <f>IF(DI287=1,INDEX($DD$7:$DG$7,MATCH(1,$DD287:$DG287,0)),"mixedProduct")</f>
        <v>TimberInput</v>
      </c>
      <c r="DK287">
        <f>IF(DD287=1,DK$7,0)</f>
        <v>0</v>
      </c>
      <c r="DL287">
        <f>IF(DE287=1,DL$7,0)</f>
        <v>0</v>
      </c>
      <c r="DM287">
        <f>IF(DF287=1,DM$7,0)</f>
        <v>0</v>
      </c>
      <c r="DN287" t="str">
        <f>IF(DG287=1,DN$7,0)</f>
        <v>Timber</v>
      </c>
      <c r="DO287">
        <v>1</v>
      </c>
      <c r="DP287" s="143">
        <v>0</v>
      </c>
      <c r="DQ287" s="143">
        <v>0</v>
      </c>
      <c r="DR287">
        <v>0</v>
      </c>
      <c r="DS287" s="143">
        <v>0</v>
      </c>
      <c r="DT287">
        <f>SUM(DO287:DP287)</f>
        <v>1</v>
      </c>
      <c r="DU287" s="143" t="str">
        <f>IF(DO287=1,"self-calculated DF",IF(DP287=1,"external DF used","explicit C balance"))</f>
        <v>self-calculated DF</v>
      </c>
      <c r="DV287" s="143">
        <v>0</v>
      </c>
      <c r="DW287" s="143">
        <v>1</v>
      </c>
      <c r="DX287" s="143">
        <v>1</v>
      </c>
      <c r="DY287" s="143">
        <v>1</v>
      </c>
      <c r="DZ287">
        <v>0</v>
      </c>
      <c r="EA287" s="143">
        <v>1</v>
      </c>
      <c r="EB287" s="143">
        <v>1</v>
      </c>
      <c r="EC287" s="143">
        <v>1</v>
      </c>
      <c r="ED287" s="143">
        <v>0</v>
      </c>
      <c r="EE287">
        <v>0</v>
      </c>
      <c r="EF287">
        <v>1</v>
      </c>
      <c r="EG287" s="143">
        <v>0</v>
      </c>
      <c r="EH287" s="143">
        <v>0</v>
      </c>
      <c r="EI287" s="2">
        <v>0</v>
      </c>
      <c r="EJ287" s="1"/>
      <c r="EK287" t="str">
        <f>IF(AND(AND(AND(OR($DX287=1,$DW287=1),OR($EC287=1,$EA287=1)),SUM($DV287:$DZ287,$EF287)&gt;=4),SUM($EA287:$EE287)&gt;=2),"Whole sector","")</f>
        <v>Whole sector</v>
      </c>
      <c r="EL287" t="str">
        <f>IF(AND(AND(OR($DX287=1,$DW287=1),AND($EC287=0,$EA287=0)),SUM($DV287:$DZ287,$EF287)&gt;=4),"Ecosystem approach","")</f>
        <v/>
      </c>
      <c r="EM287" s="2" t="str">
        <f>IF(AND(AND(AND($DX287=0,$DW287=0),OR($EC287=1,$EA287=1)),SUM($EB287:$EE287)&gt;=2),"Technology approach","")</f>
        <v/>
      </c>
      <c r="EN287"/>
      <c r="EO287"/>
      <c r="EP287" t="str">
        <f>IF(ISNUMBER(BU287),IF(ABS(BU287-[3]QC_indicators!$B$2)&gt;3*[3]QC_indicators!$C$2,"C ratio",IF(ISNUMBER(BY287),IF(ABS(BY287-[3]QC_indicators!$B$1)&gt;3*[3]QC_indicators!$C$1,"DF","no"))),IF(ISNUMBER(BY287),IF(ABS(BY287-[3]QC_indicators!$B$1)&gt;3*[3]QC_indicators!$C$1,"DF","no")))</f>
        <v>no</v>
      </c>
      <c r="EQ287"/>
      <c r="ER287" s="294" t="s">
        <v>349</v>
      </c>
      <c r="ES287"/>
      <c r="ET287" s="264" t="s">
        <v>3407</v>
      </c>
      <c r="EU287"/>
    </row>
    <row r="288" spans="1:151" s="139" customFormat="1" ht="15" customHeight="1">
      <c r="A288" s="1" t="s">
        <v>1360</v>
      </c>
      <c r="B288" t="s">
        <v>2135</v>
      </c>
      <c r="C288" t="s">
        <v>2136</v>
      </c>
      <c r="D288" t="s">
        <v>2137</v>
      </c>
      <c r="E288" t="s">
        <v>2138</v>
      </c>
      <c r="F288" t="s">
        <v>2139</v>
      </c>
      <c r="G288" t="s">
        <v>1366</v>
      </c>
      <c r="H288" t="s">
        <v>254</v>
      </c>
      <c r="I288">
        <v>2012</v>
      </c>
      <c r="J288">
        <v>21</v>
      </c>
      <c r="K288" t="s">
        <v>2140</v>
      </c>
      <c r="L288" s="192"/>
      <c r="M288" t="str">
        <f>LEFT($D288,FIND(",",$D288)-1)&amp;"_"&amp;I288&amp;L288</f>
        <v>Pyorala_2012</v>
      </c>
      <c r="N288" t="s">
        <v>222</v>
      </c>
      <c r="O288" s="145" t="s">
        <v>341</v>
      </c>
      <c r="P288" s="180" t="s">
        <v>223</v>
      </c>
      <c r="Q288" s="264" t="s">
        <v>256</v>
      </c>
      <c r="R288" s="269" t="s">
        <v>1154</v>
      </c>
      <c r="S288" s="263" t="s">
        <v>2141</v>
      </c>
      <c r="T288" s="264" t="s">
        <v>2142</v>
      </c>
      <c r="U288" s="264" t="s">
        <v>2143</v>
      </c>
      <c r="V288">
        <v>0</v>
      </c>
      <c r="W288">
        <v>0</v>
      </c>
      <c r="X288">
        <v>0</v>
      </c>
      <c r="Y288">
        <v>1</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s="141">
        <f>COUNTIF(V288:AW288,"&lt;&gt;0")</f>
        <v>1</v>
      </c>
      <c r="AY288" s="141">
        <f>COUNTIF(V288:AL288,"&lt;&gt;0")</f>
        <v>1</v>
      </c>
      <c r="AZ288">
        <f>COUNTIF(V288:AC288,"&lt;&gt;0")</f>
        <v>1</v>
      </c>
      <c r="BA288">
        <f>COUNTIF(AD288:AI288,"&lt;&gt;0")</f>
        <v>0</v>
      </c>
      <c r="BB288">
        <f>COUNTIF(AJ288:AL288,"&lt;&gt;0")</f>
        <v>0</v>
      </c>
      <c r="BC288">
        <f>COUNTIF(AS288:AW288,"&lt;&gt;0")</f>
        <v>0</v>
      </c>
      <c r="BD288">
        <f>COUNTIF(AM288:AR288,"&lt;&gt;0")</f>
        <v>0</v>
      </c>
      <c r="BE288" t="str" cm="1">
        <f t="array" ref="BE288">IF(AY288=1,INDEX($V$7:$AL$7,MATCH(TRUE,INDEX($V288:$AW288&lt;&gt;0,),0)),IF(AY288=0,INDEX($AM$7:$AW$7,MATCH(1,$AM288:$AW288,0)),IF(BF288="Multiple strategies","mixed drivers",IF(BF288="Supply chain","multiple supply","multiple silviculture"))))</f>
        <v xml:space="preserve">cutting intensity </v>
      </c>
      <c r="BF288" s="2" t="str" cm="1">
        <f t="array" ref="BF288">IF(COUNTIF(AZ288:BB288,"&lt;&gt;0")=1,INDEX($V$4:$AW$4,MATCH(TRUE,INDEX($V288:$AW288&lt;&gt;0,),0)),IF(COUNTIF(AZ288:BB288,"&lt;&gt;0")=0,INDEX($AM$4:$AW$4,MATCH(1,$AM288:$AW288,0)),"Multiple strategies"))</f>
        <v>Silviculture for removals</v>
      </c>
      <c r="BG288" s="178" t="s">
        <v>321</v>
      </c>
      <c r="BH288" s="264" t="s">
        <v>2144</v>
      </c>
      <c r="BI288" s="264" t="s">
        <v>426</v>
      </c>
      <c r="BJ288" s="160" t="s">
        <v>700</v>
      </c>
      <c r="BK288">
        <v>8.3000000000000007</v>
      </c>
      <c r="BL288">
        <v>8.4</v>
      </c>
      <c r="BM288"/>
      <c r="BN288">
        <f>BL288-BK288</f>
        <v>9.9999999999999645E-2</v>
      </c>
      <c r="BO288">
        <f>BN288</f>
        <v>9.9999999999999645E-2</v>
      </c>
      <c r="BP288" s="155" t="s">
        <v>395</v>
      </c>
      <c r="BQ288" s="335" t="s">
        <v>786</v>
      </c>
      <c r="BR288" s="270" t="s">
        <v>2145</v>
      </c>
      <c r="BS288">
        <f>-4.5/80</f>
        <v>-5.6250000000000001E-2</v>
      </c>
      <c r="BT288">
        <f>-3.8/80</f>
        <v>-4.7500000000000001E-2</v>
      </c>
      <c r="BU288" s="144"/>
      <c r="BV288">
        <f>BT288-BS288</f>
        <v>8.7500000000000008E-3</v>
      </c>
      <c r="BW288"/>
      <c r="BX288">
        <f>BV288</f>
        <v>8.7500000000000008E-3</v>
      </c>
      <c r="BY288">
        <f>IFERROR(BX288/BO288,"")</f>
        <v>8.7500000000000314E-2</v>
      </c>
      <c r="BZ288">
        <v>0</v>
      </c>
      <c r="CA288">
        <v>0</v>
      </c>
      <c r="CB288">
        <v>0</v>
      </c>
      <c r="CC288">
        <v>0</v>
      </c>
      <c r="CD288">
        <v>0</v>
      </c>
      <c r="CE288">
        <v>0</v>
      </c>
      <c r="CF288">
        <v>0</v>
      </c>
      <c r="CG288">
        <v>0</v>
      </c>
      <c r="CH288">
        <v>0</v>
      </c>
      <c r="CI288">
        <v>0</v>
      </c>
      <c r="CJ288">
        <v>0</v>
      </c>
      <c r="CK288">
        <v>0</v>
      </c>
      <c r="CL288">
        <v>0</v>
      </c>
      <c r="CM288">
        <v>0</v>
      </c>
      <c r="CN288" t="str">
        <f>IF($BL288&lt;$BK288,"refNeedCorrection","refOK")</f>
        <v>refOK</v>
      </c>
      <c r="CO288">
        <f>IF($CN288="refOK",$BK288,$BL288)</f>
        <v>8.3000000000000007</v>
      </c>
      <c r="CP288">
        <f>IF($CN288="refOK",$BL288,$BK288)</f>
        <v>8.4</v>
      </c>
      <c r="CQ288">
        <f>IF($CN288="refOK",$BO288,-$BO288)</f>
        <v>9.9999999999999645E-2</v>
      </c>
      <c r="CR288">
        <f>IF($CN288="refOK",$BS288,$BT288)*IF($BP288="Emissions positive",-1,1)</f>
        <v>5.6250000000000001E-2</v>
      </c>
      <c r="CS288">
        <f>IF($CN288="refOK",$BT288,$BS288)*IF($BP288="Emissions positive",-1,1)</f>
        <v>4.7500000000000001E-2</v>
      </c>
      <c r="CT288">
        <f>IF($CN288="refNeedCorrection",-BX288,BX288)*IF($BP288="Emissions positive",-1,1)</f>
        <v>-8.7500000000000008E-3</v>
      </c>
      <c r="CU288">
        <f>IFERROR(CT288/CQ288,"")</f>
        <v>-8.7500000000000314E-2</v>
      </c>
      <c r="CV288" s="2">
        <f>IFERROR((CS288-CR288)/ABS(CR288),"")</f>
        <v>-0.15555555555555556</v>
      </c>
      <c r="CW288" s="1" t="s">
        <v>1199</v>
      </c>
      <c r="CX288" s="264" t="str">
        <f>IF(OR($CW288="prd",$CW288="std",$CW288="cit"),"loc",IF(OR($CW288="eur",$CW288="reg",$CW288="coy"),"reg",$CW288))</f>
        <v>reg</v>
      </c>
      <c r="CY288" t="s">
        <v>235</v>
      </c>
      <c r="CZ288"/>
      <c r="DA288"/>
      <c r="DB288">
        <v>80</v>
      </c>
      <c r="DC288" t="str">
        <f>IF(DB288=0,"0",IF(AND(DB288&gt;=1,DB288&lt;=30),"1-30",IF(AND(DB288&gt;30,DB288&lt;=70),"31-70",IF(AND(DB288&gt;70,DB288&lt;=100),"71-100",IF(DB288&gt;100,"+100")))))</f>
        <v>71-100</v>
      </c>
      <c r="DD288">
        <v>0</v>
      </c>
      <c r="DE288">
        <v>1</v>
      </c>
      <c r="DF288">
        <v>1</v>
      </c>
      <c r="DG288">
        <v>1</v>
      </c>
      <c r="DH288"/>
      <c r="DI288">
        <f>SUM(DD288:DG288)</f>
        <v>3</v>
      </c>
      <c r="DJ288" t="str">
        <f>IF(DI288=1,INDEX($DD$7:$DG$7,MATCH(1,$DD288:$DG288,0)),"mixedProduct")</f>
        <v>mixedProduct</v>
      </c>
      <c r="DK288">
        <f>IF(DD288=1,DK$7,0)</f>
        <v>0</v>
      </c>
      <c r="DL288" t="str">
        <f>IF(DE288=1,DL$7,0)</f>
        <v>Energy</v>
      </c>
      <c r="DM288" t="str">
        <f>IF(DF288=1,DM$7,0)</f>
        <v>Pulp/Paper</v>
      </c>
      <c r="DN288" t="str">
        <f>IF(DG288=1,DN$7,0)</f>
        <v>Timber</v>
      </c>
      <c r="DO288">
        <v>0</v>
      </c>
      <c r="DP288">
        <v>1</v>
      </c>
      <c r="DQ288" t="s">
        <v>2146</v>
      </c>
      <c r="DR288">
        <v>0</v>
      </c>
      <c r="DS288">
        <v>0</v>
      </c>
      <c r="DT288">
        <f>SUM(DO288:DP288)</f>
        <v>1</v>
      </c>
      <c r="DU288" s="143" t="str">
        <f>IF(DO288=1,"self-calculated DF",IF(DP288=1,"external DF used","explicit C balance"))</f>
        <v>external DF used</v>
      </c>
      <c r="DV288">
        <v>1</v>
      </c>
      <c r="DW288">
        <v>1</v>
      </c>
      <c r="DX288">
        <v>1</v>
      </c>
      <c r="DY288">
        <v>0</v>
      </c>
      <c r="DZ288">
        <v>0</v>
      </c>
      <c r="EA288" s="143">
        <v>0</v>
      </c>
      <c r="EB288">
        <v>1</v>
      </c>
      <c r="EC288">
        <v>1</v>
      </c>
      <c r="ED288">
        <v>0</v>
      </c>
      <c r="EE288">
        <v>0</v>
      </c>
      <c r="EF288">
        <v>1</v>
      </c>
      <c r="EG288">
        <v>0</v>
      </c>
      <c r="EH288">
        <v>0</v>
      </c>
      <c r="EI288" s="2">
        <v>0</v>
      </c>
      <c r="EJ288" s="1"/>
      <c r="EK288" t="str">
        <f>IF(AND(AND(AND(OR($DX288=1,$DW288=1),OR($EC288=1,$EA288=1)),SUM($DV288:$DZ288,$EF288)&gt;=4),SUM($EA288:$EE288)&gt;=2),"Whole sector","")</f>
        <v>Whole sector</v>
      </c>
      <c r="EL288" t="str">
        <f>IF(AND(AND(OR($DX288=1,$DW288=1),AND($EC288=0,$EA288=0)),SUM($DV288:$DZ288,$EF288)&gt;=4),"Ecosystem approach","")</f>
        <v/>
      </c>
      <c r="EM288" s="2" t="str">
        <f>IF(AND(AND(AND($DX288=0,$DW288=0),OR($EC288=1,$EA288=1)),SUM($EB288:$EE288)&gt;=2),"Technology approach","")</f>
        <v/>
      </c>
      <c r="EN288"/>
      <c r="EO288"/>
      <c r="EP288" t="str">
        <f>IF(ISNUMBER(BU288),IF(ABS(BU288-[3]QC_indicators!$B$2)&gt;3*[3]QC_indicators!$C$2,"C ratio",IF(ISNUMBER(BY288),IF(ABS(BY288-[3]QC_indicators!$B$1)&gt;3*[3]QC_indicators!$C$1,"DF","no"))),IF(ISNUMBER(BY288),IF(ABS(BY288-[3]QC_indicators!$B$1)&gt;3*[3]QC_indicators!$C$1,"DF","no")))</f>
        <v>no</v>
      </c>
      <c r="EQ288"/>
      <c r="ER288"/>
      <c r="ES288"/>
      <c r="ET288" s="264" t="s">
        <v>3407</v>
      </c>
      <c r="EU288"/>
    </row>
    <row r="289" spans="1:151" s="139" customFormat="1" ht="15" customHeight="1">
      <c r="A289" s="1" t="s">
        <v>333</v>
      </c>
      <c r="B289" t="s">
        <v>945</v>
      </c>
      <c r="C289" t="s">
        <v>946</v>
      </c>
      <c r="D289" t="s">
        <v>947</v>
      </c>
      <c r="E289" t="s">
        <v>948</v>
      </c>
      <c r="F289" t="s">
        <v>949</v>
      </c>
      <c r="G289" t="s">
        <v>339</v>
      </c>
      <c r="H289" t="s">
        <v>254</v>
      </c>
      <c r="I289">
        <v>2021</v>
      </c>
      <c r="J289">
        <v>0</v>
      </c>
      <c r="K289" t="s">
        <v>950</v>
      </c>
      <c r="L289"/>
      <c r="M289" t="str">
        <f>LEFT($D289,FIND(",",$D289)-1)&amp;"_"&amp;I289&amp;L289</f>
        <v>Morris_2021</v>
      </c>
      <c r="N289" t="s">
        <v>222</v>
      </c>
      <c r="O289" t="s">
        <v>223</v>
      </c>
      <c r="P289"/>
      <c r="Q289" t="s">
        <v>256</v>
      </c>
      <c r="R289" s="255" t="s">
        <v>225</v>
      </c>
      <c r="S289" s="1" t="s">
        <v>956</v>
      </c>
      <c r="T289" t="s">
        <v>795</v>
      </c>
      <c r="U289" t="s">
        <v>957</v>
      </c>
      <c r="V289">
        <v>0</v>
      </c>
      <c r="W289">
        <v>0</v>
      </c>
      <c r="X289">
        <v>0</v>
      </c>
      <c r="Y289">
        <v>0</v>
      </c>
      <c r="Z289">
        <v>0</v>
      </c>
      <c r="AA289">
        <v>0</v>
      </c>
      <c r="AB289">
        <v>0</v>
      </c>
      <c r="AC289">
        <v>0</v>
      </c>
      <c r="AD289">
        <v>0</v>
      </c>
      <c r="AE289">
        <v>0</v>
      </c>
      <c r="AF289">
        <v>0</v>
      </c>
      <c r="AG289">
        <v>0</v>
      </c>
      <c r="AH289">
        <v>0</v>
      </c>
      <c r="AI289">
        <v>0</v>
      </c>
      <c r="AJ289">
        <v>0</v>
      </c>
      <c r="AK289">
        <v>1</v>
      </c>
      <c r="AL289">
        <v>0</v>
      </c>
      <c r="AM289">
        <v>0</v>
      </c>
      <c r="AN289">
        <v>0</v>
      </c>
      <c r="AO289">
        <v>0</v>
      </c>
      <c r="AP289">
        <v>0</v>
      </c>
      <c r="AQ289">
        <v>0</v>
      </c>
      <c r="AR289">
        <v>0</v>
      </c>
      <c r="AS289">
        <v>0</v>
      </c>
      <c r="AT289">
        <v>0</v>
      </c>
      <c r="AU289">
        <v>0</v>
      </c>
      <c r="AV289">
        <v>0</v>
      </c>
      <c r="AW289">
        <v>0</v>
      </c>
      <c r="AX289" s="141">
        <f>COUNTIF(V289:AW289,"&lt;&gt;0")</f>
        <v>1</v>
      </c>
      <c r="AY289" s="141">
        <f>COUNTIF(V289:AL289,"&lt;&gt;0")</f>
        <v>1</v>
      </c>
      <c r="AZ289">
        <f>COUNTIF(V289:AC289,"&lt;&gt;0")</f>
        <v>0</v>
      </c>
      <c r="BA289">
        <f>COUNTIF(AD289:AI289,"&lt;&gt;0")</f>
        <v>0</v>
      </c>
      <c r="BB289">
        <f>COUNTIF(AJ289:AL289,"&lt;&gt;0")</f>
        <v>1</v>
      </c>
      <c r="BC289">
        <f>COUNTIF(AS289:AW289,"&lt;&gt;0")</f>
        <v>0</v>
      </c>
      <c r="BD289">
        <f>COUNTIF(AM289:AR289,"&lt;&gt;0")</f>
        <v>0</v>
      </c>
      <c r="BE289" t="str">
        <f t="array" ref="BE289">IF(AY289=1,INDEX($V$7:$AL$7,MATCH(TRUE,INDEX($V289:$AW289&lt;&gt;0,),0)),IF(AY289=0,INDEX($AM$7:$AW$7,MATCH(1,$AM289:$AW289,0)),IF(BF289="Multiple strategies","mixed drivers",IF(BF289="Supply chain","multiple supply","multiple silviculture"))))</f>
        <v>technologies/design switch</v>
      </c>
      <c r="BF289" s="2" t="str" cm="1">
        <f t="array" ref="BF289">IF(COUNTIF(AZ289:BB289,"&lt;&gt;0")=1,INDEX($V$4:$AW$4,MATCH(TRUE,INDEX($V289:$AW289&lt;&gt;0,),0)),IF(COUNTIF(AZ289:BB289,"&lt;&gt;0")=0,INDEX($AM$4:$AW$4,MATCH(1,$AM289:$AW289,0)),"Multiple strategies"))</f>
        <v>Technology</v>
      </c>
      <c r="BG289" s="1" t="s">
        <v>229</v>
      </c>
      <c r="BH289" t="s">
        <v>954</v>
      </c>
      <c r="BI289" s="260" t="s">
        <v>3373</v>
      </c>
      <c r="BJ289" t="s">
        <v>345</v>
      </c>
      <c r="BK289">
        <v>0</v>
      </c>
      <c r="BL289">
        <v>116.6</v>
      </c>
      <c r="BM289"/>
      <c r="BN289">
        <f>BL289-BK289</f>
        <v>116.6</v>
      </c>
      <c r="BO289">
        <f>BN289*kg_to_m3</f>
        <v>0.23795918367346941</v>
      </c>
      <c r="BP289" t="s">
        <v>232</v>
      </c>
      <c r="BQ289" s="260" t="s">
        <v>3377</v>
      </c>
      <c r="BR289" t="s">
        <v>955</v>
      </c>
      <c r="BS289">
        <v>-139.69999999999999</v>
      </c>
      <c r="BT289">
        <v>-159.69999999999999</v>
      </c>
      <c r="BU289" s="144">
        <f>IFERROR(BT289/BS289,"")</f>
        <v>1.1431639226914818</v>
      </c>
      <c r="BV289">
        <f>BT289-BS289</f>
        <v>-20</v>
      </c>
      <c r="BW289"/>
      <c r="BX289">
        <f>BV289/1000</f>
        <v>-0.02</v>
      </c>
      <c r="BY289">
        <f>IFERROR(BX289/BO289,"")</f>
        <v>-8.4048027444253853E-2</v>
      </c>
      <c r="BZ289">
        <v>1</v>
      </c>
      <c r="CA289">
        <v>0</v>
      </c>
      <c r="CB289">
        <v>0</v>
      </c>
      <c r="CC289">
        <v>0</v>
      </c>
      <c r="CD289">
        <v>0</v>
      </c>
      <c r="CE289">
        <v>1</v>
      </c>
      <c r="CF289">
        <v>0</v>
      </c>
      <c r="CG289">
        <v>1</v>
      </c>
      <c r="CH289">
        <v>0</v>
      </c>
      <c r="CI289">
        <v>0</v>
      </c>
      <c r="CJ289">
        <v>0</v>
      </c>
      <c r="CK289">
        <v>0</v>
      </c>
      <c r="CL289">
        <v>0</v>
      </c>
      <c r="CM289">
        <v>0</v>
      </c>
      <c r="CN289" t="str">
        <f>IF($BL289&lt;$BK289,"refNeedCorrection","refOK")</f>
        <v>refOK</v>
      </c>
      <c r="CO289">
        <f>IF($CN289="refOK",$BK289,$BL289)</f>
        <v>0</v>
      </c>
      <c r="CP289">
        <f>IF($CN289="refOK",$BL289,$BK289)</f>
        <v>116.6</v>
      </c>
      <c r="CQ289">
        <f>IF($CN289="refOK",$BO289,-$BO289)</f>
        <v>0.23795918367346941</v>
      </c>
      <c r="CR289">
        <f>IF($CN289="refOK",$BS289,$BT289)*IF($BP289="Emissions positive",-1,1)</f>
        <v>-139.69999999999999</v>
      </c>
      <c r="CS289">
        <f>IF($CN289="refOK",$BT289,$BS289)*IF($BP289="Emissions positive",-1,1)</f>
        <v>-159.69999999999999</v>
      </c>
      <c r="CT289">
        <f>IF($CN289="refNeedCorrection",-BX289,BX289)*IF($BP289="Emissions positive",-1,1)</f>
        <v>-0.02</v>
      </c>
      <c r="CU289">
        <f>IFERROR(CT289/CQ289,"")</f>
        <v>-8.4048027444253853E-2</v>
      </c>
      <c r="CV289" s="2">
        <f>IFERROR((CS289-CR289)/ABS(CR289),"")</f>
        <v>-0.14316392269148176</v>
      </c>
      <c r="CW289" s="1" t="s">
        <v>263</v>
      </c>
      <c r="CX289" t="str">
        <f>IF(OR($CW289="prd",$CW289="std",$CW289="cit"),"loc",IF(OR($CW289="eur",$CW289="reg",$CW289="coy"),"reg",$CW289))</f>
        <v>loc</v>
      </c>
      <c r="CY289" s="309" t="s">
        <v>3423</v>
      </c>
      <c r="CZ289"/>
      <c r="DA289"/>
      <c r="DB289">
        <v>0</v>
      </c>
      <c r="DC289" t="str">
        <f>IF(DB289=0,"0",IF(AND(DB289&gt;=1,DB289&lt;=30),"1-30",IF(AND(DB289&gt;30,DB289&lt;=70),"31-70",IF(AND(DB289&gt;70,DB289&lt;=100),"71-100",IF(DB289&gt;100,"+100")))))</f>
        <v>0</v>
      </c>
      <c r="DD289">
        <v>0</v>
      </c>
      <c r="DE289">
        <v>0</v>
      </c>
      <c r="DF289">
        <v>0</v>
      </c>
      <c r="DG289">
        <v>1</v>
      </c>
      <c r="DH289"/>
      <c r="DI289">
        <f>SUM(DD289:DG289)</f>
        <v>1</v>
      </c>
      <c r="DJ289" t="str">
        <f>IF(DI289=1,INDEX($DD$7:$DG$7,MATCH(1,$DD289:$DG289,0)),"mixedProduct")</f>
        <v>TimberInput</v>
      </c>
      <c r="DK289">
        <f>IF(DD289=1,DK$7,0)</f>
        <v>0</v>
      </c>
      <c r="DL289">
        <f>IF(DE289=1,DL$7,0)</f>
        <v>0</v>
      </c>
      <c r="DM289">
        <f>IF(DF289=1,DM$7,0)</f>
        <v>0</v>
      </c>
      <c r="DN289" t="str">
        <f>IF(DG289=1,DN$7,0)</f>
        <v>Timber</v>
      </c>
      <c r="DO289">
        <v>0</v>
      </c>
      <c r="DP289">
        <v>0</v>
      </c>
      <c r="DQ289">
        <v>0</v>
      </c>
      <c r="DR289">
        <v>0</v>
      </c>
      <c r="DS289">
        <v>0</v>
      </c>
      <c r="DT289">
        <f>SUM(DO289:DP289)</f>
        <v>0</v>
      </c>
      <c r="DU289" s="143" t="str">
        <f>IF(DO289=1,"self-calculated DF",IF(DP289=1,"external DF used","explicit C balance"))</f>
        <v>explicit C balance</v>
      </c>
      <c r="DV289">
        <v>0</v>
      </c>
      <c r="DW289">
        <v>0</v>
      </c>
      <c r="DX289">
        <v>0</v>
      </c>
      <c r="DY289">
        <v>0</v>
      </c>
      <c r="DZ289">
        <v>0</v>
      </c>
      <c r="EA289" s="143">
        <v>0</v>
      </c>
      <c r="EB289">
        <v>1</v>
      </c>
      <c r="EC289">
        <v>1</v>
      </c>
      <c r="ED289">
        <v>0</v>
      </c>
      <c r="EE289">
        <v>1</v>
      </c>
      <c r="EF289">
        <v>0</v>
      </c>
      <c r="EG289">
        <v>0</v>
      </c>
      <c r="EH289">
        <v>0</v>
      </c>
      <c r="EI289" s="2">
        <v>0</v>
      </c>
      <c r="EJ289" s="1"/>
      <c r="EK289" t="str">
        <f>IF(AND(AND(AND(OR($DX289=1,$DW289=1),OR($EC289=1,$EA289=1)),SUM($DV289:$DZ289,$EF289)&gt;=4),SUM($EA289:$EE289)&gt;=2),"Whole sector","")</f>
        <v/>
      </c>
      <c r="EL289" t="str">
        <f>IF(AND(AND(OR($DX289=1,$DW289=1),AND($EC289=0,$EA289=0)),SUM($DV289:$DZ289,$EF289)&gt;=4),"Ecosystem approach","")</f>
        <v/>
      </c>
      <c r="EM289" s="2" t="str">
        <f>IF(AND(AND(AND($DX289=0,$DW289=0),OR($EC289=1,$EA289=1)),SUM($EB289:$EE289)&gt;=2),"Technology approach","")</f>
        <v>Technology approach</v>
      </c>
      <c r="EN289"/>
      <c r="EO289"/>
      <c r="EP289" t="str">
        <f>IF(ISNUMBER(BU289),IF(ABS(BU289-[4]QC_indicators!$B$2)&gt;3*[4]QC_indicators!$C$2,"C ratio",IF(ISNUMBER(BY289),IF(ABS(BY289-[4]QC_indicators!$B$1)&gt;3*[4]QC_indicators!$C$1,"DF","no"))),IF(ISNUMBER(BY289),IF(ABS(BY289-[4]QC_indicators!$B$1)&gt;3*[4]QC_indicators!$C$1,"DF","no")))</f>
        <v>no</v>
      </c>
      <c r="EQ289"/>
      <c r="ER289" s="149" t="s">
        <v>349</v>
      </c>
      <c r="ES289"/>
      <c r="ET289" s="264" t="s">
        <v>3273</v>
      </c>
      <c r="EU289"/>
    </row>
    <row r="290" spans="1:151" s="139" customFormat="1" ht="15" customHeight="1">
      <c r="A290" s="1" t="s">
        <v>265</v>
      </c>
      <c r="B290" t="s">
        <v>266</v>
      </c>
      <c r="C290" t="s">
        <v>267</v>
      </c>
      <c r="D290" t="s">
        <v>268</v>
      </c>
      <c r="E290" t="s">
        <v>269</v>
      </c>
      <c r="F290" t="s">
        <v>270</v>
      </c>
      <c r="G290" t="s">
        <v>271</v>
      </c>
      <c r="H290" t="s">
        <v>254</v>
      </c>
      <c r="I290">
        <v>2022</v>
      </c>
      <c r="J290">
        <v>0</v>
      </c>
      <c r="K290" t="s">
        <v>272</v>
      </c>
      <c r="L290"/>
      <c r="M290" t="str">
        <f>LEFT($D290,FIND(",",$D290)-1)&amp;"_"&amp;I290&amp;L290</f>
        <v>Aryapratama_2022</v>
      </c>
      <c r="N290" t="s">
        <v>222</v>
      </c>
      <c r="O290" s="145" t="s">
        <v>274</v>
      </c>
      <c r="P290"/>
      <c r="Q290" t="s">
        <v>224</v>
      </c>
      <c r="R290" s="262" t="s">
        <v>223</v>
      </c>
      <c r="S290" s="263" t="s">
        <v>3105</v>
      </c>
      <c r="T290" t="s">
        <v>299</v>
      </c>
      <c r="U290" t="s">
        <v>300</v>
      </c>
      <c r="V290">
        <v>0</v>
      </c>
      <c r="W290">
        <v>0</v>
      </c>
      <c r="X290">
        <v>0</v>
      </c>
      <c r="Y290">
        <v>0</v>
      </c>
      <c r="Z290">
        <v>0</v>
      </c>
      <c r="AA290">
        <v>0</v>
      </c>
      <c r="AB290">
        <v>0</v>
      </c>
      <c r="AC290">
        <v>0</v>
      </c>
      <c r="AD290">
        <v>0</v>
      </c>
      <c r="AE290">
        <v>0</v>
      </c>
      <c r="AF290">
        <v>0</v>
      </c>
      <c r="AG290">
        <v>0</v>
      </c>
      <c r="AH290">
        <v>0</v>
      </c>
      <c r="AI290">
        <v>0</v>
      </c>
      <c r="AJ290">
        <v>0</v>
      </c>
      <c r="AK290">
        <v>1</v>
      </c>
      <c r="AL290">
        <v>0</v>
      </c>
      <c r="AM290">
        <v>0</v>
      </c>
      <c r="AN290">
        <v>0</v>
      </c>
      <c r="AO290">
        <v>0</v>
      </c>
      <c r="AP290">
        <v>0</v>
      </c>
      <c r="AQ290">
        <v>0</v>
      </c>
      <c r="AR290">
        <v>0</v>
      </c>
      <c r="AS290">
        <v>0</v>
      </c>
      <c r="AT290">
        <v>0</v>
      </c>
      <c r="AU290">
        <v>0</v>
      </c>
      <c r="AV290">
        <v>0</v>
      </c>
      <c r="AW290">
        <v>0</v>
      </c>
      <c r="AX290" s="141">
        <f>COUNTIF(V290:AW290,"&lt;&gt;0")</f>
        <v>1</v>
      </c>
      <c r="AY290" s="141">
        <f>COUNTIF(V290:AL290,"&lt;&gt;0")</f>
        <v>1</v>
      </c>
      <c r="AZ290">
        <f>COUNTIF(V290:AC290,"&lt;&gt;0")</f>
        <v>0</v>
      </c>
      <c r="BA290">
        <f>COUNTIF(AD290:AI290,"&lt;&gt;0")</f>
        <v>0</v>
      </c>
      <c r="BB290">
        <f>COUNTIF(AJ290:AL290,"&lt;&gt;0")</f>
        <v>1</v>
      </c>
      <c r="BC290">
        <f>COUNTIF(AS290:AW290,"&lt;&gt;0")</f>
        <v>0</v>
      </c>
      <c r="BD290">
        <f>COUNTIF(AM290:AR290,"&lt;&gt;0")</f>
        <v>0</v>
      </c>
      <c r="BE290" t="str">
        <f t="array" ref="BE290">IF(AY290=1,INDEX($V$7:$AL$7,MATCH(TRUE,INDEX($V290:$AW290&lt;&gt;0,),0)),IF(AY290=0,INDEX($AM$7:$AW$7,MATCH(1,$AM290:$AW290,0)),IF(BF290="Multiple strategies","mixed drivers",IF(BF290="Supply chain","multiple supply","multiple silviculture"))))</f>
        <v>technologies/design switch</v>
      </c>
      <c r="BF290" s="2" t="str" cm="1">
        <f t="array" ref="BF290">IF(COUNTIF(AZ290:BB290,"&lt;&gt;0")=1,INDEX($V$4:$AW$4,MATCH(TRUE,INDEX($V290:$AW290&lt;&gt;0,),0)),IF(COUNTIF(AZ290:BB290,"&lt;&gt;0")=0,INDEX($AM$4:$AW$4,MATCH(1,$AM290:$AW290,0)),"Multiple strategies"))</f>
        <v>Technology</v>
      </c>
      <c r="BG290" s="1" t="s">
        <v>229</v>
      </c>
      <c r="BH290" t="s">
        <v>277</v>
      </c>
      <c r="BI290" s="264" t="s">
        <v>3106</v>
      </c>
      <c r="BJ290" t="s">
        <v>278</v>
      </c>
      <c r="BK290">
        <v>0</v>
      </c>
      <c r="BL290">
        <v>363.45340303763226</v>
      </c>
      <c r="BM290"/>
      <c r="BN290">
        <f>BL290-BK290</f>
        <v>363.45340303763226</v>
      </c>
      <c r="BO290">
        <f>BN290*tC_to_m3</f>
        <v>1578.1736996857676</v>
      </c>
      <c r="BP290" t="s">
        <v>232</v>
      </c>
      <c r="BQ290" s="337" t="s">
        <v>3107</v>
      </c>
      <c r="BR290" t="s">
        <v>279</v>
      </c>
      <c r="BS290">
        <v>-642.71245617211093</v>
      </c>
      <c r="BT290">
        <v>-768.12774512252213</v>
      </c>
      <c r="BU290" s="144">
        <f>IFERROR(BT290/BS290,"")</f>
        <v>1.1951343680148412</v>
      </c>
      <c r="BV290">
        <f>BT290-BS290</f>
        <v>-125.4152889504112</v>
      </c>
      <c r="BW290"/>
      <c r="BX290">
        <f>BV290</f>
        <v>-125.4152889504112</v>
      </c>
      <c r="BY290">
        <f>IFERROR(BX290/BO290,"")</f>
        <v>-7.9468621847761628E-2</v>
      </c>
      <c r="BZ290">
        <v>0</v>
      </c>
      <c r="CA290">
        <v>0</v>
      </c>
      <c r="CB290">
        <v>0</v>
      </c>
      <c r="CC290">
        <v>0</v>
      </c>
      <c r="CD290">
        <v>0</v>
      </c>
      <c r="CE290">
        <v>0</v>
      </c>
      <c r="CF290">
        <v>0</v>
      </c>
      <c r="CG290">
        <v>0</v>
      </c>
      <c r="CH290">
        <v>0</v>
      </c>
      <c r="CI290">
        <v>0</v>
      </c>
      <c r="CJ290">
        <v>0</v>
      </c>
      <c r="CK290">
        <v>0</v>
      </c>
      <c r="CL290">
        <v>0</v>
      </c>
      <c r="CM290">
        <v>0</v>
      </c>
      <c r="CN290" t="str">
        <f>IF($BL290&lt;$BK290,"refNeedCorrection","refOK")</f>
        <v>refOK</v>
      </c>
      <c r="CO290">
        <f>IF($CN290="refOK",$BK290,$BL290)</f>
        <v>0</v>
      </c>
      <c r="CP290">
        <f>IF($CN290="refOK",$BL290,$BK290)</f>
        <v>363.45340303763226</v>
      </c>
      <c r="CQ290">
        <f>IF($CN290="refOK",$BO290,-$BO290)</f>
        <v>1578.1736996857676</v>
      </c>
      <c r="CR290">
        <f>IF($CN290="refOK",$BS290,$BT290)*IF($BP290="Emissions positive",-1,1)</f>
        <v>-642.71245617211093</v>
      </c>
      <c r="CS290">
        <f>IF($CN290="refOK",$BT290,$BS290)*IF($BP290="Emissions positive",-1,1)</f>
        <v>-768.12774512252213</v>
      </c>
      <c r="CT290">
        <f>IF($CN290="refNeedCorrection",-BX290,BX290)*IF($BP290="Emissions positive",-1,1)</f>
        <v>-125.4152889504112</v>
      </c>
      <c r="CU290">
        <f>IFERROR(CT290/CQ290,"")</f>
        <v>-7.9468621847761628E-2</v>
      </c>
      <c r="CV290" s="2">
        <f>IFERROR((CS290-CR290)/ABS(CR290),"")</f>
        <v>-0.19513436801484121</v>
      </c>
      <c r="CW290" s="1" t="s">
        <v>234</v>
      </c>
      <c r="CX290" t="str">
        <f>IF(OR($CW290="prd",$CW290="std",$CW290="cit"),"loc",IF(OR($CW290="eur",$CW290="reg",$CW290="coy"),"reg",$CW290))</f>
        <v>loc</v>
      </c>
      <c r="CY290" t="s">
        <v>280</v>
      </c>
      <c r="CZ290"/>
      <c r="DA290"/>
      <c r="DB290">
        <v>100</v>
      </c>
      <c r="DC290" t="str">
        <f>IF(DB290=0,"0",IF(AND(DB290&gt;=1,DB290&lt;=30),"1-30",IF(AND(DB290&gt;30,DB290&lt;=70),"31-70",IF(AND(DB290&gt;70,DB290&lt;=100),"71-100",IF(DB290&gt;100,"+100")))))</f>
        <v>71-100</v>
      </c>
      <c r="DD290">
        <v>0</v>
      </c>
      <c r="DE290">
        <v>0</v>
      </c>
      <c r="DF290">
        <v>0</v>
      </c>
      <c r="DG290">
        <v>1</v>
      </c>
      <c r="DH290"/>
      <c r="DI290">
        <f>SUM(DD290:DG290)</f>
        <v>1</v>
      </c>
      <c r="DJ290" t="str">
        <f>IF(DI290=1,INDEX($DD$7:$DG$7,MATCH(1,$DD290:$DG290,0)),"mixedProduct")</f>
        <v>TimberInput</v>
      </c>
      <c r="DK290">
        <f>IF(DD290=1,DK$7,0)</f>
        <v>0</v>
      </c>
      <c r="DL290">
        <f>IF(DE290=1,DL$7,0)</f>
        <v>0</v>
      </c>
      <c r="DM290">
        <f>IF(DF290=1,DM$7,0)</f>
        <v>0</v>
      </c>
      <c r="DN290" t="str">
        <f>IF(DG290=1,DN$7,0)</f>
        <v>Timber</v>
      </c>
      <c r="DO290">
        <v>0</v>
      </c>
      <c r="DP290">
        <v>1</v>
      </c>
      <c r="DQ290">
        <v>0</v>
      </c>
      <c r="DR290" t="s">
        <v>301</v>
      </c>
      <c r="DS290">
        <v>0</v>
      </c>
      <c r="DT290">
        <f>SUM(DO290:DP290)</f>
        <v>1</v>
      </c>
      <c r="DU290" s="143" t="str">
        <f>IF(DO290=1,"self-calculated DF",IF(DP290=1,"external DF used","explicit C balance"))</f>
        <v>external DF used</v>
      </c>
      <c r="DV290">
        <v>0</v>
      </c>
      <c r="DW290">
        <v>1</v>
      </c>
      <c r="DX290">
        <v>1</v>
      </c>
      <c r="DY290">
        <v>1</v>
      </c>
      <c r="DZ290">
        <v>1</v>
      </c>
      <c r="EA290" s="143">
        <v>0</v>
      </c>
      <c r="EB290">
        <v>1</v>
      </c>
      <c r="EC290">
        <v>1</v>
      </c>
      <c r="ED290">
        <v>0</v>
      </c>
      <c r="EE290">
        <v>1</v>
      </c>
      <c r="EF290">
        <v>1</v>
      </c>
      <c r="EG290">
        <v>1</v>
      </c>
      <c r="EH290">
        <v>0</v>
      </c>
      <c r="EI290" s="2">
        <v>0</v>
      </c>
      <c r="EJ290" s="1"/>
      <c r="EK290" t="str">
        <f>IF(AND(AND(AND(OR($DX290=1,$DW290=1),OR($EC290=1,$EA290=1)),SUM($DV290:$DZ290,$EF290)&gt;=4),SUM($EA290:$EE290)&gt;=2),"Whole sector","")</f>
        <v>Whole sector</v>
      </c>
      <c r="EL290" t="str">
        <f>IF(AND(AND(OR($DX290=1,$DW290=1),AND($EC290=0,$EA290=0)),SUM($DV290:$DZ290,$EF290)&gt;=4),"Ecosystem approach","")</f>
        <v/>
      </c>
      <c r="EM290" s="2" t="str">
        <f>IF(AND(AND(AND($DX290=0,$DW290=0),OR($EC290=1,$EA290=1)),SUM($EB290:$EE290)&gt;=2),"Technology approach","")</f>
        <v/>
      </c>
      <c r="EN290"/>
      <c r="EO290"/>
      <c r="EP290" t="str">
        <f>IF(ISNUMBER(BU290),IF(ABS(BU290-[1]QC_indicators!$B$2)&gt;3*[1]QC_indicators!$C$2,"C ratio",IF(ISNUMBER(BY290),IF(ABS(BY290-[1]QC_indicators!$B$1)&gt;3*[1]QC_indicators!$C$1,"DF","no"))),IF(ISNUMBER(BY290),IF(ABS(BY290-[1]QC_indicators!$B$1)&gt;3*[1]QC_indicators!$C$1,"DF","no")))</f>
        <v>no</v>
      </c>
      <c r="EQ290" t="s">
        <v>286</v>
      </c>
      <c r="ER290" t="s">
        <v>296</v>
      </c>
      <c r="ES290"/>
      <c r="ET290" s="264" t="s">
        <v>3273</v>
      </c>
      <c r="EU290"/>
    </row>
    <row r="291" spans="1:151" s="139" customFormat="1" ht="15" customHeight="1">
      <c r="A291" s="1" t="s">
        <v>265</v>
      </c>
      <c r="B291" t="s">
        <v>266</v>
      </c>
      <c r="C291" t="s">
        <v>267</v>
      </c>
      <c r="D291" t="s">
        <v>268</v>
      </c>
      <c r="E291" t="s">
        <v>269</v>
      </c>
      <c r="F291" t="s">
        <v>270</v>
      </c>
      <c r="G291" t="s">
        <v>271</v>
      </c>
      <c r="H291" t="s">
        <v>254</v>
      </c>
      <c r="I291">
        <v>2022</v>
      </c>
      <c r="J291">
        <v>0</v>
      </c>
      <c r="K291" t="s">
        <v>272</v>
      </c>
      <c r="L291"/>
      <c r="M291" t="str">
        <f>LEFT($D291,FIND(",",$D291)-1)&amp;"_"&amp;I291&amp;L291</f>
        <v>Aryapratama_2022</v>
      </c>
      <c r="N291" t="s">
        <v>222</v>
      </c>
      <c r="O291" s="145" t="s">
        <v>274</v>
      </c>
      <c r="P291"/>
      <c r="Q291" t="s">
        <v>224</v>
      </c>
      <c r="R291" s="262" t="s">
        <v>223</v>
      </c>
      <c r="S291" s="263" t="s">
        <v>3105</v>
      </c>
      <c r="T291" t="s">
        <v>329</v>
      </c>
      <c r="U291" t="s">
        <v>330</v>
      </c>
      <c r="V291">
        <v>0</v>
      </c>
      <c r="W291">
        <v>0</v>
      </c>
      <c r="X291">
        <v>0</v>
      </c>
      <c r="Y291">
        <v>0</v>
      </c>
      <c r="Z291">
        <v>0</v>
      </c>
      <c r="AA291">
        <v>0</v>
      </c>
      <c r="AB291">
        <v>0</v>
      </c>
      <c r="AC291">
        <v>0</v>
      </c>
      <c r="AD291">
        <v>0</v>
      </c>
      <c r="AE291">
        <v>0</v>
      </c>
      <c r="AF291">
        <v>0</v>
      </c>
      <c r="AG291">
        <v>0</v>
      </c>
      <c r="AH291">
        <v>0</v>
      </c>
      <c r="AI291">
        <v>0</v>
      </c>
      <c r="AJ291">
        <v>0</v>
      </c>
      <c r="AK291">
        <v>1</v>
      </c>
      <c r="AL291">
        <v>0</v>
      </c>
      <c r="AM291">
        <v>0</v>
      </c>
      <c r="AN291">
        <v>0</v>
      </c>
      <c r="AO291">
        <v>0</v>
      </c>
      <c r="AP291">
        <v>0</v>
      </c>
      <c r="AQ291">
        <v>0</v>
      </c>
      <c r="AR291">
        <v>0</v>
      </c>
      <c r="AS291">
        <v>0</v>
      </c>
      <c r="AT291">
        <v>0</v>
      </c>
      <c r="AU291">
        <v>0</v>
      </c>
      <c r="AV291">
        <v>0</v>
      </c>
      <c r="AW291">
        <v>0</v>
      </c>
      <c r="AX291" s="141">
        <f>COUNTIF(V291:AW291,"&lt;&gt;0")</f>
        <v>1</v>
      </c>
      <c r="AY291" s="141">
        <f>COUNTIF(V291:AL291,"&lt;&gt;0")</f>
        <v>1</v>
      </c>
      <c r="AZ291">
        <f>COUNTIF(V291:AC291,"&lt;&gt;0")</f>
        <v>0</v>
      </c>
      <c r="BA291">
        <f>COUNTIF(AD291:AI291,"&lt;&gt;0")</f>
        <v>0</v>
      </c>
      <c r="BB291">
        <f>COUNTIF(AJ291:AL291,"&lt;&gt;0")</f>
        <v>1</v>
      </c>
      <c r="BC291">
        <f>COUNTIF(AS291:AW291,"&lt;&gt;0")</f>
        <v>0</v>
      </c>
      <c r="BD291">
        <f>COUNTIF(AM291:AR291,"&lt;&gt;0")</f>
        <v>0</v>
      </c>
      <c r="BE291" t="str">
        <f t="array" ref="BE291">IF(AY291=1,INDEX($V$7:$AL$7,MATCH(TRUE,INDEX($V291:$AW291&lt;&gt;0,),0)),IF(AY291=0,INDEX($AM$7:$AW$7,MATCH(1,$AM291:$AW291,0)),IF(BF291="Multiple strategies","mixed drivers",IF(BF291="Supply chain","multiple supply","multiple silviculture"))))</f>
        <v>technologies/design switch</v>
      </c>
      <c r="BF291" s="2" t="str" cm="1">
        <f t="array" ref="BF291">IF(COUNTIF(AZ291:BB291,"&lt;&gt;0")=1,INDEX($V$4:$AW$4,MATCH(TRUE,INDEX($V291:$AW291&lt;&gt;0,),0)),IF(COUNTIF(AZ291:BB291,"&lt;&gt;0")=0,INDEX($AM$4:$AW$4,MATCH(1,$AM291:$AW291,0)),"Multiple strategies"))</f>
        <v>Technology</v>
      </c>
      <c r="BG291" s="1" t="s">
        <v>229</v>
      </c>
      <c r="BH291" t="s">
        <v>277</v>
      </c>
      <c r="BI291" s="264" t="s">
        <v>3106</v>
      </c>
      <c r="BJ291" t="s">
        <v>278</v>
      </c>
      <c r="BK291">
        <v>0</v>
      </c>
      <c r="BL291">
        <v>373.18339622641508</v>
      </c>
      <c r="BM291"/>
      <c r="BN291">
        <f>BL291-BK291</f>
        <v>373.18339622641508</v>
      </c>
      <c r="BO291">
        <f>BN291*tC_to_m3</f>
        <v>1620.4229102319371</v>
      </c>
      <c r="BP291" t="s">
        <v>232</v>
      </c>
      <c r="BQ291" s="337" t="s">
        <v>3107</v>
      </c>
      <c r="BR291" t="s">
        <v>279</v>
      </c>
      <c r="BS291">
        <v>-729.83506452863935</v>
      </c>
      <c r="BT291">
        <v>-858.14682671510911</v>
      </c>
      <c r="BU291" s="144">
        <f>IFERROR(BT291/BS291,"")</f>
        <v>1.1758092594103291</v>
      </c>
      <c r="BV291">
        <f>BT291-BS291</f>
        <v>-128.31176218646976</v>
      </c>
      <c r="BW291"/>
      <c r="BX291">
        <f>BV291</f>
        <v>-128.31176218646976</v>
      </c>
      <c r="BY291">
        <f>IFERROR(BX291/BO291,"")</f>
        <v>-7.9184120007352921E-2</v>
      </c>
      <c r="BZ291">
        <v>0</v>
      </c>
      <c r="CA291">
        <v>0</v>
      </c>
      <c r="CB291">
        <v>0</v>
      </c>
      <c r="CC291">
        <v>0</v>
      </c>
      <c r="CD291">
        <v>0</v>
      </c>
      <c r="CE291">
        <v>0</v>
      </c>
      <c r="CF291">
        <v>0</v>
      </c>
      <c r="CG291">
        <v>0</v>
      </c>
      <c r="CH291">
        <v>0</v>
      </c>
      <c r="CI291">
        <v>0</v>
      </c>
      <c r="CJ291">
        <v>0</v>
      </c>
      <c r="CK291">
        <v>0</v>
      </c>
      <c r="CL291">
        <v>0</v>
      </c>
      <c r="CM291">
        <v>0</v>
      </c>
      <c r="CN291" t="str">
        <f>IF($BL291&lt;$BK291,"refNeedCorrection","refOK")</f>
        <v>refOK</v>
      </c>
      <c r="CO291">
        <f>IF($CN291="refOK",$BK291,$BL291)</f>
        <v>0</v>
      </c>
      <c r="CP291">
        <f>IF($CN291="refOK",$BL291,$BK291)</f>
        <v>373.18339622641508</v>
      </c>
      <c r="CQ291">
        <f>IF($CN291="refOK",$BO291,-$BO291)</f>
        <v>1620.4229102319371</v>
      </c>
      <c r="CR291">
        <f>IF($CN291="refOK",$BS291,$BT291)*IF($BP291="Emissions positive",-1,1)</f>
        <v>-729.83506452863935</v>
      </c>
      <c r="CS291">
        <f>IF($CN291="refOK",$BT291,$BS291)*IF($BP291="Emissions positive",-1,1)</f>
        <v>-858.14682671510911</v>
      </c>
      <c r="CT291">
        <f>IF($CN291="refNeedCorrection",-BX291,BX291)*IF($BP291="Emissions positive",-1,1)</f>
        <v>-128.31176218646976</v>
      </c>
      <c r="CU291">
        <f>IFERROR(CT291/CQ291,"")</f>
        <v>-7.9184120007352921E-2</v>
      </c>
      <c r="CV291" s="2">
        <f>IFERROR((CS291-CR291)/ABS(CR291),"")</f>
        <v>-0.17580925941032902</v>
      </c>
      <c r="CW291" s="1" t="s">
        <v>234</v>
      </c>
      <c r="CX291" t="str">
        <f>IF(OR($CW291="prd",$CW291="std",$CW291="cit"),"loc",IF(OR($CW291="eur",$CW291="reg",$CW291="coy"),"reg",$CW291))</f>
        <v>loc</v>
      </c>
      <c r="CY291" t="s">
        <v>280</v>
      </c>
      <c r="CZ291"/>
      <c r="DA291"/>
      <c r="DB291">
        <v>200</v>
      </c>
      <c r="DC291" t="str">
        <f>IF(DB291=0,"0",IF(AND(DB291&gt;=1,DB291&lt;=30),"1-30",IF(AND(DB291&gt;30,DB291&lt;=70),"31-70",IF(AND(DB291&gt;70,DB291&lt;=100),"71-100",IF(DB291&gt;100,"+100")))))</f>
        <v>+100</v>
      </c>
      <c r="DD291">
        <v>0</v>
      </c>
      <c r="DE291">
        <v>1</v>
      </c>
      <c r="DF291">
        <v>0</v>
      </c>
      <c r="DG291">
        <v>0</v>
      </c>
      <c r="DH291"/>
      <c r="DI291">
        <f>SUM(DD291:DG291)</f>
        <v>1</v>
      </c>
      <c r="DJ291" t="str">
        <f>IF(DI291=1,INDEX($DD$7:$DG$7,MATCH(1,$DD291:$DG291,0)),"mixedProduct")</f>
        <v>EnergyInput</v>
      </c>
      <c r="DK291">
        <f>IF(DD291=1,DK$7,0)</f>
        <v>0</v>
      </c>
      <c r="DL291" t="str">
        <f>IF(DE291=1,DL$7,0)</f>
        <v>Energy</v>
      </c>
      <c r="DM291">
        <f>IF(DF291=1,DM$7,0)</f>
        <v>0</v>
      </c>
      <c r="DN291">
        <f>IF(DG291=1,DN$7,0)</f>
        <v>0</v>
      </c>
      <c r="DO291">
        <v>0</v>
      </c>
      <c r="DP291">
        <v>1</v>
      </c>
      <c r="DQ291" t="s">
        <v>304</v>
      </c>
      <c r="DR291">
        <v>0</v>
      </c>
      <c r="DS291">
        <v>0</v>
      </c>
      <c r="DT291">
        <f>SUM(DO291:DP291)</f>
        <v>1</v>
      </c>
      <c r="DU291" s="143" t="str">
        <f>IF(DO291=1,"self-calculated DF",IF(DP291=1,"external DF used","explicit C balance"))</f>
        <v>external DF used</v>
      </c>
      <c r="DV291">
        <v>0</v>
      </c>
      <c r="DW291">
        <v>1</v>
      </c>
      <c r="DX291">
        <v>1</v>
      </c>
      <c r="DY291">
        <v>1</v>
      </c>
      <c r="DZ291">
        <v>1</v>
      </c>
      <c r="EA291" s="143">
        <v>0</v>
      </c>
      <c r="EB291">
        <v>1</v>
      </c>
      <c r="EC291">
        <v>1</v>
      </c>
      <c r="ED291">
        <v>0</v>
      </c>
      <c r="EE291">
        <v>1</v>
      </c>
      <c r="EF291">
        <v>1</v>
      </c>
      <c r="EG291">
        <v>1</v>
      </c>
      <c r="EH291">
        <v>0</v>
      </c>
      <c r="EI291" s="2">
        <v>0</v>
      </c>
      <c r="EJ291" s="1"/>
      <c r="EK291" t="str">
        <f>IF(AND(AND(AND(OR($DX291=1,$DW291=1),OR($EC291=1,$EA291=1)),SUM($DV291:$DZ291,$EF291)&gt;=4),SUM($EA291:$EE291)&gt;=2),"Whole sector","")</f>
        <v>Whole sector</v>
      </c>
      <c r="EL291" t="str">
        <f>IF(AND(AND(OR($DX291=1,$DW291=1),AND($EC291=0,$EA291=0)),SUM($DV291:$DZ291,$EF291)&gt;=4),"Ecosystem approach","")</f>
        <v/>
      </c>
      <c r="EM291" s="2" t="str">
        <f>IF(AND(AND(AND($DX291=0,$DW291=0),OR($EC291=1,$EA291=1)),SUM($EB291:$EE291)&gt;=2),"Technology approach","")</f>
        <v/>
      </c>
      <c r="EN291"/>
      <c r="EO291"/>
      <c r="EP291" t="str">
        <f>IF(ISNUMBER(BU291),IF(ABS(BU291-[1]QC_indicators!$B$2)&gt;3*[1]QC_indicators!$C$2,"C ratio",IF(ISNUMBER(BY291),IF(ABS(BY291-[1]QC_indicators!$B$1)&gt;3*[1]QC_indicators!$C$1,"DF","no"))),IF(ISNUMBER(BY291),IF(ABS(BY291-[1]QC_indicators!$B$1)&gt;3*[1]QC_indicators!$C$1,"DF","no")))</f>
        <v>no</v>
      </c>
      <c r="EQ291" t="s">
        <v>286</v>
      </c>
      <c r="ER291"/>
      <c r="ES291"/>
      <c r="ET291" s="264" t="s">
        <v>3273</v>
      </c>
      <c r="EU291"/>
    </row>
    <row r="292" spans="1:151" s="139" customFormat="1" ht="15" customHeight="1">
      <c r="A292" s="1" t="s">
        <v>1808</v>
      </c>
      <c r="B292" t="s">
        <v>1809</v>
      </c>
      <c r="C292" t="s">
        <v>1810</v>
      </c>
      <c r="D292" t="s">
        <v>1811</v>
      </c>
      <c r="E292" t="s">
        <v>1812</v>
      </c>
      <c r="F292" t="s">
        <v>1813</v>
      </c>
      <c r="G292" t="s">
        <v>1814</v>
      </c>
      <c r="H292" t="s">
        <v>254</v>
      </c>
      <c r="I292">
        <v>2014</v>
      </c>
      <c r="J292">
        <v>15</v>
      </c>
      <c r="K292" t="s">
        <v>1815</v>
      </c>
      <c r="L292"/>
      <c r="M292" t="str">
        <f>LEFT($D292,FIND(",",$D292)-1)&amp;"_"&amp;I292&amp;L292</f>
        <v>Kayo_2014</v>
      </c>
      <c r="N292" t="s">
        <v>222</v>
      </c>
      <c r="O292" s="171" t="s">
        <v>513</v>
      </c>
      <c r="P292" t="s">
        <v>960</v>
      </c>
      <c r="Q292" t="s">
        <v>389</v>
      </c>
      <c r="R292" s="262" t="s">
        <v>223</v>
      </c>
      <c r="S292" s="1" t="s">
        <v>1816</v>
      </c>
      <c r="T292" t="s">
        <v>1111</v>
      </c>
      <c r="U292" s="264" t="s">
        <v>3144</v>
      </c>
      <c r="V292">
        <v>0</v>
      </c>
      <c r="W292">
        <v>0</v>
      </c>
      <c r="X292">
        <v>0</v>
      </c>
      <c r="Y292">
        <v>0</v>
      </c>
      <c r="Z292">
        <v>0</v>
      </c>
      <c r="AA292">
        <v>0</v>
      </c>
      <c r="AB292">
        <v>0</v>
      </c>
      <c r="AC292">
        <v>0</v>
      </c>
      <c r="AD292">
        <v>0</v>
      </c>
      <c r="AE292">
        <v>0</v>
      </c>
      <c r="AF292">
        <v>1</v>
      </c>
      <c r="AG292">
        <v>0</v>
      </c>
      <c r="AH292">
        <v>0</v>
      </c>
      <c r="AI292">
        <v>0</v>
      </c>
      <c r="AJ292">
        <v>0</v>
      </c>
      <c r="AK292">
        <v>0</v>
      </c>
      <c r="AL292">
        <v>0</v>
      </c>
      <c r="AM292">
        <v>0</v>
      </c>
      <c r="AN292">
        <v>0</v>
      </c>
      <c r="AO292">
        <v>0</v>
      </c>
      <c r="AP292">
        <v>0</v>
      </c>
      <c r="AQ292">
        <v>0</v>
      </c>
      <c r="AR292">
        <v>0</v>
      </c>
      <c r="AS292">
        <v>0</v>
      </c>
      <c r="AT292">
        <v>0</v>
      </c>
      <c r="AU292">
        <v>0</v>
      </c>
      <c r="AV292">
        <v>0</v>
      </c>
      <c r="AW292">
        <v>0</v>
      </c>
      <c r="AX292" s="141">
        <f>COUNTIF(V292:AW292,"&lt;&gt;0")</f>
        <v>1</v>
      </c>
      <c r="AY292" s="141">
        <f>COUNTIF(V292:AL292,"&lt;&gt;0")</f>
        <v>1</v>
      </c>
      <c r="AZ292">
        <f>COUNTIF(V292:AC292,"&lt;&gt;0")</f>
        <v>0</v>
      </c>
      <c r="BA292">
        <f>COUNTIF(AD292:AI292,"&lt;&gt;0")</f>
        <v>1</v>
      </c>
      <c r="BB292">
        <f>COUNTIF(AJ292:AL292,"&lt;&gt;0")</f>
        <v>0</v>
      </c>
      <c r="BC292">
        <f>COUNTIF(AS292:AW292,"&lt;&gt;0")</f>
        <v>0</v>
      </c>
      <c r="BD292">
        <f>COUNTIF(AM292:AR292,"&lt;&gt;0")</f>
        <v>0</v>
      </c>
      <c r="BE292" t="str">
        <f t="array" ref="BE292">IF(AY292=1,INDEX($V$7:$AL$7,MATCH(TRUE,INDEX($V292:$AW292&lt;&gt;0,),0)),IF(AY292=0,INDEX($AM$7:$AW$7,MATCH(1,$AM292:$AW292,0)),IF(BF292="Multiple strategies","mixed drivers",IF(BF292="Supply chain","multiple supply","multiple silviculture"))))</f>
        <v>supply chain organization</v>
      </c>
      <c r="BF292" s="2" t="str" cm="1">
        <f t="array" ref="BF292">IF(COUNTIF(AZ292:BB292,"&lt;&gt;0")=1,INDEX($V$4:$AW$4,MATCH(TRUE,INDEX($V292:$AW292&lt;&gt;0,),0)),IF(COUNTIF(AZ292:BB292,"&lt;&gt;0")=0,INDEX($AM$4:$AW$4,MATCH(1,$AM292:$AW292,0)),"Multiple strategies"))</f>
        <v>Supply chain</v>
      </c>
      <c r="BG292" s="1" t="s">
        <v>229</v>
      </c>
      <c r="BH292" t="s">
        <v>1817</v>
      </c>
      <c r="BI292" s="264" t="s">
        <v>3145</v>
      </c>
      <c r="BJ292" t="s">
        <v>1818</v>
      </c>
      <c r="BK292">
        <v>1700000.0000000002</v>
      </c>
      <c r="BL292">
        <v>2710000</v>
      </c>
      <c r="BM292" t="s">
        <v>544</v>
      </c>
      <c r="BN292">
        <f>BL292-BK292</f>
        <v>1009999.9999999998</v>
      </c>
      <c r="BO292">
        <f>BN292</f>
        <v>1009999.9999999998</v>
      </c>
      <c r="BP292" t="s">
        <v>395</v>
      </c>
      <c r="BQ292" s="264" t="s">
        <v>3146</v>
      </c>
      <c r="BR292" s="264" t="s">
        <v>3147</v>
      </c>
      <c r="BS292">
        <v>31.43</v>
      </c>
      <c r="BT292">
        <v>52.83</v>
      </c>
      <c r="BU292" s="144"/>
      <c r="BV292" s="152">
        <f>BT292-BS292</f>
        <v>21.4</v>
      </c>
      <c r="BW292"/>
      <c r="BX292" s="152">
        <f>BV292*10^3*C_to_CO2</f>
        <v>78538</v>
      </c>
      <c r="BY292">
        <f>IFERROR(BX292/BO292,"")</f>
        <v>7.7760396039603982E-2</v>
      </c>
      <c r="BZ292">
        <v>0</v>
      </c>
      <c r="CA292">
        <v>0</v>
      </c>
      <c r="CB292">
        <v>0</v>
      </c>
      <c r="CC292">
        <v>0</v>
      </c>
      <c r="CD292">
        <v>0</v>
      </c>
      <c r="CE292">
        <v>0</v>
      </c>
      <c r="CF292">
        <v>0</v>
      </c>
      <c r="CG292">
        <v>0</v>
      </c>
      <c r="CH292">
        <v>0</v>
      </c>
      <c r="CI292">
        <v>0</v>
      </c>
      <c r="CJ292">
        <v>0</v>
      </c>
      <c r="CK292">
        <v>0</v>
      </c>
      <c r="CL292">
        <v>0</v>
      </c>
      <c r="CM292">
        <v>0</v>
      </c>
      <c r="CN292" t="str">
        <f>IF($BL292&lt;$BK292,"refNeedCorrection","refOK")</f>
        <v>refOK</v>
      </c>
      <c r="CO292">
        <f>IF($CN292="refOK",$BK292,$BL292)</f>
        <v>1700000.0000000002</v>
      </c>
      <c r="CP292">
        <f>IF($CN292="refOK",$BL292,$BK292)</f>
        <v>2710000</v>
      </c>
      <c r="CQ292">
        <f>IF($CN292="refOK",$BO292,-$BO292)</f>
        <v>1009999.9999999998</v>
      </c>
      <c r="CR292">
        <f>IF($CN292="refOK",$BS292,$BT292)*IF($BP292="Emissions positive",-1,1)</f>
        <v>-31.43</v>
      </c>
      <c r="CS292">
        <f>IF($CN292="refOK",$BT292,$BS292)*IF($BP292="Emissions positive",-1,1)</f>
        <v>-52.83</v>
      </c>
      <c r="CT292">
        <f>IF($CN292="refNeedCorrection",-BX292,BX292)*IF($BP292="Emissions positive",-1,1)</f>
        <v>-78538</v>
      </c>
      <c r="CU292">
        <f>IFERROR(CT292/CQ292,"")</f>
        <v>-7.7760396039603982E-2</v>
      </c>
      <c r="CV292" s="2">
        <f>IFERROR((CS292-CR292)/ABS(CR292),"")</f>
        <v>-0.68087814190264073</v>
      </c>
      <c r="CW292" s="1" t="s">
        <v>1199</v>
      </c>
      <c r="CX292" t="str">
        <f>IF(OR($CW292="prd",$CW292="std",$CW292="cit"),"loc",IF(OR($CW292="eur",$CW292="reg",$CW292="coy"),"reg",$CW292))</f>
        <v>reg</v>
      </c>
      <c r="CY292" t="s">
        <v>961</v>
      </c>
      <c r="CZ292">
        <v>2050</v>
      </c>
      <c r="DA292">
        <v>2050</v>
      </c>
      <c r="DB292">
        <v>1</v>
      </c>
      <c r="DC292" t="str">
        <f>IF(DB292=0,"0",IF(AND(DB292&gt;=1,DB292&lt;=30),"1-30",IF(AND(DB292&gt;30,DB292&lt;=70),"31-70",IF(AND(DB292&gt;70,DB292&lt;=100),"71-100",IF(DB292&gt;100,"+100")))))</f>
        <v>1-30</v>
      </c>
      <c r="DD292">
        <v>0</v>
      </c>
      <c r="DE292">
        <v>0</v>
      </c>
      <c r="DF292">
        <v>1</v>
      </c>
      <c r="DG292">
        <v>0</v>
      </c>
      <c r="DH292">
        <v>0</v>
      </c>
      <c r="DI292">
        <v>1</v>
      </c>
      <c r="DJ292" t="str">
        <f>IF(DI292=1,INDEX($DD$7:$DG$7,MATCH(1,$DD292:$DG292,0)),"mixedProduct")</f>
        <v>PulpPaperInput</v>
      </c>
      <c r="DK292">
        <f>IF(DD292=1,DK$7,0)</f>
        <v>0</v>
      </c>
      <c r="DL292">
        <f>IF(DE292=1,DL$7,0)</f>
        <v>0</v>
      </c>
      <c r="DM292" t="str">
        <f>IF(DF292=1,DM$7,0)</f>
        <v>Pulp/Paper</v>
      </c>
      <c r="DN292">
        <f>IF(DG292=1,DN$7,0)</f>
        <v>0</v>
      </c>
      <c r="DO292">
        <v>0</v>
      </c>
      <c r="DP292">
        <v>0</v>
      </c>
      <c r="DQ292">
        <v>0</v>
      </c>
      <c r="DR292">
        <v>0</v>
      </c>
      <c r="DS292">
        <v>0</v>
      </c>
      <c r="DT292">
        <f>SUM(DO292:DP292)</f>
        <v>0</v>
      </c>
      <c r="DU292" s="143" t="s">
        <v>962</v>
      </c>
      <c r="DV292">
        <v>0</v>
      </c>
      <c r="DW292">
        <v>0</v>
      </c>
      <c r="DX292">
        <v>0</v>
      </c>
      <c r="DY292">
        <v>0</v>
      </c>
      <c r="DZ292">
        <v>0</v>
      </c>
      <c r="EA292" s="143">
        <v>0</v>
      </c>
      <c r="EB292">
        <v>0</v>
      </c>
      <c r="EC292">
        <v>1</v>
      </c>
      <c r="ED292">
        <v>0</v>
      </c>
      <c r="EE292">
        <v>0</v>
      </c>
      <c r="EF292">
        <v>0</v>
      </c>
      <c r="EG292">
        <v>0</v>
      </c>
      <c r="EH292">
        <v>0</v>
      </c>
      <c r="EI292" s="2">
        <v>0</v>
      </c>
      <c r="EJ292" s="1"/>
      <c r="EK292" t="str">
        <f>IF(AND(AND(AND(OR($DX292=1,$DW292=1),OR($EC292=1,$EA292=1)),SUM($DV292:$DZ292,$EF292)&gt;=4),SUM($EA292:$EE292)&gt;=2),"Whole sector","")</f>
        <v/>
      </c>
      <c r="EL292" t="str">
        <f>IF(AND(AND(OR($DX292=1,$DW292=1),AND($EC292=0,$EA292=0)),SUM($DV292:$DZ292,$EF292)&gt;=4),"Ecosystem approach","")</f>
        <v/>
      </c>
      <c r="EM292" s="2" t="str">
        <f>IF(AND(AND(AND($DX292=0,$DW292=0),OR($EC292=1,$EA292=1)),SUM($EB292:$EE292)&gt;=2),"Technology approach","")</f>
        <v/>
      </c>
      <c r="EN292"/>
      <c r="EO292"/>
      <c r="EP292" t="str">
        <f>IF(ISNUMBER(BU292),IF(ABS(BU292-[1]QC_indicators!$B$2)&gt;3*[1]QC_indicators!$C$2,"C ratio",IF(ISNUMBER(BY292),IF(ABS(BY292-[1]QC_indicators!$B$1)&gt;3*[1]QC_indicators!$C$1,"DF","no"))),IF(ISNUMBER(BY292),IF(ABS(BY292-[1]QC_indicators!$B$1)&gt;3*[1]QC_indicators!$C$1,"DF","no")))</f>
        <v>no</v>
      </c>
      <c r="EQ292"/>
      <c r="ER292"/>
      <c r="ES292"/>
      <c r="ET292" s="264" t="s">
        <v>3148</v>
      </c>
      <c r="EU292"/>
    </row>
    <row r="293" spans="1:151" s="139" customFormat="1" ht="15" customHeight="1">
      <c r="A293" s="1" t="s">
        <v>878</v>
      </c>
      <c r="B293" t="s">
        <v>1791</v>
      </c>
      <c r="C293" t="s">
        <v>1792</v>
      </c>
      <c r="D293" t="s">
        <v>1793</v>
      </c>
      <c r="E293" t="s">
        <v>1794</v>
      </c>
      <c r="F293" t="s">
        <v>1795</v>
      </c>
      <c r="G293" t="s">
        <v>1184</v>
      </c>
      <c r="H293" t="s">
        <v>254</v>
      </c>
      <c r="I293">
        <v>2011</v>
      </c>
      <c r="J293">
        <v>6</v>
      </c>
      <c r="K293" t="s">
        <v>1796</v>
      </c>
      <c r="L293"/>
      <c r="M293" t="str">
        <f>LEFT($D293,FIND(",",$D293)-1)&amp;"_"&amp;I293&amp;L293</f>
        <v>Kayo_2011</v>
      </c>
      <c r="N293" t="s">
        <v>222</v>
      </c>
      <c r="O293" s="145" t="s">
        <v>513</v>
      </c>
      <c r="P293"/>
      <c r="Q293" t="s">
        <v>256</v>
      </c>
      <c r="R293" s="255" t="s">
        <v>225</v>
      </c>
      <c r="S293" s="263" t="s">
        <v>3363</v>
      </c>
      <c r="T293" t="s">
        <v>1805</v>
      </c>
      <c r="U293" s="264" t="s">
        <v>1806</v>
      </c>
      <c r="V293">
        <v>0</v>
      </c>
      <c r="W293">
        <v>0</v>
      </c>
      <c r="X293">
        <v>0</v>
      </c>
      <c r="Y293">
        <v>0</v>
      </c>
      <c r="Z293">
        <v>0</v>
      </c>
      <c r="AA293">
        <v>0</v>
      </c>
      <c r="AB293">
        <v>0</v>
      </c>
      <c r="AC293">
        <v>0</v>
      </c>
      <c r="AD293">
        <v>0</v>
      </c>
      <c r="AE293">
        <v>0</v>
      </c>
      <c r="AF293">
        <v>0</v>
      </c>
      <c r="AG293">
        <v>0</v>
      </c>
      <c r="AH293">
        <v>0</v>
      </c>
      <c r="AI293">
        <v>0</v>
      </c>
      <c r="AJ293">
        <v>0</v>
      </c>
      <c r="AK293">
        <v>1</v>
      </c>
      <c r="AL293">
        <v>0</v>
      </c>
      <c r="AM293">
        <v>0</v>
      </c>
      <c r="AN293">
        <v>0</v>
      </c>
      <c r="AO293">
        <v>0</v>
      </c>
      <c r="AP293">
        <v>0</v>
      </c>
      <c r="AQ293">
        <v>0</v>
      </c>
      <c r="AR293">
        <v>0</v>
      </c>
      <c r="AS293">
        <v>0</v>
      </c>
      <c r="AT293">
        <v>0</v>
      </c>
      <c r="AU293">
        <v>0</v>
      </c>
      <c r="AV293">
        <v>0</v>
      </c>
      <c r="AW293">
        <v>0</v>
      </c>
      <c r="AX293" s="141">
        <f>COUNTIF(V293:AW293,"&lt;&gt;0")</f>
        <v>1</v>
      </c>
      <c r="AY293" s="141">
        <f>COUNTIF(V293:AL293,"&lt;&gt;0")</f>
        <v>1</v>
      </c>
      <c r="AZ293">
        <f>COUNTIF(V293:AC293,"&lt;&gt;0")</f>
        <v>0</v>
      </c>
      <c r="BA293">
        <f>COUNTIF(AD293:AI293,"&lt;&gt;0")</f>
        <v>0</v>
      </c>
      <c r="BB293">
        <f>COUNTIF(AJ293:AL293,"&lt;&gt;0")</f>
        <v>1</v>
      </c>
      <c r="BC293">
        <f>COUNTIF(AS293:AW293,"&lt;&gt;0")</f>
        <v>0</v>
      </c>
      <c r="BD293">
        <f>COUNTIF(AM293:AR293,"&lt;&gt;0")</f>
        <v>0</v>
      </c>
      <c r="BE293" t="str">
        <f t="array" ref="BE293">IF(AY293=1,INDEX($V$7:$AL$7,MATCH(TRUE,INDEX($V293:$AW293&lt;&gt;0,),0)),IF(AY293=0,INDEX($AM$7:$AW$7,MATCH(1,$AM293:$AW293,0)),IF(BF293="Multiple strategies","mixed drivers",IF(BF293="Supply chain","multiple supply","multiple silviculture"))))</f>
        <v>technologies/design switch</v>
      </c>
      <c r="BF293" s="2" t="str" cm="1">
        <f t="array" ref="BF293">IF(COUNTIF(AZ293:BB293,"&lt;&gt;0")=1,INDEX($V$4:$AW$4,MATCH(TRUE,INDEX($V293:$AW293&lt;&gt;0,),0)),IF(COUNTIF(AZ293:BB293,"&lt;&gt;0")=0,INDEX($AM$4:$AW$4,MATCH(1,$AM293:$AW293,0)),"Multiple strategies"))</f>
        <v>Technology</v>
      </c>
      <c r="BG293" s="1" t="s">
        <v>229</v>
      </c>
      <c r="BH293" t="s">
        <v>1799</v>
      </c>
      <c r="BI293" s="260" t="s">
        <v>3346</v>
      </c>
      <c r="BJ293" s="260" t="s">
        <v>3347</v>
      </c>
      <c r="BK293">
        <v>0</v>
      </c>
      <c r="BL293">
        <v>86</v>
      </c>
      <c r="BM293"/>
      <c r="BN293">
        <f>BL293-BK293</f>
        <v>86</v>
      </c>
      <c r="BO293">
        <f>BN293*10^6*t_to_m3</f>
        <v>175510204.08163264</v>
      </c>
      <c r="BP293" t="s">
        <v>232</v>
      </c>
      <c r="BQ293" s="260" t="s">
        <v>3341</v>
      </c>
      <c r="BR293" t="s">
        <v>1300</v>
      </c>
      <c r="BS293"/>
      <c r="BT293"/>
      <c r="BU293" s="144" t="str">
        <f>IFERROR(BT293/BS293,"")</f>
        <v/>
      </c>
      <c r="BV293">
        <v>-12</v>
      </c>
      <c r="BW293"/>
      <c r="BX293">
        <f>BV293*10^6</f>
        <v>-12000000</v>
      </c>
      <c r="BY293">
        <f>IFERROR(BX293/BO293,"")</f>
        <v>-6.8372093023255823E-2</v>
      </c>
      <c r="BZ293">
        <v>0</v>
      </c>
      <c r="CA293">
        <v>0</v>
      </c>
      <c r="CB293">
        <v>0</v>
      </c>
      <c r="CC293">
        <v>0</v>
      </c>
      <c r="CD293">
        <v>0</v>
      </c>
      <c r="CE293">
        <v>0</v>
      </c>
      <c r="CF293">
        <v>0</v>
      </c>
      <c r="CG293">
        <v>0</v>
      </c>
      <c r="CH293">
        <v>0</v>
      </c>
      <c r="CI293">
        <v>0</v>
      </c>
      <c r="CJ293">
        <v>0</v>
      </c>
      <c r="CK293">
        <v>0</v>
      </c>
      <c r="CL293">
        <v>0</v>
      </c>
      <c r="CM293">
        <v>0</v>
      </c>
      <c r="CN293" t="str">
        <f>IF(BL293&lt;BK293,"refNeedCorrection","refOK")</f>
        <v>refOK</v>
      </c>
      <c r="CO293">
        <f>IF($CN293="refOK",$BK293,$BL293)</f>
        <v>0</v>
      </c>
      <c r="CP293">
        <f>IF($CN293="refOK",$BL293,$BK293)</f>
        <v>86</v>
      </c>
      <c r="CQ293">
        <f>IF($CN293="refOK",$BO293,-$BO293)</f>
        <v>175510204.08163264</v>
      </c>
      <c r="CR293">
        <f>IF($CN293="refOK",$BS293,$BT293)*IF($BP293="Emissions positive",-1,1)</f>
        <v>0</v>
      </c>
      <c r="CS293">
        <f>IF($CN293="refOK",$BT293,$BS293)*IF($BP293="Emissions positive",-1,1)</f>
        <v>0</v>
      </c>
      <c r="CT293">
        <f>IF($CN293="refNeedCorrection",-BX293,BX293)*IF($BP293="Emissions positive",-1,1)</f>
        <v>-12000000</v>
      </c>
      <c r="CU293">
        <f>IFERROR(CT293/CQ293,"")</f>
        <v>-6.8372093023255823E-2</v>
      </c>
      <c r="CV293" s="2" t="str">
        <f>IFERROR((CS293-CR293)/ABS(CR293),"")</f>
        <v/>
      </c>
      <c r="CW293" s="1" t="s">
        <v>1203</v>
      </c>
      <c r="CX293" t="str">
        <f>IF(OR($CW293="prd",$CW293="std",$CW293="cit"),"loc",IF(OR($CW293="eur",$CW293="reg",$CW293="coy"),"reg",$CW293))</f>
        <v>reg</v>
      </c>
      <c r="CY293" t="s">
        <v>961</v>
      </c>
      <c r="CZ293">
        <v>2005</v>
      </c>
      <c r="DA293">
        <v>2050</v>
      </c>
      <c r="DB293">
        <v>45</v>
      </c>
      <c r="DC293" t="str">
        <f>IF(DB293=0,"0",IF(AND(DB293&gt;=1,DB293&lt;=30),"1-30",IF(AND(DB293&gt;30,DB293&lt;=70),"31-70",IF(AND(DB293&gt;70,DB293&lt;=100),"71-100",IF(DB293&gt;100,"+100")))))</f>
        <v>31-70</v>
      </c>
      <c r="DD293">
        <v>0</v>
      </c>
      <c r="DE293">
        <v>1</v>
      </c>
      <c r="DF293">
        <v>0</v>
      </c>
      <c r="DG293">
        <v>0</v>
      </c>
      <c r="DH293"/>
      <c r="DI293">
        <f>SUM(DD293:DG293)</f>
        <v>1</v>
      </c>
      <c r="DJ293" t="str">
        <f>IF(DI293=1,INDEX($DD$7:$DG$7,MATCH(1,$DD293:$DG293,0)),"mixedProduct")</f>
        <v>EnergyInput</v>
      </c>
      <c r="DK293">
        <f>IF(DD293=1,DK$7,0)</f>
        <v>0</v>
      </c>
      <c r="DL293" t="str">
        <f>IF(DE293=1,DL$7,0)</f>
        <v>Energy</v>
      </c>
      <c r="DM293">
        <f>IF(DF293=1,DM$7,0)</f>
        <v>0</v>
      </c>
      <c r="DN293">
        <f>IF(DG293=1,DN$7,0)</f>
        <v>0</v>
      </c>
      <c r="DO293">
        <v>0</v>
      </c>
      <c r="DP293">
        <v>0</v>
      </c>
      <c r="DQ293">
        <v>0</v>
      </c>
      <c r="DR293">
        <v>0</v>
      </c>
      <c r="DS293">
        <v>0</v>
      </c>
      <c r="DT293">
        <f>SUM(DO293:DP293)</f>
        <v>0</v>
      </c>
      <c r="DU293" s="143" t="str">
        <f>IF(DO293=1,"self-calculated DF",IF(DP293=1,"external DF used","explicit C balance"))</f>
        <v>explicit C balance</v>
      </c>
      <c r="DV293">
        <v>0</v>
      </c>
      <c r="DW293">
        <v>1</v>
      </c>
      <c r="DX293">
        <v>1</v>
      </c>
      <c r="DY293">
        <v>0</v>
      </c>
      <c r="DZ293">
        <v>0</v>
      </c>
      <c r="EA293" s="143">
        <v>1</v>
      </c>
      <c r="EB293">
        <v>1</v>
      </c>
      <c r="EC293">
        <v>0</v>
      </c>
      <c r="ED293">
        <v>0</v>
      </c>
      <c r="EE293">
        <v>0</v>
      </c>
      <c r="EF293">
        <v>1</v>
      </c>
      <c r="EG293">
        <v>1</v>
      </c>
      <c r="EH293">
        <v>0</v>
      </c>
      <c r="EI293" s="2">
        <v>0</v>
      </c>
      <c r="EJ293" s="1"/>
      <c r="EK293" t="str">
        <f>IF(AND(AND(AND(OR($DX293=1,$DW293=1),OR($EC293=1,$EA293=1)),SUM($DV293:$DZ293,$EF293)&gt;=4),SUM($EA293:$EE293)&gt;=2),"Whole sector","")</f>
        <v/>
      </c>
      <c r="EL293" t="str">
        <f>IF(AND(AND(OR($DX293=1,$DW293=1),AND($EC293=0,$EA293=0)),SUM($DV293:$DZ293,$EF293)&gt;=4),"Ecosystem approach","")</f>
        <v/>
      </c>
      <c r="EM293" s="2" t="str">
        <f>IF(AND(AND(AND($DX293=0,$DW293=0),OR($EC293=1,$EA293=1)),SUM($EB293:$EE293)&gt;=2),"Technology approach","")</f>
        <v/>
      </c>
      <c r="EN293"/>
      <c r="EO293"/>
      <c r="EP293" t="str">
        <f>IF(ISNUMBER(BU293),IF(ABS(BU293-[4]QC_indicators!$B$2)&gt;3*[4]QC_indicators!$C$2,"C ratio",IF(ISNUMBER(BY293),IF(ABS(BY293-[4]QC_indicators!$B$1)&gt;3*[4]QC_indicators!$C$1,"DF","no"))),IF(ISNUMBER(BY293),IF(ABS(BY293-[4]QC_indicators!$B$1)&gt;3*[4]QC_indicators!$C$1,"DF","no")))</f>
        <v>no</v>
      </c>
      <c r="EQ293"/>
      <c r="ER293"/>
      <c r="ES293"/>
      <c r="ET293" s="264" t="s">
        <v>3273</v>
      </c>
      <c r="EU293"/>
    </row>
    <row r="294" spans="1:151" s="139" customFormat="1" ht="15" customHeight="1">
      <c r="A294" s="1" t="s">
        <v>265</v>
      </c>
      <c r="B294" t="s">
        <v>1531</v>
      </c>
      <c r="C294" t="s">
        <v>1532</v>
      </c>
      <c r="D294" t="s">
        <v>1533</v>
      </c>
      <c r="E294" t="s">
        <v>1534</v>
      </c>
      <c r="F294" t="s">
        <v>1535</v>
      </c>
      <c r="G294" t="s">
        <v>271</v>
      </c>
      <c r="H294" t="s">
        <v>254</v>
      </c>
      <c r="I294">
        <v>2019</v>
      </c>
      <c r="J294">
        <v>26</v>
      </c>
      <c r="K294" t="s">
        <v>1536</v>
      </c>
      <c r="L294"/>
      <c r="M294" t="str">
        <f>LEFT($D294,FIND(",",$D294)-1)&amp;"_"&amp;I294&amp;L294</f>
        <v>Faraca_2019</v>
      </c>
      <c r="N294" t="s">
        <v>222</v>
      </c>
      <c r="O294" s="145" t="s">
        <v>274</v>
      </c>
      <c r="P294" s="180" t="s">
        <v>223</v>
      </c>
      <c r="Q294" t="s">
        <v>256</v>
      </c>
      <c r="R294" s="262" t="s">
        <v>223</v>
      </c>
      <c r="S294" s="263" t="s">
        <v>3136</v>
      </c>
      <c r="T294" t="s">
        <v>969</v>
      </c>
      <c r="U294" t="s">
        <v>1547</v>
      </c>
      <c r="V294">
        <v>0</v>
      </c>
      <c r="W294">
        <v>0</v>
      </c>
      <c r="X294">
        <v>0</v>
      </c>
      <c r="Y294">
        <v>0</v>
      </c>
      <c r="Z294">
        <v>0</v>
      </c>
      <c r="AA294">
        <v>0</v>
      </c>
      <c r="AB294">
        <v>0</v>
      </c>
      <c r="AC294">
        <v>0</v>
      </c>
      <c r="AD294">
        <v>0</v>
      </c>
      <c r="AE294">
        <v>0</v>
      </c>
      <c r="AF294">
        <v>0</v>
      </c>
      <c r="AG294">
        <v>1</v>
      </c>
      <c r="AH294">
        <v>0</v>
      </c>
      <c r="AI294">
        <v>0</v>
      </c>
      <c r="AJ294">
        <v>0</v>
      </c>
      <c r="AK294">
        <v>0</v>
      </c>
      <c r="AL294">
        <v>0</v>
      </c>
      <c r="AM294">
        <v>0</v>
      </c>
      <c r="AN294">
        <v>0</v>
      </c>
      <c r="AO294">
        <v>0</v>
      </c>
      <c r="AP294">
        <v>0</v>
      </c>
      <c r="AQ294">
        <v>0</v>
      </c>
      <c r="AR294">
        <v>0</v>
      </c>
      <c r="AS294">
        <v>0</v>
      </c>
      <c r="AT294">
        <v>0</v>
      </c>
      <c r="AU294">
        <v>0</v>
      </c>
      <c r="AV294">
        <v>0</v>
      </c>
      <c r="AW294">
        <v>0</v>
      </c>
      <c r="AX294" s="141">
        <f>COUNTIF(V294:AW294,"&lt;&gt;0")</f>
        <v>1</v>
      </c>
      <c r="AY294" s="141">
        <f>COUNTIF(V294:AL294,"&lt;&gt;0")</f>
        <v>1</v>
      </c>
      <c r="AZ294">
        <f>COUNTIF(V294:AC294,"&lt;&gt;0")</f>
        <v>0</v>
      </c>
      <c r="BA294">
        <f>COUNTIF(AD294:AI294,"&lt;&gt;0")</f>
        <v>1</v>
      </c>
      <c r="BB294">
        <f>COUNTIF(AJ294:AL294,"&lt;&gt;0")</f>
        <v>0</v>
      </c>
      <c r="BC294">
        <f>COUNTIF(AS294:AW294,"&lt;&gt;0")</f>
        <v>0</v>
      </c>
      <c r="BD294">
        <f>COUNTIF(AM294:AR294,"&lt;&gt;0")</f>
        <v>0</v>
      </c>
      <c r="BE294" t="str">
        <f t="array" ref="BE294">IF(AY294=1,INDEX($V$7:$AL$7,MATCH(TRUE,INDEX($V294:$AW294&lt;&gt;0,),0)),IF(AY294=0,INDEX($AM$7:$AW$7,MATCH(1,$AM294:$AW294,0)),IF(BF294="Multiple strategies","mixed drivers",IF(BF294="Supply chain","multiple supply","multiple silviculture"))))</f>
        <v>recycling</v>
      </c>
      <c r="BF294" s="2" t="str" cm="1">
        <f t="array" ref="BF294">IF(COUNTIF(AZ294:BB294,"&lt;&gt;0")=1,INDEX($V$4:$AW$4,MATCH(TRUE,INDEX($V294:$AW294&lt;&gt;0,),0)),IF(COUNTIF(AZ294:BB294,"&lt;&gt;0")=0,INDEX($AM$4:$AW$4,MATCH(1,$AM294:$AW294,0)),"Multiple strategies"))</f>
        <v>Supply chain</v>
      </c>
      <c r="BG294" s="1" t="s">
        <v>229</v>
      </c>
      <c r="BH294" t="s">
        <v>1548</v>
      </c>
      <c r="BI294" t="s">
        <v>1539</v>
      </c>
      <c r="BJ294" t="s">
        <v>345</v>
      </c>
      <c r="BK294">
        <v>636</v>
      </c>
      <c r="BL294">
        <f>638+378+212+115</f>
        <v>1343</v>
      </c>
      <c r="BM294">
        <v>2.108490566037736</v>
      </c>
      <c r="BN294">
        <f>BL294-BK294</f>
        <v>707</v>
      </c>
      <c r="BO294">
        <f>BN294*kg_to_m3</f>
        <v>1.4428571428571431</v>
      </c>
      <c r="BP294" s="264" t="s">
        <v>395</v>
      </c>
      <c r="BQ294" t="s">
        <v>426</v>
      </c>
      <c r="BR294" t="s">
        <v>728</v>
      </c>
      <c r="BS294">
        <v>-84.7</v>
      </c>
      <c r="BT294">
        <v>10.199999999999999</v>
      </c>
      <c r="BU294" s="144"/>
      <c r="BV294">
        <f>BT294-BS294</f>
        <v>94.9</v>
      </c>
      <c r="BW294"/>
      <c r="BX294">
        <f>BV294/1000</f>
        <v>9.4900000000000012E-2</v>
      </c>
      <c r="BY294">
        <f>IFERROR(BX294/BO294,"")</f>
        <v>6.5772277227722775E-2</v>
      </c>
      <c r="BZ294">
        <v>0</v>
      </c>
      <c r="CA294">
        <v>0</v>
      </c>
      <c r="CB294">
        <v>0</v>
      </c>
      <c r="CC294">
        <v>0</v>
      </c>
      <c r="CD294">
        <v>0</v>
      </c>
      <c r="CE294">
        <v>0</v>
      </c>
      <c r="CF294">
        <v>0</v>
      </c>
      <c r="CG294">
        <v>0</v>
      </c>
      <c r="CH294">
        <v>0</v>
      </c>
      <c r="CI294">
        <v>0</v>
      </c>
      <c r="CJ294">
        <v>0</v>
      </c>
      <c r="CK294">
        <v>0</v>
      </c>
      <c r="CL294">
        <v>0</v>
      </c>
      <c r="CM294">
        <v>0</v>
      </c>
      <c r="CN294" t="str">
        <f>IF($BL294&lt;$BK294,"refNeedCorrection","refOK")</f>
        <v>refOK</v>
      </c>
      <c r="CO294">
        <f>IF($CN294="refNeedCorrection",BL294,BK294)</f>
        <v>636</v>
      </c>
      <c r="CP294">
        <f>IF($CN294="refNeedCorrection",BK294,BL294)</f>
        <v>1343</v>
      </c>
      <c r="CQ294">
        <f>IF($CN294="refOK",$BO294,-$BO294)</f>
        <v>1.4428571428571431</v>
      </c>
      <c r="CR294">
        <f>IF($CN294="refOK",$BS294,$BT294)*IF($BP294="Emissions positive",-1,1)</f>
        <v>84.7</v>
      </c>
      <c r="CS294">
        <f>IF($CN294="refOK",$BT294,$BS294)*IF($BP294="Emissions positive",-1,1)</f>
        <v>-10.199999999999999</v>
      </c>
      <c r="CT294">
        <f>IF($CN294="refNeedCorrection",-BX294,BX294)*IF($BP294="Emissions positive",-1,1)</f>
        <v>-9.4900000000000012E-2</v>
      </c>
      <c r="CU294">
        <f>IFERROR(CT294/CQ294,"")</f>
        <v>-6.5772277227722775E-2</v>
      </c>
      <c r="CV294" s="2">
        <f>IFERROR((CS294-CR294)/ABS(CR294),"")</f>
        <v>-1.1204250295159386</v>
      </c>
      <c r="CW294" s="1" t="s">
        <v>1199</v>
      </c>
      <c r="CX294" t="str">
        <f>IF(OR($CW294="prd",$CW294="std",$CW294="cit"),"loc",IF(OR($CW294="eur",$CW294="reg",$CW294="coy"),"reg",$CW294))</f>
        <v>reg</v>
      </c>
      <c r="CY294" t="s">
        <v>1540</v>
      </c>
      <c r="CZ294"/>
      <c r="DA294"/>
      <c r="DB294">
        <v>500</v>
      </c>
      <c r="DC294" t="str">
        <f>IF(DB294=0,"0",IF(AND(DB294&gt;=1,DB294&lt;=30),"1-30",IF(AND(DB294&gt;30,DB294&lt;=70),"31-70",IF(AND(DB294&gt;70,DB294&lt;=100),"71-100",IF(DB294&gt;100,"+100")))))</f>
        <v>+100</v>
      </c>
      <c r="DD294">
        <v>0</v>
      </c>
      <c r="DE294">
        <v>0</v>
      </c>
      <c r="DF294">
        <v>0</v>
      </c>
      <c r="DG294">
        <v>1</v>
      </c>
      <c r="DH294"/>
      <c r="DI294">
        <f>SUM(DD294:DG294)</f>
        <v>1</v>
      </c>
      <c r="DJ294" t="str">
        <f>IF(DI294=1,INDEX($DD$7:$DG$7,MATCH(1,$DD294:$DG294,0)),"mixedProduct")</f>
        <v>TimberInput</v>
      </c>
      <c r="DK294">
        <f>IF(DD294=1,DK$7,0)</f>
        <v>0</v>
      </c>
      <c r="DL294">
        <f>IF(DE294=1,DL$7,0)</f>
        <v>0</v>
      </c>
      <c r="DM294">
        <f>IF(DF294=1,DM$7,0)</f>
        <v>0</v>
      </c>
      <c r="DN294" t="str">
        <f>IF(DG294=1,DN$7,0)</f>
        <v>Timber</v>
      </c>
      <c r="DO294">
        <v>0</v>
      </c>
      <c r="DP294">
        <v>0</v>
      </c>
      <c r="DQ294">
        <v>0</v>
      </c>
      <c r="DR294">
        <v>0</v>
      </c>
      <c r="DS294">
        <v>0</v>
      </c>
      <c r="DT294">
        <f>SUM(DO294:DP294)</f>
        <v>0</v>
      </c>
      <c r="DU294" s="143" t="str">
        <f>IF(DO294=1,"self-calculated DF",IF(DP294=1,"external DF used","explicit C balance"))</f>
        <v>explicit C balance</v>
      </c>
      <c r="DV294">
        <v>0</v>
      </c>
      <c r="DW294">
        <v>0</v>
      </c>
      <c r="DX294">
        <v>0</v>
      </c>
      <c r="DY294">
        <v>0</v>
      </c>
      <c r="DZ294">
        <v>1</v>
      </c>
      <c r="EA294" s="143">
        <v>1</v>
      </c>
      <c r="EB294">
        <v>0</v>
      </c>
      <c r="EC294">
        <v>1</v>
      </c>
      <c r="ED294">
        <v>0</v>
      </c>
      <c r="EE294">
        <v>1</v>
      </c>
      <c r="EF294">
        <v>1</v>
      </c>
      <c r="EG294">
        <v>1</v>
      </c>
      <c r="EH294">
        <v>0</v>
      </c>
      <c r="EI294" s="2">
        <v>0</v>
      </c>
      <c r="EJ294" s="1"/>
      <c r="EK294" t="str">
        <f>IF(AND(AND(AND(OR($DX294=1,$DW294=1),OR($EC294=1,$EA294=1)),SUM($DV294:$DZ294,$EF294)&gt;=4),SUM($EA294:$EE294)&gt;=2),"Whole sector","")</f>
        <v/>
      </c>
      <c r="EL294" t="str">
        <f>IF(AND(AND(OR($DX294=1,$DW294=1),AND($EC294=0,$EA294=0)),SUM($DV294:$DZ294,$EF294)&gt;=4),"Ecosystem approach","")</f>
        <v/>
      </c>
      <c r="EM294" s="2" t="str">
        <f>IF(AND(AND(AND($DX294=0,$DW294=0),OR($EC294=1,$EA294=1)),SUM($EB294:$EE294)&gt;=2),"Technology approach","")</f>
        <v>Technology approach</v>
      </c>
      <c r="EN294"/>
      <c r="EO294"/>
      <c r="EP294" t="str">
        <f>IF(ISNUMBER(BU294),IF(ABS(BU294-[1]QC_indicators!$B$2)&gt;3*[1]QC_indicators!$C$2,"C ratio",IF(ISNUMBER(BY294),IF(ABS(BY294-[1]QC_indicators!$B$1)&gt;3*[1]QC_indicators!$C$1,"DF","no"))),IF(ISNUMBER(BY294),IF(ABS(BY294-[1]QC_indicators!$B$1)&gt;3*[1]QC_indicators!$C$1,"DF","no")))</f>
        <v>no</v>
      </c>
      <c r="EQ294"/>
      <c r="ER294"/>
      <c r="ES294"/>
      <c r="ET294" s="264" t="s">
        <v>3273</v>
      </c>
      <c r="EU294"/>
    </row>
    <row r="295" spans="1:151" s="139" customFormat="1" ht="15" customHeight="1">
      <c r="A295" s="1" t="s">
        <v>265</v>
      </c>
      <c r="B295" t="s">
        <v>1531</v>
      </c>
      <c r="C295" t="s">
        <v>1532</v>
      </c>
      <c r="D295" t="s">
        <v>1533</v>
      </c>
      <c r="E295" t="s">
        <v>1534</v>
      </c>
      <c r="F295" t="s">
        <v>1535</v>
      </c>
      <c r="G295" t="s">
        <v>271</v>
      </c>
      <c r="H295" t="s">
        <v>254</v>
      </c>
      <c r="I295">
        <v>2019</v>
      </c>
      <c r="J295">
        <v>26</v>
      </c>
      <c r="K295" t="s">
        <v>1536</v>
      </c>
      <c r="L295"/>
      <c r="M295" t="str">
        <f>LEFT($D295,FIND(",",$D295)-1)&amp;"_"&amp;I295&amp;L295</f>
        <v>Faraca_2019</v>
      </c>
      <c r="N295" t="s">
        <v>222</v>
      </c>
      <c r="O295" s="145" t="s">
        <v>274</v>
      </c>
      <c r="P295" s="180" t="s">
        <v>223</v>
      </c>
      <c r="Q295" t="s">
        <v>256</v>
      </c>
      <c r="R295" s="262" t="s">
        <v>223</v>
      </c>
      <c r="S295" s="1" t="s">
        <v>1542</v>
      </c>
      <c r="T295" t="s">
        <v>1543</v>
      </c>
      <c r="U295" t="s">
        <v>1545</v>
      </c>
      <c r="V295">
        <v>0</v>
      </c>
      <c r="W295">
        <v>0</v>
      </c>
      <c r="X295">
        <v>0</v>
      </c>
      <c r="Y295">
        <v>0</v>
      </c>
      <c r="Z295">
        <v>0</v>
      </c>
      <c r="AA295">
        <v>0</v>
      </c>
      <c r="AB295">
        <v>0</v>
      </c>
      <c r="AC295">
        <v>0</v>
      </c>
      <c r="AD295">
        <v>0</v>
      </c>
      <c r="AE295">
        <v>0</v>
      </c>
      <c r="AF295">
        <v>0</v>
      </c>
      <c r="AG295">
        <v>0</v>
      </c>
      <c r="AH295">
        <v>0</v>
      </c>
      <c r="AI295">
        <v>1</v>
      </c>
      <c r="AJ295">
        <v>0</v>
      </c>
      <c r="AK295">
        <v>0</v>
      </c>
      <c r="AL295">
        <v>0</v>
      </c>
      <c r="AM295">
        <v>0</v>
      </c>
      <c r="AN295">
        <v>0</v>
      </c>
      <c r="AO295">
        <v>0</v>
      </c>
      <c r="AP295">
        <v>0</v>
      </c>
      <c r="AQ295">
        <v>0</v>
      </c>
      <c r="AR295">
        <v>0</v>
      </c>
      <c r="AS295">
        <v>0</v>
      </c>
      <c r="AT295">
        <v>0</v>
      </c>
      <c r="AU295">
        <v>0</v>
      </c>
      <c r="AV295">
        <v>0</v>
      </c>
      <c r="AW295">
        <v>0</v>
      </c>
      <c r="AX295" s="141">
        <f>COUNTIF(V295:AW295,"&lt;&gt;0")</f>
        <v>1</v>
      </c>
      <c r="AY295" s="141">
        <f>COUNTIF(V295:AL295,"&lt;&gt;0")</f>
        <v>1</v>
      </c>
      <c r="AZ295">
        <f>COUNTIF(V295:AC295,"&lt;&gt;0")</f>
        <v>0</v>
      </c>
      <c r="BA295">
        <f>COUNTIF(AD295:AI295,"&lt;&gt;0")</f>
        <v>1</v>
      </c>
      <c r="BB295">
        <f>COUNTIF(AJ295:AL295,"&lt;&gt;0")</f>
        <v>0</v>
      </c>
      <c r="BC295">
        <f>COUNTIF(AS295:AW295,"&lt;&gt;0")</f>
        <v>0</v>
      </c>
      <c r="BD295">
        <f>COUNTIF(AM295:AR295,"&lt;&gt;0")</f>
        <v>0</v>
      </c>
      <c r="BE295" t="str">
        <f t="array" ref="BE295">IF(AY295=1,INDEX($V$7:$AL$7,MATCH(TRUE,INDEX($V295:$AW295&lt;&gt;0,),0)),IF(AY295=0,INDEX($AM$7:$AW$7,MATCH(1,$AM295:$AW295,0)),IF(BF295="Multiple strategies","mixed drivers",IF(BF295="Supply chain","multiple supply","multiple silviculture"))))</f>
        <v>products lifespan</v>
      </c>
      <c r="BF295" s="2" t="str" cm="1">
        <f t="array" ref="BF295">IF(COUNTIF(AZ295:BB295,"&lt;&gt;0")=1,INDEX($V$4:$AW$4,MATCH(TRUE,INDEX($V295:$AW295&lt;&gt;0,),0)),IF(COUNTIF(AZ295:BB295,"&lt;&gt;0")=0,INDEX($AM$4:$AW$4,MATCH(1,$AM295:$AW295,0)),"Multiple strategies"))</f>
        <v>Supply chain</v>
      </c>
      <c r="BG295" s="1" t="s">
        <v>229</v>
      </c>
      <c r="BH295" t="s">
        <v>1548</v>
      </c>
      <c r="BI295" s="264" t="s">
        <v>3121</v>
      </c>
      <c r="BJ295" t="s">
        <v>345</v>
      </c>
      <c r="BK295">
        <v>478</v>
      </c>
      <c r="BL295">
        <v>922</v>
      </c>
      <c r="BM295">
        <f>BK295/BL295</f>
        <v>0.51843817787418656</v>
      </c>
      <c r="BN295">
        <f>BL295-BK295</f>
        <v>444</v>
      </c>
      <c r="BO295">
        <f>BN295*kg_to_m3</f>
        <v>0.90612244897959193</v>
      </c>
      <c r="BP295" t="s">
        <v>395</v>
      </c>
      <c r="BQ295" s="264" t="s">
        <v>429</v>
      </c>
      <c r="BR295" t="s">
        <v>728</v>
      </c>
      <c r="BS295">
        <v>-520.70000000000005</v>
      </c>
      <c r="BT295">
        <v>-462.1</v>
      </c>
      <c r="BU295" s="144">
        <f>IFERROR(BS295/BT295,"")</f>
        <v>1.1268123782731012</v>
      </c>
      <c r="BV295">
        <f>BT295-BS295</f>
        <v>58.600000000000023</v>
      </c>
      <c r="BW295"/>
      <c r="BX295">
        <f>BV295/1000</f>
        <v>5.860000000000002E-2</v>
      </c>
      <c r="BY295">
        <f>IFERROR(BX295/BO295,"")</f>
        <v>6.4671171171171188E-2</v>
      </c>
      <c r="BZ295">
        <v>0</v>
      </c>
      <c r="CA295">
        <v>0</v>
      </c>
      <c r="CB295">
        <v>0</v>
      </c>
      <c r="CC295">
        <v>0</v>
      </c>
      <c r="CD295">
        <v>0</v>
      </c>
      <c r="CE295">
        <v>0</v>
      </c>
      <c r="CF295">
        <v>0</v>
      </c>
      <c r="CG295">
        <v>0</v>
      </c>
      <c r="CH295">
        <v>0</v>
      </c>
      <c r="CI295">
        <v>0</v>
      </c>
      <c r="CJ295">
        <v>0</v>
      </c>
      <c r="CK295">
        <v>0</v>
      </c>
      <c r="CL295">
        <v>0</v>
      </c>
      <c r="CM295">
        <v>0</v>
      </c>
      <c r="CN295" t="str">
        <f>IF($BL295&lt;$BK295,"refNeedCorrection","refOK")</f>
        <v>refOK</v>
      </c>
      <c r="CO295">
        <f>IF($CN295="refNeedCorrection",BL295,BK295)</f>
        <v>478</v>
      </c>
      <c r="CP295">
        <f>IF($CN295="refNeedCorrection",BK295,BL295)</f>
        <v>922</v>
      </c>
      <c r="CQ295">
        <f>IF($CN295="refOK",$BO295,-$BO295)</f>
        <v>0.90612244897959193</v>
      </c>
      <c r="CR295">
        <f>IF($CN295="refOK",$BS295,$BT295)*IF($BP295="Emissions positive",-1,1)</f>
        <v>520.70000000000005</v>
      </c>
      <c r="CS295">
        <f>IF($CN295="refOK",$BT295,$BS295)*IF($BP295="Emissions positive",-1,1)</f>
        <v>462.1</v>
      </c>
      <c r="CT295">
        <f>IF($CN295="refNeedCorrection",-BX295,BX295)*IF($BP295="Emissions positive",-1,1)</f>
        <v>-5.860000000000002E-2</v>
      </c>
      <c r="CU295">
        <f>IFERROR(CT295/CQ295,"")</f>
        <v>-6.4671171171171188E-2</v>
      </c>
      <c r="CV295" s="2">
        <f>IFERROR((CS295-CR295)/ABS(CR295),"")</f>
        <v>-0.11254081044747459</v>
      </c>
      <c r="CW295" s="1" t="s">
        <v>1199</v>
      </c>
      <c r="CX295" t="str">
        <f>IF(OR($CW295="prd",$CW295="std",$CW295="cit"),"loc",IF(OR($CW295="eur",$CW295="reg",$CW295="coy"),"reg",$CW295))</f>
        <v>reg</v>
      </c>
      <c r="CY295" t="s">
        <v>1540</v>
      </c>
      <c r="CZ295"/>
      <c r="DA295"/>
      <c r="DB295">
        <v>500</v>
      </c>
      <c r="DC295" t="str">
        <f>IF(DB295=0,"0",IF(AND(DB295&gt;=1,DB295&lt;=30),"1-30",IF(AND(DB295&gt;30,DB295&lt;=70),"31-70",IF(AND(DB295&gt;70,DB295&lt;=100),"71-100",IF(DB295&gt;100,"+100")))))</f>
        <v>+100</v>
      </c>
      <c r="DD295">
        <v>0</v>
      </c>
      <c r="DE295">
        <v>0</v>
      </c>
      <c r="DF295">
        <v>0</v>
      </c>
      <c r="DG295">
        <v>1</v>
      </c>
      <c r="DH295"/>
      <c r="DI295">
        <f>SUM(DD295:DG295)</f>
        <v>1</v>
      </c>
      <c r="DJ295" t="str">
        <f>IF(DI295=1,INDEX($DD$7:$DG$7,MATCH(1,$DD295:$DG295,0)),"mixedProduct")</f>
        <v>TimberInput</v>
      </c>
      <c r="DK295">
        <f>IF(DD295=1,DK$7,0)</f>
        <v>0</v>
      </c>
      <c r="DL295">
        <f>IF(DE295=1,DL$7,0)</f>
        <v>0</v>
      </c>
      <c r="DM295">
        <f>IF(DF295=1,DM$7,0)</f>
        <v>0</v>
      </c>
      <c r="DN295" t="str">
        <f>IF(DG295=1,DN$7,0)</f>
        <v>Timber</v>
      </c>
      <c r="DO295">
        <v>0</v>
      </c>
      <c r="DP295">
        <v>1</v>
      </c>
      <c r="DQ295">
        <v>0</v>
      </c>
      <c r="DR295">
        <v>0</v>
      </c>
      <c r="DS295" t="s">
        <v>1541</v>
      </c>
      <c r="DT295">
        <f>SUM(DO295:DP295)</f>
        <v>1</v>
      </c>
      <c r="DU295" s="143" t="str">
        <f>IF(DO295=1,"self-calculated DF",IF(DP295=1,"external DF used","explicit C balance"))</f>
        <v>external DF used</v>
      </c>
      <c r="DV295">
        <v>0</v>
      </c>
      <c r="DW295">
        <v>0</v>
      </c>
      <c r="DX295">
        <v>0</v>
      </c>
      <c r="DY295">
        <v>0</v>
      </c>
      <c r="DZ295">
        <v>1</v>
      </c>
      <c r="EA295" s="143">
        <v>1</v>
      </c>
      <c r="EB295">
        <v>0</v>
      </c>
      <c r="EC295">
        <v>1</v>
      </c>
      <c r="ED295">
        <v>0</v>
      </c>
      <c r="EE295">
        <v>1</v>
      </c>
      <c r="EF295">
        <v>1</v>
      </c>
      <c r="EG295">
        <v>1</v>
      </c>
      <c r="EH295">
        <v>1</v>
      </c>
      <c r="EI295" s="2">
        <v>0</v>
      </c>
      <c r="EJ295" s="1"/>
      <c r="EK295" t="str">
        <f>IF(AND(AND(AND(OR($DX295=1,$DW295=1),OR($EC295=1,$EA295=1)),SUM($DV295:$DZ295,$EF295)&gt;=4),SUM($EA295:$EE295)&gt;=2),"Whole sector","")</f>
        <v/>
      </c>
      <c r="EL295" t="str">
        <f>IF(AND(AND(OR($DX295=1,$DW295=1),AND($EC295=0,$EA295=0)),SUM($DV295:$DZ295,$EF295)&gt;=4),"Ecosystem approach","")</f>
        <v/>
      </c>
      <c r="EM295" s="2" t="str">
        <f>IF(AND(AND(AND($DX295=0,$DW295=0),OR($EC295=1,$EA295=1)),SUM($EB295:$EE295)&gt;=2),"Technology approach","")</f>
        <v>Technology approach</v>
      </c>
      <c r="EN295"/>
      <c r="EO295"/>
      <c r="EP295" t="str">
        <f>IF(ISNUMBER(BU295),IF(ABS(BU295-[1]QC_indicators!$B$2)&gt;3*[1]QC_indicators!$C$2,"C ratio",IF(ISNUMBER(BY295),IF(ABS(BY295-[1]QC_indicators!$B$1)&gt;3*[1]QC_indicators!$C$1,"DF","no"))),IF(ISNUMBER(BY295),IF(ABS(BY295-[1]QC_indicators!$B$1)&gt;3*[1]QC_indicators!$C$1,"DF","no")))</f>
        <v>no</v>
      </c>
      <c r="EQ295"/>
      <c r="ER295"/>
      <c r="ES295"/>
      <c r="ET295" s="264" t="s">
        <v>3273</v>
      </c>
      <c r="EU295"/>
    </row>
    <row r="296" spans="1:151" s="139" customFormat="1" ht="15" customHeight="1">
      <c r="A296" s="1" t="s">
        <v>1808</v>
      </c>
      <c r="B296" t="s">
        <v>2475</v>
      </c>
      <c r="C296" t="s">
        <v>2476</v>
      </c>
      <c r="D296" t="s">
        <v>2477</v>
      </c>
      <c r="E296" t="s">
        <v>2478</v>
      </c>
      <c r="F296" t="s">
        <v>2479</v>
      </c>
      <c r="G296" t="s">
        <v>1814</v>
      </c>
      <c r="H296" t="s">
        <v>254</v>
      </c>
      <c r="I296">
        <v>2010</v>
      </c>
      <c r="J296">
        <v>100</v>
      </c>
      <c r="K296" t="s">
        <v>2480</v>
      </c>
      <c r="L296"/>
      <c r="M296" t="str">
        <f>LEFT($D296,FIND(",",$D296)-1)&amp;"_"&amp;I296&amp;L296</f>
        <v>Werner_2010</v>
      </c>
      <c r="N296" t="s">
        <v>222</v>
      </c>
      <c r="O296" s="145" t="s">
        <v>1154</v>
      </c>
      <c r="P296"/>
      <c r="Q296" t="s">
        <v>256</v>
      </c>
      <c r="R296" s="262" t="s">
        <v>223</v>
      </c>
      <c r="S296" s="263" t="s">
        <v>3255</v>
      </c>
      <c r="T296" t="s">
        <v>2482</v>
      </c>
      <c r="U296" t="s">
        <v>2487</v>
      </c>
      <c r="V296">
        <v>2</v>
      </c>
      <c r="W296">
        <v>0</v>
      </c>
      <c r="X296">
        <v>1</v>
      </c>
      <c r="Y296">
        <v>2</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s="141">
        <f>COUNTIF(V296:AW296,"&lt;&gt;0")</f>
        <v>3</v>
      </c>
      <c r="AY296" s="141">
        <f>COUNTIF(V296:AL296,"&lt;&gt;0")</f>
        <v>3</v>
      </c>
      <c r="AZ296">
        <f>COUNTIF(V296:AC296,"&lt;&gt;0")</f>
        <v>3</v>
      </c>
      <c r="BA296">
        <f>COUNTIF(AD296:AI296,"&lt;&gt;0")</f>
        <v>0</v>
      </c>
      <c r="BB296">
        <f>COUNTIF(AJ296:AL296,"&lt;&gt;0")</f>
        <v>0</v>
      </c>
      <c r="BC296">
        <f>COUNTIF(AS296:AW296,"&lt;&gt;0")</f>
        <v>0</v>
      </c>
      <c r="BD296">
        <f>COUNTIF(AM296:AR296,"&lt;&gt;0")</f>
        <v>0</v>
      </c>
      <c r="BE296" t="str">
        <f t="array" ref="BE296">IF(AY296=1,INDEX($V$7:$AL$7,MATCH(TRUE,INDEX($V296:$AW296&lt;&gt;0,),0)),IF(AY296=0,INDEX($AM$7:$AW$7,MATCH(1,$AM296:$AW296,0)),IF(BF296="Multiple strategies","mixed drivers",IF(BF296="Supply chain","multiple supply","multiple silviculture"))))</f>
        <v>multiple silviculture</v>
      </c>
      <c r="BF296" s="2" t="str" cm="1">
        <f t="array" ref="BF296">IF(COUNTIF(AZ296:BB296,"&lt;&gt;0")=1,INDEX($V$4:$AW$4,MATCH(TRUE,INDEX($V296:$AW296&lt;&gt;0,),0)),IF(COUNTIF(AZ296:BB296,"&lt;&gt;0")=0,INDEX($AM$4:$AW$4,MATCH(1,$AM296:$AW296,0)),"Multiple strategies"))</f>
        <v>Silviculture for removals</v>
      </c>
      <c r="BG296" s="1" t="s">
        <v>321</v>
      </c>
      <c r="BH296" t="s">
        <v>2453</v>
      </c>
      <c r="BI296" s="264" t="s">
        <v>3252</v>
      </c>
      <c r="BJ296" t="s">
        <v>1323</v>
      </c>
      <c r="BK296">
        <v>210</v>
      </c>
      <c r="BL296">
        <v>489</v>
      </c>
      <c r="BM296" s="143">
        <f>BL296/BK296</f>
        <v>2.3285714285714287</v>
      </c>
      <c r="BN296">
        <f>BL296-BK296</f>
        <v>279</v>
      </c>
      <c r="BO296">
        <f>BN296*1000000</f>
        <v>279000000</v>
      </c>
      <c r="BP296" t="s">
        <v>232</v>
      </c>
      <c r="BQ296" s="153" t="s">
        <v>3253</v>
      </c>
      <c r="BR296" t="s">
        <v>2325</v>
      </c>
      <c r="BS296">
        <v>644.05341103507203</v>
      </c>
      <c r="BT296">
        <v>626.98486954662098</v>
      </c>
      <c r="BU296" s="144">
        <f>IFERROR(BT296/BS296,"")</f>
        <v>0.9734982515487034</v>
      </c>
      <c r="BV296" s="144">
        <f>BT296-BS296</f>
        <v>-17.068541488451046</v>
      </c>
      <c r="BW296" s="144"/>
      <c r="BX296">
        <f>BV296*10^6</f>
        <v>-17068541.488451045</v>
      </c>
      <c r="BY296">
        <f>IFERROR(BX296/BO296,"")</f>
        <v>-6.1177568058964321E-2</v>
      </c>
      <c r="BZ296">
        <v>0</v>
      </c>
      <c r="CA296">
        <v>0</v>
      </c>
      <c r="CB296">
        <v>0</v>
      </c>
      <c r="CC296">
        <v>0</v>
      </c>
      <c r="CD296">
        <v>0</v>
      </c>
      <c r="CE296">
        <v>0</v>
      </c>
      <c r="CF296">
        <v>0</v>
      </c>
      <c r="CG296">
        <v>0</v>
      </c>
      <c r="CH296">
        <v>0</v>
      </c>
      <c r="CI296">
        <v>0</v>
      </c>
      <c r="CJ296">
        <v>0</v>
      </c>
      <c r="CK296">
        <v>0</v>
      </c>
      <c r="CL296">
        <v>0</v>
      </c>
      <c r="CM296">
        <v>1</v>
      </c>
      <c r="CN296" t="str">
        <f>IF($BL296&lt;$BK296,"refNeedCorrection","refOK")</f>
        <v>refOK</v>
      </c>
      <c r="CO296">
        <f>IF($CN296="refNeedCorrection",BL296,BK296)</f>
        <v>210</v>
      </c>
      <c r="CP296">
        <f>IF($CN296="refNeedCorrection",BK296,BL296)</f>
        <v>489</v>
      </c>
      <c r="CQ296">
        <f>IF($CN296="refOK",$BO296,-$BO296)</f>
        <v>279000000</v>
      </c>
      <c r="CR296">
        <f>IF($CN296="refOK",$BS296,$BT296)*IF($BP296="Emissions positive",-1,1)</f>
        <v>644.05341103507203</v>
      </c>
      <c r="CS296">
        <f>IF($CN296="refOK",$BT296,$BS296)*IF($BP296="Emissions positive",-1,1)</f>
        <v>626.98486954662098</v>
      </c>
      <c r="CT296">
        <f>IF($CN296="refNeedCorrection",-BX296,BX296)*IF($BP296="Emissions positive",-1,1)</f>
        <v>-17068541.488451045</v>
      </c>
      <c r="CU296">
        <f>IFERROR(CT296/CQ296,"")</f>
        <v>-6.1177568058964321E-2</v>
      </c>
      <c r="CV296" s="2">
        <f>IFERROR((CS296-CR296)/ABS(CR296),"")</f>
        <v>-2.6501748451296651E-2</v>
      </c>
      <c r="CW296" s="1" t="s">
        <v>1203</v>
      </c>
      <c r="CX296" t="str">
        <f>IF(OR($CW296="prd",$CW296="std",$CW296="cit"),"loc",IF(OR($CW296="eur",$CW296="reg",$CW296="coy"),"reg",$CW296))</f>
        <v>reg</v>
      </c>
      <c r="CY296" t="s">
        <v>639</v>
      </c>
      <c r="CZ296">
        <v>2000</v>
      </c>
      <c r="DA296">
        <v>2060</v>
      </c>
      <c r="DB296">
        <f>DA296-CZ296</f>
        <v>60</v>
      </c>
      <c r="DC296" t="str">
        <f>IF(DB296=0,"0",IF(AND(DB296&gt;=1,DB296&lt;=30),"1-30",IF(AND(DB296&gt;30,DB296&lt;=70),"31-70",IF(AND(DB296&gt;70,DB296&lt;=100),"71-100",IF(DB296&gt;100,"+100")))))</f>
        <v>31-70</v>
      </c>
      <c r="DD296">
        <v>0</v>
      </c>
      <c r="DE296">
        <v>0</v>
      </c>
      <c r="DF296">
        <v>0</v>
      </c>
      <c r="DG296">
        <v>1</v>
      </c>
      <c r="DH296">
        <v>0</v>
      </c>
      <c r="DI296">
        <f>SUM(DD296:DG296)</f>
        <v>1</v>
      </c>
      <c r="DJ296" t="str">
        <f>IF(DI296=1,INDEX($DD$7:$DG$7,MATCH(1,$DD296:$DG296,0)),"mixedProduct")</f>
        <v>TimberInput</v>
      </c>
      <c r="DK296">
        <f>IF(DD296=1,DK$7,0)</f>
        <v>0</v>
      </c>
      <c r="DL296">
        <f>IF(DE296=1,DL$7,0)</f>
        <v>0</v>
      </c>
      <c r="DM296">
        <f>IF(DF296=1,DM$7,0)</f>
        <v>0</v>
      </c>
      <c r="DN296" t="str">
        <f>IF(DG296=1,DN$7,0)</f>
        <v>Timber</v>
      </c>
      <c r="DO296">
        <v>0</v>
      </c>
      <c r="DP296">
        <v>1</v>
      </c>
      <c r="DQ296" t="s">
        <v>2483</v>
      </c>
      <c r="DR296" t="s">
        <v>2484</v>
      </c>
      <c r="DS296"/>
      <c r="DT296">
        <f>SUM(DO296:DP296)</f>
        <v>1</v>
      </c>
      <c r="DU296" s="143" t="str">
        <f>IF(DO296=1,"self-calculated DF",IF(DP296=1,"external DF used","explicit C balance"))</f>
        <v>external DF used</v>
      </c>
      <c r="DV296">
        <v>1</v>
      </c>
      <c r="DW296">
        <v>1</v>
      </c>
      <c r="DX296">
        <v>1</v>
      </c>
      <c r="DY296">
        <v>1</v>
      </c>
      <c r="DZ296">
        <v>1</v>
      </c>
      <c r="EA296" s="143">
        <v>1</v>
      </c>
      <c r="EB296">
        <v>1</v>
      </c>
      <c r="EC296">
        <v>1</v>
      </c>
      <c r="ED296">
        <v>0</v>
      </c>
      <c r="EE296">
        <v>0</v>
      </c>
      <c r="EF296">
        <v>1</v>
      </c>
      <c r="EG296">
        <v>0</v>
      </c>
      <c r="EH296">
        <v>0</v>
      </c>
      <c r="EI296" s="2">
        <v>0</v>
      </c>
      <c r="EJ296" s="1"/>
      <c r="EK296" t="str">
        <f>IF(AND(AND(AND(OR($DX296=1,$DW296=1),OR($EC296=1,$EA296=1)),SUM($DV296:$DZ296,$EF296)&gt;=4),SUM($EA296:$EE296)&gt;=2),"Whole sector","")</f>
        <v>Whole sector</v>
      </c>
      <c r="EL296" t="str">
        <f>IF(AND(AND(OR($DX296=1,$DW296=1),AND($EC296=0,$EA296=0)),SUM($DV296:$DZ296,$EF296)&gt;=4),"Ecosystem approach","")</f>
        <v/>
      </c>
      <c r="EM296" s="2" t="str">
        <f>IF(AND(AND(AND($DX296=0,$DW296=0),OR($EC296=1,$EA296=1)),SUM($EB296:$EE296)&gt;=2),"Technology approach","")</f>
        <v/>
      </c>
      <c r="EN296" t="s">
        <v>2485</v>
      </c>
      <c r="EO296"/>
      <c r="EP296" t="str">
        <f>IF(ISNUMBER(BU296),IF(ABS(BU296-[1]QC_indicators!$B$2)&gt;3*[1]QC_indicators!$C$2,"C ratio",IF(ISNUMBER(BY296),IF(ABS(BY296-[1]QC_indicators!$B$1)&gt;3*[1]QC_indicators!$C$1,"DF","no"))),IF(ISNUMBER(BY296),IF(ABS(BY296-[1]QC_indicators!$B$1)&gt;3*[1]QC_indicators!$C$1,"DF","no")))</f>
        <v>no</v>
      </c>
      <c r="EQ296"/>
      <c r="ER296"/>
      <c r="ES296"/>
      <c r="ET296" s="264" t="s">
        <v>3254</v>
      </c>
      <c r="EU296"/>
    </row>
    <row r="297" spans="1:151" s="139" customFormat="1" ht="15" customHeight="1">
      <c r="A297" s="1" t="s">
        <v>1360</v>
      </c>
      <c r="B297" t="s">
        <v>2135</v>
      </c>
      <c r="C297" t="s">
        <v>2136</v>
      </c>
      <c r="D297" t="s">
        <v>2137</v>
      </c>
      <c r="E297" t="s">
        <v>2138</v>
      </c>
      <c r="F297" t="s">
        <v>2139</v>
      </c>
      <c r="G297" t="s">
        <v>1366</v>
      </c>
      <c r="H297" t="s">
        <v>254</v>
      </c>
      <c r="I297">
        <v>2012</v>
      </c>
      <c r="J297">
        <v>21</v>
      </c>
      <c r="K297" t="s">
        <v>2140</v>
      </c>
      <c r="L297" s="192"/>
      <c r="M297" t="str">
        <f>LEFT($D297,FIND(",",$D297)-1)&amp;"_"&amp;I297&amp;L297</f>
        <v>Pyorala_2012</v>
      </c>
      <c r="N297" t="s">
        <v>222</v>
      </c>
      <c r="O297" s="145" t="s">
        <v>341</v>
      </c>
      <c r="P297" s="180" t="s">
        <v>223</v>
      </c>
      <c r="Q297" s="264" t="s">
        <v>256</v>
      </c>
      <c r="R297" s="269" t="s">
        <v>1154</v>
      </c>
      <c r="S297" s="263" t="s">
        <v>2165</v>
      </c>
      <c r="T297" s="264" t="s">
        <v>2157</v>
      </c>
      <c r="U297" s="264" t="s">
        <v>2158</v>
      </c>
      <c r="V297">
        <v>0</v>
      </c>
      <c r="W297">
        <v>0</v>
      </c>
      <c r="X297">
        <v>0</v>
      </c>
      <c r="Y297">
        <v>0</v>
      </c>
      <c r="Z297">
        <v>0</v>
      </c>
      <c r="AA297">
        <v>0</v>
      </c>
      <c r="AB297">
        <v>0</v>
      </c>
      <c r="AC297">
        <v>1</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s="141">
        <f>COUNTIF(V297:AW297,"&lt;&gt;0")</f>
        <v>1</v>
      </c>
      <c r="AY297" s="141">
        <f>COUNTIF(V297:AL297,"&lt;&gt;0")</f>
        <v>1</v>
      </c>
      <c r="AZ297">
        <f>COUNTIF(V297:AC297,"&lt;&gt;0")</f>
        <v>1</v>
      </c>
      <c r="BA297">
        <f>COUNTIF(AD297:AI297,"&lt;&gt;0")</f>
        <v>0</v>
      </c>
      <c r="BB297">
        <f>COUNTIF(AJ297:AL297,"&lt;&gt;0")</f>
        <v>0</v>
      </c>
      <c r="BC297">
        <f>COUNTIF(AS297:AW297,"&lt;&gt;0")</f>
        <v>0</v>
      </c>
      <c r="BD297">
        <f>COUNTIF(AM297:AR297,"&lt;&gt;0")</f>
        <v>0</v>
      </c>
      <c r="BE297" t="str" cm="1">
        <f t="array" ref="BE297">IF(AY297=1,INDEX($V$7:$AL$7,MATCH(TRUE,INDEX($V297:$AW297&lt;&gt;0,),0)),IF(AY297=0,INDEX($AM$7:$AW$7,MATCH(1,$AM297:$AW297,0)),IF(BF297="Multiple strategies","mixed drivers",IF(BF297="Supply chain","multiple supply","multiple silviculture"))))</f>
        <v>site fertility</v>
      </c>
      <c r="BF297" s="2" t="str" cm="1">
        <f t="array" ref="BF297">IF(COUNTIF(AZ297:BB297,"&lt;&gt;0")=1,INDEX($V$4:$AW$4,MATCH(TRUE,INDEX($V297:$AW297&lt;&gt;0,),0)),IF(COUNTIF(AZ297:BB297,"&lt;&gt;0")=0,INDEX($AM$4:$AW$4,MATCH(1,$AM297:$AW297,0)),"Multiple strategies"))</f>
        <v>Silviculture for productivity</v>
      </c>
      <c r="BG297" s="178" t="s">
        <v>321</v>
      </c>
      <c r="BH297" s="264" t="s">
        <v>2144</v>
      </c>
      <c r="BI297" s="264" t="s">
        <v>2159</v>
      </c>
      <c r="BJ297" s="160" t="s">
        <v>700</v>
      </c>
      <c r="BK297">
        <v>7.6</v>
      </c>
      <c r="BL297">
        <v>7.8</v>
      </c>
      <c r="BM297"/>
      <c r="BN297">
        <f>BL297-BK297</f>
        <v>0.20000000000000018</v>
      </c>
      <c r="BO297">
        <f>BN297</f>
        <v>0.20000000000000018</v>
      </c>
      <c r="BP297" s="155" t="s">
        <v>395</v>
      </c>
      <c r="BQ297" s="264" t="s">
        <v>786</v>
      </c>
      <c r="BR297" s="270" t="s">
        <v>2145</v>
      </c>
      <c r="BS297">
        <f>-4.1/50</f>
        <v>-8.199999999999999E-2</v>
      </c>
      <c r="BT297">
        <f>-3.5/50</f>
        <v>-7.0000000000000007E-2</v>
      </c>
      <c r="BU297" s="144"/>
      <c r="BV297">
        <f>BT297-BS297</f>
        <v>1.1999999999999983E-2</v>
      </c>
      <c r="BW297"/>
      <c r="BX297">
        <f>BV297</f>
        <v>1.1999999999999983E-2</v>
      </c>
      <c r="BY297">
        <f>IFERROR(BX297/BO297,"")</f>
        <v>5.9999999999999859E-2</v>
      </c>
      <c r="BZ297">
        <v>0</v>
      </c>
      <c r="CA297">
        <v>0</v>
      </c>
      <c r="CB297">
        <v>0</v>
      </c>
      <c r="CC297">
        <v>0</v>
      </c>
      <c r="CD297">
        <v>0</v>
      </c>
      <c r="CE297">
        <v>0</v>
      </c>
      <c r="CF297">
        <v>0</v>
      </c>
      <c r="CG297">
        <v>0</v>
      </c>
      <c r="CH297">
        <v>0</v>
      </c>
      <c r="CI297">
        <v>0</v>
      </c>
      <c r="CJ297">
        <v>0</v>
      </c>
      <c r="CK297">
        <v>0</v>
      </c>
      <c r="CL297">
        <v>0</v>
      </c>
      <c r="CM297">
        <v>0</v>
      </c>
      <c r="CN297" t="str">
        <f>IF($BL297&lt;$BK297,"refNeedCorrection","refOK")</f>
        <v>refOK</v>
      </c>
      <c r="CO297">
        <f>IF($CN297="refOK",$BK297,$BL297)</f>
        <v>7.6</v>
      </c>
      <c r="CP297">
        <f>IF($CN297="refOK",$BL297,$BK297)</f>
        <v>7.8</v>
      </c>
      <c r="CQ297">
        <f>IF($CN297="refOK",$BO297,-$BO297)</f>
        <v>0.20000000000000018</v>
      </c>
      <c r="CR297">
        <f>IF($CN297="refOK",$BS297,$BT297)*IF($BP297="Emissions positive",-1,1)</f>
        <v>8.199999999999999E-2</v>
      </c>
      <c r="CS297">
        <f>IF($CN297="refOK",$BT297,$BS297)*IF($BP297="Emissions positive",-1,1)</f>
        <v>7.0000000000000007E-2</v>
      </c>
      <c r="CT297">
        <f>IF($CN297="refNeedCorrection",-BX297,BX297)*IF($BP297="Emissions positive",-1,1)</f>
        <v>-1.1999999999999983E-2</v>
      </c>
      <c r="CU297">
        <f>IFERROR(CT297/CQ297,"")</f>
        <v>-5.9999999999999859E-2</v>
      </c>
      <c r="CV297" s="2">
        <f>IFERROR((CS297-CR297)/ABS(CR297),"")</f>
        <v>-0.14634146341463394</v>
      </c>
      <c r="CW297" s="1" t="s">
        <v>1199</v>
      </c>
      <c r="CX297" s="264" t="str">
        <f>IF(OR($CW297="prd",$CW297="std",$CW297="cit"),"loc",IF(OR($CW297="eur",$CW297="reg",$CW297="coy"),"reg",$CW297))</f>
        <v>reg</v>
      </c>
      <c r="CY297" t="s">
        <v>235</v>
      </c>
      <c r="CZ297"/>
      <c r="DA297"/>
      <c r="DB297">
        <v>50</v>
      </c>
      <c r="DC297" t="str">
        <f>IF(DB297=0,"0",IF(AND(DB297&gt;=1,DB297&lt;=30),"1-30",IF(AND(DB297&gt;30,DB297&lt;=70),"31-70",IF(AND(DB297&gt;70,DB297&lt;=100),"71-100",IF(DB297&gt;100,"+100")))))</f>
        <v>31-70</v>
      </c>
      <c r="DD297">
        <v>0</v>
      </c>
      <c r="DE297">
        <v>1</v>
      </c>
      <c r="DF297">
        <v>1</v>
      </c>
      <c r="DG297">
        <v>1</v>
      </c>
      <c r="DH297"/>
      <c r="DI297">
        <f>SUM(DD297:DG297)</f>
        <v>3</v>
      </c>
      <c r="DJ297" t="str">
        <f>IF(DI297=1,INDEX($DD$7:$DG$7,MATCH(1,$DD297:$DG297,0)),"mixedProduct")</f>
        <v>mixedProduct</v>
      </c>
      <c r="DK297">
        <f>IF(DD297=1,DK$7,0)</f>
        <v>0</v>
      </c>
      <c r="DL297" t="str">
        <f>IF(DE297=1,DL$7,0)</f>
        <v>Energy</v>
      </c>
      <c r="DM297" t="str">
        <f>IF(DF297=1,DM$7,0)</f>
        <v>Pulp/Paper</v>
      </c>
      <c r="DN297" t="str">
        <f>IF(DG297=1,DN$7,0)</f>
        <v>Timber</v>
      </c>
      <c r="DO297">
        <v>0</v>
      </c>
      <c r="DP297">
        <v>1</v>
      </c>
      <c r="DQ297" t="s">
        <v>2146</v>
      </c>
      <c r="DR297">
        <v>0</v>
      </c>
      <c r="DS297">
        <v>0</v>
      </c>
      <c r="DT297">
        <f>SUM(DO297:DP297)</f>
        <v>1</v>
      </c>
      <c r="DU297" s="143" t="str">
        <f>IF(DO297=1,"self-calculated DF",IF(DP297=1,"external DF used","explicit C balance"))</f>
        <v>external DF used</v>
      </c>
      <c r="DV297">
        <v>1</v>
      </c>
      <c r="DW297">
        <v>1</v>
      </c>
      <c r="DX297">
        <v>1</v>
      </c>
      <c r="DY297">
        <v>0</v>
      </c>
      <c r="DZ297">
        <v>0</v>
      </c>
      <c r="EA297" s="143">
        <v>0</v>
      </c>
      <c r="EB297">
        <v>1</v>
      </c>
      <c r="EC297">
        <v>1</v>
      </c>
      <c r="ED297">
        <v>0</v>
      </c>
      <c r="EE297">
        <v>0</v>
      </c>
      <c r="EF297">
        <v>1</v>
      </c>
      <c r="EG297">
        <v>0</v>
      </c>
      <c r="EH297">
        <v>0</v>
      </c>
      <c r="EI297" s="2">
        <v>0</v>
      </c>
      <c r="EJ297" s="1"/>
      <c r="EK297" t="str">
        <f>IF(AND(AND(AND(OR($DX297=1,$DW297=1),OR($EC297=1,$EA297=1)),SUM($DV297:$DZ297,$EF297)&gt;=4),SUM($EA297:$EE297)&gt;=2),"Whole sector","")</f>
        <v>Whole sector</v>
      </c>
      <c r="EL297" t="str">
        <f>IF(AND(AND(OR($DX297=1,$DW297=1),AND($EC297=0,$EA297=0)),SUM($DV297:$DZ297,$EF297)&gt;=4),"Ecosystem approach","")</f>
        <v/>
      </c>
      <c r="EM297" s="2" t="str">
        <f>IF(AND(AND(AND($DX297=0,$DW297=0),OR($EC297=1,$EA297=1)),SUM($EB297:$EE297)&gt;=2),"Technology approach","")</f>
        <v/>
      </c>
      <c r="EN297"/>
      <c r="EO297"/>
      <c r="EP297" t="str">
        <f>IF(ISNUMBER(BU297),IF(ABS(BU297-[3]QC_indicators!$B$2)&gt;3*[3]QC_indicators!$C$2,"C ratio",IF(ISNUMBER(BY297),IF(ABS(BY297-[3]QC_indicators!$B$1)&gt;3*[3]QC_indicators!$C$1,"DF","no"))),IF(ISNUMBER(BY297),IF(ABS(BY297-[3]QC_indicators!$B$1)&gt;3*[3]QC_indicators!$C$1,"DF","no")))</f>
        <v>no</v>
      </c>
      <c r="EQ297"/>
      <c r="ER297"/>
      <c r="ES297"/>
      <c r="ET297" s="264" t="s">
        <v>3407</v>
      </c>
      <c r="EU297"/>
    </row>
    <row r="298" spans="1:151" s="139" customFormat="1" ht="15" customHeight="1">
      <c r="A298" s="1" t="s">
        <v>1360</v>
      </c>
      <c r="B298" t="s">
        <v>2135</v>
      </c>
      <c r="C298" t="s">
        <v>2136</v>
      </c>
      <c r="D298" t="s">
        <v>2137</v>
      </c>
      <c r="E298" t="s">
        <v>2138</v>
      </c>
      <c r="F298" t="s">
        <v>2139</v>
      </c>
      <c r="G298" t="s">
        <v>1366</v>
      </c>
      <c r="H298" t="s">
        <v>254</v>
      </c>
      <c r="I298">
        <v>2012</v>
      </c>
      <c r="J298">
        <v>21</v>
      </c>
      <c r="K298" t="s">
        <v>2140</v>
      </c>
      <c r="L298" s="192"/>
      <c r="M298" t="str">
        <f>LEFT($D298,FIND(",",$D298)-1)&amp;"_"&amp;I298&amp;L298</f>
        <v>Pyorala_2012</v>
      </c>
      <c r="N298" t="s">
        <v>222</v>
      </c>
      <c r="O298" s="145" t="s">
        <v>341</v>
      </c>
      <c r="P298" s="193" t="s">
        <v>223</v>
      </c>
      <c r="Q298" s="264" t="s">
        <v>2162</v>
      </c>
      <c r="R298" s="269" t="s">
        <v>1154</v>
      </c>
      <c r="S298" s="263" t="s">
        <v>2163</v>
      </c>
      <c r="T298" s="264" t="s">
        <v>2157</v>
      </c>
      <c r="U298" s="264" t="s">
        <v>2158</v>
      </c>
      <c r="V298">
        <v>0</v>
      </c>
      <c r="W298">
        <v>0</v>
      </c>
      <c r="X298">
        <v>0</v>
      </c>
      <c r="Y298">
        <v>0</v>
      </c>
      <c r="Z298">
        <v>0</v>
      </c>
      <c r="AA298">
        <v>0</v>
      </c>
      <c r="AB298">
        <v>0</v>
      </c>
      <c r="AC298">
        <v>1</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s="141">
        <f>COUNTIF(V298:AW298,"&lt;&gt;0")</f>
        <v>1</v>
      </c>
      <c r="AY298" s="141">
        <f>COUNTIF(V298:AL298,"&lt;&gt;0")</f>
        <v>1</v>
      </c>
      <c r="AZ298">
        <f>COUNTIF(V298:AC298,"&lt;&gt;0")</f>
        <v>1</v>
      </c>
      <c r="BA298">
        <f>COUNTIF(AD298:AI298,"&lt;&gt;0")</f>
        <v>0</v>
      </c>
      <c r="BB298">
        <f>COUNTIF(AJ298:AL298,"&lt;&gt;0")</f>
        <v>0</v>
      </c>
      <c r="BC298">
        <f>COUNTIF(AS298:AW298,"&lt;&gt;0")</f>
        <v>0</v>
      </c>
      <c r="BD298">
        <f>COUNTIF(AM298:AR298,"&lt;&gt;0")</f>
        <v>0</v>
      </c>
      <c r="BE298" t="str" cm="1">
        <f t="array" ref="BE298">IF(AY298=1,INDEX($V$7:$AL$7,MATCH(TRUE,INDEX($V298:$AW298&lt;&gt;0,),0)),IF(AY298=0,INDEX($AM$7:$AW$7,MATCH(1,$AM298:$AW298,0)),IF(BF298="Multiple strategies","mixed drivers",IF(BF298="Supply chain","multiple supply","multiple silviculture"))))</f>
        <v>site fertility</v>
      </c>
      <c r="BF298" s="2" t="str" cm="1">
        <f t="array" ref="BF298">IF(COUNTIF(AZ298:BB298,"&lt;&gt;0")=1,INDEX($V$4:$AW$4,MATCH(TRUE,INDEX($V298:$AW298&lt;&gt;0,),0)),IF(COUNTIF(AZ298:BB298,"&lt;&gt;0")=0,INDEX($AM$4:$AW$4,MATCH(1,$AM298:$AW298,0)),"Multiple strategies"))</f>
        <v>Silviculture for productivity</v>
      </c>
      <c r="BG298" s="194" t="s">
        <v>321</v>
      </c>
      <c r="BH298" s="264" t="s">
        <v>2144</v>
      </c>
      <c r="BI298" s="264" t="s">
        <v>2159</v>
      </c>
      <c r="BJ298" s="195" t="s">
        <v>700</v>
      </c>
      <c r="BK298">
        <v>6.5</v>
      </c>
      <c r="BL298">
        <v>8.4</v>
      </c>
      <c r="BM298"/>
      <c r="BN298">
        <f>BL298-BK298</f>
        <v>1.9000000000000004</v>
      </c>
      <c r="BO298">
        <f>BN298</f>
        <v>1.9000000000000004</v>
      </c>
      <c r="BP298" s="149" t="s">
        <v>395</v>
      </c>
      <c r="BQ298" s="335" t="s">
        <v>783</v>
      </c>
      <c r="BR298" s="149" t="s">
        <v>279</v>
      </c>
      <c r="BS298">
        <v>1</v>
      </c>
      <c r="BT298">
        <v>1.1000000000000001</v>
      </c>
      <c r="BU298" s="144"/>
      <c r="BV298">
        <f>BT298-BS298</f>
        <v>0.10000000000000009</v>
      </c>
      <c r="BW298"/>
      <c r="BX298">
        <f>BV298</f>
        <v>0.10000000000000009</v>
      </c>
      <c r="BY298">
        <f>IFERROR(BX298/BO298,"")</f>
        <v>5.263157894736846E-2</v>
      </c>
      <c r="BZ298">
        <v>0</v>
      </c>
      <c r="CA298">
        <v>0</v>
      </c>
      <c r="CB298">
        <v>0</v>
      </c>
      <c r="CC298">
        <v>0</v>
      </c>
      <c r="CD298">
        <v>0</v>
      </c>
      <c r="CE298">
        <v>0</v>
      </c>
      <c r="CF298">
        <v>0</v>
      </c>
      <c r="CG298">
        <v>0</v>
      </c>
      <c r="CH298">
        <v>0</v>
      </c>
      <c r="CI298">
        <v>0</v>
      </c>
      <c r="CJ298">
        <v>0</v>
      </c>
      <c r="CK298">
        <v>0</v>
      </c>
      <c r="CL298">
        <v>0</v>
      </c>
      <c r="CM298">
        <v>0</v>
      </c>
      <c r="CN298" t="str">
        <f>IF($BL298&lt;$BK298,"refNeedCorrection","refOK")</f>
        <v>refOK</v>
      </c>
      <c r="CO298">
        <f>IF($CN298="refOK",$BK298,$BL298)</f>
        <v>6.5</v>
      </c>
      <c r="CP298">
        <f>IF($CN298="refOK",$BL298,$BK298)</f>
        <v>8.4</v>
      </c>
      <c r="CQ298">
        <f>IF($CN298="refOK",$BO298,-$BO298)</f>
        <v>1.9000000000000004</v>
      </c>
      <c r="CR298">
        <f>IF($CN298="refOK",$BS298,$BT298)*IF($BP298="Emissions positive",-1,1)</f>
        <v>-1</v>
      </c>
      <c r="CS298">
        <f>IF($CN298="refOK",$BT298,$BS298)*IF($BP298="Emissions positive",-1,1)</f>
        <v>-1.1000000000000001</v>
      </c>
      <c r="CT298">
        <f>IF($CN298="refNeedCorrection",-BX298,BX298)*IF($BP298="Emissions positive",-1,1)</f>
        <v>-0.10000000000000009</v>
      </c>
      <c r="CU298">
        <f>IFERROR(CT298/CQ298,"")</f>
        <v>-5.263157894736846E-2</v>
      </c>
      <c r="CV298" s="2">
        <f>IFERROR((CS298-CR298)/ABS(CR298),"")</f>
        <v>-0.10000000000000009</v>
      </c>
      <c r="CW298" s="1" t="s">
        <v>1199</v>
      </c>
      <c r="CX298" s="264" t="str">
        <f>IF(OR($CW298="prd",$CW298="std",$CW298="cit"),"loc",IF(OR($CW298="eur",$CW298="reg",$CW298="coy"),"reg",$CW298))</f>
        <v>reg</v>
      </c>
      <c r="CY298" t="s">
        <v>235</v>
      </c>
      <c r="CZ298"/>
      <c r="DA298"/>
      <c r="DB298">
        <v>80</v>
      </c>
      <c r="DC298" t="str">
        <f>IF(DB298=0,"0",IF(AND(DB298&gt;=1,DB298&lt;=30),"1-30",IF(AND(DB298&gt;30,DB298&lt;=70),"31-70",IF(AND(DB298&gt;70,DB298&lt;=100),"71-100",IF(DB298&gt;100,"+100")))))</f>
        <v>71-100</v>
      </c>
      <c r="DD298">
        <v>0</v>
      </c>
      <c r="DE298">
        <v>1</v>
      </c>
      <c r="DF298">
        <v>1</v>
      </c>
      <c r="DG298">
        <v>1</v>
      </c>
      <c r="DH298"/>
      <c r="DI298">
        <f>SUM(DD298:DG298)</f>
        <v>3</v>
      </c>
      <c r="DJ298" t="str">
        <f>IF(DI298=1,INDEX($DD$7:$DG$7,MATCH(1,$DD298:$DG298,0)),"mixedProduct")</f>
        <v>mixedProduct</v>
      </c>
      <c r="DK298">
        <f>IF(DD298=1,DK$7,0)</f>
        <v>0</v>
      </c>
      <c r="DL298" t="str">
        <f>IF(DE298=1,DL$7,0)</f>
        <v>Energy</v>
      </c>
      <c r="DM298" t="str">
        <f>IF(DF298=1,DM$7,0)</f>
        <v>Pulp/Paper</v>
      </c>
      <c r="DN298" t="str">
        <f>IF(DG298=1,DN$7,0)</f>
        <v>Timber</v>
      </c>
      <c r="DO298">
        <v>0</v>
      </c>
      <c r="DP298">
        <v>1</v>
      </c>
      <c r="DQ298" t="s">
        <v>2146</v>
      </c>
      <c r="DR298">
        <v>0</v>
      </c>
      <c r="DS298">
        <v>0</v>
      </c>
      <c r="DT298">
        <f>SUM(DO298:DP298)</f>
        <v>1</v>
      </c>
      <c r="DU298" s="143" t="str">
        <f>IF(DO298=1,"self-calculated DF",IF(DP298=1,"external DF used","explicit C balance"))</f>
        <v>external DF used</v>
      </c>
      <c r="DV298">
        <v>1</v>
      </c>
      <c r="DW298">
        <v>1</v>
      </c>
      <c r="DX298">
        <v>1</v>
      </c>
      <c r="DY298">
        <v>0</v>
      </c>
      <c r="DZ298">
        <v>1</v>
      </c>
      <c r="EA298">
        <v>0</v>
      </c>
      <c r="EB298">
        <v>1</v>
      </c>
      <c r="EC298">
        <v>1</v>
      </c>
      <c r="ED298">
        <v>0</v>
      </c>
      <c r="EE298">
        <v>0</v>
      </c>
      <c r="EF298">
        <v>1</v>
      </c>
      <c r="EG298">
        <v>0</v>
      </c>
      <c r="EH298">
        <v>0</v>
      </c>
      <c r="EI298" s="2">
        <v>0</v>
      </c>
      <c r="EJ298" s="1"/>
      <c r="EK298" t="str">
        <f>IF(AND(AND(AND(OR($DX298=1,$DW298=1),OR($EC298=1,$EA298=1)),SUM($DV298:$DZ298,$EF298)&gt;=4),SUM($EA298:$EE298)&gt;=2),"Whole sector","")</f>
        <v>Whole sector</v>
      </c>
      <c r="EL298" t="str">
        <f>IF(AND(AND(OR($DX298=1,$DW298=1),AND($EC298=0,$EA298=0)),SUM($DV298:$DZ298,$EF298)&gt;=4),"Ecosystem approach","")</f>
        <v/>
      </c>
      <c r="EM298" s="2" t="str">
        <f>IF(AND(AND(AND($DX298=0,$DW298=0),OR($EC298=1,$EA298=1)),SUM($EB298:$EE298)&gt;=2),"Technology approach","")</f>
        <v/>
      </c>
      <c r="EN298"/>
      <c r="EO298"/>
      <c r="EP298" t="str">
        <f>IF(ISNUMBER(BU298),IF(ABS(BU298-[3]QC_indicators!$B$2)&gt;3*[3]QC_indicators!$C$2,"C ratio",IF(ISNUMBER(BY298),IF(ABS(BY298-[3]QC_indicators!$B$1)&gt;3*[3]QC_indicators!$C$1,"DF","no"))),IF(ISNUMBER(BY298),IF(ABS(BY298-[3]QC_indicators!$B$1)&gt;3*[3]QC_indicators!$C$1,"DF","no")))</f>
        <v>no</v>
      </c>
      <c r="EQ298"/>
      <c r="ER298"/>
      <c r="ES298"/>
      <c r="ET298" s="264" t="s">
        <v>3407</v>
      </c>
      <c r="EU298"/>
    </row>
    <row r="299" spans="1:151" s="139" customFormat="1" ht="15" customHeight="1">
      <c r="A299" s="1" t="s">
        <v>1636</v>
      </c>
      <c r="B299" t="s">
        <v>1637</v>
      </c>
      <c r="C299" t="s">
        <v>1638</v>
      </c>
      <c r="D299" t="s">
        <v>1639</v>
      </c>
      <c r="E299" t="s">
        <v>1640</v>
      </c>
      <c r="F299" t="s">
        <v>1641</v>
      </c>
      <c r="G299" t="s">
        <v>1642</v>
      </c>
      <c r="H299" t="s">
        <v>254</v>
      </c>
      <c r="I299">
        <v>2022</v>
      </c>
      <c r="J299">
        <v>0</v>
      </c>
      <c r="K299" t="s">
        <v>1643</v>
      </c>
      <c r="L299"/>
      <c r="M299" t="str">
        <f>LEFT($D299,FIND(",",$D299)-1)&amp;"_"&amp;I299&amp;L299</f>
        <v>Gregor_2022</v>
      </c>
      <c r="N299" t="s">
        <v>222</v>
      </c>
      <c r="O299" s="161" t="s">
        <v>223</v>
      </c>
      <c r="P299"/>
      <c r="Q299" s="264" t="s">
        <v>389</v>
      </c>
      <c r="R299" s="269" t="s">
        <v>1154</v>
      </c>
      <c r="S299" s="154" t="s">
        <v>1644</v>
      </c>
      <c r="T299" s="294" t="s">
        <v>1654</v>
      </c>
      <c r="U299" s="264" t="s">
        <v>1646</v>
      </c>
      <c r="V299">
        <v>0</v>
      </c>
      <c r="W299">
        <v>0</v>
      </c>
      <c r="X299">
        <v>0</v>
      </c>
      <c r="Y299">
        <v>0</v>
      </c>
      <c r="Z299">
        <v>1</v>
      </c>
      <c r="AA299">
        <v>0</v>
      </c>
      <c r="AB299">
        <v>0</v>
      </c>
      <c r="AC299">
        <v>0</v>
      </c>
      <c r="AD299">
        <v>0</v>
      </c>
      <c r="AE299">
        <v>0</v>
      </c>
      <c r="AF299">
        <v>2</v>
      </c>
      <c r="AG299">
        <v>0</v>
      </c>
      <c r="AH299">
        <v>0</v>
      </c>
      <c r="AI299">
        <v>0</v>
      </c>
      <c r="AJ299">
        <v>0</v>
      </c>
      <c r="AK299">
        <v>0</v>
      </c>
      <c r="AL299">
        <v>0</v>
      </c>
      <c r="AM299">
        <v>0</v>
      </c>
      <c r="AN299">
        <v>2</v>
      </c>
      <c r="AO299">
        <v>2</v>
      </c>
      <c r="AP299">
        <v>2</v>
      </c>
      <c r="AQ299">
        <v>2</v>
      </c>
      <c r="AR299">
        <v>0</v>
      </c>
      <c r="AS299">
        <v>0</v>
      </c>
      <c r="AT299">
        <v>0</v>
      </c>
      <c r="AU299">
        <v>0</v>
      </c>
      <c r="AV299">
        <v>0</v>
      </c>
      <c r="AW299">
        <v>0</v>
      </c>
      <c r="AX299" s="141">
        <f>COUNTIF(V299:AW299,"&lt;&gt;0")</f>
        <v>6</v>
      </c>
      <c r="AY299" s="141">
        <f>COUNTIF(V299:AL299,"&lt;&gt;0")</f>
        <v>2</v>
      </c>
      <c r="AZ299">
        <f>COUNTIF(V299:AC299,"&lt;&gt;0")</f>
        <v>1</v>
      </c>
      <c r="BA299">
        <f>COUNTIF(AD299:AI299,"&lt;&gt;0")</f>
        <v>1</v>
      </c>
      <c r="BB299">
        <f>COUNTIF(AJ299:AL299,"&lt;&gt;0")</f>
        <v>0</v>
      </c>
      <c r="BC299">
        <f>COUNTIF(AS299:AW299,"&lt;&gt;0")</f>
        <v>0</v>
      </c>
      <c r="BD299">
        <f>COUNTIF(AM299:AR299,"&lt;&gt;0")</f>
        <v>4</v>
      </c>
      <c r="BE299" t="str" cm="1">
        <f t="array" ref="BE299">IF(AY299=1,INDEX($V$7:$AL$7,MATCH(TRUE,INDEX($V299:$AW299&lt;&gt;0,),0)),IF(AY299=0,INDEX($AM$7:$AW$7,MATCH(1,$AM299:$AW299,0)),IF(BF299="Multiple strategies","mixed drivers",IF(BF299="Supply chain","multiple supply","multiple silviculture"))))</f>
        <v>mixed drivers</v>
      </c>
      <c r="BF299" s="2" t="str" cm="1">
        <f t="array" ref="BF299">IF(COUNTIF(AZ299:BB299,"&lt;&gt;0")=1,INDEX($V$4:$AW$4,MATCH(TRUE,INDEX($V299:$AW299&lt;&gt;0,),0)),IF(COUNTIF(AZ299:BB299,"&lt;&gt;0")=0,INDEX($AM$4:$AW$4,MATCH(1,$AM299:$AW299,0)),"Multiple strategies"))</f>
        <v>Multiple strategies</v>
      </c>
      <c r="BG299" s="1" t="s">
        <v>321</v>
      </c>
      <c r="BH299" s="264" t="s">
        <v>1647</v>
      </c>
      <c r="BI299" s="264" t="s">
        <v>688</v>
      </c>
      <c r="BJ299" s="264" t="s">
        <v>1648</v>
      </c>
      <c r="BK299">
        <f>0.78*(2115-2020)</f>
        <v>74.100000000000009</v>
      </c>
      <c r="BL299">
        <f>2.99*(2115-2020)</f>
        <v>284.05</v>
      </c>
      <c r="BM299"/>
      <c r="BN299">
        <f>BL299-BK299</f>
        <v>209.95</v>
      </c>
      <c r="BO299">
        <f>BL299-BK299</f>
        <v>209.95</v>
      </c>
      <c r="BP299" s="264" t="s">
        <v>232</v>
      </c>
      <c r="BQ299" s="264" t="s">
        <v>1652</v>
      </c>
      <c r="BR299" s="264" t="s">
        <v>1650</v>
      </c>
      <c r="BS299" s="264">
        <f>10.1*10000</f>
        <v>101000</v>
      </c>
      <c r="BT299" s="264">
        <f>9.8*10000</f>
        <v>98000</v>
      </c>
      <c r="BU299"/>
      <c r="BV299">
        <f>BT299-BS299</f>
        <v>-3000</v>
      </c>
      <c r="BW299"/>
      <c r="BX299">
        <f>BV299/1000*C_to_CO2</f>
        <v>-11.01</v>
      </c>
      <c r="BY299">
        <f>IFERROR(BX299/BO299,"")</f>
        <v>-5.2441057394617768E-2</v>
      </c>
      <c r="BZ299">
        <v>0</v>
      </c>
      <c r="CA299">
        <v>0</v>
      </c>
      <c r="CB299">
        <v>0</v>
      </c>
      <c r="CC299">
        <v>0</v>
      </c>
      <c r="CD299">
        <v>0</v>
      </c>
      <c r="CE299">
        <v>0</v>
      </c>
      <c r="CF299">
        <v>0</v>
      </c>
      <c r="CG299">
        <v>0</v>
      </c>
      <c r="CH299">
        <v>0</v>
      </c>
      <c r="CI299">
        <v>0</v>
      </c>
      <c r="CJ299">
        <v>0</v>
      </c>
      <c r="CK299">
        <v>0</v>
      </c>
      <c r="CL299">
        <v>0</v>
      </c>
      <c r="CM299">
        <v>0</v>
      </c>
      <c r="CN299" t="str">
        <f>IF($BL299&lt;$BK299,"refNeedCorrection","refOK")</f>
        <v>refOK</v>
      </c>
      <c r="CO299">
        <f>IF($CN299="refOK",$BK299,$BL299)</f>
        <v>74.100000000000009</v>
      </c>
      <c r="CP299">
        <f>IF($CN299="refOK",$BL299,$BK299)</f>
        <v>284.05</v>
      </c>
      <c r="CQ299">
        <f>IF($CN299="refOK",$BO299,-$BO299)</f>
        <v>209.95</v>
      </c>
      <c r="CR299">
        <f>IF($CN299="refOK",$BS299,$BT299)*IF($BP299="Emissions positive",-1,1)</f>
        <v>101000</v>
      </c>
      <c r="CS299">
        <f>IF($CN299="refOK",$BT299,$BS299)*IF($BP299="Emissions positive",-1,1)</f>
        <v>98000</v>
      </c>
      <c r="CT299">
        <f>IF($CN299="refNeedCorrection",-BX299,BX299)*IF($BP299="Emissions positive",-1,1)</f>
        <v>-11.01</v>
      </c>
      <c r="CU299">
        <f>IFERROR(CT299/CQ299,"")</f>
        <v>-5.2441057394617768E-2</v>
      </c>
      <c r="CV299" s="2">
        <f>IFERROR((CS299-CR299)/ABS(CR299),"")</f>
        <v>-2.9702970297029702E-2</v>
      </c>
      <c r="CW299" s="162" t="s">
        <v>1462</v>
      </c>
      <c r="CX299" s="264" t="str">
        <f>IF(OR($CW299="prd",$CW299="std",$CW299="cit"),"loc",IF(OR($CW299="eur",$CW299="reg",$CW299="coy"),"reg",$CW299))</f>
        <v>reg</v>
      </c>
      <c r="CY299" s="155" t="s">
        <v>743</v>
      </c>
      <c r="CZ299">
        <v>2010</v>
      </c>
      <c r="DA299">
        <v>2115</v>
      </c>
      <c r="DB299">
        <f>DA299-CZ299</f>
        <v>105</v>
      </c>
      <c r="DC299" t="str">
        <f>IF(DB299=0,"0",IF(AND(DB299&gt;=1,DB299&lt;=30),"1-30",IF(AND(DB299&gt;30,DB299&lt;=70),"31-70",IF(AND(DB299&gt;70,DB299&lt;=100),"71-100",IF(DB299&gt;100,"+100")))))</f>
        <v>+100</v>
      </c>
      <c r="DD299">
        <v>0</v>
      </c>
      <c r="DE299">
        <v>1</v>
      </c>
      <c r="DF299">
        <v>1</v>
      </c>
      <c r="DG299">
        <v>1</v>
      </c>
      <c r="DH299">
        <v>0</v>
      </c>
      <c r="DI299">
        <f>SUM(DD299:DG299)</f>
        <v>3</v>
      </c>
      <c r="DJ299" t="str">
        <f>IF(DI299=1,INDEX($DD$7:$DG$7,MATCH(1,$DD299:$DG299,0)),"mixedProduct")</f>
        <v>mixedProduct</v>
      </c>
      <c r="DK299">
        <f>IF(DD299=1,DK$7,0)</f>
        <v>0</v>
      </c>
      <c r="DL299" t="str">
        <f>IF(DE299=1,DL$7,0)</f>
        <v>Energy</v>
      </c>
      <c r="DM299" t="str">
        <f>IF(DF299=1,DM$7,0)</f>
        <v>Pulp/Paper</v>
      </c>
      <c r="DN299" t="str">
        <f>IF(DG299=1,DN$7,0)</f>
        <v>Timber</v>
      </c>
      <c r="DO299">
        <v>0</v>
      </c>
      <c r="DP299">
        <v>1</v>
      </c>
      <c r="DQ299" s="264" t="s">
        <v>1651</v>
      </c>
      <c r="DR299" s="264" t="s">
        <v>1651</v>
      </c>
      <c r="DS299" s="264" t="s">
        <v>1651</v>
      </c>
      <c r="DT299">
        <f>SUM(DO299:DP299)</f>
        <v>1</v>
      </c>
      <c r="DU299" s="143" t="str">
        <f>IF(DO299=1,"self-calculated DF",IF(DP299=1,"external DF used","explicit C balance"))</f>
        <v>external DF used</v>
      </c>
      <c r="DV299">
        <v>1</v>
      </c>
      <c r="DW299">
        <v>1</v>
      </c>
      <c r="DX299">
        <v>1</v>
      </c>
      <c r="DY299">
        <v>1</v>
      </c>
      <c r="DZ299">
        <v>0</v>
      </c>
      <c r="EA299">
        <v>0</v>
      </c>
      <c r="EB299">
        <v>0</v>
      </c>
      <c r="EC299">
        <v>0</v>
      </c>
      <c r="ED299">
        <v>0</v>
      </c>
      <c r="EE299">
        <v>0</v>
      </c>
      <c r="EF299">
        <v>1</v>
      </c>
      <c r="EG299">
        <v>0</v>
      </c>
      <c r="EH299">
        <v>1</v>
      </c>
      <c r="EI299" s="2">
        <v>0</v>
      </c>
      <c r="EJ299" s="1"/>
      <c r="EK299" t="str">
        <f>IF(AND(AND(AND(OR($DX299=1,$DW299=1),OR($EC299=1,$EA299=1)),SUM($DV299:$DZ299,$EF299)&gt;=4),SUM($EA299:$EE299)&gt;=2),"Whole sector","")</f>
        <v/>
      </c>
      <c r="EL299" t="str">
        <f>IF(AND(AND(OR($DX299=1,$DW299=1),AND($EC299=0,$EA299=0)),SUM($DV299:$DZ299,$EF299)&gt;=4),"Ecosystem approach","")</f>
        <v>Ecosystem approach</v>
      </c>
      <c r="EM299" s="2" t="str">
        <f>IF(AND(AND(AND($DX299=0,$DW299=0),OR($EC299=1,$EA299=1)),SUM($EB299:$EE299)&gt;=2),"Technology approach","")</f>
        <v/>
      </c>
      <c r="EN299"/>
      <c r="EO299"/>
      <c r="EP299" t="str">
        <f>IF(ISNUMBER(BU299),IF(ABS(BU299-[3]QC_indicators!$B$2)&gt;3*[3]QC_indicators!$C$2,"C ratio",IF(ISNUMBER(BY299),IF(ABS(BY299-[3]QC_indicators!$B$1)&gt;3*[3]QC_indicators!$C$1,"DF","no"))),IF(ISNUMBER(BY299),IF(ABS(BY299-[3]QC_indicators!$B$1)&gt;3*[3]QC_indicators!$C$1,"DF","no")))</f>
        <v>no</v>
      </c>
      <c r="EQ299"/>
      <c r="ER299"/>
      <c r="ES299"/>
      <c r="ET299" s="264" t="s">
        <v>3407</v>
      </c>
      <c r="EU299"/>
    </row>
    <row r="300" spans="1:151" s="139" customFormat="1" ht="15" customHeight="1">
      <c r="A300" s="1" t="s">
        <v>265</v>
      </c>
      <c r="B300" t="s">
        <v>1531</v>
      </c>
      <c r="C300" t="s">
        <v>1532</v>
      </c>
      <c r="D300" t="s">
        <v>1533</v>
      </c>
      <c r="E300" t="s">
        <v>1534</v>
      </c>
      <c r="F300" t="s">
        <v>1535</v>
      </c>
      <c r="G300" t="s">
        <v>271</v>
      </c>
      <c r="H300" t="s">
        <v>254</v>
      </c>
      <c r="I300">
        <v>2019</v>
      </c>
      <c r="J300">
        <v>26</v>
      </c>
      <c r="K300" t="s">
        <v>1536</v>
      </c>
      <c r="L300"/>
      <c r="M300" t="str">
        <f>LEFT($D300,FIND(",",$D300)-1)&amp;"_"&amp;I300&amp;L300</f>
        <v>Faraca_2019</v>
      </c>
      <c r="N300" t="s">
        <v>222</v>
      </c>
      <c r="O300" s="145" t="s">
        <v>274</v>
      </c>
      <c r="P300" s="180" t="s">
        <v>223</v>
      </c>
      <c r="Q300" t="s">
        <v>256</v>
      </c>
      <c r="R300" s="262" t="s">
        <v>223</v>
      </c>
      <c r="S300" s="263" t="s">
        <v>3136</v>
      </c>
      <c r="T300" t="s">
        <v>1538</v>
      </c>
      <c r="U300" t="s">
        <v>1549</v>
      </c>
      <c r="V300">
        <v>0</v>
      </c>
      <c r="W300">
        <v>0</v>
      </c>
      <c r="X300">
        <v>0</v>
      </c>
      <c r="Y300">
        <v>0</v>
      </c>
      <c r="Z300">
        <v>0</v>
      </c>
      <c r="AA300">
        <v>0</v>
      </c>
      <c r="AB300">
        <v>0</v>
      </c>
      <c r="AC300">
        <v>0</v>
      </c>
      <c r="AD300">
        <v>0</v>
      </c>
      <c r="AE300">
        <v>0</v>
      </c>
      <c r="AF300">
        <v>0</v>
      </c>
      <c r="AG300">
        <v>1</v>
      </c>
      <c r="AH300">
        <v>0</v>
      </c>
      <c r="AI300">
        <v>0</v>
      </c>
      <c r="AJ300">
        <v>0</v>
      </c>
      <c r="AK300">
        <v>0</v>
      </c>
      <c r="AL300">
        <v>0</v>
      </c>
      <c r="AM300">
        <v>0</v>
      </c>
      <c r="AN300">
        <v>0</v>
      </c>
      <c r="AO300">
        <v>0</v>
      </c>
      <c r="AP300">
        <v>0</v>
      </c>
      <c r="AQ300">
        <v>0</v>
      </c>
      <c r="AR300">
        <v>0</v>
      </c>
      <c r="AS300">
        <v>0</v>
      </c>
      <c r="AT300">
        <v>0</v>
      </c>
      <c r="AU300">
        <v>0</v>
      </c>
      <c r="AV300">
        <v>0</v>
      </c>
      <c r="AW300">
        <v>0</v>
      </c>
      <c r="AX300" s="141">
        <f>COUNTIF(V300:AW300,"&lt;&gt;0")</f>
        <v>1</v>
      </c>
      <c r="AY300" s="141">
        <f>COUNTIF(V300:AL300,"&lt;&gt;0")</f>
        <v>1</v>
      </c>
      <c r="AZ300">
        <f>COUNTIF(V300:AC300,"&lt;&gt;0")</f>
        <v>0</v>
      </c>
      <c r="BA300">
        <f>COUNTIF(AD300:AI300,"&lt;&gt;0")</f>
        <v>1</v>
      </c>
      <c r="BB300">
        <f>COUNTIF(AJ300:AL300,"&lt;&gt;0")</f>
        <v>0</v>
      </c>
      <c r="BC300">
        <f>COUNTIF(AS300:AW300,"&lt;&gt;0")</f>
        <v>0</v>
      </c>
      <c r="BD300">
        <f>COUNTIF(AM300:AR300,"&lt;&gt;0")</f>
        <v>0</v>
      </c>
      <c r="BE300" t="str">
        <f t="array" ref="BE300">IF(AY300=1,INDEX($V$7:$AL$7,MATCH(TRUE,INDEX($V300:$AW300&lt;&gt;0,),0)),IF(AY300=0,INDEX($AM$7:$AW$7,MATCH(1,$AM300:$AW300,0)),IF(BF300="Multiple strategies","mixed drivers",IF(BF300="Supply chain","multiple supply","multiple silviculture"))))</f>
        <v>recycling</v>
      </c>
      <c r="BF300" s="2" t="str" cm="1">
        <f t="array" ref="BF300">IF(COUNTIF(AZ300:BB300,"&lt;&gt;0")=1,INDEX($V$4:$AW$4,MATCH(TRUE,INDEX($V300:$AW300&lt;&gt;0,),0)),IF(COUNTIF(AZ300:BB300,"&lt;&gt;0")=0,INDEX($AM$4:$AW$4,MATCH(1,$AM300:$AW300,0)),"Multiple strategies"))</f>
        <v>Supply chain</v>
      </c>
      <c r="BG300" s="1" t="s">
        <v>229</v>
      </c>
      <c r="BH300" t="s">
        <v>1548</v>
      </c>
      <c r="BI300" s="264" t="s">
        <v>3121</v>
      </c>
      <c r="BJ300" t="s">
        <v>345</v>
      </c>
      <c r="BK300">
        <v>922</v>
      </c>
      <c r="BL300">
        <f>922+519+281+121</f>
        <v>1843</v>
      </c>
      <c r="BM300">
        <v>1.9989154013015185</v>
      </c>
      <c r="BN300">
        <f>BL300-BK300</f>
        <v>921</v>
      </c>
      <c r="BO300">
        <f>BN300*kg_to_m3</f>
        <v>1.879591836734694</v>
      </c>
      <c r="BP300" s="264" t="s">
        <v>395</v>
      </c>
      <c r="BQ300" t="s">
        <v>426</v>
      </c>
      <c r="BR300" t="s">
        <v>728</v>
      </c>
      <c r="BS300">
        <v>-16.899999999999999</v>
      </c>
      <c r="BT300">
        <v>81.400000000000006</v>
      </c>
      <c r="BU300" s="144"/>
      <c r="BV300">
        <f>BT300-BS300</f>
        <v>98.300000000000011</v>
      </c>
      <c r="BW300"/>
      <c r="BX300">
        <f>BV300/1000</f>
        <v>9.8300000000000012E-2</v>
      </c>
      <c r="BY300">
        <f>IFERROR(BX300/BO300,"")</f>
        <v>5.2298588490770903E-2</v>
      </c>
      <c r="BZ300">
        <v>0</v>
      </c>
      <c r="CA300">
        <v>0</v>
      </c>
      <c r="CB300">
        <v>0</v>
      </c>
      <c r="CC300">
        <v>0</v>
      </c>
      <c r="CD300">
        <v>0</v>
      </c>
      <c r="CE300">
        <v>0</v>
      </c>
      <c r="CF300">
        <v>0</v>
      </c>
      <c r="CG300">
        <v>0</v>
      </c>
      <c r="CH300">
        <v>0</v>
      </c>
      <c r="CI300">
        <v>0</v>
      </c>
      <c r="CJ300">
        <v>0</v>
      </c>
      <c r="CK300">
        <v>0</v>
      </c>
      <c r="CL300">
        <v>0</v>
      </c>
      <c r="CM300">
        <v>0</v>
      </c>
      <c r="CN300" t="str">
        <f>IF($BL300&lt;$BK300,"refNeedCorrection","refOK")</f>
        <v>refOK</v>
      </c>
      <c r="CO300">
        <f>IF($CN300="refNeedCorrection",BL300,BK300)</f>
        <v>922</v>
      </c>
      <c r="CP300">
        <f>IF($CN300="refNeedCorrection",BK300,BL300)</f>
        <v>1843</v>
      </c>
      <c r="CQ300">
        <f>IF($CN300="refOK",$BO300,-$BO300)</f>
        <v>1.879591836734694</v>
      </c>
      <c r="CR300">
        <f>IF($CN300="refOK",$BS300,$BT300)*IF($BP300="Emissions positive",-1,1)</f>
        <v>16.899999999999999</v>
      </c>
      <c r="CS300">
        <f>IF($CN300="refOK",$BS300,#REF!)*IF($BP300="Emissions positive",-1,1)</f>
        <v>16.899999999999999</v>
      </c>
      <c r="CT300">
        <f>IF($CN300="refNeedCorrection",-BX300,BX300)*IF($BP300="Emissions positive",-1,1)</f>
        <v>-9.8300000000000012E-2</v>
      </c>
      <c r="CU300">
        <f>IFERROR(CT300/CQ300,"")</f>
        <v>-5.2298588490770903E-2</v>
      </c>
      <c r="CV300" s="2">
        <f>IFERROR((CS300-CR300)/ABS(CR300),"")</f>
        <v>0</v>
      </c>
      <c r="CW300" s="1" t="s">
        <v>1199</v>
      </c>
      <c r="CX300" t="str">
        <f>IF(OR($CW300="prd",$CW300="std",$CW300="cit"),"loc",IF(OR($CW300="eur",$CW300="reg",$CW300="coy"),"reg",$CW300))</f>
        <v>reg</v>
      </c>
      <c r="CY300" t="s">
        <v>1540</v>
      </c>
      <c r="CZ300"/>
      <c r="DA300"/>
      <c r="DB300">
        <v>500</v>
      </c>
      <c r="DC300" t="str">
        <f>IF(DB300=0,"0",IF(AND(DB300&gt;=1,DB300&lt;=30),"1-30",IF(AND(DB300&gt;30,DB300&lt;=70),"31-70",IF(AND(DB300&gt;70,DB300&lt;=100),"71-100",IF(DB300&gt;100,"+100")))))</f>
        <v>+100</v>
      </c>
      <c r="DD300">
        <v>0</v>
      </c>
      <c r="DE300">
        <v>0</v>
      </c>
      <c r="DF300">
        <v>0</v>
      </c>
      <c r="DG300">
        <v>1</v>
      </c>
      <c r="DH300"/>
      <c r="DI300">
        <f>SUM(DD300:DG300)</f>
        <v>1</v>
      </c>
      <c r="DJ300" t="str">
        <f>IF(DI300=1,INDEX($DD$7:$DG$7,MATCH(1,$DD300:$DG300,0)),"mixedProduct")</f>
        <v>TimberInput</v>
      </c>
      <c r="DK300">
        <f>IF(DD300=1,DK$7,0)</f>
        <v>0</v>
      </c>
      <c r="DL300">
        <f>IF(DE300=1,DL$7,0)</f>
        <v>0</v>
      </c>
      <c r="DM300">
        <f>IF(DF300=1,DM$7,0)</f>
        <v>0</v>
      </c>
      <c r="DN300" t="str">
        <f>IF(DG300=1,DN$7,0)</f>
        <v>Timber</v>
      </c>
      <c r="DO300">
        <v>0</v>
      </c>
      <c r="DP300">
        <v>0</v>
      </c>
      <c r="DQ300">
        <v>0</v>
      </c>
      <c r="DR300">
        <v>0</v>
      </c>
      <c r="DS300">
        <v>0</v>
      </c>
      <c r="DT300">
        <f>SUM(DO300:DP300)</f>
        <v>0</v>
      </c>
      <c r="DU300" s="143" t="str">
        <f>IF(DO300=1,"self-calculated DF",IF(DP300=1,"external DF used","explicit C balance"))</f>
        <v>explicit C balance</v>
      </c>
      <c r="DV300">
        <v>0</v>
      </c>
      <c r="DW300">
        <v>0</v>
      </c>
      <c r="DX300">
        <v>0</v>
      </c>
      <c r="DY300">
        <v>0</v>
      </c>
      <c r="DZ300">
        <v>1</v>
      </c>
      <c r="EA300" s="143">
        <v>1</v>
      </c>
      <c r="EB300">
        <v>0</v>
      </c>
      <c r="EC300">
        <v>1</v>
      </c>
      <c r="ED300">
        <v>0</v>
      </c>
      <c r="EE300">
        <v>1</v>
      </c>
      <c r="EF300">
        <v>1</v>
      </c>
      <c r="EG300">
        <v>1</v>
      </c>
      <c r="EH300">
        <v>0</v>
      </c>
      <c r="EI300" s="2">
        <v>0</v>
      </c>
      <c r="EJ300" s="1"/>
      <c r="EK300" t="str">
        <f>IF(AND(AND(AND(OR($DX300=1,$DW300=1),OR($EC300=1,$EA300=1)),SUM($DV300:$DZ300,$EF300)&gt;=4),SUM($EA300:$EE300)&gt;=2),"Whole sector","")</f>
        <v/>
      </c>
      <c r="EL300" t="str">
        <f>IF(AND(AND(OR($DX300=1,$DW300=1),AND($EC300=0,$EA300=0)),SUM($DV300:$DZ300,$EF300)&gt;=4),"Ecosystem approach","")</f>
        <v/>
      </c>
      <c r="EM300" s="2" t="str">
        <f>IF(AND(AND(AND($DX300=0,$DW300=0),OR($EC300=1,$EA300=1)),SUM($EB300:$EE300)&gt;=2),"Technology approach","")</f>
        <v>Technology approach</v>
      </c>
      <c r="EN300"/>
      <c r="EO300"/>
      <c r="EP300" t="str">
        <f>IF(ISNUMBER(BU300),IF(ABS(BU300-[1]QC_indicators!$B$2)&gt;3*[1]QC_indicators!$C$2,"C ratio",IF(ISNUMBER(BY300),IF(ABS(BY300-[1]QC_indicators!$B$1)&gt;3*[1]QC_indicators!$C$1,"DF","no"))),IF(ISNUMBER(BY300),IF(ABS(BY300-[1]QC_indicators!$B$1)&gt;3*[1]QC_indicators!$C$1,"DF","no")))</f>
        <v>no</v>
      </c>
      <c r="EQ300"/>
      <c r="ER300"/>
      <c r="ES300"/>
      <c r="ET300" s="264" t="s">
        <v>3273</v>
      </c>
      <c r="EU300"/>
    </row>
    <row r="301" spans="1:151" s="139" customFormat="1" ht="15" customHeight="1">
      <c r="A301" s="1" t="s">
        <v>265</v>
      </c>
      <c r="B301" t="s">
        <v>1531</v>
      </c>
      <c r="C301" t="s">
        <v>1532</v>
      </c>
      <c r="D301" t="s">
        <v>1533</v>
      </c>
      <c r="E301" t="s">
        <v>1534</v>
      </c>
      <c r="F301" t="s">
        <v>1535</v>
      </c>
      <c r="G301" t="s">
        <v>271</v>
      </c>
      <c r="H301" t="s">
        <v>254</v>
      </c>
      <c r="I301">
        <v>2019</v>
      </c>
      <c r="J301">
        <v>26</v>
      </c>
      <c r="K301" t="s">
        <v>1536</v>
      </c>
      <c r="L301"/>
      <c r="M301" t="str">
        <f>LEFT($D301,FIND(",",$D301)-1)&amp;"_"&amp;I301&amp;L301</f>
        <v>Faraca_2019</v>
      </c>
      <c r="N301" t="s">
        <v>222</v>
      </c>
      <c r="O301" s="145" t="s">
        <v>274</v>
      </c>
      <c r="P301" s="180" t="s">
        <v>223</v>
      </c>
      <c r="Q301" t="s">
        <v>256</v>
      </c>
      <c r="R301" s="262" t="s">
        <v>223</v>
      </c>
      <c r="S301" s="1" t="s">
        <v>1542</v>
      </c>
      <c r="T301" s="264" t="s">
        <v>3127</v>
      </c>
      <c r="U301" s="264" t="s">
        <v>3128</v>
      </c>
      <c r="V301">
        <v>0</v>
      </c>
      <c r="W301">
        <v>0</v>
      </c>
      <c r="X301">
        <v>0</v>
      </c>
      <c r="Y301">
        <v>0</v>
      </c>
      <c r="Z301">
        <v>0</v>
      </c>
      <c r="AA301">
        <v>0</v>
      </c>
      <c r="AB301">
        <v>0</v>
      </c>
      <c r="AC301">
        <v>0</v>
      </c>
      <c r="AD301">
        <v>0</v>
      </c>
      <c r="AE301">
        <v>0</v>
      </c>
      <c r="AF301">
        <v>0</v>
      </c>
      <c r="AG301">
        <v>0</v>
      </c>
      <c r="AH301">
        <v>0</v>
      </c>
      <c r="AI301">
        <v>1</v>
      </c>
      <c r="AJ301">
        <v>0</v>
      </c>
      <c r="AK301">
        <v>0</v>
      </c>
      <c r="AL301">
        <v>0</v>
      </c>
      <c r="AM301">
        <v>0</v>
      </c>
      <c r="AN301">
        <v>0</v>
      </c>
      <c r="AO301">
        <v>0</v>
      </c>
      <c r="AP301">
        <v>0</v>
      </c>
      <c r="AQ301">
        <v>0</v>
      </c>
      <c r="AR301">
        <v>0</v>
      </c>
      <c r="AS301">
        <v>0</v>
      </c>
      <c r="AT301">
        <v>0</v>
      </c>
      <c r="AU301">
        <v>0</v>
      </c>
      <c r="AV301">
        <v>0</v>
      </c>
      <c r="AW301">
        <v>0</v>
      </c>
      <c r="AX301" s="141">
        <f>COUNTIF(V301:AW301,"&lt;&gt;0")</f>
        <v>1</v>
      </c>
      <c r="AY301" s="141">
        <f>COUNTIF(V301:AL301,"&lt;&gt;0")</f>
        <v>1</v>
      </c>
      <c r="AZ301">
        <f>COUNTIF(V301:AC301,"&lt;&gt;0")</f>
        <v>0</v>
      </c>
      <c r="BA301">
        <f>COUNTIF(AD301:AI301,"&lt;&gt;0")</f>
        <v>1</v>
      </c>
      <c r="BB301">
        <f>COUNTIF(AJ301:AL301,"&lt;&gt;0")</f>
        <v>0</v>
      </c>
      <c r="BC301">
        <f>COUNTIF(AS301:AW301,"&lt;&gt;0")</f>
        <v>0</v>
      </c>
      <c r="BD301">
        <f>COUNTIF(AM301:AR301,"&lt;&gt;0")</f>
        <v>0</v>
      </c>
      <c r="BE301" t="str">
        <f t="array" ref="BE301">IF(AY301=1,INDEX($V$7:$AL$7,MATCH(TRUE,INDEX($V301:$AW301&lt;&gt;0,),0)),IF(AY301=0,INDEX($AM$7:$AW$7,MATCH(1,$AM301:$AW301,0)),IF(BF301="Multiple strategies","mixed drivers",IF(BF301="Supply chain","multiple supply","multiple silviculture"))))</f>
        <v>products lifespan</v>
      </c>
      <c r="BF301" s="2" t="str" cm="1">
        <f t="array" ref="BF301">IF(COUNTIF(AZ301:BB301,"&lt;&gt;0")=1,INDEX($V$4:$AW$4,MATCH(TRUE,INDEX($V301:$AW301&lt;&gt;0,),0)),IF(COUNTIF(AZ301:BB301,"&lt;&gt;0")=0,INDEX($AM$4:$AW$4,MATCH(1,$AM301:$AW301,0)),"Multiple strategies"))</f>
        <v>Supply chain</v>
      </c>
      <c r="BG301" s="1" t="s">
        <v>229</v>
      </c>
      <c r="BH301" t="s">
        <v>1548</v>
      </c>
      <c r="BI301" s="264" t="s">
        <v>3121</v>
      </c>
      <c r="BJ301" t="s">
        <v>345</v>
      </c>
      <c r="BK301">
        <v>478</v>
      </c>
      <c r="BL301">
        <v>638</v>
      </c>
      <c r="BM301">
        <v>1</v>
      </c>
      <c r="BN301">
        <f>BL301-BK301</f>
        <v>160</v>
      </c>
      <c r="BO301">
        <f>BN301*kg_to_m3</f>
        <v>0.32653061224489799</v>
      </c>
      <c r="BP301" t="s">
        <v>395</v>
      </c>
      <c r="BQ301" t="s">
        <v>426</v>
      </c>
      <c r="BR301" t="s">
        <v>728</v>
      </c>
      <c r="BS301">
        <v>115.2</v>
      </c>
      <c r="BT301">
        <v>132.19999999999999</v>
      </c>
      <c r="BU301" s="144"/>
      <c r="BV301">
        <f>BT301-BS301</f>
        <v>16.999999999999986</v>
      </c>
      <c r="BW301"/>
      <c r="BX301">
        <f>BV301/1000</f>
        <v>1.6999999999999987E-2</v>
      </c>
      <c r="BY301">
        <f>IFERROR(BX301/BO301,"")</f>
        <v>5.2062499999999956E-2</v>
      </c>
      <c r="BZ301">
        <v>0</v>
      </c>
      <c r="CA301">
        <v>0</v>
      </c>
      <c r="CB301">
        <v>0</v>
      </c>
      <c r="CC301">
        <v>0</v>
      </c>
      <c r="CD301">
        <v>0</v>
      </c>
      <c r="CE301">
        <v>0</v>
      </c>
      <c r="CF301">
        <v>0</v>
      </c>
      <c r="CG301">
        <v>0</v>
      </c>
      <c r="CH301">
        <v>0</v>
      </c>
      <c r="CI301">
        <v>0</v>
      </c>
      <c r="CJ301">
        <v>0</v>
      </c>
      <c r="CK301">
        <v>0</v>
      </c>
      <c r="CL301">
        <v>0</v>
      </c>
      <c r="CM301">
        <v>0</v>
      </c>
      <c r="CN301" t="str">
        <f>IF($BL301&lt;$BK301,"refNeedCorrection","refOK")</f>
        <v>refOK</v>
      </c>
      <c r="CO301">
        <f>IF($CN301="refNeedCorrection",BK301,BL301)</f>
        <v>638</v>
      </c>
      <c r="CP301">
        <f>IF($CN301="refNeedCorrection",BL301,BK301)</f>
        <v>478</v>
      </c>
      <c r="CQ301">
        <f>IF($CN301="refOK",$BO301,-$BO301)</f>
        <v>0.32653061224489799</v>
      </c>
      <c r="CR301">
        <f>IF($CN301="refOK",$BS301,$BT301)*IF($BP301="Emissions positive",-1,1)</f>
        <v>-115.2</v>
      </c>
      <c r="CS301">
        <f>IF($CN301="refOK",$BT301,$BS301)*IF($BP301="Emissions positive",-1,1)</f>
        <v>-132.19999999999999</v>
      </c>
      <c r="CT301">
        <f>IF($CN301="refNeedCorrection",-BX301,BX301)*IF($BP301="Emissions positive",-1,1)</f>
        <v>-1.6999999999999987E-2</v>
      </c>
      <c r="CU301">
        <f>IFERROR(CT301/CQ301,"")</f>
        <v>-5.2062499999999956E-2</v>
      </c>
      <c r="CV301" s="2">
        <f>IFERROR((CS301-CR301)/ABS(CR301),"")</f>
        <v>-0.14756944444444431</v>
      </c>
      <c r="CW301" s="1" t="s">
        <v>1199</v>
      </c>
      <c r="CX301" t="str">
        <f>IF(OR($CW301="prd",$CW301="std",$CW301="cit"),"loc",IF(OR($CW301="eur",$CW301="reg",$CW301="coy"),"reg",$CW301))</f>
        <v>reg</v>
      </c>
      <c r="CY301" t="s">
        <v>1540</v>
      </c>
      <c r="CZ301"/>
      <c r="DA301"/>
      <c r="DB301">
        <v>100</v>
      </c>
      <c r="DC301" t="str">
        <f>IF(DB301=0,"0",IF(AND(DB301&gt;=1,DB301&lt;=30),"1-30",IF(AND(DB301&gt;30,DB301&lt;=70),"31-70",IF(AND(DB301&gt;70,DB301&lt;=100),"71-100",IF(DB301&gt;100,"+100")))))</f>
        <v>71-100</v>
      </c>
      <c r="DD301">
        <v>0</v>
      </c>
      <c r="DE301">
        <v>0</v>
      </c>
      <c r="DF301">
        <v>0</v>
      </c>
      <c r="DG301">
        <v>1</v>
      </c>
      <c r="DH301"/>
      <c r="DI301">
        <f>SUM(DD301:DG301)</f>
        <v>1</v>
      </c>
      <c r="DJ301" t="str">
        <f>IF(DI301=1,INDEX($DD$7:$DG$7,MATCH(1,$DD301:$DG301,0)),"mixedProduct")</f>
        <v>TimberInput</v>
      </c>
      <c r="DK301">
        <f>IF(DD301=1,DK$7,0)</f>
        <v>0</v>
      </c>
      <c r="DL301">
        <f>IF(DE301=1,DL$7,0)</f>
        <v>0</v>
      </c>
      <c r="DM301">
        <f>IF(DF301=1,DM$7,0)</f>
        <v>0</v>
      </c>
      <c r="DN301" t="str">
        <f>IF(DG301=1,DN$7,0)</f>
        <v>Timber</v>
      </c>
      <c r="DO301">
        <v>0</v>
      </c>
      <c r="DP301">
        <v>0</v>
      </c>
      <c r="DQ301">
        <v>0</v>
      </c>
      <c r="DR301">
        <v>0</v>
      </c>
      <c r="DS301">
        <v>0</v>
      </c>
      <c r="DT301">
        <f>SUM(DO301:DP301)</f>
        <v>0</v>
      </c>
      <c r="DU301" s="143" t="str">
        <f>IF(DO301=1,"self-calculated DF",IF(DP301=1,"external DF used","explicit C balance"))</f>
        <v>explicit C balance</v>
      </c>
      <c r="DV301">
        <v>0</v>
      </c>
      <c r="DW301">
        <v>0</v>
      </c>
      <c r="DX301">
        <v>0</v>
      </c>
      <c r="DY301">
        <v>0</v>
      </c>
      <c r="DZ301">
        <v>0</v>
      </c>
      <c r="EA301" s="143">
        <v>0</v>
      </c>
      <c r="EB301">
        <v>0</v>
      </c>
      <c r="EC301">
        <v>1</v>
      </c>
      <c r="ED301">
        <v>0</v>
      </c>
      <c r="EE301">
        <v>1</v>
      </c>
      <c r="EF301">
        <v>1</v>
      </c>
      <c r="EG301">
        <v>1</v>
      </c>
      <c r="EH301">
        <v>0</v>
      </c>
      <c r="EI301" s="2">
        <v>0</v>
      </c>
      <c r="EJ301" s="1"/>
      <c r="EK301" t="str">
        <f>IF(AND(AND(AND(OR($DX301=1,$DW301=1),OR($EC301=1,$EA301=1)),SUM($DV301:$DZ301,$EF301)&gt;=4),SUM($EA301:$EE301)&gt;=2),"Whole sector","")</f>
        <v/>
      </c>
      <c r="EL301" t="str">
        <f>IF(AND(AND(OR($DX301=1,$DW301=1),AND($EC301=0,$EA301=0)),SUM($DV301:$DZ301,$EF301)&gt;=4),"Ecosystem approach","")</f>
        <v/>
      </c>
      <c r="EM301" s="2" t="str">
        <f>IF(AND(AND(AND($DX301=0,$DW301=0),OR($EC301=1,$EA301=1)),SUM($EB301:$EE301)&gt;=2),"Technology approach","")</f>
        <v>Technology approach</v>
      </c>
      <c r="EN301"/>
      <c r="EO301"/>
      <c r="EP301" t="str">
        <f>IF(ISNUMBER(BU301),IF(ABS(BU301-[1]QC_indicators!$B$2)&gt;3*[1]QC_indicators!$C$2,"C ratio",IF(ISNUMBER(BY301),IF(ABS(BY301-[1]QC_indicators!$B$1)&gt;3*[1]QC_indicators!$C$1,"DF","no"))),IF(ISNUMBER(BY301),IF(ABS(BY301-[1]QC_indicators!$B$1)&gt;3*[1]QC_indicators!$C$1,"DF","no")))</f>
        <v>no</v>
      </c>
      <c r="EQ301"/>
      <c r="ER301"/>
      <c r="ES301"/>
      <c r="ET301" s="264" t="s">
        <v>3273</v>
      </c>
      <c r="EU301"/>
    </row>
    <row r="302" spans="1:151" s="139" customFormat="1" ht="15" customHeight="1">
      <c r="A302" s="1" t="s">
        <v>587</v>
      </c>
      <c r="B302" t="s">
        <v>1220</v>
      </c>
      <c r="C302" t="s">
        <v>1221</v>
      </c>
      <c r="D302" t="s">
        <v>1222</v>
      </c>
      <c r="E302" t="s">
        <v>1223</v>
      </c>
      <c r="F302" t="s">
        <v>1224</v>
      </c>
      <c r="G302" t="s">
        <v>593</v>
      </c>
      <c r="H302"/>
      <c r="I302">
        <v>2018</v>
      </c>
      <c r="J302"/>
      <c r="K302" t="s">
        <v>1225</v>
      </c>
      <c r="L302"/>
      <c r="M302" t="str">
        <f>LEFT($D302,FIND(",",$D302)-1)&amp;"_"&amp;I302&amp;L302</f>
        <v>Bais-Moleman_2018</v>
      </c>
      <c r="N302" t="s">
        <v>222</v>
      </c>
      <c r="O302" s="140" t="s">
        <v>341</v>
      </c>
      <c r="P302"/>
      <c r="Q302" t="s">
        <v>224</v>
      </c>
      <c r="R302" s="269" t="s">
        <v>274</v>
      </c>
      <c r="S302" s="1" t="s">
        <v>1226</v>
      </c>
      <c r="T302" t="s">
        <v>1201</v>
      </c>
      <c r="U302" t="s">
        <v>1227</v>
      </c>
      <c r="V302">
        <v>0</v>
      </c>
      <c r="W302">
        <v>0</v>
      </c>
      <c r="X302">
        <v>0</v>
      </c>
      <c r="Y302">
        <v>0</v>
      </c>
      <c r="Z302">
        <v>0</v>
      </c>
      <c r="AA302">
        <v>0</v>
      </c>
      <c r="AB302">
        <v>0</v>
      </c>
      <c r="AC302">
        <v>0</v>
      </c>
      <c r="AD302">
        <v>0</v>
      </c>
      <c r="AE302">
        <v>0</v>
      </c>
      <c r="AF302">
        <v>0</v>
      </c>
      <c r="AG302">
        <v>1</v>
      </c>
      <c r="AH302">
        <v>0</v>
      </c>
      <c r="AI302">
        <v>0</v>
      </c>
      <c r="AJ302">
        <v>0</v>
      </c>
      <c r="AK302">
        <v>0</v>
      </c>
      <c r="AL302">
        <v>0</v>
      </c>
      <c r="AM302">
        <v>0</v>
      </c>
      <c r="AN302">
        <v>0</v>
      </c>
      <c r="AO302">
        <v>0</v>
      </c>
      <c r="AP302">
        <v>0</v>
      </c>
      <c r="AQ302">
        <v>0</v>
      </c>
      <c r="AR302">
        <v>0</v>
      </c>
      <c r="AS302">
        <v>0</v>
      </c>
      <c r="AT302">
        <v>0</v>
      </c>
      <c r="AU302">
        <v>0</v>
      </c>
      <c r="AV302">
        <v>0</v>
      </c>
      <c r="AW302">
        <v>0</v>
      </c>
      <c r="AX302" s="141">
        <f>COUNTIF(V302:AW302,"&lt;&gt;0")</f>
        <v>1</v>
      </c>
      <c r="AY302" s="141">
        <f>COUNTIF(V302:AL302,"&lt;&gt;0")</f>
        <v>1</v>
      </c>
      <c r="AZ302">
        <f>COUNTIF(V302:AC302,"&lt;&gt;0")</f>
        <v>0</v>
      </c>
      <c r="BA302">
        <f>COUNTIF(AD302:AI302,"&lt;&gt;0")</f>
        <v>1</v>
      </c>
      <c r="BB302">
        <f>COUNTIF(AJ302:AL302,"&lt;&gt;0")</f>
        <v>0</v>
      </c>
      <c r="BC302">
        <f>COUNTIF(AS302:AW302,"&lt;&gt;0")</f>
        <v>0</v>
      </c>
      <c r="BD302">
        <f>COUNTIF(AM302:AR302,"&lt;&gt;0")</f>
        <v>0</v>
      </c>
      <c r="BE302" t="str">
        <f t="array" ref="BE302">IF(AY302=1,INDEX($V$7:$AL$7,MATCH(TRUE,INDEX($V302:$AW302&lt;&gt;0,),0)),IF(AY302=0,INDEX($AM$7:$AW$7,MATCH(1,$AM302:$AW302,0)),IF(BF302="Multiple strategies","mixed drivers",IF(BF302="Supply chain","multiple supply","multiple silviculture"))))</f>
        <v>recycling</v>
      </c>
      <c r="BF302" s="2" t="str" cm="1">
        <f t="array" ref="BF302">IF(COUNTIF(AZ302:BB302,"&lt;&gt;0")=1,INDEX($V$4:$AW$4,MATCH(TRUE,INDEX($V302:$AW302&lt;&gt;0,),0)),IF(COUNTIF(AZ302:BB302,"&lt;&gt;0")=0,INDEX($AM$4:$AW$4,MATCH(1,$AM302:$AW302,0)),"Multiple strategies"))</f>
        <v>Supply chain</v>
      </c>
      <c r="BG302" s="1" t="s">
        <v>229</v>
      </c>
      <c r="BH302" t="s">
        <v>1228</v>
      </c>
      <c r="BI302" t="s">
        <v>396</v>
      </c>
      <c r="BJ302" t="s">
        <v>1215</v>
      </c>
      <c r="BK302">
        <v>12</v>
      </c>
      <c r="BL302">
        <v>48</v>
      </c>
      <c r="BM302">
        <f>BL302/BK302</f>
        <v>4</v>
      </c>
      <c r="BN302">
        <f>BL302-BK302</f>
        <v>36</v>
      </c>
      <c r="BO302" s="143">
        <f>+BN302*10^6*tC_to_m3</f>
        <v>156317846.28745115</v>
      </c>
      <c r="BP302" t="s">
        <v>232</v>
      </c>
      <c r="BQ302" s="333" t="s">
        <v>1229</v>
      </c>
      <c r="BR302" t="s">
        <v>1230</v>
      </c>
      <c r="BS302" s="152"/>
      <c r="BT302"/>
      <c r="BU302" s="144" t="str">
        <f>IFERROR(BT302/BS302,"")</f>
        <v/>
      </c>
      <c r="BV302">
        <f>28-43+7</f>
        <v>-8</v>
      </c>
      <c r="BW302"/>
      <c r="BX302">
        <f>BV302*10^6</f>
        <v>-8000000</v>
      </c>
      <c r="BY302">
        <f>IFERROR(BX302/BO302,"")</f>
        <v>-5.117777777777778E-2</v>
      </c>
      <c r="BZ302">
        <v>0</v>
      </c>
      <c r="CA302">
        <v>0</v>
      </c>
      <c r="CB302">
        <v>0</v>
      </c>
      <c r="CC302">
        <v>0</v>
      </c>
      <c r="CD302">
        <v>0</v>
      </c>
      <c r="CE302">
        <v>0</v>
      </c>
      <c r="CF302">
        <v>0</v>
      </c>
      <c r="CG302">
        <v>0</v>
      </c>
      <c r="CH302">
        <v>0</v>
      </c>
      <c r="CI302">
        <v>0</v>
      </c>
      <c r="CJ302">
        <v>0</v>
      </c>
      <c r="CK302">
        <v>0</v>
      </c>
      <c r="CL302">
        <v>0</v>
      </c>
      <c r="CM302">
        <v>0</v>
      </c>
      <c r="CN302" t="str">
        <f>IF(BL302&lt;BK302,"refNeedCorrection","refOK")</f>
        <v>refOK</v>
      </c>
      <c r="CO302">
        <f>IF($CN302="refOK",$BK302,$BL302)</f>
        <v>12</v>
      </c>
      <c r="CP302">
        <f>IF($CN302="refOK",$BL302,$BK302)</f>
        <v>48</v>
      </c>
      <c r="CQ302">
        <f>IF($CN302="refOK",$BO302,-$BO302)</f>
        <v>156317846.28745115</v>
      </c>
      <c r="CR302">
        <f>IF($CN302="refOK",$BS302,$BT302)*IF($BP302="Emissions positive",-1,1)</f>
        <v>0</v>
      </c>
      <c r="CS302">
        <f>IF($CN302="refOK",$BT302,$BS302)*IF($BP302="Emissions positive",-1,1)</f>
        <v>0</v>
      </c>
      <c r="CT302">
        <f>IF($CN302="refNeedCorrection",-BX302,BX302)*IF($BP302="Emissions positive",-1,1)</f>
        <v>-8000000</v>
      </c>
      <c r="CU302">
        <f>IFERROR(CT302/CQ302,"")</f>
        <v>-5.117777777777778E-2</v>
      </c>
      <c r="CV302" s="2" t="str">
        <f>IFERROR((CS302-CR302)/ABS(CR302),"")</f>
        <v/>
      </c>
      <c r="CW302" s="1" t="s">
        <v>1231</v>
      </c>
      <c r="CX302" t="str">
        <f>IF(OR($CW302="prd",$CW302="std",$CW302="cit"),"loc",IF(OR($CW302="eur",$CW302="reg",$CW302="coy"),"reg",$CW302))</f>
        <v>reg</v>
      </c>
      <c r="CY302" t="s">
        <v>743</v>
      </c>
      <c r="CZ302"/>
      <c r="DA302"/>
      <c r="DB302">
        <v>100</v>
      </c>
      <c r="DC302" t="str">
        <f>IF(DB302=0,"0",IF(AND(DB302&gt;=1,DB302&lt;=30),"1-30",IF(AND(DB302&gt;30,DB302&lt;=70),"31-70",IF(AND(DB302&gt;70,DB302&lt;=100),"71-100",IF(DB302&gt;100,"+100")))))</f>
        <v>71-100</v>
      </c>
      <c r="DD302">
        <v>0</v>
      </c>
      <c r="DE302">
        <v>1</v>
      </c>
      <c r="DF302">
        <v>1</v>
      </c>
      <c r="DG302">
        <v>1</v>
      </c>
      <c r="DH302"/>
      <c r="DI302">
        <f>SUM(DD302:DG302)</f>
        <v>3</v>
      </c>
      <c r="DJ302" t="str">
        <f>IF(DI302=1,INDEX($DD$7:$DG$7,MATCH(1,$DD302:$DG302,0)),"mixedProduct")</f>
        <v>mixedProduct</v>
      </c>
      <c r="DK302">
        <f>IF(DD302=1,DK$7,0)</f>
        <v>0</v>
      </c>
      <c r="DL302" t="str">
        <f>IF(DE302=1,DL$7,0)</f>
        <v>Energy</v>
      </c>
      <c r="DM302" t="str">
        <f>IF(DF302=1,DM$7,0)</f>
        <v>Pulp/Paper</v>
      </c>
      <c r="DN302" t="str">
        <f>IF(DG302=1,DN$7,0)</f>
        <v>Timber</v>
      </c>
      <c r="DO302">
        <v>1</v>
      </c>
      <c r="DP302">
        <v>0</v>
      </c>
      <c r="DQ302">
        <v>0</v>
      </c>
      <c r="DR302">
        <v>0</v>
      </c>
      <c r="DS302">
        <v>0</v>
      </c>
      <c r="DT302">
        <f>SUM(DO302:DP302)</f>
        <v>1</v>
      </c>
      <c r="DU302" s="143" t="str">
        <f>IF(DO302=1,"self-calculated DF",IF(DP302=1,"external DF used","explicit C balance"))</f>
        <v>self-calculated DF</v>
      </c>
      <c r="DV302">
        <v>0</v>
      </c>
      <c r="DW302">
        <v>1</v>
      </c>
      <c r="DX302">
        <v>0</v>
      </c>
      <c r="DY302">
        <v>1</v>
      </c>
      <c r="DZ302">
        <v>1</v>
      </c>
      <c r="EA302" s="143">
        <v>1</v>
      </c>
      <c r="EB302">
        <v>1</v>
      </c>
      <c r="EC302">
        <v>1</v>
      </c>
      <c r="ED302">
        <v>1</v>
      </c>
      <c r="EE302">
        <v>1</v>
      </c>
      <c r="EF302">
        <v>0</v>
      </c>
      <c r="EG302">
        <v>1</v>
      </c>
      <c r="EH302">
        <v>0</v>
      </c>
      <c r="EI302" s="2">
        <v>0</v>
      </c>
      <c r="EJ302" s="1"/>
      <c r="EK302" t="str">
        <f>IF(AND(AND(AND(OR($DX302=1,$DW302=1),OR($EC302=1,$EA302=1)),SUM($DV302:$DZ302,$EF302)&gt;=4),SUM($EA302:$EE302)&gt;=2),"Whole sector","")</f>
        <v/>
      </c>
      <c r="EL302" t="str">
        <f>IF(AND(AND(OR($DX302=1,$DW302=1),AND($EC302=0,$EA302=0)),SUM($DV302:$DZ302,$EF302)&gt;=4),"Ecosystem approach","")</f>
        <v/>
      </c>
      <c r="EM302" s="2" t="str">
        <f>IF(AND(AND(AND($DX302=0,$DW302=0),OR($EC302=1,$EA302=1)),SUM($EB302:$EE302)&gt;=2),"Technology approach","")</f>
        <v/>
      </c>
      <c r="EN302"/>
      <c r="EO302"/>
      <c r="EP302" t="str">
        <f>IF(ISNUMBER(BU302),IF(ABS(BU302-[2]QC_indicators!$B$2)&gt;3*[2]QC_indicators!$C$2,"C ratio",IF(ISNUMBER(BY302),IF(ABS(BY302-[2]QC_indicators!$B$1)&gt;3*[2]QC_indicators!$C$1,"DF","no"))),IF(ISNUMBER(BY302),IF(ABS(BY302-[2]QC_indicators!$B$1)&gt;3*[2]QC_indicators!$C$1,"DF","no")))</f>
        <v>no</v>
      </c>
      <c r="EQ302"/>
      <c r="ER302" s="149" t="s">
        <v>349</v>
      </c>
      <c r="ES302"/>
      <c r="ET302" s="264" t="s">
        <v>3151</v>
      </c>
      <c r="EU302"/>
    </row>
    <row r="303" spans="1:151" s="139" customFormat="1" ht="15" customHeight="1">
      <c r="A303" s="1" t="s">
        <v>265</v>
      </c>
      <c r="B303" t="s">
        <v>1531</v>
      </c>
      <c r="C303" t="s">
        <v>1532</v>
      </c>
      <c r="D303" t="s">
        <v>1533</v>
      </c>
      <c r="E303" t="s">
        <v>1534</v>
      </c>
      <c r="F303" t="s">
        <v>1535</v>
      </c>
      <c r="G303" t="s">
        <v>271</v>
      </c>
      <c r="H303" t="s">
        <v>254</v>
      </c>
      <c r="I303">
        <v>2019</v>
      </c>
      <c r="J303">
        <v>26</v>
      </c>
      <c r="K303" t="s">
        <v>1536</v>
      </c>
      <c r="L303"/>
      <c r="M303" t="str">
        <f>LEFT($D303,FIND(",",$D303)-1)&amp;"_"&amp;I303&amp;L303</f>
        <v>Faraca_2019</v>
      </c>
      <c r="N303" t="s">
        <v>222</v>
      </c>
      <c r="O303" s="145" t="s">
        <v>274</v>
      </c>
      <c r="P303"/>
      <c r="Q303" t="s">
        <v>256</v>
      </c>
      <c r="R303" s="262" t="s">
        <v>223</v>
      </c>
      <c r="S303" s="263" t="s">
        <v>3137</v>
      </c>
      <c r="T303" t="s">
        <v>1538</v>
      </c>
      <c r="U303" t="s">
        <v>1549</v>
      </c>
      <c r="V303">
        <v>0</v>
      </c>
      <c r="W303">
        <v>0</v>
      </c>
      <c r="X303">
        <v>0</v>
      </c>
      <c r="Y303">
        <v>0</v>
      </c>
      <c r="Z303">
        <v>0</v>
      </c>
      <c r="AA303">
        <v>0</v>
      </c>
      <c r="AB303">
        <v>0</v>
      </c>
      <c r="AC303">
        <v>0</v>
      </c>
      <c r="AD303">
        <v>0</v>
      </c>
      <c r="AE303">
        <v>0</v>
      </c>
      <c r="AF303">
        <v>0</v>
      </c>
      <c r="AG303">
        <v>1</v>
      </c>
      <c r="AH303">
        <v>0</v>
      </c>
      <c r="AI303">
        <v>0</v>
      </c>
      <c r="AJ303">
        <v>0</v>
      </c>
      <c r="AK303">
        <v>0</v>
      </c>
      <c r="AL303">
        <v>0</v>
      </c>
      <c r="AM303">
        <v>0</v>
      </c>
      <c r="AN303">
        <v>0</v>
      </c>
      <c r="AO303">
        <v>0</v>
      </c>
      <c r="AP303">
        <v>0</v>
      </c>
      <c r="AQ303">
        <v>0</v>
      </c>
      <c r="AR303">
        <v>0</v>
      </c>
      <c r="AS303">
        <v>0</v>
      </c>
      <c r="AT303">
        <v>0</v>
      </c>
      <c r="AU303">
        <v>0</v>
      </c>
      <c r="AV303">
        <v>0</v>
      </c>
      <c r="AW303">
        <v>0</v>
      </c>
      <c r="AX303" s="141">
        <f>COUNTIF(V303:AW303,"&lt;&gt;0")</f>
        <v>1</v>
      </c>
      <c r="AY303" s="141">
        <f>COUNTIF(V303:AL303,"&lt;&gt;0")</f>
        <v>1</v>
      </c>
      <c r="AZ303">
        <f>COUNTIF(V303:AC303,"&lt;&gt;0")</f>
        <v>0</v>
      </c>
      <c r="BA303">
        <f>COUNTIF(AD303:AI303,"&lt;&gt;0")</f>
        <v>1</v>
      </c>
      <c r="BB303">
        <f>COUNTIF(AJ303:AL303,"&lt;&gt;0")</f>
        <v>0</v>
      </c>
      <c r="BC303">
        <f>COUNTIF(AS303:AW303,"&lt;&gt;0")</f>
        <v>0</v>
      </c>
      <c r="BD303">
        <f>COUNTIF(AM303:AR303,"&lt;&gt;0")</f>
        <v>0</v>
      </c>
      <c r="BE303" t="str">
        <f t="array" ref="BE303">IF(AY303=1,INDEX($V$7:$AL$7,MATCH(TRUE,INDEX($V303:$AW303&lt;&gt;0,),0)),IF(AY303=0,INDEX($AM$7:$AW$7,MATCH(1,$AM303:$AW303,0)),IF(BF303="Multiple strategies","mixed drivers",IF(BF303="Supply chain","multiple supply","multiple silviculture"))))</f>
        <v>recycling</v>
      </c>
      <c r="BF303" s="2" t="str" cm="1">
        <f t="array" ref="BF303">IF(COUNTIF(AZ303:BB303,"&lt;&gt;0")=1,INDEX($V$4:$AW$4,MATCH(TRUE,INDEX($V303:$AW303&lt;&gt;0,),0)),IF(COUNTIF(AZ303:BB303,"&lt;&gt;0")=0,INDEX($AM$4:$AW$4,MATCH(1,$AM303:$AW303,0)),"Multiple strategies"))</f>
        <v>Supply chain</v>
      </c>
      <c r="BG303" s="1" t="s">
        <v>229</v>
      </c>
      <c r="BH303" t="s">
        <v>1548</v>
      </c>
      <c r="BI303" t="s">
        <v>1539</v>
      </c>
      <c r="BJ303" t="s">
        <v>345</v>
      </c>
      <c r="BK303">
        <v>922</v>
      </c>
      <c r="BL303">
        <f>922+519+281+121</f>
        <v>1843</v>
      </c>
      <c r="BM303">
        <v>1.9989154013015185</v>
      </c>
      <c r="BN303">
        <f>BL303-BK303</f>
        <v>921</v>
      </c>
      <c r="BO303">
        <f>BN303*kg_to_m3</f>
        <v>1.879591836734694</v>
      </c>
      <c r="BP303" s="264" t="s">
        <v>395</v>
      </c>
      <c r="BQ303" t="s">
        <v>426</v>
      </c>
      <c r="BR303" t="s">
        <v>728</v>
      </c>
      <c r="BS303">
        <v>-10.3</v>
      </c>
      <c r="BT303">
        <v>-100</v>
      </c>
      <c r="BU303" s="144">
        <v>9.545454545454545</v>
      </c>
      <c r="BV303">
        <v>94</v>
      </c>
      <c r="BW303"/>
      <c r="BX303">
        <f>BV303/1000</f>
        <v>9.4E-2</v>
      </c>
      <c r="BY303">
        <f>IFERROR(BX303/BO303,"")</f>
        <v>5.0010857763300755E-2</v>
      </c>
      <c r="BZ303">
        <v>0</v>
      </c>
      <c r="CA303">
        <v>0</v>
      </c>
      <c r="CB303">
        <v>0</v>
      </c>
      <c r="CC303">
        <v>0</v>
      </c>
      <c r="CD303">
        <v>0</v>
      </c>
      <c r="CE303">
        <v>0</v>
      </c>
      <c r="CF303">
        <v>0</v>
      </c>
      <c r="CG303">
        <v>0</v>
      </c>
      <c r="CH303">
        <v>0</v>
      </c>
      <c r="CI303">
        <v>0</v>
      </c>
      <c r="CJ303">
        <v>0</v>
      </c>
      <c r="CK303">
        <v>0</v>
      </c>
      <c r="CL303">
        <v>0</v>
      </c>
      <c r="CM303">
        <v>0</v>
      </c>
      <c r="CN303" t="str">
        <f>IF($BL303&lt;$BK303,"refNeedCorrection","refOK")</f>
        <v>refOK</v>
      </c>
      <c r="CO303">
        <f>IF($CN303="refNeedCorrection",BL303,BK303)</f>
        <v>922</v>
      </c>
      <c r="CP303">
        <f>IF($CN303="refNeedCorrection",BK303,BL303)</f>
        <v>1843</v>
      </c>
      <c r="CQ303">
        <f>IF($CN303="refOK",$BO303,-$BO303)</f>
        <v>1.879591836734694</v>
      </c>
      <c r="CR303">
        <f>IF($CN303="refOK",$BS303,$BT303)*IF($BP303="Emissions positive",-1,1)</f>
        <v>10.3</v>
      </c>
      <c r="CS303">
        <f>IF($CN303="refOK",$BT303,$BS303)*IF($BP303="Emissions positive",-1,1)</f>
        <v>100</v>
      </c>
      <c r="CT303">
        <f>IF($CN303="refNeedCorrection",-BX303,BX303)*IF($BP303="Emissions positive",-1,1)</f>
        <v>-9.4E-2</v>
      </c>
      <c r="CU303">
        <f>IFERROR(CT303/CQ303,"")</f>
        <v>-5.0010857763300755E-2</v>
      </c>
      <c r="CV303" s="2">
        <f>IFERROR((CS303-CR303)/ABS(CR303),"")</f>
        <v>8.7087378640776691</v>
      </c>
      <c r="CW303" s="1" t="s">
        <v>1199</v>
      </c>
      <c r="CX303" t="str">
        <f>IF(OR($CW303="prd",$CW303="std",$CW303="cit"),"loc",IF(OR($CW303="eur",$CW303="reg",$CW303="coy"),"reg",$CW303))</f>
        <v>reg</v>
      </c>
      <c r="CY303" t="s">
        <v>1540</v>
      </c>
      <c r="CZ303"/>
      <c r="DA303"/>
      <c r="DB303">
        <v>100</v>
      </c>
      <c r="DC303" t="str">
        <f>IF(DB303=0,"0",IF(AND(DB303&gt;=1,DB303&lt;=30),"1-30",IF(AND(DB303&gt;30,DB303&lt;=70),"31-70",IF(AND(DB303&gt;70,DB303&lt;=100),"71-100",IF(DB303&gt;100,"+100")))))</f>
        <v>71-100</v>
      </c>
      <c r="DD303">
        <v>0</v>
      </c>
      <c r="DE303">
        <v>0</v>
      </c>
      <c r="DF303">
        <v>0</v>
      </c>
      <c r="DG303">
        <v>1</v>
      </c>
      <c r="DH303"/>
      <c r="DI303">
        <f>SUM(DD303:DG303)</f>
        <v>1</v>
      </c>
      <c r="DJ303" t="str">
        <f>IF(DI303=1,INDEX($DD$7:$DG$7,MATCH(1,$DD303:$DG303,0)),"mixedProduct")</f>
        <v>TimberInput</v>
      </c>
      <c r="DK303">
        <f>IF(DD303=1,DK$7,0)</f>
        <v>0</v>
      </c>
      <c r="DL303">
        <f>IF(DE303=1,DL$7,0)</f>
        <v>0</v>
      </c>
      <c r="DM303">
        <f>IF(DF303=1,DM$7,0)</f>
        <v>0</v>
      </c>
      <c r="DN303" t="str">
        <f>IF(DG303=1,DN$7,0)</f>
        <v>Timber</v>
      </c>
      <c r="DO303">
        <v>0</v>
      </c>
      <c r="DP303">
        <v>1</v>
      </c>
      <c r="DQ303">
        <v>0</v>
      </c>
      <c r="DR303">
        <v>0</v>
      </c>
      <c r="DS303" t="s">
        <v>1541</v>
      </c>
      <c r="DT303">
        <f>SUM(DO303:DP303)</f>
        <v>1</v>
      </c>
      <c r="DU303" s="143" t="str">
        <f>IF(DO303=1,"self-calculated DF",IF(DP303=1,"external DF used","explicit C balance"))</f>
        <v>external DF used</v>
      </c>
      <c r="DV303">
        <v>0</v>
      </c>
      <c r="DW303">
        <v>0</v>
      </c>
      <c r="DX303">
        <v>0</v>
      </c>
      <c r="DY303">
        <v>0</v>
      </c>
      <c r="DZ303">
        <v>1</v>
      </c>
      <c r="EA303" s="143">
        <v>1</v>
      </c>
      <c r="EB303">
        <v>0</v>
      </c>
      <c r="EC303">
        <v>1</v>
      </c>
      <c r="ED303">
        <v>0</v>
      </c>
      <c r="EE303">
        <v>1</v>
      </c>
      <c r="EF303">
        <v>1</v>
      </c>
      <c r="EG303">
        <v>1</v>
      </c>
      <c r="EH303">
        <v>0</v>
      </c>
      <c r="EI303" s="2">
        <v>0</v>
      </c>
      <c r="EJ303" s="1"/>
      <c r="EK303" t="str">
        <f>IF(AND(AND(AND(OR($DX303=1,$DW303=1),OR($EC303=1,$EA303=1)),SUM($DV303:$DZ303,$EF303)&gt;=4),SUM($EA303:$EE303)&gt;=2),"Whole sector","")</f>
        <v/>
      </c>
      <c r="EL303" t="str">
        <f>IF(AND(AND(OR($DX303=1,$DW303=1),AND($EC303=0,$EA303=0)),SUM($DV303:$DZ303,$EF303)&gt;=4),"Ecosystem approach","")</f>
        <v/>
      </c>
      <c r="EM303" s="2" t="str">
        <f>IF(AND(AND(AND($DX303=0,$DW303=0),OR($EC303=1,$EA303=1)),SUM($EB303:$EE303)&gt;=2),"Technology approach","")</f>
        <v>Technology approach</v>
      </c>
      <c r="EN303"/>
      <c r="EO303"/>
      <c r="EP303" t="str">
        <f>IF(ISNUMBER(BU303),IF(ABS(BU303-[1]QC_indicators!$B$2)&gt;3*[1]QC_indicators!$C$2,"C ratio",IF(ISNUMBER(BY303),IF(ABS(BY303-[1]QC_indicators!$B$1)&gt;3*[1]QC_indicators!$C$1,"DF","no"))),IF(ISNUMBER(BY303),IF(ABS(BY303-[1]QC_indicators!$B$1)&gt;3*[1]QC_indicators!$C$1,"DF","no")))</f>
        <v>no</v>
      </c>
      <c r="EQ303"/>
      <c r="ER303"/>
      <c r="ES303"/>
      <c r="ET303" s="264" t="s">
        <v>3273</v>
      </c>
      <c r="EU303"/>
    </row>
    <row r="304" spans="1:151" s="139" customFormat="1" ht="15" customHeight="1">
      <c r="A304" s="1" t="s">
        <v>265</v>
      </c>
      <c r="B304" t="s">
        <v>1531</v>
      </c>
      <c r="C304" t="s">
        <v>1532</v>
      </c>
      <c r="D304" t="s">
        <v>1533</v>
      </c>
      <c r="E304" t="s">
        <v>1534</v>
      </c>
      <c r="F304" t="s">
        <v>1535</v>
      </c>
      <c r="G304" t="s">
        <v>271</v>
      </c>
      <c r="H304" t="s">
        <v>254</v>
      </c>
      <c r="I304">
        <v>2019</v>
      </c>
      <c r="J304">
        <v>26</v>
      </c>
      <c r="K304" t="s">
        <v>1536</v>
      </c>
      <c r="L304"/>
      <c r="M304" t="str">
        <f>LEFT($D304,FIND(",",$D304)-1)&amp;"_"&amp;I304&amp;L304</f>
        <v>Faraca_2019</v>
      </c>
      <c r="N304" t="s">
        <v>222</v>
      </c>
      <c r="O304" s="145" t="s">
        <v>274</v>
      </c>
      <c r="P304" s="180" t="s">
        <v>223</v>
      </c>
      <c r="Q304" t="s">
        <v>256</v>
      </c>
      <c r="R304" s="262" t="s">
        <v>223</v>
      </c>
      <c r="S304" s="263" t="s">
        <v>3135</v>
      </c>
      <c r="T304" t="s">
        <v>969</v>
      </c>
      <c r="U304" t="s">
        <v>1547</v>
      </c>
      <c r="V304">
        <v>0</v>
      </c>
      <c r="W304">
        <v>0</v>
      </c>
      <c r="X304">
        <v>0</v>
      </c>
      <c r="Y304">
        <v>0</v>
      </c>
      <c r="Z304">
        <v>0</v>
      </c>
      <c r="AA304">
        <v>0</v>
      </c>
      <c r="AB304">
        <v>0</v>
      </c>
      <c r="AC304">
        <v>0</v>
      </c>
      <c r="AD304">
        <v>0</v>
      </c>
      <c r="AE304">
        <v>0</v>
      </c>
      <c r="AF304">
        <v>0</v>
      </c>
      <c r="AG304">
        <v>1</v>
      </c>
      <c r="AH304">
        <v>0</v>
      </c>
      <c r="AI304">
        <v>0</v>
      </c>
      <c r="AJ304">
        <v>0</v>
      </c>
      <c r="AK304">
        <v>0</v>
      </c>
      <c r="AL304">
        <v>0</v>
      </c>
      <c r="AM304">
        <v>0</v>
      </c>
      <c r="AN304">
        <v>0</v>
      </c>
      <c r="AO304">
        <v>0</v>
      </c>
      <c r="AP304">
        <v>0</v>
      </c>
      <c r="AQ304">
        <v>0</v>
      </c>
      <c r="AR304">
        <v>0</v>
      </c>
      <c r="AS304">
        <v>0</v>
      </c>
      <c r="AT304">
        <v>0</v>
      </c>
      <c r="AU304">
        <v>0</v>
      </c>
      <c r="AV304">
        <v>0</v>
      </c>
      <c r="AW304">
        <v>0</v>
      </c>
      <c r="AX304" s="141">
        <f>COUNTIF(V304:AW304,"&lt;&gt;0")</f>
        <v>1</v>
      </c>
      <c r="AY304" s="141">
        <f>COUNTIF(V304:AL304,"&lt;&gt;0")</f>
        <v>1</v>
      </c>
      <c r="AZ304">
        <f>COUNTIF(V304:AC304,"&lt;&gt;0")</f>
        <v>0</v>
      </c>
      <c r="BA304">
        <f>COUNTIF(AD304:AI304,"&lt;&gt;0")</f>
        <v>1</v>
      </c>
      <c r="BB304">
        <f>COUNTIF(AJ304:AL304,"&lt;&gt;0")</f>
        <v>0</v>
      </c>
      <c r="BC304">
        <f>COUNTIF(AS304:AW304,"&lt;&gt;0")</f>
        <v>0</v>
      </c>
      <c r="BD304">
        <f>COUNTIF(AM304:AR304,"&lt;&gt;0")</f>
        <v>0</v>
      </c>
      <c r="BE304" t="str">
        <f t="array" ref="BE304">IF(AY304=1,INDEX($V$7:$AL$7,MATCH(TRUE,INDEX($V304:$AW304&lt;&gt;0,),0)),IF(AY304=0,INDEX($AM$7:$AW$7,MATCH(1,$AM304:$AW304,0)),IF(BF304="Multiple strategies","mixed drivers",IF(BF304="Supply chain","multiple supply","multiple silviculture"))))</f>
        <v>recycling</v>
      </c>
      <c r="BF304" s="2" t="str" cm="1">
        <f t="array" ref="BF304">IF(COUNTIF(AZ304:BB304,"&lt;&gt;0")=1,INDEX($V$4:$AW$4,MATCH(TRUE,INDEX($V304:$AW304&lt;&gt;0,),0)),IF(COUNTIF(AZ304:BB304,"&lt;&gt;0")=0,INDEX($AM$4:$AW$4,MATCH(1,$AM304:$AW304,0)),"Multiple strategies"))</f>
        <v>Supply chain</v>
      </c>
      <c r="BG304" s="1" t="s">
        <v>229</v>
      </c>
      <c r="BH304" t="s">
        <v>1548</v>
      </c>
      <c r="BI304" t="s">
        <v>1539</v>
      </c>
      <c r="BJ304" t="s">
        <v>345</v>
      </c>
      <c r="BK304">
        <v>636</v>
      </c>
      <c r="BL304">
        <f>638+378+212+115</f>
        <v>1343</v>
      </c>
      <c r="BM304">
        <v>2.108490566037736</v>
      </c>
      <c r="BN304">
        <f>BL304-BK304</f>
        <v>707</v>
      </c>
      <c r="BO304">
        <f>BN304*kg_to_m3</f>
        <v>1.4428571428571431</v>
      </c>
      <c r="BP304" s="264" t="s">
        <v>395</v>
      </c>
      <c r="BQ304" t="s">
        <v>426</v>
      </c>
      <c r="BR304" t="s">
        <v>728</v>
      </c>
      <c r="BS304">
        <v>474.6</v>
      </c>
      <c r="BT304">
        <v>545.79999999999995</v>
      </c>
      <c r="BU304" s="144"/>
      <c r="BV304">
        <f>BT304-BS304</f>
        <v>71.199999999999932</v>
      </c>
      <c r="BW304"/>
      <c r="BX304">
        <f>BV304/1000</f>
        <v>7.119999999999993E-2</v>
      </c>
      <c r="BY304">
        <f>IFERROR(BX304/BO304,"")</f>
        <v>4.9346534653465293E-2</v>
      </c>
      <c r="BZ304">
        <v>0</v>
      </c>
      <c r="CA304">
        <v>0</v>
      </c>
      <c r="CB304">
        <v>0</v>
      </c>
      <c r="CC304">
        <v>0</v>
      </c>
      <c r="CD304">
        <v>0</v>
      </c>
      <c r="CE304">
        <v>0</v>
      </c>
      <c r="CF304">
        <v>0</v>
      </c>
      <c r="CG304">
        <v>0</v>
      </c>
      <c r="CH304">
        <v>0</v>
      </c>
      <c r="CI304">
        <v>0</v>
      </c>
      <c r="CJ304">
        <v>0</v>
      </c>
      <c r="CK304">
        <v>0</v>
      </c>
      <c r="CL304">
        <v>0</v>
      </c>
      <c r="CM304">
        <v>0</v>
      </c>
      <c r="CN304" t="str">
        <f>IF($BL304&lt;$BK304,"refNeedCorrection","refOK")</f>
        <v>refOK</v>
      </c>
      <c r="CO304">
        <f>IF($CN304="refNeedCorrection",BL304,BK304)</f>
        <v>636</v>
      </c>
      <c r="CP304">
        <f>IF($CN304="refNeedCorrection",BK304,BL304)</f>
        <v>1343</v>
      </c>
      <c r="CQ304">
        <f>IF($CN304="refOK",$BO304,-$BO304)</f>
        <v>1.4428571428571431</v>
      </c>
      <c r="CR304">
        <f>IF($CN304="refOK",$BS304,$BT304)*IF($BP304="Emissions positive",-1,1)</f>
        <v>-474.6</v>
      </c>
      <c r="CS304">
        <f>IF($CN304="refOK",$BT304,$BS304)*IF($BP304="Emissions positive",-1,1)</f>
        <v>-545.79999999999995</v>
      </c>
      <c r="CT304">
        <f>IF($CN304="refNeedCorrection",-BX304,BX304)*IF($BP304="Emissions positive",-1,1)</f>
        <v>-7.119999999999993E-2</v>
      </c>
      <c r="CU304">
        <f>IFERROR(CT304/CQ304,"")</f>
        <v>-4.9346534653465293E-2</v>
      </c>
      <c r="CV304" s="2">
        <f>IFERROR((CS304-CR304)/ABS(CR304),"")</f>
        <v>-0.15002107037505252</v>
      </c>
      <c r="CW304" s="1" t="s">
        <v>1199</v>
      </c>
      <c r="CX304" t="str">
        <f>IF(OR($CW304="prd",$CW304="std",$CW304="cit"),"loc",IF(OR($CW304="eur",$CW304="reg",$CW304="coy"),"reg",$CW304))</f>
        <v>reg</v>
      </c>
      <c r="CY304" t="s">
        <v>1540</v>
      </c>
      <c r="CZ304"/>
      <c r="DA304"/>
      <c r="DB304">
        <v>100</v>
      </c>
      <c r="DC304" t="str">
        <f>IF(DB304=0,"0",IF(AND(DB304&gt;=1,DB304&lt;=30),"1-30",IF(AND(DB304&gt;30,DB304&lt;=70),"31-70",IF(AND(DB304&gt;70,DB304&lt;=100),"71-100",IF(DB304&gt;100,"+100")))))</f>
        <v>71-100</v>
      </c>
      <c r="DD304">
        <v>0</v>
      </c>
      <c r="DE304">
        <v>0</v>
      </c>
      <c r="DF304">
        <v>0</v>
      </c>
      <c r="DG304">
        <v>1</v>
      </c>
      <c r="DH304"/>
      <c r="DI304">
        <f>SUM(DD304:DG304)</f>
        <v>1</v>
      </c>
      <c r="DJ304" t="str">
        <f>IF(DI304=1,INDEX($DD$7:$DG$7,MATCH(1,$DD304:$DG304,0)),"mixedProduct")</f>
        <v>TimberInput</v>
      </c>
      <c r="DK304">
        <f>IF(DD304=1,DK$7,0)</f>
        <v>0</v>
      </c>
      <c r="DL304">
        <f>IF(DE304=1,DL$7,0)</f>
        <v>0</v>
      </c>
      <c r="DM304">
        <f>IF(DF304=1,DM$7,0)</f>
        <v>0</v>
      </c>
      <c r="DN304" t="str">
        <f>IF(DG304=1,DN$7,0)</f>
        <v>Timber</v>
      </c>
      <c r="DO304">
        <v>0</v>
      </c>
      <c r="DP304">
        <v>0</v>
      </c>
      <c r="DQ304">
        <v>0</v>
      </c>
      <c r="DR304">
        <v>0</v>
      </c>
      <c r="DS304">
        <v>0</v>
      </c>
      <c r="DT304">
        <f>SUM(DO304:DP304)</f>
        <v>0</v>
      </c>
      <c r="DU304" s="143" t="str">
        <f>IF(DO304=1,"self-calculated DF",IF(DP304=1,"external DF used","explicit C balance"))</f>
        <v>explicit C balance</v>
      </c>
      <c r="DV304">
        <v>0</v>
      </c>
      <c r="DW304">
        <v>0</v>
      </c>
      <c r="DX304">
        <v>0</v>
      </c>
      <c r="DY304">
        <v>0</v>
      </c>
      <c r="DZ304">
        <v>1</v>
      </c>
      <c r="EA304" s="143">
        <v>0</v>
      </c>
      <c r="EB304">
        <v>0</v>
      </c>
      <c r="EC304">
        <v>1</v>
      </c>
      <c r="ED304">
        <v>0</v>
      </c>
      <c r="EE304">
        <v>1</v>
      </c>
      <c r="EF304">
        <v>1</v>
      </c>
      <c r="EG304">
        <v>1</v>
      </c>
      <c r="EH304">
        <v>0</v>
      </c>
      <c r="EI304" s="2">
        <v>0</v>
      </c>
      <c r="EJ304" s="1"/>
      <c r="EK304" t="str">
        <f>IF(AND(AND(AND(OR($DX304=1,$DW304=1),OR($EC304=1,$EA304=1)),SUM($DV304:$DZ304,$EF304)&gt;=4),SUM($EA304:$EE304)&gt;=2),"Whole sector","")</f>
        <v/>
      </c>
      <c r="EL304" t="str">
        <f>IF(AND(AND(OR($DX304=1,$DW304=1),AND($EC304=0,$EA304=0)),SUM($DV304:$DZ304,$EF304)&gt;=4),"Ecosystem approach","")</f>
        <v/>
      </c>
      <c r="EM304" s="2" t="str">
        <f>IF(AND(AND(AND($DX304=0,$DW304=0),OR($EC304=1,$EA304=1)),SUM($EB304:$EE304)&gt;=2),"Technology approach","")</f>
        <v>Technology approach</v>
      </c>
      <c r="EN304"/>
      <c r="EO304"/>
      <c r="EP304" t="str">
        <f>IF(ISNUMBER(BU304),IF(ABS(BU304-[1]QC_indicators!$B$2)&gt;3*[1]QC_indicators!$C$2,"C ratio",IF(ISNUMBER(BY304),IF(ABS(BY304-[1]QC_indicators!$B$1)&gt;3*[1]QC_indicators!$C$1,"DF","no"))),IF(ISNUMBER(BY304),IF(ABS(BY304-[1]QC_indicators!$B$1)&gt;3*[1]QC_indicators!$C$1,"DF","no")))</f>
        <v>no</v>
      </c>
      <c r="EQ304"/>
      <c r="ER304"/>
      <c r="ES304"/>
      <c r="ET304" s="264" t="s">
        <v>3273</v>
      </c>
      <c r="EU304"/>
    </row>
    <row r="305" spans="1:151" s="139" customFormat="1" ht="15" customHeight="1">
      <c r="A305" s="1" t="s">
        <v>562</v>
      </c>
      <c r="B305" t="s">
        <v>544</v>
      </c>
      <c r="C305" t="s">
        <v>1593</v>
      </c>
      <c r="D305" t="s">
        <v>1594</v>
      </c>
      <c r="E305" t="s">
        <v>1595</v>
      </c>
      <c r="F305" t="s">
        <v>1596</v>
      </c>
      <c r="G305" t="s">
        <v>567</v>
      </c>
      <c r="H305" t="s">
        <v>254</v>
      </c>
      <c r="I305">
        <v>2019</v>
      </c>
      <c r="J305">
        <v>15</v>
      </c>
      <c r="K305" t="s">
        <v>1597</v>
      </c>
      <c r="L305"/>
      <c r="M305" t="str">
        <f>LEFT($D305,FIND(",",$D305)-1)&amp;"_"&amp;I305&amp;L305</f>
        <v>Geng_2019</v>
      </c>
      <c r="N305" t="s">
        <v>222</v>
      </c>
      <c r="O305" s="181" t="s">
        <v>225</v>
      </c>
      <c r="P305"/>
      <c r="Q305" s="264" t="s">
        <v>256</v>
      </c>
      <c r="R305" s="269" t="s">
        <v>1154</v>
      </c>
      <c r="S305" s="1" t="s">
        <v>1598</v>
      </c>
      <c r="T305" t="s">
        <v>1599</v>
      </c>
      <c r="U305"/>
      <c r="V305">
        <v>0</v>
      </c>
      <c r="W305">
        <v>0</v>
      </c>
      <c r="X305">
        <v>0</v>
      </c>
      <c r="Y305">
        <v>0</v>
      </c>
      <c r="Z305">
        <v>0</v>
      </c>
      <c r="AA305">
        <v>0</v>
      </c>
      <c r="AB305">
        <v>0</v>
      </c>
      <c r="AC305">
        <v>0</v>
      </c>
      <c r="AD305">
        <v>0</v>
      </c>
      <c r="AE305">
        <v>0</v>
      </c>
      <c r="AF305">
        <v>0</v>
      </c>
      <c r="AG305">
        <v>0</v>
      </c>
      <c r="AH305">
        <v>0</v>
      </c>
      <c r="AI305">
        <v>0</v>
      </c>
      <c r="AJ305">
        <v>0</v>
      </c>
      <c r="AK305">
        <v>1</v>
      </c>
      <c r="AL305">
        <v>0</v>
      </c>
      <c r="AM305">
        <v>0</v>
      </c>
      <c r="AN305">
        <v>0</v>
      </c>
      <c r="AO305">
        <v>0</v>
      </c>
      <c r="AP305">
        <v>0</v>
      </c>
      <c r="AQ305">
        <v>0</v>
      </c>
      <c r="AR305">
        <v>0</v>
      </c>
      <c r="AS305">
        <v>0</v>
      </c>
      <c r="AT305">
        <v>0</v>
      </c>
      <c r="AU305">
        <v>0</v>
      </c>
      <c r="AV305">
        <v>0</v>
      </c>
      <c r="AW305">
        <v>0</v>
      </c>
      <c r="AX305" s="141">
        <f>COUNTIF(V305:AW305,"&lt;&gt;0")</f>
        <v>1</v>
      </c>
      <c r="AY305" s="141">
        <f>COUNTIF(V305:AL305,"&lt;&gt;0")</f>
        <v>1</v>
      </c>
      <c r="AZ305">
        <f>COUNTIF(V305:AC305,"&lt;&gt;0")</f>
        <v>0</v>
      </c>
      <c r="BA305">
        <f>COUNTIF(AD305:AI305,"&lt;&gt;0")</f>
        <v>0</v>
      </c>
      <c r="BB305">
        <f>COUNTIF(AJ305:AL305,"&lt;&gt;0")</f>
        <v>1</v>
      </c>
      <c r="BC305">
        <f>COUNTIF(AS305:AW305,"&lt;&gt;0")</f>
        <v>0</v>
      </c>
      <c r="BD305">
        <f>COUNTIF(AM305:AR305,"&lt;&gt;0")</f>
        <v>0</v>
      </c>
      <c r="BE305" t="str" cm="1">
        <f t="array" ref="BE305">IF(AY305=1,INDEX($V$7:$AL$7,MATCH(TRUE,INDEX($V305:$AW305&lt;&gt;0,),0)),IF(AY305=0,INDEX($AM$7:$AW$7,MATCH(1,$AM305:$AW305,0)),IF(BF305="Multiple strategies","mixed drivers",IF(BF305="Supply chain","multiple supply","multiple silviculture"))))</f>
        <v>technologies/design switch</v>
      </c>
      <c r="BF305" s="2" t="str" cm="1">
        <f t="array" ref="BF305">IF(COUNTIF(AZ305:BB305,"&lt;&gt;0")=1,INDEX($V$4:$AW$4,MATCH(TRUE,INDEX($V305:$AW305&lt;&gt;0,),0)),IF(COUNTIF(AZ305:BB305,"&lt;&gt;0")=0,INDEX($AM$4:$AW$4,MATCH(1,$AM305:$AW305,0)),"Multiple strategies"))</f>
        <v>Technology</v>
      </c>
      <c r="BG305" s="1" t="s">
        <v>229</v>
      </c>
      <c r="BH305" t="s">
        <v>1600</v>
      </c>
      <c r="BI305"/>
      <c r="BJ305" t="s">
        <v>1601</v>
      </c>
      <c r="BK305">
        <v>0</v>
      </c>
      <c r="BL305">
        <v>2.6</v>
      </c>
      <c r="BM305"/>
      <c r="BN305">
        <f>BL305-BK305</f>
        <v>2.6</v>
      </c>
      <c r="BO305">
        <f>BN305*kg_to_m3</f>
        <v>5.3061224489795921E-3</v>
      </c>
      <c r="BP305" t="s">
        <v>232</v>
      </c>
      <c r="BQ305"/>
      <c r="BR305" t="s">
        <v>1602</v>
      </c>
      <c r="BS305"/>
      <c r="BT305"/>
      <c r="BU305" s="144" t="str">
        <f>IFERROR(BT305/BS305,"")</f>
        <v/>
      </c>
      <c r="BV305">
        <v>-0.26</v>
      </c>
      <c r="BW305"/>
      <c r="BX305">
        <f>BV305/1000</f>
        <v>-2.6000000000000003E-4</v>
      </c>
      <c r="BY305">
        <f>IFERROR(BX305/BO305,"")</f>
        <v>-4.9000000000000002E-2</v>
      </c>
      <c r="BZ305">
        <v>0</v>
      </c>
      <c r="CA305">
        <v>0</v>
      </c>
      <c r="CB305">
        <v>0</v>
      </c>
      <c r="CC305">
        <v>0</v>
      </c>
      <c r="CD305">
        <v>0</v>
      </c>
      <c r="CE305">
        <v>0</v>
      </c>
      <c r="CF305">
        <v>0</v>
      </c>
      <c r="CG305">
        <v>0</v>
      </c>
      <c r="CH305">
        <v>0</v>
      </c>
      <c r="CI305">
        <v>0</v>
      </c>
      <c r="CJ305">
        <v>0</v>
      </c>
      <c r="CK305">
        <v>0</v>
      </c>
      <c r="CL305">
        <v>0</v>
      </c>
      <c r="CM305">
        <v>0</v>
      </c>
      <c r="CN305" t="str">
        <f>IF(BL305&lt;BK305,"refNeedCorrection","refOK")</f>
        <v>refOK</v>
      </c>
      <c r="CO305">
        <f>IF($CN305="refOK",$BK305,$BL305)</f>
        <v>0</v>
      </c>
      <c r="CP305">
        <f>IF($CN305="refOK",$BL305,$BK305)</f>
        <v>2.6</v>
      </c>
      <c r="CQ305">
        <f>IF($CN305="refOK",$BO305,-$BO305)</f>
        <v>5.3061224489795921E-3</v>
      </c>
      <c r="CR305">
        <f>IF($CN305="refOK",$BS305,$BT305)*IF($BP305="Emissions positive",-1,1)</f>
        <v>0</v>
      </c>
      <c r="CS305">
        <f>IF($CN305="refOK",$BT305,$BS305)*IF($BP305="Emissions positive",-1,1)</f>
        <v>0</v>
      </c>
      <c r="CT305">
        <f>IF($CN305="refNeedCorrection",-BX305,BX305)*IF($BP305="Emissions positive",-1,1)</f>
        <v>-2.6000000000000003E-4</v>
      </c>
      <c r="CU305">
        <f>IFERROR(CT305/CQ305,"")</f>
        <v>-4.9000000000000002E-2</v>
      </c>
      <c r="CV305" s="2" t="str">
        <f>IFERROR((CS305-CR305)/ABS(CR305),"")</f>
        <v/>
      </c>
      <c r="CW305" s="1" t="s">
        <v>1203</v>
      </c>
      <c r="CX305" s="264" t="str">
        <f>IF(OR($CW305="prd",$CW305="std",$CW305="cit"),"loc",IF(OR($CW305="eur",$CW305="reg",$CW305="coy"),"reg",$CW305))</f>
        <v>reg</v>
      </c>
      <c r="CY305" t="s">
        <v>690</v>
      </c>
      <c r="CZ305">
        <v>2019</v>
      </c>
      <c r="DA305"/>
      <c r="DB305">
        <v>0</v>
      </c>
      <c r="DC305" t="str">
        <f>IF(DB305=0,"0",IF(AND(DB305&gt;=1,DB305&lt;=30),"1-30",IF(AND(DB305&gt;30,DB305&lt;=70),"31-70",IF(AND(DB305&gt;70,DB305&lt;=100),"71-100",IF(DB305&gt;100,"+100")))))</f>
        <v>0</v>
      </c>
      <c r="DD305">
        <v>0</v>
      </c>
      <c r="DE305">
        <v>0</v>
      </c>
      <c r="DF305">
        <v>0</v>
      </c>
      <c r="DG305">
        <v>1</v>
      </c>
      <c r="DH305"/>
      <c r="DI305">
        <f>SUM(DD305:DG305)</f>
        <v>1</v>
      </c>
      <c r="DJ305" t="str">
        <f>IF(DI305=1,INDEX($DD$7:$DG$7,MATCH(1,$DD305:$DG305,0)),"mixedProduct")</f>
        <v>TimberInput</v>
      </c>
      <c r="DK305">
        <f>IF(DD305=1,DK$7,0)</f>
        <v>0</v>
      </c>
      <c r="DL305">
        <f>IF(DE305=1,DL$7,0)</f>
        <v>0</v>
      </c>
      <c r="DM305">
        <f>IF(DF305=1,DM$7,0)</f>
        <v>0</v>
      </c>
      <c r="DN305" t="str">
        <f>IF(DG305=1,DN$7,0)</f>
        <v>Timber</v>
      </c>
      <c r="DO305">
        <v>1</v>
      </c>
      <c r="DP305">
        <v>0</v>
      </c>
      <c r="DQ305">
        <v>0</v>
      </c>
      <c r="DR305">
        <v>0</v>
      </c>
      <c r="DS305">
        <v>0</v>
      </c>
      <c r="DT305">
        <f>SUM(DO305:DP305)</f>
        <v>1</v>
      </c>
      <c r="DU305" s="143" t="str">
        <f>IF(DO305=1,"self-calculated DF",IF(DP305=1,"external DF used","explicit C balance"))</f>
        <v>self-calculated DF</v>
      </c>
      <c r="DV305">
        <v>0</v>
      </c>
      <c r="DW305">
        <v>0</v>
      </c>
      <c r="DX305">
        <v>0</v>
      </c>
      <c r="DY305">
        <v>0</v>
      </c>
      <c r="DZ305">
        <v>0</v>
      </c>
      <c r="EA305" s="143">
        <v>1</v>
      </c>
      <c r="EB305">
        <v>0</v>
      </c>
      <c r="EC305">
        <v>1</v>
      </c>
      <c r="ED305">
        <v>0</v>
      </c>
      <c r="EE305">
        <v>0</v>
      </c>
      <c r="EF305">
        <v>0</v>
      </c>
      <c r="EG305">
        <v>0</v>
      </c>
      <c r="EH305">
        <v>0</v>
      </c>
      <c r="EI305" s="2">
        <v>0</v>
      </c>
      <c r="EJ305" s="1"/>
      <c r="EK305" t="str">
        <f>IF(AND(AND(AND(OR($DX305=1,$DW305=1),OR($EC305=1,$EA305=1)),SUM($DV305:$DZ305,$EF305)&gt;=4),SUM($EA305:$EE305)&gt;=2),"Whole sector","")</f>
        <v/>
      </c>
      <c r="EL305" t="str">
        <f>IF(AND(AND(OR($DX305=1,$DW305=1),AND($EC305=0,$EA305=0)),SUM($DV305:$DZ305,$EF305)&gt;=4),"Ecosystem approach","")</f>
        <v/>
      </c>
      <c r="EM305" s="2" t="str">
        <f>IF(AND(AND(AND($DX305=0,$DW305=0),OR($EC305=1,$EA305=1)),SUM($EB305:$EE305)&gt;=2),"Technology approach","")</f>
        <v/>
      </c>
      <c r="EN305" t="s">
        <v>1603</v>
      </c>
      <c r="EO305"/>
      <c r="EP305" t="str">
        <f>IF(ISNUMBER(BU305),IF(ABS(BU305-[3]QC_indicators!$B$2)&gt;3*[3]QC_indicators!$C$2,"C ratio",IF(ISNUMBER(BY305),IF(ABS(BY305-[3]QC_indicators!$B$1)&gt;3*[3]QC_indicators!$C$1,"DF","no"))),IF(ISNUMBER(BY305),IF(ABS(BY305-[3]QC_indicators!$B$1)&gt;3*[3]QC_indicators!$C$1,"DF","no")))</f>
        <v>no</v>
      </c>
      <c r="EQ305"/>
      <c r="ER305" t="s">
        <v>1604</v>
      </c>
      <c r="ES305"/>
      <c r="ET305" s="264" t="s">
        <v>3407</v>
      </c>
      <c r="EU305"/>
    </row>
    <row r="306" spans="1:151" s="139" customFormat="1" ht="15" customHeight="1">
      <c r="A306" s="1" t="s">
        <v>2554</v>
      </c>
      <c r="B306" t="s">
        <v>2555</v>
      </c>
      <c r="C306" t="s">
        <v>2556</v>
      </c>
      <c r="D306" t="s">
        <v>2557</v>
      </c>
      <c r="E306" t="s">
        <v>2558</v>
      </c>
      <c r="F306" t="s">
        <v>2559</v>
      </c>
      <c r="G306" t="s">
        <v>2560</v>
      </c>
      <c r="H306" t="s">
        <v>254</v>
      </c>
      <c r="I306">
        <v>2015</v>
      </c>
      <c r="J306">
        <v>20</v>
      </c>
      <c r="K306" t="s">
        <v>2561</v>
      </c>
      <c r="L306"/>
      <c r="M306" t="str">
        <f>LEFT($D306,FIND(",",$D306)-1)&amp;"_"&amp;I306&amp;L306</f>
        <v>Meiyappan_2015</v>
      </c>
      <c r="N306" t="s">
        <v>222</v>
      </c>
      <c r="O306" s="145" t="s">
        <v>225</v>
      </c>
      <c r="P306"/>
      <c r="Q306" s="264" t="s">
        <v>256</v>
      </c>
      <c r="R306" s="269" t="s">
        <v>1154</v>
      </c>
      <c r="S306" s="1" t="s">
        <v>2562</v>
      </c>
      <c r="T306" t="s">
        <v>2563</v>
      </c>
      <c r="U306" s="143" t="s">
        <v>2564</v>
      </c>
      <c r="V306">
        <v>2</v>
      </c>
      <c r="W306">
        <v>0</v>
      </c>
      <c r="X306">
        <v>0</v>
      </c>
      <c r="Y306">
        <v>0</v>
      </c>
      <c r="Z306">
        <v>0</v>
      </c>
      <c r="AA306">
        <v>0</v>
      </c>
      <c r="AB306">
        <v>0</v>
      </c>
      <c r="AC306">
        <v>0</v>
      </c>
      <c r="AD306">
        <v>0</v>
      </c>
      <c r="AE306">
        <v>0</v>
      </c>
      <c r="AF306">
        <v>0</v>
      </c>
      <c r="AG306">
        <v>0</v>
      </c>
      <c r="AH306">
        <v>0</v>
      </c>
      <c r="AI306">
        <v>0</v>
      </c>
      <c r="AJ306">
        <v>0</v>
      </c>
      <c r="AK306">
        <v>0</v>
      </c>
      <c r="AL306">
        <v>0</v>
      </c>
      <c r="AM306">
        <v>0</v>
      </c>
      <c r="AN306">
        <v>1</v>
      </c>
      <c r="AO306">
        <v>2</v>
      </c>
      <c r="AP306">
        <v>2</v>
      </c>
      <c r="AQ306">
        <v>0</v>
      </c>
      <c r="AR306">
        <v>2</v>
      </c>
      <c r="AS306">
        <v>0</v>
      </c>
      <c r="AT306">
        <v>0</v>
      </c>
      <c r="AU306">
        <v>0</v>
      </c>
      <c r="AV306">
        <v>0</v>
      </c>
      <c r="AW306">
        <v>0</v>
      </c>
      <c r="AX306" s="141">
        <f>COUNTIF(V306:AW306,"&lt;&gt;0")</f>
        <v>5</v>
      </c>
      <c r="AY306" s="141">
        <f>COUNTIF(V306:AL306,"&lt;&gt;0")</f>
        <v>1</v>
      </c>
      <c r="AZ306">
        <f>COUNTIF(V306:AC306,"&lt;&gt;0")</f>
        <v>1</v>
      </c>
      <c r="BA306">
        <f>COUNTIF(AD306:AI306,"&lt;&gt;0")</f>
        <v>0</v>
      </c>
      <c r="BB306">
        <f>COUNTIF(AJ306:AL306,"&lt;&gt;0")</f>
        <v>0</v>
      </c>
      <c r="BC306">
        <f>COUNTIF(AS306:AW306,"&lt;&gt;0")</f>
        <v>0</v>
      </c>
      <c r="BD306">
        <f>COUNTIF(AM306:AR306,"&lt;&gt;0")</f>
        <v>4</v>
      </c>
      <c r="BE306" t="str" cm="1">
        <f t="array" ref="BE306">IF(AY306=1,INDEX($V$7:$AL$7,MATCH(TRUE,INDEX($V306:$AW306&lt;&gt;0,),0)),IF(AY306=0,INDEX($AM$7:$AW$7,MATCH(1,$AM306:$AW306,0)),IF(BF306="Multiple strategies","mixed drivers",IF(BF306="Supply chain","multiple supply","multiple silviculture"))))</f>
        <v>area subject to harvest</v>
      </c>
      <c r="BF306" s="2" t="str" cm="1">
        <f t="array" ref="BF306">IF(COUNTIF(AZ306:BB306,"&lt;&gt;0")=1,INDEX($V$4:$AW$4,MATCH(TRUE,INDEX($V306:$AW306&lt;&gt;0,),0)),IF(COUNTIF(AZ306:BB306,"&lt;&gt;0")=0,INDEX($AM$4:$AW$4,MATCH(1,$AM306:$AW306,0)),"Multiple strategies"))</f>
        <v>Silviculture for removals</v>
      </c>
      <c r="BG306" s="142" t="s">
        <v>321</v>
      </c>
      <c r="BH306" t="s">
        <v>2565</v>
      </c>
      <c r="BI306"/>
      <c r="BJ306" s="143" t="s">
        <v>2566</v>
      </c>
      <c r="BK306" s="143">
        <v>69</v>
      </c>
      <c r="BL306" s="143">
        <v>143</v>
      </c>
      <c r="BM306">
        <f>BL306/BK306</f>
        <v>2.0724637681159419</v>
      </c>
      <c r="BN306">
        <f>BL306-BK306</f>
        <v>74</v>
      </c>
      <c r="BO306" s="143">
        <f>BN306*10^9*tC_to_m3</f>
        <v>321320017368.6496</v>
      </c>
      <c r="BP306" s="264" t="s">
        <v>232</v>
      </c>
      <c r="BQ306" s="264"/>
      <c r="BR306" t="s">
        <v>2567</v>
      </c>
      <c r="BS306" s="143">
        <v>-163</v>
      </c>
      <c r="BT306">
        <v>-167</v>
      </c>
      <c r="BU306" s="144">
        <v>1.0245398773006136</v>
      </c>
      <c r="BV306">
        <v>-4</v>
      </c>
      <c r="BW306"/>
      <c r="BX306">
        <f>BV306*10^9*C_to_CO2</f>
        <v>-14680000000</v>
      </c>
      <c r="BY306">
        <f>IFERROR(BX306/BO306,"")</f>
        <v>-4.5686540540540541E-2</v>
      </c>
      <c r="BZ306">
        <v>0</v>
      </c>
      <c r="CA306">
        <v>0</v>
      </c>
      <c r="CB306">
        <v>0</v>
      </c>
      <c r="CC306">
        <v>0</v>
      </c>
      <c r="CD306">
        <v>0</v>
      </c>
      <c r="CE306">
        <v>0</v>
      </c>
      <c r="CF306">
        <v>0</v>
      </c>
      <c r="CG306">
        <v>0</v>
      </c>
      <c r="CH306">
        <v>0</v>
      </c>
      <c r="CI306">
        <v>0</v>
      </c>
      <c r="CJ306">
        <v>0</v>
      </c>
      <c r="CK306">
        <v>0</v>
      </c>
      <c r="CL306">
        <v>0</v>
      </c>
      <c r="CM306">
        <v>0</v>
      </c>
      <c r="CN306" t="str">
        <f>IF($BL306&lt;$BK306,"refNeedCorrection","refOK")</f>
        <v>refOK</v>
      </c>
      <c r="CO306">
        <f>IF($CN306="refOK",$BK306,$BL306)</f>
        <v>69</v>
      </c>
      <c r="CP306">
        <f>IF($CN306="refOK",$BL306,$BK306)</f>
        <v>143</v>
      </c>
      <c r="CQ306">
        <f>IF($CN306="refOK",$BO306,-$BO306)</f>
        <v>321320017368.6496</v>
      </c>
      <c r="CR306">
        <f>IF($CN306="refOK",$BS306,$BT306)*IF($BP306="Emissions positive",-1,1)</f>
        <v>-163</v>
      </c>
      <c r="CS306">
        <f>IF($CN306="refOK",$BT306,$BS306)*IF($BP306="Emissions positive",-1,1)</f>
        <v>-167</v>
      </c>
      <c r="CT306">
        <f>IF($CN306="refNeedCorrection",-BX306,BX306)*IF($BP306="Emissions positive",-1,1)</f>
        <v>-14680000000</v>
      </c>
      <c r="CU306">
        <f>IFERROR(CT306/CQ306,"")</f>
        <v>-4.5686540540540541E-2</v>
      </c>
      <c r="CV306" s="2">
        <f>IFERROR((CS306-CR306)/ABS(CR306),"")</f>
        <v>-2.4539877300613498E-2</v>
      </c>
      <c r="CW306" s="1" t="s">
        <v>2539</v>
      </c>
      <c r="CX306" s="264" t="str">
        <f>IF(OR($CW306="prd",$CW306="std",$CW306="cit"),"loc",IF(OR($CW306="eur",$CW306="reg",$CW306="coy"),"reg",$CW306))</f>
        <v>w</v>
      </c>
      <c r="CY306" s="264" t="s">
        <v>2540</v>
      </c>
      <c r="CZ306">
        <v>1901</v>
      </c>
      <c r="DA306" s="143">
        <v>2100</v>
      </c>
      <c r="DB306" s="143">
        <v>200</v>
      </c>
      <c r="DC306" t="str">
        <f>IF(DB306=0,"0",IF(AND(DB306&gt;=1,DB306&lt;=30),"1-30",IF(AND(DB306&gt;30,DB306&lt;=70),"31-70",IF(AND(DB306&gt;70,DB306&lt;=100),"71-100",IF(DB306&gt;100,"+100")))))</f>
        <v>+100</v>
      </c>
      <c r="DD306">
        <v>1</v>
      </c>
      <c r="DE306">
        <v>0</v>
      </c>
      <c r="DF306">
        <v>0</v>
      </c>
      <c r="DG306">
        <v>0</v>
      </c>
      <c r="DH306"/>
      <c r="DI306">
        <f>SUM(DD306:DG306)</f>
        <v>1</v>
      </c>
      <c r="DJ306" t="str">
        <f>IF(DI306=1,INDEX($DD$7:$DG$7,MATCH(1,$DD306:$DG306,0)),"mixedProduct")</f>
        <v>UpstreamInput</v>
      </c>
      <c r="DK306" t="str">
        <f>IF(DD306=1,DK$7,0)</f>
        <v>Upstream</v>
      </c>
      <c r="DL306">
        <f>IF(DE306=1,DL$7,0)</f>
        <v>0</v>
      </c>
      <c r="DM306">
        <f>IF(DF306=1,DM$7,0)</f>
        <v>0</v>
      </c>
      <c r="DN306">
        <f>IF(DG306=1,DN$7,0)</f>
        <v>0</v>
      </c>
      <c r="DO306">
        <v>0</v>
      </c>
      <c r="DP306" s="143">
        <v>0</v>
      </c>
      <c r="DQ306" s="143">
        <v>0</v>
      </c>
      <c r="DR306">
        <v>0</v>
      </c>
      <c r="DS306" s="143">
        <v>0</v>
      </c>
      <c r="DT306">
        <f>SUM(DO306:DP306)</f>
        <v>0</v>
      </c>
      <c r="DU306" s="143" t="str">
        <f>IF(DO306=1,"self-calculated DF",IF(DP306=1,"external DF used","explicit C balance"))</f>
        <v>explicit C balance</v>
      </c>
      <c r="DV306" s="143">
        <v>1</v>
      </c>
      <c r="DW306" s="143">
        <v>1</v>
      </c>
      <c r="DX306" s="143">
        <v>1</v>
      </c>
      <c r="DY306" s="143">
        <v>1</v>
      </c>
      <c r="DZ306">
        <v>1</v>
      </c>
      <c r="EA306" s="143">
        <v>0</v>
      </c>
      <c r="EB306" s="143">
        <v>0</v>
      </c>
      <c r="EC306" s="143">
        <v>0</v>
      </c>
      <c r="ED306" s="143">
        <v>0</v>
      </c>
      <c r="EE306">
        <v>0</v>
      </c>
      <c r="EF306">
        <v>0</v>
      </c>
      <c r="EG306" s="143">
        <v>0</v>
      </c>
      <c r="EH306">
        <v>0</v>
      </c>
      <c r="EI306" s="2">
        <v>0</v>
      </c>
      <c r="EJ306" s="1"/>
      <c r="EK306" t="str">
        <f>IF(AND(AND(AND(OR($DX306=1,$DW306=1),OR($EC306=1,$EA306=1)),SUM($DV306:$DZ306,$EF306)&gt;=4),SUM($EA306:$EE306)&gt;=2),"Whole sector","")</f>
        <v/>
      </c>
      <c r="EL306" t="str">
        <f>IF(AND(AND(OR($DX306=1,$DW306=1),AND($EC306=0,$EA306=0)),SUM($DV306:$DZ306,$EF306)&gt;=4),"Ecosystem approach","")</f>
        <v>Ecosystem approach</v>
      </c>
      <c r="EM306" s="2" t="str">
        <f>IF(AND(AND(AND($DX306=0,$DW306=0),OR($EC306=1,$EA306=1)),SUM($EB306:$EE306)&gt;=2),"Technology approach","")</f>
        <v/>
      </c>
      <c r="EN306"/>
      <c r="EO306"/>
      <c r="EP306" t="str">
        <f>IF(ISNUMBER(BU306),IF(ABS(BU306-[3]QC_indicators!$B$2)&gt;3*[3]QC_indicators!$C$2,"C ratio",IF(ISNUMBER(BY306),IF(ABS(BY306-[3]QC_indicators!$B$1)&gt;3*[3]QC_indicators!$C$1,"DF","no"))),IF(ISNUMBER(BY306),IF(ABS(BY306-[3]QC_indicators!$B$1)&gt;3*[3]QC_indicators!$C$1,"DF","no")))</f>
        <v>no</v>
      </c>
      <c r="EQ306"/>
      <c r="ER306" s="294" t="s">
        <v>349</v>
      </c>
      <c r="ES306"/>
      <c r="ET306" s="264" t="s">
        <v>3407</v>
      </c>
      <c r="EU306"/>
    </row>
    <row r="307" spans="1:151" s="139" customFormat="1" ht="15" customHeight="1">
      <c r="A307" s="1"/>
      <c r="B307"/>
      <c r="C307"/>
      <c r="D307" t="s">
        <v>963</v>
      </c>
      <c r="E307" t="s">
        <v>964</v>
      </c>
      <c r="F307"/>
      <c r="G307" t="s">
        <v>965</v>
      </c>
      <c r="H307"/>
      <c r="I307">
        <v>2002</v>
      </c>
      <c r="J307"/>
      <c r="K307" s="295" t="s">
        <v>966</v>
      </c>
      <c r="L307"/>
      <c r="M307" t="str">
        <f>LEFT($D307,FIND(",",$D307)-1)&amp;"_"&amp;I307&amp;L307</f>
        <v>Petersen_2002</v>
      </c>
      <c r="N307" t="s">
        <v>222</v>
      </c>
      <c r="O307" s="171" t="s">
        <v>513</v>
      </c>
      <c r="P307" s="141" t="s">
        <v>225</v>
      </c>
      <c r="Q307" s="264" t="s">
        <v>389</v>
      </c>
      <c r="R307" s="269" t="s">
        <v>1154</v>
      </c>
      <c r="S307" s="263" t="s">
        <v>982</v>
      </c>
      <c r="T307" s="264" t="s">
        <v>979</v>
      </c>
      <c r="U307" s="264" t="s">
        <v>980</v>
      </c>
      <c r="V307">
        <v>0</v>
      </c>
      <c r="W307">
        <v>0</v>
      </c>
      <c r="X307">
        <v>0</v>
      </c>
      <c r="Y307">
        <v>0</v>
      </c>
      <c r="Z307">
        <v>0</v>
      </c>
      <c r="AA307">
        <v>0</v>
      </c>
      <c r="AB307">
        <v>0</v>
      </c>
      <c r="AC307">
        <v>0</v>
      </c>
      <c r="AD307">
        <v>0</v>
      </c>
      <c r="AE307">
        <v>0</v>
      </c>
      <c r="AF307">
        <v>0</v>
      </c>
      <c r="AG307">
        <v>0</v>
      </c>
      <c r="AH307">
        <v>0</v>
      </c>
      <c r="AI307">
        <v>0</v>
      </c>
      <c r="AJ307">
        <v>0</v>
      </c>
      <c r="AK307">
        <v>1</v>
      </c>
      <c r="AL307">
        <v>0</v>
      </c>
      <c r="AM307">
        <v>0</v>
      </c>
      <c r="AN307">
        <v>0</v>
      </c>
      <c r="AO307">
        <v>0</v>
      </c>
      <c r="AP307">
        <v>0</v>
      </c>
      <c r="AQ307">
        <v>0</v>
      </c>
      <c r="AR307">
        <v>0</v>
      </c>
      <c r="AS307">
        <v>0</v>
      </c>
      <c r="AT307">
        <v>0</v>
      </c>
      <c r="AU307">
        <v>0</v>
      </c>
      <c r="AV307">
        <v>0</v>
      </c>
      <c r="AW307">
        <v>0</v>
      </c>
      <c r="AX307" s="141">
        <f>COUNTIF(V307:AW307,"&lt;&gt;0")</f>
        <v>1</v>
      </c>
      <c r="AY307" s="141">
        <f>COUNTIF(V307:AL307,"&lt;&gt;0")</f>
        <v>1</v>
      </c>
      <c r="AZ307">
        <f>COUNTIF(V307:AC307,"&lt;&gt;0")</f>
        <v>0</v>
      </c>
      <c r="BA307">
        <f>COUNTIF(AD307:AI307,"&lt;&gt;0")</f>
        <v>0</v>
      </c>
      <c r="BB307">
        <f>COUNTIF(AJ307:AL307,"&lt;&gt;0")</f>
        <v>1</v>
      </c>
      <c r="BC307">
        <f>COUNTIF(AS307:AW307,"&lt;&gt;0")</f>
        <v>0</v>
      </c>
      <c r="BD307">
        <f>COUNTIF(AM307:AR307,"&lt;&gt;0")</f>
        <v>0</v>
      </c>
      <c r="BE307" t="str" cm="1">
        <f t="array" ref="BE307">IF(AY307=1,INDEX($V$7:$AL$7,MATCH(TRUE,INDEX($V307:$AW307&lt;&gt;0,),0)),IF(AY307=0,INDEX($AM$7:$AW$7,MATCH(1,$AM307:$AW307,0)),IF(BF307="Multiple strategies","mixed drivers",IF(BF307="Supply chain","multiple supply","multiple silviculture"))))</f>
        <v>technologies/design switch</v>
      </c>
      <c r="BF307" s="2" t="str" cm="1">
        <f t="array" ref="BF307">IF(COUNTIF(AZ307:BB307,"&lt;&gt;0")=1,INDEX($V$4:$AW$4,MATCH(TRUE,INDEX($V307:$AW307&lt;&gt;0,),0)),IF(COUNTIF(AZ307:BB307,"&lt;&gt;0")=0,INDEX($AM$4:$AW$4,MATCH(1,$AM307:$AW307,0)),"Multiple strategies"))</f>
        <v>Technology</v>
      </c>
      <c r="BG307" s="142" t="s">
        <v>229</v>
      </c>
      <c r="BH307" t="s">
        <v>970</v>
      </c>
      <c r="BI307" t="s">
        <v>971</v>
      </c>
      <c r="BJ307" t="s">
        <v>498</v>
      </c>
      <c r="BK307">
        <v>0</v>
      </c>
      <c r="BL307">
        <v>1</v>
      </c>
      <c r="BM307" t="str">
        <f>IFERROR(BL307/BK307,"")</f>
        <v/>
      </c>
      <c r="BN307">
        <f>BL307-BK307</f>
        <v>1</v>
      </c>
      <c r="BO307">
        <v>1</v>
      </c>
      <c r="BP307" t="s">
        <v>232</v>
      </c>
      <c r="BQ307" t="s">
        <v>972</v>
      </c>
      <c r="BR307" s="264" t="s">
        <v>973</v>
      </c>
      <c r="BS307"/>
      <c r="BT307"/>
      <c r="BU307"/>
      <c r="BV307">
        <v>-4.3999999999999997E-2</v>
      </c>
      <c r="BW307"/>
      <c r="BX307">
        <f>BV307</f>
        <v>-4.3999999999999997E-2</v>
      </c>
      <c r="BY307">
        <f>IFERROR(BX307/BO307,"")</f>
        <v>-4.3999999999999997E-2</v>
      </c>
      <c r="BZ307">
        <v>0</v>
      </c>
      <c r="CA307">
        <v>0</v>
      </c>
      <c r="CB307">
        <v>0</v>
      </c>
      <c r="CC307">
        <v>0</v>
      </c>
      <c r="CD307">
        <v>0</v>
      </c>
      <c r="CE307">
        <v>0</v>
      </c>
      <c r="CF307">
        <v>0</v>
      </c>
      <c r="CG307">
        <v>0</v>
      </c>
      <c r="CH307">
        <v>0</v>
      </c>
      <c r="CI307">
        <v>0</v>
      </c>
      <c r="CJ307">
        <v>0</v>
      </c>
      <c r="CK307">
        <v>0</v>
      </c>
      <c r="CL307">
        <v>0</v>
      </c>
      <c r="CM307">
        <v>0</v>
      </c>
      <c r="CN307" t="str">
        <f>IF($BL307&lt;$BK307,"refNeedCorrection","refOK")</f>
        <v>refOK</v>
      </c>
      <c r="CO307">
        <f>IF($CN307="refOK",$BK307,$BL307)</f>
        <v>0</v>
      </c>
      <c r="CP307">
        <f>IF($CN307="refOK",$BL307,$BK307)</f>
        <v>1</v>
      </c>
      <c r="CQ307">
        <f>IF($CN307="refOK",$BO307,-$BO307)</f>
        <v>1</v>
      </c>
      <c r="CR307">
        <f>IF($CN307="refOK",$BS307,$BT307)*IF($BP307="Emissions positive",-1,1)</f>
        <v>0</v>
      </c>
      <c r="CS307">
        <f>IF($CN307="refOK",$BT307,$BS307)*IF($BP307="Emissions positive",-1,1)</f>
        <v>0</v>
      </c>
      <c r="CT307">
        <f>IF($CN307="refNeedCorrection",-BX307,BX307)*IF($BP307="Emissions positive",-1,1)</f>
        <v>-4.3999999999999997E-2</v>
      </c>
      <c r="CU307">
        <f>IFERROR(CT307/CQ307,"")</f>
        <v>-4.3999999999999997E-2</v>
      </c>
      <c r="CV307" s="2" t="str">
        <f>IFERROR((CS307-CR307)/ABS(CR307),"")</f>
        <v/>
      </c>
      <c r="CW307" s="1" t="s">
        <v>974</v>
      </c>
      <c r="CX307" s="264" t="str">
        <f>IF(OR($CW307="prd",$CW307="std",$CW307="cit"),"loc",IF(OR($CW307="eur",$CW307="reg",$CW307="coy"),"reg",$CW307))</f>
        <v>loc</v>
      </c>
      <c r="CY307" t="s">
        <v>264</v>
      </c>
      <c r="CZ307"/>
      <c r="DA307"/>
      <c r="DB307">
        <v>50</v>
      </c>
      <c r="DC307" t="str">
        <f>IF(DB307=0,"0",IF(AND(DB307&gt;=1,DB307&lt;=30),"1-30",IF(AND(DB307&gt;30,DB307&lt;=70),"31-70",IF(AND(DB307&gt;70,DB307&lt;=100),"71-100",IF(DB307&gt;100,"+100")))))</f>
        <v>31-70</v>
      </c>
      <c r="DD307">
        <v>0</v>
      </c>
      <c r="DE307">
        <v>0</v>
      </c>
      <c r="DF307">
        <v>0</v>
      </c>
      <c r="DG307">
        <v>1</v>
      </c>
      <c r="DH307">
        <v>0</v>
      </c>
      <c r="DI307">
        <f>SUM(DD307:DG307)</f>
        <v>1</v>
      </c>
      <c r="DJ307" t="str">
        <f>IF(DI307=1,INDEX($DD$7:$DG$7,MATCH(1,$DD307:$DG307,0)),"mixedProduct")</f>
        <v>TimberInput</v>
      </c>
      <c r="DK307">
        <f>IF(DD307=1,DK$7,0)</f>
        <v>0</v>
      </c>
      <c r="DL307">
        <f>IF(DE307=1,DL$7,0)</f>
        <v>0</v>
      </c>
      <c r="DM307">
        <f>IF(DF307=1,DM$7,0)</f>
        <v>0</v>
      </c>
      <c r="DN307" t="str">
        <f>IF(DG307=1,DN$7,0)</f>
        <v>Timber</v>
      </c>
      <c r="DO307">
        <v>1</v>
      </c>
      <c r="DP307">
        <v>0</v>
      </c>
      <c r="DQ307">
        <v>0</v>
      </c>
      <c r="DR307">
        <v>0</v>
      </c>
      <c r="DS307">
        <v>0</v>
      </c>
      <c r="DT307">
        <f>SUM(DO307:DP307)</f>
        <v>1</v>
      </c>
      <c r="DU307" s="143" t="str">
        <f>IF(DO307=1,"self-calculated DF",IF(DP307=1,"external DF used","explicit C balance"))</f>
        <v>self-calculated DF</v>
      </c>
      <c r="DV307" s="143">
        <v>0</v>
      </c>
      <c r="DW307" s="143">
        <v>0</v>
      </c>
      <c r="DX307" s="143">
        <v>0</v>
      </c>
      <c r="DY307" s="143">
        <v>0</v>
      </c>
      <c r="DZ307">
        <v>0</v>
      </c>
      <c r="EA307" s="143">
        <v>1</v>
      </c>
      <c r="EB307" s="143">
        <v>0</v>
      </c>
      <c r="EC307" s="143">
        <v>1</v>
      </c>
      <c r="ED307" s="143">
        <v>0</v>
      </c>
      <c r="EE307">
        <v>1</v>
      </c>
      <c r="EF307">
        <v>0</v>
      </c>
      <c r="EG307" s="143">
        <v>0</v>
      </c>
      <c r="EH307" s="143">
        <v>0</v>
      </c>
      <c r="EI307" s="2">
        <v>0</v>
      </c>
      <c r="EJ307" s="1"/>
      <c r="EK307" t="str">
        <f>IF(AND(AND(AND(OR($DX307=1,$DW307=1),OR($EC307=1,$EA307=1)),SUM($DV307:$DZ307,$EF307)&gt;=4),SUM($EA307:$EE307)&gt;=2),"Whole sector","")</f>
        <v/>
      </c>
      <c r="EL307" t="str">
        <f>IF(AND(AND(OR($DX307=1,$DW307=1),AND($EC307=0,$EA307=0)),SUM($DV307:$DZ307,$EF307)&gt;=4),"Ecosystem approach","")</f>
        <v/>
      </c>
      <c r="EM307" s="2" t="str">
        <f>IF(AND(AND(AND($DX307=0,$DW307=0),OR($EC307=1,$EA307=1)),SUM($EB307:$EE307)&gt;=2),"Technology approach","")</f>
        <v>Technology approach</v>
      </c>
      <c r="EN307" t="s">
        <v>977</v>
      </c>
      <c r="EO307"/>
      <c r="EP307" t="str">
        <f>IF(ISNUMBER(BU307),IF(ABS(BU307-[3]QC_indicators!$B$2)&gt;3*[3]QC_indicators!$C$2,"C ratio",IF(ISNUMBER(BY307),IF(ABS(BY307-[3]QC_indicators!$B$1)&gt;3*[3]QC_indicators!$C$1,"DF","no"))),IF(ISNUMBER(BY307),IF(ABS(BY307-[3]QC_indicators!$B$1)&gt;3*[3]QC_indicators!$C$1,"DF","no")))</f>
        <v>no</v>
      </c>
      <c r="EQ307"/>
      <c r="ER307"/>
      <c r="ES307"/>
      <c r="ET307" s="264" t="s">
        <v>3407</v>
      </c>
      <c r="EU307"/>
    </row>
    <row r="308" spans="1:151" s="139" customFormat="1" ht="15" customHeight="1">
      <c r="A308" s="1" t="s">
        <v>1423</v>
      </c>
      <c r="B308" t="s">
        <v>2490</v>
      </c>
      <c r="C308" t="s">
        <v>2491</v>
      </c>
      <c r="D308" t="s">
        <v>2492</v>
      </c>
      <c r="E308" t="s">
        <v>2493</v>
      </c>
      <c r="F308" t="s">
        <v>2494</v>
      </c>
      <c r="G308" t="s">
        <v>1429</v>
      </c>
      <c r="H308" t="s">
        <v>254</v>
      </c>
      <c r="I308">
        <v>2016</v>
      </c>
      <c r="J308">
        <v>24</v>
      </c>
      <c r="K308" t="s">
        <v>2495</v>
      </c>
      <c r="L308"/>
      <c r="M308" t="str">
        <f>LEFT($D308,FIND(",",$D308)-1)&amp;"_"&amp;I308&amp;L308</f>
        <v>Zubizarreta-Gerendiain_2016</v>
      </c>
      <c r="N308" t="s">
        <v>222</v>
      </c>
      <c r="O308" s="145" t="s">
        <v>1154</v>
      </c>
      <c r="P308"/>
      <c r="Q308" t="s">
        <v>256</v>
      </c>
      <c r="R308" s="262" t="s">
        <v>223</v>
      </c>
      <c r="S308" s="1" t="s">
        <v>2526</v>
      </c>
      <c r="T308" t="s">
        <v>2509</v>
      </c>
      <c r="U308" t="s">
        <v>2527</v>
      </c>
      <c r="V308">
        <v>0</v>
      </c>
      <c r="W308">
        <v>0</v>
      </c>
      <c r="X308">
        <v>0</v>
      </c>
      <c r="Y308">
        <v>1</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s="141">
        <f>COUNTIF(V308:AW308,"&lt;&gt;0")</f>
        <v>1</v>
      </c>
      <c r="AY308" s="141">
        <f>COUNTIF(V308:AL308,"&lt;&gt;0")</f>
        <v>1</v>
      </c>
      <c r="AZ308">
        <f>COUNTIF(V308:AC308,"&lt;&gt;0")</f>
        <v>1</v>
      </c>
      <c r="BA308">
        <f>COUNTIF(AD308:AI308,"&lt;&gt;0")</f>
        <v>0</v>
      </c>
      <c r="BB308">
        <f>COUNTIF(AJ308:AL308,"&lt;&gt;0")</f>
        <v>0</v>
      </c>
      <c r="BC308">
        <f>COUNTIF(AS308:AW308,"&lt;&gt;0")</f>
        <v>0</v>
      </c>
      <c r="BD308">
        <f>COUNTIF(AM308:AR308,"&lt;&gt;0")</f>
        <v>0</v>
      </c>
      <c r="BE308" t="str">
        <f t="array" ref="BE308">IF(AY308=1,INDEX($V$7:$AL$7,MATCH(TRUE,INDEX($V308:$AW308&lt;&gt;0,),0)),IF(AY308=0,INDEX($AM$7:$AW$7,MATCH(1,$AM308:$AW308,0)),IF(BF308="Multiple strategies","mixed drivers",IF(BF308="Supply chain","multiple supply","multiple silviculture"))))</f>
        <v xml:space="preserve">cutting intensity </v>
      </c>
      <c r="BF308" s="2" t="str" cm="1">
        <f t="array" ref="BF308">IF(COUNTIF(AZ308:BB308,"&lt;&gt;0")=1,INDEX($V$4:$AW$4,MATCH(TRUE,INDEX($V308:$AW308&lt;&gt;0,),0)),IF(COUNTIF(AZ308:BB308,"&lt;&gt;0")=0,INDEX($AM$4:$AW$4,MATCH(1,$AM308:$AW308,0)),"Multiple strategies"))</f>
        <v>Silviculture for removals</v>
      </c>
      <c r="BG308" s="1" t="s">
        <v>321</v>
      </c>
      <c r="BH308" t="s">
        <v>2499</v>
      </c>
      <c r="BI308" s="264" t="s">
        <v>2113</v>
      </c>
      <c r="BJ308" t="s">
        <v>2500</v>
      </c>
      <c r="BK308">
        <v>64.910485933503793</v>
      </c>
      <c r="BL308">
        <v>77.586206896551701</v>
      </c>
      <c r="BM308" s="143">
        <f>BL308/BK308</f>
        <v>1.1952800195646862</v>
      </c>
      <c r="BN308">
        <f>BL308-BK308</f>
        <v>12.675720963047908</v>
      </c>
      <c r="BO308">
        <f>BN308*1000*t_to_m3</f>
        <v>25868.818291934509</v>
      </c>
      <c r="BP308" t="s">
        <v>232</v>
      </c>
      <c r="BQ308" s="143" t="s">
        <v>3256</v>
      </c>
      <c r="BR308" t="s">
        <v>1195</v>
      </c>
      <c r="BS308">
        <v>-4328.4062011172464</v>
      </c>
      <c r="BT308">
        <v>-5358.9791061452015</v>
      </c>
      <c r="BU308" s="144">
        <f>IFERROR(BT308/BS308,"")</f>
        <v>1.2380952380952472</v>
      </c>
      <c r="BV308" s="144">
        <f>BT308-BS308</f>
        <v>-1030.5729050279551</v>
      </c>
      <c r="BW308" s="144"/>
      <c r="BX308" s="144">
        <f>BV308</f>
        <v>-1030.5729050279551</v>
      </c>
      <c r="BY308">
        <f>IFERROR(BX308/BO308,"")</f>
        <v>-3.9838422203818703E-2</v>
      </c>
      <c r="BZ308">
        <v>0</v>
      </c>
      <c r="CA308">
        <v>0</v>
      </c>
      <c r="CB308">
        <v>0</v>
      </c>
      <c r="CC308">
        <v>0</v>
      </c>
      <c r="CD308">
        <v>0</v>
      </c>
      <c r="CE308">
        <v>0</v>
      </c>
      <c r="CF308">
        <v>0</v>
      </c>
      <c r="CG308">
        <v>0</v>
      </c>
      <c r="CH308">
        <v>0</v>
      </c>
      <c r="CI308">
        <v>0</v>
      </c>
      <c r="CJ308">
        <v>0</v>
      </c>
      <c r="CK308">
        <v>0</v>
      </c>
      <c r="CL308">
        <v>0</v>
      </c>
      <c r="CM308">
        <v>1</v>
      </c>
      <c r="CN308" t="str">
        <f>IF($BL308&lt;$BK308,"refNeedCorrection","refOK")</f>
        <v>refOK</v>
      </c>
      <c r="CO308">
        <f>IF($CN308="refOK",$BK308,$BL308)</f>
        <v>64.910485933503793</v>
      </c>
      <c r="CP308">
        <f>IF($CN308="refOK",$BL308,$BK308)</f>
        <v>77.586206896551701</v>
      </c>
      <c r="CQ308">
        <f>IF($CN308="refOK",$BO308,-$BO308)</f>
        <v>25868.818291934509</v>
      </c>
      <c r="CR308">
        <f>IF($CN308="refOK",$BS308,$BT308)*IF($BP308="Emissions positive",-1,1)</f>
        <v>-4328.4062011172464</v>
      </c>
      <c r="CS308">
        <f>IF($CN308="refOK",$BT308,$BS308)*IF($BP308="Emissions positive",-1,1)</f>
        <v>-5358.9791061452015</v>
      </c>
      <c r="CT308">
        <f>IF($CN308="refNeedCorrection",-BX308,BX308)*IF($BP308="Emissions positive",-1,1)</f>
        <v>-1030.5729050279551</v>
      </c>
      <c r="CU308">
        <f>IFERROR(CT308/CQ308,"")</f>
        <v>-3.9838422203818703E-2</v>
      </c>
      <c r="CV308" s="2">
        <f>IFERROR((CS308-CR308)/ABS(CR308),"")</f>
        <v>-0.23809523809524719</v>
      </c>
      <c r="CW308" s="1" t="s">
        <v>1199</v>
      </c>
      <c r="CX308" t="str">
        <f>IF(OR($CW308="prd",$CW308="std",$CW308="cit"),"loc",IF(OR($CW308="eur",$CW308="reg",$CW308="coy"),"reg",$CW308))</f>
        <v>reg</v>
      </c>
      <c r="CY308" t="s">
        <v>235</v>
      </c>
      <c r="CZ308">
        <v>2010</v>
      </c>
      <c r="DA308">
        <v>2070</v>
      </c>
      <c r="DB308">
        <f>DA308-CZ308</f>
        <v>60</v>
      </c>
      <c r="DC308" t="str">
        <f>IF(DB308=0,"0",IF(AND(DB308&gt;=1,DB308&lt;=30),"1-30",IF(AND(DB308&gt;30,DB308&lt;=70),"31-70",IF(AND(DB308&gt;70,DB308&lt;=100),"71-100",IF(DB308&gt;100,"+100")))))</f>
        <v>31-70</v>
      </c>
      <c r="DD308">
        <v>1</v>
      </c>
      <c r="DE308">
        <v>1</v>
      </c>
      <c r="DF308">
        <v>1</v>
      </c>
      <c r="DG308">
        <v>1</v>
      </c>
      <c r="DH308">
        <v>0</v>
      </c>
      <c r="DI308">
        <f>SUM(DD308:DG308)</f>
        <v>4</v>
      </c>
      <c r="DJ308" t="str">
        <f>IF(DI308=1,INDEX($DD$7:$DG$7,MATCH(1,$DD308:$DG308,0)),"mixedProduct")</f>
        <v>mixedProduct</v>
      </c>
      <c r="DK308" t="str">
        <f>IF(DD308=1,DK$7,0)</f>
        <v>Upstream</v>
      </c>
      <c r="DL308" t="str">
        <f>IF(DE308=1,DL$7,0)</f>
        <v>Energy</v>
      </c>
      <c r="DM308" t="str">
        <f>IF(DF308=1,DM$7,0)</f>
        <v>Pulp/Paper</v>
      </c>
      <c r="DN308" t="str">
        <f>IF(DG308=1,DN$7,0)</f>
        <v>Timber</v>
      </c>
      <c r="DO308">
        <v>0</v>
      </c>
      <c r="DP308">
        <v>0</v>
      </c>
      <c r="DQ308">
        <v>0</v>
      </c>
      <c r="DR308">
        <v>0</v>
      </c>
      <c r="DS308">
        <v>0</v>
      </c>
      <c r="DT308">
        <f>SUM(DO308:DP308)</f>
        <v>0</v>
      </c>
      <c r="DU308" s="143" t="str">
        <f>IF(DO308=1,"self-calculated DF",IF(DP308=1,"external DF used","explicit C balance"))</f>
        <v>explicit C balance</v>
      </c>
      <c r="DV308">
        <v>1</v>
      </c>
      <c r="DW308">
        <v>1</v>
      </c>
      <c r="DX308">
        <v>1</v>
      </c>
      <c r="DY308">
        <v>0</v>
      </c>
      <c r="DZ308">
        <v>0</v>
      </c>
      <c r="EA308" s="143">
        <v>0</v>
      </c>
      <c r="EB308">
        <v>1</v>
      </c>
      <c r="EC308">
        <v>1</v>
      </c>
      <c r="ED308">
        <v>0</v>
      </c>
      <c r="EE308">
        <v>0</v>
      </c>
      <c r="EF308">
        <v>1</v>
      </c>
      <c r="EG308">
        <v>0</v>
      </c>
      <c r="EH308">
        <v>0</v>
      </c>
      <c r="EI308" s="2">
        <v>0</v>
      </c>
      <c r="EJ308" s="1"/>
      <c r="EK308" t="str">
        <f>IF(AND(AND(AND(OR($DX308=1,$DW308=1),OR($EC308=1,$EA308=1)),SUM($DV308:$DZ308,$EF308)&gt;=4),SUM($EA308:$EE308)&gt;=2),"Whole sector","")</f>
        <v>Whole sector</v>
      </c>
      <c r="EL308" t="str">
        <f>IF(AND(AND(OR($DX308=1,$DW308=1),AND($EC308=0,$EA308=0)),SUM($DV308:$DZ308,$EF308)&gt;=4),"Ecosystem approach","")</f>
        <v/>
      </c>
      <c r="EM308" s="2" t="str">
        <f>IF(AND(AND(AND($DX308=0,$DW308=0),OR($EC308=1,$EA308=1)),SUM($EB308:$EE308)&gt;=2),"Technology approach","")</f>
        <v/>
      </c>
      <c r="EN308"/>
      <c r="EO308"/>
      <c r="EP308" t="str">
        <f>IF(ISNUMBER(BU308),IF(ABS(BU308-[1]QC_indicators!$B$2)&gt;3*[1]QC_indicators!$C$2,"C ratio",IF(ISNUMBER(BY308),IF(ABS(BY308-[1]QC_indicators!$B$1)&gt;3*[1]QC_indicators!$C$1,"DF","no"))),IF(ISNUMBER(BY308),IF(ABS(BY308-[1]QC_indicators!$B$1)&gt;3*[1]QC_indicators!$C$1,"DF","no")))</f>
        <v>no</v>
      </c>
      <c r="EQ308"/>
      <c r="ER308"/>
      <c r="ES308"/>
      <c r="ET308" s="264" t="s">
        <v>3258</v>
      </c>
      <c r="EU308"/>
    </row>
    <row r="309" spans="1:151" s="139" customFormat="1" ht="15" customHeight="1">
      <c r="A309" s="1" t="s">
        <v>265</v>
      </c>
      <c r="B309" t="s">
        <v>1531</v>
      </c>
      <c r="C309" t="s">
        <v>1532</v>
      </c>
      <c r="D309" t="s">
        <v>1533</v>
      </c>
      <c r="E309" t="s">
        <v>1534</v>
      </c>
      <c r="F309" t="s">
        <v>1535</v>
      </c>
      <c r="G309" t="s">
        <v>271</v>
      </c>
      <c r="H309" t="s">
        <v>254</v>
      </c>
      <c r="I309">
        <v>2019</v>
      </c>
      <c r="J309">
        <v>26</v>
      </c>
      <c r="K309" t="s">
        <v>1536</v>
      </c>
      <c r="L309"/>
      <c r="M309" t="str">
        <f>LEFT($D309,FIND(",",$D309)-1)&amp;"_"&amp;I309&amp;L309</f>
        <v>Faraca_2019</v>
      </c>
      <c r="N309" t="s">
        <v>222</v>
      </c>
      <c r="O309" s="145" t="s">
        <v>274</v>
      </c>
      <c r="P309" s="180" t="s">
        <v>223</v>
      </c>
      <c r="Q309" t="s">
        <v>256</v>
      </c>
      <c r="R309" s="262" t="s">
        <v>223</v>
      </c>
      <c r="S309" s="263" t="s">
        <v>3135</v>
      </c>
      <c r="T309" t="s">
        <v>1538</v>
      </c>
      <c r="U309" t="s">
        <v>1549</v>
      </c>
      <c r="V309">
        <v>0</v>
      </c>
      <c r="W309">
        <v>0</v>
      </c>
      <c r="X309">
        <v>0</v>
      </c>
      <c r="Y309">
        <v>0</v>
      </c>
      <c r="Z309">
        <v>0</v>
      </c>
      <c r="AA309">
        <v>0</v>
      </c>
      <c r="AB309">
        <v>0</v>
      </c>
      <c r="AC309">
        <v>0</v>
      </c>
      <c r="AD309">
        <v>0</v>
      </c>
      <c r="AE309">
        <v>0</v>
      </c>
      <c r="AF309">
        <v>0</v>
      </c>
      <c r="AG309">
        <v>1</v>
      </c>
      <c r="AH309">
        <v>0</v>
      </c>
      <c r="AI309">
        <v>0</v>
      </c>
      <c r="AJ309">
        <v>0</v>
      </c>
      <c r="AK309">
        <v>0</v>
      </c>
      <c r="AL309">
        <v>0</v>
      </c>
      <c r="AM309">
        <v>0</v>
      </c>
      <c r="AN309">
        <v>0</v>
      </c>
      <c r="AO309">
        <v>0</v>
      </c>
      <c r="AP309">
        <v>0</v>
      </c>
      <c r="AQ309">
        <v>0</v>
      </c>
      <c r="AR309">
        <v>0</v>
      </c>
      <c r="AS309">
        <v>0</v>
      </c>
      <c r="AT309">
        <v>0</v>
      </c>
      <c r="AU309">
        <v>0</v>
      </c>
      <c r="AV309">
        <v>0</v>
      </c>
      <c r="AW309">
        <v>0</v>
      </c>
      <c r="AX309" s="141">
        <f>COUNTIF(V309:AW309,"&lt;&gt;0")</f>
        <v>1</v>
      </c>
      <c r="AY309" s="141">
        <f>COUNTIF(V309:AL309,"&lt;&gt;0")</f>
        <v>1</v>
      </c>
      <c r="AZ309">
        <f>COUNTIF(V309:AC309,"&lt;&gt;0")</f>
        <v>0</v>
      </c>
      <c r="BA309">
        <f>COUNTIF(AD309:AI309,"&lt;&gt;0")</f>
        <v>1</v>
      </c>
      <c r="BB309">
        <f>COUNTIF(AJ309:AL309,"&lt;&gt;0")</f>
        <v>0</v>
      </c>
      <c r="BC309">
        <f>COUNTIF(AS309:AW309,"&lt;&gt;0")</f>
        <v>0</v>
      </c>
      <c r="BD309">
        <f>COUNTIF(AM309:AR309,"&lt;&gt;0")</f>
        <v>0</v>
      </c>
      <c r="BE309" t="str">
        <f t="array" ref="BE309">IF(AY309=1,INDEX($V$7:$AL$7,MATCH(TRUE,INDEX($V309:$AW309&lt;&gt;0,),0)),IF(AY309=0,INDEX($AM$7:$AW$7,MATCH(1,$AM309:$AW309,0)),IF(BF309="Multiple strategies","mixed drivers",IF(BF309="Supply chain","multiple supply","multiple silviculture"))))</f>
        <v>recycling</v>
      </c>
      <c r="BF309" s="2" t="str" cm="1">
        <f t="array" ref="BF309">IF(COUNTIF(AZ309:BB309,"&lt;&gt;0")=1,INDEX($V$4:$AW$4,MATCH(TRUE,INDEX($V309:$AW309&lt;&gt;0,),0)),IF(COUNTIF(AZ309:BB309,"&lt;&gt;0")=0,INDEX($AM$4:$AW$4,MATCH(1,$AM309:$AW309,0)),"Multiple strategies"))</f>
        <v>Supply chain</v>
      </c>
      <c r="BG309" s="1" t="s">
        <v>229</v>
      </c>
      <c r="BH309" t="s">
        <v>1548</v>
      </c>
      <c r="BI309"/>
      <c r="BJ309" t="s">
        <v>345</v>
      </c>
      <c r="BK309">
        <v>922</v>
      </c>
      <c r="BL309">
        <f>922+519+281+121</f>
        <v>1843</v>
      </c>
      <c r="BM309">
        <v>1.9989154013015185</v>
      </c>
      <c r="BN309">
        <f>BL309-BK309</f>
        <v>921</v>
      </c>
      <c r="BO309">
        <f>BN309*kg_to_m3</f>
        <v>1.879591836734694</v>
      </c>
      <c r="BP309" s="264" t="s">
        <v>395</v>
      </c>
      <c r="BQ309" t="s">
        <v>426</v>
      </c>
      <c r="BR309" t="s">
        <v>728</v>
      </c>
      <c r="BS309">
        <v>515.29999999999995</v>
      </c>
      <c r="BT309">
        <v>589.79999999999995</v>
      </c>
      <c r="BU309" s="144"/>
      <c r="BV309">
        <f>BT309-BS309</f>
        <v>74.5</v>
      </c>
      <c r="BW309"/>
      <c r="BX309">
        <f>BV309/1000</f>
        <v>7.4499999999999997E-2</v>
      </c>
      <c r="BY309">
        <f>IFERROR(BX309/BO309,"")</f>
        <v>3.9636264929424535E-2</v>
      </c>
      <c r="BZ309">
        <v>0</v>
      </c>
      <c r="CA309">
        <v>0</v>
      </c>
      <c r="CB309">
        <v>0</v>
      </c>
      <c r="CC309">
        <v>0</v>
      </c>
      <c r="CD309">
        <v>0</v>
      </c>
      <c r="CE309">
        <v>0</v>
      </c>
      <c r="CF309">
        <v>0</v>
      </c>
      <c r="CG309">
        <v>0</v>
      </c>
      <c r="CH309">
        <v>0</v>
      </c>
      <c r="CI309">
        <v>0</v>
      </c>
      <c r="CJ309">
        <v>0</v>
      </c>
      <c r="CK309">
        <v>0</v>
      </c>
      <c r="CL309">
        <v>0</v>
      </c>
      <c r="CM309">
        <v>0</v>
      </c>
      <c r="CN309" t="str">
        <f>IF($BL309&lt;$BK309,"refNeedCorrection","refOK")</f>
        <v>refOK</v>
      </c>
      <c r="CO309">
        <f>IF($CN309="refNeedCorrection",BL309,BK309)</f>
        <v>922</v>
      </c>
      <c r="CP309">
        <f>IF($CN309="refNeedCorrection",BK309,BL309)</f>
        <v>1843</v>
      </c>
      <c r="CQ309">
        <f>IF($CN309="refOK",$BO309,-$BO309)</f>
        <v>1.879591836734694</v>
      </c>
      <c r="CR309">
        <f>IF($CN309="refOK",$BS309,$BT309)*IF($BP309="Emissions positive",-1,1)</f>
        <v>-515.29999999999995</v>
      </c>
      <c r="CS309">
        <f>IF($CN309="refOK",$BT309,$BS309)*IF($BP309="Emissions positive",-1,1)</f>
        <v>-589.79999999999995</v>
      </c>
      <c r="CT309">
        <f>IF($CN309="refNeedCorrection",-BX309,BX309)*IF($BP309="Emissions positive",-1,1)</f>
        <v>-7.4499999999999997E-2</v>
      </c>
      <c r="CU309">
        <f>IFERROR(CT309/CQ309,"")</f>
        <v>-3.9636264929424535E-2</v>
      </c>
      <c r="CV309" s="2">
        <f>IFERROR((CS309-CR309)/ABS(CR309),"")</f>
        <v>-0.14457597516010093</v>
      </c>
      <c r="CW309" s="1" t="s">
        <v>1199</v>
      </c>
      <c r="CX309" t="str">
        <f>IF(OR($CW309="prd",$CW309="std",$CW309="cit"),"loc",IF(OR($CW309="eur",$CW309="reg",$CW309="coy"),"reg",$CW309))</f>
        <v>reg</v>
      </c>
      <c r="CY309" t="s">
        <v>1540</v>
      </c>
      <c r="CZ309"/>
      <c r="DA309"/>
      <c r="DB309">
        <v>100</v>
      </c>
      <c r="DC309" t="str">
        <f>IF(DB309=0,"0",IF(AND(DB309&gt;=1,DB309&lt;=30),"1-30",IF(AND(DB309&gt;30,DB309&lt;=70),"31-70",IF(AND(DB309&gt;70,DB309&lt;=100),"71-100",IF(DB309&gt;100,"+100")))))</f>
        <v>71-100</v>
      </c>
      <c r="DD309">
        <v>0</v>
      </c>
      <c r="DE309">
        <v>0</v>
      </c>
      <c r="DF309">
        <v>0</v>
      </c>
      <c r="DG309">
        <v>1</v>
      </c>
      <c r="DH309"/>
      <c r="DI309">
        <f>SUM(DD309:DG309)</f>
        <v>1</v>
      </c>
      <c r="DJ309" t="str">
        <f>IF(DI309=1,INDEX($DD$7:$DG$7,MATCH(1,$DD309:$DG309,0)),"mixedProduct")</f>
        <v>TimberInput</v>
      </c>
      <c r="DK309">
        <f>IF(DD309=1,DK$7,0)</f>
        <v>0</v>
      </c>
      <c r="DL309">
        <f>IF(DE309=1,DL$7,0)</f>
        <v>0</v>
      </c>
      <c r="DM309">
        <f>IF(DF309=1,DM$7,0)</f>
        <v>0</v>
      </c>
      <c r="DN309" t="str">
        <f>IF(DG309=1,DN$7,0)</f>
        <v>Timber</v>
      </c>
      <c r="DO309">
        <v>0</v>
      </c>
      <c r="DP309">
        <v>0</v>
      </c>
      <c r="DQ309">
        <v>0</v>
      </c>
      <c r="DR309">
        <v>0</v>
      </c>
      <c r="DS309">
        <v>0</v>
      </c>
      <c r="DT309">
        <f>SUM(DO309:DP309)</f>
        <v>0</v>
      </c>
      <c r="DU309" s="143" t="str">
        <f>IF(DO309=1,"self-calculated DF",IF(DP309=1,"external DF used","explicit C balance"))</f>
        <v>explicit C balance</v>
      </c>
      <c r="DV309">
        <v>0</v>
      </c>
      <c r="DW309">
        <v>0</v>
      </c>
      <c r="DX309">
        <v>0</v>
      </c>
      <c r="DY309">
        <v>0</v>
      </c>
      <c r="DZ309">
        <v>1</v>
      </c>
      <c r="EA309" s="143">
        <v>0</v>
      </c>
      <c r="EB309">
        <v>0</v>
      </c>
      <c r="EC309">
        <v>1</v>
      </c>
      <c r="ED309">
        <v>0</v>
      </c>
      <c r="EE309">
        <v>1</v>
      </c>
      <c r="EF309">
        <v>1</v>
      </c>
      <c r="EG309">
        <v>1</v>
      </c>
      <c r="EH309">
        <v>0</v>
      </c>
      <c r="EI309" s="2">
        <v>0</v>
      </c>
      <c r="EJ309" s="1"/>
      <c r="EK309" t="str">
        <f>IF(AND(AND(AND(OR($DX309=1,$DW309=1),OR($EC309=1,$EA309=1)),SUM($DV309:$DZ309,$EF309)&gt;=4),SUM($EA309:$EE309)&gt;=2),"Whole sector","")</f>
        <v/>
      </c>
      <c r="EL309" t="str">
        <f>IF(AND(AND(OR($DX309=1,$DW309=1),AND($EC309=0,$EA309=0)),SUM($DV309:$DZ309,$EF309)&gt;=4),"Ecosystem approach","")</f>
        <v/>
      </c>
      <c r="EM309" s="2" t="str">
        <f>IF(AND(AND(AND($DX309=0,$DW309=0),OR($EC309=1,$EA309=1)),SUM($EB309:$EE309)&gt;=2),"Technology approach","")</f>
        <v>Technology approach</v>
      </c>
      <c r="EN309"/>
      <c r="EO309"/>
      <c r="EP309" t="str">
        <f>IF(ISNUMBER(BU309),IF(ABS(BU309-[1]QC_indicators!$B$2)&gt;3*[1]QC_indicators!$C$2,"C ratio",IF(ISNUMBER(BY309),IF(ABS(BY309-[1]QC_indicators!$B$1)&gt;3*[1]QC_indicators!$C$1,"DF","no"))),IF(ISNUMBER(BY309),IF(ABS(BY309-[1]QC_indicators!$B$1)&gt;3*[1]QC_indicators!$C$1,"DF","no")))</f>
        <v>no</v>
      </c>
      <c r="EQ309"/>
      <c r="ER309"/>
      <c r="ES309"/>
      <c r="ET309" s="264" t="s">
        <v>3273</v>
      </c>
      <c r="EU309"/>
    </row>
    <row r="310" spans="1:151" s="139" customFormat="1" ht="15" customHeight="1">
      <c r="A310" s="1" t="s">
        <v>1972</v>
      </c>
      <c r="B310" t="s">
        <v>1973</v>
      </c>
      <c r="C310" t="s">
        <v>1974</v>
      </c>
      <c r="D310" t="s">
        <v>1975</v>
      </c>
      <c r="E310" s="264" t="s">
        <v>1976</v>
      </c>
      <c r="F310" t="s">
        <v>1977</v>
      </c>
      <c r="G310" t="s">
        <v>1978</v>
      </c>
      <c r="H310" t="s">
        <v>254</v>
      </c>
      <c r="I310">
        <v>2018</v>
      </c>
      <c r="J310">
        <v>21</v>
      </c>
      <c r="K310" t="s">
        <v>1979</v>
      </c>
      <c r="L310"/>
      <c r="M310" t="str">
        <f>LEFT($D310,FIND(",",$D310)-1)&amp;"_"&amp;I310&amp;L310</f>
        <v>Nabuurs_2018</v>
      </c>
      <c r="N310" t="s">
        <v>222</v>
      </c>
      <c r="O310" s="157" t="s">
        <v>274</v>
      </c>
      <c r="P310" t="s">
        <v>960</v>
      </c>
      <c r="Q310" t="s">
        <v>389</v>
      </c>
      <c r="R310" s="255" t="s">
        <v>225</v>
      </c>
      <c r="S310" s="1" t="s">
        <v>1980</v>
      </c>
      <c r="T310" s="152" t="s">
        <v>1981</v>
      </c>
      <c r="U310" s="184" t="s">
        <v>1982</v>
      </c>
      <c r="V310">
        <v>0</v>
      </c>
      <c r="W310">
        <v>0</v>
      </c>
      <c r="X310">
        <v>0</v>
      </c>
      <c r="Y310">
        <v>1</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s="141">
        <f>COUNTIF(V310:AW310,"&lt;&gt;0")</f>
        <v>1</v>
      </c>
      <c r="AY310" s="141">
        <f>COUNTIF(V310:AL310,"&lt;&gt;0")</f>
        <v>1</v>
      </c>
      <c r="AZ310">
        <f>COUNTIF(V310:AC310,"&lt;&gt;0")</f>
        <v>1</v>
      </c>
      <c r="BA310">
        <f>COUNTIF(AD310:AI310,"&lt;&gt;0")</f>
        <v>0</v>
      </c>
      <c r="BB310">
        <f>COUNTIF(AJ310:AL310,"&lt;&gt;0")</f>
        <v>0</v>
      </c>
      <c r="BC310">
        <f>COUNTIF(AS310:AW310,"&lt;&gt;0")</f>
        <v>0</v>
      </c>
      <c r="BD310">
        <f>COUNTIF(AM310:AR310,"&lt;&gt;0")</f>
        <v>0</v>
      </c>
      <c r="BE310" t="str">
        <f t="array" ref="BE310">IF(AY310=1,INDEX($V$7:$AL$7,MATCH(TRUE,INDEX($V310:$AW310&lt;&gt;0,),0)),IF(AY310=0,INDEX($AM$7:$AW$7,MATCH(1,$AM310:$AW310,0)),IF(BF310="Multiple strategies","mixed drivers",IF(BF310="Supply chain","multiple supply","multiple silviculture"))))</f>
        <v xml:space="preserve">cutting intensity </v>
      </c>
      <c r="BF310" s="2" t="str" cm="1">
        <f t="array" ref="BF310">IF(COUNTIF(AZ310:BB310,"&lt;&gt;0")=1,INDEX($V$4:$AW$4,MATCH(TRUE,INDEX($V310:$AW310&lt;&gt;0,),0)),IF(COUNTIF(AZ310:BB310,"&lt;&gt;0")=0,INDEX($AM$4:$AW$4,MATCH(1,$AM310:$AW310,0)),"Multiple strategies"))</f>
        <v>Silviculture for removals</v>
      </c>
      <c r="BG310" s="1" t="s">
        <v>321</v>
      </c>
      <c r="BH310" t="s">
        <v>1983</v>
      </c>
      <c r="BI310" s="260" t="s">
        <v>3381</v>
      </c>
      <c r="BJ310" t="s">
        <v>1984</v>
      </c>
      <c r="BK310" s="152">
        <v>4190644782.1222701</v>
      </c>
      <c r="BL310" s="152">
        <v>4538767649.01647</v>
      </c>
      <c r="BM310">
        <v>1.0830714329163207</v>
      </c>
      <c r="BN310">
        <f>BL310-BK310</f>
        <v>348122866.89419985</v>
      </c>
      <c r="BO310">
        <f>BN310</f>
        <v>348122866.89419985</v>
      </c>
      <c r="BP310" t="s">
        <v>395</v>
      </c>
      <c r="BQ310" s="260" t="s">
        <v>3382</v>
      </c>
      <c r="BR310" t="s">
        <v>1985</v>
      </c>
      <c r="BS310" s="289">
        <f>-373.8*1000000</f>
        <v>-373800000</v>
      </c>
      <c r="BT310" s="289">
        <f>-335.71*1000000</f>
        <v>-335710000</v>
      </c>
      <c r="BU310" s="144">
        <v>0.9672089812091007</v>
      </c>
      <c r="BV310" s="152">
        <v>13455706.042723</v>
      </c>
      <c r="BW310"/>
      <c r="BX310" s="152">
        <f>BV310</f>
        <v>13455706.042723</v>
      </c>
      <c r="BY310">
        <f>IFERROR(BX310/BO310,"")</f>
        <v>3.8652175201155076E-2</v>
      </c>
      <c r="BZ310">
        <v>0</v>
      </c>
      <c r="CA310">
        <v>0</v>
      </c>
      <c r="CB310">
        <v>0</v>
      </c>
      <c r="CC310">
        <v>0</v>
      </c>
      <c r="CD310">
        <v>0</v>
      </c>
      <c r="CE310">
        <v>0</v>
      </c>
      <c r="CF310">
        <v>0</v>
      </c>
      <c r="CG310">
        <v>0</v>
      </c>
      <c r="CH310">
        <v>0</v>
      </c>
      <c r="CI310">
        <v>0</v>
      </c>
      <c r="CJ310">
        <v>0</v>
      </c>
      <c r="CK310">
        <v>0</v>
      </c>
      <c r="CL310">
        <v>0</v>
      </c>
      <c r="CM310">
        <v>0</v>
      </c>
      <c r="CN310" t="str">
        <f>IF($BL310&lt;$BK310,"refNeedCorrection","refOK")</f>
        <v>refOK</v>
      </c>
      <c r="CO310">
        <f>IF($CN310="refOK",$BK310,$BL310)</f>
        <v>4190644782.1222701</v>
      </c>
      <c r="CP310">
        <f>IF($CN310="refOK",$BL310,$BK310)</f>
        <v>4538767649.01647</v>
      </c>
      <c r="CQ310">
        <f>IF($CN310="refOK",$BO310,-$BO310)</f>
        <v>348122866.89419985</v>
      </c>
      <c r="CR310">
        <f>IF($CN310="refOK",$BS310,$BT310)*IF($BP310="Emissions positive",-1,1)</f>
        <v>373800000</v>
      </c>
      <c r="CS310">
        <f>IF($CN310="refOK",$BT310,$BS310)*IF($BP310="Emissions positive",-1,1)</f>
        <v>335710000</v>
      </c>
      <c r="CT310">
        <f>IF($CN310="refNeedCorrection",-BX310,BX310)*IF($BP310="Emissions positive",-1,1)</f>
        <v>-13455706.042723</v>
      </c>
      <c r="CU310">
        <f>IFERROR(CT310/CQ310,"")</f>
        <v>-3.8652175201155076E-2</v>
      </c>
      <c r="CV310" s="2">
        <f>IFERROR((CS310-CR310)/ABS(CR310),"")</f>
        <v>-0.10189941144997325</v>
      </c>
      <c r="CW310" s="1" t="s">
        <v>1231</v>
      </c>
      <c r="CX310" t="str">
        <f>IF(OR($CW310="prd",$CW310="std",$CW310="cit"),"loc",IF(OR($CW310="eur",$CW310="reg",$CW310="coy"),"reg",$CW310))</f>
        <v>reg</v>
      </c>
      <c r="CY310" t="s">
        <v>743</v>
      </c>
      <c r="CZ310">
        <v>2015</v>
      </c>
      <c r="DA310">
        <v>2025</v>
      </c>
      <c r="DB310">
        <v>0</v>
      </c>
      <c r="DC310" t="str">
        <f>IF(DB310=0,"0",IF(AND(DB310&gt;=1,DB310&lt;=30),"1-30",IF(AND(DB310&gt;30,DB310&lt;=70),"31-70",IF(AND(DB310&gt;70,DB310&lt;=100),"71-100",IF(DB310&gt;100,"+100")))))</f>
        <v>0</v>
      </c>
      <c r="DD310">
        <v>1</v>
      </c>
      <c r="DE310">
        <v>0</v>
      </c>
      <c r="DF310">
        <v>0</v>
      </c>
      <c r="DG310">
        <v>0</v>
      </c>
      <c r="DH310"/>
      <c r="DI310">
        <v>1</v>
      </c>
      <c r="DJ310" t="str">
        <f>IF(DI310=1,INDEX($DD$7:$DG$7,MATCH(1,$DD310:$DG310,0)),"mixedProduct")</f>
        <v>UpstreamInput</v>
      </c>
      <c r="DK310" t="str">
        <f>IF(DD310=1,DK$7,0)</f>
        <v>Upstream</v>
      </c>
      <c r="DL310">
        <f>IF(DE310=1,DL$7,0)</f>
        <v>0</v>
      </c>
      <c r="DM310">
        <f>IF(DF310=1,DM$7,0)</f>
        <v>0</v>
      </c>
      <c r="DN310">
        <f>IF(DG310=1,DN$7,0)</f>
        <v>0</v>
      </c>
      <c r="DO310">
        <v>0</v>
      </c>
      <c r="DP310">
        <v>0</v>
      </c>
      <c r="DQ310">
        <v>0</v>
      </c>
      <c r="DR310">
        <v>0</v>
      </c>
      <c r="DS310">
        <v>0</v>
      </c>
      <c r="DT310">
        <f>SUM(DO310:DP310)</f>
        <v>0</v>
      </c>
      <c r="DU310" s="143" t="s">
        <v>962</v>
      </c>
      <c r="DV310">
        <v>0</v>
      </c>
      <c r="DW310">
        <v>0</v>
      </c>
      <c r="DX310">
        <v>0</v>
      </c>
      <c r="DY310">
        <v>0</v>
      </c>
      <c r="DZ310">
        <v>0</v>
      </c>
      <c r="EA310" s="143">
        <v>0</v>
      </c>
      <c r="EB310">
        <v>1</v>
      </c>
      <c r="EC310">
        <v>0</v>
      </c>
      <c r="ED310">
        <v>0</v>
      </c>
      <c r="EE310">
        <v>0</v>
      </c>
      <c r="EF310">
        <v>0</v>
      </c>
      <c r="EG310">
        <v>0</v>
      </c>
      <c r="EH310">
        <v>0</v>
      </c>
      <c r="EI310" s="2">
        <v>0</v>
      </c>
      <c r="EJ310" s="1"/>
      <c r="EK310" t="str">
        <f>IF(AND(AND(AND(OR($DX310=1,$DW310=1),OR($EC310=1,$EA310=1)),SUM($DV310:$DZ310,$EF310)&gt;=4),SUM($EA310:$EE310)&gt;=2),"Whole sector","")</f>
        <v/>
      </c>
      <c r="EL310" t="str">
        <f>IF(AND(AND(OR($DX310=1,$DW310=1),AND($EC310=0,$EA310=0)),SUM($DV310:$DZ310,$EF310)&gt;=4),"Ecosystem approach","")</f>
        <v/>
      </c>
      <c r="EM310" s="2" t="str">
        <f>IF(AND(AND(AND($DX310=0,$DW310=0),OR($EC310=1,$EA310=1)),SUM($EB310:$EE310)&gt;=2),"Technology approach","")</f>
        <v/>
      </c>
      <c r="EN310"/>
      <c r="EO310"/>
      <c r="EP310" t="str">
        <f>IF(ISNUMBER(BU310),IF(ABS(BU310-[4]QC_indicators!$B$2)&gt;3*[4]QC_indicators!$C$2,"C ratio",IF(ISNUMBER(BY310),IF(ABS(BY310-[4]QC_indicators!$B$1)&gt;3*[4]QC_indicators!$C$1,"DF","no"))),IF(ISNUMBER(BY310),IF(ABS(BY310-[4]QC_indicators!$B$1)&gt;3*[4]QC_indicators!$C$1,"DF","no")))</f>
        <v>no</v>
      </c>
      <c r="EQ310"/>
      <c r="ER310"/>
      <c r="ES310"/>
      <c r="ET310" s="264" t="s">
        <v>3273</v>
      </c>
      <c r="EU310"/>
    </row>
    <row r="311" spans="1:151" s="139" customFormat="1" ht="15" customHeight="1">
      <c r="A311" s="1" t="s">
        <v>1360</v>
      </c>
      <c r="B311" t="s">
        <v>2135</v>
      </c>
      <c r="C311" t="s">
        <v>2136</v>
      </c>
      <c r="D311" t="s">
        <v>2137</v>
      </c>
      <c r="E311" t="s">
        <v>2138</v>
      </c>
      <c r="F311" t="s">
        <v>2139</v>
      </c>
      <c r="G311" t="s">
        <v>1366</v>
      </c>
      <c r="H311" t="s">
        <v>254</v>
      </c>
      <c r="I311">
        <v>2012</v>
      </c>
      <c r="J311">
        <v>21</v>
      </c>
      <c r="K311" t="s">
        <v>2140</v>
      </c>
      <c r="L311" s="192"/>
      <c r="M311" t="str">
        <f>LEFT($D311,FIND(",",$D311)-1)&amp;"_"&amp;I311&amp;L311</f>
        <v>Pyorala_2012</v>
      </c>
      <c r="N311" t="s">
        <v>222</v>
      </c>
      <c r="O311" s="145" t="s">
        <v>341</v>
      </c>
      <c r="P311" s="180" t="s">
        <v>223</v>
      </c>
      <c r="Q311" s="264" t="s">
        <v>256</v>
      </c>
      <c r="R311" s="269" t="s">
        <v>1154</v>
      </c>
      <c r="S311" s="263" t="s">
        <v>2154</v>
      </c>
      <c r="T311" s="264" t="s">
        <v>2143</v>
      </c>
      <c r="U311" s="264" t="s">
        <v>2152</v>
      </c>
      <c r="V311">
        <v>0</v>
      </c>
      <c r="W311">
        <v>0</v>
      </c>
      <c r="X311">
        <v>0</v>
      </c>
      <c r="Y311">
        <v>0</v>
      </c>
      <c r="Z311">
        <v>0</v>
      </c>
      <c r="AA311">
        <v>0</v>
      </c>
      <c r="AB311">
        <v>1</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s="141">
        <f>COUNTIF(V311:AW311,"&lt;&gt;0")</f>
        <v>1</v>
      </c>
      <c r="AY311" s="141">
        <f>COUNTIF(V311:AL311,"&lt;&gt;0")</f>
        <v>1</v>
      </c>
      <c r="AZ311">
        <f>COUNTIF(V311:AC311,"&lt;&gt;0")</f>
        <v>1</v>
      </c>
      <c r="BA311">
        <f>COUNTIF(AD311:AI311,"&lt;&gt;0")</f>
        <v>0</v>
      </c>
      <c r="BB311">
        <f>COUNTIF(AJ311:AL311,"&lt;&gt;0")</f>
        <v>0</v>
      </c>
      <c r="BC311">
        <f>COUNTIF(AS311:AW311,"&lt;&gt;0")</f>
        <v>0</v>
      </c>
      <c r="BD311">
        <f>COUNTIF(AM311:AR311,"&lt;&gt;0")</f>
        <v>0</v>
      </c>
      <c r="BE311" t="str" cm="1">
        <f t="array" ref="BE311">IF(AY311=1,INDEX($V$7:$AL$7,MATCH(TRUE,INDEX($V311:$AW311&lt;&gt;0,),0)),IF(AY311=0,INDEX($AM$7:$AW$7,MATCH(1,$AM311:$AW311,0)),IF(BF311="Multiple strategies","mixed drivers",IF(BF311="Supply chain","multiple supply","multiple silviculture"))))</f>
        <v>fertilisation</v>
      </c>
      <c r="BF311" s="2" t="str" cm="1">
        <f t="array" ref="BF311">IF(COUNTIF(AZ311:BB311,"&lt;&gt;0")=1,INDEX($V$4:$AW$4,MATCH(TRUE,INDEX($V311:$AW311&lt;&gt;0,),0)),IF(COUNTIF(AZ311:BB311,"&lt;&gt;0")=0,INDEX($AM$4:$AW$4,MATCH(1,$AM311:$AW311,0)),"Multiple strategies"))</f>
        <v>Silviculture for productivity</v>
      </c>
      <c r="BG311" s="178" t="s">
        <v>321</v>
      </c>
      <c r="BH311" s="264" t="s">
        <v>2144</v>
      </c>
      <c r="BI311" s="264" t="s">
        <v>426</v>
      </c>
      <c r="BJ311" s="160" t="s">
        <v>700</v>
      </c>
      <c r="BK311">
        <v>7.8</v>
      </c>
      <c r="BL311">
        <v>10.6</v>
      </c>
      <c r="BM311"/>
      <c r="BN311">
        <f>BL311-BK311</f>
        <v>2.8</v>
      </c>
      <c r="BO311">
        <f>BN311</f>
        <v>2.8</v>
      </c>
      <c r="BP311" s="155" t="s">
        <v>395</v>
      </c>
      <c r="BQ311" s="264" t="s">
        <v>783</v>
      </c>
      <c r="BR311" s="155" t="s">
        <v>279</v>
      </c>
      <c r="BS311">
        <v>0.6</v>
      </c>
      <c r="BT311">
        <v>0.7</v>
      </c>
      <c r="BU311" s="144"/>
      <c r="BV311">
        <f>BT311-BS311</f>
        <v>9.9999999999999978E-2</v>
      </c>
      <c r="BW311"/>
      <c r="BX311">
        <f>BV311</f>
        <v>9.9999999999999978E-2</v>
      </c>
      <c r="BY311">
        <f>IFERROR(BX311/BO311,"")</f>
        <v>3.5714285714285705E-2</v>
      </c>
      <c r="BZ311">
        <v>0</v>
      </c>
      <c r="CA311">
        <v>0</v>
      </c>
      <c r="CB311">
        <v>0</v>
      </c>
      <c r="CC311">
        <v>0</v>
      </c>
      <c r="CD311">
        <v>0</v>
      </c>
      <c r="CE311">
        <v>0</v>
      </c>
      <c r="CF311">
        <v>0</v>
      </c>
      <c r="CG311">
        <v>0</v>
      </c>
      <c r="CH311">
        <v>0</v>
      </c>
      <c r="CI311">
        <v>0</v>
      </c>
      <c r="CJ311">
        <v>0</v>
      </c>
      <c r="CK311">
        <v>0</v>
      </c>
      <c r="CL311">
        <v>0</v>
      </c>
      <c r="CM311">
        <v>0</v>
      </c>
      <c r="CN311" t="str">
        <f>IF($BL311&lt;$BK311,"refNeedCorrection","refOK")</f>
        <v>refOK</v>
      </c>
      <c r="CO311">
        <f>IF($CN311="refOK",$BK311,$BL311)</f>
        <v>7.8</v>
      </c>
      <c r="CP311">
        <f>IF($CN311="refOK",$BL311,$BK311)</f>
        <v>10.6</v>
      </c>
      <c r="CQ311">
        <f>IF($CN311="refOK",$BO311,-$BO311)</f>
        <v>2.8</v>
      </c>
      <c r="CR311">
        <f>IF($CN311="refOK",$BS311,$BT311)*IF($BP311="Emissions positive",-1,1)</f>
        <v>-0.6</v>
      </c>
      <c r="CS311">
        <f>IF($CN311="refOK",$BT311,$BS311)*IF($BP311="Emissions positive",-1,1)</f>
        <v>-0.7</v>
      </c>
      <c r="CT311">
        <f>IF($CN311="refNeedCorrection",-BX311,BX311)*IF($BP311="Emissions positive",-1,1)</f>
        <v>-9.9999999999999978E-2</v>
      </c>
      <c r="CU311">
        <f>IFERROR(CT311/CQ311,"")</f>
        <v>-3.5714285714285705E-2</v>
      </c>
      <c r="CV311" s="2">
        <f>IFERROR((CS311-CR311)/ABS(CR311),"")</f>
        <v>-0.16666666666666663</v>
      </c>
      <c r="CW311" s="1" t="s">
        <v>1199</v>
      </c>
      <c r="CX311" s="264" t="str">
        <f>IF(OR($CW311="prd",$CW311="std",$CW311="cit"),"loc",IF(OR($CW311="eur",$CW311="reg",$CW311="coy"),"reg",$CW311))</f>
        <v>reg</v>
      </c>
      <c r="CY311" t="s">
        <v>235</v>
      </c>
      <c r="CZ311"/>
      <c r="DA311"/>
      <c r="DB311">
        <v>50</v>
      </c>
      <c r="DC311" t="str">
        <f>IF(DB311=0,"0",IF(AND(DB311&gt;=1,DB311&lt;=30),"1-30",IF(AND(DB311&gt;30,DB311&lt;=70),"31-70",IF(AND(DB311&gt;70,DB311&lt;=100),"71-100",IF(DB311&gt;100,"+100")))))</f>
        <v>31-70</v>
      </c>
      <c r="DD311">
        <v>0</v>
      </c>
      <c r="DE311">
        <v>1</v>
      </c>
      <c r="DF311">
        <v>1</v>
      </c>
      <c r="DG311">
        <v>1</v>
      </c>
      <c r="DH311"/>
      <c r="DI311">
        <f>SUM(DD311:DG311)</f>
        <v>3</v>
      </c>
      <c r="DJ311" t="str">
        <f>IF(DI311=1,INDEX($DD$7:$DG$7,MATCH(1,$DD311:$DG311,0)),"mixedProduct")</f>
        <v>mixedProduct</v>
      </c>
      <c r="DK311">
        <f>IF(DD311=1,DK$7,0)</f>
        <v>0</v>
      </c>
      <c r="DL311" t="str">
        <f>IF(DE311=1,DL$7,0)</f>
        <v>Energy</v>
      </c>
      <c r="DM311" t="str">
        <f>IF(DF311=1,DM$7,0)</f>
        <v>Pulp/Paper</v>
      </c>
      <c r="DN311" t="str">
        <f>IF(DG311=1,DN$7,0)</f>
        <v>Timber</v>
      </c>
      <c r="DO311">
        <v>0</v>
      </c>
      <c r="DP311">
        <v>1</v>
      </c>
      <c r="DQ311" t="s">
        <v>2146</v>
      </c>
      <c r="DR311">
        <v>0</v>
      </c>
      <c r="DS311">
        <v>0</v>
      </c>
      <c r="DT311">
        <f>SUM(DO311:DP311)</f>
        <v>1</v>
      </c>
      <c r="DU311" s="143" t="str">
        <f>IF(DO311=1,"self-calculated DF",IF(DP311=1,"external DF used","explicit C balance"))</f>
        <v>external DF used</v>
      </c>
      <c r="DV311">
        <v>1</v>
      </c>
      <c r="DW311">
        <v>1</v>
      </c>
      <c r="DX311">
        <v>1</v>
      </c>
      <c r="DY311">
        <v>0</v>
      </c>
      <c r="DZ311">
        <v>1</v>
      </c>
      <c r="EA311">
        <v>0</v>
      </c>
      <c r="EB311">
        <v>1</v>
      </c>
      <c r="EC311">
        <v>1</v>
      </c>
      <c r="ED311">
        <v>0</v>
      </c>
      <c r="EE311">
        <v>0</v>
      </c>
      <c r="EF311">
        <v>1</v>
      </c>
      <c r="EG311">
        <v>0</v>
      </c>
      <c r="EH311">
        <v>0</v>
      </c>
      <c r="EI311" s="2">
        <v>0</v>
      </c>
      <c r="EJ311" s="1"/>
      <c r="EK311" t="str">
        <f>IF(AND(AND(AND(OR($DX311=1,$DW311=1),OR($EC311=1,$EA311=1)),SUM($DV311:$DZ311,$EF311)&gt;=4),SUM($EA311:$EE311)&gt;=2),"Whole sector","")</f>
        <v>Whole sector</v>
      </c>
      <c r="EL311" t="str">
        <f>IF(AND(AND(OR($DX311=1,$DW311=1),AND($EC311=0,$EA311=0)),SUM($DV311:$DZ311,$EF311)&gt;=4),"Ecosystem approach","")</f>
        <v/>
      </c>
      <c r="EM311" s="2" t="str">
        <f>IF(AND(AND(AND($DX311=0,$DW311=0),OR($EC311=1,$EA311=1)),SUM($EB311:$EE311)&gt;=2),"Technology approach","")</f>
        <v/>
      </c>
      <c r="EN311"/>
      <c r="EO311"/>
      <c r="EP311" t="str">
        <f>IF(ISNUMBER(BU311),IF(ABS(BU311-[3]QC_indicators!$B$2)&gt;3*[3]QC_indicators!$C$2,"C ratio",IF(ISNUMBER(BY311),IF(ABS(BY311-[3]QC_indicators!$B$1)&gt;3*[3]QC_indicators!$C$1,"DF","no"))),IF(ISNUMBER(BY311),IF(ABS(BY311-[3]QC_indicators!$B$1)&gt;3*[3]QC_indicators!$C$1,"DF","no")))</f>
        <v>no</v>
      </c>
      <c r="EQ311"/>
      <c r="ER311"/>
      <c r="ES311"/>
      <c r="ET311" s="264" t="s">
        <v>3407</v>
      </c>
      <c r="EU311"/>
    </row>
    <row r="312" spans="1:151" s="139" customFormat="1" ht="15" customHeight="1">
      <c r="A312" s="1" t="s">
        <v>412</v>
      </c>
      <c r="B312" t="s">
        <v>413</v>
      </c>
      <c r="C312" t="s">
        <v>414</v>
      </c>
      <c r="D312" t="s">
        <v>415</v>
      </c>
      <c r="E312" t="s">
        <v>416</v>
      </c>
      <c r="F312" t="s">
        <v>417</v>
      </c>
      <c r="G312" t="s">
        <v>418</v>
      </c>
      <c r="H312" t="s">
        <v>254</v>
      </c>
      <c r="I312">
        <v>2022</v>
      </c>
      <c r="J312">
        <v>4</v>
      </c>
      <c r="K312" t="s">
        <v>419</v>
      </c>
      <c r="L312"/>
      <c r="M312" t="str">
        <f>LEFT($D312,FIND(",",$D312)-1)&amp;"_"&amp;I312&amp;L312</f>
        <v>Bergman_2022</v>
      </c>
      <c r="N312" t="s">
        <v>222</v>
      </c>
      <c r="O312" s="145" t="s">
        <v>223</v>
      </c>
      <c r="P312"/>
      <c r="Q312" t="s">
        <v>389</v>
      </c>
      <c r="R312" s="255" t="s">
        <v>225</v>
      </c>
      <c r="S312" s="1" t="s">
        <v>420</v>
      </c>
      <c r="T312" t="s">
        <v>421</v>
      </c>
      <c r="U312" t="s">
        <v>422</v>
      </c>
      <c r="V312">
        <v>0</v>
      </c>
      <c r="W312">
        <v>0</v>
      </c>
      <c r="X312">
        <v>0</v>
      </c>
      <c r="Y312">
        <v>0</v>
      </c>
      <c r="Z312">
        <v>0</v>
      </c>
      <c r="AA312">
        <v>0</v>
      </c>
      <c r="AB312">
        <v>0</v>
      </c>
      <c r="AC312">
        <v>0</v>
      </c>
      <c r="AD312">
        <v>0</v>
      </c>
      <c r="AE312">
        <v>0</v>
      </c>
      <c r="AF312">
        <v>0</v>
      </c>
      <c r="AG312">
        <v>0</v>
      </c>
      <c r="AH312">
        <v>0</v>
      </c>
      <c r="AI312">
        <v>0</v>
      </c>
      <c r="AJ312">
        <v>1</v>
      </c>
      <c r="AK312">
        <v>0</v>
      </c>
      <c r="AL312">
        <v>0</v>
      </c>
      <c r="AM312">
        <v>0</v>
      </c>
      <c r="AN312">
        <v>0</v>
      </c>
      <c r="AO312">
        <v>0</v>
      </c>
      <c r="AP312">
        <v>0</v>
      </c>
      <c r="AQ312">
        <v>0</v>
      </c>
      <c r="AR312">
        <v>0</v>
      </c>
      <c r="AS312">
        <v>0</v>
      </c>
      <c r="AT312">
        <v>0</v>
      </c>
      <c r="AU312">
        <v>0</v>
      </c>
      <c r="AV312">
        <v>0</v>
      </c>
      <c r="AW312">
        <v>0</v>
      </c>
      <c r="AX312" s="141">
        <f>COUNTIF(V312:AW312,"&lt;&gt;0")</f>
        <v>1</v>
      </c>
      <c r="AY312" s="141">
        <f>COUNTIF(V312:AL312,"&lt;&gt;0")</f>
        <v>1</v>
      </c>
      <c r="AZ312">
        <f>COUNTIF(V312:AC312,"&lt;&gt;0")</f>
        <v>0</v>
      </c>
      <c r="BA312">
        <f>COUNTIF(AD312:AI312,"&lt;&gt;0")</f>
        <v>0</v>
      </c>
      <c r="BB312">
        <f>COUNTIF(AJ312:AL312,"&lt;&gt;0")</f>
        <v>1</v>
      </c>
      <c r="BC312">
        <f>COUNTIF(AS312:AW312,"&lt;&gt;0")</f>
        <v>0</v>
      </c>
      <c r="BD312">
        <f>COUNTIF(AM312:AR312,"&lt;&gt;0")</f>
        <v>0</v>
      </c>
      <c r="BE312" t="str">
        <f t="array" ref="BE312">IF(AY312=1,INDEX($V$7:$AL$7,MATCH(TRUE,INDEX($V312:$AW312&lt;&gt;0,),0)),IF(AY312=0,INDEX($AM$7:$AW$7,MATCH(1,$AM312:$AW312,0)),IF(BF312="Multiple strategies","mixed drivers",IF(BF312="Supply chain","multiple supply","multiple silviculture"))))</f>
        <v>efficiency improvement</v>
      </c>
      <c r="BF312" s="2" t="str" cm="1">
        <f t="array" ref="BF312">IF(COUNTIF(AZ312:BB312,"&lt;&gt;0")=1,INDEX($V$4:$AW$4,MATCH(TRUE,INDEX($V312:$AW312&lt;&gt;0,),0)),IF(COUNTIF(AZ312:BB312,"&lt;&gt;0")=0,INDEX($AM$4:$AW$4,MATCH(1,$AM312:$AW312,0)),"Multiple strategies"))</f>
        <v>Technology</v>
      </c>
      <c r="BG312" s="1" t="s">
        <v>229</v>
      </c>
      <c r="BH312" t="s">
        <v>423</v>
      </c>
      <c r="BI312" t="s">
        <v>424</v>
      </c>
      <c r="BJ312" t="s">
        <v>425</v>
      </c>
      <c r="BK312">
        <v>5932</v>
      </c>
      <c r="BL312">
        <v>15385</v>
      </c>
      <c r="BM312"/>
      <c r="BN312">
        <f>BL312-BK312</f>
        <v>9453</v>
      </c>
      <c r="BO312">
        <f>BN312*kg_to_m3</f>
        <v>19.291836734693881</v>
      </c>
      <c r="BP312" t="s">
        <v>395</v>
      </c>
      <c r="BQ312" s="339" t="s">
        <v>3272</v>
      </c>
      <c r="BR312" t="s">
        <v>427</v>
      </c>
      <c r="BS312">
        <f>101+19+246+24+17</f>
        <v>407</v>
      </c>
      <c r="BT312">
        <f>260+712+27+17</f>
        <v>1016</v>
      </c>
      <c r="BU312" s="144">
        <f>IFERROR(BT312/BS312,"")</f>
        <v>2.4963144963144965</v>
      </c>
      <c r="BV312">
        <f>BT312-BS312</f>
        <v>609</v>
      </c>
      <c r="BW312"/>
      <c r="BX312">
        <f>BV312/1000</f>
        <v>0.60899999999999999</v>
      </c>
      <c r="BY312">
        <f>IFERROR(BX312/BO312,"")</f>
        <v>3.1567756267851473E-2</v>
      </c>
      <c r="BZ312">
        <v>0</v>
      </c>
      <c r="CA312">
        <v>0</v>
      </c>
      <c r="CB312">
        <v>0</v>
      </c>
      <c r="CC312">
        <v>0</v>
      </c>
      <c r="CD312">
        <v>0</v>
      </c>
      <c r="CE312">
        <v>0</v>
      </c>
      <c r="CF312">
        <v>0</v>
      </c>
      <c r="CG312">
        <v>0</v>
      </c>
      <c r="CH312">
        <v>0</v>
      </c>
      <c r="CI312">
        <v>0</v>
      </c>
      <c r="CJ312">
        <v>0</v>
      </c>
      <c r="CK312">
        <v>0</v>
      </c>
      <c r="CL312">
        <v>0</v>
      </c>
      <c r="CM312">
        <v>0</v>
      </c>
      <c r="CN312" t="str">
        <f>IF($BL312&lt;$BK312,"refNeedCorrection","refOK")</f>
        <v>refOK</v>
      </c>
      <c r="CO312"/>
      <c r="CP312"/>
      <c r="CQ312">
        <f>IF($CN312="refOK",$BO312,-$BO312)</f>
        <v>19.291836734693881</v>
      </c>
      <c r="CR312">
        <f>IF($CN312="refOK",$BT312,$BS312)*IF($BP312="Emissions positive",-1,1)</f>
        <v>-1016</v>
      </c>
      <c r="CS312">
        <f>IF($CN312="refOK",$BS312,$BT312)*IF($BP312="Emissions positive",-1,1)</f>
        <v>-407</v>
      </c>
      <c r="CT312">
        <f>IF($CN312="refNeedCorrection",-BX312,BX312)*IF($BP312="Emissions positive",-1,1)</f>
        <v>-0.60899999999999999</v>
      </c>
      <c r="CU312">
        <f>IFERROR(CT312/CQ312,"")</f>
        <v>-3.1567756267851473E-2</v>
      </c>
      <c r="CV312" s="2">
        <f>IFERROR((CS312-CR312)/ABS(CR312),"")</f>
        <v>0.59940944881889768</v>
      </c>
      <c r="CW312" s="1" t="s">
        <v>263</v>
      </c>
      <c r="CX312" t="str">
        <f>IF(OR($CW312="prd",$CW312="std",$CW312="cit"),"loc",IF(OR($CW312="eur",$CW312="reg",$CW312="coy"),"reg",$CW312))</f>
        <v>loc</v>
      </c>
      <c r="CY312" t="s">
        <v>428</v>
      </c>
      <c r="CZ312"/>
      <c r="DA312"/>
      <c r="DB312">
        <v>0</v>
      </c>
      <c r="DC312" t="str">
        <f>IF(DB312=0,"0",IF(AND(DB312&gt;=1,DB312&lt;=30),"1-30",IF(AND(DB312&gt;30,DB312&lt;=70),"31-70",IF(AND(DB312&gt;70,DB312&lt;=100),"71-100",IF(DB312&gt;100,"+100")))))</f>
        <v>0</v>
      </c>
      <c r="DD312">
        <v>0</v>
      </c>
      <c r="DE312">
        <v>1</v>
      </c>
      <c r="DF312">
        <v>0</v>
      </c>
      <c r="DG312">
        <v>0</v>
      </c>
      <c r="DH312">
        <v>0</v>
      </c>
      <c r="DI312">
        <f>SUM(DD312:DH312)</f>
        <v>1</v>
      </c>
      <c r="DJ312" t="str">
        <f>IF(DI312=1,INDEX($DD$7:$DG$7,MATCH(1,$DD312:$DG312,0)),"mixedProduct")</f>
        <v>EnergyInput</v>
      </c>
      <c r="DK312">
        <f>IF(DD312=1,DK$7,0)</f>
        <v>0</v>
      </c>
      <c r="DL312" t="str">
        <f>IF(DE312=1,DL$7,0)</f>
        <v>Energy</v>
      </c>
      <c r="DM312">
        <f>IF(DF312=1,DM$7,0)</f>
        <v>0</v>
      </c>
      <c r="DN312">
        <f>IF(DG312=1,DN$7,0)</f>
        <v>0</v>
      </c>
      <c r="DO312">
        <v>0</v>
      </c>
      <c r="DP312">
        <v>0</v>
      </c>
      <c r="DQ312">
        <v>0</v>
      </c>
      <c r="DR312">
        <v>0</v>
      </c>
      <c r="DS312">
        <v>0</v>
      </c>
      <c r="DT312">
        <f>SUM(DO312:DP312)</f>
        <v>0</v>
      </c>
      <c r="DU312" t="str">
        <f>IF(DO312=1,"self-calculated DF",IF(DP312=1,"external DF used","explicit C balance"))</f>
        <v>explicit C balance</v>
      </c>
      <c r="DV312">
        <v>0</v>
      </c>
      <c r="DW312">
        <v>1</v>
      </c>
      <c r="DX312">
        <v>0</v>
      </c>
      <c r="DY312">
        <v>0</v>
      </c>
      <c r="DZ312">
        <v>1</v>
      </c>
      <c r="EA312" s="143">
        <v>0</v>
      </c>
      <c r="EB312">
        <v>1</v>
      </c>
      <c r="EC312">
        <v>1</v>
      </c>
      <c r="ED312">
        <v>0</v>
      </c>
      <c r="EE312">
        <v>0</v>
      </c>
      <c r="EF312">
        <v>0</v>
      </c>
      <c r="EG312">
        <v>0</v>
      </c>
      <c r="EH312">
        <v>0</v>
      </c>
      <c r="EI312" s="2">
        <v>0</v>
      </c>
      <c r="EJ312" s="1"/>
      <c r="EK312" t="str">
        <f>IF(AND(AND(AND(OR($DX312=1,$DW312=1),OR($EC312=1,$EA312=1)),SUM($DV312:$DZ312,$EF312)&gt;=4),SUM($EA312:$EE312)&gt;=2),"Whole sector","")</f>
        <v/>
      </c>
      <c r="EL312" t="str">
        <f>IF(AND(AND(OR($DX312=1,$DW312=1),AND($EC312=0,$EA312=0)),SUM($DV312:$DZ312,$EF312)&gt;=4),"Ecosystem approach","")</f>
        <v/>
      </c>
      <c r="EM312" s="2" t="str">
        <f>IF(AND(AND(AND($DX312=0,$DW312=0),OR($EC312=1,$EA312=1)),SUM($EB312:$EE312)&gt;=2),"Technology approach","")</f>
        <v/>
      </c>
      <c r="EN312"/>
      <c r="EO312"/>
      <c r="EP312" t="str">
        <f>IF(ISNUMBER(BU312),IF(ABS(BU312-[4]QC_indicators!$B$2)&gt;3*[4]QC_indicators!$C$2,"C ratio",IF(ISNUMBER(BY312),IF(ABS(BY312-[4]QC_indicators!$B$1)&gt;3*[4]QC_indicators!$C$1,"DF","no"))),IF(ISNUMBER(BY312),IF(ABS(BY312-[4]QC_indicators!$B$1)&gt;3*[4]QC_indicators!$C$1,"DF","no")))</f>
        <v>no</v>
      </c>
      <c r="EQ312"/>
      <c r="ER312"/>
      <c r="ES312"/>
      <c r="ET312" s="264" t="s">
        <v>3273</v>
      </c>
      <c r="EU312"/>
    </row>
    <row r="313" spans="1:151" s="139" customFormat="1" ht="15" customHeight="1">
      <c r="A313" s="1" t="s">
        <v>1360</v>
      </c>
      <c r="B313" t="s">
        <v>1361</v>
      </c>
      <c r="C313" t="s">
        <v>1362</v>
      </c>
      <c r="D313" t="s">
        <v>1363</v>
      </c>
      <c r="E313" t="s">
        <v>1364</v>
      </c>
      <c r="F313" t="s">
        <v>1365</v>
      </c>
      <c r="G313" t="s">
        <v>1366</v>
      </c>
      <c r="H313" t="s">
        <v>254</v>
      </c>
      <c r="I313">
        <v>2012</v>
      </c>
      <c r="J313">
        <v>27</v>
      </c>
      <c r="K313" t="s">
        <v>1367</v>
      </c>
      <c r="L313"/>
      <c r="M313" t="str">
        <f>LEFT($D313,FIND(",",$D313)-1)&amp;"_"&amp;I313&amp;L313</f>
        <v>Colombo_2012</v>
      </c>
      <c r="N313" t="s">
        <v>222</v>
      </c>
      <c r="O313" s="145" t="s">
        <v>223</v>
      </c>
      <c r="P313"/>
      <c r="Q313" t="s">
        <v>256</v>
      </c>
      <c r="R313" s="269" t="s">
        <v>274</v>
      </c>
      <c r="S313" s="1" t="s">
        <v>1368</v>
      </c>
      <c r="T313" t="s">
        <v>1369</v>
      </c>
      <c r="U313" t="s">
        <v>1374</v>
      </c>
      <c r="V313">
        <v>1</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s="141">
        <f>COUNTIF(V313:AW313,"&lt;&gt;0")</f>
        <v>1</v>
      </c>
      <c r="AY313" s="141">
        <f>COUNTIF(V313:AL313,"&lt;&gt;0")</f>
        <v>1</v>
      </c>
      <c r="AZ313">
        <f>COUNTIF(V313:AC313,"&lt;&gt;0")</f>
        <v>1</v>
      </c>
      <c r="BA313">
        <f>COUNTIF(AD313:AI313,"&lt;&gt;0")</f>
        <v>0</v>
      </c>
      <c r="BB313">
        <f>COUNTIF(AJ313:AL313,"&lt;&gt;0")</f>
        <v>0</v>
      </c>
      <c r="BC313">
        <f>COUNTIF(AS313:AW313,"&lt;&gt;0")</f>
        <v>0</v>
      </c>
      <c r="BD313">
        <f>COUNTIF(AM313:AR313,"&lt;&gt;0")</f>
        <v>0</v>
      </c>
      <c r="BE313" t="str">
        <f t="array" ref="BE313">IF(AY313=1,INDEX($V$7:$AL$7,MATCH(TRUE,INDEX($V313:$AW313&lt;&gt;0,),0)),IF(AY313=0,INDEX($AM$7:$AW$7,MATCH(1,$AM313:$AW313,0)),IF(BF313="Multiple strategies","mixed drivers",IF(BF313="Supply chain","multiple supply","multiple silviculture"))))</f>
        <v>area subject to harvest</v>
      </c>
      <c r="BF313" s="2" t="str" cm="1">
        <f t="array" ref="BF313">IF(COUNTIF(AZ313:BB313,"&lt;&gt;0")=1,INDEX($V$4:$AW$4,MATCH(TRUE,INDEX($V313:$AW313&lt;&gt;0,),0)),IF(COUNTIF(AZ313:BB313,"&lt;&gt;0")=0,INDEX($AM$4:$AW$4,MATCH(1,$AM313:$AW313,0)),"Multiple strategies"))</f>
        <v>Silviculture for removals</v>
      </c>
      <c r="BG313" s="1" t="s">
        <v>229</v>
      </c>
      <c r="BH313" t="s">
        <v>1371</v>
      </c>
      <c r="BI313" s="264" t="s">
        <v>3176</v>
      </c>
      <c r="BJ313" t="s">
        <v>1372</v>
      </c>
      <c r="BK313">
        <v>0</v>
      </c>
      <c r="BL313">
        <f>27+42</f>
        <v>69</v>
      </c>
      <c r="BM313"/>
      <c r="BN313">
        <f>BL313-BK313</f>
        <v>69</v>
      </c>
      <c r="BO313">
        <f>BN313*10^6*tC_to_m3</f>
        <v>299609205.3842814</v>
      </c>
      <c r="BP313" s="143" t="s">
        <v>232</v>
      </c>
      <c r="BQ313" s="143" t="s">
        <v>689</v>
      </c>
      <c r="BR313" t="s">
        <v>1372</v>
      </c>
      <c r="BS313">
        <v>590.28571428571399</v>
      </c>
      <c r="BT313">
        <v>587.80952380952294</v>
      </c>
      <c r="BU313" s="144">
        <f>IFERROR(BT313/BS313,"")</f>
        <v>0.99580509841884379</v>
      </c>
      <c r="BV313">
        <f>BT313-BS313</f>
        <v>-2.47619047619105</v>
      </c>
      <c r="BW313"/>
      <c r="BX313">
        <f>BV313*10^6*C_to_CO2</f>
        <v>-9087619.0476211533</v>
      </c>
      <c r="BY313">
        <f>IFERROR(BX313/BO313,"")</f>
        <v>-3.0331574879234078E-2</v>
      </c>
      <c r="BZ313">
        <v>0</v>
      </c>
      <c r="CA313">
        <v>0</v>
      </c>
      <c r="CB313">
        <v>0</v>
      </c>
      <c r="CC313">
        <v>0</v>
      </c>
      <c r="CD313">
        <v>0</v>
      </c>
      <c r="CE313">
        <v>0</v>
      </c>
      <c r="CF313">
        <v>0</v>
      </c>
      <c r="CG313">
        <v>0</v>
      </c>
      <c r="CH313">
        <v>0</v>
      </c>
      <c r="CI313">
        <v>0</v>
      </c>
      <c r="CJ313">
        <v>0</v>
      </c>
      <c r="CK313">
        <v>0</v>
      </c>
      <c r="CL313">
        <v>0</v>
      </c>
      <c r="CM313">
        <v>0</v>
      </c>
      <c r="CN313" t="str">
        <f>IF($BL313&lt;$BK313,"refNeedCorrection","refOK")</f>
        <v>refOK</v>
      </c>
      <c r="CO313">
        <f>IF($CN313="refOK",$BK313,$BL313)</f>
        <v>0</v>
      </c>
      <c r="CP313">
        <f>IF($CN313="refOK",$BL313,$BK313)</f>
        <v>69</v>
      </c>
      <c r="CQ313">
        <f>IF($CN313="refOK",$BO313,-$BO313)</f>
        <v>299609205.3842814</v>
      </c>
      <c r="CR313">
        <f>IF($CN313="refOK",$BS313,$BT313)*IF($BP313="Emissions positive",-1,1)</f>
        <v>590.28571428571399</v>
      </c>
      <c r="CS313">
        <f>IF($CN313="refOK",$BT313,$BS313)*IF($BP313="Emissions positive",-1,1)</f>
        <v>587.80952380952294</v>
      </c>
      <c r="CT313">
        <f>IF($CN313="refNeedCorrection",-BX313,BX313)*IF($BP313="Emissions positive",-1,1)</f>
        <v>-9087619.0476211533</v>
      </c>
      <c r="CU313">
        <f>IFERROR(CT313/CQ313,"")</f>
        <v>-3.0331574879234078E-2</v>
      </c>
      <c r="CV313" s="2">
        <f>IFERROR((CS313-CR313)/ABS(CR313),"")</f>
        <v>-4.1949015811561857E-3</v>
      </c>
      <c r="CW313" s="1" t="s">
        <v>1199</v>
      </c>
      <c r="CX313" t="str">
        <f>IF(OR($CW313="prd",$CW313="std",$CW313="cit"),"loc",IF(OR($CW313="eur",$CW313="reg",$CW313="coy"),"reg",$CW313))</f>
        <v>reg</v>
      </c>
      <c r="CY313" t="s">
        <v>540</v>
      </c>
      <c r="CZ313">
        <v>2010</v>
      </c>
      <c r="DA313">
        <v>2110</v>
      </c>
      <c r="DB313">
        <f>DA313-CZ313</f>
        <v>100</v>
      </c>
      <c r="DC313" t="str">
        <f>IF(DB313=0,"0",IF(AND(DB313&gt;=1,DB313&lt;=30),"1-30",IF(AND(DB313&gt;30,DB313&lt;=70),"31-70",IF(AND(DB313&gt;70,DB313&lt;=100),"71-100",IF(DB313&gt;100,"+100")))))</f>
        <v>71-100</v>
      </c>
      <c r="DD313">
        <v>0</v>
      </c>
      <c r="DE313">
        <v>1</v>
      </c>
      <c r="DF313">
        <v>1</v>
      </c>
      <c r="DG313">
        <v>1</v>
      </c>
      <c r="DH313"/>
      <c r="DI313">
        <f>SUM(DD313:DG313)</f>
        <v>3</v>
      </c>
      <c r="DJ313" t="str">
        <f>IF(DI313=1,INDEX($DD$7:$DG$7,MATCH(1,$DD313:$DG313,0)),"mixedProduct")</f>
        <v>mixedProduct</v>
      </c>
      <c r="DK313">
        <f>IF(DD313=1,DK$7,0)</f>
        <v>0</v>
      </c>
      <c r="DL313" t="str">
        <f>IF(DE313=1,DL$7,0)</f>
        <v>Energy</v>
      </c>
      <c r="DM313" t="str">
        <f>IF(DF313=1,DM$7,0)</f>
        <v>Pulp/Paper</v>
      </c>
      <c r="DN313" t="str">
        <f>IF(DG313=1,DN$7,0)</f>
        <v>Timber</v>
      </c>
      <c r="DO313">
        <v>0</v>
      </c>
      <c r="DP313">
        <v>0</v>
      </c>
      <c r="DQ313">
        <v>0</v>
      </c>
      <c r="DR313">
        <v>0</v>
      </c>
      <c r="DS313">
        <v>0</v>
      </c>
      <c r="DT313">
        <f>SUM(DO313:DP313)</f>
        <v>0</v>
      </c>
      <c r="DU313" s="143" t="str">
        <f>IF(DO313=1,"self-calculated DF",IF(DP313=1,"external DF used","explicit C balance"))</f>
        <v>explicit C balance</v>
      </c>
      <c r="DV313">
        <v>1</v>
      </c>
      <c r="DW313">
        <v>1</v>
      </c>
      <c r="DX313">
        <v>1</v>
      </c>
      <c r="DY313">
        <v>1</v>
      </c>
      <c r="DZ313">
        <v>0</v>
      </c>
      <c r="EA313" s="143">
        <v>0</v>
      </c>
      <c r="EB313">
        <v>0</v>
      </c>
      <c r="EC313">
        <v>0</v>
      </c>
      <c r="ED313">
        <v>0</v>
      </c>
      <c r="EE313">
        <v>0</v>
      </c>
      <c r="EF313">
        <v>1</v>
      </c>
      <c r="EG313">
        <v>0</v>
      </c>
      <c r="EH313">
        <v>0</v>
      </c>
      <c r="EI313" s="2">
        <v>0</v>
      </c>
      <c r="EJ313" s="1"/>
      <c r="EK313" t="str">
        <f>IF(AND(AND(AND(OR($DX313=1,$DW313=1),OR($EC313=1,$EA313=1)),SUM($DV313:$DZ313,$EF313)&gt;=4),SUM($EA313:$EE313)&gt;=2),"Whole sector","")</f>
        <v/>
      </c>
      <c r="EL313" t="str">
        <f>IF(AND(AND(OR($DX313=1,$DW313=1),AND($EC313=0,$EA313=0)),SUM($DV313:$DZ313,$EF313)&gt;=4),"Ecosystem approach","")</f>
        <v>Ecosystem approach</v>
      </c>
      <c r="EM313" s="2" t="str">
        <f>IF(AND(AND(AND($DX313=0,$DW313=0),OR($EC313=1,$EA313=1)),SUM($EB313:$EE313)&gt;=2),"Technology approach","")</f>
        <v/>
      </c>
      <c r="EN313"/>
      <c r="EO313"/>
      <c r="EP313" t="str">
        <f>IF(ISNUMBER(BU313),IF(ABS(BU313-[2]QC_indicators!$B$2)&gt;3*[2]QC_indicators!$C$2,"C ratio",IF(ISNUMBER(BY313),IF(ABS(BY313-[2]QC_indicators!$B$1)&gt;3*[2]QC_indicators!$C$1,"DF","no"))),IF(ISNUMBER(BY313),IF(ABS(BY313-[2]QC_indicators!$B$1)&gt;3*[2]QC_indicators!$C$1,"DF","no")))</f>
        <v>no</v>
      </c>
      <c r="EQ313"/>
      <c r="ER313" t="s">
        <v>1373</v>
      </c>
      <c r="ES313"/>
      <c r="ET313" s="264" t="s">
        <v>3264</v>
      </c>
      <c r="EU313"/>
    </row>
    <row r="314" spans="1:151" s="139" customFormat="1" ht="15" customHeight="1">
      <c r="A314" s="1" t="s">
        <v>656</v>
      </c>
      <c r="B314" t="s">
        <v>657</v>
      </c>
      <c r="C314" t="s">
        <v>658</v>
      </c>
      <c r="D314" t="s">
        <v>659</v>
      </c>
      <c r="E314" t="s">
        <v>660</v>
      </c>
      <c r="F314" t="s">
        <v>661</v>
      </c>
      <c r="G314" t="s">
        <v>662</v>
      </c>
      <c r="H314" t="s">
        <v>254</v>
      </c>
      <c r="I314">
        <v>2021</v>
      </c>
      <c r="J314">
        <v>1</v>
      </c>
      <c r="K314" t="s">
        <v>663</v>
      </c>
      <c r="L314"/>
      <c r="M314" t="str">
        <f>LEFT($D314,FIND(",",$D314)-1)&amp;"_"&amp;I314&amp;L314</f>
        <v>Dolezal_2021</v>
      </c>
      <c r="N314" t="s">
        <v>222</v>
      </c>
      <c r="O314" s="145" t="s">
        <v>274</v>
      </c>
      <c r="P314"/>
      <c r="Q314" t="s">
        <v>256</v>
      </c>
      <c r="R314" s="255" t="s">
        <v>225</v>
      </c>
      <c r="S314" s="1" t="s">
        <v>664</v>
      </c>
      <c r="T314" t="s">
        <v>665</v>
      </c>
      <c r="U314" t="s">
        <v>182</v>
      </c>
      <c r="V314">
        <v>0</v>
      </c>
      <c r="W314">
        <v>0</v>
      </c>
      <c r="X314">
        <v>0</v>
      </c>
      <c r="Y314">
        <v>0</v>
      </c>
      <c r="Z314">
        <v>0</v>
      </c>
      <c r="AA314">
        <v>0</v>
      </c>
      <c r="AB314">
        <v>0</v>
      </c>
      <c r="AC314">
        <v>0</v>
      </c>
      <c r="AD314">
        <v>0</v>
      </c>
      <c r="AE314">
        <v>0</v>
      </c>
      <c r="AF314">
        <v>0</v>
      </c>
      <c r="AG314">
        <v>0</v>
      </c>
      <c r="AH314">
        <v>0</v>
      </c>
      <c r="AI314">
        <v>0</v>
      </c>
      <c r="AJ314">
        <v>0</v>
      </c>
      <c r="AK314">
        <v>1</v>
      </c>
      <c r="AL314">
        <v>0</v>
      </c>
      <c r="AM314">
        <v>0</v>
      </c>
      <c r="AN314">
        <v>0</v>
      </c>
      <c r="AO314">
        <v>0</v>
      </c>
      <c r="AP314">
        <v>0</v>
      </c>
      <c r="AQ314">
        <v>0</v>
      </c>
      <c r="AR314">
        <v>0</v>
      </c>
      <c r="AS314">
        <v>0</v>
      </c>
      <c r="AT314">
        <v>0</v>
      </c>
      <c r="AU314">
        <v>0</v>
      </c>
      <c r="AV314">
        <v>0</v>
      </c>
      <c r="AW314">
        <v>0</v>
      </c>
      <c r="AX314" s="141">
        <f>COUNTIF(V314:AW314,"&lt;&gt;0")</f>
        <v>1</v>
      </c>
      <c r="AY314" s="141">
        <f>COUNTIF(V314:AL314,"&lt;&gt;0")</f>
        <v>1</v>
      </c>
      <c r="AZ314">
        <f>COUNTIF(V314:AC314,"&lt;&gt;0")</f>
        <v>0</v>
      </c>
      <c r="BA314">
        <f>COUNTIF(AD314:AI314,"&lt;&gt;0")</f>
        <v>0</v>
      </c>
      <c r="BB314">
        <f>COUNTIF(AJ314:AL314,"&lt;&gt;0")</f>
        <v>1</v>
      </c>
      <c r="BC314">
        <f>COUNTIF(AS314:AW314,"&lt;&gt;0")</f>
        <v>0</v>
      </c>
      <c r="BD314">
        <f>COUNTIF(AM314:AR314,"&lt;&gt;0")</f>
        <v>0</v>
      </c>
      <c r="BE314" t="str">
        <f t="array" ref="BE314">IF(AY314=1,INDEX($V$7:$AL$7,MATCH(TRUE,INDEX($V314:$AW314&lt;&gt;0,),0)),IF(AY314=0,INDEX($AM$7:$AW$7,MATCH(1,$AM314:$AW314,0)),IF(BF314="Multiple strategies","mixed drivers",IF(BF314="Supply chain","multiple supply","multiple silviculture"))))</f>
        <v>technologies/design switch</v>
      </c>
      <c r="BF314" s="2" t="str" cm="1">
        <f t="array" ref="BF314">IF(COUNTIF(AZ314:BB314,"&lt;&gt;0")=1,INDEX($V$4:$AW$4,MATCH(TRUE,INDEX($V314:$AW314&lt;&gt;0,),0)),IF(COUNTIF(AZ314:BB314,"&lt;&gt;0")=0,INDEX($AM$4:$AW$4,MATCH(1,$AM314:$AW314,0)),"Multiple strategies"))</f>
        <v>Technology</v>
      </c>
      <c r="BG314" s="1" t="s">
        <v>229</v>
      </c>
      <c r="BH314" s="264" t="s">
        <v>259</v>
      </c>
      <c r="BI314" s="264" t="s">
        <v>3312</v>
      </c>
      <c r="BJ314" s="264" t="s">
        <v>651</v>
      </c>
      <c r="BK314" s="260">
        <v>0</v>
      </c>
      <c r="BL314" s="260">
        <v>528</v>
      </c>
      <c r="BM314" s="261"/>
      <c r="BN314" s="260">
        <f>BL314-BK314</f>
        <v>528</v>
      </c>
      <c r="BO314" s="260">
        <f>BN314*t_to_m3</f>
        <v>1077.5510204081634</v>
      </c>
      <c r="BP314" s="260" t="s">
        <v>395</v>
      </c>
      <c r="BQ314" s="260" t="s">
        <v>3313</v>
      </c>
      <c r="BR314" s="260" t="s">
        <v>3314</v>
      </c>
      <c r="BS314" s="260">
        <f>(57+1942+29)*3528.65</f>
        <v>7156102.2000000002</v>
      </c>
      <c r="BT314" s="260">
        <f>(51+1942+44)*3528.65</f>
        <v>7187860.0499999998</v>
      </c>
      <c r="BU314" s="144">
        <f>IFERROR(BT314/BS314,"")</f>
        <v>1.0044378698224852</v>
      </c>
      <c r="BV314">
        <f>BT314-BS314</f>
        <v>31757.849999999627</v>
      </c>
      <c r="BW314"/>
      <c r="BX314">
        <f>BV314/1000</f>
        <v>31.757849999999628</v>
      </c>
      <c r="BY314">
        <f>IFERROR(BX314/BO314,"")</f>
        <v>2.947224715909056E-2</v>
      </c>
      <c r="BZ314">
        <v>0</v>
      </c>
      <c r="CA314">
        <v>0</v>
      </c>
      <c r="CB314">
        <v>0</v>
      </c>
      <c r="CC314">
        <v>0</v>
      </c>
      <c r="CD314">
        <v>0</v>
      </c>
      <c r="CE314">
        <v>0</v>
      </c>
      <c r="CF314">
        <v>0</v>
      </c>
      <c r="CG314">
        <v>0</v>
      </c>
      <c r="CH314">
        <v>0</v>
      </c>
      <c r="CI314">
        <v>0</v>
      </c>
      <c r="CJ314">
        <v>0</v>
      </c>
      <c r="CK314">
        <v>0</v>
      </c>
      <c r="CL314">
        <v>0</v>
      </c>
      <c r="CM314">
        <v>0</v>
      </c>
      <c r="CN314" t="str">
        <f>IF($BL314&lt;$BK314,"refNeedCorrection","refOK")</f>
        <v>refOK</v>
      </c>
      <c r="CO314">
        <f>IF($CN314="refNeedCorrection",BL314,BK314)</f>
        <v>0</v>
      </c>
      <c r="CP314">
        <f>IF($CN314="refNeedCorrection",BK314,BL314)</f>
        <v>528</v>
      </c>
      <c r="CQ314">
        <f>IF($CN314="refOK",$BO314,-$BO314)</f>
        <v>1077.5510204081634</v>
      </c>
      <c r="CR314">
        <f>IF($CN314="refOK",$BS314,$BT314)*IF($BP314="Emissions positive",-1,1)</f>
        <v>-7156102.2000000002</v>
      </c>
      <c r="CS314">
        <f>IF($CN314="refOK",$BT314,$BS314)*IF($BP314="Emissions positive",-1,1)</f>
        <v>-7187860.0499999998</v>
      </c>
      <c r="CT314">
        <f>IF($CN314="refNeedCorrection",-BX314,BX314)*IF($BP314="Emissions positive",-1,1)</f>
        <v>-31.757849999999628</v>
      </c>
      <c r="CU314">
        <f>IFERROR(CT314/CQ314,"")</f>
        <v>-2.947224715909056E-2</v>
      </c>
      <c r="CV314" s="2">
        <f>IFERROR((CS314-CR314)/ABS(CR314),"")</f>
        <v>-4.4378698224851552E-3</v>
      </c>
      <c r="CW314" s="1" t="s">
        <v>263</v>
      </c>
      <c r="CX314" t="str">
        <f>IF(OR($CW314="prd",$CW314="std",$CW314="cit"),"loc",IF(OR($CW314="eur",$CW314="reg",$CW314="coy"),"reg",$CW314))</f>
        <v>loc</v>
      </c>
      <c r="CY314" t="s">
        <v>666</v>
      </c>
      <c r="CZ314"/>
      <c r="DA314"/>
      <c r="DB314">
        <v>100</v>
      </c>
      <c r="DC314" t="str">
        <f>IF(DB314=0,"0",IF(AND(DB314&gt;=1,DB314&lt;=30),"1-30",IF(AND(DB314&gt;30,DB314&lt;=70),"31-70",IF(AND(DB314&gt;70,DB314&lt;=100),"71-100",IF(DB314&gt;100,"+100")))))</f>
        <v>71-100</v>
      </c>
      <c r="DD314">
        <v>0</v>
      </c>
      <c r="DE314">
        <v>0</v>
      </c>
      <c r="DF314">
        <v>0</v>
      </c>
      <c r="DG314">
        <v>1</v>
      </c>
      <c r="DH314"/>
      <c r="DI314">
        <f>SUM(DD314:DG314)</f>
        <v>1</v>
      </c>
      <c r="DJ314" t="str">
        <f>IF(DI314=1,INDEX($DD$7:$DG$7,MATCH(1,$DD314:$DG314,0)),"mixedProduct")</f>
        <v>TimberInput</v>
      </c>
      <c r="DK314">
        <f>IF(DD314=1,DK$7,0)</f>
        <v>0</v>
      </c>
      <c r="DL314">
        <f>IF(DE314=1,DL$7,0)</f>
        <v>0</v>
      </c>
      <c r="DM314">
        <f>IF(DF314=1,DM$7,0)</f>
        <v>0</v>
      </c>
      <c r="DN314" t="str">
        <f>IF(DG314=1,DN$7,0)</f>
        <v>Timber</v>
      </c>
      <c r="DO314">
        <v>0</v>
      </c>
      <c r="DP314">
        <v>0</v>
      </c>
      <c r="DQ314">
        <v>0</v>
      </c>
      <c r="DR314">
        <v>0</v>
      </c>
      <c r="DS314">
        <v>0</v>
      </c>
      <c r="DT314">
        <f>SUM(DO314:DP314)</f>
        <v>0</v>
      </c>
      <c r="DU314" s="143" t="str">
        <f>IF(DO314=1,"self-calculated DF",IF(DP314=1,"external DF used","explicit C balance"))</f>
        <v>explicit C balance</v>
      </c>
      <c r="DV314">
        <v>0</v>
      </c>
      <c r="DW314">
        <v>0</v>
      </c>
      <c r="DX314">
        <v>0</v>
      </c>
      <c r="DY314">
        <v>0</v>
      </c>
      <c r="DZ314">
        <v>0</v>
      </c>
      <c r="EA314">
        <v>1</v>
      </c>
      <c r="EB314">
        <v>0</v>
      </c>
      <c r="EC314">
        <v>1</v>
      </c>
      <c r="ED314">
        <v>0</v>
      </c>
      <c r="EE314">
        <v>1</v>
      </c>
      <c r="EF314" s="260">
        <v>0</v>
      </c>
      <c r="EG314" s="260">
        <v>0</v>
      </c>
      <c r="EH314">
        <v>0</v>
      </c>
      <c r="EI314" s="2">
        <v>0</v>
      </c>
      <c r="EJ314" s="1"/>
      <c r="EK314" t="str">
        <f>IF(AND(AND(AND(OR($DX314=1,$DW314=1),OR($EC314=1,$EA314=1)),SUM($DV314:$DZ314,$EF314)&gt;=4),SUM($EA314:$EE314)&gt;=2),"Whole sector","")</f>
        <v/>
      </c>
      <c r="EL314" t="str">
        <f>IF(AND(AND(OR($DX314=1,$DW314=1),AND($EC314=0,$EA314=0)),SUM($DV314:$DZ314,$EF314)&gt;=4),"Ecosystem approach","")</f>
        <v/>
      </c>
      <c r="EM314" s="2" t="str">
        <f>IF(AND(AND(AND($DX314=0,$DW314=0),OR($EC314=1,$EA314=1)),SUM($EB314:$EE314)&gt;=2),"Technology approach","")</f>
        <v>Technology approach</v>
      </c>
      <c r="EN314"/>
      <c r="EO314"/>
      <c r="EP314" t="str">
        <f>IF(ISNUMBER(BU314),IF(ABS(BU314-[4]QC_indicators!$B$2)&gt;3*[4]QC_indicators!$C$2,"C ratio",IF(ISNUMBER(BY314),IF(ABS(BY314-[4]QC_indicators!$B$1)&gt;3*[4]QC_indicators!$C$1,"DF","no"))),IF(ISNUMBER(BY314),IF(ABS(BY314-[4]QC_indicators!$B$1)&gt;3*[4]QC_indicators!$C$1,"DF","no")))</f>
        <v>no</v>
      </c>
      <c r="EQ314"/>
      <c r="ER314"/>
      <c r="ES314"/>
      <c r="ET314" s="264" t="s">
        <v>3273</v>
      </c>
      <c r="EU314"/>
    </row>
    <row r="315" spans="1:151" s="139" customFormat="1" ht="15" customHeight="1">
      <c r="A315" s="1" t="s">
        <v>412</v>
      </c>
      <c r="B315" t="s">
        <v>413</v>
      </c>
      <c r="C315" t="s">
        <v>414</v>
      </c>
      <c r="D315" t="s">
        <v>415</v>
      </c>
      <c r="E315" t="s">
        <v>416</v>
      </c>
      <c r="F315" t="s">
        <v>417</v>
      </c>
      <c r="G315" t="s">
        <v>418</v>
      </c>
      <c r="H315" t="s">
        <v>254</v>
      </c>
      <c r="I315">
        <v>2022</v>
      </c>
      <c r="J315">
        <v>4</v>
      </c>
      <c r="K315" t="s">
        <v>419</v>
      </c>
      <c r="L315"/>
      <c r="M315" t="str">
        <f>LEFT($D315,FIND(",",$D315)-1)&amp;"_"&amp;I315&amp;L315</f>
        <v>Bergman_2022</v>
      </c>
      <c r="N315" t="s">
        <v>222</v>
      </c>
      <c r="O315" s="145" t="s">
        <v>223</v>
      </c>
      <c r="P315"/>
      <c r="Q315" t="s">
        <v>389</v>
      </c>
      <c r="R315" s="255" t="s">
        <v>225</v>
      </c>
      <c r="S315" s="1" t="s">
        <v>420</v>
      </c>
      <c r="T315" t="s">
        <v>421</v>
      </c>
      <c r="U315" t="s">
        <v>422</v>
      </c>
      <c r="V315">
        <v>0</v>
      </c>
      <c r="W315">
        <v>0</v>
      </c>
      <c r="X315">
        <v>0</v>
      </c>
      <c r="Y315">
        <v>0</v>
      </c>
      <c r="Z315">
        <v>0</v>
      </c>
      <c r="AA315">
        <v>0</v>
      </c>
      <c r="AB315">
        <v>0</v>
      </c>
      <c r="AC315">
        <v>0</v>
      </c>
      <c r="AD315">
        <v>0</v>
      </c>
      <c r="AE315">
        <v>0</v>
      </c>
      <c r="AF315">
        <v>0</v>
      </c>
      <c r="AG315">
        <v>0</v>
      </c>
      <c r="AH315">
        <v>0</v>
      </c>
      <c r="AI315">
        <v>0</v>
      </c>
      <c r="AJ315">
        <v>1</v>
      </c>
      <c r="AK315">
        <v>0</v>
      </c>
      <c r="AL315">
        <v>0</v>
      </c>
      <c r="AM315">
        <v>0</v>
      </c>
      <c r="AN315">
        <v>0</v>
      </c>
      <c r="AO315">
        <v>0</v>
      </c>
      <c r="AP315">
        <v>0</v>
      </c>
      <c r="AQ315">
        <v>0</v>
      </c>
      <c r="AR315">
        <v>0</v>
      </c>
      <c r="AS315">
        <v>0</v>
      </c>
      <c r="AT315">
        <v>0</v>
      </c>
      <c r="AU315">
        <v>0</v>
      </c>
      <c r="AV315">
        <v>0</v>
      </c>
      <c r="AW315">
        <v>0</v>
      </c>
      <c r="AX315" s="141">
        <f>COUNTIF(V315:AW315,"&lt;&gt;0")</f>
        <v>1</v>
      </c>
      <c r="AY315" s="141">
        <f>COUNTIF(V315:AL315,"&lt;&gt;0")</f>
        <v>1</v>
      </c>
      <c r="AZ315">
        <f>COUNTIF(V315:AC315,"&lt;&gt;0")</f>
        <v>0</v>
      </c>
      <c r="BA315">
        <f>COUNTIF(AD315:AI315,"&lt;&gt;0")</f>
        <v>0</v>
      </c>
      <c r="BB315">
        <f>COUNTIF(AJ315:AL315,"&lt;&gt;0")</f>
        <v>1</v>
      </c>
      <c r="BC315">
        <f>COUNTIF(AS315:AW315,"&lt;&gt;0")</f>
        <v>0</v>
      </c>
      <c r="BD315">
        <f>COUNTIF(AM315:AR315,"&lt;&gt;0")</f>
        <v>0</v>
      </c>
      <c r="BE315" t="str">
        <f t="array" ref="BE315">IF(AY315=1,INDEX($V$7:$AL$7,MATCH(TRUE,INDEX($V315:$AW315&lt;&gt;0,),0)),IF(AY315=0,INDEX($AM$7:$AW$7,MATCH(1,$AM315:$AW315,0)),IF(BF315="Multiple strategies","mixed drivers",IF(BF315="Supply chain","multiple supply","multiple silviculture"))))</f>
        <v>efficiency improvement</v>
      </c>
      <c r="BF315" s="2" t="str" cm="1">
        <f t="array" ref="BF315">IF(COUNTIF(AZ315:BB315,"&lt;&gt;0")=1,INDEX($V$4:$AW$4,MATCH(TRUE,INDEX($V315:$AW315&lt;&gt;0,),0)),IF(COUNTIF(AZ315:BB315,"&lt;&gt;0")=0,INDEX($AM$4:$AW$4,MATCH(1,$AM315:$AW315,0)),"Multiple strategies"))</f>
        <v>Technology</v>
      </c>
      <c r="BG315" s="1" t="s">
        <v>229</v>
      </c>
      <c r="BH315" t="s">
        <v>423</v>
      </c>
      <c r="BI315" t="s">
        <v>424</v>
      </c>
      <c r="BJ315" t="s">
        <v>425</v>
      </c>
      <c r="BK315">
        <v>5932</v>
      </c>
      <c r="BL315">
        <v>15385</v>
      </c>
      <c r="BM315"/>
      <c r="BN315">
        <f>BL315-BK315</f>
        <v>9453</v>
      </c>
      <c r="BO315">
        <f>BN315*kg_to_m3</f>
        <v>19.291836734693881</v>
      </c>
      <c r="BP315" t="s">
        <v>395</v>
      </c>
      <c r="BQ315" s="339" t="s">
        <v>3272</v>
      </c>
      <c r="BR315" t="s">
        <v>427</v>
      </c>
      <c r="BS315">
        <f>84+16+242+53+48</f>
        <v>443</v>
      </c>
      <c r="BT315">
        <f>260+641+60+48</f>
        <v>1009</v>
      </c>
      <c r="BU315" s="144">
        <f>IFERROR(BT315/BS315,"")</f>
        <v>2.2776523702031604</v>
      </c>
      <c r="BV315">
        <f>BT315-BS315</f>
        <v>566</v>
      </c>
      <c r="BW315"/>
      <c r="BX315">
        <f>BV315/1000</f>
        <v>0.56599999999999995</v>
      </c>
      <c r="BY315">
        <f>IFERROR(BX315/BO315,"")</f>
        <v>2.9338834232518769E-2</v>
      </c>
      <c r="BZ315">
        <v>0</v>
      </c>
      <c r="CA315">
        <v>0</v>
      </c>
      <c r="CB315">
        <v>0</v>
      </c>
      <c r="CC315">
        <v>0</v>
      </c>
      <c r="CD315">
        <v>0</v>
      </c>
      <c r="CE315">
        <v>0</v>
      </c>
      <c r="CF315">
        <v>0</v>
      </c>
      <c r="CG315">
        <v>0</v>
      </c>
      <c r="CH315">
        <v>0</v>
      </c>
      <c r="CI315">
        <v>0</v>
      </c>
      <c r="CJ315">
        <v>0</v>
      </c>
      <c r="CK315">
        <v>0</v>
      </c>
      <c r="CL315">
        <v>0</v>
      </c>
      <c r="CM315">
        <v>0</v>
      </c>
      <c r="CN315" t="str">
        <f>IF($BL315&lt;$BL314,"refNeedCorrection","refOK")</f>
        <v>refOK</v>
      </c>
      <c r="CO315"/>
      <c r="CP315"/>
      <c r="CQ315">
        <f>IF($CN315="refOK",$BO315,-$BO315)</f>
        <v>19.291836734693881</v>
      </c>
      <c r="CR315">
        <f>IF($CN315="refOK",$BT315,$BS315)*IF($BP315="Emissions positive",-1,1)</f>
        <v>-1009</v>
      </c>
      <c r="CS315">
        <f>IF($CN315="refOK",$BS315,$BT315)*IF($BP315="Emissions positive",-1,1)</f>
        <v>-443</v>
      </c>
      <c r="CT315">
        <f>IF($CN315="refNeedCorrection",-BX315,BX315)*IF($BP315="Emissions positive",-1,1)</f>
        <v>-0.56599999999999995</v>
      </c>
      <c r="CU315">
        <f>IFERROR(CT315/CQ315,"")</f>
        <v>-2.9338834232518769E-2</v>
      </c>
      <c r="CV315" s="2">
        <f>IFERROR((CS315-CR315)/ABS(CR315),"")</f>
        <v>0.56095143706640238</v>
      </c>
      <c r="CW315" s="1" t="s">
        <v>263</v>
      </c>
      <c r="CX315" t="str">
        <f>IF(OR($CW315="prd",$CW315="std",$CW315="cit"),"loc",IF(OR($CW315="eur",$CW315="reg",$CW315="coy"),"reg",$CW315))</f>
        <v>loc</v>
      </c>
      <c r="CY315" t="s">
        <v>428</v>
      </c>
      <c r="CZ315"/>
      <c r="DA315"/>
      <c r="DB315">
        <v>0</v>
      </c>
      <c r="DC315" t="str">
        <f>IF(DB315=0,"0",IF(AND(DB315&gt;=1,DB315&lt;=30),"1-30",IF(AND(DB315&gt;30,DB315&lt;=70),"31-70",IF(AND(DB315&gt;70,DB315&lt;=100),"71-100",IF(DB315&gt;100,"+100")))))</f>
        <v>0</v>
      </c>
      <c r="DD315">
        <v>0</v>
      </c>
      <c r="DE315">
        <v>1</v>
      </c>
      <c r="DF315">
        <v>0</v>
      </c>
      <c r="DG315">
        <v>0</v>
      </c>
      <c r="DH315">
        <v>0</v>
      </c>
      <c r="DI315">
        <f>SUM(DD315:DH315)</f>
        <v>1</v>
      </c>
      <c r="DJ315" t="str">
        <f>IF(DI315=1,INDEX($DD$7:$DG$7,MATCH(1,$DD315:$DG315,0)),"mixedProduct")</f>
        <v>EnergyInput</v>
      </c>
      <c r="DK315">
        <f>IF(DD315=1,DK$7,0)</f>
        <v>0</v>
      </c>
      <c r="DL315" t="str">
        <f>IF(DE315=1,DL$7,0)</f>
        <v>Energy</v>
      </c>
      <c r="DM315">
        <f>IF(DF315=1,DM$7,0)</f>
        <v>0</v>
      </c>
      <c r="DN315">
        <f>IF(DG315=1,DN$7,0)</f>
        <v>0</v>
      </c>
      <c r="DO315">
        <v>0</v>
      </c>
      <c r="DP315">
        <v>0</v>
      </c>
      <c r="DQ315">
        <v>0</v>
      </c>
      <c r="DR315">
        <v>0</v>
      </c>
      <c r="DS315">
        <v>0</v>
      </c>
      <c r="DT315">
        <f>SUM(DO315:DP315)</f>
        <v>0</v>
      </c>
      <c r="DU315" t="str">
        <f>IF(DO315=1,"self-calculated DF",IF(DP315=1,"external DF used","explicit C balance"))</f>
        <v>explicit C balance</v>
      </c>
      <c r="DV315">
        <v>0</v>
      </c>
      <c r="DW315">
        <v>1</v>
      </c>
      <c r="DX315">
        <v>0</v>
      </c>
      <c r="DY315">
        <v>0</v>
      </c>
      <c r="DZ315">
        <v>1</v>
      </c>
      <c r="EA315" s="143">
        <v>0</v>
      </c>
      <c r="EB315">
        <v>1</v>
      </c>
      <c r="EC315">
        <v>1</v>
      </c>
      <c r="ED315">
        <v>0</v>
      </c>
      <c r="EE315">
        <v>0</v>
      </c>
      <c r="EF315">
        <v>0</v>
      </c>
      <c r="EG315">
        <v>0</v>
      </c>
      <c r="EH315">
        <v>0</v>
      </c>
      <c r="EI315" s="2">
        <v>0</v>
      </c>
      <c r="EJ315" s="1"/>
      <c r="EK315" t="str">
        <f>IF(AND(AND(AND(OR($DX315=1,$DW315=1),OR($EC315=1,$EA315=1)),SUM($DV315:$DZ315,$EF315)&gt;=4),SUM($EA315:$EE315)&gt;=2),"Whole sector","")</f>
        <v/>
      </c>
      <c r="EL315" t="str">
        <f>IF(AND(AND(OR($DX315=1,$DW315=1),AND($EC315=0,$EA315=0)),SUM($DV315:$DZ315,$EF315)&gt;=4),"Ecosystem approach","")</f>
        <v/>
      </c>
      <c r="EM315" s="2" t="str">
        <f>IF(AND(AND(AND($DX315=0,$DW315=0),OR($EC315=1,$EA315=1)),SUM($EB315:$EE315)&gt;=2),"Technology approach","")</f>
        <v/>
      </c>
      <c r="EN315"/>
      <c r="EO315"/>
      <c r="EP315" t="str">
        <f>IF(ISNUMBER(BU315),IF(ABS(BU315-[4]QC_indicators!$B$2)&gt;3*[4]QC_indicators!$C$2,"C ratio",IF(ISNUMBER(BY315),IF(ABS(BY315-[4]QC_indicators!$B$1)&gt;3*[4]QC_indicators!$C$1,"DF","no"))),IF(ISNUMBER(BY315),IF(ABS(BY315-[4]QC_indicators!$B$1)&gt;3*[4]QC_indicators!$C$1,"DF","no")))</f>
        <v>no</v>
      </c>
      <c r="EQ315"/>
      <c r="ER315"/>
      <c r="ES315"/>
      <c r="ET315" s="264" t="s">
        <v>3273</v>
      </c>
      <c r="EU315"/>
    </row>
    <row r="316" spans="1:151" s="139" customFormat="1" ht="15" customHeight="1">
      <c r="A316" s="1" t="s">
        <v>1808</v>
      </c>
      <c r="B316" t="s">
        <v>1809</v>
      </c>
      <c r="C316" t="s">
        <v>1810</v>
      </c>
      <c r="D316" t="s">
        <v>1811</v>
      </c>
      <c r="E316" t="s">
        <v>1812</v>
      </c>
      <c r="F316" t="s">
        <v>1813</v>
      </c>
      <c r="G316" t="s">
        <v>1814</v>
      </c>
      <c r="H316" t="s">
        <v>254</v>
      </c>
      <c r="I316">
        <v>2014</v>
      </c>
      <c r="J316">
        <v>15</v>
      </c>
      <c r="K316" t="s">
        <v>1815</v>
      </c>
      <c r="L316"/>
      <c r="M316" t="str">
        <f>LEFT($D316,FIND(",",$D316)-1)&amp;"_"&amp;I316&amp;L316</f>
        <v>Kayo_2014</v>
      </c>
      <c r="N316" t="s">
        <v>222</v>
      </c>
      <c r="O316" s="171" t="s">
        <v>513</v>
      </c>
      <c r="P316" t="s">
        <v>960</v>
      </c>
      <c r="Q316" t="s">
        <v>389</v>
      </c>
      <c r="R316" s="262" t="s">
        <v>223</v>
      </c>
      <c r="S316" s="1" t="s">
        <v>1816</v>
      </c>
      <c r="T316" t="s">
        <v>1111</v>
      </c>
      <c r="U316" s="264" t="s">
        <v>3144</v>
      </c>
      <c r="V316">
        <v>0</v>
      </c>
      <c r="W316">
        <v>0</v>
      </c>
      <c r="X316">
        <v>0</v>
      </c>
      <c r="Y316">
        <v>0</v>
      </c>
      <c r="Z316">
        <v>0</v>
      </c>
      <c r="AA316">
        <v>0</v>
      </c>
      <c r="AB316">
        <v>0</v>
      </c>
      <c r="AC316">
        <v>0</v>
      </c>
      <c r="AD316">
        <v>0</v>
      </c>
      <c r="AE316">
        <v>0</v>
      </c>
      <c r="AF316">
        <v>1</v>
      </c>
      <c r="AG316">
        <v>0</v>
      </c>
      <c r="AH316">
        <v>0</v>
      </c>
      <c r="AI316">
        <v>0</v>
      </c>
      <c r="AJ316">
        <v>0</v>
      </c>
      <c r="AK316">
        <v>0</v>
      </c>
      <c r="AL316">
        <v>0</v>
      </c>
      <c r="AM316">
        <v>0</v>
      </c>
      <c r="AN316">
        <v>0</v>
      </c>
      <c r="AO316">
        <v>0</v>
      </c>
      <c r="AP316">
        <v>0</v>
      </c>
      <c r="AQ316">
        <v>0</v>
      </c>
      <c r="AR316">
        <v>0</v>
      </c>
      <c r="AS316">
        <v>0</v>
      </c>
      <c r="AT316">
        <v>0</v>
      </c>
      <c r="AU316">
        <v>0</v>
      </c>
      <c r="AV316">
        <v>0</v>
      </c>
      <c r="AW316">
        <v>0</v>
      </c>
      <c r="AX316" s="141">
        <f>COUNTIF(V316:AW316,"&lt;&gt;0")</f>
        <v>1</v>
      </c>
      <c r="AY316" s="141">
        <f>COUNTIF(V316:AL316,"&lt;&gt;0")</f>
        <v>1</v>
      </c>
      <c r="AZ316">
        <f>COUNTIF(V316:AC316,"&lt;&gt;0")</f>
        <v>0</v>
      </c>
      <c r="BA316">
        <f>COUNTIF(AD316:AI316,"&lt;&gt;0")</f>
        <v>1</v>
      </c>
      <c r="BB316">
        <f>COUNTIF(AJ316:AL316,"&lt;&gt;0")</f>
        <v>0</v>
      </c>
      <c r="BC316">
        <f>COUNTIF(AS316:AW316,"&lt;&gt;0")</f>
        <v>0</v>
      </c>
      <c r="BD316">
        <f>COUNTIF(AM316:AR316,"&lt;&gt;0")</f>
        <v>0</v>
      </c>
      <c r="BE316" t="str">
        <f t="array" ref="BE316">IF(AY316=1,INDEX($V$7:$AL$7,MATCH(TRUE,INDEX($V316:$AW316&lt;&gt;0,),0)),IF(AY316=0,INDEX($AM$7:$AW$7,MATCH(1,$AM316:$AW316,0)),IF(BF316="Multiple strategies","mixed drivers",IF(BF316="Supply chain","multiple supply","multiple silviculture"))))</f>
        <v>supply chain organization</v>
      </c>
      <c r="BF316" s="2" t="str" cm="1">
        <f t="array" ref="BF316">IF(COUNTIF(AZ316:BB316,"&lt;&gt;0")=1,INDEX($V$4:$AW$4,MATCH(TRUE,INDEX($V316:$AW316&lt;&gt;0,),0)),IF(COUNTIF(AZ316:BB316,"&lt;&gt;0")=0,INDEX($AM$4:$AW$4,MATCH(1,$AM316:$AW316,0)),"Multiple strategies"))</f>
        <v>Supply chain</v>
      </c>
      <c r="BG316" s="1" t="s">
        <v>229</v>
      </c>
      <c r="BH316" t="s">
        <v>1817</v>
      </c>
      <c r="BI316" s="264" t="s">
        <v>3145</v>
      </c>
      <c r="BJ316" t="s">
        <v>1818</v>
      </c>
      <c r="BK316">
        <v>18260000</v>
      </c>
      <c r="BL316">
        <v>27430000</v>
      </c>
      <c r="BM316" t="s">
        <v>544</v>
      </c>
      <c r="BN316">
        <f>BL316-BK316</f>
        <v>9170000</v>
      </c>
      <c r="BO316">
        <f>BN316</f>
        <v>9170000</v>
      </c>
      <c r="BP316" t="s">
        <v>395</v>
      </c>
      <c r="BQ316" s="264" t="s">
        <v>3146</v>
      </c>
      <c r="BR316" s="264" t="s">
        <v>3147</v>
      </c>
      <c r="BS316">
        <v>122.86</v>
      </c>
      <c r="BT316">
        <v>194.34</v>
      </c>
      <c r="BU316" s="144"/>
      <c r="BV316" s="152">
        <f>BT316-BS316</f>
        <v>71.48</v>
      </c>
      <c r="BW316"/>
      <c r="BX316" s="152">
        <f>BV316*10^3*C_to_CO2</f>
        <v>262331.59999999998</v>
      </c>
      <c r="BY316">
        <f>IFERROR(BX316/BO316,"")</f>
        <v>2.860758996728462E-2</v>
      </c>
      <c r="BZ316">
        <v>0</v>
      </c>
      <c r="CA316">
        <v>0</v>
      </c>
      <c r="CB316">
        <v>0</v>
      </c>
      <c r="CC316">
        <v>0</v>
      </c>
      <c r="CD316">
        <v>0</v>
      </c>
      <c r="CE316">
        <v>0</v>
      </c>
      <c r="CF316">
        <v>0</v>
      </c>
      <c r="CG316">
        <v>0</v>
      </c>
      <c r="CH316">
        <v>0</v>
      </c>
      <c r="CI316">
        <v>0</v>
      </c>
      <c r="CJ316">
        <v>0</v>
      </c>
      <c r="CK316">
        <v>0</v>
      </c>
      <c r="CL316">
        <v>0</v>
      </c>
      <c r="CM316">
        <v>0</v>
      </c>
      <c r="CN316" t="str">
        <f>IF($BL316&lt;$BK316,"refNeedCorrection","refOK")</f>
        <v>refOK</v>
      </c>
      <c r="CO316">
        <f>IF($CN316="refOK",$BK316,$BL316)</f>
        <v>18260000</v>
      </c>
      <c r="CP316">
        <f>IF($CN316="refOK",$BL316,$BK316)</f>
        <v>27430000</v>
      </c>
      <c r="CQ316">
        <f>IF($CN316="refOK",$BO316,-$BO316)</f>
        <v>9170000</v>
      </c>
      <c r="CR316">
        <f>IF($CN316="refOK",$BT316,$BS316)*IF($BP316="Emissions positive",-1,1)</f>
        <v>-194.34</v>
      </c>
      <c r="CS316">
        <f>IF($CN316="refOK",$BS316,$BT316)*IF($BP316="Emissions positive",-1,1)</f>
        <v>-122.86</v>
      </c>
      <c r="CT316">
        <f>IF($CN316="refNeedCorrection",-BX316,BX316)*IF($BP316="Emissions positive",-1,1)</f>
        <v>-262331.59999999998</v>
      </c>
      <c r="CU316">
        <f>IFERROR(CT316/CQ316,"")</f>
        <v>-2.860758996728462E-2</v>
      </c>
      <c r="CV316" s="2">
        <f>IFERROR((CS316-CR316)/ABS(CR316),"")</f>
        <v>0.3678089945456417</v>
      </c>
      <c r="CW316" s="1" t="s">
        <v>1199</v>
      </c>
      <c r="CX316" t="str">
        <f>IF(OR($CW316="prd",$CW316="std",$CW316="cit"),"loc",IF(OR($CW316="eur",$CW316="reg",$CW316="coy"),"reg",$CW316))</f>
        <v>reg</v>
      </c>
      <c r="CY316" t="s">
        <v>961</v>
      </c>
      <c r="CZ316">
        <v>2050</v>
      </c>
      <c r="DA316">
        <v>2050</v>
      </c>
      <c r="DB316">
        <v>1</v>
      </c>
      <c r="DC316" t="str">
        <f>IF(DB316=0,"0",IF(AND(DB316&gt;=1,DB316&lt;=30),"1-30",IF(AND(DB316&gt;30,DB316&lt;=70),"31-70",IF(AND(DB316&gt;70,DB316&lt;=100),"71-100",IF(DB316&gt;100,"+100")))))</f>
        <v>1-30</v>
      </c>
      <c r="DD316">
        <v>0</v>
      </c>
      <c r="DE316">
        <v>1</v>
      </c>
      <c r="DF316">
        <v>1</v>
      </c>
      <c r="DG316">
        <v>1</v>
      </c>
      <c r="DH316">
        <v>0</v>
      </c>
      <c r="DI316">
        <f>SUM(DD316:DH316)</f>
        <v>3</v>
      </c>
      <c r="DJ316" t="str">
        <f>IF(DI316=1,INDEX($DD$7:$DG$7,MATCH(1,$DD316:$DG316,0)),"mixedProduct")</f>
        <v>mixedProduct</v>
      </c>
      <c r="DK316">
        <f>IF(DD316=1,DK$7,0)</f>
        <v>0</v>
      </c>
      <c r="DL316" t="str">
        <f>IF(DE316=1,DL$7,0)</f>
        <v>Energy</v>
      </c>
      <c r="DM316" t="str">
        <f>IF(DF316=1,DM$7,0)</f>
        <v>Pulp/Paper</v>
      </c>
      <c r="DN316" t="str">
        <f>IF(DG316=1,DN$7,0)</f>
        <v>Timber</v>
      </c>
      <c r="DO316">
        <v>0</v>
      </c>
      <c r="DP316">
        <v>0</v>
      </c>
      <c r="DQ316">
        <v>0</v>
      </c>
      <c r="DR316">
        <v>0</v>
      </c>
      <c r="DS316">
        <v>0</v>
      </c>
      <c r="DT316">
        <f>SUM(DO316:DP316)</f>
        <v>0</v>
      </c>
      <c r="DU316" s="143" t="s">
        <v>962</v>
      </c>
      <c r="DV316">
        <v>0</v>
      </c>
      <c r="DW316">
        <v>0</v>
      </c>
      <c r="DX316">
        <v>0</v>
      </c>
      <c r="DY316">
        <v>0</v>
      </c>
      <c r="DZ316">
        <v>0</v>
      </c>
      <c r="EA316" s="143">
        <v>0</v>
      </c>
      <c r="EB316">
        <v>0</v>
      </c>
      <c r="EC316">
        <v>1</v>
      </c>
      <c r="ED316">
        <v>0</v>
      </c>
      <c r="EE316">
        <v>0</v>
      </c>
      <c r="EF316">
        <v>0</v>
      </c>
      <c r="EG316">
        <v>0</v>
      </c>
      <c r="EH316">
        <v>0</v>
      </c>
      <c r="EI316" s="2">
        <v>0</v>
      </c>
      <c r="EJ316" s="1"/>
      <c r="EK316" t="str">
        <f>IF(AND(AND(AND(OR($DX316=1,$DW316=1),OR($EC316=1,$EA316=1)),SUM($DV316:$DZ316,$EF316)&gt;=4),SUM($EA316:$EE316)&gt;=2),"Whole sector","")</f>
        <v/>
      </c>
      <c r="EL316" t="str">
        <f>IF(AND(AND(OR($DX316=1,$DW316=1),AND($EC316=0,$EA316=0)),SUM($DV316:$DZ316,$EF316)&gt;=4),"Ecosystem approach","")</f>
        <v/>
      </c>
      <c r="EM316" s="2" t="str">
        <f>IF(AND(AND(AND($DX316=0,$DW316=0),OR($EC316=1,$EA316=1)),SUM($EB316:$EE316)&gt;=2),"Technology approach","")</f>
        <v/>
      </c>
      <c r="EN316"/>
      <c r="EO316"/>
      <c r="EP316" t="str">
        <f>IF(ISNUMBER(BU316),IF(ABS(BU316-[1]QC_indicators!$B$2)&gt;3*[1]QC_indicators!$C$2,"C ratio",IF(ISNUMBER(BY316),IF(ABS(BY316-[1]QC_indicators!$B$1)&gt;3*[1]QC_indicators!$C$1,"DF","no"))),IF(ISNUMBER(BY316),IF(ABS(BY316-[1]QC_indicators!$B$1)&gt;3*[1]QC_indicators!$C$1,"DF","no")))</f>
        <v>no</v>
      </c>
      <c r="EQ316"/>
      <c r="ER316"/>
      <c r="ES316"/>
      <c r="ET316" s="264" t="s">
        <v>3148</v>
      </c>
      <c r="EU316"/>
    </row>
    <row r="317" spans="1:151" s="139" customFormat="1" ht="15" customHeight="1">
      <c r="A317" s="1" t="s">
        <v>265</v>
      </c>
      <c r="B317" t="s">
        <v>1531</v>
      </c>
      <c r="C317" t="s">
        <v>1532</v>
      </c>
      <c r="D317" t="s">
        <v>1533</v>
      </c>
      <c r="E317" t="s">
        <v>1534</v>
      </c>
      <c r="F317" t="s">
        <v>1535</v>
      </c>
      <c r="G317" t="s">
        <v>271</v>
      </c>
      <c r="H317" t="s">
        <v>254</v>
      </c>
      <c r="I317">
        <v>2019</v>
      </c>
      <c r="J317">
        <v>26</v>
      </c>
      <c r="K317" t="s">
        <v>1536</v>
      </c>
      <c r="L317"/>
      <c r="M317" t="str">
        <f>LEFT($D317,FIND(",",$D317)-1)&amp;"_"&amp;I317&amp;L317</f>
        <v>Faraca_2019</v>
      </c>
      <c r="N317" t="s">
        <v>222</v>
      </c>
      <c r="O317" s="145" t="s">
        <v>274</v>
      </c>
      <c r="P317" s="180" t="s">
        <v>223</v>
      </c>
      <c r="Q317" t="s">
        <v>256</v>
      </c>
      <c r="R317" s="262" t="s">
        <v>223</v>
      </c>
      <c r="S317" s="263" t="s">
        <v>3136</v>
      </c>
      <c r="T317" t="s">
        <v>1550</v>
      </c>
      <c r="U317" t="s">
        <v>1551</v>
      </c>
      <c r="V317">
        <v>0</v>
      </c>
      <c r="W317">
        <v>0</v>
      </c>
      <c r="X317">
        <v>0</v>
      </c>
      <c r="Y317">
        <v>0</v>
      </c>
      <c r="Z317">
        <v>0</v>
      </c>
      <c r="AA317">
        <v>0</v>
      </c>
      <c r="AB317">
        <v>0</v>
      </c>
      <c r="AC317">
        <v>0</v>
      </c>
      <c r="AD317">
        <v>0</v>
      </c>
      <c r="AE317">
        <v>0</v>
      </c>
      <c r="AF317">
        <v>0</v>
      </c>
      <c r="AG317">
        <v>1</v>
      </c>
      <c r="AH317">
        <v>0</v>
      </c>
      <c r="AI317">
        <v>0</v>
      </c>
      <c r="AJ317">
        <v>0</v>
      </c>
      <c r="AK317">
        <v>0</v>
      </c>
      <c r="AL317">
        <v>0</v>
      </c>
      <c r="AM317">
        <v>0</v>
      </c>
      <c r="AN317">
        <v>0</v>
      </c>
      <c r="AO317">
        <v>0</v>
      </c>
      <c r="AP317">
        <v>0</v>
      </c>
      <c r="AQ317">
        <v>0</v>
      </c>
      <c r="AR317">
        <v>0</v>
      </c>
      <c r="AS317">
        <v>0</v>
      </c>
      <c r="AT317">
        <v>0</v>
      </c>
      <c r="AU317">
        <v>0</v>
      </c>
      <c r="AV317">
        <v>0</v>
      </c>
      <c r="AW317">
        <v>0</v>
      </c>
      <c r="AX317" s="141">
        <f>COUNTIF(V317:AW317,"&lt;&gt;0")</f>
        <v>1</v>
      </c>
      <c r="AY317" s="141">
        <f>COUNTIF(V317:AL317,"&lt;&gt;0")</f>
        <v>1</v>
      </c>
      <c r="AZ317">
        <f>COUNTIF(V317:AC317,"&lt;&gt;0")</f>
        <v>0</v>
      </c>
      <c r="BA317">
        <f>COUNTIF(AD317:AI317,"&lt;&gt;0")</f>
        <v>1</v>
      </c>
      <c r="BB317">
        <f>COUNTIF(AJ317:AL317,"&lt;&gt;0")</f>
        <v>0</v>
      </c>
      <c r="BC317">
        <f>COUNTIF(AS317:AW317,"&lt;&gt;0")</f>
        <v>0</v>
      </c>
      <c r="BD317">
        <f>COUNTIF(AM317:AR317,"&lt;&gt;0")</f>
        <v>0</v>
      </c>
      <c r="BE317" t="str">
        <f t="array" ref="BE317">IF(AY317=1,INDEX($V$7:$AL$7,MATCH(TRUE,INDEX($V317:$AW317&lt;&gt;0,),0)),IF(AY317=0,INDEX($AM$7:$AW$7,MATCH(1,$AM317:$AW317,0)),IF(BF317="Multiple strategies","mixed drivers",IF(BF317="Supply chain","multiple supply","multiple silviculture"))))</f>
        <v>recycling</v>
      </c>
      <c r="BF317" s="2" t="str" cm="1">
        <f t="array" ref="BF317">IF(COUNTIF(AZ317:BB317,"&lt;&gt;0")=1,INDEX($V$4:$AW$4,MATCH(TRUE,INDEX($V317:$AW317&lt;&gt;0,),0)),IF(COUNTIF(AZ317:BB317,"&lt;&gt;0")=0,INDEX($AM$4:$AW$4,MATCH(1,$AM317:$AW317,0)),"Multiple strategies"))</f>
        <v>Supply chain</v>
      </c>
      <c r="BG317" s="1" t="s">
        <v>229</v>
      </c>
      <c r="BH317" t="s">
        <v>1548</v>
      </c>
      <c r="BI317" s="264" t="s">
        <v>3121</v>
      </c>
      <c r="BJ317" t="s">
        <v>345</v>
      </c>
      <c r="BK317">
        <v>478</v>
      </c>
      <c r="BL317">
        <f>478+409+223+122</f>
        <v>1232</v>
      </c>
      <c r="BM317">
        <v>2.5774058577405858</v>
      </c>
      <c r="BN317">
        <f>BL317-BK317</f>
        <v>754</v>
      </c>
      <c r="BO317">
        <f>BN317*kg_to_m3</f>
        <v>1.5387755102040819</v>
      </c>
      <c r="BP317" s="264" t="s">
        <v>395</v>
      </c>
      <c r="BQ317" t="s">
        <v>426</v>
      </c>
      <c r="BR317" t="s">
        <v>728</v>
      </c>
      <c r="BS317">
        <v>-172.9</v>
      </c>
      <c r="BT317">
        <v>-132.19999999999999</v>
      </c>
      <c r="BU317" s="144"/>
      <c r="BV317">
        <f>BT317-BS317</f>
        <v>40.700000000000017</v>
      </c>
      <c r="BW317"/>
      <c r="BX317">
        <f>BV317/1000</f>
        <v>4.0700000000000014E-2</v>
      </c>
      <c r="BY317">
        <f>IFERROR(BX317/BO317,"")</f>
        <v>2.6449602122015921E-2</v>
      </c>
      <c r="BZ317">
        <v>0</v>
      </c>
      <c r="CA317">
        <v>0</v>
      </c>
      <c r="CB317">
        <v>0</v>
      </c>
      <c r="CC317">
        <v>0</v>
      </c>
      <c r="CD317">
        <v>0</v>
      </c>
      <c r="CE317">
        <v>0</v>
      </c>
      <c r="CF317">
        <v>0</v>
      </c>
      <c r="CG317">
        <v>0</v>
      </c>
      <c r="CH317">
        <v>0</v>
      </c>
      <c r="CI317">
        <v>0</v>
      </c>
      <c r="CJ317">
        <v>0</v>
      </c>
      <c r="CK317">
        <v>0</v>
      </c>
      <c r="CL317">
        <v>0</v>
      </c>
      <c r="CM317">
        <v>0</v>
      </c>
      <c r="CN317" t="str">
        <f>IF($BL317&lt;$BK317,"refNeedCorrection","refOK")</f>
        <v>refOK</v>
      </c>
      <c r="CO317">
        <f>IF($CN317="refNeedCorrection",BL317,BK317)</f>
        <v>478</v>
      </c>
      <c r="CP317">
        <f>IF($CN317="refNeedCorrection",BK317,BL317)</f>
        <v>1232</v>
      </c>
      <c r="CQ317">
        <f>IF($CN317="refOK",$BO317,-$BO317)</f>
        <v>1.5387755102040819</v>
      </c>
      <c r="CR317">
        <f>IF($CN317="refOK",$BS317,$BT317)*IF($BP317="Emissions positive",-1,1)</f>
        <v>172.9</v>
      </c>
      <c r="CS317">
        <f>IF($CN317="refOK",$BT317,$BS317)*IF($BP317="Emissions positive",-1,1)</f>
        <v>132.19999999999999</v>
      </c>
      <c r="CT317">
        <f>IF($CN317="refNeedCorrection",-BX317,BX317)*IF($BP317="Emissions positive",-1,1)</f>
        <v>-4.0700000000000014E-2</v>
      </c>
      <c r="CU317">
        <f>IFERROR(CT317/CQ317,"")</f>
        <v>-2.6449602122015921E-2</v>
      </c>
      <c r="CV317" s="2">
        <f>IFERROR((CS317-CR317)/ABS(CR317),"")</f>
        <v>-0.23539618276460392</v>
      </c>
      <c r="CW317" s="1" t="s">
        <v>1199</v>
      </c>
      <c r="CX317" t="str">
        <f>IF(OR($CW317="prd",$CW317="std",$CW317="cit"),"loc",IF(OR($CW317="eur",$CW317="reg",$CW317="coy"),"reg",$CW317))</f>
        <v>reg</v>
      </c>
      <c r="CY317" t="s">
        <v>1540</v>
      </c>
      <c r="CZ317"/>
      <c r="DA317"/>
      <c r="DB317">
        <v>500</v>
      </c>
      <c r="DC317" t="str">
        <f>IF(DB317=0,"0",IF(AND(DB317&gt;=1,DB317&lt;=30),"1-30",IF(AND(DB317&gt;30,DB317&lt;=70),"31-70",IF(AND(DB317&gt;70,DB317&lt;=100),"71-100",IF(DB317&gt;100,"+100")))))</f>
        <v>+100</v>
      </c>
      <c r="DD317">
        <v>0</v>
      </c>
      <c r="DE317">
        <v>0</v>
      </c>
      <c r="DF317">
        <v>0</v>
      </c>
      <c r="DG317">
        <v>1</v>
      </c>
      <c r="DH317"/>
      <c r="DI317">
        <f>SUM(DD317:DG317)</f>
        <v>1</v>
      </c>
      <c r="DJ317" t="str">
        <f>IF(DI317=1,INDEX($DD$7:$DG$7,MATCH(1,$DD317:$DG317,0)),"mixedProduct")</f>
        <v>TimberInput</v>
      </c>
      <c r="DK317">
        <f>IF(DD317=1,DK$7,0)</f>
        <v>0</v>
      </c>
      <c r="DL317">
        <f>IF(DE317=1,DL$7,0)</f>
        <v>0</v>
      </c>
      <c r="DM317">
        <f>IF(DF317=1,DM$7,0)</f>
        <v>0</v>
      </c>
      <c r="DN317" t="str">
        <f>IF(DG317=1,DN$7,0)</f>
        <v>Timber</v>
      </c>
      <c r="DO317">
        <v>0</v>
      </c>
      <c r="DP317">
        <v>0</v>
      </c>
      <c r="DQ317">
        <v>0</v>
      </c>
      <c r="DR317">
        <v>0</v>
      </c>
      <c r="DS317">
        <v>0</v>
      </c>
      <c r="DT317">
        <f>SUM(DO317:DP317)</f>
        <v>0</v>
      </c>
      <c r="DU317" s="143" t="str">
        <f>IF(DO317=1,"self-calculated DF",IF(DP317=1,"external DF used","explicit C balance"))</f>
        <v>explicit C balance</v>
      </c>
      <c r="DV317">
        <v>0</v>
      </c>
      <c r="DW317">
        <v>0</v>
      </c>
      <c r="DX317">
        <v>0</v>
      </c>
      <c r="DY317">
        <v>0</v>
      </c>
      <c r="DZ317">
        <v>1</v>
      </c>
      <c r="EA317" s="143">
        <v>1</v>
      </c>
      <c r="EB317">
        <v>0</v>
      </c>
      <c r="EC317">
        <v>1</v>
      </c>
      <c r="ED317">
        <v>0</v>
      </c>
      <c r="EE317">
        <v>1</v>
      </c>
      <c r="EF317">
        <v>1</v>
      </c>
      <c r="EG317">
        <v>1</v>
      </c>
      <c r="EH317">
        <v>0</v>
      </c>
      <c r="EI317" s="2">
        <v>0</v>
      </c>
      <c r="EJ317" s="1"/>
      <c r="EK317" t="str">
        <f>IF(AND(AND(AND(OR($DX317=1,$DW317=1),OR($EC317=1,$EA317=1)),SUM($DV317:$DZ317,$EF317)&gt;=4),SUM($EA317:$EE317)&gt;=2),"Whole sector","")</f>
        <v/>
      </c>
      <c r="EL317" t="str">
        <f>IF(AND(AND(OR($DX317=1,$DW317=1),AND($EC317=0,$EA317=0)),SUM($DV317:$DZ317,$EF317)&gt;=4),"Ecosystem approach","")</f>
        <v/>
      </c>
      <c r="EM317" s="2" t="str">
        <f>IF(AND(AND(AND($DX317=0,$DW317=0),OR($EC317=1,$EA317=1)),SUM($EB317:$EE317)&gt;=2),"Technology approach","")</f>
        <v>Technology approach</v>
      </c>
      <c r="EN317"/>
      <c r="EO317"/>
      <c r="EP317" t="str">
        <f>IF(ISNUMBER(BU317),IF(ABS(BU317-[1]QC_indicators!$B$2)&gt;3*[1]QC_indicators!$C$2,"C ratio",IF(ISNUMBER(BY317),IF(ABS(BY317-[1]QC_indicators!$B$1)&gt;3*[1]QC_indicators!$C$1,"DF","no"))),IF(ISNUMBER(BY317),IF(ABS(BY317-[1]QC_indicators!$B$1)&gt;3*[1]QC_indicators!$C$1,"DF","no")))</f>
        <v>no</v>
      </c>
      <c r="EQ317"/>
      <c r="ER317"/>
      <c r="ES317"/>
      <c r="ET317" s="264" t="s">
        <v>3273</v>
      </c>
      <c r="EU317"/>
    </row>
    <row r="318" spans="1:151" s="139" customFormat="1" ht="15" customHeight="1">
      <c r="A318" s="1" t="s">
        <v>587</v>
      </c>
      <c r="B318" t="s">
        <v>1987</v>
      </c>
      <c r="C318" t="s">
        <v>1988</v>
      </c>
      <c r="D318" t="s">
        <v>1989</v>
      </c>
      <c r="E318" t="s">
        <v>1990</v>
      </c>
      <c r="F318" t="s">
        <v>1991</v>
      </c>
      <c r="G318" t="s">
        <v>593</v>
      </c>
      <c r="H318" t="s">
        <v>254</v>
      </c>
      <c r="I318">
        <v>2018</v>
      </c>
      <c r="J318">
        <v>7</v>
      </c>
      <c r="K318" t="s">
        <v>1992</v>
      </c>
      <c r="L318"/>
      <c r="M318" t="str">
        <f>LEFT($D318,FIND(",",$D318)-1)&amp;"_"&amp;I318&amp;L318</f>
        <v>Nakano_2018</v>
      </c>
      <c r="N318" t="s">
        <v>222</v>
      </c>
      <c r="O318" s="157" t="s">
        <v>274</v>
      </c>
      <c r="P318" t="s">
        <v>960</v>
      </c>
      <c r="Q318" t="s">
        <v>389</v>
      </c>
      <c r="R318" s="262" t="s">
        <v>223</v>
      </c>
      <c r="S318" s="1" t="s">
        <v>1993</v>
      </c>
      <c r="T318" t="s">
        <v>1994</v>
      </c>
      <c r="U318" t="s">
        <v>2001</v>
      </c>
      <c r="V318">
        <v>0</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s="141">
        <f>COUNTIF(V318:AW318,"&lt;&gt;0")</f>
        <v>1</v>
      </c>
      <c r="AY318" s="141">
        <f>COUNTIF(V318:AL318,"&lt;&gt;0")</f>
        <v>1</v>
      </c>
      <c r="AZ318">
        <f>COUNTIF(V318:AC318,"&lt;&gt;0")</f>
        <v>1</v>
      </c>
      <c r="BA318">
        <f>COUNTIF(AD318:AI318,"&lt;&gt;0")</f>
        <v>0</v>
      </c>
      <c r="BB318">
        <f>COUNTIF(AJ318:AL318,"&lt;&gt;0")</f>
        <v>0</v>
      </c>
      <c r="BC318">
        <f>COUNTIF(AS318:AW318,"&lt;&gt;0")</f>
        <v>0</v>
      </c>
      <c r="BD318">
        <f>COUNTIF(AM318:AR318,"&lt;&gt;0")</f>
        <v>0</v>
      </c>
      <c r="BE318" t="str">
        <f t="array" ref="BE318">IF(AY318=1,INDEX($V$7:$AL$7,MATCH(TRUE,INDEX($V318:$AW318&lt;&gt;0,),0)),IF(AY318=0,INDEX($AM$7:$AW$7,MATCH(1,$AM318:$AW318,0)),IF(BF318="Multiple strategies","mixed drivers",IF(BF318="Supply chain","multiple supply","multiple silviculture"))))</f>
        <v>species</v>
      </c>
      <c r="BF318" s="2" t="str" cm="1">
        <f t="array" ref="BF318">IF(COUNTIF(AZ318:BB318,"&lt;&gt;0")=1,INDEX($V$4:$AW$4,MATCH(TRUE,INDEX($V318:$AW318&lt;&gt;0,),0)),IF(COUNTIF(AZ318:BB318,"&lt;&gt;0")=0,INDEX($AM$4:$AW$4,MATCH(1,$AM318:$AW318,0)),"Multiple strategies"))</f>
        <v>Silviculture for productivity</v>
      </c>
      <c r="BG318" s="1" t="s">
        <v>321</v>
      </c>
      <c r="BH318" t="s">
        <v>1996</v>
      </c>
      <c r="BI318" s="264" t="s">
        <v>3179</v>
      </c>
      <c r="BJ318" s="264" t="s">
        <v>3180</v>
      </c>
      <c r="BK318">
        <v>958000</v>
      </c>
      <c r="BL318">
        <v>2395000</v>
      </c>
      <c r="BM318">
        <v>2.5</v>
      </c>
      <c r="BN318">
        <f>BL318-BK318</f>
        <v>1437000</v>
      </c>
      <c r="BO318">
        <f>BN318</f>
        <v>1437000</v>
      </c>
      <c r="BP318" t="s">
        <v>395</v>
      </c>
      <c r="BQ318" s="264" t="s">
        <v>3181</v>
      </c>
      <c r="BR318" t="s">
        <v>1999</v>
      </c>
      <c r="BS318">
        <v>24392.153846153786</v>
      </c>
      <c r="BT318">
        <v>62085.769230769176</v>
      </c>
      <c r="BU318" s="144">
        <v>2.5453172205438106</v>
      </c>
      <c r="BV318">
        <f>BT318-BS318</f>
        <v>37693.61538461539</v>
      </c>
      <c r="BW318"/>
      <c r="BX318" s="152">
        <f>BV318</f>
        <v>37693.61538461539</v>
      </c>
      <c r="BY318">
        <f>IFERROR(BX318/BO318,"")</f>
        <v>2.6230769230769235E-2</v>
      </c>
      <c r="BZ318">
        <v>0</v>
      </c>
      <c r="CA318">
        <v>0</v>
      </c>
      <c r="CB318">
        <v>0</v>
      </c>
      <c r="CC318">
        <v>0</v>
      </c>
      <c r="CD318">
        <v>0</v>
      </c>
      <c r="CE318">
        <v>0</v>
      </c>
      <c r="CF318">
        <v>0</v>
      </c>
      <c r="CG318">
        <v>0</v>
      </c>
      <c r="CH318">
        <v>0</v>
      </c>
      <c r="CI318">
        <v>0</v>
      </c>
      <c r="CJ318">
        <v>0</v>
      </c>
      <c r="CK318">
        <v>0</v>
      </c>
      <c r="CL318">
        <v>0</v>
      </c>
      <c r="CM318">
        <v>0</v>
      </c>
      <c r="CN318" t="str">
        <f>IF($BL318&lt;$BK318,"refNeedCorrection","refOK")</f>
        <v>refOK</v>
      </c>
      <c r="CO318">
        <f>IF($CN318="refOK",$BK318,$BL318)</f>
        <v>958000</v>
      </c>
      <c r="CP318">
        <f>IF($CN318="refOK",$BL318,$BK318)</f>
        <v>2395000</v>
      </c>
      <c r="CQ318">
        <f>IF($CN318="refOK",$BO318,-$BO318)</f>
        <v>1437000</v>
      </c>
      <c r="CR318">
        <f>IF($CN318="refOK",$BS318,$BT318)*IF($BP318="Emissions positive",-1,1)</f>
        <v>-24392.153846153786</v>
      </c>
      <c r="CS318">
        <f>IF($CN318="refOK",$BT318,$BS318)*IF($BP318="Emissions positive",-1,1)</f>
        <v>-62085.769230769176</v>
      </c>
      <c r="CT318">
        <f>IF($CN318="refNeedCorrection",-BX318,BX318)*IF($BP318="Emissions positive",-1,1)</f>
        <v>-37693.61538461539</v>
      </c>
      <c r="CU318">
        <f>IFERROR(CT318/CQ318,"")</f>
        <v>-2.6230769230769235E-2</v>
      </c>
      <c r="CV318" s="2">
        <f>IFERROR((CS318-CR318)/ABS(CR318),"")</f>
        <v>-1.5453172205438106</v>
      </c>
      <c r="CW318" s="1" t="s">
        <v>1203</v>
      </c>
      <c r="CX318" t="str">
        <f>IF(OR($CW318="prd",$CW318="std",$CW318="cit"),"loc",IF(OR($CW318="eur",$CW318="reg",$CW318="coy"),"reg",$CW318))</f>
        <v>reg</v>
      </c>
      <c r="CY318" t="s">
        <v>961</v>
      </c>
      <c r="CZ318">
        <v>0</v>
      </c>
      <c r="DA318">
        <v>0</v>
      </c>
      <c r="DB318">
        <v>0</v>
      </c>
      <c r="DC318" t="str">
        <f>IF(DB318=0,"0",IF(AND(DB318&gt;=1,DB318&lt;=30),"1-30",IF(AND(DB318&gt;30,DB318&lt;=70),"31-70",IF(AND(DB318&gt;70,DB318&lt;=100),"71-100",IF(DB318&gt;100,"+100")))))</f>
        <v>0</v>
      </c>
      <c r="DD318">
        <v>1</v>
      </c>
      <c r="DE318">
        <v>0</v>
      </c>
      <c r="DF318">
        <v>0</v>
      </c>
      <c r="DG318">
        <v>0</v>
      </c>
      <c r="DH318"/>
      <c r="DI318">
        <v>1</v>
      </c>
      <c r="DJ318" t="str">
        <f>IF(DI318=1,INDEX($DD$7:$DG$7,MATCH(1,$DD318:$DG318,0)),"mixedProduct")</f>
        <v>UpstreamInput</v>
      </c>
      <c r="DK318" t="str">
        <f>IF(DD318=1,DK$7,0)</f>
        <v>Upstream</v>
      </c>
      <c r="DL318">
        <f>IF(DE318=1,DL$7,0)</f>
        <v>0</v>
      </c>
      <c r="DM318">
        <f>IF(DF318=1,DM$7,0)</f>
        <v>0</v>
      </c>
      <c r="DN318">
        <f>IF(DG318=1,DN$7,0)</f>
        <v>0</v>
      </c>
      <c r="DO318">
        <v>0</v>
      </c>
      <c r="DP318">
        <v>0</v>
      </c>
      <c r="DQ318">
        <v>0</v>
      </c>
      <c r="DR318">
        <v>0</v>
      </c>
      <c r="DS318">
        <v>0</v>
      </c>
      <c r="DT318">
        <f>SUM(DO318:DP318)</f>
        <v>0</v>
      </c>
      <c r="DU318" s="143" t="s">
        <v>962</v>
      </c>
      <c r="DV318">
        <v>0</v>
      </c>
      <c r="DW318">
        <v>0</v>
      </c>
      <c r="DX318">
        <v>0</v>
      </c>
      <c r="DY318">
        <v>0</v>
      </c>
      <c r="DZ318">
        <v>0</v>
      </c>
      <c r="EA318" s="143">
        <v>0</v>
      </c>
      <c r="EB318">
        <v>1</v>
      </c>
      <c r="EC318">
        <v>0</v>
      </c>
      <c r="ED318">
        <v>0</v>
      </c>
      <c r="EE318">
        <v>0</v>
      </c>
      <c r="EF318">
        <v>0</v>
      </c>
      <c r="EG318">
        <v>0</v>
      </c>
      <c r="EH318">
        <v>0</v>
      </c>
      <c r="EI318" s="2">
        <v>0</v>
      </c>
      <c r="EJ318" s="1"/>
      <c r="EK318" t="str">
        <f>IF(AND(AND(AND(OR($DX318=1,$DW318=1),OR($EC318=1,$EA318=1)),SUM($DV318:$DZ318,$EF318)&gt;=4),SUM($EA318:$EE318)&gt;=2),"Whole sector","")</f>
        <v/>
      </c>
      <c r="EL318" t="str">
        <f>IF(AND(AND(OR($DX318=1,$DW318=1),AND($EC318=0,$EA318=0)),SUM($DV318:$DZ318,$EF318)&gt;=4),"Ecosystem approach","")</f>
        <v/>
      </c>
      <c r="EM318" s="2" t="str">
        <f>IF(AND(AND(AND($DX318=0,$DW318=0),OR($EC318=1,$EA318=1)),SUM($EB318:$EE318)&gt;=2),"Technology approach","")</f>
        <v/>
      </c>
      <c r="EN318"/>
      <c r="EO318"/>
      <c r="EP318" t="str">
        <f>IF(ISNUMBER(BU318),IF(ABS(BU318-[1]QC_indicators!$B$2)&gt;3*[1]QC_indicators!$C$2,"C ratio",IF(ISNUMBER(BY318),IF(ABS(BY318-[1]QC_indicators!$B$1)&gt;3*[1]QC_indicators!$C$1,"DF","no"))),IF(ISNUMBER(BY318),IF(ABS(BY318-[1]QC_indicators!$B$1)&gt;3*[1]QC_indicators!$C$1,"DF","no")))</f>
        <v>no</v>
      </c>
      <c r="EQ318"/>
      <c r="ER318"/>
      <c r="ES318"/>
      <c r="ET318" s="264" t="s">
        <v>3182</v>
      </c>
      <c r="EU318"/>
    </row>
    <row r="319" spans="1:151" s="139" customFormat="1" ht="15" customHeight="1">
      <c r="A319" s="1" t="s">
        <v>1360</v>
      </c>
      <c r="B319" t="s">
        <v>2135</v>
      </c>
      <c r="C319" t="s">
        <v>2136</v>
      </c>
      <c r="D319" t="s">
        <v>2137</v>
      </c>
      <c r="E319" t="s">
        <v>2138</v>
      </c>
      <c r="F319" t="s">
        <v>2139</v>
      </c>
      <c r="G319" t="s">
        <v>1366</v>
      </c>
      <c r="H319" t="s">
        <v>254</v>
      </c>
      <c r="I319">
        <v>2012</v>
      </c>
      <c r="J319">
        <v>21</v>
      </c>
      <c r="K319" t="s">
        <v>2140</v>
      </c>
      <c r="L319" s="192"/>
      <c r="M319" t="str">
        <f>LEFT($D319,FIND(",",$D319)-1)&amp;"_"&amp;I319&amp;L319</f>
        <v>Pyorala_2012</v>
      </c>
      <c r="N319" t="s">
        <v>222</v>
      </c>
      <c r="O319" s="145" t="s">
        <v>341</v>
      </c>
      <c r="P319" s="180" t="s">
        <v>223</v>
      </c>
      <c r="Q319" s="264" t="s">
        <v>256</v>
      </c>
      <c r="R319" s="269" t="s">
        <v>1154</v>
      </c>
      <c r="S319" s="263" t="s">
        <v>2141</v>
      </c>
      <c r="T319" s="264" t="s">
        <v>2148</v>
      </c>
      <c r="U319" s="264" t="s">
        <v>2143</v>
      </c>
      <c r="V319">
        <v>0</v>
      </c>
      <c r="W319">
        <v>0</v>
      </c>
      <c r="X319">
        <v>0</v>
      </c>
      <c r="Y319">
        <v>1</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s="141">
        <f>COUNTIF(V319:AW319,"&lt;&gt;0")</f>
        <v>1</v>
      </c>
      <c r="AY319" s="141">
        <f>COUNTIF(V319:AL319,"&lt;&gt;0")</f>
        <v>1</v>
      </c>
      <c r="AZ319">
        <f>COUNTIF(V319:AC319,"&lt;&gt;0")</f>
        <v>1</v>
      </c>
      <c r="BA319">
        <f>COUNTIF(AD319:AI319,"&lt;&gt;0")</f>
        <v>0</v>
      </c>
      <c r="BB319">
        <f>COUNTIF(AJ319:AL319,"&lt;&gt;0")</f>
        <v>0</v>
      </c>
      <c r="BC319">
        <f>COUNTIF(AS319:AW319,"&lt;&gt;0")</f>
        <v>0</v>
      </c>
      <c r="BD319">
        <f>COUNTIF(AM319:AR319,"&lt;&gt;0")</f>
        <v>0</v>
      </c>
      <c r="BE319" t="str" cm="1">
        <f t="array" ref="BE319">IF(AY319=1,INDEX($V$7:$AL$7,MATCH(TRUE,INDEX($V319:$AW319&lt;&gt;0,),0)),IF(AY319=0,INDEX($AM$7:$AW$7,MATCH(1,$AM319:$AW319,0)),IF(BF319="Multiple strategies","mixed drivers",IF(BF319="Supply chain","multiple supply","multiple silviculture"))))</f>
        <v xml:space="preserve">cutting intensity </v>
      </c>
      <c r="BF319" s="2" t="str" cm="1">
        <f t="array" ref="BF319">IF(COUNTIF(AZ319:BB319,"&lt;&gt;0")=1,INDEX($V$4:$AW$4,MATCH(TRUE,INDEX($V319:$AW319&lt;&gt;0,),0)),IF(COUNTIF(AZ319:BB319,"&lt;&gt;0")=0,INDEX($AM$4:$AW$4,MATCH(1,$AM319:$AW319,0)),"Multiple strategies"))</f>
        <v>Silviculture for removals</v>
      </c>
      <c r="BG319" s="178" t="s">
        <v>321</v>
      </c>
      <c r="BH319" s="264" t="s">
        <v>2144</v>
      </c>
      <c r="BI319" s="264" t="s">
        <v>701</v>
      </c>
      <c r="BJ319" s="160" t="s">
        <v>700</v>
      </c>
      <c r="BK319">
        <v>8.1</v>
      </c>
      <c r="BL319">
        <v>8.4</v>
      </c>
      <c r="BM319"/>
      <c r="BN319">
        <f>BL319-BK319</f>
        <v>0.30000000000000071</v>
      </c>
      <c r="BO319">
        <f>BN319</f>
        <v>0.30000000000000071</v>
      </c>
      <c r="BP319" s="155" t="s">
        <v>395</v>
      </c>
      <c r="BQ319" s="335" t="s">
        <v>786</v>
      </c>
      <c r="BR319" s="270" t="s">
        <v>2145</v>
      </c>
      <c r="BS319">
        <f>-4.4/80</f>
        <v>-5.5000000000000007E-2</v>
      </c>
      <c r="BT319">
        <f>-3.8/80</f>
        <v>-4.7500000000000001E-2</v>
      </c>
      <c r="BU319" s="144"/>
      <c r="BV319">
        <f>BT319-BS319</f>
        <v>7.5000000000000067E-3</v>
      </c>
      <c r="BW319"/>
      <c r="BX319">
        <f>BV319</f>
        <v>7.5000000000000067E-3</v>
      </c>
      <c r="BY319">
        <f>IFERROR(BX319/BO319,"")</f>
        <v>2.4999999999999963E-2</v>
      </c>
      <c r="BZ319">
        <v>0</v>
      </c>
      <c r="CA319">
        <v>0</v>
      </c>
      <c r="CB319">
        <v>0</v>
      </c>
      <c r="CC319">
        <v>0</v>
      </c>
      <c r="CD319">
        <v>0</v>
      </c>
      <c r="CE319">
        <v>0</v>
      </c>
      <c r="CF319">
        <v>0</v>
      </c>
      <c r="CG319">
        <v>0</v>
      </c>
      <c r="CH319">
        <v>0</v>
      </c>
      <c r="CI319">
        <v>0</v>
      </c>
      <c r="CJ319">
        <v>0</v>
      </c>
      <c r="CK319">
        <v>0</v>
      </c>
      <c r="CL319">
        <v>0</v>
      </c>
      <c r="CM319">
        <v>0</v>
      </c>
      <c r="CN319" t="str">
        <f>IF($BL319&lt;$BK319,"refNeedCorrection","refOK")</f>
        <v>refOK</v>
      </c>
      <c r="CO319">
        <f>IF($CN319="refOK",$BK319,$BL319)</f>
        <v>8.1</v>
      </c>
      <c r="CP319">
        <f>IF($CN319="refOK",$BL319,$BK319)</f>
        <v>8.4</v>
      </c>
      <c r="CQ319">
        <f>IF($CN319="refOK",$BO319,-$BO319)</f>
        <v>0.30000000000000071</v>
      </c>
      <c r="CR319">
        <f>IF($CN319="refOK",$BS319,$BT319)*IF($BP319="Emissions positive",-1,1)</f>
        <v>5.5000000000000007E-2</v>
      </c>
      <c r="CS319">
        <f>IF($CN319="refOK",$BT319,$BS319)*IF($BP319="Emissions positive",-1,1)</f>
        <v>4.7500000000000001E-2</v>
      </c>
      <c r="CT319">
        <f>IF($CN319="refNeedCorrection",-BX319,BX319)*IF($BP319="Emissions positive",-1,1)</f>
        <v>-7.5000000000000067E-3</v>
      </c>
      <c r="CU319">
        <f>IFERROR(CT319/CQ319,"")</f>
        <v>-2.4999999999999963E-2</v>
      </c>
      <c r="CV319" s="2">
        <f>IFERROR((CS319-CR319)/ABS(CR319),"")</f>
        <v>-0.13636363636363646</v>
      </c>
      <c r="CW319" s="1" t="s">
        <v>1199</v>
      </c>
      <c r="CX319" s="264" t="str">
        <f>IF(OR($CW319="prd",$CW319="std",$CW319="cit"),"loc",IF(OR($CW319="eur",$CW319="reg",$CW319="coy"),"reg",$CW319))</f>
        <v>reg</v>
      </c>
      <c r="CY319" t="s">
        <v>235</v>
      </c>
      <c r="CZ319"/>
      <c r="DA319"/>
      <c r="DB319">
        <v>80</v>
      </c>
      <c r="DC319" t="str">
        <f>IF(DB319=0,"0",IF(AND(DB319&gt;=1,DB319&lt;=30),"1-30",IF(AND(DB319&gt;30,DB319&lt;=70),"31-70",IF(AND(DB319&gt;70,DB319&lt;=100),"71-100",IF(DB319&gt;100,"+100")))))</f>
        <v>71-100</v>
      </c>
      <c r="DD319">
        <v>0</v>
      </c>
      <c r="DE319">
        <v>1</v>
      </c>
      <c r="DF319">
        <v>1</v>
      </c>
      <c r="DG319">
        <v>1</v>
      </c>
      <c r="DH319"/>
      <c r="DI319">
        <f>SUM(DD319:DG319)</f>
        <v>3</v>
      </c>
      <c r="DJ319" t="str">
        <f>IF(DI319=1,INDEX($DD$7:$DG$7,MATCH(1,$DD319:$DG319,0)),"mixedProduct")</f>
        <v>mixedProduct</v>
      </c>
      <c r="DK319">
        <f>IF(DD319=1,DK$7,0)</f>
        <v>0</v>
      </c>
      <c r="DL319" t="str">
        <f>IF(DE319=1,DL$7,0)</f>
        <v>Energy</v>
      </c>
      <c r="DM319" t="str">
        <f>IF(DF319=1,DM$7,0)</f>
        <v>Pulp/Paper</v>
      </c>
      <c r="DN319" t="str">
        <f>IF(DG319=1,DN$7,0)</f>
        <v>Timber</v>
      </c>
      <c r="DO319">
        <v>0</v>
      </c>
      <c r="DP319">
        <v>1</v>
      </c>
      <c r="DQ319" t="s">
        <v>2146</v>
      </c>
      <c r="DR319">
        <v>0</v>
      </c>
      <c r="DS319">
        <v>0</v>
      </c>
      <c r="DT319">
        <f>SUM(DO319:DP319)</f>
        <v>1</v>
      </c>
      <c r="DU319" s="143" t="str">
        <f>IF(DO319=1,"self-calculated DF",IF(DP319=1,"external DF used","explicit C balance"))</f>
        <v>external DF used</v>
      </c>
      <c r="DV319">
        <v>1</v>
      </c>
      <c r="DW319">
        <v>1</v>
      </c>
      <c r="DX319">
        <v>1</v>
      </c>
      <c r="DY319">
        <v>0</v>
      </c>
      <c r="DZ319">
        <v>0</v>
      </c>
      <c r="EA319" s="143">
        <v>0</v>
      </c>
      <c r="EB319">
        <v>1</v>
      </c>
      <c r="EC319">
        <v>1</v>
      </c>
      <c r="ED319">
        <v>0</v>
      </c>
      <c r="EE319">
        <v>0</v>
      </c>
      <c r="EF319">
        <v>1</v>
      </c>
      <c r="EG319">
        <v>0</v>
      </c>
      <c r="EH319">
        <v>0</v>
      </c>
      <c r="EI319" s="2">
        <v>0</v>
      </c>
      <c r="EJ319" s="1"/>
      <c r="EK319" t="str">
        <f>IF(AND(AND(AND(OR($DX319=1,$DW319=1),OR($EC319=1,$EA319=1)),SUM($DV319:$DZ319,$EF319)&gt;=4),SUM($EA319:$EE319)&gt;=2),"Whole sector","")</f>
        <v>Whole sector</v>
      </c>
      <c r="EL319" t="str">
        <f>IF(AND(AND(OR($DX319=1,$DW319=1),AND($EC319=0,$EA319=0)),SUM($DV319:$DZ319,$EF319)&gt;=4),"Ecosystem approach","")</f>
        <v/>
      </c>
      <c r="EM319" s="2" t="str">
        <f>IF(AND(AND(AND($DX319=0,$DW319=0),OR($EC319=1,$EA319=1)),SUM($EB319:$EE319)&gt;=2),"Technology approach","")</f>
        <v/>
      </c>
      <c r="EN319"/>
      <c r="EO319"/>
      <c r="EP319" t="str">
        <f>IF(ISNUMBER(BU319),IF(ABS(BU319-[3]QC_indicators!$B$2)&gt;3*[3]QC_indicators!$C$2,"C ratio",IF(ISNUMBER(BY319),IF(ABS(BY319-[3]QC_indicators!$B$1)&gt;3*[3]QC_indicators!$C$1,"DF","no"))),IF(ISNUMBER(BY319),IF(ABS(BY319-[3]QC_indicators!$B$1)&gt;3*[3]QC_indicators!$C$1,"DF","no")))</f>
        <v>no</v>
      </c>
      <c r="EQ319"/>
      <c r="ER319"/>
      <c r="ES319"/>
      <c r="ET319" s="264" t="s">
        <v>3407</v>
      </c>
      <c r="EU319"/>
    </row>
    <row r="320" spans="1:151" s="139" customFormat="1" ht="15" customHeight="1">
      <c r="A320" s="1" t="s">
        <v>587</v>
      </c>
      <c r="B320" t="s">
        <v>1987</v>
      </c>
      <c r="C320" t="s">
        <v>1988</v>
      </c>
      <c r="D320" t="s">
        <v>1989</v>
      </c>
      <c r="E320" t="s">
        <v>1990</v>
      </c>
      <c r="F320" t="s">
        <v>1991</v>
      </c>
      <c r="G320" t="s">
        <v>593</v>
      </c>
      <c r="H320" t="s">
        <v>254</v>
      </c>
      <c r="I320">
        <v>2018</v>
      </c>
      <c r="J320">
        <v>7</v>
      </c>
      <c r="K320" t="s">
        <v>1992</v>
      </c>
      <c r="L320"/>
      <c r="M320" t="str">
        <f>LEFT($D320,FIND(",",$D320)-1)&amp;"_"&amp;I320&amp;L320</f>
        <v>Nakano_2018</v>
      </c>
      <c r="N320" t="s">
        <v>222</v>
      </c>
      <c r="O320" s="157" t="s">
        <v>274</v>
      </c>
      <c r="P320" t="s">
        <v>960</v>
      </c>
      <c r="Q320" t="s">
        <v>389</v>
      </c>
      <c r="R320" s="262" t="s">
        <v>223</v>
      </c>
      <c r="S320" s="1" t="s">
        <v>1993</v>
      </c>
      <c r="T320" t="s">
        <v>1994</v>
      </c>
      <c r="U320" t="s">
        <v>2000</v>
      </c>
      <c r="V320">
        <v>0</v>
      </c>
      <c r="W320">
        <v>0</v>
      </c>
      <c r="X320">
        <v>0</v>
      </c>
      <c r="Y320">
        <v>0</v>
      </c>
      <c r="Z320">
        <v>1</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s="141">
        <f>COUNTIF(V320:AW320,"&lt;&gt;0")</f>
        <v>1</v>
      </c>
      <c r="AY320" s="141">
        <f>COUNTIF(V320:AL320,"&lt;&gt;0")</f>
        <v>1</v>
      </c>
      <c r="AZ320">
        <f>COUNTIF(V320:AC320,"&lt;&gt;0")</f>
        <v>1</v>
      </c>
      <c r="BA320">
        <f>COUNTIF(AD320:AI320,"&lt;&gt;0")</f>
        <v>0</v>
      </c>
      <c r="BB320">
        <f>COUNTIF(AJ320:AL320,"&lt;&gt;0")</f>
        <v>0</v>
      </c>
      <c r="BC320">
        <f>COUNTIF(AS320:AW320,"&lt;&gt;0")</f>
        <v>0</v>
      </c>
      <c r="BD320">
        <f>COUNTIF(AM320:AR320,"&lt;&gt;0")</f>
        <v>0</v>
      </c>
      <c r="BE320" t="str">
        <f t="array" ref="BE320">IF(AY320=1,INDEX($V$7:$AL$7,MATCH(TRUE,INDEX($V320:$AW320&lt;&gt;0,),0)),IF(AY320=0,INDEX($AM$7:$AW$7,MATCH(1,$AM320:$AW320,0)),IF(BF320="Multiple strategies","mixed drivers",IF(BF320="Supply chain","multiple supply","multiple silviculture"))))</f>
        <v>species</v>
      </c>
      <c r="BF320" s="2" t="str" cm="1">
        <f t="array" ref="BF320">IF(COUNTIF(AZ320:BB320,"&lt;&gt;0")=1,INDEX($V$4:$AW$4,MATCH(TRUE,INDEX($V320:$AW320&lt;&gt;0,),0)),IF(COUNTIF(AZ320:BB320,"&lt;&gt;0")=0,INDEX($AM$4:$AW$4,MATCH(1,$AM320:$AW320,0)),"Multiple strategies"))</f>
        <v>Silviculture for productivity</v>
      </c>
      <c r="BG320" s="1" t="s">
        <v>321</v>
      </c>
      <c r="BH320" t="s">
        <v>1996</v>
      </c>
      <c r="BI320" s="264" t="s">
        <v>3179</v>
      </c>
      <c r="BJ320" s="264" t="s">
        <v>3180</v>
      </c>
      <c r="BK320">
        <v>958000</v>
      </c>
      <c r="BL320">
        <v>2369000</v>
      </c>
      <c r="BM320">
        <v>2.4728601252609606</v>
      </c>
      <c r="BN320">
        <f>BL320-BK320</f>
        <v>1411000</v>
      </c>
      <c r="BO320">
        <f>BN320</f>
        <v>1411000</v>
      </c>
      <c r="BP320" t="s">
        <v>395</v>
      </c>
      <c r="BQ320" s="264" t="s">
        <v>3181</v>
      </c>
      <c r="BR320" t="s">
        <v>1999</v>
      </c>
      <c r="BS320">
        <v>24392.153846153786</v>
      </c>
      <c r="BT320">
        <v>58860.538461538352</v>
      </c>
      <c r="BU320" s="144">
        <v>2.4130931131700626</v>
      </c>
      <c r="BV320">
        <f>BT320-BS320</f>
        <v>34468.384615384566</v>
      </c>
      <c r="BW320"/>
      <c r="BX320" s="152">
        <f>BV320</f>
        <v>34468.384615384566</v>
      </c>
      <c r="BY320">
        <f>IFERROR(BX320/BO320,"")</f>
        <v>2.4428337785531232E-2</v>
      </c>
      <c r="BZ320">
        <v>0</v>
      </c>
      <c r="CA320">
        <v>0</v>
      </c>
      <c r="CB320">
        <v>0</v>
      </c>
      <c r="CC320">
        <v>0</v>
      </c>
      <c r="CD320">
        <v>0</v>
      </c>
      <c r="CE320">
        <v>0</v>
      </c>
      <c r="CF320">
        <v>0</v>
      </c>
      <c r="CG320">
        <v>0</v>
      </c>
      <c r="CH320">
        <v>0</v>
      </c>
      <c r="CI320">
        <v>0</v>
      </c>
      <c r="CJ320">
        <v>0</v>
      </c>
      <c r="CK320">
        <v>0</v>
      </c>
      <c r="CL320">
        <v>0</v>
      </c>
      <c r="CM320">
        <v>0</v>
      </c>
      <c r="CN320" t="str">
        <f>IF($BL320&lt;$BK320,"refNeedCorrection","refOK")</f>
        <v>refOK</v>
      </c>
      <c r="CO320">
        <f>IF($CN320="refOK",$BK320,$BL320)</f>
        <v>958000</v>
      </c>
      <c r="CP320">
        <f>IF($CN320="refOK",$BL320,$BK320)</f>
        <v>2369000</v>
      </c>
      <c r="CQ320">
        <f>IF($CN320="refOK",$BO320,-$BO320)</f>
        <v>1411000</v>
      </c>
      <c r="CR320">
        <f>IF($CN320="refOK",$BS320,$BT320)*IF($BP320="Emissions positive",-1,1)</f>
        <v>-24392.153846153786</v>
      </c>
      <c r="CS320">
        <f>IF($CN320="refOK",$BT320,$BS320)*IF($BP320="Emissions positive",-1,1)</f>
        <v>-58860.538461538352</v>
      </c>
      <c r="CT320">
        <f>IF($CN320="refNeedCorrection",-BX320,BX320)*IF($BP320="Emissions positive",-1,1)</f>
        <v>-34468.384615384566</v>
      </c>
      <c r="CU320">
        <f>IFERROR(CT320/CQ320,"")</f>
        <v>-2.4428337785531232E-2</v>
      </c>
      <c r="CV320" s="2">
        <f>IFERROR((CS320-CR320)/ABS(CR320),"")</f>
        <v>-1.4130931131700624</v>
      </c>
      <c r="CW320" s="1" t="s">
        <v>1203</v>
      </c>
      <c r="CX320" t="str">
        <f>IF(OR($CW320="prd",$CW320="std",$CW320="cit"),"loc",IF(OR($CW320="eur",$CW320="reg",$CW320="coy"),"reg",$CW320))</f>
        <v>reg</v>
      </c>
      <c r="CY320" t="s">
        <v>961</v>
      </c>
      <c r="CZ320">
        <v>0</v>
      </c>
      <c r="DA320">
        <v>0</v>
      </c>
      <c r="DB320">
        <v>0</v>
      </c>
      <c r="DC320" t="str">
        <f>IF(DB320=0,"0",IF(AND(DB320&gt;=1,DB320&lt;=30),"1-30",IF(AND(DB320&gt;30,DB320&lt;=70),"31-70",IF(AND(DB320&gt;70,DB320&lt;=100),"71-100",IF(DB320&gt;100,"+100")))))</f>
        <v>0</v>
      </c>
      <c r="DD320">
        <v>1</v>
      </c>
      <c r="DE320">
        <v>0</v>
      </c>
      <c r="DF320">
        <v>0</v>
      </c>
      <c r="DG320">
        <v>0</v>
      </c>
      <c r="DH320"/>
      <c r="DI320">
        <v>1</v>
      </c>
      <c r="DJ320" t="str">
        <f>IF(DI320=1,INDEX($DD$7:$DG$7,MATCH(1,$DD320:$DG320,0)),"mixedProduct")</f>
        <v>UpstreamInput</v>
      </c>
      <c r="DK320" t="str">
        <f>IF(DD320=1,DK$7,0)</f>
        <v>Upstream</v>
      </c>
      <c r="DL320">
        <f>IF(DE320=1,DL$7,0)</f>
        <v>0</v>
      </c>
      <c r="DM320">
        <f>IF(DF320=1,DM$7,0)</f>
        <v>0</v>
      </c>
      <c r="DN320">
        <f>IF(DG320=1,DN$7,0)</f>
        <v>0</v>
      </c>
      <c r="DO320">
        <v>0</v>
      </c>
      <c r="DP320">
        <v>0</v>
      </c>
      <c r="DQ320">
        <v>0</v>
      </c>
      <c r="DR320">
        <v>0</v>
      </c>
      <c r="DS320">
        <v>0</v>
      </c>
      <c r="DT320">
        <f>SUM(DO320:DP320)</f>
        <v>0</v>
      </c>
      <c r="DU320" s="143" t="s">
        <v>962</v>
      </c>
      <c r="DV320">
        <v>0</v>
      </c>
      <c r="DW320">
        <v>0</v>
      </c>
      <c r="DX320">
        <v>0</v>
      </c>
      <c r="DY320">
        <v>0</v>
      </c>
      <c r="DZ320">
        <v>0</v>
      </c>
      <c r="EA320" s="143">
        <v>0</v>
      </c>
      <c r="EB320">
        <v>1</v>
      </c>
      <c r="EC320">
        <v>0</v>
      </c>
      <c r="ED320">
        <v>0</v>
      </c>
      <c r="EE320">
        <v>0</v>
      </c>
      <c r="EF320">
        <v>0</v>
      </c>
      <c r="EG320">
        <v>0</v>
      </c>
      <c r="EH320">
        <v>0</v>
      </c>
      <c r="EI320" s="2">
        <v>0</v>
      </c>
      <c r="EJ320" s="1"/>
      <c r="EK320" t="str">
        <f>IF(AND(AND(AND(OR($DX320=1,$DW320=1),OR($EC320=1,$EA320=1)),SUM($DV320:$DZ320,$EF320)&gt;=4),SUM($EA320:$EE320)&gt;=2),"Whole sector","")</f>
        <v/>
      </c>
      <c r="EL320" t="str">
        <f>IF(AND(AND(OR($DX320=1,$DW320=1),AND($EC320=0,$EA320=0)),SUM($DV320:$DZ320,$EF320)&gt;=4),"Ecosystem approach","")</f>
        <v/>
      </c>
      <c r="EM320" s="2" t="str">
        <f>IF(AND(AND(AND($DX320=0,$DW320=0),OR($EC320=1,$EA320=1)),SUM($EB320:$EE320)&gt;=2),"Technology approach","")</f>
        <v/>
      </c>
      <c r="EN320"/>
      <c r="EO320"/>
      <c r="EP320" t="str">
        <f>IF(ISNUMBER(BU320),IF(ABS(BU320-[1]QC_indicators!$B$2)&gt;3*[1]QC_indicators!$C$2,"C ratio",IF(ISNUMBER(BY320),IF(ABS(BY320-[1]QC_indicators!$B$1)&gt;3*[1]QC_indicators!$C$1,"DF","no"))),IF(ISNUMBER(BY320),IF(ABS(BY320-[1]QC_indicators!$B$1)&gt;3*[1]QC_indicators!$C$1,"DF","no")))</f>
        <v>no</v>
      </c>
      <c r="EQ320"/>
      <c r="ER320"/>
      <c r="ES320"/>
      <c r="ET320" s="264" t="s">
        <v>3182</v>
      </c>
      <c r="EU320"/>
    </row>
    <row r="321" spans="1:151" s="139" customFormat="1" ht="15" customHeight="1">
      <c r="A321" s="1" t="s">
        <v>412</v>
      </c>
      <c r="B321" t="s">
        <v>413</v>
      </c>
      <c r="C321" t="s">
        <v>414</v>
      </c>
      <c r="D321" t="s">
        <v>415</v>
      </c>
      <c r="E321" t="s">
        <v>416</v>
      </c>
      <c r="F321" t="s">
        <v>417</v>
      </c>
      <c r="G321" t="s">
        <v>418</v>
      </c>
      <c r="H321" t="s">
        <v>254</v>
      </c>
      <c r="I321">
        <v>2022</v>
      </c>
      <c r="J321">
        <v>4</v>
      </c>
      <c r="K321" t="s">
        <v>419</v>
      </c>
      <c r="L321"/>
      <c r="M321" t="str">
        <f>LEFT($D321,FIND(",",$D321)-1)&amp;"_"&amp;I321&amp;L321</f>
        <v>Bergman_2022</v>
      </c>
      <c r="N321" t="s">
        <v>222</v>
      </c>
      <c r="O321" s="145" t="s">
        <v>223</v>
      </c>
      <c r="P321"/>
      <c r="Q321" t="s">
        <v>389</v>
      </c>
      <c r="R321" s="255" t="s">
        <v>225</v>
      </c>
      <c r="S321" s="1" t="s">
        <v>420</v>
      </c>
      <c r="T321" t="s">
        <v>421</v>
      </c>
      <c r="U321" t="s">
        <v>422</v>
      </c>
      <c r="V321">
        <v>0</v>
      </c>
      <c r="W321">
        <v>0</v>
      </c>
      <c r="X321">
        <v>0</v>
      </c>
      <c r="Y321">
        <v>0</v>
      </c>
      <c r="Z321">
        <v>0</v>
      </c>
      <c r="AA321">
        <v>0</v>
      </c>
      <c r="AB321">
        <v>0</v>
      </c>
      <c r="AC321">
        <v>0</v>
      </c>
      <c r="AD321">
        <v>0</v>
      </c>
      <c r="AE321">
        <v>0</v>
      </c>
      <c r="AF321">
        <v>0</v>
      </c>
      <c r="AG321">
        <v>0</v>
      </c>
      <c r="AH321">
        <v>0</v>
      </c>
      <c r="AI321">
        <v>0</v>
      </c>
      <c r="AJ321">
        <v>1</v>
      </c>
      <c r="AK321">
        <v>0</v>
      </c>
      <c r="AL321">
        <v>0</v>
      </c>
      <c r="AM321">
        <v>0</v>
      </c>
      <c r="AN321">
        <v>0</v>
      </c>
      <c r="AO321">
        <v>0</v>
      </c>
      <c r="AP321">
        <v>0</v>
      </c>
      <c r="AQ321">
        <v>0</v>
      </c>
      <c r="AR321">
        <v>0</v>
      </c>
      <c r="AS321">
        <v>0</v>
      </c>
      <c r="AT321">
        <v>0</v>
      </c>
      <c r="AU321">
        <v>0</v>
      </c>
      <c r="AV321">
        <v>0</v>
      </c>
      <c r="AW321">
        <v>0</v>
      </c>
      <c r="AX321" s="141">
        <f>COUNTIF(V321:AW321,"&lt;&gt;0")</f>
        <v>1</v>
      </c>
      <c r="AY321" s="141">
        <f>COUNTIF(V321:AL321,"&lt;&gt;0")</f>
        <v>1</v>
      </c>
      <c r="AZ321">
        <f>COUNTIF(V321:AC321,"&lt;&gt;0")</f>
        <v>0</v>
      </c>
      <c r="BA321">
        <f>COUNTIF(AD321:AI321,"&lt;&gt;0")</f>
        <v>0</v>
      </c>
      <c r="BB321">
        <f>COUNTIF(AJ321:AL321,"&lt;&gt;0")</f>
        <v>1</v>
      </c>
      <c r="BC321">
        <f>COUNTIF(AS321:AW321,"&lt;&gt;0")</f>
        <v>0</v>
      </c>
      <c r="BD321">
        <f>COUNTIF(AM321:AR321,"&lt;&gt;0")</f>
        <v>0</v>
      </c>
      <c r="BE321" t="str">
        <f t="array" ref="BE321">IF(AY321=1,INDEX($V$7:$AL$7,MATCH(TRUE,INDEX($V321:$AW321&lt;&gt;0,),0)),IF(AY321=0,INDEX($AM$7:$AW$7,MATCH(1,$AM321:$AW321,0)),IF(BF321="Multiple strategies","mixed drivers",IF(BF321="Supply chain","multiple supply","multiple silviculture"))))</f>
        <v>efficiency improvement</v>
      </c>
      <c r="BF321" s="2" t="str" cm="1">
        <f t="array" ref="BF321">IF(COUNTIF(AZ321:BB321,"&lt;&gt;0")=1,INDEX($V$4:$AW$4,MATCH(TRUE,INDEX($V321:$AW321&lt;&gt;0,),0)),IF(COUNTIF(AZ321:BB321,"&lt;&gt;0")=0,INDEX($AM$4:$AW$4,MATCH(1,$AM321:$AW321,0)),"Multiple strategies"))</f>
        <v>Technology</v>
      </c>
      <c r="BG321" s="1" t="s">
        <v>229</v>
      </c>
      <c r="BH321" t="s">
        <v>423</v>
      </c>
      <c r="BI321" t="s">
        <v>424</v>
      </c>
      <c r="BJ321" t="s">
        <v>425</v>
      </c>
      <c r="BK321">
        <v>5932</v>
      </c>
      <c r="BL321">
        <v>15385</v>
      </c>
      <c r="BM321"/>
      <c r="BN321">
        <f>BL321-BK321</f>
        <v>9453</v>
      </c>
      <c r="BO321">
        <f>BN321*kg_to_m3</f>
        <v>19.291836734693881</v>
      </c>
      <c r="BP321" t="s">
        <v>395</v>
      </c>
      <c r="BQ321" s="339" t="s">
        <v>3272</v>
      </c>
      <c r="BR321" t="s">
        <v>427</v>
      </c>
      <c r="BS321">
        <f>19+246+24+17</f>
        <v>306</v>
      </c>
      <c r="BT321">
        <f>712+27+17</f>
        <v>756</v>
      </c>
      <c r="BU321" s="144">
        <f>IFERROR(BT321/BS321,"")</f>
        <v>2.4705882352941178</v>
      </c>
      <c r="BV321">
        <f>BT321-BS321</f>
        <v>450</v>
      </c>
      <c r="BW321"/>
      <c r="BX321">
        <f>BV321/1000</f>
        <v>0.45</v>
      </c>
      <c r="BY321">
        <f>IFERROR(BX321/BO321,"")</f>
        <v>2.3325928276737542E-2</v>
      </c>
      <c r="BZ321">
        <v>0</v>
      </c>
      <c r="CA321">
        <v>0</v>
      </c>
      <c r="CB321">
        <v>0</v>
      </c>
      <c r="CC321">
        <v>0</v>
      </c>
      <c r="CD321">
        <v>0</v>
      </c>
      <c r="CE321">
        <v>0</v>
      </c>
      <c r="CF321">
        <v>0</v>
      </c>
      <c r="CG321">
        <v>0</v>
      </c>
      <c r="CH321">
        <v>0</v>
      </c>
      <c r="CI321">
        <v>0</v>
      </c>
      <c r="CJ321">
        <v>0</v>
      </c>
      <c r="CK321">
        <v>0</v>
      </c>
      <c r="CL321">
        <v>0</v>
      </c>
      <c r="CM321">
        <v>0</v>
      </c>
      <c r="CN321" t="str">
        <f>IF($BL321&lt;$BK321,"refNeedCorrection","refOK")</f>
        <v>refOK</v>
      </c>
      <c r="CO321"/>
      <c r="CP321"/>
      <c r="CQ321">
        <f>IF($CN321="refOK",$BO321,-$BO321)</f>
        <v>19.291836734693881</v>
      </c>
      <c r="CR321">
        <f>IF($CN321="refOK",$BT321,$BS321)*IF($BP321="Emissions positive",-1,1)</f>
        <v>-756</v>
      </c>
      <c r="CS321">
        <f>IF($CN321="refOK",$BS321,$BT321)*IF($BP321="Emissions positive",-1,1)</f>
        <v>-306</v>
      </c>
      <c r="CT321">
        <f>IF($CN321="refNeedCorrection",-BX321,BX321)*IF($BP321="Emissions positive",-1,1)</f>
        <v>-0.45</v>
      </c>
      <c r="CU321">
        <f>IFERROR(CT321/CQ321,"")</f>
        <v>-2.3325928276737542E-2</v>
      </c>
      <c r="CV321" s="2">
        <f>IFERROR((CS321-CR321)/ABS(CR321),"")</f>
        <v>0.59523809523809523</v>
      </c>
      <c r="CW321" s="1" t="s">
        <v>263</v>
      </c>
      <c r="CX321" t="str">
        <f>IF(OR($CW321="prd",$CW321="std",$CW321="cit"),"loc",IF(OR($CW321="eur",$CW321="reg",$CW321="coy"),"reg",$CW321))</f>
        <v>loc</v>
      </c>
      <c r="CY321" t="s">
        <v>428</v>
      </c>
      <c r="CZ321"/>
      <c r="DA321"/>
      <c r="DB321">
        <v>0</v>
      </c>
      <c r="DC321" t="str">
        <f>IF(DB321=0,"0",IF(AND(DB321&gt;=1,DB321&lt;=30),"1-30",IF(AND(DB321&gt;30,DB321&lt;=70),"31-70",IF(AND(DB321&gt;70,DB321&lt;=100),"71-100",IF(DB321&gt;100,"+100")))))</f>
        <v>0</v>
      </c>
      <c r="DD321">
        <v>0</v>
      </c>
      <c r="DE321">
        <v>1</v>
      </c>
      <c r="DF321">
        <v>0</v>
      </c>
      <c r="DG321">
        <v>0</v>
      </c>
      <c r="DH321">
        <v>0</v>
      </c>
      <c r="DI321">
        <f>SUM(DD321:DH321)</f>
        <v>1</v>
      </c>
      <c r="DJ321" t="str">
        <f>IF(DI321=1,INDEX($DD$7:$DG$7,MATCH(1,$DD321:$DG321,0)),"mixedProduct")</f>
        <v>EnergyInput</v>
      </c>
      <c r="DK321">
        <f>IF(DD321=1,DK$7,0)</f>
        <v>0</v>
      </c>
      <c r="DL321" t="str">
        <f>IF(DE321=1,DL$7,0)</f>
        <v>Energy</v>
      </c>
      <c r="DM321">
        <f>IF(DF321=1,DM$7,0)</f>
        <v>0</v>
      </c>
      <c r="DN321">
        <f>IF(DG321=1,DN$7,0)</f>
        <v>0</v>
      </c>
      <c r="DO321">
        <v>0</v>
      </c>
      <c r="DP321">
        <v>0</v>
      </c>
      <c r="DQ321">
        <v>0</v>
      </c>
      <c r="DR321">
        <v>0</v>
      </c>
      <c r="DS321">
        <v>0</v>
      </c>
      <c r="DT321">
        <f>SUM(DO321:DP321)</f>
        <v>0</v>
      </c>
      <c r="DU321" t="str">
        <f>IF(DO321=1,"self-calculated DF",IF(DP321=1,"external DF used","explicit C balance"))</f>
        <v>explicit C balance</v>
      </c>
      <c r="DV321">
        <v>0</v>
      </c>
      <c r="DW321">
        <v>1</v>
      </c>
      <c r="DX321">
        <v>0</v>
      </c>
      <c r="DY321">
        <v>0</v>
      </c>
      <c r="DZ321">
        <v>1</v>
      </c>
      <c r="EA321" s="143">
        <v>0</v>
      </c>
      <c r="EB321">
        <v>0</v>
      </c>
      <c r="EC321">
        <v>1</v>
      </c>
      <c r="ED321">
        <v>0</v>
      </c>
      <c r="EE321">
        <v>0</v>
      </c>
      <c r="EF321">
        <v>0</v>
      </c>
      <c r="EG321">
        <v>0</v>
      </c>
      <c r="EH321">
        <v>0</v>
      </c>
      <c r="EI321" s="2">
        <v>0</v>
      </c>
      <c r="EJ321" s="1"/>
      <c r="EK321" t="str">
        <f>IF(AND(AND(AND(OR($DX321=1,$DW321=1),OR($EC321=1,$EA321=1)),SUM($DV321:$DZ321,$EF321)&gt;=4),SUM($EA321:$EE321)&gt;=2),"Whole sector","")</f>
        <v/>
      </c>
      <c r="EL321" t="str">
        <f>IF(AND(AND(OR($DX321=1,$DW321=1),AND($EC321=0,$EA321=0)),SUM($DV321:$DZ321,$EF321)&gt;=4),"Ecosystem approach","")</f>
        <v/>
      </c>
      <c r="EM321" s="2" t="str">
        <f>IF(AND(AND(AND($DX321=0,$DW321=0),OR($EC321=1,$EA321=1)),SUM($EB321:$EE321)&gt;=2),"Technology approach","")</f>
        <v/>
      </c>
      <c r="EN321"/>
      <c r="EO321"/>
      <c r="EP321" t="str">
        <f>IF(ISNUMBER(BU321),IF(ABS(BU321-[4]QC_indicators!$B$2)&gt;3*[4]QC_indicators!$C$2,"C ratio",IF(ISNUMBER(BY321),IF(ABS(BY321-[4]QC_indicators!$B$1)&gt;3*[4]QC_indicators!$C$1,"DF","no"))),IF(ISNUMBER(BY321),IF(ABS(BY321-[4]QC_indicators!$B$1)&gt;3*[4]QC_indicators!$C$1,"DF","no")))</f>
        <v>no</v>
      </c>
      <c r="EQ321"/>
      <c r="ER321"/>
      <c r="ES321"/>
      <c r="ET321" s="264" t="s">
        <v>3273</v>
      </c>
      <c r="EU321"/>
    </row>
    <row r="322" spans="1:151" s="139" customFormat="1" ht="15" customHeight="1">
      <c r="A322" s="1" t="s">
        <v>1808</v>
      </c>
      <c r="B322" t="s">
        <v>2475</v>
      </c>
      <c r="C322" t="s">
        <v>2476</v>
      </c>
      <c r="D322" t="s">
        <v>2477</v>
      </c>
      <c r="E322" t="s">
        <v>2478</v>
      </c>
      <c r="F322" t="s">
        <v>2479</v>
      </c>
      <c r="G322" t="s">
        <v>1814</v>
      </c>
      <c r="H322" t="s">
        <v>254</v>
      </c>
      <c r="I322">
        <v>2010</v>
      </c>
      <c r="J322">
        <v>100</v>
      </c>
      <c r="K322" t="s">
        <v>2480</v>
      </c>
      <c r="L322"/>
      <c r="M322" t="str">
        <f>LEFT($D322,FIND(",",$D322)-1)&amp;"_"&amp;I322&amp;L322</f>
        <v>Werner_2010</v>
      </c>
      <c r="N322" t="s">
        <v>222</v>
      </c>
      <c r="O322" s="145" t="s">
        <v>1154</v>
      </c>
      <c r="P322"/>
      <c r="Q322" t="s">
        <v>256</v>
      </c>
      <c r="R322" s="262" t="s">
        <v>223</v>
      </c>
      <c r="S322" s="263" t="s">
        <v>3255</v>
      </c>
      <c r="T322" t="s">
        <v>2482</v>
      </c>
      <c r="U322" t="s">
        <v>2488</v>
      </c>
      <c r="V322">
        <v>2</v>
      </c>
      <c r="W322">
        <v>0</v>
      </c>
      <c r="X322">
        <v>1</v>
      </c>
      <c r="Y322">
        <v>2</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s="141">
        <f>COUNTIF(V322:AW322,"&lt;&gt;0")</f>
        <v>3</v>
      </c>
      <c r="AY322" s="141">
        <f>COUNTIF(V322:AL322,"&lt;&gt;0")</f>
        <v>3</v>
      </c>
      <c r="AZ322">
        <f>COUNTIF(V322:AC322,"&lt;&gt;0")</f>
        <v>3</v>
      </c>
      <c r="BA322">
        <f>COUNTIF(AD322:AI322,"&lt;&gt;0")</f>
        <v>0</v>
      </c>
      <c r="BB322">
        <f>COUNTIF(AJ322:AL322,"&lt;&gt;0")</f>
        <v>0</v>
      </c>
      <c r="BC322">
        <f>COUNTIF(AS322:AW322,"&lt;&gt;0")</f>
        <v>0</v>
      </c>
      <c r="BD322">
        <f>COUNTIF(AM322:AR322,"&lt;&gt;0")</f>
        <v>0</v>
      </c>
      <c r="BE322" t="str">
        <f t="array" ref="BE322">IF(AY322=1,INDEX($V$7:$AL$7,MATCH(TRUE,INDEX($V322:$AW322&lt;&gt;0,),0)),IF(AY322=0,INDEX($AM$7:$AW$7,MATCH(1,$AM322:$AW322,0)),IF(BF322="Multiple strategies","mixed drivers",IF(BF322="Supply chain","multiple supply","multiple silviculture"))))</f>
        <v>multiple silviculture</v>
      </c>
      <c r="BF322" s="2" t="str" cm="1">
        <f t="array" ref="BF322">IF(COUNTIF(AZ322:BB322,"&lt;&gt;0")=1,INDEX($V$4:$AW$4,MATCH(TRUE,INDEX($V322:$AW322&lt;&gt;0,),0)),IF(COUNTIF(AZ322:BB322,"&lt;&gt;0")=0,INDEX($AM$4:$AW$4,MATCH(1,$AM322:$AW322,0)),"Multiple strategies"))</f>
        <v>Silviculture for removals</v>
      </c>
      <c r="BG322" s="1" t="s">
        <v>321</v>
      </c>
      <c r="BH322" t="s">
        <v>2453</v>
      </c>
      <c r="BI322" s="264" t="s">
        <v>3252</v>
      </c>
      <c r="BJ322" t="s">
        <v>1323</v>
      </c>
      <c r="BK322">
        <v>300</v>
      </c>
      <c r="BL322">
        <v>765</v>
      </c>
      <c r="BM322" s="143">
        <f>BL322/BK322</f>
        <v>2.5499999999999998</v>
      </c>
      <c r="BN322">
        <f>BL322-BK322</f>
        <v>465</v>
      </c>
      <c r="BO322">
        <f>BN322*10^6</f>
        <v>465000000</v>
      </c>
      <c r="BP322" t="s">
        <v>232</v>
      </c>
      <c r="BQ322" s="153" t="s">
        <v>3253</v>
      </c>
      <c r="BR322" t="s">
        <v>2325</v>
      </c>
      <c r="BS322">
        <v>728.49390504704797</v>
      </c>
      <c r="BT322">
        <v>717.72749144568002</v>
      </c>
      <c r="BU322" s="144">
        <f>IFERROR(BT322/BS322,"")</f>
        <v>0.98522099700933996</v>
      </c>
      <c r="BV322" s="144">
        <f>BT322-BS322</f>
        <v>-10.766413601367958</v>
      </c>
      <c r="BW322" s="144"/>
      <c r="BX322">
        <f>BV322*10^6</f>
        <v>-10766413.601367958</v>
      </c>
      <c r="BY322">
        <f>IFERROR(BX322/BO322,"")</f>
        <v>-2.3153577637350448E-2</v>
      </c>
      <c r="BZ322">
        <v>0</v>
      </c>
      <c r="CA322">
        <v>0</v>
      </c>
      <c r="CB322">
        <v>0</v>
      </c>
      <c r="CC322">
        <v>0</v>
      </c>
      <c r="CD322">
        <v>0</v>
      </c>
      <c r="CE322">
        <v>0</v>
      </c>
      <c r="CF322">
        <v>0</v>
      </c>
      <c r="CG322">
        <v>0</v>
      </c>
      <c r="CH322">
        <v>0</v>
      </c>
      <c r="CI322">
        <v>0</v>
      </c>
      <c r="CJ322">
        <v>0</v>
      </c>
      <c r="CK322">
        <v>0</v>
      </c>
      <c r="CL322">
        <v>0</v>
      </c>
      <c r="CM322">
        <v>1</v>
      </c>
      <c r="CN322" t="str">
        <f>IF($BL322&lt;$BK322,"refNeedCorrection","refOK")</f>
        <v>refOK</v>
      </c>
      <c r="CO322">
        <f>IF($CN322="refNeedCorrection",BL322,BK322)</f>
        <v>300</v>
      </c>
      <c r="CP322">
        <f>IF($CN322="refNeedCorrection",BK322,BL322)</f>
        <v>765</v>
      </c>
      <c r="CQ322">
        <f>IF($CN322="refOK",$BO322,-$BO322)</f>
        <v>465000000</v>
      </c>
      <c r="CR322">
        <f>IF($CN322="refOK",$BS322,$BT322)*IF($BP322="Emissions positive",-1,1)</f>
        <v>728.49390504704797</v>
      </c>
      <c r="CS322">
        <f>IF($CN322="refOK",$BT322,$BS322)*IF($BP322="Emissions positive",-1,1)</f>
        <v>717.72749144568002</v>
      </c>
      <c r="CT322">
        <f>IF($CN322="refNeedCorrection",-BX322,BX322)*IF($BP322="Emissions positive",-1,1)</f>
        <v>-10766413.601367958</v>
      </c>
      <c r="CU322">
        <f>IFERROR(CT322/CQ322,"")</f>
        <v>-2.3153577637350448E-2</v>
      </c>
      <c r="CV322" s="2">
        <f>IFERROR((CS322-CR322)/ABS(CR322),"")</f>
        <v>-1.4779002990660074E-2</v>
      </c>
      <c r="CW322" s="1" t="s">
        <v>1203</v>
      </c>
      <c r="CX322" t="str">
        <f>IF(OR($CW322="prd",$CW322="std",$CW322="cit"),"loc",IF(OR($CW322="eur",$CW322="reg",$CW322="coy"),"reg",$CW322))</f>
        <v>reg</v>
      </c>
      <c r="CY322" t="s">
        <v>639</v>
      </c>
      <c r="CZ322">
        <v>2000</v>
      </c>
      <c r="DA322">
        <v>2090</v>
      </c>
      <c r="DB322">
        <f>DA322-CZ322</f>
        <v>90</v>
      </c>
      <c r="DC322" t="str">
        <f>IF(DB322=0,"0",IF(AND(DB322&gt;=1,DB322&lt;=30),"1-30",IF(AND(DB322&gt;30,DB322&lt;=70),"31-70",IF(AND(DB322&gt;70,DB322&lt;=100),"71-100",IF(DB322&gt;100,"+100")))))</f>
        <v>71-100</v>
      </c>
      <c r="DD322">
        <v>0</v>
      </c>
      <c r="DE322">
        <v>1</v>
      </c>
      <c r="DF322">
        <v>0</v>
      </c>
      <c r="DG322">
        <v>0</v>
      </c>
      <c r="DH322">
        <v>0</v>
      </c>
      <c r="DI322">
        <f>SUM(DD322:DG322)</f>
        <v>1</v>
      </c>
      <c r="DJ322" t="str">
        <f>IF(DI322=1,INDEX($DD$7:$DG$7,MATCH(1,$DD322:$DG322,0)),"mixedProduct")</f>
        <v>EnergyInput</v>
      </c>
      <c r="DK322">
        <f>IF(DD322=1,DK$7,0)</f>
        <v>0</v>
      </c>
      <c r="DL322" t="str">
        <f>IF(DE322=1,DL$7,0)</f>
        <v>Energy</v>
      </c>
      <c r="DM322">
        <f>IF(DF322=1,DM$7,0)</f>
        <v>0</v>
      </c>
      <c r="DN322">
        <f>IF(DG322=1,DN$7,0)</f>
        <v>0</v>
      </c>
      <c r="DO322">
        <v>0</v>
      </c>
      <c r="DP322">
        <v>1</v>
      </c>
      <c r="DQ322" t="s">
        <v>2483</v>
      </c>
      <c r="DR322" t="s">
        <v>2484</v>
      </c>
      <c r="DS322"/>
      <c r="DT322">
        <f>SUM(DO322:DP322)</f>
        <v>1</v>
      </c>
      <c r="DU322" s="143" t="str">
        <f>IF(DO322=1,"self-calculated DF",IF(DP322=1,"external DF used","explicit C balance"))</f>
        <v>external DF used</v>
      </c>
      <c r="DV322">
        <v>1</v>
      </c>
      <c r="DW322">
        <v>1</v>
      </c>
      <c r="DX322">
        <v>1</v>
      </c>
      <c r="DY322">
        <v>1</v>
      </c>
      <c r="DZ322">
        <v>1</v>
      </c>
      <c r="EA322" s="143">
        <v>1</v>
      </c>
      <c r="EB322">
        <v>1</v>
      </c>
      <c r="EC322">
        <v>1</v>
      </c>
      <c r="ED322">
        <v>0</v>
      </c>
      <c r="EE322">
        <v>0</v>
      </c>
      <c r="EF322">
        <v>1</v>
      </c>
      <c r="EG322">
        <v>0</v>
      </c>
      <c r="EH322">
        <v>0</v>
      </c>
      <c r="EI322" s="2">
        <v>0</v>
      </c>
      <c r="EJ322" s="1"/>
      <c r="EK322" t="str">
        <f>IF(AND(AND(AND(OR($DX322=1,$DW322=1),OR($EC322=1,$EA322=1)),SUM($DV322:$DZ322,$EF322)&gt;=4),SUM($EA322:$EE322)&gt;=2),"Whole sector","")</f>
        <v>Whole sector</v>
      </c>
      <c r="EL322" t="str">
        <f>IF(AND(AND(OR($DX322=1,$DW322=1),AND($EC322=0,$EA322=0)),SUM($DV322:$DZ322,$EF322)&gt;=4),"Ecosystem approach","")</f>
        <v/>
      </c>
      <c r="EM322" s="2" t="str">
        <f>IF(AND(AND(AND($DX322=0,$DW322=0),OR($EC322=1,$EA322=1)),SUM($EB322:$EE322)&gt;=2),"Technology approach","")</f>
        <v/>
      </c>
      <c r="EN322" t="s">
        <v>2485</v>
      </c>
      <c r="EO322"/>
      <c r="EP322" t="str">
        <f>IF(ISNUMBER(BU322),IF(ABS(BU322-[1]QC_indicators!$B$2)&gt;3*[1]QC_indicators!$C$2,"C ratio",IF(ISNUMBER(BY322),IF(ABS(BY322-[1]QC_indicators!$B$1)&gt;3*[1]QC_indicators!$C$1,"DF","no"))),IF(ISNUMBER(BY322),IF(ABS(BY322-[1]QC_indicators!$B$1)&gt;3*[1]QC_indicators!$C$1,"DF","no")))</f>
        <v>no</v>
      </c>
      <c r="EQ322"/>
      <c r="ER322"/>
      <c r="ES322"/>
      <c r="ET322" s="264" t="s">
        <v>3254</v>
      </c>
      <c r="EU322"/>
    </row>
    <row r="323" spans="1:151" s="139" customFormat="1" ht="15" customHeight="1">
      <c r="A323" s="1" t="s">
        <v>1808</v>
      </c>
      <c r="B323" t="s">
        <v>1809</v>
      </c>
      <c r="C323" t="s">
        <v>1810</v>
      </c>
      <c r="D323" t="s">
        <v>1811</v>
      </c>
      <c r="E323" t="s">
        <v>1812</v>
      </c>
      <c r="F323" t="s">
        <v>1813</v>
      </c>
      <c r="G323" t="s">
        <v>1814</v>
      </c>
      <c r="H323" t="s">
        <v>254</v>
      </c>
      <c r="I323">
        <v>2014</v>
      </c>
      <c r="J323">
        <v>15</v>
      </c>
      <c r="K323" t="s">
        <v>1815</v>
      </c>
      <c r="L323"/>
      <c r="M323" t="str">
        <f>LEFT($D323,FIND(",",$D323)-1)&amp;"_"&amp;I323&amp;L323</f>
        <v>Kayo_2014</v>
      </c>
      <c r="N323" t="s">
        <v>222</v>
      </c>
      <c r="O323" s="171" t="s">
        <v>513</v>
      </c>
      <c r="P323" t="s">
        <v>960</v>
      </c>
      <c r="Q323" t="s">
        <v>389</v>
      </c>
      <c r="R323" s="262" t="s">
        <v>223</v>
      </c>
      <c r="S323" s="1" t="s">
        <v>1816</v>
      </c>
      <c r="T323" t="s">
        <v>1111</v>
      </c>
      <c r="U323" s="264" t="s">
        <v>3144</v>
      </c>
      <c r="V323">
        <v>0</v>
      </c>
      <c r="W323">
        <v>0</v>
      </c>
      <c r="X323">
        <v>0</v>
      </c>
      <c r="Y323">
        <v>0</v>
      </c>
      <c r="Z323">
        <v>0</v>
      </c>
      <c r="AA323">
        <v>0</v>
      </c>
      <c r="AB323">
        <v>0</v>
      </c>
      <c r="AC323">
        <v>0</v>
      </c>
      <c r="AD323">
        <v>0</v>
      </c>
      <c r="AE323">
        <v>0</v>
      </c>
      <c r="AF323">
        <v>1</v>
      </c>
      <c r="AG323">
        <v>0</v>
      </c>
      <c r="AH323">
        <v>0</v>
      </c>
      <c r="AI323">
        <v>0</v>
      </c>
      <c r="AJ323">
        <v>0</v>
      </c>
      <c r="AK323">
        <v>0</v>
      </c>
      <c r="AL323">
        <v>0</v>
      </c>
      <c r="AM323">
        <v>0</v>
      </c>
      <c r="AN323">
        <v>0</v>
      </c>
      <c r="AO323">
        <v>0</v>
      </c>
      <c r="AP323">
        <v>0</v>
      </c>
      <c r="AQ323">
        <v>0</v>
      </c>
      <c r="AR323">
        <v>0</v>
      </c>
      <c r="AS323">
        <v>0</v>
      </c>
      <c r="AT323">
        <v>0</v>
      </c>
      <c r="AU323">
        <v>0</v>
      </c>
      <c r="AV323">
        <v>0</v>
      </c>
      <c r="AW323">
        <v>0</v>
      </c>
      <c r="AX323" s="141">
        <f>COUNTIF(V323:AW323,"&lt;&gt;0")</f>
        <v>1</v>
      </c>
      <c r="AY323" s="141">
        <f>COUNTIF(V323:AL323,"&lt;&gt;0")</f>
        <v>1</v>
      </c>
      <c r="AZ323">
        <f>COUNTIF(V323:AC323,"&lt;&gt;0")</f>
        <v>0</v>
      </c>
      <c r="BA323">
        <f>COUNTIF(AD323:AI323,"&lt;&gt;0")</f>
        <v>1</v>
      </c>
      <c r="BB323">
        <f>COUNTIF(AJ323:AL323,"&lt;&gt;0")</f>
        <v>0</v>
      </c>
      <c r="BC323">
        <f>COUNTIF(AS323:AW323,"&lt;&gt;0")</f>
        <v>0</v>
      </c>
      <c r="BD323">
        <f>COUNTIF(AM323:AR323,"&lt;&gt;0")</f>
        <v>0</v>
      </c>
      <c r="BE323" t="str">
        <f t="array" ref="BE323">IF(AY323=1,INDEX($V$7:$AL$7,MATCH(TRUE,INDEX($V323:$AW323&lt;&gt;0,),0)),IF(AY323=0,INDEX($AM$7:$AW$7,MATCH(1,$AM323:$AW323,0)),IF(BF323="Multiple strategies","mixed drivers",IF(BF323="Supply chain","multiple supply","multiple silviculture"))))</f>
        <v>supply chain organization</v>
      </c>
      <c r="BF323" s="2" t="str" cm="1">
        <f t="array" ref="BF323">IF(COUNTIF(AZ323:BB323,"&lt;&gt;0")=1,INDEX($V$4:$AW$4,MATCH(TRUE,INDEX($V323:$AW323&lt;&gt;0,),0)),IF(COUNTIF(AZ323:BB323,"&lt;&gt;0")=0,INDEX($AM$4:$AW$4,MATCH(1,$AM323:$AW323,0)),"Multiple strategies"))</f>
        <v>Supply chain</v>
      </c>
      <c r="BG323" s="1" t="s">
        <v>229</v>
      </c>
      <c r="BH323" t="s">
        <v>1817</v>
      </c>
      <c r="BI323" s="264" t="s">
        <v>3145</v>
      </c>
      <c r="BJ323" t="s">
        <v>1818</v>
      </c>
      <c r="BK323">
        <v>7939999.9999999991</v>
      </c>
      <c r="BL323">
        <v>13270000</v>
      </c>
      <c r="BM323" t="s">
        <v>544</v>
      </c>
      <c r="BN323">
        <f>BL323-BK323</f>
        <v>5330000.0000000009</v>
      </c>
      <c r="BO323">
        <f>BN323</f>
        <v>5330000.0000000009</v>
      </c>
      <c r="BP323" t="s">
        <v>395</v>
      </c>
      <c r="BQ323" s="264" t="s">
        <v>3146</v>
      </c>
      <c r="BR323" s="264" t="s">
        <v>3147</v>
      </c>
      <c r="BS323">
        <v>48.57</v>
      </c>
      <c r="BT323">
        <v>80.19</v>
      </c>
      <c r="BU323" s="144"/>
      <c r="BV323" s="152">
        <f>BT323-BS323</f>
        <v>31.619999999999997</v>
      </c>
      <c r="BW323"/>
      <c r="BX323" s="152">
        <f>BV323*10^3*C_to_CO2</f>
        <v>116045.39999999998</v>
      </c>
      <c r="BY323">
        <f>IFERROR(BX323/BO323,"")</f>
        <v>2.1772120075046898E-2</v>
      </c>
      <c r="BZ323">
        <v>0</v>
      </c>
      <c r="CA323">
        <v>0</v>
      </c>
      <c r="CB323">
        <v>0</v>
      </c>
      <c r="CC323">
        <v>0</v>
      </c>
      <c r="CD323">
        <v>0</v>
      </c>
      <c r="CE323">
        <v>0</v>
      </c>
      <c r="CF323">
        <v>0</v>
      </c>
      <c r="CG323">
        <v>0</v>
      </c>
      <c r="CH323">
        <v>0</v>
      </c>
      <c r="CI323">
        <v>0</v>
      </c>
      <c r="CJ323">
        <v>0</v>
      </c>
      <c r="CK323">
        <v>0</v>
      </c>
      <c r="CL323">
        <v>0</v>
      </c>
      <c r="CM323">
        <v>0</v>
      </c>
      <c r="CN323" t="str">
        <f>IF($BL323&lt;$BK323,"refNeedCorrection","refOK")</f>
        <v>refOK</v>
      </c>
      <c r="CO323">
        <f>IF($CN323="refOK",$BK323,$BL323)</f>
        <v>7939999.9999999991</v>
      </c>
      <c r="CP323">
        <f>IF($CN323="refOK",$BL323,$BK323)</f>
        <v>13270000</v>
      </c>
      <c r="CQ323">
        <f>IF($CN323="refOK",$BO323,-$BO323)</f>
        <v>5330000.0000000009</v>
      </c>
      <c r="CR323">
        <f>IF($CN323="refOK",$BS323,$BT323)*IF($BP323="Emissions positive",-1,1)</f>
        <v>-48.57</v>
      </c>
      <c r="CS323">
        <f>IF($CN323="refOK",$BT323,$BS323)*IF($BP323="Emissions positive",-1,1)</f>
        <v>-80.19</v>
      </c>
      <c r="CT323">
        <f>IF($CN323="refNeedCorrection",-BX323,BX323)*IF($BP323="Emissions positive",-1,1)</f>
        <v>-116045.39999999998</v>
      </c>
      <c r="CU323">
        <f>IFERROR(CT323/CQ323,"")</f>
        <v>-2.1772120075046898E-2</v>
      </c>
      <c r="CV323" s="2">
        <f>IFERROR((CS323-CR323)/ABS(CR323),"")</f>
        <v>-0.65101914762198887</v>
      </c>
      <c r="CW323" s="1" t="s">
        <v>1199</v>
      </c>
      <c r="CX323" t="str">
        <f>IF(OR($CW323="prd",$CW323="std",$CW323="cit"),"loc",IF(OR($CW323="eur",$CW323="reg",$CW323="coy"),"reg",$CW323))</f>
        <v>reg</v>
      </c>
      <c r="CY323" t="s">
        <v>961</v>
      </c>
      <c r="CZ323">
        <v>2050</v>
      </c>
      <c r="DA323">
        <v>2050</v>
      </c>
      <c r="DB323">
        <v>1</v>
      </c>
      <c r="DC323" t="str">
        <f>IF(DB323=0,"0",IF(AND(DB323&gt;=1,DB323&lt;=30),"1-30",IF(AND(DB323&gt;30,DB323&lt;=70),"31-70",IF(AND(DB323&gt;70,DB323&lt;=100),"71-100",IF(DB323&gt;100,"+100")))))</f>
        <v>1-30</v>
      </c>
      <c r="DD323">
        <v>0</v>
      </c>
      <c r="DE323">
        <v>0</v>
      </c>
      <c r="DF323">
        <v>0</v>
      </c>
      <c r="DG323">
        <v>1</v>
      </c>
      <c r="DH323">
        <v>0</v>
      </c>
      <c r="DI323">
        <v>1</v>
      </c>
      <c r="DJ323" t="str">
        <f>IF(DI323=1,INDEX($DD$7:$DG$7,MATCH(1,$DD323:$DG323,0)),"mixedProduct")</f>
        <v>TimberInput</v>
      </c>
      <c r="DK323">
        <f>IF(DD323=1,DK$7,0)</f>
        <v>0</v>
      </c>
      <c r="DL323">
        <f>IF(DE323=1,DL$7,0)</f>
        <v>0</v>
      </c>
      <c r="DM323">
        <f>IF(DF323=1,DM$7,0)</f>
        <v>0</v>
      </c>
      <c r="DN323" t="str">
        <f>IF(DG323=1,DN$7,0)</f>
        <v>Timber</v>
      </c>
      <c r="DO323">
        <v>0</v>
      </c>
      <c r="DP323">
        <v>0</v>
      </c>
      <c r="DQ323">
        <v>0</v>
      </c>
      <c r="DR323">
        <v>0</v>
      </c>
      <c r="DS323">
        <v>0</v>
      </c>
      <c r="DT323">
        <f>SUM(DO323:DP323)</f>
        <v>0</v>
      </c>
      <c r="DU323" s="143" t="s">
        <v>962</v>
      </c>
      <c r="DV323">
        <v>0</v>
      </c>
      <c r="DW323">
        <v>0</v>
      </c>
      <c r="DX323">
        <v>0</v>
      </c>
      <c r="DY323">
        <v>0</v>
      </c>
      <c r="DZ323">
        <v>0</v>
      </c>
      <c r="EA323" s="143">
        <v>0</v>
      </c>
      <c r="EB323">
        <v>0</v>
      </c>
      <c r="EC323">
        <v>1</v>
      </c>
      <c r="ED323">
        <v>0</v>
      </c>
      <c r="EE323">
        <v>0</v>
      </c>
      <c r="EF323">
        <v>0</v>
      </c>
      <c r="EG323">
        <v>0</v>
      </c>
      <c r="EH323">
        <v>0</v>
      </c>
      <c r="EI323" s="2">
        <v>0</v>
      </c>
      <c r="EJ323" s="1"/>
      <c r="EK323" t="str">
        <f>IF(AND(AND(AND(OR($DX323=1,$DW323=1),OR($EC323=1,$EA323=1)),SUM($DV323:$DZ323,$EF323)&gt;=4),SUM($EA323:$EE323)&gt;=2),"Whole sector","")</f>
        <v/>
      </c>
      <c r="EL323" t="str">
        <f>IF(AND(AND(OR($DX323=1,$DW323=1),AND($EC323=0,$EA323=0)),SUM($DV323:$DZ323,$EF323)&gt;=4),"Ecosystem approach","")</f>
        <v/>
      </c>
      <c r="EM323" s="2" t="str">
        <f>IF(AND(AND(AND($DX323=0,$DW323=0),OR($EC323=1,$EA323=1)),SUM($EB323:$EE323)&gt;=2),"Technology approach","")</f>
        <v/>
      </c>
      <c r="EN323"/>
      <c r="EO323"/>
      <c r="EP323" t="str">
        <f>IF(ISNUMBER(BU323),IF(ABS(BU323-[1]QC_indicators!$B$2)&gt;3*[1]QC_indicators!$C$2,"C ratio",IF(ISNUMBER(BY323),IF(ABS(BY323-[1]QC_indicators!$B$1)&gt;3*[1]QC_indicators!$C$1,"DF","no"))),IF(ISNUMBER(BY323),IF(ABS(BY323-[1]QC_indicators!$B$1)&gt;3*[1]QC_indicators!$C$1,"DF","no")))</f>
        <v>no</v>
      </c>
      <c r="EQ323"/>
      <c r="ER323"/>
      <c r="ES323"/>
      <c r="ET323" s="264" t="s">
        <v>3148</v>
      </c>
      <c r="EU323"/>
    </row>
    <row r="324" spans="1:151" s="139" customFormat="1" ht="15" customHeight="1">
      <c r="A324" s="1" t="s">
        <v>1138</v>
      </c>
      <c r="B324" t="s">
        <v>1578</v>
      </c>
      <c r="C324" t="s">
        <v>1579</v>
      </c>
      <c r="D324" t="s">
        <v>1580</v>
      </c>
      <c r="E324" t="s">
        <v>1581</v>
      </c>
      <c r="F324" t="s">
        <v>1582</v>
      </c>
      <c r="G324" t="s">
        <v>1139</v>
      </c>
      <c r="H324" t="s">
        <v>254</v>
      </c>
      <c r="I324">
        <v>2020</v>
      </c>
      <c r="J324">
        <v>4</v>
      </c>
      <c r="K324" t="s">
        <v>1583</v>
      </c>
      <c r="L324"/>
      <c r="M324" t="str">
        <f>LEFT($D324,FIND(",",$D324)-1)&amp;"_"&amp;I324&amp;L324</f>
        <v>Ganguly_2020</v>
      </c>
      <c r="N324" t="s">
        <v>222</v>
      </c>
      <c r="O324" s="145" t="s">
        <v>274</v>
      </c>
      <c r="P324"/>
      <c r="Q324" s="264" t="s">
        <v>256</v>
      </c>
      <c r="R324" s="269" t="s">
        <v>341</v>
      </c>
      <c r="S324" s="1" t="s">
        <v>1584</v>
      </c>
      <c r="T324" t="s">
        <v>1585</v>
      </c>
      <c r="U324" t="s">
        <v>1586</v>
      </c>
      <c r="V324">
        <v>0</v>
      </c>
      <c r="W324">
        <v>0</v>
      </c>
      <c r="X324">
        <v>0</v>
      </c>
      <c r="Y324">
        <v>0</v>
      </c>
      <c r="Z324">
        <v>0</v>
      </c>
      <c r="AA324">
        <v>0</v>
      </c>
      <c r="AB324">
        <v>0</v>
      </c>
      <c r="AC324">
        <v>0</v>
      </c>
      <c r="AD324">
        <v>0</v>
      </c>
      <c r="AE324">
        <v>1</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s="141">
        <f>COUNTIF(V324:AW324,"&lt;&gt;0")</f>
        <v>1</v>
      </c>
      <c r="AY324" s="141">
        <f>COUNTIF(V324:AL324,"&lt;&gt;0")</f>
        <v>1</v>
      </c>
      <c r="AZ324">
        <f>COUNTIF(V324:AC324,"&lt;&gt;0")</f>
        <v>0</v>
      </c>
      <c r="BA324">
        <f>COUNTIF(AD324:AI324,"&lt;&gt;0")</f>
        <v>1</v>
      </c>
      <c r="BB324">
        <f>COUNTIF(AJ324:AL324,"&lt;&gt;0")</f>
        <v>0</v>
      </c>
      <c r="BC324">
        <f>COUNTIF(AS324:AW324,"&lt;&gt;0")</f>
        <v>0</v>
      </c>
      <c r="BD324">
        <f>COUNTIF(AM324:AR324,"&lt;&gt;0")</f>
        <v>0</v>
      </c>
      <c r="BE324" t="str" cm="1">
        <f t="array" ref="BE324">IF(AY324=1,INDEX($V$7:$AL$7,MATCH(TRUE,INDEX($V324:$AW324&lt;&gt;0,),0)),IF(AY324=0,INDEX($AM$7:$AW$7,MATCH(1,$AM324:$AW324,0)),IF(BF324="Multiple strategies","mixed drivers",IF(BF324="Supply chain","multiple supply","multiple silviculture"))))</f>
        <v>location of industry</v>
      </c>
      <c r="BF324" s="2" t="str" cm="1">
        <f t="array" ref="BF324">IF(COUNTIF(AZ324:BB324,"&lt;&gt;0")=1,INDEX($V$4:$AW$4,MATCH(TRUE,INDEX($V324:$AW324&lt;&gt;0,),0)),IF(COUNTIF(AZ324:BB324,"&lt;&gt;0")=0,INDEX($AM$4:$AW$4,MATCH(1,$AM324:$AW324,0)),"Multiple strategies"))</f>
        <v>Supply chain</v>
      </c>
      <c r="BG324" s="1" t="s">
        <v>321</v>
      </c>
      <c r="BH324" s="264" t="s">
        <v>1587</v>
      </c>
      <c r="BI324" s="160" t="s">
        <v>1588</v>
      </c>
      <c r="BJ324" t="s">
        <v>1589</v>
      </c>
      <c r="BK324">
        <v>1329670</v>
      </c>
      <c r="BL324">
        <v>3760725</v>
      </c>
      <c r="BM324">
        <f>BL324/BK324</f>
        <v>2.8283145442102176</v>
      </c>
      <c r="BN324">
        <f>BL324-BK324</f>
        <v>2431055</v>
      </c>
      <c r="BO324">
        <f>BN324*t_to_m3</f>
        <v>4961336.7346938774</v>
      </c>
      <c r="BP324" t="s">
        <v>232</v>
      </c>
      <c r="BQ324" s="160" t="s">
        <v>1590</v>
      </c>
      <c r="BR324" t="s">
        <v>539</v>
      </c>
      <c r="BS324">
        <v>842957</v>
      </c>
      <c r="BT324">
        <v>736474</v>
      </c>
      <c r="BU324" s="144">
        <f>IFERROR(BT324/BS324,"")</f>
        <v>0.87367920309102365</v>
      </c>
      <c r="BV324">
        <f>BT324-BS324</f>
        <v>-106483</v>
      </c>
      <c r="BW324"/>
      <c r="BX324">
        <f>BV324</f>
        <v>-106483</v>
      </c>
      <c r="BY324">
        <f>IFERROR(BX324/BO324,"")</f>
        <v>-2.1462562550004012E-2</v>
      </c>
      <c r="BZ324">
        <v>0</v>
      </c>
      <c r="CA324">
        <v>0</v>
      </c>
      <c r="CB324">
        <v>0</v>
      </c>
      <c r="CC324">
        <v>0</v>
      </c>
      <c r="CD324">
        <v>0</v>
      </c>
      <c r="CE324">
        <v>0</v>
      </c>
      <c r="CF324">
        <v>0</v>
      </c>
      <c r="CG324">
        <v>0</v>
      </c>
      <c r="CH324">
        <v>0</v>
      </c>
      <c r="CI324">
        <v>0</v>
      </c>
      <c r="CJ324">
        <v>0</v>
      </c>
      <c r="CK324">
        <v>0</v>
      </c>
      <c r="CL324">
        <v>0</v>
      </c>
      <c r="CM324">
        <v>0</v>
      </c>
      <c r="CN324" t="str">
        <f>IF($BL324&lt;$BK324,"refNeedCorrection","refOK")</f>
        <v>refOK</v>
      </c>
      <c r="CO324">
        <f>IF($CN324="refNeedCorrection",BL324,BK324)</f>
        <v>1329670</v>
      </c>
      <c r="CP324">
        <f>IF($CN324="refNeedCorrection",BK324,BL324)</f>
        <v>3760725</v>
      </c>
      <c r="CQ324">
        <f>IF($CN324="refOK",$BO324,-$BO324)</f>
        <v>4961336.7346938774</v>
      </c>
      <c r="CR324">
        <f>IF($CN324="refOK",$BS324,$BT324)*IF($BP324="Emissions positive",-1,1)</f>
        <v>842957</v>
      </c>
      <c r="CS324">
        <f>IF($CN324="refOK",$BT324,$BS324)*IF($BP324="Emissions positive",-1,1)</f>
        <v>736474</v>
      </c>
      <c r="CT324">
        <f>IF($CN324="refNeedCorrection",-BX324,BX324)*IF($BP324="Emissions positive",-1,1)</f>
        <v>-106483</v>
      </c>
      <c r="CU324">
        <f>IFERROR(CT324/CQ324,"")</f>
        <v>-2.1462562550004012E-2</v>
      </c>
      <c r="CV324" s="2">
        <f>IFERROR((CS324-CR324)/ABS(CR324),"")</f>
        <v>-0.12632079690897638</v>
      </c>
      <c r="CW324" s="1" t="s">
        <v>1199</v>
      </c>
      <c r="CX324" s="264" t="str">
        <f>IF(OR($CW324="prd",$CW324="std",$CW324="cit"),"loc",IF(OR($CW324="eur",$CW324="reg",$CW324="coy"),"reg",$CW324))</f>
        <v>reg</v>
      </c>
      <c r="CY324" t="s">
        <v>428</v>
      </c>
      <c r="CZ324"/>
      <c r="DA324"/>
      <c r="DB324">
        <v>100</v>
      </c>
      <c r="DC324" t="str">
        <f>IF(DB324=0,"0",IF(AND(DB324&gt;=1,DB324&lt;=30),"1-30",IF(AND(DB324&gt;30,DB324&lt;=70),"31-70",IF(AND(DB324&gt;70,DB324&lt;=100),"71-100",IF(DB324&gt;100,"+100")))))</f>
        <v>71-100</v>
      </c>
      <c r="DD324">
        <v>0</v>
      </c>
      <c r="DE324">
        <v>0</v>
      </c>
      <c r="DF324">
        <v>1</v>
      </c>
      <c r="DG324">
        <v>1</v>
      </c>
      <c r="DH324"/>
      <c r="DI324">
        <f>SUM(DD324:DG324)</f>
        <v>2</v>
      </c>
      <c r="DJ324" t="str">
        <f>IF(DI324=1,INDEX($DD$7:$DG$7,MATCH(1,$DD324:$DG324,0)),"mixedProduct")</f>
        <v>mixedProduct</v>
      </c>
      <c r="DK324">
        <f>IF(DD324=1,DK$7,0)</f>
        <v>0</v>
      </c>
      <c r="DL324">
        <f>IF(DE324=1,DL$7,0)</f>
        <v>0</v>
      </c>
      <c r="DM324" t="str">
        <f>IF(DF324=1,DM$7,0)</f>
        <v>Pulp/Paper</v>
      </c>
      <c r="DN324" t="str">
        <f>IF(DG324=1,DN$7,0)</f>
        <v>Timber</v>
      </c>
      <c r="DO324">
        <v>0</v>
      </c>
      <c r="DP324">
        <v>0</v>
      </c>
      <c r="DQ324">
        <v>0</v>
      </c>
      <c r="DR324">
        <v>0</v>
      </c>
      <c r="DS324">
        <v>0</v>
      </c>
      <c r="DT324">
        <f>SUM(DO324:DP324)</f>
        <v>0</v>
      </c>
      <c r="DU324" s="143" t="str">
        <f>IF(DO324=1,"self-calculated DF",IF(DP324=1,"external DF used","explicit C balance"))</f>
        <v>explicit C balance</v>
      </c>
      <c r="DV324">
        <v>0</v>
      </c>
      <c r="DW324">
        <v>0</v>
      </c>
      <c r="DX324">
        <v>0</v>
      </c>
      <c r="DY324">
        <v>1</v>
      </c>
      <c r="DZ324">
        <v>0</v>
      </c>
      <c r="EA324" s="143">
        <v>0</v>
      </c>
      <c r="EB324">
        <v>0</v>
      </c>
      <c r="EC324">
        <v>0</v>
      </c>
      <c r="ED324">
        <v>0</v>
      </c>
      <c r="EE324">
        <v>0</v>
      </c>
      <c r="EF324">
        <v>0</v>
      </c>
      <c r="EG324">
        <v>1</v>
      </c>
      <c r="EH324">
        <v>0</v>
      </c>
      <c r="EI324" s="2">
        <v>0</v>
      </c>
      <c r="EJ324" s="1"/>
      <c r="EK324" t="str">
        <f>IF(AND(AND(AND(OR($DX324=1,$DW324=1),OR($EC324=1,$EA324=1)),SUM($DV324:$DZ324,$EF324)&gt;=4),SUM($EA324:$EE324)&gt;=2),"Whole sector","")</f>
        <v/>
      </c>
      <c r="EL324" t="str">
        <f>IF(AND(AND(OR($DX324=1,$DW324=1),AND($EC324=0,$EA324=0)),SUM($DV324:$DZ324,$EF324)&gt;=4),"Ecosystem approach","")</f>
        <v/>
      </c>
      <c r="EM324" s="2" t="str">
        <f>IF(AND(AND(AND($DX324=0,$DW324=0),OR($EC324=1,$EA324=1)),SUM($EB324:$EE324)&gt;=2),"Technology approach","")</f>
        <v/>
      </c>
      <c r="EN324"/>
      <c r="EO324"/>
      <c r="EP324" t="str">
        <f>IF(ISNUMBER(BU324),IF(ABS(BU324-[3]QC_indicators!$B$2)&gt;3*[3]QC_indicators!$C$2,"C ratio",IF(ISNUMBER(BY324),IF(ABS(BY324-[3]QC_indicators!$B$1)&gt;3*[3]QC_indicators!$C$1,"DF","no"))),IF(ISNUMBER(BY324),IF(ABS(BY324-[3]QC_indicators!$B$1)&gt;3*[3]QC_indicators!$C$1,"DF","no")))</f>
        <v>no</v>
      </c>
      <c r="EQ324"/>
      <c r="ER324" t="s">
        <v>1591</v>
      </c>
      <c r="ES324"/>
      <c r="ET324" s="264" t="s">
        <v>3407</v>
      </c>
      <c r="EU324"/>
    </row>
    <row r="325" spans="1:151" s="139" customFormat="1" ht="15" customHeight="1">
      <c r="A325" s="1" t="s">
        <v>587</v>
      </c>
      <c r="B325" t="s">
        <v>1987</v>
      </c>
      <c r="C325" t="s">
        <v>1988</v>
      </c>
      <c r="D325" t="s">
        <v>1989</v>
      </c>
      <c r="E325" t="s">
        <v>1990</v>
      </c>
      <c r="F325" t="s">
        <v>1991</v>
      </c>
      <c r="G325" t="s">
        <v>593</v>
      </c>
      <c r="H325" t="s">
        <v>254</v>
      </c>
      <c r="I325">
        <v>2018</v>
      </c>
      <c r="J325">
        <v>7</v>
      </c>
      <c r="K325" t="s">
        <v>1992</v>
      </c>
      <c r="L325"/>
      <c r="M325" t="str">
        <f>LEFT($D325,FIND(",",$D325)-1)&amp;"_"&amp;I325&amp;L325</f>
        <v>Nakano_2018</v>
      </c>
      <c r="N325" t="s">
        <v>222</v>
      </c>
      <c r="O325" s="157" t="s">
        <v>274</v>
      </c>
      <c r="P325" t="s">
        <v>960</v>
      </c>
      <c r="Q325" t="s">
        <v>389</v>
      </c>
      <c r="R325" s="262" t="s">
        <v>223</v>
      </c>
      <c r="S325" s="1" t="s">
        <v>1993</v>
      </c>
      <c r="T325" t="s">
        <v>1994</v>
      </c>
      <c r="U325" t="s">
        <v>1995</v>
      </c>
      <c r="V325">
        <v>0</v>
      </c>
      <c r="W325">
        <v>0</v>
      </c>
      <c r="X325">
        <v>0</v>
      </c>
      <c r="Y325">
        <v>0</v>
      </c>
      <c r="Z325">
        <v>1</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s="141">
        <f>COUNTIF(V325:AW325,"&lt;&gt;0")</f>
        <v>1</v>
      </c>
      <c r="AY325" s="141">
        <f>COUNTIF(V325:AL325,"&lt;&gt;0")</f>
        <v>1</v>
      </c>
      <c r="AZ325">
        <f>COUNTIF(V325:AC325,"&lt;&gt;0")</f>
        <v>1</v>
      </c>
      <c r="BA325">
        <f>COUNTIF(AD325:AI325,"&lt;&gt;0")</f>
        <v>0</v>
      </c>
      <c r="BB325">
        <f>COUNTIF(AJ325:AL325,"&lt;&gt;0")</f>
        <v>0</v>
      </c>
      <c r="BC325">
        <f>COUNTIF(AS325:AW325,"&lt;&gt;0")</f>
        <v>0</v>
      </c>
      <c r="BD325">
        <f>COUNTIF(AM325:AR325,"&lt;&gt;0")</f>
        <v>0</v>
      </c>
      <c r="BE325" t="str">
        <f t="array" ref="BE325">IF(AY325=1,INDEX($V$7:$AL$7,MATCH(TRUE,INDEX($V325:$AW325&lt;&gt;0,),0)),IF(AY325=0,INDEX($AM$7:$AW$7,MATCH(1,$AM325:$AW325,0)),IF(BF325="Multiple strategies","mixed drivers",IF(BF325="Supply chain","multiple supply","multiple silviculture"))))</f>
        <v>species</v>
      </c>
      <c r="BF325" s="2" t="str" cm="1">
        <f t="array" ref="BF325">IF(COUNTIF(AZ325:BB325,"&lt;&gt;0")=1,INDEX($V$4:$AW$4,MATCH(TRUE,INDEX($V325:$AW325&lt;&gt;0,),0)),IF(COUNTIF(AZ325:BB325,"&lt;&gt;0")=0,INDEX($AM$4:$AW$4,MATCH(1,$AM325:$AW325,0)),"Multiple strategies"))</f>
        <v>Silviculture for productivity</v>
      </c>
      <c r="BG325" s="1" t="s">
        <v>321</v>
      </c>
      <c r="BH325" t="s">
        <v>1996</v>
      </c>
      <c r="BI325" s="264" t="s">
        <v>3179</v>
      </c>
      <c r="BJ325" s="264" t="s">
        <v>3180</v>
      </c>
      <c r="BK325">
        <v>958000</v>
      </c>
      <c r="BL325">
        <v>11193000</v>
      </c>
      <c r="BM325">
        <v>11.683716075156577</v>
      </c>
      <c r="BN325">
        <f>BL325-BK325</f>
        <v>10235000</v>
      </c>
      <c r="BO325">
        <f>BN325</f>
        <v>10235000</v>
      </c>
      <c r="BP325" t="s">
        <v>395</v>
      </c>
      <c r="BQ325" s="264" t="s">
        <v>3181</v>
      </c>
      <c r="BR325" t="s">
        <v>1999</v>
      </c>
      <c r="BS325">
        <v>24392.153846153786</v>
      </c>
      <c r="BT325">
        <v>241940.99999999983</v>
      </c>
      <c r="BU325" s="144">
        <v>9.9188042813262953</v>
      </c>
      <c r="BV325">
        <f>BT325-BS325</f>
        <v>217548.84615384604</v>
      </c>
      <c r="BW325"/>
      <c r="BX325" s="152">
        <f>BV325</f>
        <v>217548.84615384604</v>
      </c>
      <c r="BY325">
        <f>IFERROR(BX325/BO325,"")</f>
        <v>2.1255383112246805E-2</v>
      </c>
      <c r="BZ325">
        <v>0</v>
      </c>
      <c r="CA325">
        <v>0</v>
      </c>
      <c r="CB325">
        <v>0</v>
      </c>
      <c r="CC325">
        <v>0</v>
      </c>
      <c r="CD325">
        <v>0</v>
      </c>
      <c r="CE325">
        <v>0</v>
      </c>
      <c r="CF325">
        <v>0</v>
      </c>
      <c r="CG325">
        <v>0</v>
      </c>
      <c r="CH325">
        <v>0</v>
      </c>
      <c r="CI325">
        <v>0</v>
      </c>
      <c r="CJ325">
        <v>0</v>
      </c>
      <c r="CK325">
        <v>0</v>
      </c>
      <c r="CL325">
        <v>0</v>
      </c>
      <c r="CM325">
        <v>0</v>
      </c>
      <c r="CN325" t="str">
        <f>IF($BL325&lt;$BK325,"refNeedCorrection","refOK")</f>
        <v>refOK</v>
      </c>
      <c r="CO325">
        <f>IF($CN325="refOK",$BK325,$BL325)</f>
        <v>958000</v>
      </c>
      <c r="CP325">
        <f>IF($CN325="refOK",$BL325,$BK325)</f>
        <v>11193000</v>
      </c>
      <c r="CQ325">
        <f>IF($CN325="refOK",$BO325,-$BO325)</f>
        <v>10235000</v>
      </c>
      <c r="CR325">
        <f>IF($CN325="refOK",$BS325,$BT325)*IF($BP325="Emissions positive",-1,1)</f>
        <v>-24392.153846153786</v>
      </c>
      <c r="CS325">
        <f>IF($CN325="refOK",$BT325,$BS325)*IF($BP325="Emissions positive",-1,1)</f>
        <v>-241940.99999999983</v>
      </c>
      <c r="CT325">
        <f>IF($CN325="refNeedCorrection",-BX325,BX325)*IF($BP325="Emissions positive",-1,1)</f>
        <v>-217548.84615384604</v>
      </c>
      <c r="CU325">
        <f>IFERROR(CT325/CQ325,"")</f>
        <v>-2.1255383112246805E-2</v>
      </c>
      <c r="CV325" s="2">
        <f>IFERROR((CS325-CR325)/ABS(CR325),"")</f>
        <v>-8.9188042813262953</v>
      </c>
      <c r="CW325" s="1" t="s">
        <v>1203</v>
      </c>
      <c r="CX325" t="str">
        <f>IF(OR($CW325="prd",$CW325="std",$CW325="cit"),"loc",IF(OR($CW325="eur",$CW325="reg",$CW325="coy"),"reg",$CW325))</f>
        <v>reg</v>
      </c>
      <c r="CY325" t="s">
        <v>961</v>
      </c>
      <c r="CZ325">
        <v>0</v>
      </c>
      <c r="DA325">
        <v>0</v>
      </c>
      <c r="DB325">
        <v>0</v>
      </c>
      <c r="DC325" t="str">
        <f>IF(DB325=0,"0",IF(AND(DB325&gt;=1,DB325&lt;=30),"1-30",IF(AND(DB325&gt;30,DB325&lt;=70),"31-70",IF(AND(DB325&gt;70,DB325&lt;=100),"71-100",IF(DB325&gt;100,"+100")))))</f>
        <v>0</v>
      </c>
      <c r="DD325">
        <v>1</v>
      </c>
      <c r="DE325">
        <v>0</v>
      </c>
      <c r="DF325">
        <v>0</v>
      </c>
      <c r="DG325">
        <v>0</v>
      </c>
      <c r="DH325"/>
      <c r="DI325">
        <v>1</v>
      </c>
      <c r="DJ325" t="str">
        <f>IF(DI325=1,INDEX($DD$7:$DG$7,MATCH(1,$DD325:$DG325,0)),"mixedProduct")</f>
        <v>UpstreamInput</v>
      </c>
      <c r="DK325" t="str">
        <f>IF(DD325=1,DK$7,0)</f>
        <v>Upstream</v>
      </c>
      <c r="DL325">
        <f>IF(DE325=1,DL$7,0)</f>
        <v>0</v>
      </c>
      <c r="DM325">
        <f>IF(DF325=1,DM$7,0)</f>
        <v>0</v>
      </c>
      <c r="DN325">
        <f>IF(DG325=1,DN$7,0)</f>
        <v>0</v>
      </c>
      <c r="DO325">
        <v>0</v>
      </c>
      <c r="DP325">
        <v>0</v>
      </c>
      <c r="DQ325">
        <v>0</v>
      </c>
      <c r="DR325">
        <v>0</v>
      </c>
      <c r="DS325">
        <v>0</v>
      </c>
      <c r="DT325">
        <f>SUM(DO325:DP325)</f>
        <v>0</v>
      </c>
      <c r="DU325" s="143" t="s">
        <v>962</v>
      </c>
      <c r="DV325">
        <v>0</v>
      </c>
      <c r="DW325">
        <v>0</v>
      </c>
      <c r="DX325">
        <v>0</v>
      </c>
      <c r="DY325">
        <v>0</v>
      </c>
      <c r="DZ325">
        <v>0</v>
      </c>
      <c r="EA325" s="143">
        <v>0</v>
      </c>
      <c r="EB325">
        <v>1</v>
      </c>
      <c r="EC325">
        <v>0</v>
      </c>
      <c r="ED325">
        <v>0</v>
      </c>
      <c r="EE325">
        <v>0</v>
      </c>
      <c r="EF325">
        <v>0</v>
      </c>
      <c r="EG325">
        <v>0</v>
      </c>
      <c r="EH325">
        <v>0</v>
      </c>
      <c r="EI325" s="2">
        <v>0</v>
      </c>
      <c r="EJ325" s="1"/>
      <c r="EK325" t="str">
        <f>IF(AND(AND(AND(OR($DX325=1,$DW325=1),OR($EC325=1,$EA325=1)),SUM($DV325:$DZ325,$EF325)&gt;=4),SUM($EA325:$EE325)&gt;=2),"Whole sector","")</f>
        <v/>
      </c>
      <c r="EL325" t="str">
        <f>IF(AND(AND(OR($DX325=1,$DW325=1),AND($EC325=0,$EA325=0)),SUM($DV325:$DZ325,$EF325)&gt;=4),"Ecosystem approach","")</f>
        <v/>
      </c>
      <c r="EM325" s="2" t="str">
        <f>IF(AND(AND(AND($DX325=0,$DW325=0),OR($EC325=1,$EA325=1)),SUM($EB325:$EE325)&gt;=2),"Technology approach","")</f>
        <v/>
      </c>
      <c r="EN325"/>
      <c r="EO325"/>
      <c r="EP325" t="str">
        <f>IF(ISNUMBER(BU325),IF(ABS(BU325-[1]QC_indicators!$B$2)&gt;3*[1]QC_indicators!$C$2,"C ratio",IF(ISNUMBER(BY325),IF(ABS(BY325-[1]QC_indicators!$B$1)&gt;3*[1]QC_indicators!$C$1,"DF","no"))),IF(ISNUMBER(BY325),IF(ABS(BY325-[1]QC_indicators!$B$1)&gt;3*[1]QC_indicators!$C$1,"DF","no")))</f>
        <v>no</v>
      </c>
      <c r="EQ325"/>
      <c r="ER325"/>
      <c r="ES325"/>
      <c r="ET325" s="264" t="s">
        <v>3182</v>
      </c>
      <c r="EU325"/>
    </row>
    <row r="326" spans="1:151" s="139" customFormat="1" ht="15" customHeight="1">
      <c r="A326" s="1" t="s">
        <v>587</v>
      </c>
      <c r="B326" t="s">
        <v>1448</v>
      </c>
      <c r="C326" t="s">
        <v>1449</v>
      </c>
      <c r="D326" t="s">
        <v>1450</v>
      </c>
      <c r="E326" t="s">
        <v>1451</v>
      </c>
      <c r="F326" t="s">
        <v>1452</v>
      </c>
      <c r="G326" t="s">
        <v>593</v>
      </c>
      <c r="H326" t="s">
        <v>254</v>
      </c>
      <c r="I326">
        <v>2020</v>
      </c>
      <c r="J326">
        <v>12</v>
      </c>
      <c r="K326" t="s">
        <v>1453</v>
      </c>
      <c r="L326"/>
      <c r="M326" t="str">
        <f>LEFT($D326,FIND(",",$D326)-1)&amp;"_"&amp;I326&amp;L326</f>
        <v>Elisa_2020</v>
      </c>
      <c r="N326" s="264" t="s">
        <v>222</v>
      </c>
      <c r="O326" s="171" t="s">
        <v>274</v>
      </c>
      <c r="P326" t="s">
        <v>223</v>
      </c>
      <c r="Q326" s="264" t="s">
        <v>389</v>
      </c>
      <c r="R326" s="269" t="s">
        <v>1154</v>
      </c>
      <c r="S326" s="154" t="s">
        <v>1454</v>
      </c>
      <c r="T326" s="294" t="s">
        <v>1455</v>
      </c>
      <c r="U326" s="143" t="s">
        <v>1456</v>
      </c>
      <c r="V326">
        <v>0</v>
      </c>
      <c r="W326">
        <v>0</v>
      </c>
      <c r="X326">
        <v>0</v>
      </c>
      <c r="Y326">
        <v>0</v>
      </c>
      <c r="Z326">
        <v>0</v>
      </c>
      <c r="AA326">
        <v>0</v>
      </c>
      <c r="AB326">
        <v>0</v>
      </c>
      <c r="AC326">
        <v>0</v>
      </c>
      <c r="AD326">
        <v>0</v>
      </c>
      <c r="AE326">
        <v>1</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s="141">
        <f>COUNTIF(V326:AW326,"&lt;&gt;0")</f>
        <v>1</v>
      </c>
      <c r="AY326" s="141">
        <f>COUNTIF(V326:AL326,"&lt;&gt;0")</f>
        <v>1</v>
      </c>
      <c r="AZ326">
        <f>COUNTIF(V326:AC326,"&lt;&gt;0")</f>
        <v>0</v>
      </c>
      <c r="BA326">
        <f>COUNTIF(AD326:AI326,"&lt;&gt;0")</f>
        <v>1</v>
      </c>
      <c r="BB326">
        <f>COUNTIF(AJ326:AL326,"&lt;&gt;0")</f>
        <v>0</v>
      </c>
      <c r="BC326">
        <f>COUNTIF(AS326:AW326,"&lt;&gt;0")</f>
        <v>0</v>
      </c>
      <c r="BD326">
        <f>COUNTIF(AM326:AR326,"&lt;&gt;0")</f>
        <v>0</v>
      </c>
      <c r="BE326" t="str" cm="1">
        <f t="array" ref="BE326">IF(AY326=1,INDEX($V$7:$AL$7,MATCH(TRUE,INDEX($V326:$AW326&lt;&gt;0,),0)),IF(AY326=0,INDEX($AM$7:$AW$7,MATCH(1,$AM326:$AW326,0)),IF(BF326="Multiple strategies","mixed drivers",IF(BF326="Supply chain","multiple supply","multiple silviculture"))))</f>
        <v>location of industry</v>
      </c>
      <c r="BF326" s="2" t="str" cm="1">
        <f t="array" ref="BF326">IF(COUNTIF(AZ326:BB326,"&lt;&gt;0")=1,INDEX($V$4:$AW$4,MATCH(TRUE,INDEX($V326:$AW326&lt;&gt;0,),0)),IF(COUNTIF(AZ326:BB326,"&lt;&gt;0")=0,INDEX($AM$4:$AW$4,MATCH(1,$AM326:$AW326,0)),"Multiple strategies"))</f>
        <v>Supply chain</v>
      </c>
      <c r="BG326" s="142" t="s">
        <v>321</v>
      </c>
      <c r="BH326" s="160" t="s">
        <v>1457</v>
      </c>
      <c r="BI326" s="160" t="s">
        <v>1458</v>
      </c>
      <c r="BJ326" s="143" t="s">
        <v>498</v>
      </c>
      <c r="BK326" s="143">
        <v>944</v>
      </c>
      <c r="BL326" s="143">
        <v>1600</v>
      </c>
      <c r="BM326">
        <f>IFERROR(BL326/BK326,"")</f>
        <v>1.6949152542372881</v>
      </c>
      <c r="BN326">
        <f>BL326-BK326</f>
        <v>656</v>
      </c>
      <c r="BO326" s="159">
        <f>BN326</f>
        <v>656</v>
      </c>
      <c r="BP326" s="155" t="s">
        <v>232</v>
      </c>
      <c r="BQ326" s="155" t="s">
        <v>1459</v>
      </c>
      <c r="BR326" s="155" t="s">
        <v>825</v>
      </c>
      <c r="BS326" s="143" t="s">
        <v>1460</v>
      </c>
      <c r="BT326" t="s">
        <v>1461</v>
      </c>
      <c r="BU326" s="144">
        <f>BT326/BS326</f>
        <v>2.9358300142452731</v>
      </c>
      <c r="BV326">
        <f>BT326-BS326</f>
        <v>-13.5858825</v>
      </c>
      <c r="BW326"/>
      <c r="BX326">
        <f>BV326</f>
        <v>-13.5858825</v>
      </c>
      <c r="BY326">
        <f>IFERROR(BX326/BO326,"")</f>
        <v>-2.0710186737804878E-2</v>
      </c>
      <c r="BZ326">
        <v>0</v>
      </c>
      <c r="CA326">
        <v>0</v>
      </c>
      <c r="CB326">
        <v>0</v>
      </c>
      <c r="CC326">
        <v>0</v>
      </c>
      <c r="CD326">
        <v>0</v>
      </c>
      <c r="CE326">
        <v>0</v>
      </c>
      <c r="CF326">
        <v>0</v>
      </c>
      <c r="CG326">
        <v>0</v>
      </c>
      <c r="CH326">
        <v>0</v>
      </c>
      <c r="CI326">
        <v>0</v>
      </c>
      <c r="CJ326">
        <v>0</v>
      </c>
      <c r="CK326">
        <v>0</v>
      </c>
      <c r="CL326">
        <v>0</v>
      </c>
      <c r="CM326">
        <v>0</v>
      </c>
      <c r="CN326" t="str">
        <f>IF($BL326&lt;$BK326,"refNeedCorrection","refOK")</f>
        <v>refOK</v>
      </c>
      <c r="CO326">
        <f>IF($CN326="refOK",$BK326,$BL326)</f>
        <v>944</v>
      </c>
      <c r="CP326">
        <f>IF($CN326="refOK",$BL326,$BK326)</f>
        <v>1600</v>
      </c>
      <c r="CQ326">
        <f>IF($CN326="refOK",$BO326,-$BO326)</f>
        <v>656</v>
      </c>
      <c r="CR326">
        <f>IF($CN326="refOK",$BS326,$BT326)*IF($BP326="Emissions positive",-1,1)</f>
        <v>-7.0181174999999998</v>
      </c>
      <c r="CS326">
        <f>IF($CN326="refOK",$BT326,$BS326)*IF($BP326="Emissions positive",-1,1)</f>
        <v>-20.603999999999999</v>
      </c>
      <c r="CT326">
        <f>IF($CN326="refNeedCorrection",-BX326,BX326)*IF($BP326="Emissions positive",-1,1)</f>
        <v>-13.5858825</v>
      </c>
      <c r="CU326">
        <f>IFERROR(CT326/CQ326,"")</f>
        <v>-2.0710186737804878E-2</v>
      </c>
      <c r="CV326" s="2">
        <f>IFERROR((CS326-CR326)/ABS(CR326),"")</f>
        <v>-1.9358300142452731</v>
      </c>
      <c r="CW326" s="263" t="s">
        <v>1462</v>
      </c>
      <c r="CX326" s="264" t="str">
        <f>IF(OR($CW326="prd",$CW326="std",$CW326="cit"),"loc",IF(OR($CW326="eur",$CW326="reg",$CW326="coy"),"reg",$CW326))</f>
        <v>reg</v>
      </c>
      <c r="CY326" s="270" t="s">
        <v>743</v>
      </c>
      <c r="CZ326"/>
      <c r="DA326" s="143"/>
      <c r="DB326" s="143">
        <v>0</v>
      </c>
      <c r="DC326" t="str">
        <f>IF(DB326=0,"0",IF(AND(DB326&gt;=1,DB326&lt;=30),"1-30",IF(AND(DB326&gt;30,DB326&lt;=70),"31-70",IF(AND(DB326&gt;70,DB326&lt;=100),"71-100",IF(DB326&gt;100,"+100")))))</f>
        <v>0</v>
      </c>
      <c r="DD326">
        <v>0</v>
      </c>
      <c r="DE326">
        <v>1</v>
      </c>
      <c r="DF326">
        <v>0</v>
      </c>
      <c r="DG326">
        <v>0</v>
      </c>
      <c r="DH326">
        <v>0</v>
      </c>
      <c r="DI326">
        <f>SUM(DD326:DH326)</f>
        <v>1</v>
      </c>
      <c r="DJ326" t="str">
        <f>IF(DI326=1,INDEX($DD$7:$DG$7,MATCH(1,$DD326:$DG326,0)),"mixedProduct")</f>
        <v>EnergyInput</v>
      </c>
      <c r="DK326">
        <f>IF(DD326=1,DK$7,0)</f>
        <v>0</v>
      </c>
      <c r="DL326" t="str">
        <f>IF(DE326=1,DL$7,0)</f>
        <v>Energy</v>
      </c>
      <c r="DM326">
        <f>IF(DF326=1,DM$7,0)</f>
        <v>0</v>
      </c>
      <c r="DN326">
        <f>IF(DG326=1,DN$7,0)</f>
        <v>0</v>
      </c>
      <c r="DO326">
        <v>0</v>
      </c>
      <c r="DP326" s="143">
        <v>0</v>
      </c>
      <c r="DQ326" s="143">
        <v>0</v>
      </c>
      <c r="DR326">
        <v>0</v>
      </c>
      <c r="DS326" s="143">
        <v>0</v>
      </c>
      <c r="DT326">
        <f>SUM(DO326:DP326)</f>
        <v>0</v>
      </c>
      <c r="DU326" s="143" t="str">
        <f>IF(DO326=1,"self-calculated DF",IF(DP326=1,"external DF used","explicit C balance"))</f>
        <v>explicit C balance</v>
      </c>
      <c r="DV326" s="143">
        <v>0</v>
      </c>
      <c r="DW326" s="143">
        <v>0</v>
      </c>
      <c r="DX326" s="143">
        <v>0</v>
      </c>
      <c r="DY326" s="143">
        <v>0</v>
      </c>
      <c r="DZ326">
        <v>0</v>
      </c>
      <c r="EA326" s="143">
        <v>0</v>
      </c>
      <c r="EB326" s="143">
        <v>1</v>
      </c>
      <c r="EC326" s="143">
        <v>1</v>
      </c>
      <c r="ED326" s="143">
        <v>0</v>
      </c>
      <c r="EE326">
        <v>1</v>
      </c>
      <c r="EF326">
        <v>0</v>
      </c>
      <c r="EG326" s="143">
        <v>0</v>
      </c>
      <c r="EH326" s="143">
        <v>0</v>
      </c>
      <c r="EI326" s="2">
        <v>0</v>
      </c>
      <c r="EJ326" s="1"/>
      <c r="EK326" t="str">
        <f>IF(AND(AND(AND(OR($DX326=1,$DW326=1),OR($EC326=1,$EA326=1)),SUM($DV326:$DZ326,$EF326)&gt;=4),SUM($EA326:$EE326)&gt;=2),"Whole sector","")</f>
        <v/>
      </c>
      <c r="EL326" t="str">
        <f>IF(AND(AND(OR($DX326=1,$DW326=1),AND($EC326=0,$EA326=0)),SUM($DV326:$DZ326,$EF326)&gt;=4),"Ecosystem approach","")</f>
        <v/>
      </c>
      <c r="EM326" s="2" t="str">
        <f>IF(AND(AND(AND($DX326=0,$DW326=0),OR($EC326=1,$EA326=1)),SUM($EB326:$EE326)&gt;=2),"Technology approach","")</f>
        <v>Technology approach</v>
      </c>
      <c r="EN326"/>
      <c r="EO326"/>
      <c r="EP326" t="str">
        <f>IF(ISNUMBER(BU326),IF(ABS(BU326-[3]QC_indicators!$B$2)&gt;3*[3]QC_indicators!$C$2,"C ratio",IF(ISNUMBER(BY326),IF(ABS(BY326-[3]QC_indicators!$B$1)&gt;3*[3]QC_indicators!$C$1,"DF","no"))),IF(ISNUMBER(BY326),IF(ABS(BY326-[3]QC_indicators!$B$1)&gt;3*[3]QC_indicators!$C$1,"DF","no")))</f>
        <v>no</v>
      </c>
      <c r="EQ326"/>
      <c r="ER326" s="149"/>
      <c r="ES326"/>
      <c r="ET326" s="264" t="s">
        <v>3407</v>
      </c>
      <c r="EU326"/>
    </row>
    <row r="327" spans="1:151" s="139" customFormat="1" ht="15" customHeight="1">
      <c r="A327" s="1" t="s">
        <v>587</v>
      </c>
      <c r="B327" t="s">
        <v>1448</v>
      </c>
      <c r="C327" t="s">
        <v>1449</v>
      </c>
      <c r="D327" t="s">
        <v>1450</v>
      </c>
      <c r="E327" t="s">
        <v>1451</v>
      </c>
      <c r="F327" t="s">
        <v>1452</v>
      </c>
      <c r="G327" t="s">
        <v>593</v>
      </c>
      <c r="H327" t="s">
        <v>254</v>
      </c>
      <c r="I327">
        <v>2020</v>
      </c>
      <c r="J327">
        <v>12</v>
      </c>
      <c r="K327" t="s">
        <v>1453</v>
      </c>
      <c r="L327"/>
      <c r="M327" t="str">
        <f>LEFT($D327,FIND(",",$D327)-1)&amp;"_"&amp;I327&amp;L327</f>
        <v>Elisa_2020</v>
      </c>
      <c r="N327" s="264" t="s">
        <v>222</v>
      </c>
      <c r="O327" s="171" t="s">
        <v>274</v>
      </c>
      <c r="P327" t="s">
        <v>223</v>
      </c>
      <c r="Q327" s="264" t="s">
        <v>389</v>
      </c>
      <c r="R327" s="269" t="s">
        <v>1154</v>
      </c>
      <c r="S327" s="154" t="s">
        <v>1454</v>
      </c>
      <c r="T327" s="294" t="s">
        <v>1455</v>
      </c>
      <c r="U327" s="143" t="s">
        <v>1456</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s="141">
        <f>COUNTIF(V327:AW327,"&lt;&gt;0")</f>
        <v>1</v>
      </c>
      <c r="AY327" s="141">
        <f>COUNTIF(V327:AL327,"&lt;&gt;0")</f>
        <v>1</v>
      </c>
      <c r="AZ327">
        <f>COUNTIF(V327:AC327,"&lt;&gt;0")</f>
        <v>0</v>
      </c>
      <c r="BA327">
        <f>COUNTIF(AD327:AI327,"&lt;&gt;0")</f>
        <v>1</v>
      </c>
      <c r="BB327">
        <f>COUNTIF(AJ327:AL327,"&lt;&gt;0")</f>
        <v>0</v>
      </c>
      <c r="BC327">
        <f>COUNTIF(AS327:AW327,"&lt;&gt;0")</f>
        <v>0</v>
      </c>
      <c r="BD327">
        <f>COUNTIF(AM327:AR327,"&lt;&gt;0")</f>
        <v>0</v>
      </c>
      <c r="BE327" t="str" cm="1">
        <f t="array" ref="BE327">IF(AY327=1,INDEX($V$7:$AL$7,MATCH(TRUE,INDEX($V327:$AW327&lt;&gt;0,),0)),IF(AY327=0,INDEX($AM$7:$AW$7,MATCH(1,$AM327:$AW327,0)),IF(BF327="Multiple strategies","mixed drivers",IF(BF327="Supply chain","multiple supply","multiple silviculture"))))</f>
        <v>location of industry</v>
      </c>
      <c r="BF327" s="2" t="str" cm="1">
        <f t="array" ref="BF327">IF(COUNTIF(AZ327:BB327,"&lt;&gt;0")=1,INDEX($V$4:$AW$4,MATCH(TRUE,INDEX($V327:$AW327&lt;&gt;0,),0)),IF(COUNTIF(AZ327:BB327,"&lt;&gt;0")=0,INDEX($AM$4:$AW$4,MATCH(1,$AM327:$AW327,0)),"Multiple strategies"))</f>
        <v>Supply chain</v>
      </c>
      <c r="BG327" s="142" t="s">
        <v>321</v>
      </c>
      <c r="BH327" s="160" t="s">
        <v>1457</v>
      </c>
      <c r="BI327" s="160" t="s">
        <v>1458</v>
      </c>
      <c r="BJ327" s="143" t="s">
        <v>498</v>
      </c>
      <c r="BK327" s="143">
        <v>944</v>
      </c>
      <c r="BL327" s="143">
        <v>1600</v>
      </c>
      <c r="BM327">
        <f>IFERROR(BL329/BK327,"")</f>
        <v>0.62640591465440165</v>
      </c>
      <c r="BN327">
        <f>BL327-BK327</f>
        <v>656</v>
      </c>
      <c r="BO327" s="159">
        <f>BN327</f>
        <v>656</v>
      </c>
      <c r="BP327" s="155" t="s">
        <v>232</v>
      </c>
      <c r="BQ327" s="155" t="s">
        <v>1459</v>
      </c>
      <c r="BR327" s="155" t="s">
        <v>825</v>
      </c>
      <c r="BS327" s="143" t="s">
        <v>1463</v>
      </c>
      <c r="BT327" t="s">
        <v>1464</v>
      </c>
      <c r="BU327" s="144">
        <f>BT327/BS327</f>
        <v>2.9552486135213476</v>
      </c>
      <c r="BV327">
        <f>BT327-BS327</f>
        <v>-13.5120241666667</v>
      </c>
      <c r="BW327"/>
      <c r="BX327">
        <f>BV327</f>
        <v>-13.5120241666667</v>
      </c>
      <c r="BY327">
        <f>IFERROR(BX327/BO327,"")</f>
        <v>-2.05975978150407E-2</v>
      </c>
      <c r="BZ327">
        <v>0</v>
      </c>
      <c r="CA327">
        <v>0</v>
      </c>
      <c r="CB327">
        <v>0</v>
      </c>
      <c r="CC327">
        <v>0</v>
      </c>
      <c r="CD327">
        <v>0</v>
      </c>
      <c r="CE327">
        <v>0</v>
      </c>
      <c r="CF327">
        <v>0</v>
      </c>
      <c r="CG327">
        <v>0</v>
      </c>
      <c r="CH327">
        <v>0</v>
      </c>
      <c r="CI327">
        <v>0</v>
      </c>
      <c r="CJ327">
        <v>0</v>
      </c>
      <c r="CK327">
        <v>0</v>
      </c>
      <c r="CL327">
        <v>0</v>
      </c>
      <c r="CM327">
        <v>0</v>
      </c>
      <c r="CN327" t="str">
        <f>IF($BL327&lt;$BK327,"refNeedCorrection","refOK")</f>
        <v>refOK</v>
      </c>
      <c r="CO327">
        <f>IF($CN327="refOK",$BK327,$BL327)</f>
        <v>944</v>
      </c>
      <c r="CP327">
        <f>IF($CN327="refOK",$BL327,$BK327)</f>
        <v>1600</v>
      </c>
      <c r="CQ327">
        <f>IF($CN327="refOK",$BO327,-$BO327)</f>
        <v>656</v>
      </c>
      <c r="CR327">
        <f>IF($CN327="refOK",$BS327,$BT327)*IF($BP327="Emissions positive",-1,1)</f>
        <v>-6.9106424999999998</v>
      </c>
      <c r="CS327">
        <f>IF($CN327="refOK",$BT327,$BS327)*IF($BP327="Emissions positive",-1,1)</f>
        <v>-20.4226666666667</v>
      </c>
      <c r="CT327">
        <f>IF($CN327="refNeedCorrection",-BX327,BX327)*IF($BP327="Emissions positive",-1,1)</f>
        <v>-13.5120241666667</v>
      </c>
      <c r="CU327">
        <f>IFERROR(CT327/CQ327,"")</f>
        <v>-2.05975978150407E-2</v>
      </c>
      <c r="CV327" s="2">
        <f>IFERROR((CS327-CR327)/ABS(CR327),"")</f>
        <v>-1.9552486135213478</v>
      </c>
      <c r="CW327" s="263" t="s">
        <v>1462</v>
      </c>
      <c r="CX327" s="264" t="str">
        <f>IF(OR($CW327="prd",$CW327="std",$CW327="cit"),"loc",IF(OR($CW327="eur",$CW327="reg",$CW327="coy"),"reg",$CW327))</f>
        <v>reg</v>
      </c>
      <c r="CY327" s="270" t="s">
        <v>743</v>
      </c>
      <c r="CZ327"/>
      <c r="DA327" s="143"/>
      <c r="DB327" s="143">
        <v>0</v>
      </c>
      <c r="DC327" t="str">
        <f>IF(DB327=0,"0",IF(AND(DB327&gt;=1,DB327&lt;=30),"1-30",IF(AND(DB327&gt;30,DB327&lt;=70),"31-70",IF(AND(DB327&gt;70,DB327&lt;=100),"71-100",IF(DB327&gt;100,"+100")))))</f>
        <v>0</v>
      </c>
      <c r="DD327">
        <v>0</v>
      </c>
      <c r="DE327">
        <v>1</v>
      </c>
      <c r="DF327">
        <v>0</v>
      </c>
      <c r="DG327">
        <v>0</v>
      </c>
      <c r="DH327">
        <v>0</v>
      </c>
      <c r="DI327">
        <f>SUM(DD327:DH327)</f>
        <v>1</v>
      </c>
      <c r="DJ327" t="str">
        <f>IF(DI327=1,INDEX($DD$7:$DG$7,MATCH(1,$DD327:$DG327,0)),"mixedProduct")</f>
        <v>EnergyInput</v>
      </c>
      <c r="DK327">
        <f>IF(DD327=1,DK$7,0)</f>
        <v>0</v>
      </c>
      <c r="DL327" t="str">
        <f>IF(DE327=1,DL$7,0)</f>
        <v>Energy</v>
      </c>
      <c r="DM327">
        <f>IF(DF327=1,DM$7,0)</f>
        <v>0</v>
      </c>
      <c r="DN327">
        <f>IF(DG327=1,DN$7,0)</f>
        <v>0</v>
      </c>
      <c r="DO327">
        <v>0</v>
      </c>
      <c r="DP327" s="143">
        <v>0</v>
      </c>
      <c r="DQ327" s="143">
        <v>0</v>
      </c>
      <c r="DR327">
        <v>0</v>
      </c>
      <c r="DS327" s="143">
        <v>0</v>
      </c>
      <c r="DT327">
        <f>SUM(DO327:DP327)</f>
        <v>0</v>
      </c>
      <c r="DU327" s="143" t="str">
        <f>IF(DO327=1,"self-calculated DF",IF(DP327=1,"external DF used","explicit C balance"))</f>
        <v>explicit C balance</v>
      </c>
      <c r="DV327" s="143">
        <v>0</v>
      </c>
      <c r="DW327" s="143">
        <v>0</v>
      </c>
      <c r="DX327" s="143">
        <v>0</v>
      </c>
      <c r="DY327" s="143">
        <v>0</v>
      </c>
      <c r="DZ327">
        <v>0</v>
      </c>
      <c r="EA327" s="143">
        <v>0</v>
      </c>
      <c r="EB327" s="143">
        <v>0</v>
      </c>
      <c r="EC327" s="143">
        <v>1</v>
      </c>
      <c r="ED327" s="143">
        <v>0</v>
      </c>
      <c r="EE327">
        <v>1</v>
      </c>
      <c r="EF327">
        <v>0</v>
      </c>
      <c r="EG327" s="143">
        <v>0</v>
      </c>
      <c r="EH327" s="143">
        <v>0</v>
      </c>
      <c r="EI327" s="2">
        <v>0</v>
      </c>
      <c r="EJ327" s="1"/>
      <c r="EK327" t="str">
        <f>IF(AND(AND(AND(OR($DX327=1,$DW327=1),OR($EC327=1,$EA327=1)),SUM($DV327:$DZ327,$EF327)&gt;=4),SUM($EA327:$EE327)&gt;=2),"Whole sector","")</f>
        <v/>
      </c>
      <c r="EL327" t="str">
        <f>IF(AND(AND(OR($DX327=1,$DW327=1),AND($EC327=0,$EA327=0)),SUM($DV327:$DZ327,$EF327)&gt;=4),"Ecosystem approach","")</f>
        <v/>
      </c>
      <c r="EM327" s="2" t="str">
        <f>IF(AND(AND(AND($DX327=0,$DW327=0),OR($EC327=1,$EA327=1)),SUM($EB327:$EE327)&gt;=2),"Technology approach","")</f>
        <v>Technology approach</v>
      </c>
      <c r="EN327"/>
      <c r="EO327"/>
      <c r="EP327" t="str">
        <f>IF(ISNUMBER(BU327),IF(ABS(BU327-[3]QC_indicators!$B$2)&gt;3*[3]QC_indicators!$C$2,"C ratio",IF(ISNUMBER(BY327),IF(ABS(BY327-[3]QC_indicators!$B$1)&gt;3*[3]QC_indicators!$C$1,"DF","no"))),IF(ISNUMBER(BY327),IF(ABS(BY327-[3]QC_indicators!$B$1)&gt;3*[3]QC_indicators!$C$1,"DF","no")))</f>
        <v>no</v>
      </c>
      <c r="EQ327"/>
      <c r="ER327" s="149"/>
      <c r="ES327"/>
      <c r="ET327" s="264" t="s">
        <v>3407</v>
      </c>
      <c r="EU327"/>
    </row>
    <row r="328" spans="1:151" s="139" customFormat="1" ht="15" customHeight="1">
      <c r="A328" s="1" t="s">
        <v>412</v>
      </c>
      <c r="B328" t="s">
        <v>413</v>
      </c>
      <c r="C328" t="s">
        <v>414</v>
      </c>
      <c r="D328" t="s">
        <v>415</v>
      </c>
      <c r="E328" t="s">
        <v>416</v>
      </c>
      <c r="F328" t="s">
        <v>417</v>
      </c>
      <c r="G328" t="s">
        <v>418</v>
      </c>
      <c r="H328" t="s">
        <v>254</v>
      </c>
      <c r="I328">
        <v>2022</v>
      </c>
      <c r="J328">
        <v>4</v>
      </c>
      <c r="K328" t="s">
        <v>419</v>
      </c>
      <c r="L328"/>
      <c r="M328" t="str">
        <f>LEFT($D328,FIND(",",$D328)-1)&amp;"_"&amp;I328&amp;L328</f>
        <v>Bergman_2022</v>
      </c>
      <c r="N328" t="s">
        <v>222</v>
      </c>
      <c r="O328" s="145" t="s">
        <v>223</v>
      </c>
      <c r="P328"/>
      <c r="Q328" t="s">
        <v>389</v>
      </c>
      <c r="R328" s="255" t="s">
        <v>225</v>
      </c>
      <c r="S328" s="1" t="s">
        <v>420</v>
      </c>
      <c r="T328" t="s">
        <v>421</v>
      </c>
      <c r="U328" t="s">
        <v>422</v>
      </c>
      <c r="V328">
        <v>0</v>
      </c>
      <c r="W328">
        <v>0</v>
      </c>
      <c r="X328">
        <v>0</v>
      </c>
      <c r="Y328">
        <v>0</v>
      </c>
      <c r="Z328">
        <v>0</v>
      </c>
      <c r="AA328">
        <v>0</v>
      </c>
      <c r="AB328">
        <v>0</v>
      </c>
      <c r="AC328">
        <v>0</v>
      </c>
      <c r="AD328">
        <v>0</v>
      </c>
      <c r="AE328">
        <v>0</v>
      </c>
      <c r="AF328">
        <v>0</v>
      </c>
      <c r="AG328">
        <v>0</v>
      </c>
      <c r="AH328">
        <v>0</v>
      </c>
      <c r="AI328">
        <v>0</v>
      </c>
      <c r="AJ328">
        <v>1</v>
      </c>
      <c r="AK328">
        <v>0</v>
      </c>
      <c r="AL328">
        <v>0</v>
      </c>
      <c r="AM328">
        <v>0</v>
      </c>
      <c r="AN328">
        <v>0</v>
      </c>
      <c r="AO328">
        <v>0</v>
      </c>
      <c r="AP328">
        <v>0</v>
      </c>
      <c r="AQ328">
        <v>0</v>
      </c>
      <c r="AR328">
        <v>0</v>
      </c>
      <c r="AS328">
        <v>0</v>
      </c>
      <c r="AT328">
        <v>0</v>
      </c>
      <c r="AU328">
        <v>0</v>
      </c>
      <c r="AV328">
        <v>0</v>
      </c>
      <c r="AW328">
        <v>0</v>
      </c>
      <c r="AX328" s="141">
        <f>COUNTIF(V328:AW328,"&lt;&gt;0")</f>
        <v>1</v>
      </c>
      <c r="AY328" s="141">
        <f>COUNTIF(V328:AL328,"&lt;&gt;0")</f>
        <v>1</v>
      </c>
      <c r="AZ328">
        <f>COUNTIF(V328:AC328,"&lt;&gt;0")</f>
        <v>0</v>
      </c>
      <c r="BA328">
        <f>COUNTIF(AD328:AI328,"&lt;&gt;0")</f>
        <v>0</v>
      </c>
      <c r="BB328">
        <f>COUNTIF(AJ328:AL328,"&lt;&gt;0")</f>
        <v>1</v>
      </c>
      <c r="BC328">
        <f>COUNTIF(AS328:AW328,"&lt;&gt;0")</f>
        <v>0</v>
      </c>
      <c r="BD328">
        <f>COUNTIF(AM328:AR328,"&lt;&gt;0")</f>
        <v>0</v>
      </c>
      <c r="BE328" t="str">
        <f t="array" ref="BE328">IF(AY328=1,INDEX($V$7:$AL$7,MATCH(TRUE,INDEX($V328:$AW328&lt;&gt;0,),0)),IF(AY328=0,INDEX($AM$7:$AW$7,MATCH(1,$AM328:$AW328,0)),IF(BF328="Multiple strategies","mixed drivers",IF(BF328="Supply chain","multiple supply","multiple silviculture"))))</f>
        <v>efficiency improvement</v>
      </c>
      <c r="BF328" s="2" t="str" cm="1">
        <f t="array" ref="BF328">IF(COUNTIF(AZ328:BB328,"&lt;&gt;0")=1,INDEX($V$4:$AW$4,MATCH(TRUE,INDEX($V328:$AW328&lt;&gt;0,),0)),IF(COUNTIF(AZ328:BB328,"&lt;&gt;0")=0,INDEX($AM$4:$AW$4,MATCH(1,$AM328:$AW328,0)),"Multiple strategies"))</f>
        <v>Technology</v>
      </c>
      <c r="BG328" s="1" t="s">
        <v>229</v>
      </c>
      <c r="BH328" t="s">
        <v>423</v>
      </c>
      <c r="BI328" t="s">
        <v>424</v>
      </c>
      <c r="BJ328" t="s">
        <v>425</v>
      </c>
      <c r="BK328">
        <v>5932</v>
      </c>
      <c r="BL328">
        <v>15385</v>
      </c>
      <c r="BM328"/>
      <c r="BN328">
        <f>BL328-BK328</f>
        <v>9453</v>
      </c>
      <c r="BO328">
        <f>BN328*kg_to_m3</f>
        <v>19.291836734693881</v>
      </c>
      <c r="BP328" t="s">
        <v>395</v>
      </c>
      <c r="BQ328" s="339" t="s">
        <v>3272</v>
      </c>
      <c r="BR328" t="s">
        <v>427</v>
      </c>
      <c r="BS328">
        <f>242+16+53+48</f>
        <v>359</v>
      </c>
      <c r="BT328">
        <f>641+60+48</f>
        <v>749</v>
      </c>
      <c r="BU328" s="144">
        <f>IFERROR(BT328/BS328,"")</f>
        <v>2.0863509749303621</v>
      </c>
      <c r="BV328">
        <f>BT328-BS328</f>
        <v>390</v>
      </c>
      <c r="BW328"/>
      <c r="BX328">
        <f>BV328/1000</f>
        <v>0.39</v>
      </c>
      <c r="BY328">
        <f>IFERROR(BX328/BO328,"")</f>
        <v>2.0215804506505869E-2</v>
      </c>
      <c r="BZ328">
        <v>0</v>
      </c>
      <c r="CA328">
        <v>0</v>
      </c>
      <c r="CB328">
        <v>0</v>
      </c>
      <c r="CC328">
        <v>0</v>
      </c>
      <c r="CD328">
        <v>0</v>
      </c>
      <c r="CE328">
        <v>0</v>
      </c>
      <c r="CF328">
        <v>0</v>
      </c>
      <c r="CG328">
        <v>0</v>
      </c>
      <c r="CH328">
        <v>0</v>
      </c>
      <c r="CI328">
        <v>0</v>
      </c>
      <c r="CJ328">
        <v>0</v>
      </c>
      <c r="CK328">
        <v>0</v>
      </c>
      <c r="CL328">
        <v>0</v>
      </c>
      <c r="CM328">
        <v>0</v>
      </c>
      <c r="CN328" t="str">
        <f>IF($BL328&lt;$BK328,"refNeedCorrection","refOK")</f>
        <v>refOK</v>
      </c>
      <c r="CO328">
        <f>IF($CN328="refOK",$BK328,$BL328)</f>
        <v>5932</v>
      </c>
      <c r="CP328">
        <f>IF($CN328="refOK",$BL328,$BK328)</f>
        <v>15385</v>
      </c>
      <c r="CQ328">
        <f>IF($CN328="refOK",$BO328,-$BO328)</f>
        <v>19.291836734693881</v>
      </c>
      <c r="CR328">
        <f>IF($CN328="refOK",$BT328,$BS328)*IF($BP328="Emissions positive",-1,1)</f>
        <v>-749</v>
      </c>
      <c r="CS328">
        <f>IF($CN328="refOK",$BS328,$BT328)*IF($BP328="Emissions positive",-1,1)</f>
        <v>-359</v>
      </c>
      <c r="CT328">
        <f>IF($CN328="refNeedCorrection",-BX328,BX328)*IF($BP328="Emissions positive",-1,1)</f>
        <v>-0.39</v>
      </c>
      <c r="CU328">
        <f>IFERROR(CT328/CQ328,"")</f>
        <v>-2.0215804506505869E-2</v>
      </c>
      <c r="CV328" s="2">
        <f>IFERROR((CS328-CR328)/ABS(CR328),"")</f>
        <v>0.52069425901201605</v>
      </c>
      <c r="CW328" s="1" t="s">
        <v>263</v>
      </c>
      <c r="CX328" t="str">
        <f>IF(OR($CW328="prd",$CW328="std",$CW328="cit"),"loc",IF(OR($CW328="eur",$CW328="reg",$CW328="coy"),"reg",$CW328))</f>
        <v>loc</v>
      </c>
      <c r="CY328" t="s">
        <v>428</v>
      </c>
      <c r="CZ328"/>
      <c r="DA328"/>
      <c r="DB328">
        <v>0</v>
      </c>
      <c r="DC328" t="str">
        <f>IF(DB328=0,"0",IF(AND(DB328&gt;=1,DB328&lt;=30),"1-30",IF(AND(DB328&gt;30,DB328&lt;=70),"31-70",IF(AND(DB328&gt;70,DB328&lt;=100),"71-100",IF(DB328&gt;100,"+100")))))</f>
        <v>0</v>
      </c>
      <c r="DD328">
        <v>0</v>
      </c>
      <c r="DE328">
        <v>1</v>
      </c>
      <c r="DF328">
        <v>0</v>
      </c>
      <c r="DG328">
        <v>0</v>
      </c>
      <c r="DH328">
        <v>0</v>
      </c>
      <c r="DI328">
        <f>SUM(DD328:DH328)</f>
        <v>1</v>
      </c>
      <c r="DJ328" t="str">
        <f>IF(DI328=1,INDEX($DD$7:$DG$7,MATCH(1,$DD328:$DG328,0)),"mixedProduct")</f>
        <v>EnergyInput</v>
      </c>
      <c r="DK328">
        <f>IF(DD328=1,DK$7,0)</f>
        <v>0</v>
      </c>
      <c r="DL328" t="str">
        <f>IF(DE328=1,DL$7,0)</f>
        <v>Energy</v>
      </c>
      <c r="DM328">
        <f>IF(DF328=1,DM$7,0)</f>
        <v>0</v>
      </c>
      <c r="DN328">
        <f>IF(DG328=1,DN$7,0)</f>
        <v>0</v>
      </c>
      <c r="DO328">
        <v>0</v>
      </c>
      <c r="DP328">
        <v>0</v>
      </c>
      <c r="DQ328">
        <v>0</v>
      </c>
      <c r="DR328">
        <v>0</v>
      </c>
      <c r="DS328">
        <v>0</v>
      </c>
      <c r="DT328">
        <f>SUM(DO328:DP328)</f>
        <v>0</v>
      </c>
      <c r="DU328" t="str">
        <f>IF(DO328=1,"self-calculated DF",IF(DP328=1,"external DF used","explicit C balance"))</f>
        <v>explicit C balance</v>
      </c>
      <c r="DV328">
        <v>0</v>
      </c>
      <c r="DW328">
        <v>1</v>
      </c>
      <c r="DX328">
        <v>0</v>
      </c>
      <c r="DY328">
        <v>0</v>
      </c>
      <c r="DZ328">
        <v>1</v>
      </c>
      <c r="EA328" s="143">
        <v>0</v>
      </c>
      <c r="EB328">
        <v>0</v>
      </c>
      <c r="EC328">
        <v>1</v>
      </c>
      <c r="ED328">
        <v>0</v>
      </c>
      <c r="EE328">
        <v>0</v>
      </c>
      <c r="EF328">
        <v>0</v>
      </c>
      <c r="EG328">
        <v>0</v>
      </c>
      <c r="EH328">
        <v>0</v>
      </c>
      <c r="EI328" s="2">
        <v>0</v>
      </c>
      <c r="EJ328" s="1"/>
      <c r="EK328" t="str">
        <f>IF(AND(AND(AND(OR($DX328=1,$DW328=1),OR($EC328=1,$EA328=1)),SUM($DV328:$DZ328,$EF328)&gt;=4),SUM($EA328:$EE328)&gt;=2),"Whole sector","")</f>
        <v/>
      </c>
      <c r="EL328" t="str">
        <f>IF(AND(AND(OR($DX328=1,$DW328=1),AND($EC328=0,$EA328=0)),SUM($DV328:$DZ328,$EF328)&gt;=4),"Ecosystem approach","")</f>
        <v/>
      </c>
      <c r="EM328" s="2" t="str">
        <f>IF(AND(AND(AND($DX328=0,$DW328=0),OR($EC328=1,$EA328=1)),SUM($EB328:$EE328)&gt;=2),"Technology approach","")</f>
        <v/>
      </c>
      <c r="EN328"/>
      <c r="EO328"/>
      <c r="EP328" t="str">
        <f>IF(ISNUMBER(BU328),IF(ABS(BU328-[4]QC_indicators!$B$2)&gt;3*[4]QC_indicators!$C$2,"C ratio",IF(ISNUMBER(BY328),IF(ABS(BY328-[4]QC_indicators!$B$1)&gt;3*[4]QC_indicators!$C$1,"DF","no"))),IF(ISNUMBER(BY328),IF(ABS(BY328-[4]QC_indicators!$B$1)&gt;3*[4]QC_indicators!$C$1,"DF","no")))</f>
        <v>no</v>
      </c>
      <c r="EQ328"/>
      <c r="ER328"/>
      <c r="ES328"/>
      <c r="ET328" s="264" t="s">
        <v>3273</v>
      </c>
      <c r="EU328"/>
    </row>
    <row r="329" spans="1:151" s="139" customFormat="1" ht="15" customHeight="1">
      <c r="A329" s="1" t="s">
        <v>265</v>
      </c>
      <c r="B329" t="s">
        <v>266</v>
      </c>
      <c r="C329" t="s">
        <v>267</v>
      </c>
      <c r="D329" t="s">
        <v>268</v>
      </c>
      <c r="E329" t="s">
        <v>269</v>
      </c>
      <c r="F329" t="s">
        <v>270</v>
      </c>
      <c r="G329" t="s">
        <v>271</v>
      </c>
      <c r="H329" t="s">
        <v>254</v>
      </c>
      <c r="I329">
        <v>2022</v>
      </c>
      <c r="J329">
        <v>0</v>
      </c>
      <c r="K329" t="s">
        <v>272</v>
      </c>
      <c r="L329"/>
      <c r="M329" t="str">
        <f>LEFT($D329,FIND(",",$D329)-1)&amp;"_"&amp;I329&amp;L329</f>
        <v>Aryapratama_2022</v>
      </c>
      <c r="N329" t="s">
        <v>222</v>
      </c>
      <c r="O329" s="145" t="s">
        <v>274</v>
      </c>
      <c r="P329"/>
      <c r="Q329" t="s">
        <v>224</v>
      </c>
      <c r="R329" s="262" t="s">
        <v>223</v>
      </c>
      <c r="S329" s="263" t="s">
        <v>3105</v>
      </c>
      <c r="T329" t="s">
        <v>299</v>
      </c>
      <c r="U329" t="s">
        <v>300</v>
      </c>
      <c r="V329">
        <v>0</v>
      </c>
      <c r="W329">
        <v>0</v>
      </c>
      <c r="X329">
        <v>0</v>
      </c>
      <c r="Y329">
        <v>0</v>
      </c>
      <c r="Z329">
        <v>0</v>
      </c>
      <c r="AA329">
        <v>0</v>
      </c>
      <c r="AB329">
        <v>0</v>
      </c>
      <c r="AC329">
        <v>0</v>
      </c>
      <c r="AD329">
        <v>0</v>
      </c>
      <c r="AE329">
        <v>0</v>
      </c>
      <c r="AF329">
        <v>0</v>
      </c>
      <c r="AG329">
        <v>0</v>
      </c>
      <c r="AH329">
        <v>0</v>
      </c>
      <c r="AI329">
        <v>0</v>
      </c>
      <c r="AJ329">
        <v>0</v>
      </c>
      <c r="AK329">
        <v>1</v>
      </c>
      <c r="AL329">
        <v>0</v>
      </c>
      <c r="AM329">
        <v>0</v>
      </c>
      <c r="AN329">
        <v>0</v>
      </c>
      <c r="AO329">
        <v>0</v>
      </c>
      <c r="AP329">
        <v>0</v>
      </c>
      <c r="AQ329">
        <v>0</v>
      </c>
      <c r="AR329">
        <v>0</v>
      </c>
      <c r="AS329">
        <v>0</v>
      </c>
      <c r="AT329">
        <v>0</v>
      </c>
      <c r="AU329">
        <v>0</v>
      </c>
      <c r="AV329">
        <v>0</v>
      </c>
      <c r="AW329">
        <v>0</v>
      </c>
      <c r="AX329" s="141">
        <f>COUNTIF(V329:AW329,"&lt;&gt;0")</f>
        <v>1</v>
      </c>
      <c r="AY329" s="141">
        <f>COUNTIF(V329:AL329,"&lt;&gt;0")</f>
        <v>1</v>
      </c>
      <c r="AZ329">
        <f>COUNTIF(V329:AC329,"&lt;&gt;0")</f>
        <v>0</v>
      </c>
      <c r="BA329">
        <f>COUNTIF(AD329:AI329,"&lt;&gt;0")</f>
        <v>0</v>
      </c>
      <c r="BB329">
        <f>COUNTIF(AJ329:AL329,"&lt;&gt;0")</f>
        <v>1</v>
      </c>
      <c r="BC329">
        <f>COUNTIF(AS329:AW329,"&lt;&gt;0")</f>
        <v>0</v>
      </c>
      <c r="BD329">
        <f>COUNTIF(AM329:AR329,"&lt;&gt;0")</f>
        <v>0</v>
      </c>
      <c r="BE329" t="str">
        <f t="array" ref="BE329">IF(AY329=1,INDEX($V$7:$AL$7,MATCH(TRUE,INDEX($V329:$AW329&lt;&gt;0,),0)),IF(AY329=0,INDEX($AM$7:$AW$7,MATCH(1,$AM329:$AW329,0)),IF(BF329="Multiple strategies","mixed drivers",IF(BF329="Supply chain","multiple supply","multiple silviculture"))))</f>
        <v>technologies/design switch</v>
      </c>
      <c r="BF329" s="2" t="str" cm="1">
        <f t="array" ref="BF329">IF(COUNTIF(AZ329:BB329,"&lt;&gt;0")=1,INDEX($V$4:$AW$4,MATCH(TRUE,INDEX($V329:$AW329&lt;&gt;0,),0)),IF(COUNTIF(AZ329:BB329,"&lt;&gt;0")=0,INDEX($AM$4:$AW$4,MATCH(1,$AM329:$AW329,0)),"Multiple strategies"))</f>
        <v>Technology</v>
      </c>
      <c r="BG329" s="1" t="s">
        <v>229</v>
      </c>
      <c r="BH329" t="s">
        <v>277</v>
      </c>
      <c r="BI329" s="264" t="s">
        <v>3106</v>
      </c>
      <c r="BJ329" t="s">
        <v>278</v>
      </c>
      <c r="BK329">
        <v>0</v>
      </c>
      <c r="BL329">
        <v>591.32718343375518</v>
      </c>
      <c r="BM329"/>
      <c r="BN329">
        <f>BL329-BK329</f>
        <v>591.32718343375518</v>
      </c>
      <c r="BO329">
        <f>BN329*tC_to_m3</f>
        <v>2567.6386601552549</v>
      </c>
      <c r="BP329" t="s">
        <v>232</v>
      </c>
      <c r="BQ329" s="337" t="s">
        <v>3107</v>
      </c>
      <c r="BR329" t="s">
        <v>279</v>
      </c>
      <c r="BS329">
        <v>-904.95784112113733</v>
      </c>
      <c r="BT329">
        <v>-956.54496754124091</v>
      </c>
      <c r="BU329" s="144">
        <f>IFERROR(BT329/BS329,"")</f>
        <v>1.0570050051792392</v>
      </c>
      <c r="BV329">
        <f>BT329-BS329</f>
        <v>-51.587126420103573</v>
      </c>
      <c r="BW329"/>
      <c r="BX329">
        <f>BV329</f>
        <v>-51.587126420103573</v>
      </c>
      <c r="BY329">
        <f>IFERROR(BX329/BO329,"")</f>
        <v>-2.0091271883631908E-2</v>
      </c>
      <c r="BZ329">
        <v>0</v>
      </c>
      <c r="CA329">
        <v>0</v>
      </c>
      <c r="CB329">
        <v>0</v>
      </c>
      <c r="CC329">
        <v>0</v>
      </c>
      <c r="CD329">
        <v>0</v>
      </c>
      <c r="CE329">
        <v>0</v>
      </c>
      <c r="CF329">
        <v>0</v>
      </c>
      <c r="CG329">
        <v>0</v>
      </c>
      <c r="CH329">
        <v>0</v>
      </c>
      <c r="CI329">
        <v>0</v>
      </c>
      <c r="CJ329">
        <v>0</v>
      </c>
      <c r="CK329">
        <v>0</v>
      </c>
      <c r="CL329">
        <v>0</v>
      </c>
      <c r="CM329">
        <v>0</v>
      </c>
      <c r="CN329" t="str">
        <f>IF($BL329&lt;$BK329,"refNeedCorrection","refOK")</f>
        <v>refOK</v>
      </c>
      <c r="CO329">
        <f>IF($CN329="refNeedCorrection",BL329,BK329)</f>
        <v>0</v>
      </c>
      <c r="CP329">
        <f>IF($CN329="refNeedCorrection",BK329,BL329)</f>
        <v>591.32718343375518</v>
      </c>
      <c r="CQ329">
        <f>IF($CN329="refOK",$BO329,-$BO329)</f>
        <v>2567.6386601552549</v>
      </c>
      <c r="CR329">
        <f>IF($CN329="refOK",$BS329,$BT329)*IF($BP329="Emissions positive",-1,1)</f>
        <v>-904.95784112113733</v>
      </c>
      <c r="CS329">
        <f>IF($CN329="refOK",$BT329,$BS329)*IF($BP329="Emissions positive",-1,1)</f>
        <v>-956.54496754124091</v>
      </c>
      <c r="CT329">
        <f>IF($CN329="refNeedCorrection",-BX329,BX329)*IF($BP329="Emissions positive",-1,1)</f>
        <v>-51.587126420103573</v>
      </c>
      <c r="CU329">
        <f>IFERROR(CT329/CQ329,"")</f>
        <v>-2.0091271883631908E-2</v>
      </c>
      <c r="CV329" s="2">
        <f>IFERROR((CS329-CR329)/ABS(CR329),"")</f>
        <v>-5.7005005179239218E-2</v>
      </c>
      <c r="CW329" s="1" t="s">
        <v>234</v>
      </c>
      <c r="CX329" t="str">
        <f>IF(OR($CW329="prd",$CW329="std",$CW329="cit"),"loc",IF(OR($CW329="eur",$CW329="reg",$CW329="coy"),"reg",$CW329))</f>
        <v>loc</v>
      </c>
      <c r="CY329" t="s">
        <v>280</v>
      </c>
      <c r="CZ329"/>
      <c r="DA329"/>
      <c r="DB329">
        <v>200</v>
      </c>
      <c r="DC329" t="str">
        <f>IF(DB329=0,"0",IF(AND(DB329&gt;=1,DB329&lt;=30),"1-30",IF(AND(DB329&gt;30,DB329&lt;=70),"31-70",IF(AND(DB329&gt;70,DB329&lt;=100),"71-100",IF(DB329&gt;100,"+100")))))</f>
        <v>+100</v>
      </c>
      <c r="DD329">
        <v>0</v>
      </c>
      <c r="DE329">
        <v>0</v>
      </c>
      <c r="DF329">
        <v>0</v>
      </c>
      <c r="DG329">
        <v>1</v>
      </c>
      <c r="DH329"/>
      <c r="DI329">
        <f>SUM(DD329:DG329)</f>
        <v>1</v>
      </c>
      <c r="DJ329" t="str">
        <f>IF(DI329=1,INDEX($DD$7:$DG$7,MATCH(1,$DD329:$DG329,0)),"mixedProduct")</f>
        <v>TimberInput</v>
      </c>
      <c r="DK329">
        <f>IF(DD329=1,DK$7,0)</f>
        <v>0</v>
      </c>
      <c r="DL329">
        <f>IF(DE329=1,DL$7,0)</f>
        <v>0</v>
      </c>
      <c r="DM329">
        <f>IF(DF329=1,DM$7,0)</f>
        <v>0</v>
      </c>
      <c r="DN329" t="str">
        <f>IF(DG329=1,DN$7,0)</f>
        <v>Timber</v>
      </c>
      <c r="DO329">
        <v>0</v>
      </c>
      <c r="DP329">
        <v>1</v>
      </c>
      <c r="DQ329">
        <v>0</v>
      </c>
      <c r="DR329" t="s">
        <v>301</v>
      </c>
      <c r="DS329">
        <v>0</v>
      </c>
      <c r="DT329">
        <f>SUM(DO329:DP329)</f>
        <v>1</v>
      </c>
      <c r="DU329" s="143" t="str">
        <f>IF(DO329=1,"self-calculated DF",IF(DP329=1,"external DF used","explicit C balance"))</f>
        <v>external DF used</v>
      </c>
      <c r="DV329">
        <v>0</v>
      </c>
      <c r="DW329">
        <v>1</v>
      </c>
      <c r="DX329">
        <v>1</v>
      </c>
      <c r="DY329">
        <v>1</v>
      </c>
      <c r="DZ329">
        <v>1</v>
      </c>
      <c r="EA329" s="143">
        <v>0</v>
      </c>
      <c r="EB329">
        <v>1</v>
      </c>
      <c r="EC329">
        <v>1</v>
      </c>
      <c r="ED329">
        <v>0</v>
      </c>
      <c r="EE329">
        <v>1</v>
      </c>
      <c r="EF329">
        <v>1</v>
      </c>
      <c r="EG329">
        <v>1</v>
      </c>
      <c r="EH329">
        <v>0</v>
      </c>
      <c r="EI329" s="2">
        <v>0</v>
      </c>
      <c r="EJ329" s="1"/>
      <c r="EK329" t="str">
        <f>IF(AND(AND(AND(OR($DX329=1,$DW329=1),OR($EC329=1,$EA329=1)),SUM($DV329:$DZ329,$EF329)&gt;=4),SUM($EA329:$EE329)&gt;=2),"Whole sector","")</f>
        <v>Whole sector</v>
      </c>
      <c r="EL329" t="str">
        <f>IF(AND(AND(OR($DX329=1,$DW329=1),AND($EC329=0,$EA329=0)),SUM($DV329:$DZ329,$EF329)&gt;=4),"Ecosystem approach","")</f>
        <v/>
      </c>
      <c r="EM329" s="2" t="str">
        <f>IF(AND(AND(AND($DX329=0,$DW329=0),OR($EC329=1,$EA329=1)),SUM($EB329:$EE329)&gt;=2),"Technology approach","")</f>
        <v/>
      </c>
      <c r="EN329"/>
      <c r="EO329"/>
      <c r="EP329" t="str">
        <f>IF(ISNUMBER(BU329),IF(ABS(BU329-[1]QC_indicators!$B$2)&gt;3*[1]QC_indicators!$C$2,"C ratio",IF(ISNUMBER(BY329),IF(ABS(BY329-[1]QC_indicators!$B$1)&gt;3*[1]QC_indicators!$C$1,"DF","no"))),IF(ISNUMBER(BY329),IF(ABS(BY329-[1]QC_indicators!$B$1)&gt;3*[1]QC_indicators!$C$1,"DF","no")))</f>
        <v>no</v>
      </c>
      <c r="EQ329" t="s">
        <v>286</v>
      </c>
      <c r="ER329" t="s">
        <v>296</v>
      </c>
      <c r="ES329"/>
      <c r="ET329" s="264" t="s">
        <v>3273</v>
      </c>
      <c r="EU329"/>
    </row>
    <row r="330" spans="1:151" s="139" customFormat="1" ht="15" customHeight="1">
      <c r="A330" s="1" t="s">
        <v>587</v>
      </c>
      <c r="B330" t="s">
        <v>1448</v>
      </c>
      <c r="C330" t="s">
        <v>1449</v>
      </c>
      <c r="D330" t="s">
        <v>1450</v>
      </c>
      <c r="E330" t="s">
        <v>1451</v>
      </c>
      <c r="F330" t="s">
        <v>1452</v>
      </c>
      <c r="G330" t="s">
        <v>593</v>
      </c>
      <c r="H330" t="s">
        <v>254</v>
      </c>
      <c r="I330">
        <v>2020</v>
      </c>
      <c r="J330">
        <v>12</v>
      </c>
      <c r="K330" t="s">
        <v>1453</v>
      </c>
      <c r="L330"/>
      <c r="M330" t="str">
        <f>LEFT($D330,FIND(",",$D330)-1)&amp;"_"&amp;I330&amp;L330</f>
        <v>Elisa_2020</v>
      </c>
      <c r="N330" s="264" t="s">
        <v>222</v>
      </c>
      <c r="O330" s="171" t="s">
        <v>274</v>
      </c>
      <c r="P330" t="s">
        <v>223</v>
      </c>
      <c r="Q330" s="264" t="s">
        <v>389</v>
      </c>
      <c r="R330" s="269" t="s">
        <v>1154</v>
      </c>
      <c r="S330" s="154" t="s">
        <v>1454</v>
      </c>
      <c r="T330" s="294" t="s">
        <v>1455</v>
      </c>
      <c r="U330" s="143" t="s">
        <v>1465</v>
      </c>
      <c r="V330">
        <v>0</v>
      </c>
      <c r="W330">
        <v>0</v>
      </c>
      <c r="X330">
        <v>0</v>
      </c>
      <c r="Y330">
        <v>0</v>
      </c>
      <c r="Z330">
        <v>0</v>
      </c>
      <c r="AA330">
        <v>0</v>
      </c>
      <c r="AB330">
        <v>0</v>
      </c>
      <c r="AC330">
        <v>0</v>
      </c>
      <c r="AD330">
        <v>0</v>
      </c>
      <c r="AE330">
        <v>1</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s="141">
        <f>COUNTIF(V330:AW330,"&lt;&gt;0")</f>
        <v>1</v>
      </c>
      <c r="AY330" s="141">
        <f>COUNTIF(V330:AL330,"&lt;&gt;0")</f>
        <v>1</v>
      </c>
      <c r="AZ330">
        <f>COUNTIF(V330:AC330,"&lt;&gt;0")</f>
        <v>0</v>
      </c>
      <c r="BA330">
        <f>COUNTIF(AD330:AI330,"&lt;&gt;0")</f>
        <v>1</v>
      </c>
      <c r="BB330">
        <f>COUNTIF(AJ330:AL330,"&lt;&gt;0")</f>
        <v>0</v>
      </c>
      <c r="BC330">
        <f>COUNTIF(AS330:AW330,"&lt;&gt;0")</f>
        <v>0</v>
      </c>
      <c r="BD330">
        <f>COUNTIF(AM330:AR330,"&lt;&gt;0")</f>
        <v>0</v>
      </c>
      <c r="BE330" t="str" cm="1">
        <f t="array" ref="BE330">IF(AY330=1,INDEX($V$7:$AL$7,MATCH(TRUE,INDEX($V330:$AW330&lt;&gt;0,),0)),IF(AY330=0,INDEX($AM$7:$AW$7,MATCH(1,$AM330:$AW330,0)),IF(BF330="Multiple strategies","mixed drivers",IF(BF330="Supply chain","multiple supply","multiple silviculture"))))</f>
        <v>location of industry</v>
      </c>
      <c r="BF330" s="2" t="str" cm="1">
        <f t="array" ref="BF330">IF(COUNTIF(AZ330:BB330,"&lt;&gt;0")=1,INDEX($V$4:$AW$4,MATCH(TRUE,INDEX($V330:$AW330&lt;&gt;0,),0)),IF(COUNTIF(AZ330:BB330,"&lt;&gt;0")=0,INDEX($AM$4:$AW$4,MATCH(1,$AM330:$AW330,0)),"Multiple strategies"))</f>
        <v>Supply chain</v>
      </c>
      <c r="BG330" s="142" t="s">
        <v>321</v>
      </c>
      <c r="BH330" s="160" t="s">
        <v>1457</v>
      </c>
      <c r="BI330" s="160" t="s">
        <v>1458</v>
      </c>
      <c r="BJ330" s="143" t="s">
        <v>498</v>
      </c>
      <c r="BK330" s="143">
        <v>944</v>
      </c>
      <c r="BL330" s="143">
        <v>1525</v>
      </c>
      <c r="BM330">
        <f>IFERROR(BL330/BK330,"")</f>
        <v>1.6154661016949152</v>
      </c>
      <c r="BN330">
        <f>BL330-BK330</f>
        <v>581</v>
      </c>
      <c r="BO330" s="159">
        <f>BN330</f>
        <v>581</v>
      </c>
      <c r="BP330" s="155" t="s">
        <v>232</v>
      </c>
      <c r="BQ330" s="155" t="s">
        <v>1459</v>
      </c>
      <c r="BR330" s="155" t="s">
        <v>825</v>
      </c>
      <c r="BS330" s="143" t="s">
        <v>1460</v>
      </c>
      <c r="BT330" t="s">
        <v>1466</v>
      </c>
      <c r="BU330" s="144">
        <f>BT330/BS330</f>
        <v>2.6578374234021163</v>
      </c>
      <c r="BV330">
        <f>BT330-BS330</f>
        <v>-11.634897833333302</v>
      </c>
      <c r="BW330"/>
      <c r="BX330">
        <f>BV330</f>
        <v>-11.634897833333302</v>
      </c>
      <c r="BY330">
        <f>IFERROR(BX330/BO330,"")</f>
        <v>-2.0025641709695872E-2</v>
      </c>
      <c r="BZ330">
        <v>1</v>
      </c>
      <c r="CA330">
        <v>0</v>
      </c>
      <c r="CB330">
        <v>0</v>
      </c>
      <c r="CC330">
        <v>0</v>
      </c>
      <c r="CD330">
        <v>1</v>
      </c>
      <c r="CE330">
        <v>1</v>
      </c>
      <c r="CF330">
        <v>0</v>
      </c>
      <c r="CG330">
        <v>0</v>
      </c>
      <c r="CH330">
        <v>0</v>
      </c>
      <c r="CI330">
        <v>0</v>
      </c>
      <c r="CJ330">
        <v>1</v>
      </c>
      <c r="CK330">
        <v>0</v>
      </c>
      <c r="CL330">
        <v>0</v>
      </c>
      <c r="CM330">
        <v>0</v>
      </c>
      <c r="CN330" t="str">
        <f>IF($BL330&lt;$BK330,"refNeedCorrection","refOK")</f>
        <v>refOK</v>
      </c>
      <c r="CO330">
        <f>IF($CN330="refOK",$BK330,$BL330)</f>
        <v>944</v>
      </c>
      <c r="CP330">
        <f>IF($CN330="refOK",$BL330,$BK330)</f>
        <v>1525</v>
      </c>
      <c r="CQ330">
        <f>IF($CN330="refOK",$BO330,-$BO330)</f>
        <v>581</v>
      </c>
      <c r="CR330">
        <f>IF($CN330="refOK",$BS330,$BT330)*IF($BP330="Emissions positive",-1,1)</f>
        <v>-7.0181174999999998</v>
      </c>
      <c r="CS330">
        <f>IF($CN330="refOK",$BT330,$BS330)*IF($BP330="Emissions positive",-1,1)</f>
        <v>-18.6530153333333</v>
      </c>
      <c r="CT330">
        <f>IF($CN330="refNeedCorrection",-BX330,BX330)*IF($BP330="Emissions positive",-1,1)</f>
        <v>-11.634897833333302</v>
      </c>
      <c r="CU330">
        <f>IFERROR(CT330/CQ330,"")</f>
        <v>-2.0025641709695872E-2</v>
      </c>
      <c r="CV330" s="2">
        <f>IFERROR((CS330-CR330)/ABS(CR330),"")</f>
        <v>-1.6578374234021163</v>
      </c>
      <c r="CW330" s="263" t="s">
        <v>1462</v>
      </c>
      <c r="CX330" s="264" t="str">
        <f>IF(OR($CW330="prd",$CW330="std",$CW330="cit"),"loc",IF(OR($CW330="eur",$CW330="reg",$CW330="coy"),"reg",$CW330))</f>
        <v>reg</v>
      </c>
      <c r="CY330" s="270" t="s">
        <v>743</v>
      </c>
      <c r="CZ330"/>
      <c r="DA330" s="143"/>
      <c r="DB330" s="143">
        <v>0</v>
      </c>
      <c r="DC330" t="str">
        <f>IF(DB330=0,"0",IF(AND(DB330&gt;=1,DB330&lt;=30),"1-30",IF(AND(DB330&gt;30,DB330&lt;=70),"31-70",IF(AND(DB330&gt;70,DB330&lt;=100),"71-100",IF(DB330&gt;100,"+100")))))</f>
        <v>0</v>
      </c>
      <c r="DD330">
        <v>0</v>
      </c>
      <c r="DE330">
        <v>1</v>
      </c>
      <c r="DF330">
        <v>0</v>
      </c>
      <c r="DG330">
        <v>0</v>
      </c>
      <c r="DH330">
        <v>0</v>
      </c>
      <c r="DI330">
        <f>SUM(DD330:DH330)</f>
        <v>1</v>
      </c>
      <c r="DJ330" t="str">
        <f>IF(DI330=1,INDEX($DD$7:$DG$7,MATCH(1,$DD330:$DG330,0)),"mixedProduct")</f>
        <v>EnergyInput</v>
      </c>
      <c r="DK330">
        <f>IF(DD330=1,DK$7,0)</f>
        <v>0</v>
      </c>
      <c r="DL330" t="str">
        <f>IF(DE330=1,DL$7,0)</f>
        <v>Energy</v>
      </c>
      <c r="DM330">
        <f>IF(DF330=1,DM$7,0)</f>
        <v>0</v>
      </c>
      <c r="DN330">
        <f>IF(DG330=1,DN$7,0)</f>
        <v>0</v>
      </c>
      <c r="DO330">
        <v>0</v>
      </c>
      <c r="DP330" s="143">
        <v>0</v>
      </c>
      <c r="DQ330" s="143">
        <v>0</v>
      </c>
      <c r="DR330">
        <v>0</v>
      </c>
      <c r="DS330" s="143">
        <v>0</v>
      </c>
      <c r="DT330">
        <f>SUM(DO330:DP330)</f>
        <v>0</v>
      </c>
      <c r="DU330" s="143" t="str">
        <f>IF(DO330=1,"self-calculated DF",IF(DP330=1,"external DF used","explicit C balance"))</f>
        <v>explicit C balance</v>
      </c>
      <c r="DV330" s="143">
        <v>0</v>
      </c>
      <c r="DW330" s="143">
        <v>0</v>
      </c>
      <c r="DX330" s="143">
        <v>0</v>
      </c>
      <c r="DY330" s="143">
        <v>0</v>
      </c>
      <c r="DZ330">
        <v>0</v>
      </c>
      <c r="EA330" s="143">
        <v>0</v>
      </c>
      <c r="EB330" s="143">
        <v>1</v>
      </c>
      <c r="EC330" s="143">
        <v>1</v>
      </c>
      <c r="ED330" s="143">
        <v>0</v>
      </c>
      <c r="EE330">
        <v>1</v>
      </c>
      <c r="EF330">
        <v>0</v>
      </c>
      <c r="EG330" s="143">
        <v>0</v>
      </c>
      <c r="EH330" s="143">
        <v>0</v>
      </c>
      <c r="EI330" s="2">
        <v>0</v>
      </c>
      <c r="EJ330" s="1"/>
      <c r="EK330" t="str">
        <f>IF(AND(AND(AND(OR($DX330=1,$DW330=1),OR($EC330=1,$EA330=1)),SUM($DV330:$DZ330,$EF330)&gt;=4),SUM($EA330:$EE330)&gt;=2),"Whole sector","")</f>
        <v/>
      </c>
      <c r="EL330" t="str">
        <f>IF(AND(AND(OR($DX330=1,$DW330=1),AND($EC330=0,$EA330=0)),SUM($DV330:$DZ330,$EF330)&gt;=4),"Ecosystem approach","")</f>
        <v/>
      </c>
      <c r="EM330" s="2" t="str">
        <f>IF(AND(AND(AND($DX330=0,$DW330=0),OR($EC330=1,$EA330=1)),SUM($EB330:$EE330)&gt;=2),"Technology approach","")</f>
        <v>Technology approach</v>
      </c>
      <c r="EN330"/>
      <c r="EO330"/>
      <c r="EP330" t="str">
        <f>IF(ISNUMBER(BU330),IF(ABS(BU330-[3]QC_indicators!$B$2)&gt;3*[3]QC_indicators!$C$2,"C ratio",IF(ISNUMBER(BY330),IF(ABS(BY330-[3]QC_indicators!$B$1)&gt;3*[3]QC_indicators!$C$1,"DF","no"))),IF(ISNUMBER(BY330),IF(ABS(BY330-[3]QC_indicators!$B$1)&gt;3*[3]QC_indicators!$C$1,"DF","no")))</f>
        <v>no</v>
      </c>
      <c r="EQ330"/>
      <c r="ER330" s="149"/>
      <c r="ES330"/>
      <c r="ET330" s="264" t="s">
        <v>3407</v>
      </c>
      <c r="EU330"/>
    </row>
    <row r="331" spans="1:151" s="139" customFormat="1" ht="15" customHeight="1">
      <c r="A331" s="1" t="s">
        <v>587</v>
      </c>
      <c r="B331" t="s">
        <v>1448</v>
      </c>
      <c r="C331" t="s">
        <v>1449</v>
      </c>
      <c r="D331" t="s">
        <v>1450</v>
      </c>
      <c r="E331" t="s">
        <v>1451</v>
      </c>
      <c r="F331" t="s">
        <v>1452</v>
      </c>
      <c r="G331" t="s">
        <v>593</v>
      </c>
      <c r="H331" t="s">
        <v>254</v>
      </c>
      <c r="I331">
        <v>2020</v>
      </c>
      <c r="J331">
        <v>12</v>
      </c>
      <c r="K331" t="s">
        <v>1453</v>
      </c>
      <c r="L331"/>
      <c r="M331" t="str">
        <f>LEFT($D331,FIND(",",$D331)-1)&amp;"_"&amp;I331&amp;L331</f>
        <v>Elisa_2020</v>
      </c>
      <c r="N331" s="264" t="s">
        <v>222</v>
      </c>
      <c r="O331" s="171" t="s">
        <v>274</v>
      </c>
      <c r="P331" t="s">
        <v>223</v>
      </c>
      <c r="Q331" s="264" t="s">
        <v>389</v>
      </c>
      <c r="R331" s="269" t="s">
        <v>1154</v>
      </c>
      <c r="S331" s="154" t="s">
        <v>1454</v>
      </c>
      <c r="T331" s="294" t="s">
        <v>1455</v>
      </c>
      <c r="U331" s="143" t="s">
        <v>1465</v>
      </c>
      <c r="V331">
        <v>0</v>
      </c>
      <c r="W331">
        <v>0</v>
      </c>
      <c r="X331">
        <v>0</v>
      </c>
      <c r="Y331">
        <v>0</v>
      </c>
      <c r="Z331">
        <v>0</v>
      </c>
      <c r="AA331">
        <v>0</v>
      </c>
      <c r="AB331">
        <v>0</v>
      </c>
      <c r="AC331">
        <v>0</v>
      </c>
      <c r="AD331">
        <v>0</v>
      </c>
      <c r="AE331">
        <v>1</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s="141">
        <f>COUNTIF(V331:AW331,"&lt;&gt;0")</f>
        <v>1</v>
      </c>
      <c r="AY331" s="141">
        <f>COUNTIF(V331:AL331,"&lt;&gt;0")</f>
        <v>1</v>
      </c>
      <c r="AZ331">
        <f>COUNTIF(V331:AC331,"&lt;&gt;0")</f>
        <v>0</v>
      </c>
      <c r="BA331">
        <f>COUNTIF(AD331:AI331,"&lt;&gt;0")</f>
        <v>1</v>
      </c>
      <c r="BB331">
        <f>COUNTIF(AJ331:AL331,"&lt;&gt;0")</f>
        <v>0</v>
      </c>
      <c r="BC331">
        <f>COUNTIF(AS331:AW331,"&lt;&gt;0")</f>
        <v>0</v>
      </c>
      <c r="BD331">
        <f>COUNTIF(AM331:AR331,"&lt;&gt;0")</f>
        <v>0</v>
      </c>
      <c r="BE331" t="str" cm="1">
        <f t="array" ref="BE331">IF(AY331=1,INDEX($V$7:$AL$7,MATCH(TRUE,INDEX($V331:$AW331&lt;&gt;0,),0)),IF(AY331=0,INDEX($AM$7:$AW$7,MATCH(1,$AM331:$AW331,0)),IF(BF331="Multiple strategies","mixed drivers",IF(BF331="Supply chain","multiple supply","multiple silviculture"))))</f>
        <v>location of industry</v>
      </c>
      <c r="BF331" s="2" t="str" cm="1">
        <f t="array" ref="BF331">IF(COUNTIF(AZ331:BB331,"&lt;&gt;0")=1,INDEX($V$4:$AW$4,MATCH(TRUE,INDEX($V331:$AW331&lt;&gt;0,),0)),IF(COUNTIF(AZ331:BB331,"&lt;&gt;0")=0,INDEX($AM$4:$AW$4,MATCH(1,$AM331:$AW331,0)),"Multiple strategies"))</f>
        <v>Supply chain</v>
      </c>
      <c r="BG331" s="142" t="s">
        <v>321</v>
      </c>
      <c r="BH331" s="160" t="s">
        <v>1457</v>
      </c>
      <c r="BI331" s="160" t="s">
        <v>1458</v>
      </c>
      <c r="BJ331" s="143" t="s">
        <v>498</v>
      </c>
      <c r="BK331" s="143">
        <v>944</v>
      </c>
      <c r="BL331" s="143">
        <v>1525</v>
      </c>
      <c r="BM331">
        <f>IFERROR(BL333/BK331,"")</f>
        <v>8.0508474576271184E-3</v>
      </c>
      <c r="BN331">
        <f>BL331-BK331</f>
        <v>581</v>
      </c>
      <c r="BO331" s="159">
        <f>BN331</f>
        <v>581</v>
      </c>
      <c r="BP331" s="155" t="s">
        <v>232</v>
      </c>
      <c r="BQ331" s="155" t="s">
        <v>1459</v>
      </c>
      <c r="BR331" s="155" t="s">
        <v>825</v>
      </c>
      <c r="BS331" s="143" t="s">
        <v>1463</v>
      </c>
      <c r="BT331" t="s">
        <v>1467</v>
      </c>
      <c r="BU331" s="144">
        <f>BT331/BS331</f>
        <v>2.6740052671577788</v>
      </c>
      <c r="BV331">
        <f>BT331-BS331</f>
        <v>-11.5684519444444</v>
      </c>
      <c r="BW331"/>
      <c r="BX331">
        <f>BV331</f>
        <v>-11.5684519444444</v>
      </c>
      <c r="BY331">
        <f>IFERROR(BX331/BO331,"")</f>
        <v>-1.9911277012813079E-2</v>
      </c>
      <c r="BZ331">
        <v>0</v>
      </c>
      <c r="CA331">
        <v>0</v>
      </c>
      <c r="CB331">
        <v>0</v>
      </c>
      <c r="CC331">
        <v>0</v>
      </c>
      <c r="CD331">
        <v>0</v>
      </c>
      <c r="CE331">
        <v>0</v>
      </c>
      <c r="CF331">
        <v>0</v>
      </c>
      <c r="CG331">
        <v>0</v>
      </c>
      <c r="CH331">
        <v>0</v>
      </c>
      <c r="CI331">
        <v>0</v>
      </c>
      <c r="CJ331">
        <v>0</v>
      </c>
      <c r="CK331">
        <v>0</v>
      </c>
      <c r="CL331">
        <v>0</v>
      </c>
      <c r="CM331">
        <v>0</v>
      </c>
      <c r="CN331" t="str">
        <f>IF($BL331&lt;$BK331,"refNeedCorrection","refOK")</f>
        <v>refOK</v>
      </c>
      <c r="CO331">
        <f>IF($CN331="refOK",$BK331,$BL331)</f>
        <v>944</v>
      </c>
      <c r="CP331">
        <f>IF($CN331="refOK",$BL331,$BK331)</f>
        <v>1525</v>
      </c>
      <c r="CQ331">
        <f>IF($CN331="refOK",$BO331,-$BO331)</f>
        <v>581</v>
      </c>
      <c r="CR331">
        <f>IF($CN331="refOK",$BS331,$BT331)*IF($BP331="Emissions positive",-1,1)</f>
        <v>-6.9106424999999998</v>
      </c>
      <c r="CS331">
        <f>IF($CN331="refOK",$BT331,$BS331)*IF($BP331="Emissions positive",-1,1)</f>
        <v>-18.479094444444399</v>
      </c>
      <c r="CT331">
        <f>IF($CN331="refNeedCorrection",-BX331,BX331)*IF($BP331="Emissions positive",-1,1)</f>
        <v>-11.5684519444444</v>
      </c>
      <c r="CU331">
        <f>IFERROR(CT331/CQ331,"")</f>
        <v>-1.9911277012813079E-2</v>
      </c>
      <c r="CV331" s="2">
        <f>IFERROR((CS331-CR331)/ABS(CR331),"")</f>
        <v>-1.6740052671577788</v>
      </c>
      <c r="CW331" s="263" t="s">
        <v>1462</v>
      </c>
      <c r="CX331" s="264" t="str">
        <f>IF(OR($CW331="prd",$CW331="std",$CW331="cit"),"loc",IF(OR($CW331="eur",$CW331="reg",$CW331="coy"),"reg",$CW331))</f>
        <v>reg</v>
      </c>
      <c r="CY331" s="270" t="s">
        <v>743</v>
      </c>
      <c r="CZ331"/>
      <c r="DA331" s="143"/>
      <c r="DB331" s="143">
        <v>0</v>
      </c>
      <c r="DC331" t="str">
        <f>IF(DB331=0,"0",IF(AND(DB331&gt;=1,DB331&lt;=30),"1-30",IF(AND(DB331&gt;30,DB331&lt;=70),"31-70",IF(AND(DB331&gt;70,DB331&lt;=100),"71-100",IF(DB331&gt;100,"+100")))))</f>
        <v>0</v>
      </c>
      <c r="DD331">
        <v>0</v>
      </c>
      <c r="DE331">
        <v>1</v>
      </c>
      <c r="DF331">
        <v>0</v>
      </c>
      <c r="DG331">
        <v>0</v>
      </c>
      <c r="DH331">
        <v>0</v>
      </c>
      <c r="DI331">
        <f>SUM(DD331:DH331)</f>
        <v>1</v>
      </c>
      <c r="DJ331" t="str">
        <f>IF(DI331=1,INDEX($DD$7:$DG$7,MATCH(1,$DD331:$DG331,0)),"mixedProduct")</f>
        <v>EnergyInput</v>
      </c>
      <c r="DK331">
        <f>IF(DD331=1,DK$7,0)</f>
        <v>0</v>
      </c>
      <c r="DL331" t="str">
        <f>IF(DE331=1,DL$7,0)</f>
        <v>Energy</v>
      </c>
      <c r="DM331">
        <f>IF(DF331=1,DM$7,0)</f>
        <v>0</v>
      </c>
      <c r="DN331">
        <f>IF(DG331=1,DN$7,0)</f>
        <v>0</v>
      </c>
      <c r="DO331">
        <v>0</v>
      </c>
      <c r="DP331" s="143">
        <v>0</v>
      </c>
      <c r="DQ331" s="143">
        <v>0</v>
      </c>
      <c r="DR331">
        <v>0</v>
      </c>
      <c r="DS331" s="143">
        <v>0</v>
      </c>
      <c r="DT331">
        <f>SUM(DO331:DP331)</f>
        <v>0</v>
      </c>
      <c r="DU331" s="143" t="str">
        <f>IF(DO331=1,"self-calculated DF",IF(DP331=1,"external DF used","explicit C balance"))</f>
        <v>explicit C balance</v>
      </c>
      <c r="DV331" s="143">
        <v>0</v>
      </c>
      <c r="DW331" s="143">
        <v>0</v>
      </c>
      <c r="DX331" s="143">
        <v>0</v>
      </c>
      <c r="DY331" s="143">
        <v>0</v>
      </c>
      <c r="DZ331">
        <v>0</v>
      </c>
      <c r="EA331" s="143">
        <v>0</v>
      </c>
      <c r="EB331" s="143">
        <v>0</v>
      </c>
      <c r="EC331" s="143">
        <v>1</v>
      </c>
      <c r="ED331" s="143">
        <v>0</v>
      </c>
      <c r="EE331">
        <v>1</v>
      </c>
      <c r="EF331">
        <v>0</v>
      </c>
      <c r="EG331" s="143">
        <v>0</v>
      </c>
      <c r="EH331" s="143">
        <v>0</v>
      </c>
      <c r="EI331" s="2">
        <v>0</v>
      </c>
      <c r="EJ331" s="1"/>
      <c r="EK331" t="str">
        <f>IF(AND(AND(AND(OR($DX331=1,$DW331=1),OR($EC331=1,$EA331=1)),SUM($DV331:$DZ331,$EF331)&gt;=4),SUM($EA331:$EE331)&gt;=2),"Whole sector","")</f>
        <v/>
      </c>
      <c r="EL331" t="str">
        <f>IF(AND(AND(OR($DX331=1,$DW331=1),AND($EC331=0,$EA331=0)),SUM($DV331:$DZ331,$EF331)&gt;=4),"Ecosystem approach","")</f>
        <v/>
      </c>
      <c r="EM331" s="2" t="str">
        <f>IF(AND(AND(AND($DX331=0,$DW331=0),OR($EC331=1,$EA331=1)),SUM($EB331:$EE331)&gt;=2),"Technology approach","")</f>
        <v>Technology approach</v>
      </c>
      <c r="EN331"/>
      <c r="EO331"/>
      <c r="EP331" t="str">
        <f>IF(ISNUMBER(BU331),IF(ABS(BU331-[3]QC_indicators!$B$2)&gt;3*[3]QC_indicators!$C$2,"C ratio",IF(ISNUMBER(BY331),IF(ABS(BY331-[3]QC_indicators!$B$1)&gt;3*[3]QC_indicators!$C$1,"DF","no"))),IF(ISNUMBER(BY331),IF(ABS(BY331-[3]QC_indicators!$B$1)&gt;3*[3]QC_indicators!$C$1,"DF","no")))</f>
        <v>no</v>
      </c>
      <c r="EQ331"/>
      <c r="ER331" s="149"/>
      <c r="ES331"/>
      <c r="ET331" s="264" t="s">
        <v>3407</v>
      </c>
      <c r="EU331"/>
    </row>
    <row r="332" spans="1:151" s="139" customFormat="1" ht="15" customHeight="1">
      <c r="A332" s="1" t="s">
        <v>1138</v>
      </c>
      <c r="B332" t="s">
        <v>2089</v>
      </c>
      <c r="C332" t="s">
        <v>2090</v>
      </c>
      <c r="D332" t="s">
        <v>2091</v>
      </c>
      <c r="E332" t="s">
        <v>2092</v>
      </c>
      <c r="F332" t="s">
        <v>2093</v>
      </c>
      <c r="G332" t="s">
        <v>1139</v>
      </c>
      <c r="H332" t="s">
        <v>254</v>
      </c>
      <c r="I332">
        <v>2019</v>
      </c>
      <c r="J332">
        <v>13</v>
      </c>
      <c r="K332" t="s">
        <v>2094</v>
      </c>
      <c r="L332"/>
      <c r="M332" t="str">
        <f>LEFT($D332,FIND(",",$D332)-1)&amp;"_"&amp;I332&amp;L332</f>
        <v>Parobek_2019</v>
      </c>
      <c r="N332" s="264" t="s">
        <v>222</v>
      </c>
      <c r="O332" s="157" t="s">
        <v>513</v>
      </c>
      <c r="P332" s="264" t="s">
        <v>223</v>
      </c>
      <c r="Q332" s="264" t="s">
        <v>389</v>
      </c>
      <c r="R332" s="269" t="s">
        <v>1154</v>
      </c>
      <c r="S332" s="1"/>
      <c r="T332" s="264" t="s">
        <v>1200</v>
      </c>
      <c r="U332" s="264" t="s">
        <v>1201</v>
      </c>
      <c r="V332">
        <v>0</v>
      </c>
      <c r="W332">
        <v>0</v>
      </c>
      <c r="X332">
        <v>0</v>
      </c>
      <c r="Y332">
        <v>0</v>
      </c>
      <c r="Z332">
        <v>0</v>
      </c>
      <c r="AA332">
        <v>0</v>
      </c>
      <c r="AB332">
        <v>0</v>
      </c>
      <c r="AC332">
        <v>0</v>
      </c>
      <c r="AD332">
        <v>0</v>
      </c>
      <c r="AE332">
        <v>0</v>
      </c>
      <c r="AF332">
        <v>1</v>
      </c>
      <c r="AG332">
        <v>0</v>
      </c>
      <c r="AH332">
        <v>0</v>
      </c>
      <c r="AI332">
        <v>0</v>
      </c>
      <c r="AJ332">
        <v>0</v>
      </c>
      <c r="AK332">
        <v>0</v>
      </c>
      <c r="AL332">
        <v>0</v>
      </c>
      <c r="AM332">
        <v>0</v>
      </c>
      <c r="AN332">
        <v>0</v>
      </c>
      <c r="AO332">
        <v>0</v>
      </c>
      <c r="AP332">
        <v>0</v>
      </c>
      <c r="AQ332">
        <v>0</v>
      </c>
      <c r="AR332">
        <v>0</v>
      </c>
      <c r="AS332">
        <v>0</v>
      </c>
      <c r="AT332">
        <v>0</v>
      </c>
      <c r="AU332">
        <v>0</v>
      </c>
      <c r="AV332">
        <v>0</v>
      </c>
      <c r="AW332">
        <v>0</v>
      </c>
      <c r="AX332" s="141">
        <f>COUNTIF(V332:AW332,"&lt;&gt;0")</f>
        <v>1</v>
      </c>
      <c r="AY332" s="141">
        <f>COUNTIF(V332:AL332,"&lt;&gt;0")</f>
        <v>1</v>
      </c>
      <c r="AZ332">
        <f>COUNTIF(V332:AC332,"&lt;&gt;0")</f>
        <v>0</v>
      </c>
      <c r="BA332">
        <f>COUNTIF(AD332:AI332,"&lt;&gt;0")</f>
        <v>1</v>
      </c>
      <c r="BB332">
        <f>COUNTIF(AJ332:AL332,"&lt;&gt;0")</f>
        <v>0</v>
      </c>
      <c r="BC332">
        <f>COUNTIF(AS332:AW332,"&lt;&gt;0")</f>
        <v>0</v>
      </c>
      <c r="BD332">
        <f>COUNTIF(AM332:AR332,"&lt;&gt;0")</f>
        <v>0</v>
      </c>
      <c r="BE332" t="str" cm="1">
        <f t="array" ref="BE332">IF(AY332=1,INDEX($V$7:$AL$7,MATCH(TRUE,INDEX($V332:$AW332&lt;&gt;0,),0)),IF(AY332=0,INDEX($AM$7:$AW$7,MATCH(1,$AM332:$AW332,0)),IF(BF332="Multiple strategies","mixed drivers",IF(BF332="Supply chain","multiple supply","multiple silviculture"))))</f>
        <v>supply chain organization</v>
      </c>
      <c r="BF332" s="2" t="str" cm="1">
        <f t="array" ref="BF332">IF(COUNTIF(AZ332:BB332,"&lt;&gt;0")=1,INDEX($V$4:$AW$4,MATCH(TRUE,INDEX($V332:$AW332&lt;&gt;0,),0)),IF(COUNTIF(AZ332:BB332,"&lt;&gt;0")=0,INDEX($AM$4:$AW$4,MATCH(1,$AM332:$AW332,0)),"Multiple strategies"))</f>
        <v>Supply chain</v>
      </c>
      <c r="BG332" s="1"/>
      <c r="BH332" s="264" t="s">
        <v>2095</v>
      </c>
      <c r="BI332"/>
      <c r="BJ332" s="264" t="s">
        <v>1355</v>
      </c>
      <c r="BK332">
        <f>3.79+2.1+2.74</f>
        <v>8.6300000000000008</v>
      </c>
      <c r="BL332">
        <f>8.72+1.23</f>
        <v>9.9500000000000011</v>
      </c>
      <c r="BM332">
        <f>IFERROR(BK951/BL951,"")</f>
        <v>0.19734748010610081</v>
      </c>
      <c r="BN332">
        <f>BL332-BK332</f>
        <v>1.3200000000000003</v>
      </c>
      <c r="BO332">
        <f>BN332*10^6</f>
        <v>1320000.0000000002</v>
      </c>
      <c r="BP332" s="264" t="s">
        <v>2096</v>
      </c>
      <c r="BQ332" s="264" t="s">
        <v>699</v>
      </c>
      <c r="BR332" s="264" t="s">
        <v>2097</v>
      </c>
      <c r="BS332">
        <v>2052.42</v>
      </c>
      <c r="BT332">
        <v>2071.21</v>
      </c>
      <c r="BU332" s="144"/>
      <c r="BV332">
        <f>BS332-BT332</f>
        <v>-18.789999999999964</v>
      </c>
      <c r="BW332"/>
      <c r="BX332">
        <f>BV332*1000</f>
        <v>-18789.999999999964</v>
      </c>
      <c r="BY332">
        <f>IFERROR(BX332/BO332,"")</f>
        <v>-1.4234848484848454E-2</v>
      </c>
      <c r="BZ332">
        <v>0</v>
      </c>
      <c r="CA332">
        <v>0</v>
      </c>
      <c r="CB332">
        <v>0</v>
      </c>
      <c r="CC332">
        <v>0</v>
      </c>
      <c r="CD332">
        <v>0</v>
      </c>
      <c r="CE332">
        <v>0</v>
      </c>
      <c r="CF332">
        <v>0</v>
      </c>
      <c r="CG332">
        <v>0</v>
      </c>
      <c r="CH332">
        <v>0</v>
      </c>
      <c r="CI332">
        <v>0</v>
      </c>
      <c r="CJ332">
        <v>0</v>
      </c>
      <c r="CK332">
        <v>0</v>
      </c>
      <c r="CL332">
        <v>0</v>
      </c>
      <c r="CM332">
        <v>0</v>
      </c>
      <c r="CN332" t="str">
        <f>IF($BL951&lt;$BK951,"refNeedCorrection","refOK")</f>
        <v>refOK</v>
      </c>
      <c r="CO332">
        <f>IF($CN332="refOK",$BL951,$BK951)</f>
        <v>188.5</v>
      </c>
      <c r="CP332">
        <f>IF($CN332="refOK",$BK951,$BL951)</f>
        <v>37.200000000000003</v>
      </c>
      <c r="CQ332">
        <f>IF($CN332="refOK",$BO332,-$BO332)</f>
        <v>1320000.0000000002</v>
      </c>
      <c r="CR332">
        <f>IF($CN332="refOK",$BT332,$BS332)*IF($BP332="Emissions positive",-1,1)</f>
        <v>2071.21</v>
      </c>
      <c r="CS332">
        <f>IF($CN332="refOK",$BS332,$BT332)*IF($BP332="Emissions positive",-1,1)</f>
        <v>2052.42</v>
      </c>
      <c r="CT332">
        <f>IF($CN332="refNeedCorrection",-BX332,BX332)*IF($BP332="Emissions positive",-1,1)</f>
        <v>-18789.999999999964</v>
      </c>
      <c r="CU332">
        <f>IFERROR(CT332/CQ332,"")</f>
        <v>-1.4234848484848454E-2</v>
      </c>
      <c r="CV332" s="2">
        <f>IFERROR((CS332-CR332)/ABS(CR332),"")</f>
        <v>-9.0719917343002228E-3</v>
      </c>
      <c r="CW332" s="263" t="s">
        <v>1203</v>
      </c>
      <c r="CX332" s="264" t="str">
        <f>IF(OR($CW332="prd",$CW332="std",$CW332="cit"),"loc",IF(OR($CW332="eur",$CW332="reg",$CW332="coy"),"reg",$CW332))</f>
        <v>reg</v>
      </c>
      <c r="CY332" s="264" t="s">
        <v>2088</v>
      </c>
      <c r="CZ332"/>
      <c r="DA332"/>
      <c r="DB332">
        <v>1</v>
      </c>
      <c r="DC332" t="str">
        <f>IF(DB332=0,"0",IF(AND(DB332&gt;=1,DB332&lt;=30),"1-30",IF(AND(DB332&gt;30,DB332&lt;=70),"31-70",IF(AND(DB332&gt;70,DB332&lt;=100),"71-100",IF(DB332&gt;100,"+100")))))</f>
        <v>1-30</v>
      </c>
      <c r="DD332">
        <v>0</v>
      </c>
      <c r="DE332">
        <v>0</v>
      </c>
      <c r="DF332">
        <v>1</v>
      </c>
      <c r="DG332">
        <v>1</v>
      </c>
      <c r="DH332">
        <v>0</v>
      </c>
      <c r="DI332">
        <f>SUM(DD332:DH332)</f>
        <v>2</v>
      </c>
      <c r="DJ332" t="str">
        <f>IF(DI332=1,INDEX($DD$7:$DG$7,MATCH(1,$DD332:$DG332,0)),"mixedProduct")</f>
        <v>mixedProduct</v>
      </c>
      <c r="DK332">
        <f>IF(DD332=1,DK$7,0)</f>
        <v>0</v>
      </c>
      <c r="DL332">
        <f>IF(DE332=1,DL$7,0)</f>
        <v>0</v>
      </c>
      <c r="DM332" t="str">
        <f>IF(DF332=1,DM$7,0)</f>
        <v>Pulp/Paper</v>
      </c>
      <c r="DN332" t="str">
        <f>IF(DG332=1,DN$7,0)</f>
        <v>Timber</v>
      </c>
      <c r="DO332">
        <v>0</v>
      </c>
      <c r="DP332">
        <v>0</v>
      </c>
      <c r="DQ332">
        <v>0</v>
      </c>
      <c r="DR332">
        <v>0</v>
      </c>
      <c r="DS332">
        <v>0</v>
      </c>
      <c r="DT332"/>
      <c r="DU332" s="143" t="str">
        <f>IF(DO332=1,"self-calculated DF",IF(DP332=1,"external DF used","explicit C balance"))</f>
        <v>explicit C balance</v>
      </c>
      <c r="DV332">
        <v>0</v>
      </c>
      <c r="DW332">
        <v>0</v>
      </c>
      <c r="DX332">
        <v>0</v>
      </c>
      <c r="DY332">
        <v>1</v>
      </c>
      <c r="DZ332">
        <v>0</v>
      </c>
      <c r="EA332">
        <v>0</v>
      </c>
      <c r="EB332">
        <v>0</v>
      </c>
      <c r="EC332">
        <v>0</v>
      </c>
      <c r="ED332">
        <v>0</v>
      </c>
      <c r="EE332">
        <v>0</v>
      </c>
      <c r="EF332">
        <v>1</v>
      </c>
      <c r="EG332">
        <v>0</v>
      </c>
      <c r="EH332">
        <v>0</v>
      </c>
      <c r="EI332" s="2">
        <v>0</v>
      </c>
      <c r="EJ332" s="1"/>
      <c r="EK332" t="str">
        <f>IF(AND(AND(AND(OR($DX332=1,$DW332=1),OR($EC332=1,$EA332=1)),SUM($DV332:$DZ332,$EF332)&gt;=4),SUM($EA332:$EE332)&gt;=2),"Whole sector","")</f>
        <v/>
      </c>
      <c r="EL332" t="str">
        <f>IF(AND(AND(OR($DX332=1,$DW332=1),AND($EC332=0,$EA332=0)),SUM($DV332:$DZ332,$EF332)&gt;=4),"Ecosystem approach","")</f>
        <v/>
      </c>
      <c r="EM332" s="2" t="str">
        <f>IF(AND(AND(AND($DX332=0,$DW332=0),OR($EC332=1,$EA332=1)),SUM($EB332:$EE332)&gt;=2),"Technology approach","")</f>
        <v/>
      </c>
      <c r="EN332"/>
      <c r="EO332"/>
      <c r="EP332" t="str">
        <f>IF(ISNUMBER(BU332),IF(ABS(BU332-[3]QC_indicators!$B$2)&gt;3*[3]QC_indicators!$C$2,"C ratio",IF(ISNUMBER(BY332),IF(ABS(BY332-[3]QC_indicators!$B$1)&gt;3*[3]QC_indicators!$C$1,"DF","no"))),IF(ISNUMBER(BY332),IF(ABS(BY332-[3]QC_indicators!$B$1)&gt;3*[3]QC_indicators!$C$1,"DF","no")))</f>
        <v>no</v>
      </c>
      <c r="EQ332"/>
      <c r="ER332"/>
      <c r="ES332"/>
      <c r="ET332" s="264" t="s">
        <v>3407</v>
      </c>
      <c r="EU332"/>
    </row>
    <row r="333" spans="1:151" s="139" customFormat="1" ht="15" customHeight="1">
      <c r="A333" s="1" t="s">
        <v>1360</v>
      </c>
      <c r="B333" t="s">
        <v>2135</v>
      </c>
      <c r="C333" t="s">
        <v>2136</v>
      </c>
      <c r="D333" t="s">
        <v>2137</v>
      </c>
      <c r="E333" t="s">
        <v>2138</v>
      </c>
      <c r="F333" t="s">
        <v>2139</v>
      </c>
      <c r="G333" t="s">
        <v>1366</v>
      </c>
      <c r="H333" t="s">
        <v>254</v>
      </c>
      <c r="I333">
        <v>2012</v>
      </c>
      <c r="J333">
        <v>21</v>
      </c>
      <c r="K333" t="s">
        <v>2140</v>
      </c>
      <c r="L333" s="192"/>
      <c r="M333" t="str">
        <f>LEFT($D333,FIND(",",$D333)-1)&amp;"_"&amp;I333&amp;L333</f>
        <v>Pyorala_2012</v>
      </c>
      <c r="N333" t="s">
        <v>222</v>
      </c>
      <c r="O333" s="145" t="s">
        <v>341</v>
      </c>
      <c r="P333" s="180" t="s">
        <v>223</v>
      </c>
      <c r="Q333" s="264" t="s">
        <v>256</v>
      </c>
      <c r="R333" s="269" t="s">
        <v>1154</v>
      </c>
      <c r="S333" s="263" t="s">
        <v>2147</v>
      </c>
      <c r="T333" s="264" t="s">
        <v>2142</v>
      </c>
      <c r="U333" s="264" t="s">
        <v>2143</v>
      </c>
      <c r="V333">
        <v>0</v>
      </c>
      <c r="W333">
        <v>0</v>
      </c>
      <c r="X333">
        <v>0</v>
      </c>
      <c r="Y333">
        <v>1</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s="141">
        <f>COUNTIF(V333:AW333,"&lt;&gt;0")</f>
        <v>1</v>
      </c>
      <c r="AY333" s="141">
        <f>COUNTIF(V333:AL333,"&lt;&gt;0")</f>
        <v>1</v>
      </c>
      <c r="AZ333">
        <f>COUNTIF(V333:AC333,"&lt;&gt;0")</f>
        <v>1</v>
      </c>
      <c r="BA333">
        <f>COUNTIF(AD333:AI333,"&lt;&gt;0")</f>
        <v>0</v>
      </c>
      <c r="BB333">
        <f>COUNTIF(AJ333:AL333,"&lt;&gt;0")</f>
        <v>0</v>
      </c>
      <c r="BC333">
        <f>COUNTIF(AS333:AW333,"&lt;&gt;0")</f>
        <v>0</v>
      </c>
      <c r="BD333">
        <f>COUNTIF(AM333:AR333,"&lt;&gt;0")</f>
        <v>0</v>
      </c>
      <c r="BE333" t="str" cm="1">
        <f t="array" ref="BE333">IF(AY333=1,INDEX($V$7:$AL$7,MATCH(TRUE,INDEX($V333:$AW333&lt;&gt;0,),0)),IF(AY333=0,INDEX($AM$7:$AW$7,MATCH(1,$AM333:$AW333,0)),IF(BF333="Multiple strategies","mixed drivers",IF(BF333="Supply chain","multiple supply","multiple silviculture"))))</f>
        <v xml:space="preserve">cutting intensity </v>
      </c>
      <c r="BF333" s="2" t="str" cm="1">
        <f t="array" ref="BF333">IF(COUNTIF(AZ333:BB333,"&lt;&gt;0")=1,INDEX($V$4:$AW$4,MATCH(TRUE,INDEX($V333:$AW333&lt;&gt;0,),0)),IF(COUNTIF(AZ333:BB333,"&lt;&gt;0")=0,INDEX($AM$4:$AW$4,MATCH(1,$AM333:$AW333,0)),"Multiple strategies"))</f>
        <v>Silviculture for removals</v>
      </c>
      <c r="BG333" s="178" t="s">
        <v>321</v>
      </c>
      <c r="BH333" s="264" t="s">
        <v>2144</v>
      </c>
      <c r="BI333" s="264" t="s">
        <v>701</v>
      </c>
      <c r="BJ333" s="160" t="s">
        <v>700</v>
      </c>
      <c r="BK333">
        <v>7.3</v>
      </c>
      <c r="BL333">
        <v>7.6</v>
      </c>
      <c r="BM333"/>
      <c r="BN333">
        <f>BL333-BK333</f>
        <v>0.29999999999999982</v>
      </c>
      <c r="BO333">
        <f>BN333</f>
        <v>0.29999999999999982</v>
      </c>
      <c r="BP333" s="155" t="s">
        <v>395</v>
      </c>
      <c r="BQ333" s="264" t="s">
        <v>786</v>
      </c>
      <c r="BR333" s="270" t="s">
        <v>2145</v>
      </c>
      <c r="BS333">
        <f>-4.3/50</f>
        <v>-8.5999999999999993E-2</v>
      </c>
      <c r="BT333">
        <f>-4.1/50</f>
        <v>-8.199999999999999E-2</v>
      </c>
      <c r="BU333" s="144"/>
      <c r="BV333">
        <f>BT333-BS333</f>
        <v>4.0000000000000036E-3</v>
      </c>
      <c r="BW333"/>
      <c r="BX333">
        <f>BV333</f>
        <v>4.0000000000000036E-3</v>
      </c>
      <c r="BY333">
        <f>IFERROR(BX333/BO333,"")</f>
        <v>1.3333333333333353E-2</v>
      </c>
      <c r="BZ333">
        <v>0</v>
      </c>
      <c r="CA333">
        <v>0</v>
      </c>
      <c r="CB333">
        <v>0</v>
      </c>
      <c r="CC333">
        <v>0</v>
      </c>
      <c r="CD333">
        <v>0</v>
      </c>
      <c r="CE333">
        <v>0</v>
      </c>
      <c r="CF333">
        <v>0</v>
      </c>
      <c r="CG333">
        <v>0</v>
      </c>
      <c r="CH333">
        <v>0</v>
      </c>
      <c r="CI333">
        <v>0</v>
      </c>
      <c r="CJ333">
        <v>0</v>
      </c>
      <c r="CK333">
        <v>0</v>
      </c>
      <c r="CL333">
        <v>0</v>
      </c>
      <c r="CM333">
        <v>0</v>
      </c>
      <c r="CN333" t="str">
        <f>IF($BL333&lt;$BK333,"refNeedCorrection","refOK")</f>
        <v>refOK</v>
      </c>
      <c r="CO333">
        <f>IF($CN333="refOK",$BK333,$BL333)</f>
        <v>7.3</v>
      </c>
      <c r="CP333">
        <f>IF($CN333="refOK",$BL333,$BK333)</f>
        <v>7.6</v>
      </c>
      <c r="CQ333">
        <f>IF($CN333="refOK",$BO333,-$BO333)</f>
        <v>0.29999999999999982</v>
      </c>
      <c r="CR333">
        <f>IF($CN333="refOK",$BS333,$BT333)*IF($BP333="Emissions positive",-1,1)</f>
        <v>8.5999999999999993E-2</v>
      </c>
      <c r="CS333">
        <f>IF($CN333="refOK",$BT333,$BS333)*IF($BP333="Emissions positive",-1,1)</f>
        <v>8.199999999999999E-2</v>
      </c>
      <c r="CT333">
        <f>IF($CN333="refNeedCorrection",-BX333,BX333)*IF($BP333="Emissions positive",-1,1)</f>
        <v>-4.0000000000000036E-3</v>
      </c>
      <c r="CU333">
        <f>IFERROR(CT333/CQ333,"")</f>
        <v>-1.3333333333333353E-2</v>
      </c>
      <c r="CV333" s="2">
        <f>IFERROR((CS333-CR333)/ABS(CR333),"")</f>
        <v>-4.6511627906976792E-2</v>
      </c>
      <c r="CW333" s="1" t="s">
        <v>1199</v>
      </c>
      <c r="CX333" s="264" t="str">
        <f>IF(OR($CW333="prd",$CW333="std",$CW333="cit"),"loc",IF(OR($CW333="eur",$CW333="reg",$CW333="coy"),"reg",$CW333))</f>
        <v>reg</v>
      </c>
      <c r="CY333" t="s">
        <v>235</v>
      </c>
      <c r="CZ333"/>
      <c r="DA333"/>
      <c r="DB333">
        <v>50</v>
      </c>
      <c r="DC333" t="str">
        <f>IF(DB333=0,"0",IF(AND(DB333&gt;=1,DB333&lt;=30),"1-30",IF(AND(DB333&gt;30,DB333&lt;=70),"31-70",IF(AND(DB333&gt;70,DB333&lt;=100),"71-100",IF(DB333&gt;100,"+100")))))</f>
        <v>31-70</v>
      </c>
      <c r="DD333">
        <v>0</v>
      </c>
      <c r="DE333">
        <v>1</v>
      </c>
      <c r="DF333">
        <v>1</v>
      </c>
      <c r="DG333">
        <v>1</v>
      </c>
      <c r="DH333"/>
      <c r="DI333">
        <f>SUM(DD333:DG333)</f>
        <v>3</v>
      </c>
      <c r="DJ333" t="str">
        <f>IF(DI333=1,INDEX($DD$7:$DG$7,MATCH(1,$DD333:$DG333,0)),"mixedProduct")</f>
        <v>mixedProduct</v>
      </c>
      <c r="DK333">
        <f>IF(DD333=1,DK$7,0)</f>
        <v>0</v>
      </c>
      <c r="DL333" t="str">
        <f>IF(DE333=1,DL$7,0)</f>
        <v>Energy</v>
      </c>
      <c r="DM333" t="str">
        <f>IF(DF333=1,DM$7,0)</f>
        <v>Pulp/Paper</v>
      </c>
      <c r="DN333" t="str">
        <f>IF(DG333=1,DN$7,0)</f>
        <v>Timber</v>
      </c>
      <c r="DO333">
        <v>0</v>
      </c>
      <c r="DP333">
        <v>1</v>
      </c>
      <c r="DQ333" t="s">
        <v>2146</v>
      </c>
      <c r="DR333">
        <v>0</v>
      </c>
      <c r="DS333">
        <v>0</v>
      </c>
      <c r="DT333">
        <f>SUM(DO333:DP333)</f>
        <v>1</v>
      </c>
      <c r="DU333" s="143" t="str">
        <f>IF(DO333=1,"self-calculated DF",IF(DP333=1,"external DF used","explicit C balance"))</f>
        <v>external DF used</v>
      </c>
      <c r="DV333">
        <v>1</v>
      </c>
      <c r="DW333">
        <v>1</v>
      </c>
      <c r="DX333">
        <v>1</v>
      </c>
      <c r="DY333">
        <v>0</v>
      </c>
      <c r="DZ333">
        <v>0</v>
      </c>
      <c r="EA333" s="143">
        <v>0</v>
      </c>
      <c r="EB333">
        <v>1</v>
      </c>
      <c r="EC333">
        <v>1</v>
      </c>
      <c r="ED333">
        <v>0</v>
      </c>
      <c r="EE333">
        <v>0</v>
      </c>
      <c r="EF333">
        <v>1</v>
      </c>
      <c r="EG333">
        <v>0</v>
      </c>
      <c r="EH333">
        <v>0</v>
      </c>
      <c r="EI333" s="2">
        <v>0</v>
      </c>
      <c r="EJ333" s="1"/>
      <c r="EK333" t="str">
        <f>IF(AND(AND(AND(OR($DX333=1,$DW333=1),OR($EC333=1,$EA333=1)),SUM($DV333:$DZ333,$EF333)&gt;=4),SUM($EA333:$EE333)&gt;=2),"Whole sector","")</f>
        <v>Whole sector</v>
      </c>
      <c r="EL333" t="str">
        <f>IF(AND(AND(OR($DX333=1,$DW333=1),AND($EC333=0,$EA333=0)),SUM($DV333:$DZ333,$EF333)&gt;=4),"Ecosystem approach","")</f>
        <v/>
      </c>
      <c r="EM333" s="2" t="str">
        <f>IF(AND(AND(AND($DX333=0,$DW333=0),OR($EC333=1,$EA333=1)),SUM($EB333:$EE333)&gt;=2),"Technology approach","")</f>
        <v/>
      </c>
      <c r="EN333"/>
      <c r="EO333"/>
      <c r="EP333" t="str">
        <f>IF(ISNUMBER(BU333),IF(ABS(BU333-[3]QC_indicators!$B$2)&gt;3*[3]QC_indicators!$C$2,"C ratio",IF(ISNUMBER(BY333),IF(ABS(BY333-[3]QC_indicators!$B$1)&gt;3*[3]QC_indicators!$C$1,"DF","no"))),IF(ISNUMBER(BY333),IF(ABS(BY333-[3]QC_indicators!$B$1)&gt;3*[3]QC_indicators!$C$1,"DF","no")))</f>
        <v>no</v>
      </c>
      <c r="EQ333"/>
      <c r="ER333"/>
      <c r="ES333"/>
      <c r="ET333" s="264" t="s">
        <v>3407</v>
      </c>
      <c r="EU333"/>
    </row>
    <row r="334" spans="1:151" s="139" customFormat="1" ht="15" customHeight="1">
      <c r="A334" s="1" t="s">
        <v>1636</v>
      </c>
      <c r="B334" t="s">
        <v>1637</v>
      </c>
      <c r="C334" t="s">
        <v>1638</v>
      </c>
      <c r="D334" t="s">
        <v>1639</v>
      </c>
      <c r="E334" t="s">
        <v>1640</v>
      </c>
      <c r="F334" t="s">
        <v>1641</v>
      </c>
      <c r="G334" t="s">
        <v>1642</v>
      </c>
      <c r="H334" t="s">
        <v>254</v>
      </c>
      <c r="I334">
        <v>2022</v>
      </c>
      <c r="J334">
        <v>0</v>
      </c>
      <c r="K334" t="s">
        <v>1643</v>
      </c>
      <c r="L334"/>
      <c r="M334" t="str">
        <f>LEFT($D334,FIND(",",$D334)-1)&amp;"_"&amp;I334&amp;L334</f>
        <v>Gregor_2022</v>
      </c>
      <c r="N334" t="s">
        <v>222</v>
      </c>
      <c r="O334" s="161" t="s">
        <v>223</v>
      </c>
      <c r="P334"/>
      <c r="Q334" s="264" t="s">
        <v>389</v>
      </c>
      <c r="R334" s="269" t="s">
        <v>1154</v>
      </c>
      <c r="S334" s="154" t="s">
        <v>1644</v>
      </c>
      <c r="T334" s="149" t="s">
        <v>1645</v>
      </c>
      <c r="U334" s="264" t="s">
        <v>1646</v>
      </c>
      <c r="V334">
        <v>1</v>
      </c>
      <c r="W334">
        <v>0</v>
      </c>
      <c r="X334">
        <v>0</v>
      </c>
      <c r="Y334">
        <v>0</v>
      </c>
      <c r="Z334">
        <v>0</v>
      </c>
      <c r="AA334">
        <v>0</v>
      </c>
      <c r="AB334">
        <v>0</v>
      </c>
      <c r="AC334">
        <v>0</v>
      </c>
      <c r="AD334">
        <v>0</v>
      </c>
      <c r="AE334">
        <v>0</v>
      </c>
      <c r="AF334">
        <v>0</v>
      </c>
      <c r="AG334">
        <v>0</v>
      </c>
      <c r="AH334">
        <v>0</v>
      </c>
      <c r="AI334">
        <v>0</v>
      </c>
      <c r="AJ334">
        <v>0</v>
      </c>
      <c r="AK334">
        <v>0</v>
      </c>
      <c r="AL334">
        <v>0</v>
      </c>
      <c r="AM334">
        <v>0</v>
      </c>
      <c r="AN334">
        <v>2</v>
      </c>
      <c r="AO334">
        <v>2</v>
      </c>
      <c r="AP334">
        <v>2</v>
      </c>
      <c r="AQ334">
        <v>2</v>
      </c>
      <c r="AR334">
        <v>0</v>
      </c>
      <c r="AS334">
        <v>0</v>
      </c>
      <c r="AT334">
        <v>0</v>
      </c>
      <c r="AU334">
        <v>0</v>
      </c>
      <c r="AV334">
        <v>0</v>
      </c>
      <c r="AW334">
        <v>0</v>
      </c>
      <c r="AX334" s="141">
        <f>COUNTIF(V334:AW334,"&lt;&gt;0")</f>
        <v>5</v>
      </c>
      <c r="AY334" s="141">
        <f>COUNTIF(V334:AL334,"&lt;&gt;0")</f>
        <v>1</v>
      </c>
      <c r="AZ334">
        <f>COUNTIF(V334:AC334,"&lt;&gt;0")</f>
        <v>1</v>
      </c>
      <c r="BA334">
        <f>COUNTIF(AD334:AI334,"&lt;&gt;0")</f>
        <v>0</v>
      </c>
      <c r="BB334">
        <f>COUNTIF(AJ334:AL334,"&lt;&gt;0")</f>
        <v>0</v>
      </c>
      <c r="BC334">
        <f>COUNTIF(AS334:AW334,"&lt;&gt;0")</f>
        <v>0</v>
      </c>
      <c r="BD334">
        <f>COUNTIF(AM334:AR334,"&lt;&gt;0")</f>
        <v>4</v>
      </c>
      <c r="BE334" t="str" cm="1">
        <f t="array" ref="BE334">IF(AY334=1,INDEX($V$7:$AL$7,MATCH(TRUE,INDEX($V334:$AW334&lt;&gt;0,),0)),IF(AY334=0,INDEX($AM$7:$AW$7,MATCH(1,$AM334:$AW334,0)),IF(BF334="Multiple strategies","mixed drivers",IF(BF334="Supply chain","multiple supply","multiple silviculture"))))</f>
        <v>area subject to harvest</v>
      </c>
      <c r="BF334" s="2" t="str" cm="1">
        <f t="array" ref="BF334">IF(COUNTIF(AZ334:BB334,"&lt;&gt;0")=1,INDEX($V$4:$AW$4,MATCH(TRUE,INDEX($V334:$AW334&lt;&gt;0,),0)),IF(COUNTIF(AZ334:BB334,"&lt;&gt;0")=0,INDEX($AM$4:$AW$4,MATCH(1,$AM334:$AW334,0)),"Multiple strategies"))</f>
        <v>Silviculture for removals</v>
      </c>
      <c r="BG334" s="1" t="s">
        <v>321</v>
      </c>
      <c r="BH334" s="264" t="s">
        <v>1647</v>
      </c>
      <c r="BI334" s="264" t="s">
        <v>688</v>
      </c>
      <c r="BJ334" s="264" t="s">
        <v>1648</v>
      </c>
      <c r="BK334">
        <f>0.08*(2115-2020)</f>
        <v>7.6000000000000005</v>
      </c>
      <c r="BL334">
        <f>2.99*(2115-2020)</f>
        <v>284.05</v>
      </c>
      <c r="BM334"/>
      <c r="BN334">
        <f>BL334-BK334</f>
        <v>276.45</v>
      </c>
      <c r="BO334">
        <f>BL334-BK334</f>
        <v>276.45</v>
      </c>
      <c r="BP334" s="264" t="s">
        <v>232</v>
      </c>
      <c r="BQ334" s="264" t="s">
        <v>1649</v>
      </c>
      <c r="BR334" s="264" t="s">
        <v>1650</v>
      </c>
      <c r="BS334" s="264">
        <f>1.8*10000</f>
        <v>18000</v>
      </c>
      <c r="BT334" s="264">
        <f>1.7*10000</f>
        <v>17000</v>
      </c>
      <c r="BU334"/>
      <c r="BV334">
        <f>BT334-BS334</f>
        <v>-1000</v>
      </c>
      <c r="BW334"/>
      <c r="BX334">
        <f>BV334/1000*C_to_CO2</f>
        <v>-3.67</v>
      </c>
      <c r="BY334">
        <f>IFERROR(BX334/BO334,"")</f>
        <v>-1.3275456682944475E-2</v>
      </c>
      <c r="BZ334">
        <v>0</v>
      </c>
      <c r="CA334">
        <v>0</v>
      </c>
      <c r="CB334">
        <v>0</v>
      </c>
      <c r="CC334">
        <v>0</v>
      </c>
      <c r="CD334">
        <v>0</v>
      </c>
      <c r="CE334">
        <v>0</v>
      </c>
      <c r="CF334">
        <v>0</v>
      </c>
      <c r="CG334">
        <v>0</v>
      </c>
      <c r="CH334">
        <v>0</v>
      </c>
      <c r="CI334">
        <v>0</v>
      </c>
      <c r="CJ334">
        <v>0</v>
      </c>
      <c r="CK334">
        <v>0</v>
      </c>
      <c r="CL334">
        <v>0</v>
      </c>
      <c r="CM334">
        <v>0</v>
      </c>
      <c r="CN334" t="str">
        <f>IF($BL334&lt;$BK334,"refNeedCorrection","refOK")</f>
        <v>refOK</v>
      </c>
      <c r="CO334">
        <f>IF($CN334="refOK",$BK334,$BL334)</f>
        <v>7.6000000000000005</v>
      </c>
      <c r="CP334">
        <f>IF($CN334="refOK",$BL334,$BK334)</f>
        <v>284.05</v>
      </c>
      <c r="CQ334">
        <f>IF($CN334="refOK",$BO334,-$BO334)</f>
        <v>276.45</v>
      </c>
      <c r="CR334">
        <f>IF($CN334="refOK",$BS334,$BT334)*IF($BP334="Emissions positive",-1,1)</f>
        <v>18000</v>
      </c>
      <c r="CS334">
        <f>IF($CN334="refOK",$BT334,$BS334)*IF($BP334="Emissions positive",-1,1)</f>
        <v>17000</v>
      </c>
      <c r="CT334">
        <f>IF($CN334="refNeedCorrection",-BX334,BX334)*IF($BP334="Emissions positive",-1,1)</f>
        <v>-3.67</v>
      </c>
      <c r="CU334">
        <f>IFERROR(CT334/CQ334,"")</f>
        <v>-1.3275456682944475E-2</v>
      </c>
      <c r="CV334" s="2">
        <f>IFERROR((CS334-CR334)/ABS(CR334),"")</f>
        <v>-5.5555555555555552E-2</v>
      </c>
      <c r="CW334" s="162" t="s">
        <v>1462</v>
      </c>
      <c r="CX334" s="264" t="str">
        <f>IF(OR($CW334="prd",$CW334="std",$CW334="cit"),"loc",IF(OR($CW334="eur",$CW334="reg",$CW334="coy"),"reg",$CW334))</f>
        <v>reg</v>
      </c>
      <c r="CY334" s="155" t="s">
        <v>743</v>
      </c>
      <c r="CZ334">
        <v>2010</v>
      </c>
      <c r="DA334">
        <v>2115</v>
      </c>
      <c r="DB334">
        <f>DA334-CZ334</f>
        <v>105</v>
      </c>
      <c r="DC334" t="str">
        <f>IF(DB334=0,"0",IF(AND(DB334&gt;=1,DB334&lt;=30),"1-30",IF(AND(DB334&gt;30,DB334&lt;=70),"31-70",IF(AND(DB334&gt;70,DB334&lt;=100),"71-100",IF(DB334&gt;100,"+100")))))</f>
        <v>+100</v>
      </c>
      <c r="DD334">
        <v>0</v>
      </c>
      <c r="DE334">
        <v>1</v>
      </c>
      <c r="DF334">
        <v>1</v>
      </c>
      <c r="DG334">
        <v>1</v>
      </c>
      <c r="DH334">
        <v>0</v>
      </c>
      <c r="DI334">
        <f>SUM(DD334:DG334)</f>
        <v>3</v>
      </c>
      <c r="DJ334" t="str">
        <f>IF(DI334=1,INDEX($DD$7:$DG$7,MATCH(1,$DD334:$DG334,0)),"mixedProduct")</f>
        <v>mixedProduct</v>
      </c>
      <c r="DK334">
        <f>IF(DD334=1,DK$7,0)</f>
        <v>0</v>
      </c>
      <c r="DL334" t="str">
        <f>IF(DE334=1,DL$7,0)</f>
        <v>Energy</v>
      </c>
      <c r="DM334" t="str">
        <f>IF(DF334=1,DM$7,0)</f>
        <v>Pulp/Paper</v>
      </c>
      <c r="DN334" t="str">
        <f>IF(DG334=1,DN$7,0)</f>
        <v>Timber</v>
      </c>
      <c r="DO334">
        <v>0</v>
      </c>
      <c r="DP334">
        <v>1</v>
      </c>
      <c r="DQ334" s="264" t="s">
        <v>1651</v>
      </c>
      <c r="DR334" s="264" t="s">
        <v>1651</v>
      </c>
      <c r="DS334" s="264" t="s">
        <v>1651</v>
      </c>
      <c r="DT334">
        <f>SUM(DO334:DP334)</f>
        <v>1</v>
      </c>
      <c r="DU334" s="143" t="str">
        <f>IF(DO334=1,"self-calculated DF",IF(DP334=1,"external DF used","explicit C balance"))</f>
        <v>external DF used</v>
      </c>
      <c r="DV334">
        <v>1</v>
      </c>
      <c r="DW334">
        <v>1</v>
      </c>
      <c r="DX334">
        <v>1</v>
      </c>
      <c r="DY334">
        <v>1</v>
      </c>
      <c r="DZ334">
        <v>1</v>
      </c>
      <c r="EA334">
        <v>1</v>
      </c>
      <c r="EB334">
        <v>1</v>
      </c>
      <c r="EC334">
        <v>1</v>
      </c>
      <c r="ED334">
        <v>0</v>
      </c>
      <c r="EE334">
        <v>0</v>
      </c>
      <c r="EF334">
        <v>1</v>
      </c>
      <c r="EG334">
        <v>0</v>
      </c>
      <c r="EH334">
        <v>1</v>
      </c>
      <c r="EI334" s="2">
        <v>0</v>
      </c>
      <c r="EJ334" s="1"/>
      <c r="EK334" t="str">
        <f>IF(AND(AND(AND(OR($DX334=1,$DW334=1),OR($EC334=1,$EA334=1)),SUM($DV334:$DZ334,$EF334)&gt;=4),SUM($EA334:$EE334)&gt;=2),"Whole sector","")</f>
        <v>Whole sector</v>
      </c>
      <c r="EL334" t="str">
        <f>IF(AND(AND(OR($DX334=1,$DW334=1),AND($EC334=0,$EA334=0)),SUM($DV334:$DZ334,$EF334)&gt;=4),"Ecosystem approach","")</f>
        <v/>
      </c>
      <c r="EM334" s="2" t="str">
        <f>IF(AND(AND(AND($DX334=0,$DW334=0),OR($EC334=1,$EA334=1)),SUM($EB334:$EE334)&gt;=2),"Technology approach","")</f>
        <v/>
      </c>
      <c r="EN334"/>
      <c r="EO334"/>
      <c r="EP334" t="str">
        <f>IF(ISNUMBER(BU334),IF(ABS(BU334-[3]QC_indicators!$B$2)&gt;3*[3]QC_indicators!$C$2,"C ratio",IF(ISNUMBER(BY334),IF(ABS(BY334-[3]QC_indicators!$B$1)&gt;3*[3]QC_indicators!$C$1,"DF","no"))),IF(ISNUMBER(BY334),IF(ABS(BY334-[3]QC_indicators!$B$1)&gt;3*[3]QC_indicators!$C$1,"DF","no")))</f>
        <v>no</v>
      </c>
      <c r="EQ334"/>
      <c r="ER334"/>
      <c r="ES334"/>
      <c r="ET334" s="264" t="s">
        <v>3407</v>
      </c>
      <c r="EU334"/>
    </row>
    <row r="335" spans="1:151" s="139" customFormat="1" ht="15" customHeight="1">
      <c r="A335" s="1" t="s">
        <v>587</v>
      </c>
      <c r="B335" t="s">
        <v>1448</v>
      </c>
      <c r="C335" t="s">
        <v>1449</v>
      </c>
      <c r="D335" t="s">
        <v>1450</v>
      </c>
      <c r="E335" t="s">
        <v>1451</v>
      </c>
      <c r="F335" t="s">
        <v>1452</v>
      </c>
      <c r="G335" t="s">
        <v>593</v>
      </c>
      <c r="H335" t="s">
        <v>254</v>
      </c>
      <c r="I335">
        <v>2020</v>
      </c>
      <c r="J335">
        <v>12</v>
      </c>
      <c r="K335" t="s">
        <v>1453</v>
      </c>
      <c r="L335"/>
      <c r="M335" t="str">
        <f>LEFT($D335,FIND(",",$D335)-1)&amp;"_"&amp;I335&amp;L335</f>
        <v>Elisa_2020</v>
      </c>
      <c r="N335" s="264" t="s">
        <v>222</v>
      </c>
      <c r="O335" s="171" t="s">
        <v>274</v>
      </c>
      <c r="P335" t="s">
        <v>223</v>
      </c>
      <c r="Q335" s="264" t="s">
        <v>389</v>
      </c>
      <c r="R335" s="269" t="s">
        <v>1154</v>
      </c>
      <c r="S335" s="154" t="s">
        <v>1454</v>
      </c>
      <c r="T335" s="294" t="s">
        <v>1455</v>
      </c>
      <c r="U335" s="143" t="s">
        <v>1483</v>
      </c>
      <c r="V335">
        <v>0</v>
      </c>
      <c r="W335">
        <v>0</v>
      </c>
      <c r="X335">
        <v>0</v>
      </c>
      <c r="Y335">
        <v>0</v>
      </c>
      <c r="Z335">
        <v>0</v>
      </c>
      <c r="AA335">
        <v>0</v>
      </c>
      <c r="AB335">
        <v>0</v>
      </c>
      <c r="AC335">
        <v>0</v>
      </c>
      <c r="AD335">
        <v>0</v>
      </c>
      <c r="AE335">
        <v>1</v>
      </c>
      <c r="AF335">
        <v>0</v>
      </c>
      <c r="AG335">
        <v>0</v>
      </c>
      <c r="AH335">
        <v>0</v>
      </c>
      <c r="AI335">
        <v>0</v>
      </c>
      <c r="AJ335">
        <v>0</v>
      </c>
      <c r="AK335">
        <v>1</v>
      </c>
      <c r="AL335">
        <v>0</v>
      </c>
      <c r="AM335">
        <v>0</v>
      </c>
      <c r="AN335">
        <v>0</v>
      </c>
      <c r="AO335">
        <v>0</v>
      </c>
      <c r="AP335">
        <v>0</v>
      </c>
      <c r="AQ335">
        <v>0</v>
      </c>
      <c r="AR335">
        <v>0</v>
      </c>
      <c r="AS335">
        <v>0</v>
      </c>
      <c r="AT335">
        <v>0</v>
      </c>
      <c r="AU335">
        <v>0</v>
      </c>
      <c r="AV335">
        <v>0</v>
      </c>
      <c r="AW335">
        <v>0</v>
      </c>
      <c r="AX335" s="141">
        <f>COUNTIF(V335:AW335,"&lt;&gt;0")</f>
        <v>2</v>
      </c>
      <c r="AY335" s="141">
        <f>COUNTIF(V335:AL335,"&lt;&gt;0")</f>
        <v>2</v>
      </c>
      <c r="AZ335">
        <f>COUNTIF(V335:AC335,"&lt;&gt;0")</f>
        <v>0</v>
      </c>
      <c r="BA335">
        <f>COUNTIF(AD335:AI335,"&lt;&gt;0")</f>
        <v>1</v>
      </c>
      <c r="BB335">
        <f>COUNTIF(AJ335:AL335,"&lt;&gt;0")</f>
        <v>1</v>
      </c>
      <c r="BC335">
        <f>COUNTIF(AS335:AW335,"&lt;&gt;0")</f>
        <v>0</v>
      </c>
      <c r="BD335">
        <f>COUNTIF(AM335:AR335,"&lt;&gt;0")</f>
        <v>0</v>
      </c>
      <c r="BE335" t="str" cm="1">
        <f t="array" ref="BE335">IF(AY335=1,INDEX($V$7:$AL$7,MATCH(TRUE,INDEX($V335:$AW335&lt;&gt;0,),0)),IF(AY335=0,INDEX($AM$7:$AW$7,MATCH(1,$AM335:$AW335,0)),IF(BF335="Multiple strategies","mixed drivers",IF(BF335="Supply chain","multiple supply","multiple silviculture"))))</f>
        <v>mixed drivers</v>
      </c>
      <c r="BF335" s="2" t="str" cm="1">
        <f t="array" ref="BF335">IF(COUNTIF(AZ335:BB335,"&lt;&gt;0")=1,INDEX($V$4:$AW$4,MATCH(TRUE,INDEX($V335:$AW335&lt;&gt;0,),0)),IF(COUNTIF(AZ335:BB335,"&lt;&gt;0")=0,INDEX($AM$4:$AW$4,MATCH(1,$AM335:$AW335,0)),"Multiple strategies"))</f>
        <v>Multiple strategies</v>
      </c>
      <c r="BG335" s="142" t="s">
        <v>321</v>
      </c>
      <c r="BH335" s="160" t="s">
        <v>1457</v>
      </c>
      <c r="BI335" s="160" t="s">
        <v>1458</v>
      </c>
      <c r="BJ335" s="143" t="s">
        <v>498</v>
      </c>
      <c r="BK335" s="143">
        <v>944</v>
      </c>
      <c r="BL335" s="143">
        <v>11773</v>
      </c>
      <c r="BM335">
        <f>IFERROR(BL335/BK335,"")</f>
        <v>12.471398305084746</v>
      </c>
      <c r="BN335">
        <f>BL335-BK335</f>
        <v>10829</v>
      </c>
      <c r="BO335" s="159">
        <f>BN335</f>
        <v>10829</v>
      </c>
      <c r="BP335" s="155" t="s">
        <v>232</v>
      </c>
      <c r="BQ335" s="155" t="s">
        <v>1459</v>
      </c>
      <c r="BR335" s="155" t="s">
        <v>825</v>
      </c>
      <c r="BS335" s="143" t="s">
        <v>1460</v>
      </c>
      <c r="BT335" t="s">
        <v>1484</v>
      </c>
      <c r="BU335" s="144">
        <f>BT335/BS335</f>
        <v>15.863389767032684</v>
      </c>
      <c r="BV335">
        <f>BT335-BS335</f>
        <v>-104.313015833333</v>
      </c>
      <c r="BW335"/>
      <c r="BX335">
        <f>BV335</f>
        <v>-104.313015833333</v>
      </c>
      <c r="BY335">
        <f>IFERROR(BX335/BO335,"")</f>
        <v>-9.6327468679779302E-3</v>
      </c>
      <c r="BZ335">
        <v>0</v>
      </c>
      <c r="CA335">
        <v>0</v>
      </c>
      <c r="CB335">
        <v>0</v>
      </c>
      <c r="CC335">
        <v>0</v>
      </c>
      <c r="CD335">
        <v>0</v>
      </c>
      <c r="CE335">
        <v>0</v>
      </c>
      <c r="CF335">
        <v>0</v>
      </c>
      <c r="CG335">
        <v>0</v>
      </c>
      <c r="CH335">
        <v>0</v>
      </c>
      <c r="CI335">
        <v>0</v>
      </c>
      <c r="CJ335">
        <v>0</v>
      </c>
      <c r="CK335">
        <v>0</v>
      </c>
      <c r="CL335">
        <v>0</v>
      </c>
      <c r="CM335">
        <v>0</v>
      </c>
      <c r="CN335" t="str">
        <f>IF($BL335&lt;$BK335,"refNeedCorrection","refOK")</f>
        <v>refOK</v>
      </c>
      <c r="CO335">
        <f>IF($CN335="refOK",$BK335,$BL335)</f>
        <v>944</v>
      </c>
      <c r="CP335">
        <f>IF($CN335="refOK",$BL335,$BK335)</f>
        <v>11773</v>
      </c>
      <c r="CQ335">
        <f>IF($CN335="refOK",$BO335,-$BO335)</f>
        <v>10829</v>
      </c>
      <c r="CR335">
        <f>IF($CN335="refOK",$BS335,$BT335)*IF($BP335="Emissions positive",-1,1)</f>
        <v>-7.0181174999999998</v>
      </c>
      <c r="CS335">
        <f>IF($CN335="refOK",$BT335,$BS335)*IF($BP335="Emissions positive",-1,1)</f>
        <v>-111.331133333333</v>
      </c>
      <c r="CT335">
        <f>IF($CN335="refNeedCorrection",-BX335,BX335)*IF($BP335="Emissions positive",-1,1)</f>
        <v>-104.313015833333</v>
      </c>
      <c r="CU335">
        <f>IFERROR(CT335/CQ335,"")</f>
        <v>-9.6327468679779302E-3</v>
      </c>
      <c r="CV335" s="2">
        <f>IFERROR((CS335-CR335)/ABS(CR335),"")</f>
        <v>-14.863389767032684</v>
      </c>
      <c r="CW335" s="263" t="s">
        <v>1462</v>
      </c>
      <c r="CX335" s="264" t="str">
        <f>IF(OR($CW335="prd",$CW335="std",$CW335="cit"),"loc",IF(OR($CW335="eur",$CW335="reg",$CW335="coy"),"reg",$CW335))</f>
        <v>reg</v>
      </c>
      <c r="CY335" s="270" t="s">
        <v>743</v>
      </c>
      <c r="CZ335"/>
      <c r="DA335" s="143"/>
      <c r="DB335" s="143">
        <v>0</v>
      </c>
      <c r="DC335" t="str">
        <f>IF(DB335=0,"0",IF(AND(DB335&gt;=1,DB335&lt;=30),"1-30",IF(AND(DB335&gt;30,DB335&lt;=70),"31-70",IF(AND(DB335&gt;70,DB335&lt;=100),"71-100",IF(DB335&gt;100,"+100")))))</f>
        <v>0</v>
      </c>
      <c r="DD335">
        <v>0</v>
      </c>
      <c r="DE335">
        <v>1</v>
      </c>
      <c r="DF335">
        <v>0</v>
      </c>
      <c r="DG335">
        <v>0</v>
      </c>
      <c r="DH335">
        <v>0</v>
      </c>
      <c r="DI335">
        <f>SUM(DD335:DH335)</f>
        <v>1</v>
      </c>
      <c r="DJ335" t="str">
        <f>IF(DI335=1,INDEX($DD$7:$DG$7,MATCH(1,$DD335:$DG335,0)),"mixedProduct")</f>
        <v>EnergyInput</v>
      </c>
      <c r="DK335">
        <f>IF(DD335=1,DK$7,0)</f>
        <v>0</v>
      </c>
      <c r="DL335" t="str">
        <f>IF(DE335=1,DL$7,0)</f>
        <v>Energy</v>
      </c>
      <c r="DM335">
        <f>IF(DF335=1,DM$7,0)</f>
        <v>0</v>
      </c>
      <c r="DN335">
        <f>IF(DG335=1,DN$7,0)</f>
        <v>0</v>
      </c>
      <c r="DO335">
        <v>0</v>
      </c>
      <c r="DP335" s="143">
        <v>0</v>
      </c>
      <c r="DQ335" s="143">
        <v>0</v>
      </c>
      <c r="DR335">
        <v>0</v>
      </c>
      <c r="DS335" s="143">
        <v>0</v>
      </c>
      <c r="DT335">
        <f>SUM(DO335:DP335)</f>
        <v>0</v>
      </c>
      <c r="DU335" s="143" t="str">
        <f>IF(DO335=1,"self-calculated DF",IF(DP335=1,"external DF used","explicit C balance"))</f>
        <v>explicit C balance</v>
      </c>
      <c r="DV335" s="143">
        <v>0</v>
      </c>
      <c r="DW335" s="143">
        <v>0</v>
      </c>
      <c r="DX335" s="143">
        <v>0</v>
      </c>
      <c r="DY335" s="143">
        <v>0</v>
      </c>
      <c r="DZ335">
        <v>0</v>
      </c>
      <c r="EA335" s="143">
        <v>0</v>
      </c>
      <c r="EB335" s="143">
        <v>1</v>
      </c>
      <c r="EC335" s="143">
        <v>1</v>
      </c>
      <c r="ED335" s="143">
        <v>0</v>
      </c>
      <c r="EE335">
        <v>1</v>
      </c>
      <c r="EF335">
        <v>0</v>
      </c>
      <c r="EG335" s="143">
        <v>0</v>
      </c>
      <c r="EH335" s="143">
        <v>0</v>
      </c>
      <c r="EI335" s="2">
        <v>0</v>
      </c>
      <c r="EJ335" s="1"/>
      <c r="EK335" t="str">
        <f>IF(AND(AND(AND(OR($DX335=1,$DW335=1),OR($EC335=1,$EA335=1)),SUM($DV335:$DZ335,$EF335)&gt;=4),SUM($EA335:$EE335)&gt;=2),"Whole sector","")</f>
        <v/>
      </c>
      <c r="EL335" t="str">
        <f>IF(AND(AND(OR($DX335=1,$DW335=1),AND($EC335=0,$EA335=0)),SUM($DV335:$DZ335,$EF335)&gt;=4),"Ecosystem approach","")</f>
        <v/>
      </c>
      <c r="EM335" s="2" t="str">
        <f>IF(AND(AND(AND($DX335=0,$DW335=0),OR($EC335=1,$EA335=1)),SUM($EB335:$EE335)&gt;=2),"Technology approach","")</f>
        <v>Technology approach</v>
      </c>
      <c r="EN335"/>
      <c r="EO335"/>
      <c r="EP335" t="str">
        <f>IF(ISNUMBER(BU335),IF(ABS(BU335-[3]QC_indicators!$B$2)&gt;3*[3]QC_indicators!$C$2,"C ratio",IF(ISNUMBER(BY335),IF(ABS(BY335-[3]QC_indicators!$B$1)&gt;3*[3]QC_indicators!$C$1,"DF","no"))),IF(ISNUMBER(BY335),IF(ABS(BY335-[3]QC_indicators!$B$1)&gt;3*[3]QC_indicators!$C$1,"DF","no")))</f>
        <v>no</v>
      </c>
      <c r="EQ335"/>
      <c r="ER335" s="149"/>
      <c r="ES335"/>
      <c r="ET335" s="264" t="s">
        <v>3407</v>
      </c>
      <c r="EU335"/>
    </row>
    <row r="336" spans="1:151" s="139" customFormat="1" ht="15" customHeight="1">
      <c r="A336" s="1" t="s">
        <v>587</v>
      </c>
      <c r="B336" t="s">
        <v>1448</v>
      </c>
      <c r="C336" t="s">
        <v>1449</v>
      </c>
      <c r="D336" t="s">
        <v>1450</v>
      </c>
      <c r="E336" t="s">
        <v>1451</v>
      </c>
      <c r="F336" t="s">
        <v>1452</v>
      </c>
      <c r="G336" t="s">
        <v>593</v>
      </c>
      <c r="H336" t="s">
        <v>254</v>
      </c>
      <c r="I336">
        <v>2020</v>
      </c>
      <c r="J336">
        <v>12</v>
      </c>
      <c r="K336" t="s">
        <v>1453</v>
      </c>
      <c r="L336"/>
      <c r="M336" t="str">
        <f>LEFT($D336,FIND(",",$D336)-1)&amp;"_"&amp;I336&amp;L336</f>
        <v>Elisa_2020</v>
      </c>
      <c r="N336" s="264" t="s">
        <v>222</v>
      </c>
      <c r="O336" s="171" t="s">
        <v>274</v>
      </c>
      <c r="P336" t="s">
        <v>223</v>
      </c>
      <c r="Q336" s="264" t="s">
        <v>389</v>
      </c>
      <c r="R336" s="269" t="s">
        <v>1154</v>
      </c>
      <c r="S336" s="154" t="s">
        <v>1454</v>
      </c>
      <c r="T336" s="294" t="s">
        <v>1455</v>
      </c>
      <c r="U336" s="143" t="s">
        <v>1483</v>
      </c>
      <c r="V336">
        <v>0</v>
      </c>
      <c r="W336">
        <v>0</v>
      </c>
      <c r="X336">
        <v>0</v>
      </c>
      <c r="Y336">
        <v>0</v>
      </c>
      <c r="Z336">
        <v>0</v>
      </c>
      <c r="AA336">
        <v>0</v>
      </c>
      <c r="AB336">
        <v>0</v>
      </c>
      <c r="AC336">
        <v>0</v>
      </c>
      <c r="AD336">
        <v>0</v>
      </c>
      <c r="AE336">
        <v>1</v>
      </c>
      <c r="AF336">
        <v>0</v>
      </c>
      <c r="AG336">
        <v>0</v>
      </c>
      <c r="AH336">
        <v>0</v>
      </c>
      <c r="AI336">
        <v>0</v>
      </c>
      <c r="AJ336">
        <v>0</v>
      </c>
      <c r="AK336">
        <v>1</v>
      </c>
      <c r="AL336">
        <v>0</v>
      </c>
      <c r="AM336">
        <v>0</v>
      </c>
      <c r="AN336">
        <v>0</v>
      </c>
      <c r="AO336">
        <v>0</v>
      </c>
      <c r="AP336">
        <v>0</v>
      </c>
      <c r="AQ336">
        <v>0</v>
      </c>
      <c r="AR336">
        <v>0</v>
      </c>
      <c r="AS336">
        <v>0</v>
      </c>
      <c r="AT336">
        <v>0</v>
      </c>
      <c r="AU336">
        <v>0</v>
      </c>
      <c r="AV336">
        <v>0</v>
      </c>
      <c r="AW336">
        <v>0</v>
      </c>
      <c r="AX336" s="141">
        <f>COUNTIF(V336:AW336,"&lt;&gt;0")</f>
        <v>2</v>
      </c>
      <c r="AY336" s="141">
        <f>COUNTIF(V336:AL336,"&lt;&gt;0")</f>
        <v>2</v>
      </c>
      <c r="AZ336">
        <f>COUNTIF(V336:AC336,"&lt;&gt;0")</f>
        <v>0</v>
      </c>
      <c r="BA336">
        <f>COUNTIF(AD336:AI336,"&lt;&gt;0")</f>
        <v>1</v>
      </c>
      <c r="BB336">
        <f>COUNTIF(AJ336:AL336,"&lt;&gt;0")</f>
        <v>1</v>
      </c>
      <c r="BC336">
        <f>COUNTIF(AS336:AW336,"&lt;&gt;0")</f>
        <v>0</v>
      </c>
      <c r="BD336">
        <f>COUNTIF(AM336:AR336,"&lt;&gt;0")</f>
        <v>0</v>
      </c>
      <c r="BE336" t="str" cm="1">
        <f t="array" ref="BE336">IF(AY336=1,INDEX($V$7:$AL$7,MATCH(TRUE,INDEX($V336:$AW336&lt;&gt;0,),0)),IF(AY336=0,INDEX($AM$7:$AW$7,MATCH(1,$AM336:$AW336,0)),IF(BF336="Multiple strategies","mixed drivers",IF(BF336="Supply chain","multiple supply","multiple silviculture"))))</f>
        <v>mixed drivers</v>
      </c>
      <c r="BF336" s="2" t="str" cm="1">
        <f t="array" ref="BF336">IF(COUNTIF(AZ336:BB336,"&lt;&gt;0")=1,INDEX($V$4:$AW$4,MATCH(TRUE,INDEX($V336:$AW336&lt;&gt;0,),0)),IF(COUNTIF(AZ336:BB336,"&lt;&gt;0")=0,INDEX($AM$4:$AW$4,MATCH(1,$AM336:$AW336,0)),"Multiple strategies"))</f>
        <v>Multiple strategies</v>
      </c>
      <c r="BG336" s="142" t="s">
        <v>321</v>
      </c>
      <c r="BH336" s="160" t="s">
        <v>1457</v>
      </c>
      <c r="BI336" s="160" t="s">
        <v>1458</v>
      </c>
      <c r="BJ336" s="143" t="s">
        <v>498</v>
      </c>
      <c r="BK336" s="143">
        <v>944</v>
      </c>
      <c r="BL336" s="143">
        <v>11773</v>
      </c>
      <c r="BM336">
        <f>IFERROR(BL338/BK336,"")</f>
        <v>1.9239406779661017E-2</v>
      </c>
      <c r="BN336">
        <f>BL336-BK336</f>
        <v>10829</v>
      </c>
      <c r="BO336" s="159">
        <f>BN336</f>
        <v>10829</v>
      </c>
      <c r="BP336" s="155" t="s">
        <v>232</v>
      </c>
      <c r="BQ336" s="155" t="s">
        <v>1459</v>
      </c>
      <c r="BR336" s="155" t="s">
        <v>825</v>
      </c>
      <c r="BS336" s="143" t="s">
        <v>1463</v>
      </c>
      <c r="BT336" t="s">
        <v>1485</v>
      </c>
      <c r="BU336" s="144">
        <f>BT336/BS336</f>
        <v>15.816594959634072</v>
      </c>
      <c r="BV336">
        <f>BT336-BS336</f>
        <v>-102.392190833333</v>
      </c>
      <c r="BW336"/>
      <c r="BX336">
        <f>BV336</f>
        <v>-102.392190833333</v>
      </c>
      <c r="BY336">
        <f>IFERROR(BX336/BO336,"")</f>
        <v>-9.4553689937513161E-3</v>
      </c>
      <c r="BZ336">
        <v>0</v>
      </c>
      <c r="CA336">
        <v>0</v>
      </c>
      <c r="CB336">
        <v>0</v>
      </c>
      <c r="CC336">
        <v>0</v>
      </c>
      <c r="CD336">
        <v>0</v>
      </c>
      <c r="CE336">
        <v>0</v>
      </c>
      <c r="CF336">
        <v>0</v>
      </c>
      <c r="CG336">
        <v>0</v>
      </c>
      <c r="CH336">
        <v>0</v>
      </c>
      <c r="CI336">
        <v>0</v>
      </c>
      <c r="CJ336">
        <v>0</v>
      </c>
      <c r="CK336">
        <v>0</v>
      </c>
      <c r="CL336">
        <v>0</v>
      </c>
      <c r="CM336">
        <v>0</v>
      </c>
      <c r="CN336" t="str">
        <f>IF($BL336&lt;$BK336,"refNeedCorrection","refOK")</f>
        <v>refOK</v>
      </c>
      <c r="CO336">
        <f>IF($CN336="refOK",$BK336,$BL336)</f>
        <v>944</v>
      </c>
      <c r="CP336">
        <f>IF($CN336="refOK",$BL336,$BK336)</f>
        <v>11773</v>
      </c>
      <c r="CQ336">
        <f>IF($CN336="refOK",$BO336,-$BO336)</f>
        <v>10829</v>
      </c>
      <c r="CR336">
        <f>IF($CN336="refOK",$BS336,$BT336)*IF($BP336="Emissions positive",-1,1)</f>
        <v>-6.9106424999999998</v>
      </c>
      <c r="CS336">
        <f>IF($CN336="refOK",$BT336,$BS336)*IF($BP336="Emissions positive",-1,1)</f>
        <v>-109.302833333333</v>
      </c>
      <c r="CT336">
        <f>IF($CN336="refNeedCorrection",-BX336,BX336)*IF($BP336="Emissions positive",-1,1)</f>
        <v>-102.392190833333</v>
      </c>
      <c r="CU336">
        <f>IFERROR(CT336/CQ336,"")</f>
        <v>-9.4553689937513161E-3</v>
      </c>
      <c r="CV336" s="2">
        <f>IFERROR((CS336-CR336)/ABS(CR336),"")</f>
        <v>-14.816594959634072</v>
      </c>
      <c r="CW336" s="263" t="s">
        <v>1462</v>
      </c>
      <c r="CX336" s="264" t="str">
        <f>IF(OR($CW336="prd",$CW336="std",$CW336="cit"),"loc",IF(OR($CW336="eur",$CW336="reg",$CW336="coy"),"reg",$CW336))</f>
        <v>reg</v>
      </c>
      <c r="CY336" s="270" t="s">
        <v>743</v>
      </c>
      <c r="CZ336"/>
      <c r="DA336" s="143"/>
      <c r="DB336" s="143">
        <v>0</v>
      </c>
      <c r="DC336" t="str">
        <f>IF(DB336=0,"0",IF(AND(DB336&gt;=1,DB336&lt;=30),"1-30",IF(AND(DB336&gt;30,DB336&lt;=70),"31-70",IF(AND(DB336&gt;70,DB336&lt;=100),"71-100",IF(DB336&gt;100,"+100")))))</f>
        <v>0</v>
      </c>
      <c r="DD336">
        <v>0</v>
      </c>
      <c r="DE336">
        <v>1</v>
      </c>
      <c r="DF336">
        <v>0</v>
      </c>
      <c r="DG336">
        <v>0</v>
      </c>
      <c r="DH336">
        <v>0</v>
      </c>
      <c r="DI336">
        <f>SUM(DD336:DH336)</f>
        <v>1</v>
      </c>
      <c r="DJ336" t="str">
        <f>IF(DI336=1,INDEX($DD$7:$DG$7,MATCH(1,$DD336:$DG336,0)),"mixedProduct")</f>
        <v>EnergyInput</v>
      </c>
      <c r="DK336">
        <f>IF(DD336=1,DK$7,0)</f>
        <v>0</v>
      </c>
      <c r="DL336" t="str">
        <f>IF(DE336=1,DL$7,0)</f>
        <v>Energy</v>
      </c>
      <c r="DM336">
        <f>IF(DF336=1,DM$7,0)</f>
        <v>0</v>
      </c>
      <c r="DN336">
        <f>IF(DG336=1,DN$7,0)</f>
        <v>0</v>
      </c>
      <c r="DO336">
        <v>0</v>
      </c>
      <c r="DP336" s="143">
        <v>0</v>
      </c>
      <c r="DQ336" s="143">
        <v>0</v>
      </c>
      <c r="DR336">
        <v>0</v>
      </c>
      <c r="DS336" s="143">
        <v>0</v>
      </c>
      <c r="DT336">
        <f>SUM(DO336:DP336)</f>
        <v>0</v>
      </c>
      <c r="DU336" s="143" t="str">
        <f>IF(DO336=1,"self-calculated DF",IF(DP336=1,"external DF used","explicit C balance"))</f>
        <v>explicit C balance</v>
      </c>
      <c r="DV336" s="143">
        <v>0</v>
      </c>
      <c r="DW336" s="143">
        <v>0</v>
      </c>
      <c r="DX336" s="143">
        <v>0</v>
      </c>
      <c r="DY336" s="143">
        <v>0</v>
      </c>
      <c r="DZ336">
        <v>0</v>
      </c>
      <c r="EA336" s="143">
        <v>0</v>
      </c>
      <c r="EB336" s="143">
        <v>0</v>
      </c>
      <c r="EC336" s="143">
        <v>1</v>
      </c>
      <c r="ED336" s="143">
        <v>0</v>
      </c>
      <c r="EE336">
        <v>1</v>
      </c>
      <c r="EF336">
        <v>0</v>
      </c>
      <c r="EG336" s="143">
        <v>0</v>
      </c>
      <c r="EH336" s="143">
        <v>0</v>
      </c>
      <c r="EI336" s="2">
        <v>0</v>
      </c>
      <c r="EJ336" s="1"/>
      <c r="EK336" t="str">
        <f>IF(AND(AND(AND(OR($DX336=1,$DW336=1),OR($EC336=1,$EA336=1)),SUM($DV336:$DZ336,$EF336)&gt;=4),SUM($EA336:$EE336)&gt;=2),"Whole sector","")</f>
        <v/>
      </c>
      <c r="EL336" t="str">
        <f>IF(AND(AND(OR($DX336=1,$DW336=1),AND($EC336=0,$EA336=0)),SUM($DV336:$DZ336,$EF336)&gt;=4),"Ecosystem approach","")</f>
        <v/>
      </c>
      <c r="EM336" s="2" t="str">
        <f>IF(AND(AND(AND($DX336=0,$DW336=0),OR($EC336=1,$EA336=1)),SUM($EB336:$EE336)&gt;=2),"Technology approach","")</f>
        <v>Technology approach</v>
      </c>
      <c r="EN336"/>
      <c r="EO336"/>
      <c r="EP336" t="str">
        <f>IF(ISNUMBER(BU336),IF(ABS(BU336-[3]QC_indicators!$B$2)&gt;3*[3]QC_indicators!$C$2,"C ratio",IF(ISNUMBER(BY336),IF(ABS(BY336-[3]QC_indicators!$B$1)&gt;3*[3]QC_indicators!$C$1,"DF","no"))),IF(ISNUMBER(BY336),IF(ABS(BY336-[3]QC_indicators!$B$1)&gt;3*[3]QC_indicators!$C$1,"DF","no")))</f>
        <v>no</v>
      </c>
      <c r="EQ336"/>
      <c r="ER336" s="149"/>
      <c r="ES336"/>
      <c r="ET336" s="264" t="s">
        <v>3407</v>
      </c>
      <c r="EU336"/>
    </row>
    <row r="337" spans="1:151" s="139" customFormat="1" ht="15" customHeight="1">
      <c r="A337" s="1" t="s">
        <v>587</v>
      </c>
      <c r="B337" t="s">
        <v>1448</v>
      </c>
      <c r="C337" t="s">
        <v>1449</v>
      </c>
      <c r="D337" t="s">
        <v>1450</v>
      </c>
      <c r="E337" t="s">
        <v>1451</v>
      </c>
      <c r="F337" t="s">
        <v>1452</v>
      </c>
      <c r="G337" t="s">
        <v>593</v>
      </c>
      <c r="H337" t="s">
        <v>254</v>
      </c>
      <c r="I337">
        <v>2020</v>
      </c>
      <c r="J337">
        <v>12</v>
      </c>
      <c r="K337" t="s">
        <v>1453</v>
      </c>
      <c r="L337"/>
      <c r="M337" t="str">
        <f>LEFT($D337,FIND(",",$D337)-1)&amp;"_"&amp;I337&amp;L337</f>
        <v>Elisa_2020</v>
      </c>
      <c r="N337" s="264" t="s">
        <v>222</v>
      </c>
      <c r="O337" s="171" t="s">
        <v>274</v>
      </c>
      <c r="P337" t="s">
        <v>223</v>
      </c>
      <c r="Q337" s="264" t="s">
        <v>389</v>
      </c>
      <c r="R337" s="269" t="s">
        <v>1154</v>
      </c>
      <c r="S337" s="154" t="s">
        <v>1454</v>
      </c>
      <c r="T337" s="294" t="s">
        <v>1455</v>
      </c>
      <c r="U337" s="143" t="s">
        <v>1468</v>
      </c>
      <c r="V337">
        <v>0</v>
      </c>
      <c r="W337">
        <v>0</v>
      </c>
      <c r="X337">
        <v>0</v>
      </c>
      <c r="Y337">
        <v>0</v>
      </c>
      <c r="Z337">
        <v>0</v>
      </c>
      <c r="AA337">
        <v>0</v>
      </c>
      <c r="AB337">
        <v>0</v>
      </c>
      <c r="AC337">
        <v>0</v>
      </c>
      <c r="AD337">
        <v>0</v>
      </c>
      <c r="AE337">
        <v>1</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s="141">
        <f>COUNTIF(V337:AW337,"&lt;&gt;0")</f>
        <v>1</v>
      </c>
      <c r="AY337" s="141">
        <f>COUNTIF(V337:AL337,"&lt;&gt;0")</f>
        <v>1</v>
      </c>
      <c r="AZ337">
        <f>COUNTIF(V337:AC337,"&lt;&gt;0")</f>
        <v>0</v>
      </c>
      <c r="BA337">
        <f>COUNTIF(AD337:AI337,"&lt;&gt;0")</f>
        <v>1</v>
      </c>
      <c r="BB337">
        <f>COUNTIF(AJ337:AL337,"&lt;&gt;0")</f>
        <v>0</v>
      </c>
      <c r="BC337">
        <f>COUNTIF(AS337:AW337,"&lt;&gt;0")</f>
        <v>0</v>
      </c>
      <c r="BD337">
        <f>COUNTIF(AM337:AR337,"&lt;&gt;0")</f>
        <v>0</v>
      </c>
      <c r="BE337" t="str" cm="1">
        <f t="array" ref="BE337">IF(AY337=1,INDEX($V$7:$AL$7,MATCH(TRUE,INDEX($V337:$AW337&lt;&gt;0,),0)),IF(AY337=0,INDEX($AM$7:$AW$7,MATCH(1,$AM337:$AW337,0)),IF(BF337="Multiple strategies","mixed drivers",IF(BF337="Supply chain","multiple supply","multiple silviculture"))))</f>
        <v>location of industry</v>
      </c>
      <c r="BF337" s="2" t="str" cm="1">
        <f t="array" ref="BF337">IF(COUNTIF(AZ337:BB337,"&lt;&gt;0")=1,INDEX($V$4:$AW$4,MATCH(TRUE,INDEX($V337:$AW337&lt;&gt;0,),0)),IF(COUNTIF(AZ337:BB337,"&lt;&gt;0")=0,INDEX($AM$4:$AW$4,MATCH(1,$AM337:$AW337,0)),"Multiple strategies"))</f>
        <v>Supply chain</v>
      </c>
      <c r="BG337" s="142" t="s">
        <v>321</v>
      </c>
      <c r="BH337" s="160" t="s">
        <v>1457</v>
      </c>
      <c r="BI337" s="160" t="s">
        <v>1458</v>
      </c>
      <c r="BJ337" s="143" t="s">
        <v>498</v>
      </c>
      <c r="BK337" s="143">
        <v>944</v>
      </c>
      <c r="BL337" s="143">
        <v>20000</v>
      </c>
      <c r="BM337">
        <f>IFERROR(BL337/BK337,"")</f>
        <v>21.1864406779661</v>
      </c>
      <c r="BN337">
        <f>BL337-BK337</f>
        <v>19056</v>
      </c>
      <c r="BO337" s="159">
        <f>BN337</f>
        <v>19056</v>
      </c>
      <c r="BP337" s="155" t="s">
        <v>232</v>
      </c>
      <c r="BQ337" s="155" t="s">
        <v>1459</v>
      </c>
      <c r="BR337" s="155" t="s">
        <v>825</v>
      </c>
      <c r="BS337" s="143" t="s">
        <v>1460</v>
      </c>
      <c r="BT337" t="s">
        <v>1469</v>
      </c>
      <c r="BU337" s="144">
        <f>BT337/BS337</f>
        <v>23.5996333774691</v>
      </c>
      <c r="BV337">
        <f>BT337-BS337</f>
        <v>-158.60688250000001</v>
      </c>
      <c r="BW337"/>
      <c r="BX337">
        <f>BV337</f>
        <v>-158.60688250000001</v>
      </c>
      <c r="BY337">
        <f>IFERROR(BX337/BO337,"")</f>
        <v>-8.3231991236356016E-3</v>
      </c>
      <c r="BZ337">
        <v>0</v>
      </c>
      <c r="CA337">
        <v>0</v>
      </c>
      <c r="CB337">
        <v>0</v>
      </c>
      <c r="CC337">
        <v>0</v>
      </c>
      <c r="CD337">
        <v>0</v>
      </c>
      <c r="CE337">
        <v>0</v>
      </c>
      <c r="CF337">
        <v>0</v>
      </c>
      <c r="CG337">
        <v>0</v>
      </c>
      <c r="CH337">
        <v>0</v>
      </c>
      <c r="CI337">
        <v>0</v>
      </c>
      <c r="CJ337">
        <v>0</v>
      </c>
      <c r="CK337">
        <v>0</v>
      </c>
      <c r="CL337">
        <v>0</v>
      </c>
      <c r="CM337">
        <v>0</v>
      </c>
      <c r="CN337" t="str">
        <f>IF($BL337&lt;$BK337,"refNeedCorrection","refOK")</f>
        <v>refOK</v>
      </c>
      <c r="CO337">
        <f>IF($CN337="refOK",$BK337,$BL337)</f>
        <v>944</v>
      </c>
      <c r="CP337">
        <f>IF($CN337="refOK",$BL337,$BK337)</f>
        <v>20000</v>
      </c>
      <c r="CQ337">
        <f>IF($CN337="refOK",$BO337,-$BO337)</f>
        <v>19056</v>
      </c>
      <c r="CR337">
        <f>IF($CN337="refOK",$BS337,$BT337)*IF($BP337="Emissions positive",-1,1)</f>
        <v>-7.0181174999999998</v>
      </c>
      <c r="CS337">
        <f>IF($CN337="refOK",$BT337,$BS337)*IF($BP337="Emissions positive",-1,1)</f>
        <v>-165.625</v>
      </c>
      <c r="CT337">
        <f>IF($CN337="refNeedCorrection",-BX337,BX337)*IF($BP337="Emissions positive",-1,1)</f>
        <v>-158.60688250000001</v>
      </c>
      <c r="CU337">
        <f>IFERROR(CT337/CQ337,"")</f>
        <v>-8.3231991236356016E-3</v>
      </c>
      <c r="CV337" s="2">
        <f>IFERROR((CS337-CR337)/ABS(CR337),"")</f>
        <v>-22.599633377469104</v>
      </c>
      <c r="CW337" s="263" t="s">
        <v>1462</v>
      </c>
      <c r="CX337" s="264" t="str">
        <f>IF(OR($CW337="prd",$CW337="std",$CW337="cit"),"loc",IF(OR($CW337="eur",$CW337="reg",$CW337="coy"),"reg",$CW337))</f>
        <v>reg</v>
      </c>
      <c r="CY337" s="270" t="s">
        <v>743</v>
      </c>
      <c r="CZ337"/>
      <c r="DA337" s="143"/>
      <c r="DB337" s="143">
        <v>0</v>
      </c>
      <c r="DC337" t="str">
        <f>IF(DB337=0,"0",IF(AND(DB337&gt;=1,DB337&lt;=30),"1-30",IF(AND(DB337&gt;30,DB337&lt;=70),"31-70",IF(AND(DB337&gt;70,DB337&lt;=100),"71-100",IF(DB337&gt;100,"+100")))))</f>
        <v>0</v>
      </c>
      <c r="DD337">
        <v>0</v>
      </c>
      <c r="DE337">
        <v>1</v>
      </c>
      <c r="DF337">
        <v>0</v>
      </c>
      <c r="DG337">
        <v>0</v>
      </c>
      <c r="DH337">
        <v>0</v>
      </c>
      <c r="DI337">
        <f>SUM(DD337:DH337)</f>
        <v>1</v>
      </c>
      <c r="DJ337" t="str">
        <f>IF(DI337=1,INDEX($DD$7:$DG$7,MATCH(1,$DD337:$DG337,0)),"mixedProduct")</f>
        <v>EnergyInput</v>
      </c>
      <c r="DK337">
        <f>IF(DD337=1,DK$7,0)</f>
        <v>0</v>
      </c>
      <c r="DL337" t="str">
        <f>IF(DE337=1,DL$7,0)</f>
        <v>Energy</v>
      </c>
      <c r="DM337">
        <f>IF(DF337=1,DM$7,0)</f>
        <v>0</v>
      </c>
      <c r="DN337">
        <f>IF(DG337=1,DN$7,0)</f>
        <v>0</v>
      </c>
      <c r="DO337">
        <v>0</v>
      </c>
      <c r="DP337" s="143">
        <v>0</v>
      </c>
      <c r="DQ337" s="143">
        <v>0</v>
      </c>
      <c r="DR337">
        <v>0</v>
      </c>
      <c r="DS337" s="143">
        <v>0</v>
      </c>
      <c r="DT337">
        <f>SUM(DO337:DP337)</f>
        <v>0</v>
      </c>
      <c r="DU337" s="143" t="str">
        <f>IF(DO337=1,"self-calculated DF",IF(DP337=1,"external DF used","explicit C balance"))</f>
        <v>explicit C balance</v>
      </c>
      <c r="DV337" s="143">
        <v>0</v>
      </c>
      <c r="DW337" s="143">
        <v>0</v>
      </c>
      <c r="DX337" s="143">
        <v>0</v>
      </c>
      <c r="DY337" s="143">
        <v>0</v>
      </c>
      <c r="DZ337">
        <v>0</v>
      </c>
      <c r="EA337" s="143">
        <v>0</v>
      </c>
      <c r="EB337" s="143">
        <v>1</v>
      </c>
      <c r="EC337" s="143">
        <v>1</v>
      </c>
      <c r="ED337" s="143">
        <v>0</v>
      </c>
      <c r="EE337">
        <v>1</v>
      </c>
      <c r="EF337">
        <v>0</v>
      </c>
      <c r="EG337" s="143">
        <v>0</v>
      </c>
      <c r="EH337" s="143">
        <v>0</v>
      </c>
      <c r="EI337" s="2">
        <v>0</v>
      </c>
      <c r="EJ337" s="1"/>
      <c r="EK337" t="str">
        <f>IF(AND(AND(AND(OR($DX337=1,$DW337=1),OR($EC337=1,$EA337=1)),SUM($DV337:$DZ337,$EF337)&gt;=4),SUM($EA337:$EE337)&gt;=2),"Whole sector","")</f>
        <v/>
      </c>
      <c r="EL337" t="str">
        <f>IF(AND(AND(OR($DX337=1,$DW337=1),AND($EC337=0,$EA337=0)),SUM($DV337:$DZ337,$EF337)&gt;=4),"Ecosystem approach","")</f>
        <v/>
      </c>
      <c r="EM337" s="2" t="str">
        <f>IF(AND(AND(AND($DX337=0,$DW337=0),OR($EC337=1,$EA337=1)),SUM($EB337:$EE337)&gt;=2),"Technology approach","")</f>
        <v>Technology approach</v>
      </c>
      <c r="EN337"/>
      <c r="EO337"/>
      <c r="EP337" t="str">
        <f>IF(ISNUMBER(BU337),IF(ABS(BU337-[3]QC_indicators!$B$2)&gt;3*[3]QC_indicators!$C$2,"C ratio",IF(ISNUMBER(BY337),IF(ABS(BY337-[3]QC_indicators!$B$1)&gt;3*[3]QC_indicators!$C$1,"DF","no"))),IF(ISNUMBER(BY337),IF(ABS(BY337-[3]QC_indicators!$B$1)&gt;3*[3]QC_indicators!$C$1,"DF","no")))</f>
        <v>no</v>
      </c>
      <c r="EQ337"/>
      <c r="ER337" s="149"/>
      <c r="ES337"/>
      <c r="ET337" s="264" t="s">
        <v>3407</v>
      </c>
      <c r="EU337"/>
    </row>
    <row r="338" spans="1:151" s="139" customFormat="1" ht="15" customHeight="1">
      <c r="A338" s="1" t="s">
        <v>599</v>
      </c>
      <c r="B338" t="s">
        <v>600</v>
      </c>
      <c r="C338" t="s">
        <v>601</v>
      </c>
      <c r="D338" t="s">
        <v>602</v>
      </c>
      <c r="E338" t="s">
        <v>603</v>
      </c>
      <c r="F338" t="s">
        <v>604</v>
      </c>
      <c r="G338" t="s">
        <v>605</v>
      </c>
      <c r="H338" t="s">
        <v>254</v>
      </c>
      <c r="I338">
        <v>2022</v>
      </c>
      <c r="J338">
        <v>15</v>
      </c>
      <c r="K338" t="s">
        <v>606</v>
      </c>
      <c r="L338"/>
      <c r="M338" t="str">
        <f>LEFT($D338,FIND(",",$D338)-1)&amp;"_"&amp;I338&amp;L338</f>
        <v>Dani_2022</v>
      </c>
      <c r="N338" t="s">
        <v>222</v>
      </c>
      <c r="O338" s="145" t="s">
        <v>223</v>
      </c>
      <c r="P338"/>
      <c r="Q338" t="s">
        <v>389</v>
      </c>
      <c r="R338" s="255" t="s">
        <v>225</v>
      </c>
      <c r="S338" s="1" t="s">
        <v>607</v>
      </c>
      <c r="T338" t="s">
        <v>608</v>
      </c>
      <c r="U338" t="s">
        <v>609</v>
      </c>
      <c r="V338">
        <v>0</v>
      </c>
      <c r="W338">
        <v>0</v>
      </c>
      <c r="X338">
        <v>0</v>
      </c>
      <c r="Y338">
        <v>0</v>
      </c>
      <c r="Z338">
        <v>0</v>
      </c>
      <c r="AA338">
        <v>0</v>
      </c>
      <c r="AB338">
        <v>0</v>
      </c>
      <c r="AC338">
        <v>0</v>
      </c>
      <c r="AD338">
        <v>0</v>
      </c>
      <c r="AE338">
        <v>0</v>
      </c>
      <c r="AF338">
        <v>0</v>
      </c>
      <c r="AG338">
        <v>0</v>
      </c>
      <c r="AH338">
        <v>0</v>
      </c>
      <c r="AI338">
        <v>0</v>
      </c>
      <c r="AJ338">
        <v>0</v>
      </c>
      <c r="AK338">
        <v>1</v>
      </c>
      <c r="AL338">
        <v>0</v>
      </c>
      <c r="AM338">
        <v>0</v>
      </c>
      <c r="AN338">
        <v>0</v>
      </c>
      <c r="AO338">
        <v>0</v>
      </c>
      <c r="AP338">
        <v>0</v>
      </c>
      <c r="AQ338">
        <v>0</v>
      </c>
      <c r="AR338">
        <v>0</v>
      </c>
      <c r="AS338">
        <v>0</v>
      </c>
      <c r="AT338">
        <v>0</v>
      </c>
      <c r="AU338">
        <v>0</v>
      </c>
      <c r="AV338">
        <v>0</v>
      </c>
      <c r="AW338">
        <v>0</v>
      </c>
      <c r="AX338" s="141">
        <f>COUNTIF(V338:AW338,"&lt;&gt;0")</f>
        <v>1</v>
      </c>
      <c r="AY338" s="141">
        <f>COUNTIF(V338:AL338,"&lt;&gt;0")</f>
        <v>1</v>
      </c>
      <c r="AZ338">
        <f>COUNTIF(V338:AC338,"&lt;&gt;0")</f>
        <v>0</v>
      </c>
      <c r="BA338">
        <f>COUNTIF(AD338:AI338,"&lt;&gt;0")</f>
        <v>0</v>
      </c>
      <c r="BB338">
        <f>COUNTIF(AJ338:AL338,"&lt;&gt;0")</f>
        <v>1</v>
      </c>
      <c r="BC338">
        <f>COUNTIF(AS338:AW338,"&lt;&gt;0")</f>
        <v>0</v>
      </c>
      <c r="BD338">
        <f>COUNTIF(AM338:AR338,"&lt;&gt;0")</f>
        <v>0</v>
      </c>
      <c r="BE338" t="str">
        <f t="array" ref="BE338">IF(AY338=1,INDEX($V$7:$AL$7,MATCH(TRUE,INDEX($V338:$AW338&lt;&gt;0,),0)),IF(AY338=0,INDEX($AM$7:$AW$7,MATCH(1,$AM338:$AW338,0)),IF(BF338="Multiple strategies","mixed drivers",IF(BF338="Supply chain","multiple supply","multiple silviculture"))))</f>
        <v>technologies/design switch</v>
      </c>
      <c r="BF338" s="2" t="str" cm="1">
        <f t="array" ref="BF338">IF(COUNTIF(AZ338:BB338,"&lt;&gt;0")=1,INDEX($V$4:$AW$4,MATCH(TRUE,INDEX($V338:$AW338&lt;&gt;0,),0)),IF(COUNTIF(AZ338:BB338,"&lt;&gt;0")=0,INDEX($AM$4:$AW$4,MATCH(1,$AM338:$AW338,0)),"Multiple strategies"))</f>
        <v>Technology</v>
      </c>
      <c r="BG338" s="1" t="s">
        <v>229</v>
      </c>
      <c r="BH338" t="s">
        <v>610</v>
      </c>
      <c r="BI338" t="s">
        <v>424</v>
      </c>
      <c r="BJ338" t="s">
        <v>498</v>
      </c>
      <c r="BK338">
        <f>0.041+0.652</f>
        <v>0.69300000000000006</v>
      </c>
      <c r="BL338">
        <f>0.298+2.905+0.284+3.758+0.808+6.645+2.786+0.678</f>
        <v>18.161999999999999</v>
      </c>
      <c r="BM338"/>
      <c r="BN338">
        <f>BL338-BK338</f>
        <v>17.468999999999998</v>
      </c>
      <c r="BO338">
        <f>BN338</f>
        <v>17.468999999999998</v>
      </c>
      <c r="BP338" t="s">
        <v>395</v>
      </c>
      <c r="BQ338" s="302" t="s">
        <v>3304</v>
      </c>
      <c r="BR338" t="s">
        <v>612</v>
      </c>
      <c r="BS338">
        <f>146*(-1.53)</f>
        <v>-223.38</v>
      </c>
      <c r="BT338" s="144">
        <f>107*(-0.74)</f>
        <v>-79.179999999999993</v>
      </c>
      <c r="BU338" s="144">
        <f>IFERROR(BT338/BS338,"")</f>
        <v>0.3544632464858089</v>
      </c>
      <c r="BV338">
        <f>BT338-BS338</f>
        <v>144.19999999999999</v>
      </c>
      <c r="BW338"/>
      <c r="BX338">
        <f>BV338/1000</f>
        <v>0.14419999999999999</v>
      </c>
      <c r="BY338">
        <f>IFERROR(BX338/BO338,"")</f>
        <v>8.2546224740969731E-3</v>
      </c>
      <c r="BZ338">
        <v>0</v>
      </c>
      <c r="CA338">
        <v>0</v>
      </c>
      <c r="CB338">
        <v>0</v>
      </c>
      <c r="CC338">
        <v>0</v>
      </c>
      <c r="CD338">
        <v>0</v>
      </c>
      <c r="CE338">
        <v>0</v>
      </c>
      <c r="CF338">
        <v>0</v>
      </c>
      <c r="CG338">
        <v>0</v>
      </c>
      <c r="CH338">
        <v>0</v>
      </c>
      <c r="CI338">
        <v>0</v>
      </c>
      <c r="CJ338">
        <v>0</v>
      </c>
      <c r="CK338">
        <v>0</v>
      </c>
      <c r="CL338">
        <v>0</v>
      </c>
      <c r="CM338">
        <v>0</v>
      </c>
      <c r="CN338" t="str">
        <f>IF($BL338&lt;$BK338,"refNeedCorrection","refOK")</f>
        <v>refOK</v>
      </c>
      <c r="CO338"/>
      <c r="CP338"/>
      <c r="CQ338">
        <f>IF($CN338="refOK",$BO338,-$BO338)</f>
        <v>17.468999999999998</v>
      </c>
      <c r="CR338">
        <f>IF($CN338="refOK",$BS338,$BT338)*IF($BP338="Emissions positive",-1,1)</f>
        <v>223.38</v>
      </c>
      <c r="CS338">
        <f>IF($CN338="refOK",$BT338,$BS338)*IF($BP338="Emissions positive",-1,1)</f>
        <v>79.179999999999993</v>
      </c>
      <c r="CT338">
        <f>IF($CN338="refNeedCorrection",-BX338,BX338)*IF($BP338="Emissions positive",-1,1)</f>
        <v>-0.14419999999999999</v>
      </c>
      <c r="CU338">
        <f>IFERROR(CT338/CQ338,"")</f>
        <v>-8.2546224740969731E-3</v>
      </c>
      <c r="CV338" s="2">
        <f>IFERROR((CS338-CR338)/ABS(CR338),"")</f>
        <v>-0.64553675351419104</v>
      </c>
      <c r="CW338" s="1" t="s">
        <v>263</v>
      </c>
      <c r="CX338" t="str">
        <f>IF(OR($CW338="prd",$CW338="std",$CW338="cit"),"loc",IF(OR($CW338="eur",$CW338="reg",$CW338="coy"),"reg",$CW338))</f>
        <v>loc</v>
      </c>
      <c r="CY338" t="s">
        <v>613</v>
      </c>
      <c r="CZ338"/>
      <c r="DA338"/>
      <c r="DB338">
        <v>0</v>
      </c>
      <c r="DC338" t="str">
        <f>IF(DB338=0,"0",IF(AND(DB338&gt;=1,DB338&lt;=30),"1-30",IF(AND(DB338&gt;30,DB338&lt;=70),"31-70",IF(AND(DB338&gt;70,DB338&lt;=100),"71-100",IF(DB338&gt;100,"+100")))))</f>
        <v>0</v>
      </c>
      <c r="DD338">
        <v>0</v>
      </c>
      <c r="DE338">
        <v>0</v>
      </c>
      <c r="DF338">
        <v>0</v>
      </c>
      <c r="DG338">
        <v>1</v>
      </c>
      <c r="DH338">
        <v>0</v>
      </c>
      <c r="DI338">
        <f>SUM(DD338:DH338)</f>
        <v>1</v>
      </c>
      <c r="DJ338" t="str">
        <f>IF(DI338=1,INDEX($DD$7:$DG$7,MATCH(1,$DD338:$DG338,0)),"mixedProduct")</f>
        <v>TimberInput</v>
      </c>
      <c r="DK338">
        <f>IF(DD338=1,DK$7,0)</f>
        <v>0</v>
      </c>
      <c r="DL338">
        <f>IF(DE338=1,DL$7,0)</f>
        <v>0</v>
      </c>
      <c r="DM338">
        <f>IF(DF338=1,DM$7,0)</f>
        <v>0</v>
      </c>
      <c r="DN338" t="str">
        <f>IF(DG338=1,DN$7,0)</f>
        <v>Timber</v>
      </c>
      <c r="DO338">
        <v>0</v>
      </c>
      <c r="DP338">
        <v>0</v>
      </c>
      <c r="DQ338">
        <v>0</v>
      </c>
      <c r="DR338">
        <v>0</v>
      </c>
      <c r="DS338">
        <v>0</v>
      </c>
      <c r="DT338">
        <f>SUM(DO338:DP338)</f>
        <v>0</v>
      </c>
      <c r="DU338" t="str">
        <f>IF(DO338=1,"self-calculated DF",IF(DP338=1,"external DF used","explicit C balance"))</f>
        <v>explicit C balance</v>
      </c>
      <c r="DV338">
        <v>0</v>
      </c>
      <c r="DW338">
        <v>0</v>
      </c>
      <c r="DX338">
        <v>0</v>
      </c>
      <c r="DY338">
        <v>0</v>
      </c>
      <c r="DZ338">
        <v>0</v>
      </c>
      <c r="EA338" s="264">
        <v>1</v>
      </c>
      <c r="EB338">
        <v>0</v>
      </c>
      <c r="EC338">
        <v>0</v>
      </c>
      <c r="ED338">
        <v>0</v>
      </c>
      <c r="EE338">
        <v>0</v>
      </c>
      <c r="EF338">
        <v>0</v>
      </c>
      <c r="EG338">
        <v>0</v>
      </c>
      <c r="EH338">
        <v>0</v>
      </c>
      <c r="EI338" s="2">
        <v>0</v>
      </c>
      <c r="EJ338" s="1"/>
      <c r="EK338" t="str">
        <f>IF(AND(AND(AND(OR($DX338=1,$DW338=1),OR($EC338=1,$EA338=1)),SUM($DV338:$DZ338,$EF338)&gt;=4),SUM($EA338:$EE338)&gt;=2),"Whole sector","")</f>
        <v/>
      </c>
      <c r="EL338" t="str">
        <f>IF(AND(AND(OR($DX338=1,$DW338=1),AND($EC338=0,$EA338=0)),SUM($DV338:$DZ338,$EF338)&gt;=4),"Ecosystem approach","")</f>
        <v/>
      </c>
      <c r="EM338" s="2" t="str">
        <f>IF(AND(AND(AND($DX338=0,$DW338=0),OR($EC338=1,$EA338=1)),SUM($EB338:$EE338)&gt;=2),"Technology approach","")</f>
        <v/>
      </c>
      <c r="EN338"/>
      <c r="EO338"/>
      <c r="EP338" t="str">
        <f>IF(ISNUMBER(BU338),IF(ABS(BU338-[4]QC_indicators!$B$2)&gt;3*[4]QC_indicators!$C$2,"C ratio",IF(ISNUMBER(BY338),IF(ABS(BY338-[4]QC_indicators!$B$1)&gt;3*[4]QC_indicators!$C$1,"DF","no"))),IF(ISNUMBER(BY338),IF(ABS(BY338-[4]QC_indicators!$B$1)&gt;3*[4]QC_indicators!$C$1,"DF","no")))</f>
        <v>no</v>
      </c>
      <c r="EQ338"/>
      <c r="ER338"/>
      <c r="ES338"/>
      <c r="ET338" s="264" t="s">
        <v>3273</v>
      </c>
      <c r="EU338"/>
    </row>
    <row r="339" spans="1:151" s="139" customFormat="1" ht="15" customHeight="1">
      <c r="A339" s="1" t="s">
        <v>587</v>
      </c>
      <c r="B339" t="s">
        <v>1448</v>
      </c>
      <c r="C339" t="s">
        <v>1449</v>
      </c>
      <c r="D339" t="s">
        <v>1450</v>
      </c>
      <c r="E339" t="s">
        <v>1451</v>
      </c>
      <c r="F339" t="s">
        <v>1452</v>
      </c>
      <c r="G339" t="s">
        <v>593</v>
      </c>
      <c r="H339" t="s">
        <v>254</v>
      </c>
      <c r="I339">
        <v>2020</v>
      </c>
      <c r="J339">
        <v>12</v>
      </c>
      <c r="K339" t="s">
        <v>1453</v>
      </c>
      <c r="L339"/>
      <c r="M339" t="str">
        <f>LEFT($D339,FIND(",",$D339)-1)&amp;"_"&amp;I339&amp;L339</f>
        <v>Elisa_2020</v>
      </c>
      <c r="N339" s="264" t="s">
        <v>222</v>
      </c>
      <c r="O339" s="171" t="s">
        <v>274</v>
      </c>
      <c r="P339" t="s">
        <v>223</v>
      </c>
      <c r="Q339" s="264" t="s">
        <v>389</v>
      </c>
      <c r="R339" s="269" t="s">
        <v>1154</v>
      </c>
      <c r="S339" s="154" t="s">
        <v>1454</v>
      </c>
      <c r="T339" s="294" t="s">
        <v>1455</v>
      </c>
      <c r="U339" s="143" t="s">
        <v>1468</v>
      </c>
      <c r="V339">
        <v>0</v>
      </c>
      <c r="W339">
        <v>0</v>
      </c>
      <c r="X339">
        <v>0</v>
      </c>
      <c r="Y339">
        <v>0</v>
      </c>
      <c r="Z339">
        <v>0</v>
      </c>
      <c r="AA339">
        <v>0</v>
      </c>
      <c r="AB339">
        <v>0</v>
      </c>
      <c r="AC339">
        <v>0</v>
      </c>
      <c r="AD339">
        <v>0</v>
      </c>
      <c r="AE339">
        <v>1</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s="141">
        <f>COUNTIF(V339:AW339,"&lt;&gt;0")</f>
        <v>1</v>
      </c>
      <c r="AY339" s="141">
        <f>COUNTIF(V339:AL339,"&lt;&gt;0")</f>
        <v>1</v>
      </c>
      <c r="AZ339">
        <f>COUNTIF(V339:AC339,"&lt;&gt;0")</f>
        <v>0</v>
      </c>
      <c r="BA339">
        <f>COUNTIF(AD339:AI339,"&lt;&gt;0")</f>
        <v>1</v>
      </c>
      <c r="BB339">
        <f>COUNTIF(AJ339:AL339,"&lt;&gt;0")</f>
        <v>0</v>
      </c>
      <c r="BC339">
        <f>COUNTIF(AS339:AW339,"&lt;&gt;0")</f>
        <v>0</v>
      </c>
      <c r="BD339">
        <f>COUNTIF(AM339:AR339,"&lt;&gt;0")</f>
        <v>0</v>
      </c>
      <c r="BE339" t="str" cm="1">
        <f t="array" ref="BE339">IF(AY339=1,INDEX($V$7:$AL$7,MATCH(TRUE,INDEX($V339:$AW339&lt;&gt;0,),0)),IF(AY339=0,INDEX($AM$7:$AW$7,MATCH(1,$AM339:$AW339,0)),IF(BF339="Multiple strategies","mixed drivers",IF(BF339="Supply chain","multiple supply","multiple silviculture"))))</f>
        <v>location of industry</v>
      </c>
      <c r="BF339" s="2" t="str" cm="1">
        <f t="array" ref="BF339">IF(COUNTIF(AZ339:BB339,"&lt;&gt;0")=1,INDEX($V$4:$AW$4,MATCH(TRUE,INDEX($V339:$AW339&lt;&gt;0,),0)),IF(COUNTIF(AZ339:BB339,"&lt;&gt;0")=0,INDEX($AM$4:$AW$4,MATCH(1,$AM339:$AW339,0)),"Multiple strategies"))</f>
        <v>Supply chain</v>
      </c>
      <c r="BG339" s="142" t="s">
        <v>321</v>
      </c>
      <c r="BH339" s="160" t="s">
        <v>1457</v>
      </c>
      <c r="BI339" s="160" t="s">
        <v>1458</v>
      </c>
      <c r="BJ339" s="143" t="s">
        <v>498</v>
      </c>
      <c r="BK339" s="143">
        <v>944</v>
      </c>
      <c r="BL339" s="143">
        <v>20000</v>
      </c>
      <c r="BM339">
        <f>IFERROR(BL341/BK339,"")</f>
        <v>12129.237288135595</v>
      </c>
      <c r="BN339">
        <f>BL339-BK339</f>
        <v>19056</v>
      </c>
      <c r="BO339" s="159">
        <f>BN339</f>
        <v>19056</v>
      </c>
      <c r="BP339" s="155" t="s">
        <v>232</v>
      </c>
      <c r="BQ339" s="155" t="s">
        <v>1459</v>
      </c>
      <c r="BR339" s="155" t="s">
        <v>825</v>
      </c>
      <c r="BS339" s="143" t="s">
        <v>1463</v>
      </c>
      <c r="BT339" t="s">
        <v>1470</v>
      </c>
      <c r="BU339" s="144">
        <f>BT339/BS339</f>
        <v>23.665189838233854</v>
      </c>
      <c r="BV339">
        <f>BT339-BS339</f>
        <v>-156.631024166667</v>
      </c>
      <c r="BW339"/>
      <c r="BX339">
        <f>BV339</f>
        <v>-156.631024166667</v>
      </c>
      <c r="BY339">
        <f>IFERROR(BX339/BO339,"")</f>
        <v>-8.2195121833893263E-3</v>
      </c>
      <c r="BZ339">
        <v>0</v>
      </c>
      <c r="CA339">
        <v>0</v>
      </c>
      <c r="CB339">
        <v>0</v>
      </c>
      <c r="CC339">
        <v>0</v>
      </c>
      <c r="CD339">
        <v>0</v>
      </c>
      <c r="CE339">
        <v>0</v>
      </c>
      <c r="CF339">
        <v>0</v>
      </c>
      <c r="CG339">
        <v>0</v>
      </c>
      <c r="CH339">
        <v>0</v>
      </c>
      <c r="CI339">
        <v>0</v>
      </c>
      <c r="CJ339">
        <v>0</v>
      </c>
      <c r="CK339">
        <v>0</v>
      </c>
      <c r="CL339">
        <v>0</v>
      </c>
      <c r="CM339">
        <v>0</v>
      </c>
      <c r="CN339" t="str">
        <f>IF($BL339&lt;$BK339,"refNeedCorrection","refOK")</f>
        <v>refOK</v>
      </c>
      <c r="CO339">
        <f>IF($CN339="refOK",$BK339,$BL339)</f>
        <v>944</v>
      </c>
      <c r="CP339">
        <f>IF($CN339="refOK",$BL339,$BK339)</f>
        <v>20000</v>
      </c>
      <c r="CQ339">
        <f>IF($CN339="refOK",$BO339,-$BO339)</f>
        <v>19056</v>
      </c>
      <c r="CR339">
        <f>IF($CN339="refOK",$BS339,$BT339)*IF($BP339="Emissions positive",-1,1)</f>
        <v>-6.9106424999999998</v>
      </c>
      <c r="CS339">
        <f>IF($CN339="refOK",$BT339,$BS339)*IF($BP339="Emissions positive",-1,1)</f>
        <v>-163.541666666667</v>
      </c>
      <c r="CT339">
        <f>IF($CN339="refNeedCorrection",-BX339,BX339)*IF($BP339="Emissions positive",-1,1)</f>
        <v>-156.631024166667</v>
      </c>
      <c r="CU339">
        <f>IFERROR(CT339/CQ339,"")</f>
        <v>-8.2195121833893263E-3</v>
      </c>
      <c r="CV339" s="2">
        <f>IFERROR((CS339-CR339)/ABS(CR339),"")</f>
        <v>-22.665189838233857</v>
      </c>
      <c r="CW339" s="263" t="s">
        <v>1462</v>
      </c>
      <c r="CX339" s="264" t="str">
        <f>IF(OR($CW339="prd",$CW339="std",$CW339="cit"),"loc",IF(OR($CW339="eur",$CW339="reg",$CW339="coy"),"reg",$CW339))</f>
        <v>reg</v>
      </c>
      <c r="CY339" s="270" t="s">
        <v>743</v>
      </c>
      <c r="CZ339"/>
      <c r="DA339" s="143"/>
      <c r="DB339" s="143">
        <v>0</v>
      </c>
      <c r="DC339" t="str">
        <f>IF(DB339=0,"0",IF(AND(DB339&gt;=1,DB339&lt;=30),"1-30",IF(AND(DB339&gt;30,DB339&lt;=70),"31-70",IF(AND(DB339&gt;70,DB339&lt;=100),"71-100",IF(DB339&gt;100,"+100")))))</f>
        <v>0</v>
      </c>
      <c r="DD339">
        <v>0</v>
      </c>
      <c r="DE339">
        <v>1</v>
      </c>
      <c r="DF339">
        <v>0</v>
      </c>
      <c r="DG339">
        <v>0</v>
      </c>
      <c r="DH339">
        <v>0</v>
      </c>
      <c r="DI339">
        <f>SUM(DD339:DH339)</f>
        <v>1</v>
      </c>
      <c r="DJ339" t="str">
        <f>IF(DI339=1,INDEX($DD$7:$DG$7,MATCH(1,$DD339:$DG339,0)),"mixedProduct")</f>
        <v>EnergyInput</v>
      </c>
      <c r="DK339">
        <f>IF(DD339=1,DK$7,0)</f>
        <v>0</v>
      </c>
      <c r="DL339" t="str">
        <f>IF(DE339=1,DL$7,0)</f>
        <v>Energy</v>
      </c>
      <c r="DM339">
        <f>IF(DF339=1,DM$7,0)</f>
        <v>0</v>
      </c>
      <c r="DN339">
        <f>IF(DG339=1,DN$7,0)</f>
        <v>0</v>
      </c>
      <c r="DO339">
        <v>0</v>
      </c>
      <c r="DP339" s="143">
        <v>0</v>
      </c>
      <c r="DQ339" s="143">
        <v>0</v>
      </c>
      <c r="DR339">
        <v>0</v>
      </c>
      <c r="DS339" s="143">
        <v>0</v>
      </c>
      <c r="DT339">
        <f>SUM(DO339:DP339)</f>
        <v>0</v>
      </c>
      <c r="DU339" s="143" t="str">
        <f>IF(DO339=1,"self-calculated DF",IF(DP339=1,"external DF used","explicit C balance"))</f>
        <v>explicit C balance</v>
      </c>
      <c r="DV339" s="143">
        <v>0</v>
      </c>
      <c r="DW339" s="143">
        <v>0</v>
      </c>
      <c r="DX339" s="143">
        <v>0</v>
      </c>
      <c r="DY339" s="143">
        <v>0</v>
      </c>
      <c r="DZ339">
        <v>0</v>
      </c>
      <c r="EA339" s="143">
        <v>0</v>
      </c>
      <c r="EB339" s="143">
        <v>0</v>
      </c>
      <c r="EC339" s="143">
        <v>1</v>
      </c>
      <c r="ED339" s="143">
        <v>0</v>
      </c>
      <c r="EE339">
        <v>1</v>
      </c>
      <c r="EF339">
        <v>0</v>
      </c>
      <c r="EG339" s="143">
        <v>0</v>
      </c>
      <c r="EH339" s="143">
        <v>0</v>
      </c>
      <c r="EI339" s="2">
        <v>0</v>
      </c>
      <c r="EJ339" s="1"/>
      <c r="EK339" t="str">
        <f>IF(AND(AND(AND(OR($DX339=1,$DW339=1),OR($EC339=1,$EA339=1)),SUM($DV339:$DZ339,$EF339)&gt;=4),SUM($EA339:$EE339)&gt;=2),"Whole sector","")</f>
        <v/>
      </c>
      <c r="EL339" t="str">
        <f>IF(AND(AND(OR($DX339=1,$DW339=1),AND($EC339=0,$EA339=0)),SUM($DV339:$DZ339,$EF339)&gt;=4),"Ecosystem approach","")</f>
        <v/>
      </c>
      <c r="EM339" s="2" t="str">
        <f>IF(AND(AND(AND($DX339=0,$DW339=0),OR($EC339=1,$EA339=1)),SUM($EB339:$EE339)&gt;=2),"Technology approach","")</f>
        <v>Technology approach</v>
      </c>
      <c r="EN339"/>
      <c r="EO339"/>
      <c r="EP339" t="str">
        <f>IF(ISNUMBER(BU339),IF(ABS(BU339-[3]QC_indicators!$B$2)&gt;3*[3]QC_indicators!$C$2,"C ratio",IF(ISNUMBER(BY339),IF(ABS(BY339-[3]QC_indicators!$B$1)&gt;3*[3]QC_indicators!$C$1,"DF","no"))),IF(ISNUMBER(BY339),IF(ABS(BY339-[3]QC_indicators!$B$1)&gt;3*[3]QC_indicators!$C$1,"DF","no")))</f>
        <v>no</v>
      </c>
      <c r="EQ339"/>
      <c r="ER339" s="149"/>
      <c r="ES339"/>
      <c r="ET339" s="264" t="s">
        <v>3407</v>
      </c>
      <c r="EU339"/>
    </row>
    <row r="340" spans="1:151" s="139" customFormat="1" ht="15" customHeight="1">
      <c r="A340" s="1" t="s">
        <v>587</v>
      </c>
      <c r="B340" t="s">
        <v>1448</v>
      </c>
      <c r="C340" t="s">
        <v>1449</v>
      </c>
      <c r="D340" t="s">
        <v>1450</v>
      </c>
      <c r="E340" t="s">
        <v>1451</v>
      </c>
      <c r="F340" t="s">
        <v>1452</v>
      </c>
      <c r="G340" t="s">
        <v>593</v>
      </c>
      <c r="H340" t="s">
        <v>254</v>
      </c>
      <c r="I340">
        <v>2020</v>
      </c>
      <c r="J340">
        <v>12</v>
      </c>
      <c r="K340" t="s">
        <v>1453</v>
      </c>
      <c r="L340"/>
      <c r="M340" t="str">
        <f>LEFT($D340,FIND(",",$D340)-1)&amp;"_"&amp;I340&amp;L340</f>
        <v>Elisa_2020</v>
      </c>
      <c r="N340" s="264" t="s">
        <v>222</v>
      </c>
      <c r="O340" s="171" t="s">
        <v>274</v>
      </c>
      <c r="P340" t="s">
        <v>223</v>
      </c>
      <c r="Q340" s="264" t="s">
        <v>389</v>
      </c>
      <c r="R340" s="269" t="s">
        <v>1154</v>
      </c>
      <c r="S340" s="154" t="s">
        <v>1454</v>
      </c>
      <c r="T340" s="294" t="s">
        <v>1455</v>
      </c>
      <c r="U340" s="143" t="s">
        <v>1471</v>
      </c>
      <c r="V340">
        <v>0</v>
      </c>
      <c r="W340">
        <v>0</v>
      </c>
      <c r="X340">
        <v>0</v>
      </c>
      <c r="Y340">
        <v>0</v>
      </c>
      <c r="Z340">
        <v>0</v>
      </c>
      <c r="AA340">
        <v>0</v>
      </c>
      <c r="AB340">
        <v>0</v>
      </c>
      <c r="AC340">
        <v>0</v>
      </c>
      <c r="AD340">
        <v>0</v>
      </c>
      <c r="AE340">
        <v>1</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s="141">
        <f>COUNTIF(V340:AW340,"&lt;&gt;0")</f>
        <v>1</v>
      </c>
      <c r="AY340" s="141">
        <f>COUNTIF(V340:AL340,"&lt;&gt;0")</f>
        <v>1</v>
      </c>
      <c r="AZ340">
        <f>COUNTIF(V340:AC340,"&lt;&gt;0")</f>
        <v>0</v>
      </c>
      <c r="BA340">
        <f>COUNTIF(AD340:AI340,"&lt;&gt;0")</f>
        <v>1</v>
      </c>
      <c r="BB340">
        <f>COUNTIF(AJ340:AL340,"&lt;&gt;0")</f>
        <v>0</v>
      </c>
      <c r="BC340">
        <f>COUNTIF(AS340:AW340,"&lt;&gt;0")</f>
        <v>0</v>
      </c>
      <c r="BD340">
        <f>COUNTIF(AM340:AR340,"&lt;&gt;0")</f>
        <v>0</v>
      </c>
      <c r="BE340" t="str" cm="1">
        <f t="array" ref="BE340">IF(AY340=1,INDEX($V$7:$AL$7,MATCH(TRUE,INDEX($V340:$AW340&lt;&gt;0,),0)),IF(AY340=0,INDEX($AM$7:$AW$7,MATCH(1,$AM340:$AW340,0)),IF(BF340="Multiple strategies","mixed drivers",IF(BF340="Supply chain","multiple supply","multiple silviculture"))))</f>
        <v>location of industry</v>
      </c>
      <c r="BF340" s="2" t="str" cm="1">
        <f t="array" ref="BF340">IF(COUNTIF(AZ340:BB340,"&lt;&gt;0")=1,INDEX($V$4:$AW$4,MATCH(TRUE,INDEX($V340:$AW340&lt;&gt;0,),0)),IF(COUNTIF(AZ340:BB340,"&lt;&gt;0")=0,INDEX($AM$4:$AW$4,MATCH(1,$AM340:$AW340,0)),"Multiple strategies"))</f>
        <v>Supply chain</v>
      </c>
      <c r="BG340" s="142" t="s">
        <v>321</v>
      </c>
      <c r="BH340" s="160" t="s">
        <v>1457</v>
      </c>
      <c r="BI340" s="160" t="s">
        <v>1458</v>
      </c>
      <c r="BJ340" s="143" t="s">
        <v>498</v>
      </c>
      <c r="BK340" s="143">
        <v>944</v>
      </c>
      <c r="BL340" s="143">
        <v>6993</v>
      </c>
      <c r="BM340">
        <f>IFERROR(BL340/BK340,"")</f>
        <v>7.4078389830508478</v>
      </c>
      <c r="BN340">
        <f>BL340-BK340</f>
        <v>6049</v>
      </c>
      <c r="BO340" s="159">
        <f>BN340</f>
        <v>6049</v>
      </c>
      <c r="BP340" s="155" t="s">
        <v>232</v>
      </c>
      <c r="BQ340" s="155" t="s">
        <v>1459</v>
      </c>
      <c r="BR340" s="155" t="s">
        <v>825</v>
      </c>
      <c r="BS340" s="143" t="s">
        <v>1460</v>
      </c>
      <c r="BT340" t="s">
        <v>1472</v>
      </c>
      <c r="BU340" s="144">
        <f>BT340/BS340</f>
        <v>6.6613304778667501</v>
      </c>
      <c r="BV340">
        <f>BT340-BS340</f>
        <v>-39.731882499999998</v>
      </c>
      <c r="BW340"/>
      <c r="BX340">
        <f>BV340</f>
        <v>-39.731882499999998</v>
      </c>
      <c r="BY340">
        <f>IFERROR(BX340/BO340,"")</f>
        <v>-6.5683389816498594E-3</v>
      </c>
      <c r="BZ340">
        <v>0</v>
      </c>
      <c r="CA340">
        <v>0</v>
      </c>
      <c r="CB340">
        <v>0</v>
      </c>
      <c r="CC340">
        <v>0</v>
      </c>
      <c r="CD340">
        <v>0</v>
      </c>
      <c r="CE340">
        <v>0</v>
      </c>
      <c r="CF340">
        <v>0</v>
      </c>
      <c r="CG340">
        <v>0</v>
      </c>
      <c r="CH340">
        <v>0</v>
      </c>
      <c r="CI340">
        <v>0</v>
      </c>
      <c r="CJ340">
        <v>0</v>
      </c>
      <c r="CK340">
        <v>0</v>
      </c>
      <c r="CL340">
        <v>0</v>
      </c>
      <c r="CM340">
        <v>0</v>
      </c>
      <c r="CN340" t="str">
        <f>IF($BL340&lt;$BK340,"refNeedCorrection","refOK")</f>
        <v>refOK</v>
      </c>
      <c r="CO340">
        <f>IF($CN340="refOK",$BK340,$BL340)</f>
        <v>944</v>
      </c>
      <c r="CP340">
        <f>IF($CN340="refOK",$BL340,$BK340)</f>
        <v>6993</v>
      </c>
      <c r="CQ340">
        <f>IF($CN340="refOK",$BO340,-$BO340)</f>
        <v>6049</v>
      </c>
      <c r="CR340">
        <f>IF($CN340="refOK",$BS340,$BT340)*IF($BP340="Emissions positive",-1,1)</f>
        <v>-7.0181174999999998</v>
      </c>
      <c r="CS340">
        <f>IF($CN340="refOK",$BT340,$BS340)*IF($BP340="Emissions positive",-1,1)</f>
        <v>-46.75</v>
      </c>
      <c r="CT340">
        <f>IF($CN340="refNeedCorrection",-BX340,BX340)*IF($BP340="Emissions positive",-1,1)</f>
        <v>-39.731882499999998</v>
      </c>
      <c r="CU340">
        <f>IFERROR(CT340/CQ340,"")</f>
        <v>-6.5683389816498594E-3</v>
      </c>
      <c r="CV340" s="2">
        <f>IFERROR((CS340-CR340)/ABS(CR340),"")</f>
        <v>-5.6613304778667501</v>
      </c>
      <c r="CW340" s="263" t="s">
        <v>1462</v>
      </c>
      <c r="CX340" s="264" t="str">
        <f>IF(OR($CW340="prd",$CW340="std",$CW340="cit"),"loc",IF(OR($CW340="eur",$CW340="reg",$CW340="coy"),"reg",$CW340))</f>
        <v>reg</v>
      </c>
      <c r="CY340" s="270" t="s">
        <v>743</v>
      </c>
      <c r="CZ340"/>
      <c r="DA340" s="143"/>
      <c r="DB340" s="143">
        <v>0</v>
      </c>
      <c r="DC340" t="str">
        <f>IF(DB340=0,"0",IF(AND(DB340&gt;=1,DB340&lt;=30),"1-30",IF(AND(DB340&gt;30,DB340&lt;=70),"31-70",IF(AND(DB340&gt;70,DB340&lt;=100),"71-100",IF(DB340&gt;100,"+100")))))</f>
        <v>0</v>
      </c>
      <c r="DD340">
        <v>0</v>
      </c>
      <c r="DE340">
        <v>1</v>
      </c>
      <c r="DF340">
        <v>0</v>
      </c>
      <c r="DG340">
        <v>0</v>
      </c>
      <c r="DH340">
        <v>0</v>
      </c>
      <c r="DI340">
        <f>SUM(DD340:DH340)</f>
        <v>1</v>
      </c>
      <c r="DJ340" t="str">
        <f>IF(DI340=1,INDEX($DD$7:$DG$7,MATCH(1,$DD340:$DG340,0)),"mixedProduct")</f>
        <v>EnergyInput</v>
      </c>
      <c r="DK340">
        <f>IF(DD340=1,DK$7,0)</f>
        <v>0</v>
      </c>
      <c r="DL340" t="str">
        <f>IF(DE340=1,DL$7,0)</f>
        <v>Energy</v>
      </c>
      <c r="DM340">
        <f>IF(DF340=1,DM$7,0)</f>
        <v>0</v>
      </c>
      <c r="DN340">
        <f>IF(DG340=1,DN$7,0)</f>
        <v>0</v>
      </c>
      <c r="DO340">
        <v>0</v>
      </c>
      <c r="DP340" s="143">
        <v>0</v>
      </c>
      <c r="DQ340" s="143">
        <v>0</v>
      </c>
      <c r="DR340">
        <v>0</v>
      </c>
      <c r="DS340" s="143">
        <v>0</v>
      </c>
      <c r="DT340">
        <f>SUM(DO340:DP340)</f>
        <v>0</v>
      </c>
      <c r="DU340" s="143" t="str">
        <f>IF(DO340=1,"self-calculated DF",IF(DP340=1,"external DF used","explicit C balance"))</f>
        <v>explicit C balance</v>
      </c>
      <c r="DV340" s="143">
        <v>0</v>
      </c>
      <c r="DW340" s="143">
        <v>0</v>
      </c>
      <c r="DX340" s="143">
        <v>0</v>
      </c>
      <c r="DY340" s="143">
        <v>0</v>
      </c>
      <c r="DZ340">
        <v>0</v>
      </c>
      <c r="EA340" s="143">
        <v>0</v>
      </c>
      <c r="EB340" s="143">
        <v>1</v>
      </c>
      <c r="EC340" s="143">
        <v>1</v>
      </c>
      <c r="ED340" s="143">
        <v>0</v>
      </c>
      <c r="EE340">
        <v>1</v>
      </c>
      <c r="EF340">
        <v>0</v>
      </c>
      <c r="EG340" s="143">
        <v>0</v>
      </c>
      <c r="EH340" s="143">
        <v>0</v>
      </c>
      <c r="EI340" s="2">
        <v>0</v>
      </c>
      <c r="EJ340" s="1"/>
      <c r="EK340" t="str">
        <f>IF(AND(AND(AND(OR($DX340=1,$DW340=1),OR($EC340=1,$EA340=1)),SUM($DV340:$DZ340,$EF340)&gt;=4),SUM($EA340:$EE340)&gt;=2),"Whole sector","")</f>
        <v/>
      </c>
      <c r="EL340" t="str">
        <f>IF(AND(AND(OR($DX340=1,$DW340=1),AND($EC340=0,$EA340=0)),SUM($DV340:$DZ340,$EF340)&gt;=4),"Ecosystem approach","")</f>
        <v/>
      </c>
      <c r="EM340" s="2" t="str">
        <f>IF(AND(AND(AND($DX340=0,$DW340=0),OR($EC340=1,$EA340=1)),SUM($EB340:$EE340)&gt;=2),"Technology approach","")</f>
        <v>Technology approach</v>
      </c>
      <c r="EN340"/>
      <c r="EO340"/>
      <c r="EP340" t="str">
        <f>IF(ISNUMBER(BU340),IF(ABS(BU340-[3]QC_indicators!$B$2)&gt;3*[3]QC_indicators!$C$2,"C ratio",IF(ISNUMBER(BY340),IF(ABS(BY340-[3]QC_indicators!$B$1)&gt;3*[3]QC_indicators!$C$1,"DF","no"))),IF(ISNUMBER(BY340),IF(ABS(BY340-[3]QC_indicators!$B$1)&gt;3*[3]QC_indicators!$C$1,"DF","no")))</f>
        <v>no</v>
      </c>
      <c r="EQ340"/>
      <c r="ER340" s="149"/>
      <c r="ES340"/>
      <c r="ET340" s="264" t="s">
        <v>3407</v>
      </c>
      <c r="EU340"/>
    </row>
    <row r="341" spans="1:151" s="139" customFormat="1" ht="15" customHeight="1">
      <c r="A341" s="1" t="s">
        <v>1808</v>
      </c>
      <c r="B341" t="s">
        <v>1809</v>
      </c>
      <c r="C341" t="s">
        <v>1810</v>
      </c>
      <c r="D341" t="s">
        <v>1811</v>
      </c>
      <c r="E341" t="s">
        <v>1812</v>
      </c>
      <c r="F341" t="s">
        <v>1813</v>
      </c>
      <c r="G341" t="s">
        <v>1814</v>
      </c>
      <c r="H341" t="s">
        <v>254</v>
      </c>
      <c r="I341">
        <v>2014</v>
      </c>
      <c r="J341">
        <v>15</v>
      </c>
      <c r="K341" t="s">
        <v>1815</v>
      </c>
      <c r="L341"/>
      <c r="M341" t="str">
        <f>LEFT($D341,FIND(",",$D341)-1)&amp;"_"&amp;I341&amp;L341</f>
        <v>Kayo_2014</v>
      </c>
      <c r="N341" t="s">
        <v>222</v>
      </c>
      <c r="O341" s="171" t="s">
        <v>513</v>
      </c>
      <c r="P341" t="s">
        <v>960</v>
      </c>
      <c r="Q341" t="s">
        <v>389</v>
      </c>
      <c r="R341" s="262" t="s">
        <v>223</v>
      </c>
      <c r="S341" s="1" t="s">
        <v>1816</v>
      </c>
      <c r="T341" t="s">
        <v>1111</v>
      </c>
      <c r="U341" s="264" t="s">
        <v>3144</v>
      </c>
      <c r="V341">
        <v>0</v>
      </c>
      <c r="W341">
        <v>0</v>
      </c>
      <c r="X341">
        <v>0</v>
      </c>
      <c r="Y341">
        <v>0</v>
      </c>
      <c r="Z341">
        <v>0</v>
      </c>
      <c r="AA341">
        <v>0</v>
      </c>
      <c r="AB341">
        <v>0</v>
      </c>
      <c r="AC341">
        <v>0</v>
      </c>
      <c r="AD341">
        <v>0</v>
      </c>
      <c r="AE341">
        <v>0</v>
      </c>
      <c r="AF341">
        <v>1</v>
      </c>
      <c r="AG341">
        <v>0</v>
      </c>
      <c r="AH341">
        <v>0</v>
      </c>
      <c r="AI341">
        <v>0</v>
      </c>
      <c r="AJ341">
        <v>0</v>
      </c>
      <c r="AK341">
        <v>0</v>
      </c>
      <c r="AL341">
        <v>0</v>
      </c>
      <c r="AM341">
        <v>0</v>
      </c>
      <c r="AN341">
        <v>0</v>
      </c>
      <c r="AO341">
        <v>0</v>
      </c>
      <c r="AP341">
        <v>0</v>
      </c>
      <c r="AQ341">
        <v>0</v>
      </c>
      <c r="AR341">
        <v>0</v>
      </c>
      <c r="AS341">
        <v>0</v>
      </c>
      <c r="AT341">
        <v>0</v>
      </c>
      <c r="AU341">
        <v>0</v>
      </c>
      <c r="AV341">
        <v>0</v>
      </c>
      <c r="AW341">
        <v>0</v>
      </c>
      <c r="AX341" s="141">
        <f>COUNTIF(V341:AW341,"&lt;&gt;0")</f>
        <v>1</v>
      </c>
      <c r="AY341" s="141">
        <f>COUNTIF(V341:AL341,"&lt;&gt;0")</f>
        <v>1</v>
      </c>
      <c r="AZ341">
        <f>COUNTIF(V341:AC341,"&lt;&gt;0")</f>
        <v>0</v>
      </c>
      <c r="BA341">
        <f>COUNTIF(AD341:AI341,"&lt;&gt;0")</f>
        <v>1</v>
      </c>
      <c r="BB341">
        <f>COUNTIF(AJ341:AL341,"&lt;&gt;0")</f>
        <v>0</v>
      </c>
      <c r="BC341">
        <f>COUNTIF(AS341:AW341,"&lt;&gt;0")</f>
        <v>0</v>
      </c>
      <c r="BD341">
        <f>COUNTIF(AM341:AR341,"&lt;&gt;0")</f>
        <v>0</v>
      </c>
      <c r="BE341" t="str">
        <f t="array" ref="BE341">IF(AY341=1,INDEX($V$7:$AL$7,MATCH(TRUE,INDEX($V341:$AW341&lt;&gt;0,),0)),IF(AY341=0,INDEX($AM$7:$AW$7,MATCH(1,$AM341:$AW341,0)),IF(BF341="Multiple strategies","mixed drivers",IF(BF341="Supply chain","multiple supply","multiple silviculture"))))</f>
        <v>supply chain organization</v>
      </c>
      <c r="BF341" s="2" t="str" cm="1">
        <f t="array" ref="BF341">IF(COUNTIF(AZ341:BB341,"&lt;&gt;0")=1,INDEX($V$4:$AW$4,MATCH(TRUE,INDEX($V341:$AW341&lt;&gt;0,),0)),IF(COUNTIF(AZ341:BB341,"&lt;&gt;0")=0,INDEX($AM$4:$AW$4,MATCH(1,$AM341:$AW341,0)),"Multiple strategies"))</f>
        <v>Supply chain</v>
      </c>
      <c r="BG341" s="1" t="s">
        <v>229</v>
      </c>
      <c r="BH341" t="s">
        <v>1817</v>
      </c>
      <c r="BI341" s="264" t="s">
        <v>3145</v>
      </c>
      <c r="BJ341" t="s">
        <v>1818</v>
      </c>
      <c r="BK341">
        <v>8620000.0000000019</v>
      </c>
      <c r="BL341">
        <v>11450000.000000002</v>
      </c>
      <c r="BM341" t="s">
        <v>544</v>
      </c>
      <c r="BN341">
        <f>BL341-BK341</f>
        <v>2830000</v>
      </c>
      <c r="BO341">
        <f>BN341</f>
        <v>2830000</v>
      </c>
      <c r="BP341" t="s">
        <v>395</v>
      </c>
      <c r="BQ341" s="264" t="s">
        <v>3146</v>
      </c>
      <c r="BR341" s="264" t="s">
        <v>3147</v>
      </c>
      <c r="BS341">
        <v>21.43</v>
      </c>
      <c r="BT341">
        <v>26.42</v>
      </c>
      <c r="BU341" s="144"/>
      <c r="BV341" s="152">
        <f>BT341-BS341</f>
        <v>4.990000000000002</v>
      </c>
      <c r="BW341"/>
      <c r="BX341" s="152">
        <f>BV341*10^3*C_to_CO2</f>
        <v>18313.300000000007</v>
      </c>
      <c r="BY341">
        <f>IFERROR(BX341/BO341,"")</f>
        <v>6.4711307420494725E-3</v>
      </c>
      <c r="BZ341">
        <v>0</v>
      </c>
      <c r="CA341">
        <v>0</v>
      </c>
      <c r="CB341">
        <v>0</v>
      </c>
      <c r="CC341">
        <v>0</v>
      </c>
      <c r="CD341">
        <v>0</v>
      </c>
      <c r="CE341">
        <v>0</v>
      </c>
      <c r="CF341">
        <v>0</v>
      </c>
      <c r="CG341">
        <v>0</v>
      </c>
      <c r="CH341">
        <v>0</v>
      </c>
      <c r="CI341">
        <v>0</v>
      </c>
      <c r="CJ341">
        <v>0</v>
      </c>
      <c r="CK341">
        <v>0</v>
      </c>
      <c r="CL341">
        <v>0</v>
      </c>
      <c r="CM341">
        <v>0</v>
      </c>
      <c r="CN341" t="str">
        <f>IF($BL341&lt;$BK341,"refNeedCorrection","refOK")</f>
        <v>refOK</v>
      </c>
      <c r="CO341">
        <f>IF($CN341="refOK",$BK341,$BL341)</f>
        <v>8620000.0000000019</v>
      </c>
      <c r="CP341">
        <f>IF($CN341="refOK",$BL341,$BK341)</f>
        <v>11450000.000000002</v>
      </c>
      <c r="CQ341">
        <f>IF($CN341="refOK",$BO341,-$BO341)</f>
        <v>2830000</v>
      </c>
      <c r="CR341">
        <f>IF($CN341="refOK",$BS341,$BT341)*IF($BP341="Emissions positive",-1,1)</f>
        <v>-21.43</v>
      </c>
      <c r="CS341">
        <f>IF($CN341="refOK",$BT341,$BS341)*IF($BP341="Emissions positive",-1,1)</f>
        <v>-26.42</v>
      </c>
      <c r="CT341">
        <f>IF($CN341="refNeedCorrection",-BX341,BX341)*IF($BP341="Emissions positive",-1,1)</f>
        <v>-18313.300000000007</v>
      </c>
      <c r="CU341">
        <f>IFERROR(CT341/CQ341,"")</f>
        <v>-6.4711307420494725E-3</v>
      </c>
      <c r="CV341" s="2">
        <f>IFERROR((CS341-CR341)/ABS(CR341),"")</f>
        <v>-0.23285114325711628</v>
      </c>
      <c r="CW341" s="1" t="s">
        <v>1199</v>
      </c>
      <c r="CX341" t="str">
        <f>IF(OR($CW341="prd",$CW341="std",$CW341="cit"),"loc",IF(OR($CW341="eur",$CW341="reg",$CW341="coy"),"reg",$CW341))</f>
        <v>reg</v>
      </c>
      <c r="CY341" t="s">
        <v>961</v>
      </c>
      <c r="CZ341">
        <v>2050</v>
      </c>
      <c r="DA341">
        <v>2050</v>
      </c>
      <c r="DB341">
        <v>1</v>
      </c>
      <c r="DC341" t="str">
        <f>IF(DB341=0,"0",IF(AND(DB341&gt;=1,DB341&lt;=30),"1-30",IF(AND(DB341&gt;30,DB341&lt;=70),"31-70",IF(AND(DB341&gt;70,DB341&lt;=100),"71-100",IF(DB341&gt;100,"+100")))))</f>
        <v>1-30</v>
      </c>
      <c r="DD341">
        <v>0</v>
      </c>
      <c r="DE341">
        <v>1</v>
      </c>
      <c r="DF341">
        <v>0</v>
      </c>
      <c r="DG341">
        <v>0</v>
      </c>
      <c r="DH341">
        <v>0</v>
      </c>
      <c r="DI341">
        <v>1</v>
      </c>
      <c r="DJ341" t="str">
        <f>IF(DI341=1,INDEX($DD$7:$DG$7,MATCH(1,$DD341:$DG341,0)),"mixedProduct")</f>
        <v>EnergyInput</v>
      </c>
      <c r="DK341">
        <f>IF(DD341=1,DK$7,0)</f>
        <v>0</v>
      </c>
      <c r="DL341" t="str">
        <f>IF(DE341=1,DL$7,0)</f>
        <v>Energy</v>
      </c>
      <c r="DM341">
        <f>IF(DF341=1,DM$7,0)</f>
        <v>0</v>
      </c>
      <c r="DN341">
        <f>IF(DG341=1,DN$7,0)</f>
        <v>0</v>
      </c>
      <c r="DO341">
        <v>0</v>
      </c>
      <c r="DP341">
        <v>0</v>
      </c>
      <c r="DQ341">
        <v>0</v>
      </c>
      <c r="DR341">
        <v>0</v>
      </c>
      <c r="DS341">
        <v>0</v>
      </c>
      <c r="DT341">
        <f>SUM(DO341:DP341)</f>
        <v>0</v>
      </c>
      <c r="DU341" s="143" t="s">
        <v>962</v>
      </c>
      <c r="DV341">
        <v>0</v>
      </c>
      <c r="DW341">
        <v>0</v>
      </c>
      <c r="DX341">
        <v>0</v>
      </c>
      <c r="DY341">
        <v>0</v>
      </c>
      <c r="DZ341">
        <v>0</v>
      </c>
      <c r="EA341" s="143">
        <v>0</v>
      </c>
      <c r="EB341">
        <v>0</v>
      </c>
      <c r="EC341">
        <v>1</v>
      </c>
      <c r="ED341">
        <v>0</v>
      </c>
      <c r="EE341">
        <v>0</v>
      </c>
      <c r="EF341">
        <v>0</v>
      </c>
      <c r="EG341">
        <v>0</v>
      </c>
      <c r="EH341">
        <v>0</v>
      </c>
      <c r="EI341" s="2">
        <v>0</v>
      </c>
      <c r="EJ341" s="1"/>
      <c r="EK341" t="str">
        <f>IF(AND(AND(AND(OR($DX341=1,$DW341=1),OR($EC341=1,$EA341=1)),SUM($DV341:$DZ341,$EF341)&gt;=4),SUM($EA341:$EE341)&gt;=2),"Whole sector","")</f>
        <v/>
      </c>
      <c r="EL341" t="str">
        <f>IF(AND(AND(OR($DX341=1,$DW341=1),AND($EC341=0,$EA341=0)),SUM($DV341:$DZ341,$EF341)&gt;=4),"Ecosystem approach","")</f>
        <v/>
      </c>
      <c r="EM341" s="2" t="str">
        <f>IF(AND(AND(AND($DX341=0,$DW341=0),OR($EC341=1,$EA341=1)),SUM($EB341:$EE341)&gt;=2),"Technology approach","")</f>
        <v/>
      </c>
      <c r="EN341"/>
      <c r="EO341"/>
      <c r="EP341" t="str">
        <f>IF(ISNUMBER(BU341),IF(ABS(BU341-[1]QC_indicators!$B$2)&gt;3*[1]QC_indicators!$C$2,"C ratio",IF(ISNUMBER(BY341),IF(ABS(BY341-[1]QC_indicators!$B$1)&gt;3*[1]QC_indicators!$C$1,"DF","no"))),IF(ISNUMBER(BY341),IF(ABS(BY341-[1]QC_indicators!$B$1)&gt;3*[1]QC_indicators!$C$1,"DF","no")))</f>
        <v>no</v>
      </c>
      <c r="EQ341"/>
      <c r="ER341"/>
      <c r="ES341"/>
      <c r="ET341" s="264" t="s">
        <v>3148</v>
      </c>
      <c r="EU341"/>
    </row>
    <row r="342" spans="1:151" s="139" customFormat="1" ht="15" customHeight="1">
      <c r="A342" s="1" t="s">
        <v>587</v>
      </c>
      <c r="B342" t="s">
        <v>1448</v>
      </c>
      <c r="C342" t="s">
        <v>1449</v>
      </c>
      <c r="D342" t="s">
        <v>1450</v>
      </c>
      <c r="E342" t="s">
        <v>1451</v>
      </c>
      <c r="F342" t="s">
        <v>1452</v>
      </c>
      <c r="G342" t="s">
        <v>593</v>
      </c>
      <c r="H342" t="s">
        <v>254</v>
      </c>
      <c r="I342">
        <v>2020</v>
      </c>
      <c r="J342">
        <v>12</v>
      </c>
      <c r="K342" t="s">
        <v>1453</v>
      </c>
      <c r="L342"/>
      <c r="M342" t="str">
        <f>LEFT($D342,FIND(",",$D342)-1)&amp;"_"&amp;I342&amp;L342</f>
        <v>Elisa_2020</v>
      </c>
      <c r="N342" s="264" t="s">
        <v>222</v>
      </c>
      <c r="O342" s="171" t="s">
        <v>274</v>
      </c>
      <c r="P342" t="s">
        <v>223</v>
      </c>
      <c r="Q342" s="264" t="s">
        <v>389</v>
      </c>
      <c r="R342" s="269" t="s">
        <v>1154</v>
      </c>
      <c r="S342" s="154" t="s">
        <v>1454</v>
      </c>
      <c r="T342" s="294" t="s">
        <v>1455</v>
      </c>
      <c r="U342" s="143" t="s">
        <v>1471</v>
      </c>
      <c r="V342">
        <v>0</v>
      </c>
      <c r="W342">
        <v>0</v>
      </c>
      <c r="X342">
        <v>0</v>
      </c>
      <c r="Y342">
        <v>0</v>
      </c>
      <c r="Z342">
        <v>0</v>
      </c>
      <c r="AA342">
        <v>0</v>
      </c>
      <c r="AB342">
        <v>0</v>
      </c>
      <c r="AC342">
        <v>0</v>
      </c>
      <c r="AD342">
        <v>0</v>
      </c>
      <c r="AE342">
        <v>1</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s="141">
        <f>COUNTIF(V342:AW342,"&lt;&gt;0")</f>
        <v>1</v>
      </c>
      <c r="AY342" s="141">
        <f>COUNTIF(V342:AL342,"&lt;&gt;0")</f>
        <v>1</v>
      </c>
      <c r="AZ342">
        <f>COUNTIF(V342:AC342,"&lt;&gt;0")</f>
        <v>0</v>
      </c>
      <c r="BA342">
        <f>COUNTIF(AD342:AI342,"&lt;&gt;0")</f>
        <v>1</v>
      </c>
      <c r="BB342">
        <f>COUNTIF(AJ342:AL342,"&lt;&gt;0")</f>
        <v>0</v>
      </c>
      <c r="BC342">
        <f>COUNTIF(AS342:AW342,"&lt;&gt;0")</f>
        <v>0</v>
      </c>
      <c r="BD342">
        <f>COUNTIF(AM342:AR342,"&lt;&gt;0")</f>
        <v>0</v>
      </c>
      <c r="BE342" t="str" cm="1">
        <f t="array" ref="BE342">IF(AY342=1,INDEX($V$7:$AL$7,MATCH(TRUE,INDEX($V342:$AW342&lt;&gt;0,),0)),IF(AY342=0,INDEX($AM$7:$AW$7,MATCH(1,$AM342:$AW342,0)),IF(BF342="Multiple strategies","mixed drivers",IF(BF342="Supply chain","multiple supply","multiple silviculture"))))</f>
        <v>location of industry</v>
      </c>
      <c r="BF342" s="2" t="str" cm="1">
        <f t="array" ref="BF342">IF(COUNTIF(AZ342:BB342,"&lt;&gt;0")=1,INDEX($V$4:$AW$4,MATCH(TRUE,INDEX($V342:$AW342&lt;&gt;0,),0)),IF(COUNTIF(AZ342:BB342,"&lt;&gt;0")=0,INDEX($AM$4:$AW$4,MATCH(1,$AM342:$AW342,0)),"Multiple strategies"))</f>
        <v>Supply chain</v>
      </c>
      <c r="BG342" s="142" t="s">
        <v>321</v>
      </c>
      <c r="BH342" s="160" t="s">
        <v>1457</v>
      </c>
      <c r="BI342" s="160" t="s">
        <v>1458</v>
      </c>
      <c r="BJ342" s="143" t="s">
        <v>498</v>
      </c>
      <c r="BK342" s="143">
        <v>944</v>
      </c>
      <c r="BL342" s="143">
        <v>6993</v>
      </c>
      <c r="BM342">
        <f>IFERROR(BL344/BK342,"")</f>
        <v>1.6949152542372881</v>
      </c>
      <c r="BN342">
        <f>BL342-BK342</f>
        <v>6049</v>
      </c>
      <c r="BO342" s="159">
        <f>BN342</f>
        <v>6049</v>
      </c>
      <c r="BP342" s="155" t="s">
        <v>232</v>
      </c>
      <c r="BQ342" s="155" t="s">
        <v>1459</v>
      </c>
      <c r="BR342" s="155" t="s">
        <v>825</v>
      </c>
      <c r="BS342" s="143" t="s">
        <v>1463</v>
      </c>
      <c r="BT342" t="s">
        <v>1473</v>
      </c>
      <c r="BU342" s="144">
        <f>BT342/BS342</f>
        <v>6.6543901107764007</v>
      </c>
      <c r="BV342">
        <f>BT342-BS342</f>
        <v>-39.075468611111098</v>
      </c>
      <c r="BW342"/>
      <c r="BX342">
        <f>BV342</f>
        <v>-39.075468611111098</v>
      </c>
      <c r="BY342">
        <f>IFERROR(BX342/BO342,"")</f>
        <v>-6.459822881651694E-3</v>
      </c>
      <c r="BZ342">
        <v>0</v>
      </c>
      <c r="CA342">
        <v>0</v>
      </c>
      <c r="CB342">
        <v>0</v>
      </c>
      <c r="CC342">
        <v>0</v>
      </c>
      <c r="CD342">
        <v>0</v>
      </c>
      <c r="CE342">
        <v>0</v>
      </c>
      <c r="CF342">
        <v>0</v>
      </c>
      <c r="CG342">
        <v>0</v>
      </c>
      <c r="CH342">
        <v>0</v>
      </c>
      <c r="CI342">
        <v>0</v>
      </c>
      <c r="CJ342">
        <v>0</v>
      </c>
      <c r="CK342">
        <v>0</v>
      </c>
      <c r="CL342">
        <v>0</v>
      </c>
      <c r="CM342">
        <v>0</v>
      </c>
      <c r="CN342" t="str">
        <f>IF($BL342&lt;$BK342,"refNeedCorrection","refOK")</f>
        <v>refOK</v>
      </c>
      <c r="CO342">
        <f>IF($CN342="refOK",$BK342,$BL342)</f>
        <v>944</v>
      </c>
      <c r="CP342">
        <f>IF($CN342="refOK",$BL342,$BK342)</f>
        <v>6993</v>
      </c>
      <c r="CQ342">
        <f>IF($CN342="refOK",$BO342,-$BO342)</f>
        <v>6049</v>
      </c>
      <c r="CR342">
        <f>IF($CN342="refOK",$BS342,$BT342)*IF($BP342="Emissions positive",-1,1)</f>
        <v>-6.9106424999999998</v>
      </c>
      <c r="CS342">
        <f>IF($CN342="refOK",$BT342,$BS342)*IF($BP342="Emissions positive",-1,1)</f>
        <v>-45.9861111111111</v>
      </c>
      <c r="CT342">
        <f>IF($CN342="refNeedCorrection",-BX342,BX342)*IF($BP342="Emissions positive",-1,1)</f>
        <v>-39.075468611111098</v>
      </c>
      <c r="CU342">
        <f>IFERROR(CT342/CQ342,"")</f>
        <v>-6.459822881651694E-3</v>
      </c>
      <c r="CV342" s="2">
        <f>IFERROR((CS342-CR342)/ABS(CR342),"")</f>
        <v>-5.6543901107763999</v>
      </c>
      <c r="CW342" s="263" t="s">
        <v>1462</v>
      </c>
      <c r="CX342" s="264" t="str">
        <f>IF(OR($CW342="prd",$CW342="std",$CW342="cit"),"loc",IF(OR($CW342="eur",$CW342="reg",$CW342="coy"),"reg",$CW342))</f>
        <v>reg</v>
      </c>
      <c r="CY342" s="270" t="s">
        <v>743</v>
      </c>
      <c r="CZ342"/>
      <c r="DA342" s="143"/>
      <c r="DB342" s="143">
        <v>0</v>
      </c>
      <c r="DC342" t="str">
        <f>IF(DB342=0,"0",IF(AND(DB342&gt;=1,DB342&lt;=30),"1-30",IF(AND(DB342&gt;30,DB342&lt;=70),"31-70",IF(AND(DB342&gt;70,DB342&lt;=100),"71-100",IF(DB342&gt;100,"+100")))))</f>
        <v>0</v>
      </c>
      <c r="DD342">
        <v>0</v>
      </c>
      <c r="DE342">
        <v>1</v>
      </c>
      <c r="DF342">
        <v>0</v>
      </c>
      <c r="DG342">
        <v>0</v>
      </c>
      <c r="DH342">
        <v>0</v>
      </c>
      <c r="DI342">
        <f>SUM(DD342:DH342)</f>
        <v>1</v>
      </c>
      <c r="DJ342" t="str">
        <f>IF(DI342=1,INDEX($DD$7:$DG$7,MATCH(1,$DD342:$DG342,0)),"mixedProduct")</f>
        <v>EnergyInput</v>
      </c>
      <c r="DK342">
        <f>IF(DD342=1,DK$7,0)</f>
        <v>0</v>
      </c>
      <c r="DL342" t="str">
        <f>IF(DE342=1,DL$7,0)</f>
        <v>Energy</v>
      </c>
      <c r="DM342">
        <f>IF(DF342=1,DM$7,0)</f>
        <v>0</v>
      </c>
      <c r="DN342">
        <f>IF(DG342=1,DN$7,0)</f>
        <v>0</v>
      </c>
      <c r="DO342">
        <v>0</v>
      </c>
      <c r="DP342" s="143">
        <v>0</v>
      </c>
      <c r="DQ342" s="143">
        <v>0</v>
      </c>
      <c r="DR342">
        <v>0</v>
      </c>
      <c r="DS342" s="143">
        <v>0</v>
      </c>
      <c r="DT342">
        <f>SUM(DO342:DP342)</f>
        <v>0</v>
      </c>
      <c r="DU342" s="143" t="str">
        <f>IF(DO342=1,"self-calculated DF",IF(DP342=1,"external DF used","explicit C balance"))</f>
        <v>explicit C balance</v>
      </c>
      <c r="DV342" s="143">
        <v>0</v>
      </c>
      <c r="DW342" s="143">
        <v>0</v>
      </c>
      <c r="DX342" s="143">
        <v>0</v>
      </c>
      <c r="DY342" s="143">
        <v>0</v>
      </c>
      <c r="DZ342">
        <v>0</v>
      </c>
      <c r="EA342" s="143">
        <v>0</v>
      </c>
      <c r="EB342" s="143">
        <v>0</v>
      </c>
      <c r="EC342" s="143">
        <v>1</v>
      </c>
      <c r="ED342" s="143">
        <v>0</v>
      </c>
      <c r="EE342">
        <v>1</v>
      </c>
      <c r="EF342">
        <v>0</v>
      </c>
      <c r="EG342" s="143">
        <v>0</v>
      </c>
      <c r="EH342" s="143">
        <v>0</v>
      </c>
      <c r="EI342" s="2">
        <v>0</v>
      </c>
      <c r="EJ342" s="1"/>
      <c r="EK342" t="str">
        <f>IF(AND(AND(AND(OR($DX342=1,$DW342=1),OR($EC342=1,$EA342=1)),SUM($DV342:$DZ342,$EF342)&gt;=4),SUM($EA342:$EE342)&gt;=2),"Whole sector","")</f>
        <v/>
      </c>
      <c r="EL342" t="str">
        <f>IF(AND(AND(OR($DX342=1,$DW342=1),AND($EC342=0,$EA342=0)),SUM($DV342:$DZ342,$EF342)&gt;=4),"Ecosystem approach","")</f>
        <v/>
      </c>
      <c r="EM342" s="2" t="str">
        <f>IF(AND(AND(AND($DX342=0,$DW342=0),OR($EC342=1,$EA342=1)),SUM($EB342:$EE342)&gt;=2),"Technology approach","")</f>
        <v>Technology approach</v>
      </c>
      <c r="EN342"/>
      <c r="EO342"/>
      <c r="EP342" t="str">
        <f>IF(ISNUMBER(BU342),IF(ABS(BU342-[3]QC_indicators!$B$2)&gt;3*[3]QC_indicators!$C$2,"C ratio",IF(ISNUMBER(BY342),IF(ABS(BY342-[3]QC_indicators!$B$1)&gt;3*[3]QC_indicators!$C$1,"DF","no"))),IF(ISNUMBER(BY342),IF(ABS(BY342-[3]QC_indicators!$B$1)&gt;3*[3]QC_indicators!$C$1,"DF","no")))</f>
        <v>no</v>
      </c>
      <c r="EQ342"/>
      <c r="ER342" s="149"/>
      <c r="ES342"/>
      <c r="ET342" s="264" t="s">
        <v>3407</v>
      </c>
      <c r="EU342"/>
    </row>
    <row r="343" spans="1:151" s="139" customFormat="1" ht="15" customHeight="1">
      <c r="A343" s="1" t="s">
        <v>587</v>
      </c>
      <c r="B343" t="s">
        <v>1448</v>
      </c>
      <c r="C343" t="s">
        <v>1449</v>
      </c>
      <c r="D343" t="s">
        <v>1450</v>
      </c>
      <c r="E343" t="s">
        <v>1451</v>
      </c>
      <c r="F343" t="s">
        <v>1452</v>
      </c>
      <c r="G343" t="s">
        <v>593</v>
      </c>
      <c r="H343" t="s">
        <v>254</v>
      </c>
      <c r="I343">
        <v>2020</v>
      </c>
      <c r="J343">
        <v>12</v>
      </c>
      <c r="K343" t="s">
        <v>1453</v>
      </c>
      <c r="L343"/>
      <c r="M343" t="str">
        <f>LEFT($D343,FIND(",",$D343)-1)&amp;"_"&amp;I343&amp;L343</f>
        <v>Elisa_2020</v>
      </c>
      <c r="N343" s="264" t="s">
        <v>222</v>
      </c>
      <c r="O343" s="171" t="s">
        <v>274</v>
      </c>
      <c r="P343" t="s">
        <v>223</v>
      </c>
      <c r="Q343" s="264" t="s">
        <v>389</v>
      </c>
      <c r="R343" s="269" t="s">
        <v>1154</v>
      </c>
      <c r="S343" s="154" t="s">
        <v>1454</v>
      </c>
      <c r="T343" s="294" t="s">
        <v>1455</v>
      </c>
      <c r="U343" s="143" t="s">
        <v>1474</v>
      </c>
      <c r="V343">
        <v>0</v>
      </c>
      <c r="W343">
        <v>0</v>
      </c>
      <c r="X343">
        <v>0</v>
      </c>
      <c r="Y343">
        <v>0</v>
      </c>
      <c r="Z343">
        <v>0</v>
      </c>
      <c r="AA343">
        <v>0</v>
      </c>
      <c r="AB343">
        <v>0</v>
      </c>
      <c r="AC343">
        <v>0</v>
      </c>
      <c r="AD343">
        <v>0</v>
      </c>
      <c r="AE343">
        <v>1</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s="141">
        <f>COUNTIF(V343:AW343,"&lt;&gt;0")</f>
        <v>1</v>
      </c>
      <c r="AY343" s="141">
        <f>COUNTIF(V343:AL343,"&lt;&gt;0")</f>
        <v>1</v>
      </c>
      <c r="AZ343">
        <f>COUNTIF(V343:AC343,"&lt;&gt;0")</f>
        <v>0</v>
      </c>
      <c r="BA343">
        <f>COUNTIF(AD343:AI343,"&lt;&gt;0")</f>
        <v>1</v>
      </c>
      <c r="BB343">
        <f>COUNTIF(AJ343:AL343,"&lt;&gt;0")</f>
        <v>0</v>
      </c>
      <c r="BC343">
        <f>COUNTIF(AS343:AW343,"&lt;&gt;0")</f>
        <v>0</v>
      </c>
      <c r="BD343">
        <f>COUNTIF(AM343:AR343,"&lt;&gt;0")</f>
        <v>0</v>
      </c>
      <c r="BE343" t="str" cm="1">
        <f t="array" ref="BE343">IF(AY343=1,INDEX($V$7:$AL$7,MATCH(TRUE,INDEX($V343:$AW343&lt;&gt;0,),0)),IF(AY343=0,INDEX($AM$7:$AW$7,MATCH(1,$AM343:$AW343,0)),IF(BF343="Multiple strategies","mixed drivers",IF(BF343="Supply chain","multiple supply","multiple silviculture"))))</f>
        <v>location of industry</v>
      </c>
      <c r="BF343" s="2" t="str" cm="1">
        <f t="array" ref="BF343">IF(COUNTIF(AZ343:BB343,"&lt;&gt;0")=1,INDEX($V$4:$AW$4,MATCH(TRUE,INDEX($V343:$AW343&lt;&gt;0,),0)),IF(COUNTIF(AZ343:BB343,"&lt;&gt;0")=0,INDEX($AM$4:$AW$4,MATCH(1,$AM343:$AW343,0)),"Multiple strategies"))</f>
        <v>Supply chain</v>
      </c>
      <c r="BG343" s="142" t="s">
        <v>321</v>
      </c>
      <c r="BH343" s="160" t="s">
        <v>1457</v>
      </c>
      <c r="BI343" s="160" t="s">
        <v>1458</v>
      </c>
      <c r="BJ343" s="143" t="s">
        <v>498</v>
      </c>
      <c r="BK343" s="143">
        <v>944</v>
      </c>
      <c r="BL343" s="143">
        <v>1600</v>
      </c>
      <c r="BM343">
        <f>IFERROR(BL343/BK343,"")</f>
        <v>1.6949152542372881</v>
      </c>
      <c r="BN343">
        <f>BL343-BK343</f>
        <v>656</v>
      </c>
      <c r="BO343" s="159">
        <f>BN343</f>
        <v>656</v>
      </c>
      <c r="BP343" s="155" t="s">
        <v>232</v>
      </c>
      <c r="BQ343" s="155" t="s">
        <v>1459</v>
      </c>
      <c r="BR343" s="155" t="s">
        <v>825</v>
      </c>
      <c r="BS343" s="143" t="s">
        <v>1460</v>
      </c>
      <c r="BT343" t="s">
        <v>1475</v>
      </c>
      <c r="BU343" s="144">
        <f>BT343/BS343</f>
        <v>1.5980464530235923</v>
      </c>
      <c r="BV343">
        <f>BT343-BS343</f>
        <v>-4.1971602777778001</v>
      </c>
      <c r="BW343"/>
      <c r="BX343">
        <f>BV343</f>
        <v>-4.1971602777778001</v>
      </c>
      <c r="BY343">
        <f>IFERROR(BX343/BO343,"")</f>
        <v>-6.3981101795393298E-3</v>
      </c>
      <c r="BZ343">
        <v>0</v>
      </c>
      <c r="CA343">
        <v>0</v>
      </c>
      <c r="CB343">
        <v>0</v>
      </c>
      <c r="CC343">
        <v>0</v>
      </c>
      <c r="CD343">
        <v>0</v>
      </c>
      <c r="CE343">
        <v>0</v>
      </c>
      <c r="CF343">
        <v>0</v>
      </c>
      <c r="CG343">
        <v>0</v>
      </c>
      <c r="CH343">
        <v>0</v>
      </c>
      <c r="CI343">
        <v>0</v>
      </c>
      <c r="CJ343">
        <v>0</v>
      </c>
      <c r="CK343">
        <v>0</v>
      </c>
      <c r="CL343">
        <v>0</v>
      </c>
      <c r="CM343">
        <v>0</v>
      </c>
      <c r="CN343" t="str">
        <f>IF($BL343&lt;$BK343,"refNeedCorrection","refOK")</f>
        <v>refOK</v>
      </c>
      <c r="CO343">
        <f>IF($CN343="refOK",$BK343,$BL343)</f>
        <v>944</v>
      </c>
      <c r="CP343">
        <f>IF($CN343="refOK",$BL343,$BK343)</f>
        <v>1600</v>
      </c>
      <c r="CQ343">
        <f>IF($CN343="refOK",$BO343,-$BO343)</f>
        <v>656</v>
      </c>
      <c r="CR343">
        <f>IF($CN343="refOK",$BS343,$BT343)*IF($BP343="Emissions positive",-1,1)</f>
        <v>-7.0181174999999998</v>
      </c>
      <c r="CS343">
        <f>IF($CN343="refOK",$BT343,$BS343)*IF($BP343="Emissions positive",-1,1)</f>
        <v>-11.2152777777778</v>
      </c>
      <c r="CT343">
        <f>IF($CN343="refNeedCorrection",-BX343,BX343)*IF($BP343="Emissions positive",-1,1)</f>
        <v>-4.1971602777778001</v>
      </c>
      <c r="CU343">
        <f>IFERROR(CT343/CQ343,"")</f>
        <v>-6.3981101795393298E-3</v>
      </c>
      <c r="CV343" s="2">
        <f>IFERROR((CS343-CR343)/ABS(CR343),"")</f>
        <v>-0.59804645302359216</v>
      </c>
      <c r="CW343" s="263" t="s">
        <v>1462</v>
      </c>
      <c r="CX343" s="264" t="str">
        <f>IF(OR($CW343="prd",$CW343="std",$CW343="cit"),"loc",IF(OR($CW343="eur",$CW343="reg",$CW343="coy"),"reg",$CW343))</f>
        <v>reg</v>
      </c>
      <c r="CY343" s="270" t="s">
        <v>743</v>
      </c>
      <c r="CZ343"/>
      <c r="DA343" s="143"/>
      <c r="DB343" s="143">
        <v>0</v>
      </c>
      <c r="DC343" t="str">
        <f>IF(DB343=0,"0",IF(AND(DB343&gt;=1,DB343&lt;=30),"1-30",IF(AND(DB343&gt;30,DB343&lt;=70),"31-70",IF(AND(DB343&gt;70,DB343&lt;=100),"71-100",IF(DB343&gt;100,"+100")))))</f>
        <v>0</v>
      </c>
      <c r="DD343">
        <v>0</v>
      </c>
      <c r="DE343">
        <v>1</v>
      </c>
      <c r="DF343">
        <v>0</v>
      </c>
      <c r="DG343">
        <v>0</v>
      </c>
      <c r="DH343">
        <v>0</v>
      </c>
      <c r="DI343">
        <f>SUM(DD343:DH343)</f>
        <v>1</v>
      </c>
      <c r="DJ343" t="str">
        <f>IF(DI343=1,INDEX($DD$7:$DG$7,MATCH(1,$DD343:$DG343,0)),"mixedProduct")</f>
        <v>EnergyInput</v>
      </c>
      <c r="DK343">
        <f>IF(DD343=1,DK$7,0)</f>
        <v>0</v>
      </c>
      <c r="DL343" t="str">
        <f>IF(DE343=1,DL$7,0)</f>
        <v>Energy</v>
      </c>
      <c r="DM343">
        <f>IF(DF343=1,DM$7,0)</f>
        <v>0</v>
      </c>
      <c r="DN343">
        <f>IF(DG343=1,DN$7,0)</f>
        <v>0</v>
      </c>
      <c r="DO343">
        <v>0</v>
      </c>
      <c r="DP343" s="143">
        <v>0</v>
      </c>
      <c r="DQ343" s="143">
        <v>0</v>
      </c>
      <c r="DR343">
        <v>0</v>
      </c>
      <c r="DS343" s="143">
        <v>0</v>
      </c>
      <c r="DT343">
        <f>SUM(DO343:DP343)</f>
        <v>0</v>
      </c>
      <c r="DU343" s="143" t="str">
        <f>IF(DO343=1,"self-calculated DF",IF(DP343=1,"external DF used","explicit C balance"))</f>
        <v>explicit C balance</v>
      </c>
      <c r="DV343" s="143">
        <v>0</v>
      </c>
      <c r="DW343" s="143">
        <v>0</v>
      </c>
      <c r="DX343" s="143">
        <v>0</v>
      </c>
      <c r="DY343" s="143">
        <v>0</v>
      </c>
      <c r="DZ343">
        <v>0</v>
      </c>
      <c r="EA343" s="143">
        <v>0</v>
      </c>
      <c r="EB343" s="143">
        <v>1</v>
      </c>
      <c r="EC343" s="143">
        <v>1</v>
      </c>
      <c r="ED343" s="143">
        <v>0</v>
      </c>
      <c r="EE343">
        <v>1</v>
      </c>
      <c r="EF343">
        <v>0</v>
      </c>
      <c r="EG343" s="143">
        <v>0</v>
      </c>
      <c r="EH343" s="143">
        <v>0</v>
      </c>
      <c r="EI343" s="2">
        <v>0</v>
      </c>
      <c r="EJ343" s="1"/>
      <c r="EK343" t="str">
        <f>IF(AND(AND(AND(OR($DX343=1,$DW343=1),OR($EC343=1,$EA343=1)),SUM($DV343:$DZ343,$EF343)&gt;=4),SUM($EA343:$EE343)&gt;=2),"Whole sector","")</f>
        <v/>
      </c>
      <c r="EL343" t="str">
        <f>IF(AND(AND(OR($DX343=1,$DW343=1),AND($EC343=0,$EA343=0)),SUM($DV343:$DZ343,$EF343)&gt;=4),"Ecosystem approach","")</f>
        <v/>
      </c>
      <c r="EM343" s="2" t="str">
        <f>IF(AND(AND(AND($DX343=0,$DW343=0),OR($EC343=1,$EA343=1)),SUM($EB343:$EE343)&gt;=2),"Technology approach","")</f>
        <v>Technology approach</v>
      </c>
      <c r="EN343"/>
      <c r="EO343"/>
      <c r="EP343" t="str">
        <f>IF(ISNUMBER(BU343),IF(ABS(BU343-[3]QC_indicators!$B$2)&gt;3*[3]QC_indicators!$C$2,"C ratio",IF(ISNUMBER(BY343),IF(ABS(BY343-[3]QC_indicators!$B$1)&gt;3*[3]QC_indicators!$C$1,"DF","no"))),IF(ISNUMBER(BY343),IF(ABS(BY343-[3]QC_indicators!$B$1)&gt;3*[3]QC_indicators!$C$1,"DF","no")))</f>
        <v>no</v>
      </c>
      <c r="EQ343"/>
      <c r="ER343" s="149"/>
      <c r="ES343"/>
      <c r="ET343" s="264" t="s">
        <v>3407</v>
      </c>
      <c r="EU343"/>
    </row>
    <row r="344" spans="1:151" s="139" customFormat="1" ht="15" customHeight="1">
      <c r="A344" s="1" t="s">
        <v>587</v>
      </c>
      <c r="B344" t="s">
        <v>1448</v>
      </c>
      <c r="C344" t="s">
        <v>1449</v>
      </c>
      <c r="D344" t="s">
        <v>1450</v>
      </c>
      <c r="E344" t="s">
        <v>1451</v>
      </c>
      <c r="F344" t="s">
        <v>1452</v>
      </c>
      <c r="G344" t="s">
        <v>593</v>
      </c>
      <c r="H344" t="s">
        <v>254</v>
      </c>
      <c r="I344">
        <v>2020</v>
      </c>
      <c r="J344">
        <v>12</v>
      </c>
      <c r="K344" t="s">
        <v>1453</v>
      </c>
      <c r="L344"/>
      <c r="M344" t="str">
        <f>LEFT($D344,FIND(",",$D344)-1)&amp;"_"&amp;I344&amp;L344</f>
        <v>Elisa_2020</v>
      </c>
      <c r="N344" s="264" t="s">
        <v>222</v>
      </c>
      <c r="O344" s="171" t="s">
        <v>274</v>
      </c>
      <c r="P344" t="s">
        <v>223</v>
      </c>
      <c r="Q344" s="264" t="s">
        <v>389</v>
      </c>
      <c r="R344" s="269" t="s">
        <v>1154</v>
      </c>
      <c r="S344" s="154" t="s">
        <v>1454</v>
      </c>
      <c r="T344" s="294" t="s">
        <v>1455</v>
      </c>
      <c r="U344" s="143" t="s">
        <v>1474</v>
      </c>
      <c r="V344">
        <v>0</v>
      </c>
      <c r="W344">
        <v>0</v>
      </c>
      <c r="X344">
        <v>0</v>
      </c>
      <c r="Y344">
        <v>0</v>
      </c>
      <c r="Z344">
        <v>0</v>
      </c>
      <c r="AA344">
        <v>0</v>
      </c>
      <c r="AB344">
        <v>0</v>
      </c>
      <c r="AC344">
        <v>0</v>
      </c>
      <c r="AD344">
        <v>0</v>
      </c>
      <c r="AE344">
        <v>1</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s="141">
        <f>COUNTIF(V344:AW344,"&lt;&gt;0")</f>
        <v>1</v>
      </c>
      <c r="AY344" s="141">
        <f>COUNTIF(V344:AL344,"&lt;&gt;0")</f>
        <v>1</v>
      </c>
      <c r="AZ344">
        <f>COUNTIF(V344:AC344,"&lt;&gt;0")</f>
        <v>0</v>
      </c>
      <c r="BA344">
        <f>COUNTIF(AD344:AI344,"&lt;&gt;0")</f>
        <v>1</v>
      </c>
      <c r="BB344">
        <f>COUNTIF(AJ344:AL344,"&lt;&gt;0")</f>
        <v>0</v>
      </c>
      <c r="BC344">
        <f>COUNTIF(AS344:AW344,"&lt;&gt;0")</f>
        <v>0</v>
      </c>
      <c r="BD344">
        <f>COUNTIF(AM344:AR344,"&lt;&gt;0")</f>
        <v>0</v>
      </c>
      <c r="BE344" t="str" cm="1">
        <f t="array" ref="BE344">IF(AY344=1,INDEX($V$7:$AL$7,MATCH(TRUE,INDEX($V344:$AW344&lt;&gt;0,),0)),IF(AY344=0,INDEX($AM$7:$AW$7,MATCH(1,$AM344:$AW344,0)),IF(BF344="Multiple strategies","mixed drivers",IF(BF344="Supply chain","multiple supply","multiple silviculture"))))</f>
        <v>location of industry</v>
      </c>
      <c r="BF344" s="2" t="str" cm="1">
        <f t="array" ref="BF344">IF(COUNTIF(AZ344:BB344,"&lt;&gt;0")=1,INDEX($V$4:$AW$4,MATCH(TRUE,INDEX($V344:$AW344&lt;&gt;0,),0)),IF(COUNTIF(AZ344:BB344,"&lt;&gt;0")=0,INDEX($AM$4:$AW$4,MATCH(1,$AM344:$AW344,0)),"Multiple strategies"))</f>
        <v>Supply chain</v>
      </c>
      <c r="BG344" s="142" t="s">
        <v>321</v>
      </c>
      <c r="BH344" s="160" t="s">
        <v>1457</v>
      </c>
      <c r="BI344" s="160" t="s">
        <v>1458</v>
      </c>
      <c r="BJ344" s="143" t="s">
        <v>498</v>
      </c>
      <c r="BK344" s="143">
        <v>944</v>
      </c>
      <c r="BL344" s="143">
        <v>1600</v>
      </c>
      <c r="BM344">
        <f>IFERROR(BL346/BK344,"")</f>
        <v>14.03072033898305</v>
      </c>
      <c r="BN344">
        <f>BL344-BK344</f>
        <v>656</v>
      </c>
      <c r="BO344" s="159">
        <f>BN344</f>
        <v>656</v>
      </c>
      <c r="BP344" s="155" t="s">
        <v>232</v>
      </c>
      <c r="BQ344" s="155" t="s">
        <v>1459</v>
      </c>
      <c r="BR344" s="155" t="s">
        <v>825</v>
      </c>
      <c r="BS344" s="143" t="s">
        <v>1463</v>
      </c>
      <c r="BT344" t="s">
        <v>1476</v>
      </c>
      <c r="BU344" s="144">
        <f>BT344/BS344</f>
        <v>1.588532148461999</v>
      </c>
      <c r="BV344">
        <f>BT344-BS344</f>
        <v>-4.0671352777777994</v>
      </c>
      <c r="BW344"/>
      <c r="BX344">
        <f>BV344</f>
        <v>-4.0671352777777994</v>
      </c>
      <c r="BY344">
        <f>IFERROR(BX344/BO344,"")</f>
        <v>-6.1999013380759135E-3</v>
      </c>
      <c r="BZ344">
        <v>0</v>
      </c>
      <c r="CA344">
        <v>0</v>
      </c>
      <c r="CB344">
        <v>0</v>
      </c>
      <c r="CC344">
        <v>0</v>
      </c>
      <c r="CD344">
        <v>0</v>
      </c>
      <c r="CE344">
        <v>0</v>
      </c>
      <c r="CF344">
        <v>0</v>
      </c>
      <c r="CG344">
        <v>0</v>
      </c>
      <c r="CH344">
        <v>0</v>
      </c>
      <c r="CI344">
        <v>0</v>
      </c>
      <c r="CJ344">
        <v>0</v>
      </c>
      <c r="CK344">
        <v>0</v>
      </c>
      <c r="CL344">
        <v>0</v>
      </c>
      <c r="CM344">
        <v>0</v>
      </c>
      <c r="CN344" t="str">
        <f>IF($BL344&lt;$BK344,"refNeedCorrection","refOK")</f>
        <v>refOK</v>
      </c>
      <c r="CO344">
        <f>IF($CN344="refOK",$BK344,$BL344)</f>
        <v>944</v>
      </c>
      <c r="CP344">
        <f>IF($CN344="refOK",$BL344,$BK344)</f>
        <v>1600</v>
      </c>
      <c r="CQ344">
        <f>IF($CN344="refOK",$BO344,-$BO344)</f>
        <v>656</v>
      </c>
      <c r="CR344">
        <f>IF($CN344="refOK",$BS344,$BT344)*IF($BP344="Emissions positive",-1,1)</f>
        <v>-6.9106424999999998</v>
      </c>
      <c r="CS344">
        <f>IF($CN344="refOK",$BT344,$BS344)*IF($BP344="Emissions positive",-1,1)</f>
        <v>-10.977777777777799</v>
      </c>
      <c r="CT344">
        <f>IF($CN344="refNeedCorrection",-BX344,BX344)*IF($BP344="Emissions positive",-1,1)</f>
        <v>-4.0671352777777994</v>
      </c>
      <c r="CU344">
        <f>IFERROR(CT344/CQ344,"")</f>
        <v>-6.1999013380759135E-3</v>
      </c>
      <c r="CV344" s="2">
        <f>IFERROR((CS344-CR344)/ABS(CR344),"")</f>
        <v>-0.58853214846199897</v>
      </c>
      <c r="CW344" s="263" t="s">
        <v>1462</v>
      </c>
      <c r="CX344" s="264" t="str">
        <f>IF(OR($CW344="prd",$CW344="std",$CW344="cit"),"loc",IF(OR($CW344="eur",$CW344="reg",$CW344="coy"),"reg",$CW344))</f>
        <v>reg</v>
      </c>
      <c r="CY344" s="270" t="s">
        <v>743</v>
      </c>
      <c r="CZ344"/>
      <c r="DA344" s="143"/>
      <c r="DB344" s="143">
        <v>0</v>
      </c>
      <c r="DC344" t="str">
        <f>IF(DB344=0,"0",IF(AND(DB344&gt;=1,DB344&lt;=30),"1-30",IF(AND(DB344&gt;30,DB344&lt;=70),"31-70",IF(AND(DB344&gt;70,DB344&lt;=100),"71-100",IF(DB344&gt;100,"+100")))))</f>
        <v>0</v>
      </c>
      <c r="DD344">
        <v>0</v>
      </c>
      <c r="DE344">
        <v>1</v>
      </c>
      <c r="DF344">
        <v>0</v>
      </c>
      <c r="DG344">
        <v>0</v>
      </c>
      <c r="DH344">
        <v>0</v>
      </c>
      <c r="DI344">
        <f>SUM(DD344:DH344)</f>
        <v>1</v>
      </c>
      <c r="DJ344" t="str">
        <f>IF(DI344=1,INDEX($DD$7:$DG$7,MATCH(1,$DD344:$DG344,0)),"mixedProduct")</f>
        <v>EnergyInput</v>
      </c>
      <c r="DK344">
        <f>IF(DD344=1,DK$7,0)</f>
        <v>0</v>
      </c>
      <c r="DL344" t="str">
        <f>IF(DE344=1,DL$7,0)</f>
        <v>Energy</v>
      </c>
      <c r="DM344">
        <f>IF(DF344=1,DM$7,0)</f>
        <v>0</v>
      </c>
      <c r="DN344">
        <f>IF(DG344=1,DN$7,0)</f>
        <v>0</v>
      </c>
      <c r="DO344">
        <v>0</v>
      </c>
      <c r="DP344" s="143">
        <v>0</v>
      </c>
      <c r="DQ344" s="143">
        <v>0</v>
      </c>
      <c r="DR344">
        <v>0</v>
      </c>
      <c r="DS344" s="143">
        <v>0</v>
      </c>
      <c r="DT344">
        <f>SUM(DO344:DP344)</f>
        <v>0</v>
      </c>
      <c r="DU344" s="143" t="str">
        <f>IF(DO344=1,"self-calculated DF",IF(DP344=1,"external DF used","explicit C balance"))</f>
        <v>explicit C balance</v>
      </c>
      <c r="DV344" s="143">
        <v>0</v>
      </c>
      <c r="DW344" s="143">
        <v>0</v>
      </c>
      <c r="DX344" s="143">
        <v>0</v>
      </c>
      <c r="DY344" s="143">
        <v>0</v>
      </c>
      <c r="DZ344">
        <v>0</v>
      </c>
      <c r="EA344" s="143">
        <v>0</v>
      </c>
      <c r="EB344" s="143">
        <v>0</v>
      </c>
      <c r="EC344" s="143">
        <v>1</v>
      </c>
      <c r="ED344" s="143">
        <v>0</v>
      </c>
      <c r="EE344">
        <v>1</v>
      </c>
      <c r="EF344">
        <v>0</v>
      </c>
      <c r="EG344" s="143">
        <v>0</v>
      </c>
      <c r="EH344" s="143">
        <v>0</v>
      </c>
      <c r="EI344" s="2">
        <v>0</v>
      </c>
      <c r="EJ344" s="1"/>
      <c r="EK344" t="str">
        <f>IF(AND(AND(AND(OR($DX344=1,$DW344=1),OR($EC344=1,$EA344=1)),SUM($DV344:$DZ344,$EF344)&gt;=4),SUM($EA344:$EE344)&gt;=2),"Whole sector","")</f>
        <v/>
      </c>
      <c r="EL344" t="str">
        <f>IF(AND(AND(OR($DX344=1,$DW344=1),AND($EC344=0,$EA344=0)),SUM($DV344:$DZ344,$EF344)&gt;=4),"Ecosystem approach","")</f>
        <v/>
      </c>
      <c r="EM344" s="2" t="str">
        <f>IF(AND(AND(AND($DX344=0,$DW344=0),OR($EC344=1,$EA344=1)),SUM($EB344:$EE344)&gt;=2),"Technology approach","")</f>
        <v>Technology approach</v>
      </c>
      <c r="EN344"/>
      <c r="EO344"/>
      <c r="EP344" t="str">
        <f>IF(ISNUMBER(BU344),IF(ABS(BU344-[3]QC_indicators!$B$2)&gt;3*[3]QC_indicators!$C$2,"C ratio",IF(ISNUMBER(BY344),IF(ABS(BY344-[3]QC_indicators!$B$1)&gt;3*[3]QC_indicators!$C$1,"DF","no"))),IF(ISNUMBER(BY344),IF(ABS(BY344-[3]QC_indicators!$B$1)&gt;3*[3]QC_indicators!$C$1,"DF","no")))</f>
        <v>no</v>
      </c>
      <c r="EQ344"/>
      <c r="ER344" s="149"/>
      <c r="ES344"/>
      <c r="ET344" s="264" t="s">
        <v>3407</v>
      </c>
      <c r="EU344"/>
    </row>
    <row r="345" spans="1:151" s="139" customFormat="1" ht="15" customHeight="1">
      <c r="A345" s="1" t="s">
        <v>587</v>
      </c>
      <c r="B345" t="s">
        <v>1448</v>
      </c>
      <c r="C345" t="s">
        <v>1449</v>
      </c>
      <c r="D345" t="s">
        <v>1450</v>
      </c>
      <c r="E345" t="s">
        <v>1451</v>
      </c>
      <c r="F345" t="s">
        <v>1452</v>
      </c>
      <c r="G345" t="s">
        <v>593</v>
      </c>
      <c r="H345" t="s">
        <v>254</v>
      </c>
      <c r="I345">
        <v>2020</v>
      </c>
      <c r="J345">
        <v>12</v>
      </c>
      <c r="K345" t="s">
        <v>1453</v>
      </c>
      <c r="L345"/>
      <c r="M345" t="str">
        <f>LEFT($D345,FIND(",",$D345)-1)&amp;"_"&amp;I345&amp;L345</f>
        <v>Elisa_2020</v>
      </c>
      <c r="N345" s="264" t="s">
        <v>222</v>
      </c>
      <c r="O345" s="171" t="s">
        <v>274</v>
      </c>
      <c r="P345" t="s">
        <v>223</v>
      </c>
      <c r="Q345" s="264" t="s">
        <v>389</v>
      </c>
      <c r="R345" s="269" t="s">
        <v>1154</v>
      </c>
      <c r="S345" s="154" t="s">
        <v>1454</v>
      </c>
      <c r="T345" s="294" t="s">
        <v>1455</v>
      </c>
      <c r="U345" s="143" t="s">
        <v>1043</v>
      </c>
      <c r="V345">
        <v>0</v>
      </c>
      <c r="W345">
        <v>0</v>
      </c>
      <c r="X345">
        <v>0</v>
      </c>
      <c r="Y345">
        <v>0</v>
      </c>
      <c r="Z345">
        <v>0</v>
      </c>
      <c r="AA345">
        <v>0</v>
      </c>
      <c r="AB345">
        <v>0</v>
      </c>
      <c r="AC345">
        <v>0</v>
      </c>
      <c r="AD345">
        <v>0</v>
      </c>
      <c r="AE345">
        <v>1</v>
      </c>
      <c r="AF345">
        <v>0</v>
      </c>
      <c r="AG345">
        <v>0</v>
      </c>
      <c r="AH345">
        <v>0</v>
      </c>
      <c r="AI345">
        <v>0</v>
      </c>
      <c r="AJ345">
        <v>0</v>
      </c>
      <c r="AK345">
        <v>1</v>
      </c>
      <c r="AL345">
        <v>0</v>
      </c>
      <c r="AM345">
        <v>0</v>
      </c>
      <c r="AN345">
        <v>0</v>
      </c>
      <c r="AO345">
        <v>0</v>
      </c>
      <c r="AP345">
        <v>0</v>
      </c>
      <c r="AQ345">
        <v>0</v>
      </c>
      <c r="AR345">
        <v>0</v>
      </c>
      <c r="AS345">
        <v>0</v>
      </c>
      <c r="AT345">
        <v>0</v>
      </c>
      <c r="AU345">
        <v>0</v>
      </c>
      <c r="AV345">
        <v>0</v>
      </c>
      <c r="AW345">
        <v>0</v>
      </c>
      <c r="AX345" s="141">
        <f>COUNTIF(V345:AW345,"&lt;&gt;0")</f>
        <v>2</v>
      </c>
      <c r="AY345" s="141">
        <f>COUNTIF(V345:AL345,"&lt;&gt;0")</f>
        <v>2</v>
      </c>
      <c r="AZ345">
        <f>COUNTIF(V345:AC345,"&lt;&gt;0")</f>
        <v>0</v>
      </c>
      <c r="BA345">
        <f>COUNTIF(AD345:AI345,"&lt;&gt;0")</f>
        <v>1</v>
      </c>
      <c r="BB345">
        <f>COUNTIF(AJ345:AL345,"&lt;&gt;0")</f>
        <v>1</v>
      </c>
      <c r="BC345">
        <f>COUNTIF(AS345:AW345,"&lt;&gt;0")</f>
        <v>0</v>
      </c>
      <c r="BD345">
        <f>COUNTIF(AM345:AR345,"&lt;&gt;0")</f>
        <v>0</v>
      </c>
      <c r="BE345" t="str" cm="1">
        <f t="array" ref="BE345">IF(AY345=1,INDEX($V$7:$AL$7,MATCH(TRUE,INDEX($V345:$AW345&lt;&gt;0,),0)),IF(AY345=0,INDEX($AM$7:$AW$7,MATCH(1,$AM345:$AW345,0)),IF(BF345="Multiple strategies","mixed drivers",IF(BF345="Supply chain","multiple supply","multiple silviculture"))))</f>
        <v>mixed drivers</v>
      </c>
      <c r="BF345" s="2" t="str" cm="1">
        <f t="array" ref="BF345">IF(COUNTIF(AZ345:BB345,"&lt;&gt;0")=1,INDEX($V$4:$AW$4,MATCH(TRUE,INDEX($V345:$AW345&lt;&gt;0,),0)),IF(COUNTIF(AZ345:BB345,"&lt;&gt;0")=0,INDEX($AM$4:$AW$4,MATCH(1,$AM345:$AW345,0)),"Multiple strategies"))</f>
        <v>Multiple strategies</v>
      </c>
      <c r="BG345" s="142" t="s">
        <v>321</v>
      </c>
      <c r="BH345" s="160" t="s">
        <v>1457</v>
      </c>
      <c r="BI345" s="160" t="s">
        <v>1458</v>
      </c>
      <c r="BJ345" s="143" t="s">
        <v>498</v>
      </c>
      <c r="BK345" s="143">
        <v>944</v>
      </c>
      <c r="BL345" s="143">
        <v>13245</v>
      </c>
      <c r="BM345">
        <f>IFERROR(BL345/BK345,"")</f>
        <v>14.03072033898305</v>
      </c>
      <c r="BN345">
        <f>BL345-BK345</f>
        <v>12301</v>
      </c>
      <c r="BO345" s="159">
        <f>BN345</f>
        <v>12301</v>
      </c>
      <c r="BP345" s="155" t="s">
        <v>232</v>
      </c>
      <c r="BQ345" s="155" t="s">
        <v>1459</v>
      </c>
      <c r="BR345" s="155" t="s">
        <v>825</v>
      </c>
      <c r="BS345" s="143" t="s">
        <v>1460</v>
      </c>
      <c r="BT345" t="s">
        <v>1486</v>
      </c>
      <c r="BU345" s="144">
        <f>BT345/BS345</f>
        <v>11.732134721312375</v>
      </c>
      <c r="BV345">
        <f>BT345-BS345</f>
        <v>-75.319382500000003</v>
      </c>
      <c r="BW345"/>
      <c r="BX345">
        <f>BV345</f>
        <v>-75.319382500000003</v>
      </c>
      <c r="BY345">
        <f>IFERROR(BX345/BO345,"")</f>
        <v>-6.1230292252662391E-3</v>
      </c>
      <c r="BZ345">
        <v>0</v>
      </c>
      <c r="CA345">
        <v>0</v>
      </c>
      <c r="CB345">
        <v>0</v>
      </c>
      <c r="CC345">
        <v>0</v>
      </c>
      <c r="CD345">
        <v>0</v>
      </c>
      <c r="CE345">
        <v>0</v>
      </c>
      <c r="CF345">
        <v>0</v>
      </c>
      <c r="CG345">
        <v>0</v>
      </c>
      <c r="CH345">
        <v>0</v>
      </c>
      <c r="CI345">
        <v>0</v>
      </c>
      <c r="CJ345">
        <v>0</v>
      </c>
      <c r="CK345">
        <v>0</v>
      </c>
      <c r="CL345">
        <v>0</v>
      </c>
      <c r="CM345">
        <v>0</v>
      </c>
      <c r="CN345" t="str">
        <f>IF($BL345&lt;$BK345,"refNeedCorrection","refOK")</f>
        <v>refOK</v>
      </c>
      <c r="CO345">
        <f>IF($CN345="refOK",$BK345,$BL345)</f>
        <v>944</v>
      </c>
      <c r="CP345">
        <f>IF($CN345="refOK",$BL345,$BK345)</f>
        <v>13245</v>
      </c>
      <c r="CQ345">
        <f>IF($CN345="refOK",$BO345,-$BO345)</f>
        <v>12301</v>
      </c>
      <c r="CR345">
        <f>IF($CN345="refOK",$BS345,$BT345)*IF($BP345="Emissions positive",-1,1)</f>
        <v>-7.0181174999999998</v>
      </c>
      <c r="CS345">
        <f>IF($CN345="refOK",$BT345,$BS345)*IF($BP345="Emissions positive",-1,1)</f>
        <v>-82.337500000000006</v>
      </c>
      <c r="CT345">
        <f>IF($CN345="refNeedCorrection",-BX345,BX345)*IF($BP345="Emissions positive",-1,1)</f>
        <v>-75.319382500000003</v>
      </c>
      <c r="CU345">
        <f>IFERROR(CT345/CQ345,"")</f>
        <v>-6.1230292252662391E-3</v>
      </c>
      <c r="CV345" s="2">
        <f>IFERROR((CS345-CR345)/ABS(CR345),"")</f>
        <v>-10.732134721312375</v>
      </c>
      <c r="CW345" s="263" t="s">
        <v>1462</v>
      </c>
      <c r="CX345" s="264" t="str">
        <f>IF(OR($CW345="prd",$CW345="std",$CW345="cit"),"loc",IF(OR($CW345="eur",$CW345="reg",$CW345="coy"),"reg",$CW345))</f>
        <v>reg</v>
      </c>
      <c r="CY345" s="270" t="s">
        <v>743</v>
      </c>
      <c r="CZ345"/>
      <c r="DA345" s="143"/>
      <c r="DB345" s="143">
        <v>0</v>
      </c>
      <c r="DC345" t="str">
        <f>IF(DB345=0,"0",IF(AND(DB345&gt;=1,DB345&lt;=30),"1-30",IF(AND(DB345&gt;30,DB345&lt;=70),"31-70",IF(AND(DB345&gt;70,DB345&lt;=100),"71-100",IF(DB345&gt;100,"+100")))))</f>
        <v>0</v>
      </c>
      <c r="DD345">
        <v>0</v>
      </c>
      <c r="DE345">
        <v>1</v>
      </c>
      <c r="DF345">
        <v>0</v>
      </c>
      <c r="DG345">
        <v>0</v>
      </c>
      <c r="DH345">
        <v>0</v>
      </c>
      <c r="DI345">
        <f>SUM(DD345:DH345)</f>
        <v>1</v>
      </c>
      <c r="DJ345" t="str">
        <f>IF(DI345=1,INDEX($DD$7:$DG$7,MATCH(1,$DD345:$DG345,0)),"mixedProduct")</f>
        <v>EnergyInput</v>
      </c>
      <c r="DK345">
        <f>IF(DD345=1,DK$7,0)</f>
        <v>0</v>
      </c>
      <c r="DL345" t="str">
        <f>IF(DE345=1,DL$7,0)</f>
        <v>Energy</v>
      </c>
      <c r="DM345">
        <f>IF(DF345=1,DM$7,0)</f>
        <v>0</v>
      </c>
      <c r="DN345">
        <f>IF(DG345=1,DN$7,0)</f>
        <v>0</v>
      </c>
      <c r="DO345">
        <v>0</v>
      </c>
      <c r="DP345" s="143">
        <v>0</v>
      </c>
      <c r="DQ345" s="143">
        <v>0</v>
      </c>
      <c r="DR345">
        <v>0</v>
      </c>
      <c r="DS345" s="143">
        <v>0</v>
      </c>
      <c r="DT345">
        <f>SUM(DO345:DP345)</f>
        <v>0</v>
      </c>
      <c r="DU345" s="143" t="str">
        <f>IF(DO345=1,"self-calculated DF",IF(DP345=1,"external DF used","explicit C balance"))</f>
        <v>explicit C balance</v>
      </c>
      <c r="DV345" s="143">
        <v>0</v>
      </c>
      <c r="DW345" s="143">
        <v>0</v>
      </c>
      <c r="DX345" s="143">
        <v>0</v>
      </c>
      <c r="DY345" s="143">
        <v>0</v>
      </c>
      <c r="DZ345">
        <v>0</v>
      </c>
      <c r="EA345" s="143">
        <v>0</v>
      </c>
      <c r="EB345" s="143">
        <v>1</v>
      </c>
      <c r="EC345" s="143">
        <v>1</v>
      </c>
      <c r="ED345" s="143">
        <v>0</v>
      </c>
      <c r="EE345">
        <v>1</v>
      </c>
      <c r="EF345">
        <v>0</v>
      </c>
      <c r="EG345" s="143">
        <v>0</v>
      </c>
      <c r="EH345" s="143">
        <v>0</v>
      </c>
      <c r="EI345" s="2">
        <v>0</v>
      </c>
      <c r="EJ345" s="1"/>
      <c r="EK345" t="str">
        <f>IF(AND(AND(AND(OR($DX345=1,$DW345=1),OR($EC345=1,$EA345=1)),SUM($DV345:$DZ345,$EF345)&gt;=4),SUM($EA345:$EE345)&gt;=2),"Whole sector","")</f>
        <v/>
      </c>
      <c r="EL345" t="str">
        <f>IF(AND(AND(OR($DX345=1,$DW345=1),AND($EC345=0,$EA345=0)),SUM($DV345:$DZ345,$EF345)&gt;=4),"Ecosystem approach","")</f>
        <v/>
      </c>
      <c r="EM345" s="2" t="str">
        <f>IF(AND(AND(AND($DX345=0,$DW345=0),OR($EC345=1,$EA345=1)),SUM($EB345:$EE345)&gt;=2),"Technology approach","")</f>
        <v>Technology approach</v>
      </c>
      <c r="EN345"/>
      <c r="EO345"/>
      <c r="EP345" t="str">
        <f>IF(ISNUMBER(BU345),IF(ABS(BU345-[3]QC_indicators!$B$2)&gt;3*[3]QC_indicators!$C$2,"C ratio",IF(ISNUMBER(BY345),IF(ABS(BY345-[3]QC_indicators!$B$1)&gt;3*[3]QC_indicators!$C$1,"DF","no"))),IF(ISNUMBER(BY345),IF(ABS(BY345-[3]QC_indicators!$B$1)&gt;3*[3]QC_indicators!$C$1,"DF","no")))</f>
        <v>no</v>
      </c>
      <c r="EQ345"/>
      <c r="ER345" s="149"/>
      <c r="ES345"/>
      <c r="ET345" s="264" t="s">
        <v>3407</v>
      </c>
      <c r="EU345"/>
    </row>
    <row r="346" spans="1:151" s="139" customFormat="1" ht="15" customHeight="1">
      <c r="A346" s="1" t="s">
        <v>587</v>
      </c>
      <c r="B346" t="s">
        <v>1448</v>
      </c>
      <c r="C346" t="s">
        <v>1449</v>
      </c>
      <c r="D346" t="s">
        <v>1450</v>
      </c>
      <c r="E346" t="s">
        <v>1451</v>
      </c>
      <c r="F346" t="s">
        <v>1452</v>
      </c>
      <c r="G346" t="s">
        <v>593</v>
      </c>
      <c r="H346" t="s">
        <v>254</v>
      </c>
      <c r="I346">
        <v>2020</v>
      </c>
      <c r="J346">
        <v>12</v>
      </c>
      <c r="K346" t="s">
        <v>1453</v>
      </c>
      <c r="L346"/>
      <c r="M346" t="str">
        <f>LEFT($D346,FIND(",",$D346)-1)&amp;"_"&amp;I346&amp;L346</f>
        <v>Elisa_2020</v>
      </c>
      <c r="N346" s="264" t="s">
        <v>222</v>
      </c>
      <c r="O346" s="171" t="s">
        <v>274</v>
      </c>
      <c r="P346" t="s">
        <v>223</v>
      </c>
      <c r="Q346" s="264" t="s">
        <v>389</v>
      </c>
      <c r="R346" s="269" t="s">
        <v>1154</v>
      </c>
      <c r="S346" s="154" t="s">
        <v>1454</v>
      </c>
      <c r="T346" s="294" t="s">
        <v>1455</v>
      </c>
      <c r="U346" s="143" t="s">
        <v>1043</v>
      </c>
      <c r="V346">
        <v>0</v>
      </c>
      <c r="W346">
        <v>0</v>
      </c>
      <c r="X346">
        <v>0</v>
      </c>
      <c r="Y346">
        <v>0</v>
      </c>
      <c r="Z346">
        <v>0</v>
      </c>
      <c r="AA346">
        <v>0</v>
      </c>
      <c r="AB346">
        <v>0</v>
      </c>
      <c r="AC346">
        <v>0</v>
      </c>
      <c r="AD346">
        <v>0</v>
      </c>
      <c r="AE346">
        <v>1</v>
      </c>
      <c r="AF346">
        <v>0</v>
      </c>
      <c r="AG346">
        <v>0</v>
      </c>
      <c r="AH346">
        <v>0</v>
      </c>
      <c r="AI346">
        <v>0</v>
      </c>
      <c r="AJ346">
        <v>0</v>
      </c>
      <c r="AK346">
        <v>1</v>
      </c>
      <c r="AL346">
        <v>0</v>
      </c>
      <c r="AM346">
        <v>0</v>
      </c>
      <c r="AN346">
        <v>0</v>
      </c>
      <c r="AO346">
        <v>0</v>
      </c>
      <c r="AP346">
        <v>0</v>
      </c>
      <c r="AQ346">
        <v>0</v>
      </c>
      <c r="AR346">
        <v>0</v>
      </c>
      <c r="AS346">
        <v>0</v>
      </c>
      <c r="AT346">
        <v>0</v>
      </c>
      <c r="AU346">
        <v>0</v>
      </c>
      <c r="AV346">
        <v>0</v>
      </c>
      <c r="AW346">
        <v>0</v>
      </c>
      <c r="AX346" s="141">
        <f>COUNTIF(V346:AW346,"&lt;&gt;0")</f>
        <v>2</v>
      </c>
      <c r="AY346" s="141">
        <f>COUNTIF(V346:AL346,"&lt;&gt;0")</f>
        <v>2</v>
      </c>
      <c r="AZ346">
        <f>COUNTIF(V346:AC346,"&lt;&gt;0")</f>
        <v>0</v>
      </c>
      <c r="BA346">
        <f>COUNTIF(AD346:AI346,"&lt;&gt;0")</f>
        <v>1</v>
      </c>
      <c r="BB346">
        <f>COUNTIF(AJ346:AL346,"&lt;&gt;0")</f>
        <v>1</v>
      </c>
      <c r="BC346">
        <f>COUNTIF(AS346:AW346,"&lt;&gt;0")</f>
        <v>0</v>
      </c>
      <c r="BD346">
        <f>COUNTIF(AM346:AR346,"&lt;&gt;0")</f>
        <v>0</v>
      </c>
      <c r="BE346" t="str" cm="1">
        <f t="array" ref="BE346">IF(AY346=1,INDEX($V$7:$AL$7,MATCH(TRUE,INDEX($V346:$AW346&lt;&gt;0,),0)),IF(AY346=0,INDEX($AM$7:$AW$7,MATCH(1,$AM346:$AW346,0)),IF(BF346="Multiple strategies","mixed drivers",IF(BF346="Supply chain","multiple supply","multiple silviculture"))))</f>
        <v>mixed drivers</v>
      </c>
      <c r="BF346" s="2" t="str" cm="1">
        <f t="array" ref="BF346">IF(COUNTIF(AZ346:BB346,"&lt;&gt;0")=1,INDEX($V$4:$AW$4,MATCH(TRUE,INDEX($V346:$AW346&lt;&gt;0,),0)),IF(COUNTIF(AZ346:BB346,"&lt;&gt;0")=0,INDEX($AM$4:$AW$4,MATCH(1,$AM346:$AW346,0)),"Multiple strategies"))</f>
        <v>Multiple strategies</v>
      </c>
      <c r="BG346" s="142" t="s">
        <v>321</v>
      </c>
      <c r="BH346" s="160" t="s">
        <v>1457</v>
      </c>
      <c r="BI346" s="160" t="s">
        <v>1458</v>
      </c>
      <c r="BJ346" s="143" t="s">
        <v>498</v>
      </c>
      <c r="BK346" s="143">
        <v>944</v>
      </c>
      <c r="BL346" s="143">
        <v>13245</v>
      </c>
      <c r="BM346">
        <f>IFERROR(BL348/BK346,"")</f>
        <v>4.7669491525423728</v>
      </c>
      <c r="BN346">
        <f>BL346-BK346</f>
        <v>12301</v>
      </c>
      <c r="BO346" s="159">
        <f>BN346</f>
        <v>12301</v>
      </c>
      <c r="BP346" s="155" t="s">
        <v>232</v>
      </c>
      <c r="BQ346" s="155" t="s">
        <v>1459</v>
      </c>
      <c r="BR346" s="155" t="s">
        <v>825</v>
      </c>
      <c r="BS346" s="143" t="s">
        <v>1463</v>
      </c>
      <c r="BT346" t="s">
        <v>1487</v>
      </c>
      <c r="BU346" s="144">
        <f>BT346/BS346</f>
        <v>11.69090524747398</v>
      </c>
      <c r="BV346">
        <f>BT346-BS346</f>
        <v>-73.881024166666705</v>
      </c>
      <c r="BW346"/>
      <c r="BX346">
        <f>BV346</f>
        <v>-73.881024166666705</v>
      </c>
      <c r="BY346">
        <f>IFERROR(BX346/BO346,"")</f>
        <v>-6.0060990298891719E-3</v>
      </c>
      <c r="BZ346">
        <v>0</v>
      </c>
      <c r="CA346">
        <v>0</v>
      </c>
      <c r="CB346">
        <v>0</v>
      </c>
      <c r="CC346">
        <v>0</v>
      </c>
      <c r="CD346">
        <v>0</v>
      </c>
      <c r="CE346">
        <v>0</v>
      </c>
      <c r="CF346">
        <v>0</v>
      </c>
      <c r="CG346">
        <v>0</v>
      </c>
      <c r="CH346">
        <v>0</v>
      </c>
      <c r="CI346">
        <v>0</v>
      </c>
      <c r="CJ346">
        <v>0</v>
      </c>
      <c r="CK346">
        <v>0</v>
      </c>
      <c r="CL346">
        <v>0</v>
      </c>
      <c r="CM346">
        <v>0</v>
      </c>
      <c r="CN346" t="str">
        <f>IF($BL346&lt;$BK346,"refNeedCorrection","refOK")</f>
        <v>refOK</v>
      </c>
      <c r="CO346">
        <f>IF($CN346="refOK",$BK346,$BL346)</f>
        <v>944</v>
      </c>
      <c r="CP346">
        <f>IF($CN346="refOK",$BL346,$BK346)</f>
        <v>13245</v>
      </c>
      <c r="CQ346">
        <f>IF($CN346="refOK",$BO346,-$BO346)</f>
        <v>12301</v>
      </c>
      <c r="CR346">
        <f>IF($CN346="refOK",$BS346,$BT346)*IF($BP346="Emissions positive",-1,1)</f>
        <v>-6.9106424999999998</v>
      </c>
      <c r="CS346">
        <f>IF($CN346="refOK",$BT346,$BS346)*IF($BP346="Emissions positive",-1,1)</f>
        <v>-80.7916666666667</v>
      </c>
      <c r="CT346">
        <f>IF($CN346="refNeedCorrection",-BX346,BX346)*IF($BP346="Emissions positive",-1,1)</f>
        <v>-73.881024166666705</v>
      </c>
      <c r="CU346">
        <f>IFERROR(CT346/CQ346,"")</f>
        <v>-6.0060990298891719E-3</v>
      </c>
      <c r="CV346" s="2">
        <f>IFERROR((CS346-CR346)/ABS(CR346),"")</f>
        <v>-10.69090524747398</v>
      </c>
      <c r="CW346" s="263" t="s">
        <v>1462</v>
      </c>
      <c r="CX346" s="264" t="str">
        <f>IF(OR($CW346="prd",$CW346="std",$CW346="cit"),"loc",IF(OR($CW346="eur",$CW346="reg",$CW346="coy"),"reg",$CW346))</f>
        <v>reg</v>
      </c>
      <c r="CY346" s="270" t="s">
        <v>743</v>
      </c>
      <c r="CZ346"/>
      <c r="DA346" s="143"/>
      <c r="DB346" s="143">
        <v>0</v>
      </c>
      <c r="DC346" t="str">
        <f>IF(DB346=0,"0",IF(AND(DB346&gt;=1,DB346&lt;=30),"1-30",IF(AND(DB346&gt;30,DB346&lt;=70),"31-70",IF(AND(DB346&gt;70,DB346&lt;=100),"71-100",IF(DB346&gt;100,"+100")))))</f>
        <v>0</v>
      </c>
      <c r="DD346">
        <v>0</v>
      </c>
      <c r="DE346">
        <v>1</v>
      </c>
      <c r="DF346">
        <v>0</v>
      </c>
      <c r="DG346">
        <v>0</v>
      </c>
      <c r="DH346">
        <v>0</v>
      </c>
      <c r="DI346">
        <f>SUM(DD346:DH346)</f>
        <v>1</v>
      </c>
      <c r="DJ346" t="str">
        <f>IF(DI346=1,INDEX($DD$7:$DG$7,MATCH(1,$DD346:$DG346,0)),"mixedProduct")</f>
        <v>EnergyInput</v>
      </c>
      <c r="DK346">
        <f>IF(DD346=1,DK$7,0)</f>
        <v>0</v>
      </c>
      <c r="DL346" t="str">
        <f>IF(DE346=1,DL$7,0)</f>
        <v>Energy</v>
      </c>
      <c r="DM346">
        <f>IF(DF346=1,DM$7,0)</f>
        <v>0</v>
      </c>
      <c r="DN346">
        <f>IF(DG346=1,DN$7,0)</f>
        <v>0</v>
      </c>
      <c r="DO346">
        <v>0</v>
      </c>
      <c r="DP346" s="143">
        <v>0</v>
      </c>
      <c r="DQ346" s="143">
        <v>0</v>
      </c>
      <c r="DR346">
        <v>0</v>
      </c>
      <c r="DS346" s="143">
        <v>0</v>
      </c>
      <c r="DT346">
        <f>SUM(DO346:DP346)</f>
        <v>0</v>
      </c>
      <c r="DU346" s="143" t="str">
        <f>IF(DO346=1,"self-calculated DF",IF(DP346=1,"external DF used","explicit C balance"))</f>
        <v>explicit C balance</v>
      </c>
      <c r="DV346" s="143">
        <v>0</v>
      </c>
      <c r="DW346" s="143">
        <v>0</v>
      </c>
      <c r="DX346" s="143">
        <v>0</v>
      </c>
      <c r="DY346" s="143">
        <v>0</v>
      </c>
      <c r="DZ346">
        <v>0</v>
      </c>
      <c r="EA346" s="143">
        <v>0</v>
      </c>
      <c r="EB346" s="143">
        <v>0</v>
      </c>
      <c r="EC346" s="143">
        <v>1</v>
      </c>
      <c r="ED346" s="143">
        <v>0</v>
      </c>
      <c r="EE346">
        <v>1</v>
      </c>
      <c r="EF346">
        <v>0</v>
      </c>
      <c r="EG346" s="143">
        <v>0</v>
      </c>
      <c r="EH346" s="143">
        <v>0</v>
      </c>
      <c r="EI346" s="2">
        <v>0</v>
      </c>
      <c r="EJ346" s="1"/>
      <c r="EK346" t="str">
        <f>IF(AND(AND(AND(OR($DX346=1,$DW346=1),OR($EC346=1,$EA346=1)),SUM($DV346:$DZ346,$EF346)&gt;=4),SUM($EA346:$EE346)&gt;=2),"Whole sector","")</f>
        <v/>
      </c>
      <c r="EL346" t="str">
        <f>IF(AND(AND(OR($DX346=1,$DW346=1),AND($EC346=0,$EA346=0)),SUM($DV346:$DZ346,$EF346)&gt;=4),"Ecosystem approach","")</f>
        <v/>
      </c>
      <c r="EM346" s="2" t="str">
        <f>IF(AND(AND(AND($DX346=0,$DW346=0),OR($EC346=1,$EA346=1)),SUM($EB346:$EE346)&gt;=2),"Technology approach","")</f>
        <v>Technology approach</v>
      </c>
      <c r="EN346"/>
      <c r="EO346"/>
      <c r="EP346" t="str">
        <f>IF(ISNUMBER(BU346),IF(ABS(BU346-[3]QC_indicators!$B$2)&gt;3*[3]QC_indicators!$C$2,"C ratio",IF(ISNUMBER(BY346),IF(ABS(BY346-[3]QC_indicators!$B$1)&gt;3*[3]QC_indicators!$C$1,"DF","no"))),IF(ISNUMBER(BY346),IF(ABS(BY346-[3]QC_indicators!$B$1)&gt;3*[3]QC_indicators!$C$1,"DF","no")))</f>
        <v>no</v>
      </c>
      <c r="EQ346"/>
      <c r="ER346" s="149"/>
      <c r="ES346"/>
      <c r="ET346" s="264" t="s">
        <v>3407</v>
      </c>
      <c r="EU346"/>
    </row>
    <row r="347" spans="1:151" s="139" customFormat="1" ht="15" customHeight="1">
      <c r="A347" s="1" t="s">
        <v>587</v>
      </c>
      <c r="B347" t="s">
        <v>1448</v>
      </c>
      <c r="C347" t="s">
        <v>1449</v>
      </c>
      <c r="D347" t="s">
        <v>1450</v>
      </c>
      <c r="E347" t="s">
        <v>1451</v>
      </c>
      <c r="F347" t="s">
        <v>1452</v>
      </c>
      <c r="G347" t="s">
        <v>593</v>
      </c>
      <c r="H347" t="s">
        <v>254</v>
      </c>
      <c r="I347">
        <v>2020</v>
      </c>
      <c r="J347">
        <v>12</v>
      </c>
      <c r="K347" t="s">
        <v>1453</v>
      </c>
      <c r="L347"/>
      <c r="M347" t="str">
        <f>LEFT($D347,FIND(",",$D347)-1)&amp;"_"&amp;I347&amp;L347</f>
        <v>Elisa_2020</v>
      </c>
      <c r="N347" s="264" t="s">
        <v>222</v>
      </c>
      <c r="O347" s="171" t="s">
        <v>274</v>
      </c>
      <c r="P347" t="s">
        <v>223</v>
      </c>
      <c r="Q347" s="264" t="s">
        <v>389</v>
      </c>
      <c r="R347" s="269" t="s">
        <v>1154</v>
      </c>
      <c r="S347" s="154" t="s">
        <v>1454</v>
      </c>
      <c r="T347" s="294" t="s">
        <v>1455</v>
      </c>
      <c r="U347" s="143" t="s">
        <v>1488</v>
      </c>
      <c r="V347">
        <v>0</v>
      </c>
      <c r="W347">
        <v>0</v>
      </c>
      <c r="X347">
        <v>0</v>
      </c>
      <c r="Y347">
        <v>0</v>
      </c>
      <c r="Z347">
        <v>0</v>
      </c>
      <c r="AA347">
        <v>0</v>
      </c>
      <c r="AB347">
        <v>0</v>
      </c>
      <c r="AC347">
        <v>0</v>
      </c>
      <c r="AD347">
        <v>0</v>
      </c>
      <c r="AE347">
        <v>1</v>
      </c>
      <c r="AF347">
        <v>0</v>
      </c>
      <c r="AG347">
        <v>0</v>
      </c>
      <c r="AH347">
        <v>0</v>
      </c>
      <c r="AI347">
        <v>0</v>
      </c>
      <c r="AJ347">
        <v>0</v>
      </c>
      <c r="AK347">
        <v>1</v>
      </c>
      <c r="AL347">
        <v>0</v>
      </c>
      <c r="AM347">
        <v>0</v>
      </c>
      <c r="AN347">
        <v>0</v>
      </c>
      <c r="AO347">
        <v>0</v>
      </c>
      <c r="AP347">
        <v>0</v>
      </c>
      <c r="AQ347">
        <v>0</v>
      </c>
      <c r="AR347">
        <v>0</v>
      </c>
      <c r="AS347">
        <v>0</v>
      </c>
      <c r="AT347">
        <v>0</v>
      </c>
      <c r="AU347">
        <v>0</v>
      </c>
      <c r="AV347">
        <v>0</v>
      </c>
      <c r="AW347">
        <v>0</v>
      </c>
      <c r="AX347" s="141">
        <f>COUNTIF(V347:AW347,"&lt;&gt;0")</f>
        <v>2</v>
      </c>
      <c r="AY347" s="141">
        <f>COUNTIF(V347:AL347,"&lt;&gt;0")</f>
        <v>2</v>
      </c>
      <c r="AZ347">
        <f>COUNTIF(V347:AC347,"&lt;&gt;0")</f>
        <v>0</v>
      </c>
      <c r="BA347">
        <f>COUNTIF(AD347:AI347,"&lt;&gt;0")</f>
        <v>1</v>
      </c>
      <c r="BB347">
        <f>COUNTIF(AJ347:AL347,"&lt;&gt;0")</f>
        <v>1</v>
      </c>
      <c r="BC347">
        <f>COUNTIF(AS347:AW347,"&lt;&gt;0")</f>
        <v>0</v>
      </c>
      <c r="BD347">
        <f>COUNTIF(AM347:AR347,"&lt;&gt;0")</f>
        <v>0</v>
      </c>
      <c r="BE347" t="str" cm="1">
        <f t="array" ref="BE347">IF(AY347=1,INDEX($V$7:$AL$7,MATCH(TRUE,INDEX($V347:$AW347&lt;&gt;0,),0)),IF(AY347=0,INDEX($AM$7:$AW$7,MATCH(1,$AM347:$AW347,0)),IF(BF347="Multiple strategies","mixed drivers",IF(BF347="Supply chain","multiple supply","multiple silviculture"))))</f>
        <v>mixed drivers</v>
      </c>
      <c r="BF347" s="2" t="str" cm="1">
        <f t="array" ref="BF347">IF(COUNTIF(AZ347:BB347,"&lt;&gt;0")=1,INDEX($V$4:$AW$4,MATCH(TRUE,INDEX($V347:$AW347&lt;&gt;0,),0)),IF(COUNTIF(AZ347:BB347,"&lt;&gt;0")=0,INDEX($AM$4:$AW$4,MATCH(1,$AM347:$AW347,0)),"Multiple strategies"))</f>
        <v>Multiple strategies</v>
      </c>
      <c r="BG347" s="142" t="s">
        <v>321</v>
      </c>
      <c r="BH347" s="160" t="s">
        <v>1457</v>
      </c>
      <c r="BI347" s="160" t="s">
        <v>1458</v>
      </c>
      <c r="BJ347" s="143" t="s">
        <v>498</v>
      </c>
      <c r="BK347" s="143">
        <v>944</v>
      </c>
      <c r="BL347" s="143">
        <v>4000</v>
      </c>
      <c r="BM347">
        <f>IFERROR(BL347/BK347,"")</f>
        <v>4.2372881355932206</v>
      </c>
      <c r="BN347">
        <f>BL347-BK347</f>
        <v>3056</v>
      </c>
      <c r="BO347" s="159">
        <f>BN347</f>
        <v>3056</v>
      </c>
      <c r="BP347" s="155" t="s">
        <v>232</v>
      </c>
      <c r="BQ347" s="155" t="s">
        <v>1459</v>
      </c>
      <c r="BR347" s="155" t="s">
        <v>825</v>
      </c>
      <c r="BS347" s="143" t="s">
        <v>1460</v>
      </c>
      <c r="BT347" t="s">
        <v>1489</v>
      </c>
      <c r="BU347" s="144">
        <f>BT347/BS347</f>
        <v>3.3022538570112716</v>
      </c>
      <c r="BV347">
        <f>BT347-BS347</f>
        <v>-16.157488083333302</v>
      </c>
      <c r="BW347"/>
      <c r="BX347">
        <f>BV347</f>
        <v>-16.157488083333302</v>
      </c>
      <c r="BY347">
        <f>IFERROR(BX347/BO347,"")</f>
        <v>-5.2871361529232006E-3</v>
      </c>
      <c r="BZ347">
        <v>0</v>
      </c>
      <c r="CA347">
        <v>0</v>
      </c>
      <c r="CB347">
        <v>0</v>
      </c>
      <c r="CC347">
        <v>0</v>
      </c>
      <c r="CD347">
        <v>0</v>
      </c>
      <c r="CE347">
        <v>0</v>
      </c>
      <c r="CF347">
        <v>0</v>
      </c>
      <c r="CG347">
        <v>0</v>
      </c>
      <c r="CH347">
        <v>0</v>
      </c>
      <c r="CI347">
        <v>0</v>
      </c>
      <c r="CJ347">
        <v>0</v>
      </c>
      <c r="CK347">
        <v>0</v>
      </c>
      <c r="CL347">
        <v>0</v>
      </c>
      <c r="CM347">
        <v>0</v>
      </c>
      <c r="CN347" t="str">
        <f>IF($BL347&lt;$BK347,"refNeedCorrection","refOK")</f>
        <v>refOK</v>
      </c>
      <c r="CO347">
        <f>IF($CN347="refOK",$BK347,$BL347)</f>
        <v>944</v>
      </c>
      <c r="CP347">
        <f>IF($CN347="refOK",$BL347,$BK347)</f>
        <v>4000</v>
      </c>
      <c r="CQ347">
        <f>IF($CN347="refOK",$BO347,-$BO347)</f>
        <v>3056</v>
      </c>
      <c r="CR347">
        <f>IF($CN347="refOK",$BS347,$BT347)*IF($BP347="Emissions positive",-1,1)</f>
        <v>-7.0181174999999998</v>
      </c>
      <c r="CS347">
        <f>IF($CN347="refOK",$BT347,$BS347)*IF($BP347="Emissions positive",-1,1)</f>
        <v>-23.175605583333301</v>
      </c>
      <c r="CT347">
        <f>IF($CN347="refNeedCorrection",-BX347,BX347)*IF($BP347="Emissions positive",-1,1)</f>
        <v>-16.157488083333302</v>
      </c>
      <c r="CU347">
        <f>IFERROR(CT347/CQ347,"")</f>
        <v>-5.2871361529232006E-3</v>
      </c>
      <c r="CV347" s="2">
        <f>IFERROR((CS347-CR347)/ABS(CR347),"")</f>
        <v>-2.3022538570112716</v>
      </c>
      <c r="CW347" s="263" t="s">
        <v>1462</v>
      </c>
      <c r="CX347" s="264" t="str">
        <f>IF(OR($CW347="prd",$CW347="std",$CW347="cit"),"loc",IF(OR($CW347="eur",$CW347="reg",$CW347="coy"),"reg",$CW347))</f>
        <v>reg</v>
      </c>
      <c r="CY347" s="270" t="s">
        <v>743</v>
      </c>
      <c r="CZ347"/>
      <c r="DA347" s="143"/>
      <c r="DB347" s="143">
        <v>0</v>
      </c>
      <c r="DC347" t="str">
        <f>IF(DB347=0,"0",IF(AND(DB347&gt;=1,DB347&lt;=30),"1-30",IF(AND(DB347&gt;30,DB347&lt;=70),"31-70",IF(AND(DB347&gt;70,DB347&lt;=100),"71-100",IF(DB347&gt;100,"+100")))))</f>
        <v>0</v>
      </c>
      <c r="DD347">
        <v>0</v>
      </c>
      <c r="DE347">
        <v>1</v>
      </c>
      <c r="DF347">
        <v>0</v>
      </c>
      <c r="DG347">
        <v>0</v>
      </c>
      <c r="DH347">
        <v>0</v>
      </c>
      <c r="DI347">
        <f>SUM(DD347:DH347)</f>
        <v>1</v>
      </c>
      <c r="DJ347" t="str">
        <f>IF(DI347=1,INDEX($DD$7:$DG$7,MATCH(1,$DD347:$DG347,0)),"mixedProduct")</f>
        <v>EnergyInput</v>
      </c>
      <c r="DK347">
        <f>IF(DD347=1,DK$7,0)</f>
        <v>0</v>
      </c>
      <c r="DL347" t="str">
        <f>IF(DE347=1,DL$7,0)</f>
        <v>Energy</v>
      </c>
      <c r="DM347">
        <f>IF(DF347=1,DM$7,0)</f>
        <v>0</v>
      </c>
      <c r="DN347">
        <f>IF(DG347=1,DN$7,0)</f>
        <v>0</v>
      </c>
      <c r="DO347">
        <v>0</v>
      </c>
      <c r="DP347" s="143">
        <v>0</v>
      </c>
      <c r="DQ347" s="143">
        <v>0</v>
      </c>
      <c r="DR347">
        <v>0</v>
      </c>
      <c r="DS347" s="143">
        <v>0</v>
      </c>
      <c r="DT347">
        <f>SUM(DO347:DP347)</f>
        <v>0</v>
      </c>
      <c r="DU347" s="143" t="str">
        <f>IF(DO347=1,"self-calculated DF",IF(DP347=1,"external DF used","explicit C balance"))</f>
        <v>explicit C balance</v>
      </c>
      <c r="DV347" s="143">
        <v>0</v>
      </c>
      <c r="DW347" s="143">
        <v>0</v>
      </c>
      <c r="DX347" s="143">
        <v>0</v>
      </c>
      <c r="DY347" s="143">
        <v>0</v>
      </c>
      <c r="DZ347">
        <v>0</v>
      </c>
      <c r="EA347" s="143">
        <v>0</v>
      </c>
      <c r="EB347" s="143">
        <v>1</v>
      </c>
      <c r="EC347" s="143">
        <v>1</v>
      </c>
      <c r="ED347" s="143">
        <v>0</v>
      </c>
      <c r="EE347">
        <v>1</v>
      </c>
      <c r="EF347">
        <v>0</v>
      </c>
      <c r="EG347" s="143">
        <v>0</v>
      </c>
      <c r="EH347" s="143">
        <v>0</v>
      </c>
      <c r="EI347" s="2">
        <v>0</v>
      </c>
      <c r="EJ347" s="1"/>
      <c r="EK347" t="str">
        <f>IF(AND(AND(AND(OR($DX347=1,$DW347=1),OR($EC347=1,$EA347=1)),SUM($DV347:$DZ347,$EF347)&gt;=4),SUM($EA347:$EE347)&gt;=2),"Whole sector","")</f>
        <v/>
      </c>
      <c r="EL347" t="str">
        <f>IF(AND(AND(OR($DX347=1,$DW347=1),AND($EC347=0,$EA347=0)),SUM($DV347:$DZ347,$EF347)&gt;=4),"Ecosystem approach","")</f>
        <v/>
      </c>
      <c r="EM347" s="2" t="str">
        <f>IF(AND(AND(AND($DX347=0,$DW347=0),OR($EC347=1,$EA347=1)),SUM($EB347:$EE347)&gt;=2),"Technology approach","")</f>
        <v>Technology approach</v>
      </c>
      <c r="EN347"/>
      <c r="EO347"/>
      <c r="EP347" t="str">
        <f>IF(ISNUMBER(BU347),IF(ABS(BU347-[3]QC_indicators!$B$2)&gt;3*[3]QC_indicators!$C$2,"C ratio",IF(ISNUMBER(BY347),IF(ABS(BY347-[3]QC_indicators!$B$1)&gt;3*[3]QC_indicators!$C$1,"DF","no"))),IF(ISNUMBER(BY347),IF(ABS(BY347-[3]QC_indicators!$B$1)&gt;3*[3]QC_indicators!$C$1,"DF","no")))</f>
        <v>no</v>
      </c>
      <c r="EQ347"/>
      <c r="ER347" s="149"/>
      <c r="ES347"/>
      <c r="ET347" s="264" t="s">
        <v>3407</v>
      </c>
      <c r="EU347"/>
    </row>
    <row r="348" spans="1:151" s="139" customFormat="1" ht="15" customHeight="1">
      <c r="A348" s="1" t="s">
        <v>587</v>
      </c>
      <c r="B348" t="s">
        <v>1448</v>
      </c>
      <c r="C348" t="s">
        <v>1449</v>
      </c>
      <c r="D348" t="s">
        <v>1450</v>
      </c>
      <c r="E348" t="s">
        <v>1451</v>
      </c>
      <c r="F348" t="s">
        <v>1452</v>
      </c>
      <c r="G348" t="s">
        <v>593</v>
      </c>
      <c r="H348" t="s">
        <v>254</v>
      </c>
      <c r="I348">
        <v>2020</v>
      </c>
      <c r="J348">
        <v>12</v>
      </c>
      <c r="K348" t="s">
        <v>1453</v>
      </c>
      <c r="L348"/>
      <c r="M348" t="str">
        <f>LEFT($D348,FIND(",",$D348)-1)&amp;"_"&amp;I348&amp;L348</f>
        <v>Elisa_2020</v>
      </c>
      <c r="N348" s="264" t="s">
        <v>222</v>
      </c>
      <c r="O348" s="171" t="s">
        <v>274</v>
      </c>
      <c r="P348" t="s">
        <v>223</v>
      </c>
      <c r="Q348" s="264" t="s">
        <v>389</v>
      </c>
      <c r="R348" s="269" t="s">
        <v>1154</v>
      </c>
      <c r="S348" s="154" t="s">
        <v>1454</v>
      </c>
      <c r="T348" s="294" t="s">
        <v>1455</v>
      </c>
      <c r="U348" s="143" t="s">
        <v>1490</v>
      </c>
      <c r="V348">
        <v>0</v>
      </c>
      <c r="W348">
        <v>0</v>
      </c>
      <c r="X348">
        <v>0</v>
      </c>
      <c r="Y348">
        <v>0</v>
      </c>
      <c r="Z348">
        <v>0</v>
      </c>
      <c r="AA348">
        <v>0</v>
      </c>
      <c r="AB348">
        <v>0</v>
      </c>
      <c r="AC348">
        <v>0</v>
      </c>
      <c r="AD348">
        <v>0</v>
      </c>
      <c r="AE348">
        <v>1</v>
      </c>
      <c r="AF348">
        <v>0</v>
      </c>
      <c r="AG348">
        <v>0</v>
      </c>
      <c r="AH348">
        <v>0</v>
      </c>
      <c r="AI348">
        <v>0</v>
      </c>
      <c r="AJ348">
        <v>0</v>
      </c>
      <c r="AK348">
        <v>1</v>
      </c>
      <c r="AL348">
        <v>0</v>
      </c>
      <c r="AM348">
        <v>0</v>
      </c>
      <c r="AN348">
        <v>0</v>
      </c>
      <c r="AO348">
        <v>0</v>
      </c>
      <c r="AP348">
        <v>0</v>
      </c>
      <c r="AQ348">
        <v>0</v>
      </c>
      <c r="AR348">
        <v>0</v>
      </c>
      <c r="AS348">
        <v>0</v>
      </c>
      <c r="AT348">
        <v>0</v>
      </c>
      <c r="AU348">
        <v>0</v>
      </c>
      <c r="AV348">
        <v>0</v>
      </c>
      <c r="AW348">
        <v>0</v>
      </c>
      <c r="AX348" s="141">
        <f>COUNTIF(V348:AW348,"&lt;&gt;0")</f>
        <v>2</v>
      </c>
      <c r="AY348" s="141">
        <f>COUNTIF(V348:AL348,"&lt;&gt;0")</f>
        <v>2</v>
      </c>
      <c r="AZ348">
        <f>COUNTIF(V348:AC348,"&lt;&gt;0")</f>
        <v>0</v>
      </c>
      <c r="BA348">
        <f>COUNTIF(AD348:AI348,"&lt;&gt;0")</f>
        <v>1</v>
      </c>
      <c r="BB348">
        <f>COUNTIF(AJ348:AL348,"&lt;&gt;0")</f>
        <v>1</v>
      </c>
      <c r="BC348">
        <f>COUNTIF(AS348:AW348,"&lt;&gt;0")</f>
        <v>0</v>
      </c>
      <c r="BD348">
        <f>COUNTIF(AM348:AR348,"&lt;&gt;0")</f>
        <v>0</v>
      </c>
      <c r="BE348" t="str" cm="1">
        <f t="array" ref="BE348">IF(AY348=1,INDEX($V$7:$AL$7,MATCH(TRUE,INDEX($V348:$AW348&lt;&gt;0,),0)),IF(AY348=0,INDEX($AM$7:$AW$7,MATCH(1,$AM348:$AW348,0)),IF(BF348="Multiple strategies","mixed drivers",IF(BF348="Supply chain","multiple supply","multiple silviculture"))))</f>
        <v>mixed drivers</v>
      </c>
      <c r="BF348" s="2" t="str" cm="1">
        <f t="array" ref="BF348">IF(COUNTIF(AZ348:BB348,"&lt;&gt;0")=1,INDEX($V$4:$AW$4,MATCH(TRUE,INDEX($V348:$AW348&lt;&gt;0,),0)),IF(COUNTIF(AZ348:BB348,"&lt;&gt;0")=0,INDEX($AM$4:$AW$4,MATCH(1,$AM348:$AW348,0)),"Multiple strategies"))</f>
        <v>Multiple strategies</v>
      </c>
      <c r="BG348" s="142" t="s">
        <v>321</v>
      </c>
      <c r="BH348" s="160" t="s">
        <v>1457</v>
      </c>
      <c r="BI348" s="160" t="s">
        <v>1458</v>
      </c>
      <c r="BJ348" s="143" t="s">
        <v>498</v>
      </c>
      <c r="BK348" s="143">
        <v>944</v>
      </c>
      <c r="BL348" s="143">
        <v>4500</v>
      </c>
      <c r="BM348">
        <f>IFERROR(BL348/BK348,"")</f>
        <v>4.7669491525423728</v>
      </c>
      <c r="BN348">
        <f>BL348-BK348</f>
        <v>3556</v>
      </c>
      <c r="BO348" s="159">
        <f>BN348</f>
        <v>3556</v>
      </c>
      <c r="BP348" s="155" t="s">
        <v>232</v>
      </c>
      <c r="BQ348" s="155" t="s">
        <v>1459</v>
      </c>
      <c r="BR348" s="155" t="s">
        <v>825</v>
      </c>
      <c r="BS348" s="143" t="s">
        <v>1460</v>
      </c>
      <c r="BT348" t="s">
        <v>1491</v>
      </c>
      <c r="BU348" s="144">
        <f>BT348/BS348</f>
        <v>3.6424356911474765</v>
      </c>
      <c r="BV348">
        <f>BT348-BS348</f>
        <v>-18.5449241666667</v>
      </c>
      <c r="BW348"/>
      <c r="BX348">
        <f>BV348</f>
        <v>-18.5449241666667</v>
      </c>
      <c r="BY348">
        <f>IFERROR(BX348/BO348,"")</f>
        <v>-5.2151080333708378E-3</v>
      </c>
      <c r="BZ348">
        <v>0</v>
      </c>
      <c r="CA348">
        <v>0</v>
      </c>
      <c r="CB348">
        <v>0</v>
      </c>
      <c r="CC348">
        <v>0</v>
      </c>
      <c r="CD348">
        <v>0</v>
      </c>
      <c r="CE348">
        <v>0</v>
      </c>
      <c r="CF348">
        <v>0</v>
      </c>
      <c r="CG348">
        <v>0</v>
      </c>
      <c r="CH348">
        <v>0</v>
      </c>
      <c r="CI348">
        <v>0</v>
      </c>
      <c r="CJ348">
        <v>0</v>
      </c>
      <c r="CK348">
        <v>0</v>
      </c>
      <c r="CL348">
        <v>0</v>
      </c>
      <c r="CM348">
        <v>0</v>
      </c>
      <c r="CN348" t="str">
        <f>IF($BL348&lt;$BK348,"refNeedCorrection","refOK")</f>
        <v>refOK</v>
      </c>
      <c r="CO348">
        <f>IF($CN348="refOK",$BK348,$BL348)</f>
        <v>944</v>
      </c>
      <c r="CP348">
        <f>IF($CN348="refOK",$BL348,$BK348)</f>
        <v>4500</v>
      </c>
      <c r="CQ348">
        <f>IF($CN348="refOK",$BO348,-$BO348)</f>
        <v>3556</v>
      </c>
      <c r="CR348">
        <f>IF($CN348="refOK",$BS348,$BT348)*IF($BP348="Emissions positive",-1,1)</f>
        <v>-7.0181174999999998</v>
      </c>
      <c r="CS348">
        <f>IF($CN348="refOK",$BT348,$BS348)*IF($BP348="Emissions positive",-1,1)</f>
        <v>-25.563041666666699</v>
      </c>
      <c r="CT348">
        <f>IF($CN348="refNeedCorrection",-BX348,BX348)*IF($BP348="Emissions positive",-1,1)</f>
        <v>-18.5449241666667</v>
      </c>
      <c r="CU348">
        <f>IFERROR(CT348/CQ348,"")</f>
        <v>-5.2151080333708378E-3</v>
      </c>
      <c r="CV348" s="2">
        <f>IFERROR((CS348-CR348)/ABS(CR348),"")</f>
        <v>-2.6424356911474765</v>
      </c>
      <c r="CW348" s="263" t="s">
        <v>1462</v>
      </c>
      <c r="CX348" s="264" t="str">
        <f>IF(OR($CW348="prd",$CW348="std",$CW348="cit"),"loc",IF(OR($CW348="eur",$CW348="reg",$CW348="coy"),"reg",$CW348))</f>
        <v>reg</v>
      </c>
      <c r="CY348" s="270" t="s">
        <v>743</v>
      </c>
      <c r="CZ348"/>
      <c r="DA348" s="143"/>
      <c r="DB348" s="143">
        <v>0</v>
      </c>
      <c r="DC348" t="str">
        <f>IF(DB348=0,"0",IF(AND(DB348&gt;=1,DB348&lt;=30),"1-30",IF(AND(DB348&gt;30,DB348&lt;=70),"31-70",IF(AND(DB348&gt;70,DB348&lt;=100),"71-100",IF(DB348&gt;100,"+100")))))</f>
        <v>0</v>
      </c>
      <c r="DD348">
        <v>0</v>
      </c>
      <c r="DE348">
        <v>1</v>
      </c>
      <c r="DF348">
        <v>0</v>
      </c>
      <c r="DG348">
        <v>0</v>
      </c>
      <c r="DH348">
        <v>0</v>
      </c>
      <c r="DI348">
        <f>SUM(DD348:DH348)</f>
        <v>1</v>
      </c>
      <c r="DJ348" t="str">
        <f>IF(DI348=1,INDEX($DD$7:$DG$7,MATCH(1,$DD348:$DG348,0)),"mixedProduct")</f>
        <v>EnergyInput</v>
      </c>
      <c r="DK348">
        <f>IF(DD348=1,DK$7,0)</f>
        <v>0</v>
      </c>
      <c r="DL348" t="str">
        <f>IF(DE348=1,DL$7,0)</f>
        <v>Energy</v>
      </c>
      <c r="DM348">
        <f>IF(DF348=1,DM$7,0)</f>
        <v>0</v>
      </c>
      <c r="DN348">
        <f>IF(DG348=1,DN$7,0)</f>
        <v>0</v>
      </c>
      <c r="DO348">
        <v>0</v>
      </c>
      <c r="DP348" s="143">
        <v>0</v>
      </c>
      <c r="DQ348" s="143">
        <v>0</v>
      </c>
      <c r="DR348">
        <v>0</v>
      </c>
      <c r="DS348" s="143">
        <v>0</v>
      </c>
      <c r="DT348">
        <f>SUM(DO348:DP348)</f>
        <v>0</v>
      </c>
      <c r="DU348" s="143" t="str">
        <f>IF(DO348=1,"self-calculated DF",IF(DP348=1,"external DF used","explicit C balance"))</f>
        <v>explicit C balance</v>
      </c>
      <c r="DV348" s="143">
        <v>0</v>
      </c>
      <c r="DW348" s="143">
        <v>0</v>
      </c>
      <c r="DX348" s="143">
        <v>0</v>
      </c>
      <c r="DY348" s="143">
        <v>0</v>
      </c>
      <c r="DZ348">
        <v>0</v>
      </c>
      <c r="EA348" s="143">
        <v>0</v>
      </c>
      <c r="EB348" s="143">
        <v>1</v>
      </c>
      <c r="EC348" s="143">
        <v>1</v>
      </c>
      <c r="ED348" s="143">
        <v>0</v>
      </c>
      <c r="EE348">
        <v>1</v>
      </c>
      <c r="EF348">
        <v>0</v>
      </c>
      <c r="EG348" s="143">
        <v>0</v>
      </c>
      <c r="EH348" s="143">
        <v>0</v>
      </c>
      <c r="EI348" s="2">
        <v>0</v>
      </c>
      <c r="EJ348" s="1"/>
      <c r="EK348" t="str">
        <f>IF(AND(AND(AND(OR($DX348=1,$DW348=1),OR($EC348=1,$EA348=1)),SUM($DV348:$DZ348,$EF348)&gt;=4),SUM($EA348:$EE348)&gt;=2),"Whole sector","")</f>
        <v/>
      </c>
      <c r="EL348" t="str">
        <f>IF(AND(AND(OR($DX348=1,$DW348=1),AND($EC348=0,$EA348=0)),SUM($DV348:$DZ348,$EF348)&gt;=4),"Ecosystem approach","")</f>
        <v/>
      </c>
      <c r="EM348" s="2" t="str">
        <f>IF(AND(AND(AND($DX348=0,$DW348=0),OR($EC348=1,$EA348=1)),SUM($EB348:$EE348)&gt;=2),"Technology approach","")</f>
        <v>Technology approach</v>
      </c>
      <c r="EN348"/>
      <c r="EO348"/>
      <c r="EP348" t="str">
        <f>IF(ISNUMBER(BU348),IF(ABS(BU348-[3]QC_indicators!$B$2)&gt;3*[3]QC_indicators!$C$2,"C ratio",IF(ISNUMBER(BY348),IF(ABS(BY348-[3]QC_indicators!$B$1)&gt;3*[3]QC_indicators!$C$1,"DF","no"))),IF(ISNUMBER(BY348),IF(ABS(BY348-[3]QC_indicators!$B$1)&gt;3*[3]QC_indicators!$C$1,"DF","no")))</f>
        <v>no</v>
      </c>
      <c r="EQ348"/>
      <c r="ER348" s="149"/>
      <c r="ES348"/>
      <c r="ET348" s="264" t="s">
        <v>3407</v>
      </c>
      <c r="EU348"/>
    </row>
    <row r="349" spans="1:151" s="139" customFormat="1" ht="15" customHeight="1">
      <c r="A349" s="1" t="s">
        <v>587</v>
      </c>
      <c r="B349" t="s">
        <v>1448</v>
      </c>
      <c r="C349" t="s">
        <v>1449</v>
      </c>
      <c r="D349" t="s">
        <v>1450</v>
      </c>
      <c r="E349" t="s">
        <v>1451</v>
      </c>
      <c r="F349" t="s">
        <v>1452</v>
      </c>
      <c r="G349" t="s">
        <v>593</v>
      </c>
      <c r="H349" t="s">
        <v>254</v>
      </c>
      <c r="I349">
        <v>2020</v>
      </c>
      <c r="J349">
        <v>12</v>
      </c>
      <c r="K349" t="s">
        <v>1453</v>
      </c>
      <c r="L349"/>
      <c r="M349" t="str">
        <f>LEFT($D349,FIND(",",$D349)-1)&amp;"_"&amp;I349&amp;L349</f>
        <v>Elisa_2020</v>
      </c>
      <c r="N349" s="264" t="s">
        <v>222</v>
      </c>
      <c r="O349" s="171" t="s">
        <v>274</v>
      </c>
      <c r="P349" t="s">
        <v>223</v>
      </c>
      <c r="Q349" s="264" t="s">
        <v>389</v>
      </c>
      <c r="R349" s="269" t="s">
        <v>1154</v>
      </c>
      <c r="S349" s="154" t="s">
        <v>1454</v>
      </c>
      <c r="T349" s="294" t="s">
        <v>1455</v>
      </c>
      <c r="U349" s="143" t="s">
        <v>1488</v>
      </c>
      <c r="V349">
        <v>0</v>
      </c>
      <c r="W349">
        <v>0</v>
      </c>
      <c r="X349">
        <v>0</v>
      </c>
      <c r="Y349">
        <v>0</v>
      </c>
      <c r="Z349">
        <v>0</v>
      </c>
      <c r="AA349">
        <v>0</v>
      </c>
      <c r="AB349">
        <v>0</v>
      </c>
      <c r="AC349">
        <v>0</v>
      </c>
      <c r="AD349">
        <v>0</v>
      </c>
      <c r="AE349">
        <v>1</v>
      </c>
      <c r="AF349">
        <v>0</v>
      </c>
      <c r="AG349">
        <v>0</v>
      </c>
      <c r="AH349">
        <v>0</v>
      </c>
      <c r="AI349">
        <v>0</v>
      </c>
      <c r="AJ349">
        <v>0</v>
      </c>
      <c r="AK349">
        <v>1</v>
      </c>
      <c r="AL349">
        <v>0</v>
      </c>
      <c r="AM349">
        <v>0</v>
      </c>
      <c r="AN349">
        <v>0</v>
      </c>
      <c r="AO349">
        <v>0</v>
      </c>
      <c r="AP349">
        <v>0</v>
      </c>
      <c r="AQ349">
        <v>0</v>
      </c>
      <c r="AR349">
        <v>0</v>
      </c>
      <c r="AS349">
        <v>0</v>
      </c>
      <c r="AT349">
        <v>0</v>
      </c>
      <c r="AU349">
        <v>0</v>
      </c>
      <c r="AV349">
        <v>0</v>
      </c>
      <c r="AW349">
        <v>0</v>
      </c>
      <c r="AX349" s="141">
        <f>COUNTIF(V349:AW349,"&lt;&gt;0")</f>
        <v>2</v>
      </c>
      <c r="AY349" s="141">
        <f>COUNTIF(V349:AL349,"&lt;&gt;0")</f>
        <v>2</v>
      </c>
      <c r="AZ349">
        <f>COUNTIF(V349:AC349,"&lt;&gt;0")</f>
        <v>0</v>
      </c>
      <c r="BA349">
        <f>COUNTIF(AD349:AI349,"&lt;&gt;0")</f>
        <v>1</v>
      </c>
      <c r="BB349">
        <f>COUNTIF(AJ349:AL349,"&lt;&gt;0")</f>
        <v>1</v>
      </c>
      <c r="BC349">
        <f>COUNTIF(AS349:AW349,"&lt;&gt;0")</f>
        <v>0</v>
      </c>
      <c r="BD349">
        <f>COUNTIF(AM349:AR349,"&lt;&gt;0")</f>
        <v>0</v>
      </c>
      <c r="BE349" t="str" cm="1">
        <f t="array" ref="BE349">IF(AY349=1,INDEX($V$7:$AL$7,MATCH(TRUE,INDEX($V349:$AW349&lt;&gt;0,),0)),IF(AY349=0,INDEX($AM$7:$AW$7,MATCH(1,$AM349:$AW349,0)),IF(BF349="Multiple strategies","mixed drivers",IF(BF349="Supply chain","multiple supply","multiple silviculture"))))</f>
        <v>mixed drivers</v>
      </c>
      <c r="BF349" s="2" t="str" cm="1">
        <f t="array" ref="BF349">IF(COUNTIF(AZ349:BB349,"&lt;&gt;0")=1,INDEX($V$4:$AW$4,MATCH(TRUE,INDEX($V349:$AW349&lt;&gt;0,),0)),IF(COUNTIF(AZ349:BB349,"&lt;&gt;0")=0,INDEX($AM$4:$AW$4,MATCH(1,$AM349:$AW349,0)),"Multiple strategies"))</f>
        <v>Multiple strategies</v>
      </c>
      <c r="BG349" s="142" t="s">
        <v>321</v>
      </c>
      <c r="BH349" s="160" t="s">
        <v>1457</v>
      </c>
      <c r="BI349" s="160" t="s">
        <v>1458</v>
      </c>
      <c r="BJ349" s="143" t="s">
        <v>498</v>
      </c>
      <c r="BK349" s="143">
        <v>944</v>
      </c>
      <c r="BL349" s="143">
        <v>4000</v>
      </c>
      <c r="BM349">
        <f>IFERROR(BL351/BK349,"")</f>
        <v>3.3898305084745766E-3</v>
      </c>
      <c r="BN349">
        <f>BL349-BK349</f>
        <v>3056</v>
      </c>
      <c r="BO349" s="159">
        <f>BN349</f>
        <v>3056</v>
      </c>
      <c r="BP349" s="155" t="s">
        <v>232</v>
      </c>
      <c r="BQ349" s="155" t="s">
        <v>1459</v>
      </c>
      <c r="BR349" s="155" t="s">
        <v>825</v>
      </c>
      <c r="BS349" s="143" t="s">
        <v>1463</v>
      </c>
      <c r="BT349" t="s">
        <v>1492</v>
      </c>
      <c r="BU349" s="144">
        <f>BT349/BS349</f>
        <v>3.2919959403999846</v>
      </c>
      <c r="BV349">
        <f>BT349-BS349</f>
        <v>-15.8391645555556</v>
      </c>
      <c r="BW349"/>
      <c r="BX349">
        <f>BV349</f>
        <v>-15.8391645555556</v>
      </c>
      <c r="BY349">
        <f>IFERROR(BX349/BO349,"")</f>
        <v>-5.1829726948807589E-3</v>
      </c>
      <c r="BZ349">
        <v>0</v>
      </c>
      <c r="CA349">
        <v>0</v>
      </c>
      <c r="CB349">
        <v>0</v>
      </c>
      <c r="CC349">
        <v>0</v>
      </c>
      <c r="CD349">
        <v>0</v>
      </c>
      <c r="CE349">
        <v>0</v>
      </c>
      <c r="CF349">
        <v>0</v>
      </c>
      <c r="CG349">
        <v>0</v>
      </c>
      <c r="CH349">
        <v>0</v>
      </c>
      <c r="CI349">
        <v>0</v>
      </c>
      <c r="CJ349">
        <v>0</v>
      </c>
      <c r="CK349">
        <v>0</v>
      </c>
      <c r="CL349">
        <v>0</v>
      </c>
      <c r="CM349">
        <v>0</v>
      </c>
      <c r="CN349" t="str">
        <f>IF($BL349&lt;$BK349,"refNeedCorrection","refOK")</f>
        <v>refOK</v>
      </c>
      <c r="CO349">
        <f>IF($CN349="refOK",$BK349,$BL349)</f>
        <v>944</v>
      </c>
      <c r="CP349">
        <f>IF($CN349="refOK",$BL349,$BK349)</f>
        <v>4000</v>
      </c>
      <c r="CQ349">
        <f>IF($CN349="refOK",$BO349,-$BO349)</f>
        <v>3056</v>
      </c>
      <c r="CR349">
        <f>IF($CN349="refOK",$BS349,$BT349)*IF($BP349="Emissions positive",-1,1)</f>
        <v>-6.9106424999999998</v>
      </c>
      <c r="CS349">
        <f>IF($CN349="refOK",$BT349,$BS349)*IF($BP349="Emissions positive",-1,1)</f>
        <v>-22.7498070555556</v>
      </c>
      <c r="CT349">
        <f>IF($CN349="refNeedCorrection",-BX349,BX349)*IF($BP349="Emissions positive",-1,1)</f>
        <v>-15.8391645555556</v>
      </c>
      <c r="CU349">
        <f>IFERROR(CT349/CQ349,"")</f>
        <v>-5.1829726948807589E-3</v>
      </c>
      <c r="CV349" s="2">
        <f>IFERROR((CS349-CR349)/ABS(CR349),"")</f>
        <v>-2.2919959403999846</v>
      </c>
      <c r="CW349" s="263" t="s">
        <v>1462</v>
      </c>
      <c r="CX349" s="264" t="str">
        <f>IF(OR($CW349="prd",$CW349="std",$CW349="cit"),"loc",IF(OR($CW349="eur",$CW349="reg",$CW349="coy"),"reg",$CW349))</f>
        <v>reg</v>
      </c>
      <c r="CY349" s="270" t="s">
        <v>743</v>
      </c>
      <c r="CZ349"/>
      <c r="DA349" s="143"/>
      <c r="DB349" s="143">
        <v>0</v>
      </c>
      <c r="DC349" t="str">
        <f>IF(DB349=0,"0",IF(AND(DB349&gt;=1,DB349&lt;=30),"1-30",IF(AND(DB349&gt;30,DB349&lt;=70),"31-70",IF(AND(DB349&gt;70,DB349&lt;=100),"71-100",IF(DB349&gt;100,"+100")))))</f>
        <v>0</v>
      </c>
      <c r="DD349">
        <v>0</v>
      </c>
      <c r="DE349">
        <v>1</v>
      </c>
      <c r="DF349">
        <v>0</v>
      </c>
      <c r="DG349">
        <v>0</v>
      </c>
      <c r="DH349">
        <v>0</v>
      </c>
      <c r="DI349">
        <f>SUM(DD349:DH349)</f>
        <v>1</v>
      </c>
      <c r="DJ349" t="str">
        <f>IF(DI349=1,INDEX($DD$7:$DG$7,MATCH(1,$DD349:$DG349,0)),"mixedProduct")</f>
        <v>EnergyInput</v>
      </c>
      <c r="DK349">
        <f>IF(DD349=1,DK$7,0)</f>
        <v>0</v>
      </c>
      <c r="DL349" t="str">
        <f>IF(DE349=1,DL$7,0)</f>
        <v>Energy</v>
      </c>
      <c r="DM349">
        <f>IF(DF349=1,DM$7,0)</f>
        <v>0</v>
      </c>
      <c r="DN349">
        <f>IF(DG349=1,DN$7,0)</f>
        <v>0</v>
      </c>
      <c r="DO349">
        <v>0</v>
      </c>
      <c r="DP349" s="143">
        <v>0</v>
      </c>
      <c r="DQ349" s="143">
        <v>0</v>
      </c>
      <c r="DR349">
        <v>0</v>
      </c>
      <c r="DS349" s="143">
        <v>0</v>
      </c>
      <c r="DT349">
        <f>SUM(DO349:DP349)</f>
        <v>0</v>
      </c>
      <c r="DU349" s="143" t="str">
        <f>IF(DO349=1,"self-calculated DF",IF(DP349=1,"external DF used","explicit C balance"))</f>
        <v>explicit C balance</v>
      </c>
      <c r="DV349" s="143">
        <v>0</v>
      </c>
      <c r="DW349" s="143">
        <v>0</v>
      </c>
      <c r="DX349" s="143">
        <v>0</v>
      </c>
      <c r="DY349" s="143">
        <v>0</v>
      </c>
      <c r="DZ349">
        <v>0</v>
      </c>
      <c r="EA349" s="143">
        <v>0</v>
      </c>
      <c r="EB349" s="143">
        <v>0</v>
      </c>
      <c r="EC349" s="143">
        <v>1</v>
      </c>
      <c r="ED349" s="143">
        <v>0</v>
      </c>
      <c r="EE349">
        <v>1</v>
      </c>
      <c r="EF349">
        <v>0</v>
      </c>
      <c r="EG349" s="143">
        <v>0</v>
      </c>
      <c r="EH349" s="143">
        <v>0</v>
      </c>
      <c r="EI349" s="2">
        <v>0</v>
      </c>
      <c r="EJ349" s="1"/>
      <c r="EK349" t="str">
        <f>IF(AND(AND(AND(OR($DX349=1,$DW349=1),OR($EC349=1,$EA349=1)),SUM($DV349:$DZ349,$EF349)&gt;=4),SUM($EA349:$EE349)&gt;=2),"Whole sector","")</f>
        <v/>
      </c>
      <c r="EL349" t="str">
        <f>IF(AND(AND(OR($DX349=1,$DW349=1),AND($EC349=0,$EA349=0)),SUM($DV349:$DZ349,$EF349)&gt;=4),"Ecosystem approach","")</f>
        <v/>
      </c>
      <c r="EM349" s="2" t="str">
        <f>IF(AND(AND(AND($DX349=0,$DW349=0),OR($EC349=1,$EA349=1)),SUM($EB349:$EE349)&gt;=2),"Technology approach","")</f>
        <v>Technology approach</v>
      </c>
      <c r="EN349"/>
      <c r="EO349"/>
      <c r="EP349" t="str">
        <f>IF(ISNUMBER(BU349),IF(ABS(BU349-[3]QC_indicators!$B$2)&gt;3*[3]QC_indicators!$C$2,"C ratio",IF(ISNUMBER(BY349),IF(ABS(BY349-[3]QC_indicators!$B$1)&gt;3*[3]QC_indicators!$C$1,"DF","no"))),IF(ISNUMBER(BY349),IF(ABS(BY349-[3]QC_indicators!$B$1)&gt;3*[3]QC_indicators!$C$1,"DF","no")))</f>
        <v>no</v>
      </c>
      <c r="EQ349"/>
      <c r="ER349" s="149"/>
      <c r="ES349"/>
      <c r="ET349" s="264" t="s">
        <v>3407</v>
      </c>
      <c r="EU349"/>
    </row>
    <row r="350" spans="1:151" s="139" customFormat="1" ht="15" customHeight="1">
      <c r="A350" s="1" t="s">
        <v>587</v>
      </c>
      <c r="B350" t="s">
        <v>1448</v>
      </c>
      <c r="C350" t="s">
        <v>1449</v>
      </c>
      <c r="D350" t="s">
        <v>1450</v>
      </c>
      <c r="E350" t="s">
        <v>1451</v>
      </c>
      <c r="F350" t="s">
        <v>1452</v>
      </c>
      <c r="G350" t="s">
        <v>593</v>
      </c>
      <c r="H350" t="s">
        <v>254</v>
      </c>
      <c r="I350">
        <v>2020</v>
      </c>
      <c r="J350">
        <v>12</v>
      </c>
      <c r="K350" t="s">
        <v>1453</v>
      </c>
      <c r="L350"/>
      <c r="M350" t="str">
        <f>LEFT($D350,FIND(",",$D350)-1)&amp;"_"&amp;I350&amp;L350</f>
        <v>Elisa_2020</v>
      </c>
      <c r="N350" s="264" t="s">
        <v>222</v>
      </c>
      <c r="O350" s="171" t="s">
        <v>274</v>
      </c>
      <c r="P350" t="s">
        <v>223</v>
      </c>
      <c r="Q350" s="264" t="s">
        <v>389</v>
      </c>
      <c r="R350" s="269" t="s">
        <v>1154</v>
      </c>
      <c r="S350" s="154" t="s">
        <v>1454</v>
      </c>
      <c r="T350" s="294" t="s">
        <v>1455</v>
      </c>
      <c r="U350" s="143" t="s">
        <v>1490</v>
      </c>
      <c r="V350">
        <v>0</v>
      </c>
      <c r="W350">
        <v>0</v>
      </c>
      <c r="X350">
        <v>0</v>
      </c>
      <c r="Y350">
        <v>0</v>
      </c>
      <c r="Z350">
        <v>0</v>
      </c>
      <c r="AA350">
        <v>0</v>
      </c>
      <c r="AB350">
        <v>0</v>
      </c>
      <c r="AC350">
        <v>0</v>
      </c>
      <c r="AD350">
        <v>0</v>
      </c>
      <c r="AE350">
        <v>1</v>
      </c>
      <c r="AF350">
        <v>0</v>
      </c>
      <c r="AG350">
        <v>0</v>
      </c>
      <c r="AH350">
        <v>0</v>
      </c>
      <c r="AI350">
        <v>0</v>
      </c>
      <c r="AJ350">
        <v>0</v>
      </c>
      <c r="AK350">
        <v>1</v>
      </c>
      <c r="AL350">
        <v>0</v>
      </c>
      <c r="AM350">
        <v>0</v>
      </c>
      <c r="AN350">
        <v>0</v>
      </c>
      <c r="AO350">
        <v>0</v>
      </c>
      <c r="AP350">
        <v>0</v>
      </c>
      <c r="AQ350">
        <v>0</v>
      </c>
      <c r="AR350">
        <v>0</v>
      </c>
      <c r="AS350">
        <v>0</v>
      </c>
      <c r="AT350">
        <v>0</v>
      </c>
      <c r="AU350">
        <v>0</v>
      </c>
      <c r="AV350">
        <v>0</v>
      </c>
      <c r="AW350">
        <v>0</v>
      </c>
      <c r="AX350" s="141">
        <f>COUNTIF(V350:AW350,"&lt;&gt;0")</f>
        <v>2</v>
      </c>
      <c r="AY350" s="141">
        <f>COUNTIF(V350:AL350,"&lt;&gt;0")</f>
        <v>2</v>
      </c>
      <c r="AZ350">
        <f>COUNTIF(V350:AC350,"&lt;&gt;0")</f>
        <v>0</v>
      </c>
      <c r="BA350">
        <f>COUNTIF(AD350:AI350,"&lt;&gt;0")</f>
        <v>1</v>
      </c>
      <c r="BB350">
        <f>COUNTIF(AJ350:AL350,"&lt;&gt;0")</f>
        <v>1</v>
      </c>
      <c r="BC350">
        <f>COUNTIF(AS350:AW350,"&lt;&gt;0")</f>
        <v>0</v>
      </c>
      <c r="BD350">
        <f>COUNTIF(AM350:AR350,"&lt;&gt;0")</f>
        <v>0</v>
      </c>
      <c r="BE350" t="str" cm="1">
        <f t="array" ref="BE350">IF(AY350=1,INDEX($V$7:$AL$7,MATCH(TRUE,INDEX($V350:$AW350&lt;&gt;0,),0)),IF(AY350=0,INDEX($AM$7:$AW$7,MATCH(1,$AM350:$AW350,0)),IF(BF350="Multiple strategies","mixed drivers",IF(BF350="Supply chain","multiple supply","multiple silviculture"))))</f>
        <v>mixed drivers</v>
      </c>
      <c r="BF350" s="2" t="str" cm="1">
        <f t="array" ref="BF350">IF(COUNTIF(AZ350:BB350,"&lt;&gt;0")=1,INDEX($V$4:$AW$4,MATCH(TRUE,INDEX($V350:$AW350&lt;&gt;0,),0)),IF(COUNTIF(AZ350:BB350,"&lt;&gt;0")=0,INDEX($AM$4:$AW$4,MATCH(1,$AM350:$AW350,0)),"Multiple strategies"))</f>
        <v>Multiple strategies</v>
      </c>
      <c r="BG350" s="142" t="s">
        <v>321</v>
      </c>
      <c r="BH350" s="160" t="s">
        <v>1457</v>
      </c>
      <c r="BI350" s="160" t="s">
        <v>1458</v>
      </c>
      <c r="BJ350" s="143" t="s">
        <v>498</v>
      </c>
      <c r="BK350" s="143">
        <v>944</v>
      </c>
      <c r="BL350" s="143">
        <v>4500</v>
      </c>
      <c r="BM350">
        <f>IFERROR(BL352/BK350,"")</f>
        <v>1.0593220338983051E-3</v>
      </c>
      <c r="BN350">
        <f>BL350-BK350</f>
        <v>3556</v>
      </c>
      <c r="BO350" s="159">
        <f>BN350</f>
        <v>3556</v>
      </c>
      <c r="BP350" s="155" t="s">
        <v>232</v>
      </c>
      <c r="BQ350" s="155" t="s">
        <v>1459</v>
      </c>
      <c r="BR350" s="155" t="s">
        <v>825</v>
      </c>
      <c r="BS350" s="143" t="s">
        <v>1463</v>
      </c>
      <c r="BT350" t="s">
        <v>1493</v>
      </c>
      <c r="BU350" s="144">
        <f>BT350/BS350</f>
        <v>3.6235173984666837</v>
      </c>
      <c r="BV350">
        <f>BT350-BS350</f>
        <v>-18.130190833333302</v>
      </c>
      <c r="BW350"/>
      <c r="BX350">
        <f>BV350</f>
        <v>-18.130190833333302</v>
      </c>
      <c r="BY350">
        <f>IFERROR(BX350/BO350,"")</f>
        <v>-5.0984788620172389E-3</v>
      </c>
      <c r="BZ350">
        <v>0</v>
      </c>
      <c r="CA350">
        <v>0</v>
      </c>
      <c r="CB350">
        <v>0</v>
      </c>
      <c r="CC350">
        <v>0</v>
      </c>
      <c r="CD350">
        <v>0</v>
      </c>
      <c r="CE350">
        <v>0</v>
      </c>
      <c r="CF350">
        <v>0</v>
      </c>
      <c r="CG350">
        <v>0</v>
      </c>
      <c r="CH350">
        <v>0</v>
      </c>
      <c r="CI350">
        <v>0</v>
      </c>
      <c r="CJ350">
        <v>0</v>
      </c>
      <c r="CK350">
        <v>0</v>
      </c>
      <c r="CL350">
        <v>0</v>
      </c>
      <c r="CM350">
        <v>0</v>
      </c>
      <c r="CN350" t="str">
        <f>IF($BL350&lt;$BK350,"refNeedCorrection","refOK")</f>
        <v>refOK</v>
      </c>
      <c r="CO350">
        <f>IF($CN350="refOK",$BK350,$BL350)</f>
        <v>944</v>
      </c>
      <c r="CP350">
        <f>IF($CN350="refOK",$BL350,$BK350)</f>
        <v>4500</v>
      </c>
      <c r="CQ350">
        <f>IF($CN350="refOK",$BO350,-$BO350)</f>
        <v>3556</v>
      </c>
      <c r="CR350">
        <f>IF($CN350="refOK",$BS350,$BT350)*IF($BP350="Emissions positive",-1,1)</f>
        <v>-6.9106424999999998</v>
      </c>
      <c r="CS350">
        <f>IF($CN350="refOK",$BT350,$BS350)*IF($BP350="Emissions positive",-1,1)</f>
        <v>-25.0408333333333</v>
      </c>
      <c r="CT350">
        <f>IF($CN350="refNeedCorrection",-BX350,BX350)*IF($BP350="Emissions positive",-1,1)</f>
        <v>-18.130190833333302</v>
      </c>
      <c r="CU350">
        <f>IFERROR(CT350/CQ350,"")</f>
        <v>-5.0984788620172389E-3</v>
      </c>
      <c r="CV350" s="2">
        <f>IFERROR((CS350-CR350)/ABS(CR350),"")</f>
        <v>-2.6235173984666842</v>
      </c>
      <c r="CW350" s="263" t="s">
        <v>1462</v>
      </c>
      <c r="CX350" s="264" t="str">
        <f>IF(OR($CW350="prd",$CW350="std",$CW350="cit"),"loc",IF(OR($CW350="eur",$CW350="reg",$CW350="coy"),"reg",$CW350))</f>
        <v>reg</v>
      </c>
      <c r="CY350" s="270" t="s">
        <v>743</v>
      </c>
      <c r="CZ350"/>
      <c r="DA350" s="143"/>
      <c r="DB350" s="143">
        <v>0</v>
      </c>
      <c r="DC350" t="str">
        <f>IF(DB350=0,"0",IF(AND(DB350&gt;=1,DB350&lt;=30),"1-30",IF(AND(DB350&gt;30,DB350&lt;=70),"31-70",IF(AND(DB350&gt;70,DB350&lt;=100),"71-100",IF(DB350&gt;100,"+100")))))</f>
        <v>0</v>
      </c>
      <c r="DD350">
        <v>0</v>
      </c>
      <c r="DE350">
        <v>1</v>
      </c>
      <c r="DF350">
        <v>0</v>
      </c>
      <c r="DG350">
        <v>0</v>
      </c>
      <c r="DH350">
        <v>0</v>
      </c>
      <c r="DI350">
        <f>SUM(DD350:DH350)</f>
        <v>1</v>
      </c>
      <c r="DJ350" t="str">
        <f>IF(DI350=1,INDEX($DD$7:$DG$7,MATCH(1,$DD350:$DG350,0)),"mixedProduct")</f>
        <v>EnergyInput</v>
      </c>
      <c r="DK350">
        <f>IF(DD350=1,DK$7,0)</f>
        <v>0</v>
      </c>
      <c r="DL350" t="str">
        <f>IF(DE350=1,DL$7,0)</f>
        <v>Energy</v>
      </c>
      <c r="DM350">
        <f>IF(DF350=1,DM$7,0)</f>
        <v>0</v>
      </c>
      <c r="DN350">
        <f>IF(DG350=1,DN$7,0)</f>
        <v>0</v>
      </c>
      <c r="DO350">
        <v>0</v>
      </c>
      <c r="DP350" s="143">
        <v>0</v>
      </c>
      <c r="DQ350" s="143">
        <v>0</v>
      </c>
      <c r="DR350">
        <v>0</v>
      </c>
      <c r="DS350" s="143">
        <v>0</v>
      </c>
      <c r="DT350">
        <f>SUM(DO350:DP350)</f>
        <v>0</v>
      </c>
      <c r="DU350" s="143" t="str">
        <f>IF(DO350=1,"self-calculated DF",IF(DP350=1,"external DF used","explicit C balance"))</f>
        <v>explicit C balance</v>
      </c>
      <c r="DV350" s="143">
        <v>0</v>
      </c>
      <c r="DW350" s="143">
        <v>0</v>
      </c>
      <c r="DX350" s="143">
        <v>0</v>
      </c>
      <c r="DY350" s="143">
        <v>0</v>
      </c>
      <c r="DZ350">
        <v>0</v>
      </c>
      <c r="EA350" s="143">
        <v>0</v>
      </c>
      <c r="EB350" s="143">
        <v>0</v>
      </c>
      <c r="EC350" s="143">
        <v>1</v>
      </c>
      <c r="ED350" s="143">
        <v>0</v>
      </c>
      <c r="EE350">
        <v>1</v>
      </c>
      <c r="EF350">
        <v>0</v>
      </c>
      <c r="EG350" s="143">
        <v>0</v>
      </c>
      <c r="EH350" s="143">
        <v>0</v>
      </c>
      <c r="EI350" s="2">
        <v>0</v>
      </c>
      <c r="EJ350" s="1"/>
      <c r="EK350" t="str">
        <f>IF(AND(AND(AND(OR($DX350=1,$DW350=1),OR($EC350=1,$EA350=1)),SUM($DV350:$DZ350,$EF350)&gt;=4),SUM($EA350:$EE350)&gt;=2),"Whole sector","")</f>
        <v/>
      </c>
      <c r="EL350" t="str">
        <f>IF(AND(AND(OR($DX350=1,$DW350=1),AND($EC350=0,$EA350=0)),SUM($DV350:$DZ350,$EF350)&gt;=4),"Ecosystem approach","")</f>
        <v/>
      </c>
      <c r="EM350" s="2" t="str">
        <f>IF(AND(AND(AND($DX350=0,$DW350=0),OR($EC350=1,$EA350=1)),SUM($EB350:$EE350)&gt;=2),"Technology approach","")</f>
        <v>Technology approach</v>
      </c>
      <c r="EN350"/>
      <c r="EO350"/>
      <c r="EP350" t="str">
        <f>IF(ISNUMBER(BU350),IF(ABS(BU350-[3]QC_indicators!$B$2)&gt;3*[3]QC_indicators!$C$2,"C ratio",IF(ISNUMBER(BY350),IF(ABS(BY350-[3]QC_indicators!$B$1)&gt;3*[3]QC_indicators!$C$1,"DF","no"))),IF(ISNUMBER(BY350),IF(ABS(BY350-[3]QC_indicators!$B$1)&gt;3*[3]QC_indicators!$C$1,"DF","no")))</f>
        <v>no</v>
      </c>
      <c r="EQ350"/>
      <c r="ER350" s="149"/>
      <c r="ES350"/>
      <c r="ET350" s="264" t="s">
        <v>3407</v>
      </c>
      <c r="EU350"/>
    </row>
    <row r="351" spans="1:151" s="139" customFormat="1" ht="15" customHeight="1">
      <c r="A351" s="1" t="s">
        <v>1102</v>
      </c>
      <c r="B351" t="s">
        <v>1103</v>
      </c>
      <c r="C351" t="s">
        <v>1104</v>
      </c>
      <c r="D351" t="s">
        <v>1105</v>
      </c>
      <c r="E351" t="s">
        <v>1106</v>
      </c>
      <c r="F351" t="s">
        <v>1107</v>
      </c>
      <c r="G351" t="s">
        <v>1108</v>
      </c>
      <c r="H351" t="s">
        <v>254</v>
      </c>
      <c r="I351">
        <v>2013</v>
      </c>
      <c r="J351">
        <v>11</v>
      </c>
      <c r="K351" t="s">
        <v>1109</v>
      </c>
      <c r="L351"/>
      <c r="M351" t="str">
        <f>LEFT($D351,FIND(",",$D351)-1)&amp;"_"&amp;I351&amp;L351</f>
        <v>Routa_2013</v>
      </c>
      <c r="N351" t="s">
        <v>222</v>
      </c>
      <c r="O351" s="145" t="s">
        <v>341</v>
      </c>
      <c r="P351"/>
      <c r="Q351" s="264" t="s">
        <v>256</v>
      </c>
      <c r="R351" s="269" t="s">
        <v>1154</v>
      </c>
      <c r="S351" s="1" t="s">
        <v>1110</v>
      </c>
      <c r="T351" t="e">
        <f>#REF!</f>
        <v>#REF!</v>
      </c>
      <c r="U351" t="s">
        <v>1111</v>
      </c>
      <c r="V351">
        <v>0</v>
      </c>
      <c r="W351">
        <v>0</v>
      </c>
      <c r="X351">
        <v>2</v>
      </c>
      <c r="Y351">
        <v>0</v>
      </c>
      <c r="Z351">
        <v>2</v>
      </c>
      <c r="AA351">
        <v>0</v>
      </c>
      <c r="AB351">
        <v>1</v>
      </c>
      <c r="AC351">
        <v>0</v>
      </c>
      <c r="AD351">
        <v>0</v>
      </c>
      <c r="AE351">
        <v>0</v>
      </c>
      <c r="AF351">
        <v>0</v>
      </c>
      <c r="AG351">
        <v>0</v>
      </c>
      <c r="AH351">
        <v>0</v>
      </c>
      <c r="AI351">
        <v>0</v>
      </c>
      <c r="AJ351">
        <v>2</v>
      </c>
      <c r="AK351">
        <v>0</v>
      </c>
      <c r="AL351">
        <v>2</v>
      </c>
      <c r="AM351">
        <v>0</v>
      </c>
      <c r="AN351">
        <v>0</v>
      </c>
      <c r="AO351">
        <v>0</v>
      </c>
      <c r="AP351">
        <v>0</v>
      </c>
      <c r="AQ351">
        <v>0</v>
      </c>
      <c r="AR351">
        <v>0</v>
      </c>
      <c r="AS351">
        <v>0</v>
      </c>
      <c r="AT351">
        <v>0</v>
      </c>
      <c r="AU351">
        <v>0</v>
      </c>
      <c r="AV351">
        <v>0</v>
      </c>
      <c r="AW351">
        <v>0</v>
      </c>
      <c r="AX351" s="141">
        <f>COUNTIF(V351:AW351,"&lt;&gt;0")</f>
        <v>5</v>
      </c>
      <c r="AY351" s="141">
        <f>COUNTIF(V351:AL351,"&lt;&gt;0")</f>
        <v>5</v>
      </c>
      <c r="AZ351">
        <f>COUNTIF(V351:AC351,"&lt;&gt;0")</f>
        <v>3</v>
      </c>
      <c r="BA351">
        <f>COUNTIF(AD351:AI351,"&lt;&gt;0")</f>
        <v>0</v>
      </c>
      <c r="BB351">
        <f>COUNTIF(AJ351:AL351,"&lt;&gt;0")</f>
        <v>2</v>
      </c>
      <c r="BC351">
        <f>COUNTIF(AS351:AW351,"&lt;&gt;0")</f>
        <v>0</v>
      </c>
      <c r="BD351">
        <f>COUNTIF(AM351:AR351,"&lt;&gt;0")</f>
        <v>0</v>
      </c>
      <c r="BE351" t="str" cm="1">
        <f t="array" ref="BE351">IF(AY351=1,INDEX($V$7:$AL$7,MATCH(TRUE,INDEX($V351:$AW351&lt;&gt;0,),0)),IF(AY351=0,INDEX($AM$7:$AW$7,MATCH(1,$AM351:$AW351,0)),IF(BF351="Multiple strategies","mixed drivers",IF(BF351="Supply chain","multiple supply","multiple silviculture"))))</f>
        <v>mixed drivers</v>
      </c>
      <c r="BF351" s="2" t="str" cm="1">
        <f t="array" ref="BF351">IF(COUNTIF(AZ351:BB351,"&lt;&gt;0")=1,INDEX($V$4:$AW$4,MATCH(TRUE,INDEX($V351:$AW351&lt;&gt;0,),0)),IF(COUNTIF(AZ351:BB351,"&lt;&gt;0")=0,INDEX($AM$4:$AW$4,MATCH(1,$AM351:$AW351,0)),"Multiple strategies"))</f>
        <v>Multiple strategies</v>
      </c>
      <c r="BG351" s="1" t="s">
        <v>321</v>
      </c>
      <c r="BH351" t="s">
        <v>1112</v>
      </c>
      <c r="BI351"/>
      <c r="BJ351" t="s">
        <v>1113</v>
      </c>
      <c r="BK351">
        <v>2.75</v>
      </c>
      <c r="BL351">
        <v>3.2</v>
      </c>
      <c r="BM351" s="264">
        <f>BL351/BK351</f>
        <v>1.1636363636363638</v>
      </c>
      <c r="BN351">
        <f>BL351-BK351</f>
        <v>0.45000000000000018</v>
      </c>
      <c r="BO351">
        <f>BN351</f>
        <v>0.45000000000000018</v>
      </c>
      <c r="BP351" s="264" t="s">
        <v>232</v>
      </c>
      <c r="BQ351" s="264"/>
      <c r="BR351" t="s">
        <v>1114</v>
      </c>
      <c r="BS351">
        <v>-0.22</v>
      </c>
      <c r="BT351">
        <v>-2.5</v>
      </c>
      <c r="BU351" s="144">
        <f>IFERROR(BT351/BS351,"")</f>
        <v>11.363636363636363</v>
      </c>
      <c r="BV351">
        <f>BT351-BS351</f>
        <v>-2.2799999999999998</v>
      </c>
      <c r="BW351"/>
      <c r="BX351">
        <f>BV351/10^3</f>
        <v>-2.2799999999999999E-3</v>
      </c>
      <c r="BY351">
        <f>IFERROR(BX351/BO351,"")</f>
        <v>-5.0666666666666646E-3</v>
      </c>
      <c r="BZ351">
        <v>0</v>
      </c>
      <c r="CA351">
        <v>0</v>
      </c>
      <c r="CB351">
        <v>0</v>
      </c>
      <c r="CC351">
        <v>0</v>
      </c>
      <c r="CD351">
        <v>0</v>
      </c>
      <c r="CE351">
        <v>0</v>
      </c>
      <c r="CF351">
        <v>0</v>
      </c>
      <c r="CG351">
        <v>0</v>
      </c>
      <c r="CH351">
        <v>0</v>
      </c>
      <c r="CI351">
        <v>0</v>
      </c>
      <c r="CJ351">
        <v>0</v>
      </c>
      <c r="CK351">
        <v>0</v>
      </c>
      <c r="CL351">
        <v>0</v>
      </c>
      <c r="CM351">
        <v>0</v>
      </c>
      <c r="CN351" t="str">
        <f>IF($BL351&lt;$BK351,"refNeedCorrection","refOK")</f>
        <v>refOK</v>
      </c>
      <c r="CO351">
        <f>IF($CN351="refOK",$BK351,$BL351)</f>
        <v>2.75</v>
      </c>
      <c r="CP351">
        <f>IF($CN351="refOK",$BL351,$BK351)</f>
        <v>3.2</v>
      </c>
      <c r="CQ351">
        <f>IF($CN351="refOK",$BO351,-$BO351)</f>
        <v>0.45000000000000018</v>
      </c>
      <c r="CR351">
        <f>IF($CN351="refOK",$BS351,$BT351)*IF($BP351="Emissions positive",-1,1)</f>
        <v>-0.22</v>
      </c>
      <c r="CS351">
        <f>IF($CN351="refOK",$BT351,$BS351)*IF($BP351="Emissions positive",-1,1)</f>
        <v>-2.5</v>
      </c>
      <c r="CT351">
        <f>IF($CN351="refNeedCorrection",-BX351,BX351)*IF($BP351="Emissions positive",-1,1)</f>
        <v>-2.2799999999999999E-3</v>
      </c>
      <c r="CU351">
        <f>IFERROR(CT351/CQ351,"")</f>
        <v>-5.0666666666666646E-3</v>
      </c>
      <c r="CV351" s="2">
        <f>IFERROR((CS351-CR351)/ABS(CR351),"")</f>
        <v>-10.363636363636363</v>
      </c>
      <c r="CW351" s="1" t="s">
        <v>234</v>
      </c>
      <c r="CX351" s="264" t="str">
        <f>IF(OR($CW351="prd",$CW351="std",$CW351="cit"),"loc",IF(OR($CW351="eur",$CW351="reg",$CW351="coy"),"reg",$CW351))</f>
        <v>loc</v>
      </c>
      <c r="CY351" t="s">
        <v>235</v>
      </c>
      <c r="CZ351">
        <v>2001</v>
      </c>
      <c r="DA351">
        <v>2100</v>
      </c>
      <c r="DB351">
        <v>100</v>
      </c>
      <c r="DC351" t="str">
        <f>IF(DB351=0,"0",IF(AND(DB351&gt;=1,DB351&lt;=30),"1-30",IF(AND(DB351&gt;30,DB351&lt;=70),"31-70",IF(AND(DB351&gt;70,DB351&lt;=100),"71-100",IF(DB351&gt;100,"+100")))))</f>
        <v>71-100</v>
      </c>
      <c r="DD351">
        <v>0</v>
      </c>
      <c r="DE351">
        <v>1</v>
      </c>
      <c r="DF351">
        <v>1</v>
      </c>
      <c r="DG351">
        <v>1</v>
      </c>
      <c r="DH351"/>
      <c r="DI351">
        <f>SUM(DD351:DG351)</f>
        <v>3</v>
      </c>
      <c r="DJ351" t="str">
        <f>IF(DI351=1,INDEX($DD$7:$DG$7,MATCH(1,$DD351:$DG351,0)),"mixedProduct")</f>
        <v>mixedProduct</v>
      </c>
      <c r="DK351">
        <f>IF(DD351=1,DK$7,0)</f>
        <v>0</v>
      </c>
      <c r="DL351" t="str">
        <f>IF(DE351=1,DL$7,0)</f>
        <v>Energy</v>
      </c>
      <c r="DM351" t="str">
        <f>IF(DF351=1,DM$7,0)</f>
        <v>Pulp/Paper</v>
      </c>
      <c r="DN351" t="str">
        <f>IF(DG351=1,DN$7,0)</f>
        <v>Timber</v>
      </c>
      <c r="DO351">
        <v>1</v>
      </c>
      <c r="DP351">
        <v>0</v>
      </c>
      <c r="DQ351">
        <v>0</v>
      </c>
      <c r="DR351">
        <v>0</v>
      </c>
      <c r="DS351">
        <v>0</v>
      </c>
      <c r="DT351">
        <f>SUM(DO351:DP351)</f>
        <v>1</v>
      </c>
      <c r="DU351" s="143" t="str">
        <f>IF(DO351=1,"self-calculated DF",IF(DP351=1,"external DF used","explicit C balance"))</f>
        <v>self-calculated DF</v>
      </c>
      <c r="DV351">
        <v>1</v>
      </c>
      <c r="DW351">
        <v>1</v>
      </c>
      <c r="DX351">
        <v>1</v>
      </c>
      <c r="DY351">
        <v>0</v>
      </c>
      <c r="DZ351">
        <v>0</v>
      </c>
      <c r="EA351" s="143">
        <v>0</v>
      </c>
      <c r="EB351">
        <v>1</v>
      </c>
      <c r="EC351">
        <v>1</v>
      </c>
      <c r="ED351">
        <v>0</v>
      </c>
      <c r="EE351">
        <v>0</v>
      </c>
      <c r="EF351">
        <v>1</v>
      </c>
      <c r="EG351">
        <v>1</v>
      </c>
      <c r="EH351">
        <v>0</v>
      </c>
      <c r="EI351" s="2">
        <v>0</v>
      </c>
      <c r="EJ351" s="1"/>
      <c r="EK351" t="str">
        <f>IF(AND(AND(AND(OR($DX351=1,$DW351=1),OR($EC351=1,$EA351=1)),SUM($DV351:$DZ351,$EF351)&gt;=4),SUM($EA351:$EE351)&gt;=2),"Whole sector","")</f>
        <v>Whole sector</v>
      </c>
      <c r="EL351" t="str">
        <f>IF(AND(AND(OR($DX351=1,$DW351=1),AND($EC351=0,$EA351=0)),SUM($DV351:$DZ351,$EF351)&gt;=4),"Ecosystem approach","")</f>
        <v/>
      </c>
      <c r="EM351" s="2" t="str">
        <f>IF(AND(AND(AND($DX351=0,$DW351=0),OR($EC351=1,$EA351=1)),SUM($EB351:$EE351)&gt;=2),"Technology approach","")</f>
        <v/>
      </c>
      <c r="EN351"/>
      <c r="EO351"/>
      <c r="EP351" t="str">
        <f>IF(ISNUMBER(BU351),IF(ABS(BU351-[3]QC_indicators!$B$2)&gt;3*[3]QC_indicators!$C$2,"C ratio",IF(ISNUMBER(BY351),IF(ABS(BY351-[3]QC_indicators!$B$1)&gt;3*[3]QC_indicators!$C$1,"DF","no"))),IF(ISNUMBER(BY351),IF(ABS(BY351-[3]QC_indicators!$B$1)&gt;3*[3]QC_indicators!$C$1,"DF","no")))</f>
        <v>no</v>
      </c>
      <c r="EQ351"/>
      <c r="ER351" s="294" t="s">
        <v>349</v>
      </c>
      <c r="ES351"/>
      <c r="ET351" s="264" t="s">
        <v>3407</v>
      </c>
      <c r="EU351"/>
    </row>
    <row r="352" spans="1:151" s="139" customFormat="1" ht="15" customHeight="1">
      <c r="A352" s="1"/>
      <c r="B352"/>
      <c r="C352"/>
      <c r="D352" t="s">
        <v>963</v>
      </c>
      <c r="E352" t="s">
        <v>988</v>
      </c>
      <c r="F352"/>
      <c r="G352" t="s">
        <v>693</v>
      </c>
      <c r="H352"/>
      <c r="I352">
        <v>2003</v>
      </c>
      <c r="J352"/>
      <c r="K352" s="295" t="s">
        <v>989</v>
      </c>
      <c r="L352"/>
      <c r="M352" t="str">
        <f>LEFT($D352,FIND(",",$D352)-1)&amp;"_"&amp;I352&amp;L352</f>
        <v>Petersen_2003</v>
      </c>
      <c r="N352" t="s">
        <v>222</v>
      </c>
      <c r="O352" s="171" t="s">
        <v>513</v>
      </c>
      <c r="P352" s="141" t="s">
        <v>225</v>
      </c>
      <c r="Q352" s="264" t="s">
        <v>389</v>
      </c>
      <c r="R352" s="269" t="s">
        <v>1154</v>
      </c>
      <c r="S352" s="263" t="s">
        <v>990</v>
      </c>
      <c r="T352" s="264" t="s">
        <v>991</v>
      </c>
      <c r="U352" s="264" t="s">
        <v>992</v>
      </c>
      <c r="V352">
        <v>0</v>
      </c>
      <c r="W352">
        <v>0</v>
      </c>
      <c r="X352">
        <v>0</v>
      </c>
      <c r="Y352">
        <v>0</v>
      </c>
      <c r="Z352">
        <v>0</v>
      </c>
      <c r="AA352">
        <v>0</v>
      </c>
      <c r="AB352">
        <v>0</v>
      </c>
      <c r="AC352">
        <v>0</v>
      </c>
      <c r="AD352">
        <v>0</v>
      </c>
      <c r="AE352">
        <v>0</v>
      </c>
      <c r="AF352">
        <v>0</v>
      </c>
      <c r="AG352">
        <v>0</v>
      </c>
      <c r="AH352">
        <v>0</v>
      </c>
      <c r="AI352">
        <v>0</v>
      </c>
      <c r="AJ352">
        <v>1</v>
      </c>
      <c r="AK352">
        <v>0</v>
      </c>
      <c r="AL352">
        <v>0</v>
      </c>
      <c r="AM352">
        <v>0</v>
      </c>
      <c r="AN352">
        <v>0</v>
      </c>
      <c r="AO352">
        <v>0</v>
      </c>
      <c r="AP352">
        <v>0</v>
      </c>
      <c r="AQ352">
        <v>0</v>
      </c>
      <c r="AR352">
        <v>0</v>
      </c>
      <c r="AS352">
        <v>0</v>
      </c>
      <c r="AT352">
        <v>0</v>
      </c>
      <c r="AU352">
        <v>0</v>
      </c>
      <c r="AV352">
        <v>0</v>
      </c>
      <c r="AW352">
        <v>0</v>
      </c>
      <c r="AX352" s="141">
        <f>COUNTIF(V352:AW352,"&lt;&gt;0")</f>
        <v>1</v>
      </c>
      <c r="AY352" s="141">
        <f>COUNTIF(V352:AL352,"&lt;&gt;0")</f>
        <v>1</v>
      </c>
      <c r="AZ352">
        <f>COUNTIF(V352:AC352,"&lt;&gt;0")</f>
        <v>0</v>
      </c>
      <c r="BA352">
        <f>COUNTIF(AD352:AI352,"&lt;&gt;0")</f>
        <v>0</v>
      </c>
      <c r="BB352">
        <f>COUNTIF(AJ352:AL352,"&lt;&gt;0")</f>
        <v>1</v>
      </c>
      <c r="BC352">
        <f>COUNTIF(AS352:AW352,"&lt;&gt;0")</f>
        <v>0</v>
      </c>
      <c r="BD352">
        <f>COUNTIF(AM352:AR352,"&lt;&gt;0")</f>
        <v>0</v>
      </c>
      <c r="BE352" t="str" cm="1">
        <f t="array" ref="BE352">IF(AY352=1,INDEX($V$7:$AL$7,MATCH(TRUE,INDEX($V352:$AW352&lt;&gt;0,),0)),IF(AY352=0,INDEX($AM$7:$AW$7,MATCH(1,$AM352:$AW352,0)),IF(BF352="Multiple strategies","mixed drivers",IF(BF352="Supply chain","multiple supply","multiple silviculture"))))</f>
        <v>efficiency improvement</v>
      </c>
      <c r="BF352" s="2" t="str" cm="1">
        <f t="array" ref="BF352">IF(COUNTIF(AZ352:BB352,"&lt;&gt;0")=1,INDEX($V$4:$AW$4,MATCH(TRUE,INDEX($V352:$AW352&lt;&gt;0,),0)),IF(COUNTIF(AZ352:BB352,"&lt;&gt;0")=0,INDEX($AM$4:$AW$4,MATCH(1,$AM352:$AW352,0)),"Multiple strategies"))</f>
        <v>Technology</v>
      </c>
      <c r="BG352" s="142" t="s">
        <v>229</v>
      </c>
      <c r="BH352" t="s">
        <v>970</v>
      </c>
      <c r="BI352" t="s">
        <v>993</v>
      </c>
      <c r="BJ352" t="s">
        <v>498</v>
      </c>
      <c r="BK352">
        <v>1</v>
      </c>
      <c r="BL352">
        <v>1</v>
      </c>
      <c r="BM352">
        <f>IFERROR(BL352/BK352,"")</f>
        <v>1</v>
      </c>
      <c r="BN352">
        <f>BL352-BK352</f>
        <v>0</v>
      </c>
      <c r="BO352">
        <v>1</v>
      </c>
      <c r="BP352" t="s">
        <v>232</v>
      </c>
      <c r="BQ352" t="s">
        <v>742</v>
      </c>
      <c r="BR352" s="264" t="s">
        <v>973</v>
      </c>
      <c r="BS352">
        <v>0.39600000000000002</v>
      </c>
      <c r="BT352">
        <v>0.39100000000000001</v>
      </c>
      <c r="BU352"/>
      <c r="BV352">
        <f>BT352-BS352</f>
        <v>-5.0000000000000044E-3</v>
      </c>
      <c r="BW352"/>
      <c r="BX352">
        <f>BV352</f>
        <v>-5.0000000000000044E-3</v>
      </c>
      <c r="BY352">
        <f>IFERROR(BX352/BO352,"")</f>
        <v>-5.0000000000000044E-3</v>
      </c>
      <c r="BZ352">
        <v>0</v>
      </c>
      <c r="CA352">
        <v>0</v>
      </c>
      <c r="CB352">
        <v>0</v>
      </c>
      <c r="CC352">
        <v>0</v>
      </c>
      <c r="CD352">
        <v>0</v>
      </c>
      <c r="CE352">
        <v>0</v>
      </c>
      <c r="CF352">
        <v>0</v>
      </c>
      <c r="CG352">
        <v>0</v>
      </c>
      <c r="CH352">
        <v>0</v>
      </c>
      <c r="CI352">
        <v>0</v>
      </c>
      <c r="CJ352">
        <v>0</v>
      </c>
      <c r="CK352">
        <v>0</v>
      </c>
      <c r="CL352">
        <v>0</v>
      </c>
      <c r="CM352">
        <v>0</v>
      </c>
      <c r="CN352" t="str">
        <f>IF($BL352&lt;$BK352,"refNeedCorrection","refOK")</f>
        <v>refOK</v>
      </c>
      <c r="CO352">
        <f>IF($CN352="refOK",$BK352,$BL352)</f>
        <v>1</v>
      </c>
      <c r="CP352">
        <f>IF($CN352="refOK",$BL352,$BK352)</f>
        <v>1</v>
      </c>
      <c r="CQ352">
        <f>IF($CN352="refOK",$BO352,-$BO352)</f>
        <v>1</v>
      </c>
      <c r="CR352">
        <f>IF($CN352="refOK",$BS352,$BT352)*IF($BP352="Emissions positive",-1,1)</f>
        <v>0.39600000000000002</v>
      </c>
      <c r="CS352">
        <f>IF($CN352="refOK",$BT352,$BS352)*IF($BP352="Emissions positive",-1,1)</f>
        <v>0.39100000000000001</v>
      </c>
      <c r="CT352">
        <f>IF($CN352="refNeedCorrection",-BX352,BX352)*IF($BP352="Emissions positive",-1,1)</f>
        <v>-5.0000000000000044E-3</v>
      </c>
      <c r="CU352">
        <f>IFERROR(CT352/CQ352,"")</f>
        <v>-5.0000000000000044E-3</v>
      </c>
      <c r="CV352" s="2">
        <f>IFERROR((CS352-CR352)/ABS(CR352),"")</f>
        <v>-1.2626262626262636E-2</v>
      </c>
      <c r="CW352" s="1" t="s">
        <v>263</v>
      </c>
      <c r="CX352" s="264" t="str">
        <f>IF(OR($CW352="prd",$CW352="std",$CW352="cit"),"loc",IF(OR($CW352="eur",$CW352="reg",$CW352="coy"),"reg",$CW352))</f>
        <v>loc</v>
      </c>
      <c r="CY352" t="s">
        <v>264</v>
      </c>
      <c r="CZ352"/>
      <c r="DA352" s="143"/>
      <c r="DB352" s="143">
        <v>45</v>
      </c>
      <c r="DC352" t="str">
        <f>IF(DB352=0,"0",IF(AND(DB352&gt;=1,DB352&lt;=30),"1-30",IF(AND(DB352&gt;30,DB352&lt;=70),"31-70",IF(AND(DB352&gt;70,DB352&lt;=100),"71-100",IF(DB352&gt;100,"+100")))))</f>
        <v>31-70</v>
      </c>
      <c r="DD352">
        <v>0</v>
      </c>
      <c r="DE352">
        <v>0</v>
      </c>
      <c r="DF352">
        <v>0</v>
      </c>
      <c r="DG352">
        <v>1</v>
      </c>
      <c r="DH352">
        <v>0</v>
      </c>
      <c r="DI352">
        <f>SUM(DD352:DG352)</f>
        <v>1</v>
      </c>
      <c r="DJ352" t="str">
        <f>IF(DI352=1,INDEX($DD$7:$DG$7,MATCH(1,$DD352:$DG352,0)),"mixedProduct")</f>
        <v>TimberInput</v>
      </c>
      <c r="DK352">
        <f>IF(DD352=1,DK$7,0)</f>
        <v>0</v>
      </c>
      <c r="DL352">
        <f>IF(DE352=1,DL$7,0)</f>
        <v>0</v>
      </c>
      <c r="DM352">
        <f>IF(DF352=1,DM$7,0)</f>
        <v>0</v>
      </c>
      <c r="DN352" t="str">
        <f>IF(DG352=1,DN$7,0)</f>
        <v>Timber</v>
      </c>
      <c r="DO352">
        <v>1</v>
      </c>
      <c r="DP352">
        <v>0</v>
      </c>
      <c r="DQ352">
        <v>0</v>
      </c>
      <c r="DR352">
        <v>0</v>
      </c>
      <c r="DS352">
        <v>0</v>
      </c>
      <c r="DT352">
        <f>SUM(DO352:DP352)</f>
        <v>1</v>
      </c>
      <c r="DU352" s="143" t="str">
        <f>IF(DO352=1,"self-calculated DF",IF(DP352=1,"external DF used","explicit C balance"))</f>
        <v>self-calculated DF</v>
      </c>
      <c r="DV352" s="143">
        <v>0</v>
      </c>
      <c r="DW352" s="143">
        <v>0</v>
      </c>
      <c r="DX352" s="143">
        <v>0</v>
      </c>
      <c r="DY352" s="143">
        <v>0</v>
      </c>
      <c r="DZ352">
        <v>0</v>
      </c>
      <c r="EA352" s="143">
        <v>0</v>
      </c>
      <c r="EB352" s="143">
        <v>0</v>
      </c>
      <c r="EC352" s="143">
        <v>1</v>
      </c>
      <c r="ED352" s="143">
        <v>0</v>
      </c>
      <c r="EE352">
        <v>1</v>
      </c>
      <c r="EF352">
        <v>0</v>
      </c>
      <c r="EG352" s="143">
        <v>0</v>
      </c>
      <c r="EH352" s="143">
        <v>0</v>
      </c>
      <c r="EI352" s="2">
        <v>0</v>
      </c>
      <c r="EJ352" s="1"/>
      <c r="EK352" t="str">
        <f>IF(AND(AND(AND(OR($DX352=1,$DW352=1),OR($EC352=1,$EA352=1)),SUM($DV352:$DZ352,$EF352)&gt;=4),SUM($EA352:$EE352)&gt;=2),"Whole sector","")</f>
        <v/>
      </c>
      <c r="EL352" t="str">
        <f>IF(AND(AND(OR($DX352=1,$DW352=1),AND($EC352=0,$EA352=0)),SUM($DV352:$DZ352,$EF352)&gt;=4),"Ecosystem approach","")</f>
        <v/>
      </c>
      <c r="EM352" s="2" t="str">
        <f>IF(AND(AND(AND($DX352=0,$DW352=0),OR($EC352=1,$EA352=1)),SUM($EB352:$EE352)&gt;=2),"Technology approach","")</f>
        <v>Technology approach</v>
      </c>
      <c r="EN352" t="s">
        <v>994</v>
      </c>
      <c r="EO352"/>
      <c r="EP352" t="str">
        <f>IF(ISNUMBER(BU352),IF(ABS(BU352-[3]QC_indicators!$B$2)&gt;3*[3]QC_indicators!$C$2,"C ratio",IF(ISNUMBER(BY352),IF(ABS(BY352-[3]QC_indicators!$B$1)&gt;3*[3]QC_indicators!$C$1,"DF","no"))),IF(ISNUMBER(BY352),IF(ABS(BY352-[3]QC_indicators!$B$1)&gt;3*[3]QC_indicators!$C$1,"DF","no")))</f>
        <v>no</v>
      </c>
      <c r="EQ352"/>
      <c r="ER352" s="264" t="s">
        <v>995</v>
      </c>
      <c r="ES352"/>
      <c r="ET352" s="264" t="s">
        <v>3407</v>
      </c>
      <c r="EU352"/>
    </row>
    <row r="353" spans="1:151" s="139" customFormat="1" ht="15" customHeight="1">
      <c r="A353" s="1" t="s">
        <v>587</v>
      </c>
      <c r="B353" t="s">
        <v>1448</v>
      </c>
      <c r="C353" t="s">
        <v>1449</v>
      </c>
      <c r="D353" t="s">
        <v>1450</v>
      </c>
      <c r="E353" t="s">
        <v>1451</v>
      </c>
      <c r="F353" t="s">
        <v>1452</v>
      </c>
      <c r="G353" t="s">
        <v>593</v>
      </c>
      <c r="H353" t="s">
        <v>254</v>
      </c>
      <c r="I353">
        <v>2020</v>
      </c>
      <c r="J353">
        <v>12</v>
      </c>
      <c r="K353" t="s">
        <v>1453</v>
      </c>
      <c r="L353"/>
      <c r="M353" t="str">
        <f>LEFT($D353,FIND(",",$D353)-1)&amp;"_"&amp;I353&amp;L353</f>
        <v>Elisa_2020</v>
      </c>
      <c r="N353" s="264" t="s">
        <v>222</v>
      </c>
      <c r="O353" s="171" t="s">
        <v>274</v>
      </c>
      <c r="P353" t="s">
        <v>223</v>
      </c>
      <c r="Q353" s="264" t="s">
        <v>389</v>
      </c>
      <c r="R353" s="269" t="s">
        <v>1154</v>
      </c>
      <c r="S353" s="154" t="s">
        <v>1454</v>
      </c>
      <c r="T353" s="294" t="s">
        <v>1455</v>
      </c>
      <c r="U353" s="143" t="s">
        <v>1494</v>
      </c>
      <c r="V353">
        <v>0</v>
      </c>
      <c r="W353">
        <v>0</v>
      </c>
      <c r="X353">
        <v>0</v>
      </c>
      <c r="Y353">
        <v>0</v>
      </c>
      <c r="Z353">
        <v>0</v>
      </c>
      <c r="AA353">
        <v>0</v>
      </c>
      <c r="AB353">
        <v>0</v>
      </c>
      <c r="AC353">
        <v>0</v>
      </c>
      <c r="AD353">
        <v>0</v>
      </c>
      <c r="AE353">
        <v>1</v>
      </c>
      <c r="AF353">
        <v>0</v>
      </c>
      <c r="AG353">
        <v>0</v>
      </c>
      <c r="AH353">
        <v>0</v>
      </c>
      <c r="AI353">
        <v>0</v>
      </c>
      <c r="AJ353">
        <v>0</v>
      </c>
      <c r="AK353">
        <v>1</v>
      </c>
      <c r="AL353">
        <v>0</v>
      </c>
      <c r="AM353">
        <v>0</v>
      </c>
      <c r="AN353">
        <v>0</v>
      </c>
      <c r="AO353">
        <v>0</v>
      </c>
      <c r="AP353">
        <v>0</v>
      </c>
      <c r="AQ353">
        <v>0</v>
      </c>
      <c r="AR353">
        <v>0</v>
      </c>
      <c r="AS353">
        <v>0</v>
      </c>
      <c r="AT353">
        <v>0</v>
      </c>
      <c r="AU353">
        <v>0</v>
      </c>
      <c r="AV353">
        <v>0</v>
      </c>
      <c r="AW353">
        <v>0</v>
      </c>
      <c r="AX353" s="141">
        <f>COUNTIF(V353:AW353,"&lt;&gt;0")</f>
        <v>2</v>
      </c>
      <c r="AY353" s="141">
        <f>COUNTIF(V353:AL353,"&lt;&gt;0")</f>
        <v>2</v>
      </c>
      <c r="AZ353">
        <f>COUNTIF(V353:AC353,"&lt;&gt;0")</f>
        <v>0</v>
      </c>
      <c r="BA353">
        <f>COUNTIF(AD353:AI353,"&lt;&gt;0")</f>
        <v>1</v>
      </c>
      <c r="BB353">
        <f>COUNTIF(AJ353:AL353,"&lt;&gt;0")</f>
        <v>1</v>
      </c>
      <c r="BC353">
        <f>COUNTIF(AS353:AW353,"&lt;&gt;0")</f>
        <v>0</v>
      </c>
      <c r="BD353">
        <f>COUNTIF(AM353:AR353,"&lt;&gt;0")</f>
        <v>0</v>
      </c>
      <c r="BE353" t="str" cm="1">
        <f t="array" ref="BE353">IF(AY353=1,INDEX($V$7:$AL$7,MATCH(TRUE,INDEX($V353:$AW353&lt;&gt;0,),0)),IF(AY353=0,INDEX($AM$7:$AW$7,MATCH(1,$AM353:$AW353,0)),IF(BF353="Multiple strategies","mixed drivers",IF(BF353="Supply chain","multiple supply","multiple silviculture"))))</f>
        <v>mixed drivers</v>
      </c>
      <c r="BF353" s="2" t="str" cm="1">
        <f t="array" ref="BF353">IF(COUNTIF(AZ353:BB353,"&lt;&gt;0")=1,INDEX($V$4:$AW$4,MATCH(TRUE,INDEX($V353:$AW353&lt;&gt;0,),0)),IF(COUNTIF(AZ353:BB353,"&lt;&gt;0")=0,INDEX($AM$4:$AW$4,MATCH(1,$AM353:$AW353,0)),"Multiple strategies"))</f>
        <v>Multiple strategies</v>
      </c>
      <c r="BG353" s="142" t="s">
        <v>321</v>
      </c>
      <c r="BH353" s="160" t="s">
        <v>1457</v>
      </c>
      <c r="BI353" s="160" t="s">
        <v>1458</v>
      </c>
      <c r="BJ353" s="143" t="s">
        <v>498</v>
      </c>
      <c r="BK353" s="143">
        <v>944</v>
      </c>
      <c r="BL353" s="143">
        <v>20000</v>
      </c>
      <c r="BM353">
        <f>IFERROR(BL353/BK353,"")</f>
        <v>21.1864406779661</v>
      </c>
      <c r="BN353">
        <f>BL353-BK353</f>
        <v>19056</v>
      </c>
      <c r="BO353" s="159">
        <f>BN353</f>
        <v>19056</v>
      </c>
      <c r="BP353" s="155" t="s">
        <v>232</v>
      </c>
      <c r="BQ353" s="155" t="s">
        <v>1459</v>
      </c>
      <c r="BR353" s="155" t="s">
        <v>825</v>
      </c>
      <c r="BS353" s="143" t="s">
        <v>1460</v>
      </c>
      <c r="BT353" t="s">
        <v>1495</v>
      </c>
      <c r="BU353" s="144">
        <f>BT353/BS353</f>
        <v>14.458917698846307</v>
      </c>
      <c r="BV353">
        <f>BT353-BS353</f>
        <v>-94.456265833332992</v>
      </c>
      <c r="BW353"/>
      <c r="BX353">
        <f>BV353</f>
        <v>-94.456265833332992</v>
      </c>
      <c r="BY353">
        <f>IFERROR(BX353/BO353,"")</f>
        <v>-4.95677297614048E-3</v>
      </c>
      <c r="BZ353">
        <v>0</v>
      </c>
      <c r="CA353">
        <v>0</v>
      </c>
      <c r="CB353">
        <v>0</v>
      </c>
      <c r="CC353">
        <v>0</v>
      </c>
      <c r="CD353">
        <v>0</v>
      </c>
      <c r="CE353">
        <v>0</v>
      </c>
      <c r="CF353">
        <v>0</v>
      </c>
      <c r="CG353">
        <v>0</v>
      </c>
      <c r="CH353">
        <v>0</v>
      </c>
      <c r="CI353">
        <v>0</v>
      </c>
      <c r="CJ353">
        <v>0</v>
      </c>
      <c r="CK353">
        <v>0</v>
      </c>
      <c r="CL353">
        <v>0</v>
      </c>
      <c r="CM353">
        <v>0</v>
      </c>
      <c r="CN353" t="str">
        <f>IF($BL353&lt;$BK353,"refNeedCorrection","refOK")</f>
        <v>refOK</v>
      </c>
      <c r="CO353">
        <f>IF($CN353="refOK",$BK353,$BL353)</f>
        <v>944</v>
      </c>
      <c r="CP353">
        <f>IF($CN353="refOK",$BL353,$BK353)</f>
        <v>20000</v>
      </c>
      <c r="CQ353">
        <f>IF($CN353="refOK",$BO353,-$BO353)</f>
        <v>19056</v>
      </c>
      <c r="CR353">
        <f>IF($CN353="refOK",$BS353,$BT353)*IF($BP353="Emissions positive",-1,1)</f>
        <v>-7.0181174999999998</v>
      </c>
      <c r="CS353">
        <f>IF($CN353="refOK",$BT353,$BS353)*IF($BP353="Emissions positive",-1,1)</f>
        <v>-101.47438333333299</v>
      </c>
      <c r="CT353">
        <f>IF($CN353="refNeedCorrection",-BX353,BX353)*IF($BP353="Emissions positive",-1,1)</f>
        <v>-94.456265833332992</v>
      </c>
      <c r="CU353">
        <f>IFERROR(CT353/CQ353,"")</f>
        <v>-4.95677297614048E-3</v>
      </c>
      <c r="CV353" s="2">
        <f>IFERROR((CS353-CR353)/ABS(CR353),"")</f>
        <v>-13.458917698846307</v>
      </c>
      <c r="CW353" s="263" t="s">
        <v>1462</v>
      </c>
      <c r="CX353" s="264" t="str">
        <f>IF(OR($CW353="prd",$CW353="std",$CW353="cit"),"loc",IF(OR($CW353="eur",$CW353="reg",$CW353="coy"),"reg",$CW353))</f>
        <v>reg</v>
      </c>
      <c r="CY353" s="270" t="s">
        <v>743</v>
      </c>
      <c r="CZ353"/>
      <c r="DA353" s="143"/>
      <c r="DB353" s="143">
        <v>0</v>
      </c>
      <c r="DC353" t="str">
        <f>IF(DB353=0,"0",IF(AND(DB353&gt;=1,DB353&lt;=30),"1-30",IF(AND(DB353&gt;30,DB353&lt;=70),"31-70",IF(AND(DB353&gt;70,DB353&lt;=100),"71-100",IF(DB353&gt;100,"+100")))))</f>
        <v>0</v>
      </c>
      <c r="DD353">
        <v>0</v>
      </c>
      <c r="DE353">
        <v>1</v>
      </c>
      <c r="DF353">
        <v>0</v>
      </c>
      <c r="DG353">
        <v>0</v>
      </c>
      <c r="DH353">
        <v>0</v>
      </c>
      <c r="DI353">
        <f>SUM(DD353:DH353)</f>
        <v>1</v>
      </c>
      <c r="DJ353" t="str">
        <f>IF(DI353=1,INDEX($DD$7:$DG$7,MATCH(1,$DD353:$DG353,0)),"mixedProduct")</f>
        <v>EnergyInput</v>
      </c>
      <c r="DK353">
        <f>IF(DD353=1,DK$7,0)</f>
        <v>0</v>
      </c>
      <c r="DL353" t="str">
        <f>IF(DE353=1,DL$7,0)</f>
        <v>Energy</v>
      </c>
      <c r="DM353">
        <f>IF(DF353=1,DM$7,0)</f>
        <v>0</v>
      </c>
      <c r="DN353">
        <f>IF(DG353=1,DN$7,0)</f>
        <v>0</v>
      </c>
      <c r="DO353">
        <v>0</v>
      </c>
      <c r="DP353" s="143">
        <v>0</v>
      </c>
      <c r="DQ353" s="143">
        <v>0</v>
      </c>
      <c r="DR353">
        <v>0</v>
      </c>
      <c r="DS353" s="143">
        <v>0</v>
      </c>
      <c r="DT353">
        <f>SUM(DO353:DP353)</f>
        <v>0</v>
      </c>
      <c r="DU353" s="143" t="str">
        <f>IF(DO353=1,"self-calculated DF",IF(DP353=1,"external DF used","explicit C balance"))</f>
        <v>explicit C balance</v>
      </c>
      <c r="DV353" s="143">
        <v>0</v>
      </c>
      <c r="DW353" s="143">
        <v>0</v>
      </c>
      <c r="DX353" s="143">
        <v>0</v>
      </c>
      <c r="DY353" s="143">
        <v>0</v>
      </c>
      <c r="DZ353">
        <v>0</v>
      </c>
      <c r="EA353" s="143">
        <v>0</v>
      </c>
      <c r="EB353" s="143">
        <v>1</v>
      </c>
      <c r="EC353" s="143">
        <v>1</v>
      </c>
      <c r="ED353" s="143">
        <v>0</v>
      </c>
      <c r="EE353">
        <v>1</v>
      </c>
      <c r="EF353">
        <v>0</v>
      </c>
      <c r="EG353" s="143">
        <v>0</v>
      </c>
      <c r="EH353" s="143">
        <v>0</v>
      </c>
      <c r="EI353" s="2">
        <v>0</v>
      </c>
      <c r="EJ353" s="1"/>
      <c r="EK353" t="str">
        <f>IF(AND(AND(AND(OR($DX353=1,$DW353=1),OR($EC353=1,$EA353=1)),SUM($DV353:$DZ353,$EF353)&gt;=4),SUM($EA353:$EE353)&gt;=2),"Whole sector","")</f>
        <v/>
      </c>
      <c r="EL353" t="str">
        <f>IF(AND(AND(OR($DX353=1,$DW353=1),AND($EC353=0,$EA353=0)),SUM($DV353:$DZ353,$EF353)&gt;=4),"Ecosystem approach","")</f>
        <v/>
      </c>
      <c r="EM353" s="2" t="str">
        <f>IF(AND(AND(AND($DX353=0,$DW353=0),OR($EC353=1,$EA353=1)),SUM($EB353:$EE353)&gt;=2),"Technology approach","")</f>
        <v>Technology approach</v>
      </c>
      <c r="EN353"/>
      <c r="EO353"/>
      <c r="EP353" t="str">
        <f>IF(ISNUMBER(BU353),IF(ABS(BU353-[3]QC_indicators!$B$2)&gt;3*[3]QC_indicators!$C$2,"C ratio",IF(ISNUMBER(BY353),IF(ABS(BY353-[3]QC_indicators!$B$1)&gt;3*[3]QC_indicators!$C$1,"DF","no"))),IF(ISNUMBER(BY353),IF(ABS(BY353-[3]QC_indicators!$B$1)&gt;3*[3]QC_indicators!$C$1,"DF","no")))</f>
        <v>no</v>
      </c>
      <c r="EQ353"/>
      <c r="ER353" s="149"/>
      <c r="ES353"/>
      <c r="ET353" s="264" t="s">
        <v>3407</v>
      </c>
      <c r="EU353"/>
    </row>
    <row r="354" spans="1:151" s="139" customFormat="1" ht="15" customHeight="1">
      <c r="A354" s="1" t="s">
        <v>587</v>
      </c>
      <c r="B354" t="s">
        <v>1448</v>
      </c>
      <c r="C354" t="s">
        <v>1449</v>
      </c>
      <c r="D354" t="s">
        <v>1450</v>
      </c>
      <c r="E354" t="s">
        <v>1451</v>
      </c>
      <c r="F354" t="s">
        <v>1452</v>
      </c>
      <c r="G354" t="s">
        <v>593</v>
      </c>
      <c r="H354" t="s">
        <v>254</v>
      </c>
      <c r="I354">
        <v>2020</v>
      </c>
      <c r="J354">
        <v>12</v>
      </c>
      <c r="K354" t="s">
        <v>1453</v>
      </c>
      <c r="L354"/>
      <c r="M354" t="str">
        <f>LEFT($D354,FIND(",",$D354)-1)&amp;"_"&amp;I354&amp;L354</f>
        <v>Elisa_2020</v>
      </c>
      <c r="N354" s="264" t="s">
        <v>222</v>
      </c>
      <c r="O354" s="171" t="s">
        <v>274</v>
      </c>
      <c r="P354" t="s">
        <v>223</v>
      </c>
      <c r="Q354" s="264" t="s">
        <v>389</v>
      </c>
      <c r="R354" s="269" t="s">
        <v>1154</v>
      </c>
      <c r="S354" s="154" t="s">
        <v>1454</v>
      </c>
      <c r="T354" s="294" t="s">
        <v>1455</v>
      </c>
      <c r="U354" s="143" t="s">
        <v>1496</v>
      </c>
      <c r="V354">
        <v>0</v>
      </c>
      <c r="W354">
        <v>0</v>
      </c>
      <c r="X354">
        <v>0</v>
      </c>
      <c r="Y354">
        <v>0</v>
      </c>
      <c r="Z354">
        <v>0</v>
      </c>
      <c r="AA354">
        <v>0</v>
      </c>
      <c r="AB354">
        <v>0</v>
      </c>
      <c r="AC354">
        <v>0</v>
      </c>
      <c r="AD354">
        <v>0</v>
      </c>
      <c r="AE354">
        <v>1</v>
      </c>
      <c r="AF354">
        <v>0</v>
      </c>
      <c r="AG354">
        <v>0</v>
      </c>
      <c r="AH354">
        <v>0</v>
      </c>
      <c r="AI354">
        <v>0</v>
      </c>
      <c r="AJ354">
        <v>0</v>
      </c>
      <c r="AK354">
        <v>1</v>
      </c>
      <c r="AL354">
        <v>0</v>
      </c>
      <c r="AM354">
        <v>0</v>
      </c>
      <c r="AN354">
        <v>0</v>
      </c>
      <c r="AO354">
        <v>0</v>
      </c>
      <c r="AP354">
        <v>0</v>
      </c>
      <c r="AQ354">
        <v>0</v>
      </c>
      <c r="AR354">
        <v>0</v>
      </c>
      <c r="AS354">
        <v>0</v>
      </c>
      <c r="AT354">
        <v>0</v>
      </c>
      <c r="AU354">
        <v>0</v>
      </c>
      <c r="AV354">
        <v>0</v>
      </c>
      <c r="AW354">
        <v>0</v>
      </c>
      <c r="AX354" s="141">
        <f>COUNTIF(V354:AW354,"&lt;&gt;0")</f>
        <v>2</v>
      </c>
      <c r="AY354" s="141">
        <f>COUNTIF(V354:AL354,"&lt;&gt;0")</f>
        <v>2</v>
      </c>
      <c r="AZ354">
        <f>COUNTIF(V354:AC354,"&lt;&gt;0")</f>
        <v>0</v>
      </c>
      <c r="BA354">
        <f>COUNTIF(AD354:AI354,"&lt;&gt;0")</f>
        <v>1</v>
      </c>
      <c r="BB354">
        <f>COUNTIF(AJ354:AL354,"&lt;&gt;0")</f>
        <v>1</v>
      </c>
      <c r="BC354">
        <f>COUNTIF(AS354:AW354,"&lt;&gt;0")</f>
        <v>0</v>
      </c>
      <c r="BD354">
        <f>COUNTIF(AM354:AR354,"&lt;&gt;0")</f>
        <v>0</v>
      </c>
      <c r="BE354" t="str" cm="1">
        <f t="array" ref="BE354">IF(AY354=1,INDEX($V$7:$AL$7,MATCH(TRUE,INDEX($V354:$AW354&lt;&gt;0,),0)),IF(AY354=0,INDEX($AM$7:$AW$7,MATCH(1,$AM354:$AW354,0)),IF(BF354="Multiple strategies","mixed drivers",IF(BF354="Supply chain","multiple supply","multiple silviculture"))))</f>
        <v>mixed drivers</v>
      </c>
      <c r="BF354" s="2" t="str" cm="1">
        <f t="array" ref="BF354">IF(COUNTIF(AZ354:BB354,"&lt;&gt;0")=1,INDEX($V$4:$AW$4,MATCH(TRUE,INDEX($V354:$AW354&lt;&gt;0,),0)),IF(COUNTIF(AZ354:BB354,"&lt;&gt;0")=0,INDEX($AM$4:$AW$4,MATCH(1,$AM354:$AW354,0)),"Multiple strategies"))</f>
        <v>Multiple strategies</v>
      </c>
      <c r="BG354" s="142" t="s">
        <v>321</v>
      </c>
      <c r="BH354" s="160" t="s">
        <v>1457</v>
      </c>
      <c r="BI354" s="160" t="s">
        <v>1458</v>
      </c>
      <c r="BJ354" s="143" t="s">
        <v>498</v>
      </c>
      <c r="BK354" s="143">
        <v>944</v>
      </c>
      <c r="BL354" s="143">
        <v>4837</v>
      </c>
      <c r="BM354">
        <f>IFERROR(BL354/BK354,"")</f>
        <v>5.1239406779661021</v>
      </c>
      <c r="BN354">
        <f>BL354-BK354</f>
        <v>3893</v>
      </c>
      <c r="BO354" s="159">
        <f>BN354</f>
        <v>3893</v>
      </c>
      <c r="BP354" s="155" t="s">
        <v>232</v>
      </c>
      <c r="BQ354" s="155" t="s">
        <v>1459</v>
      </c>
      <c r="BR354" s="155" t="s">
        <v>825</v>
      </c>
      <c r="BS354" s="143" t="s">
        <v>1460</v>
      </c>
      <c r="BT354" t="s">
        <v>1497</v>
      </c>
      <c r="BU354" s="144">
        <f>BT354/BS354</f>
        <v>3.6923663361293109</v>
      </c>
      <c r="BV354">
        <f>BT354-BS354</f>
        <v>-18.8953433</v>
      </c>
      <c r="BW354"/>
      <c r="BX354">
        <f>BV354</f>
        <v>-18.8953433</v>
      </c>
      <c r="BY354">
        <f>IFERROR(BX354/BO354,"")</f>
        <v>-4.8536715386591316E-3</v>
      </c>
      <c r="BZ354">
        <v>0</v>
      </c>
      <c r="CA354">
        <v>0</v>
      </c>
      <c r="CB354">
        <v>0</v>
      </c>
      <c r="CC354">
        <v>0</v>
      </c>
      <c r="CD354">
        <v>0</v>
      </c>
      <c r="CE354">
        <v>0</v>
      </c>
      <c r="CF354">
        <v>0</v>
      </c>
      <c r="CG354">
        <v>0</v>
      </c>
      <c r="CH354">
        <v>0</v>
      </c>
      <c r="CI354">
        <v>0</v>
      </c>
      <c r="CJ354">
        <v>0</v>
      </c>
      <c r="CK354">
        <v>0</v>
      </c>
      <c r="CL354">
        <v>0</v>
      </c>
      <c r="CM354">
        <v>0</v>
      </c>
      <c r="CN354" t="str">
        <f>IF($BL354&lt;$BK354,"refNeedCorrection","refOK")</f>
        <v>refOK</v>
      </c>
      <c r="CO354">
        <f>IF($CN354="refOK",$BK354,$BL354)</f>
        <v>944</v>
      </c>
      <c r="CP354">
        <f>IF($CN354="refOK",$BL354,$BK354)</f>
        <v>4837</v>
      </c>
      <c r="CQ354">
        <f>IF($CN354="refOK",$BO354,-$BO354)</f>
        <v>3893</v>
      </c>
      <c r="CR354">
        <f>IF($CN354="refOK",$BS354,$BT354)*IF($BP354="Emissions positive",-1,1)</f>
        <v>-7.0181174999999998</v>
      </c>
      <c r="CS354">
        <f>IF($CN354="refOK",$BT354,$BS354)*IF($BP354="Emissions positive",-1,1)</f>
        <v>-25.913460799999999</v>
      </c>
      <c r="CT354">
        <f>IF($CN354="refNeedCorrection",-BX354,BX354)*IF($BP354="Emissions positive",-1,1)</f>
        <v>-18.8953433</v>
      </c>
      <c r="CU354">
        <f>IFERROR(CT354/CQ354,"")</f>
        <v>-4.8536715386591316E-3</v>
      </c>
      <c r="CV354" s="2">
        <f>IFERROR((CS354-CR354)/ABS(CR354),"")</f>
        <v>-2.6923663361293113</v>
      </c>
      <c r="CW354" s="263" t="s">
        <v>1462</v>
      </c>
      <c r="CX354" s="264" t="str">
        <f>IF(OR($CW354="prd",$CW354="std",$CW354="cit"),"loc",IF(OR($CW354="eur",$CW354="reg",$CW354="coy"),"reg",$CW354))</f>
        <v>reg</v>
      </c>
      <c r="CY354" s="270" t="s">
        <v>743</v>
      </c>
      <c r="CZ354"/>
      <c r="DA354" s="143"/>
      <c r="DB354" s="143">
        <v>0</v>
      </c>
      <c r="DC354" t="str">
        <f>IF(DB354=0,"0",IF(AND(DB354&gt;=1,DB354&lt;=30),"1-30",IF(AND(DB354&gt;30,DB354&lt;=70),"31-70",IF(AND(DB354&gt;70,DB354&lt;=100),"71-100",IF(DB354&gt;100,"+100")))))</f>
        <v>0</v>
      </c>
      <c r="DD354">
        <v>0</v>
      </c>
      <c r="DE354">
        <v>1</v>
      </c>
      <c r="DF354">
        <v>0</v>
      </c>
      <c r="DG354">
        <v>0</v>
      </c>
      <c r="DH354">
        <v>0</v>
      </c>
      <c r="DI354">
        <f>SUM(DD354:DH354)</f>
        <v>1</v>
      </c>
      <c r="DJ354" t="str">
        <f>IF(DI354=1,INDEX($DD$7:$DG$7,MATCH(1,$DD354:$DG354,0)),"mixedProduct")</f>
        <v>EnergyInput</v>
      </c>
      <c r="DK354">
        <f>IF(DD354=1,DK$7,0)</f>
        <v>0</v>
      </c>
      <c r="DL354" t="str">
        <f>IF(DE354=1,DL$7,0)</f>
        <v>Energy</v>
      </c>
      <c r="DM354">
        <f>IF(DF354=1,DM$7,0)</f>
        <v>0</v>
      </c>
      <c r="DN354">
        <f>IF(DG354=1,DN$7,0)</f>
        <v>0</v>
      </c>
      <c r="DO354">
        <v>0</v>
      </c>
      <c r="DP354" s="143">
        <v>0</v>
      </c>
      <c r="DQ354" s="143">
        <v>0</v>
      </c>
      <c r="DR354">
        <v>0</v>
      </c>
      <c r="DS354" s="143">
        <v>0</v>
      </c>
      <c r="DT354">
        <f>SUM(DO354:DP354)</f>
        <v>0</v>
      </c>
      <c r="DU354" s="143" t="str">
        <f>IF(DO354=1,"self-calculated DF",IF(DP354=1,"external DF used","explicit C balance"))</f>
        <v>explicit C balance</v>
      </c>
      <c r="DV354" s="143">
        <v>0</v>
      </c>
      <c r="DW354" s="143">
        <v>0</v>
      </c>
      <c r="DX354" s="143">
        <v>0</v>
      </c>
      <c r="DY354" s="143">
        <v>0</v>
      </c>
      <c r="DZ354">
        <v>0</v>
      </c>
      <c r="EA354" s="143">
        <v>0</v>
      </c>
      <c r="EB354" s="143">
        <v>1</v>
      </c>
      <c r="EC354" s="143">
        <v>1</v>
      </c>
      <c r="ED354" s="143">
        <v>0</v>
      </c>
      <c r="EE354">
        <v>1</v>
      </c>
      <c r="EF354">
        <v>0</v>
      </c>
      <c r="EG354" s="143">
        <v>0</v>
      </c>
      <c r="EH354" s="143">
        <v>0</v>
      </c>
      <c r="EI354" s="2">
        <v>0</v>
      </c>
      <c r="EJ354" s="1"/>
      <c r="EK354" t="str">
        <f>IF(AND(AND(AND(OR($DX354=1,$DW354=1),OR($EC354=1,$EA354=1)),SUM($DV354:$DZ354,$EF354)&gt;=4),SUM($EA354:$EE354)&gt;=2),"Whole sector","")</f>
        <v/>
      </c>
      <c r="EL354" t="str">
        <f>IF(AND(AND(OR($DX354=1,$DW354=1),AND($EC354=0,$EA354=0)),SUM($DV354:$DZ354,$EF354)&gt;=4),"Ecosystem approach","")</f>
        <v/>
      </c>
      <c r="EM354" s="2" t="str">
        <f>IF(AND(AND(AND($DX354=0,$DW354=0),OR($EC354=1,$EA354=1)),SUM($EB354:$EE354)&gt;=2),"Technology approach","")</f>
        <v>Technology approach</v>
      </c>
      <c r="EN354"/>
      <c r="EO354"/>
      <c r="EP354" t="str">
        <f>IF(ISNUMBER(BU354),IF(ABS(BU354-[3]QC_indicators!$B$2)&gt;3*[3]QC_indicators!$C$2,"C ratio",IF(ISNUMBER(BY354),IF(ABS(BY354-[3]QC_indicators!$B$1)&gt;3*[3]QC_indicators!$C$1,"DF","no"))),IF(ISNUMBER(BY354),IF(ABS(BY354-[3]QC_indicators!$B$1)&gt;3*[3]QC_indicators!$C$1,"DF","no")))</f>
        <v>no</v>
      </c>
      <c r="EQ354"/>
      <c r="ER354" s="149"/>
      <c r="ES354"/>
      <c r="ET354" s="264" t="s">
        <v>3407</v>
      </c>
      <c r="EU354"/>
    </row>
    <row r="355" spans="1:151" s="139" customFormat="1" ht="15" customHeight="1">
      <c r="A355" s="1" t="s">
        <v>587</v>
      </c>
      <c r="B355" t="s">
        <v>1448</v>
      </c>
      <c r="C355" t="s">
        <v>1449</v>
      </c>
      <c r="D355" t="s">
        <v>1450</v>
      </c>
      <c r="E355" t="s">
        <v>1451</v>
      </c>
      <c r="F355" t="s">
        <v>1452</v>
      </c>
      <c r="G355" t="s">
        <v>593</v>
      </c>
      <c r="H355" t="s">
        <v>254</v>
      </c>
      <c r="I355">
        <v>2020</v>
      </c>
      <c r="J355">
        <v>12</v>
      </c>
      <c r="K355" t="s">
        <v>1453</v>
      </c>
      <c r="L355"/>
      <c r="M355" t="str">
        <f>LEFT($D355,FIND(",",$D355)-1)&amp;"_"&amp;I355&amp;L355</f>
        <v>Elisa_2020</v>
      </c>
      <c r="N355" s="264" t="s">
        <v>222</v>
      </c>
      <c r="O355" s="171" t="s">
        <v>274</v>
      </c>
      <c r="P355" t="s">
        <v>223</v>
      </c>
      <c r="Q355" s="264" t="s">
        <v>389</v>
      </c>
      <c r="R355" s="269" t="s">
        <v>1154</v>
      </c>
      <c r="S355" s="154" t="s">
        <v>1454</v>
      </c>
      <c r="T355" s="294" t="s">
        <v>1455</v>
      </c>
      <c r="U355" s="143" t="s">
        <v>1494</v>
      </c>
      <c r="V355">
        <v>0</v>
      </c>
      <c r="W355">
        <v>0</v>
      </c>
      <c r="X355">
        <v>0</v>
      </c>
      <c r="Y355">
        <v>0</v>
      </c>
      <c r="Z355">
        <v>0</v>
      </c>
      <c r="AA355">
        <v>0</v>
      </c>
      <c r="AB355">
        <v>0</v>
      </c>
      <c r="AC355">
        <v>0</v>
      </c>
      <c r="AD355">
        <v>0</v>
      </c>
      <c r="AE355">
        <v>1</v>
      </c>
      <c r="AF355">
        <v>0</v>
      </c>
      <c r="AG355">
        <v>0</v>
      </c>
      <c r="AH355">
        <v>0</v>
      </c>
      <c r="AI355">
        <v>0</v>
      </c>
      <c r="AJ355">
        <v>0</v>
      </c>
      <c r="AK355">
        <v>1</v>
      </c>
      <c r="AL355">
        <v>0</v>
      </c>
      <c r="AM355">
        <v>0</v>
      </c>
      <c r="AN355">
        <v>0</v>
      </c>
      <c r="AO355">
        <v>0</v>
      </c>
      <c r="AP355">
        <v>0</v>
      </c>
      <c r="AQ355">
        <v>0</v>
      </c>
      <c r="AR355">
        <v>0</v>
      </c>
      <c r="AS355">
        <v>0</v>
      </c>
      <c r="AT355">
        <v>0</v>
      </c>
      <c r="AU355">
        <v>0</v>
      </c>
      <c r="AV355">
        <v>0</v>
      </c>
      <c r="AW355">
        <v>0</v>
      </c>
      <c r="AX355" s="141">
        <f>COUNTIF(V355:AW355,"&lt;&gt;0")</f>
        <v>2</v>
      </c>
      <c r="AY355" s="141">
        <f>COUNTIF(V355:AL355,"&lt;&gt;0")</f>
        <v>2</v>
      </c>
      <c r="AZ355">
        <f>COUNTIF(V355:AC355,"&lt;&gt;0")</f>
        <v>0</v>
      </c>
      <c r="BA355">
        <f>COUNTIF(AD355:AI355,"&lt;&gt;0")</f>
        <v>1</v>
      </c>
      <c r="BB355">
        <f>COUNTIF(AJ355:AL355,"&lt;&gt;0")</f>
        <v>1</v>
      </c>
      <c r="BC355">
        <f>COUNTIF(AS355:AW355,"&lt;&gt;0")</f>
        <v>0</v>
      </c>
      <c r="BD355">
        <f>COUNTIF(AM355:AR355,"&lt;&gt;0")</f>
        <v>0</v>
      </c>
      <c r="BE355" t="str" cm="1">
        <f t="array" ref="BE355">IF(AY355=1,INDEX($V$7:$AL$7,MATCH(TRUE,INDEX($V355:$AW355&lt;&gt;0,),0)),IF(AY355=0,INDEX($AM$7:$AW$7,MATCH(1,$AM355:$AW355,0)),IF(BF355="Multiple strategies","mixed drivers",IF(BF355="Supply chain","multiple supply","multiple silviculture"))))</f>
        <v>mixed drivers</v>
      </c>
      <c r="BF355" s="2" t="str" cm="1">
        <f t="array" ref="BF355">IF(COUNTIF(AZ355:BB355,"&lt;&gt;0")=1,INDEX($V$4:$AW$4,MATCH(TRUE,INDEX($V355:$AW355&lt;&gt;0,),0)),IF(COUNTIF(AZ355:BB355,"&lt;&gt;0")=0,INDEX($AM$4:$AW$4,MATCH(1,$AM355:$AW355,0)),"Multiple strategies"))</f>
        <v>Multiple strategies</v>
      </c>
      <c r="BG355" s="142" t="s">
        <v>321</v>
      </c>
      <c r="BH355" s="160" t="s">
        <v>1457</v>
      </c>
      <c r="BI355" s="160" t="s">
        <v>1458</v>
      </c>
      <c r="BJ355" s="143" t="s">
        <v>498</v>
      </c>
      <c r="BK355" s="143">
        <v>944</v>
      </c>
      <c r="BL355" s="143">
        <v>20000</v>
      </c>
      <c r="BM355">
        <f>IFERROR(BL357/BK355,"")</f>
        <v>3.3898305084745766E-3</v>
      </c>
      <c r="BN355">
        <f>BL355-BK355</f>
        <v>19056</v>
      </c>
      <c r="BO355" s="159">
        <f>BN355</f>
        <v>19056</v>
      </c>
      <c r="BP355" s="155" t="s">
        <v>232</v>
      </c>
      <c r="BQ355" s="155" t="s">
        <v>1459</v>
      </c>
      <c r="BR355" s="155" t="s">
        <v>825</v>
      </c>
      <c r="BS355" s="143" t="s">
        <v>1463</v>
      </c>
      <c r="BT355" t="s">
        <v>1498</v>
      </c>
      <c r="BU355" s="144">
        <f>BT355/BS355</f>
        <v>14.351077583114263</v>
      </c>
      <c r="BV355">
        <f>BT355-BS355</f>
        <v>-92.264524166666703</v>
      </c>
      <c r="BW355"/>
      <c r="BX355">
        <f>BV355</f>
        <v>-92.264524166666703</v>
      </c>
      <c r="BY355">
        <f>IFERROR(BX355/BO355,"")</f>
        <v>-4.8417571456059356E-3</v>
      </c>
      <c r="BZ355">
        <v>0</v>
      </c>
      <c r="CA355">
        <v>0</v>
      </c>
      <c r="CB355">
        <v>0</v>
      </c>
      <c r="CC355">
        <v>0</v>
      </c>
      <c r="CD355">
        <v>0</v>
      </c>
      <c r="CE355">
        <v>0</v>
      </c>
      <c r="CF355">
        <v>0</v>
      </c>
      <c r="CG355">
        <v>0</v>
      </c>
      <c r="CH355">
        <v>0</v>
      </c>
      <c r="CI355">
        <v>0</v>
      </c>
      <c r="CJ355">
        <v>0</v>
      </c>
      <c r="CK355">
        <v>0</v>
      </c>
      <c r="CL355">
        <v>0</v>
      </c>
      <c r="CM355">
        <v>0</v>
      </c>
      <c r="CN355" t="str">
        <f>IF($BL355&lt;$BK355,"refNeedCorrection","refOK")</f>
        <v>refOK</v>
      </c>
      <c r="CO355">
        <f>IF($CN355="refOK",$BK355,$BL355)</f>
        <v>944</v>
      </c>
      <c r="CP355">
        <f>IF($CN355="refOK",$BL355,$BK355)</f>
        <v>20000</v>
      </c>
      <c r="CQ355">
        <f>IF($CN355="refOK",$BO355,-$BO355)</f>
        <v>19056</v>
      </c>
      <c r="CR355">
        <f>IF($CN355="refOK",$BS355,$BT355)*IF($BP355="Emissions positive",-1,1)</f>
        <v>-6.9106424999999998</v>
      </c>
      <c r="CS355">
        <f>IF($CN355="refOK",$BT355,$BS355)*IF($BP355="Emissions positive",-1,1)</f>
        <v>-99.175166666666698</v>
      </c>
      <c r="CT355">
        <f>IF($CN355="refNeedCorrection",-BX355,BX355)*IF($BP355="Emissions positive",-1,1)</f>
        <v>-92.264524166666703</v>
      </c>
      <c r="CU355">
        <f>IFERROR(CT355/CQ355,"")</f>
        <v>-4.8417571456059356E-3</v>
      </c>
      <c r="CV355" s="2">
        <f>IFERROR((CS355-CR355)/ABS(CR355),"")</f>
        <v>-13.351077583114263</v>
      </c>
      <c r="CW355" s="263" t="s">
        <v>1462</v>
      </c>
      <c r="CX355" s="264" t="str">
        <f>IF(OR($CW355="prd",$CW355="std",$CW355="cit"),"loc",IF(OR($CW355="eur",$CW355="reg",$CW355="coy"),"reg",$CW355))</f>
        <v>reg</v>
      </c>
      <c r="CY355" s="270" t="s">
        <v>743</v>
      </c>
      <c r="CZ355"/>
      <c r="DA355" s="143"/>
      <c r="DB355" s="143">
        <v>0</v>
      </c>
      <c r="DC355" t="str">
        <f>IF(DB355=0,"0",IF(AND(DB355&gt;=1,DB355&lt;=30),"1-30",IF(AND(DB355&gt;30,DB355&lt;=70),"31-70",IF(AND(DB355&gt;70,DB355&lt;=100),"71-100",IF(DB355&gt;100,"+100")))))</f>
        <v>0</v>
      </c>
      <c r="DD355">
        <v>0</v>
      </c>
      <c r="DE355">
        <v>1</v>
      </c>
      <c r="DF355">
        <v>0</v>
      </c>
      <c r="DG355">
        <v>0</v>
      </c>
      <c r="DH355">
        <v>0</v>
      </c>
      <c r="DI355">
        <f>SUM(DD355:DH355)</f>
        <v>1</v>
      </c>
      <c r="DJ355" t="str">
        <f>IF(DI355=1,INDEX($DD$7:$DG$7,MATCH(1,$DD355:$DG355,0)),"mixedProduct")</f>
        <v>EnergyInput</v>
      </c>
      <c r="DK355">
        <f>IF(DD355=1,DK$7,0)</f>
        <v>0</v>
      </c>
      <c r="DL355" t="str">
        <f>IF(DE355=1,DL$7,0)</f>
        <v>Energy</v>
      </c>
      <c r="DM355">
        <f>IF(DF355=1,DM$7,0)</f>
        <v>0</v>
      </c>
      <c r="DN355">
        <f>IF(DG355=1,DN$7,0)</f>
        <v>0</v>
      </c>
      <c r="DO355">
        <v>0</v>
      </c>
      <c r="DP355" s="143">
        <v>0</v>
      </c>
      <c r="DQ355" s="143">
        <v>0</v>
      </c>
      <c r="DR355">
        <v>0</v>
      </c>
      <c r="DS355" s="143">
        <v>0</v>
      </c>
      <c r="DT355">
        <f>SUM(DO355:DP355)</f>
        <v>0</v>
      </c>
      <c r="DU355" s="143" t="str">
        <f>IF(DO355=1,"self-calculated DF",IF(DP355=1,"external DF used","explicit C balance"))</f>
        <v>explicit C balance</v>
      </c>
      <c r="DV355" s="143">
        <v>0</v>
      </c>
      <c r="DW355" s="143">
        <v>0</v>
      </c>
      <c r="DX355" s="143">
        <v>0</v>
      </c>
      <c r="DY355" s="143">
        <v>0</v>
      </c>
      <c r="DZ355">
        <v>0</v>
      </c>
      <c r="EA355" s="143">
        <v>0</v>
      </c>
      <c r="EB355" s="143">
        <v>0</v>
      </c>
      <c r="EC355" s="143">
        <v>1</v>
      </c>
      <c r="ED355" s="143">
        <v>0</v>
      </c>
      <c r="EE355">
        <v>1</v>
      </c>
      <c r="EF355">
        <v>0</v>
      </c>
      <c r="EG355" s="143">
        <v>0</v>
      </c>
      <c r="EH355" s="143">
        <v>0</v>
      </c>
      <c r="EI355" s="2">
        <v>0</v>
      </c>
      <c r="EJ355" s="1"/>
      <c r="EK355" t="str">
        <f>IF(AND(AND(AND(OR($DX355=1,$DW355=1),OR($EC355=1,$EA355=1)),SUM($DV355:$DZ355,$EF355)&gt;=4),SUM($EA355:$EE355)&gt;=2),"Whole sector","")</f>
        <v/>
      </c>
      <c r="EL355" t="str">
        <f>IF(AND(AND(OR($DX355=1,$DW355=1),AND($EC355=0,$EA355=0)),SUM($DV355:$DZ355,$EF355)&gt;=4),"Ecosystem approach","")</f>
        <v/>
      </c>
      <c r="EM355" s="2" t="str">
        <f>IF(AND(AND(AND($DX355=0,$DW355=0),OR($EC355=1,$EA355=1)),SUM($EB355:$EE355)&gt;=2),"Technology approach","")</f>
        <v>Technology approach</v>
      </c>
      <c r="EN355"/>
      <c r="EO355"/>
      <c r="EP355" t="str">
        <f>IF(ISNUMBER(BU355),IF(ABS(BU355-[3]QC_indicators!$B$2)&gt;3*[3]QC_indicators!$C$2,"C ratio",IF(ISNUMBER(BY355),IF(ABS(BY355-[3]QC_indicators!$B$1)&gt;3*[3]QC_indicators!$C$1,"DF","no"))),IF(ISNUMBER(BY355),IF(ABS(BY355-[3]QC_indicators!$B$1)&gt;3*[3]QC_indicators!$C$1,"DF","no")))</f>
        <v>no</v>
      </c>
      <c r="EQ355"/>
      <c r="ER355" s="149"/>
      <c r="ES355"/>
      <c r="ET355" s="264" t="s">
        <v>3407</v>
      </c>
      <c r="EU355"/>
    </row>
    <row r="356" spans="1:151" s="139" customFormat="1" ht="15" customHeight="1">
      <c r="A356" s="1" t="s">
        <v>587</v>
      </c>
      <c r="B356" t="s">
        <v>1448</v>
      </c>
      <c r="C356" t="s">
        <v>1449</v>
      </c>
      <c r="D356" t="s">
        <v>1450</v>
      </c>
      <c r="E356" t="s">
        <v>1451</v>
      </c>
      <c r="F356" t="s">
        <v>1452</v>
      </c>
      <c r="G356" t="s">
        <v>593</v>
      </c>
      <c r="H356" t="s">
        <v>254</v>
      </c>
      <c r="I356">
        <v>2020</v>
      </c>
      <c r="J356">
        <v>12</v>
      </c>
      <c r="K356" t="s">
        <v>1453</v>
      </c>
      <c r="L356"/>
      <c r="M356" t="str">
        <f>LEFT($D356,FIND(",",$D356)-1)&amp;"_"&amp;I356&amp;L356</f>
        <v>Elisa_2020</v>
      </c>
      <c r="N356" s="264" t="s">
        <v>222</v>
      </c>
      <c r="O356" s="171" t="s">
        <v>274</v>
      </c>
      <c r="P356" t="s">
        <v>223</v>
      </c>
      <c r="Q356" s="264" t="s">
        <v>389</v>
      </c>
      <c r="R356" s="269" t="s">
        <v>1154</v>
      </c>
      <c r="S356" s="154" t="s">
        <v>1454</v>
      </c>
      <c r="T356" s="294" t="s">
        <v>1455</v>
      </c>
      <c r="U356" s="143" t="s">
        <v>1496</v>
      </c>
      <c r="V356">
        <v>0</v>
      </c>
      <c r="W356">
        <v>0</v>
      </c>
      <c r="X356">
        <v>0</v>
      </c>
      <c r="Y356">
        <v>0</v>
      </c>
      <c r="Z356">
        <v>0</v>
      </c>
      <c r="AA356">
        <v>0</v>
      </c>
      <c r="AB356">
        <v>0</v>
      </c>
      <c r="AC356">
        <v>0</v>
      </c>
      <c r="AD356">
        <v>0</v>
      </c>
      <c r="AE356">
        <v>1</v>
      </c>
      <c r="AF356">
        <v>0</v>
      </c>
      <c r="AG356">
        <v>0</v>
      </c>
      <c r="AH356">
        <v>0</v>
      </c>
      <c r="AI356">
        <v>0</v>
      </c>
      <c r="AJ356">
        <v>0</v>
      </c>
      <c r="AK356">
        <v>1</v>
      </c>
      <c r="AL356">
        <v>0</v>
      </c>
      <c r="AM356">
        <v>0</v>
      </c>
      <c r="AN356">
        <v>0</v>
      </c>
      <c r="AO356">
        <v>0</v>
      </c>
      <c r="AP356">
        <v>0</v>
      </c>
      <c r="AQ356">
        <v>0</v>
      </c>
      <c r="AR356">
        <v>0</v>
      </c>
      <c r="AS356">
        <v>0</v>
      </c>
      <c r="AT356">
        <v>0</v>
      </c>
      <c r="AU356">
        <v>0</v>
      </c>
      <c r="AV356">
        <v>0</v>
      </c>
      <c r="AW356">
        <v>0</v>
      </c>
      <c r="AX356" s="141">
        <f>COUNTIF(V356:AW356,"&lt;&gt;0")</f>
        <v>2</v>
      </c>
      <c r="AY356" s="141">
        <f>COUNTIF(V356:AL356,"&lt;&gt;0")</f>
        <v>2</v>
      </c>
      <c r="AZ356">
        <f>COUNTIF(V356:AC356,"&lt;&gt;0")</f>
        <v>0</v>
      </c>
      <c r="BA356">
        <f>COUNTIF(AD356:AI356,"&lt;&gt;0")</f>
        <v>1</v>
      </c>
      <c r="BB356">
        <f>COUNTIF(AJ356:AL356,"&lt;&gt;0")</f>
        <v>1</v>
      </c>
      <c r="BC356">
        <f>COUNTIF(AS356:AW356,"&lt;&gt;0")</f>
        <v>0</v>
      </c>
      <c r="BD356">
        <f>COUNTIF(AM356:AR356,"&lt;&gt;0")</f>
        <v>0</v>
      </c>
      <c r="BE356" t="str" cm="1">
        <f t="array" ref="BE356">IF(AY356=1,INDEX($V$7:$AL$7,MATCH(TRUE,INDEX($V356:$AW356&lt;&gt;0,),0)),IF(AY356=0,INDEX($AM$7:$AW$7,MATCH(1,$AM356:$AW356,0)),IF(BF356="Multiple strategies","mixed drivers",IF(BF356="Supply chain","multiple supply","multiple silviculture"))))</f>
        <v>mixed drivers</v>
      </c>
      <c r="BF356" s="2" t="str" cm="1">
        <f t="array" ref="BF356">IF(COUNTIF(AZ356:BB356,"&lt;&gt;0")=1,INDEX($V$4:$AW$4,MATCH(TRUE,INDEX($V356:$AW356&lt;&gt;0,),0)),IF(COUNTIF(AZ356:BB356,"&lt;&gt;0")=0,INDEX($AM$4:$AW$4,MATCH(1,$AM356:$AW356,0)),"Multiple strategies"))</f>
        <v>Multiple strategies</v>
      </c>
      <c r="BG356" s="142" t="s">
        <v>321</v>
      </c>
      <c r="BH356" s="160" t="s">
        <v>1457</v>
      </c>
      <c r="BI356" s="160" t="s">
        <v>1458</v>
      </c>
      <c r="BJ356" s="143" t="s">
        <v>498</v>
      </c>
      <c r="BK356" s="143">
        <v>944</v>
      </c>
      <c r="BL356" s="143">
        <v>4837</v>
      </c>
      <c r="BM356">
        <f>IFERROR(BL358/BK356,"")</f>
        <v>143.7415254237288</v>
      </c>
      <c r="BN356">
        <f>BL356-BK356</f>
        <v>3893</v>
      </c>
      <c r="BO356" s="159">
        <f>BN356</f>
        <v>3893</v>
      </c>
      <c r="BP356" s="155" t="s">
        <v>232</v>
      </c>
      <c r="BQ356" s="155" t="s">
        <v>1459</v>
      </c>
      <c r="BR356" s="155" t="s">
        <v>825</v>
      </c>
      <c r="BS356" s="143" t="s">
        <v>1463</v>
      </c>
      <c r="BT356" t="s">
        <v>1499</v>
      </c>
      <c r="BU356" s="144">
        <f>BT356/BS356</f>
        <v>3.680938301564102</v>
      </c>
      <c r="BV356">
        <f>BT356-BS356</f>
        <v>-18.527006166666702</v>
      </c>
      <c r="BW356"/>
      <c r="BX356">
        <f>BV356</f>
        <v>-18.527006166666702</v>
      </c>
      <c r="BY356">
        <f>IFERROR(BX356/BO356,"")</f>
        <v>-4.7590562976282304E-3</v>
      </c>
      <c r="BZ356">
        <v>0</v>
      </c>
      <c r="CA356">
        <v>0</v>
      </c>
      <c r="CB356">
        <v>0</v>
      </c>
      <c r="CC356">
        <v>0</v>
      </c>
      <c r="CD356">
        <v>0</v>
      </c>
      <c r="CE356">
        <v>0</v>
      </c>
      <c r="CF356">
        <v>0</v>
      </c>
      <c r="CG356">
        <v>0</v>
      </c>
      <c r="CH356">
        <v>0</v>
      </c>
      <c r="CI356">
        <v>0</v>
      </c>
      <c r="CJ356">
        <v>0</v>
      </c>
      <c r="CK356">
        <v>0</v>
      </c>
      <c r="CL356">
        <v>0</v>
      </c>
      <c r="CM356">
        <v>0</v>
      </c>
      <c r="CN356" t="str">
        <f>IF($BL356&lt;$BK356,"refNeedCorrection","refOK")</f>
        <v>refOK</v>
      </c>
      <c r="CO356">
        <f>IF($CN356="refOK",$BK356,$BL356)</f>
        <v>944</v>
      </c>
      <c r="CP356">
        <f>IF($CN356="refOK",$BL356,$BK356)</f>
        <v>4837</v>
      </c>
      <c r="CQ356">
        <f>IF($CN356="refOK",$BO356,-$BO356)</f>
        <v>3893</v>
      </c>
      <c r="CR356">
        <f>IF($CN356="refOK",$BS356,$BT356)*IF($BP356="Emissions positive",-1,1)</f>
        <v>-6.9106424999999998</v>
      </c>
      <c r="CS356">
        <f>IF($CN356="refOK",$BT356,$BS356)*IF($BP356="Emissions positive",-1,1)</f>
        <v>-25.4376486666667</v>
      </c>
      <c r="CT356">
        <f>IF($CN356="refNeedCorrection",-BX356,BX356)*IF($BP356="Emissions positive",-1,1)</f>
        <v>-18.527006166666702</v>
      </c>
      <c r="CU356">
        <f>IFERROR(CT356/CQ356,"")</f>
        <v>-4.7590562976282304E-3</v>
      </c>
      <c r="CV356" s="2">
        <f>IFERROR((CS356-CR356)/ABS(CR356),"")</f>
        <v>-2.6809383015641024</v>
      </c>
      <c r="CW356" s="263" t="s">
        <v>1462</v>
      </c>
      <c r="CX356" s="264" t="str">
        <f>IF(OR($CW356="prd",$CW356="std",$CW356="cit"),"loc",IF(OR($CW356="eur",$CW356="reg",$CW356="coy"),"reg",$CW356))</f>
        <v>reg</v>
      </c>
      <c r="CY356" s="270" t="s">
        <v>743</v>
      </c>
      <c r="CZ356"/>
      <c r="DA356" s="143"/>
      <c r="DB356" s="143">
        <v>0</v>
      </c>
      <c r="DC356" t="str">
        <f>IF(DB356=0,"0",IF(AND(DB356&gt;=1,DB356&lt;=30),"1-30",IF(AND(DB356&gt;30,DB356&lt;=70),"31-70",IF(AND(DB356&gt;70,DB356&lt;=100),"71-100",IF(DB356&gt;100,"+100")))))</f>
        <v>0</v>
      </c>
      <c r="DD356">
        <v>0</v>
      </c>
      <c r="DE356">
        <v>1</v>
      </c>
      <c r="DF356">
        <v>0</v>
      </c>
      <c r="DG356">
        <v>0</v>
      </c>
      <c r="DH356">
        <v>0</v>
      </c>
      <c r="DI356">
        <f>SUM(DD356:DH356)</f>
        <v>1</v>
      </c>
      <c r="DJ356" t="str">
        <f>IF(DI356=1,INDEX($DD$7:$DG$7,MATCH(1,$DD356:$DG356,0)),"mixedProduct")</f>
        <v>EnergyInput</v>
      </c>
      <c r="DK356">
        <f>IF(DD356=1,DK$7,0)</f>
        <v>0</v>
      </c>
      <c r="DL356" t="str">
        <f>IF(DE356=1,DL$7,0)</f>
        <v>Energy</v>
      </c>
      <c r="DM356">
        <f>IF(DF356=1,DM$7,0)</f>
        <v>0</v>
      </c>
      <c r="DN356">
        <f>IF(DG356=1,DN$7,0)</f>
        <v>0</v>
      </c>
      <c r="DO356">
        <v>0</v>
      </c>
      <c r="DP356" s="143">
        <v>0</v>
      </c>
      <c r="DQ356" s="143">
        <v>0</v>
      </c>
      <c r="DR356">
        <v>0</v>
      </c>
      <c r="DS356" s="143">
        <v>0</v>
      </c>
      <c r="DT356">
        <f>SUM(DO356:DP356)</f>
        <v>0</v>
      </c>
      <c r="DU356" s="143" t="str">
        <f>IF(DO356=1,"self-calculated DF",IF(DP356=1,"external DF used","explicit C balance"))</f>
        <v>explicit C balance</v>
      </c>
      <c r="DV356" s="143">
        <v>0</v>
      </c>
      <c r="DW356" s="143">
        <v>0</v>
      </c>
      <c r="DX356" s="143">
        <v>0</v>
      </c>
      <c r="DY356" s="143">
        <v>0</v>
      </c>
      <c r="DZ356">
        <v>0</v>
      </c>
      <c r="EA356" s="143">
        <v>0</v>
      </c>
      <c r="EB356" s="143">
        <v>0</v>
      </c>
      <c r="EC356" s="143">
        <v>1</v>
      </c>
      <c r="ED356" s="143">
        <v>0</v>
      </c>
      <c r="EE356">
        <v>1</v>
      </c>
      <c r="EF356">
        <v>0</v>
      </c>
      <c r="EG356" s="143">
        <v>0</v>
      </c>
      <c r="EH356" s="143">
        <v>0</v>
      </c>
      <c r="EI356" s="2">
        <v>0</v>
      </c>
      <c r="EJ356" s="1"/>
      <c r="EK356" t="str">
        <f>IF(AND(AND(AND(OR($DX356=1,$DW356=1),OR($EC356=1,$EA356=1)),SUM($DV356:$DZ356,$EF356)&gt;=4),SUM($EA356:$EE356)&gt;=2),"Whole sector","")</f>
        <v/>
      </c>
      <c r="EL356" t="str">
        <f>IF(AND(AND(OR($DX356=1,$DW356=1),AND($EC356=0,$EA356=0)),SUM($DV356:$DZ356,$EF356)&gt;=4),"Ecosystem approach","")</f>
        <v/>
      </c>
      <c r="EM356" s="2" t="str">
        <f>IF(AND(AND(AND($DX356=0,$DW356=0),OR($EC356=1,$EA356=1)),SUM($EB356:$EE356)&gt;=2),"Technology approach","")</f>
        <v>Technology approach</v>
      </c>
      <c r="EN356"/>
      <c r="EO356"/>
      <c r="EP356" t="str">
        <f>IF(ISNUMBER(BU356),IF(ABS(BU356-[3]QC_indicators!$B$2)&gt;3*[3]QC_indicators!$C$2,"C ratio",IF(ISNUMBER(BY356),IF(ABS(BY356-[3]QC_indicators!$B$1)&gt;3*[3]QC_indicators!$C$1,"DF","no"))),IF(ISNUMBER(BY356),IF(ABS(BY356-[3]QC_indicators!$B$1)&gt;3*[3]QC_indicators!$C$1,"DF","no")))</f>
        <v>no</v>
      </c>
      <c r="EQ356"/>
      <c r="ER356" s="149"/>
      <c r="ES356"/>
      <c r="ET356" s="264" t="s">
        <v>3407</v>
      </c>
      <c r="EU356"/>
    </row>
    <row r="357" spans="1:151" s="139" customFormat="1" ht="15" customHeight="1">
      <c r="A357" s="1" t="s">
        <v>1102</v>
      </c>
      <c r="B357" t="s">
        <v>1103</v>
      </c>
      <c r="C357" t="s">
        <v>1104</v>
      </c>
      <c r="D357" t="s">
        <v>1105</v>
      </c>
      <c r="E357" t="s">
        <v>1106</v>
      </c>
      <c r="F357" t="s">
        <v>1107</v>
      </c>
      <c r="G357" t="s">
        <v>1108</v>
      </c>
      <c r="H357" t="s">
        <v>254</v>
      </c>
      <c r="I357">
        <v>2013</v>
      </c>
      <c r="J357">
        <v>11</v>
      </c>
      <c r="K357" t="s">
        <v>1109</v>
      </c>
      <c r="L357"/>
      <c r="M357" t="str">
        <f>LEFT($D357,FIND(",",$D357)-1)&amp;"_"&amp;I357&amp;L357</f>
        <v>Routa_2013</v>
      </c>
      <c r="N357" t="s">
        <v>222</v>
      </c>
      <c r="O357" s="145" t="s">
        <v>341</v>
      </c>
      <c r="P357"/>
      <c r="Q357" s="264" t="s">
        <v>256</v>
      </c>
      <c r="R357" s="269" t="s">
        <v>1154</v>
      </c>
      <c r="S357" s="1" t="s">
        <v>1115</v>
      </c>
      <c r="T357" t="e">
        <f>#REF!</f>
        <v>#REF!</v>
      </c>
      <c r="U357" t="s">
        <v>1111</v>
      </c>
      <c r="V357">
        <v>0</v>
      </c>
      <c r="W357">
        <v>0</v>
      </c>
      <c r="X357">
        <v>2</v>
      </c>
      <c r="Y357">
        <v>0</v>
      </c>
      <c r="Z357">
        <v>2</v>
      </c>
      <c r="AA357">
        <v>0</v>
      </c>
      <c r="AB357">
        <v>1</v>
      </c>
      <c r="AC357">
        <v>0</v>
      </c>
      <c r="AD357">
        <v>0</v>
      </c>
      <c r="AE357">
        <v>0</v>
      </c>
      <c r="AF357">
        <v>0</v>
      </c>
      <c r="AG357">
        <v>0</v>
      </c>
      <c r="AH357">
        <v>0</v>
      </c>
      <c r="AI357">
        <v>0</v>
      </c>
      <c r="AJ357">
        <v>2</v>
      </c>
      <c r="AK357">
        <v>0</v>
      </c>
      <c r="AL357">
        <v>2</v>
      </c>
      <c r="AM357">
        <v>0</v>
      </c>
      <c r="AN357">
        <v>0</v>
      </c>
      <c r="AO357">
        <v>0</v>
      </c>
      <c r="AP357">
        <v>0</v>
      </c>
      <c r="AQ357">
        <v>0</v>
      </c>
      <c r="AR357">
        <v>0</v>
      </c>
      <c r="AS357">
        <v>0</v>
      </c>
      <c r="AT357">
        <v>0</v>
      </c>
      <c r="AU357">
        <v>0</v>
      </c>
      <c r="AV357">
        <v>0</v>
      </c>
      <c r="AW357">
        <v>0</v>
      </c>
      <c r="AX357" s="141">
        <f>COUNTIF(V357:AW357,"&lt;&gt;0")</f>
        <v>5</v>
      </c>
      <c r="AY357" s="141">
        <f>COUNTIF(V357:AL357,"&lt;&gt;0")</f>
        <v>5</v>
      </c>
      <c r="AZ357">
        <f>COUNTIF(V357:AC357,"&lt;&gt;0")</f>
        <v>3</v>
      </c>
      <c r="BA357">
        <f>COUNTIF(AD357:AI357,"&lt;&gt;0")</f>
        <v>0</v>
      </c>
      <c r="BB357">
        <f>COUNTIF(AJ357:AL357,"&lt;&gt;0")</f>
        <v>2</v>
      </c>
      <c r="BC357">
        <f>COUNTIF(AS357:AW357,"&lt;&gt;0")</f>
        <v>0</v>
      </c>
      <c r="BD357">
        <f>COUNTIF(AM357:AR357,"&lt;&gt;0")</f>
        <v>0</v>
      </c>
      <c r="BE357" t="str" cm="1">
        <f t="array" ref="BE357">IF(AY357=1,INDEX($V$7:$AL$7,MATCH(TRUE,INDEX($V357:$AW357&lt;&gt;0,),0)),IF(AY357=0,INDEX($AM$7:$AW$7,MATCH(1,$AM357:$AW357,0)),IF(BF357="Multiple strategies","mixed drivers",IF(BF357="Supply chain","multiple supply","multiple silviculture"))))</f>
        <v>mixed drivers</v>
      </c>
      <c r="BF357" s="2" t="str" cm="1">
        <f t="array" ref="BF357">IF(COUNTIF(AZ357:BB357,"&lt;&gt;0")=1,INDEX($V$4:$AW$4,MATCH(TRUE,INDEX($V357:$AW357&lt;&gt;0,),0)),IF(COUNTIF(AZ357:BB357,"&lt;&gt;0")=0,INDEX($AM$4:$AW$4,MATCH(1,$AM357:$AW357,0)),"Multiple strategies"))</f>
        <v>Multiple strategies</v>
      </c>
      <c r="BG357" s="1" t="s">
        <v>321</v>
      </c>
      <c r="BH357" t="s">
        <v>1112</v>
      </c>
      <c r="BI357"/>
      <c r="BJ357" t="s">
        <v>1113</v>
      </c>
      <c r="BK357">
        <v>2.9</v>
      </c>
      <c r="BL357">
        <v>3.2</v>
      </c>
      <c r="BM357" s="264">
        <f>BL357/BK357</f>
        <v>1.103448275862069</v>
      </c>
      <c r="BN357">
        <f>BL357-BK357</f>
        <v>0.30000000000000027</v>
      </c>
      <c r="BO357">
        <f>BN357</f>
        <v>0.30000000000000027</v>
      </c>
      <c r="BP357" s="264" t="s">
        <v>232</v>
      </c>
      <c r="BQ357" s="264"/>
      <c r="BR357" t="s">
        <v>1114</v>
      </c>
      <c r="BS357">
        <v>-1.2</v>
      </c>
      <c r="BT357">
        <v>-2.5</v>
      </c>
      <c r="BU357" s="144">
        <f>IFERROR(BT357/BS357,"")</f>
        <v>2.0833333333333335</v>
      </c>
      <c r="BV357">
        <f>BT357-BS357</f>
        <v>-1.3</v>
      </c>
      <c r="BW357"/>
      <c r="BX357">
        <f>BV357/10^3</f>
        <v>-1.2999999999999999E-3</v>
      </c>
      <c r="BY357">
        <f>IFERROR(BX357/BO357,"")</f>
        <v>-4.3333333333333297E-3</v>
      </c>
      <c r="BZ357">
        <v>0</v>
      </c>
      <c r="CA357">
        <v>0</v>
      </c>
      <c r="CB357">
        <v>0</v>
      </c>
      <c r="CC357">
        <v>0</v>
      </c>
      <c r="CD357">
        <v>0</v>
      </c>
      <c r="CE357">
        <v>0</v>
      </c>
      <c r="CF357">
        <v>0</v>
      </c>
      <c r="CG357">
        <v>0</v>
      </c>
      <c r="CH357">
        <v>0</v>
      </c>
      <c r="CI357">
        <v>0</v>
      </c>
      <c r="CJ357">
        <v>0</v>
      </c>
      <c r="CK357">
        <v>0</v>
      </c>
      <c r="CL357">
        <v>0</v>
      </c>
      <c r="CM357">
        <v>0</v>
      </c>
      <c r="CN357" t="str">
        <f>IF($BL357&lt;$BK357,"refNeedCorrection","refOK")</f>
        <v>refOK</v>
      </c>
      <c r="CO357">
        <f>IF($CN357="refOK",$BK357,$BL357)</f>
        <v>2.9</v>
      </c>
      <c r="CP357">
        <f>IF($CN357="refOK",$BL357,$BK357)</f>
        <v>3.2</v>
      </c>
      <c r="CQ357">
        <f>IF($CN357="refOK",$BO357,-$BO357)</f>
        <v>0.30000000000000027</v>
      </c>
      <c r="CR357">
        <f>IF($CN357="refOK",$BS357,$BT357)*IF($BP357="Emissions positive",-1,1)</f>
        <v>-1.2</v>
      </c>
      <c r="CS357">
        <f>IF($CN357="refOK",$BT357,$BS357)*IF($BP357="Emissions positive",-1,1)</f>
        <v>-2.5</v>
      </c>
      <c r="CT357">
        <f>IF($CN357="refNeedCorrection",-BX357,BX357)*IF($BP357="Emissions positive",-1,1)</f>
        <v>-1.2999999999999999E-3</v>
      </c>
      <c r="CU357">
        <f>IFERROR(CT357/CQ357,"")</f>
        <v>-4.3333333333333297E-3</v>
      </c>
      <c r="CV357" s="2">
        <f>IFERROR((CS357-CR357)/ABS(CR357),"")</f>
        <v>-1.0833333333333335</v>
      </c>
      <c r="CW357" s="1" t="s">
        <v>234</v>
      </c>
      <c r="CX357" s="264" t="str">
        <f>IF(OR($CW357="prd",$CW357="std",$CW357="cit"),"loc",IF(OR($CW357="eur",$CW357="reg",$CW357="coy"),"reg",$CW357))</f>
        <v>loc</v>
      </c>
      <c r="CY357" t="s">
        <v>235</v>
      </c>
      <c r="CZ357">
        <v>2001</v>
      </c>
      <c r="DA357">
        <v>2100</v>
      </c>
      <c r="DB357">
        <v>100</v>
      </c>
      <c r="DC357" t="str">
        <f>IF(DB357=0,"0",IF(AND(DB357&gt;=1,DB357&lt;=30),"1-30",IF(AND(DB357&gt;30,DB357&lt;=70),"31-70",IF(AND(DB357&gt;70,DB357&lt;=100),"71-100",IF(DB357&gt;100,"+100")))))</f>
        <v>71-100</v>
      </c>
      <c r="DD357">
        <v>0</v>
      </c>
      <c r="DE357">
        <v>1</v>
      </c>
      <c r="DF357">
        <v>1</v>
      </c>
      <c r="DG357">
        <v>1</v>
      </c>
      <c r="DH357"/>
      <c r="DI357">
        <f>SUM(DD357:DG357)</f>
        <v>3</v>
      </c>
      <c r="DJ357" t="str">
        <f>IF(DI357=1,INDEX($DD$7:$DG$7,MATCH(1,$DD357:$DG357,0)),"mixedProduct")</f>
        <v>mixedProduct</v>
      </c>
      <c r="DK357">
        <f>IF(DD357=1,DK$7,0)</f>
        <v>0</v>
      </c>
      <c r="DL357" t="str">
        <f>IF(DE357=1,DL$7,0)</f>
        <v>Energy</v>
      </c>
      <c r="DM357" t="str">
        <f>IF(DF357=1,DM$7,0)</f>
        <v>Pulp/Paper</v>
      </c>
      <c r="DN357" t="str">
        <f>IF(DG357=1,DN$7,0)</f>
        <v>Timber</v>
      </c>
      <c r="DO357">
        <v>1</v>
      </c>
      <c r="DP357">
        <v>0</v>
      </c>
      <c r="DQ357">
        <v>0</v>
      </c>
      <c r="DR357">
        <v>0</v>
      </c>
      <c r="DS357">
        <v>0</v>
      </c>
      <c r="DT357">
        <f>SUM(DO357:DP357)</f>
        <v>1</v>
      </c>
      <c r="DU357" s="143" t="str">
        <f>IF(DO357=1,"self-calculated DF",IF(DP357=1,"external DF used","explicit C balance"))</f>
        <v>self-calculated DF</v>
      </c>
      <c r="DV357">
        <v>1</v>
      </c>
      <c r="DW357">
        <v>1</v>
      </c>
      <c r="DX357">
        <v>1</v>
      </c>
      <c r="DY357">
        <v>0</v>
      </c>
      <c r="DZ357">
        <v>0</v>
      </c>
      <c r="EA357" s="143">
        <v>0</v>
      </c>
      <c r="EB357">
        <v>1</v>
      </c>
      <c r="EC357">
        <v>1</v>
      </c>
      <c r="ED357">
        <v>0</v>
      </c>
      <c r="EE357">
        <v>0</v>
      </c>
      <c r="EF357">
        <v>1</v>
      </c>
      <c r="EG357">
        <v>1</v>
      </c>
      <c r="EH357">
        <v>0</v>
      </c>
      <c r="EI357" s="2">
        <v>0</v>
      </c>
      <c r="EJ357" s="1"/>
      <c r="EK357" t="str">
        <f>IF(AND(AND(AND(OR($DX357=1,$DW357=1),OR($EC357=1,$EA357=1)),SUM($DV357:$DZ357,$EF357)&gt;=4),SUM($EA357:$EE357)&gt;=2),"Whole sector","")</f>
        <v>Whole sector</v>
      </c>
      <c r="EL357" t="str">
        <f>IF(AND(AND(OR($DX357=1,$DW357=1),AND($EC357=0,$EA357=0)),SUM($DV357:$DZ357,$EF357)&gt;=4),"Ecosystem approach","")</f>
        <v/>
      </c>
      <c r="EM357" s="2" t="str">
        <f>IF(AND(AND(AND($DX357=0,$DW357=0),OR($EC357=1,$EA357=1)),SUM($EB357:$EE357)&gt;=2),"Technology approach","")</f>
        <v/>
      </c>
      <c r="EN357"/>
      <c r="EO357"/>
      <c r="EP357" t="str">
        <f>IF(ISNUMBER(BU357),IF(ABS(BU357-[3]QC_indicators!$B$2)&gt;3*[3]QC_indicators!$C$2,"C ratio",IF(ISNUMBER(BY357),IF(ABS(BY357-[3]QC_indicators!$B$1)&gt;3*[3]QC_indicators!$C$1,"DF","no"))),IF(ISNUMBER(BY357),IF(ABS(BY357-[3]QC_indicators!$B$1)&gt;3*[3]QC_indicators!$C$1,"DF","no")))</f>
        <v>no</v>
      </c>
      <c r="EQ357"/>
      <c r="ER357" s="294" t="s">
        <v>349</v>
      </c>
      <c r="ES357" t="s">
        <v>1116</v>
      </c>
      <c r="ET357" s="264" t="s">
        <v>3407</v>
      </c>
      <c r="EU357"/>
    </row>
    <row r="358" spans="1:151" s="139" customFormat="1" ht="15" customHeight="1">
      <c r="A358" s="1" t="s">
        <v>587</v>
      </c>
      <c r="B358" t="s">
        <v>1448</v>
      </c>
      <c r="C358" t="s">
        <v>1449</v>
      </c>
      <c r="D358" t="s">
        <v>1450</v>
      </c>
      <c r="E358" t="s">
        <v>1451</v>
      </c>
      <c r="F358" t="s">
        <v>1452</v>
      </c>
      <c r="G358" t="s">
        <v>593</v>
      </c>
      <c r="H358" t="s">
        <v>254</v>
      </c>
      <c r="I358">
        <v>2020</v>
      </c>
      <c r="J358">
        <v>12</v>
      </c>
      <c r="K358" t="s">
        <v>1453</v>
      </c>
      <c r="L358"/>
      <c r="M358" t="str">
        <f>LEFT($D358,FIND(",",$D358)-1)&amp;"_"&amp;I358&amp;L358</f>
        <v>Elisa_2020</v>
      </c>
      <c r="N358" s="264" t="s">
        <v>222</v>
      </c>
      <c r="O358" s="171" t="s">
        <v>274</v>
      </c>
      <c r="P358" t="s">
        <v>223</v>
      </c>
      <c r="Q358" s="264" t="s">
        <v>389</v>
      </c>
      <c r="R358" s="269" t="s">
        <v>1154</v>
      </c>
      <c r="S358" s="154" t="s">
        <v>1454</v>
      </c>
      <c r="T358" s="294" t="s">
        <v>1455</v>
      </c>
      <c r="U358" s="143" t="s">
        <v>1500</v>
      </c>
      <c r="V358">
        <v>0</v>
      </c>
      <c r="W358">
        <v>0</v>
      </c>
      <c r="X358">
        <v>0</v>
      </c>
      <c r="Y358">
        <v>0</v>
      </c>
      <c r="Z358">
        <v>0</v>
      </c>
      <c r="AA358">
        <v>0</v>
      </c>
      <c r="AB358">
        <v>0</v>
      </c>
      <c r="AC358">
        <v>0</v>
      </c>
      <c r="AD358">
        <v>0</v>
      </c>
      <c r="AE358">
        <v>1</v>
      </c>
      <c r="AF358">
        <v>0</v>
      </c>
      <c r="AG358">
        <v>0</v>
      </c>
      <c r="AH358">
        <v>0</v>
      </c>
      <c r="AI358">
        <v>0</v>
      </c>
      <c r="AJ358">
        <v>0</v>
      </c>
      <c r="AK358">
        <v>1</v>
      </c>
      <c r="AL358">
        <v>0</v>
      </c>
      <c r="AM358">
        <v>0</v>
      </c>
      <c r="AN358">
        <v>0</v>
      </c>
      <c r="AO358">
        <v>0</v>
      </c>
      <c r="AP358">
        <v>0</v>
      </c>
      <c r="AQ358">
        <v>0</v>
      </c>
      <c r="AR358">
        <v>0</v>
      </c>
      <c r="AS358">
        <v>0</v>
      </c>
      <c r="AT358">
        <v>0</v>
      </c>
      <c r="AU358">
        <v>0</v>
      </c>
      <c r="AV358">
        <v>0</v>
      </c>
      <c r="AW358">
        <v>0</v>
      </c>
      <c r="AX358" s="141">
        <f>COUNTIF(V358:AW358,"&lt;&gt;0")</f>
        <v>2</v>
      </c>
      <c r="AY358" s="141">
        <f>COUNTIF(V358:AL358,"&lt;&gt;0")</f>
        <v>2</v>
      </c>
      <c r="AZ358">
        <f>COUNTIF(V358:AC358,"&lt;&gt;0")</f>
        <v>0</v>
      </c>
      <c r="BA358">
        <f>COUNTIF(AD358:AI358,"&lt;&gt;0")</f>
        <v>1</v>
      </c>
      <c r="BB358">
        <f>COUNTIF(AJ358:AL358,"&lt;&gt;0")</f>
        <v>1</v>
      </c>
      <c r="BC358">
        <f>COUNTIF(AS358:AW358,"&lt;&gt;0")</f>
        <v>0</v>
      </c>
      <c r="BD358">
        <f>COUNTIF(AM358:AR358,"&lt;&gt;0")</f>
        <v>0</v>
      </c>
      <c r="BE358" t="str" cm="1">
        <f t="array" ref="BE358">IF(AY358=1,INDEX($V$7:$AL$7,MATCH(TRUE,INDEX($V358:$AW358&lt;&gt;0,),0)),IF(AY358=0,INDEX($AM$7:$AW$7,MATCH(1,$AM358:$AW358,0)),IF(BF358="Multiple strategies","mixed drivers",IF(BF358="Supply chain","multiple supply","multiple silviculture"))))</f>
        <v>mixed drivers</v>
      </c>
      <c r="BF358" s="2" t="str" cm="1">
        <f t="array" ref="BF358">IF(COUNTIF(AZ358:BB358,"&lt;&gt;0")=1,INDEX($V$4:$AW$4,MATCH(TRUE,INDEX($V358:$AW358&lt;&gt;0,),0)),IF(COUNTIF(AZ358:BB358,"&lt;&gt;0")=0,INDEX($AM$4:$AW$4,MATCH(1,$AM358:$AW358,0)),"Multiple strategies"))</f>
        <v>Multiple strategies</v>
      </c>
      <c r="BG358" s="142" t="s">
        <v>321</v>
      </c>
      <c r="BH358" s="160" t="s">
        <v>1457</v>
      </c>
      <c r="BI358" s="160" t="s">
        <v>1458</v>
      </c>
      <c r="BJ358" s="143" t="s">
        <v>498</v>
      </c>
      <c r="BK358" s="143">
        <v>944</v>
      </c>
      <c r="BL358" s="143">
        <v>135692</v>
      </c>
      <c r="BM358">
        <f>IFERROR(BL358/BK358,"")</f>
        <v>143.7415254237288</v>
      </c>
      <c r="BN358">
        <f>BL358-BK358</f>
        <v>134748</v>
      </c>
      <c r="BO358" s="159">
        <f>BN358</f>
        <v>134748</v>
      </c>
      <c r="BP358" s="155" t="s">
        <v>232</v>
      </c>
      <c r="BQ358" s="155" t="s">
        <v>1459</v>
      </c>
      <c r="BR358" s="155" t="s">
        <v>825</v>
      </c>
      <c r="BS358" s="143" t="s">
        <v>1460</v>
      </c>
      <c r="BT358" t="s">
        <v>1501</v>
      </c>
      <c r="BU358" s="144">
        <f>BT358/BS358</f>
        <v>62.280946421885929</v>
      </c>
      <c r="BV358">
        <f>BT358-BS358</f>
        <v>-430.07688250000001</v>
      </c>
      <c r="BW358"/>
      <c r="BX358">
        <f>BV358</f>
        <v>-430.07688250000001</v>
      </c>
      <c r="BY358">
        <f>IFERROR(BX358/BO358,"")</f>
        <v>-3.1917125486092559E-3</v>
      </c>
      <c r="BZ358">
        <v>0</v>
      </c>
      <c r="CA358">
        <v>0</v>
      </c>
      <c r="CB358">
        <v>0</v>
      </c>
      <c r="CC358">
        <v>0</v>
      </c>
      <c r="CD358">
        <v>0</v>
      </c>
      <c r="CE358">
        <v>0</v>
      </c>
      <c r="CF358">
        <v>0</v>
      </c>
      <c r="CG358">
        <v>0</v>
      </c>
      <c r="CH358">
        <v>0</v>
      </c>
      <c r="CI358">
        <v>0</v>
      </c>
      <c r="CJ358">
        <v>0</v>
      </c>
      <c r="CK358">
        <v>0</v>
      </c>
      <c r="CL358">
        <v>0</v>
      </c>
      <c r="CM358">
        <v>0</v>
      </c>
      <c r="CN358" t="str">
        <f>IF($BL358&lt;$BK358,"refNeedCorrection","refOK")</f>
        <v>refOK</v>
      </c>
      <c r="CO358">
        <f>IF($CN358="refOK",$BK358,$BL358)</f>
        <v>944</v>
      </c>
      <c r="CP358">
        <f>IF($CN358="refOK",$BL358,$BK358)</f>
        <v>135692</v>
      </c>
      <c r="CQ358">
        <f>IF($CN358="refOK",$BO358,-$BO358)</f>
        <v>134748</v>
      </c>
      <c r="CR358">
        <f>IF($CN358="refOK",$BS358,$BT358)*IF($BP358="Emissions positive",-1,1)</f>
        <v>-7.0181174999999998</v>
      </c>
      <c r="CS358">
        <f>IF($CN358="refOK",$BT358,$BS358)*IF($BP358="Emissions positive",-1,1)</f>
        <v>-437.09500000000003</v>
      </c>
      <c r="CT358">
        <f>IF($CN358="refNeedCorrection",-BX358,BX358)*IF($BP358="Emissions positive",-1,1)</f>
        <v>-430.07688250000001</v>
      </c>
      <c r="CU358">
        <f>IFERROR(CT358/CQ358,"")</f>
        <v>-3.1917125486092559E-3</v>
      </c>
      <c r="CV358" s="2">
        <f>IFERROR((CS358-CR358)/ABS(CR358),"")</f>
        <v>-61.280946421885929</v>
      </c>
      <c r="CW358" s="263" t="s">
        <v>1462</v>
      </c>
      <c r="CX358" s="264" t="str">
        <f>IF(OR($CW358="prd",$CW358="std",$CW358="cit"),"loc",IF(OR($CW358="eur",$CW358="reg",$CW358="coy"),"reg",$CW358))</f>
        <v>reg</v>
      </c>
      <c r="CY358" s="270" t="s">
        <v>743</v>
      </c>
      <c r="CZ358"/>
      <c r="DA358" s="143"/>
      <c r="DB358" s="143">
        <v>0</v>
      </c>
      <c r="DC358" t="str">
        <f>IF(DB358=0,"0",IF(AND(DB358&gt;=1,DB358&lt;=30),"1-30",IF(AND(DB358&gt;30,DB358&lt;=70),"31-70",IF(AND(DB358&gt;70,DB358&lt;=100),"71-100",IF(DB358&gt;100,"+100")))))</f>
        <v>0</v>
      </c>
      <c r="DD358">
        <v>0</v>
      </c>
      <c r="DE358">
        <v>1</v>
      </c>
      <c r="DF358">
        <v>0</v>
      </c>
      <c r="DG358">
        <v>0</v>
      </c>
      <c r="DH358">
        <v>0</v>
      </c>
      <c r="DI358">
        <f>SUM(DD358:DH358)</f>
        <v>1</v>
      </c>
      <c r="DJ358" t="str">
        <f>IF(DI358=1,INDEX($DD$7:$DG$7,MATCH(1,$DD358:$DG358,0)),"mixedProduct")</f>
        <v>EnergyInput</v>
      </c>
      <c r="DK358">
        <f>IF(DD358=1,DK$7,0)</f>
        <v>0</v>
      </c>
      <c r="DL358" t="str">
        <f>IF(DE358=1,DL$7,0)</f>
        <v>Energy</v>
      </c>
      <c r="DM358">
        <f>IF(DF358=1,DM$7,0)</f>
        <v>0</v>
      </c>
      <c r="DN358">
        <f>IF(DG358=1,DN$7,0)</f>
        <v>0</v>
      </c>
      <c r="DO358">
        <v>0</v>
      </c>
      <c r="DP358" s="143">
        <v>0</v>
      </c>
      <c r="DQ358" s="143">
        <v>0</v>
      </c>
      <c r="DR358">
        <v>0</v>
      </c>
      <c r="DS358" s="143">
        <v>0</v>
      </c>
      <c r="DT358">
        <f>SUM(DO358:DP358)</f>
        <v>0</v>
      </c>
      <c r="DU358" s="143" t="str">
        <f>IF(DO358=1,"self-calculated DF",IF(DP358=1,"external DF used","explicit C balance"))</f>
        <v>explicit C balance</v>
      </c>
      <c r="DV358" s="143">
        <v>0</v>
      </c>
      <c r="DW358" s="143">
        <v>0</v>
      </c>
      <c r="DX358" s="143">
        <v>0</v>
      </c>
      <c r="DY358" s="143">
        <v>0</v>
      </c>
      <c r="DZ358">
        <v>0</v>
      </c>
      <c r="EA358" s="143">
        <v>0</v>
      </c>
      <c r="EB358" s="143">
        <v>1</v>
      </c>
      <c r="EC358" s="143">
        <v>1</v>
      </c>
      <c r="ED358" s="143">
        <v>0</v>
      </c>
      <c r="EE358">
        <v>1</v>
      </c>
      <c r="EF358">
        <v>0</v>
      </c>
      <c r="EG358" s="143">
        <v>0</v>
      </c>
      <c r="EH358" s="143">
        <v>0</v>
      </c>
      <c r="EI358" s="2">
        <v>0</v>
      </c>
      <c r="EJ358" s="1"/>
      <c r="EK358" t="str">
        <f>IF(AND(AND(AND(OR($DX358=1,$DW358=1),OR($EC358=1,$EA358=1)),SUM($DV358:$DZ358,$EF358)&gt;=4),SUM($EA358:$EE358)&gt;=2),"Whole sector","")</f>
        <v/>
      </c>
      <c r="EL358" t="str">
        <f>IF(AND(AND(OR($DX358=1,$DW358=1),AND($EC358=0,$EA358=0)),SUM($DV358:$DZ358,$EF358)&gt;=4),"Ecosystem approach","")</f>
        <v/>
      </c>
      <c r="EM358" s="2" t="str">
        <f>IF(AND(AND(AND($DX358=0,$DW358=0),OR($EC358=1,$EA358=1)),SUM($EB358:$EE358)&gt;=2),"Technology approach","")</f>
        <v>Technology approach</v>
      </c>
      <c r="EN358"/>
      <c r="EO358"/>
      <c r="EP358" t="str">
        <f>IF(ISNUMBER(BU358),IF(ABS(BU358-[3]QC_indicators!$B$2)&gt;3*[3]QC_indicators!$C$2,"C ratio",IF(ISNUMBER(BY358),IF(ABS(BY358-[3]QC_indicators!$B$1)&gt;3*[3]QC_indicators!$C$1,"DF","no"))),IF(ISNUMBER(BY358),IF(ABS(BY358-[3]QC_indicators!$B$1)&gt;3*[3]QC_indicators!$C$1,"DF","no")))</f>
        <v>C ratio</v>
      </c>
      <c r="EQ358"/>
      <c r="ER358" s="149"/>
      <c r="ES358"/>
      <c r="ET358" s="264" t="s">
        <v>3407</v>
      </c>
      <c r="EU358"/>
    </row>
    <row r="359" spans="1:151" s="139" customFormat="1" ht="15" customHeight="1">
      <c r="A359" s="1" t="s">
        <v>587</v>
      </c>
      <c r="B359" t="s">
        <v>1448</v>
      </c>
      <c r="C359" t="s">
        <v>1449</v>
      </c>
      <c r="D359" t="s">
        <v>1450</v>
      </c>
      <c r="E359" t="s">
        <v>1451</v>
      </c>
      <c r="F359" t="s">
        <v>1452</v>
      </c>
      <c r="G359" t="s">
        <v>593</v>
      </c>
      <c r="H359" t="s">
        <v>254</v>
      </c>
      <c r="I359">
        <v>2020</v>
      </c>
      <c r="J359">
        <v>12</v>
      </c>
      <c r="K359" t="s">
        <v>1453</v>
      </c>
      <c r="L359"/>
      <c r="M359" t="str">
        <f>LEFT($D359,FIND(",",$D359)-1)&amp;"_"&amp;I359&amp;L359</f>
        <v>Elisa_2020</v>
      </c>
      <c r="N359" s="264" t="s">
        <v>222</v>
      </c>
      <c r="O359" s="171" t="s">
        <v>274</v>
      </c>
      <c r="P359" t="s">
        <v>223</v>
      </c>
      <c r="Q359" s="264" t="s">
        <v>389</v>
      </c>
      <c r="R359" s="269" t="s">
        <v>1154</v>
      </c>
      <c r="S359" s="154" t="s">
        <v>1454</v>
      </c>
      <c r="T359" s="294" t="s">
        <v>1455</v>
      </c>
      <c r="U359" s="143" t="s">
        <v>1500</v>
      </c>
      <c r="V359">
        <v>0</v>
      </c>
      <c r="W359">
        <v>0</v>
      </c>
      <c r="X359">
        <v>0</v>
      </c>
      <c r="Y359">
        <v>0</v>
      </c>
      <c r="Z359">
        <v>0</v>
      </c>
      <c r="AA359">
        <v>0</v>
      </c>
      <c r="AB359">
        <v>0</v>
      </c>
      <c r="AC359">
        <v>0</v>
      </c>
      <c r="AD359">
        <v>0</v>
      </c>
      <c r="AE359">
        <v>1</v>
      </c>
      <c r="AF359">
        <v>0</v>
      </c>
      <c r="AG359">
        <v>0</v>
      </c>
      <c r="AH359">
        <v>0</v>
      </c>
      <c r="AI359">
        <v>0</v>
      </c>
      <c r="AJ359">
        <v>0</v>
      </c>
      <c r="AK359">
        <v>1</v>
      </c>
      <c r="AL359">
        <v>0</v>
      </c>
      <c r="AM359">
        <v>0</v>
      </c>
      <c r="AN359">
        <v>0</v>
      </c>
      <c r="AO359">
        <v>0</v>
      </c>
      <c r="AP359">
        <v>0</v>
      </c>
      <c r="AQ359">
        <v>0</v>
      </c>
      <c r="AR359">
        <v>0</v>
      </c>
      <c r="AS359">
        <v>0</v>
      </c>
      <c r="AT359">
        <v>0</v>
      </c>
      <c r="AU359">
        <v>0</v>
      </c>
      <c r="AV359">
        <v>0</v>
      </c>
      <c r="AW359">
        <v>0</v>
      </c>
      <c r="AX359" s="141">
        <f>COUNTIF(V359:AW359,"&lt;&gt;0")</f>
        <v>2</v>
      </c>
      <c r="AY359" s="141">
        <f>COUNTIF(V359:AL359,"&lt;&gt;0")</f>
        <v>2</v>
      </c>
      <c r="AZ359">
        <f>COUNTIF(V359:AC359,"&lt;&gt;0")</f>
        <v>0</v>
      </c>
      <c r="BA359">
        <f>COUNTIF(AD359:AI359,"&lt;&gt;0")</f>
        <v>1</v>
      </c>
      <c r="BB359">
        <f>COUNTIF(AJ359:AL359,"&lt;&gt;0")</f>
        <v>1</v>
      </c>
      <c r="BC359">
        <f>COUNTIF(AS359:AW359,"&lt;&gt;0")</f>
        <v>0</v>
      </c>
      <c r="BD359">
        <f>COUNTIF(AM359:AR359,"&lt;&gt;0")</f>
        <v>0</v>
      </c>
      <c r="BE359" t="str" cm="1">
        <f t="array" ref="BE359">IF(AY359=1,INDEX($V$7:$AL$7,MATCH(TRUE,INDEX($V359:$AW359&lt;&gt;0,),0)),IF(AY359=0,INDEX($AM$7:$AW$7,MATCH(1,$AM359:$AW359,0)),IF(BF359="Multiple strategies","mixed drivers",IF(BF359="Supply chain","multiple supply","multiple silviculture"))))</f>
        <v>mixed drivers</v>
      </c>
      <c r="BF359" s="2" t="str" cm="1">
        <f t="array" ref="BF359">IF(COUNTIF(AZ359:BB359,"&lt;&gt;0")=1,INDEX($V$4:$AW$4,MATCH(TRUE,INDEX($V359:$AW359&lt;&gt;0,),0)),IF(COUNTIF(AZ359:BB359,"&lt;&gt;0")=0,INDEX($AM$4:$AW$4,MATCH(1,$AM359:$AW359,0)),"Multiple strategies"))</f>
        <v>Multiple strategies</v>
      </c>
      <c r="BG359" s="142" t="s">
        <v>321</v>
      </c>
      <c r="BH359" s="160" t="s">
        <v>1457</v>
      </c>
      <c r="BI359" s="160" t="s">
        <v>1458</v>
      </c>
      <c r="BJ359" s="143" t="s">
        <v>498</v>
      </c>
      <c r="BK359" s="143">
        <v>944</v>
      </c>
      <c r="BL359" s="143">
        <v>135692</v>
      </c>
      <c r="BM359" t="str">
        <f>IFERROR(#REF!/BK359,"")</f>
        <v/>
      </c>
      <c r="BN359">
        <f>BL359-BK359</f>
        <v>134748</v>
      </c>
      <c r="BO359" s="159">
        <f>BN359</f>
        <v>134748</v>
      </c>
      <c r="BP359" s="155" t="s">
        <v>232</v>
      </c>
      <c r="BQ359" s="155" t="s">
        <v>1459</v>
      </c>
      <c r="BR359" s="155" t="s">
        <v>825</v>
      </c>
      <c r="BS359" s="143" t="s">
        <v>1463</v>
      </c>
      <c r="BT359" t="s">
        <v>1502</v>
      </c>
      <c r="BU359" s="144">
        <f>BT359/BS359</f>
        <v>62.136045960994217</v>
      </c>
      <c r="BV359">
        <f>BT359-BS359</f>
        <v>-422.48935749999998</v>
      </c>
      <c r="BW359"/>
      <c r="BX359">
        <f>BV359</f>
        <v>-422.48935749999998</v>
      </c>
      <c r="BY359">
        <f>IFERROR(BX359/BO359,"")</f>
        <v>-3.135403549588862E-3</v>
      </c>
      <c r="BZ359">
        <v>0</v>
      </c>
      <c r="CA359">
        <v>0</v>
      </c>
      <c r="CB359">
        <v>0</v>
      </c>
      <c r="CC359">
        <v>0</v>
      </c>
      <c r="CD359">
        <v>0</v>
      </c>
      <c r="CE359">
        <v>0</v>
      </c>
      <c r="CF359">
        <v>0</v>
      </c>
      <c r="CG359">
        <v>0</v>
      </c>
      <c r="CH359">
        <v>0</v>
      </c>
      <c r="CI359">
        <v>0</v>
      </c>
      <c r="CJ359">
        <v>0</v>
      </c>
      <c r="CK359">
        <v>0</v>
      </c>
      <c r="CL359">
        <v>0</v>
      </c>
      <c r="CM359">
        <v>0</v>
      </c>
      <c r="CN359" t="str">
        <f>IF($BL359&lt;$BK359,"refNeedCorrection","refOK")</f>
        <v>refOK</v>
      </c>
      <c r="CO359">
        <f>IF($CN359="refOK",$BK359,$BL359)</f>
        <v>944</v>
      </c>
      <c r="CP359">
        <f>IF($CN359="refOK",$BL359,$BK359)</f>
        <v>135692</v>
      </c>
      <c r="CQ359">
        <f>IF($CN359="refOK",$BO359,-$BO359)</f>
        <v>134748</v>
      </c>
      <c r="CR359">
        <f>IF($CN359="refOK",$BS359,$BT359)*IF($BP359="Emissions positive",-1,1)</f>
        <v>-6.9106424999999998</v>
      </c>
      <c r="CS359">
        <f>IF($CN359="refOK",$BT359,$BS359)*IF($BP359="Emissions positive",-1,1)</f>
        <v>-429.4</v>
      </c>
      <c r="CT359">
        <f>IF($CN359="refNeedCorrection",-BX359,BX359)*IF($BP359="Emissions positive",-1,1)</f>
        <v>-422.48935749999998</v>
      </c>
      <c r="CU359">
        <f>IFERROR(CT359/CQ359,"")</f>
        <v>-3.135403549588862E-3</v>
      </c>
      <c r="CV359" s="2">
        <f>IFERROR((CS359-CR359)/ABS(CR359),"")</f>
        <v>-61.136045960994217</v>
      </c>
      <c r="CW359" s="263" t="s">
        <v>1462</v>
      </c>
      <c r="CX359" s="264" t="str">
        <f>IF(OR($CW359="prd",$CW359="std",$CW359="cit"),"loc",IF(OR($CW359="eur",$CW359="reg",$CW359="coy"),"reg",$CW359))</f>
        <v>reg</v>
      </c>
      <c r="CY359" s="270" t="s">
        <v>743</v>
      </c>
      <c r="CZ359"/>
      <c r="DA359" s="143"/>
      <c r="DB359" s="143">
        <v>0</v>
      </c>
      <c r="DC359" t="str">
        <f>IF(DB359=0,"0",IF(AND(DB359&gt;=1,DB359&lt;=30),"1-30",IF(AND(DB359&gt;30,DB359&lt;=70),"31-70",IF(AND(DB359&gt;70,DB359&lt;=100),"71-100",IF(DB359&gt;100,"+100")))))</f>
        <v>0</v>
      </c>
      <c r="DD359">
        <v>0</v>
      </c>
      <c r="DE359">
        <v>1</v>
      </c>
      <c r="DF359">
        <v>0</v>
      </c>
      <c r="DG359">
        <v>0</v>
      </c>
      <c r="DH359">
        <v>0</v>
      </c>
      <c r="DI359">
        <f>SUM(DD359:DH359)</f>
        <v>1</v>
      </c>
      <c r="DJ359" t="str">
        <f>IF(DI359=1,INDEX($DD$7:$DG$7,MATCH(1,$DD359:$DG359,0)),"mixedProduct")</f>
        <v>EnergyInput</v>
      </c>
      <c r="DK359">
        <f>IF(DD359=1,DK$7,0)</f>
        <v>0</v>
      </c>
      <c r="DL359" t="str">
        <f>IF(DE359=1,DL$7,0)</f>
        <v>Energy</v>
      </c>
      <c r="DM359">
        <f>IF(DF359=1,DM$7,0)</f>
        <v>0</v>
      </c>
      <c r="DN359">
        <f>IF(DG359=1,DN$7,0)</f>
        <v>0</v>
      </c>
      <c r="DO359">
        <v>0</v>
      </c>
      <c r="DP359" s="143">
        <v>0</v>
      </c>
      <c r="DQ359" s="143">
        <v>0</v>
      </c>
      <c r="DR359">
        <v>0</v>
      </c>
      <c r="DS359" s="143">
        <v>0</v>
      </c>
      <c r="DT359">
        <f>SUM(DO359:DP359)</f>
        <v>0</v>
      </c>
      <c r="DU359" s="143" t="str">
        <f>IF(DO359=1,"self-calculated DF",IF(DP359=1,"external DF used","explicit C balance"))</f>
        <v>explicit C balance</v>
      </c>
      <c r="DV359" s="143">
        <v>0</v>
      </c>
      <c r="DW359" s="143">
        <v>0</v>
      </c>
      <c r="DX359" s="143">
        <v>0</v>
      </c>
      <c r="DY359" s="143">
        <v>0</v>
      </c>
      <c r="DZ359">
        <v>0</v>
      </c>
      <c r="EA359" s="143">
        <v>0</v>
      </c>
      <c r="EB359" s="143">
        <v>0</v>
      </c>
      <c r="EC359" s="143">
        <v>1</v>
      </c>
      <c r="ED359" s="143">
        <v>0</v>
      </c>
      <c r="EE359">
        <v>1</v>
      </c>
      <c r="EF359">
        <v>0</v>
      </c>
      <c r="EG359" s="143">
        <v>0</v>
      </c>
      <c r="EH359" s="143">
        <v>0</v>
      </c>
      <c r="EI359" s="2">
        <v>0</v>
      </c>
      <c r="EJ359" s="1"/>
      <c r="EK359" t="str">
        <f>IF(AND(AND(AND(OR($DX359=1,$DW359=1),OR($EC359=1,$EA359=1)),SUM($DV359:$DZ359,$EF359)&gt;=4),SUM($EA359:$EE359)&gt;=2),"Whole sector","")</f>
        <v/>
      </c>
      <c r="EL359" t="str">
        <f>IF(AND(AND(OR($DX359=1,$DW359=1),AND($EC359=0,$EA359=0)),SUM($DV359:$DZ359,$EF359)&gt;=4),"Ecosystem approach","")</f>
        <v/>
      </c>
      <c r="EM359" s="2" t="str">
        <f>IF(AND(AND(AND($DX359=0,$DW359=0),OR($EC359=1,$EA359=1)),SUM($EB359:$EE359)&gt;=2),"Technology approach","")</f>
        <v>Technology approach</v>
      </c>
      <c r="EN359"/>
      <c r="EO359"/>
      <c r="EP359" t="str">
        <f>IF(ISNUMBER(BU359),IF(ABS(BU359-[3]QC_indicators!$B$2)&gt;3*[3]QC_indicators!$C$2,"C ratio",IF(ISNUMBER(BY359),IF(ABS(BY359-[3]QC_indicators!$B$1)&gt;3*[3]QC_indicators!$C$1,"DF","no"))),IF(ISNUMBER(BY359),IF(ABS(BY359-[3]QC_indicators!$B$1)&gt;3*[3]QC_indicators!$C$1,"DF","no")))</f>
        <v>C ratio</v>
      </c>
      <c r="EQ359"/>
      <c r="ER359" s="149"/>
      <c r="ES359"/>
      <c r="ET359" s="264" t="s">
        <v>3407</v>
      </c>
      <c r="EU359"/>
    </row>
    <row r="360" spans="1:151" s="139" customFormat="1" ht="15" customHeight="1">
      <c r="A360" s="1" t="s">
        <v>1102</v>
      </c>
      <c r="B360" t="s">
        <v>1103</v>
      </c>
      <c r="C360" t="s">
        <v>1104</v>
      </c>
      <c r="D360" t="s">
        <v>1105</v>
      </c>
      <c r="E360" t="s">
        <v>1106</v>
      </c>
      <c r="F360" t="s">
        <v>1107</v>
      </c>
      <c r="G360" t="s">
        <v>1108</v>
      </c>
      <c r="H360" t="s">
        <v>254</v>
      </c>
      <c r="I360">
        <v>2013</v>
      </c>
      <c r="J360">
        <v>11</v>
      </c>
      <c r="K360" t="s">
        <v>1109</v>
      </c>
      <c r="L360"/>
      <c r="M360" t="str">
        <f>LEFT($D360,FIND(",",$D360)-1)&amp;"_"&amp;I360&amp;L360</f>
        <v>Routa_2013</v>
      </c>
      <c r="N360" t="s">
        <v>222</v>
      </c>
      <c r="O360" s="145" t="s">
        <v>341</v>
      </c>
      <c r="P360"/>
      <c r="Q360" s="264" t="s">
        <v>256</v>
      </c>
      <c r="R360" s="269" t="s">
        <v>1154</v>
      </c>
      <c r="S360" s="1" t="s">
        <v>1117</v>
      </c>
      <c r="T360" t="e">
        <f>#REF!</f>
        <v>#REF!</v>
      </c>
      <c r="U360" t="s">
        <v>1111</v>
      </c>
      <c r="V360">
        <v>0</v>
      </c>
      <c r="W360">
        <v>0</v>
      </c>
      <c r="X360">
        <v>2</v>
      </c>
      <c r="Y360">
        <v>0</v>
      </c>
      <c r="Z360">
        <v>2</v>
      </c>
      <c r="AA360">
        <v>0</v>
      </c>
      <c r="AB360">
        <v>1</v>
      </c>
      <c r="AC360">
        <v>0</v>
      </c>
      <c r="AD360">
        <v>0</v>
      </c>
      <c r="AE360">
        <v>0</v>
      </c>
      <c r="AF360">
        <v>0</v>
      </c>
      <c r="AG360">
        <v>0</v>
      </c>
      <c r="AH360">
        <v>0</v>
      </c>
      <c r="AI360">
        <v>0</v>
      </c>
      <c r="AJ360">
        <v>2</v>
      </c>
      <c r="AK360">
        <v>0</v>
      </c>
      <c r="AL360">
        <v>2</v>
      </c>
      <c r="AM360">
        <v>0</v>
      </c>
      <c r="AN360">
        <v>0</v>
      </c>
      <c r="AO360">
        <v>0</v>
      </c>
      <c r="AP360">
        <v>0</v>
      </c>
      <c r="AQ360">
        <v>0</v>
      </c>
      <c r="AR360">
        <v>0</v>
      </c>
      <c r="AS360">
        <v>0</v>
      </c>
      <c r="AT360">
        <v>0</v>
      </c>
      <c r="AU360">
        <v>0</v>
      </c>
      <c r="AV360">
        <v>0</v>
      </c>
      <c r="AW360">
        <v>0</v>
      </c>
      <c r="AX360" s="141">
        <f>COUNTIF(V360:AW360,"&lt;&gt;0")</f>
        <v>5</v>
      </c>
      <c r="AY360" s="141">
        <f>COUNTIF(V360:AL360,"&lt;&gt;0")</f>
        <v>5</v>
      </c>
      <c r="AZ360">
        <f>COUNTIF(V360:AC360,"&lt;&gt;0")</f>
        <v>3</v>
      </c>
      <c r="BA360">
        <f>COUNTIF(AD360:AI360,"&lt;&gt;0")</f>
        <v>0</v>
      </c>
      <c r="BB360">
        <f>COUNTIF(AJ360:AL360,"&lt;&gt;0")</f>
        <v>2</v>
      </c>
      <c r="BC360">
        <f>COUNTIF(AS360:AW360,"&lt;&gt;0")</f>
        <v>0</v>
      </c>
      <c r="BD360">
        <f>COUNTIF(AM360:AR360,"&lt;&gt;0")</f>
        <v>0</v>
      </c>
      <c r="BE360" t="str" cm="1">
        <f t="array" ref="BE360">IF(AY360=1,INDEX($V$7:$AL$7,MATCH(TRUE,INDEX($V360:$AW360&lt;&gt;0,),0)),IF(AY360=0,INDEX($AM$7:$AW$7,MATCH(1,$AM360:$AW360,0)),IF(BF360="Multiple strategies","mixed drivers",IF(BF360="Supply chain","multiple supply","multiple silviculture"))))</f>
        <v>mixed drivers</v>
      </c>
      <c r="BF360" s="2" t="str" cm="1">
        <f t="array" ref="BF360">IF(COUNTIF(AZ360:BB360,"&lt;&gt;0")=1,INDEX($V$4:$AW$4,MATCH(TRUE,INDEX($V360:$AW360&lt;&gt;0,),0)),IF(COUNTIF(AZ360:BB360,"&lt;&gt;0")=0,INDEX($AM$4:$AW$4,MATCH(1,$AM360:$AW360,0)),"Multiple strategies"))</f>
        <v>Multiple strategies</v>
      </c>
      <c r="BG360" s="1" t="s">
        <v>321</v>
      </c>
      <c r="BH360" t="s">
        <v>1112</v>
      </c>
      <c r="BI360"/>
      <c r="BJ360" t="s">
        <v>1113</v>
      </c>
      <c r="BK360">
        <v>2.8</v>
      </c>
      <c r="BL360">
        <v>3.2</v>
      </c>
      <c r="BM360" s="264">
        <f>BL360/BK360</f>
        <v>1.142857142857143</v>
      </c>
      <c r="BN360">
        <f>BL360-BK360</f>
        <v>0.40000000000000036</v>
      </c>
      <c r="BO360">
        <f>BN360</f>
        <v>0.40000000000000036</v>
      </c>
      <c r="BP360" s="264" t="s">
        <v>232</v>
      </c>
      <c r="BQ360" s="264"/>
      <c r="BR360" t="s">
        <v>1114</v>
      </c>
      <c r="BS360">
        <v>-1.4</v>
      </c>
      <c r="BT360">
        <v>-2.5</v>
      </c>
      <c r="BU360" s="144">
        <f>IFERROR(BT360/BS360,"")</f>
        <v>1.7857142857142858</v>
      </c>
      <c r="BV360">
        <f>BT360-BS360</f>
        <v>-1.1000000000000001</v>
      </c>
      <c r="BW360"/>
      <c r="BX360">
        <f>BV360/10^3</f>
        <v>-1.1000000000000001E-3</v>
      </c>
      <c r="BY360">
        <f>IFERROR(BX360/BO360,"")</f>
        <v>-2.7499999999999977E-3</v>
      </c>
      <c r="BZ360">
        <v>0</v>
      </c>
      <c r="CA360">
        <v>0</v>
      </c>
      <c r="CB360">
        <v>0</v>
      </c>
      <c r="CC360">
        <v>0</v>
      </c>
      <c r="CD360">
        <v>0</v>
      </c>
      <c r="CE360">
        <v>0</v>
      </c>
      <c r="CF360">
        <v>0</v>
      </c>
      <c r="CG360">
        <v>0</v>
      </c>
      <c r="CH360">
        <v>0</v>
      </c>
      <c r="CI360">
        <v>0</v>
      </c>
      <c r="CJ360">
        <v>0</v>
      </c>
      <c r="CK360">
        <v>0</v>
      </c>
      <c r="CL360">
        <v>0</v>
      </c>
      <c r="CM360">
        <v>0</v>
      </c>
      <c r="CN360" t="str">
        <f>IF($BL360&lt;$BK360,"refNeedCorrection","refOK")</f>
        <v>refOK</v>
      </c>
      <c r="CO360">
        <f>IF($CN360="refOK",$BK360,$BL360)</f>
        <v>2.8</v>
      </c>
      <c r="CP360">
        <f>IF($CN360="refOK",$BL360,$BK360)</f>
        <v>3.2</v>
      </c>
      <c r="CQ360">
        <f>IF($CN360="refOK",$BO360,-$BO360)</f>
        <v>0.40000000000000036</v>
      </c>
      <c r="CR360">
        <f>IF($CN360="refOK",$BS360,$BT360)*IF($BP360="Emissions positive",-1,1)</f>
        <v>-1.4</v>
      </c>
      <c r="CS360">
        <f>IF($CN360="refOK",$BT360,$BS360)*IF($BP360="Emissions positive",-1,1)</f>
        <v>-2.5</v>
      </c>
      <c r="CT360">
        <f>IF($CN360="refNeedCorrection",-BX360,BX360)*IF($BP360="Emissions positive",-1,1)</f>
        <v>-1.1000000000000001E-3</v>
      </c>
      <c r="CU360">
        <f>IFERROR(CT360/CQ360,"")</f>
        <v>-2.7499999999999977E-3</v>
      </c>
      <c r="CV360" s="2">
        <f>IFERROR((CS360-CR360)/ABS(CR360),"")</f>
        <v>-0.78571428571428581</v>
      </c>
      <c r="CW360" s="1" t="s">
        <v>234</v>
      </c>
      <c r="CX360" s="264" t="str">
        <f>IF(OR($CW360="prd",$CW360="std",$CW360="cit"),"loc",IF(OR($CW360="eur",$CW360="reg",$CW360="coy"),"reg",$CW360))</f>
        <v>loc</v>
      </c>
      <c r="CY360" t="s">
        <v>235</v>
      </c>
      <c r="CZ360">
        <v>2001</v>
      </c>
      <c r="DA360">
        <v>2100</v>
      </c>
      <c r="DB360">
        <v>100</v>
      </c>
      <c r="DC360" t="str">
        <f>IF(DB360=0,"0",IF(AND(DB360&gt;=1,DB360&lt;=30),"1-30",IF(AND(DB360&gt;30,DB360&lt;=70),"31-70",IF(AND(DB360&gt;70,DB360&lt;=100),"71-100",IF(DB360&gt;100,"+100")))))</f>
        <v>71-100</v>
      </c>
      <c r="DD360">
        <v>0</v>
      </c>
      <c r="DE360">
        <v>1</v>
      </c>
      <c r="DF360">
        <v>1</v>
      </c>
      <c r="DG360">
        <v>1</v>
      </c>
      <c r="DH360"/>
      <c r="DI360">
        <f>SUM(DD360:DG360)</f>
        <v>3</v>
      </c>
      <c r="DJ360" t="str">
        <f>IF(DI360=1,INDEX($DD$7:$DG$7,MATCH(1,$DD360:$DG360,0)),"mixedProduct")</f>
        <v>mixedProduct</v>
      </c>
      <c r="DK360">
        <f>IF(DD360=1,DK$7,0)</f>
        <v>0</v>
      </c>
      <c r="DL360" t="str">
        <f>IF(DE360=1,DL$7,0)</f>
        <v>Energy</v>
      </c>
      <c r="DM360" t="str">
        <f>IF(DF360=1,DM$7,0)</f>
        <v>Pulp/Paper</v>
      </c>
      <c r="DN360" t="str">
        <f>IF(DG360=1,DN$7,0)</f>
        <v>Timber</v>
      </c>
      <c r="DO360">
        <v>1</v>
      </c>
      <c r="DP360">
        <v>0</v>
      </c>
      <c r="DQ360">
        <v>0</v>
      </c>
      <c r="DR360">
        <v>0</v>
      </c>
      <c r="DS360">
        <v>0</v>
      </c>
      <c r="DT360">
        <f>SUM(DO360:DP360)</f>
        <v>1</v>
      </c>
      <c r="DU360" s="143" t="str">
        <f>IF(DO360=1,"self-calculated DF",IF(DP360=1,"external DF used","explicit C balance"))</f>
        <v>self-calculated DF</v>
      </c>
      <c r="DV360">
        <v>1</v>
      </c>
      <c r="DW360">
        <v>1</v>
      </c>
      <c r="DX360">
        <v>1</v>
      </c>
      <c r="DY360">
        <v>0</v>
      </c>
      <c r="DZ360">
        <v>0</v>
      </c>
      <c r="EA360" s="143">
        <v>0</v>
      </c>
      <c r="EB360">
        <v>1</v>
      </c>
      <c r="EC360">
        <v>1</v>
      </c>
      <c r="ED360">
        <v>0</v>
      </c>
      <c r="EE360">
        <v>0</v>
      </c>
      <c r="EF360">
        <v>1</v>
      </c>
      <c r="EG360">
        <v>1</v>
      </c>
      <c r="EH360">
        <v>0</v>
      </c>
      <c r="EI360" s="2">
        <v>0</v>
      </c>
      <c r="EJ360" s="1"/>
      <c r="EK360" t="str">
        <f>IF(AND(AND(AND(OR($DX360=1,$DW360=1),OR($EC360=1,$EA360=1)),SUM($DV360:$DZ360,$EF360)&gt;=4),SUM($EA360:$EE360)&gt;=2),"Whole sector","")</f>
        <v>Whole sector</v>
      </c>
      <c r="EL360" t="str">
        <f>IF(AND(AND(OR($DX360=1,$DW360=1),AND($EC360=0,$EA360=0)),SUM($DV360:$DZ360,$EF360)&gt;=4),"Ecosystem approach","")</f>
        <v/>
      </c>
      <c r="EM360" s="2" t="str">
        <f>IF(AND(AND(AND($DX360=0,$DW360=0),OR($EC360=1,$EA360=1)),SUM($EB360:$EE360)&gt;=2),"Technology approach","")</f>
        <v/>
      </c>
      <c r="EN360"/>
      <c r="EO360"/>
      <c r="EP360" t="str">
        <f>IF(ISNUMBER(BU360),IF(ABS(BU360-[3]QC_indicators!$B$2)&gt;3*[3]QC_indicators!$C$2,"C ratio",IF(ISNUMBER(BY360),IF(ABS(BY360-[3]QC_indicators!$B$1)&gt;3*[3]QC_indicators!$C$1,"DF","no"))),IF(ISNUMBER(BY360),IF(ABS(BY360-[3]QC_indicators!$B$1)&gt;3*[3]QC_indicators!$C$1,"DF","no")))</f>
        <v>no</v>
      </c>
      <c r="EQ360"/>
      <c r="ER360" s="294" t="s">
        <v>349</v>
      </c>
      <c r="ES360"/>
      <c r="ET360" s="264" t="s">
        <v>3407</v>
      </c>
      <c r="EU360"/>
    </row>
    <row r="361" spans="1:151" s="139" customFormat="1" ht="15" customHeight="1">
      <c r="A361" s="1" t="s">
        <v>1102</v>
      </c>
      <c r="B361" t="s">
        <v>1103</v>
      </c>
      <c r="C361" t="s">
        <v>1104</v>
      </c>
      <c r="D361" t="s">
        <v>1105</v>
      </c>
      <c r="E361" t="s">
        <v>1106</v>
      </c>
      <c r="F361" t="s">
        <v>1107</v>
      </c>
      <c r="G361" t="s">
        <v>1108</v>
      </c>
      <c r="H361" t="s">
        <v>254</v>
      </c>
      <c r="I361">
        <v>2013</v>
      </c>
      <c r="J361">
        <v>11</v>
      </c>
      <c r="K361" t="s">
        <v>1109</v>
      </c>
      <c r="L361"/>
      <c r="M361" t="str">
        <f>LEFT($D361,FIND(",",$D361)-1)&amp;"_"&amp;I361&amp;L361</f>
        <v>Routa_2013</v>
      </c>
      <c r="N361" t="s">
        <v>222</v>
      </c>
      <c r="O361" s="145" t="s">
        <v>341</v>
      </c>
      <c r="P361"/>
      <c r="Q361" s="264" t="s">
        <v>256</v>
      </c>
      <c r="R361" s="269" t="s">
        <v>1154</v>
      </c>
      <c r="S361" s="1" t="s">
        <v>1118</v>
      </c>
      <c r="T361" t="e">
        <f>#REF!</f>
        <v>#REF!</v>
      </c>
      <c r="U361" t="s">
        <v>1111</v>
      </c>
      <c r="V361">
        <v>0</v>
      </c>
      <c r="W361">
        <v>0</v>
      </c>
      <c r="X361">
        <v>2</v>
      </c>
      <c r="Y361">
        <v>0</v>
      </c>
      <c r="Z361">
        <v>2</v>
      </c>
      <c r="AA361">
        <v>0</v>
      </c>
      <c r="AB361">
        <v>1</v>
      </c>
      <c r="AC361">
        <v>0</v>
      </c>
      <c r="AD361">
        <v>0</v>
      </c>
      <c r="AE361">
        <v>0</v>
      </c>
      <c r="AF361">
        <v>0</v>
      </c>
      <c r="AG361">
        <v>0</v>
      </c>
      <c r="AH361">
        <v>0</v>
      </c>
      <c r="AI361">
        <v>0</v>
      </c>
      <c r="AJ361">
        <v>2</v>
      </c>
      <c r="AK361">
        <v>0</v>
      </c>
      <c r="AL361">
        <v>2</v>
      </c>
      <c r="AM361">
        <v>0</v>
      </c>
      <c r="AN361">
        <v>0</v>
      </c>
      <c r="AO361">
        <v>0</v>
      </c>
      <c r="AP361">
        <v>0</v>
      </c>
      <c r="AQ361">
        <v>0</v>
      </c>
      <c r="AR361">
        <v>0</v>
      </c>
      <c r="AS361">
        <v>0</v>
      </c>
      <c r="AT361">
        <v>0</v>
      </c>
      <c r="AU361">
        <v>0</v>
      </c>
      <c r="AV361">
        <v>0</v>
      </c>
      <c r="AW361">
        <v>0</v>
      </c>
      <c r="AX361" s="141">
        <f>COUNTIF(V361:AW361,"&lt;&gt;0")</f>
        <v>5</v>
      </c>
      <c r="AY361" s="141">
        <f>COUNTIF(V361:AL361,"&lt;&gt;0")</f>
        <v>5</v>
      </c>
      <c r="AZ361">
        <f>COUNTIF(V361:AC361,"&lt;&gt;0")</f>
        <v>3</v>
      </c>
      <c r="BA361">
        <f>COUNTIF(AD361:AI361,"&lt;&gt;0")</f>
        <v>0</v>
      </c>
      <c r="BB361">
        <f>COUNTIF(AJ361:AL361,"&lt;&gt;0")</f>
        <v>2</v>
      </c>
      <c r="BC361">
        <f>COUNTIF(AS361:AW361,"&lt;&gt;0")</f>
        <v>0</v>
      </c>
      <c r="BD361">
        <f>COUNTIF(AM361:AR361,"&lt;&gt;0")</f>
        <v>0</v>
      </c>
      <c r="BE361" t="str" cm="1">
        <f t="array" ref="BE361">IF(AY361=1,INDEX($V$7:$AL$7,MATCH(TRUE,INDEX($V361:$AW361&lt;&gt;0,),0)),IF(AY361=0,INDEX($AM$7:$AW$7,MATCH(1,$AM361:$AW361,0)),IF(BF361="Multiple strategies","mixed drivers",IF(BF361="Supply chain","multiple supply","multiple silviculture"))))</f>
        <v>mixed drivers</v>
      </c>
      <c r="BF361" s="2" t="str" cm="1">
        <f t="array" ref="BF361">IF(COUNTIF(AZ361:BB361,"&lt;&gt;0")=1,INDEX($V$4:$AW$4,MATCH(TRUE,INDEX($V361:$AW361&lt;&gt;0,),0)),IF(COUNTIF(AZ361:BB361,"&lt;&gt;0")=0,INDEX($AM$4:$AW$4,MATCH(1,$AM361:$AW361,0)),"Multiple strategies"))</f>
        <v>Multiple strategies</v>
      </c>
      <c r="BG361" s="1" t="s">
        <v>321</v>
      </c>
      <c r="BH361" t="s">
        <v>1112</v>
      </c>
      <c r="BI361"/>
      <c r="BJ361" t="s">
        <v>1113</v>
      </c>
      <c r="BK361">
        <v>2.4500000000000002</v>
      </c>
      <c r="BL361">
        <v>3.2</v>
      </c>
      <c r="BM361" s="264">
        <f>BL361/BK361</f>
        <v>1.3061224489795917</v>
      </c>
      <c r="BN361">
        <f>BL361-BK361</f>
        <v>0.75</v>
      </c>
      <c r="BO361">
        <f>BN361</f>
        <v>0.75</v>
      </c>
      <c r="BP361" s="264" t="s">
        <v>232</v>
      </c>
      <c r="BQ361" s="264"/>
      <c r="BR361" t="s">
        <v>1114</v>
      </c>
      <c r="BS361">
        <v>-0.75</v>
      </c>
      <c r="BT361">
        <v>-2.5</v>
      </c>
      <c r="BU361" s="144">
        <f>IFERROR(BT361/BS361,"")</f>
        <v>3.3333333333333335</v>
      </c>
      <c r="BV361">
        <f>BT361-BS361</f>
        <v>-1.75</v>
      </c>
      <c r="BW361"/>
      <c r="BX361">
        <f>BV361/10^3</f>
        <v>-1.75E-3</v>
      </c>
      <c r="BY361">
        <f>IFERROR(BX361/BO361,"")</f>
        <v>-2.3333333333333335E-3</v>
      </c>
      <c r="BZ361">
        <v>0</v>
      </c>
      <c r="CA361">
        <v>0</v>
      </c>
      <c r="CB361">
        <v>0</v>
      </c>
      <c r="CC361">
        <v>0</v>
      </c>
      <c r="CD361">
        <v>0</v>
      </c>
      <c r="CE361">
        <v>0</v>
      </c>
      <c r="CF361">
        <v>0</v>
      </c>
      <c r="CG361">
        <v>0</v>
      </c>
      <c r="CH361">
        <v>0</v>
      </c>
      <c r="CI361">
        <v>0</v>
      </c>
      <c r="CJ361">
        <v>0</v>
      </c>
      <c r="CK361">
        <v>0</v>
      </c>
      <c r="CL361">
        <v>0</v>
      </c>
      <c r="CM361">
        <v>0</v>
      </c>
      <c r="CN361" t="str">
        <f>IF($BL361&lt;$BK361,"refNeedCorrection","refOK")</f>
        <v>refOK</v>
      </c>
      <c r="CO361">
        <f>IF($CN361="refOK",$BK361,$BL361)</f>
        <v>2.4500000000000002</v>
      </c>
      <c r="CP361">
        <f>IF($CN361="refOK",$BL361,$BK361)</f>
        <v>3.2</v>
      </c>
      <c r="CQ361">
        <f>IF($CN361="refOK",$BO361,-$BO361)</f>
        <v>0.75</v>
      </c>
      <c r="CR361">
        <f>IF($CN361="refOK",$BS361,$BT361)*IF($BP361="Emissions positive",-1,1)</f>
        <v>-0.75</v>
      </c>
      <c r="CS361">
        <f>IF($CN361="refOK",$BT361,$BS361)*IF($BP361="Emissions positive",-1,1)</f>
        <v>-2.5</v>
      </c>
      <c r="CT361">
        <f>IF($CN361="refNeedCorrection",-BX361,BX361)*IF($BP361="Emissions positive",-1,1)</f>
        <v>-1.75E-3</v>
      </c>
      <c r="CU361">
        <f>IFERROR(CT361/CQ361,"")</f>
        <v>-2.3333333333333335E-3</v>
      </c>
      <c r="CV361" s="2">
        <f>IFERROR((CS361-CR361)/ABS(CR361),"")</f>
        <v>-2.3333333333333335</v>
      </c>
      <c r="CW361" s="1" t="s">
        <v>234</v>
      </c>
      <c r="CX361" s="264" t="str">
        <f>IF(OR($CW361="prd",$CW361="std",$CW361="cit"),"loc",IF(OR($CW361="eur",$CW361="reg",$CW361="coy"),"reg",$CW361))</f>
        <v>loc</v>
      </c>
      <c r="CY361" t="s">
        <v>235</v>
      </c>
      <c r="CZ361">
        <v>2001</v>
      </c>
      <c r="DA361">
        <v>2100</v>
      </c>
      <c r="DB361">
        <v>100</v>
      </c>
      <c r="DC361" t="str">
        <f>IF(DB361=0,"0",IF(AND(DB361&gt;=1,DB361&lt;=30),"1-30",IF(AND(DB361&gt;30,DB361&lt;=70),"31-70",IF(AND(DB361&gt;70,DB361&lt;=100),"71-100",IF(DB361&gt;100,"+100")))))</f>
        <v>71-100</v>
      </c>
      <c r="DD361">
        <v>0</v>
      </c>
      <c r="DE361">
        <v>1</v>
      </c>
      <c r="DF361">
        <v>1</v>
      </c>
      <c r="DG361">
        <v>1</v>
      </c>
      <c r="DH361"/>
      <c r="DI361">
        <f>SUM(DD361:DG361)</f>
        <v>3</v>
      </c>
      <c r="DJ361" t="str">
        <f>IF(DI361=1,INDEX($DD$7:$DG$7,MATCH(1,$DD361:$DG361,0)),"mixedProduct")</f>
        <v>mixedProduct</v>
      </c>
      <c r="DK361">
        <f>IF(DD361=1,DK$7,0)</f>
        <v>0</v>
      </c>
      <c r="DL361" t="str">
        <f>IF(DE361=1,DL$7,0)</f>
        <v>Energy</v>
      </c>
      <c r="DM361" t="str">
        <f>IF(DF361=1,DM$7,0)</f>
        <v>Pulp/Paper</v>
      </c>
      <c r="DN361" t="str">
        <f>IF(DG361=1,DN$7,0)</f>
        <v>Timber</v>
      </c>
      <c r="DO361">
        <v>1</v>
      </c>
      <c r="DP361">
        <v>0</v>
      </c>
      <c r="DQ361">
        <v>0</v>
      </c>
      <c r="DR361">
        <v>0</v>
      </c>
      <c r="DS361">
        <v>0</v>
      </c>
      <c r="DT361">
        <f>SUM(DO361:DP361)</f>
        <v>1</v>
      </c>
      <c r="DU361" s="143" t="str">
        <f>IF(DO361=1,"self-calculated DF",IF(DP361=1,"external DF used","explicit C balance"))</f>
        <v>self-calculated DF</v>
      </c>
      <c r="DV361">
        <v>1</v>
      </c>
      <c r="DW361">
        <v>1</v>
      </c>
      <c r="DX361">
        <v>1</v>
      </c>
      <c r="DY361">
        <v>0</v>
      </c>
      <c r="DZ361">
        <v>0</v>
      </c>
      <c r="EA361" s="143">
        <v>0</v>
      </c>
      <c r="EB361">
        <v>1</v>
      </c>
      <c r="EC361">
        <v>1</v>
      </c>
      <c r="ED361">
        <v>0</v>
      </c>
      <c r="EE361">
        <v>0</v>
      </c>
      <c r="EF361">
        <v>1</v>
      </c>
      <c r="EG361">
        <v>1</v>
      </c>
      <c r="EH361">
        <v>0</v>
      </c>
      <c r="EI361" s="2">
        <v>0</v>
      </c>
      <c r="EJ361" s="1"/>
      <c r="EK361" t="str">
        <f>IF(AND(AND(AND(OR($DX361=1,$DW361=1),OR($EC361=1,$EA361=1)),SUM($DV361:$DZ361,$EF361)&gt;=4),SUM($EA361:$EE361)&gt;=2),"Whole sector","")</f>
        <v>Whole sector</v>
      </c>
      <c r="EL361" t="str">
        <f>IF(AND(AND(OR($DX361=1,$DW361=1),AND($EC361=0,$EA361=0)),SUM($DV361:$DZ361,$EF361)&gt;=4),"Ecosystem approach","")</f>
        <v/>
      </c>
      <c r="EM361" s="2" t="str">
        <f>IF(AND(AND(AND($DX361=0,$DW361=0),OR($EC361=1,$EA361=1)),SUM($EB361:$EE361)&gt;=2),"Technology approach","")</f>
        <v/>
      </c>
      <c r="EN361"/>
      <c r="EO361"/>
      <c r="EP361" t="str">
        <f>IF(ISNUMBER(BU361),IF(ABS(BU361-[3]QC_indicators!$B$2)&gt;3*[3]QC_indicators!$C$2,"C ratio",IF(ISNUMBER(BY361),IF(ABS(BY361-[3]QC_indicators!$B$1)&gt;3*[3]QC_indicators!$C$1,"DF","no"))),IF(ISNUMBER(BY361),IF(ABS(BY361-[3]QC_indicators!$B$1)&gt;3*[3]QC_indicators!$C$1,"DF","no")))</f>
        <v>no</v>
      </c>
      <c r="EQ361"/>
      <c r="ER361" s="294" t="s">
        <v>349</v>
      </c>
      <c r="ES361"/>
      <c r="ET361" s="264" t="s">
        <v>3407</v>
      </c>
      <c r="EU361"/>
    </row>
    <row r="362" spans="1:151" s="139" customFormat="1" ht="15" customHeight="1">
      <c r="A362" s="1" t="s">
        <v>1102</v>
      </c>
      <c r="B362" t="s">
        <v>1103</v>
      </c>
      <c r="C362" t="s">
        <v>1104</v>
      </c>
      <c r="D362" t="s">
        <v>1105</v>
      </c>
      <c r="E362" t="s">
        <v>1106</v>
      </c>
      <c r="F362" t="s">
        <v>1107</v>
      </c>
      <c r="G362" t="s">
        <v>1108</v>
      </c>
      <c r="H362" t="s">
        <v>254</v>
      </c>
      <c r="I362">
        <v>2013</v>
      </c>
      <c r="J362">
        <v>11</v>
      </c>
      <c r="K362" t="s">
        <v>1109</v>
      </c>
      <c r="L362"/>
      <c r="M362" t="str">
        <f>LEFT($D362,FIND(",",$D362)-1)&amp;"_"&amp;I362&amp;L362</f>
        <v>Routa_2013</v>
      </c>
      <c r="N362" t="s">
        <v>222</v>
      </c>
      <c r="O362" s="145" t="s">
        <v>341</v>
      </c>
      <c r="P362"/>
      <c r="Q362" s="264" t="s">
        <v>256</v>
      </c>
      <c r="R362" s="269" t="s">
        <v>1154</v>
      </c>
      <c r="S362" s="1" t="s">
        <v>1119</v>
      </c>
      <c r="T362" t="e">
        <f>#REF!</f>
        <v>#REF!</v>
      </c>
      <c r="U362" t="s">
        <v>1111</v>
      </c>
      <c r="V362">
        <v>0</v>
      </c>
      <c r="W362">
        <v>0</v>
      </c>
      <c r="X362">
        <v>2</v>
      </c>
      <c r="Y362">
        <v>0</v>
      </c>
      <c r="Z362">
        <v>2</v>
      </c>
      <c r="AA362">
        <v>0</v>
      </c>
      <c r="AB362">
        <v>1</v>
      </c>
      <c r="AC362">
        <v>0</v>
      </c>
      <c r="AD362">
        <v>0</v>
      </c>
      <c r="AE362">
        <v>0</v>
      </c>
      <c r="AF362">
        <v>0</v>
      </c>
      <c r="AG362">
        <v>0</v>
      </c>
      <c r="AH362">
        <v>0</v>
      </c>
      <c r="AI362">
        <v>0</v>
      </c>
      <c r="AJ362">
        <v>2</v>
      </c>
      <c r="AK362">
        <v>0</v>
      </c>
      <c r="AL362">
        <v>2</v>
      </c>
      <c r="AM362">
        <v>0</v>
      </c>
      <c r="AN362">
        <v>0</v>
      </c>
      <c r="AO362">
        <v>0</v>
      </c>
      <c r="AP362">
        <v>0</v>
      </c>
      <c r="AQ362">
        <v>0</v>
      </c>
      <c r="AR362">
        <v>0</v>
      </c>
      <c r="AS362">
        <v>0</v>
      </c>
      <c r="AT362">
        <v>0</v>
      </c>
      <c r="AU362">
        <v>0</v>
      </c>
      <c r="AV362">
        <v>0</v>
      </c>
      <c r="AW362">
        <v>0</v>
      </c>
      <c r="AX362" s="141">
        <f>COUNTIF(V362:AW362,"&lt;&gt;0")</f>
        <v>5</v>
      </c>
      <c r="AY362" s="141">
        <f>COUNTIF(V362:AL362,"&lt;&gt;0")</f>
        <v>5</v>
      </c>
      <c r="AZ362">
        <f>COUNTIF(V362:AC362,"&lt;&gt;0")</f>
        <v>3</v>
      </c>
      <c r="BA362">
        <f>COUNTIF(AD362:AI362,"&lt;&gt;0")</f>
        <v>0</v>
      </c>
      <c r="BB362">
        <f>COUNTIF(AJ362:AL362,"&lt;&gt;0")</f>
        <v>2</v>
      </c>
      <c r="BC362">
        <f>COUNTIF(AS362:AW362,"&lt;&gt;0")</f>
        <v>0</v>
      </c>
      <c r="BD362">
        <f>COUNTIF(AM362:AR362,"&lt;&gt;0")</f>
        <v>0</v>
      </c>
      <c r="BE362" t="str" cm="1">
        <f t="array" ref="BE362">IF(AY362=1,INDEX($V$7:$AL$7,MATCH(TRUE,INDEX($V362:$AW362&lt;&gt;0,),0)),IF(AY362=0,INDEX($AM$7:$AW$7,MATCH(1,$AM362:$AW362,0)),IF(BF362="Multiple strategies","mixed drivers",IF(BF362="Supply chain","multiple supply","multiple silviculture"))))</f>
        <v>mixed drivers</v>
      </c>
      <c r="BF362" s="2" t="str" cm="1">
        <f t="array" ref="BF362">IF(COUNTIF(AZ362:BB362,"&lt;&gt;0")=1,INDEX($V$4:$AW$4,MATCH(TRUE,INDEX($V362:$AW362&lt;&gt;0,),0)),IF(COUNTIF(AZ362:BB362,"&lt;&gt;0")=0,INDEX($AM$4:$AW$4,MATCH(1,$AM362:$AW362,0)),"Multiple strategies"))</f>
        <v>Multiple strategies</v>
      </c>
      <c r="BG362" s="1" t="s">
        <v>321</v>
      </c>
      <c r="BH362" t="s">
        <v>1112</v>
      </c>
      <c r="BI362"/>
      <c r="BJ362" t="s">
        <v>1113</v>
      </c>
      <c r="BK362">
        <v>2.5</v>
      </c>
      <c r="BL362">
        <v>3.2</v>
      </c>
      <c r="BM362" s="264">
        <f>BL362/BK362</f>
        <v>1.28</v>
      </c>
      <c r="BN362">
        <f>BL362-BK362</f>
        <v>0.70000000000000018</v>
      </c>
      <c r="BO362">
        <f>BN362</f>
        <v>0.70000000000000018</v>
      </c>
      <c r="BP362" s="264" t="s">
        <v>232</v>
      </c>
      <c r="BQ362" s="264"/>
      <c r="BR362" t="s">
        <v>1114</v>
      </c>
      <c r="BS362">
        <v>-1.1299999999999999</v>
      </c>
      <c r="BT362">
        <v>-2.5</v>
      </c>
      <c r="BU362" s="144">
        <f>IFERROR(BT362/BS362,"")</f>
        <v>2.2123893805309738</v>
      </c>
      <c r="BV362">
        <f>BT362-BS362</f>
        <v>-1.37</v>
      </c>
      <c r="BW362"/>
      <c r="BX362">
        <f>BV362/10^3</f>
        <v>-1.3700000000000001E-3</v>
      </c>
      <c r="BY362">
        <f>IFERROR(BX362/BO362,"")</f>
        <v>-1.9571428571428569E-3</v>
      </c>
      <c r="BZ362">
        <v>0</v>
      </c>
      <c r="CA362">
        <v>0</v>
      </c>
      <c r="CB362">
        <v>0</v>
      </c>
      <c r="CC362">
        <v>0</v>
      </c>
      <c r="CD362">
        <v>0</v>
      </c>
      <c r="CE362">
        <v>0</v>
      </c>
      <c r="CF362">
        <v>0</v>
      </c>
      <c r="CG362">
        <v>0</v>
      </c>
      <c r="CH362">
        <v>0</v>
      </c>
      <c r="CI362">
        <v>0</v>
      </c>
      <c r="CJ362">
        <v>0</v>
      </c>
      <c r="CK362">
        <v>0</v>
      </c>
      <c r="CL362">
        <v>0</v>
      </c>
      <c r="CM362">
        <v>0</v>
      </c>
      <c r="CN362" t="str">
        <f>IF($BL362&lt;$BK362,"refNeedCorrection","refOK")</f>
        <v>refOK</v>
      </c>
      <c r="CO362">
        <f>IF($CN362="refOK",$BK362,$BL362)</f>
        <v>2.5</v>
      </c>
      <c r="CP362">
        <f>IF($CN362="refOK",$BL362,$BK362)</f>
        <v>3.2</v>
      </c>
      <c r="CQ362">
        <f>IF($CN362="refOK",$BO362,-$BO362)</f>
        <v>0.70000000000000018</v>
      </c>
      <c r="CR362">
        <f>IF($CN362="refOK",$BS362,$BT362)*IF($BP362="Emissions positive",-1,1)</f>
        <v>-1.1299999999999999</v>
      </c>
      <c r="CS362">
        <f>IF($CN362="refOK",$BT362,$BS362)*IF($BP362="Emissions positive",-1,1)</f>
        <v>-2.5</v>
      </c>
      <c r="CT362">
        <f>IF($CN362="refNeedCorrection",-BX362,BX362)*IF($BP362="Emissions positive",-1,1)</f>
        <v>-1.3700000000000001E-3</v>
      </c>
      <c r="CU362">
        <f>IFERROR(CT362/CQ362,"")</f>
        <v>-1.9571428571428569E-3</v>
      </c>
      <c r="CV362" s="2">
        <f>IFERROR((CS362-CR362)/ABS(CR362),"")</f>
        <v>-1.2123893805309736</v>
      </c>
      <c r="CW362" s="1" t="s">
        <v>234</v>
      </c>
      <c r="CX362" s="264" t="str">
        <f>IF(OR($CW362="prd",$CW362="std",$CW362="cit"),"loc",IF(OR($CW362="eur",$CW362="reg",$CW362="coy"),"reg",$CW362))</f>
        <v>loc</v>
      </c>
      <c r="CY362" t="s">
        <v>235</v>
      </c>
      <c r="CZ362">
        <v>2001</v>
      </c>
      <c r="DA362">
        <v>2100</v>
      </c>
      <c r="DB362">
        <v>100</v>
      </c>
      <c r="DC362" t="str">
        <f>IF(DB362=0,"0",IF(AND(DB362&gt;=1,DB362&lt;=30),"1-30",IF(AND(DB362&gt;30,DB362&lt;=70),"31-70",IF(AND(DB362&gt;70,DB362&lt;=100),"71-100",IF(DB362&gt;100,"+100")))))</f>
        <v>71-100</v>
      </c>
      <c r="DD362">
        <v>0</v>
      </c>
      <c r="DE362">
        <v>1</v>
      </c>
      <c r="DF362">
        <v>1</v>
      </c>
      <c r="DG362">
        <v>1</v>
      </c>
      <c r="DH362"/>
      <c r="DI362">
        <f>SUM(DD362:DG362)</f>
        <v>3</v>
      </c>
      <c r="DJ362" t="str">
        <f>IF(DI362=1,INDEX($DD$7:$DG$7,MATCH(1,$DD362:$DG362,0)),"mixedProduct")</f>
        <v>mixedProduct</v>
      </c>
      <c r="DK362">
        <f>IF(DD362=1,DK$7,0)</f>
        <v>0</v>
      </c>
      <c r="DL362" t="str">
        <f>IF(DE362=1,DL$7,0)</f>
        <v>Energy</v>
      </c>
      <c r="DM362" t="str">
        <f>IF(DF362=1,DM$7,0)</f>
        <v>Pulp/Paper</v>
      </c>
      <c r="DN362" t="str">
        <f>IF(DG362=1,DN$7,0)</f>
        <v>Timber</v>
      </c>
      <c r="DO362">
        <v>1</v>
      </c>
      <c r="DP362">
        <v>0</v>
      </c>
      <c r="DQ362">
        <v>0</v>
      </c>
      <c r="DR362">
        <v>0</v>
      </c>
      <c r="DS362">
        <v>0</v>
      </c>
      <c r="DT362">
        <f>SUM(DO362:DP362)</f>
        <v>1</v>
      </c>
      <c r="DU362" s="143" t="str">
        <f>IF(DO362=1,"self-calculated DF",IF(DP362=1,"external DF used","explicit C balance"))</f>
        <v>self-calculated DF</v>
      </c>
      <c r="DV362">
        <v>1</v>
      </c>
      <c r="DW362">
        <v>1</v>
      </c>
      <c r="DX362">
        <v>1</v>
      </c>
      <c r="DY362">
        <v>0</v>
      </c>
      <c r="DZ362">
        <v>0</v>
      </c>
      <c r="EA362" s="143">
        <v>0</v>
      </c>
      <c r="EB362">
        <v>1</v>
      </c>
      <c r="EC362">
        <v>1</v>
      </c>
      <c r="ED362">
        <v>0</v>
      </c>
      <c r="EE362">
        <v>0</v>
      </c>
      <c r="EF362">
        <v>1</v>
      </c>
      <c r="EG362">
        <v>1</v>
      </c>
      <c r="EH362">
        <v>0</v>
      </c>
      <c r="EI362" s="2">
        <v>0</v>
      </c>
      <c r="EJ362" s="1"/>
      <c r="EK362" t="str">
        <f>IF(AND(AND(AND(OR($DX362=1,$DW362=1),OR($EC362=1,$EA362=1)),SUM($DV362:$DZ362,$EF362)&gt;=4),SUM($EA362:$EE362)&gt;=2),"Whole sector","")</f>
        <v>Whole sector</v>
      </c>
      <c r="EL362" t="str">
        <f>IF(AND(AND(OR($DX362=1,$DW362=1),AND($EC362=0,$EA362=0)),SUM($DV362:$DZ362,$EF362)&gt;=4),"Ecosystem approach","")</f>
        <v/>
      </c>
      <c r="EM362" s="2" t="str">
        <f>IF(AND(AND(AND($DX362=0,$DW362=0),OR($EC362=1,$EA362=1)),SUM($EB362:$EE362)&gt;=2),"Technology approach","")</f>
        <v/>
      </c>
      <c r="EN362"/>
      <c r="EO362"/>
      <c r="EP362" t="str">
        <f>IF(ISNUMBER(BU362),IF(ABS(BU362-[3]QC_indicators!$B$2)&gt;3*[3]QC_indicators!$C$2,"C ratio",IF(ISNUMBER(BY362),IF(ABS(BY362-[3]QC_indicators!$B$1)&gt;3*[3]QC_indicators!$C$1,"DF","no"))),IF(ISNUMBER(BY362),IF(ABS(BY362-[3]QC_indicators!$B$1)&gt;3*[3]QC_indicators!$C$1,"DF","no")))</f>
        <v>no</v>
      </c>
      <c r="EQ362"/>
      <c r="ER362" s="294" t="s">
        <v>349</v>
      </c>
      <c r="ES362"/>
      <c r="ET362" s="264" t="s">
        <v>3407</v>
      </c>
      <c r="EU362"/>
    </row>
    <row r="363" spans="1:151" s="139" customFormat="1" ht="15" customHeight="1">
      <c r="A363" s="1" t="s">
        <v>599</v>
      </c>
      <c r="B363" t="s">
        <v>600</v>
      </c>
      <c r="C363" t="s">
        <v>601</v>
      </c>
      <c r="D363" t="s">
        <v>602</v>
      </c>
      <c r="E363" t="s">
        <v>603</v>
      </c>
      <c r="F363" t="s">
        <v>604</v>
      </c>
      <c r="G363" t="s">
        <v>605</v>
      </c>
      <c r="H363" t="s">
        <v>254</v>
      </c>
      <c r="I363">
        <v>2022</v>
      </c>
      <c r="J363">
        <v>15</v>
      </c>
      <c r="K363" t="s">
        <v>606</v>
      </c>
      <c r="L363"/>
      <c r="M363" t="str">
        <f>LEFT($D363,FIND(",",$D363)-1)&amp;"_"&amp;I363&amp;L363</f>
        <v>Dani_2022</v>
      </c>
      <c r="N363" t="s">
        <v>222</v>
      </c>
      <c r="O363" s="145" t="s">
        <v>223</v>
      </c>
      <c r="P363"/>
      <c r="Q363" t="s">
        <v>389</v>
      </c>
      <c r="R363" s="255" t="s">
        <v>225</v>
      </c>
      <c r="S363" s="1" t="s">
        <v>607</v>
      </c>
      <c r="T363" t="s">
        <v>608</v>
      </c>
      <c r="U363" t="s">
        <v>609</v>
      </c>
      <c r="V363">
        <v>0</v>
      </c>
      <c r="W363">
        <v>0</v>
      </c>
      <c r="X363">
        <v>0</v>
      </c>
      <c r="Y363">
        <v>0</v>
      </c>
      <c r="Z363">
        <v>0</v>
      </c>
      <c r="AA363">
        <v>0</v>
      </c>
      <c r="AB363">
        <v>0</v>
      </c>
      <c r="AC363">
        <v>0</v>
      </c>
      <c r="AD363">
        <v>0</v>
      </c>
      <c r="AE363">
        <v>0</v>
      </c>
      <c r="AF363">
        <v>0</v>
      </c>
      <c r="AG363">
        <v>0</v>
      </c>
      <c r="AH363">
        <v>0</v>
      </c>
      <c r="AI363">
        <v>0</v>
      </c>
      <c r="AJ363">
        <v>0</v>
      </c>
      <c r="AK363">
        <v>1</v>
      </c>
      <c r="AL363">
        <v>0</v>
      </c>
      <c r="AM363">
        <v>0</v>
      </c>
      <c r="AN363">
        <v>0</v>
      </c>
      <c r="AO363">
        <v>0</v>
      </c>
      <c r="AP363">
        <v>0</v>
      </c>
      <c r="AQ363">
        <v>0</v>
      </c>
      <c r="AR363">
        <v>0</v>
      </c>
      <c r="AS363">
        <v>0</v>
      </c>
      <c r="AT363">
        <v>0</v>
      </c>
      <c r="AU363">
        <v>0</v>
      </c>
      <c r="AV363">
        <v>0</v>
      </c>
      <c r="AW363">
        <v>0</v>
      </c>
      <c r="AX363" s="141">
        <f>COUNTIF(V363:AW363,"&lt;&gt;0")</f>
        <v>1</v>
      </c>
      <c r="AY363" s="141">
        <f>COUNTIF(V363:AL363,"&lt;&gt;0")</f>
        <v>1</v>
      </c>
      <c r="AZ363">
        <f>COUNTIF(V363:AC363,"&lt;&gt;0")</f>
        <v>0</v>
      </c>
      <c r="BA363">
        <f>COUNTIF(AD363:AI363,"&lt;&gt;0")</f>
        <v>0</v>
      </c>
      <c r="BB363">
        <f>COUNTIF(AJ363:AL363,"&lt;&gt;0")</f>
        <v>1</v>
      </c>
      <c r="BC363">
        <f>COUNTIF(AS363:AW363,"&lt;&gt;0")</f>
        <v>0</v>
      </c>
      <c r="BD363">
        <f>COUNTIF(AM363:AR363,"&lt;&gt;0")</f>
        <v>0</v>
      </c>
      <c r="BE363" t="str">
        <f t="array" ref="BE363">IF(AY363=1,INDEX($V$7:$AL$7,MATCH(TRUE,INDEX($V363:$AW363&lt;&gt;0,),0)),IF(AY363=0,INDEX($AM$7:$AW$7,MATCH(1,$AM363:$AW363,0)),IF(BF363="Multiple strategies","mixed drivers",IF(BF363="Supply chain","multiple supply","multiple silviculture"))))</f>
        <v>technologies/design switch</v>
      </c>
      <c r="BF363" s="2" t="str" cm="1">
        <f t="array" ref="BF363">IF(COUNTIF(AZ363:BB363,"&lt;&gt;0")=1,INDEX($V$4:$AW$4,MATCH(TRUE,INDEX($V363:$AW363&lt;&gt;0,),0)),IF(COUNTIF(AZ363:BB363,"&lt;&gt;0")=0,INDEX($AM$4:$AW$4,MATCH(1,$AM363:$AW363,0)),"Multiple strategies"))</f>
        <v>Technology</v>
      </c>
      <c r="BG363" s="1" t="s">
        <v>229</v>
      </c>
      <c r="BH363" t="s">
        <v>610</v>
      </c>
      <c r="BI363" t="s">
        <v>424</v>
      </c>
      <c r="BJ363" t="s">
        <v>498</v>
      </c>
      <c r="BK363">
        <f>0.041+0.652</f>
        <v>0.69300000000000006</v>
      </c>
      <c r="BL363">
        <f>0.298+2.905+0.284+3.758+0.808+6.645+2.786+0.678</f>
        <v>18.161999999999999</v>
      </c>
      <c r="BM363"/>
      <c r="BN363">
        <f>BL363-BK363</f>
        <v>17.468999999999998</v>
      </c>
      <c r="BO363">
        <f>BN363</f>
        <v>17.468999999999998</v>
      </c>
      <c r="BP363" t="s">
        <v>395</v>
      </c>
      <c r="BQ363" s="302" t="s">
        <v>3303</v>
      </c>
      <c r="BR363" t="s">
        <v>612</v>
      </c>
      <c r="BS363">
        <f>146*0.27</f>
        <v>39.42</v>
      </c>
      <c r="BT363">
        <f>107*0.64</f>
        <v>68.48</v>
      </c>
      <c r="BU363" s="144">
        <f>IFERROR(BT363/BS363,"")</f>
        <v>1.7371892440385592</v>
      </c>
      <c r="BV363">
        <f>BT363-BS363</f>
        <v>29.060000000000002</v>
      </c>
      <c r="BW363"/>
      <c r="BX363">
        <f>BV363/1000</f>
        <v>2.9060000000000002E-2</v>
      </c>
      <c r="BY363">
        <f>IFERROR(BX363/BO363,"")</f>
        <v>1.6635182322972126E-3</v>
      </c>
      <c r="BZ363">
        <v>0</v>
      </c>
      <c r="CA363">
        <v>0</v>
      </c>
      <c r="CB363">
        <v>0</v>
      </c>
      <c r="CC363">
        <v>0</v>
      </c>
      <c r="CD363">
        <v>0</v>
      </c>
      <c r="CE363">
        <v>0</v>
      </c>
      <c r="CF363">
        <v>0</v>
      </c>
      <c r="CG363">
        <v>0</v>
      </c>
      <c r="CH363">
        <v>0</v>
      </c>
      <c r="CI363">
        <v>0</v>
      </c>
      <c r="CJ363">
        <v>0</v>
      </c>
      <c r="CK363">
        <v>0</v>
      </c>
      <c r="CL363">
        <v>0</v>
      </c>
      <c r="CM363">
        <v>0</v>
      </c>
      <c r="CN363" t="str">
        <f>IF($BL363&lt;$BK363,"refNeedCorrection","refOK")</f>
        <v>refOK</v>
      </c>
      <c r="CO363"/>
      <c r="CP363"/>
      <c r="CQ363">
        <f>IF($CN363="refOK",$BO363,-$BO363)</f>
        <v>17.468999999999998</v>
      </c>
      <c r="CR363">
        <f>IF($CN363="refOK",$BS363,$BT363)*IF($BP363="Emissions positive",-1,1)</f>
        <v>-39.42</v>
      </c>
      <c r="CS363">
        <f>IF($CN363="refOK",$BT363,$BS363)*IF($BP363="Emissions positive",-1,1)</f>
        <v>-68.48</v>
      </c>
      <c r="CT363">
        <f>IF($CN363="refNeedCorrection",-BX363,BX363)*IF($BP363="Emissions positive",-1,1)</f>
        <v>-2.9060000000000002E-2</v>
      </c>
      <c r="CU363">
        <f>IFERROR(CT363/CQ363,"")</f>
        <v>-1.6635182322972126E-3</v>
      </c>
      <c r="CV363" s="2">
        <f>IFERROR((CS363-CR363)/ABS(CR363),"")</f>
        <v>-0.73718924403855912</v>
      </c>
      <c r="CW363" s="1" t="s">
        <v>263</v>
      </c>
      <c r="CX363" t="str">
        <f>IF(OR($CW363="prd",$CW363="std",$CW363="cit"),"loc",IF(OR($CW363="eur",$CW363="reg",$CW363="coy"),"reg",$CW363))</f>
        <v>loc</v>
      </c>
      <c r="CY363" t="s">
        <v>613</v>
      </c>
      <c r="CZ363"/>
      <c r="DA363"/>
      <c r="DB363">
        <v>0</v>
      </c>
      <c r="DC363" t="str">
        <f>IF(DB363=0,"0",IF(AND(DB363&gt;=1,DB363&lt;=30),"1-30",IF(AND(DB363&gt;30,DB363&lt;=70),"31-70",IF(AND(DB363&gt;70,DB363&lt;=100),"71-100",IF(DB363&gt;100,"+100")))))</f>
        <v>0</v>
      </c>
      <c r="DD363">
        <v>0</v>
      </c>
      <c r="DE363">
        <v>0</v>
      </c>
      <c r="DF363">
        <v>0</v>
      </c>
      <c r="DG363">
        <v>1</v>
      </c>
      <c r="DH363">
        <v>0</v>
      </c>
      <c r="DI363">
        <f>SUM(DD363:DH363)</f>
        <v>1</v>
      </c>
      <c r="DJ363" t="str">
        <f>IF(DI363=1,INDEX($DD$7:$DG$7,MATCH(1,$DD363:$DG363,0)),"mixedProduct")</f>
        <v>TimberInput</v>
      </c>
      <c r="DK363">
        <f>IF(DD363=1,DK$7,0)</f>
        <v>0</v>
      </c>
      <c r="DL363">
        <f>IF(DE363=1,DL$7,0)</f>
        <v>0</v>
      </c>
      <c r="DM363">
        <f>IF(DF363=1,DM$7,0)</f>
        <v>0</v>
      </c>
      <c r="DN363" t="str">
        <f>IF(DG363=1,DN$7,0)</f>
        <v>Timber</v>
      </c>
      <c r="DO363">
        <v>0</v>
      </c>
      <c r="DP363">
        <v>0</v>
      </c>
      <c r="DQ363">
        <v>0</v>
      </c>
      <c r="DR363">
        <v>0</v>
      </c>
      <c r="DS363">
        <v>0</v>
      </c>
      <c r="DT363">
        <f>SUM(DO363:DP363)</f>
        <v>0</v>
      </c>
      <c r="DU363" t="str">
        <f>IF(DO363=1,"self-calculated DF",IF(DP363=1,"external DF used","explicit C balance"))</f>
        <v>explicit C balance</v>
      </c>
      <c r="DV363">
        <v>0</v>
      </c>
      <c r="DW363">
        <v>0</v>
      </c>
      <c r="DX363">
        <v>0</v>
      </c>
      <c r="DY363">
        <v>0</v>
      </c>
      <c r="DZ363">
        <v>0</v>
      </c>
      <c r="EA363" s="143">
        <v>0</v>
      </c>
      <c r="EB363">
        <v>0</v>
      </c>
      <c r="EC363">
        <v>0</v>
      </c>
      <c r="ED363">
        <v>0</v>
      </c>
      <c r="EE363">
        <v>1</v>
      </c>
      <c r="EF363">
        <v>0</v>
      </c>
      <c r="EG363">
        <v>0</v>
      </c>
      <c r="EH363">
        <v>0</v>
      </c>
      <c r="EI363" s="2">
        <v>0</v>
      </c>
      <c r="EJ363" s="1"/>
      <c r="EK363" t="str">
        <f>IF(AND(AND(AND(OR($DX363=1,$DW363=1),OR($EC363=1,$EA363=1)),SUM($DV363:$DZ363,$EF363)&gt;=4),SUM($EA363:$EE363)&gt;=2),"Whole sector","")</f>
        <v/>
      </c>
      <c r="EL363" t="str">
        <f>IF(AND(AND(OR($DX363=1,$DW363=1),AND($EC363=0,$EA363=0)),SUM($DV363:$DZ363,$EF363)&gt;=4),"Ecosystem approach","")</f>
        <v/>
      </c>
      <c r="EM363" s="2" t="str">
        <f>IF(AND(AND(AND($DX363=0,$DW363=0),OR($EC363=1,$EA363=1)),SUM($EB363:$EE363)&gt;=2),"Technology approach","")</f>
        <v/>
      </c>
      <c r="EN363"/>
      <c r="EO363"/>
      <c r="EP363" t="str">
        <f>IF(ISNUMBER(BU363),IF(ABS(BU363-[4]QC_indicators!$B$2)&gt;3*[4]QC_indicators!$C$2,"C ratio",IF(ISNUMBER(BY363),IF(ABS(BY363-[4]QC_indicators!$B$1)&gt;3*[4]QC_indicators!$C$1,"DF","no"))),IF(ISNUMBER(BY363),IF(ABS(BY363-[4]QC_indicators!$B$1)&gt;3*[4]QC_indicators!$C$1,"DF","no")))</f>
        <v>no</v>
      </c>
      <c r="EQ363"/>
      <c r="ER363"/>
      <c r="ES363"/>
      <c r="ET363" s="264" t="s">
        <v>3273</v>
      </c>
      <c r="EU363"/>
    </row>
    <row r="364" spans="1:151" s="139" customFormat="1" ht="15" customHeight="1">
      <c r="A364" s="1" t="s">
        <v>1102</v>
      </c>
      <c r="B364" t="s">
        <v>1103</v>
      </c>
      <c r="C364" t="s">
        <v>1104</v>
      </c>
      <c r="D364" t="s">
        <v>1105</v>
      </c>
      <c r="E364" t="s">
        <v>1106</v>
      </c>
      <c r="F364" t="s">
        <v>1107</v>
      </c>
      <c r="G364" t="s">
        <v>1108</v>
      </c>
      <c r="H364" t="s">
        <v>254</v>
      </c>
      <c r="I364">
        <v>2013</v>
      </c>
      <c r="J364">
        <v>11</v>
      </c>
      <c r="K364" t="s">
        <v>1109</v>
      </c>
      <c r="L364"/>
      <c r="M364" t="str">
        <f>LEFT($D364,FIND(",",$D364)-1)&amp;"_"&amp;I364&amp;L364</f>
        <v>Routa_2013</v>
      </c>
      <c r="N364" t="s">
        <v>222</v>
      </c>
      <c r="O364" s="145" t="s">
        <v>341</v>
      </c>
      <c r="P364"/>
      <c r="Q364" s="264" t="s">
        <v>256</v>
      </c>
      <c r="R364" s="269" t="s">
        <v>1154</v>
      </c>
      <c r="S364" s="1" t="s">
        <v>1120</v>
      </c>
      <c r="T364" t="e">
        <f>#REF!</f>
        <v>#REF!</v>
      </c>
      <c r="U364" t="s">
        <v>1111</v>
      </c>
      <c r="V364">
        <v>0</v>
      </c>
      <c r="W364">
        <v>0</v>
      </c>
      <c r="X364">
        <v>2</v>
      </c>
      <c r="Y364">
        <v>0</v>
      </c>
      <c r="Z364">
        <v>2</v>
      </c>
      <c r="AA364">
        <v>0</v>
      </c>
      <c r="AB364">
        <v>1</v>
      </c>
      <c r="AC364">
        <v>0</v>
      </c>
      <c r="AD364">
        <v>0</v>
      </c>
      <c r="AE364">
        <v>0</v>
      </c>
      <c r="AF364">
        <v>0</v>
      </c>
      <c r="AG364">
        <v>0</v>
      </c>
      <c r="AH364">
        <v>0</v>
      </c>
      <c r="AI364">
        <v>0</v>
      </c>
      <c r="AJ364">
        <v>2</v>
      </c>
      <c r="AK364">
        <v>0</v>
      </c>
      <c r="AL364">
        <v>2</v>
      </c>
      <c r="AM364">
        <v>0</v>
      </c>
      <c r="AN364">
        <v>0</v>
      </c>
      <c r="AO364">
        <v>0</v>
      </c>
      <c r="AP364">
        <v>0</v>
      </c>
      <c r="AQ364">
        <v>0</v>
      </c>
      <c r="AR364">
        <v>0</v>
      </c>
      <c r="AS364">
        <v>0</v>
      </c>
      <c r="AT364">
        <v>0</v>
      </c>
      <c r="AU364">
        <v>0</v>
      </c>
      <c r="AV364">
        <v>0</v>
      </c>
      <c r="AW364">
        <v>0</v>
      </c>
      <c r="AX364" s="141">
        <f>COUNTIF(V364:AW364,"&lt;&gt;0")</f>
        <v>5</v>
      </c>
      <c r="AY364" s="141">
        <f>COUNTIF(V364:AL364,"&lt;&gt;0")</f>
        <v>5</v>
      </c>
      <c r="AZ364">
        <f>COUNTIF(V364:AC364,"&lt;&gt;0")</f>
        <v>3</v>
      </c>
      <c r="BA364">
        <f>COUNTIF(AD364:AI364,"&lt;&gt;0")</f>
        <v>0</v>
      </c>
      <c r="BB364">
        <f>COUNTIF(AJ364:AL364,"&lt;&gt;0")</f>
        <v>2</v>
      </c>
      <c r="BC364">
        <f>COUNTIF(AS364:AW364,"&lt;&gt;0")</f>
        <v>0</v>
      </c>
      <c r="BD364">
        <f>COUNTIF(AM364:AR364,"&lt;&gt;0")</f>
        <v>0</v>
      </c>
      <c r="BE364" t="str" cm="1">
        <f t="array" ref="BE364">IF(AY364=1,INDEX($V$7:$AL$7,MATCH(TRUE,INDEX($V364:$AW364&lt;&gt;0,),0)),IF(AY364=0,INDEX($AM$7:$AW$7,MATCH(1,$AM364:$AW364,0)),IF(BF364="Multiple strategies","mixed drivers",IF(BF364="Supply chain","multiple supply","multiple silviculture"))))</f>
        <v>mixed drivers</v>
      </c>
      <c r="BF364" s="2" t="str" cm="1">
        <f t="array" ref="BF364">IF(COUNTIF(AZ364:BB364,"&lt;&gt;0")=1,INDEX($V$4:$AW$4,MATCH(TRUE,INDEX($V364:$AW364&lt;&gt;0,),0)),IF(COUNTIF(AZ364:BB364,"&lt;&gt;0")=0,INDEX($AM$4:$AW$4,MATCH(1,$AM364:$AW364,0)),"Multiple strategies"))</f>
        <v>Multiple strategies</v>
      </c>
      <c r="BG364" s="1" t="s">
        <v>321</v>
      </c>
      <c r="BH364" t="s">
        <v>1112</v>
      </c>
      <c r="BI364"/>
      <c r="BJ364" t="s">
        <v>1113</v>
      </c>
      <c r="BK364">
        <v>2.2999999999999998</v>
      </c>
      <c r="BL364">
        <v>3.2</v>
      </c>
      <c r="BM364" s="264">
        <f>BL364/BK364</f>
        <v>1.3913043478260871</v>
      </c>
      <c r="BN364">
        <f>BL364-BK364</f>
        <v>0.90000000000000036</v>
      </c>
      <c r="BO364">
        <f>BN364</f>
        <v>0.90000000000000036</v>
      </c>
      <c r="BP364" s="264" t="s">
        <v>232</v>
      </c>
      <c r="BQ364" s="264"/>
      <c r="BR364" t="s">
        <v>1114</v>
      </c>
      <c r="BS364">
        <v>-1.17</v>
      </c>
      <c r="BT364">
        <v>-2.5</v>
      </c>
      <c r="BU364" s="144">
        <f>IFERROR(BT364/BS364,"")</f>
        <v>2.1367521367521367</v>
      </c>
      <c r="BV364">
        <f>BT364-BS364</f>
        <v>-1.33</v>
      </c>
      <c r="BW364"/>
      <c r="BX364">
        <f>BV364/10^3</f>
        <v>-1.33E-3</v>
      </c>
      <c r="BY364">
        <f>IFERROR(BX364/BO364,"")</f>
        <v>-1.4777777777777773E-3</v>
      </c>
      <c r="BZ364">
        <v>0</v>
      </c>
      <c r="CA364">
        <v>0</v>
      </c>
      <c r="CB364">
        <v>0</v>
      </c>
      <c r="CC364">
        <v>0</v>
      </c>
      <c r="CD364">
        <v>0</v>
      </c>
      <c r="CE364">
        <v>0</v>
      </c>
      <c r="CF364">
        <v>0</v>
      </c>
      <c r="CG364">
        <v>0</v>
      </c>
      <c r="CH364">
        <v>0</v>
      </c>
      <c r="CI364">
        <v>0</v>
      </c>
      <c r="CJ364">
        <v>0</v>
      </c>
      <c r="CK364">
        <v>0</v>
      </c>
      <c r="CL364">
        <v>0</v>
      </c>
      <c r="CM364">
        <v>0</v>
      </c>
      <c r="CN364" t="str">
        <f>IF($BL364&lt;$BK364,"refNeedCorrection","refOK")</f>
        <v>refOK</v>
      </c>
      <c r="CO364">
        <f>IF($CN364="refOK",$BK364,$BL364)</f>
        <v>2.2999999999999998</v>
      </c>
      <c r="CP364">
        <f>IF($CN364="refOK",$BL364,$BK364)</f>
        <v>3.2</v>
      </c>
      <c r="CQ364">
        <f>IF($CN364="refOK",$BO364,-$BO364)</f>
        <v>0.90000000000000036</v>
      </c>
      <c r="CR364">
        <f>IF($CN364="refOK",$BS364,$BT364)*IF($BP364="Emissions positive",-1,1)</f>
        <v>-1.17</v>
      </c>
      <c r="CS364">
        <f>IF($CN364="refOK",$BT364,$BS364)*IF($BP364="Emissions positive",-1,1)</f>
        <v>-2.5</v>
      </c>
      <c r="CT364">
        <f>IF($CN364="refNeedCorrection",-BX364,BX364)*IF($BP364="Emissions positive",-1,1)</f>
        <v>-1.33E-3</v>
      </c>
      <c r="CU364">
        <f>IFERROR(CT364/CQ364,"")</f>
        <v>-1.4777777777777773E-3</v>
      </c>
      <c r="CV364" s="2">
        <f>IFERROR((CS364-CR364)/ABS(CR364),"")</f>
        <v>-1.1367521367521369</v>
      </c>
      <c r="CW364" s="1" t="s">
        <v>234</v>
      </c>
      <c r="CX364" s="264" t="str">
        <f>IF(OR($CW364="prd",$CW364="std",$CW364="cit"),"loc",IF(OR($CW364="eur",$CW364="reg",$CW364="coy"),"reg",$CW364))</f>
        <v>loc</v>
      </c>
      <c r="CY364" t="s">
        <v>235</v>
      </c>
      <c r="CZ364">
        <v>2001</v>
      </c>
      <c r="DA364">
        <v>2100</v>
      </c>
      <c r="DB364">
        <v>100</v>
      </c>
      <c r="DC364" t="str">
        <f>IF(DB364=0,"0",IF(AND(DB364&gt;=1,DB364&lt;=30),"1-30",IF(AND(DB364&gt;30,DB364&lt;=70),"31-70",IF(AND(DB364&gt;70,DB364&lt;=100),"71-100",IF(DB364&gt;100,"+100")))))</f>
        <v>71-100</v>
      </c>
      <c r="DD364">
        <v>0</v>
      </c>
      <c r="DE364">
        <v>1</v>
      </c>
      <c r="DF364">
        <v>1</v>
      </c>
      <c r="DG364">
        <v>1</v>
      </c>
      <c r="DH364"/>
      <c r="DI364">
        <f>SUM(DD364:DG364)</f>
        <v>3</v>
      </c>
      <c r="DJ364" t="str">
        <f>IF(DI364=1,INDEX($DD$7:$DG$7,MATCH(1,$DD364:$DG364,0)),"mixedProduct")</f>
        <v>mixedProduct</v>
      </c>
      <c r="DK364">
        <f>IF(DD364=1,DK$7,0)</f>
        <v>0</v>
      </c>
      <c r="DL364" t="str">
        <f>IF(DE364=1,DL$7,0)</f>
        <v>Energy</v>
      </c>
      <c r="DM364" t="str">
        <f>IF(DF364=1,DM$7,0)</f>
        <v>Pulp/Paper</v>
      </c>
      <c r="DN364" t="str">
        <f>IF(DG364=1,DN$7,0)</f>
        <v>Timber</v>
      </c>
      <c r="DO364">
        <v>1</v>
      </c>
      <c r="DP364">
        <v>0</v>
      </c>
      <c r="DQ364">
        <v>0</v>
      </c>
      <c r="DR364">
        <v>0</v>
      </c>
      <c r="DS364">
        <v>0</v>
      </c>
      <c r="DT364">
        <f>SUM(DO364:DP364)</f>
        <v>1</v>
      </c>
      <c r="DU364" s="143" t="str">
        <f>IF(DO364=1,"self-calculated DF",IF(DP364=1,"external DF used","explicit C balance"))</f>
        <v>self-calculated DF</v>
      </c>
      <c r="DV364">
        <v>1</v>
      </c>
      <c r="DW364">
        <v>1</v>
      </c>
      <c r="DX364">
        <v>1</v>
      </c>
      <c r="DY364">
        <v>0</v>
      </c>
      <c r="DZ364">
        <v>0</v>
      </c>
      <c r="EA364" s="143">
        <v>0</v>
      </c>
      <c r="EB364">
        <v>1</v>
      </c>
      <c r="EC364">
        <v>1</v>
      </c>
      <c r="ED364">
        <v>0</v>
      </c>
      <c r="EE364">
        <v>0</v>
      </c>
      <c r="EF364">
        <v>1</v>
      </c>
      <c r="EG364">
        <v>1</v>
      </c>
      <c r="EH364">
        <v>0</v>
      </c>
      <c r="EI364" s="2">
        <v>0</v>
      </c>
      <c r="EJ364" s="1"/>
      <c r="EK364" t="str">
        <f>IF(AND(AND(AND(OR($DX364=1,$DW364=1),OR($EC364=1,$EA364=1)),SUM($DV364:$DZ364,$EF364)&gt;=4),SUM($EA364:$EE364)&gt;=2),"Whole sector","")</f>
        <v>Whole sector</v>
      </c>
      <c r="EL364" t="str">
        <f>IF(AND(AND(OR($DX364=1,$DW364=1),AND($EC364=0,$EA364=0)),SUM($DV364:$DZ364,$EF364)&gt;=4),"Ecosystem approach","")</f>
        <v/>
      </c>
      <c r="EM364" s="2" t="str">
        <f>IF(AND(AND(AND($DX364=0,$DW364=0),OR($EC364=1,$EA364=1)),SUM($EB364:$EE364)&gt;=2),"Technology approach","")</f>
        <v/>
      </c>
      <c r="EN364"/>
      <c r="EO364"/>
      <c r="EP364" t="str">
        <f>IF(ISNUMBER(BU364),IF(ABS(BU364-[3]QC_indicators!$B$2)&gt;3*[3]QC_indicators!$C$2,"C ratio",IF(ISNUMBER(BY364),IF(ABS(BY364-[3]QC_indicators!$B$1)&gt;3*[3]QC_indicators!$C$1,"DF","no"))),IF(ISNUMBER(BY364),IF(ABS(BY364-[3]QC_indicators!$B$1)&gt;3*[3]QC_indicators!$C$1,"DF","no")))</f>
        <v>no</v>
      </c>
      <c r="EQ364"/>
      <c r="ER364" s="294" t="s">
        <v>349</v>
      </c>
      <c r="ES364"/>
      <c r="ET364" s="264" t="s">
        <v>3407</v>
      </c>
      <c r="EU364"/>
    </row>
    <row r="365" spans="1:151" s="139" customFormat="1" ht="15" customHeight="1">
      <c r="A365" s="1" t="s">
        <v>587</v>
      </c>
      <c r="B365" t="s">
        <v>1448</v>
      </c>
      <c r="C365" t="s">
        <v>1449</v>
      </c>
      <c r="D365" t="s">
        <v>1450</v>
      </c>
      <c r="E365" t="s">
        <v>1451</v>
      </c>
      <c r="F365" t="s">
        <v>1452</v>
      </c>
      <c r="G365" t="s">
        <v>593</v>
      </c>
      <c r="H365" t="s">
        <v>254</v>
      </c>
      <c r="I365">
        <v>2020</v>
      </c>
      <c r="J365">
        <v>12</v>
      </c>
      <c r="K365" t="s">
        <v>1453</v>
      </c>
      <c r="L365"/>
      <c r="M365" t="str">
        <f>LEFT($D365,FIND(",",$D365)-1)&amp;"_"&amp;I365&amp;L365</f>
        <v>Elisa_2020</v>
      </c>
      <c r="N365" s="264" t="s">
        <v>222</v>
      </c>
      <c r="O365" s="171" t="s">
        <v>274</v>
      </c>
      <c r="P365" t="s">
        <v>223</v>
      </c>
      <c r="Q365" s="264" t="s">
        <v>389</v>
      </c>
      <c r="R365" s="269" t="s">
        <v>1154</v>
      </c>
      <c r="S365" s="154" t="s">
        <v>1454</v>
      </c>
      <c r="T365" s="294" t="s">
        <v>1455</v>
      </c>
      <c r="U365" s="143" t="s">
        <v>1503</v>
      </c>
      <c r="V365">
        <v>0</v>
      </c>
      <c r="W365">
        <v>0</v>
      </c>
      <c r="X365">
        <v>0</v>
      </c>
      <c r="Y365">
        <v>0</v>
      </c>
      <c r="Z365">
        <v>0</v>
      </c>
      <c r="AA365">
        <v>0</v>
      </c>
      <c r="AB365">
        <v>0</v>
      </c>
      <c r="AC365">
        <v>0</v>
      </c>
      <c r="AD365">
        <v>0</v>
      </c>
      <c r="AE365">
        <v>1</v>
      </c>
      <c r="AF365">
        <v>0</v>
      </c>
      <c r="AG365">
        <v>0</v>
      </c>
      <c r="AH365">
        <v>0</v>
      </c>
      <c r="AI365">
        <v>0</v>
      </c>
      <c r="AJ365">
        <v>0</v>
      </c>
      <c r="AK365">
        <v>1</v>
      </c>
      <c r="AL365">
        <v>0</v>
      </c>
      <c r="AM365">
        <v>0</v>
      </c>
      <c r="AN365">
        <v>0</v>
      </c>
      <c r="AO365">
        <v>0</v>
      </c>
      <c r="AP365">
        <v>0</v>
      </c>
      <c r="AQ365">
        <v>0</v>
      </c>
      <c r="AR365">
        <v>0</v>
      </c>
      <c r="AS365">
        <v>0</v>
      </c>
      <c r="AT365">
        <v>0</v>
      </c>
      <c r="AU365">
        <v>0</v>
      </c>
      <c r="AV365">
        <v>0</v>
      </c>
      <c r="AW365">
        <v>0</v>
      </c>
      <c r="AX365" s="141">
        <f>COUNTIF(V365:AW365,"&lt;&gt;0")</f>
        <v>2</v>
      </c>
      <c r="AY365" s="141">
        <f>COUNTIF(V365:AL365,"&lt;&gt;0")</f>
        <v>2</v>
      </c>
      <c r="AZ365">
        <f>COUNTIF(V365:AC365,"&lt;&gt;0")</f>
        <v>0</v>
      </c>
      <c r="BA365">
        <f>COUNTIF(AD365:AI365,"&lt;&gt;0")</f>
        <v>1</v>
      </c>
      <c r="BB365">
        <f>COUNTIF(AJ365:AL365,"&lt;&gt;0")</f>
        <v>1</v>
      </c>
      <c r="BC365">
        <f>COUNTIF(AS365:AW365,"&lt;&gt;0")</f>
        <v>0</v>
      </c>
      <c r="BD365">
        <f>COUNTIF(AM365:AR365,"&lt;&gt;0")</f>
        <v>0</v>
      </c>
      <c r="BE365" t="str" cm="1">
        <f t="array" ref="BE365">IF(AY365=1,INDEX($V$7:$AL$7,MATCH(TRUE,INDEX($V365:$AW365&lt;&gt;0,),0)),IF(AY365=0,INDEX($AM$7:$AW$7,MATCH(1,$AM365:$AW365,0)),IF(BF365="Multiple strategies","mixed drivers",IF(BF365="Supply chain","multiple supply","multiple silviculture"))))</f>
        <v>mixed drivers</v>
      </c>
      <c r="BF365" s="2" t="str" cm="1">
        <f t="array" ref="BF365">IF(COUNTIF(AZ365:BB365,"&lt;&gt;0")=1,INDEX($V$4:$AW$4,MATCH(TRUE,INDEX($V365:$AW365&lt;&gt;0,),0)),IF(COUNTIF(AZ365:BB365,"&lt;&gt;0")=0,INDEX($AM$4:$AW$4,MATCH(1,$AM365:$AW365,0)),"Multiple strategies"))</f>
        <v>Multiple strategies</v>
      </c>
      <c r="BG365" s="142" t="s">
        <v>321</v>
      </c>
      <c r="BH365" s="160" t="s">
        <v>1457</v>
      </c>
      <c r="BI365" s="160" t="s">
        <v>1458</v>
      </c>
      <c r="BJ365" s="143" t="s">
        <v>498</v>
      </c>
      <c r="BK365" s="143">
        <v>944</v>
      </c>
      <c r="BL365" s="143">
        <v>170044</v>
      </c>
      <c r="BM365">
        <f>IFERROR(BL366/BK365,"")</f>
        <v>112.64936440677967</v>
      </c>
      <c r="BN365">
        <f>BL365-BK365</f>
        <v>169100</v>
      </c>
      <c r="BO365" s="159">
        <f>BN365</f>
        <v>169100</v>
      </c>
      <c r="BP365" s="155" t="s">
        <v>232</v>
      </c>
      <c r="BQ365" s="155" t="s">
        <v>1459</v>
      </c>
      <c r="BR365" s="155" t="s">
        <v>825</v>
      </c>
      <c r="BS365" s="143" t="s">
        <v>1460</v>
      </c>
      <c r="BT365" t="s">
        <v>1504</v>
      </c>
      <c r="BU365" s="144">
        <f>BT365/BS365</f>
        <v>29.643443083799468</v>
      </c>
      <c r="BV365">
        <f>BT365-BS365</f>
        <v>-201.02304916666702</v>
      </c>
      <c r="BW365"/>
      <c r="BX365">
        <f>BV365</f>
        <v>-201.02304916666702</v>
      </c>
      <c r="BY365">
        <f>IFERROR(BX365/BO365,"")</f>
        <v>-1.1887820766804673E-3</v>
      </c>
      <c r="BZ365">
        <v>0</v>
      </c>
      <c r="CA365">
        <v>0</v>
      </c>
      <c r="CB365">
        <v>0</v>
      </c>
      <c r="CC365">
        <v>0</v>
      </c>
      <c r="CD365">
        <v>0</v>
      </c>
      <c r="CE365">
        <v>0</v>
      </c>
      <c r="CF365">
        <v>0</v>
      </c>
      <c r="CG365">
        <v>0</v>
      </c>
      <c r="CH365">
        <v>0</v>
      </c>
      <c r="CI365">
        <v>0</v>
      </c>
      <c r="CJ365">
        <v>0</v>
      </c>
      <c r="CK365">
        <v>0</v>
      </c>
      <c r="CL365">
        <v>0</v>
      </c>
      <c r="CM365">
        <v>0</v>
      </c>
      <c r="CN365" t="str">
        <f>IF($BL365&lt;$BK365,"refNeedCorrection","refOK")</f>
        <v>refOK</v>
      </c>
      <c r="CO365">
        <f>IF($CN365="refOK",$BK365,$BL365)</f>
        <v>944</v>
      </c>
      <c r="CP365">
        <f>IF($CN365="refOK",$BL365,$BK365)</f>
        <v>170044</v>
      </c>
      <c r="CQ365">
        <f>IF($CN365="refOK",$BO365,-$BO365)</f>
        <v>169100</v>
      </c>
      <c r="CR365">
        <f>IF($CN365="refOK",$BS365,$BT365)*IF($BP365="Emissions positive",-1,1)</f>
        <v>-7.0181174999999998</v>
      </c>
      <c r="CS365">
        <f>IF($CN365="refOK",$BT365,$BS365)*IF($BP365="Emissions positive",-1,1)</f>
        <v>-208.04116666666701</v>
      </c>
      <c r="CT365">
        <f>IF($CN365="refNeedCorrection",-BX365,BX365)*IF($BP365="Emissions positive",-1,1)</f>
        <v>-201.02304916666702</v>
      </c>
      <c r="CU365">
        <f>IFERROR(CT365/CQ365,"")</f>
        <v>-1.1887820766804673E-3</v>
      </c>
      <c r="CV365" s="2">
        <f>IFERROR((CS365-CR365)/ABS(CR365),"")</f>
        <v>-28.643443083799472</v>
      </c>
      <c r="CW365" s="263" t="s">
        <v>1462</v>
      </c>
      <c r="CX365" s="264" t="str">
        <f>IF(OR($CW365="prd",$CW365="std",$CW365="cit"),"loc",IF(OR($CW365="eur",$CW365="reg",$CW365="coy"),"reg",$CW365))</f>
        <v>reg</v>
      </c>
      <c r="CY365" s="270" t="s">
        <v>743</v>
      </c>
      <c r="CZ365"/>
      <c r="DA365" s="143"/>
      <c r="DB365" s="143">
        <v>0</v>
      </c>
      <c r="DC365" t="str">
        <f>IF(DB365=0,"0",IF(AND(DB365&gt;=1,DB365&lt;=30),"1-30",IF(AND(DB365&gt;30,DB365&lt;=70),"31-70",IF(AND(DB365&gt;70,DB365&lt;=100),"71-100",IF(DB365&gt;100,"+100")))))</f>
        <v>0</v>
      </c>
      <c r="DD365">
        <v>0</v>
      </c>
      <c r="DE365">
        <v>1</v>
      </c>
      <c r="DF365">
        <v>0</v>
      </c>
      <c r="DG365">
        <v>0</v>
      </c>
      <c r="DH365">
        <v>0</v>
      </c>
      <c r="DI365">
        <f>SUM(DD365:DH365)</f>
        <v>1</v>
      </c>
      <c r="DJ365" t="str">
        <f>IF(DI365=1,INDEX($DD$7:$DG$7,MATCH(1,$DD365:$DG365,0)),"mixedProduct")</f>
        <v>EnergyInput</v>
      </c>
      <c r="DK365">
        <f>IF(DD365=1,DK$7,0)</f>
        <v>0</v>
      </c>
      <c r="DL365" t="str">
        <f>IF(DE365=1,DL$7,0)</f>
        <v>Energy</v>
      </c>
      <c r="DM365">
        <f>IF(DF365=1,DM$7,0)</f>
        <v>0</v>
      </c>
      <c r="DN365">
        <f>IF(DG365=1,DN$7,0)</f>
        <v>0</v>
      </c>
      <c r="DO365">
        <v>0</v>
      </c>
      <c r="DP365" s="143">
        <v>0</v>
      </c>
      <c r="DQ365" s="143">
        <v>0</v>
      </c>
      <c r="DR365">
        <v>0</v>
      </c>
      <c r="DS365" s="143">
        <v>0</v>
      </c>
      <c r="DT365">
        <f>SUM(DO365:DP365)</f>
        <v>0</v>
      </c>
      <c r="DU365" s="143" t="str">
        <f>IF(DO365=1,"self-calculated DF",IF(DP365=1,"external DF used","explicit C balance"))</f>
        <v>explicit C balance</v>
      </c>
      <c r="DV365" s="143">
        <v>0</v>
      </c>
      <c r="DW365" s="143">
        <v>0</v>
      </c>
      <c r="DX365" s="143">
        <v>0</v>
      </c>
      <c r="DY365" s="143">
        <v>0</v>
      </c>
      <c r="DZ365">
        <v>0</v>
      </c>
      <c r="EA365" s="143">
        <v>0</v>
      </c>
      <c r="EB365" s="143">
        <v>1</v>
      </c>
      <c r="EC365" s="143">
        <v>1</v>
      </c>
      <c r="ED365" s="143">
        <v>0</v>
      </c>
      <c r="EE365">
        <v>1</v>
      </c>
      <c r="EF365">
        <v>0</v>
      </c>
      <c r="EG365" s="143">
        <v>0</v>
      </c>
      <c r="EH365" s="143">
        <v>0</v>
      </c>
      <c r="EI365" s="2">
        <v>0</v>
      </c>
      <c r="EJ365" s="1"/>
      <c r="EK365" t="str">
        <f>IF(AND(AND(AND(OR($DX365=1,$DW365=1),OR($EC365=1,$EA365=1)),SUM($DV365:$DZ365,$EF365)&gt;=4),SUM($EA365:$EE365)&gt;=2),"Whole sector","")</f>
        <v/>
      </c>
      <c r="EL365" t="str">
        <f>IF(AND(AND(OR($DX365=1,$DW365=1),AND($EC365=0,$EA365=0)),SUM($DV365:$DZ365,$EF365)&gt;=4),"Ecosystem approach","")</f>
        <v/>
      </c>
      <c r="EM365" s="2" t="str">
        <f>IF(AND(AND(AND($DX365=0,$DW365=0),OR($EC365=1,$EA365=1)),SUM($EB365:$EE365)&gt;=2),"Technology approach","")</f>
        <v>Technology approach</v>
      </c>
      <c r="EN365"/>
      <c r="EO365"/>
      <c r="EP365" t="str">
        <f>IF(ISNUMBER(BU365),IF(ABS(BU365-[3]QC_indicators!$B$2)&gt;3*[3]QC_indicators!$C$2,"C ratio",IF(ISNUMBER(BY365),IF(ABS(BY365-[3]QC_indicators!$B$1)&gt;3*[3]QC_indicators!$C$1,"DF","no"))),IF(ISNUMBER(BY365),IF(ABS(BY365-[3]QC_indicators!$B$1)&gt;3*[3]QC_indicators!$C$1,"DF","no")))</f>
        <v>no</v>
      </c>
      <c r="EQ365"/>
      <c r="ER365" s="149"/>
      <c r="ES365"/>
      <c r="ET365" s="264" t="s">
        <v>3407</v>
      </c>
      <c r="EU365"/>
    </row>
    <row r="366" spans="1:151" s="139" customFormat="1" ht="15" customHeight="1">
      <c r="A366" s="1" t="s">
        <v>587</v>
      </c>
      <c r="B366" t="s">
        <v>1448</v>
      </c>
      <c r="C366" t="s">
        <v>1449</v>
      </c>
      <c r="D366" t="s">
        <v>1450</v>
      </c>
      <c r="E366" t="s">
        <v>1451</v>
      </c>
      <c r="F366" t="s">
        <v>1452</v>
      </c>
      <c r="G366" t="s">
        <v>593</v>
      </c>
      <c r="H366" t="s">
        <v>254</v>
      </c>
      <c r="I366">
        <v>2020</v>
      </c>
      <c r="J366">
        <v>12</v>
      </c>
      <c r="K366" t="s">
        <v>1453</v>
      </c>
      <c r="L366"/>
      <c r="M366" t="str">
        <f>LEFT($D366,FIND(",",$D366)-1)&amp;"_"&amp;I366&amp;L366</f>
        <v>Elisa_2020</v>
      </c>
      <c r="N366" s="264" t="s">
        <v>222</v>
      </c>
      <c r="O366" s="171" t="s">
        <v>274</v>
      </c>
      <c r="P366" t="s">
        <v>223</v>
      </c>
      <c r="Q366" s="264" t="s">
        <v>389</v>
      </c>
      <c r="R366" s="269" t="s">
        <v>1154</v>
      </c>
      <c r="S366" s="154" t="s">
        <v>1454</v>
      </c>
      <c r="T366" s="294" t="s">
        <v>1455</v>
      </c>
      <c r="U366" s="143" t="s">
        <v>1505</v>
      </c>
      <c r="V366">
        <v>0</v>
      </c>
      <c r="W366">
        <v>0</v>
      </c>
      <c r="X366">
        <v>0</v>
      </c>
      <c r="Y366">
        <v>0</v>
      </c>
      <c r="Z366">
        <v>0</v>
      </c>
      <c r="AA366">
        <v>0</v>
      </c>
      <c r="AB366">
        <v>0</v>
      </c>
      <c r="AC366">
        <v>0</v>
      </c>
      <c r="AD366">
        <v>0</v>
      </c>
      <c r="AE366">
        <v>1</v>
      </c>
      <c r="AF366">
        <v>0</v>
      </c>
      <c r="AG366">
        <v>0</v>
      </c>
      <c r="AH366">
        <v>0</v>
      </c>
      <c r="AI366">
        <v>0</v>
      </c>
      <c r="AJ366">
        <v>0</v>
      </c>
      <c r="AK366">
        <v>1</v>
      </c>
      <c r="AL366">
        <v>0</v>
      </c>
      <c r="AM366">
        <v>0</v>
      </c>
      <c r="AN366">
        <v>0</v>
      </c>
      <c r="AO366">
        <v>0</v>
      </c>
      <c r="AP366">
        <v>0</v>
      </c>
      <c r="AQ366">
        <v>0</v>
      </c>
      <c r="AR366">
        <v>0</v>
      </c>
      <c r="AS366">
        <v>0</v>
      </c>
      <c r="AT366">
        <v>0</v>
      </c>
      <c r="AU366">
        <v>0</v>
      </c>
      <c r="AV366">
        <v>0</v>
      </c>
      <c r="AW366">
        <v>0</v>
      </c>
      <c r="AX366" s="141">
        <f>COUNTIF(V366:AW366,"&lt;&gt;0")</f>
        <v>2</v>
      </c>
      <c r="AY366" s="141">
        <f>COUNTIF(V366:AL366,"&lt;&gt;0")</f>
        <v>2</v>
      </c>
      <c r="AZ366">
        <f>COUNTIF(V366:AC366,"&lt;&gt;0")</f>
        <v>0</v>
      </c>
      <c r="BA366">
        <f>COUNTIF(AD366:AI366,"&lt;&gt;0")</f>
        <v>1</v>
      </c>
      <c r="BB366">
        <f>COUNTIF(AJ366:AL366,"&lt;&gt;0")</f>
        <v>1</v>
      </c>
      <c r="BC366">
        <f>COUNTIF(AS366:AW366,"&lt;&gt;0")</f>
        <v>0</v>
      </c>
      <c r="BD366">
        <f>COUNTIF(AM366:AR366,"&lt;&gt;0")</f>
        <v>0</v>
      </c>
      <c r="BE366" t="str" cm="1">
        <f t="array" ref="BE366">IF(AY366=1,INDEX($V$7:$AL$7,MATCH(TRUE,INDEX($V366:$AW366&lt;&gt;0,),0)),IF(AY366=0,INDEX($AM$7:$AW$7,MATCH(1,$AM366:$AW366,0)),IF(BF366="Multiple strategies","mixed drivers",IF(BF366="Supply chain","multiple supply","multiple silviculture"))))</f>
        <v>mixed drivers</v>
      </c>
      <c r="BF366" s="2" t="str" cm="1">
        <f t="array" ref="BF366">IF(COUNTIF(AZ366:BB366,"&lt;&gt;0")=1,INDEX($V$4:$AW$4,MATCH(TRUE,INDEX($V366:$AW366&lt;&gt;0,),0)),IF(COUNTIF(AZ366:BB366,"&lt;&gt;0")=0,INDEX($AM$4:$AW$4,MATCH(1,$AM366:$AW366,0)),"Multiple strategies"))</f>
        <v>Multiple strategies</v>
      </c>
      <c r="BG366" s="142" t="s">
        <v>321</v>
      </c>
      <c r="BH366" s="160" t="s">
        <v>1457</v>
      </c>
      <c r="BI366" s="160" t="s">
        <v>1458</v>
      </c>
      <c r="BJ366" s="143" t="s">
        <v>498</v>
      </c>
      <c r="BK366" s="143">
        <v>944</v>
      </c>
      <c r="BL366" s="143">
        <v>106341</v>
      </c>
      <c r="BM366">
        <f>IFERROR(BL366/BK366,"")</f>
        <v>112.64936440677967</v>
      </c>
      <c r="BN366">
        <f>BL366-BK366</f>
        <v>105397</v>
      </c>
      <c r="BO366" s="159">
        <f>BN366</f>
        <v>105397</v>
      </c>
      <c r="BP366" s="155" t="s">
        <v>232</v>
      </c>
      <c r="BQ366" s="155" t="s">
        <v>1459</v>
      </c>
      <c r="BR366" s="155" t="s">
        <v>825</v>
      </c>
      <c r="BS366" s="143" t="s">
        <v>1460</v>
      </c>
      <c r="BT366" t="s">
        <v>1506</v>
      </c>
      <c r="BU366" s="144">
        <f>BT366/BS366</f>
        <v>18.200058080627318</v>
      </c>
      <c r="BV366">
        <f>BT366-BS366</f>
        <v>-120.712028616667</v>
      </c>
      <c r="BW366"/>
      <c r="BX366">
        <f>BV366</f>
        <v>-120.712028616667</v>
      </c>
      <c r="BY366">
        <f>IFERROR(BX366/BO366,"")</f>
        <v>-1.1453080127201629E-3</v>
      </c>
      <c r="BZ366">
        <v>0</v>
      </c>
      <c r="CA366">
        <v>0</v>
      </c>
      <c r="CB366">
        <v>0</v>
      </c>
      <c r="CC366">
        <v>0</v>
      </c>
      <c r="CD366">
        <v>0</v>
      </c>
      <c r="CE366">
        <v>0</v>
      </c>
      <c r="CF366">
        <v>0</v>
      </c>
      <c r="CG366">
        <v>0</v>
      </c>
      <c r="CH366">
        <v>0</v>
      </c>
      <c r="CI366">
        <v>0</v>
      </c>
      <c r="CJ366">
        <v>0</v>
      </c>
      <c r="CK366">
        <v>0</v>
      </c>
      <c r="CL366">
        <v>0</v>
      </c>
      <c r="CM366">
        <v>0</v>
      </c>
      <c r="CN366" t="str">
        <f>IF($BL366&lt;$BK366,"refNeedCorrection","refOK")</f>
        <v>refOK</v>
      </c>
      <c r="CO366">
        <f>IF($CN366="refOK",$BK366,$BL366)</f>
        <v>944</v>
      </c>
      <c r="CP366">
        <f>IF($CN366="refOK",$BL366,$BK366)</f>
        <v>106341</v>
      </c>
      <c r="CQ366">
        <f>IF($CN366="refOK",$BO366,-$BO366)</f>
        <v>105397</v>
      </c>
      <c r="CR366">
        <f>IF($CN366="refOK",$BS366,$BT366)*IF($BP366="Emissions positive",-1,1)</f>
        <v>-7.0181174999999998</v>
      </c>
      <c r="CS366">
        <f>IF($CN366="refOK",$BT366,$BS366)*IF($BP366="Emissions positive",-1,1)</f>
        <v>-127.730146116667</v>
      </c>
      <c r="CT366">
        <f>IF($CN366="refNeedCorrection",-BX366,BX366)*IF($BP366="Emissions positive",-1,1)</f>
        <v>-120.712028616667</v>
      </c>
      <c r="CU366">
        <f>IFERROR(CT366/CQ366,"")</f>
        <v>-1.1453080127201629E-3</v>
      </c>
      <c r="CV366" s="2">
        <f>IFERROR((CS366-CR366)/ABS(CR366),"")</f>
        <v>-17.200058080627318</v>
      </c>
      <c r="CW366" s="263" t="s">
        <v>1462</v>
      </c>
      <c r="CX366" s="264" t="str">
        <f>IF(OR($CW366="prd",$CW366="std",$CW366="cit"),"loc",IF(OR($CW366="eur",$CW366="reg",$CW366="coy"),"reg",$CW366))</f>
        <v>reg</v>
      </c>
      <c r="CY366" s="270" t="s">
        <v>743</v>
      </c>
      <c r="CZ366"/>
      <c r="DA366" s="143"/>
      <c r="DB366" s="143">
        <v>0</v>
      </c>
      <c r="DC366" t="str">
        <f>IF(DB366=0,"0",IF(AND(DB366&gt;=1,DB366&lt;=30),"1-30",IF(AND(DB366&gt;30,DB366&lt;=70),"31-70",IF(AND(DB366&gt;70,DB366&lt;=100),"71-100",IF(DB366&gt;100,"+100")))))</f>
        <v>0</v>
      </c>
      <c r="DD366">
        <v>0</v>
      </c>
      <c r="DE366">
        <v>1</v>
      </c>
      <c r="DF366">
        <v>0</v>
      </c>
      <c r="DG366">
        <v>0</v>
      </c>
      <c r="DH366">
        <v>0</v>
      </c>
      <c r="DI366">
        <f>SUM(DD366:DH366)</f>
        <v>1</v>
      </c>
      <c r="DJ366" t="str">
        <f>IF(DI366=1,INDEX($DD$7:$DG$7,MATCH(1,$DD366:$DG366,0)),"mixedProduct")</f>
        <v>EnergyInput</v>
      </c>
      <c r="DK366">
        <f>IF(DD366=1,DK$7,0)</f>
        <v>0</v>
      </c>
      <c r="DL366" t="str">
        <f>IF(DE366=1,DL$7,0)</f>
        <v>Energy</v>
      </c>
      <c r="DM366">
        <f>IF(DF366=1,DM$7,0)</f>
        <v>0</v>
      </c>
      <c r="DN366">
        <f>IF(DG366=1,DN$7,0)</f>
        <v>0</v>
      </c>
      <c r="DO366">
        <v>0</v>
      </c>
      <c r="DP366" s="143">
        <v>0</v>
      </c>
      <c r="DQ366" s="143">
        <v>0</v>
      </c>
      <c r="DR366">
        <v>0</v>
      </c>
      <c r="DS366" s="143">
        <v>0</v>
      </c>
      <c r="DT366">
        <f>SUM(DO366:DP366)</f>
        <v>0</v>
      </c>
      <c r="DU366" s="143" t="str">
        <f>IF(DO366=1,"self-calculated DF",IF(DP366=1,"external DF used","explicit C balance"))</f>
        <v>explicit C balance</v>
      </c>
      <c r="DV366" s="143">
        <v>0</v>
      </c>
      <c r="DW366" s="143">
        <v>0</v>
      </c>
      <c r="DX366" s="143">
        <v>0</v>
      </c>
      <c r="DY366" s="143">
        <v>0</v>
      </c>
      <c r="DZ366">
        <v>0</v>
      </c>
      <c r="EA366" s="143">
        <v>0</v>
      </c>
      <c r="EB366" s="143">
        <v>1</v>
      </c>
      <c r="EC366" s="143">
        <v>1</v>
      </c>
      <c r="ED366" s="143">
        <v>0</v>
      </c>
      <c r="EE366">
        <v>1</v>
      </c>
      <c r="EF366">
        <v>0</v>
      </c>
      <c r="EG366" s="143">
        <v>0</v>
      </c>
      <c r="EH366" s="143">
        <v>0</v>
      </c>
      <c r="EI366" s="2">
        <v>0</v>
      </c>
      <c r="EJ366" s="1"/>
      <c r="EK366" t="str">
        <f>IF(AND(AND(AND(OR($DX366=1,$DW366=1),OR($EC366=1,$EA366=1)),SUM($DV366:$DZ366,$EF366)&gt;=4),SUM($EA366:$EE366)&gt;=2),"Whole sector","")</f>
        <v/>
      </c>
      <c r="EL366" t="str">
        <f>IF(AND(AND(OR($DX366=1,$DW366=1),AND($EC366=0,$EA366=0)),SUM($DV366:$DZ366,$EF366)&gt;=4),"Ecosystem approach","")</f>
        <v/>
      </c>
      <c r="EM366" s="2" t="str">
        <f>IF(AND(AND(AND($DX366=0,$DW366=0),OR($EC366=1,$EA366=1)),SUM($EB366:$EE366)&gt;=2),"Technology approach","")</f>
        <v>Technology approach</v>
      </c>
      <c r="EN366"/>
      <c r="EO366"/>
      <c r="EP366" t="str">
        <f>IF(ISNUMBER(BU366),IF(ABS(BU366-[3]QC_indicators!$B$2)&gt;3*[3]QC_indicators!$C$2,"C ratio",IF(ISNUMBER(BY366),IF(ABS(BY366-[3]QC_indicators!$B$1)&gt;3*[3]QC_indicators!$C$1,"DF","no"))),IF(ISNUMBER(BY366),IF(ABS(BY366-[3]QC_indicators!$B$1)&gt;3*[3]QC_indicators!$C$1,"DF","no")))</f>
        <v>no</v>
      </c>
      <c r="EQ366"/>
      <c r="ER366" s="149"/>
      <c r="ES366"/>
      <c r="ET366" s="264" t="s">
        <v>3407</v>
      </c>
      <c r="EU366"/>
    </row>
    <row r="367" spans="1:151" s="139" customFormat="1" ht="15" customHeight="1">
      <c r="A367" s="1" t="s">
        <v>587</v>
      </c>
      <c r="B367" t="s">
        <v>1448</v>
      </c>
      <c r="C367" t="s">
        <v>1449</v>
      </c>
      <c r="D367" t="s">
        <v>1450</v>
      </c>
      <c r="E367" t="s">
        <v>1451</v>
      </c>
      <c r="F367" t="s">
        <v>1452</v>
      </c>
      <c r="G367" t="s">
        <v>593</v>
      </c>
      <c r="H367" t="s">
        <v>254</v>
      </c>
      <c r="I367">
        <v>2020</v>
      </c>
      <c r="J367">
        <v>12</v>
      </c>
      <c r="K367" t="s">
        <v>1453</v>
      </c>
      <c r="L367"/>
      <c r="M367" t="str">
        <f>LEFT($D367,FIND(",",$D367)-1)&amp;"_"&amp;I367&amp;L367</f>
        <v>Elisa_2020</v>
      </c>
      <c r="N367" s="264" t="s">
        <v>222</v>
      </c>
      <c r="O367" s="171" t="s">
        <v>274</v>
      </c>
      <c r="P367" t="s">
        <v>223</v>
      </c>
      <c r="Q367" s="264" t="s">
        <v>389</v>
      </c>
      <c r="R367" s="269" t="s">
        <v>1154</v>
      </c>
      <c r="S367" s="154" t="s">
        <v>1454</v>
      </c>
      <c r="T367" s="294" t="s">
        <v>1455</v>
      </c>
      <c r="U367" s="143" t="s">
        <v>1503</v>
      </c>
      <c r="V367">
        <v>0</v>
      </c>
      <c r="W367">
        <v>0</v>
      </c>
      <c r="X367">
        <v>0</v>
      </c>
      <c r="Y367">
        <v>0</v>
      </c>
      <c r="Z367">
        <v>0</v>
      </c>
      <c r="AA367">
        <v>0</v>
      </c>
      <c r="AB367">
        <v>0</v>
      </c>
      <c r="AC367">
        <v>0</v>
      </c>
      <c r="AD367">
        <v>0</v>
      </c>
      <c r="AE367">
        <v>1</v>
      </c>
      <c r="AF367">
        <v>0</v>
      </c>
      <c r="AG367">
        <v>0</v>
      </c>
      <c r="AH367">
        <v>0</v>
      </c>
      <c r="AI367">
        <v>0</v>
      </c>
      <c r="AJ367">
        <v>0</v>
      </c>
      <c r="AK367">
        <v>1</v>
      </c>
      <c r="AL367">
        <v>0</v>
      </c>
      <c r="AM367">
        <v>0</v>
      </c>
      <c r="AN367">
        <v>0</v>
      </c>
      <c r="AO367">
        <v>0</v>
      </c>
      <c r="AP367">
        <v>0</v>
      </c>
      <c r="AQ367">
        <v>0</v>
      </c>
      <c r="AR367">
        <v>0</v>
      </c>
      <c r="AS367">
        <v>0</v>
      </c>
      <c r="AT367">
        <v>0</v>
      </c>
      <c r="AU367">
        <v>0</v>
      </c>
      <c r="AV367">
        <v>0</v>
      </c>
      <c r="AW367">
        <v>0</v>
      </c>
      <c r="AX367" s="141">
        <f>COUNTIF(V367:AW367,"&lt;&gt;0")</f>
        <v>2</v>
      </c>
      <c r="AY367" s="141">
        <f>COUNTIF(V367:AL367,"&lt;&gt;0")</f>
        <v>2</v>
      </c>
      <c r="AZ367">
        <f>COUNTIF(V367:AC367,"&lt;&gt;0")</f>
        <v>0</v>
      </c>
      <c r="BA367">
        <f>COUNTIF(AD367:AI367,"&lt;&gt;0")</f>
        <v>1</v>
      </c>
      <c r="BB367">
        <f>COUNTIF(AJ367:AL367,"&lt;&gt;0")</f>
        <v>1</v>
      </c>
      <c r="BC367">
        <f>COUNTIF(AS367:AW367,"&lt;&gt;0")</f>
        <v>0</v>
      </c>
      <c r="BD367">
        <f>COUNTIF(AM367:AR367,"&lt;&gt;0")</f>
        <v>0</v>
      </c>
      <c r="BE367" t="str" cm="1">
        <f t="array" ref="BE367">IF(AY367=1,INDEX($V$7:$AL$7,MATCH(TRUE,INDEX($V367:$AW367&lt;&gt;0,),0)),IF(AY367=0,INDEX($AM$7:$AW$7,MATCH(1,$AM367:$AW367,0)),IF(BF367="Multiple strategies","mixed drivers",IF(BF367="Supply chain","multiple supply","multiple silviculture"))))</f>
        <v>mixed drivers</v>
      </c>
      <c r="BF367" s="2" t="str" cm="1">
        <f t="array" ref="BF367">IF(COUNTIF(AZ367:BB367,"&lt;&gt;0")=1,INDEX($V$4:$AW$4,MATCH(TRUE,INDEX($V367:$AW367&lt;&gt;0,),0)),IF(COUNTIF(AZ367:BB367,"&lt;&gt;0")=0,INDEX($AM$4:$AW$4,MATCH(1,$AM367:$AW367,0)),"Multiple strategies"))</f>
        <v>Multiple strategies</v>
      </c>
      <c r="BG367" s="142" t="s">
        <v>321</v>
      </c>
      <c r="BH367" s="160" t="s">
        <v>1457</v>
      </c>
      <c r="BI367" s="160" t="s">
        <v>1458</v>
      </c>
      <c r="BJ367" s="143" t="s">
        <v>498</v>
      </c>
      <c r="BK367" s="143">
        <v>944</v>
      </c>
      <c r="BL367" s="143">
        <v>170044</v>
      </c>
      <c r="BM367">
        <f>IFERROR(BL378/BK367,"")</f>
        <v>8.7841526663135591E-2</v>
      </c>
      <c r="BN367">
        <f>BL367-BK367</f>
        <v>169100</v>
      </c>
      <c r="BO367" s="159">
        <f>BN367</f>
        <v>169100</v>
      </c>
      <c r="BP367" s="155" t="s">
        <v>232</v>
      </c>
      <c r="BQ367" s="155" t="s">
        <v>1459</v>
      </c>
      <c r="BR367" s="155" t="s">
        <v>825</v>
      </c>
      <c r="BS367" s="143" t="s">
        <v>1463</v>
      </c>
      <c r="BT367" t="s">
        <v>1507</v>
      </c>
      <c r="BU367" s="144">
        <f>BT367/BS367</f>
        <v>28.512730746654743</v>
      </c>
      <c r="BV367">
        <f>BT367-BS367</f>
        <v>-190.13064638888901</v>
      </c>
      <c r="BW367"/>
      <c r="BX367">
        <f>BV367</f>
        <v>-190.13064638888901</v>
      </c>
      <c r="BY367">
        <f>IFERROR(BX367/BO367,"")</f>
        <v>-1.1243681040147191E-3</v>
      </c>
      <c r="BZ367">
        <v>0</v>
      </c>
      <c r="CA367">
        <v>0</v>
      </c>
      <c r="CB367">
        <v>0</v>
      </c>
      <c r="CC367">
        <v>0</v>
      </c>
      <c r="CD367">
        <v>0</v>
      </c>
      <c r="CE367">
        <v>0</v>
      </c>
      <c r="CF367">
        <v>0</v>
      </c>
      <c r="CG367">
        <v>0</v>
      </c>
      <c r="CH367">
        <v>0</v>
      </c>
      <c r="CI367">
        <v>0</v>
      </c>
      <c r="CJ367">
        <v>0</v>
      </c>
      <c r="CK367">
        <v>0</v>
      </c>
      <c r="CL367">
        <v>0</v>
      </c>
      <c r="CM367">
        <v>0</v>
      </c>
      <c r="CN367" t="str">
        <f>IF($BL367&lt;$BK367,"refNeedCorrection","refOK")</f>
        <v>refOK</v>
      </c>
      <c r="CO367">
        <f>IF($CN367="refOK",$BK367,$BL367)</f>
        <v>944</v>
      </c>
      <c r="CP367">
        <f>IF($CN367="refOK",$BL367,$BK367)</f>
        <v>170044</v>
      </c>
      <c r="CQ367">
        <f>IF($CN367="refOK",$BO367,-$BO367)</f>
        <v>169100</v>
      </c>
      <c r="CR367">
        <f>IF($CN367="refOK",$BS367,$BT367)*IF($BP367="Emissions positive",-1,1)</f>
        <v>-6.9106424999999998</v>
      </c>
      <c r="CS367">
        <f>IF($CN367="refOK",$BT367,$BS367)*IF($BP367="Emissions positive",-1,1)</f>
        <v>-197.041288888889</v>
      </c>
      <c r="CT367">
        <f>IF($CN367="refNeedCorrection",-BX367,BX367)*IF($BP367="Emissions positive",-1,1)</f>
        <v>-190.13064638888901</v>
      </c>
      <c r="CU367">
        <f>IFERROR(CT367/CQ367,"")</f>
        <v>-1.1243681040147191E-3</v>
      </c>
      <c r="CV367" s="2">
        <f>IFERROR((CS367-CR367)/ABS(CR367),"")</f>
        <v>-27.512730746654743</v>
      </c>
      <c r="CW367" s="263" t="s">
        <v>1462</v>
      </c>
      <c r="CX367" s="264" t="str">
        <f>IF(OR($CW367="prd",$CW367="std",$CW367="cit"),"loc",IF(OR($CW367="eur",$CW367="reg",$CW367="coy"),"reg",$CW367))</f>
        <v>reg</v>
      </c>
      <c r="CY367" s="270" t="s">
        <v>743</v>
      </c>
      <c r="CZ367"/>
      <c r="DA367" s="143"/>
      <c r="DB367" s="143">
        <v>0</v>
      </c>
      <c r="DC367" t="str">
        <f>IF(DB367=0,"0",IF(AND(DB367&gt;=1,DB367&lt;=30),"1-30",IF(AND(DB367&gt;30,DB367&lt;=70),"31-70",IF(AND(DB367&gt;70,DB367&lt;=100),"71-100",IF(DB367&gt;100,"+100")))))</f>
        <v>0</v>
      </c>
      <c r="DD367">
        <v>0</v>
      </c>
      <c r="DE367">
        <v>1</v>
      </c>
      <c r="DF367">
        <v>0</v>
      </c>
      <c r="DG367">
        <v>0</v>
      </c>
      <c r="DH367">
        <v>0</v>
      </c>
      <c r="DI367">
        <f>SUM(DD367:DH367)</f>
        <v>1</v>
      </c>
      <c r="DJ367" t="str">
        <f>IF(DI367=1,INDEX($DD$7:$DG$7,MATCH(1,$DD367:$DG367,0)),"mixedProduct")</f>
        <v>EnergyInput</v>
      </c>
      <c r="DK367">
        <f>IF(DD367=1,DK$7,0)</f>
        <v>0</v>
      </c>
      <c r="DL367" t="str">
        <f>IF(DE367=1,DL$7,0)</f>
        <v>Energy</v>
      </c>
      <c r="DM367">
        <f>IF(DF367=1,DM$7,0)</f>
        <v>0</v>
      </c>
      <c r="DN367">
        <f>IF(DG367=1,DN$7,0)</f>
        <v>0</v>
      </c>
      <c r="DO367">
        <v>0</v>
      </c>
      <c r="DP367" s="143">
        <v>0</v>
      </c>
      <c r="DQ367" s="143">
        <v>0</v>
      </c>
      <c r="DR367">
        <v>0</v>
      </c>
      <c r="DS367" s="143">
        <v>0</v>
      </c>
      <c r="DT367">
        <f>SUM(DO367:DP367)</f>
        <v>0</v>
      </c>
      <c r="DU367" s="143" t="str">
        <f>IF(DO367=1,"self-calculated DF",IF(DP367=1,"external DF used","explicit C balance"))</f>
        <v>explicit C balance</v>
      </c>
      <c r="DV367" s="143">
        <v>0</v>
      </c>
      <c r="DW367" s="143">
        <v>0</v>
      </c>
      <c r="DX367" s="143">
        <v>0</v>
      </c>
      <c r="DY367" s="143">
        <v>0</v>
      </c>
      <c r="DZ367">
        <v>0</v>
      </c>
      <c r="EA367" s="143">
        <v>0</v>
      </c>
      <c r="EB367" s="143">
        <v>0</v>
      </c>
      <c r="EC367" s="143">
        <v>1</v>
      </c>
      <c r="ED367" s="143">
        <v>0</v>
      </c>
      <c r="EE367">
        <v>1</v>
      </c>
      <c r="EF367">
        <v>0</v>
      </c>
      <c r="EG367" s="143">
        <v>0</v>
      </c>
      <c r="EH367" s="143">
        <v>0</v>
      </c>
      <c r="EI367" s="2">
        <v>0</v>
      </c>
      <c r="EJ367" s="1"/>
      <c r="EK367" t="str">
        <f>IF(AND(AND(AND(OR($DX367=1,$DW367=1),OR($EC367=1,$EA367=1)),SUM($DV367:$DZ367,$EF367)&gt;=4),SUM($EA367:$EE367)&gt;=2),"Whole sector","")</f>
        <v/>
      </c>
      <c r="EL367" t="str">
        <f>IF(AND(AND(OR($DX367=1,$DW367=1),AND($EC367=0,$EA367=0)),SUM($DV367:$DZ367,$EF367)&gt;=4),"Ecosystem approach","")</f>
        <v/>
      </c>
      <c r="EM367" s="2" t="str">
        <f>IF(AND(AND(AND($DX367=0,$DW367=0),OR($EC367=1,$EA367=1)),SUM($EB367:$EE367)&gt;=2),"Technology approach","")</f>
        <v>Technology approach</v>
      </c>
      <c r="EN367"/>
      <c r="EO367"/>
      <c r="EP367" t="str">
        <f>IF(ISNUMBER(BU367),IF(ABS(BU367-[3]QC_indicators!$B$2)&gt;3*[3]QC_indicators!$C$2,"C ratio",IF(ISNUMBER(BY367),IF(ABS(BY367-[3]QC_indicators!$B$1)&gt;3*[3]QC_indicators!$C$1,"DF","no"))),IF(ISNUMBER(BY367),IF(ABS(BY367-[3]QC_indicators!$B$1)&gt;3*[3]QC_indicators!$C$1,"DF","no")))</f>
        <v>no</v>
      </c>
      <c r="EQ367"/>
      <c r="ER367" s="149"/>
      <c r="ES367"/>
      <c r="ET367" s="264" t="s">
        <v>3407</v>
      </c>
      <c r="EU367"/>
    </row>
    <row r="368" spans="1:151" s="139" customFormat="1" ht="15" customHeight="1">
      <c r="A368" s="1" t="s">
        <v>587</v>
      </c>
      <c r="B368" t="s">
        <v>1448</v>
      </c>
      <c r="C368" t="s">
        <v>1449</v>
      </c>
      <c r="D368" t="s">
        <v>1450</v>
      </c>
      <c r="E368" t="s">
        <v>1451</v>
      </c>
      <c r="F368" t="s">
        <v>1452</v>
      </c>
      <c r="G368" t="s">
        <v>593</v>
      </c>
      <c r="H368" t="s">
        <v>254</v>
      </c>
      <c r="I368">
        <v>2020</v>
      </c>
      <c r="J368">
        <v>12</v>
      </c>
      <c r="K368" t="s">
        <v>1453</v>
      </c>
      <c r="L368"/>
      <c r="M368" t="str">
        <f>LEFT($D368,FIND(",",$D368)-1)&amp;"_"&amp;I368&amp;L368</f>
        <v>Elisa_2020</v>
      </c>
      <c r="N368" s="264" t="s">
        <v>222</v>
      </c>
      <c r="O368" s="171" t="s">
        <v>274</v>
      </c>
      <c r="P368" t="s">
        <v>223</v>
      </c>
      <c r="Q368" s="264" t="s">
        <v>389</v>
      </c>
      <c r="R368" s="269" t="s">
        <v>1154</v>
      </c>
      <c r="S368" s="154" t="s">
        <v>1454</v>
      </c>
      <c r="T368" s="294" t="s">
        <v>1455</v>
      </c>
      <c r="U368" s="143" t="s">
        <v>1505</v>
      </c>
      <c r="V368">
        <v>0</v>
      </c>
      <c r="W368">
        <v>0</v>
      </c>
      <c r="X368">
        <v>0</v>
      </c>
      <c r="Y368">
        <v>0</v>
      </c>
      <c r="Z368">
        <v>0</v>
      </c>
      <c r="AA368">
        <v>0</v>
      </c>
      <c r="AB368">
        <v>0</v>
      </c>
      <c r="AC368">
        <v>0</v>
      </c>
      <c r="AD368">
        <v>0</v>
      </c>
      <c r="AE368">
        <v>1</v>
      </c>
      <c r="AF368">
        <v>0</v>
      </c>
      <c r="AG368">
        <v>0</v>
      </c>
      <c r="AH368">
        <v>0</v>
      </c>
      <c r="AI368">
        <v>0</v>
      </c>
      <c r="AJ368">
        <v>0</v>
      </c>
      <c r="AK368">
        <v>1</v>
      </c>
      <c r="AL368">
        <v>0</v>
      </c>
      <c r="AM368">
        <v>0</v>
      </c>
      <c r="AN368">
        <v>0</v>
      </c>
      <c r="AO368">
        <v>0</v>
      </c>
      <c r="AP368">
        <v>0</v>
      </c>
      <c r="AQ368">
        <v>0</v>
      </c>
      <c r="AR368">
        <v>0</v>
      </c>
      <c r="AS368">
        <v>0</v>
      </c>
      <c r="AT368">
        <v>0</v>
      </c>
      <c r="AU368">
        <v>0</v>
      </c>
      <c r="AV368">
        <v>0</v>
      </c>
      <c r="AW368">
        <v>0</v>
      </c>
      <c r="AX368" s="141">
        <f>COUNTIF(V368:AW368,"&lt;&gt;0")</f>
        <v>2</v>
      </c>
      <c r="AY368" s="141">
        <f>COUNTIF(V368:AL368,"&lt;&gt;0")</f>
        <v>2</v>
      </c>
      <c r="AZ368">
        <f>COUNTIF(V368:AC368,"&lt;&gt;0")</f>
        <v>0</v>
      </c>
      <c r="BA368">
        <f>COUNTIF(AD368:AI368,"&lt;&gt;0")</f>
        <v>1</v>
      </c>
      <c r="BB368">
        <f>COUNTIF(AJ368:AL368,"&lt;&gt;0")</f>
        <v>1</v>
      </c>
      <c r="BC368">
        <f>COUNTIF(AS368:AW368,"&lt;&gt;0")</f>
        <v>0</v>
      </c>
      <c r="BD368">
        <f>COUNTIF(AM368:AR368,"&lt;&gt;0")</f>
        <v>0</v>
      </c>
      <c r="BE368" t="str" cm="1">
        <f t="array" ref="BE368">IF(AY368=1,INDEX($V$7:$AL$7,MATCH(TRUE,INDEX($V368:$AW368&lt;&gt;0,),0)),IF(AY368=0,INDEX($AM$7:$AW$7,MATCH(1,$AM368:$AW368,0)),IF(BF368="Multiple strategies","mixed drivers",IF(BF368="Supply chain","multiple supply","multiple silviculture"))))</f>
        <v>mixed drivers</v>
      </c>
      <c r="BF368" s="2" t="str" cm="1">
        <f t="array" ref="BF368">IF(COUNTIF(AZ368:BB368,"&lt;&gt;0")=1,INDEX($V$4:$AW$4,MATCH(TRUE,INDEX($V368:$AW368&lt;&gt;0,),0)),IF(COUNTIF(AZ368:BB368,"&lt;&gt;0")=0,INDEX($AM$4:$AW$4,MATCH(1,$AM368:$AW368,0)),"Multiple strategies"))</f>
        <v>Multiple strategies</v>
      </c>
      <c r="BG368" s="142" t="s">
        <v>321</v>
      </c>
      <c r="BH368" s="160" t="s">
        <v>1457</v>
      </c>
      <c r="BI368" s="160" t="s">
        <v>1458</v>
      </c>
      <c r="BJ368" s="143" t="s">
        <v>498</v>
      </c>
      <c r="BK368" s="143">
        <v>944</v>
      </c>
      <c r="BL368" s="143">
        <v>106341</v>
      </c>
      <c r="BM368">
        <f>IFERROR(BL370/BK368,"")</f>
        <v>13.771186440677965</v>
      </c>
      <c r="BN368">
        <f>BL368-BK368</f>
        <v>105397</v>
      </c>
      <c r="BO368" s="159">
        <f>BN368</f>
        <v>105397</v>
      </c>
      <c r="BP368" s="155" t="s">
        <v>232</v>
      </c>
      <c r="BQ368" s="155" t="s">
        <v>1459</v>
      </c>
      <c r="BR368" s="155" t="s">
        <v>825</v>
      </c>
      <c r="BS368" s="143" t="s">
        <v>1463</v>
      </c>
      <c r="BT368" t="s">
        <v>1508</v>
      </c>
      <c r="BU368" s="144">
        <f>BT368/BS368</f>
        <v>17.76397258125985</v>
      </c>
      <c r="BV368">
        <f>BT368-BS368</f>
        <v>-115.84982138888901</v>
      </c>
      <c r="BW368"/>
      <c r="BX368">
        <f>BV368</f>
        <v>-115.84982138888901</v>
      </c>
      <c r="BY368">
        <f>IFERROR(BX368/BO368,"")</f>
        <v>-1.099175701290255E-3</v>
      </c>
      <c r="BZ368">
        <v>0</v>
      </c>
      <c r="CA368">
        <v>0</v>
      </c>
      <c r="CB368">
        <v>0</v>
      </c>
      <c r="CC368">
        <v>0</v>
      </c>
      <c r="CD368">
        <v>0</v>
      </c>
      <c r="CE368">
        <v>0</v>
      </c>
      <c r="CF368">
        <v>0</v>
      </c>
      <c r="CG368">
        <v>0</v>
      </c>
      <c r="CH368">
        <v>0</v>
      </c>
      <c r="CI368">
        <v>0</v>
      </c>
      <c r="CJ368">
        <v>0</v>
      </c>
      <c r="CK368">
        <v>0</v>
      </c>
      <c r="CL368">
        <v>0</v>
      </c>
      <c r="CM368">
        <v>0</v>
      </c>
      <c r="CN368" t="str">
        <f>IF($BL368&lt;$BK368,"refNeedCorrection","refOK")</f>
        <v>refOK</v>
      </c>
      <c r="CO368">
        <f>IF($CN368="refOK",$BK368,$BL368)</f>
        <v>944</v>
      </c>
      <c r="CP368">
        <f>IF($CN368="refOK",$BL368,$BK368)</f>
        <v>106341</v>
      </c>
      <c r="CQ368">
        <f>IF($CN368="refOK",$BO368,-$BO368)</f>
        <v>105397</v>
      </c>
      <c r="CR368">
        <f>IF($CN368="refOK",$BS368,$BT368)*IF($BP368="Emissions positive",-1,1)</f>
        <v>-6.9106424999999998</v>
      </c>
      <c r="CS368">
        <f>IF($CN368="refOK",$BT368,$BS368)*IF($BP368="Emissions positive",-1,1)</f>
        <v>-122.76046388888901</v>
      </c>
      <c r="CT368">
        <f>IF($CN368="refNeedCorrection",-BX368,BX368)*IF($BP368="Emissions positive",-1,1)</f>
        <v>-115.84982138888901</v>
      </c>
      <c r="CU368">
        <f>IFERROR(CT368/CQ368,"")</f>
        <v>-1.099175701290255E-3</v>
      </c>
      <c r="CV368" s="2">
        <f>IFERROR((CS368-CR368)/ABS(CR368),"")</f>
        <v>-16.76397258125985</v>
      </c>
      <c r="CW368" s="263" t="s">
        <v>1462</v>
      </c>
      <c r="CX368" s="264" t="str">
        <f>IF(OR($CW368="prd",$CW368="std",$CW368="cit"),"loc",IF(OR($CW368="eur",$CW368="reg",$CW368="coy"),"reg",$CW368))</f>
        <v>reg</v>
      </c>
      <c r="CY368" s="270" t="s">
        <v>743</v>
      </c>
      <c r="CZ368"/>
      <c r="DA368" s="143"/>
      <c r="DB368" s="143">
        <v>0</v>
      </c>
      <c r="DC368" t="str">
        <f>IF(DB368=0,"0",IF(AND(DB368&gt;=1,DB368&lt;=30),"1-30",IF(AND(DB368&gt;30,DB368&lt;=70),"31-70",IF(AND(DB368&gt;70,DB368&lt;=100),"71-100",IF(DB368&gt;100,"+100")))))</f>
        <v>0</v>
      </c>
      <c r="DD368">
        <v>0</v>
      </c>
      <c r="DE368">
        <v>1</v>
      </c>
      <c r="DF368">
        <v>0</v>
      </c>
      <c r="DG368">
        <v>0</v>
      </c>
      <c r="DH368">
        <v>0</v>
      </c>
      <c r="DI368">
        <f>SUM(DD368:DH368)</f>
        <v>1</v>
      </c>
      <c r="DJ368" t="str">
        <f>IF(DI368=1,INDEX($DD$7:$DG$7,MATCH(1,$DD368:$DG368,0)),"mixedProduct")</f>
        <v>EnergyInput</v>
      </c>
      <c r="DK368">
        <f>IF(DD368=1,DK$7,0)</f>
        <v>0</v>
      </c>
      <c r="DL368" t="str">
        <f>IF(DE368=1,DL$7,0)</f>
        <v>Energy</v>
      </c>
      <c r="DM368">
        <f>IF(DF368=1,DM$7,0)</f>
        <v>0</v>
      </c>
      <c r="DN368">
        <f>IF(DG368=1,DN$7,0)</f>
        <v>0</v>
      </c>
      <c r="DO368">
        <v>0</v>
      </c>
      <c r="DP368" s="143">
        <v>0</v>
      </c>
      <c r="DQ368" s="143">
        <v>0</v>
      </c>
      <c r="DR368">
        <v>0</v>
      </c>
      <c r="DS368" s="143">
        <v>0</v>
      </c>
      <c r="DT368">
        <f>SUM(DO368:DP368)</f>
        <v>0</v>
      </c>
      <c r="DU368" s="143" t="str">
        <f>IF(DO368=1,"self-calculated DF",IF(DP368=1,"external DF used","explicit C balance"))</f>
        <v>explicit C balance</v>
      </c>
      <c r="DV368" s="143">
        <v>0</v>
      </c>
      <c r="DW368" s="143">
        <v>0</v>
      </c>
      <c r="DX368" s="143">
        <v>0</v>
      </c>
      <c r="DY368" s="143">
        <v>0</v>
      </c>
      <c r="DZ368">
        <v>0</v>
      </c>
      <c r="EA368" s="143">
        <v>0</v>
      </c>
      <c r="EB368" s="143">
        <v>0</v>
      </c>
      <c r="EC368" s="143">
        <v>1</v>
      </c>
      <c r="ED368" s="143">
        <v>0</v>
      </c>
      <c r="EE368">
        <v>1</v>
      </c>
      <c r="EF368">
        <v>0</v>
      </c>
      <c r="EG368" s="143">
        <v>0</v>
      </c>
      <c r="EH368" s="143">
        <v>0</v>
      </c>
      <c r="EI368" s="2">
        <v>0</v>
      </c>
      <c r="EJ368" s="1"/>
      <c r="EK368" t="str">
        <f>IF(AND(AND(AND(OR($DX368=1,$DW368=1),OR($EC368=1,$EA368=1)),SUM($DV368:$DZ368,$EF368)&gt;=4),SUM($EA368:$EE368)&gt;=2),"Whole sector","")</f>
        <v/>
      </c>
      <c r="EL368" t="str">
        <f>IF(AND(AND(OR($DX368=1,$DW368=1),AND($EC368=0,$EA368=0)),SUM($DV368:$DZ368,$EF368)&gt;=4),"Ecosystem approach","")</f>
        <v/>
      </c>
      <c r="EM368" s="2" t="str">
        <f>IF(AND(AND(AND($DX368=0,$DW368=0),OR($EC368=1,$EA368=1)),SUM($EB368:$EE368)&gt;=2),"Technology approach","")</f>
        <v>Technology approach</v>
      </c>
      <c r="EN368"/>
      <c r="EO368"/>
      <c r="EP368" t="str">
        <f>IF(ISNUMBER(BU368),IF(ABS(BU368-[3]QC_indicators!$B$2)&gt;3*[3]QC_indicators!$C$2,"C ratio",IF(ISNUMBER(BY368),IF(ABS(BY368-[3]QC_indicators!$B$1)&gt;3*[3]QC_indicators!$C$1,"DF","no"))),IF(ISNUMBER(BY368),IF(ABS(BY368-[3]QC_indicators!$B$1)&gt;3*[3]QC_indicators!$C$1,"DF","no")))</f>
        <v>no</v>
      </c>
      <c r="EQ368"/>
      <c r="ER368" s="149"/>
      <c r="ES368"/>
      <c r="ET368" s="264" t="s">
        <v>3407</v>
      </c>
      <c r="EU368"/>
    </row>
    <row r="369" spans="1:151" s="139" customFormat="1" ht="15" customHeight="1">
      <c r="A369" s="1" t="s">
        <v>587</v>
      </c>
      <c r="B369" t="s">
        <v>1448</v>
      </c>
      <c r="C369" t="s">
        <v>1449</v>
      </c>
      <c r="D369" t="s">
        <v>1450</v>
      </c>
      <c r="E369" t="s">
        <v>1451</v>
      </c>
      <c r="F369" t="s">
        <v>1452</v>
      </c>
      <c r="G369" t="s">
        <v>593</v>
      </c>
      <c r="H369" t="s">
        <v>254</v>
      </c>
      <c r="I369">
        <v>2020</v>
      </c>
      <c r="J369">
        <v>12</v>
      </c>
      <c r="K369" t="s">
        <v>1453</v>
      </c>
      <c r="L369"/>
      <c r="M369" t="str">
        <f>LEFT($D369,FIND(",",$D369)-1)&amp;"_"&amp;I369&amp;L369</f>
        <v>Elisa_2020</v>
      </c>
      <c r="N369" s="264" t="s">
        <v>222</v>
      </c>
      <c r="O369" s="171" t="s">
        <v>274</v>
      </c>
      <c r="P369" t="s">
        <v>223</v>
      </c>
      <c r="Q369" s="264" t="s">
        <v>389</v>
      </c>
      <c r="R369" s="269" t="s">
        <v>1154</v>
      </c>
      <c r="S369" s="154" t="s">
        <v>1454</v>
      </c>
      <c r="T369" s="294" t="s">
        <v>1455</v>
      </c>
      <c r="U369" s="143" t="s">
        <v>1509</v>
      </c>
      <c r="V369">
        <v>0</v>
      </c>
      <c r="W369">
        <v>0</v>
      </c>
      <c r="X369">
        <v>0</v>
      </c>
      <c r="Y369">
        <v>0</v>
      </c>
      <c r="Z369">
        <v>0</v>
      </c>
      <c r="AA369">
        <v>0</v>
      </c>
      <c r="AB369">
        <v>0</v>
      </c>
      <c r="AC369">
        <v>0</v>
      </c>
      <c r="AD369">
        <v>0</v>
      </c>
      <c r="AE369">
        <v>1</v>
      </c>
      <c r="AF369">
        <v>0</v>
      </c>
      <c r="AG369">
        <v>0</v>
      </c>
      <c r="AH369">
        <v>0</v>
      </c>
      <c r="AI369">
        <v>0</v>
      </c>
      <c r="AJ369">
        <v>0</v>
      </c>
      <c r="AK369">
        <v>1</v>
      </c>
      <c r="AL369">
        <v>0</v>
      </c>
      <c r="AM369">
        <v>0</v>
      </c>
      <c r="AN369">
        <v>0</v>
      </c>
      <c r="AO369">
        <v>0</v>
      </c>
      <c r="AP369">
        <v>0</v>
      </c>
      <c r="AQ369">
        <v>0</v>
      </c>
      <c r="AR369">
        <v>0</v>
      </c>
      <c r="AS369">
        <v>0</v>
      </c>
      <c r="AT369">
        <v>0</v>
      </c>
      <c r="AU369">
        <v>0</v>
      </c>
      <c r="AV369">
        <v>0</v>
      </c>
      <c r="AW369">
        <v>0</v>
      </c>
      <c r="AX369" s="141">
        <f>COUNTIF(V369:AW369,"&lt;&gt;0")</f>
        <v>2</v>
      </c>
      <c r="AY369" s="141">
        <f>COUNTIF(V369:AL369,"&lt;&gt;0")</f>
        <v>2</v>
      </c>
      <c r="AZ369">
        <f>COUNTIF(V369:AC369,"&lt;&gt;0")</f>
        <v>0</v>
      </c>
      <c r="BA369">
        <f>COUNTIF(AD369:AI369,"&lt;&gt;0")</f>
        <v>1</v>
      </c>
      <c r="BB369">
        <f>COUNTIF(AJ369:AL369,"&lt;&gt;0")</f>
        <v>1</v>
      </c>
      <c r="BC369">
        <f>COUNTIF(AS369:AW369,"&lt;&gt;0")</f>
        <v>0</v>
      </c>
      <c r="BD369">
        <f>COUNTIF(AM369:AR369,"&lt;&gt;0")</f>
        <v>0</v>
      </c>
      <c r="BE369" t="str" cm="1">
        <f t="array" ref="BE369">IF(AY369=1,INDEX($V$7:$AL$7,MATCH(TRUE,INDEX($V369:$AW369&lt;&gt;0,),0)),IF(AY369=0,INDEX($AM$7:$AW$7,MATCH(1,$AM369:$AW369,0)),IF(BF369="Multiple strategies","mixed drivers",IF(BF369="Supply chain","multiple supply","multiple silviculture"))))</f>
        <v>mixed drivers</v>
      </c>
      <c r="BF369" s="2" t="str" cm="1">
        <f t="array" ref="BF369">IF(COUNTIF(AZ369:BB369,"&lt;&gt;0")=1,INDEX($V$4:$AW$4,MATCH(TRUE,INDEX($V369:$AW369&lt;&gt;0,),0)),IF(COUNTIF(AZ369:BB369,"&lt;&gt;0")=0,INDEX($AM$4:$AW$4,MATCH(1,$AM369:$AW369,0)),"Multiple strategies"))</f>
        <v>Multiple strategies</v>
      </c>
      <c r="BG369" s="142" t="s">
        <v>321</v>
      </c>
      <c r="BH369" s="160" t="s">
        <v>1457</v>
      </c>
      <c r="BI369" s="160" t="s">
        <v>1458</v>
      </c>
      <c r="BJ369" s="143" t="s">
        <v>498</v>
      </c>
      <c r="BK369" s="143">
        <v>944</v>
      </c>
      <c r="BL369" s="143">
        <v>13000</v>
      </c>
      <c r="BM369">
        <f>IFERROR(BL369/BK369,"")</f>
        <v>13.771186440677965</v>
      </c>
      <c r="BN369">
        <f>BL369-BK369</f>
        <v>12056</v>
      </c>
      <c r="BO369" s="159">
        <f>BN369</f>
        <v>12056</v>
      </c>
      <c r="BP369" s="155" t="s">
        <v>232</v>
      </c>
      <c r="BQ369" s="155" t="s">
        <v>1459</v>
      </c>
      <c r="BR369" s="155" t="s">
        <v>825</v>
      </c>
      <c r="BS369" s="143" t="s">
        <v>1460</v>
      </c>
      <c r="BT369" t="s">
        <v>1510</v>
      </c>
      <c r="BU369" s="144">
        <f>BT369/BS369</f>
        <v>2.8117701553633578</v>
      </c>
      <c r="BV369">
        <f>BT369-BS369</f>
        <v>-12.7152158333333</v>
      </c>
      <c r="BW369"/>
      <c r="BX369">
        <f>BV369</f>
        <v>-12.7152158333333</v>
      </c>
      <c r="BY369">
        <f>IFERROR(BX369/BO369,"")</f>
        <v>-1.0546794818624171E-3</v>
      </c>
      <c r="BZ369">
        <v>0</v>
      </c>
      <c r="CA369">
        <v>0</v>
      </c>
      <c r="CB369">
        <v>0</v>
      </c>
      <c r="CC369">
        <v>0</v>
      </c>
      <c r="CD369">
        <v>0</v>
      </c>
      <c r="CE369">
        <v>0</v>
      </c>
      <c r="CF369">
        <v>0</v>
      </c>
      <c r="CG369">
        <v>0</v>
      </c>
      <c r="CH369">
        <v>0</v>
      </c>
      <c r="CI369">
        <v>0</v>
      </c>
      <c r="CJ369">
        <v>0</v>
      </c>
      <c r="CK369">
        <v>0</v>
      </c>
      <c r="CL369">
        <v>0</v>
      </c>
      <c r="CM369">
        <v>0</v>
      </c>
      <c r="CN369" t="str">
        <f>IF($BL369&lt;$BK369,"refNeedCorrection","refOK")</f>
        <v>refOK</v>
      </c>
      <c r="CO369">
        <f>IF($CN369="refOK",$BK369,$BL369)</f>
        <v>944</v>
      </c>
      <c r="CP369">
        <f>IF($CN369="refOK",$BL369,$BK369)</f>
        <v>13000</v>
      </c>
      <c r="CQ369">
        <f>IF($CN369="refOK",$BO369,-$BO369)</f>
        <v>12056</v>
      </c>
      <c r="CR369">
        <f>IF($CN369="refOK",$BS369,$BT369)*IF($BP369="Emissions positive",-1,1)</f>
        <v>-7.0181174999999998</v>
      </c>
      <c r="CS369">
        <f>IF($CN369="refOK",$BT369,$BS369)*IF($BP369="Emissions positive",-1,1)</f>
        <v>-19.733333333333299</v>
      </c>
      <c r="CT369">
        <f>IF($CN369="refNeedCorrection",-BX369,BX369)*IF($BP369="Emissions positive",-1,1)</f>
        <v>-12.7152158333333</v>
      </c>
      <c r="CU369">
        <f>IFERROR(CT369/CQ369,"")</f>
        <v>-1.0546794818624171E-3</v>
      </c>
      <c r="CV369" s="2">
        <f>IFERROR((CS369-CR369)/ABS(CR369),"")</f>
        <v>-1.8117701553633578</v>
      </c>
      <c r="CW369" s="263" t="s">
        <v>1462</v>
      </c>
      <c r="CX369" s="264" t="str">
        <f>IF(OR($CW369="prd",$CW369="std",$CW369="cit"),"loc",IF(OR($CW369="eur",$CW369="reg",$CW369="coy"),"reg",$CW369))</f>
        <v>reg</v>
      </c>
      <c r="CY369" s="270" t="s">
        <v>743</v>
      </c>
      <c r="CZ369"/>
      <c r="DA369" s="143"/>
      <c r="DB369" s="143">
        <v>0</v>
      </c>
      <c r="DC369" t="str">
        <f>IF(DB369=0,"0",IF(AND(DB369&gt;=1,DB369&lt;=30),"1-30",IF(AND(DB369&gt;30,DB369&lt;=70),"31-70",IF(AND(DB369&gt;70,DB369&lt;=100),"71-100",IF(DB369&gt;100,"+100")))))</f>
        <v>0</v>
      </c>
      <c r="DD369">
        <v>0</v>
      </c>
      <c r="DE369">
        <v>1</v>
      </c>
      <c r="DF369">
        <v>0</v>
      </c>
      <c r="DG369">
        <v>0</v>
      </c>
      <c r="DH369">
        <v>0</v>
      </c>
      <c r="DI369">
        <f>SUM(DD369:DH369)</f>
        <v>1</v>
      </c>
      <c r="DJ369" t="str">
        <f>IF(DI369=1,INDEX($DD$7:$DG$7,MATCH(1,$DD369:$DG369,0)),"mixedProduct")</f>
        <v>EnergyInput</v>
      </c>
      <c r="DK369">
        <f>IF(DD369=1,DK$7,0)</f>
        <v>0</v>
      </c>
      <c r="DL369" t="str">
        <f>IF(DE369=1,DL$7,0)</f>
        <v>Energy</v>
      </c>
      <c r="DM369">
        <f>IF(DF369=1,DM$7,0)</f>
        <v>0</v>
      </c>
      <c r="DN369">
        <f>IF(DG369=1,DN$7,0)</f>
        <v>0</v>
      </c>
      <c r="DO369">
        <v>0</v>
      </c>
      <c r="DP369" s="143">
        <v>0</v>
      </c>
      <c r="DQ369" s="143">
        <v>0</v>
      </c>
      <c r="DR369">
        <v>0</v>
      </c>
      <c r="DS369" s="143">
        <v>0</v>
      </c>
      <c r="DT369">
        <f>SUM(DO369:DP369)</f>
        <v>0</v>
      </c>
      <c r="DU369" s="143" t="str">
        <f>IF(DO369=1,"self-calculated DF",IF(DP369=1,"external DF used","explicit C balance"))</f>
        <v>explicit C balance</v>
      </c>
      <c r="DV369" s="143">
        <v>0</v>
      </c>
      <c r="DW369" s="143">
        <v>0</v>
      </c>
      <c r="DX369" s="143">
        <v>0</v>
      </c>
      <c r="DY369" s="143">
        <v>0</v>
      </c>
      <c r="DZ369">
        <v>0</v>
      </c>
      <c r="EA369" s="143">
        <v>0</v>
      </c>
      <c r="EB369" s="143">
        <v>1</v>
      </c>
      <c r="EC369" s="143">
        <v>1</v>
      </c>
      <c r="ED369" s="143">
        <v>0</v>
      </c>
      <c r="EE369">
        <v>1</v>
      </c>
      <c r="EF369">
        <v>0</v>
      </c>
      <c r="EG369" s="143">
        <v>0</v>
      </c>
      <c r="EH369" s="143">
        <v>0</v>
      </c>
      <c r="EI369" s="2">
        <v>0</v>
      </c>
      <c r="EJ369" s="1"/>
      <c r="EK369" t="str">
        <f>IF(AND(AND(AND(OR($DX369=1,$DW369=1),OR($EC369=1,$EA369=1)),SUM($DV369:$DZ369,$EF369)&gt;=4),SUM($EA369:$EE369)&gt;=2),"Whole sector","")</f>
        <v/>
      </c>
      <c r="EL369" t="str">
        <f>IF(AND(AND(OR($DX369=1,$DW369=1),AND($EC369=0,$EA369=0)),SUM($DV369:$DZ369,$EF369)&gt;=4),"Ecosystem approach","")</f>
        <v/>
      </c>
      <c r="EM369" s="2" t="str">
        <f>IF(AND(AND(AND($DX369=0,$DW369=0),OR($EC369=1,$EA369=1)),SUM($EB369:$EE369)&gt;=2),"Technology approach","")</f>
        <v>Technology approach</v>
      </c>
      <c r="EN369"/>
      <c r="EO369"/>
      <c r="EP369" t="str">
        <f>IF(ISNUMBER(BU369),IF(ABS(BU369-[3]QC_indicators!$B$2)&gt;3*[3]QC_indicators!$C$2,"C ratio",IF(ISNUMBER(BY369),IF(ABS(BY369-[3]QC_indicators!$B$1)&gt;3*[3]QC_indicators!$C$1,"DF","no"))),IF(ISNUMBER(BY369),IF(ABS(BY369-[3]QC_indicators!$B$1)&gt;3*[3]QC_indicators!$C$1,"DF","no")))</f>
        <v>no</v>
      </c>
      <c r="EQ369"/>
      <c r="ER369" s="149"/>
      <c r="ES369"/>
      <c r="ET369" s="264" t="s">
        <v>3407</v>
      </c>
      <c r="EU369"/>
    </row>
    <row r="370" spans="1:151" s="139" customFormat="1" ht="15" customHeight="1">
      <c r="A370" s="1" t="s">
        <v>587</v>
      </c>
      <c r="B370" t="s">
        <v>1448</v>
      </c>
      <c r="C370" t="s">
        <v>1449</v>
      </c>
      <c r="D370" t="s">
        <v>1450</v>
      </c>
      <c r="E370" t="s">
        <v>1451</v>
      </c>
      <c r="F370" t="s">
        <v>1452</v>
      </c>
      <c r="G370" t="s">
        <v>593</v>
      </c>
      <c r="H370" t="s">
        <v>254</v>
      </c>
      <c r="I370">
        <v>2020</v>
      </c>
      <c r="J370">
        <v>12</v>
      </c>
      <c r="K370" t="s">
        <v>1453</v>
      </c>
      <c r="L370"/>
      <c r="M370" t="str">
        <f>LEFT($D370,FIND(",",$D370)-1)&amp;"_"&amp;I370&amp;L370</f>
        <v>Elisa_2020</v>
      </c>
      <c r="N370" s="264" t="s">
        <v>222</v>
      </c>
      <c r="O370" s="171" t="s">
        <v>274</v>
      </c>
      <c r="P370" t="s">
        <v>223</v>
      </c>
      <c r="Q370" s="264" t="s">
        <v>389</v>
      </c>
      <c r="R370" s="269" t="s">
        <v>1154</v>
      </c>
      <c r="S370" s="154" t="s">
        <v>1454</v>
      </c>
      <c r="T370" s="294" t="s">
        <v>1455</v>
      </c>
      <c r="U370" s="143" t="s">
        <v>1509</v>
      </c>
      <c r="V370">
        <v>0</v>
      </c>
      <c r="W370">
        <v>0</v>
      </c>
      <c r="X370">
        <v>0</v>
      </c>
      <c r="Y370">
        <v>0</v>
      </c>
      <c r="Z370">
        <v>0</v>
      </c>
      <c r="AA370">
        <v>0</v>
      </c>
      <c r="AB370">
        <v>0</v>
      </c>
      <c r="AC370">
        <v>0</v>
      </c>
      <c r="AD370">
        <v>0</v>
      </c>
      <c r="AE370">
        <v>1</v>
      </c>
      <c r="AF370">
        <v>0</v>
      </c>
      <c r="AG370">
        <v>0</v>
      </c>
      <c r="AH370">
        <v>0</v>
      </c>
      <c r="AI370">
        <v>0</v>
      </c>
      <c r="AJ370">
        <v>0</v>
      </c>
      <c r="AK370">
        <v>1</v>
      </c>
      <c r="AL370">
        <v>0</v>
      </c>
      <c r="AM370">
        <v>0</v>
      </c>
      <c r="AN370">
        <v>0</v>
      </c>
      <c r="AO370">
        <v>0</v>
      </c>
      <c r="AP370">
        <v>0</v>
      </c>
      <c r="AQ370">
        <v>0</v>
      </c>
      <c r="AR370">
        <v>0</v>
      </c>
      <c r="AS370">
        <v>0</v>
      </c>
      <c r="AT370">
        <v>0</v>
      </c>
      <c r="AU370">
        <v>0</v>
      </c>
      <c r="AV370">
        <v>0</v>
      </c>
      <c r="AW370">
        <v>0</v>
      </c>
      <c r="AX370" s="141">
        <f>COUNTIF(V370:AW370,"&lt;&gt;0")</f>
        <v>2</v>
      </c>
      <c r="AY370" s="141">
        <f>COUNTIF(V370:AL370,"&lt;&gt;0")</f>
        <v>2</v>
      </c>
      <c r="AZ370">
        <f>COUNTIF(V370:AC370,"&lt;&gt;0")</f>
        <v>0</v>
      </c>
      <c r="BA370">
        <f>COUNTIF(AD370:AI370,"&lt;&gt;0")</f>
        <v>1</v>
      </c>
      <c r="BB370">
        <f>COUNTIF(AJ370:AL370,"&lt;&gt;0")</f>
        <v>1</v>
      </c>
      <c r="BC370">
        <f>COUNTIF(AS370:AW370,"&lt;&gt;0")</f>
        <v>0</v>
      </c>
      <c r="BD370">
        <f>COUNTIF(AM370:AR370,"&lt;&gt;0")</f>
        <v>0</v>
      </c>
      <c r="BE370" t="str" cm="1">
        <f t="array" ref="BE370">IF(AY370=1,INDEX($V$7:$AL$7,MATCH(TRUE,INDEX($V370:$AW370&lt;&gt;0,),0)),IF(AY370=0,INDEX($AM$7:$AW$7,MATCH(1,$AM370:$AW370,0)),IF(BF370="Multiple strategies","mixed drivers",IF(BF370="Supply chain","multiple supply","multiple silviculture"))))</f>
        <v>mixed drivers</v>
      </c>
      <c r="BF370" s="2" t="str" cm="1">
        <f t="array" ref="BF370">IF(COUNTIF(AZ370:BB370,"&lt;&gt;0")=1,INDEX($V$4:$AW$4,MATCH(TRUE,INDEX($V370:$AW370&lt;&gt;0,),0)),IF(COUNTIF(AZ370:BB370,"&lt;&gt;0")=0,INDEX($AM$4:$AW$4,MATCH(1,$AM370:$AW370,0)),"Multiple strategies"))</f>
        <v>Multiple strategies</v>
      </c>
      <c r="BG370" s="142" t="s">
        <v>321</v>
      </c>
      <c r="BH370" s="160" t="s">
        <v>1457</v>
      </c>
      <c r="BI370" s="160" t="s">
        <v>1458</v>
      </c>
      <c r="BJ370" s="143" t="s">
        <v>498</v>
      </c>
      <c r="BK370" s="143">
        <v>944</v>
      </c>
      <c r="BL370" s="143">
        <v>13000</v>
      </c>
      <c r="BM370">
        <f>IFERROR(BL372/BK370,"")</f>
        <v>0.10655724991934851</v>
      </c>
      <c r="BN370">
        <f>BL370-BK370</f>
        <v>12056</v>
      </c>
      <c r="BO370" s="159">
        <f>BN370</f>
        <v>12056</v>
      </c>
      <c r="BP370" s="155" t="s">
        <v>232</v>
      </c>
      <c r="BQ370" s="155" t="s">
        <v>1459</v>
      </c>
      <c r="BR370" s="155" t="s">
        <v>825</v>
      </c>
      <c r="BS370" s="143" t="s">
        <v>1463</v>
      </c>
      <c r="BT370" t="s">
        <v>1511</v>
      </c>
      <c r="BU370" s="144">
        <f>BT370/BS370</f>
        <v>2.6368347403620143</v>
      </c>
      <c r="BV370">
        <f>BT370-BS370</f>
        <v>-11.3115797222222</v>
      </c>
      <c r="BW370"/>
      <c r="BX370">
        <f>BV370</f>
        <v>-11.3115797222222</v>
      </c>
      <c r="BY370">
        <f>IFERROR(BX370/BO370,"")</f>
        <v>-9.382531289169045E-4</v>
      </c>
      <c r="BZ370">
        <v>0</v>
      </c>
      <c r="CA370">
        <v>0</v>
      </c>
      <c r="CB370">
        <v>0</v>
      </c>
      <c r="CC370">
        <v>0</v>
      </c>
      <c r="CD370">
        <v>0</v>
      </c>
      <c r="CE370">
        <v>0</v>
      </c>
      <c r="CF370">
        <v>0</v>
      </c>
      <c r="CG370">
        <v>0</v>
      </c>
      <c r="CH370">
        <v>0</v>
      </c>
      <c r="CI370">
        <v>0</v>
      </c>
      <c r="CJ370">
        <v>0</v>
      </c>
      <c r="CK370">
        <v>0</v>
      </c>
      <c r="CL370">
        <v>0</v>
      </c>
      <c r="CM370">
        <v>0</v>
      </c>
      <c r="CN370" t="str">
        <f>IF($BL370&lt;$BK370,"refNeedCorrection","refOK")</f>
        <v>refOK</v>
      </c>
      <c r="CO370">
        <f>IF($CN370="refOK",$BK370,$BL370)</f>
        <v>944</v>
      </c>
      <c r="CP370">
        <f>IF($CN370="refOK",$BL370,$BK370)</f>
        <v>13000</v>
      </c>
      <c r="CQ370">
        <f>IF($CN370="refOK",$BO370,-$BO370)</f>
        <v>12056</v>
      </c>
      <c r="CR370">
        <f>IF($CN370="refOK",$BS370,$BT370)*IF($BP370="Emissions positive",-1,1)</f>
        <v>-6.9106424999999998</v>
      </c>
      <c r="CS370">
        <f>IF($CN370="refOK",$BT370,$BS370)*IF($BP370="Emissions positive",-1,1)</f>
        <v>-18.2222222222222</v>
      </c>
      <c r="CT370">
        <f>IF($CN370="refNeedCorrection",-BX370,BX370)*IF($BP370="Emissions positive",-1,1)</f>
        <v>-11.3115797222222</v>
      </c>
      <c r="CU370">
        <f>IFERROR(CT370/CQ370,"")</f>
        <v>-9.382531289169045E-4</v>
      </c>
      <c r="CV370" s="2">
        <f>IFERROR((CS370-CR370)/ABS(CR370),"")</f>
        <v>-1.6368347403620143</v>
      </c>
      <c r="CW370" s="263" t="s">
        <v>1462</v>
      </c>
      <c r="CX370" s="264" t="str">
        <f>IF(OR($CW370="prd",$CW370="std",$CW370="cit"),"loc",IF(OR($CW370="eur",$CW370="reg",$CW370="coy"),"reg",$CW370))</f>
        <v>reg</v>
      </c>
      <c r="CY370" s="270" t="s">
        <v>743</v>
      </c>
      <c r="CZ370"/>
      <c r="DA370" s="143"/>
      <c r="DB370" s="143">
        <v>0</v>
      </c>
      <c r="DC370" t="str">
        <f>IF(DB370=0,"0",IF(AND(DB370&gt;=1,DB370&lt;=30),"1-30",IF(AND(DB370&gt;30,DB370&lt;=70),"31-70",IF(AND(DB370&gt;70,DB370&lt;=100),"71-100",IF(DB370&gt;100,"+100")))))</f>
        <v>0</v>
      </c>
      <c r="DD370">
        <v>0</v>
      </c>
      <c r="DE370">
        <v>1</v>
      </c>
      <c r="DF370">
        <v>0</v>
      </c>
      <c r="DG370">
        <v>0</v>
      </c>
      <c r="DH370">
        <v>0</v>
      </c>
      <c r="DI370">
        <f>SUM(DD370:DH370)</f>
        <v>1</v>
      </c>
      <c r="DJ370" t="str">
        <f>IF(DI370=1,INDEX($DD$7:$DG$7,MATCH(1,$DD370:$DG370,0)),"mixedProduct")</f>
        <v>EnergyInput</v>
      </c>
      <c r="DK370">
        <f>IF(DD370=1,DK$7,0)</f>
        <v>0</v>
      </c>
      <c r="DL370" t="str">
        <f>IF(DE370=1,DL$7,0)</f>
        <v>Energy</v>
      </c>
      <c r="DM370">
        <f>IF(DF370=1,DM$7,0)</f>
        <v>0</v>
      </c>
      <c r="DN370">
        <f>IF(DG370=1,DN$7,0)</f>
        <v>0</v>
      </c>
      <c r="DO370">
        <v>0</v>
      </c>
      <c r="DP370" s="143">
        <v>0</v>
      </c>
      <c r="DQ370" s="143">
        <v>0</v>
      </c>
      <c r="DR370">
        <v>0</v>
      </c>
      <c r="DS370" s="143">
        <v>0</v>
      </c>
      <c r="DT370">
        <f>SUM(DO370:DP370)</f>
        <v>0</v>
      </c>
      <c r="DU370" s="143" t="str">
        <f>IF(DO370=1,"self-calculated DF",IF(DP370=1,"external DF used","explicit C balance"))</f>
        <v>explicit C balance</v>
      </c>
      <c r="DV370" s="143">
        <v>0</v>
      </c>
      <c r="DW370" s="143">
        <v>0</v>
      </c>
      <c r="DX370" s="143">
        <v>0</v>
      </c>
      <c r="DY370" s="143">
        <v>0</v>
      </c>
      <c r="DZ370">
        <v>0</v>
      </c>
      <c r="EA370" s="143">
        <v>0</v>
      </c>
      <c r="EB370" s="143">
        <v>0</v>
      </c>
      <c r="EC370" s="143">
        <v>1</v>
      </c>
      <c r="ED370" s="143">
        <v>0</v>
      </c>
      <c r="EE370">
        <v>1</v>
      </c>
      <c r="EF370">
        <v>0</v>
      </c>
      <c r="EG370" s="143">
        <v>0</v>
      </c>
      <c r="EH370" s="143">
        <v>0</v>
      </c>
      <c r="EI370" s="2">
        <v>0</v>
      </c>
      <c r="EJ370" s="1"/>
      <c r="EK370" t="str">
        <f>IF(AND(AND(AND(OR($DX370=1,$DW370=1),OR($EC370=1,$EA370=1)),SUM($DV370:$DZ370,$EF370)&gt;=4),SUM($EA370:$EE370)&gt;=2),"Whole sector","")</f>
        <v/>
      </c>
      <c r="EL370" t="str">
        <f>IF(AND(AND(OR($DX370=1,$DW370=1),AND($EC370=0,$EA370=0)),SUM($DV370:$DZ370,$EF370)&gt;=4),"Ecosystem approach","")</f>
        <v/>
      </c>
      <c r="EM370" s="2" t="str">
        <f>IF(AND(AND(AND($DX370=0,$DW370=0),OR($EC370=1,$EA370=1)),SUM($EB370:$EE370)&gt;=2),"Technology approach","")</f>
        <v>Technology approach</v>
      </c>
      <c r="EN370"/>
      <c r="EO370"/>
      <c r="EP370" t="str">
        <f>IF(ISNUMBER(BU370),IF(ABS(BU370-[3]QC_indicators!$B$2)&gt;3*[3]QC_indicators!$C$2,"C ratio",IF(ISNUMBER(BY370),IF(ABS(BY370-[3]QC_indicators!$B$1)&gt;3*[3]QC_indicators!$C$1,"DF","no"))),IF(ISNUMBER(BY370),IF(ABS(BY370-[3]QC_indicators!$B$1)&gt;3*[3]QC_indicators!$C$1,"DF","no")))</f>
        <v>no</v>
      </c>
      <c r="EQ370"/>
      <c r="ER370" s="149"/>
      <c r="ES370"/>
      <c r="ET370" s="264" t="s">
        <v>3407</v>
      </c>
      <c r="EU370"/>
    </row>
    <row r="371" spans="1:151" s="139" customFormat="1" ht="15" customHeight="1">
      <c r="A371" s="256" t="s">
        <v>214</v>
      </c>
      <c r="B371" s="257" t="s">
        <v>215</v>
      </c>
      <c r="C371" s="257" t="s">
        <v>216</v>
      </c>
      <c r="D371" s="257" t="s">
        <v>217</v>
      </c>
      <c r="E371" s="257" t="s">
        <v>218</v>
      </c>
      <c r="F371" s="257" t="s">
        <v>219</v>
      </c>
      <c r="G371" s="257" t="s">
        <v>220</v>
      </c>
      <c r="H371" s="257"/>
      <c r="I371" s="257">
        <v>2012</v>
      </c>
      <c r="J371" s="257"/>
      <c r="K371" s="257" t="s">
        <v>221</v>
      </c>
      <c r="L371" s="257"/>
      <c r="M371" s="257" t="s">
        <v>3070</v>
      </c>
      <c r="N371" s="257" t="s">
        <v>222</v>
      </c>
      <c r="O371" s="275" t="s">
        <v>223</v>
      </c>
      <c r="P371" s="257"/>
      <c r="Q371" s="257" t="s">
        <v>224</v>
      </c>
      <c r="R371" s="258" t="s">
        <v>225</v>
      </c>
      <c r="S371" s="256" t="s">
        <v>241</v>
      </c>
      <c r="T371" s="257" t="s">
        <v>242</v>
      </c>
      <c r="U371" s="276" t="s">
        <v>243</v>
      </c>
      <c r="V371" s="257">
        <v>0</v>
      </c>
      <c r="W371" s="257">
        <v>0</v>
      </c>
      <c r="X371" s="257">
        <v>0</v>
      </c>
      <c r="Y371" s="257">
        <v>0</v>
      </c>
      <c r="Z371" s="257">
        <v>0</v>
      </c>
      <c r="AA371" s="257">
        <v>0</v>
      </c>
      <c r="AB371" s="257">
        <v>0</v>
      </c>
      <c r="AC371" s="257">
        <v>1</v>
      </c>
      <c r="AD371" s="257">
        <v>0</v>
      </c>
      <c r="AE371" s="257">
        <v>0</v>
      </c>
      <c r="AF371" s="257">
        <v>0</v>
      </c>
      <c r="AG371" s="257">
        <v>0</v>
      </c>
      <c r="AH371" s="257">
        <v>0</v>
      </c>
      <c r="AI371" s="257">
        <v>0</v>
      </c>
      <c r="AJ371" s="257">
        <v>0</v>
      </c>
      <c r="AK371" s="257">
        <v>0</v>
      </c>
      <c r="AL371" s="257">
        <v>0</v>
      </c>
      <c r="AM371" s="257">
        <v>0</v>
      </c>
      <c r="AN371" s="257">
        <v>0</v>
      </c>
      <c r="AO371" s="257">
        <v>0</v>
      </c>
      <c r="AP371" s="257">
        <v>0</v>
      </c>
      <c r="AQ371" s="257">
        <v>0</v>
      </c>
      <c r="AR371" s="257">
        <v>0</v>
      </c>
      <c r="AS371" s="257">
        <v>0</v>
      </c>
      <c r="AT371" s="257">
        <v>0</v>
      </c>
      <c r="AU371" s="257">
        <v>0</v>
      </c>
      <c r="AV371" s="257">
        <v>0</v>
      </c>
      <c r="AW371" s="257">
        <v>0</v>
      </c>
      <c r="AX371" s="277">
        <v>1</v>
      </c>
      <c r="AY371" s="277">
        <v>1</v>
      </c>
      <c r="AZ371" s="257">
        <v>1</v>
      </c>
      <c r="BA371" s="257">
        <v>0</v>
      </c>
      <c r="BB371" s="257">
        <v>0</v>
      </c>
      <c r="BC371" s="257">
        <v>0</v>
      </c>
      <c r="BD371" s="257">
        <v>0</v>
      </c>
      <c r="BE371" s="257" t="s">
        <v>95</v>
      </c>
      <c r="BF371" s="2" t="str" cm="1">
        <f t="array" ref="BF371">IF(COUNTIF(AZ371:BB371,"&lt;&gt;0")=1,INDEX($V$4:$AW$4,MATCH(TRUE,INDEX($V371:$AW371&lt;&gt;0,),0)),IF(COUNTIF(AZ371:BB371,"&lt;&gt;0")=0,INDEX($AM$4:$AW$4,MATCH(1,$AM371:$AW371,0)),"Multiple strategies"))</f>
        <v>Silviculture for productivity</v>
      </c>
      <c r="BG371" s="278" t="s">
        <v>229</v>
      </c>
      <c r="BH371" s="257" t="s">
        <v>230</v>
      </c>
      <c r="BI371" s="279" t="s">
        <v>3071</v>
      </c>
      <c r="BJ371" s="276" t="s">
        <v>231</v>
      </c>
      <c r="BK371" s="257">
        <v>124.699677125181</v>
      </c>
      <c r="BL371" s="257">
        <v>127.190336749634</v>
      </c>
      <c r="BM371" s="276">
        <v>1.0199732644211479</v>
      </c>
      <c r="BN371" s="257">
        <v>2.4906596244530022</v>
      </c>
      <c r="BO371" s="276">
        <v>5.0829788254142905</v>
      </c>
      <c r="BP371" s="276" t="s">
        <v>232</v>
      </c>
      <c r="BQ371" s="282" t="s">
        <v>2625</v>
      </c>
      <c r="BR371" s="276" t="s">
        <v>233</v>
      </c>
      <c r="BS371" s="257">
        <v>-7.9158553717989797</v>
      </c>
      <c r="BT371" s="257">
        <v>-11.589751098096601</v>
      </c>
      <c r="BU371" s="259">
        <v>1.4641186016846945</v>
      </c>
      <c r="BV371" s="257">
        <v>-3.6738957262976211</v>
      </c>
      <c r="BW371" s="257"/>
      <c r="BX371" s="257">
        <v>-3.6738957262976209E-3</v>
      </c>
      <c r="BY371" s="257">
        <v>-7.2278399192390462E-4</v>
      </c>
      <c r="BZ371" s="257">
        <v>0</v>
      </c>
      <c r="CA371" s="257">
        <v>0</v>
      </c>
      <c r="CB371" s="257">
        <v>0</v>
      </c>
      <c r="CC371" s="257">
        <v>0</v>
      </c>
      <c r="CD371" s="257">
        <v>0</v>
      </c>
      <c r="CE371" s="257">
        <v>0</v>
      </c>
      <c r="CF371" s="257">
        <v>0</v>
      </c>
      <c r="CG371" s="257">
        <v>0</v>
      </c>
      <c r="CH371" s="257">
        <v>0</v>
      </c>
      <c r="CI371" s="257">
        <v>0</v>
      </c>
      <c r="CJ371" s="257">
        <v>0</v>
      </c>
      <c r="CK371" s="257">
        <v>0</v>
      </c>
      <c r="CL371" s="257">
        <v>0</v>
      </c>
      <c r="CM371" s="257">
        <v>0</v>
      </c>
      <c r="CN371" s="257" t="s">
        <v>3072</v>
      </c>
      <c r="CO371" s="257">
        <v>124.699677125181</v>
      </c>
      <c r="CP371" s="257">
        <v>127.190336749634</v>
      </c>
      <c r="CQ371" s="257">
        <v>5.0829788254142905</v>
      </c>
      <c r="CR371" s="257">
        <v>-7.9158553717989797</v>
      </c>
      <c r="CS371" s="257">
        <v>-11.589751098096601</v>
      </c>
      <c r="CT371" s="257">
        <v>-3.6738957262976209E-3</v>
      </c>
      <c r="CU371" s="257">
        <v>-7.2278399192390462E-4</v>
      </c>
      <c r="CV371" s="258">
        <v>-0.46411860168469465</v>
      </c>
      <c r="CW371" s="256" t="s">
        <v>234</v>
      </c>
      <c r="CX371" s="257" t="s">
        <v>3073</v>
      </c>
      <c r="CY371" s="257" t="s">
        <v>235</v>
      </c>
      <c r="CZ371" s="257"/>
      <c r="DA371" s="276"/>
      <c r="DB371" s="276">
        <v>80</v>
      </c>
      <c r="DC371" s="257" t="s">
        <v>3074</v>
      </c>
      <c r="DD371" s="257">
        <v>0</v>
      </c>
      <c r="DE371" s="257">
        <v>1</v>
      </c>
      <c r="DF371" s="257">
        <v>0</v>
      </c>
      <c r="DG371" s="257">
        <v>0</v>
      </c>
      <c r="DH371" s="257"/>
      <c r="DI371" s="257">
        <v>1</v>
      </c>
      <c r="DJ371" s="257" t="s">
        <v>173</v>
      </c>
      <c r="DK371" s="257">
        <v>0</v>
      </c>
      <c r="DL371" s="257" t="s">
        <v>180</v>
      </c>
      <c r="DM371" s="257">
        <v>0</v>
      </c>
      <c r="DN371" s="257">
        <v>0</v>
      </c>
      <c r="DO371" s="257">
        <v>0</v>
      </c>
      <c r="DP371" s="276">
        <v>0</v>
      </c>
      <c r="DQ371" s="276">
        <v>0</v>
      </c>
      <c r="DR371" s="276">
        <v>0</v>
      </c>
      <c r="DS371" s="276">
        <v>0</v>
      </c>
      <c r="DT371" s="257">
        <v>0</v>
      </c>
      <c r="DU371" s="276" t="s">
        <v>962</v>
      </c>
      <c r="DV371" s="276">
        <v>1</v>
      </c>
      <c r="DW371" s="276">
        <v>1</v>
      </c>
      <c r="DX371" s="276">
        <v>1</v>
      </c>
      <c r="DY371" s="276">
        <v>0</v>
      </c>
      <c r="DZ371" s="257">
        <v>0</v>
      </c>
      <c r="EA371" s="276">
        <v>0</v>
      </c>
      <c r="EB371" s="276">
        <v>1</v>
      </c>
      <c r="EC371" s="276">
        <v>1</v>
      </c>
      <c r="ED371" s="276">
        <v>0</v>
      </c>
      <c r="EE371" s="276">
        <v>0</v>
      </c>
      <c r="EF371" s="257">
        <v>1</v>
      </c>
      <c r="EG371" s="276">
        <v>0</v>
      </c>
      <c r="EH371" s="257">
        <v>0</v>
      </c>
      <c r="EI371" s="258">
        <v>0</v>
      </c>
      <c r="EJ371" s="256"/>
      <c r="EK371" t="str">
        <f>IF(AND(AND(AND(OR($DX371=1,$DW371=1),OR($EC371=1,$EA371=1)),SUM($DV371:$DZ371,$EF371)&gt;=4),SUM($EA371:$EE371)&gt;=2),"Whole sector","")</f>
        <v>Whole sector</v>
      </c>
      <c r="EL371" t="str">
        <f>IF(AND(AND(OR($DX371=1,$DW371=1),AND($EC371=0,$EA371=0)),SUM($DV371:$DZ371,$EF371)&gt;=4),"Ecosystem approach","")</f>
        <v/>
      </c>
      <c r="EM371" s="258" t="s">
        <v>544</v>
      </c>
      <c r="EN371" s="257" t="s">
        <v>236</v>
      </c>
      <c r="EO371" s="257"/>
      <c r="EP371" t="str">
        <f>IF(ISNUMBER(BU371),IF(ABS(BU371-[2]QC_indicators!$B$2)&gt;3*[2]QC_indicators!$C$2,"C ratio",IF(ISNUMBER(BY371),IF(ABS(BY371-[2]QC_indicators!$B$1)&gt;3*[2]QC_indicators!$C$1,"DF","no"))),IF(ISNUMBER(BY371),IF(ABS(BY371-[2]QC_indicators!$B$1)&gt;3*[2]QC_indicators!$C$1,"DF","no")))</f>
        <v>no</v>
      </c>
      <c r="EQ371"/>
      <c r="ER371"/>
      <c r="ES371"/>
      <c r="ET371"/>
      <c r="EU371"/>
    </row>
    <row r="372" spans="1:151" s="139" customFormat="1" ht="15" customHeight="1">
      <c r="A372" s="256" t="s">
        <v>214</v>
      </c>
      <c r="B372" s="257" t="s">
        <v>215</v>
      </c>
      <c r="C372" s="257" t="s">
        <v>216</v>
      </c>
      <c r="D372" s="257" t="s">
        <v>217</v>
      </c>
      <c r="E372" s="257" t="s">
        <v>218</v>
      </c>
      <c r="F372" s="257" t="s">
        <v>219</v>
      </c>
      <c r="G372" s="257" t="s">
        <v>220</v>
      </c>
      <c r="H372" s="257"/>
      <c r="I372" s="257">
        <v>2012</v>
      </c>
      <c r="J372" s="257"/>
      <c r="K372" s="257" t="s">
        <v>221</v>
      </c>
      <c r="L372" s="257"/>
      <c r="M372" s="257" t="s">
        <v>3070</v>
      </c>
      <c r="N372" s="257" t="s">
        <v>222</v>
      </c>
      <c r="O372" s="275" t="s">
        <v>223</v>
      </c>
      <c r="P372" s="257"/>
      <c r="Q372" s="257" t="s">
        <v>224</v>
      </c>
      <c r="R372" s="258" t="s">
        <v>225</v>
      </c>
      <c r="S372" s="256" t="s">
        <v>241</v>
      </c>
      <c r="T372" s="257" t="s">
        <v>242</v>
      </c>
      <c r="U372" s="276" t="s">
        <v>243</v>
      </c>
      <c r="V372" s="257">
        <v>0</v>
      </c>
      <c r="W372" s="257">
        <v>0</v>
      </c>
      <c r="X372" s="257">
        <v>0</v>
      </c>
      <c r="Y372" s="257">
        <v>0</v>
      </c>
      <c r="Z372" s="257">
        <v>0</v>
      </c>
      <c r="AA372" s="257">
        <v>0</v>
      </c>
      <c r="AB372" s="257">
        <v>0</v>
      </c>
      <c r="AC372" s="257">
        <v>1</v>
      </c>
      <c r="AD372" s="257">
        <v>0</v>
      </c>
      <c r="AE372" s="257">
        <v>0</v>
      </c>
      <c r="AF372" s="257">
        <v>0</v>
      </c>
      <c r="AG372" s="257">
        <v>0</v>
      </c>
      <c r="AH372" s="257">
        <v>0</v>
      </c>
      <c r="AI372" s="257">
        <v>0</v>
      </c>
      <c r="AJ372" s="257">
        <v>0</v>
      </c>
      <c r="AK372" s="257">
        <v>0</v>
      </c>
      <c r="AL372" s="257">
        <v>0</v>
      </c>
      <c r="AM372" s="257">
        <v>0</v>
      </c>
      <c r="AN372" s="257">
        <v>0</v>
      </c>
      <c r="AO372" s="257">
        <v>0</v>
      </c>
      <c r="AP372" s="257">
        <v>0</v>
      </c>
      <c r="AQ372" s="257">
        <v>0</v>
      </c>
      <c r="AR372" s="257">
        <v>0</v>
      </c>
      <c r="AS372" s="257">
        <v>0</v>
      </c>
      <c r="AT372" s="257">
        <v>0</v>
      </c>
      <c r="AU372" s="257">
        <v>0</v>
      </c>
      <c r="AV372" s="257">
        <v>0</v>
      </c>
      <c r="AW372" s="257">
        <v>0</v>
      </c>
      <c r="AX372" s="277">
        <v>1</v>
      </c>
      <c r="AY372" s="277">
        <v>1</v>
      </c>
      <c r="AZ372" s="257">
        <v>1</v>
      </c>
      <c r="BA372" s="257">
        <v>0</v>
      </c>
      <c r="BB372" s="257">
        <v>0</v>
      </c>
      <c r="BC372" s="257">
        <v>0</v>
      </c>
      <c r="BD372" s="257">
        <v>0</v>
      </c>
      <c r="BE372" s="257" t="s">
        <v>95</v>
      </c>
      <c r="BF372" s="2" t="str" cm="1">
        <f t="array" ref="BF372">IF(COUNTIF(AZ372:BB372,"&lt;&gt;0")=1,INDEX($V$4:$AW$4,MATCH(TRUE,INDEX($V372:$AW372&lt;&gt;0,),0)),IF(COUNTIF(AZ372:BB372,"&lt;&gt;0")=0,INDEX($AM$4:$AW$4,MATCH(1,$AM372:$AW372,0)),"Multiple strategies"))</f>
        <v>Silviculture for productivity</v>
      </c>
      <c r="BG372" s="278" t="s">
        <v>229</v>
      </c>
      <c r="BH372" s="257" t="s">
        <v>230</v>
      </c>
      <c r="BI372" s="279" t="s">
        <v>3071</v>
      </c>
      <c r="BJ372" s="276" t="s">
        <v>231</v>
      </c>
      <c r="BK372" s="257">
        <v>98.063244029280497</v>
      </c>
      <c r="BL372" s="257">
        <v>100.590043923865</v>
      </c>
      <c r="BM372" s="276">
        <v>1.0257670437032456</v>
      </c>
      <c r="BN372" s="257">
        <v>2.5267998945844994</v>
      </c>
      <c r="BO372" s="276">
        <v>5.1567344787438767</v>
      </c>
      <c r="BP372" s="276" t="s">
        <v>232</v>
      </c>
      <c r="BQ372" s="282" t="s">
        <v>2625</v>
      </c>
      <c r="BR372" s="276" t="s">
        <v>233</v>
      </c>
      <c r="BS372" s="257">
        <v>-8.1244670100805898</v>
      </c>
      <c r="BT372" s="257">
        <v>-11.8040995607613</v>
      </c>
      <c r="BU372" s="259">
        <v>1.4529075625656593</v>
      </c>
      <c r="BV372" s="257">
        <v>-3.6796325506807097</v>
      </c>
      <c r="BW372" s="257"/>
      <c r="BX372" s="257">
        <v>-3.6796325506807098E-3</v>
      </c>
      <c r="BY372" s="257">
        <v>-7.1355866117369445E-4</v>
      </c>
      <c r="BZ372" s="257">
        <v>0</v>
      </c>
      <c r="CA372" s="257">
        <v>0</v>
      </c>
      <c r="CB372" s="257">
        <v>0</v>
      </c>
      <c r="CC372" s="257">
        <v>0</v>
      </c>
      <c r="CD372" s="257">
        <v>0</v>
      </c>
      <c r="CE372" s="257">
        <v>0</v>
      </c>
      <c r="CF372" s="257">
        <v>0</v>
      </c>
      <c r="CG372" s="257">
        <v>0</v>
      </c>
      <c r="CH372" s="257">
        <v>0</v>
      </c>
      <c r="CI372" s="257">
        <v>0</v>
      </c>
      <c r="CJ372" s="257">
        <v>0</v>
      </c>
      <c r="CK372" s="257">
        <v>0</v>
      </c>
      <c r="CL372" s="257">
        <v>0</v>
      </c>
      <c r="CM372" s="257">
        <v>0</v>
      </c>
      <c r="CN372" s="257" t="s">
        <v>3072</v>
      </c>
      <c r="CO372" s="257">
        <v>98.063244029280497</v>
      </c>
      <c r="CP372" s="257">
        <v>100.590043923865</v>
      </c>
      <c r="CQ372" s="257">
        <v>5.1567344787438767</v>
      </c>
      <c r="CR372" s="257">
        <v>-8.1244670100805898</v>
      </c>
      <c r="CS372" s="257">
        <v>-11.8040995607613</v>
      </c>
      <c r="CT372" s="257">
        <v>-3.6796325506807098E-3</v>
      </c>
      <c r="CU372" s="257">
        <v>-7.1355866117369445E-4</v>
      </c>
      <c r="CV372" s="258">
        <v>-0.45290756256565928</v>
      </c>
      <c r="CW372" s="256" t="s">
        <v>234</v>
      </c>
      <c r="CX372" s="257" t="s">
        <v>3073</v>
      </c>
      <c r="CY372" s="257" t="s">
        <v>235</v>
      </c>
      <c r="CZ372" s="257"/>
      <c r="DA372" s="276"/>
      <c r="DB372" s="276">
        <v>80</v>
      </c>
      <c r="DC372" s="257" t="s">
        <v>3074</v>
      </c>
      <c r="DD372" s="257">
        <v>0</v>
      </c>
      <c r="DE372" s="257">
        <v>1</v>
      </c>
      <c r="DF372" s="257">
        <v>0</v>
      </c>
      <c r="DG372" s="257">
        <v>0</v>
      </c>
      <c r="DH372" s="257"/>
      <c r="DI372" s="257">
        <v>1</v>
      </c>
      <c r="DJ372" s="257" t="s">
        <v>173</v>
      </c>
      <c r="DK372" s="257">
        <v>0</v>
      </c>
      <c r="DL372" s="257" t="s">
        <v>180</v>
      </c>
      <c r="DM372" s="257">
        <v>0</v>
      </c>
      <c r="DN372" s="257">
        <v>0</v>
      </c>
      <c r="DO372" s="257">
        <v>0</v>
      </c>
      <c r="DP372" s="276">
        <v>0</v>
      </c>
      <c r="DQ372" s="276">
        <v>0</v>
      </c>
      <c r="DR372" s="276">
        <v>0</v>
      </c>
      <c r="DS372" s="276">
        <v>0</v>
      </c>
      <c r="DT372" s="257">
        <v>0</v>
      </c>
      <c r="DU372" s="276" t="s">
        <v>962</v>
      </c>
      <c r="DV372" s="276">
        <v>1</v>
      </c>
      <c r="DW372" s="276">
        <v>1</v>
      </c>
      <c r="DX372" s="276">
        <v>1</v>
      </c>
      <c r="DY372" s="276">
        <v>0</v>
      </c>
      <c r="DZ372" s="257">
        <v>0</v>
      </c>
      <c r="EA372" s="276">
        <v>0</v>
      </c>
      <c r="EB372" s="276">
        <v>1</v>
      </c>
      <c r="EC372" s="276">
        <v>1</v>
      </c>
      <c r="ED372" s="276">
        <v>0</v>
      </c>
      <c r="EE372" s="276">
        <v>0</v>
      </c>
      <c r="EF372" s="257">
        <v>1</v>
      </c>
      <c r="EG372" s="276">
        <v>0</v>
      </c>
      <c r="EH372" s="257">
        <v>0</v>
      </c>
      <c r="EI372" s="258">
        <v>0</v>
      </c>
      <c r="EJ372" s="256"/>
      <c r="EK372" t="str">
        <f>IF(AND(AND(AND(OR($DX372=1,$DW372=1),OR($EC372=1,$EA372=1)),SUM($DV372:$DZ372,$EF372)&gt;=4),SUM($EA372:$EE372)&gt;=2),"Whole sector","")</f>
        <v>Whole sector</v>
      </c>
      <c r="EL372" t="str">
        <f>IF(AND(AND(OR($DX372=1,$DW372=1),AND($EC372=0,$EA372=0)),SUM($DV372:$DZ372,$EF372)&gt;=4),"Ecosystem approach","")</f>
        <v/>
      </c>
      <c r="EM372" s="258" t="s">
        <v>544</v>
      </c>
      <c r="EN372" s="257" t="s">
        <v>236</v>
      </c>
      <c r="EO372" s="257"/>
      <c r="EP372" t="str">
        <f>IF(ISNUMBER(BU372),IF(ABS(BU372-[2]QC_indicators!$B$2)&gt;3*[2]QC_indicators!$C$2,"C ratio",IF(ISNUMBER(BY372),IF(ABS(BY372-[2]QC_indicators!$B$1)&gt;3*[2]QC_indicators!$C$1,"DF","no"))),IF(ISNUMBER(BY372),IF(ABS(BY372-[2]QC_indicators!$B$1)&gt;3*[2]QC_indicators!$C$1,"DF","no")))</f>
        <v>no</v>
      </c>
      <c r="EQ372"/>
      <c r="ER372"/>
      <c r="ES372"/>
      <c r="ET372"/>
      <c r="EU372"/>
    </row>
    <row r="373" spans="1:151" s="139" customFormat="1" ht="15" customHeight="1">
      <c r="A373" s="1" t="s">
        <v>1127</v>
      </c>
      <c r="B373" t="s">
        <v>1128</v>
      </c>
      <c r="C373" t="s">
        <v>1129</v>
      </c>
      <c r="D373" t="s">
        <v>1130</v>
      </c>
      <c r="E373" t="s">
        <v>1131</v>
      </c>
      <c r="F373" t="s">
        <v>1132</v>
      </c>
      <c r="G373" t="s">
        <v>1133</v>
      </c>
      <c r="H373" t="s">
        <v>254</v>
      </c>
      <c r="I373">
        <v>2018</v>
      </c>
      <c r="J373">
        <v>42</v>
      </c>
      <c r="K373" t="s">
        <v>1134</v>
      </c>
      <c r="L373"/>
      <c r="M373" t="str">
        <f>LEFT($D373,FIND(",",$D373)-1)&amp;"_"&amp;I373&amp;L373</f>
        <v>Sandanayake_2018</v>
      </c>
      <c r="N373" t="s">
        <v>222</v>
      </c>
      <c r="O373" s="145" t="s">
        <v>341</v>
      </c>
      <c r="P373"/>
      <c r="Q373" t="s">
        <v>256</v>
      </c>
      <c r="R373" s="262" t="s">
        <v>223</v>
      </c>
      <c r="S373" s="1" t="s">
        <v>1135</v>
      </c>
      <c r="T373" s="264" t="s">
        <v>3237</v>
      </c>
      <c r="U373" s="264" t="s">
        <v>3238</v>
      </c>
      <c r="V373">
        <v>0</v>
      </c>
      <c r="W373">
        <v>0</v>
      </c>
      <c r="X373">
        <v>0</v>
      </c>
      <c r="Y373">
        <v>0</v>
      </c>
      <c r="Z373">
        <v>0</v>
      </c>
      <c r="AA373">
        <v>0</v>
      </c>
      <c r="AB373">
        <v>0</v>
      </c>
      <c r="AC373">
        <v>0</v>
      </c>
      <c r="AD373">
        <v>0</v>
      </c>
      <c r="AE373">
        <v>0</v>
      </c>
      <c r="AF373">
        <v>0</v>
      </c>
      <c r="AG373">
        <v>0</v>
      </c>
      <c r="AH373">
        <v>0</v>
      </c>
      <c r="AI373">
        <v>0</v>
      </c>
      <c r="AJ373">
        <v>0</v>
      </c>
      <c r="AK373">
        <v>1</v>
      </c>
      <c r="AL373">
        <v>0</v>
      </c>
      <c r="AM373">
        <v>0</v>
      </c>
      <c r="AN373">
        <v>0</v>
      </c>
      <c r="AO373">
        <v>0</v>
      </c>
      <c r="AP373">
        <v>0</v>
      </c>
      <c r="AQ373">
        <v>0</v>
      </c>
      <c r="AR373">
        <v>0</v>
      </c>
      <c r="AS373">
        <v>0</v>
      </c>
      <c r="AT373">
        <v>0</v>
      </c>
      <c r="AU373">
        <v>0</v>
      </c>
      <c r="AV373">
        <v>0</v>
      </c>
      <c r="AW373">
        <v>0</v>
      </c>
      <c r="AX373" s="141">
        <f>COUNTIF(V373:AW373,"&lt;&gt;0")</f>
        <v>1</v>
      </c>
      <c r="AY373" s="141">
        <f>COUNTIF(V373:AL373,"&lt;&gt;0")</f>
        <v>1</v>
      </c>
      <c r="AZ373">
        <f>COUNTIF(V373:AC373,"&lt;&gt;0")</f>
        <v>0</v>
      </c>
      <c r="BA373">
        <f>COUNTIF(AD373:AI373,"&lt;&gt;0")</f>
        <v>0</v>
      </c>
      <c r="BB373">
        <f>COUNTIF(AJ373:AL373,"&lt;&gt;0")</f>
        <v>1</v>
      </c>
      <c r="BC373">
        <f>COUNTIF(AS373:AW373,"&lt;&gt;0")</f>
        <v>0</v>
      </c>
      <c r="BD373">
        <f>COUNTIF(AM373:AR373,"&lt;&gt;0")</f>
        <v>0</v>
      </c>
      <c r="BE373" t="str">
        <f t="array" ref="BE373">IF(AY373=1,INDEX($V$7:$AL$7,MATCH(TRUE,INDEX($V373:$AW373&lt;&gt;0,),0)),IF(AY373=0,INDEX($AM$7:$AW$7,MATCH(1,$AM373:$AW373,0)),IF(BF373="Multiple strategies","mixed drivers",IF(BF373="Supply chain","multiple supply","multiple silviculture"))))</f>
        <v>technologies/design switch</v>
      </c>
      <c r="BF373" s="2" t="str" cm="1">
        <f t="array" ref="BF373">IF(COUNTIF(AZ373:BB373,"&lt;&gt;0")=1,INDEX($V$4:$AW$4,MATCH(TRUE,INDEX($V373:$AW373&lt;&gt;0,),0)),IF(COUNTIF(AZ373:BB373,"&lt;&gt;0")=0,INDEX($AM$4:$AW$4,MATCH(1,$AM373:$AW373,0)),"Multiple strategies"))</f>
        <v>Technology</v>
      </c>
      <c r="BG373" s="1" t="s">
        <v>229</v>
      </c>
      <c r="BH373" t="s">
        <v>1136</v>
      </c>
      <c r="BI373" s="264" t="s">
        <v>611</v>
      </c>
      <c r="BJ373" t="s">
        <v>498</v>
      </c>
      <c r="BK373">
        <v>0</v>
      </c>
      <c r="BL373">
        <v>4650</v>
      </c>
      <c r="BM373"/>
      <c r="BN373">
        <f>BL373-BK373</f>
        <v>4650</v>
      </c>
      <c r="BO373">
        <f>BN373</f>
        <v>4650</v>
      </c>
      <c r="BP373" t="s">
        <v>232</v>
      </c>
      <c r="BQ373" s="267" t="s">
        <v>3239</v>
      </c>
      <c r="BR373" s="264" t="s">
        <v>3240</v>
      </c>
      <c r="BS373">
        <v>8956.2000000000007</v>
      </c>
      <c r="BT373">
        <v>6084.86</v>
      </c>
      <c r="BU373" s="144">
        <v>0.97173414820473647</v>
      </c>
      <c r="BV373">
        <f>BT373-BS373</f>
        <v>-2871.3400000000011</v>
      </c>
      <c r="BW373"/>
      <c r="BX373" s="144">
        <f>BV373*0.001</f>
        <v>-2.8713400000000013</v>
      </c>
      <c r="BY373">
        <f>IFERROR(BX373/BO373,"")</f>
        <v>-6.1749247311827988E-4</v>
      </c>
      <c r="BZ373">
        <v>0</v>
      </c>
      <c r="CA373">
        <v>1</v>
      </c>
      <c r="CB373">
        <v>0</v>
      </c>
      <c r="CC373">
        <v>1</v>
      </c>
      <c r="CD373">
        <v>0</v>
      </c>
      <c r="CE373">
        <v>0</v>
      </c>
      <c r="CF373">
        <v>0</v>
      </c>
      <c r="CG373">
        <v>0</v>
      </c>
      <c r="CH373">
        <v>0</v>
      </c>
      <c r="CI373">
        <v>0</v>
      </c>
      <c r="CJ373">
        <v>0</v>
      </c>
      <c r="CK373">
        <v>0</v>
      </c>
      <c r="CL373">
        <v>0</v>
      </c>
      <c r="CM373">
        <v>0</v>
      </c>
      <c r="CN373" t="str">
        <f>IF($BL373&lt;$BK373,"refNeedCorrection","refOK")</f>
        <v>refOK</v>
      </c>
      <c r="CO373">
        <f>IF($CN373="refNeedCorrection",BL373,BK373)</f>
        <v>0</v>
      </c>
      <c r="CP373">
        <f>IF($CN373="refNeedCorrection",BK373,BL373)</f>
        <v>4650</v>
      </c>
      <c r="CQ373">
        <f>IF($CN373="refOK",$BO373,-$BO373)</f>
        <v>4650</v>
      </c>
      <c r="CR373">
        <f>IF($CN373="refOK",$BS373,$BT373)*IF($BP373="Emissions positive",-1,1)</f>
        <v>8956.2000000000007</v>
      </c>
      <c r="CS373">
        <f>IF($CN373="refOK",$BT373,$BS373)*IF($BP373="Emissions positive",-1,1)</f>
        <v>6084.86</v>
      </c>
      <c r="CT373">
        <f>IF($CN373="refNeedCorrection",-BX373,BX373)*IF($BP373="Emissions positive",-1,1)</f>
        <v>-2.8713400000000013</v>
      </c>
      <c r="CU373">
        <f>IFERROR(CT373/CQ373,"")</f>
        <v>-6.1749247311827988E-4</v>
      </c>
      <c r="CV373" s="2">
        <f>IFERROR((CS373-CR373)/ABS(CR373),"")</f>
        <v>-0.32059802148232519</v>
      </c>
      <c r="CW373" s="1" t="s">
        <v>263</v>
      </c>
      <c r="CX373" t="str">
        <f>IF(OR($CW373="prd",$CW373="std",$CW373="cit"),"loc",IF(OR($CW373="eur",$CW373="reg",$CW373="coy"),"reg",$CW373))</f>
        <v>loc</v>
      </c>
      <c r="CY373" t="s">
        <v>574</v>
      </c>
      <c r="CZ373"/>
      <c r="DA373"/>
      <c r="DB373">
        <v>0</v>
      </c>
      <c r="DC373" t="str">
        <f>IF(DB373=0,"0",IF(AND(DB373&gt;=1,DB373&lt;=30),"1-30",IF(AND(DB373&gt;30,DB373&lt;=70),"31-70",IF(AND(DB373&gt;70,DB373&lt;=100),"71-100",IF(DB373&gt;100,"+100")))))</f>
        <v>0</v>
      </c>
      <c r="DD373">
        <v>0</v>
      </c>
      <c r="DE373">
        <v>0</v>
      </c>
      <c r="DF373">
        <v>0</v>
      </c>
      <c r="DG373">
        <v>1</v>
      </c>
      <c r="DH373"/>
      <c r="DI373">
        <f>SUM(DD373:DG373)</f>
        <v>1</v>
      </c>
      <c r="DJ373" t="str">
        <f>IF(DI373=1,INDEX($DD$7:$DG$7,MATCH(1,$DD373:$DG373,0)),"mixedProduct")</f>
        <v>TimberInput</v>
      </c>
      <c r="DK373">
        <f>IF(DD373=1,DK$7,0)</f>
        <v>0</v>
      </c>
      <c r="DL373">
        <f>IF(DE373=1,DL$7,0)</f>
        <v>0</v>
      </c>
      <c r="DM373">
        <f>IF(DF373=1,DM$7,0)</f>
        <v>0</v>
      </c>
      <c r="DN373" t="str">
        <f>IF(DG373=1,DN$7,0)</f>
        <v>Timber</v>
      </c>
      <c r="DO373">
        <v>1</v>
      </c>
      <c r="DP373">
        <v>0</v>
      </c>
      <c r="DQ373">
        <v>0</v>
      </c>
      <c r="DR373">
        <v>0</v>
      </c>
      <c r="DS373">
        <v>0</v>
      </c>
      <c r="DT373">
        <f>SUM(DO373:DP373)</f>
        <v>1</v>
      </c>
      <c r="DU373" s="143" t="str">
        <f>IF(DO373=1,"self-calculated DF",IF(DP373=1,"external DF used","explicit C balance"))</f>
        <v>self-calculated DF</v>
      </c>
      <c r="DV373">
        <v>0</v>
      </c>
      <c r="DW373">
        <v>0</v>
      </c>
      <c r="DX373">
        <v>0</v>
      </c>
      <c r="DY373">
        <v>0</v>
      </c>
      <c r="DZ373">
        <v>0</v>
      </c>
      <c r="EA373" s="143">
        <v>0</v>
      </c>
      <c r="EB373">
        <v>1</v>
      </c>
      <c r="EC373">
        <v>1</v>
      </c>
      <c r="ED373">
        <v>1</v>
      </c>
      <c r="EE373">
        <v>0</v>
      </c>
      <c r="EF373">
        <v>0</v>
      </c>
      <c r="EG373">
        <v>0</v>
      </c>
      <c r="EH373">
        <v>0</v>
      </c>
      <c r="EI373" s="2">
        <v>0</v>
      </c>
      <c r="EJ373" s="1"/>
      <c r="EK373" t="str">
        <f>IF(AND(AND(AND(OR($DX373=1,$DW373=1),OR($EC373=1,$EA373=1)),SUM($DV373:$DZ373,$EF373)&gt;=4),SUM($EA373:$EE373)&gt;=2),"Whole sector","")</f>
        <v/>
      </c>
      <c r="EL373" t="str">
        <f>IF(AND(AND(OR($DX373=1,$DW373=1),AND($EC373=0,$EA373=0)),SUM($DV373:$DZ373,$EF373)&gt;=4),"Ecosystem approach","")</f>
        <v/>
      </c>
      <c r="EM373" s="2" t="str">
        <f>IF(AND(AND(AND($DX373=0,$DW373=0),OR($EC373=1,$EA373=1)),SUM($EB373:$EE373)&gt;=2),"Technology approach","")</f>
        <v>Technology approach</v>
      </c>
      <c r="EN373" t="s">
        <v>1137</v>
      </c>
      <c r="EO373"/>
      <c r="EP373" t="str">
        <f>IF(ISNUMBER(BU373),IF(ABS(BU373-[1]QC_indicators!$B$2)&gt;3*[1]QC_indicators!$C$2,"C ratio",IF(ISNUMBER(BY373),IF(ABS(BY373-[1]QC_indicators!$B$1)&gt;3*[1]QC_indicators!$C$1,"DF","no"))),IF(ISNUMBER(BY373),IF(ABS(BY373-[1]QC_indicators!$B$1)&gt;3*[1]QC_indicators!$C$1,"DF","no")))</f>
        <v>no</v>
      </c>
      <c r="EQ373"/>
      <c r="ER373" s="149" t="s">
        <v>349</v>
      </c>
      <c r="ES373"/>
      <c r="ET373" s="264" t="s">
        <v>3241</v>
      </c>
      <c r="EU373"/>
    </row>
    <row r="374" spans="1:151" s="139" customFormat="1" ht="15" customHeight="1">
      <c r="A374" s="1" t="s">
        <v>247</v>
      </c>
      <c r="B374" t="s">
        <v>641</v>
      </c>
      <c r="C374" t="s">
        <v>642</v>
      </c>
      <c r="D374" t="s">
        <v>643</v>
      </c>
      <c r="E374" t="s">
        <v>644</v>
      </c>
      <c r="F374" t="s">
        <v>645</v>
      </c>
      <c r="G374" t="s">
        <v>253</v>
      </c>
      <c r="H374" t="s">
        <v>254</v>
      </c>
      <c r="I374">
        <v>2014</v>
      </c>
      <c r="J374">
        <v>76</v>
      </c>
      <c r="K374" t="s">
        <v>646</v>
      </c>
      <c r="L374"/>
      <c r="M374" t="str">
        <f>LEFT($D374,FIND(",",$D374)-1)&amp;"_"&amp;I374&amp;L374</f>
        <v>Dodoo_2014</v>
      </c>
      <c r="N374" t="s">
        <v>222</v>
      </c>
      <c r="O374" s="145" t="s">
        <v>223</v>
      </c>
      <c r="P374"/>
      <c r="Q374" t="s">
        <v>256</v>
      </c>
      <c r="R374" s="255" t="s">
        <v>225</v>
      </c>
      <c r="S374" s="1" t="s">
        <v>647</v>
      </c>
      <c r="T374" t="s">
        <v>648</v>
      </c>
      <c r="U374" t="s">
        <v>649</v>
      </c>
      <c r="V374">
        <v>0</v>
      </c>
      <c r="W374">
        <v>0</v>
      </c>
      <c r="X374">
        <v>0</v>
      </c>
      <c r="Y374">
        <v>0</v>
      </c>
      <c r="Z374">
        <v>0</v>
      </c>
      <c r="AA374">
        <v>0</v>
      </c>
      <c r="AB374">
        <v>0</v>
      </c>
      <c r="AC374">
        <v>0</v>
      </c>
      <c r="AD374">
        <v>0</v>
      </c>
      <c r="AE374">
        <v>0</v>
      </c>
      <c r="AF374">
        <v>0</v>
      </c>
      <c r="AG374">
        <v>0</v>
      </c>
      <c r="AH374">
        <v>0</v>
      </c>
      <c r="AI374">
        <v>0</v>
      </c>
      <c r="AJ374">
        <v>0</v>
      </c>
      <c r="AK374">
        <v>1</v>
      </c>
      <c r="AL374">
        <v>0</v>
      </c>
      <c r="AM374">
        <v>0</v>
      </c>
      <c r="AN374">
        <v>0</v>
      </c>
      <c r="AO374">
        <v>0</v>
      </c>
      <c r="AP374">
        <v>0</v>
      </c>
      <c r="AQ374">
        <v>0</v>
      </c>
      <c r="AR374">
        <v>0</v>
      </c>
      <c r="AS374">
        <v>0</v>
      </c>
      <c r="AT374">
        <v>0</v>
      </c>
      <c r="AU374">
        <v>0</v>
      </c>
      <c r="AV374">
        <v>0</v>
      </c>
      <c r="AW374">
        <v>0</v>
      </c>
      <c r="AX374" s="141">
        <f>COUNTIF(V374:AW374,"&lt;&gt;0")</f>
        <v>1</v>
      </c>
      <c r="AY374" s="141">
        <f>COUNTIF(V374:AL374,"&lt;&gt;0")</f>
        <v>1</v>
      </c>
      <c r="AZ374">
        <f>COUNTIF(V374:AC374,"&lt;&gt;0")</f>
        <v>0</v>
      </c>
      <c r="BA374">
        <f>COUNTIF(AD374:AI374,"&lt;&gt;0")</f>
        <v>0</v>
      </c>
      <c r="BB374">
        <f>COUNTIF(AJ374:AL374,"&lt;&gt;0")</f>
        <v>1</v>
      </c>
      <c r="BC374">
        <f>COUNTIF(AS374:AW374,"&lt;&gt;0")</f>
        <v>0</v>
      </c>
      <c r="BD374">
        <f>COUNTIF(AM374:AR374,"&lt;&gt;0")</f>
        <v>0</v>
      </c>
      <c r="BE374" t="str">
        <f t="array" ref="BE374">IF(AY374=1,INDEX($V$7:$AL$7,MATCH(TRUE,INDEX($V374:$AW374&lt;&gt;0,),0)),IF(AY374=0,INDEX($AM$7:$AW$7,MATCH(1,$AM374:$AW374,0)),IF(BF374="Multiple strategies","mixed drivers",IF(BF374="Supply chain","multiple supply","multiple silviculture"))))</f>
        <v>technologies/design switch</v>
      </c>
      <c r="BF374" s="2" t="str" cm="1">
        <f t="array" ref="BF374">IF(COUNTIF(AZ374:BB374,"&lt;&gt;0")=1,INDEX($V$4:$AW$4,MATCH(TRUE,INDEX($V374:$AW374&lt;&gt;0,),0)),IF(COUNTIF(AZ374:BB374,"&lt;&gt;0")=0,INDEX($AM$4:$AW$4,MATCH(1,$AM374:$AW374,0)),"Multiple strategies"))</f>
        <v>Technology</v>
      </c>
      <c r="BG374" s="1" t="s">
        <v>229</v>
      </c>
      <c r="BH374" t="s">
        <v>650</v>
      </c>
      <c r="BI374" s="260" t="s">
        <v>3308</v>
      </c>
      <c r="BJ374" t="s">
        <v>651</v>
      </c>
      <c r="BK374" s="260">
        <f>55+21+10+5+5</f>
        <v>96</v>
      </c>
      <c r="BL374" s="260">
        <v>120</v>
      </c>
      <c r="BM374"/>
      <c r="BN374">
        <f>BL374-BK374</f>
        <v>24</v>
      </c>
      <c r="BO374">
        <f>BN374*t_to_m3</f>
        <v>48.979591836734699</v>
      </c>
      <c r="BP374" t="s">
        <v>232</v>
      </c>
      <c r="BQ374" s="260" t="s">
        <v>3309</v>
      </c>
      <c r="BR374" t="s">
        <v>262</v>
      </c>
      <c r="BS374">
        <v>-139</v>
      </c>
      <c r="BT374">
        <v>-159</v>
      </c>
      <c r="BU374" s="144">
        <v>1.1438848920863309</v>
      </c>
      <c r="BV374">
        <v>-20</v>
      </c>
      <c r="BW374"/>
      <c r="BX374">
        <f>BV374/1000</f>
        <v>-0.02</v>
      </c>
      <c r="BY374">
        <f>IFERROR(BX374/BO374,"")</f>
        <v>-4.083333333333333E-4</v>
      </c>
      <c r="BZ374">
        <v>0</v>
      </c>
      <c r="CA374">
        <v>0</v>
      </c>
      <c r="CB374">
        <v>0</v>
      </c>
      <c r="CC374">
        <v>0</v>
      </c>
      <c r="CD374">
        <v>0</v>
      </c>
      <c r="CE374">
        <v>0</v>
      </c>
      <c r="CF374">
        <v>0</v>
      </c>
      <c r="CG374">
        <v>0</v>
      </c>
      <c r="CH374">
        <v>0</v>
      </c>
      <c r="CI374">
        <v>0</v>
      </c>
      <c r="CJ374">
        <v>0</v>
      </c>
      <c r="CK374">
        <v>0</v>
      </c>
      <c r="CL374">
        <v>0</v>
      </c>
      <c r="CM374">
        <v>0</v>
      </c>
      <c r="CN374" t="str">
        <f>IF($BL374&lt;$BK374,"refNeedCorrection","refOK")</f>
        <v>refOK</v>
      </c>
      <c r="CO374">
        <f>IF($CN374="refOK",$BK374,$BL374)</f>
        <v>96</v>
      </c>
      <c r="CP374">
        <f>IF($CN374="refOK",$BL374,$BK374)</f>
        <v>120</v>
      </c>
      <c r="CQ374">
        <f>IF($CN374="refOK",$BO374,-$BO374)</f>
        <v>48.979591836734699</v>
      </c>
      <c r="CR374">
        <f>IF($CN374="refOK",$BS374,$BT374)*IF($BP374="Emissions positive",-1,1)</f>
        <v>-139</v>
      </c>
      <c r="CS374">
        <f>IF($CN374="refOK",$BT374,$BS374)*IF($BP374="Emissions positive",-1,1)</f>
        <v>-159</v>
      </c>
      <c r="CT374">
        <f>IF($CN374="refNeedCorrection",-BX374,BX374)*IF($BP374="Emissions positive",-1,1)</f>
        <v>-0.02</v>
      </c>
      <c r="CU374">
        <f>IFERROR(CT374/CQ374,"")</f>
        <v>-4.083333333333333E-4</v>
      </c>
      <c r="CV374" s="2">
        <f>IFERROR((CS374-CR374)/ABS(CR374),"")</f>
        <v>-0.14388489208633093</v>
      </c>
      <c r="CW374" s="1" t="s">
        <v>263</v>
      </c>
      <c r="CX374" t="str">
        <f>IF(OR($CW374="prd",$CW374="std",$CW374="cit"),"loc",IF(OR($CW374="eur",$CW374="reg",$CW374="coy"),"reg",$CW374))</f>
        <v>loc</v>
      </c>
      <c r="CY374" t="s">
        <v>444</v>
      </c>
      <c r="CZ374"/>
      <c r="DA374"/>
      <c r="DB374">
        <v>50</v>
      </c>
      <c r="DC374" t="str">
        <f>IF(DB374=0,"0",IF(AND(DB374&gt;=1,DB374&lt;=30),"1-30",IF(AND(DB374&gt;30,DB374&lt;=70),"31-70",IF(AND(DB374&gt;70,DB374&lt;=100),"71-100",IF(DB374&gt;100,"+100")))))</f>
        <v>31-70</v>
      </c>
      <c r="DD374">
        <v>0</v>
      </c>
      <c r="DE374">
        <v>0</v>
      </c>
      <c r="DF374">
        <v>0</v>
      </c>
      <c r="DG374">
        <v>1</v>
      </c>
      <c r="DH374"/>
      <c r="DI374">
        <f>SUM(DD374:DG374)</f>
        <v>1</v>
      </c>
      <c r="DJ374" t="str">
        <f>IF(DI374=1,INDEX($DD$7:$DG$7,MATCH(1,$DD374:$DG374,0)),"mixedProduct")</f>
        <v>TimberInput</v>
      </c>
      <c r="DK374">
        <f>IF(DD374=1,DK$7,0)</f>
        <v>0</v>
      </c>
      <c r="DL374">
        <f>IF(DE374=1,DL$7,0)</f>
        <v>0</v>
      </c>
      <c r="DM374">
        <f>IF(DF374=1,DM$7,0)</f>
        <v>0</v>
      </c>
      <c r="DN374" t="str">
        <f>IF(DG374=1,DN$7,0)</f>
        <v>Timber</v>
      </c>
      <c r="DO374">
        <v>0</v>
      </c>
      <c r="DP374">
        <v>0</v>
      </c>
      <c r="DQ374">
        <v>0</v>
      </c>
      <c r="DR374">
        <v>0</v>
      </c>
      <c r="DS374">
        <v>0</v>
      </c>
      <c r="DT374">
        <f>SUM(DO374:DP374)</f>
        <v>0</v>
      </c>
      <c r="DU374" s="143" t="str">
        <f>IF(DO374=1,"self-calculated DF",IF(DP374=1,"external DF used","explicit C balance"))</f>
        <v>explicit C balance</v>
      </c>
      <c r="DV374">
        <v>0</v>
      </c>
      <c r="DW374">
        <v>0</v>
      </c>
      <c r="DX374">
        <v>0</v>
      </c>
      <c r="DY374">
        <v>0</v>
      </c>
      <c r="DZ374">
        <v>0</v>
      </c>
      <c r="EA374" s="143">
        <v>0</v>
      </c>
      <c r="EB374">
        <v>0</v>
      </c>
      <c r="EC374">
        <v>1</v>
      </c>
      <c r="ED374">
        <v>0</v>
      </c>
      <c r="EE374">
        <v>0</v>
      </c>
      <c r="EF374">
        <v>0</v>
      </c>
      <c r="EG374">
        <v>0</v>
      </c>
      <c r="EH374">
        <v>0</v>
      </c>
      <c r="EI374" s="2">
        <v>0</v>
      </c>
      <c r="EJ374" s="1"/>
      <c r="EK374" t="str">
        <f>IF(AND(AND(AND(OR($DX374=1,$DW374=1),OR($EC374=1,$EA374=1)),SUM($DV374:$DZ374,$EF374)&gt;=4),SUM($EA374:$EE374)&gt;=2),"Whole sector","")</f>
        <v/>
      </c>
      <c r="EL374" t="str">
        <f>IF(AND(AND(OR($DX374=1,$DW374=1),AND($EC374=0,$EA374=0)),SUM($DV374:$DZ374,$EF374)&gt;=4),"Ecosystem approach","")</f>
        <v/>
      </c>
      <c r="EM374" s="2" t="str">
        <f>IF(AND(AND(AND($DX374=0,$DW374=0),OR($EC374=1,$EA374=1)),SUM($EB374:$EE374)&gt;=2),"Technology approach","")</f>
        <v/>
      </c>
      <c r="EN374"/>
      <c r="EO374"/>
      <c r="EP374" t="str">
        <f>IF(ISNUMBER(BU374),IF(ABS(BU374-[4]QC_indicators!$B$2)&gt;3*[4]QC_indicators!$C$2,"C ratio",IF(ISNUMBER(BY374),IF(ABS(BY374-[4]QC_indicators!$B$1)&gt;3*[4]QC_indicators!$C$1,"DF","no"))),IF(ISNUMBER(BY374),IF(ABS(BY374-[4]QC_indicators!$B$1)&gt;3*[4]QC_indicators!$C$1,"DF","no")))</f>
        <v>no</v>
      </c>
      <c r="EQ374"/>
      <c r="ER374" s="149" t="s">
        <v>349</v>
      </c>
      <c r="ES374"/>
      <c r="ET374" s="264" t="s">
        <v>3273</v>
      </c>
      <c r="EU374"/>
    </row>
    <row r="375" spans="1:151" s="139" customFormat="1" ht="15" customHeight="1">
      <c r="A375" s="256" t="s">
        <v>214</v>
      </c>
      <c r="B375" s="257" t="s">
        <v>215</v>
      </c>
      <c r="C375" s="257" t="s">
        <v>216</v>
      </c>
      <c r="D375" s="257" t="s">
        <v>217</v>
      </c>
      <c r="E375" s="257" t="s">
        <v>218</v>
      </c>
      <c r="F375" s="257" t="s">
        <v>219</v>
      </c>
      <c r="G375" s="257" t="s">
        <v>220</v>
      </c>
      <c r="H375" s="257"/>
      <c r="I375" s="257">
        <v>2012</v>
      </c>
      <c r="J375" s="257"/>
      <c r="K375" s="257" t="s">
        <v>221</v>
      </c>
      <c r="L375" s="257"/>
      <c r="M375" s="257" t="s">
        <v>3070</v>
      </c>
      <c r="N375" s="257" t="s">
        <v>222</v>
      </c>
      <c r="O375" s="275" t="s">
        <v>223</v>
      </c>
      <c r="P375" s="257"/>
      <c r="Q375" s="257" t="s">
        <v>224</v>
      </c>
      <c r="R375" s="258" t="s">
        <v>225</v>
      </c>
      <c r="S375" s="256" t="s">
        <v>240</v>
      </c>
      <c r="T375" s="257">
        <v>2000</v>
      </c>
      <c r="U375" s="257">
        <v>4000</v>
      </c>
      <c r="V375" s="257">
        <v>0</v>
      </c>
      <c r="W375" s="257">
        <v>0</v>
      </c>
      <c r="X375" s="257">
        <v>0</v>
      </c>
      <c r="Y375" s="257">
        <v>0</v>
      </c>
      <c r="Z375" s="257">
        <v>0</v>
      </c>
      <c r="AA375" s="257">
        <v>1</v>
      </c>
      <c r="AB375" s="257">
        <v>0</v>
      </c>
      <c r="AC375" s="257">
        <v>0</v>
      </c>
      <c r="AD375" s="257">
        <v>0</v>
      </c>
      <c r="AE375" s="257">
        <v>0</v>
      </c>
      <c r="AF375" s="257">
        <v>0</v>
      </c>
      <c r="AG375" s="257">
        <v>0</v>
      </c>
      <c r="AH375" s="257">
        <v>0</v>
      </c>
      <c r="AI375" s="257">
        <v>0</v>
      </c>
      <c r="AJ375" s="257">
        <v>0</v>
      </c>
      <c r="AK375" s="257">
        <v>0</v>
      </c>
      <c r="AL375" s="257">
        <v>0</v>
      </c>
      <c r="AM375" s="257">
        <v>0</v>
      </c>
      <c r="AN375" s="257">
        <v>0</v>
      </c>
      <c r="AO375" s="257">
        <v>0</v>
      </c>
      <c r="AP375" s="257">
        <v>0</v>
      </c>
      <c r="AQ375" s="257">
        <v>0</v>
      </c>
      <c r="AR375" s="257">
        <v>0</v>
      </c>
      <c r="AS375" s="257">
        <v>0</v>
      </c>
      <c r="AT375" s="257">
        <v>0</v>
      </c>
      <c r="AU375" s="257">
        <v>0</v>
      </c>
      <c r="AV375" s="257">
        <v>0</v>
      </c>
      <c r="AW375" s="257">
        <v>0</v>
      </c>
      <c r="AX375" s="277">
        <v>1</v>
      </c>
      <c r="AY375" s="277">
        <v>1</v>
      </c>
      <c r="AZ375" s="257">
        <v>1</v>
      </c>
      <c r="BA375" s="257">
        <v>0</v>
      </c>
      <c r="BB375" s="257">
        <v>0</v>
      </c>
      <c r="BC375" s="257">
        <v>0</v>
      </c>
      <c r="BD375" s="257">
        <v>0</v>
      </c>
      <c r="BE375" s="257" t="s">
        <v>93</v>
      </c>
      <c r="BF375" s="2" t="str" cm="1">
        <f t="array" ref="BF375">IF(COUNTIF(AZ375:BB375,"&lt;&gt;0")=1,INDEX($V$4:$AW$4,MATCH(TRUE,INDEX($V375:$AW375&lt;&gt;0,),0)),IF(COUNTIF(AZ375:BB375,"&lt;&gt;0")=0,INDEX($AM$4:$AW$4,MATCH(1,$AM375:$AW375,0)),"Multiple strategies"))</f>
        <v>Silviculture for productivity</v>
      </c>
      <c r="BG375" s="278" t="s">
        <v>229</v>
      </c>
      <c r="BH375" s="257" t="s">
        <v>230</v>
      </c>
      <c r="BI375" s="279" t="s">
        <v>3071</v>
      </c>
      <c r="BJ375" s="276" t="s">
        <v>231</v>
      </c>
      <c r="BK375" s="257">
        <v>95.977011489999995</v>
      </c>
      <c r="BL375" s="257">
        <v>100.5900439</v>
      </c>
      <c r="BM375" s="276">
        <v>1.0480639305015309</v>
      </c>
      <c r="BN375" s="257">
        <v>4.6130324100000024</v>
      </c>
      <c r="BO375" s="276">
        <v>9.4143518571428615</v>
      </c>
      <c r="BP375" s="276" t="s">
        <v>232</v>
      </c>
      <c r="BQ375" s="282" t="s">
        <v>2625</v>
      </c>
      <c r="BR375" s="276" t="s">
        <v>233</v>
      </c>
      <c r="BS375" s="257">
        <v>-8.1428571430000005</v>
      </c>
      <c r="BT375" s="257">
        <v>-11.804099559999999</v>
      </c>
      <c r="BU375" s="259">
        <v>1.4496262617289537</v>
      </c>
      <c r="BV375" s="257">
        <v>-3.6612424169999986</v>
      </c>
      <c r="BW375" s="257"/>
      <c r="BX375" s="257">
        <v>-3.6612424169999986E-3</v>
      </c>
      <c r="BY375" s="257">
        <v>-3.889001040705887E-4</v>
      </c>
      <c r="BZ375" s="257">
        <v>0</v>
      </c>
      <c r="CA375" s="257">
        <v>0</v>
      </c>
      <c r="CB375" s="257">
        <v>0</v>
      </c>
      <c r="CC375" s="257">
        <v>0</v>
      </c>
      <c r="CD375" s="257">
        <v>0</v>
      </c>
      <c r="CE375" s="257">
        <v>0</v>
      </c>
      <c r="CF375" s="257">
        <v>0</v>
      </c>
      <c r="CG375" s="257">
        <v>0</v>
      </c>
      <c r="CH375" s="257">
        <v>0</v>
      </c>
      <c r="CI375" s="257">
        <v>0</v>
      </c>
      <c r="CJ375" s="257">
        <v>0</v>
      </c>
      <c r="CK375" s="257">
        <v>0</v>
      </c>
      <c r="CL375" s="257">
        <v>0</v>
      </c>
      <c r="CM375" s="257">
        <v>0</v>
      </c>
      <c r="CN375" s="257" t="s">
        <v>3072</v>
      </c>
      <c r="CO375" s="257">
        <v>95.977011489999995</v>
      </c>
      <c r="CP375" s="257">
        <v>100.5900439</v>
      </c>
      <c r="CQ375" s="257">
        <v>9.4143518571428615</v>
      </c>
      <c r="CR375" s="257">
        <v>-8.1428571430000005</v>
      </c>
      <c r="CS375" s="257">
        <v>-11.804099559999999</v>
      </c>
      <c r="CT375" s="257">
        <v>-3.6612424169999986E-3</v>
      </c>
      <c r="CU375" s="257">
        <v>-3.889001040705887E-4</v>
      </c>
      <c r="CV375" s="258">
        <v>-0.4496262617289537</v>
      </c>
      <c r="CW375" s="256" t="s">
        <v>234</v>
      </c>
      <c r="CX375" s="257" t="s">
        <v>3073</v>
      </c>
      <c r="CY375" s="257" t="s">
        <v>235</v>
      </c>
      <c r="CZ375" s="257"/>
      <c r="DA375" s="276"/>
      <c r="DB375" s="276">
        <v>80</v>
      </c>
      <c r="DC375" s="257" t="s">
        <v>3074</v>
      </c>
      <c r="DD375" s="257">
        <v>0</v>
      </c>
      <c r="DE375" s="257">
        <v>1</v>
      </c>
      <c r="DF375" s="257">
        <v>0</v>
      </c>
      <c r="DG375" s="257">
        <v>0</v>
      </c>
      <c r="DH375" s="257"/>
      <c r="DI375" s="257">
        <v>1</v>
      </c>
      <c r="DJ375" s="257" t="s">
        <v>173</v>
      </c>
      <c r="DK375" s="257">
        <v>0</v>
      </c>
      <c r="DL375" s="257" t="s">
        <v>180</v>
      </c>
      <c r="DM375" s="257">
        <v>0</v>
      </c>
      <c r="DN375" s="257">
        <v>0</v>
      </c>
      <c r="DO375" s="257">
        <v>0</v>
      </c>
      <c r="DP375" s="276">
        <v>0</v>
      </c>
      <c r="DQ375" s="276">
        <v>0</v>
      </c>
      <c r="DR375" s="276">
        <v>0</v>
      </c>
      <c r="DS375" s="276">
        <v>0</v>
      </c>
      <c r="DT375" s="257">
        <v>0</v>
      </c>
      <c r="DU375" s="276" t="s">
        <v>962</v>
      </c>
      <c r="DV375" s="276">
        <v>1</v>
      </c>
      <c r="DW375" s="276">
        <v>1</v>
      </c>
      <c r="DX375" s="276">
        <v>1</v>
      </c>
      <c r="DY375" s="276">
        <v>0</v>
      </c>
      <c r="DZ375" s="257">
        <v>0</v>
      </c>
      <c r="EA375" s="276">
        <v>0</v>
      </c>
      <c r="EB375" s="276">
        <v>1</v>
      </c>
      <c r="EC375" s="276">
        <v>1</v>
      </c>
      <c r="ED375" s="276">
        <v>0</v>
      </c>
      <c r="EE375" s="276">
        <v>0</v>
      </c>
      <c r="EF375" s="257">
        <v>1</v>
      </c>
      <c r="EG375" s="276">
        <v>0</v>
      </c>
      <c r="EH375" s="257">
        <v>0</v>
      </c>
      <c r="EI375" s="258">
        <v>0</v>
      </c>
      <c r="EJ375" s="256"/>
      <c r="EK375" t="str">
        <f>IF(AND(AND(AND(OR($DX375=1,$DW375=1),OR($EC375=1,$EA375=1)),SUM($DV375:$DZ375,$EF375)&gt;=4),SUM($EA375:$EE375)&gt;=2),"Whole sector","")</f>
        <v>Whole sector</v>
      </c>
      <c r="EL375" t="str">
        <f>IF(AND(AND(OR($DX375=1,$DW375=1),AND($EC375=0,$EA375=0)),SUM($DV375:$DZ375,$EF375)&gt;=4),"Ecosystem approach","")</f>
        <v/>
      </c>
      <c r="EM375" s="258" t="s">
        <v>544</v>
      </c>
      <c r="EN375" s="257" t="s">
        <v>236</v>
      </c>
      <c r="EO375" s="257"/>
      <c r="EP375" t="str">
        <f>IF(ISNUMBER(BU375),IF(ABS(BU375-[2]QC_indicators!$B$2)&gt;3*[2]QC_indicators!$C$2,"C ratio",IF(ISNUMBER(BY375),IF(ABS(BY375-[2]QC_indicators!$B$1)&gt;3*[2]QC_indicators!$C$1,"DF","no"))),IF(ISNUMBER(BY375),IF(ABS(BY375-[2]QC_indicators!$B$1)&gt;3*[2]QC_indicators!$C$1,"DF","no")))</f>
        <v>no</v>
      </c>
      <c r="EQ375" s="280"/>
      <c r="ER375" s="280"/>
      <c r="ES375" s="280"/>
      <c r="ET375"/>
      <c r="EU375"/>
    </row>
    <row r="376" spans="1:151" s="139" customFormat="1" ht="15" customHeight="1">
      <c r="A376" s="1" t="s">
        <v>814</v>
      </c>
      <c r="B376" t="s">
        <v>815</v>
      </c>
      <c r="C376" t="s">
        <v>816</v>
      </c>
      <c r="D376" t="s">
        <v>817</v>
      </c>
      <c r="E376" t="s">
        <v>818</v>
      </c>
      <c r="F376" t="s">
        <v>819</v>
      </c>
      <c r="G376" t="s">
        <v>180</v>
      </c>
      <c r="H376" t="s">
        <v>254</v>
      </c>
      <c r="I376">
        <v>2018</v>
      </c>
      <c r="J376">
        <v>14</v>
      </c>
      <c r="K376" t="s">
        <v>820</v>
      </c>
      <c r="L376"/>
      <c r="M376" t="str">
        <f>LEFT($D376,FIND(",",$D376)-1)&amp;"_"&amp;I376&amp;L376</f>
        <v>Karlsson_2018</v>
      </c>
      <c r="N376" t="s">
        <v>222</v>
      </c>
      <c r="O376" s="145" t="s">
        <v>513</v>
      </c>
      <c r="P376"/>
      <c r="Q376" t="s">
        <v>256</v>
      </c>
      <c r="R376" s="262" t="s">
        <v>223</v>
      </c>
      <c r="S376" s="1" t="s">
        <v>821</v>
      </c>
      <c r="T376" t="s">
        <v>822</v>
      </c>
      <c r="U376" t="s">
        <v>826</v>
      </c>
      <c r="V376">
        <v>0</v>
      </c>
      <c r="W376">
        <v>0</v>
      </c>
      <c r="X376">
        <v>0</v>
      </c>
      <c r="Y376">
        <v>0</v>
      </c>
      <c r="Z376">
        <v>0</v>
      </c>
      <c r="AA376">
        <v>0</v>
      </c>
      <c r="AB376">
        <v>0</v>
      </c>
      <c r="AC376">
        <v>0</v>
      </c>
      <c r="AD376">
        <v>0</v>
      </c>
      <c r="AE376">
        <v>0</v>
      </c>
      <c r="AF376">
        <v>0</v>
      </c>
      <c r="AG376">
        <v>0</v>
      </c>
      <c r="AH376">
        <v>0</v>
      </c>
      <c r="AI376">
        <v>0</v>
      </c>
      <c r="AJ376">
        <v>0</v>
      </c>
      <c r="AK376">
        <v>1</v>
      </c>
      <c r="AL376">
        <v>0</v>
      </c>
      <c r="AM376">
        <v>0</v>
      </c>
      <c r="AN376">
        <v>0</v>
      </c>
      <c r="AO376">
        <v>0</v>
      </c>
      <c r="AP376">
        <v>0</v>
      </c>
      <c r="AQ376">
        <v>0</v>
      </c>
      <c r="AR376">
        <v>0</v>
      </c>
      <c r="AS376">
        <v>0</v>
      </c>
      <c r="AT376">
        <v>0</v>
      </c>
      <c r="AU376">
        <v>0</v>
      </c>
      <c r="AV376">
        <v>0</v>
      </c>
      <c r="AW376">
        <v>0</v>
      </c>
      <c r="AX376" s="141">
        <f>COUNTIF(V376:AW376,"&lt;&gt;0")</f>
        <v>1</v>
      </c>
      <c r="AY376" s="141">
        <f>COUNTIF(V376:AL376,"&lt;&gt;0")</f>
        <v>1</v>
      </c>
      <c r="AZ376">
        <f>COUNTIF(V376:AC376,"&lt;&gt;0")</f>
        <v>0</v>
      </c>
      <c r="BA376">
        <f>COUNTIF(AD376:AI376,"&lt;&gt;0")</f>
        <v>0</v>
      </c>
      <c r="BB376">
        <f>COUNTIF(AJ376:AL376,"&lt;&gt;0")</f>
        <v>1</v>
      </c>
      <c r="BC376">
        <f>COUNTIF(AS376:AW376,"&lt;&gt;0")</f>
        <v>0</v>
      </c>
      <c r="BD376">
        <f>COUNTIF(AM376:AR376,"&lt;&gt;0")</f>
        <v>0</v>
      </c>
      <c r="BE376" t="str">
        <f t="array" ref="BE376">IF(AY376=1,INDEX($V$7:$AL$7,MATCH(TRUE,INDEX($V376:$AW376&lt;&gt;0,),0)),IF(AY376=0,INDEX($AM$7:$AW$7,MATCH(1,$AM376:$AW376,0)),IF(BF376="Multiple strategies","mixed drivers",IF(BF376="Supply chain","multiple supply","multiple silviculture"))))</f>
        <v>technologies/design switch</v>
      </c>
      <c r="BF376" s="2" t="str" cm="1">
        <f t="array" ref="BF376">IF(COUNTIF(AZ376:BB376,"&lt;&gt;0")=1,INDEX($V$4:$AW$4,MATCH(TRUE,INDEX($V376:$AW376&lt;&gt;0,),0)),IF(COUNTIF(AZ376:BB376,"&lt;&gt;0")=0,INDEX($AM$4:$AW$4,MATCH(1,$AM376:$AW376,0)),"Multiple strategies"))</f>
        <v>Technology</v>
      </c>
      <c r="BG376" s="1" t="s">
        <v>229</v>
      </c>
      <c r="BH376" t="s">
        <v>826</v>
      </c>
      <c r="BI376" s="264" t="s">
        <v>3142</v>
      </c>
      <c r="BJ376" t="s">
        <v>651</v>
      </c>
      <c r="BK376">
        <v>0</v>
      </c>
      <c r="BL376">
        <v>15410</v>
      </c>
      <c r="BM376"/>
      <c r="BN376">
        <f>BL376-BK376</f>
        <v>15410</v>
      </c>
      <c r="BO376">
        <f>BN376*t_to_m3</f>
        <v>31448.979591836734</v>
      </c>
      <c r="BP376" t="s">
        <v>232</v>
      </c>
      <c r="BQ376" s="153" t="s">
        <v>787</v>
      </c>
      <c r="BR376" s="264" t="s">
        <v>397</v>
      </c>
      <c r="BS376">
        <v>-58800</v>
      </c>
      <c r="BT376">
        <v>-70800</v>
      </c>
      <c r="BU376" s="144">
        <f>IFERROR(BT376/BS376,"")</f>
        <v>1.2040816326530612</v>
      </c>
      <c r="BV376">
        <f>BT376-BS376</f>
        <v>-12000</v>
      </c>
      <c r="BW376"/>
      <c r="BX376">
        <f>BV376/10^3</f>
        <v>-12</v>
      </c>
      <c r="BY376">
        <f>IFERROR(BX376/BO376,"")</f>
        <v>-3.8157040882543804E-4</v>
      </c>
      <c r="BZ376">
        <v>0</v>
      </c>
      <c r="CA376">
        <v>0</v>
      </c>
      <c r="CB376">
        <v>0</v>
      </c>
      <c r="CC376">
        <v>0</v>
      </c>
      <c r="CD376">
        <v>0</v>
      </c>
      <c r="CE376">
        <v>0</v>
      </c>
      <c r="CF376">
        <v>0</v>
      </c>
      <c r="CG376">
        <v>0</v>
      </c>
      <c r="CH376">
        <v>0</v>
      </c>
      <c r="CI376">
        <v>0</v>
      </c>
      <c r="CJ376">
        <v>0</v>
      </c>
      <c r="CK376">
        <v>0</v>
      </c>
      <c r="CL376">
        <v>0</v>
      </c>
      <c r="CM376">
        <v>0</v>
      </c>
      <c r="CN376" t="str">
        <f>IF($BL376&lt;$BK376,"refNeedCorrection","refOK")</f>
        <v>refOK</v>
      </c>
      <c r="CO376">
        <f>IF($CN376="refNeedCorrection",BL376,BK376)</f>
        <v>0</v>
      </c>
      <c r="CP376">
        <f>IF($CN376="refNeedCorrection",BK376,BL376)</f>
        <v>15410</v>
      </c>
      <c r="CQ376">
        <f>IF($CN376="refOK",$BO376,-$BO376)</f>
        <v>31448.979591836734</v>
      </c>
      <c r="CR376">
        <f>IF($CN376="refOK",$BS376,$BT376)*IF($BP376="Emissions positive",-1,1)</f>
        <v>-58800</v>
      </c>
      <c r="CS376">
        <f>IF($CN376="refOK",$BT376,$BS376)*IF($BP376="Emissions positive",-1,1)</f>
        <v>-70800</v>
      </c>
      <c r="CT376">
        <f>IF($CN376="refNeedCorrection",-BX376,BX376)*IF($BP376="Emissions positive",-1,1)</f>
        <v>-12</v>
      </c>
      <c r="CU376">
        <f>IFERROR(CT376/CQ376,"")</f>
        <v>-3.8157040882543804E-4</v>
      </c>
      <c r="CV376" s="2">
        <f>IFERROR((CS376-CR376)/ABS(CR376),"")</f>
        <v>-0.20408163265306123</v>
      </c>
      <c r="CW376" s="1" t="s">
        <v>347</v>
      </c>
      <c r="CX376" t="str">
        <f>IF(OR($CW376="prd",$CW376="std",$CW376="cit"),"loc",IF(OR($CW376="eur",$CW376="reg",$CW376="coy"),"reg",$CW376))</f>
        <v>loc</v>
      </c>
      <c r="CY376" t="s">
        <v>444</v>
      </c>
      <c r="CZ376"/>
      <c r="DA376"/>
      <c r="DB376">
        <v>0</v>
      </c>
      <c r="DC376" t="str">
        <f>IF(DB376=0,"0",IF(AND(DB376&gt;=1,DB376&lt;=30),"1-30",IF(AND(DB376&gt;30,DB376&lt;=70),"31-70",IF(AND(DB376&gt;70,DB376&lt;=100),"71-100",IF(DB376&gt;100,"+100")))))</f>
        <v>0</v>
      </c>
      <c r="DD376">
        <v>0</v>
      </c>
      <c r="DE376">
        <v>1</v>
      </c>
      <c r="DF376">
        <v>0</v>
      </c>
      <c r="DG376">
        <v>0</v>
      </c>
      <c r="DH376">
        <v>1</v>
      </c>
      <c r="DI376">
        <f>SUM(DD376:DG376)</f>
        <v>1</v>
      </c>
      <c r="DJ376" t="str">
        <f>IF(DI376=1,INDEX($DD$7:$DG$7,MATCH(1,$DD376:$DG376,0)),"mixedProduct")</f>
        <v>EnergyInput</v>
      </c>
      <c r="DK376">
        <f>IF(DD376=1,DK$7,0)</f>
        <v>0</v>
      </c>
      <c r="DL376" t="str">
        <f>IF(DE376=1,DL$7,0)</f>
        <v>Energy</v>
      </c>
      <c r="DM376">
        <f>IF(DF376=1,DM$7,0)</f>
        <v>0</v>
      </c>
      <c r="DN376">
        <f>IF(DG376=1,DN$7,0)</f>
        <v>0</v>
      </c>
      <c r="DO376">
        <v>0</v>
      </c>
      <c r="DP376">
        <v>0</v>
      </c>
      <c r="DQ376">
        <v>0</v>
      </c>
      <c r="DR376">
        <v>0</v>
      </c>
      <c r="DS376">
        <v>0</v>
      </c>
      <c r="DT376">
        <f>SUM(DO376:DP376)</f>
        <v>0</v>
      </c>
      <c r="DU376" s="143" t="str">
        <f>IF(DO376=1,"self-calculated DF",IF(DP376=1,"external DF used","explicit C balance"))</f>
        <v>explicit C balance</v>
      </c>
      <c r="DV376">
        <v>0</v>
      </c>
      <c r="DW376">
        <v>0</v>
      </c>
      <c r="DX376">
        <v>0</v>
      </c>
      <c r="DY376">
        <v>0</v>
      </c>
      <c r="DZ376">
        <v>0</v>
      </c>
      <c r="EA376" s="143">
        <v>0</v>
      </c>
      <c r="EB376">
        <v>0</v>
      </c>
      <c r="EC376">
        <v>1</v>
      </c>
      <c r="ED376">
        <v>0</v>
      </c>
      <c r="EE376">
        <v>1</v>
      </c>
      <c r="EF376">
        <v>0</v>
      </c>
      <c r="EG376">
        <v>0</v>
      </c>
      <c r="EH376">
        <v>0</v>
      </c>
      <c r="EI376" s="2">
        <v>0</v>
      </c>
      <c r="EJ376" s="1"/>
      <c r="EK376" t="str">
        <f>IF(AND(AND(AND(OR($DX376=1,$DW376=1),OR($EC376=1,$EA376=1)),SUM($DV376:$DZ376,$EF376)&gt;=4),SUM($EA376:$EE376)&gt;=2),"Whole sector","")</f>
        <v/>
      </c>
      <c r="EL376" t="str">
        <f>IF(AND(AND(OR($DX376=1,$DW376=1),AND($EC376=0,$EA376=0)),SUM($DV376:$DZ376,$EF376)&gt;=4),"Ecosystem approach","")</f>
        <v/>
      </c>
      <c r="EM376" s="2" t="str">
        <f>IF(AND(AND(AND($DX376=0,$DW376=0),OR($EC376=1,$EA376=1)),SUM($EB376:$EE376)&gt;=2),"Technology approach","")</f>
        <v>Technology approach</v>
      </c>
      <c r="EN376"/>
      <c r="EO376"/>
      <c r="EP376" t="str">
        <f>IF(ISNUMBER(BU376),IF(ABS(BU376-[1]QC_indicators!$B$2)&gt;3*[1]QC_indicators!$C$2,"C ratio",IF(ISNUMBER(BY376),IF(ABS(BY376-[1]QC_indicators!$B$1)&gt;3*[1]QC_indicators!$C$1,"DF","no"))),IF(ISNUMBER(BY376),IF(ABS(BY376-[1]QC_indicators!$B$1)&gt;3*[1]QC_indicators!$C$1,"DF","no")))</f>
        <v>no</v>
      </c>
      <c r="EQ376"/>
      <c r="ER376"/>
      <c r="ES376"/>
      <c r="ET376" s="264" t="s">
        <v>3143</v>
      </c>
      <c r="EU376"/>
    </row>
    <row r="377" spans="1:151" s="139" customFormat="1" ht="15" customHeight="1">
      <c r="A377" s="1" t="s">
        <v>247</v>
      </c>
      <c r="B377" t="s">
        <v>641</v>
      </c>
      <c r="C377" t="s">
        <v>642</v>
      </c>
      <c r="D377" t="s">
        <v>643</v>
      </c>
      <c r="E377" t="s">
        <v>644</v>
      </c>
      <c r="F377" t="s">
        <v>645</v>
      </c>
      <c r="G377" t="s">
        <v>253</v>
      </c>
      <c r="H377" t="s">
        <v>254</v>
      </c>
      <c r="I377">
        <v>2014</v>
      </c>
      <c r="J377">
        <v>76</v>
      </c>
      <c r="K377" t="s">
        <v>646</v>
      </c>
      <c r="L377"/>
      <c r="M377" t="str">
        <f>LEFT($D377,FIND(",",$D377)-1)&amp;"_"&amp;I377&amp;L377</f>
        <v>Dodoo_2014</v>
      </c>
      <c r="N377" t="s">
        <v>222</v>
      </c>
      <c r="O377" s="145" t="s">
        <v>223</v>
      </c>
      <c r="P377"/>
      <c r="Q377" t="s">
        <v>256</v>
      </c>
      <c r="R377" s="255" t="s">
        <v>225</v>
      </c>
      <c r="S377" s="1" t="s">
        <v>647</v>
      </c>
      <c r="T377" t="s">
        <v>652</v>
      </c>
      <c r="U377" t="s">
        <v>653</v>
      </c>
      <c r="V377">
        <v>0</v>
      </c>
      <c r="W377">
        <v>0</v>
      </c>
      <c r="X377">
        <v>0</v>
      </c>
      <c r="Y377">
        <v>0</v>
      </c>
      <c r="Z377">
        <v>0</v>
      </c>
      <c r="AA377">
        <v>0</v>
      </c>
      <c r="AB377">
        <v>0</v>
      </c>
      <c r="AC377">
        <v>0</v>
      </c>
      <c r="AD377">
        <v>0</v>
      </c>
      <c r="AE377">
        <v>0</v>
      </c>
      <c r="AF377">
        <v>0</v>
      </c>
      <c r="AG377">
        <v>0</v>
      </c>
      <c r="AH377">
        <v>0</v>
      </c>
      <c r="AI377">
        <v>0</v>
      </c>
      <c r="AJ377">
        <v>0</v>
      </c>
      <c r="AK377">
        <v>1</v>
      </c>
      <c r="AL377">
        <v>0</v>
      </c>
      <c r="AM377">
        <v>0</v>
      </c>
      <c r="AN377">
        <v>0</v>
      </c>
      <c r="AO377">
        <v>0</v>
      </c>
      <c r="AP377">
        <v>0</v>
      </c>
      <c r="AQ377">
        <v>0</v>
      </c>
      <c r="AR377">
        <v>0</v>
      </c>
      <c r="AS377">
        <v>0</v>
      </c>
      <c r="AT377">
        <v>0</v>
      </c>
      <c r="AU377">
        <v>0</v>
      </c>
      <c r="AV377">
        <v>0</v>
      </c>
      <c r="AW377">
        <v>0</v>
      </c>
      <c r="AX377" s="141">
        <f>COUNTIF(V377:AW377,"&lt;&gt;0")</f>
        <v>1</v>
      </c>
      <c r="AY377" s="141">
        <f>COUNTIF(V377:AL377,"&lt;&gt;0")</f>
        <v>1</v>
      </c>
      <c r="AZ377">
        <f>COUNTIF(V377:AC377,"&lt;&gt;0")</f>
        <v>0</v>
      </c>
      <c r="BA377">
        <f>COUNTIF(AD377:AI377,"&lt;&gt;0")</f>
        <v>0</v>
      </c>
      <c r="BB377">
        <f>COUNTIF(AJ377:AL377,"&lt;&gt;0")</f>
        <v>1</v>
      </c>
      <c r="BC377">
        <f>COUNTIF(AS377:AW377,"&lt;&gt;0")</f>
        <v>0</v>
      </c>
      <c r="BD377">
        <f>COUNTIF(AM377:AR377,"&lt;&gt;0")</f>
        <v>0</v>
      </c>
      <c r="BE377" t="str">
        <f t="array" ref="BE377">IF(AY377=1,INDEX($V$7:$AL$7,MATCH(TRUE,INDEX($V377:$AW377&lt;&gt;0,),0)),IF(AY377=0,INDEX($AM$7:$AW$7,MATCH(1,$AM377:$AW377,0)),IF(BF377="Multiple strategies","mixed drivers",IF(BF377="Supply chain","multiple supply","multiple silviculture"))))</f>
        <v>technologies/design switch</v>
      </c>
      <c r="BF377" s="2" t="str" cm="1">
        <f t="array" ref="BF377">IF(COUNTIF(AZ377:BB377,"&lt;&gt;0")=1,INDEX($V$4:$AW$4,MATCH(TRUE,INDEX($V377:$AW377&lt;&gt;0,),0)),IF(COUNTIF(AZ377:BB377,"&lt;&gt;0")=0,INDEX($AM$4:$AW$4,MATCH(1,$AM377:$AW377,0)),"Multiple strategies"))</f>
        <v>Technology</v>
      </c>
      <c r="BG377" s="1" t="s">
        <v>229</v>
      </c>
      <c r="BH377" t="s">
        <v>650</v>
      </c>
      <c r="BI377" s="260" t="s">
        <v>3308</v>
      </c>
      <c r="BJ377" t="s">
        <v>651</v>
      </c>
      <c r="BK377" s="260">
        <f>55+21+10+5+5</f>
        <v>96</v>
      </c>
      <c r="BL377" s="260">
        <v>124</v>
      </c>
      <c r="BM377"/>
      <c r="BN377">
        <f>BL377-BK377</f>
        <v>28</v>
      </c>
      <c r="BO377">
        <f>BN377*t_to_m3</f>
        <v>57.142857142857146</v>
      </c>
      <c r="BP377" t="s">
        <v>232</v>
      </c>
      <c r="BQ377" s="260" t="s">
        <v>3309</v>
      </c>
      <c r="BR377" t="s">
        <v>262</v>
      </c>
      <c r="BS377">
        <v>-145</v>
      </c>
      <c r="BT377">
        <v>-165</v>
      </c>
      <c r="BU377" s="144">
        <v>1.1379310344827587</v>
      </c>
      <c r="BV377">
        <v>-20</v>
      </c>
      <c r="BW377"/>
      <c r="BX377">
        <f>BV377/1000</f>
        <v>-0.02</v>
      </c>
      <c r="BY377">
        <f>IFERROR(BX377/BO377,"")</f>
        <v>-3.5E-4</v>
      </c>
      <c r="BZ377">
        <v>0</v>
      </c>
      <c r="CA377">
        <v>0</v>
      </c>
      <c r="CB377">
        <v>0</v>
      </c>
      <c r="CC377">
        <v>0</v>
      </c>
      <c r="CD377">
        <v>0</v>
      </c>
      <c r="CE377">
        <v>0</v>
      </c>
      <c r="CF377">
        <v>0</v>
      </c>
      <c r="CG377">
        <v>0</v>
      </c>
      <c r="CH377">
        <v>0</v>
      </c>
      <c r="CI377">
        <v>0</v>
      </c>
      <c r="CJ377">
        <v>0</v>
      </c>
      <c r="CK377">
        <v>0</v>
      </c>
      <c r="CL377">
        <v>0</v>
      </c>
      <c r="CM377">
        <v>0</v>
      </c>
      <c r="CN377" t="str">
        <f>IF($BL377&lt;$BK377,"refNeedCorrection","refOK")</f>
        <v>refOK</v>
      </c>
      <c r="CO377">
        <f>IF($CN377="refOK",$BK377,$BL377)</f>
        <v>96</v>
      </c>
      <c r="CP377">
        <f>IF($CN377="refOK",$BL377,$BK377)</f>
        <v>124</v>
      </c>
      <c r="CQ377">
        <f>IF($CN377="refOK",$BO377,-$BO377)</f>
        <v>57.142857142857146</v>
      </c>
      <c r="CR377">
        <f>IF($CN377="refOK",$BS377,$BT377)*IF($BP377="Emissions positive",-1,1)</f>
        <v>-145</v>
      </c>
      <c r="CS377">
        <f>IF($CN377="refOK",$BT377,$BS377)*IF($BP377="Emissions positive",-1,1)</f>
        <v>-165</v>
      </c>
      <c r="CT377">
        <f>IF($CN377="refNeedCorrection",-BX377,BX377)*IF($BP377="Emissions positive",-1,1)</f>
        <v>-0.02</v>
      </c>
      <c r="CU377">
        <f>IFERROR(CT377/CQ377,"")</f>
        <v>-3.5E-4</v>
      </c>
      <c r="CV377" s="2">
        <f>IFERROR((CS377-CR377)/ABS(CR377),"")</f>
        <v>-0.13793103448275862</v>
      </c>
      <c r="CW377" s="1" t="s">
        <v>263</v>
      </c>
      <c r="CX377" t="str">
        <f>IF(OR($CW377="prd",$CW377="std",$CW377="cit"),"loc",IF(OR($CW377="eur",$CW377="reg",$CW377="coy"),"reg",$CW377))</f>
        <v>loc</v>
      </c>
      <c r="CY377" t="s">
        <v>444</v>
      </c>
      <c r="CZ377"/>
      <c r="DA377"/>
      <c r="DB377">
        <v>50</v>
      </c>
      <c r="DC377" t="str">
        <f>IF(DB377=0,"0",IF(AND(DB377&gt;=1,DB377&lt;=30),"1-30",IF(AND(DB377&gt;30,DB377&lt;=70),"31-70",IF(AND(DB377&gt;70,DB377&lt;=100),"71-100",IF(DB377&gt;100,"+100")))))</f>
        <v>31-70</v>
      </c>
      <c r="DD377">
        <v>0</v>
      </c>
      <c r="DE377">
        <v>0</v>
      </c>
      <c r="DF377">
        <v>0</v>
      </c>
      <c r="DG377">
        <v>1</v>
      </c>
      <c r="DH377"/>
      <c r="DI377">
        <f>SUM(DD377:DG377)</f>
        <v>1</v>
      </c>
      <c r="DJ377" t="str">
        <f>IF(DI377=1,INDEX($DD$7:$DG$7,MATCH(1,$DD377:$DG377,0)),"mixedProduct")</f>
        <v>TimberInput</v>
      </c>
      <c r="DK377">
        <f>IF(DD377=1,DK$7,0)</f>
        <v>0</v>
      </c>
      <c r="DL377">
        <f>IF(DE377=1,DL$7,0)</f>
        <v>0</v>
      </c>
      <c r="DM377">
        <f>IF(DF377=1,DM$7,0)</f>
        <v>0</v>
      </c>
      <c r="DN377" t="str">
        <f>IF(DG377=1,DN$7,0)</f>
        <v>Timber</v>
      </c>
      <c r="DO377">
        <v>0</v>
      </c>
      <c r="DP377">
        <v>0</v>
      </c>
      <c r="DQ377">
        <v>0</v>
      </c>
      <c r="DR377">
        <v>0</v>
      </c>
      <c r="DS377">
        <v>0</v>
      </c>
      <c r="DT377">
        <f>SUM(DO377:DP377)</f>
        <v>0</v>
      </c>
      <c r="DU377" s="143" t="str">
        <f>IF(DO377=1,"self-calculated DF",IF(DP377=1,"external DF used","explicit C balance"))</f>
        <v>explicit C balance</v>
      </c>
      <c r="DV377">
        <v>0</v>
      </c>
      <c r="DW377">
        <v>0</v>
      </c>
      <c r="DX377">
        <v>0</v>
      </c>
      <c r="DY377">
        <v>0</v>
      </c>
      <c r="DZ377">
        <v>0</v>
      </c>
      <c r="EA377" s="143">
        <v>0</v>
      </c>
      <c r="EB377">
        <v>0</v>
      </c>
      <c r="EC377">
        <v>1</v>
      </c>
      <c r="ED377">
        <v>0</v>
      </c>
      <c r="EE377">
        <v>0</v>
      </c>
      <c r="EF377">
        <v>0</v>
      </c>
      <c r="EG377">
        <v>0</v>
      </c>
      <c r="EH377">
        <v>0</v>
      </c>
      <c r="EI377" s="2">
        <v>0</v>
      </c>
      <c r="EJ377" s="1"/>
      <c r="EK377" t="str">
        <f>IF(AND(AND(AND(OR($DX377=1,$DW377=1),OR($EC377=1,$EA377=1)),SUM($DV377:$DZ377,$EF377)&gt;=4),SUM($EA377:$EE377)&gt;=2),"Whole sector","")</f>
        <v/>
      </c>
      <c r="EL377" t="str">
        <f>IF(AND(AND(OR($DX377=1,$DW377=1),AND($EC377=0,$EA377=0)),SUM($DV377:$DZ377,$EF377)&gt;=4),"Ecosystem approach","")</f>
        <v/>
      </c>
      <c r="EM377" s="2" t="str">
        <f>IF(AND(AND(AND($DX377=0,$DW377=0),OR($EC377=1,$EA377=1)),SUM($EB377:$EE377)&gt;=2),"Technology approach","")</f>
        <v/>
      </c>
      <c r="EN377"/>
      <c r="EO377"/>
      <c r="EP377" t="str">
        <f>IF(ISNUMBER(BU377),IF(ABS(BU377-[4]QC_indicators!$B$2)&gt;3*[4]QC_indicators!$C$2,"C ratio",IF(ISNUMBER(BY377),IF(ABS(BY377-[4]QC_indicators!$B$1)&gt;3*[4]QC_indicators!$C$1,"DF","no"))),IF(ISNUMBER(BY377),IF(ABS(BY377-[4]QC_indicators!$B$1)&gt;3*[4]QC_indicators!$C$1,"DF","no")))</f>
        <v>no</v>
      </c>
      <c r="EQ377"/>
      <c r="ER377" s="149" t="s">
        <v>349</v>
      </c>
      <c r="ES377"/>
      <c r="ET377" s="264" t="s">
        <v>3273</v>
      </c>
      <c r="EU377"/>
    </row>
    <row r="378" spans="1:151" s="139" customFormat="1" ht="15" customHeight="1">
      <c r="A378" s="256" t="s">
        <v>214</v>
      </c>
      <c r="B378" s="257" t="s">
        <v>215</v>
      </c>
      <c r="C378" s="257" t="s">
        <v>216</v>
      </c>
      <c r="D378" s="257" t="s">
        <v>217</v>
      </c>
      <c r="E378" s="257" t="s">
        <v>218</v>
      </c>
      <c r="F378" s="257" t="s">
        <v>219</v>
      </c>
      <c r="G378" s="257" t="s">
        <v>220</v>
      </c>
      <c r="H378" s="257"/>
      <c r="I378" s="257">
        <v>2012</v>
      </c>
      <c r="J378" s="257"/>
      <c r="K378" s="257" t="s">
        <v>221</v>
      </c>
      <c r="L378" s="257"/>
      <c r="M378" s="257" t="s">
        <v>3070</v>
      </c>
      <c r="N378" s="257" t="s">
        <v>222</v>
      </c>
      <c r="O378" s="275" t="s">
        <v>223</v>
      </c>
      <c r="P378" s="257"/>
      <c r="Q378" s="257" t="s">
        <v>224</v>
      </c>
      <c r="R378" s="258" t="s">
        <v>225</v>
      </c>
      <c r="S378" s="256" t="s">
        <v>240</v>
      </c>
      <c r="T378" s="257">
        <v>2000</v>
      </c>
      <c r="U378" s="257">
        <v>4000</v>
      </c>
      <c r="V378" s="257">
        <v>0</v>
      </c>
      <c r="W378" s="257">
        <v>0</v>
      </c>
      <c r="X378" s="257">
        <v>0</v>
      </c>
      <c r="Y378" s="257">
        <v>0</v>
      </c>
      <c r="Z378" s="257">
        <v>0</v>
      </c>
      <c r="AA378" s="257">
        <v>1</v>
      </c>
      <c r="AB378" s="257">
        <v>0</v>
      </c>
      <c r="AC378" s="257">
        <v>0</v>
      </c>
      <c r="AD378" s="257">
        <v>0</v>
      </c>
      <c r="AE378" s="257">
        <v>0</v>
      </c>
      <c r="AF378" s="257">
        <v>0</v>
      </c>
      <c r="AG378" s="257">
        <v>0</v>
      </c>
      <c r="AH378" s="257">
        <v>0</v>
      </c>
      <c r="AI378" s="257">
        <v>0</v>
      </c>
      <c r="AJ378" s="257">
        <v>0</v>
      </c>
      <c r="AK378" s="257">
        <v>0</v>
      </c>
      <c r="AL378" s="257">
        <v>0</v>
      </c>
      <c r="AM378" s="257">
        <v>0</v>
      </c>
      <c r="AN378" s="257">
        <v>0</v>
      </c>
      <c r="AO378" s="257">
        <v>0</v>
      </c>
      <c r="AP378" s="257">
        <v>0</v>
      </c>
      <c r="AQ378" s="257">
        <v>0</v>
      </c>
      <c r="AR378" s="257">
        <v>0</v>
      </c>
      <c r="AS378" s="257">
        <v>0</v>
      </c>
      <c r="AT378" s="257">
        <v>0</v>
      </c>
      <c r="AU378" s="257">
        <v>0</v>
      </c>
      <c r="AV378" s="257">
        <v>0</v>
      </c>
      <c r="AW378" s="257">
        <v>0</v>
      </c>
      <c r="AX378" s="277">
        <v>1</v>
      </c>
      <c r="AY378" s="277">
        <v>1</v>
      </c>
      <c r="AZ378" s="257">
        <v>1</v>
      </c>
      <c r="BA378" s="257">
        <v>0</v>
      </c>
      <c r="BB378" s="257">
        <v>0</v>
      </c>
      <c r="BC378" s="257">
        <v>0</v>
      </c>
      <c r="BD378" s="257">
        <v>0</v>
      </c>
      <c r="BE378" s="257" t="s">
        <v>93</v>
      </c>
      <c r="BF378" s="2" t="str" cm="1">
        <f t="array" ref="BF378">IF(COUNTIF(AZ378:BB378,"&lt;&gt;0")=1,INDEX($V$4:$AW$4,MATCH(TRUE,INDEX($V378:$AW378&lt;&gt;0,),0)),IF(COUNTIF(AZ378:BB378,"&lt;&gt;0")=0,INDEX($AM$4:$AW$4,MATCH(1,$AM378:$AW378,0)),"Multiple strategies"))</f>
        <v>Silviculture for productivity</v>
      </c>
      <c r="BG378" s="278" t="s">
        <v>229</v>
      </c>
      <c r="BH378" s="257" t="s">
        <v>230</v>
      </c>
      <c r="BI378" s="279" t="s">
        <v>3071</v>
      </c>
      <c r="BJ378" s="276" t="s">
        <v>231</v>
      </c>
      <c r="BK378" s="257">
        <v>77.011494249999998</v>
      </c>
      <c r="BL378" s="257">
        <v>82.922401170000001</v>
      </c>
      <c r="BM378" s="276">
        <v>1.0767535674715207</v>
      </c>
      <c r="BN378" s="257">
        <v>5.9109069200000022</v>
      </c>
      <c r="BO378" s="276">
        <v>12.063075346938779</v>
      </c>
      <c r="BP378" s="276" t="s">
        <v>232</v>
      </c>
      <c r="BQ378" s="282" t="s">
        <v>2625</v>
      </c>
      <c r="BR378" s="276" t="s">
        <v>233</v>
      </c>
      <c r="BS378" s="257">
        <v>-8</v>
      </c>
      <c r="BT378" s="257">
        <v>-12.051927770000001</v>
      </c>
      <c r="BU378" s="259">
        <v>1.5064909712500001</v>
      </c>
      <c r="BV378" s="257">
        <v>-4.0519277700000007</v>
      </c>
      <c r="BW378" s="257"/>
      <c r="BX378" s="257">
        <v>-4.0519277700000007E-3</v>
      </c>
      <c r="BY378" s="257">
        <v>-3.3589508922600317E-4</v>
      </c>
      <c r="BZ378" s="257">
        <v>0</v>
      </c>
      <c r="CA378" s="257">
        <v>0</v>
      </c>
      <c r="CB378" s="257">
        <v>0</v>
      </c>
      <c r="CC378" s="257">
        <v>0</v>
      </c>
      <c r="CD378" s="257">
        <v>0</v>
      </c>
      <c r="CE378" s="257">
        <v>0</v>
      </c>
      <c r="CF378" s="257">
        <v>0</v>
      </c>
      <c r="CG378" s="257">
        <v>0</v>
      </c>
      <c r="CH378" s="257">
        <v>0</v>
      </c>
      <c r="CI378" s="257">
        <v>0</v>
      </c>
      <c r="CJ378" s="257">
        <v>0</v>
      </c>
      <c r="CK378" s="257">
        <v>0</v>
      </c>
      <c r="CL378" s="257">
        <v>0</v>
      </c>
      <c r="CM378" s="257">
        <v>0</v>
      </c>
      <c r="CN378" s="257" t="s">
        <v>3072</v>
      </c>
      <c r="CO378" s="257">
        <v>77.011494249999998</v>
      </c>
      <c r="CP378" s="257">
        <v>82.922401170000001</v>
      </c>
      <c r="CQ378" s="257">
        <v>12.063075346938779</v>
      </c>
      <c r="CR378" s="257">
        <v>-8</v>
      </c>
      <c r="CS378" s="257">
        <v>-12.051927770000001</v>
      </c>
      <c r="CT378" s="257">
        <v>-4.0519277700000007E-3</v>
      </c>
      <c r="CU378" s="257">
        <v>-3.3589508922600317E-4</v>
      </c>
      <c r="CV378" s="258">
        <v>-0.50649097125000009</v>
      </c>
      <c r="CW378" s="256" t="s">
        <v>234</v>
      </c>
      <c r="CX378" s="257" t="s">
        <v>3073</v>
      </c>
      <c r="CY378" s="257" t="s">
        <v>235</v>
      </c>
      <c r="CZ378" s="257"/>
      <c r="DA378" s="276"/>
      <c r="DB378" s="276">
        <v>80</v>
      </c>
      <c r="DC378" s="257" t="s">
        <v>3074</v>
      </c>
      <c r="DD378" s="257">
        <v>0</v>
      </c>
      <c r="DE378" s="257">
        <v>1</v>
      </c>
      <c r="DF378" s="257">
        <v>0</v>
      </c>
      <c r="DG378" s="257">
        <v>0</v>
      </c>
      <c r="DH378" s="257"/>
      <c r="DI378" s="257">
        <v>1</v>
      </c>
      <c r="DJ378" s="257" t="s">
        <v>173</v>
      </c>
      <c r="DK378" s="257">
        <v>0</v>
      </c>
      <c r="DL378" s="257" t="s">
        <v>180</v>
      </c>
      <c r="DM378" s="257">
        <v>0</v>
      </c>
      <c r="DN378" s="257">
        <v>0</v>
      </c>
      <c r="DO378" s="257">
        <v>0</v>
      </c>
      <c r="DP378" s="276">
        <v>0</v>
      </c>
      <c r="DQ378" s="276">
        <v>0</v>
      </c>
      <c r="DR378" s="276">
        <v>0</v>
      </c>
      <c r="DS378" s="276">
        <v>0</v>
      </c>
      <c r="DT378" s="257">
        <v>0</v>
      </c>
      <c r="DU378" s="276" t="s">
        <v>962</v>
      </c>
      <c r="DV378" s="276">
        <v>1</v>
      </c>
      <c r="DW378" s="276">
        <v>1</v>
      </c>
      <c r="DX378" s="276">
        <v>1</v>
      </c>
      <c r="DY378" s="276">
        <v>0</v>
      </c>
      <c r="DZ378" s="257">
        <v>0</v>
      </c>
      <c r="EA378" s="276">
        <v>0</v>
      </c>
      <c r="EB378" s="276">
        <v>1</v>
      </c>
      <c r="EC378" s="276">
        <v>1</v>
      </c>
      <c r="ED378" s="276">
        <v>0</v>
      </c>
      <c r="EE378" s="276">
        <v>0</v>
      </c>
      <c r="EF378" s="257">
        <v>1</v>
      </c>
      <c r="EG378" s="276">
        <v>0</v>
      </c>
      <c r="EH378" s="257">
        <v>0</v>
      </c>
      <c r="EI378" s="258">
        <v>0</v>
      </c>
      <c r="EJ378" s="256"/>
      <c r="EK378" t="str">
        <f>IF(AND(AND(AND(OR($DX378=1,$DW378=1),OR($EC378=1,$EA378=1)),SUM($DV378:$DZ378,$EF378)&gt;=4),SUM($EA378:$EE378)&gt;=2),"Whole sector","")</f>
        <v>Whole sector</v>
      </c>
      <c r="EL378" t="str">
        <f>IF(AND(AND(OR($DX378=1,$DW378=1),AND($EC378=0,$EA378=0)),SUM($DV378:$DZ378,$EF378)&gt;=4),"Ecosystem approach","")</f>
        <v/>
      </c>
      <c r="EM378" s="258" t="s">
        <v>544</v>
      </c>
      <c r="EN378" s="257" t="s">
        <v>236</v>
      </c>
      <c r="EO378" s="257"/>
      <c r="EP378" t="str">
        <f>IF(ISNUMBER(BU378),IF(ABS(BU378-[2]QC_indicators!$B$2)&gt;3*[2]QC_indicators!$C$2,"C ratio",IF(ISNUMBER(BY378),IF(ABS(BY378-[2]QC_indicators!$B$1)&gt;3*[2]QC_indicators!$C$1,"DF","no"))),IF(ISNUMBER(BY378),IF(ABS(BY378-[2]QC_indicators!$B$1)&gt;3*[2]QC_indicators!$C$1,"DF","no")))</f>
        <v>no</v>
      </c>
      <c r="EQ378" s="280"/>
      <c r="ER378" s="280"/>
      <c r="ES378" s="280"/>
      <c r="ET378"/>
      <c r="EU378"/>
    </row>
    <row r="379" spans="1:151" s="139" customFormat="1" ht="15" customHeight="1">
      <c r="A379" s="256" t="s">
        <v>214</v>
      </c>
      <c r="B379" s="257" t="s">
        <v>215</v>
      </c>
      <c r="C379" s="257" t="s">
        <v>216</v>
      </c>
      <c r="D379" s="257" t="s">
        <v>217</v>
      </c>
      <c r="E379" s="257" t="s">
        <v>218</v>
      </c>
      <c r="F379" s="257" t="s">
        <v>219</v>
      </c>
      <c r="G379" s="257" t="s">
        <v>220</v>
      </c>
      <c r="H379" s="257"/>
      <c r="I379" s="257">
        <v>2012</v>
      </c>
      <c r="J379" s="257"/>
      <c r="K379" s="257" t="s">
        <v>221</v>
      </c>
      <c r="L379" s="257"/>
      <c r="M379" s="257" t="s">
        <v>3070</v>
      </c>
      <c r="N379" s="257" t="s">
        <v>222</v>
      </c>
      <c r="O379" s="275" t="s">
        <v>223</v>
      </c>
      <c r="P379" s="257"/>
      <c r="Q379" s="257" t="s">
        <v>224</v>
      </c>
      <c r="R379" s="258" t="s">
        <v>225</v>
      </c>
      <c r="S379" s="256" t="s">
        <v>240</v>
      </c>
      <c r="T379" s="257">
        <v>2000</v>
      </c>
      <c r="U379" s="257">
        <v>4000</v>
      </c>
      <c r="V379" s="257">
        <v>0</v>
      </c>
      <c r="W379" s="257">
        <v>0</v>
      </c>
      <c r="X379" s="257">
        <v>0</v>
      </c>
      <c r="Y379" s="257">
        <v>0</v>
      </c>
      <c r="Z379" s="257">
        <v>0</v>
      </c>
      <c r="AA379" s="257">
        <v>1</v>
      </c>
      <c r="AB379" s="257">
        <v>0</v>
      </c>
      <c r="AC379" s="257">
        <v>0</v>
      </c>
      <c r="AD379" s="257">
        <v>0</v>
      </c>
      <c r="AE379" s="257">
        <v>0</v>
      </c>
      <c r="AF379" s="257">
        <v>0</v>
      </c>
      <c r="AG379" s="257">
        <v>0</v>
      </c>
      <c r="AH379" s="257">
        <v>0</v>
      </c>
      <c r="AI379" s="257">
        <v>0</v>
      </c>
      <c r="AJ379" s="257">
        <v>0</v>
      </c>
      <c r="AK379" s="257">
        <v>0</v>
      </c>
      <c r="AL379" s="257">
        <v>0</v>
      </c>
      <c r="AM379" s="257">
        <v>0</v>
      </c>
      <c r="AN379" s="257">
        <v>0</v>
      </c>
      <c r="AO379" s="257">
        <v>0</v>
      </c>
      <c r="AP379" s="257">
        <v>0</v>
      </c>
      <c r="AQ379" s="257">
        <v>0</v>
      </c>
      <c r="AR379" s="257">
        <v>0</v>
      </c>
      <c r="AS379" s="257">
        <v>0</v>
      </c>
      <c r="AT379" s="257">
        <v>0</v>
      </c>
      <c r="AU379" s="257">
        <v>0</v>
      </c>
      <c r="AV379" s="257">
        <v>0</v>
      </c>
      <c r="AW379" s="257">
        <v>0</v>
      </c>
      <c r="AX379" s="277">
        <v>1</v>
      </c>
      <c r="AY379" s="277">
        <v>1</v>
      </c>
      <c r="AZ379" s="257">
        <v>1</v>
      </c>
      <c r="BA379" s="257">
        <v>0</v>
      </c>
      <c r="BB379" s="257">
        <v>0</v>
      </c>
      <c r="BC379" s="257">
        <v>0</v>
      </c>
      <c r="BD379" s="257">
        <v>0</v>
      </c>
      <c r="BE379" s="257" t="s">
        <v>93</v>
      </c>
      <c r="BF379" s="2" t="str" cm="1">
        <f t="array" ref="BF379">IF(COUNTIF(AZ379:BB379,"&lt;&gt;0")=1,INDEX($V$4:$AW$4,MATCH(TRUE,INDEX($V379:$AW379&lt;&gt;0,),0)),IF(COUNTIF(AZ379:BB379,"&lt;&gt;0")=0,INDEX($AM$4:$AW$4,MATCH(1,$AM379:$AW379,0)),"Multiple strategies"))</f>
        <v>Silviculture for productivity</v>
      </c>
      <c r="BG379" s="278" t="s">
        <v>229</v>
      </c>
      <c r="BH379" s="257" t="s">
        <v>230</v>
      </c>
      <c r="BI379" s="279" t="s">
        <v>3071</v>
      </c>
      <c r="BJ379" s="276" t="s">
        <v>231</v>
      </c>
      <c r="BK379" s="257">
        <v>95.114942529999993</v>
      </c>
      <c r="BL379" s="257">
        <v>102.3265007</v>
      </c>
      <c r="BM379" s="276">
        <v>1.0758194031156085</v>
      </c>
      <c r="BN379" s="257">
        <v>7.2115581700000035</v>
      </c>
      <c r="BO379" s="276">
        <v>14.717465653061232</v>
      </c>
      <c r="BP379" s="276" t="s">
        <v>232</v>
      </c>
      <c r="BQ379" s="282" t="s">
        <v>2625</v>
      </c>
      <c r="BR379" s="276" t="s">
        <v>233</v>
      </c>
      <c r="BS379" s="257">
        <v>-7.8979591840000003</v>
      </c>
      <c r="BT379" s="257">
        <v>-11.78438263</v>
      </c>
      <c r="BU379" s="259">
        <v>1.4920794543827562</v>
      </c>
      <c r="BV379" s="257">
        <v>-3.8864234459999993</v>
      </c>
      <c r="BW379" s="257"/>
      <c r="BX379" s="257">
        <v>-3.8864234459999995E-3</v>
      </c>
      <c r="BY379" s="257">
        <v>-2.6406879673550478E-4</v>
      </c>
      <c r="BZ379" s="257">
        <v>0</v>
      </c>
      <c r="CA379" s="257">
        <v>0</v>
      </c>
      <c r="CB379" s="257">
        <v>0</v>
      </c>
      <c r="CC379" s="257">
        <v>0</v>
      </c>
      <c r="CD379" s="257">
        <v>0</v>
      </c>
      <c r="CE379" s="257">
        <v>0</v>
      </c>
      <c r="CF379" s="257">
        <v>0</v>
      </c>
      <c r="CG379" s="257">
        <v>0</v>
      </c>
      <c r="CH379" s="257">
        <v>0</v>
      </c>
      <c r="CI379" s="257">
        <v>0</v>
      </c>
      <c r="CJ379" s="257">
        <v>0</v>
      </c>
      <c r="CK379" s="257">
        <v>0</v>
      </c>
      <c r="CL379" s="257">
        <v>0</v>
      </c>
      <c r="CM379" s="257">
        <v>0</v>
      </c>
      <c r="CN379" s="257" t="s">
        <v>3072</v>
      </c>
      <c r="CO379" s="257">
        <v>95.114942529999993</v>
      </c>
      <c r="CP379" s="257">
        <v>102.3265007</v>
      </c>
      <c r="CQ379" s="257">
        <v>14.717465653061232</v>
      </c>
      <c r="CR379" s="257">
        <v>-7.8979591840000003</v>
      </c>
      <c r="CS379" s="257">
        <v>-11.78438263</v>
      </c>
      <c r="CT379" s="257">
        <v>-3.8864234459999995E-3</v>
      </c>
      <c r="CU379" s="257">
        <v>-2.6406879673550478E-4</v>
      </c>
      <c r="CV379" s="258">
        <v>-0.4920794543827563</v>
      </c>
      <c r="CW379" s="256" t="s">
        <v>234</v>
      </c>
      <c r="CX379" s="257" t="s">
        <v>3073</v>
      </c>
      <c r="CY379" s="257" t="s">
        <v>235</v>
      </c>
      <c r="CZ379" s="257"/>
      <c r="DA379" s="276"/>
      <c r="DB379" s="276">
        <v>80</v>
      </c>
      <c r="DC379" s="257" t="s">
        <v>3074</v>
      </c>
      <c r="DD379" s="257">
        <v>0</v>
      </c>
      <c r="DE379" s="257">
        <v>1</v>
      </c>
      <c r="DF379" s="257">
        <v>0</v>
      </c>
      <c r="DG379" s="257">
        <v>0</v>
      </c>
      <c r="DH379" s="257"/>
      <c r="DI379" s="257">
        <v>1</v>
      </c>
      <c r="DJ379" s="257" t="s">
        <v>173</v>
      </c>
      <c r="DK379" s="257">
        <v>0</v>
      </c>
      <c r="DL379" s="257" t="s">
        <v>180</v>
      </c>
      <c r="DM379" s="257">
        <v>0</v>
      </c>
      <c r="DN379" s="257">
        <v>0</v>
      </c>
      <c r="DO379" s="257">
        <v>0</v>
      </c>
      <c r="DP379" s="276">
        <v>0</v>
      </c>
      <c r="DQ379" s="276">
        <v>0</v>
      </c>
      <c r="DR379" s="276">
        <v>0</v>
      </c>
      <c r="DS379" s="276">
        <v>0</v>
      </c>
      <c r="DT379" s="257">
        <v>0</v>
      </c>
      <c r="DU379" s="276" t="s">
        <v>962</v>
      </c>
      <c r="DV379" s="276">
        <v>1</v>
      </c>
      <c r="DW379" s="276">
        <v>1</v>
      </c>
      <c r="DX379" s="276">
        <v>1</v>
      </c>
      <c r="DY379" s="276">
        <v>0</v>
      </c>
      <c r="DZ379" s="257">
        <v>0</v>
      </c>
      <c r="EA379" s="276">
        <v>0</v>
      </c>
      <c r="EB379" s="276">
        <v>1</v>
      </c>
      <c r="EC379" s="276">
        <v>1</v>
      </c>
      <c r="ED379" s="276">
        <v>0</v>
      </c>
      <c r="EE379" s="276">
        <v>0</v>
      </c>
      <c r="EF379" s="257">
        <v>1</v>
      </c>
      <c r="EG379" s="276">
        <v>0</v>
      </c>
      <c r="EH379" s="257">
        <v>0</v>
      </c>
      <c r="EI379" s="258">
        <v>0</v>
      </c>
      <c r="EJ379" s="256"/>
      <c r="EK379" t="str">
        <f>IF(AND(AND(AND(OR($DX379=1,$DW379=1),OR($EC379=1,$EA379=1)),SUM($DV379:$DZ379,$EF379)&gt;=4),SUM($EA379:$EE379)&gt;=2),"Whole sector","")</f>
        <v>Whole sector</v>
      </c>
      <c r="EL379" t="str">
        <f>IF(AND(AND(OR($DX379=1,$DW379=1),AND($EC379=0,$EA379=0)),SUM($DV379:$DZ379,$EF379)&gt;=4),"Ecosystem approach","")</f>
        <v/>
      </c>
      <c r="EM379" s="258" t="s">
        <v>544</v>
      </c>
      <c r="EN379" s="257" t="s">
        <v>236</v>
      </c>
      <c r="EO379" s="257"/>
      <c r="EP379" t="str">
        <f>IF(ISNUMBER(BU379),IF(ABS(BU379-[2]QC_indicators!$B$2)&gt;3*[2]QC_indicators!$C$2,"C ratio",IF(ISNUMBER(BY379),IF(ABS(BY379-[2]QC_indicators!$B$1)&gt;3*[2]QC_indicators!$C$1,"DF","no"))),IF(ISNUMBER(BY379),IF(ABS(BY379-[2]QC_indicators!$B$1)&gt;3*[2]QC_indicators!$C$1,"DF","no")))</f>
        <v>no</v>
      </c>
      <c r="EQ379" s="280"/>
      <c r="ER379" s="280"/>
      <c r="ES379" s="280"/>
      <c r="ET379"/>
      <c r="EU379"/>
    </row>
    <row r="380" spans="1:151" s="139" customFormat="1" ht="15" customHeight="1">
      <c r="A380" s="256" t="s">
        <v>214</v>
      </c>
      <c r="B380" s="257" t="s">
        <v>215</v>
      </c>
      <c r="C380" s="257" t="s">
        <v>216</v>
      </c>
      <c r="D380" s="257" t="s">
        <v>217</v>
      </c>
      <c r="E380" s="257" t="s">
        <v>218</v>
      </c>
      <c r="F380" s="257" t="s">
        <v>219</v>
      </c>
      <c r="G380" s="257" t="s">
        <v>220</v>
      </c>
      <c r="H380" s="257"/>
      <c r="I380" s="257">
        <v>2012</v>
      </c>
      <c r="J380" s="257"/>
      <c r="K380" s="257" t="s">
        <v>221</v>
      </c>
      <c r="L380" s="257"/>
      <c r="M380" s="257" t="s">
        <v>3070</v>
      </c>
      <c r="N380" s="257" t="s">
        <v>222</v>
      </c>
      <c r="O380" s="275" t="s">
        <v>223</v>
      </c>
      <c r="P380" s="257"/>
      <c r="Q380" s="257" t="s">
        <v>224</v>
      </c>
      <c r="R380" s="258" t="s">
        <v>225</v>
      </c>
      <c r="S380" s="256" t="s">
        <v>241</v>
      </c>
      <c r="T380" s="257" t="s">
        <v>242</v>
      </c>
      <c r="U380" s="276" t="s">
        <v>243</v>
      </c>
      <c r="V380" s="257">
        <v>0</v>
      </c>
      <c r="W380" s="257">
        <v>0</v>
      </c>
      <c r="X380" s="257">
        <v>0</v>
      </c>
      <c r="Y380" s="257">
        <v>0</v>
      </c>
      <c r="Z380" s="257">
        <v>0</v>
      </c>
      <c r="AA380" s="257">
        <v>0</v>
      </c>
      <c r="AB380" s="257">
        <v>0</v>
      </c>
      <c r="AC380" s="257">
        <v>1</v>
      </c>
      <c r="AD380" s="257">
        <v>0</v>
      </c>
      <c r="AE380" s="257">
        <v>0</v>
      </c>
      <c r="AF380" s="257">
        <v>0</v>
      </c>
      <c r="AG380" s="257">
        <v>0</v>
      </c>
      <c r="AH380" s="257">
        <v>0</v>
      </c>
      <c r="AI380" s="257">
        <v>0</v>
      </c>
      <c r="AJ380" s="257">
        <v>0</v>
      </c>
      <c r="AK380" s="257">
        <v>0</v>
      </c>
      <c r="AL380" s="257">
        <v>0</v>
      </c>
      <c r="AM380" s="257">
        <v>0</v>
      </c>
      <c r="AN380" s="257">
        <v>0</v>
      </c>
      <c r="AO380" s="257">
        <v>0</v>
      </c>
      <c r="AP380" s="257">
        <v>0</v>
      </c>
      <c r="AQ380" s="257">
        <v>0</v>
      </c>
      <c r="AR380" s="257">
        <v>0</v>
      </c>
      <c r="AS380" s="257">
        <v>0</v>
      </c>
      <c r="AT380" s="257">
        <v>0</v>
      </c>
      <c r="AU380" s="257">
        <v>0</v>
      </c>
      <c r="AV380" s="257">
        <v>0</v>
      </c>
      <c r="AW380" s="257">
        <v>0</v>
      </c>
      <c r="AX380" s="277">
        <v>1</v>
      </c>
      <c r="AY380" s="277">
        <v>1</v>
      </c>
      <c r="AZ380" s="257">
        <v>1</v>
      </c>
      <c r="BA380" s="257">
        <v>0</v>
      </c>
      <c r="BB380" s="257">
        <v>0</v>
      </c>
      <c r="BC380" s="257">
        <v>0</v>
      </c>
      <c r="BD380" s="257">
        <v>0</v>
      </c>
      <c r="BE380" s="257" t="s">
        <v>95</v>
      </c>
      <c r="BF380" s="2" t="str" cm="1">
        <f t="array" ref="BF380">IF(COUNTIF(AZ380:BB380,"&lt;&gt;0")=1,INDEX($V$4:$AW$4,MATCH(TRUE,INDEX($V380:$AW380&lt;&gt;0,),0)),IF(COUNTIF(AZ380:BB380,"&lt;&gt;0")=0,INDEX($AM$4:$AW$4,MATCH(1,$AM380:$AW380,0)),"Multiple strategies"))</f>
        <v>Silviculture for productivity</v>
      </c>
      <c r="BG380" s="278" t="s">
        <v>229</v>
      </c>
      <c r="BH380" s="257" t="s">
        <v>230</v>
      </c>
      <c r="BI380" s="279" t="s">
        <v>3071</v>
      </c>
      <c r="BJ380" s="276" t="s">
        <v>231</v>
      </c>
      <c r="BK380" s="257">
        <v>74.931604761787398</v>
      </c>
      <c r="BL380" s="257">
        <v>81.736456808199094</v>
      </c>
      <c r="BM380" s="276">
        <v>1.0908141773827582</v>
      </c>
      <c r="BN380" s="257">
        <v>6.8048520464116962</v>
      </c>
      <c r="BO380" s="276">
        <v>13.887453155942238</v>
      </c>
      <c r="BP380" s="276" t="s">
        <v>232</v>
      </c>
      <c r="BQ380" s="279" t="s">
        <v>2625</v>
      </c>
      <c r="BR380" s="276" t="s">
        <v>233</v>
      </c>
      <c r="BS380" s="257">
        <v>-8.5161560643777907</v>
      </c>
      <c r="BT380" s="257">
        <v>-12.163201561737401</v>
      </c>
      <c r="BU380" s="259">
        <v>1.4282501952512152</v>
      </c>
      <c r="BV380" s="257">
        <v>-3.6470454973596098</v>
      </c>
      <c r="BW380" s="257"/>
      <c r="BX380" s="257">
        <v>-3.6470454973596099E-3</v>
      </c>
      <c r="BY380" s="257">
        <v>-2.626144229908054E-4</v>
      </c>
      <c r="BZ380" s="257">
        <v>0</v>
      </c>
      <c r="CA380" s="257">
        <v>0</v>
      </c>
      <c r="CB380" s="257">
        <v>0</v>
      </c>
      <c r="CC380" s="257">
        <v>0</v>
      </c>
      <c r="CD380" s="257">
        <v>0</v>
      </c>
      <c r="CE380" s="257">
        <v>0</v>
      </c>
      <c r="CF380" s="257">
        <v>0</v>
      </c>
      <c r="CG380" s="257">
        <v>0</v>
      </c>
      <c r="CH380" s="257">
        <v>0</v>
      </c>
      <c r="CI380" s="257">
        <v>0</v>
      </c>
      <c r="CJ380" s="257">
        <v>0</v>
      </c>
      <c r="CK380" s="257">
        <v>0</v>
      </c>
      <c r="CL380" s="257">
        <v>0</v>
      </c>
      <c r="CM380" s="257">
        <v>0</v>
      </c>
      <c r="CN380" s="257" t="s">
        <v>3072</v>
      </c>
      <c r="CO380" s="257">
        <v>74.931604761787398</v>
      </c>
      <c r="CP380" s="257">
        <v>81.736456808199094</v>
      </c>
      <c r="CQ380" s="257">
        <v>13.887453155942238</v>
      </c>
      <c r="CR380" s="257">
        <v>-8.5161560643777907</v>
      </c>
      <c r="CS380" s="257">
        <v>-12.163201561737401</v>
      </c>
      <c r="CT380" s="257">
        <v>-3.6470454973596099E-3</v>
      </c>
      <c r="CU380" s="257">
        <v>-2.626144229908054E-4</v>
      </c>
      <c r="CV380" s="258">
        <v>-0.42825019525121527</v>
      </c>
      <c r="CW380" s="256" t="s">
        <v>234</v>
      </c>
      <c r="CX380" s="257" t="s">
        <v>3073</v>
      </c>
      <c r="CY380" s="257" t="s">
        <v>235</v>
      </c>
      <c r="CZ380" s="257"/>
      <c r="DA380" s="276"/>
      <c r="DB380" s="276">
        <v>80</v>
      </c>
      <c r="DC380" s="257" t="s">
        <v>3074</v>
      </c>
      <c r="DD380" s="257">
        <v>0</v>
      </c>
      <c r="DE380" s="257">
        <v>1</v>
      </c>
      <c r="DF380" s="257">
        <v>0</v>
      </c>
      <c r="DG380" s="257">
        <v>0</v>
      </c>
      <c r="DH380" s="257"/>
      <c r="DI380" s="257">
        <v>1</v>
      </c>
      <c r="DJ380" s="257" t="s">
        <v>173</v>
      </c>
      <c r="DK380" s="257">
        <v>0</v>
      </c>
      <c r="DL380" s="257" t="s">
        <v>180</v>
      </c>
      <c r="DM380" s="257">
        <v>0</v>
      </c>
      <c r="DN380" s="257">
        <v>0</v>
      </c>
      <c r="DO380" s="257">
        <v>0</v>
      </c>
      <c r="DP380" s="276">
        <v>0</v>
      </c>
      <c r="DQ380" s="276">
        <v>0</v>
      </c>
      <c r="DR380" s="276">
        <v>0</v>
      </c>
      <c r="DS380" s="276">
        <v>0</v>
      </c>
      <c r="DT380" s="257">
        <v>0</v>
      </c>
      <c r="DU380" s="276" t="s">
        <v>962</v>
      </c>
      <c r="DV380" s="276">
        <v>1</v>
      </c>
      <c r="DW380" s="276">
        <v>1</v>
      </c>
      <c r="DX380" s="276">
        <v>1</v>
      </c>
      <c r="DY380" s="276">
        <v>0</v>
      </c>
      <c r="DZ380" s="257">
        <v>0</v>
      </c>
      <c r="EA380" s="276">
        <v>0</v>
      </c>
      <c r="EB380" s="276">
        <v>1</v>
      </c>
      <c r="EC380" s="276">
        <v>1</v>
      </c>
      <c r="ED380" s="276">
        <v>0</v>
      </c>
      <c r="EE380" s="276">
        <v>0</v>
      </c>
      <c r="EF380" s="257">
        <v>1</v>
      </c>
      <c r="EG380" s="276">
        <v>0</v>
      </c>
      <c r="EH380" s="257">
        <v>0</v>
      </c>
      <c r="EI380" s="258">
        <v>0</v>
      </c>
      <c r="EJ380" s="256"/>
      <c r="EK380" t="str">
        <f>IF(AND(AND(AND(OR($DX380=1,$DW380=1),OR($EC380=1,$EA380=1)),SUM($DV380:$DZ380,$EF380)&gt;=4),SUM($EA380:$EE380)&gt;=2),"Whole sector","")</f>
        <v>Whole sector</v>
      </c>
      <c r="EL380" t="str">
        <f>IF(AND(AND(OR($DX380=1,$DW380=1),AND($EC380=0,$EA380=0)),SUM($DV380:$DZ380,$EF380)&gt;=4),"Ecosystem approach","")</f>
        <v/>
      </c>
      <c r="EM380" s="258" t="s">
        <v>544</v>
      </c>
      <c r="EN380" s="257" t="s">
        <v>236</v>
      </c>
      <c r="EO380" s="257"/>
      <c r="EP380" t="str">
        <f>IF(ISNUMBER(BU380),IF(ABS(BU380-[2]QC_indicators!$B$2)&gt;3*[2]QC_indicators!$C$2,"C ratio",IF(ISNUMBER(BY380),IF(ABS(BY380-[2]QC_indicators!$B$1)&gt;3*[2]QC_indicators!$C$1,"DF","no"))),IF(ISNUMBER(BY380),IF(ABS(BY380-[2]QC_indicators!$B$1)&gt;3*[2]QC_indicators!$C$1,"DF","no")))</f>
        <v>no</v>
      </c>
      <c r="EQ380"/>
      <c r="ER380"/>
      <c r="ES380"/>
      <c r="ET380"/>
      <c r="EU380"/>
    </row>
    <row r="381" spans="1:151" s="139" customFormat="1" ht="15" customHeight="1">
      <c r="A381" s="256" t="s">
        <v>214</v>
      </c>
      <c r="B381" s="257" t="s">
        <v>215</v>
      </c>
      <c r="C381" s="257" t="s">
        <v>216</v>
      </c>
      <c r="D381" s="257" t="s">
        <v>217</v>
      </c>
      <c r="E381" s="257" t="s">
        <v>218</v>
      </c>
      <c r="F381" s="257" t="s">
        <v>219</v>
      </c>
      <c r="G381" s="257" t="s">
        <v>220</v>
      </c>
      <c r="H381" s="257"/>
      <c r="I381" s="257">
        <v>2012</v>
      </c>
      <c r="J381" s="257"/>
      <c r="K381" s="257" t="s">
        <v>221</v>
      </c>
      <c r="L381" s="257"/>
      <c r="M381" s="257" t="s">
        <v>3070</v>
      </c>
      <c r="N381" s="257" t="s">
        <v>222</v>
      </c>
      <c r="O381" s="275" t="s">
        <v>223</v>
      </c>
      <c r="P381" s="257"/>
      <c r="Q381" s="257" t="s">
        <v>224</v>
      </c>
      <c r="R381" s="258" t="s">
        <v>225</v>
      </c>
      <c r="S381" s="256" t="s">
        <v>241</v>
      </c>
      <c r="T381" s="257" t="s">
        <v>242</v>
      </c>
      <c r="U381" s="276" t="s">
        <v>243</v>
      </c>
      <c r="V381" s="257">
        <v>0</v>
      </c>
      <c r="W381" s="257">
        <v>0</v>
      </c>
      <c r="X381" s="257">
        <v>0</v>
      </c>
      <c r="Y381" s="257">
        <v>0</v>
      </c>
      <c r="Z381" s="257">
        <v>0</v>
      </c>
      <c r="AA381" s="257">
        <v>0</v>
      </c>
      <c r="AB381" s="257">
        <v>0</v>
      </c>
      <c r="AC381" s="257">
        <v>1</v>
      </c>
      <c r="AD381" s="257">
        <v>0</v>
      </c>
      <c r="AE381" s="257">
        <v>0</v>
      </c>
      <c r="AF381" s="257">
        <v>0</v>
      </c>
      <c r="AG381" s="257">
        <v>0</v>
      </c>
      <c r="AH381" s="257">
        <v>0</v>
      </c>
      <c r="AI381" s="257">
        <v>0</v>
      </c>
      <c r="AJ381" s="257">
        <v>0</v>
      </c>
      <c r="AK381" s="257">
        <v>0</v>
      </c>
      <c r="AL381" s="257">
        <v>0</v>
      </c>
      <c r="AM381" s="257">
        <v>0</v>
      </c>
      <c r="AN381" s="257">
        <v>0</v>
      </c>
      <c r="AO381" s="257">
        <v>0</v>
      </c>
      <c r="AP381" s="257">
        <v>0</v>
      </c>
      <c r="AQ381" s="257">
        <v>0</v>
      </c>
      <c r="AR381" s="257">
        <v>0</v>
      </c>
      <c r="AS381" s="257">
        <v>0</v>
      </c>
      <c r="AT381" s="257">
        <v>0</v>
      </c>
      <c r="AU381" s="257">
        <v>0</v>
      </c>
      <c r="AV381" s="257">
        <v>0</v>
      </c>
      <c r="AW381" s="257">
        <v>0</v>
      </c>
      <c r="AX381" s="277">
        <v>1</v>
      </c>
      <c r="AY381" s="277">
        <v>1</v>
      </c>
      <c r="AZ381" s="257">
        <v>1</v>
      </c>
      <c r="BA381" s="257">
        <v>0</v>
      </c>
      <c r="BB381" s="257">
        <v>0</v>
      </c>
      <c r="BC381" s="257">
        <v>0</v>
      </c>
      <c r="BD381" s="257">
        <v>0</v>
      </c>
      <c r="BE381" s="257" t="s">
        <v>95</v>
      </c>
      <c r="BF381" s="2" t="str" cm="1">
        <f t="array" ref="BF381">IF(COUNTIF(AZ381:BB381,"&lt;&gt;0")=1,INDEX($V$4:$AW$4,MATCH(TRUE,INDEX($V381:$AW381&lt;&gt;0,),0)),IF(COUNTIF(AZ381:BB381,"&lt;&gt;0")=0,INDEX($AM$4:$AW$4,MATCH(1,$AM381:$AW381,0)),"Multiple strategies"))</f>
        <v>Silviculture for productivity</v>
      </c>
      <c r="BG381" s="278" t="s">
        <v>229</v>
      </c>
      <c r="BH381" s="257" t="s">
        <v>230</v>
      </c>
      <c r="BI381" s="279" t="s">
        <v>3071</v>
      </c>
      <c r="BJ381" s="276" t="s">
        <v>231</v>
      </c>
      <c r="BK381" s="257">
        <v>75.212579794444494</v>
      </c>
      <c r="BL381" s="257">
        <v>82.922401171303093</v>
      </c>
      <c r="BM381" s="276">
        <v>1.1025070725925037</v>
      </c>
      <c r="BN381" s="257">
        <v>7.7098213768585993</v>
      </c>
      <c r="BO381" s="276">
        <v>15.734329340527754</v>
      </c>
      <c r="BP381" s="276" t="s">
        <v>232</v>
      </c>
      <c r="BQ381" s="282" t="s">
        <v>2625</v>
      </c>
      <c r="BR381" s="276" t="s">
        <v>233</v>
      </c>
      <c r="BS381" s="257">
        <v>-8.4548837897123708</v>
      </c>
      <c r="BT381" s="257">
        <v>-12.051927769643701</v>
      </c>
      <c r="BU381" s="259">
        <v>1.42543978952237</v>
      </c>
      <c r="BV381" s="257">
        <v>-3.5970439799313301</v>
      </c>
      <c r="BW381" s="257"/>
      <c r="BX381" s="257">
        <v>-3.5970439799313299E-3</v>
      </c>
      <c r="BY381" s="257">
        <v>-2.286112043343488E-4</v>
      </c>
      <c r="BZ381" s="257">
        <v>0</v>
      </c>
      <c r="CA381" s="257">
        <v>0</v>
      </c>
      <c r="CB381" s="257">
        <v>0</v>
      </c>
      <c r="CC381" s="257">
        <v>0</v>
      </c>
      <c r="CD381" s="257">
        <v>0</v>
      </c>
      <c r="CE381" s="257">
        <v>0</v>
      </c>
      <c r="CF381" s="257">
        <v>0</v>
      </c>
      <c r="CG381" s="257">
        <v>0</v>
      </c>
      <c r="CH381" s="257">
        <v>0</v>
      </c>
      <c r="CI381" s="257">
        <v>0</v>
      </c>
      <c r="CJ381" s="257">
        <v>0</v>
      </c>
      <c r="CK381" s="257">
        <v>0</v>
      </c>
      <c r="CL381" s="257">
        <v>0</v>
      </c>
      <c r="CM381" s="257">
        <v>0</v>
      </c>
      <c r="CN381" s="257" t="s">
        <v>3072</v>
      </c>
      <c r="CO381" s="257">
        <v>75.212579794444494</v>
      </c>
      <c r="CP381" s="257">
        <v>82.922401171303093</v>
      </c>
      <c r="CQ381" s="257">
        <v>15.734329340527754</v>
      </c>
      <c r="CR381" s="257">
        <v>-8.4548837897123708</v>
      </c>
      <c r="CS381" s="257">
        <v>-12.051927769643701</v>
      </c>
      <c r="CT381" s="257">
        <v>-3.5970439799313299E-3</v>
      </c>
      <c r="CU381" s="257">
        <v>-2.286112043343488E-4</v>
      </c>
      <c r="CV381" s="258">
        <v>-0.4254397895223701</v>
      </c>
      <c r="CW381" s="256" t="s">
        <v>234</v>
      </c>
      <c r="CX381" s="257" t="s">
        <v>3073</v>
      </c>
      <c r="CY381" s="257" t="s">
        <v>235</v>
      </c>
      <c r="CZ381" s="257"/>
      <c r="DA381" s="276"/>
      <c r="DB381" s="276">
        <v>80</v>
      </c>
      <c r="DC381" s="257" t="s">
        <v>3074</v>
      </c>
      <c r="DD381" s="257">
        <v>0</v>
      </c>
      <c r="DE381" s="257">
        <v>1</v>
      </c>
      <c r="DF381" s="257">
        <v>0</v>
      </c>
      <c r="DG381" s="257">
        <v>0</v>
      </c>
      <c r="DH381" s="257"/>
      <c r="DI381" s="257">
        <v>1</v>
      </c>
      <c r="DJ381" s="257" t="s">
        <v>173</v>
      </c>
      <c r="DK381" s="257">
        <v>0</v>
      </c>
      <c r="DL381" s="257" t="s">
        <v>180</v>
      </c>
      <c r="DM381" s="257">
        <v>0</v>
      </c>
      <c r="DN381" s="257">
        <v>0</v>
      </c>
      <c r="DO381" s="257">
        <v>0</v>
      </c>
      <c r="DP381" s="276">
        <v>0</v>
      </c>
      <c r="DQ381" s="276">
        <v>0</v>
      </c>
      <c r="DR381" s="276">
        <v>0</v>
      </c>
      <c r="DS381" s="276">
        <v>0</v>
      </c>
      <c r="DT381" s="257">
        <v>0</v>
      </c>
      <c r="DU381" s="276" t="s">
        <v>962</v>
      </c>
      <c r="DV381" s="276">
        <v>1</v>
      </c>
      <c r="DW381" s="276">
        <v>1</v>
      </c>
      <c r="DX381" s="276">
        <v>1</v>
      </c>
      <c r="DY381" s="276">
        <v>0</v>
      </c>
      <c r="DZ381" s="257">
        <v>0</v>
      </c>
      <c r="EA381" s="276">
        <v>0</v>
      </c>
      <c r="EB381" s="276">
        <v>1</v>
      </c>
      <c r="EC381" s="276">
        <v>1</v>
      </c>
      <c r="ED381" s="276">
        <v>0</v>
      </c>
      <c r="EE381" s="276">
        <v>0</v>
      </c>
      <c r="EF381" s="257">
        <v>1</v>
      </c>
      <c r="EG381" s="276">
        <v>0</v>
      </c>
      <c r="EH381" s="257">
        <v>0</v>
      </c>
      <c r="EI381" s="258">
        <v>0</v>
      </c>
      <c r="EJ381" s="256"/>
      <c r="EK381" t="str">
        <f>IF(AND(AND(AND(OR($DX381=1,$DW381=1),OR($EC381=1,$EA381=1)),SUM($DV381:$DZ381,$EF381)&gt;=4),SUM($EA381:$EE381)&gt;=2),"Whole sector","")</f>
        <v>Whole sector</v>
      </c>
      <c r="EL381" t="str">
        <f>IF(AND(AND(OR($DX381=1,$DW381=1),AND($EC381=0,$EA381=0)),SUM($DV381:$DZ381,$EF381)&gt;=4),"Ecosystem approach","")</f>
        <v/>
      </c>
      <c r="EM381" s="258" t="s">
        <v>544</v>
      </c>
      <c r="EN381" s="257" t="s">
        <v>236</v>
      </c>
      <c r="EO381" s="257"/>
      <c r="EP381" t="str">
        <f>IF(ISNUMBER(BU381),IF(ABS(BU381-[2]QC_indicators!$B$2)&gt;3*[2]QC_indicators!$C$2,"C ratio",IF(ISNUMBER(BY381),IF(ABS(BY381-[2]QC_indicators!$B$1)&gt;3*[2]QC_indicators!$C$1,"DF","no"))),IF(ISNUMBER(BY381),IF(ABS(BY381-[2]QC_indicators!$B$1)&gt;3*[2]QC_indicators!$C$1,"DF","no")))</f>
        <v>no</v>
      </c>
      <c r="EQ381"/>
      <c r="ER381"/>
      <c r="ES381"/>
      <c r="ET381"/>
      <c r="EU381"/>
    </row>
    <row r="382" spans="1:151" s="139" customFormat="1" ht="15" customHeight="1">
      <c r="A382" s="1" t="s">
        <v>587</v>
      </c>
      <c r="B382" t="s">
        <v>1448</v>
      </c>
      <c r="C382" t="s">
        <v>1449</v>
      </c>
      <c r="D382" t="s">
        <v>1450</v>
      </c>
      <c r="E382" t="s">
        <v>1451</v>
      </c>
      <c r="F382" t="s">
        <v>1452</v>
      </c>
      <c r="G382" t="s">
        <v>593</v>
      </c>
      <c r="H382" t="s">
        <v>254</v>
      </c>
      <c r="I382">
        <v>2020</v>
      </c>
      <c r="J382">
        <v>12</v>
      </c>
      <c r="K382" t="s">
        <v>1453</v>
      </c>
      <c r="L382"/>
      <c r="M382" t="str">
        <f>LEFT($D382,FIND(",",$D382)-1)&amp;"_"&amp;I382&amp;L382</f>
        <v>Elisa_2020</v>
      </c>
      <c r="N382" s="264" t="s">
        <v>222</v>
      </c>
      <c r="O382" s="171" t="s">
        <v>274</v>
      </c>
      <c r="P382" t="s">
        <v>223</v>
      </c>
      <c r="Q382" s="264" t="s">
        <v>389</v>
      </c>
      <c r="R382" s="269" t="s">
        <v>1154</v>
      </c>
      <c r="S382" s="154" t="s">
        <v>1454</v>
      </c>
      <c r="T382" s="294" t="s">
        <v>1455</v>
      </c>
      <c r="U382" s="143" t="s">
        <v>1474</v>
      </c>
      <c r="V382">
        <v>0</v>
      </c>
      <c r="W382">
        <v>0</v>
      </c>
      <c r="X382">
        <v>0</v>
      </c>
      <c r="Y382">
        <v>0</v>
      </c>
      <c r="Z382">
        <v>0</v>
      </c>
      <c r="AA382">
        <v>0</v>
      </c>
      <c r="AB382">
        <v>0</v>
      </c>
      <c r="AC382">
        <v>0</v>
      </c>
      <c r="AD382">
        <v>0</v>
      </c>
      <c r="AE382">
        <v>1</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s="141">
        <f>COUNTIF(V382:AW382,"&lt;&gt;0")</f>
        <v>1</v>
      </c>
      <c r="AY382" s="141">
        <f>COUNTIF(V382:AL382,"&lt;&gt;0")</f>
        <v>1</v>
      </c>
      <c r="AZ382">
        <f>COUNTIF(V382:AC382,"&lt;&gt;0")</f>
        <v>0</v>
      </c>
      <c r="BA382">
        <f>COUNTIF(AD382:AI382,"&lt;&gt;0")</f>
        <v>1</v>
      </c>
      <c r="BB382">
        <f>COUNTIF(AJ382:AL382,"&lt;&gt;0")</f>
        <v>0</v>
      </c>
      <c r="BC382">
        <f>COUNTIF(AS382:AW382,"&lt;&gt;0")</f>
        <v>0</v>
      </c>
      <c r="BD382">
        <f>COUNTIF(AM382:AR382,"&lt;&gt;0")</f>
        <v>0</v>
      </c>
      <c r="BE382" t="str" cm="1">
        <f t="array" ref="BE382">IF(AY382=1,INDEX($V$7:$AL$7,MATCH(TRUE,INDEX($V382:$AW382&lt;&gt;0,),0)),IF(AY382=0,INDEX($AM$7:$AW$7,MATCH(1,$AM382:$AW382,0)),IF(BF382="Multiple strategies","mixed drivers",IF(BF382="Supply chain","multiple supply","multiple silviculture"))))</f>
        <v>location of industry</v>
      </c>
      <c r="BF382" s="2" t="str" cm="1">
        <f t="array" ref="BF382">IF(COUNTIF(AZ382:BB382,"&lt;&gt;0")=1,INDEX($V$4:$AW$4,MATCH(TRUE,INDEX($V382:$AW382&lt;&gt;0,),0)),IF(COUNTIF(AZ382:BB382,"&lt;&gt;0")=0,INDEX($AM$4:$AW$4,MATCH(1,$AM382:$AW382,0)),"Multiple strategies"))</f>
        <v>Supply chain</v>
      </c>
      <c r="BG382" s="142" t="s">
        <v>321</v>
      </c>
      <c r="BH382" s="160" t="s">
        <v>1457</v>
      </c>
      <c r="BI382" s="160" t="s">
        <v>1458</v>
      </c>
      <c r="BJ382" s="143" t="s">
        <v>498</v>
      </c>
      <c r="BK382" s="143">
        <v>944</v>
      </c>
      <c r="BL382" s="143">
        <v>1600</v>
      </c>
      <c r="BM382">
        <f>IFERROR(BL383/BK382,"")</f>
        <v>12.471398305084746</v>
      </c>
      <c r="BN382">
        <f>BL382-BK382</f>
        <v>656</v>
      </c>
      <c r="BO382" s="159">
        <f>BN382</f>
        <v>656</v>
      </c>
      <c r="BP382" s="155" t="s">
        <v>232</v>
      </c>
      <c r="BQ382" s="155" t="s">
        <v>1459</v>
      </c>
      <c r="BR382" s="155" t="s">
        <v>825</v>
      </c>
      <c r="BS382" s="143" t="s">
        <v>1477</v>
      </c>
      <c r="BT382" t="s">
        <v>1478</v>
      </c>
      <c r="BU382" s="144">
        <f>BT382/BS382</f>
        <v>2.209816236334031</v>
      </c>
      <c r="BV382">
        <f>BT382-BS382</f>
        <v>-0.130025</v>
      </c>
      <c r="BW382"/>
      <c r="BX382">
        <f>BV382</f>
        <v>-0.130025</v>
      </c>
      <c r="BY382">
        <f>IFERROR(BX382/BO382,"")</f>
        <v>-1.9820884146341464E-4</v>
      </c>
      <c r="BZ382">
        <v>0</v>
      </c>
      <c r="CA382">
        <v>0</v>
      </c>
      <c r="CB382">
        <v>0</v>
      </c>
      <c r="CC382">
        <v>0</v>
      </c>
      <c r="CD382">
        <v>0</v>
      </c>
      <c r="CE382">
        <v>0</v>
      </c>
      <c r="CF382">
        <v>0</v>
      </c>
      <c r="CG382">
        <v>0</v>
      </c>
      <c r="CH382">
        <v>0</v>
      </c>
      <c r="CI382">
        <v>0</v>
      </c>
      <c r="CJ382">
        <v>0</v>
      </c>
      <c r="CK382">
        <v>0</v>
      </c>
      <c r="CL382">
        <v>0</v>
      </c>
      <c r="CM382">
        <v>0</v>
      </c>
      <c r="CN382" t="str">
        <f>IF($BL382&lt;$BK382,"refNeedCorrection","refOK")</f>
        <v>refOK</v>
      </c>
      <c r="CO382">
        <f>IF($CN382="refOK",$BK382,$BL382)</f>
        <v>944</v>
      </c>
      <c r="CP382">
        <f>IF($CN382="refOK",$BL382,$BK382)</f>
        <v>1600</v>
      </c>
      <c r="CQ382">
        <f>IF($CN382="refOK",$BO382,-$BO382)</f>
        <v>656</v>
      </c>
      <c r="CR382">
        <f>IF($CN382="refOK",$BS382,$BT382)*IF($BP382="Emissions positive",-1,1)</f>
        <v>-0.107475</v>
      </c>
      <c r="CS382">
        <f>IF($CN382="refOK",$BT382,$BS382)*IF($BP382="Emissions positive",-1,1)</f>
        <v>-0.23749999999999999</v>
      </c>
      <c r="CT382">
        <f>IF($CN382="refNeedCorrection",-BX382,BX382)*IF($BP382="Emissions positive",-1,1)</f>
        <v>-0.130025</v>
      </c>
      <c r="CU382">
        <f>IFERROR(CT382/CQ382,"")</f>
        <v>-1.9820884146341464E-4</v>
      </c>
      <c r="CV382" s="2">
        <f>IFERROR((CS382-CR382)/ABS(CR382),"")</f>
        <v>-1.2098162363340312</v>
      </c>
      <c r="CW382" s="263" t="s">
        <v>1462</v>
      </c>
      <c r="CX382" s="264" t="str">
        <f>IF(OR($CW382="prd",$CW382="std",$CW382="cit"),"loc",IF(OR($CW382="eur",$CW382="reg",$CW382="coy"),"reg",$CW382))</f>
        <v>reg</v>
      </c>
      <c r="CY382" s="270" t="s">
        <v>743</v>
      </c>
      <c r="CZ382"/>
      <c r="DA382" s="143"/>
      <c r="DB382" s="143">
        <v>0</v>
      </c>
      <c r="DC382" t="str">
        <f>IF(DB382=0,"0",IF(AND(DB382&gt;=1,DB382&lt;=30),"1-30",IF(AND(DB382&gt;30,DB382&lt;=70),"31-70",IF(AND(DB382&gt;70,DB382&lt;=100),"71-100",IF(DB382&gt;100,"+100")))))</f>
        <v>0</v>
      </c>
      <c r="DD382">
        <v>0</v>
      </c>
      <c r="DE382">
        <v>1</v>
      </c>
      <c r="DF382">
        <v>0</v>
      </c>
      <c r="DG382">
        <v>0</v>
      </c>
      <c r="DH382">
        <v>0</v>
      </c>
      <c r="DI382">
        <f>SUM(DD382:DH382)</f>
        <v>1</v>
      </c>
      <c r="DJ382" t="str">
        <f>IF(DI382=1,INDEX($DD$7:$DG$7,MATCH(1,$DD382:$DG382,0)),"mixedProduct")</f>
        <v>EnergyInput</v>
      </c>
      <c r="DK382">
        <f>IF(DD382=1,DK$7,0)</f>
        <v>0</v>
      </c>
      <c r="DL382" t="str">
        <f>IF(DE382=1,DL$7,0)</f>
        <v>Energy</v>
      </c>
      <c r="DM382">
        <f>IF(DF382=1,DM$7,0)</f>
        <v>0</v>
      </c>
      <c r="DN382">
        <f>IF(DG382=1,DN$7,0)</f>
        <v>0</v>
      </c>
      <c r="DO382">
        <v>0</v>
      </c>
      <c r="DP382" s="143">
        <v>0</v>
      </c>
      <c r="DQ382" s="143">
        <v>0</v>
      </c>
      <c r="DR382">
        <v>0</v>
      </c>
      <c r="DS382" s="143">
        <v>0</v>
      </c>
      <c r="DT382">
        <f>SUM(DO382:DP382)</f>
        <v>0</v>
      </c>
      <c r="DU382" s="143" t="str">
        <f>IF(DO382=1,"self-calculated DF",IF(DP382=1,"external DF used","explicit C balance"))</f>
        <v>explicit C balance</v>
      </c>
      <c r="DV382" s="143">
        <v>0</v>
      </c>
      <c r="DW382" s="143">
        <v>0</v>
      </c>
      <c r="DX382" s="143">
        <v>0</v>
      </c>
      <c r="DY382" s="143">
        <v>0</v>
      </c>
      <c r="DZ382">
        <v>0</v>
      </c>
      <c r="EA382" s="143">
        <v>0</v>
      </c>
      <c r="EB382" s="143">
        <v>1</v>
      </c>
      <c r="EC382" s="143">
        <v>0</v>
      </c>
      <c r="ED382" s="143">
        <v>0</v>
      </c>
      <c r="EE382">
        <v>0</v>
      </c>
      <c r="EF382">
        <v>0</v>
      </c>
      <c r="EG382" s="143">
        <v>0</v>
      </c>
      <c r="EH382" s="143">
        <v>0</v>
      </c>
      <c r="EI382" s="2">
        <v>0</v>
      </c>
      <c r="EJ382" s="1"/>
      <c r="EK382" t="str">
        <f>IF(AND(AND(AND(OR($DX382=1,$DW382=1),OR($EC382=1,$EA382=1)),SUM($DV382:$DZ382,$EF382)&gt;=4),SUM($EA382:$EE382)&gt;=2),"Whole sector","")</f>
        <v/>
      </c>
      <c r="EL382" t="str">
        <f>IF(AND(AND(OR($DX382=1,$DW382=1),AND($EC382=0,$EA382=0)),SUM($DV382:$DZ382,$EF382)&gt;=4),"Ecosystem approach","")</f>
        <v/>
      </c>
      <c r="EM382" s="2" t="str">
        <f>IF(AND(AND(AND($DX382=0,$DW382=0),OR($EC382=1,$EA382=1)),SUM($EB382:$EE382)&gt;=2),"Technology approach","")</f>
        <v/>
      </c>
      <c r="EN382"/>
      <c r="EO382"/>
      <c r="EP382" t="str">
        <f>IF(ISNUMBER(BU382),IF(ABS(BU382-[3]QC_indicators!$B$2)&gt;3*[3]QC_indicators!$C$2,"C ratio",IF(ISNUMBER(BY382),IF(ABS(BY382-[3]QC_indicators!$B$1)&gt;3*[3]QC_indicators!$C$1,"DF","no"))),IF(ISNUMBER(BY382),IF(ABS(BY382-[3]QC_indicators!$B$1)&gt;3*[3]QC_indicators!$C$1,"DF","no")))</f>
        <v>no</v>
      </c>
      <c r="EQ382"/>
      <c r="ER382" s="149"/>
      <c r="ES382"/>
      <c r="ET382" s="264" t="s">
        <v>3407</v>
      </c>
      <c r="EU382"/>
    </row>
    <row r="383" spans="1:151" s="139" customFormat="1" ht="15" customHeight="1">
      <c r="A383" s="1" t="s">
        <v>587</v>
      </c>
      <c r="B383" t="s">
        <v>1448</v>
      </c>
      <c r="C383" t="s">
        <v>1449</v>
      </c>
      <c r="D383" t="s">
        <v>1450</v>
      </c>
      <c r="E383" t="s">
        <v>1451</v>
      </c>
      <c r="F383" t="s">
        <v>1452</v>
      </c>
      <c r="G383" t="s">
        <v>593</v>
      </c>
      <c r="H383" t="s">
        <v>254</v>
      </c>
      <c r="I383">
        <v>2020</v>
      </c>
      <c r="J383">
        <v>12</v>
      </c>
      <c r="K383" t="s">
        <v>1453</v>
      </c>
      <c r="L383"/>
      <c r="M383" t="str">
        <f>LEFT($D383,FIND(",",$D383)-1)&amp;"_"&amp;I383&amp;L383</f>
        <v>Elisa_2020</v>
      </c>
      <c r="N383" s="264" t="s">
        <v>222</v>
      </c>
      <c r="O383" s="171" t="s">
        <v>274</v>
      </c>
      <c r="P383" t="s">
        <v>223</v>
      </c>
      <c r="Q383" s="264" t="s">
        <v>389</v>
      </c>
      <c r="R383" s="269" t="s">
        <v>1154</v>
      </c>
      <c r="S383" s="154" t="s">
        <v>1454</v>
      </c>
      <c r="T383" s="294" t="s">
        <v>1455</v>
      </c>
      <c r="U383" s="143" t="s">
        <v>1483</v>
      </c>
      <c r="V383">
        <v>0</v>
      </c>
      <c r="W383">
        <v>0</v>
      </c>
      <c r="X383">
        <v>0</v>
      </c>
      <c r="Y383">
        <v>0</v>
      </c>
      <c r="Z383">
        <v>0</v>
      </c>
      <c r="AA383">
        <v>0</v>
      </c>
      <c r="AB383">
        <v>0</v>
      </c>
      <c r="AC383">
        <v>0</v>
      </c>
      <c r="AD383">
        <v>0</v>
      </c>
      <c r="AE383">
        <v>1</v>
      </c>
      <c r="AF383">
        <v>0</v>
      </c>
      <c r="AG383">
        <v>0</v>
      </c>
      <c r="AH383">
        <v>0</v>
      </c>
      <c r="AI383">
        <v>0</v>
      </c>
      <c r="AJ383">
        <v>0</v>
      </c>
      <c r="AK383">
        <v>1</v>
      </c>
      <c r="AL383">
        <v>0</v>
      </c>
      <c r="AM383">
        <v>0</v>
      </c>
      <c r="AN383">
        <v>0</v>
      </c>
      <c r="AO383">
        <v>0</v>
      </c>
      <c r="AP383">
        <v>0</v>
      </c>
      <c r="AQ383">
        <v>0</v>
      </c>
      <c r="AR383">
        <v>0</v>
      </c>
      <c r="AS383">
        <v>0</v>
      </c>
      <c r="AT383">
        <v>0</v>
      </c>
      <c r="AU383">
        <v>0</v>
      </c>
      <c r="AV383">
        <v>0</v>
      </c>
      <c r="AW383">
        <v>0</v>
      </c>
      <c r="AX383" s="141">
        <f>COUNTIF(V383:AW383,"&lt;&gt;0")</f>
        <v>2</v>
      </c>
      <c r="AY383" s="141">
        <f>COUNTIF(V383:AL383,"&lt;&gt;0")</f>
        <v>2</v>
      </c>
      <c r="AZ383">
        <f>COUNTIF(V383:AC383,"&lt;&gt;0")</f>
        <v>0</v>
      </c>
      <c r="BA383">
        <f>COUNTIF(AD383:AI383,"&lt;&gt;0")</f>
        <v>1</v>
      </c>
      <c r="BB383">
        <f>COUNTIF(AJ383:AL383,"&lt;&gt;0")</f>
        <v>1</v>
      </c>
      <c r="BC383">
        <f>COUNTIF(AS383:AW383,"&lt;&gt;0")</f>
        <v>0</v>
      </c>
      <c r="BD383">
        <f>COUNTIF(AM383:AR383,"&lt;&gt;0")</f>
        <v>0</v>
      </c>
      <c r="BE383" t="str" cm="1">
        <f t="array" ref="BE383">IF(AY383=1,INDEX($V$7:$AL$7,MATCH(TRUE,INDEX($V383:$AW383&lt;&gt;0,),0)),IF(AY383=0,INDEX($AM$7:$AW$7,MATCH(1,$AM383:$AW383,0)),IF(BF383="Multiple strategies","mixed drivers",IF(BF383="Supply chain","multiple supply","multiple silviculture"))))</f>
        <v>mixed drivers</v>
      </c>
      <c r="BF383" s="2" t="str" cm="1">
        <f t="array" ref="BF383">IF(COUNTIF(AZ383:BB383,"&lt;&gt;0")=1,INDEX($V$4:$AW$4,MATCH(TRUE,INDEX($V383:$AW383&lt;&gt;0,),0)),IF(COUNTIF(AZ383:BB383,"&lt;&gt;0")=0,INDEX($AM$4:$AW$4,MATCH(1,$AM383:$AW383,0)),"Multiple strategies"))</f>
        <v>Multiple strategies</v>
      </c>
      <c r="BG383" s="142" t="s">
        <v>321</v>
      </c>
      <c r="BH383" s="160" t="s">
        <v>1457</v>
      </c>
      <c r="BI383" s="160" t="s">
        <v>1458</v>
      </c>
      <c r="BJ383" s="143" t="s">
        <v>498</v>
      </c>
      <c r="BK383" s="143">
        <v>944</v>
      </c>
      <c r="BL383" s="143">
        <v>11773</v>
      </c>
      <c r="BM383">
        <f>IFERROR(BL384/BK383,"")</f>
        <v>8.6585229671610184E-2</v>
      </c>
      <c r="BN383">
        <f>BL383-BK383</f>
        <v>10829</v>
      </c>
      <c r="BO383" s="159">
        <f>BN383</f>
        <v>10829</v>
      </c>
      <c r="BP383" s="155" t="s">
        <v>232</v>
      </c>
      <c r="BQ383" s="155" t="s">
        <v>1459</v>
      </c>
      <c r="BR383" s="155" t="s">
        <v>825</v>
      </c>
      <c r="BS383" s="143" t="s">
        <v>1477</v>
      </c>
      <c r="BT383" t="s">
        <v>1512</v>
      </c>
      <c r="BU383" s="144">
        <f>BT383/BS383</f>
        <v>18.872295882763435</v>
      </c>
      <c r="BV383">
        <f>BT383-BS383</f>
        <v>-1.9208250000000002</v>
      </c>
      <c r="BW383"/>
      <c r="BX383">
        <f>BV383</f>
        <v>-1.9208250000000002</v>
      </c>
      <c r="BY383">
        <f>IFERROR(BX383/BO383,"")</f>
        <v>-1.7737787422661375E-4</v>
      </c>
      <c r="BZ383">
        <v>0</v>
      </c>
      <c r="CA383">
        <v>0</v>
      </c>
      <c r="CB383">
        <v>0</v>
      </c>
      <c r="CC383">
        <v>0</v>
      </c>
      <c r="CD383">
        <v>0</v>
      </c>
      <c r="CE383">
        <v>0</v>
      </c>
      <c r="CF383">
        <v>0</v>
      </c>
      <c r="CG383">
        <v>0</v>
      </c>
      <c r="CH383">
        <v>0</v>
      </c>
      <c r="CI383">
        <v>0</v>
      </c>
      <c r="CJ383">
        <v>0</v>
      </c>
      <c r="CK383">
        <v>0</v>
      </c>
      <c r="CL383">
        <v>0</v>
      </c>
      <c r="CM383">
        <v>0</v>
      </c>
      <c r="CN383" t="str">
        <f>IF($BL383&lt;$BK383,"refNeedCorrection","refOK")</f>
        <v>refOK</v>
      </c>
      <c r="CO383">
        <f>IF($CN383="refOK",$BK383,$BL383)</f>
        <v>944</v>
      </c>
      <c r="CP383">
        <f>IF($CN383="refOK",$BL383,$BK383)</f>
        <v>11773</v>
      </c>
      <c r="CQ383">
        <f>IF($CN383="refOK",$BO383,-$BO383)</f>
        <v>10829</v>
      </c>
      <c r="CR383">
        <f>IF($CN383="refOK",$BS383,$BT383)*IF($BP383="Emissions positive",-1,1)</f>
        <v>-0.107475</v>
      </c>
      <c r="CS383">
        <f>IF($CN383="refOK",$BT383,$BS383)*IF($BP383="Emissions positive",-1,1)</f>
        <v>-2.0283000000000002</v>
      </c>
      <c r="CT383">
        <f>IF($CN383="refNeedCorrection",-BX383,BX383)*IF($BP383="Emissions positive",-1,1)</f>
        <v>-1.9208250000000002</v>
      </c>
      <c r="CU383">
        <f>IFERROR(CT383/CQ383,"")</f>
        <v>-1.7737787422661375E-4</v>
      </c>
      <c r="CV383" s="2">
        <f>IFERROR((CS383-CR383)/ABS(CR383),"")</f>
        <v>-17.872295882763435</v>
      </c>
      <c r="CW383" s="263" t="s">
        <v>1462</v>
      </c>
      <c r="CX383" s="264" t="str">
        <f>IF(OR($CW383="prd",$CW383="std",$CW383="cit"),"loc",IF(OR($CW383="eur",$CW383="reg",$CW383="coy"),"reg",$CW383))</f>
        <v>reg</v>
      </c>
      <c r="CY383" s="270" t="s">
        <v>743</v>
      </c>
      <c r="CZ383"/>
      <c r="DA383" s="143"/>
      <c r="DB383" s="143">
        <v>0</v>
      </c>
      <c r="DC383" t="str">
        <f>IF(DB383=0,"0",IF(AND(DB383&gt;=1,DB383&lt;=30),"1-30",IF(AND(DB383&gt;30,DB383&lt;=70),"31-70",IF(AND(DB383&gt;70,DB383&lt;=100),"71-100",IF(DB383&gt;100,"+100")))))</f>
        <v>0</v>
      </c>
      <c r="DD383">
        <v>0</v>
      </c>
      <c r="DE383">
        <v>1</v>
      </c>
      <c r="DF383">
        <v>0</v>
      </c>
      <c r="DG383">
        <v>0</v>
      </c>
      <c r="DH383">
        <v>0</v>
      </c>
      <c r="DI383">
        <f>SUM(DD383:DH383)</f>
        <v>1</v>
      </c>
      <c r="DJ383" t="str">
        <f>IF(DI383=1,INDEX($DD$7:$DG$7,MATCH(1,$DD383:$DG383,0)),"mixedProduct")</f>
        <v>EnergyInput</v>
      </c>
      <c r="DK383">
        <f>IF(DD383=1,DK$7,0)</f>
        <v>0</v>
      </c>
      <c r="DL383" t="str">
        <f>IF(DE383=1,DL$7,0)</f>
        <v>Energy</v>
      </c>
      <c r="DM383">
        <f>IF(DF383=1,DM$7,0)</f>
        <v>0</v>
      </c>
      <c r="DN383">
        <f>IF(DG383=1,DN$7,0)</f>
        <v>0</v>
      </c>
      <c r="DO383">
        <v>0</v>
      </c>
      <c r="DP383" s="143">
        <v>0</v>
      </c>
      <c r="DQ383" s="143">
        <v>0</v>
      </c>
      <c r="DR383">
        <v>0</v>
      </c>
      <c r="DS383" s="143">
        <v>0</v>
      </c>
      <c r="DT383">
        <f>SUM(DO383:DP383)</f>
        <v>0</v>
      </c>
      <c r="DU383" s="143" t="str">
        <f>IF(DO383=1,"self-calculated DF",IF(DP383=1,"external DF used","explicit C balance"))</f>
        <v>explicit C balance</v>
      </c>
      <c r="DV383" s="143">
        <v>0</v>
      </c>
      <c r="DW383" s="143">
        <v>0</v>
      </c>
      <c r="DX383" s="143">
        <v>0</v>
      </c>
      <c r="DY383" s="143">
        <v>0</v>
      </c>
      <c r="DZ383">
        <v>0</v>
      </c>
      <c r="EA383" s="143">
        <v>0</v>
      </c>
      <c r="EB383" s="143">
        <v>1</v>
      </c>
      <c r="EC383" s="143">
        <v>0</v>
      </c>
      <c r="ED383" s="143">
        <v>0</v>
      </c>
      <c r="EE383">
        <v>0</v>
      </c>
      <c r="EF383">
        <v>0</v>
      </c>
      <c r="EG383" s="143">
        <v>0</v>
      </c>
      <c r="EH383" s="143">
        <v>0</v>
      </c>
      <c r="EI383" s="2">
        <v>0</v>
      </c>
      <c r="EJ383" s="1"/>
      <c r="EK383" t="str">
        <f>IF(AND(AND(AND(OR($DX383=1,$DW383=1),OR($EC383=1,$EA383=1)),SUM($DV383:$DZ383,$EF383)&gt;=4),SUM($EA383:$EE383)&gt;=2),"Whole sector","")</f>
        <v/>
      </c>
      <c r="EL383" t="str">
        <f>IF(AND(AND(OR($DX383=1,$DW383=1),AND($EC383=0,$EA383=0)),SUM($DV383:$DZ383,$EF383)&gt;=4),"Ecosystem approach","")</f>
        <v/>
      </c>
      <c r="EM383" s="2" t="str">
        <f>IF(AND(AND(AND($DX383=0,$DW383=0),OR($EC383=1,$EA383=1)),SUM($EB383:$EE383)&gt;=2),"Technology approach","")</f>
        <v/>
      </c>
      <c r="EN383"/>
      <c r="EO383"/>
      <c r="EP383" t="str">
        <f>IF(ISNUMBER(BU383),IF(ABS(BU383-[3]QC_indicators!$B$2)&gt;3*[3]QC_indicators!$C$2,"C ratio",IF(ISNUMBER(BY383),IF(ABS(BY383-[3]QC_indicators!$B$1)&gt;3*[3]QC_indicators!$C$1,"DF","no"))),IF(ISNUMBER(BY383),IF(ABS(BY383-[3]QC_indicators!$B$1)&gt;3*[3]QC_indicators!$C$1,"DF","no")))</f>
        <v>no</v>
      </c>
      <c r="EQ383"/>
      <c r="ER383" s="149"/>
      <c r="ES383"/>
      <c r="ET383" s="264" t="s">
        <v>3407</v>
      </c>
      <c r="EU383"/>
    </row>
    <row r="384" spans="1:151" s="139" customFormat="1" ht="15" customHeight="1">
      <c r="A384" s="256" t="s">
        <v>214</v>
      </c>
      <c r="B384" s="257" t="s">
        <v>215</v>
      </c>
      <c r="C384" s="257" t="s">
        <v>216</v>
      </c>
      <c r="D384" s="257" t="s">
        <v>217</v>
      </c>
      <c r="E384" s="257" t="s">
        <v>218</v>
      </c>
      <c r="F384" s="257" t="s">
        <v>219</v>
      </c>
      <c r="G384" s="257" t="s">
        <v>220</v>
      </c>
      <c r="H384" s="257"/>
      <c r="I384" s="257">
        <v>2012</v>
      </c>
      <c r="J384" s="257"/>
      <c r="K384" s="257" t="s">
        <v>221</v>
      </c>
      <c r="L384" s="257"/>
      <c r="M384" s="257" t="s">
        <v>3070</v>
      </c>
      <c r="N384" s="257" t="s">
        <v>222</v>
      </c>
      <c r="O384" s="275" t="s">
        <v>223</v>
      </c>
      <c r="P384" s="257"/>
      <c r="Q384" s="257" t="s">
        <v>224</v>
      </c>
      <c r="R384" s="258" t="s">
        <v>225</v>
      </c>
      <c r="S384" s="256" t="s">
        <v>240</v>
      </c>
      <c r="T384" s="257">
        <v>2000</v>
      </c>
      <c r="U384" s="257">
        <v>4000</v>
      </c>
      <c r="V384" s="257">
        <v>0</v>
      </c>
      <c r="W384" s="257">
        <v>0</v>
      </c>
      <c r="X384" s="257">
        <v>0</v>
      </c>
      <c r="Y384" s="257">
        <v>0</v>
      </c>
      <c r="Z384" s="257">
        <v>0</v>
      </c>
      <c r="AA384" s="257">
        <v>1</v>
      </c>
      <c r="AB384" s="257">
        <v>0</v>
      </c>
      <c r="AC384" s="257">
        <v>0</v>
      </c>
      <c r="AD384" s="257">
        <v>0</v>
      </c>
      <c r="AE384" s="257">
        <v>0</v>
      </c>
      <c r="AF384" s="257">
        <v>0</v>
      </c>
      <c r="AG384" s="257">
        <v>0</v>
      </c>
      <c r="AH384" s="257">
        <v>0</v>
      </c>
      <c r="AI384" s="257">
        <v>0</v>
      </c>
      <c r="AJ384" s="257">
        <v>0</v>
      </c>
      <c r="AK384" s="257">
        <v>0</v>
      </c>
      <c r="AL384" s="257">
        <v>0</v>
      </c>
      <c r="AM384" s="257">
        <v>0</v>
      </c>
      <c r="AN384" s="257">
        <v>0</v>
      </c>
      <c r="AO384" s="257">
        <v>0</v>
      </c>
      <c r="AP384" s="257">
        <v>0</v>
      </c>
      <c r="AQ384" s="257">
        <v>0</v>
      </c>
      <c r="AR384" s="257">
        <v>0</v>
      </c>
      <c r="AS384" s="257">
        <v>0</v>
      </c>
      <c r="AT384" s="257">
        <v>0</v>
      </c>
      <c r="AU384" s="257">
        <v>0</v>
      </c>
      <c r="AV384" s="257">
        <v>0</v>
      </c>
      <c r="AW384" s="257">
        <v>0</v>
      </c>
      <c r="AX384" s="277">
        <v>1</v>
      </c>
      <c r="AY384" s="277">
        <v>1</v>
      </c>
      <c r="AZ384" s="257">
        <v>1</v>
      </c>
      <c r="BA384" s="257">
        <v>0</v>
      </c>
      <c r="BB384" s="257">
        <v>0</v>
      </c>
      <c r="BC384" s="257">
        <v>0</v>
      </c>
      <c r="BD384" s="257">
        <v>0</v>
      </c>
      <c r="BE384" s="257" t="s">
        <v>93</v>
      </c>
      <c r="BF384" s="2" t="str" cm="1">
        <f t="array" ref="BF384">IF(COUNTIF(AZ384:BB384,"&lt;&gt;0")=1,INDEX($V$4:$AW$4,MATCH(TRUE,INDEX($V384:$AW384&lt;&gt;0,),0)),IF(COUNTIF(AZ384:BB384,"&lt;&gt;0")=0,INDEX($AM$4:$AW$4,MATCH(1,$AM384:$AW384,0)),"Multiple strategies"))</f>
        <v>Silviculture for productivity</v>
      </c>
      <c r="BG384" s="278" t="s">
        <v>229</v>
      </c>
      <c r="BH384" s="257" t="s">
        <v>230</v>
      </c>
      <c r="BI384" s="279" t="s">
        <v>3071</v>
      </c>
      <c r="BJ384" s="276" t="s">
        <v>231</v>
      </c>
      <c r="BK384" s="257">
        <v>69.827586210000007</v>
      </c>
      <c r="BL384" s="257">
        <v>81.736456810000007</v>
      </c>
      <c r="BM384" s="276">
        <v>1.1705467888319263</v>
      </c>
      <c r="BN384" s="257">
        <v>11.9088706</v>
      </c>
      <c r="BO384" s="276">
        <v>24.303817551020408</v>
      </c>
      <c r="BP384" s="276" t="s">
        <v>232</v>
      </c>
      <c r="BQ384" s="282" t="s">
        <v>2625</v>
      </c>
      <c r="BR384" s="276" t="s">
        <v>233</v>
      </c>
      <c r="BS384" s="257">
        <v>-8.4285714289999998</v>
      </c>
      <c r="BT384" s="257">
        <v>-12.163201559999999</v>
      </c>
      <c r="BU384" s="259">
        <v>1.4430917104350969</v>
      </c>
      <c r="BV384" s="257">
        <v>-3.7346301309999994</v>
      </c>
      <c r="BW384" s="257"/>
      <c r="BX384" s="257">
        <v>-3.7346301309999995E-3</v>
      </c>
      <c r="BY384" s="257">
        <v>-1.536643419561549E-4</v>
      </c>
      <c r="BZ384" s="257">
        <v>0</v>
      </c>
      <c r="CA384" s="257">
        <v>0</v>
      </c>
      <c r="CB384" s="257">
        <v>0</v>
      </c>
      <c r="CC384" s="257">
        <v>0</v>
      </c>
      <c r="CD384" s="257">
        <v>0</v>
      </c>
      <c r="CE384" s="257">
        <v>0</v>
      </c>
      <c r="CF384" s="257">
        <v>0</v>
      </c>
      <c r="CG384" s="257">
        <v>0</v>
      </c>
      <c r="CH384" s="257">
        <v>0</v>
      </c>
      <c r="CI384" s="257">
        <v>0</v>
      </c>
      <c r="CJ384" s="257">
        <v>0</v>
      </c>
      <c r="CK384" s="257">
        <v>0</v>
      </c>
      <c r="CL384" s="257">
        <v>0</v>
      </c>
      <c r="CM384" s="257">
        <v>0</v>
      </c>
      <c r="CN384" s="257" t="s">
        <v>3072</v>
      </c>
      <c r="CO384" s="257">
        <v>69.827586210000007</v>
      </c>
      <c r="CP384" s="257">
        <v>81.736456810000007</v>
      </c>
      <c r="CQ384" s="257">
        <v>24.303817551020408</v>
      </c>
      <c r="CR384" s="257">
        <v>-8.4285714289999998</v>
      </c>
      <c r="CS384" s="257">
        <v>-12.163201559999999</v>
      </c>
      <c r="CT384" s="257">
        <v>-3.7346301309999995E-3</v>
      </c>
      <c r="CU384" s="257">
        <v>-1.536643419561549E-4</v>
      </c>
      <c r="CV384" s="258">
        <v>-0.44309171043509699</v>
      </c>
      <c r="CW384" s="256" t="s">
        <v>234</v>
      </c>
      <c r="CX384" s="257" t="s">
        <v>3073</v>
      </c>
      <c r="CY384" s="257" t="s">
        <v>235</v>
      </c>
      <c r="CZ384" s="257"/>
      <c r="DA384" s="276"/>
      <c r="DB384" s="276">
        <v>80</v>
      </c>
      <c r="DC384" s="257" t="s">
        <v>3074</v>
      </c>
      <c r="DD384" s="257">
        <v>0</v>
      </c>
      <c r="DE384" s="257">
        <v>1</v>
      </c>
      <c r="DF384" s="257">
        <v>0</v>
      </c>
      <c r="DG384" s="257">
        <v>0</v>
      </c>
      <c r="DH384" s="257"/>
      <c r="DI384" s="257">
        <v>1</v>
      </c>
      <c r="DJ384" s="257" t="s">
        <v>173</v>
      </c>
      <c r="DK384" s="257">
        <v>0</v>
      </c>
      <c r="DL384" s="257" t="s">
        <v>180</v>
      </c>
      <c r="DM384" s="257">
        <v>0</v>
      </c>
      <c r="DN384" s="257">
        <v>0</v>
      </c>
      <c r="DO384" s="257">
        <v>0</v>
      </c>
      <c r="DP384" s="276">
        <v>0</v>
      </c>
      <c r="DQ384" s="276">
        <v>0</v>
      </c>
      <c r="DR384" s="276">
        <v>0</v>
      </c>
      <c r="DS384" s="276">
        <v>0</v>
      </c>
      <c r="DT384" s="257">
        <v>0</v>
      </c>
      <c r="DU384" s="276" t="s">
        <v>962</v>
      </c>
      <c r="DV384" s="276">
        <v>1</v>
      </c>
      <c r="DW384" s="276">
        <v>1</v>
      </c>
      <c r="DX384" s="276">
        <v>1</v>
      </c>
      <c r="DY384" s="276">
        <v>0</v>
      </c>
      <c r="DZ384" s="257">
        <v>0</v>
      </c>
      <c r="EA384" s="276">
        <v>0</v>
      </c>
      <c r="EB384" s="276">
        <v>1</v>
      </c>
      <c r="EC384" s="276">
        <v>1</v>
      </c>
      <c r="ED384" s="276">
        <v>0</v>
      </c>
      <c r="EE384" s="276">
        <v>0</v>
      </c>
      <c r="EF384" s="257">
        <v>1</v>
      </c>
      <c r="EG384" s="276">
        <v>0</v>
      </c>
      <c r="EH384" s="257">
        <v>0</v>
      </c>
      <c r="EI384" s="258">
        <v>0</v>
      </c>
      <c r="EJ384" s="256"/>
      <c r="EK384" t="str">
        <f>IF(AND(AND(AND(OR($DX384=1,$DW384=1),OR($EC384=1,$EA384=1)),SUM($DV384:$DZ384,$EF384)&gt;=4),SUM($EA384:$EE384)&gt;=2),"Whole sector","")</f>
        <v>Whole sector</v>
      </c>
      <c r="EL384" t="str">
        <f>IF(AND(AND(OR($DX384=1,$DW384=1),AND($EC384=0,$EA384=0)),SUM($DV384:$DZ384,$EF384)&gt;=4),"Ecosystem approach","")</f>
        <v/>
      </c>
      <c r="EM384" s="258" t="s">
        <v>544</v>
      </c>
      <c r="EN384" s="257" t="s">
        <v>236</v>
      </c>
      <c r="EO384" s="257"/>
      <c r="EP384" t="str">
        <f>IF(ISNUMBER(BU384),IF(ABS(BU384-[2]QC_indicators!$B$2)&gt;3*[2]QC_indicators!$C$2,"C ratio",IF(ISNUMBER(BY384),IF(ABS(BY384-[2]QC_indicators!$B$1)&gt;3*[2]QC_indicators!$C$1,"DF","no"))),IF(ISNUMBER(BY384),IF(ABS(BY384-[2]QC_indicators!$B$1)&gt;3*[2]QC_indicators!$C$1,"DF","no")))</f>
        <v>no</v>
      </c>
      <c r="EQ384" s="280"/>
      <c r="ER384" s="280"/>
      <c r="ES384" s="280"/>
      <c r="ET384"/>
      <c r="EU384"/>
    </row>
    <row r="385" spans="1:151" s="139" customFormat="1" ht="15" customHeight="1">
      <c r="A385" s="1" t="s">
        <v>587</v>
      </c>
      <c r="B385" t="s">
        <v>1448</v>
      </c>
      <c r="C385" t="s">
        <v>1449</v>
      </c>
      <c r="D385" t="s">
        <v>1450</v>
      </c>
      <c r="E385" t="s">
        <v>1451</v>
      </c>
      <c r="F385" t="s">
        <v>1452</v>
      </c>
      <c r="G385" t="s">
        <v>593</v>
      </c>
      <c r="H385" t="s">
        <v>254</v>
      </c>
      <c r="I385">
        <v>2020</v>
      </c>
      <c r="J385">
        <v>12</v>
      </c>
      <c r="K385" t="s">
        <v>1453</v>
      </c>
      <c r="L385"/>
      <c r="M385" t="str">
        <f>LEFT($D385,FIND(",",$D385)-1)&amp;"_"&amp;I385&amp;L385</f>
        <v>Elisa_2020</v>
      </c>
      <c r="N385" s="264" t="s">
        <v>222</v>
      </c>
      <c r="O385" s="171" t="s">
        <v>274</v>
      </c>
      <c r="P385" t="s">
        <v>223</v>
      </c>
      <c r="Q385" s="264" t="s">
        <v>389</v>
      </c>
      <c r="R385" s="269" t="s">
        <v>1154</v>
      </c>
      <c r="S385" s="154" t="s">
        <v>1454</v>
      </c>
      <c r="T385" s="294" t="s">
        <v>1455</v>
      </c>
      <c r="U385" s="143" t="s">
        <v>1513</v>
      </c>
      <c r="V385">
        <v>0</v>
      </c>
      <c r="W385">
        <v>0</v>
      </c>
      <c r="X385">
        <v>0</v>
      </c>
      <c r="Y385">
        <v>0</v>
      </c>
      <c r="Z385">
        <v>0</v>
      </c>
      <c r="AA385">
        <v>0</v>
      </c>
      <c r="AB385">
        <v>0</v>
      </c>
      <c r="AC385">
        <v>0</v>
      </c>
      <c r="AD385">
        <v>0</v>
      </c>
      <c r="AE385">
        <v>1</v>
      </c>
      <c r="AF385">
        <v>0</v>
      </c>
      <c r="AG385">
        <v>0</v>
      </c>
      <c r="AH385">
        <v>0</v>
      </c>
      <c r="AI385">
        <v>0</v>
      </c>
      <c r="AJ385">
        <v>0</v>
      </c>
      <c r="AK385">
        <v>1</v>
      </c>
      <c r="AL385">
        <v>0</v>
      </c>
      <c r="AM385">
        <v>0</v>
      </c>
      <c r="AN385">
        <v>0</v>
      </c>
      <c r="AO385">
        <v>0</v>
      </c>
      <c r="AP385">
        <v>0</v>
      </c>
      <c r="AQ385">
        <v>0</v>
      </c>
      <c r="AR385">
        <v>0</v>
      </c>
      <c r="AS385">
        <v>0</v>
      </c>
      <c r="AT385">
        <v>0</v>
      </c>
      <c r="AU385">
        <v>0</v>
      </c>
      <c r="AV385">
        <v>0</v>
      </c>
      <c r="AW385">
        <v>0</v>
      </c>
      <c r="AX385" s="141">
        <f>COUNTIF(V385:AW385,"&lt;&gt;0")</f>
        <v>2</v>
      </c>
      <c r="AY385" s="141">
        <f>COUNTIF(V385:AL385,"&lt;&gt;0")</f>
        <v>2</v>
      </c>
      <c r="AZ385">
        <f>COUNTIF(V385:AC385,"&lt;&gt;0")</f>
        <v>0</v>
      </c>
      <c r="BA385">
        <f>COUNTIF(AD385:AI385,"&lt;&gt;0")</f>
        <v>1</v>
      </c>
      <c r="BB385">
        <f>COUNTIF(AJ385:AL385,"&lt;&gt;0")</f>
        <v>1</v>
      </c>
      <c r="BC385">
        <f>COUNTIF(AS385:AW385,"&lt;&gt;0")</f>
        <v>0</v>
      </c>
      <c r="BD385">
        <f>COUNTIF(AM385:AR385,"&lt;&gt;0")</f>
        <v>0</v>
      </c>
      <c r="BE385" t="str" cm="1">
        <f t="array" ref="BE385">IF(AY385=1,INDEX($V$7:$AL$7,MATCH(TRUE,INDEX($V385:$AW385&lt;&gt;0,),0)),IF(AY385=0,INDEX($AM$7:$AW$7,MATCH(1,$AM385:$AW385,0)),IF(BF385="Multiple strategies","mixed drivers",IF(BF385="Supply chain","multiple supply","multiple silviculture"))))</f>
        <v>mixed drivers</v>
      </c>
      <c r="BF385" s="2" t="str" cm="1">
        <f t="array" ref="BF385">IF(COUNTIF(AZ385:BB385,"&lt;&gt;0")=1,INDEX($V$4:$AW$4,MATCH(TRUE,INDEX($V385:$AW385&lt;&gt;0,),0)),IF(COUNTIF(AZ385:BB385,"&lt;&gt;0")=0,INDEX($AM$4:$AW$4,MATCH(1,$AM385:$AW385,0)),"Multiple strategies"))</f>
        <v>Multiple strategies</v>
      </c>
      <c r="BG385" s="142" t="s">
        <v>321</v>
      </c>
      <c r="BH385" s="160" t="s">
        <v>1457</v>
      </c>
      <c r="BI385" s="160" t="s">
        <v>1458</v>
      </c>
      <c r="BJ385" s="143" t="s">
        <v>498</v>
      </c>
      <c r="BK385" s="143">
        <v>944</v>
      </c>
      <c r="BL385" s="143">
        <v>2500</v>
      </c>
      <c r="BM385">
        <f>IFERROR(BL386/BK385,"")</f>
        <v>0.10839671687718645</v>
      </c>
      <c r="BN385">
        <f>BL385-BK385</f>
        <v>1556</v>
      </c>
      <c r="BO385" s="159">
        <f>BN385</f>
        <v>1556</v>
      </c>
      <c r="BP385" s="155" t="s">
        <v>232</v>
      </c>
      <c r="BQ385" s="155" t="s">
        <v>1459</v>
      </c>
      <c r="BR385" s="155" t="s">
        <v>825</v>
      </c>
      <c r="BS385" s="143" t="s">
        <v>1477</v>
      </c>
      <c r="BT385" t="s">
        <v>1514</v>
      </c>
      <c r="BU385" s="144">
        <f>BT385/BS385</f>
        <v>3.153188079915227</v>
      </c>
      <c r="BV385">
        <f>BT385-BS385</f>
        <v>-0.23141388888888903</v>
      </c>
      <c r="BW385"/>
      <c r="BX385">
        <f>BV385</f>
        <v>-0.23141388888888903</v>
      </c>
      <c r="BY385">
        <f>IFERROR(BX385/BO385,"")</f>
        <v>-1.4872357897743511E-4</v>
      </c>
      <c r="BZ385">
        <v>0</v>
      </c>
      <c r="CA385">
        <v>0</v>
      </c>
      <c r="CB385">
        <v>0</v>
      </c>
      <c r="CC385">
        <v>0</v>
      </c>
      <c r="CD385">
        <v>0</v>
      </c>
      <c r="CE385">
        <v>0</v>
      </c>
      <c r="CF385">
        <v>0</v>
      </c>
      <c r="CG385">
        <v>0</v>
      </c>
      <c r="CH385">
        <v>0</v>
      </c>
      <c r="CI385">
        <v>0</v>
      </c>
      <c r="CJ385">
        <v>0</v>
      </c>
      <c r="CK385">
        <v>0</v>
      </c>
      <c r="CL385">
        <v>0</v>
      </c>
      <c r="CM385">
        <v>0</v>
      </c>
      <c r="CN385" t="str">
        <f>IF($BL385&lt;$BK385,"refNeedCorrection","refOK")</f>
        <v>refOK</v>
      </c>
      <c r="CO385">
        <f>IF($CN385="refOK",$BK385,$BL385)</f>
        <v>944</v>
      </c>
      <c r="CP385">
        <f>IF($CN385="refOK",$BL385,$BK385)</f>
        <v>2500</v>
      </c>
      <c r="CQ385">
        <f>IF($CN385="refOK",$BO385,-$BO385)</f>
        <v>1556</v>
      </c>
      <c r="CR385">
        <f>IF($CN385="refOK",$BS385,$BT385)*IF($BP385="Emissions positive",-1,1)</f>
        <v>-0.107475</v>
      </c>
      <c r="CS385">
        <f>IF($CN385="refOK",$BT385,$BS385)*IF($BP385="Emissions positive",-1,1)</f>
        <v>-0.33888888888888902</v>
      </c>
      <c r="CT385">
        <f>IF($CN385="refNeedCorrection",-BX385,BX385)*IF($BP385="Emissions positive",-1,1)</f>
        <v>-0.23141388888888903</v>
      </c>
      <c r="CU385">
        <f>IFERROR(CT385/CQ385,"")</f>
        <v>-1.4872357897743511E-4</v>
      </c>
      <c r="CV385" s="2">
        <f>IFERROR((CS385-CR385)/ABS(CR385),"")</f>
        <v>-2.153188079915227</v>
      </c>
      <c r="CW385" s="263" t="s">
        <v>1462</v>
      </c>
      <c r="CX385" s="264" t="str">
        <f>IF(OR($CW385="prd",$CW385="std",$CW385="cit"),"loc",IF(OR($CW385="eur",$CW385="reg",$CW385="coy"),"reg",$CW385))</f>
        <v>reg</v>
      </c>
      <c r="CY385" s="270" t="s">
        <v>743</v>
      </c>
      <c r="CZ385"/>
      <c r="DA385" s="143"/>
      <c r="DB385" s="143">
        <v>0</v>
      </c>
      <c r="DC385" t="str">
        <f>IF(DB385=0,"0",IF(AND(DB385&gt;=1,DB385&lt;=30),"1-30",IF(AND(DB385&gt;30,DB385&lt;=70),"31-70",IF(AND(DB385&gt;70,DB385&lt;=100),"71-100",IF(DB385&gt;100,"+100")))))</f>
        <v>0</v>
      </c>
      <c r="DD385">
        <v>0</v>
      </c>
      <c r="DE385">
        <v>1</v>
      </c>
      <c r="DF385">
        <v>0</v>
      </c>
      <c r="DG385">
        <v>0</v>
      </c>
      <c r="DH385">
        <v>0</v>
      </c>
      <c r="DI385">
        <f>SUM(DD385:DH385)</f>
        <v>1</v>
      </c>
      <c r="DJ385" t="str">
        <f>IF(DI385=1,INDEX($DD$7:$DG$7,MATCH(1,$DD385:$DG385,0)),"mixedProduct")</f>
        <v>EnergyInput</v>
      </c>
      <c r="DK385">
        <f>IF(DD385=1,DK$7,0)</f>
        <v>0</v>
      </c>
      <c r="DL385" t="str">
        <f>IF(DE385=1,DL$7,0)</f>
        <v>Energy</v>
      </c>
      <c r="DM385">
        <f>IF(DF385=1,DM$7,0)</f>
        <v>0</v>
      </c>
      <c r="DN385">
        <f>IF(DG385=1,DN$7,0)</f>
        <v>0</v>
      </c>
      <c r="DO385">
        <v>0</v>
      </c>
      <c r="DP385" s="143">
        <v>0</v>
      </c>
      <c r="DQ385" s="143">
        <v>0</v>
      </c>
      <c r="DR385">
        <v>0</v>
      </c>
      <c r="DS385" s="143">
        <v>0</v>
      </c>
      <c r="DT385">
        <f>SUM(DO385:DP385)</f>
        <v>0</v>
      </c>
      <c r="DU385" s="143" t="str">
        <f>IF(DO385=1,"self-calculated DF",IF(DP385=1,"external DF used","explicit C balance"))</f>
        <v>explicit C balance</v>
      </c>
      <c r="DV385" s="143">
        <v>0</v>
      </c>
      <c r="DW385" s="143">
        <v>0</v>
      </c>
      <c r="DX385" s="143">
        <v>0</v>
      </c>
      <c r="DY385" s="143">
        <v>0</v>
      </c>
      <c r="DZ385">
        <v>0</v>
      </c>
      <c r="EA385" s="143">
        <v>0</v>
      </c>
      <c r="EB385" s="143">
        <v>1</v>
      </c>
      <c r="EC385" s="143">
        <v>0</v>
      </c>
      <c r="ED385" s="143">
        <v>0</v>
      </c>
      <c r="EE385">
        <v>0</v>
      </c>
      <c r="EF385">
        <v>0</v>
      </c>
      <c r="EG385" s="143">
        <v>0</v>
      </c>
      <c r="EH385" s="143">
        <v>0</v>
      </c>
      <c r="EI385" s="2">
        <v>0</v>
      </c>
      <c r="EJ385" s="1"/>
      <c r="EK385" t="str">
        <f>IF(AND(AND(AND(OR($DX385=1,$DW385=1),OR($EC385=1,$EA385=1)),SUM($DV385:$DZ385,$EF385)&gt;=4),SUM($EA385:$EE385)&gt;=2),"Whole sector","")</f>
        <v/>
      </c>
      <c r="EL385" t="str">
        <f>IF(AND(AND(OR($DX385=1,$DW385=1),AND($EC385=0,$EA385=0)),SUM($DV385:$DZ385,$EF385)&gt;=4),"Ecosystem approach","")</f>
        <v/>
      </c>
      <c r="EM385" s="2" t="str">
        <f>IF(AND(AND(AND($DX385=0,$DW385=0),OR($EC385=1,$EA385=1)),SUM($EB385:$EE385)&gt;=2),"Technology approach","")</f>
        <v/>
      </c>
      <c r="EN385"/>
      <c r="EO385"/>
      <c r="EP385" t="str">
        <f>IF(ISNUMBER(BU385),IF(ABS(BU385-[3]QC_indicators!$B$2)&gt;3*[3]QC_indicators!$C$2,"C ratio",IF(ISNUMBER(BY385),IF(ABS(BY385-[3]QC_indicators!$B$1)&gt;3*[3]QC_indicators!$C$1,"DF","no"))),IF(ISNUMBER(BY385),IF(ABS(BY385-[3]QC_indicators!$B$1)&gt;3*[3]QC_indicators!$C$1,"DF","no")))</f>
        <v>no</v>
      </c>
      <c r="EQ385"/>
      <c r="ER385" s="149"/>
      <c r="ES385"/>
      <c r="ET385" s="264" t="s">
        <v>3407</v>
      </c>
      <c r="EU385"/>
    </row>
    <row r="386" spans="1:151" s="139" customFormat="1" ht="15" customHeight="1">
      <c r="A386" s="256" t="s">
        <v>214</v>
      </c>
      <c r="B386" s="257" t="s">
        <v>215</v>
      </c>
      <c r="C386" s="257" t="s">
        <v>216</v>
      </c>
      <c r="D386" s="257" t="s">
        <v>217</v>
      </c>
      <c r="E386" s="257" t="s">
        <v>218</v>
      </c>
      <c r="F386" s="257" t="s">
        <v>219</v>
      </c>
      <c r="G386" s="257" t="s">
        <v>220</v>
      </c>
      <c r="H386" s="257"/>
      <c r="I386" s="257">
        <v>2012</v>
      </c>
      <c r="J386" s="257"/>
      <c r="K386" s="257" t="s">
        <v>221</v>
      </c>
      <c r="L386" s="257"/>
      <c r="M386" s="257" t="s">
        <v>3070</v>
      </c>
      <c r="N386" s="257" t="s">
        <v>222</v>
      </c>
      <c r="O386" s="275" t="s">
        <v>223</v>
      </c>
      <c r="P386" s="257"/>
      <c r="Q386" s="257" t="s">
        <v>224</v>
      </c>
      <c r="R386" s="258" t="s">
        <v>225</v>
      </c>
      <c r="S386" s="256" t="s">
        <v>241</v>
      </c>
      <c r="T386" s="257" t="s">
        <v>242</v>
      </c>
      <c r="U386" s="276" t="s">
        <v>243</v>
      </c>
      <c r="V386" s="257">
        <v>0</v>
      </c>
      <c r="W386" s="257">
        <v>0</v>
      </c>
      <c r="X386" s="257">
        <v>0</v>
      </c>
      <c r="Y386" s="257">
        <v>0</v>
      </c>
      <c r="Z386" s="257">
        <v>0</v>
      </c>
      <c r="AA386" s="257">
        <v>0</v>
      </c>
      <c r="AB386" s="257">
        <v>0</v>
      </c>
      <c r="AC386" s="257">
        <v>1</v>
      </c>
      <c r="AD386" s="257">
        <v>0</v>
      </c>
      <c r="AE386" s="257">
        <v>0</v>
      </c>
      <c r="AF386" s="257">
        <v>0</v>
      </c>
      <c r="AG386" s="257">
        <v>0</v>
      </c>
      <c r="AH386" s="257">
        <v>0</v>
      </c>
      <c r="AI386" s="257">
        <v>0</v>
      </c>
      <c r="AJ386" s="257">
        <v>0</v>
      </c>
      <c r="AK386" s="257">
        <v>0</v>
      </c>
      <c r="AL386" s="257">
        <v>0</v>
      </c>
      <c r="AM386" s="257">
        <v>0</v>
      </c>
      <c r="AN386" s="257">
        <v>0</v>
      </c>
      <c r="AO386" s="257">
        <v>0</v>
      </c>
      <c r="AP386" s="257">
        <v>0</v>
      </c>
      <c r="AQ386" s="257">
        <v>0</v>
      </c>
      <c r="AR386" s="257">
        <v>0</v>
      </c>
      <c r="AS386" s="257">
        <v>0</v>
      </c>
      <c r="AT386" s="257">
        <v>0</v>
      </c>
      <c r="AU386" s="257">
        <v>0</v>
      </c>
      <c r="AV386" s="257">
        <v>0</v>
      </c>
      <c r="AW386" s="257">
        <v>0</v>
      </c>
      <c r="AX386" s="277">
        <v>1</v>
      </c>
      <c r="AY386" s="277">
        <v>1</v>
      </c>
      <c r="AZ386" s="257">
        <v>1</v>
      </c>
      <c r="BA386" s="257">
        <v>0</v>
      </c>
      <c r="BB386" s="257">
        <v>0</v>
      </c>
      <c r="BC386" s="257">
        <v>0</v>
      </c>
      <c r="BD386" s="257">
        <v>0</v>
      </c>
      <c r="BE386" s="257" t="s">
        <v>95</v>
      </c>
      <c r="BF386" s="2" t="str" cm="1">
        <f t="array" ref="BF386">IF(COUNTIF(AZ386:BB386,"&lt;&gt;0")=1,INDEX($V$4:$AW$4,MATCH(TRUE,INDEX($V386:$AW386&lt;&gt;0,),0)),IF(COUNTIF(AZ386:BB386,"&lt;&gt;0")=0,INDEX($AM$4:$AW$4,MATCH(1,$AM386:$AW386,0)),"Multiple strategies"))</f>
        <v>Silviculture for productivity</v>
      </c>
      <c r="BG386" s="278" t="s">
        <v>229</v>
      </c>
      <c r="BH386" s="257" t="s">
        <v>230</v>
      </c>
      <c r="BI386" s="279" t="s">
        <v>3071</v>
      </c>
      <c r="BJ386" s="276" t="s">
        <v>231</v>
      </c>
      <c r="BK386" s="257">
        <v>90.5390284179134</v>
      </c>
      <c r="BL386" s="257">
        <v>102.32650073206401</v>
      </c>
      <c r="BM386" s="276">
        <v>1.1301921670701121</v>
      </c>
      <c r="BN386" s="257">
        <v>11.787472314150605</v>
      </c>
      <c r="BO386" s="276">
        <v>24.056065947246132</v>
      </c>
      <c r="BP386" s="276" t="s">
        <v>232</v>
      </c>
      <c r="BQ386" s="282" t="s">
        <v>2625</v>
      </c>
      <c r="BR386" s="276" t="s">
        <v>233</v>
      </c>
      <c r="BS386" s="257">
        <v>-8.2073792916471504</v>
      </c>
      <c r="BT386" s="257">
        <v>-11.784382625671</v>
      </c>
      <c r="BU386" s="259">
        <v>1.4358277114918099</v>
      </c>
      <c r="BV386" s="257">
        <v>-3.5770033340238498</v>
      </c>
      <c r="BW386" s="257"/>
      <c r="BX386" s="257">
        <v>-3.5770033340238499E-3</v>
      </c>
      <c r="BY386" s="257">
        <v>-1.4869444330041566E-4</v>
      </c>
      <c r="BZ386" s="257">
        <v>0</v>
      </c>
      <c r="CA386" s="257">
        <v>0</v>
      </c>
      <c r="CB386" s="257">
        <v>0</v>
      </c>
      <c r="CC386" s="257">
        <v>0</v>
      </c>
      <c r="CD386" s="257">
        <v>0</v>
      </c>
      <c r="CE386" s="257">
        <v>0</v>
      </c>
      <c r="CF386" s="257">
        <v>0</v>
      </c>
      <c r="CG386" s="257">
        <v>0</v>
      </c>
      <c r="CH386" s="257">
        <v>0</v>
      </c>
      <c r="CI386" s="257">
        <v>0</v>
      </c>
      <c r="CJ386" s="257">
        <v>0</v>
      </c>
      <c r="CK386" s="257">
        <v>0</v>
      </c>
      <c r="CL386" s="257">
        <v>0</v>
      </c>
      <c r="CM386" s="257">
        <v>0</v>
      </c>
      <c r="CN386" s="257" t="s">
        <v>3072</v>
      </c>
      <c r="CO386" s="257">
        <v>90.5390284179134</v>
      </c>
      <c r="CP386" s="257">
        <v>102.32650073206401</v>
      </c>
      <c r="CQ386" s="257">
        <v>24.056065947246132</v>
      </c>
      <c r="CR386" s="257">
        <v>-8.2073792916471504</v>
      </c>
      <c r="CS386" s="257">
        <v>-11.784382625671</v>
      </c>
      <c r="CT386" s="257">
        <v>-3.5770033340238499E-3</v>
      </c>
      <c r="CU386" s="257">
        <v>-1.4869444330041566E-4</v>
      </c>
      <c r="CV386" s="258">
        <v>-0.43582771149180993</v>
      </c>
      <c r="CW386" s="256" t="s">
        <v>234</v>
      </c>
      <c r="CX386" s="257" t="s">
        <v>3073</v>
      </c>
      <c r="CY386" s="257" t="s">
        <v>235</v>
      </c>
      <c r="CZ386" s="257"/>
      <c r="DA386" s="276"/>
      <c r="DB386" s="276">
        <v>80</v>
      </c>
      <c r="DC386" s="257" t="s">
        <v>3074</v>
      </c>
      <c r="DD386" s="257">
        <v>0</v>
      </c>
      <c r="DE386" s="257">
        <v>1</v>
      </c>
      <c r="DF386" s="257">
        <v>0</v>
      </c>
      <c r="DG386" s="257">
        <v>0</v>
      </c>
      <c r="DH386" s="257"/>
      <c r="DI386" s="257">
        <v>1</v>
      </c>
      <c r="DJ386" s="257" t="s">
        <v>173</v>
      </c>
      <c r="DK386" s="257">
        <v>0</v>
      </c>
      <c r="DL386" s="257" t="s">
        <v>180</v>
      </c>
      <c r="DM386" s="257">
        <v>0</v>
      </c>
      <c r="DN386" s="257">
        <v>0</v>
      </c>
      <c r="DO386" s="257">
        <v>0</v>
      </c>
      <c r="DP386" s="276">
        <v>0</v>
      </c>
      <c r="DQ386" s="276">
        <v>0</v>
      </c>
      <c r="DR386" s="276">
        <v>0</v>
      </c>
      <c r="DS386" s="276">
        <v>0</v>
      </c>
      <c r="DT386" s="257">
        <v>0</v>
      </c>
      <c r="DU386" s="276" t="s">
        <v>962</v>
      </c>
      <c r="DV386" s="276">
        <v>1</v>
      </c>
      <c r="DW386" s="276">
        <v>1</v>
      </c>
      <c r="DX386" s="276">
        <v>1</v>
      </c>
      <c r="DY386" s="276">
        <v>0</v>
      </c>
      <c r="DZ386" s="257">
        <v>0</v>
      </c>
      <c r="EA386" s="276">
        <v>0</v>
      </c>
      <c r="EB386" s="276">
        <v>1</v>
      </c>
      <c r="EC386" s="276">
        <v>1</v>
      </c>
      <c r="ED386" s="276">
        <v>0</v>
      </c>
      <c r="EE386" s="276">
        <v>0</v>
      </c>
      <c r="EF386" s="257">
        <v>1</v>
      </c>
      <c r="EG386" s="276">
        <v>0</v>
      </c>
      <c r="EH386" s="257">
        <v>0</v>
      </c>
      <c r="EI386" s="258">
        <v>0</v>
      </c>
      <c r="EJ386" s="256"/>
      <c r="EK386" t="str">
        <f>IF(AND(AND(AND(OR($DX386=1,$DW386=1),OR($EC386=1,$EA386=1)),SUM($DV386:$DZ386,$EF386)&gt;=4),SUM($EA386:$EE386)&gt;=2),"Whole sector","")</f>
        <v>Whole sector</v>
      </c>
      <c r="EL386" t="str">
        <f>IF(AND(AND(OR($DX386=1,$DW386=1),AND($EC386=0,$EA386=0)),SUM($DV386:$DZ386,$EF386)&gt;=4),"Ecosystem approach","")</f>
        <v/>
      </c>
      <c r="EM386" s="258" t="s">
        <v>544</v>
      </c>
      <c r="EN386" s="257" t="s">
        <v>236</v>
      </c>
      <c r="EO386" s="257"/>
      <c r="EP386" t="str">
        <f>IF(ISNUMBER(BU386),IF(ABS(BU386-[2]QC_indicators!$B$2)&gt;3*[2]QC_indicators!$C$2,"C ratio",IF(ISNUMBER(BY386),IF(ABS(BY386-[2]QC_indicators!$B$1)&gt;3*[2]QC_indicators!$C$1,"DF","no"))),IF(ISNUMBER(BY386),IF(ABS(BY386-[2]QC_indicators!$B$1)&gt;3*[2]QC_indicators!$C$1,"DF","no")))</f>
        <v>no</v>
      </c>
      <c r="EQ386"/>
      <c r="ER386"/>
      <c r="ES386"/>
      <c r="ET386"/>
      <c r="EU386"/>
    </row>
    <row r="387" spans="1:151" s="139" customFormat="1" ht="15" customHeight="1">
      <c r="A387" s="256" t="s">
        <v>214</v>
      </c>
      <c r="B387" s="257" t="s">
        <v>215</v>
      </c>
      <c r="C387" s="257" t="s">
        <v>216</v>
      </c>
      <c r="D387" s="257" t="s">
        <v>217</v>
      </c>
      <c r="E387" s="257" t="s">
        <v>218</v>
      </c>
      <c r="F387" s="257" t="s">
        <v>219</v>
      </c>
      <c r="G387" s="257" t="s">
        <v>220</v>
      </c>
      <c r="H387" s="257"/>
      <c r="I387" s="257">
        <v>2012</v>
      </c>
      <c r="J387" s="257"/>
      <c r="K387" s="257" t="s">
        <v>221</v>
      </c>
      <c r="L387" s="257"/>
      <c r="M387" s="257" t="s">
        <v>3070</v>
      </c>
      <c r="N387" s="257" t="s">
        <v>222</v>
      </c>
      <c r="O387" s="275" t="s">
        <v>223</v>
      </c>
      <c r="P387" s="257"/>
      <c r="Q387" s="257" t="s">
        <v>224</v>
      </c>
      <c r="R387" s="258" t="s">
        <v>225</v>
      </c>
      <c r="S387" s="256" t="s">
        <v>240</v>
      </c>
      <c r="T387" s="257">
        <v>2000</v>
      </c>
      <c r="U387" s="257">
        <v>4000</v>
      </c>
      <c r="V387" s="257">
        <v>0</v>
      </c>
      <c r="W387" s="257">
        <v>0</v>
      </c>
      <c r="X387" s="257">
        <v>0</v>
      </c>
      <c r="Y387" s="257">
        <v>0</v>
      </c>
      <c r="Z387" s="257">
        <v>0</v>
      </c>
      <c r="AA387" s="257">
        <v>1</v>
      </c>
      <c r="AB387" s="257">
        <v>0</v>
      </c>
      <c r="AC387" s="257">
        <v>0</v>
      </c>
      <c r="AD387" s="257">
        <v>0</v>
      </c>
      <c r="AE387" s="257">
        <v>0</v>
      </c>
      <c r="AF387" s="257">
        <v>0</v>
      </c>
      <c r="AG387" s="257">
        <v>0</v>
      </c>
      <c r="AH387" s="257">
        <v>0</v>
      </c>
      <c r="AI387" s="257">
        <v>0</v>
      </c>
      <c r="AJ387" s="257">
        <v>0</v>
      </c>
      <c r="AK387" s="257">
        <v>0</v>
      </c>
      <c r="AL387" s="257">
        <v>0</v>
      </c>
      <c r="AM387" s="257">
        <v>0</v>
      </c>
      <c r="AN387" s="257">
        <v>0</v>
      </c>
      <c r="AO387" s="257">
        <v>0</v>
      </c>
      <c r="AP387" s="257">
        <v>0</v>
      </c>
      <c r="AQ387" s="257">
        <v>0</v>
      </c>
      <c r="AR387" s="257">
        <v>0</v>
      </c>
      <c r="AS387" s="257">
        <v>0</v>
      </c>
      <c r="AT387" s="257">
        <v>0</v>
      </c>
      <c r="AU387" s="257">
        <v>0</v>
      </c>
      <c r="AV387" s="257">
        <v>0</v>
      </c>
      <c r="AW387" s="257">
        <v>0</v>
      </c>
      <c r="AX387" s="277">
        <v>1</v>
      </c>
      <c r="AY387" s="277">
        <v>1</v>
      </c>
      <c r="AZ387" s="257">
        <v>1</v>
      </c>
      <c r="BA387" s="257">
        <v>0</v>
      </c>
      <c r="BB387" s="257">
        <v>0</v>
      </c>
      <c r="BC387" s="257">
        <v>0</v>
      </c>
      <c r="BD387" s="257">
        <v>0</v>
      </c>
      <c r="BE387" s="257" t="s">
        <v>93</v>
      </c>
      <c r="BF387" s="2" t="str" cm="1">
        <f t="array" ref="BF387">IF(COUNTIF(AZ387:BB387,"&lt;&gt;0")=1,INDEX($V$4:$AW$4,MATCH(TRUE,INDEX($V387:$AW387&lt;&gt;0,),0)),IF(COUNTIF(AZ387:BB387,"&lt;&gt;0")=0,INDEX($AM$4:$AW$4,MATCH(1,$AM387:$AW387,0)),"Multiple strategies"))</f>
        <v>Silviculture for productivity</v>
      </c>
      <c r="BG387" s="278" t="s">
        <v>229</v>
      </c>
      <c r="BH387" s="257" t="s">
        <v>230</v>
      </c>
      <c r="BI387" s="279" t="s">
        <v>3071</v>
      </c>
      <c r="BJ387" s="276" t="s">
        <v>231</v>
      </c>
      <c r="BK387" s="257">
        <v>114.0804598</v>
      </c>
      <c r="BL387" s="257">
        <v>127.1903367</v>
      </c>
      <c r="BM387" s="276">
        <v>1.1149178125945807</v>
      </c>
      <c r="BN387" s="257">
        <v>13.109876900000003</v>
      </c>
      <c r="BO387" s="276">
        <v>26.754850816326538</v>
      </c>
      <c r="BP387" s="276" t="s">
        <v>232</v>
      </c>
      <c r="BQ387" s="282" t="s">
        <v>2625</v>
      </c>
      <c r="BR387" s="276" t="s">
        <v>233</v>
      </c>
      <c r="BS387" s="257">
        <v>-7.6632653060000004</v>
      </c>
      <c r="BT387" s="257">
        <v>-11.589751100000001</v>
      </c>
      <c r="BU387" s="259">
        <v>1.5123776402372151</v>
      </c>
      <c r="BV387" s="257">
        <v>-3.9264857940000004</v>
      </c>
      <c r="BW387" s="257"/>
      <c r="BX387" s="257">
        <v>-3.9264857940000007E-3</v>
      </c>
      <c r="BY387" s="257">
        <v>-1.4675790274277861E-4</v>
      </c>
      <c r="BZ387" s="257">
        <v>0</v>
      </c>
      <c r="CA387" s="257">
        <v>0</v>
      </c>
      <c r="CB387" s="257">
        <v>0</v>
      </c>
      <c r="CC387" s="257">
        <v>0</v>
      </c>
      <c r="CD387" s="257">
        <v>0</v>
      </c>
      <c r="CE387" s="257">
        <v>0</v>
      </c>
      <c r="CF387" s="257">
        <v>0</v>
      </c>
      <c r="CG387" s="257">
        <v>0</v>
      </c>
      <c r="CH387" s="257">
        <v>0</v>
      </c>
      <c r="CI387" s="257">
        <v>0</v>
      </c>
      <c r="CJ387" s="257">
        <v>0</v>
      </c>
      <c r="CK387" s="257">
        <v>0</v>
      </c>
      <c r="CL387" s="257">
        <v>0</v>
      </c>
      <c r="CM387" s="257">
        <v>0</v>
      </c>
      <c r="CN387" s="257" t="s">
        <v>3072</v>
      </c>
      <c r="CO387" s="257">
        <v>114.0804598</v>
      </c>
      <c r="CP387" s="257">
        <v>127.1903367</v>
      </c>
      <c r="CQ387" s="257">
        <v>26.754850816326538</v>
      </c>
      <c r="CR387" s="257">
        <v>-7.6632653060000004</v>
      </c>
      <c r="CS387" s="257">
        <v>-11.589751100000001</v>
      </c>
      <c r="CT387" s="257">
        <v>-3.9264857940000007E-3</v>
      </c>
      <c r="CU387" s="257">
        <v>-1.4675790274277861E-4</v>
      </c>
      <c r="CV387" s="258">
        <v>-0.5123776402372151</v>
      </c>
      <c r="CW387" s="256" t="s">
        <v>234</v>
      </c>
      <c r="CX387" s="257" t="s">
        <v>3073</v>
      </c>
      <c r="CY387" s="257" t="s">
        <v>235</v>
      </c>
      <c r="CZ387" s="257"/>
      <c r="DA387" s="276"/>
      <c r="DB387" s="276">
        <v>80</v>
      </c>
      <c r="DC387" s="257" t="s">
        <v>3074</v>
      </c>
      <c r="DD387" s="257">
        <v>0</v>
      </c>
      <c r="DE387" s="257">
        <v>1</v>
      </c>
      <c r="DF387" s="257">
        <v>0</v>
      </c>
      <c r="DG387" s="257">
        <v>0</v>
      </c>
      <c r="DH387" s="257"/>
      <c r="DI387" s="257">
        <v>1</v>
      </c>
      <c r="DJ387" s="257" t="s">
        <v>173</v>
      </c>
      <c r="DK387" s="257">
        <v>0</v>
      </c>
      <c r="DL387" s="257" t="s">
        <v>180</v>
      </c>
      <c r="DM387" s="257">
        <v>0</v>
      </c>
      <c r="DN387" s="257">
        <v>0</v>
      </c>
      <c r="DO387" s="257">
        <v>0</v>
      </c>
      <c r="DP387" s="276">
        <v>0</v>
      </c>
      <c r="DQ387" s="276">
        <v>0</v>
      </c>
      <c r="DR387" s="276">
        <v>0</v>
      </c>
      <c r="DS387" s="276">
        <v>0</v>
      </c>
      <c r="DT387" s="257">
        <v>0</v>
      </c>
      <c r="DU387" s="276" t="s">
        <v>962</v>
      </c>
      <c r="DV387" s="276">
        <v>1</v>
      </c>
      <c r="DW387" s="276">
        <v>1</v>
      </c>
      <c r="DX387" s="276">
        <v>1</v>
      </c>
      <c r="DY387" s="276">
        <v>0</v>
      </c>
      <c r="DZ387" s="257">
        <v>0</v>
      </c>
      <c r="EA387" s="276">
        <v>0</v>
      </c>
      <c r="EB387" s="276">
        <v>1</v>
      </c>
      <c r="EC387" s="276">
        <v>1</v>
      </c>
      <c r="ED387" s="276">
        <v>0</v>
      </c>
      <c r="EE387" s="276">
        <v>0</v>
      </c>
      <c r="EF387" s="257">
        <v>1</v>
      </c>
      <c r="EG387" s="276">
        <v>0</v>
      </c>
      <c r="EH387" s="257">
        <v>0</v>
      </c>
      <c r="EI387" s="258">
        <v>0</v>
      </c>
      <c r="EJ387" s="256"/>
      <c r="EK387" t="str">
        <f>IF(AND(AND(AND(OR($DX387=1,$DW387=1),OR($EC387=1,$EA387=1)),SUM($DV387:$DZ387,$EF387)&gt;=4),SUM($EA387:$EE387)&gt;=2),"Whole sector","")</f>
        <v>Whole sector</v>
      </c>
      <c r="EL387" t="str">
        <f>IF(AND(AND(OR($DX387=1,$DW387=1),AND($EC387=0,$EA387=0)),SUM($DV387:$DZ387,$EF387)&gt;=4),"Ecosystem approach","")</f>
        <v/>
      </c>
      <c r="EM387" s="258" t="s">
        <v>544</v>
      </c>
      <c r="EN387" s="257" t="s">
        <v>236</v>
      </c>
      <c r="EO387" s="257"/>
      <c r="EP387" t="str">
        <f>IF(ISNUMBER(BU387),IF(ABS(BU387-[2]QC_indicators!$B$2)&gt;3*[2]QC_indicators!$C$2,"C ratio",IF(ISNUMBER(BY387),IF(ABS(BY387-[2]QC_indicators!$B$1)&gt;3*[2]QC_indicators!$C$1,"DF","no"))),IF(ISNUMBER(BY387),IF(ABS(BY387-[2]QC_indicators!$B$1)&gt;3*[2]QC_indicators!$C$1,"DF","no")))</f>
        <v>no</v>
      </c>
      <c r="EQ387" s="280"/>
      <c r="ER387" s="280"/>
      <c r="ES387" s="280"/>
      <c r="ET387"/>
      <c r="EU387"/>
    </row>
    <row r="388" spans="1:151" s="139" customFormat="1" ht="15" customHeight="1">
      <c r="A388" s="256" t="s">
        <v>214</v>
      </c>
      <c r="B388" s="257" t="s">
        <v>215</v>
      </c>
      <c r="C388" s="257" t="s">
        <v>216</v>
      </c>
      <c r="D388" s="257" t="s">
        <v>217</v>
      </c>
      <c r="E388" s="257" t="s">
        <v>218</v>
      </c>
      <c r="F388" s="257" t="s">
        <v>219</v>
      </c>
      <c r="G388" s="257" t="s">
        <v>220</v>
      </c>
      <c r="H388" s="257"/>
      <c r="I388" s="257">
        <v>2012</v>
      </c>
      <c r="J388" s="257"/>
      <c r="K388" s="257" t="s">
        <v>221</v>
      </c>
      <c r="L388" s="257"/>
      <c r="M388" s="257" t="s">
        <v>3070</v>
      </c>
      <c r="N388" s="257" t="s">
        <v>222</v>
      </c>
      <c r="O388" s="275" t="s">
        <v>223</v>
      </c>
      <c r="P388" s="257"/>
      <c r="Q388" s="257" t="s">
        <v>224</v>
      </c>
      <c r="R388" s="258" t="s">
        <v>225</v>
      </c>
      <c r="S388" s="256" t="s">
        <v>226</v>
      </c>
      <c r="T388" s="257" t="s">
        <v>227</v>
      </c>
      <c r="U388" s="257" t="s">
        <v>228</v>
      </c>
      <c r="V388" s="257">
        <v>0</v>
      </c>
      <c r="W388" s="257">
        <v>0</v>
      </c>
      <c r="X388" s="257">
        <v>0</v>
      </c>
      <c r="Y388" s="257">
        <v>1</v>
      </c>
      <c r="Z388" s="257">
        <v>0</v>
      </c>
      <c r="AA388" s="257">
        <v>0</v>
      </c>
      <c r="AB388" s="257">
        <v>0</v>
      </c>
      <c r="AC388" s="257">
        <v>0</v>
      </c>
      <c r="AD388" s="257">
        <v>0</v>
      </c>
      <c r="AE388" s="257">
        <v>0</v>
      </c>
      <c r="AF388" s="257">
        <v>0</v>
      </c>
      <c r="AG388" s="257">
        <v>0</v>
      </c>
      <c r="AH388" s="257">
        <v>0</v>
      </c>
      <c r="AI388" s="257">
        <v>0</v>
      </c>
      <c r="AJ388" s="257">
        <v>0</v>
      </c>
      <c r="AK388" s="257">
        <v>0</v>
      </c>
      <c r="AL388" s="257">
        <v>0</v>
      </c>
      <c r="AM388" s="257">
        <v>0</v>
      </c>
      <c r="AN388" s="257">
        <v>0</v>
      </c>
      <c r="AO388" s="257">
        <v>0</v>
      </c>
      <c r="AP388" s="257">
        <v>0</v>
      </c>
      <c r="AQ388" s="257">
        <v>0</v>
      </c>
      <c r="AR388" s="257">
        <v>0</v>
      </c>
      <c r="AS388" s="257">
        <v>0</v>
      </c>
      <c r="AT388" s="257">
        <v>0</v>
      </c>
      <c r="AU388" s="257">
        <v>0</v>
      </c>
      <c r="AV388" s="257">
        <v>0</v>
      </c>
      <c r="AW388" s="257">
        <v>0</v>
      </c>
      <c r="AX388" s="277">
        <v>1</v>
      </c>
      <c r="AY388" s="277">
        <v>1</v>
      </c>
      <c r="AZ388" s="257">
        <v>1</v>
      </c>
      <c r="BA388" s="257">
        <v>0</v>
      </c>
      <c r="BB388" s="257">
        <v>0</v>
      </c>
      <c r="BC388" s="257">
        <v>0</v>
      </c>
      <c r="BD388" s="257">
        <v>0</v>
      </c>
      <c r="BE388" s="257" t="s">
        <v>91</v>
      </c>
      <c r="BF388" s="2" t="str" cm="1">
        <f t="array" ref="BF388">IF(COUNTIF(AZ388:BB388,"&lt;&gt;0")=1,INDEX($V$4:$AW$4,MATCH(TRUE,INDEX($V388:$AW388&lt;&gt;0,),0)),IF(COUNTIF(AZ388:BB388,"&lt;&gt;0")=0,INDEX($AM$4:$AW$4,MATCH(1,$AM388:$AW388,0)),"Multiple strategies"))</f>
        <v>Silviculture for removals</v>
      </c>
      <c r="BG388" s="278" t="s">
        <v>229</v>
      </c>
      <c r="BH388" s="257" t="s">
        <v>230</v>
      </c>
      <c r="BI388" s="279" t="s">
        <v>3071</v>
      </c>
      <c r="BJ388" s="276" t="s">
        <v>231</v>
      </c>
      <c r="BK388" s="257">
        <v>95.114942529999993</v>
      </c>
      <c r="BL388" s="257">
        <v>95.977011489999995</v>
      </c>
      <c r="BM388" s="257">
        <v>1.0090634440506348</v>
      </c>
      <c r="BN388" s="257">
        <v>0.86206896000000199</v>
      </c>
      <c r="BO388" s="276">
        <v>1.7593244081632695</v>
      </c>
      <c r="BP388" s="276" t="s">
        <v>232</v>
      </c>
      <c r="BQ388" s="279" t="s">
        <v>3071</v>
      </c>
      <c r="BR388" s="276" t="s">
        <v>233</v>
      </c>
      <c r="BS388" s="257">
        <v>-7.8979591840000003</v>
      </c>
      <c r="BT388" s="257">
        <v>-8.1428571430000005</v>
      </c>
      <c r="BU388" s="259">
        <v>1.0310077519134466</v>
      </c>
      <c r="BV388" s="257">
        <v>-0.24489795900000022</v>
      </c>
      <c r="BW388" s="257"/>
      <c r="BX388" s="257">
        <v>-2.4489795900000023E-4</v>
      </c>
      <c r="BY388" s="257">
        <v>-1.3920000078647979E-4</v>
      </c>
      <c r="BZ388" s="257">
        <v>0</v>
      </c>
      <c r="CA388" s="257">
        <v>0</v>
      </c>
      <c r="CB388" s="257">
        <v>0</v>
      </c>
      <c r="CC388" s="257">
        <v>0</v>
      </c>
      <c r="CD388" s="257">
        <v>0</v>
      </c>
      <c r="CE388" s="257">
        <v>0</v>
      </c>
      <c r="CF388" s="257">
        <v>0</v>
      </c>
      <c r="CG388" s="257">
        <v>0</v>
      </c>
      <c r="CH388" s="257">
        <v>0</v>
      </c>
      <c r="CI388" s="257">
        <v>0</v>
      </c>
      <c r="CJ388" s="257">
        <v>0</v>
      </c>
      <c r="CK388" s="257">
        <v>0</v>
      </c>
      <c r="CL388" s="257">
        <v>0</v>
      </c>
      <c r="CM388" s="257">
        <v>0</v>
      </c>
      <c r="CN388" s="257" t="s">
        <v>3072</v>
      </c>
      <c r="CO388" s="257">
        <v>95.114942529999993</v>
      </c>
      <c r="CP388" s="257">
        <v>95.977011489999995</v>
      </c>
      <c r="CQ388" s="257">
        <v>1.7593244081632695</v>
      </c>
      <c r="CR388" s="257">
        <v>-7.8979591840000003</v>
      </c>
      <c r="CS388" s="257">
        <v>-8.1428571430000005</v>
      </c>
      <c r="CT388" s="257">
        <v>-2.4489795900000023E-4</v>
      </c>
      <c r="CU388" s="257">
        <v>-1.3920000078647979E-4</v>
      </c>
      <c r="CV388" s="258">
        <v>-3.1007751913446735E-2</v>
      </c>
      <c r="CW388" s="256" t="s">
        <v>234</v>
      </c>
      <c r="CX388" s="257" t="s">
        <v>3073</v>
      </c>
      <c r="CY388" s="257" t="s">
        <v>235</v>
      </c>
      <c r="CZ388" s="257"/>
      <c r="DA388" s="276"/>
      <c r="DB388" s="276">
        <v>80</v>
      </c>
      <c r="DC388" s="257" t="s">
        <v>3074</v>
      </c>
      <c r="DD388" s="257">
        <v>0</v>
      </c>
      <c r="DE388" s="257">
        <v>1</v>
      </c>
      <c r="DF388" s="257">
        <v>0</v>
      </c>
      <c r="DG388" s="257">
        <v>0</v>
      </c>
      <c r="DH388" s="257"/>
      <c r="DI388" s="257">
        <v>1</v>
      </c>
      <c r="DJ388" s="257" t="s">
        <v>173</v>
      </c>
      <c r="DK388" s="257">
        <v>0</v>
      </c>
      <c r="DL388" s="257" t="s">
        <v>180</v>
      </c>
      <c r="DM388" s="257">
        <v>0</v>
      </c>
      <c r="DN388" s="257">
        <v>0</v>
      </c>
      <c r="DO388" s="257">
        <v>0</v>
      </c>
      <c r="DP388" s="276">
        <v>0</v>
      </c>
      <c r="DQ388" s="276">
        <v>0</v>
      </c>
      <c r="DR388" s="276">
        <v>0</v>
      </c>
      <c r="DS388" s="276">
        <v>0</v>
      </c>
      <c r="DT388" s="257">
        <v>0</v>
      </c>
      <c r="DU388" s="276" t="s">
        <v>962</v>
      </c>
      <c r="DV388" s="276">
        <v>1</v>
      </c>
      <c r="DW388" s="276">
        <v>1</v>
      </c>
      <c r="DX388" s="276">
        <v>1</v>
      </c>
      <c r="DY388" s="276">
        <v>0</v>
      </c>
      <c r="DZ388" s="257">
        <v>0</v>
      </c>
      <c r="EA388" s="276">
        <v>0</v>
      </c>
      <c r="EB388" s="276">
        <v>1</v>
      </c>
      <c r="EC388" s="276">
        <v>1</v>
      </c>
      <c r="ED388" s="276">
        <v>0</v>
      </c>
      <c r="EE388" s="276">
        <v>0</v>
      </c>
      <c r="EF388" s="257">
        <v>1</v>
      </c>
      <c r="EG388" s="276">
        <v>0</v>
      </c>
      <c r="EH388" s="257">
        <v>0</v>
      </c>
      <c r="EI388" s="258">
        <v>0</v>
      </c>
      <c r="EJ388" s="256"/>
      <c r="EK388" t="str">
        <f>IF(AND(AND(AND(OR($DX388=1,$DW388=1),OR($EC388=1,$EA388=1)),SUM($DV388:$DZ388,$EF388)&gt;=4),SUM($EA388:$EE388)&gt;=2),"Whole sector","")</f>
        <v>Whole sector</v>
      </c>
      <c r="EL388" t="str">
        <f>IF(AND(AND(OR($DX388=1,$DW388=1),AND($EC388=0,$EA388=0)),SUM($DV388:$DZ388,$EF388)&gt;=4),"Ecosystem approach","")</f>
        <v/>
      </c>
      <c r="EM388" s="258" t="s">
        <v>544</v>
      </c>
      <c r="EN388" s="257" t="s">
        <v>236</v>
      </c>
      <c r="EO388" s="257"/>
      <c r="EP388" t="str">
        <f>IF(ISNUMBER(BU388),IF(ABS(BU388-[2]QC_indicators!$B$2)&gt;3*[2]QC_indicators!$C$2,"C ratio",IF(ISNUMBER(BY388),IF(ABS(BY388-[2]QC_indicators!$B$1)&gt;3*[2]QC_indicators!$C$1,"DF","no"))),IF(ISNUMBER(BY388),IF(ABS(BY388-[2]QC_indicators!$B$1)&gt;3*[2]QC_indicators!$C$1,"DF","no")))</f>
        <v>no</v>
      </c>
      <c r="EQ388" s="257"/>
      <c r="ER388" s="257"/>
      <c r="ES388" s="257"/>
      <c r="ET388" s="281"/>
      <c r="EU388"/>
    </row>
    <row r="389" spans="1:151" s="139" customFormat="1" ht="15" customHeight="1">
      <c r="A389" s="256" t="s">
        <v>214</v>
      </c>
      <c r="B389" s="257" t="s">
        <v>215</v>
      </c>
      <c r="C389" s="257" t="s">
        <v>216</v>
      </c>
      <c r="D389" s="257" t="s">
        <v>217</v>
      </c>
      <c r="E389" s="257" t="s">
        <v>218</v>
      </c>
      <c r="F389" s="257" t="s">
        <v>219</v>
      </c>
      <c r="G389" s="257" t="s">
        <v>220</v>
      </c>
      <c r="H389" s="257"/>
      <c r="I389" s="257">
        <v>2012</v>
      </c>
      <c r="J389" s="257"/>
      <c r="K389" s="257" t="s">
        <v>221</v>
      </c>
      <c r="L389" s="257"/>
      <c r="M389" s="257" t="s">
        <v>3070</v>
      </c>
      <c r="N389" s="257" t="s">
        <v>222</v>
      </c>
      <c r="O389" s="275" t="s">
        <v>223</v>
      </c>
      <c r="P389" s="257"/>
      <c r="Q389" s="257" t="s">
        <v>224</v>
      </c>
      <c r="R389" s="258" t="s">
        <v>225</v>
      </c>
      <c r="S389" s="256" t="s">
        <v>240</v>
      </c>
      <c r="T389" s="257">
        <v>2000</v>
      </c>
      <c r="U389" s="257">
        <v>4000</v>
      </c>
      <c r="V389" s="257">
        <v>0</v>
      </c>
      <c r="W389" s="257">
        <v>0</v>
      </c>
      <c r="X389" s="257">
        <v>0</v>
      </c>
      <c r="Y389" s="257">
        <v>0</v>
      </c>
      <c r="Z389" s="257">
        <v>0</v>
      </c>
      <c r="AA389" s="257">
        <v>1</v>
      </c>
      <c r="AB389" s="257">
        <v>0</v>
      </c>
      <c r="AC389" s="257">
        <v>0</v>
      </c>
      <c r="AD389" s="257">
        <v>0</v>
      </c>
      <c r="AE389" s="257">
        <v>0</v>
      </c>
      <c r="AF389" s="257">
        <v>0</v>
      </c>
      <c r="AG389" s="257">
        <v>0</v>
      </c>
      <c r="AH389" s="257">
        <v>0</v>
      </c>
      <c r="AI389" s="257">
        <v>0</v>
      </c>
      <c r="AJ389" s="257">
        <v>0</v>
      </c>
      <c r="AK389" s="257">
        <v>0</v>
      </c>
      <c r="AL389" s="257">
        <v>0</v>
      </c>
      <c r="AM389" s="257">
        <v>0</v>
      </c>
      <c r="AN389" s="257">
        <v>0</v>
      </c>
      <c r="AO389" s="257">
        <v>0</v>
      </c>
      <c r="AP389" s="257">
        <v>0</v>
      </c>
      <c r="AQ389" s="257">
        <v>0</v>
      </c>
      <c r="AR389" s="257">
        <v>0</v>
      </c>
      <c r="AS389" s="257">
        <v>0</v>
      </c>
      <c r="AT389" s="257">
        <v>0</v>
      </c>
      <c r="AU389" s="257">
        <v>0</v>
      </c>
      <c r="AV389" s="257">
        <v>0</v>
      </c>
      <c r="AW389" s="257">
        <v>0</v>
      </c>
      <c r="AX389" s="277">
        <v>1</v>
      </c>
      <c r="AY389" s="277">
        <v>1</v>
      </c>
      <c r="AZ389" s="257">
        <v>1</v>
      </c>
      <c r="BA389" s="257">
        <v>0</v>
      </c>
      <c r="BB389" s="257">
        <v>0</v>
      </c>
      <c r="BC389" s="257">
        <v>0</v>
      </c>
      <c r="BD389" s="257">
        <v>0</v>
      </c>
      <c r="BE389" s="257" t="s">
        <v>93</v>
      </c>
      <c r="BF389" s="2" t="str" cm="1">
        <f t="array" ref="BF389">IF(COUNTIF(AZ389:BB389,"&lt;&gt;0")=1,INDEX($V$4:$AW$4,MATCH(TRUE,INDEX($V389:$AW389&lt;&gt;0,),0)),IF(COUNTIF(AZ389:BB389,"&lt;&gt;0")=0,INDEX($AM$4:$AW$4,MATCH(1,$AM389:$AW389,0)),"Multiple strategies"))</f>
        <v>Silviculture for productivity</v>
      </c>
      <c r="BG389" s="278" t="s">
        <v>229</v>
      </c>
      <c r="BH389" s="257" t="s">
        <v>230</v>
      </c>
      <c r="BI389" s="279" t="s">
        <v>3071</v>
      </c>
      <c r="BJ389" s="276" t="s">
        <v>231</v>
      </c>
      <c r="BK389" s="257">
        <v>54.766085619999998</v>
      </c>
      <c r="BL389" s="257">
        <v>56.739926740000001</v>
      </c>
      <c r="BM389" s="276">
        <v>1.0360413036216556</v>
      </c>
      <c r="BN389" s="257">
        <v>1.973841120000003</v>
      </c>
      <c r="BO389" s="276">
        <v>4.0282471836734759</v>
      </c>
      <c r="BP389" s="276" t="s">
        <v>232</v>
      </c>
      <c r="BQ389" s="279" t="s">
        <v>3071</v>
      </c>
      <c r="BR389" s="276" t="s">
        <v>233</v>
      </c>
      <c r="BS389" s="257">
        <v>-9.0261044179999992</v>
      </c>
      <c r="BT389" s="257">
        <v>-9.5324096189999992</v>
      </c>
      <c r="BU389" s="259">
        <v>1.0560934349474529</v>
      </c>
      <c r="BV389" s="257">
        <v>-0.50630520099999998</v>
      </c>
      <c r="BW389" s="257"/>
      <c r="BX389" s="257">
        <v>-5.0630520100000004E-4</v>
      </c>
      <c r="BY389" s="257">
        <v>-1.256887122150944E-4</v>
      </c>
      <c r="BZ389" s="257">
        <v>0</v>
      </c>
      <c r="CA389" s="257">
        <v>0</v>
      </c>
      <c r="CB389" s="257">
        <v>0</v>
      </c>
      <c r="CC389" s="257">
        <v>0</v>
      </c>
      <c r="CD389" s="257">
        <v>0</v>
      </c>
      <c r="CE389" s="257">
        <v>0</v>
      </c>
      <c r="CF389" s="257">
        <v>0</v>
      </c>
      <c r="CG389" s="257">
        <v>0</v>
      </c>
      <c r="CH389" s="257">
        <v>0</v>
      </c>
      <c r="CI389" s="257">
        <v>0</v>
      </c>
      <c r="CJ389" s="257">
        <v>0</v>
      </c>
      <c r="CK389" s="257">
        <v>0</v>
      </c>
      <c r="CL389" s="257">
        <v>0</v>
      </c>
      <c r="CM389" s="257">
        <v>0</v>
      </c>
      <c r="CN389" s="257" t="s">
        <v>3072</v>
      </c>
      <c r="CO389" s="257">
        <v>54.766085619999998</v>
      </c>
      <c r="CP389" s="257">
        <v>56.739926740000001</v>
      </c>
      <c r="CQ389" s="257">
        <v>4.0282471836734759</v>
      </c>
      <c r="CR389" s="257">
        <v>-9.0261044179999992</v>
      </c>
      <c r="CS389" s="257">
        <v>-9.5324096189999992</v>
      </c>
      <c r="CT389" s="257">
        <v>-5.0630520100000004E-4</v>
      </c>
      <c r="CU389" s="257">
        <v>-1.256887122150944E-4</v>
      </c>
      <c r="CV389" s="258">
        <v>-5.6093434947452878E-2</v>
      </c>
      <c r="CW389" s="256" t="s">
        <v>234</v>
      </c>
      <c r="CX389" s="257" t="s">
        <v>3073</v>
      </c>
      <c r="CY389" s="257" t="s">
        <v>235</v>
      </c>
      <c r="CZ389" s="257"/>
      <c r="DA389" s="276"/>
      <c r="DB389" s="276">
        <v>80</v>
      </c>
      <c r="DC389" s="257" t="s">
        <v>3074</v>
      </c>
      <c r="DD389" s="257">
        <v>0</v>
      </c>
      <c r="DE389" s="257">
        <v>1</v>
      </c>
      <c r="DF389" s="257">
        <v>0</v>
      </c>
      <c r="DG389" s="257">
        <v>0</v>
      </c>
      <c r="DH389" s="257"/>
      <c r="DI389" s="257">
        <v>1</v>
      </c>
      <c r="DJ389" s="257" t="s">
        <v>173</v>
      </c>
      <c r="DK389" s="257">
        <v>0</v>
      </c>
      <c r="DL389" s="257" t="s">
        <v>180</v>
      </c>
      <c r="DM389" s="257">
        <v>0</v>
      </c>
      <c r="DN389" s="257">
        <v>0</v>
      </c>
      <c r="DO389" s="257">
        <v>0</v>
      </c>
      <c r="DP389" s="276">
        <v>0</v>
      </c>
      <c r="DQ389" s="276">
        <v>0</v>
      </c>
      <c r="DR389" s="276">
        <v>0</v>
      </c>
      <c r="DS389" s="276">
        <v>0</v>
      </c>
      <c r="DT389" s="257">
        <v>0</v>
      </c>
      <c r="DU389" s="276" t="s">
        <v>962</v>
      </c>
      <c r="DV389" s="276">
        <v>1</v>
      </c>
      <c r="DW389" s="276">
        <v>1</v>
      </c>
      <c r="DX389" s="276">
        <v>1</v>
      </c>
      <c r="DY389" s="276">
        <v>0</v>
      </c>
      <c r="DZ389" s="257">
        <v>0</v>
      </c>
      <c r="EA389" s="276">
        <v>0</v>
      </c>
      <c r="EB389" s="276">
        <v>1</v>
      </c>
      <c r="EC389" s="276">
        <v>1</v>
      </c>
      <c r="ED389" s="276">
        <v>0</v>
      </c>
      <c r="EE389" s="276">
        <v>0</v>
      </c>
      <c r="EF389" s="257">
        <v>1</v>
      </c>
      <c r="EG389" s="276">
        <v>0</v>
      </c>
      <c r="EH389" s="257">
        <v>0</v>
      </c>
      <c r="EI389" s="258">
        <v>0</v>
      </c>
      <c r="EJ389" s="256"/>
      <c r="EK389" t="str">
        <f>IF(AND(AND(AND(OR($DX389=1,$DW389=1),OR($EC389=1,$EA389=1)),SUM($DV389:$DZ389,$EF389)&gt;=4),SUM($EA389:$EE389)&gt;=2),"Whole sector","")</f>
        <v>Whole sector</v>
      </c>
      <c r="EL389" t="str">
        <f>IF(AND(AND(OR($DX389=1,$DW389=1),AND($EC389=0,$EA389=0)),SUM($DV389:$DZ389,$EF389)&gt;=4),"Ecosystem approach","")</f>
        <v/>
      </c>
      <c r="EM389" s="258" t="s">
        <v>544</v>
      </c>
      <c r="EN389" s="257" t="s">
        <v>236</v>
      </c>
      <c r="EO389" s="257"/>
      <c r="EP389" t="str">
        <f>IF(ISNUMBER(BU389),IF(ABS(BU389-[2]QC_indicators!$B$2)&gt;3*[2]QC_indicators!$C$2,"C ratio",IF(ISNUMBER(BY389),IF(ABS(BY389-[2]QC_indicators!$B$1)&gt;3*[2]QC_indicators!$C$1,"DF","no"))),IF(ISNUMBER(BY389),IF(ABS(BY389-[2]QC_indicators!$B$1)&gt;3*[2]QC_indicators!$C$1,"DF","no")))</f>
        <v>no</v>
      </c>
      <c r="EQ389" s="280"/>
      <c r="ER389" s="280"/>
      <c r="ES389" s="280"/>
      <c r="ET389"/>
      <c r="EU389"/>
    </row>
    <row r="390" spans="1:151" s="139" customFormat="1" ht="15" customHeight="1">
      <c r="A390" s="1" t="s">
        <v>587</v>
      </c>
      <c r="B390" t="s">
        <v>1448</v>
      </c>
      <c r="C390" t="s">
        <v>1449</v>
      </c>
      <c r="D390" t="s">
        <v>1450</v>
      </c>
      <c r="E390" t="s">
        <v>1451</v>
      </c>
      <c r="F390" t="s">
        <v>1452</v>
      </c>
      <c r="G390" t="s">
        <v>593</v>
      </c>
      <c r="H390" t="s">
        <v>254</v>
      </c>
      <c r="I390">
        <v>2020</v>
      </c>
      <c r="J390">
        <v>12</v>
      </c>
      <c r="K390" t="s">
        <v>1453</v>
      </c>
      <c r="L390"/>
      <c r="M390" t="str">
        <f>LEFT($D390,FIND(",",$D390)-1)&amp;"_"&amp;I390&amp;L390</f>
        <v>Elisa_2020</v>
      </c>
      <c r="N390" s="264" t="s">
        <v>222</v>
      </c>
      <c r="O390" s="171" t="s">
        <v>274</v>
      </c>
      <c r="P390" t="s">
        <v>223</v>
      </c>
      <c r="Q390" s="264" t="s">
        <v>389</v>
      </c>
      <c r="R390" s="269" t="s">
        <v>1154</v>
      </c>
      <c r="S390" s="154" t="s">
        <v>1454</v>
      </c>
      <c r="T390" s="294" t="s">
        <v>1455</v>
      </c>
      <c r="U390" s="143" t="s">
        <v>1043</v>
      </c>
      <c r="V390">
        <v>0</v>
      </c>
      <c r="W390">
        <v>0</v>
      </c>
      <c r="X390">
        <v>0</v>
      </c>
      <c r="Y390">
        <v>0</v>
      </c>
      <c r="Z390">
        <v>0</v>
      </c>
      <c r="AA390">
        <v>0</v>
      </c>
      <c r="AB390">
        <v>0</v>
      </c>
      <c r="AC390">
        <v>0</v>
      </c>
      <c r="AD390">
        <v>0</v>
      </c>
      <c r="AE390">
        <v>1</v>
      </c>
      <c r="AF390">
        <v>0</v>
      </c>
      <c r="AG390">
        <v>0</v>
      </c>
      <c r="AH390">
        <v>0</v>
      </c>
      <c r="AI390">
        <v>0</v>
      </c>
      <c r="AJ390">
        <v>0</v>
      </c>
      <c r="AK390">
        <v>1</v>
      </c>
      <c r="AL390">
        <v>0</v>
      </c>
      <c r="AM390">
        <v>0</v>
      </c>
      <c r="AN390">
        <v>0</v>
      </c>
      <c r="AO390">
        <v>0</v>
      </c>
      <c r="AP390">
        <v>0</v>
      </c>
      <c r="AQ390">
        <v>0</v>
      </c>
      <c r="AR390">
        <v>0</v>
      </c>
      <c r="AS390">
        <v>0</v>
      </c>
      <c r="AT390">
        <v>0</v>
      </c>
      <c r="AU390">
        <v>0</v>
      </c>
      <c r="AV390">
        <v>0</v>
      </c>
      <c r="AW390">
        <v>0</v>
      </c>
      <c r="AX390" s="141">
        <f>COUNTIF(V390:AW390,"&lt;&gt;0")</f>
        <v>2</v>
      </c>
      <c r="AY390" s="141">
        <f>COUNTIF(V390:AL390,"&lt;&gt;0")</f>
        <v>2</v>
      </c>
      <c r="AZ390">
        <f>COUNTIF(V390:AC390,"&lt;&gt;0")</f>
        <v>0</v>
      </c>
      <c r="BA390">
        <f>COUNTIF(AD390:AI390,"&lt;&gt;0")</f>
        <v>1</v>
      </c>
      <c r="BB390">
        <f>COUNTIF(AJ390:AL390,"&lt;&gt;0")</f>
        <v>1</v>
      </c>
      <c r="BC390">
        <f>COUNTIF(AS390:AW390,"&lt;&gt;0")</f>
        <v>0</v>
      </c>
      <c r="BD390">
        <f>COUNTIF(AM390:AR390,"&lt;&gt;0")</f>
        <v>0</v>
      </c>
      <c r="BE390" t="str" cm="1">
        <f t="array" ref="BE390">IF(AY390=1,INDEX($V$7:$AL$7,MATCH(TRUE,INDEX($V390:$AW390&lt;&gt;0,),0)),IF(AY390=0,INDEX($AM$7:$AW$7,MATCH(1,$AM390:$AW390,0)),IF(BF390="Multiple strategies","mixed drivers",IF(BF390="Supply chain","multiple supply","multiple silviculture"))))</f>
        <v>mixed drivers</v>
      </c>
      <c r="BF390" s="2" t="str" cm="1">
        <f t="array" ref="BF390">IF(COUNTIF(AZ390:BB390,"&lt;&gt;0")=1,INDEX($V$4:$AW$4,MATCH(TRUE,INDEX($V390:$AW390&lt;&gt;0,),0)),IF(COUNTIF(AZ390:BB390,"&lt;&gt;0")=0,INDEX($AM$4:$AW$4,MATCH(1,$AM390:$AW390,0)),"Multiple strategies"))</f>
        <v>Multiple strategies</v>
      </c>
      <c r="BG390" s="142" t="s">
        <v>321</v>
      </c>
      <c r="BH390" s="160" t="s">
        <v>1457</v>
      </c>
      <c r="BI390" s="160" t="s">
        <v>1458</v>
      </c>
      <c r="BJ390" s="143" t="s">
        <v>498</v>
      </c>
      <c r="BK390" s="143">
        <v>944</v>
      </c>
      <c r="BL390" s="143">
        <v>13245</v>
      </c>
      <c r="BM390">
        <f>IFERROR(BL391/BK390,"")</f>
        <v>4.7669491525423728</v>
      </c>
      <c r="BN390">
        <f>BL390-BK390</f>
        <v>12301</v>
      </c>
      <c r="BO390" s="159">
        <f>BN390</f>
        <v>12301</v>
      </c>
      <c r="BP390" s="155" t="s">
        <v>232</v>
      </c>
      <c r="BQ390" s="155" t="s">
        <v>1459</v>
      </c>
      <c r="BR390" s="155" t="s">
        <v>825</v>
      </c>
      <c r="BS390" s="143" t="s">
        <v>1477</v>
      </c>
      <c r="BT390" t="s">
        <v>1515</v>
      </c>
      <c r="BU390" s="144">
        <f>BT390/BS390</f>
        <v>14.383189889121471</v>
      </c>
      <c r="BV390">
        <f>BT390-BS390</f>
        <v>-1.4383583333333301</v>
      </c>
      <c r="BW390"/>
      <c r="BX390">
        <f>BV390</f>
        <v>-1.4383583333333301</v>
      </c>
      <c r="BY390">
        <f>IFERROR(BX390/BO390,"")</f>
        <v>-1.1693019537706935E-4</v>
      </c>
      <c r="BZ390">
        <v>0</v>
      </c>
      <c r="CA390">
        <v>0</v>
      </c>
      <c r="CB390">
        <v>0</v>
      </c>
      <c r="CC390">
        <v>0</v>
      </c>
      <c r="CD390">
        <v>0</v>
      </c>
      <c r="CE390">
        <v>0</v>
      </c>
      <c r="CF390">
        <v>0</v>
      </c>
      <c r="CG390">
        <v>0</v>
      </c>
      <c r="CH390">
        <v>0</v>
      </c>
      <c r="CI390">
        <v>0</v>
      </c>
      <c r="CJ390">
        <v>0</v>
      </c>
      <c r="CK390">
        <v>0</v>
      </c>
      <c r="CL390">
        <v>0</v>
      </c>
      <c r="CM390">
        <v>0</v>
      </c>
      <c r="CN390" t="str">
        <f>IF($BL390&lt;$BK390,"refNeedCorrection","refOK")</f>
        <v>refOK</v>
      </c>
      <c r="CO390">
        <f>IF($CN390="refOK",$BK390,$BL390)</f>
        <v>944</v>
      </c>
      <c r="CP390">
        <f>IF($CN390="refOK",$BL390,$BK390)</f>
        <v>13245</v>
      </c>
      <c r="CQ390">
        <f>IF($CN390="refOK",$BO390,-$BO390)</f>
        <v>12301</v>
      </c>
      <c r="CR390">
        <f>IF($CN390="refOK",$BS390,$BT390)*IF($BP390="Emissions positive",-1,1)</f>
        <v>-0.107475</v>
      </c>
      <c r="CS390">
        <f>IF($CN390="refOK",$BT390,$BS390)*IF($BP390="Emissions positive",-1,1)</f>
        <v>-1.5458333333333301</v>
      </c>
      <c r="CT390">
        <f>IF($CN390="refNeedCorrection",-BX390,BX390)*IF($BP390="Emissions positive",-1,1)</f>
        <v>-1.4383583333333301</v>
      </c>
      <c r="CU390">
        <f>IFERROR(CT390/CQ390,"")</f>
        <v>-1.1693019537706935E-4</v>
      </c>
      <c r="CV390" s="2">
        <f>IFERROR((CS390-CR390)/ABS(CR390),"")</f>
        <v>-13.383189889121471</v>
      </c>
      <c r="CW390" s="263" t="s">
        <v>1462</v>
      </c>
      <c r="CX390" s="264" t="str">
        <f>IF(OR($CW390="prd",$CW390="std",$CW390="cit"),"loc",IF(OR($CW390="eur",$CW390="reg",$CW390="coy"),"reg",$CW390))</f>
        <v>reg</v>
      </c>
      <c r="CY390" s="270" t="s">
        <v>743</v>
      </c>
      <c r="CZ390"/>
      <c r="DA390" s="143"/>
      <c r="DB390" s="143">
        <v>0</v>
      </c>
      <c r="DC390" t="str">
        <f>IF(DB390=0,"0",IF(AND(DB390&gt;=1,DB390&lt;=30),"1-30",IF(AND(DB390&gt;30,DB390&lt;=70),"31-70",IF(AND(DB390&gt;70,DB390&lt;=100),"71-100",IF(DB390&gt;100,"+100")))))</f>
        <v>0</v>
      </c>
      <c r="DD390">
        <v>0</v>
      </c>
      <c r="DE390">
        <v>1</v>
      </c>
      <c r="DF390">
        <v>0</v>
      </c>
      <c r="DG390">
        <v>0</v>
      </c>
      <c r="DH390">
        <v>0</v>
      </c>
      <c r="DI390">
        <f>SUM(DD390:DH390)</f>
        <v>1</v>
      </c>
      <c r="DJ390" t="str">
        <f>IF(DI390=1,INDEX($DD$7:$DG$7,MATCH(1,$DD390:$DG390,0)),"mixedProduct")</f>
        <v>EnergyInput</v>
      </c>
      <c r="DK390">
        <f>IF(DD390=1,DK$7,0)</f>
        <v>0</v>
      </c>
      <c r="DL390" t="str">
        <f>IF(DE390=1,DL$7,0)</f>
        <v>Energy</v>
      </c>
      <c r="DM390">
        <f>IF(DF390=1,DM$7,0)</f>
        <v>0</v>
      </c>
      <c r="DN390">
        <f>IF(DG390=1,DN$7,0)</f>
        <v>0</v>
      </c>
      <c r="DO390">
        <v>0</v>
      </c>
      <c r="DP390" s="143">
        <v>0</v>
      </c>
      <c r="DQ390" s="143">
        <v>0</v>
      </c>
      <c r="DR390">
        <v>0</v>
      </c>
      <c r="DS390" s="143">
        <v>0</v>
      </c>
      <c r="DT390">
        <f>SUM(DO390:DP390)</f>
        <v>0</v>
      </c>
      <c r="DU390" s="143" t="str">
        <f>IF(DO390=1,"self-calculated DF",IF(DP390=1,"external DF used","explicit C balance"))</f>
        <v>explicit C balance</v>
      </c>
      <c r="DV390" s="143">
        <v>0</v>
      </c>
      <c r="DW390" s="143">
        <v>0</v>
      </c>
      <c r="DX390" s="143">
        <v>0</v>
      </c>
      <c r="DY390" s="143">
        <v>0</v>
      </c>
      <c r="DZ390">
        <v>0</v>
      </c>
      <c r="EA390" s="143">
        <v>0</v>
      </c>
      <c r="EB390" s="143">
        <v>1</v>
      </c>
      <c r="EC390" s="143">
        <v>0</v>
      </c>
      <c r="ED390" s="143">
        <v>0</v>
      </c>
      <c r="EE390">
        <v>0</v>
      </c>
      <c r="EF390">
        <v>0</v>
      </c>
      <c r="EG390" s="143">
        <v>0</v>
      </c>
      <c r="EH390" s="143">
        <v>0</v>
      </c>
      <c r="EI390" s="2">
        <v>0</v>
      </c>
      <c r="EJ390" s="1"/>
      <c r="EK390" t="str">
        <f>IF(AND(AND(AND(OR($DX390=1,$DW390=1),OR($EC390=1,$EA390=1)),SUM($DV390:$DZ390,$EF390)&gt;=4),SUM($EA390:$EE390)&gt;=2),"Whole sector","")</f>
        <v/>
      </c>
      <c r="EL390" t="str">
        <f>IF(AND(AND(OR($DX390=1,$DW390=1),AND($EC390=0,$EA390=0)),SUM($DV390:$DZ390,$EF390)&gt;=4),"Ecosystem approach","")</f>
        <v/>
      </c>
      <c r="EM390" s="2" t="str">
        <f>IF(AND(AND(AND($DX390=0,$DW390=0),OR($EC390=1,$EA390=1)),SUM($EB390:$EE390)&gt;=2),"Technology approach","")</f>
        <v/>
      </c>
      <c r="EN390"/>
      <c r="EO390"/>
      <c r="EP390" t="str">
        <f>IF(ISNUMBER(BU390),IF(ABS(BU390-[3]QC_indicators!$B$2)&gt;3*[3]QC_indicators!$C$2,"C ratio",IF(ISNUMBER(BY390),IF(ABS(BY390-[3]QC_indicators!$B$1)&gt;3*[3]QC_indicators!$C$1,"DF","no"))),IF(ISNUMBER(BY390),IF(ABS(BY390-[3]QC_indicators!$B$1)&gt;3*[3]QC_indicators!$C$1,"DF","no")))</f>
        <v>no</v>
      </c>
      <c r="EQ390"/>
      <c r="ER390" s="149"/>
      <c r="ES390"/>
      <c r="ET390" s="264" t="s">
        <v>3407</v>
      </c>
      <c r="EU390"/>
    </row>
    <row r="391" spans="1:151" s="139" customFormat="1" ht="15" customHeight="1">
      <c r="A391" s="1" t="s">
        <v>587</v>
      </c>
      <c r="B391" t="s">
        <v>1448</v>
      </c>
      <c r="C391" t="s">
        <v>1449</v>
      </c>
      <c r="D391" t="s">
        <v>1450</v>
      </c>
      <c r="E391" t="s">
        <v>1451</v>
      </c>
      <c r="F391" t="s">
        <v>1452</v>
      </c>
      <c r="G391" t="s">
        <v>593</v>
      </c>
      <c r="H391" t="s">
        <v>254</v>
      </c>
      <c r="I391">
        <v>2020</v>
      </c>
      <c r="J391">
        <v>12</v>
      </c>
      <c r="K391" t="s">
        <v>1453</v>
      </c>
      <c r="L391"/>
      <c r="M391" t="str">
        <f>LEFT($D391,FIND(",",$D391)-1)&amp;"_"&amp;I391&amp;L391</f>
        <v>Elisa_2020</v>
      </c>
      <c r="N391" s="264" t="s">
        <v>222</v>
      </c>
      <c r="O391" s="171" t="s">
        <v>274</v>
      </c>
      <c r="P391" t="s">
        <v>223</v>
      </c>
      <c r="Q391" s="264" t="s">
        <v>389</v>
      </c>
      <c r="R391" s="269" t="s">
        <v>1154</v>
      </c>
      <c r="S391" s="154" t="s">
        <v>1454</v>
      </c>
      <c r="T391" s="294" t="s">
        <v>1455</v>
      </c>
      <c r="U391" s="143" t="s">
        <v>1490</v>
      </c>
      <c r="V391">
        <v>0</v>
      </c>
      <c r="W391">
        <v>0</v>
      </c>
      <c r="X391">
        <v>0</v>
      </c>
      <c r="Y391">
        <v>0</v>
      </c>
      <c r="Z391">
        <v>0</v>
      </c>
      <c r="AA391">
        <v>0</v>
      </c>
      <c r="AB391">
        <v>0</v>
      </c>
      <c r="AC391">
        <v>0</v>
      </c>
      <c r="AD391">
        <v>0</v>
      </c>
      <c r="AE391">
        <v>1</v>
      </c>
      <c r="AF391">
        <v>0</v>
      </c>
      <c r="AG391">
        <v>0</v>
      </c>
      <c r="AH391">
        <v>0</v>
      </c>
      <c r="AI391">
        <v>0</v>
      </c>
      <c r="AJ391">
        <v>0</v>
      </c>
      <c r="AK391">
        <v>1</v>
      </c>
      <c r="AL391">
        <v>0</v>
      </c>
      <c r="AM391">
        <v>0</v>
      </c>
      <c r="AN391">
        <v>0</v>
      </c>
      <c r="AO391">
        <v>0</v>
      </c>
      <c r="AP391">
        <v>0</v>
      </c>
      <c r="AQ391">
        <v>0</v>
      </c>
      <c r="AR391">
        <v>0</v>
      </c>
      <c r="AS391">
        <v>0</v>
      </c>
      <c r="AT391">
        <v>0</v>
      </c>
      <c r="AU391">
        <v>0</v>
      </c>
      <c r="AV391">
        <v>0</v>
      </c>
      <c r="AW391">
        <v>0</v>
      </c>
      <c r="AX391" s="141">
        <f>COUNTIF(V391:AW391,"&lt;&gt;0")</f>
        <v>2</v>
      </c>
      <c r="AY391" s="141">
        <f>COUNTIF(V391:AL391,"&lt;&gt;0")</f>
        <v>2</v>
      </c>
      <c r="AZ391">
        <f>COUNTIF(V391:AC391,"&lt;&gt;0")</f>
        <v>0</v>
      </c>
      <c r="BA391">
        <f>COUNTIF(AD391:AI391,"&lt;&gt;0")</f>
        <v>1</v>
      </c>
      <c r="BB391">
        <f>COUNTIF(AJ391:AL391,"&lt;&gt;0")</f>
        <v>1</v>
      </c>
      <c r="BC391">
        <f>COUNTIF(AS391:AW391,"&lt;&gt;0")</f>
        <v>0</v>
      </c>
      <c r="BD391">
        <f>COUNTIF(AM391:AR391,"&lt;&gt;0")</f>
        <v>0</v>
      </c>
      <c r="BE391" t="str" cm="1">
        <f t="array" ref="BE391">IF(AY391=1,INDEX($V$7:$AL$7,MATCH(TRUE,INDEX($V391:$AW391&lt;&gt;0,),0)),IF(AY391=0,INDEX($AM$7:$AW$7,MATCH(1,$AM391:$AW391,0)),IF(BF391="Multiple strategies","mixed drivers",IF(BF391="Supply chain","multiple supply","multiple silviculture"))))</f>
        <v>mixed drivers</v>
      </c>
      <c r="BF391" s="2" t="str" cm="1">
        <f t="array" ref="BF391">IF(COUNTIF(AZ391:BB391,"&lt;&gt;0")=1,INDEX($V$4:$AW$4,MATCH(TRUE,INDEX($V391:$AW391&lt;&gt;0,),0)),IF(COUNTIF(AZ391:BB391,"&lt;&gt;0")=0,INDEX($AM$4:$AW$4,MATCH(1,$AM391:$AW391,0)),"Multiple strategies"))</f>
        <v>Multiple strategies</v>
      </c>
      <c r="BG391" s="142" t="s">
        <v>321</v>
      </c>
      <c r="BH391" s="160" t="s">
        <v>1457</v>
      </c>
      <c r="BI391" s="160" t="s">
        <v>1458</v>
      </c>
      <c r="BJ391" s="143" t="s">
        <v>498</v>
      </c>
      <c r="BK391" s="143">
        <v>944</v>
      </c>
      <c r="BL391" s="143">
        <v>4500</v>
      </c>
      <c r="BM391">
        <f>IFERROR(BL392/BK391,"")</f>
        <v>13.771186440677965</v>
      </c>
      <c r="BN391">
        <f>BL391-BK391</f>
        <v>3556</v>
      </c>
      <c r="BO391" s="159">
        <f>BN391</f>
        <v>3556</v>
      </c>
      <c r="BP391" s="155" t="s">
        <v>232</v>
      </c>
      <c r="BQ391" s="155" t="s">
        <v>1459</v>
      </c>
      <c r="BR391" s="155" t="s">
        <v>825</v>
      </c>
      <c r="BS391" s="143" t="s">
        <v>1477</v>
      </c>
      <c r="BT391" t="s">
        <v>1516</v>
      </c>
      <c r="BU391" s="144">
        <f>BT391/BS391</f>
        <v>4.8588819105218244</v>
      </c>
      <c r="BV391">
        <f>BT391-BS391</f>
        <v>-0.41473333333333307</v>
      </c>
      <c r="BW391"/>
      <c r="BX391">
        <f>BV391</f>
        <v>-0.41473333333333307</v>
      </c>
      <c r="BY391">
        <f>IFERROR(BX391/BO391,"")</f>
        <v>-1.1662917135358072E-4</v>
      </c>
      <c r="BZ391">
        <v>0</v>
      </c>
      <c r="CA391">
        <v>0</v>
      </c>
      <c r="CB391">
        <v>0</v>
      </c>
      <c r="CC391">
        <v>0</v>
      </c>
      <c r="CD391">
        <v>0</v>
      </c>
      <c r="CE391">
        <v>0</v>
      </c>
      <c r="CF391">
        <v>0</v>
      </c>
      <c r="CG391">
        <v>0</v>
      </c>
      <c r="CH391">
        <v>0</v>
      </c>
      <c r="CI391">
        <v>0</v>
      </c>
      <c r="CJ391">
        <v>0</v>
      </c>
      <c r="CK391">
        <v>0</v>
      </c>
      <c r="CL391">
        <v>0</v>
      </c>
      <c r="CM391">
        <v>0</v>
      </c>
      <c r="CN391" t="str">
        <f>IF($BL391&lt;$BK391,"refNeedCorrection","refOK")</f>
        <v>refOK</v>
      </c>
      <c r="CO391">
        <f>IF($CN391="refOK",$BK391,$BL391)</f>
        <v>944</v>
      </c>
      <c r="CP391">
        <f>IF($CN391="refOK",$BL391,$BK391)</f>
        <v>4500</v>
      </c>
      <c r="CQ391">
        <f>IF($CN391="refOK",$BO391,-$BO391)</f>
        <v>3556</v>
      </c>
      <c r="CR391">
        <f>IF($CN391="refOK",$BS391,$BT391)*IF($BP391="Emissions positive",-1,1)</f>
        <v>-0.107475</v>
      </c>
      <c r="CS391">
        <f>IF($CN391="refOK",$BT391,$BS391)*IF($BP391="Emissions positive",-1,1)</f>
        <v>-0.52220833333333305</v>
      </c>
      <c r="CT391">
        <f>IF($CN391="refNeedCorrection",-BX391,BX391)*IF($BP391="Emissions positive",-1,1)</f>
        <v>-0.41473333333333307</v>
      </c>
      <c r="CU391">
        <f>IFERROR(CT391/CQ391,"")</f>
        <v>-1.1662917135358072E-4</v>
      </c>
      <c r="CV391" s="2">
        <f>IFERROR((CS391-CR391)/ABS(CR391),"")</f>
        <v>-3.8588819105218244</v>
      </c>
      <c r="CW391" s="263" t="s">
        <v>1462</v>
      </c>
      <c r="CX391" s="264" t="str">
        <f>IF(OR($CW391="prd",$CW391="std",$CW391="cit"),"loc",IF(OR($CW391="eur",$CW391="reg",$CW391="coy"),"reg",$CW391))</f>
        <v>reg</v>
      </c>
      <c r="CY391" s="270" t="s">
        <v>743</v>
      </c>
      <c r="CZ391"/>
      <c r="DA391" s="143"/>
      <c r="DB391" s="143">
        <v>0</v>
      </c>
      <c r="DC391" t="str">
        <f>IF(DB391=0,"0",IF(AND(DB391&gt;=1,DB391&lt;=30),"1-30",IF(AND(DB391&gt;30,DB391&lt;=70),"31-70",IF(AND(DB391&gt;70,DB391&lt;=100),"71-100",IF(DB391&gt;100,"+100")))))</f>
        <v>0</v>
      </c>
      <c r="DD391">
        <v>0</v>
      </c>
      <c r="DE391">
        <v>1</v>
      </c>
      <c r="DF391">
        <v>0</v>
      </c>
      <c r="DG391">
        <v>0</v>
      </c>
      <c r="DH391">
        <v>0</v>
      </c>
      <c r="DI391">
        <f>SUM(DD391:DH391)</f>
        <v>1</v>
      </c>
      <c r="DJ391" t="str">
        <f>IF(DI391=1,INDEX($DD$7:$DG$7,MATCH(1,$DD391:$DG391,0)),"mixedProduct")</f>
        <v>EnergyInput</v>
      </c>
      <c r="DK391">
        <f>IF(DD391=1,DK$7,0)</f>
        <v>0</v>
      </c>
      <c r="DL391" t="str">
        <f>IF(DE391=1,DL$7,0)</f>
        <v>Energy</v>
      </c>
      <c r="DM391">
        <f>IF(DF391=1,DM$7,0)</f>
        <v>0</v>
      </c>
      <c r="DN391">
        <f>IF(DG391=1,DN$7,0)</f>
        <v>0</v>
      </c>
      <c r="DO391">
        <v>0</v>
      </c>
      <c r="DP391" s="143">
        <v>0</v>
      </c>
      <c r="DQ391" s="143">
        <v>0</v>
      </c>
      <c r="DR391">
        <v>0</v>
      </c>
      <c r="DS391" s="143">
        <v>0</v>
      </c>
      <c r="DT391">
        <f>SUM(DO391:DP391)</f>
        <v>0</v>
      </c>
      <c r="DU391" s="143" t="str">
        <f>IF(DO391=1,"self-calculated DF",IF(DP391=1,"external DF used","explicit C balance"))</f>
        <v>explicit C balance</v>
      </c>
      <c r="DV391" s="143">
        <v>0</v>
      </c>
      <c r="DW391" s="143">
        <v>0</v>
      </c>
      <c r="DX391" s="143">
        <v>0</v>
      </c>
      <c r="DY391" s="143">
        <v>0</v>
      </c>
      <c r="DZ391">
        <v>0</v>
      </c>
      <c r="EA391" s="143">
        <v>0</v>
      </c>
      <c r="EB391" s="143">
        <v>1</v>
      </c>
      <c r="EC391" s="143">
        <v>0</v>
      </c>
      <c r="ED391" s="143">
        <v>0</v>
      </c>
      <c r="EE391">
        <v>0</v>
      </c>
      <c r="EF391">
        <v>0</v>
      </c>
      <c r="EG391" s="143">
        <v>0</v>
      </c>
      <c r="EH391" s="143">
        <v>0</v>
      </c>
      <c r="EI391" s="2">
        <v>0</v>
      </c>
      <c r="EJ391" s="1"/>
      <c r="EK391" t="str">
        <f>IF(AND(AND(AND(OR($DX391=1,$DW391=1),OR($EC391=1,$EA391=1)),SUM($DV391:$DZ391,$EF391)&gt;=4),SUM($EA391:$EE391)&gt;=2),"Whole sector","")</f>
        <v/>
      </c>
      <c r="EL391" t="str">
        <f>IF(AND(AND(OR($DX391=1,$DW391=1),AND($EC391=0,$EA391=0)),SUM($DV391:$DZ391,$EF391)&gt;=4),"Ecosystem approach","")</f>
        <v/>
      </c>
      <c r="EM391" s="2" t="str">
        <f>IF(AND(AND(AND($DX391=0,$DW391=0),OR($EC391=1,$EA391=1)),SUM($EB391:$EE391)&gt;=2),"Technology approach","")</f>
        <v/>
      </c>
      <c r="EN391"/>
      <c r="EO391"/>
      <c r="EP391" t="str">
        <f>IF(ISNUMBER(BU391),IF(ABS(BU391-[3]QC_indicators!$B$2)&gt;3*[3]QC_indicators!$C$2,"C ratio",IF(ISNUMBER(BY391),IF(ABS(BY391-[3]QC_indicators!$B$1)&gt;3*[3]QC_indicators!$C$1,"DF","no"))),IF(ISNUMBER(BY391),IF(ABS(BY391-[3]QC_indicators!$B$1)&gt;3*[3]QC_indicators!$C$1,"DF","no")))</f>
        <v>no</v>
      </c>
      <c r="EQ391"/>
      <c r="ER391" s="149"/>
      <c r="ES391"/>
      <c r="ET391" s="264" t="s">
        <v>3407</v>
      </c>
      <c r="EU391"/>
    </row>
    <row r="392" spans="1:151" s="139" customFormat="1" ht="15" customHeight="1">
      <c r="A392" s="1" t="s">
        <v>587</v>
      </c>
      <c r="B392" t="s">
        <v>1448</v>
      </c>
      <c r="C392" t="s">
        <v>1449</v>
      </c>
      <c r="D392" t="s">
        <v>1450</v>
      </c>
      <c r="E392" t="s">
        <v>1451</v>
      </c>
      <c r="F392" t="s">
        <v>1452</v>
      </c>
      <c r="G392" t="s">
        <v>593</v>
      </c>
      <c r="H392" t="s">
        <v>254</v>
      </c>
      <c r="I392">
        <v>2020</v>
      </c>
      <c r="J392">
        <v>12</v>
      </c>
      <c r="K392" t="s">
        <v>1453</v>
      </c>
      <c r="L392"/>
      <c r="M392" t="str">
        <f>LEFT($D392,FIND(",",$D392)-1)&amp;"_"&amp;I392&amp;L392</f>
        <v>Elisa_2020</v>
      </c>
      <c r="N392" s="264" t="s">
        <v>222</v>
      </c>
      <c r="O392" s="171" t="s">
        <v>274</v>
      </c>
      <c r="P392" t="s">
        <v>223</v>
      </c>
      <c r="Q392" s="264" t="s">
        <v>389</v>
      </c>
      <c r="R392" s="269" t="s">
        <v>1154</v>
      </c>
      <c r="S392" s="154" t="s">
        <v>1454</v>
      </c>
      <c r="T392" s="294" t="s">
        <v>1455</v>
      </c>
      <c r="U392" s="143" t="s">
        <v>1509</v>
      </c>
      <c r="V392">
        <v>0</v>
      </c>
      <c r="W392">
        <v>0</v>
      </c>
      <c r="X392">
        <v>0</v>
      </c>
      <c r="Y392">
        <v>0</v>
      </c>
      <c r="Z392">
        <v>0</v>
      </c>
      <c r="AA392">
        <v>0</v>
      </c>
      <c r="AB392">
        <v>0</v>
      </c>
      <c r="AC392">
        <v>0</v>
      </c>
      <c r="AD392">
        <v>0</v>
      </c>
      <c r="AE392">
        <v>1</v>
      </c>
      <c r="AF392">
        <v>0</v>
      </c>
      <c r="AG392">
        <v>0</v>
      </c>
      <c r="AH392">
        <v>0</v>
      </c>
      <c r="AI392">
        <v>0</v>
      </c>
      <c r="AJ392">
        <v>0</v>
      </c>
      <c r="AK392">
        <v>1</v>
      </c>
      <c r="AL392">
        <v>0</v>
      </c>
      <c r="AM392">
        <v>0</v>
      </c>
      <c r="AN392">
        <v>0</v>
      </c>
      <c r="AO392">
        <v>0</v>
      </c>
      <c r="AP392">
        <v>0</v>
      </c>
      <c r="AQ392">
        <v>0</v>
      </c>
      <c r="AR392">
        <v>0</v>
      </c>
      <c r="AS392">
        <v>0</v>
      </c>
      <c r="AT392">
        <v>0</v>
      </c>
      <c r="AU392">
        <v>0</v>
      </c>
      <c r="AV392">
        <v>0</v>
      </c>
      <c r="AW392">
        <v>0</v>
      </c>
      <c r="AX392" s="141">
        <f>COUNTIF(V392:AW392,"&lt;&gt;0")</f>
        <v>2</v>
      </c>
      <c r="AY392" s="141">
        <f>COUNTIF(V392:AL392,"&lt;&gt;0")</f>
        <v>2</v>
      </c>
      <c r="AZ392">
        <f>COUNTIF(V392:AC392,"&lt;&gt;0")</f>
        <v>0</v>
      </c>
      <c r="BA392">
        <f>COUNTIF(AD392:AI392,"&lt;&gt;0")</f>
        <v>1</v>
      </c>
      <c r="BB392">
        <f>COUNTIF(AJ392:AL392,"&lt;&gt;0")</f>
        <v>1</v>
      </c>
      <c r="BC392">
        <f>COUNTIF(AS392:AW392,"&lt;&gt;0")</f>
        <v>0</v>
      </c>
      <c r="BD392">
        <f>COUNTIF(AM392:AR392,"&lt;&gt;0")</f>
        <v>0</v>
      </c>
      <c r="BE392" t="str" cm="1">
        <f t="array" ref="BE392">IF(AY392=1,INDEX($V$7:$AL$7,MATCH(TRUE,INDEX($V392:$AW392&lt;&gt;0,),0)),IF(AY392=0,INDEX($AM$7:$AW$7,MATCH(1,$AM392:$AW392,0)),IF(BF392="Multiple strategies","mixed drivers",IF(BF392="Supply chain","multiple supply","multiple silviculture"))))</f>
        <v>mixed drivers</v>
      </c>
      <c r="BF392" s="2" t="str" cm="1">
        <f t="array" ref="BF392">IF(COUNTIF(AZ392:BB392,"&lt;&gt;0")=1,INDEX($V$4:$AW$4,MATCH(TRUE,INDEX($V392:$AW392&lt;&gt;0,),0)),IF(COUNTIF(AZ392:BB392,"&lt;&gt;0")=0,INDEX($AM$4:$AW$4,MATCH(1,$AM392:$AW392,0)),"Multiple strategies"))</f>
        <v>Multiple strategies</v>
      </c>
      <c r="BG392" s="142" t="s">
        <v>321</v>
      </c>
      <c r="BH392" s="160" t="s">
        <v>1457</v>
      </c>
      <c r="BI392" s="160" t="s">
        <v>1458</v>
      </c>
      <c r="BJ392" s="143" t="s">
        <v>498</v>
      </c>
      <c r="BK392" s="143">
        <v>944</v>
      </c>
      <c r="BL392" s="143">
        <v>13000</v>
      </c>
      <c r="BM392">
        <f>IFERROR(BL393/BK392,"")</f>
        <v>21.1864406779661</v>
      </c>
      <c r="BN392">
        <f>BL392-BK392</f>
        <v>12056</v>
      </c>
      <c r="BO392" s="159">
        <f>BN392</f>
        <v>12056</v>
      </c>
      <c r="BP392" s="155" t="s">
        <v>232</v>
      </c>
      <c r="BQ392" s="155" t="s">
        <v>1459</v>
      </c>
      <c r="BR392" s="155" t="s">
        <v>825</v>
      </c>
      <c r="BS392" s="143" t="s">
        <v>1477</v>
      </c>
      <c r="BT392" t="s">
        <v>1517</v>
      </c>
      <c r="BU392" s="144">
        <f>BT392/BS392</f>
        <v>14.060117339949848</v>
      </c>
      <c r="BV392">
        <f>BT392-BS392</f>
        <v>-1.40363611111111</v>
      </c>
      <c r="BW392"/>
      <c r="BX392">
        <f>BV392</f>
        <v>-1.40363611111111</v>
      </c>
      <c r="BY392">
        <f>IFERROR(BX392/BO392,"")</f>
        <v>-1.1642635294551343E-4</v>
      </c>
      <c r="BZ392">
        <v>0</v>
      </c>
      <c r="CA392">
        <v>0</v>
      </c>
      <c r="CB392">
        <v>0</v>
      </c>
      <c r="CC392">
        <v>0</v>
      </c>
      <c r="CD392">
        <v>0</v>
      </c>
      <c r="CE392">
        <v>0</v>
      </c>
      <c r="CF392">
        <v>0</v>
      </c>
      <c r="CG392">
        <v>0</v>
      </c>
      <c r="CH392">
        <v>0</v>
      </c>
      <c r="CI392">
        <v>0</v>
      </c>
      <c r="CJ392">
        <v>0</v>
      </c>
      <c r="CK392">
        <v>0</v>
      </c>
      <c r="CL392">
        <v>0</v>
      </c>
      <c r="CM392">
        <v>0</v>
      </c>
      <c r="CN392" t="str">
        <f>IF($BL392&lt;$BK392,"refNeedCorrection","refOK")</f>
        <v>refOK</v>
      </c>
      <c r="CO392">
        <f>IF($CN392="refOK",$BK392,$BL392)</f>
        <v>944</v>
      </c>
      <c r="CP392">
        <f>IF($CN392="refOK",$BL392,$BK392)</f>
        <v>13000</v>
      </c>
      <c r="CQ392">
        <f>IF($CN392="refOK",$BO392,-$BO392)</f>
        <v>12056</v>
      </c>
      <c r="CR392">
        <f>IF($CN392="refOK",$BS392,$BT392)*IF($BP392="Emissions positive",-1,1)</f>
        <v>-0.107475</v>
      </c>
      <c r="CS392">
        <f>IF($CN392="refOK",$BT392,$BS392)*IF($BP392="Emissions positive",-1,1)</f>
        <v>-1.51111111111111</v>
      </c>
      <c r="CT392">
        <f>IF($CN392="refNeedCorrection",-BX392,BX392)*IF($BP392="Emissions positive",-1,1)</f>
        <v>-1.40363611111111</v>
      </c>
      <c r="CU392">
        <f>IFERROR(CT392/CQ392,"")</f>
        <v>-1.1642635294551343E-4</v>
      </c>
      <c r="CV392" s="2">
        <f>IFERROR((CS392-CR392)/ABS(CR392),"")</f>
        <v>-13.060117339949848</v>
      </c>
      <c r="CW392" s="263" t="s">
        <v>1462</v>
      </c>
      <c r="CX392" s="264" t="str">
        <f>IF(OR($CW392="prd",$CW392="std",$CW392="cit"),"loc",IF(OR($CW392="eur",$CW392="reg",$CW392="coy"),"reg",$CW392))</f>
        <v>reg</v>
      </c>
      <c r="CY392" s="270" t="s">
        <v>743</v>
      </c>
      <c r="CZ392"/>
      <c r="DA392" s="143"/>
      <c r="DB392" s="143">
        <v>0</v>
      </c>
      <c r="DC392" t="str">
        <f>IF(DB392=0,"0",IF(AND(DB392&gt;=1,DB392&lt;=30),"1-30",IF(AND(DB392&gt;30,DB392&lt;=70),"31-70",IF(AND(DB392&gt;70,DB392&lt;=100),"71-100",IF(DB392&gt;100,"+100")))))</f>
        <v>0</v>
      </c>
      <c r="DD392">
        <v>0</v>
      </c>
      <c r="DE392">
        <v>1</v>
      </c>
      <c r="DF392">
        <v>0</v>
      </c>
      <c r="DG392">
        <v>0</v>
      </c>
      <c r="DH392">
        <v>0</v>
      </c>
      <c r="DI392">
        <f>SUM(DD392:DH392)</f>
        <v>1</v>
      </c>
      <c r="DJ392" t="str">
        <f>IF(DI392=1,INDEX($DD$7:$DG$7,MATCH(1,$DD392:$DG392,0)),"mixedProduct")</f>
        <v>EnergyInput</v>
      </c>
      <c r="DK392">
        <f>IF(DD392=1,DK$7,0)</f>
        <v>0</v>
      </c>
      <c r="DL392" t="str">
        <f>IF(DE392=1,DL$7,0)</f>
        <v>Energy</v>
      </c>
      <c r="DM392">
        <f>IF(DF392=1,DM$7,0)</f>
        <v>0</v>
      </c>
      <c r="DN392">
        <f>IF(DG392=1,DN$7,0)</f>
        <v>0</v>
      </c>
      <c r="DO392">
        <v>0</v>
      </c>
      <c r="DP392" s="143">
        <v>0</v>
      </c>
      <c r="DQ392" s="143">
        <v>0</v>
      </c>
      <c r="DR392">
        <v>0</v>
      </c>
      <c r="DS392" s="143">
        <v>0</v>
      </c>
      <c r="DT392">
        <f>SUM(DO392:DP392)</f>
        <v>0</v>
      </c>
      <c r="DU392" s="143" t="str">
        <f>IF(DO392=1,"self-calculated DF",IF(DP392=1,"external DF used","explicit C balance"))</f>
        <v>explicit C balance</v>
      </c>
      <c r="DV392" s="143">
        <v>0</v>
      </c>
      <c r="DW392" s="143">
        <v>0</v>
      </c>
      <c r="DX392" s="143">
        <v>0</v>
      </c>
      <c r="DY392" s="143">
        <v>0</v>
      </c>
      <c r="DZ392">
        <v>0</v>
      </c>
      <c r="EA392" s="143">
        <v>0</v>
      </c>
      <c r="EB392" s="143">
        <v>1</v>
      </c>
      <c r="EC392" s="143">
        <v>0</v>
      </c>
      <c r="ED392" s="143">
        <v>0</v>
      </c>
      <c r="EE392">
        <v>0</v>
      </c>
      <c r="EF392">
        <v>0</v>
      </c>
      <c r="EG392" s="143">
        <v>0</v>
      </c>
      <c r="EH392" s="143">
        <v>0</v>
      </c>
      <c r="EI392" s="2">
        <v>0</v>
      </c>
      <c r="EJ392" s="1"/>
      <c r="EK392" t="str">
        <f>IF(AND(AND(AND(OR($DX392=1,$DW392=1),OR($EC392=1,$EA392=1)),SUM($DV392:$DZ392,$EF392)&gt;=4),SUM($EA392:$EE392)&gt;=2),"Whole sector","")</f>
        <v/>
      </c>
      <c r="EL392" t="str">
        <f>IF(AND(AND(OR($DX392=1,$DW392=1),AND($EC392=0,$EA392=0)),SUM($DV392:$DZ392,$EF392)&gt;=4),"Ecosystem approach","")</f>
        <v/>
      </c>
      <c r="EM392" s="2" t="str">
        <f>IF(AND(AND(AND($DX392=0,$DW392=0),OR($EC392=1,$EA392=1)),SUM($EB392:$EE392)&gt;=2),"Technology approach","")</f>
        <v/>
      </c>
      <c r="EN392"/>
      <c r="EO392"/>
      <c r="EP392" t="str">
        <f>IF(ISNUMBER(BU392),IF(ABS(BU392-[3]QC_indicators!$B$2)&gt;3*[3]QC_indicators!$C$2,"C ratio",IF(ISNUMBER(BY392),IF(ABS(BY392-[3]QC_indicators!$B$1)&gt;3*[3]QC_indicators!$C$1,"DF","no"))),IF(ISNUMBER(BY392),IF(ABS(BY392-[3]QC_indicators!$B$1)&gt;3*[3]QC_indicators!$C$1,"DF","no")))</f>
        <v>no</v>
      </c>
      <c r="EQ392"/>
      <c r="ER392" s="149"/>
      <c r="ES392"/>
      <c r="ET392" s="264" t="s">
        <v>3407</v>
      </c>
      <c r="EU392"/>
    </row>
    <row r="393" spans="1:151" s="139" customFormat="1" ht="15" customHeight="1">
      <c r="A393" s="1" t="s">
        <v>587</v>
      </c>
      <c r="B393" t="s">
        <v>1448</v>
      </c>
      <c r="C393" t="s">
        <v>1449</v>
      </c>
      <c r="D393" t="s">
        <v>1450</v>
      </c>
      <c r="E393" t="s">
        <v>1451</v>
      </c>
      <c r="F393" t="s">
        <v>1452</v>
      </c>
      <c r="G393" t="s">
        <v>593</v>
      </c>
      <c r="H393" t="s">
        <v>254</v>
      </c>
      <c r="I393">
        <v>2020</v>
      </c>
      <c r="J393">
        <v>12</v>
      </c>
      <c r="K393" t="s">
        <v>1453</v>
      </c>
      <c r="L393"/>
      <c r="M393" t="str">
        <f>LEFT($D393,FIND(",",$D393)-1)&amp;"_"&amp;I393&amp;L393</f>
        <v>Elisa_2020</v>
      </c>
      <c r="N393" s="264" t="s">
        <v>222</v>
      </c>
      <c r="O393" s="171" t="s">
        <v>274</v>
      </c>
      <c r="P393" t="s">
        <v>223</v>
      </c>
      <c r="Q393" s="264" t="s">
        <v>389</v>
      </c>
      <c r="R393" s="269" t="s">
        <v>1154</v>
      </c>
      <c r="S393" s="154" t="s">
        <v>1454</v>
      </c>
      <c r="T393" s="294" t="s">
        <v>1455</v>
      </c>
      <c r="U393" s="143" t="s">
        <v>1494</v>
      </c>
      <c r="V393">
        <v>0</v>
      </c>
      <c r="W393">
        <v>0</v>
      </c>
      <c r="X393">
        <v>0</v>
      </c>
      <c r="Y393">
        <v>0</v>
      </c>
      <c r="Z393">
        <v>0</v>
      </c>
      <c r="AA393">
        <v>0</v>
      </c>
      <c r="AB393">
        <v>0</v>
      </c>
      <c r="AC393">
        <v>0</v>
      </c>
      <c r="AD393">
        <v>0</v>
      </c>
      <c r="AE393">
        <v>1</v>
      </c>
      <c r="AF393">
        <v>0</v>
      </c>
      <c r="AG393">
        <v>0</v>
      </c>
      <c r="AH393">
        <v>0</v>
      </c>
      <c r="AI393">
        <v>0</v>
      </c>
      <c r="AJ393">
        <v>0</v>
      </c>
      <c r="AK393">
        <v>1</v>
      </c>
      <c r="AL393">
        <v>0</v>
      </c>
      <c r="AM393">
        <v>0</v>
      </c>
      <c r="AN393">
        <v>0</v>
      </c>
      <c r="AO393">
        <v>0</v>
      </c>
      <c r="AP393">
        <v>0</v>
      </c>
      <c r="AQ393">
        <v>0</v>
      </c>
      <c r="AR393">
        <v>0</v>
      </c>
      <c r="AS393">
        <v>0</v>
      </c>
      <c r="AT393">
        <v>0</v>
      </c>
      <c r="AU393">
        <v>0</v>
      </c>
      <c r="AV393">
        <v>0</v>
      </c>
      <c r="AW393">
        <v>0</v>
      </c>
      <c r="AX393" s="141">
        <f>COUNTIF(V393:AW393,"&lt;&gt;0")</f>
        <v>2</v>
      </c>
      <c r="AY393" s="141">
        <f>COUNTIF(V393:AL393,"&lt;&gt;0")</f>
        <v>2</v>
      </c>
      <c r="AZ393">
        <f>COUNTIF(V393:AC393,"&lt;&gt;0")</f>
        <v>0</v>
      </c>
      <c r="BA393">
        <f>COUNTIF(AD393:AI393,"&lt;&gt;0")</f>
        <v>1</v>
      </c>
      <c r="BB393">
        <f>COUNTIF(AJ393:AL393,"&lt;&gt;0")</f>
        <v>1</v>
      </c>
      <c r="BC393">
        <f>COUNTIF(AS393:AW393,"&lt;&gt;0")</f>
        <v>0</v>
      </c>
      <c r="BD393">
        <f>COUNTIF(AM393:AR393,"&lt;&gt;0")</f>
        <v>0</v>
      </c>
      <c r="BE393" t="str" cm="1">
        <f t="array" ref="BE393">IF(AY393=1,INDEX($V$7:$AL$7,MATCH(TRUE,INDEX($V393:$AW393&lt;&gt;0,),0)),IF(AY393=0,INDEX($AM$7:$AW$7,MATCH(1,$AM393:$AW393,0)),IF(BF393="Multiple strategies","mixed drivers",IF(BF393="Supply chain","multiple supply","multiple silviculture"))))</f>
        <v>mixed drivers</v>
      </c>
      <c r="BF393" s="2" t="str" cm="1">
        <f t="array" ref="BF393">IF(COUNTIF(AZ393:BB393,"&lt;&gt;0")=1,INDEX($V$4:$AW$4,MATCH(TRUE,INDEX($V393:$AW393&lt;&gt;0,),0)),IF(COUNTIF(AZ393:BB393,"&lt;&gt;0")=0,INDEX($AM$4:$AW$4,MATCH(1,$AM393:$AW393,0)),"Multiple strategies"))</f>
        <v>Multiple strategies</v>
      </c>
      <c r="BG393" s="142" t="s">
        <v>321</v>
      </c>
      <c r="BH393" s="160" t="s">
        <v>1457</v>
      </c>
      <c r="BI393" s="160" t="s">
        <v>1458</v>
      </c>
      <c r="BJ393" s="143" t="s">
        <v>498</v>
      </c>
      <c r="BK393" s="143">
        <v>944</v>
      </c>
      <c r="BL393" s="143">
        <v>20000</v>
      </c>
      <c r="BM393">
        <f>IFERROR(BL394/BK393,"")</f>
        <v>1.6154661016949152</v>
      </c>
      <c r="BN393">
        <f>BL393-BK393</f>
        <v>19056</v>
      </c>
      <c r="BO393" s="159">
        <f>BN393</f>
        <v>19056</v>
      </c>
      <c r="BP393" s="155" t="s">
        <v>232</v>
      </c>
      <c r="BQ393" s="155" t="s">
        <v>1459</v>
      </c>
      <c r="BR393" s="155" t="s">
        <v>825</v>
      </c>
      <c r="BS393" s="143" t="s">
        <v>1477</v>
      </c>
      <c r="BT393" t="s">
        <v>1518</v>
      </c>
      <c r="BU393" s="144">
        <f>BT393/BS393</f>
        <v>21.393037140420283</v>
      </c>
      <c r="BV393">
        <f>BT393-BS393</f>
        <v>-2.1917416666666698</v>
      </c>
      <c r="BW393"/>
      <c r="BX393">
        <f>BV393</f>
        <v>-2.1917416666666698</v>
      </c>
      <c r="BY393">
        <f>IFERROR(BX393/BO393,"")</f>
        <v>-1.1501583053456496E-4</v>
      </c>
      <c r="BZ393">
        <v>0</v>
      </c>
      <c r="CA393">
        <v>0</v>
      </c>
      <c r="CB393">
        <v>0</v>
      </c>
      <c r="CC393">
        <v>0</v>
      </c>
      <c r="CD393">
        <v>0</v>
      </c>
      <c r="CE393">
        <v>0</v>
      </c>
      <c r="CF393">
        <v>0</v>
      </c>
      <c r="CG393">
        <v>0</v>
      </c>
      <c r="CH393">
        <v>0</v>
      </c>
      <c r="CI393">
        <v>0</v>
      </c>
      <c r="CJ393">
        <v>0</v>
      </c>
      <c r="CK393">
        <v>0</v>
      </c>
      <c r="CL393">
        <v>0</v>
      </c>
      <c r="CM393">
        <v>0</v>
      </c>
      <c r="CN393" t="str">
        <f>IF($BL393&lt;$BK393,"refNeedCorrection","refOK")</f>
        <v>refOK</v>
      </c>
      <c r="CO393">
        <f>IF($CN393="refOK",$BK393,$BL393)</f>
        <v>944</v>
      </c>
      <c r="CP393">
        <f>IF($CN393="refOK",$BL393,$BK393)</f>
        <v>20000</v>
      </c>
      <c r="CQ393">
        <f>IF($CN393="refOK",$BO393,-$BO393)</f>
        <v>19056</v>
      </c>
      <c r="CR393">
        <f>IF($CN393="refOK",$BS393,$BT393)*IF($BP393="Emissions positive",-1,1)</f>
        <v>-0.107475</v>
      </c>
      <c r="CS393">
        <f>IF($CN393="refOK",$BT393,$BS393)*IF($BP393="Emissions positive",-1,1)</f>
        <v>-2.2992166666666698</v>
      </c>
      <c r="CT393">
        <f>IF($CN393="refNeedCorrection",-BX393,BX393)*IF($BP393="Emissions positive",-1,1)</f>
        <v>-2.1917416666666698</v>
      </c>
      <c r="CU393">
        <f>IFERROR(CT393/CQ393,"")</f>
        <v>-1.1501583053456496E-4</v>
      </c>
      <c r="CV393" s="2">
        <f>IFERROR((CS393-CR393)/ABS(CR393),"")</f>
        <v>-20.393037140420283</v>
      </c>
      <c r="CW393" s="263" t="s">
        <v>1462</v>
      </c>
      <c r="CX393" s="264" t="str">
        <f>IF(OR($CW393="prd",$CW393="std",$CW393="cit"),"loc",IF(OR($CW393="eur",$CW393="reg",$CW393="coy"),"reg",$CW393))</f>
        <v>reg</v>
      </c>
      <c r="CY393" s="270" t="s">
        <v>743</v>
      </c>
      <c r="CZ393"/>
      <c r="DA393" s="143"/>
      <c r="DB393" s="143">
        <v>0</v>
      </c>
      <c r="DC393" t="str">
        <f>IF(DB393=0,"0",IF(AND(DB393&gt;=1,DB393&lt;=30),"1-30",IF(AND(DB393&gt;30,DB393&lt;=70),"31-70",IF(AND(DB393&gt;70,DB393&lt;=100),"71-100",IF(DB393&gt;100,"+100")))))</f>
        <v>0</v>
      </c>
      <c r="DD393">
        <v>0</v>
      </c>
      <c r="DE393">
        <v>1</v>
      </c>
      <c r="DF393">
        <v>0</v>
      </c>
      <c r="DG393">
        <v>0</v>
      </c>
      <c r="DH393">
        <v>0</v>
      </c>
      <c r="DI393">
        <f>SUM(DD393:DH393)</f>
        <v>1</v>
      </c>
      <c r="DJ393" t="str">
        <f>IF(DI393=1,INDEX($DD$7:$DG$7,MATCH(1,$DD393:$DG393,0)),"mixedProduct")</f>
        <v>EnergyInput</v>
      </c>
      <c r="DK393">
        <f>IF(DD393=1,DK$7,0)</f>
        <v>0</v>
      </c>
      <c r="DL393" t="str">
        <f>IF(DE393=1,DL$7,0)</f>
        <v>Energy</v>
      </c>
      <c r="DM393">
        <f>IF(DF393=1,DM$7,0)</f>
        <v>0</v>
      </c>
      <c r="DN393">
        <f>IF(DG393=1,DN$7,0)</f>
        <v>0</v>
      </c>
      <c r="DO393">
        <v>0</v>
      </c>
      <c r="DP393" s="143">
        <v>0</v>
      </c>
      <c r="DQ393" s="143">
        <v>0</v>
      </c>
      <c r="DR393">
        <v>0</v>
      </c>
      <c r="DS393" s="143">
        <v>0</v>
      </c>
      <c r="DT393">
        <f>SUM(DO393:DP393)</f>
        <v>0</v>
      </c>
      <c r="DU393" s="143" t="str">
        <f>IF(DO393=1,"self-calculated DF",IF(DP393=1,"external DF used","explicit C balance"))</f>
        <v>explicit C balance</v>
      </c>
      <c r="DV393" s="143">
        <v>0</v>
      </c>
      <c r="DW393" s="143">
        <v>0</v>
      </c>
      <c r="DX393" s="143">
        <v>0</v>
      </c>
      <c r="DY393" s="143">
        <v>0</v>
      </c>
      <c r="DZ393">
        <v>0</v>
      </c>
      <c r="EA393" s="143">
        <v>0</v>
      </c>
      <c r="EB393" s="143">
        <v>1</v>
      </c>
      <c r="EC393" s="143">
        <v>0</v>
      </c>
      <c r="ED393" s="143">
        <v>0</v>
      </c>
      <c r="EE393">
        <v>0</v>
      </c>
      <c r="EF393">
        <v>0</v>
      </c>
      <c r="EG393" s="143">
        <v>0</v>
      </c>
      <c r="EH393" s="143">
        <v>0</v>
      </c>
      <c r="EI393" s="2">
        <v>0</v>
      </c>
      <c r="EJ393" s="1"/>
      <c r="EK393" t="str">
        <f>IF(AND(AND(AND(OR($DX393=1,$DW393=1),OR($EC393=1,$EA393=1)),SUM($DV393:$DZ393,$EF393)&gt;=4),SUM($EA393:$EE393)&gt;=2),"Whole sector","")</f>
        <v/>
      </c>
      <c r="EL393" t="str">
        <f>IF(AND(AND(OR($DX393=1,$DW393=1),AND($EC393=0,$EA393=0)),SUM($DV393:$DZ393,$EF393)&gt;=4),"Ecosystem approach","")</f>
        <v/>
      </c>
      <c r="EM393" s="2" t="str">
        <f>IF(AND(AND(AND($DX393=0,$DW393=0),OR($EC393=1,$EA393=1)),SUM($EB393:$EE393)&gt;=2),"Technology approach","")</f>
        <v/>
      </c>
      <c r="EN393"/>
      <c r="EO393"/>
      <c r="EP393" t="str">
        <f>IF(ISNUMBER(BU393),IF(ABS(BU393-[3]QC_indicators!$B$2)&gt;3*[3]QC_indicators!$C$2,"C ratio",IF(ISNUMBER(BY393),IF(ABS(BY393-[3]QC_indicators!$B$1)&gt;3*[3]QC_indicators!$C$1,"DF","no"))),IF(ISNUMBER(BY393),IF(ABS(BY393-[3]QC_indicators!$B$1)&gt;3*[3]QC_indicators!$C$1,"DF","no")))</f>
        <v>no</v>
      </c>
      <c r="EQ393"/>
      <c r="ER393" s="149"/>
      <c r="ES393"/>
      <c r="ET393" s="264" t="s">
        <v>3407</v>
      </c>
      <c r="EU393"/>
    </row>
    <row r="394" spans="1:151" s="139" customFormat="1" ht="15" customHeight="1">
      <c r="A394" s="1" t="s">
        <v>587</v>
      </c>
      <c r="B394" t="s">
        <v>1448</v>
      </c>
      <c r="C394" t="s">
        <v>1449</v>
      </c>
      <c r="D394" t="s">
        <v>1450</v>
      </c>
      <c r="E394" t="s">
        <v>1451</v>
      </c>
      <c r="F394" t="s">
        <v>1452</v>
      </c>
      <c r="G394" t="s">
        <v>593</v>
      </c>
      <c r="H394" t="s">
        <v>254</v>
      </c>
      <c r="I394">
        <v>2020</v>
      </c>
      <c r="J394">
        <v>12</v>
      </c>
      <c r="K394" t="s">
        <v>1453</v>
      </c>
      <c r="L394"/>
      <c r="M394" t="str">
        <f>LEFT($D394,FIND(",",$D394)-1)&amp;"_"&amp;I394&amp;L394</f>
        <v>Elisa_2020</v>
      </c>
      <c r="N394" s="264" t="s">
        <v>222</v>
      </c>
      <c r="O394" s="171" t="s">
        <v>274</v>
      </c>
      <c r="P394" t="s">
        <v>223</v>
      </c>
      <c r="Q394" s="264" t="s">
        <v>389</v>
      </c>
      <c r="R394" s="269" t="s">
        <v>1154</v>
      </c>
      <c r="S394" s="154" t="s">
        <v>1454</v>
      </c>
      <c r="T394" s="294" t="s">
        <v>1455</v>
      </c>
      <c r="U394" s="143" t="s">
        <v>1465</v>
      </c>
      <c r="V394">
        <v>0</v>
      </c>
      <c r="W394">
        <v>0</v>
      </c>
      <c r="X394">
        <v>0</v>
      </c>
      <c r="Y394">
        <v>0</v>
      </c>
      <c r="Z394">
        <v>0</v>
      </c>
      <c r="AA394">
        <v>0</v>
      </c>
      <c r="AB394">
        <v>0</v>
      </c>
      <c r="AC394">
        <v>0</v>
      </c>
      <c r="AD394">
        <v>0</v>
      </c>
      <c r="AE394">
        <v>1</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s="141">
        <f>COUNTIF(V394:AW394,"&lt;&gt;0")</f>
        <v>1</v>
      </c>
      <c r="AY394" s="141">
        <f>COUNTIF(V394:AL394,"&lt;&gt;0")</f>
        <v>1</v>
      </c>
      <c r="AZ394">
        <f>COUNTIF(V394:AC394,"&lt;&gt;0")</f>
        <v>0</v>
      </c>
      <c r="BA394">
        <f>COUNTIF(AD394:AI394,"&lt;&gt;0")</f>
        <v>1</v>
      </c>
      <c r="BB394">
        <f>COUNTIF(AJ394:AL394,"&lt;&gt;0")</f>
        <v>0</v>
      </c>
      <c r="BC394">
        <f>COUNTIF(AS394:AW394,"&lt;&gt;0")</f>
        <v>0</v>
      </c>
      <c r="BD394">
        <f>COUNTIF(AM394:AR394,"&lt;&gt;0")</f>
        <v>0</v>
      </c>
      <c r="BE394" t="str" cm="1">
        <f t="array" ref="BE394">IF(AY394=1,INDEX($V$7:$AL$7,MATCH(TRUE,INDEX($V394:$AW394&lt;&gt;0,),0)),IF(AY394=0,INDEX($AM$7:$AW$7,MATCH(1,$AM394:$AW394,0)),IF(BF394="Multiple strategies","mixed drivers",IF(BF394="Supply chain","multiple supply","multiple silviculture"))))</f>
        <v>location of industry</v>
      </c>
      <c r="BF394" s="2" t="str" cm="1">
        <f t="array" ref="BF394">IF(COUNTIF(AZ394:BB394,"&lt;&gt;0")=1,INDEX($V$4:$AW$4,MATCH(TRUE,INDEX($V394:$AW394&lt;&gt;0,),0)),IF(COUNTIF(AZ394:BB394,"&lt;&gt;0")=0,INDEX($AM$4:$AW$4,MATCH(1,$AM394:$AW394,0)),"Multiple strategies"))</f>
        <v>Supply chain</v>
      </c>
      <c r="BG394" s="142" t="s">
        <v>321</v>
      </c>
      <c r="BH394" s="160" t="s">
        <v>1457</v>
      </c>
      <c r="BI394" s="160" t="s">
        <v>1458</v>
      </c>
      <c r="BJ394" s="143" t="s">
        <v>498</v>
      </c>
      <c r="BK394" s="143">
        <v>944</v>
      </c>
      <c r="BL394" s="143">
        <v>1525</v>
      </c>
      <c r="BM394">
        <f>IFERROR(BL395/BK394,"")</f>
        <v>1.6949152542372881</v>
      </c>
      <c r="BN394">
        <f>BL394-BK394</f>
        <v>581</v>
      </c>
      <c r="BO394" s="159">
        <f>BN394</f>
        <v>581</v>
      </c>
      <c r="BP394" s="155" t="s">
        <v>232</v>
      </c>
      <c r="BQ394" s="155" t="s">
        <v>1459</v>
      </c>
      <c r="BR394" s="155" t="s">
        <v>825</v>
      </c>
      <c r="BS394" s="143" t="s">
        <v>1477</v>
      </c>
      <c r="BT394" t="s">
        <v>1479</v>
      </c>
      <c r="BU394" s="144">
        <f>BT394/BS394</f>
        <v>1.6182450699129007</v>
      </c>
      <c r="BV394">
        <f>BT394-BS394</f>
        <v>-6.6445888888889013E-2</v>
      </c>
      <c r="BW394"/>
      <c r="BX394">
        <f>BV394</f>
        <v>-6.6445888888889013E-2</v>
      </c>
      <c r="BY394">
        <f>IFERROR(BX394/BO394,"")</f>
        <v>-1.1436469688276939E-4</v>
      </c>
      <c r="BZ394">
        <v>0</v>
      </c>
      <c r="CA394">
        <v>0</v>
      </c>
      <c r="CB394">
        <v>0</v>
      </c>
      <c r="CC394">
        <v>0</v>
      </c>
      <c r="CD394">
        <v>0</v>
      </c>
      <c r="CE394">
        <v>0</v>
      </c>
      <c r="CF394">
        <v>0</v>
      </c>
      <c r="CG394">
        <v>0</v>
      </c>
      <c r="CH394">
        <v>0</v>
      </c>
      <c r="CI394">
        <v>0</v>
      </c>
      <c r="CJ394">
        <v>0</v>
      </c>
      <c r="CK394">
        <v>0</v>
      </c>
      <c r="CL394">
        <v>0</v>
      </c>
      <c r="CM394">
        <v>0</v>
      </c>
      <c r="CN394" t="str">
        <f>IF($BL394&lt;$BK394,"refNeedCorrection","refOK")</f>
        <v>refOK</v>
      </c>
      <c r="CO394">
        <f>IF($CN394="refOK",$BK394,$BL394)</f>
        <v>944</v>
      </c>
      <c r="CP394">
        <f>IF($CN394="refOK",$BL394,$BK394)</f>
        <v>1525</v>
      </c>
      <c r="CQ394">
        <f>IF($CN394="refOK",$BO394,-$BO394)</f>
        <v>581</v>
      </c>
      <c r="CR394">
        <f>IF($CN394="refOK",$BS394,$BT394)*IF($BP394="Emissions positive",-1,1)</f>
        <v>-0.107475</v>
      </c>
      <c r="CS394">
        <f>IF($CN394="refOK",$BT394,$BS394)*IF($BP394="Emissions positive",-1,1)</f>
        <v>-0.17392088888888901</v>
      </c>
      <c r="CT394">
        <f>IF($CN394="refNeedCorrection",-BX394,BX394)*IF($BP394="Emissions positive",-1,1)</f>
        <v>-6.6445888888889013E-2</v>
      </c>
      <c r="CU394">
        <f>IFERROR(CT394/CQ394,"")</f>
        <v>-1.1436469688276939E-4</v>
      </c>
      <c r="CV394" s="2">
        <f>IFERROR((CS394-CR394)/ABS(CR394),"")</f>
        <v>-0.61824506991290074</v>
      </c>
      <c r="CW394" s="263" t="s">
        <v>1462</v>
      </c>
      <c r="CX394" s="264" t="str">
        <f>IF(OR($CW394="prd",$CW394="std",$CW394="cit"),"loc",IF(OR($CW394="eur",$CW394="reg",$CW394="coy"),"reg",$CW394))</f>
        <v>reg</v>
      </c>
      <c r="CY394" s="270" t="s">
        <v>743</v>
      </c>
      <c r="CZ394"/>
      <c r="DA394" s="143"/>
      <c r="DB394" s="143">
        <v>0</v>
      </c>
      <c r="DC394" t="str">
        <f>IF(DB394=0,"0",IF(AND(DB394&gt;=1,DB394&lt;=30),"1-30",IF(AND(DB394&gt;30,DB394&lt;=70),"31-70",IF(AND(DB394&gt;70,DB394&lt;=100),"71-100",IF(DB394&gt;100,"+100")))))</f>
        <v>0</v>
      </c>
      <c r="DD394">
        <v>0</v>
      </c>
      <c r="DE394">
        <v>1</v>
      </c>
      <c r="DF394">
        <v>0</v>
      </c>
      <c r="DG394">
        <v>0</v>
      </c>
      <c r="DH394">
        <v>0</v>
      </c>
      <c r="DI394">
        <f>SUM(DD394:DH394)</f>
        <v>1</v>
      </c>
      <c r="DJ394" t="str">
        <f>IF(DI394=1,INDEX($DD$7:$DG$7,MATCH(1,$DD394:$DG394,0)),"mixedProduct")</f>
        <v>EnergyInput</v>
      </c>
      <c r="DK394">
        <f>IF(DD394=1,DK$7,0)</f>
        <v>0</v>
      </c>
      <c r="DL394" t="str">
        <f>IF(DE394=1,DL$7,0)</f>
        <v>Energy</v>
      </c>
      <c r="DM394">
        <f>IF(DF394=1,DM$7,0)</f>
        <v>0</v>
      </c>
      <c r="DN394">
        <f>IF(DG394=1,DN$7,0)</f>
        <v>0</v>
      </c>
      <c r="DO394">
        <v>0</v>
      </c>
      <c r="DP394" s="143">
        <v>0</v>
      </c>
      <c r="DQ394" s="143">
        <v>0</v>
      </c>
      <c r="DR394">
        <v>0</v>
      </c>
      <c r="DS394" s="143">
        <v>0</v>
      </c>
      <c r="DT394">
        <f>SUM(DO394:DP394)</f>
        <v>0</v>
      </c>
      <c r="DU394" s="143" t="str">
        <f>IF(DO394=1,"self-calculated DF",IF(DP394=1,"external DF used","explicit C balance"))</f>
        <v>explicit C balance</v>
      </c>
      <c r="DV394" s="143">
        <v>0</v>
      </c>
      <c r="DW394" s="143">
        <v>0</v>
      </c>
      <c r="DX394" s="143">
        <v>0</v>
      </c>
      <c r="DY394" s="143">
        <v>0</v>
      </c>
      <c r="DZ394">
        <v>0</v>
      </c>
      <c r="EA394" s="143">
        <v>0</v>
      </c>
      <c r="EB394" s="143">
        <v>1</v>
      </c>
      <c r="EC394" s="143">
        <v>0</v>
      </c>
      <c r="ED394" s="143">
        <v>0</v>
      </c>
      <c r="EE394">
        <v>0</v>
      </c>
      <c r="EF394">
        <v>0</v>
      </c>
      <c r="EG394" s="143">
        <v>0</v>
      </c>
      <c r="EH394" s="143">
        <v>0</v>
      </c>
      <c r="EI394" s="2">
        <v>0</v>
      </c>
      <c r="EJ394" s="1"/>
      <c r="EK394" t="str">
        <f>IF(AND(AND(AND(OR($DX394=1,$DW394=1),OR($EC394=1,$EA394=1)),SUM($DV394:$DZ394,$EF394)&gt;=4),SUM($EA394:$EE394)&gt;=2),"Whole sector","")</f>
        <v/>
      </c>
      <c r="EL394" t="str">
        <f>IF(AND(AND(OR($DX394=1,$DW394=1),AND($EC394=0,$EA394=0)),SUM($DV394:$DZ394,$EF394)&gt;=4),"Ecosystem approach","")</f>
        <v/>
      </c>
      <c r="EM394" s="2" t="str">
        <f>IF(AND(AND(AND($DX394=0,$DW394=0),OR($EC394=1,$EA394=1)),SUM($EB394:$EE394)&gt;=2),"Technology approach","")</f>
        <v/>
      </c>
      <c r="EN394"/>
      <c r="EO394"/>
      <c r="EP394" t="str">
        <f>IF(ISNUMBER(BU394),IF(ABS(BU394-[3]QC_indicators!$B$2)&gt;3*[3]QC_indicators!$C$2,"C ratio",IF(ISNUMBER(BY394),IF(ABS(BY394-[3]QC_indicators!$B$1)&gt;3*[3]QC_indicators!$C$1,"DF","no"))),IF(ISNUMBER(BY394),IF(ABS(BY394-[3]QC_indicators!$B$1)&gt;3*[3]QC_indicators!$C$1,"DF","no")))</f>
        <v>no</v>
      </c>
      <c r="EQ394"/>
      <c r="ER394" s="149"/>
      <c r="ES394"/>
      <c r="ET394" s="264" t="s">
        <v>3407</v>
      </c>
      <c r="EU394"/>
    </row>
    <row r="395" spans="1:151" s="139" customFormat="1" ht="15" customHeight="1">
      <c r="A395" s="1" t="s">
        <v>587</v>
      </c>
      <c r="B395" t="s">
        <v>1448</v>
      </c>
      <c r="C395" t="s">
        <v>1449</v>
      </c>
      <c r="D395" t="s">
        <v>1450</v>
      </c>
      <c r="E395" t="s">
        <v>1451</v>
      </c>
      <c r="F395" t="s">
        <v>1452</v>
      </c>
      <c r="G395" t="s">
        <v>593</v>
      </c>
      <c r="H395" t="s">
        <v>254</v>
      </c>
      <c r="I395">
        <v>2020</v>
      </c>
      <c r="J395">
        <v>12</v>
      </c>
      <c r="K395" t="s">
        <v>1453</v>
      </c>
      <c r="L395"/>
      <c r="M395" t="str">
        <f>LEFT($D395,FIND(",",$D395)-1)&amp;"_"&amp;I395&amp;L395</f>
        <v>Elisa_2020</v>
      </c>
      <c r="N395" s="264" t="s">
        <v>222</v>
      </c>
      <c r="O395" s="171" t="s">
        <v>274</v>
      </c>
      <c r="P395" t="s">
        <v>223</v>
      </c>
      <c r="Q395" s="264" t="s">
        <v>389</v>
      </c>
      <c r="R395" s="269" t="s">
        <v>1154</v>
      </c>
      <c r="S395" s="154" t="s">
        <v>1454</v>
      </c>
      <c r="T395" s="294" t="s">
        <v>1455</v>
      </c>
      <c r="U395" s="143" t="s">
        <v>1456</v>
      </c>
      <c r="V395">
        <v>0</v>
      </c>
      <c r="W395">
        <v>0</v>
      </c>
      <c r="X395">
        <v>0</v>
      </c>
      <c r="Y395">
        <v>0</v>
      </c>
      <c r="Z395">
        <v>0</v>
      </c>
      <c r="AA395">
        <v>0</v>
      </c>
      <c r="AB395">
        <v>0</v>
      </c>
      <c r="AC395">
        <v>0</v>
      </c>
      <c r="AD395">
        <v>0</v>
      </c>
      <c r="AE395">
        <v>1</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s="141">
        <f>COUNTIF(V395:AW395,"&lt;&gt;0")</f>
        <v>1</v>
      </c>
      <c r="AY395" s="141">
        <f>COUNTIF(V395:AL395,"&lt;&gt;0")</f>
        <v>1</v>
      </c>
      <c r="AZ395">
        <f>COUNTIF(V395:AC395,"&lt;&gt;0")</f>
        <v>0</v>
      </c>
      <c r="BA395">
        <f>COUNTIF(AD395:AI395,"&lt;&gt;0")</f>
        <v>1</v>
      </c>
      <c r="BB395">
        <f>COUNTIF(AJ395:AL395,"&lt;&gt;0")</f>
        <v>0</v>
      </c>
      <c r="BC395">
        <f>COUNTIF(AS395:AW395,"&lt;&gt;0")</f>
        <v>0</v>
      </c>
      <c r="BD395">
        <f>COUNTIF(AM395:AR395,"&lt;&gt;0")</f>
        <v>0</v>
      </c>
      <c r="BE395" t="str" cm="1">
        <f t="array" ref="BE395">IF(AY395=1,INDEX($V$7:$AL$7,MATCH(TRUE,INDEX($V395:$AW395&lt;&gt;0,),0)),IF(AY395=0,INDEX($AM$7:$AW$7,MATCH(1,$AM395:$AW395,0)),IF(BF395="Multiple strategies","mixed drivers",IF(BF395="Supply chain","multiple supply","multiple silviculture"))))</f>
        <v>location of industry</v>
      </c>
      <c r="BF395" s="2" t="str" cm="1">
        <f t="array" ref="BF395">IF(COUNTIF(AZ395:BB395,"&lt;&gt;0")=1,INDEX($V$4:$AW$4,MATCH(TRUE,INDEX($V395:$AW395&lt;&gt;0,),0)),IF(COUNTIF(AZ395:BB395,"&lt;&gt;0")=0,INDEX($AM$4:$AW$4,MATCH(1,$AM395:$AW395,0)),"Multiple strategies"))</f>
        <v>Supply chain</v>
      </c>
      <c r="BG395" s="142" t="s">
        <v>321</v>
      </c>
      <c r="BH395" s="160" t="s">
        <v>1457</v>
      </c>
      <c r="BI395" s="160" t="s">
        <v>1458</v>
      </c>
      <c r="BJ395" s="143" t="s">
        <v>498</v>
      </c>
      <c r="BK395" s="143">
        <v>944</v>
      </c>
      <c r="BL395" s="143">
        <v>1600</v>
      </c>
      <c r="BM395">
        <f>IFERROR(BL396/BK395,"")</f>
        <v>7.4078389830508478</v>
      </c>
      <c r="BN395">
        <f>BL395-BK395</f>
        <v>656</v>
      </c>
      <c r="BO395" s="159">
        <f>BN395</f>
        <v>656</v>
      </c>
      <c r="BP395" s="155" t="s">
        <v>232</v>
      </c>
      <c r="BQ395" s="155" t="s">
        <v>1459</v>
      </c>
      <c r="BR395" s="155" t="s">
        <v>825</v>
      </c>
      <c r="BS395" s="143" t="s">
        <v>1477</v>
      </c>
      <c r="BT395" t="s">
        <v>1480</v>
      </c>
      <c r="BU395" s="144">
        <f>BT395/BS395</f>
        <v>1.6872140807939802</v>
      </c>
      <c r="BV395">
        <f>BT395-BS395</f>
        <v>-7.3858333333333012E-2</v>
      </c>
      <c r="BW395"/>
      <c r="BX395">
        <f>BV395</f>
        <v>-7.3858333333333012E-2</v>
      </c>
      <c r="BY395">
        <f>IFERROR(BX395/BO395,"")</f>
        <v>-1.1258892276422716E-4</v>
      </c>
      <c r="BZ395">
        <v>0</v>
      </c>
      <c r="CA395">
        <v>0</v>
      </c>
      <c r="CB395">
        <v>0</v>
      </c>
      <c r="CC395">
        <v>0</v>
      </c>
      <c r="CD395">
        <v>0</v>
      </c>
      <c r="CE395">
        <v>0</v>
      </c>
      <c r="CF395">
        <v>0</v>
      </c>
      <c r="CG395">
        <v>0</v>
      </c>
      <c r="CH395">
        <v>0</v>
      </c>
      <c r="CI395">
        <v>0</v>
      </c>
      <c r="CJ395">
        <v>0</v>
      </c>
      <c r="CK395">
        <v>0</v>
      </c>
      <c r="CL395">
        <v>0</v>
      </c>
      <c r="CM395">
        <v>0</v>
      </c>
      <c r="CN395" t="str">
        <f>IF($BL395&lt;$BK395,"refNeedCorrection","refOK")</f>
        <v>refOK</v>
      </c>
      <c r="CO395">
        <f>IF($CN395="refOK",$BK395,$BL395)</f>
        <v>944</v>
      </c>
      <c r="CP395">
        <f>IF($CN395="refOK",$BL395,$BK395)</f>
        <v>1600</v>
      </c>
      <c r="CQ395">
        <f>IF($CN395="refOK",$BO395,-$BO395)</f>
        <v>656</v>
      </c>
      <c r="CR395">
        <f>IF($CN395="refOK",$BS395,$BT395)*IF($BP395="Emissions positive",-1,1)</f>
        <v>-0.107475</v>
      </c>
      <c r="CS395">
        <f>IF($CN395="refOK",$BT395,$BS395)*IF($BP395="Emissions positive",-1,1)</f>
        <v>-0.18133333333333301</v>
      </c>
      <c r="CT395">
        <f>IF($CN395="refNeedCorrection",-BX395,BX395)*IF($BP395="Emissions positive",-1,1)</f>
        <v>-7.3858333333333012E-2</v>
      </c>
      <c r="CU395">
        <f>IFERROR(CT395/CQ395,"")</f>
        <v>-1.1258892276422716E-4</v>
      </c>
      <c r="CV395" s="2">
        <f>IFERROR((CS395-CR395)/ABS(CR395),"")</f>
        <v>-0.68721408079398005</v>
      </c>
      <c r="CW395" s="263" t="s">
        <v>1462</v>
      </c>
      <c r="CX395" s="264" t="str">
        <f>IF(OR($CW395="prd",$CW395="std",$CW395="cit"),"loc",IF(OR($CW395="eur",$CW395="reg",$CW395="coy"),"reg",$CW395))</f>
        <v>reg</v>
      </c>
      <c r="CY395" s="270" t="s">
        <v>743</v>
      </c>
      <c r="CZ395"/>
      <c r="DA395" s="143"/>
      <c r="DB395" s="143">
        <v>0</v>
      </c>
      <c r="DC395" t="str">
        <f>IF(DB395=0,"0",IF(AND(DB395&gt;=1,DB395&lt;=30),"1-30",IF(AND(DB395&gt;30,DB395&lt;=70),"31-70",IF(AND(DB395&gt;70,DB395&lt;=100),"71-100",IF(DB395&gt;100,"+100")))))</f>
        <v>0</v>
      </c>
      <c r="DD395">
        <v>0</v>
      </c>
      <c r="DE395">
        <v>1</v>
      </c>
      <c r="DF395">
        <v>0</v>
      </c>
      <c r="DG395">
        <v>0</v>
      </c>
      <c r="DH395">
        <v>0</v>
      </c>
      <c r="DI395">
        <f>SUM(DD395:DH395)</f>
        <v>1</v>
      </c>
      <c r="DJ395" t="str">
        <f>IF(DI395=1,INDEX($DD$7:$DG$7,MATCH(1,$DD395:$DG395,0)),"mixedProduct")</f>
        <v>EnergyInput</v>
      </c>
      <c r="DK395">
        <f>IF(DD395=1,DK$7,0)</f>
        <v>0</v>
      </c>
      <c r="DL395" t="str">
        <f>IF(DE395=1,DL$7,0)</f>
        <v>Energy</v>
      </c>
      <c r="DM395">
        <f>IF(DF395=1,DM$7,0)</f>
        <v>0</v>
      </c>
      <c r="DN395">
        <f>IF(DG395=1,DN$7,0)</f>
        <v>0</v>
      </c>
      <c r="DO395">
        <v>0</v>
      </c>
      <c r="DP395" s="143">
        <v>0</v>
      </c>
      <c r="DQ395" s="143">
        <v>0</v>
      </c>
      <c r="DR395">
        <v>0</v>
      </c>
      <c r="DS395" s="143">
        <v>0</v>
      </c>
      <c r="DT395">
        <f>SUM(DO395:DP395)</f>
        <v>0</v>
      </c>
      <c r="DU395" s="143" t="str">
        <f>IF(DO395=1,"self-calculated DF",IF(DP395=1,"external DF used","explicit C balance"))</f>
        <v>explicit C balance</v>
      </c>
      <c r="DV395" s="143">
        <v>0</v>
      </c>
      <c r="DW395" s="143">
        <v>0</v>
      </c>
      <c r="DX395" s="143">
        <v>0</v>
      </c>
      <c r="DY395" s="143">
        <v>0</v>
      </c>
      <c r="DZ395">
        <v>0</v>
      </c>
      <c r="EA395" s="143">
        <v>0</v>
      </c>
      <c r="EB395" s="143">
        <v>1</v>
      </c>
      <c r="EC395" s="143">
        <v>0</v>
      </c>
      <c r="ED395" s="143">
        <v>0</v>
      </c>
      <c r="EE395">
        <v>0</v>
      </c>
      <c r="EF395">
        <v>0</v>
      </c>
      <c r="EG395" s="143">
        <v>0</v>
      </c>
      <c r="EH395" s="143">
        <v>0</v>
      </c>
      <c r="EI395" s="2">
        <v>0</v>
      </c>
      <c r="EJ395" s="1"/>
      <c r="EK395" t="str">
        <f>IF(AND(AND(AND(OR($DX395=1,$DW395=1),OR($EC395=1,$EA395=1)),SUM($DV395:$DZ395,$EF395)&gt;=4),SUM($EA395:$EE395)&gt;=2),"Whole sector","")</f>
        <v/>
      </c>
      <c r="EL395" t="str">
        <f>IF(AND(AND(OR($DX395=1,$DW395=1),AND($EC395=0,$EA395=0)),SUM($DV395:$DZ395,$EF395)&gt;=4),"Ecosystem approach","")</f>
        <v/>
      </c>
      <c r="EM395" s="2" t="str">
        <f>IF(AND(AND(AND($DX395=0,$DW395=0),OR($EC395=1,$EA395=1)),SUM($EB395:$EE395)&gt;=2),"Technology approach","")</f>
        <v/>
      </c>
      <c r="EN395"/>
      <c r="EO395"/>
      <c r="EP395" t="str">
        <f>IF(ISNUMBER(BU395),IF(ABS(BU395-[3]QC_indicators!$B$2)&gt;3*[3]QC_indicators!$C$2,"C ratio",IF(ISNUMBER(BY395),IF(ABS(BY395-[3]QC_indicators!$B$1)&gt;3*[3]QC_indicators!$C$1,"DF","no"))),IF(ISNUMBER(BY395),IF(ABS(BY395-[3]QC_indicators!$B$1)&gt;3*[3]QC_indicators!$C$1,"DF","no")))</f>
        <v>no</v>
      </c>
      <c r="EQ395"/>
      <c r="ER395" s="149"/>
      <c r="ES395"/>
      <c r="ET395" s="264" t="s">
        <v>3407</v>
      </c>
      <c r="EU395"/>
    </row>
    <row r="396" spans="1:151" s="139" customFormat="1" ht="15" customHeight="1">
      <c r="A396" s="1" t="s">
        <v>587</v>
      </c>
      <c r="B396" t="s">
        <v>1448</v>
      </c>
      <c r="C396" t="s">
        <v>1449</v>
      </c>
      <c r="D396" t="s">
        <v>1450</v>
      </c>
      <c r="E396" t="s">
        <v>1451</v>
      </c>
      <c r="F396" t="s">
        <v>1452</v>
      </c>
      <c r="G396" t="s">
        <v>593</v>
      </c>
      <c r="H396" t="s">
        <v>254</v>
      </c>
      <c r="I396">
        <v>2020</v>
      </c>
      <c r="J396">
        <v>12</v>
      </c>
      <c r="K396" t="s">
        <v>1453</v>
      </c>
      <c r="L396"/>
      <c r="M396" t="str">
        <f>LEFT($D396,FIND(",",$D396)-1)&amp;"_"&amp;I396&amp;L396</f>
        <v>Elisa_2020</v>
      </c>
      <c r="N396" s="264" t="s">
        <v>222</v>
      </c>
      <c r="O396" s="171" t="s">
        <v>274</v>
      </c>
      <c r="P396" t="s">
        <v>223</v>
      </c>
      <c r="Q396" s="264" t="s">
        <v>389</v>
      </c>
      <c r="R396" s="269" t="s">
        <v>1154</v>
      </c>
      <c r="S396" s="154" t="s">
        <v>1454</v>
      </c>
      <c r="T396" s="294" t="s">
        <v>1455</v>
      </c>
      <c r="U396" s="143" t="s">
        <v>1471</v>
      </c>
      <c r="V396">
        <v>0</v>
      </c>
      <c r="W396">
        <v>0</v>
      </c>
      <c r="X396">
        <v>0</v>
      </c>
      <c r="Y396">
        <v>0</v>
      </c>
      <c r="Z396">
        <v>0</v>
      </c>
      <c r="AA396">
        <v>0</v>
      </c>
      <c r="AB396">
        <v>0</v>
      </c>
      <c r="AC396">
        <v>0</v>
      </c>
      <c r="AD396">
        <v>0</v>
      </c>
      <c r="AE396">
        <v>1</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s="141">
        <f>COUNTIF(V396:AW396,"&lt;&gt;0")</f>
        <v>1</v>
      </c>
      <c r="AY396" s="141">
        <f>COUNTIF(V396:AL396,"&lt;&gt;0")</f>
        <v>1</v>
      </c>
      <c r="AZ396">
        <f>COUNTIF(V396:AC396,"&lt;&gt;0")</f>
        <v>0</v>
      </c>
      <c r="BA396">
        <f>COUNTIF(AD396:AI396,"&lt;&gt;0")</f>
        <v>1</v>
      </c>
      <c r="BB396">
        <f>COUNTIF(AJ396:AL396,"&lt;&gt;0")</f>
        <v>0</v>
      </c>
      <c r="BC396">
        <f>COUNTIF(AS396:AW396,"&lt;&gt;0")</f>
        <v>0</v>
      </c>
      <c r="BD396">
        <f>COUNTIF(AM396:AR396,"&lt;&gt;0")</f>
        <v>0</v>
      </c>
      <c r="BE396" t="str" cm="1">
        <f t="array" ref="BE396">IF(AY396=1,INDEX($V$7:$AL$7,MATCH(TRUE,INDEX($V396:$AW396&lt;&gt;0,),0)),IF(AY396=0,INDEX($AM$7:$AW$7,MATCH(1,$AM396:$AW396,0)),IF(BF396="Multiple strategies","mixed drivers",IF(BF396="Supply chain","multiple supply","multiple silviculture"))))</f>
        <v>location of industry</v>
      </c>
      <c r="BF396" s="2" t="str" cm="1">
        <f t="array" ref="BF396">IF(COUNTIF(AZ396:BB396,"&lt;&gt;0")=1,INDEX($V$4:$AW$4,MATCH(TRUE,INDEX($V396:$AW396&lt;&gt;0,),0)),IF(COUNTIF(AZ396:BB396,"&lt;&gt;0")=0,INDEX($AM$4:$AW$4,MATCH(1,$AM396:$AW396,0)),"Multiple strategies"))</f>
        <v>Supply chain</v>
      </c>
      <c r="BG396" s="142" t="s">
        <v>321</v>
      </c>
      <c r="BH396" s="160" t="s">
        <v>1457</v>
      </c>
      <c r="BI396" s="160" t="s">
        <v>1458</v>
      </c>
      <c r="BJ396" s="143" t="s">
        <v>498</v>
      </c>
      <c r="BK396" s="143">
        <v>944</v>
      </c>
      <c r="BL396" s="143">
        <v>6993</v>
      </c>
      <c r="BM396">
        <f>IFERROR(BL397/BK396,"")</f>
        <v>2.1345338983050848</v>
      </c>
      <c r="BN396">
        <f>BL396-BK396</f>
        <v>6049</v>
      </c>
      <c r="BO396" s="159">
        <f>BN396</f>
        <v>6049</v>
      </c>
      <c r="BP396" s="155" t="s">
        <v>232</v>
      </c>
      <c r="BQ396" s="155" t="s">
        <v>1459</v>
      </c>
      <c r="BR396" s="155" t="s">
        <v>825</v>
      </c>
      <c r="BS396" s="143" t="s">
        <v>1477</v>
      </c>
      <c r="BT396" t="s">
        <v>1481</v>
      </c>
      <c r="BU396" s="144">
        <f>BT396/BS396</f>
        <v>7.1075960817761246</v>
      </c>
      <c r="BV396">
        <f>BT396-BS396</f>
        <v>-0.65641388888888896</v>
      </c>
      <c r="BW396"/>
      <c r="BX396">
        <f>BV396</f>
        <v>-0.65641388888888896</v>
      </c>
      <c r="BY396">
        <f>IFERROR(BX396/BO396,"")</f>
        <v>-1.0851609999816317E-4</v>
      </c>
      <c r="BZ396">
        <v>0</v>
      </c>
      <c r="CA396">
        <v>0</v>
      </c>
      <c r="CB396">
        <v>0</v>
      </c>
      <c r="CC396">
        <v>0</v>
      </c>
      <c r="CD396">
        <v>0</v>
      </c>
      <c r="CE396">
        <v>0</v>
      </c>
      <c r="CF396">
        <v>0</v>
      </c>
      <c r="CG396">
        <v>0</v>
      </c>
      <c r="CH396">
        <v>0</v>
      </c>
      <c r="CI396">
        <v>0</v>
      </c>
      <c r="CJ396">
        <v>0</v>
      </c>
      <c r="CK396">
        <v>0</v>
      </c>
      <c r="CL396">
        <v>0</v>
      </c>
      <c r="CM396">
        <v>0</v>
      </c>
      <c r="CN396" t="str">
        <f>IF($BL396&lt;$BK396,"refNeedCorrection","refOK")</f>
        <v>refOK</v>
      </c>
      <c r="CO396">
        <f>IF($CN396="refOK",$BK396,$BL396)</f>
        <v>944</v>
      </c>
      <c r="CP396">
        <f>IF($CN396="refOK",$BL396,$BK396)</f>
        <v>6993</v>
      </c>
      <c r="CQ396">
        <f>IF($CN396="refOK",$BO396,-$BO396)</f>
        <v>6049</v>
      </c>
      <c r="CR396">
        <f>IF($CN396="refOK",$BS396,$BT396)*IF($BP396="Emissions positive",-1,1)</f>
        <v>-0.107475</v>
      </c>
      <c r="CS396">
        <f>IF($CN396="refOK",$BT396,$BS396)*IF($BP396="Emissions positive",-1,1)</f>
        <v>-0.76388888888888895</v>
      </c>
      <c r="CT396">
        <f>IF($CN396="refNeedCorrection",-BX396,BX396)*IF($BP396="Emissions positive",-1,1)</f>
        <v>-0.65641388888888896</v>
      </c>
      <c r="CU396">
        <f>IFERROR(CT396/CQ396,"")</f>
        <v>-1.0851609999816317E-4</v>
      </c>
      <c r="CV396" s="2">
        <f>IFERROR((CS396-CR396)/ABS(CR396),"")</f>
        <v>-6.1075960817761246</v>
      </c>
      <c r="CW396" s="263" t="s">
        <v>1462</v>
      </c>
      <c r="CX396" s="264" t="str">
        <f>IF(OR($CW396="prd",$CW396="std",$CW396="cit"),"loc",IF(OR($CW396="eur",$CW396="reg",$CW396="coy"),"reg",$CW396))</f>
        <v>reg</v>
      </c>
      <c r="CY396" s="270" t="s">
        <v>743</v>
      </c>
      <c r="CZ396"/>
      <c r="DA396" s="143"/>
      <c r="DB396" s="143">
        <v>0</v>
      </c>
      <c r="DC396" t="str">
        <f>IF(DB396=0,"0",IF(AND(DB396&gt;=1,DB396&lt;=30),"1-30",IF(AND(DB396&gt;30,DB396&lt;=70),"31-70",IF(AND(DB396&gt;70,DB396&lt;=100),"71-100",IF(DB396&gt;100,"+100")))))</f>
        <v>0</v>
      </c>
      <c r="DD396">
        <v>0</v>
      </c>
      <c r="DE396">
        <v>1</v>
      </c>
      <c r="DF396">
        <v>0</v>
      </c>
      <c r="DG396">
        <v>0</v>
      </c>
      <c r="DH396">
        <v>0</v>
      </c>
      <c r="DI396">
        <f>SUM(DD396:DH396)</f>
        <v>1</v>
      </c>
      <c r="DJ396" t="str">
        <f>IF(DI396=1,INDEX($DD$7:$DG$7,MATCH(1,$DD396:$DG396,0)),"mixedProduct")</f>
        <v>EnergyInput</v>
      </c>
      <c r="DK396">
        <f>IF(DD396=1,DK$7,0)</f>
        <v>0</v>
      </c>
      <c r="DL396" t="str">
        <f>IF(DE396=1,DL$7,0)</f>
        <v>Energy</v>
      </c>
      <c r="DM396">
        <f>IF(DF396=1,DM$7,0)</f>
        <v>0</v>
      </c>
      <c r="DN396">
        <f>IF(DG396=1,DN$7,0)</f>
        <v>0</v>
      </c>
      <c r="DO396">
        <v>0</v>
      </c>
      <c r="DP396" s="143">
        <v>0</v>
      </c>
      <c r="DQ396" s="143">
        <v>0</v>
      </c>
      <c r="DR396">
        <v>0</v>
      </c>
      <c r="DS396" s="143">
        <v>0</v>
      </c>
      <c r="DT396">
        <f>SUM(DO396:DP396)</f>
        <v>0</v>
      </c>
      <c r="DU396" s="143" t="str">
        <f>IF(DO396=1,"self-calculated DF",IF(DP396=1,"external DF used","explicit C balance"))</f>
        <v>explicit C balance</v>
      </c>
      <c r="DV396" s="143">
        <v>0</v>
      </c>
      <c r="DW396" s="143">
        <v>0</v>
      </c>
      <c r="DX396" s="143">
        <v>0</v>
      </c>
      <c r="DY396" s="143">
        <v>0</v>
      </c>
      <c r="DZ396">
        <v>0</v>
      </c>
      <c r="EA396" s="143">
        <v>0</v>
      </c>
      <c r="EB396" s="143">
        <v>1</v>
      </c>
      <c r="EC396" s="143">
        <v>0</v>
      </c>
      <c r="ED396" s="143">
        <v>0</v>
      </c>
      <c r="EE396">
        <v>0</v>
      </c>
      <c r="EF396">
        <v>0</v>
      </c>
      <c r="EG396" s="143">
        <v>0</v>
      </c>
      <c r="EH396" s="143">
        <v>0</v>
      </c>
      <c r="EI396" s="2">
        <v>0</v>
      </c>
      <c r="EJ396" s="1"/>
      <c r="EK396" t="str">
        <f>IF(AND(AND(AND(OR($DX396=1,$DW396=1),OR($EC396=1,$EA396=1)),SUM($DV396:$DZ396,$EF396)&gt;=4),SUM($EA396:$EE396)&gt;=2),"Whole sector","")</f>
        <v/>
      </c>
      <c r="EL396" t="str">
        <f>IF(AND(AND(OR($DX396=1,$DW396=1),AND($EC396=0,$EA396=0)),SUM($DV396:$DZ396,$EF396)&gt;=4),"Ecosystem approach","")</f>
        <v/>
      </c>
      <c r="EM396" s="2" t="str">
        <f>IF(AND(AND(AND($DX396=0,$DW396=0),OR($EC396=1,$EA396=1)),SUM($EB396:$EE396)&gt;=2),"Technology approach","")</f>
        <v/>
      </c>
      <c r="EN396"/>
      <c r="EO396"/>
      <c r="EP396" t="str">
        <f>IF(ISNUMBER(BU396),IF(ABS(BU396-[3]QC_indicators!$B$2)&gt;3*[3]QC_indicators!$C$2,"C ratio",IF(ISNUMBER(BY396),IF(ABS(BY396-[3]QC_indicators!$B$1)&gt;3*[3]QC_indicators!$C$1,"DF","no"))),IF(ISNUMBER(BY396),IF(ABS(BY396-[3]QC_indicators!$B$1)&gt;3*[3]QC_indicators!$C$1,"DF","no")))</f>
        <v>no</v>
      </c>
      <c r="EQ396"/>
      <c r="ER396" s="149"/>
      <c r="ES396"/>
      <c r="ET396" s="264" t="s">
        <v>3407</v>
      </c>
      <c r="EU396"/>
    </row>
    <row r="397" spans="1:151" s="139" customFormat="1" ht="15" customHeight="1">
      <c r="A397" s="1" t="s">
        <v>587</v>
      </c>
      <c r="B397" t="s">
        <v>1448</v>
      </c>
      <c r="C397" t="s">
        <v>1449</v>
      </c>
      <c r="D397" t="s">
        <v>1450</v>
      </c>
      <c r="E397" t="s">
        <v>1451</v>
      </c>
      <c r="F397" t="s">
        <v>1452</v>
      </c>
      <c r="G397" t="s">
        <v>593</v>
      </c>
      <c r="H397" t="s">
        <v>254</v>
      </c>
      <c r="I397">
        <v>2020</v>
      </c>
      <c r="J397">
        <v>12</v>
      </c>
      <c r="K397" t="s">
        <v>1453</v>
      </c>
      <c r="L397"/>
      <c r="M397" t="str">
        <f>LEFT($D397,FIND(",",$D397)-1)&amp;"_"&amp;I397&amp;L397</f>
        <v>Elisa_2020</v>
      </c>
      <c r="N397" s="264" t="s">
        <v>222</v>
      </c>
      <c r="O397" s="171" t="s">
        <v>274</v>
      </c>
      <c r="P397" t="s">
        <v>223</v>
      </c>
      <c r="Q397" s="264" t="s">
        <v>389</v>
      </c>
      <c r="R397" s="269" t="s">
        <v>1154</v>
      </c>
      <c r="S397" s="154" t="s">
        <v>1454</v>
      </c>
      <c r="T397" s="294" t="s">
        <v>1455</v>
      </c>
      <c r="U397" s="143" t="s">
        <v>1519</v>
      </c>
      <c r="V397">
        <v>0</v>
      </c>
      <c r="W397">
        <v>0</v>
      </c>
      <c r="X397">
        <v>0</v>
      </c>
      <c r="Y397">
        <v>0</v>
      </c>
      <c r="Z397">
        <v>0</v>
      </c>
      <c r="AA397">
        <v>0</v>
      </c>
      <c r="AB397">
        <v>0</v>
      </c>
      <c r="AC397">
        <v>0</v>
      </c>
      <c r="AD397">
        <v>0</v>
      </c>
      <c r="AE397">
        <v>1</v>
      </c>
      <c r="AF397">
        <v>0</v>
      </c>
      <c r="AG397">
        <v>0</v>
      </c>
      <c r="AH397">
        <v>0</v>
      </c>
      <c r="AI397">
        <v>0</v>
      </c>
      <c r="AJ397">
        <v>0</v>
      </c>
      <c r="AK397">
        <v>1</v>
      </c>
      <c r="AL397">
        <v>0</v>
      </c>
      <c r="AM397">
        <v>0</v>
      </c>
      <c r="AN397">
        <v>0</v>
      </c>
      <c r="AO397">
        <v>0</v>
      </c>
      <c r="AP397">
        <v>0</v>
      </c>
      <c r="AQ397">
        <v>0</v>
      </c>
      <c r="AR397">
        <v>0</v>
      </c>
      <c r="AS397">
        <v>0</v>
      </c>
      <c r="AT397">
        <v>0</v>
      </c>
      <c r="AU397">
        <v>0</v>
      </c>
      <c r="AV397">
        <v>0</v>
      </c>
      <c r="AW397">
        <v>0</v>
      </c>
      <c r="AX397" s="141">
        <f>COUNTIF(V397:AW397,"&lt;&gt;0")</f>
        <v>2</v>
      </c>
      <c r="AY397" s="141">
        <f>COUNTIF(V397:AL397,"&lt;&gt;0")</f>
        <v>2</v>
      </c>
      <c r="AZ397">
        <f>COUNTIF(V397:AC397,"&lt;&gt;0")</f>
        <v>0</v>
      </c>
      <c r="BA397">
        <f>COUNTIF(AD397:AI397,"&lt;&gt;0")</f>
        <v>1</v>
      </c>
      <c r="BB397">
        <f>COUNTIF(AJ397:AL397,"&lt;&gt;0")</f>
        <v>1</v>
      </c>
      <c r="BC397">
        <f>COUNTIF(AS397:AW397,"&lt;&gt;0")</f>
        <v>0</v>
      </c>
      <c r="BD397">
        <f>COUNTIF(AM397:AR397,"&lt;&gt;0")</f>
        <v>0</v>
      </c>
      <c r="BE397" t="str" cm="1">
        <f t="array" ref="BE397">IF(AY397=1,INDEX($V$7:$AL$7,MATCH(TRUE,INDEX($V397:$AW397&lt;&gt;0,),0)),IF(AY397=0,INDEX($AM$7:$AW$7,MATCH(1,$AM397:$AW397,0)),IF(BF397="Multiple strategies","mixed drivers",IF(BF397="Supply chain","multiple supply","multiple silviculture"))))</f>
        <v>mixed drivers</v>
      </c>
      <c r="BF397" s="2" t="str" cm="1">
        <f t="array" ref="BF397">IF(COUNTIF(AZ397:BB397,"&lt;&gt;0")=1,INDEX($V$4:$AW$4,MATCH(TRUE,INDEX($V397:$AW397&lt;&gt;0,),0)),IF(COUNTIF(AZ397:BB397,"&lt;&gt;0")=0,INDEX($AM$4:$AW$4,MATCH(1,$AM397:$AW397,0)),"Multiple strategies"))</f>
        <v>Multiple strategies</v>
      </c>
      <c r="BG397" s="142" t="s">
        <v>321</v>
      </c>
      <c r="BH397" s="160" t="s">
        <v>1457</v>
      </c>
      <c r="BI397" s="160" t="s">
        <v>1458</v>
      </c>
      <c r="BJ397" s="143" t="s">
        <v>498</v>
      </c>
      <c r="BK397" s="143">
        <v>944</v>
      </c>
      <c r="BL397" s="143">
        <v>2015</v>
      </c>
      <c r="BM397">
        <f>IFERROR(BL398/BK397,"")</f>
        <v>4.2372881355932206</v>
      </c>
      <c r="BN397">
        <f>BL397-BK397</f>
        <v>1071</v>
      </c>
      <c r="BO397" s="159">
        <f>BN397</f>
        <v>1071</v>
      </c>
      <c r="BP397" s="155" t="s">
        <v>232</v>
      </c>
      <c r="BQ397" s="155" t="s">
        <v>1459</v>
      </c>
      <c r="BR397" s="155" t="s">
        <v>825</v>
      </c>
      <c r="BS397" s="143" t="s">
        <v>1477</v>
      </c>
      <c r="BT397" t="s">
        <v>1520</v>
      </c>
      <c r="BU397" s="144">
        <f>BT397/BS397</f>
        <v>2.044920007236827</v>
      </c>
      <c r="BV397">
        <f>BT397-BS397</f>
        <v>-0.11230277777777799</v>
      </c>
      <c r="BW397"/>
      <c r="BX397">
        <f>BV397</f>
        <v>-0.11230277777777799</v>
      </c>
      <c r="BY397">
        <f>IFERROR(BX397/BO397,"")</f>
        <v>-1.0485786907355554E-4</v>
      </c>
      <c r="BZ397">
        <v>0</v>
      </c>
      <c r="CA397">
        <v>0</v>
      </c>
      <c r="CB397">
        <v>0</v>
      </c>
      <c r="CC397">
        <v>0</v>
      </c>
      <c r="CD397">
        <v>0</v>
      </c>
      <c r="CE397">
        <v>0</v>
      </c>
      <c r="CF397">
        <v>0</v>
      </c>
      <c r="CG397">
        <v>0</v>
      </c>
      <c r="CH397">
        <v>0</v>
      </c>
      <c r="CI397">
        <v>0</v>
      </c>
      <c r="CJ397">
        <v>0</v>
      </c>
      <c r="CK397">
        <v>0</v>
      </c>
      <c r="CL397">
        <v>0</v>
      </c>
      <c r="CM397">
        <v>0</v>
      </c>
      <c r="CN397" t="str">
        <f>IF($BL397&lt;$BK397,"refNeedCorrection","refOK")</f>
        <v>refOK</v>
      </c>
      <c r="CO397">
        <f>IF($CN397="refOK",$BK397,$BL397)</f>
        <v>944</v>
      </c>
      <c r="CP397">
        <f>IF($CN397="refOK",$BL397,$BK397)</f>
        <v>2015</v>
      </c>
      <c r="CQ397">
        <f>IF($CN397="refOK",$BO397,-$BO397)</f>
        <v>1071</v>
      </c>
      <c r="CR397">
        <f>IF($CN397="refOK",$BS397,$BT397)*IF($BP397="Emissions positive",-1,1)</f>
        <v>-0.107475</v>
      </c>
      <c r="CS397">
        <f>IF($CN397="refOK",$BT397,$BS397)*IF($BP397="Emissions positive",-1,1)</f>
        <v>-0.21977777777777799</v>
      </c>
      <c r="CT397">
        <f>IF($CN397="refNeedCorrection",-BX397,BX397)*IF($BP397="Emissions positive",-1,1)</f>
        <v>-0.11230277777777799</v>
      </c>
      <c r="CU397">
        <f>IFERROR(CT397/CQ397,"")</f>
        <v>-1.0485786907355554E-4</v>
      </c>
      <c r="CV397" s="2">
        <f>IFERROR((CS397-CR397)/ABS(CR397),"")</f>
        <v>-1.044920007236827</v>
      </c>
      <c r="CW397" s="263" t="s">
        <v>1462</v>
      </c>
      <c r="CX397" s="264" t="str">
        <f>IF(OR($CW397="prd",$CW397="std",$CW397="cit"),"loc",IF(OR($CW397="eur",$CW397="reg",$CW397="coy"),"reg",$CW397))</f>
        <v>reg</v>
      </c>
      <c r="CY397" s="270" t="s">
        <v>743</v>
      </c>
      <c r="CZ397"/>
      <c r="DA397" s="143"/>
      <c r="DB397" s="143">
        <v>0</v>
      </c>
      <c r="DC397" t="str">
        <f>IF(DB397=0,"0",IF(AND(DB397&gt;=1,DB397&lt;=30),"1-30",IF(AND(DB397&gt;30,DB397&lt;=70),"31-70",IF(AND(DB397&gt;70,DB397&lt;=100),"71-100",IF(DB397&gt;100,"+100")))))</f>
        <v>0</v>
      </c>
      <c r="DD397">
        <v>0</v>
      </c>
      <c r="DE397">
        <v>1</v>
      </c>
      <c r="DF397">
        <v>0</v>
      </c>
      <c r="DG397">
        <v>0</v>
      </c>
      <c r="DH397">
        <v>0</v>
      </c>
      <c r="DI397">
        <f>SUM(DD397:DH397)</f>
        <v>1</v>
      </c>
      <c r="DJ397" t="str">
        <f>IF(DI397=1,INDEX($DD$7:$DG$7,MATCH(1,$DD397:$DG397,0)),"mixedProduct")</f>
        <v>EnergyInput</v>
      </c>
      <c r="DK397">
        <f>IF(DD397=1,DK$7,0)</f>
        <v>0</v>
      </c>
      <c r="DL397" t="str">
        <f>IF(DE397=1,DL$7,0)</f>
        <v>Energy</v>
      </c>
      <c r="DM397">
        <f>IF(DF397=1,DM$7,0)</f>
        <v>0</v>
      </c>
      <c r="DN397">
        <f>IF(DG397=1,DN$7,0)</f>
        <v>0</v>
      </c>
      <c r="DO397">
        <v>0</v>
      </c>
      <c r="DP397" s="143">
        <v>0</v>
      </c>
      <c r="DQ397" s="143">
        <v>0</v>
      </c>
      <c r="DR397">
        <v>0</v>
      </c>
      <c r="DS397" s="143">
        <v>0</v>
      </c>
      <c r="DT397">
        <f>SUM(DO397:DP397)</f>
        <v>0</v>
      </c>
      <c r="DU397" s="143" t="str">
        <f>IF(DO397=1,"self-calculated DF",IF(DP397=1,"external DF used","explicit C balance"))</f>
        <v>explicit C balance</v>
      </c>
      <c r="DV397" s="143">
        <v>0</v>
      </c>
      <c r="DW397" s="143">
        <v>0</v>
      </c>
      <c r="DX397" s="143">
        <v>0</v>
      </c>
      <c r="DY397" s="143">
        <v>0</v>
      </c>
      <c r="DZ397">
        <v>0</v>
      </c>
      <c r="EA397" s="143">
        <v>0</v>
      </c>
      <c r="EB397" s="143">
        <v>1</v>
      </c>
      <c r="EC397" s="143">
        <v>0</v>
      </c>
      <c r="ED397" s="143">
        <v>0</v>
      </c>
      <c r="EE397">
        <v>0</v>
      </c>
      <c r="EF397">
        <v>0</v>
      </c>
      <c r="EG397" s="143">
        <v>0</v>
      </c>
      <c r="EH397" s="143">
        <v>0</v>
      </c>
      <c r="EI397" s="2">
        <v>0</v>
      </c>
      <c r="EJ397" s="1"/>
      <c r="EK397" t="str">
        <f>IF(AND(AND(AND(OR($DX397=1,$DW397=1),OR($EC397=1,$EA397=1)),SUM($DV397:$DZ397,$EF397)&gt;=4),SUM($EA397:$EE397)&gt;=2),"Whole sector","")</f>
        <v/>
      </c>
      <c r="EL397" t="str">
        <f>IF(AND(AND(OR($DX397=1,$DW397=1),AND($EC397=0,$EA397=0)),SUM($DV397:$DZ397,$EF397)&gt;=4),"Ecosystem approach","")</f>
        <v/>
      </c>
      <c r="EM397" s="2" t="str">
        <f>IF(AND(AND(AND($DX397=0,$DW397=0),OR($EC397=1,$EA397=1)),SUM($EB397:$EE397)&gt;=2),"Technology approach","")</f>
        <v/>
      </c>
      <c r="EN397"/>
      <c r="EO397"/>
      <c r="EP397" t="str">
        <f>IF(ISNUMBER(BU397),IF(ABS(BU397-[3]QC_indicators!$B$2)&gt;3*[3]QC_indicators!$C$2,"C ratio",IF(ISNUMBER(BY397),IF(ABS(BY397-[3]QC_indicators!$B$1)&gt;3*[3]QC_indicators!$C$1,"DF","no"))),IF(ISNUMBER(BY397),IF(ABS(BY397-[3]QC_indicators!$B$1)&gt;3*[3]QC_indicators!$C$1,"DF","no")))</f>
        <v>no</v>
      </c>
      <c r="EQ397"/>
      <c r="ER397" s="149"/>
      <c r="ES397"/>
      <c r="ET397" s="264" t="s">
        <v>3407</v>
      </c>
      <c r="EU397"/>
    </row>
    <row r="398" spans="1:151" s="139" customFormat="1" ht="15" customHeight="1">
      <c r="A398" s="1" t="s">
        <v>587</v>
      </c>
      <c r="B398" t="s">
        <v>1448</v>
      </c>
      <c r="C398" t="s">
        <v>1449</v>
      </c>
      <c r="D398" t="s">
        <v>1450</v>
      </c>
      <c r="E398" t="s">
        <v>1451</v>
      </c>
      <c r="F398" t="s">
        <v>1452</v>
      </c>
      <c r="G398" t="s">
        <v>593</v>
      </c>
      <c r="H398" t="s">
        <v>254</v>
      </c>
      <c r="I398">
        <v>2020</v>
      </c>
      <c r="J398">
        <v>12</v>
      </c>
      <c r="K398" t="s">
        <v>1453</v>
      </c>
      <c r="L398"/>
      <c r="M398" t="str">
        <f>LEFT($D398,FIND(",",$D398)-1)&amp;"_"&amp;I398&amp;L398</f>
        <v>Elisa_2020</v>
      </c>
      <c r="N398" s="264" t="s">
        <v>222</v>
      </c>
      <c r="O398" s="171" t="s">
        <v>274</v>
      </c>
      <c r="P398" t="s">
        <v>223</v>
      </c>
      <c r="Q398" s="264" t="s">
        <v>389</v>
      </c>
      <c r="R398" s="269" t="s">
        <v>1154</v>
      </c>
      <c r="S398" s="154" t="s">
        <v>1454</v>
      </c>
      <c r="T398" s="294" t="s">
        <v>1455</v>
      </c>
      <c r="U398" s="143" t="s">
        <v>1488</v>
      </c>
      <c r="V398">
        <v>0</v>
      </c>
      <c r="W398">
        <v>0</v>
      </c>
      <c r="X398">
        <v>0</v>
      </c>
      <c r="Y398">
        <v>0</v>
      </c>
      <c r="Z398">
        <v>0</v>
      </c>
      <c r="AA398">
        <v>0</v>
      </c>
      <c r="AB398">
        <v>0</v>
      </c>
      <c r="AC398">
        <v>0</v>
      </c>
      <c r="AD398">
        <v>0</v>
      </c>
      <c r="AE398">
        <v>1</v>
      </c>
      <c r="AF398">
        <v>0</v>
      </c>
      <c r="AG398">
        <v>0</v>
      </c>
      <c r="AH398">
        <v>0</v>
      </c>
      <c r="AI398">
        <v>0</v>
      </c>
      <c r="AJ398">
        <v>0</v>
      </c>
      <c r="AK398">
        <v>1</v>
      </c>
      <c r="AL398">
        <v>0</v>
      </c>
      <c r="AM398">
        <v>0</v>
      </c>
      <c r="AN398">
        <v>0</v>
      </c>
      <c r="AO398">
        <v>0</v>
      </c>
      <c r="AP398">
        <v>0</v>
      </c>
      <c r="AQ398">
        <v>0</v>
      </c>
      <c r="AR398">
        <v>0</v>
      </c>
      <c r="AS398">
        <v>0</v>
      </c>
      <c r="AT398">
        <v>0</v>
      </c>
      <c r="AU398">
        <v>0</v>
      </c>
      <c r="AV398">
        <v>0</v>
      </c>
      <c r="AW398">
        <v>0</v>
      </c>
      <c r="AX398" s="141">
        <f>COUNTIF(V398:AW398,"&lt;&gt;0")</f>
        <v>2</v>
      </c>
      <c r="AY398" s="141">
        <f>COUNTIF(V398:AL398,"&lt;&gt;0")</f>
        <v>2</v>
      </c>
      <c r="AZ398">
        <f>COUNTIF(V398:AC398,"&lt;&gt;0")</f>
        <v>0</v>
      </c>
      <c r="BA398">
        <f>COUNTIF(AD398:AI398,"&lt;&gt;0")</f>
        <v>1</v>
      </c>
      <c r="BB398">
        <f>COUNTIF(AJ398:AL398,"&lt;&gt;0")</f>
        <v>1</v>
      </c>
      <c r="BC398">
        <f>COUNTIF(AS398:AW398,"&lt;&gt;0")</f>
        <v>0</v>
      </c>
      <c r="BD398">
        <f>COUNTIF(AM398:AR398,"&lt;&gt;0")</f>
        <v>0</v>
      </c>
      <c r="BE398" t="str" cm="1">
        <f t="array" ref="BE398">IF(AY398=1,INDEX($V$7:$AL$7,MATCH(TRUE,INDEX($V398:$AW398&lt;&gt;0,),0)),IF(AY398=0,INDEX($AM$7:$AW$7,MATCH(1,$AM398:$AW398,0)),IF(BF398="Multiple strategies","mixed drivers",IF(BF398="Supply chain","multiple supply","multiple silviculture"))))</f>
        <v>mixed drivers</v>
      </c>
      <c r="BF398" s="2" t="str" cm="1">
        <f t="array" ref="BF398">IF(COUNTIF(AZ398:BB398,"&lt;&gt;0")=1,INDEX($V$4:$AW$4,MATCH(TRUE,INDEX($V398:$AW398&lt;&gt;0,),0)),IF(COUNTIF(AZ398:BB398,"&lt;&gt;0")=0,INDEX($AM$4:$AW$4,MATCH(1,$AM398:$AW398,0)),"Multiple strategies"))</f>
        <v>Multiple strategies</v>
      </c>
      <c r="BG398" s="142" t="s">
        <v>321</v>
      </c>
      <c r="BH398" s="160" t="s">
        <v>1457</v>
      </c>
      <c r="BI398" s="160" t="s">
        <v>1458</v>
      </c>
      <c r="BJ398" s="143" t="s">
        <v>498</v>
      </c>
      <c r="BK398" s="143">
        <v>944</v>
      </c>
      <c r="BL398" s="143">
        <v>4000</v>
      </c>
      <c r="BM398">
        <f>IFERROR(BL399/BK398,"")</f>
        <v>21.1864406779661</v>
      </c>
      <c r="BN398">
        <f>BL398-BK398</f>
        <v>3056</v>
      </c>
      <c r="BO398" s="159">
        <f>BN398</f>
        <v>3056</v>
      </c>
      <c r="BP398" s="155" t="s">
        <v>232</v>
      </c>
      <c r="BQ398" s="155" t="s">
        <v>1459</v>
      </c>
      <c r="BR398" s="155" t="s">
        <v>825</v>
      </c>
      <c r="BS398" s="143" t="s">
        <v>1477</v>
      </c>
      <c r="BT398" t="s">
        <v>1521</v>
      </c>
      <c r="BU398" s="144">
        <f>BT398/BS398</f>
        <v>3.9618378951177298</v>
      </c>
      <c r="BV398">
        <f>BT398-BS398</f>
        <v>-0.318323527777778</v>
      </c>
      <c r="BW398"/>
      <c r="BX398">
        <f>BV398</f>
        <v>-0.318323527777778</v>
      </c>
      <c r="BY398">
        <f>IFERROR(BX398/BO398,"")</f>
        <v>-1.0416345804246663E-4</v>
      </c>
      <c r="BZ398">
        <v>0</v>
      </c>
      <c r="CA398">
        <v>0</v>
      </c>
      <c r="CB398">
        <v>0</v>
      </c>
      <c r="CC398">
        <v>0</v>
      </c>
      <c r="CD398">
        <v>0</v>
      </c>
      <c r="CE398">
        <v>0</v>
      </c>
      <c r="CF398">
        <v>0</v>
      </c>
      <c r="CG398">
        <v>0</v>
      </c>
      <c r="CH398">
        <v>0</v>
      </c>
      <c r="CI398">
        <v>0</v>
      </c>
      <c r="CJ398">
        <v>0</v>
      </c>
      <c r="CK398">
        <v>0</v>
      </c>
      <c r="CL398">
        <v>0</v>
      </c>
      <c r="CM398">
        <v>0</v>
      </c>
      <c r="CN398" t="str">
        <f>IF($BL398&lt;$BK398,"refNeedCorrection","refOK")</f>
        <v>refOK</v>
      </c>
      <c r="CO398">
        <f>IF($CN398="refOK",$BK398,$BL398)</f>
        <v>944</v>
      </c>
      <c r="CP398">
        <f>IF($CN398="refOK",$BL398,$BK398)</f>
        <v>4000</v>
      </c>
      <c r="CQ398">
        <f>IF($CN398="refOK",$BO398,-$BO398)</f>
        <v>3056</v>
      </c>
      <c r="CR398">
        <f>IF($CN398="refOK",$BS398,$BT398)*IF($BP398="Emissions positive",-1,1)</f>
        <v>-0.107475</v>
      </c>
      <c r="CS398">
        <f>IF($CN398="refOK",$BT398,$BS398)*IF($BP398="Emissions positive",-1,1)</f>
        <v>-0.42579852777777799</v>
      </c>
      <c r="CT398">
        <f>IF($CN398="refNeedCorrection",-BX398,BX398)*IF($BP398="Emissions positive",-1,1)</f>
        <v>-0.318323527777778</v>
      </c>
      <c r="CU398">
        <f>IFERROR(CT398/CQ398,"")</f>
        <v>-1.0416345804246663E-4</v>
      </c>
      <c r="CV398" s="2">
        <f>IFERROR((CS398-CR398)/ABS(CR398),"")</f>
        <v>-2.9618378951177298</v>
      </c>
      <c r="CW398" s="263" t="s">
        <v>1462</v>
      </c>
      <c r="CX398" s="264" t="str">
        <f>IF(OR($CW398="prd",$CW398="std",$CW398="cit"),"loc",IF(OR($CW398="eur",$CW398="reg",$CW398="coy"),"reg",$CW398))</f>
        <v>reg</v>
      </c>
      <c r="CY398" s="270" t="s">
        <v>743</v>
      </c>
      <c r="CZ398"/>
      <c r="DA398" s="143"/>
      <c r="DB398" s="143">
        <v>0</v>
      </c>
      <c r="DC398" t="str">
        <f>IF(DB398=0,"0",IF(AND(DB398&gt;=1,DB398&lt;=30),"1-30",IF(AND(DB398&gt;30,DB398&lt;=70),"31-70",IF(AND(DB398&gt;70,DB398&lt;=100),"71-100",IF(DB398&gt;100,"+100")))))</f>
        <v>0</v>
      </c>
      <c r="DD398">
        <v>0</v>
      </c>
      <c r="DE398">
        <v>1</v>
      </c>
      <c r="DF398">
        <v>0</v>
      </c>
      <c r="DG398">
        <v>0</v>
      </c>
      <c r="DH398">
        <v>0</v>
      </c>
      <c r="DI398">
        <f>SUM(DD398:DH398)</f>
        <v>1</v>
      </c>
      <c r="DJ398" t="str">
        <f>IF(DI398=1,INDEX($DD$7:$DG$7,MATCH(1,$DD398:$DG398,0)),"mixedProduct")</f>
        <v>EnergyInput</v>
      </c>
      <c r="DK398">
        <f>IF(DD398=1,DK$7,0)</f>
        <v>0</v>
      </c>
      <c r="DL398" t="str">
        <f>IF(DE398=1,DL$7,0)</f>
        <v>Energy</v>
      </c>
      <c r="DM398">
        <f>IF(DF398=1,DM$7,0)</f>
        <v>0</v>
      </c>
      <c r="DN398">
        <f>IF(DG398=1,DN$7,0)</f>
        <v>0</v>
      </c>
      <c r="DO398">
        <v>0</v>
      </c>
      <c r="DP398" s="143">
        <v>0</v>
      </c>
      <c r="DQ398" s="143">
        <v>0</v>
      </c>
      <c r="DR398">
        <v>0</v>
      </c>
      <c r="DS398" s="143">
        <v>0</v>
      </c>
      <c r="DT398">
        <f>SUM(DO398:DP398)</f>
        <v>0</v>
      </c>
      <c r="DU398" s="143" t="str">
        <f>IF(DO398=1,"self-calculated DF",IF(DP398=1,"external DF used","explicit C balance"))</f>
        <v>explicit C balance</v>
      </c>
      <c r="DV398" s="143">
        <v>0</v>
      </c>
      <c r="DW398" s="143">
        <v>0</v>
      </c>
      <c r="DX398" s="143">
        <v>0</v>
      </c>
      <c r="DY398" s="143">
        <v>0</v>
      </c>
      <c r="DZ398">
        <v>0</v>
      </c>
      <c r="EA398" s="143">
        <v>0</v>
      </c>
      <c r="EB398" s="143">
        <v>1</v>
      </c>
      <c r="EC398" s="143">
        <v>0</v>
      </c>
      <c r="ED398" s="143">
        <v>0</v>
      </c>
      <c r="EE398">
        <v>0</v>
      </c>
      <c r="EF398">
        <v>0</v>
      </c>
      <c r="EG398" s="143">
        <v>0</v>
      </c>
      <c r="EH398" s="143">
        <v>0</v>
      </c>
      <c r="EI398" s="2">
        <v>0</v>
      </c>
      <c r="EJ398" s="1"/>
      <c r="EK398" t="str">
        <f>IF(AND(AND(AND(OR($DX398=1,$DW398=1),OR($EC398=1,$EA398=1)),SUM($DV398:$DZ398,$EF398)&gt;=4),SUM($EA398:$EE398)&gt;=2),"Whole sector","")</f>
        <v/>
      </c>
      <c r="EL398" t="str">
        <f>IF(AND(AND(OR($DX398=1,$DW398=1),AND($EC398=0,$EA398=0)),SUM($DV398:$DZ398,$EF398)&gt;=4),"Ecosystem approach","")</f>
        <v/>
      </c>
      <c r="EM398" s="2" t="str">
        <f>IF(AND(AND(AND($DX398=0,$DW398=0),OR($EC398=1,$EA398=1)),SUM($EB398:$EE398)&gt;=2),"Technology approach","")</f>
        <v/>
      </c>
      <c r="EN398"/>
      <c r="EO398"/>
      <c r="EP398" t="str">
        <f>IF(ISNUMBER(BU398),IF(ABS(BU398-[3]QC_indicators!$B$2)&gt;3*[3]QC_indicators!$C$2,"C ratio",IF(ISNUMBER(BY398),IF(ABS(BY398-[3]QC_indicators!$B$1)&gt;3*[3]QC_indicators!$C$1,"DF","no"))),IF(ISNUMBER(BY398),IF(ABS(BY398-[3]QC_indicators!$B$1)&gt;3*[3]QC_indicators!$C$1,"DF","no")))</f>
        <v>no</v>
      </c>
      <c r="EQ398"/>
      <c r="ER398" s="149"/>
      <c r="ES398"/>
      <c r="ET398" s="264" t="s">
        <v>3407</v>
      </c>
      <c r="EU398"/>
    </row>
    <row r="399" spans="1:151" s="139" customFormat="1" ht="15" customHeight="1">
      <c r="A399" s="1" t="s">
        <v>587</v>
      </c>
      <c r="B399" t="s">
        <v>1448</v>
      </c>
      <c r="C399" t="s">
        <v>1449</v>
      </c>
      <c r="D399" t="s">
        <v>1450</v>
      </c>
      <c r="E399" t="s">
        <v>1451</v>
      </c>
      <c r="F399" t="s">
        <v>1452</v>
      </c>
      <c r="G399" t="s">
        <v>593</v>
      </c>
      <c r="H399" t="s">
        <v>254</v>
      </c>
      <c r="I399">
        <v>2020</v>
      </c>
      <c r="J399">
        <v>12</v>
      </c>
      <c r="K399" t="s">
        <v>1453</v>
      </c>
      <c r="L399"/>
      <c r="M399" t="str">
        <f>LEFT($D399,FIND(",",$D399)-1)&amp;"_"&amp;I399&amp;L399</f>
        <v>Elisa_2020</v>
      </c>
      <c r="N399" s="264" t="s">
        <v>222</v>
      </c>
      <c r="O399" s="171" t="s">
        <v>274</v>
      </c>
      <c r="P399" t="s">
        <v>223</v>
      </c>
      <c r="Q399" s="264" t="s">
        <v>389</v>
      </c>
      <c r="R399" s="269" t="s">
        <v>1154</v>
      </c>
      <c r="S399" s="154" t="s">
        <v>1454</v>
      </c>
      <c r="T399" s="294" t="s">
        <v>1455</v>
      </c>
      <c r="U399" s="143" t="s">
        <v>1468</v>
      </c>
      <c r="V399">
        <v>0</v>
      </c>
      <c r="W399">
        <v>0</v>
      </c>
      <c r="X399">
        <v>0</v>
      </c>
      <c r="Y399">
        <v>0</v>
      </c>
      <c r="Z399">
        <v>0</v>
      </c>
      <c r="AA399">
        <v>0</v>
      </c>
      <c r="AB399">
        <v>0</v>
      </c>
      <c r="AC399">
        <v>0</v>
      </c>
      <c r="AD399">
        <v>0</v>
      </c>
      <c r="AE399">
        <v>1</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s="141">
        <f>COUNTIF(V399:AW399,"&lt;&gt;0")</f>
        <v>1</v>
      </c>
      <c r="AY399" s="141">
        <f>COUNTIF(V399:AL399,"&lt;&gt;0")</f>
        <v>1</v>
      </c>
      <c r="AZ399">
        <f>COUNTIF(V399:AC399,"&lt;&gt;0")</f>
        <v>0</v>
      </c>
      <c r="BA399">
        <f>COUNTIF(AD399:AI399,"&lt;&gt;0")</f>
        <v>1</v>
      </c>
      <c r="BB399">
        <f>COUNTIF(AJ399:AL399,"&lt;&gt;0")</f>
        <v>0</v>
      </c>
      <c r="BC399">
        <f>COUNTIF(AS399:AW399,"&lt;&gt;0")</f>
        <v>0</v>
      </c>
      <c r="BD399">
        <f>COUNTIF(AM399:AR399,"&lt;&gt;0")</f>
        <v>0</v>
      </c>
      <c r="BE399" t="str" cm="1">
        <f t="array" ref="BE399">IF(AY399=1,INDEX($V$7:$AL$7,MATCH(TRUE,INDEX($V399:$AW399&lt;&gt;0,),0)),IF(AY399=0,INDEX($AM$7:$AW$7,MATCH(1,$AM399:$AW399,0)),IF(BF399="Multiple strategies","mixed drivers",IF(BF399="Supply chain","multiple supply","multiple silviculture"))))</f>
        <v>location of industry</v>
      </c>
      <c r="BF399" s="2" t="str" cm="1">
        <f t="array" ref="BF399">IF(COUNTIF(AZ399:BB399,"&lt;&gt;0")=1,INDEX($V$4:$AW$4,MATCH(TRUE,INDEX($V399:$AW399&lt;&gt;0,),0)),IF(COUNTIF(AZ399:BB399,"&lt;&gt;0")=0,INDEX($AM$4:$AW$4,MATCH(1,$AM399:$AW399,0)),"Multiple strategies"))</f>
        <v>Supply chain</v>
      </c>
      <c r="BG399" s="142" t="s">
        <v>321</v>
      </c>
      <c r="BH399" s="160" t="s">
        <v>1457</v>
      </c>
      <c r="BI399" s="160" t="s">
        <v>1458</v>
      </c>
      <c r="BJ399" s="143" t="s">
        <v>498</v>
      </c>
      <c r="BK399" s="143">
        <v>944</v>
      </c>
      <c r="BL399" s="143">
        <v>20000</v>
      </c>
      <c r="BM399">
        <f>IFERROR(BL400/BK399,"")</f>
        <v>5.1239406779661021</v>
      </c>
      <c r="BN399">
        <f>BL399-BK399</f>
        <v>19056</v>
      </c>
      <c r="BO399" s="159">
        <f>BN399</f>
        <v>19056</v>
      </c>
      <c r="BP399" s="155" t="s">
        <v>232</v>
      </c>
      <c r="BQ399" s="155" t="s">
        <v>1459</v>
      </c>
      <c r="BR399" s="155" t="s">
        <v>825</v>
      </c>
      <c r="BS399" s="143" t="s">
        <v>1477</v>
      </c>
      <c r="BT399" t="s">
        <v>1482</v>
      </c>
      <c r="BU399" s="144">
        <f>BT399/BS399</f>
        <v>19.384352950298489</v>
      </c>
      <c r="BV399">
        <f>BT399-BS399</f>
        <v>-1.9758583333333299</v>
      </c>
      <c r="BW399"/>
      <c r="BX399">
        <f>BV399</f>
        <v>-1.9758583333333299</v>
      </c>
      <c r="BY399">
        <f>IFERROR(BX399/BO399,"")</f>
        <v>-1.0368694024629145E-4</v>
      </c>
      <c r="BZ399">
        <v>0</v>
      </c>
      <c r="CA399">
        <v>0</v>
      </c>
      <c r="CB399">
        <v>0</v>
      </c>
      <c r="CC399">
        <v>0</v>
      </c>
      <c r="CD399">
        <v>0</v>
      </c>
      <c r="CE399">
        <v>0</v>
      </c>
      <c r="CF399">
        <v>0</v>
      </c>
      <c r="CG399">
        <v>0</v>
      </c>
      <c r="CH399">
        <v>0</v>
      </c>
      <c r="CI399">
        <v>0</v>
      </c>
      <c r="CJ399">
        <v>0</v>
      </c>
      <c r="CK399">
        <v>0</v>
      </c>
      <c r="CL399">
        <v>0</v>
      </c>
      <c r="CM399">
        <v>0</v>
      </c>
      <c r="CN399" t="str">
        <f>IF($BL399&lt;$BK399,"refNeedCorrection","refOK")</f>
        <v>refOK</v>
      </c>
      <c r="CO399">
        <f>IF($CN399="refOK",$BK399,$BL399)</f>
        <v>944</v>
      </c>
      <c r="CP399">
        <f>IF($CN399="refOK",$BL399,$BK399)</f>
        <v>20000</v>
      </c>
      <c r="CQ399">
        <f>IF($CN399="refOK",$BO399,-$BO399)</f>
        <v>19056</v>
      </c>
      <c r="CR399">
        <f>IF($CN399="refOK",$BS399,$BT399)*IF($BP399="Emissions positive",-1,1)</f>
        <v>-0.107475</v>
      </c>
      <c r="CS399">
        <f>IF($CN399="refOK",$BT399,$BS399)*IF($BP399="Emissions positive",-1,1)</f>
        <v>-2.0833333333333299</v>
      </c>
      <c r="CT399">
        <f>IF($CN399="refNeedCorrection",-BX399,BX399)*IF($BP399="Emissions positive",-1,1)</f>
        <v>-1.9758583333333299</v>
      </c>
      <c r="CU399">
        <f>IFERROR(CT399/CQ399,"")</f>
        <v>-1.0368694024629145E-4</v>
      </c>
      <c r="CV399" s="2">
        <f>IFERROR((CS399-CR399)/ABS(CR399),"")</f>
        <v>-18.384352950298489</v>
      </c>
      <c r="CW399" s="263" t="s">
        <v>1462</v>
      </c>
      <c r="CX399" s="264" t="str">
        <f>IF(OR($CW399="prd",$CW399="std",$CW399="cit"),"loc",IF(OR($CW399="eur",$CW399="reg",$CW399="coy"),"reg",$CW399))</f>
        <v>reg</v>
      </c>
      <c r="CY399" s="270" t="s">
        <v>743</v>
      </c>
      <c r="CZ399"/>
      <c r="DA399" s="143"/>
      <c r="DB399" s="143">
        <v>0</v>
      </c>
      <c r="DC399" t="str">
        <f>IF(DB399=0,"0",IF(AND(DB399&gt;=1,DB399&lt;=30),"1-30",IF(AND(DB399&gt;30,DB399&lt;=70),"31-70",IF(AND(DB399&gt;70,DB399&lt;=100),"71-100",IF(DB399&gt;100,"+100")))))</f>
        <v>0</v>
      </c>
      <c r="DD399">
        <v>0</v>
      </c>
      <c r="DE399">
        <v>1</v>
      </c>
      <c r="DF399">
        <v>0</v>
      </c>
      <c r="DG399">
        <v>0</v>
      </c>
      <c r="DH399">
        <v>0</v>
      </c>
      <c r="DI399">
        <f>SUM(DD399:DH399)</f>
        <v>1</v>
      </c>
      <c r="DJ399" t="str">
        <f>IF(DI399=1,INDEX($DD$7:$DG$7,MATCH(1,$DD399:$DG399,0)),"mixedProduct")</f>
        <v>EnergyInput</v>
      </c>
      <c r="DK399">
        <f>IF(DD399=1,DK$7,0)</f>
        <v>0</v>
      </c>
      <c r="DL399" t="str">
        <f>IF(DE399=1,DL$7,0)</f>
        <v>Energy</v>
      </c>
      <c r="DM399">
        <f>IF(DF399=1,DM$7,0)</f>
        <v>0</v>
      </c>
      <c r="DN399">
        <f>IF(DG399=1,DN$7,0)</f>
        <v>0</v>
      </c>
      <c r="DO399">
        <v>0</v>
      </c>
      <c r="DP399" s="143">
        <v>0</v>
      </c>
      <c r="DQ399" s="143">
        <v>0</v>
      </c>
      <c r="DR399">
        <v>0</v>
      </c>
      <c r="DS399" s="143">
        <v>0</v>
      </c>
      <c r="DT399">
        <f>SUM(DO399:DP399)</f>
        <v>0</v>
      </c>
      <c r="DU399" s="143" t="str">
        <f>IF(DO399=1,"self-calculated DF",IF(DP399=1,"external DF used","explicit C balance"))</f>
        <v>explicit C balance</v>
      </c>
      <c r="DV399" s="143">
        <v>0</v>
      </c>
      <c r="DW399" s="143">
        <v>0</v>
      </c>
      <c r="DX399" s="143">
        <v>0</v>
      </c>
      <c r="DY399" s="143">
        <v>0</v>
      </c>
      <c r="DZ399">
        <v>0</v>
      </c>
      <c r="EA399" s="143">
        <v>0</v>
      </c>
      <c r="EB399" s="143">
        <v>1</v>
      </c>
      <c r="EC399" s="143">
        <v>0</v>
      </c>
      <c r="ED399" s="143">
        <v>0</v>
      </c>
      <c r="EE399">
        <v>0</v>
      </c>
      <c r="EF399">
        <v>0</v>
      </c>
      <c r="EG399" s="143">
        <v>0</v>
      </c>
      <c r="EH399" s="143">
        <v>0</v>
      </c>
      <c r="EI399" s="2">
        <v>0</v>
      </c>
      <c r="EJ399" s="1"/>
      <c r="EK399" t="str">
        <f>IF(AND(AND(AND(OR($DX399=1,$DW399=1),OR($EC399=1,$EA399=1)),SUM($DV399:$DZ399,$EF399)&gt;=4),SUM($EA399:$EE399)&gt;=2),"Whole sector","")</f>
        <v/>
      </c>
      <c r="EL399" t="str">
        <f>IF(AND(AND(OR($DX399=1,$DW399=1),AND($EC399=0,$EA399=0)),SUM($DV399:$DZ399,$EF399)&gt;=4),"Ecosystem approach","")</f>
        <v/>
      </c>
      <c r="EM399" s="2" t="str">
        <f>IF(AND(AND(AND($DX399=0,$DW399=0),OR($EC399=1,$EA399=1)),SUM($EB399:$EE399)&gt;=2),"Technology approach","")</f>
        <v/>
      </c>
      <c r="EN399"/>
      <c r="EO399"/>
      <c r="EP399" t="str">
        <f>IF(ISNUMBER(BU399),IF(ABS(BU399-[3]QC_indicators!$B$2)&gt;3*[3]QC_indicators!$C$2,"C ratio",IF(ISNUMBER(BY399),IF(ABS(BY399-[3]QC_indicators!$B$1)&gt;3*[3]QC_indicators!$C$1,"DF","no"))),IF(ISNUMBER(BY399),IF(ABS(BY399-[3]QC_indicators!$B$1)&gt;3*[3]QC_indicators!$C$1,"DF","no")))</f>
        <v>no</v>
      </c>
      <c r="EQ399"/>
      <c r="ER399" s="149"/>
      <c r="ES399"/>
      <c r="ET399" s="264" t="s">
        <v>3407</v>
      </c>
      <c r="EU399"/>
    </row>
    <row r="400" spans="1:151" s="139" customFormat="1" ht="15" customHeight="1">
      <c r="A400" s="1" t="s">
        <v>587</v>
      </c>
      <c r="B400" t="s">
        <v>1448</v>
      </c>
      <c r="C400" t="s">
        <v>1449</v>
      </c>
      <c r="D400" t="s">
        <v>1450</v>
      </c>
      <c r="E400" t="s">
        <v>1451</v>
      </c>
      <c r="F400" t="s">
        <v>1452</v>
      </c>
      <c r="G400" t="s">
        <v>593</v>
      </c>
      <c r="H400" t="s">
        <v>254</v>
      </c>
      <c r="I400">
        <v>2020</v>
      </c>
      <c r="J400">
        <v>12</v>
      </c>
      <c r="K400" t="s">
        <v>1453</v>
      </c>
      <c r="L400"/>
      <c r="M400" t="str">
        <f>LEFT($D400,FIND(",",$D400)-1)&amp;"_"&amp;I400&amp;L400</f>
        <v>Elisa_2020</v>
      </c>
      <c r="N400" s="264" t="s">
        <v>222</v>
      </c>
      <c r="O400" s="171" t="s">
        <v>274</v>
      </c>
      <c r="P400" t="s">
        <v>223</v>
      </c>
      <c r="Q400" s="264" t="s">
        <v>389</v>
      </c>
      <c r="R400" s="269" t="s">
        <v>1154</v>
      </c>
      <c r="S400" s="154" t="s">
        <v>1454</v>
      </c>
      <c r="T400" s="294" t="s">
        <v>1455</v>
      </c>
      <c r="U400" s="143" t="s">
        <v>1496</v>
      </c>
      <c r="V400">
        <v>0</v>
      </c>
      <c r="W400">
        <v>0</v>
      </c>
      <c r="X400">
        <v>0</v>
      </c>
      <c r="Y400">
        <v>0</v>
      </c>
      <c r="Z400">
        <v>0</v>
      </c>
      <c r="AA400">
        <v>0</v>
      </c>
      <c r="AB400">
        <v>0</v>
      </c>
      <c r="AC400">
        <v>0</v>
      </c>
      <c r="AD400">
        <v>0</v>
      </c>
      <c r="AE400">
        <v>1</v>
      </c>
      <c r="AF400">
        <v>0</v>
      </c>
      <c r="AG400">
        <v>0</v>
      </c>
      <c r="AH400">
        <v>0</v>
      </c>
      <c r="AI400">
        <v>0</v>
      </c>
      <c r="AJ400">
        <v>0</v>
      </c>
      <c r="AK400">
        <v>1</v>
      </c>
      <c r="AL400">
        <v>0</v>
      </c>
      <c r="AM400">
        <v>0</v>
      </c>
      <c r="AN400">
        <v>0</v>
      </c>
      <c r="AO400">
        <v>0</v>
      </c>
      <c r="AP400">
        <v>0</v>
      </c>
      <c r="AQ400">
        <v>0</v>
      </c>
      <c r="AR400">
        <v>0</v>
      </c>
      <c r="AS400">
        <v>0</v>
      </c>
      <c r="AT400">
        <v>0</v>
      </c>
      <c r="AU400">
        <v>0</v>
      </c>
      <c r="AV400">
        <v>0</v>
      </c>
      <c r="AW400">
        <v>0</v>
      </c>
      <c r="AX400" s="141">
        <f>COUNTIF(V400:AW400,"&lt;&gt;0")</f>
        <v>2</v>
      </c>
      <c r="AY400" s="141">
        <f>COUNTIF(V400:AL400,"&lt;&gt;0")</f>
        <v>2</v>
      </c>
      <c r="AZ400">
        <f>COUNTIF(V400:AC400,"&lt;&gt;0")</f>
        <v>0</v>
      </c>
      <c r="BA400">
        <f>COUNTIF(AD400:AI400,"&lt;&gt;0")</f>
        <v>1</v>
      </c>
      <c r="BB400">
        <f>COUNTIF(AJ400:AL400,"&lt;&gt;0")</f>
        <v>1</v>
      </c>
      <c r="BC400">
        <f>COUNTIF(AS400:AW400,"&lt;&gt;0")</f>
        <v>0</v>
      </c>
      <c r="BD400">
        <f>COUNTIF(AM400:AR400,"&lt;&gt;0")</f>
        <v>0</v>
      </c>
      <c r="BE400" t="str" cm="1">
        <f t="array" ref="BE400">IF(AY400=1,INDEX($V$7:$AL$7,MATCH(TRUE,INDEX($V400:$AW400&lt;&gt;0,),0)),IF(AY400=0,INDEX($AM$7:$AW$7,MATCH(1,$AM400:$AW400,0)),IF(BF400="Multiple strategies","mixed drivers",IF(BF400="Supply chain","multiple supply","multiple silviculture"))))</f>
        <v>mixed drivers</v>
      </c>
      <c r="BF400" s="2" t="str" cm="1">
        <f t="array" ref="BF400">IF(COUNTIF(AZ400:BB400,"&lt;&gt;0")=1,INDEX($V$4:$AW$4,MATCH(TRUE,INDEX($V400:$AW400&lt;&gt;0,),0)),IF(COUNTIF(AZ400:BB400,"&lt;&gt;0")=0,INDEX($AM$4:$AW$4,MATCH(1,$AM400:$AW400,0)),"Multiple strategies"))</f>
        <v>Multiple strategies</v>
      </c>
      <c r="BG400" s="142" t="s">
        <v>321</v>
      </c>
      <c r="BH400" s="160" t="s">
        <v>1457</v>
      </c>
      <c r="BI400" s="160" t="s">
        <v>1458</v>
      </c>
      <c r="BJ400" s="143" t="s">
        <v>498</v>
      </c>
      <c r="BK400" s="143">
        <v>944</v>
      </c>
      <c r="BL400" s="143">
        <v>4837</v>
      </c>
      <c r="BM400">
        <f>IFERROR(BL401/BK400,"")</f>
        <v>6.0105854597457625E-2</v>
      </c>
      <c r="BN400">
        <f>BL400-BK400</f>
        <v>3893</v>
      </c>
      <c r="BO400" s="159">
        <f>BN400</f>
        <v>3893</v>
      </c>
      <c r="BP400" s="155" t="s">
        <v>232</v>
      </c>
      <c r="BQ400" s="155" t="s">
        <v>1459</v>
      </c>
      <c r="BR400" s="155" t="s">
        <v>825</v>
      </c>
      <c r="BS400" s="143" t="s">
        <v>1477</v>
      </c>
      <c r="BT400" t="s">
        <v>1522</v>
      </c>
      <c r="BU400" s="144">
        <f>BT400/BS400</f>
        <v>4.4271889586725566</v>
      </c>
      <c r="BV400">
        <f>BT400-BS400</f>
        <v>-0.36833713333333301</v>
      </c>
      <c r="BW400"/>
      <c r="BX400">
        <f>BV400</f>
        <v>-0.36833713333333301</v>
      </c>
      <c r="BY400">
        <f>IFERROR(BX400/BO400,"")</f>
        <v>-9.4615241030910103E-5</v>
      </c>
      <c r="BZ400">
        <v>0</v>
      </c>
      <c r="CA400">
        <v>0</v>
      </c>
      <c r="CB400">
        <v>0</v>
      </c>
      <c r="CC400">
        <v>0</v>
      </c>
      <c r="CD400">
        <v>0</v>
      </c>
      <c r="CE400">
        <v>0</v>
      </c>
      <c r="CF400">
        <v>0</v>
      </c>
      <c r="CG400">
        <v>0</v>
      </c>
      <c r="CH400">
        <v>0</v>
      </c>
      <c r="CI400">
        <v>0</v>
      </c>
      <c r="CJ400">
        <v>0</v>
      </c>
      <c r="CK400">
        <v>0</v>
      </c>
      <c r="CL400">
        <v>0</v>
      </c>
      <c r="CM400">
        <v>0</v>
      </c>
      <c r="CN400" t="str">
        <f>IF($BL400&lt;$BK400,"refNeedCorrection","refOK")</f>
        <v>refOK</v>
      </c>
      <c r="CO400">
        <f>IF($CN400="refOK",$BK400,$BL400)</f>
        <v>944</v>
      </c>
      <c r="CP400">
        <f>IF($CN400="refOK",$BL400,$BK400)</f>
        <v>4837</v>
      </c>
      <c r="CQ400">
        <f>IF($CN400="refOK",$BO400,-$BO400)</f>
        <v>3893</v>
      </c>
      <c r="CR400">
        <f>IF($CN400="refOK",$BS400,$BT400)*IF($BP400="Emissions positive",-1,1)</f>
        <v>-0.107475</v>
      </c>
      <c r="CS400">
        <f>IF($CN400="refOK",$BT400,$BS400)*IF($BP400="Emissions positive",-1,1)</f>
        <v>-0.475812133333333</v>
      </c>
      <c r="CT400">
        <f>IF($CN400="refNeedCorrection",-BX400,BX400)*IF($BP400="Emissions positive",-1,1)</f>
        <v>-0.36833713333333301</v>
      </c>
      <c r="CU400">
        <f>IFERROR(CT400/CQ400,"")</f>
        <v>-9.4615241030910103E-5</v>
      </c>
      <c r="CV400" s="2">
        <f>IFERROR((CS400-CR400)/ABS(CR400),"")</f>
        <v>-3.4271889586725566</v>
      </c>
      <c r="CW400" s="263" t="s">
        <v>1462</v>
      </c>
      <c r="CX400" s="264" t="str">
        <f>IF(OR($CW400="prd",$CW400="std",$CW400="cit"),"loc",IF(OR($CW400="eur",$CW400="reg",$CW400="coy"),"reg",$CW400))</f>
        <v>reg</v>
      </c>
      <c r="CY400" s="270" t="s">
        <v>743</v>
      </c>
      <c r="CZ400"/>
      <c r="DA400" s="143"/>
      <c r="DB400" s="143">
        <v>0</v>
      </c>
      <c r="DC400" t="str">
        <f>IF(DB400=0,"0",IF(AND(DB400&gt;=1,DB400&lt;=30),"1-30",IF(AND(DB400&gt;30,DB400&lt;=70),"31-70",IF(AND(DB400&gt;70,DB400&lt;=100),"71-100",IF(DB400&gt;100,"+100")))))</f>
        <v>0</v>
      </c>
      <c r="DD400">
        <v>0</v>
      </c>
      <c r="DE400">
        <v>1</v>
      </c>
      <c r="DF400">
        <v>0</v>
      </c>
      <c r="DG400">
        <v>0</v>
      </c>
      <c r="DH400">
        <v>0</v>
      </c>
      <c r="DI400">
        <f>SUM(DD400:DH400)</f>
        <v>1</v>
      </c>
      <c r="DJ400" t="str">
        <f>IF(DI400=1,INDEX($DD$7:$DG$7,MATCH(1,$DD400:$DG400,0)),"mixedProduct")</f>
        <v>EnergyInput</v>
      </c>
      <c r="DK400">
        <f>IF(DD400=1,DK$7,0)</f>
        <v>0</v>
      </c>
      <c r="DL400" t="str">
        <f>IF(DE400=1,DL$7,0)</f>
        <v>Energy</v>
      </c>
      <c r="DM400">
        <f>IF(DF400=1,DM$7,0)</f>
        <v>0</v>
      </c>
      <c r="DN400">
        <f>IF(DG400=1,DN$7,0)</f>
        <v>0</v>
      </c>
      <c r="DO400">
        <v>0</v>
      </c>
      <c r="DP400" s="143">
        <v>0</v>
      </c>
      <c r="DQ400" s="143">
        <v>0</v>
      </c>
      <c r="DR400">
        <v>0</v>
      </c>
      <c r="DS400" s="143">
        <v>0</v>
      </c>
      <c r="DT400">
        <f>SUM(DO400:DP400)</f>
        <v>0</v>
      </c>
      <c r="DU400" s="143" t="str">
        <f>IF(DO400=1,"self-calculated DF",IF(DP400=1,"external DF used","explicit C balance"))</f>
        <v>explicit C balance</v>
      </c>
      <c r="DV400" s="143">
        <v>0</v>
      </c>
      <c r="DW400" s="143">
        <v>0</v>
      </c>
      <c r="DX400" s="143">
        <v>0</v>
      </c>
      <c r="DY400" s="143">
        <v>0</v>
      </c>
      <c r="DZ400">
        <v>0</v>
      </c>
      <c r="EA400" s="143">
        <v>0</v>
      </c>
      <c r="EB400" s="143">
        <v>1</v>
      </c>
      <c r="EC400" s="143">
        <v>0</v>
      </c>
      <c r="ED400" s="143">
        <v>0</v>
      </c>
      <c r="EE400">
        <v>0</v>
      </c>
      <c r="EF400">
        <v>0</v>
      </c>
      <c r="EG400" s="143">
        <v>0</v>
      </c>
      <c r="EH400" s="143">
        <v>0</v>
      </c>
      <c r="EI400" s="2">
        <v>0</v>
      </c>
      <c r="EJ400" s="1"/>
      <c r="EK400" t="str">
        <f>IF(AND(AND(AND(OR($DX400=1,$DW400=1),OR($EC400=1,$EA400=1)),SUM($DV400:$DZ400,$EF400)&gt;=4),SUM($EA400:$EE400)&gt;=2),"Whole sector","")</f>
        <v/>
      </c>
      <c r="EL400" t="str">
        <f>IF(AND(AND(OR($DX400=1,$DW400=1),AND($EC400=0,$EA400=0)),SUM($DV400:$DZ400,$EF400)&gt;=4),"Ecosystem approach","")</f>
        <v/>
      </c>
      <c r="EM400" s="2" t="str">
        <f>IF(AND(AND(AND($DX400=0,$DW400=0),OR($EC400=1,$EA400=1)),SUM($EB400:$EE400)&gt;=2),"Technology approach","")</f>
        <v/>
      </c>
      <c r="EN400"/>
      <c r="EO400"/>
      <c r="EP400" t="str">
        <f>IF(ISNUMBER(BU400),IF(ABS(BU400-[3]QC_indicators!$B$2)&gt;3*[3]QC_indicators!$C$2,"C ratio",IF(ISNUMBER(BY400),IF(ABS(BY400-[3]QC_indicators!$B$1)&gt;3*[3]QC_indicators!$C$1,"DF","no"))),IF(ISNUMBER(BY400),IF(ABS(BY400-[3]QC_indicators!$B$1)&gt;3*[3]QC_indicators!$C$1,"DF","no")))</f>
        <v>no</v>
      </c>
      <c r="EQ400"/>
      <c r="ER400" s="149"/>
      <c r="ES400"/>
      <c r="ET400" s="264" t="s">
        <v>3407</v>
      </c>
      <c r="EU400"/>
    </row>
    <row r="401" spans="1:151" s="139" customFormat="1" ht="15" customHeight="1">
      <c r="A401" s="256" t="s">
        <v>214</v>
      </c>
      <c r="B401" s="257" t="s">
        <v>215</v>
      </c>
      <c r="C401" s="257" t="s">
        <v>216</v>
      </c>
      <c r="D401" s="257" t="s">
        <v>217</v>
      </c>
      <c r="E401" s="257" t="s">
        <v>218</v>
      </c>
      <c r="F401" s="257" t="s">
        <v>219</v>
      </c>
      <c r="G401" s="257" t="s">
        <v>220</v>
      </c>
      <c r="H401" s="257"/>
      <c r="I401" s="257">
        <v>2012</v>
      </c>
      <c r="J401" s="257"/>
      <c r="K401" s="257" t="s">
        <v>221</v>
      </c>
      <c r="L401" s="257"/>
      <c r="M401" s="257" t="s">
        <v>3070</v>
      </c>
      <c r="N401" s="257" t="s">
        <v>222</v>
      </c>
      <c r="O401" s="275" t="s">
        <v>223</v>
      </c>
      <c r="P401" s="257"/>
      <c r="Q401" s="257" t="s">
        <v>224</v>
      </c>
      <c r="R401" s="258" t="s">
        <v>225</v>
      </c>
      <c r="S401" s="256" t="s">
        <v>226</v>
      </c>
      <c r="T401" s="257" t="s">
        <v>237</v>
      </c>
      <c r="U401" s="257" t="s">
        <v>228</v>
      </c>
      <c r="V401" s="257">
        <v>0</v>
      </c>
      <c r="W401" s="257">
        <v>0</v>
      </c>
      <c r="X401" s="257">
        <v>0</v>
      </c>
      <c r="Y401" s="257">
        <v>1</v>
      </c>
      <c r="Z401" s="257">
        <v>0</v>
      </c>
      <c r="AA401" s="257">
        <v>0</v>
      </c>
      <c r="AB401" s="257">
        <v>0</v>
      </c>
      <c r="AC401" s="257">
        <v>0</v>
      </c>
      <c r="AD401" s="257">
        <v>0</v>
      </c>
      <c r="AE401" s="257">
        <v>0</v>
      </c>
      <c r="AF401" s="257">
        <v>0</v>
      </c>
      <c r="AG401" s="257">
        <v>0</v>
      </c>
      <c r="AH401" s="257">
        <v>0</v>
      </c>
      <c r="AI401" s="257">
        <v>0</v>
      </c>
      <c r="AJ401" s="257">
        <v>0</v>
      </c>
      <c r="AK401" s="257">
        <v>0</v>
      </c>
      <c r="AL401" s="257">
        <v>0</v>
      </c>
      <c r="AM401" s="257">
        <v>0</v>
      </c>
      <c r="AN401" s="257">
        <v>0</v>
      </c>
      <c r="AO401" s="257">
        <v>0</v>
      </c>
      <c r="AP401" s="257">
        <v>0</v>
      </c>
      <c r="AQ401" s="257">
        <v>0</v>
      </c>
      <c r="AR401" s="257">
        <v>0</v>
      </c>
      <c r="AS401" s="257">
        <v>0</v>
      </c>
      <c r="AT401" s="257">
        <v>0</v>
      </c>
      <c r="AU401" s="257">
        <v>0</v>
      </c>
      <c r="AV401" s="257">
        <v>0</v>
      </c>
      <c r="AW401" s="257">
        <v>0</v>
      </c>
      <c r="AX401" s="277">
        <v>1</v>
      </c>
      <c r="AY401" s="277">
        <v>1</v>
      </c>
      <c r="AZ401" s="257">
        <v>1</v>
      </c>
      <c r="BA401" s="257">
        <v>0</v>
      </c>
      <c r="BB401" s="257">
        <v>0</v>
      </c>
      <c r="BC401" s="257">
        <v>0</v>
      </c>
      <c r="BD401" s="257">
        <v>0</v>
      </c>
      <c r="BE401" s="257" t="s">
        <v>91</v>
      </c>
      <c r="BF401" s="2" t="str" cm="1">
        <f t="array" ref="BF401">IF(COUNTIF(AZ401:BB401,"&lt;&gt;0")=1,INDEX($V$4:$AW$4,MATCH(TRUE,INDEX($V401:$AW401&lt;&gt;0,),0)),IF(COUNTIF(AZ401:BB401,"&lt;&gt;0")=0,INDEX($AM$4:$AW$4,MATCH(1,$AM401:$AW401,0)),"Multiple strategies"))</f>
        <v>Silviculture for removals</v>
      </c>
      <c r="BG401" s="278" t="s">
        <v>229</v>
      </c>
      <c r="BH401" s="257" t="s">
        <v>230</v>
      </c>
      <c r="BI401" s="279" t="s">
        <v>3071</v>
      </c>
      <c r="BJ401" s="276" t="s">
        <v>231</v>
      </c>
      <c r="BK401" s="257">
        <v>54.398789620000002</v>
      </c>
      <c r="BL401" s="257">
        <v>56.739926740000001</v>
      </c>
      <c r="BM401" s="257">
        <v>1.0430365663713088</v>
      </c>
      <c r="BN401" s="257">
        <v>2.3411371199999991</v>
      </c>
      <c r="BO401" s="276">
        <v>4.7778308571428552</v>
      </c>
      <c r="BP401" s="276" t="s">
        <v>232</v>
      </c>
      <c r="BQ401" s="279" t="s">
        <v>3071</v>
      </c>
      <c r="BR401" s="276" t="s">
        <v>233</v>
      </c>
      <c r="BS401" s="257">
        <v>-9.1923873230000002</v>
      </c>
      <c r="BT401" s="257">
        <v>-9.5324096189999992</v>
      </c>
      <c r="BU401" s="259">
        <v>1.0369895527736563</v>
      </c>
      <c r="BV401" s="257">
        <v>-0.340022295999999</v>
      </c>
      <c r="BW401" s="257"/>
      <c r="BX401" s="257">
        <v>-3.4002229599999903E-4</v>
      </c>
      <c r="BY401" s="257">
        <v>-7.1166666666666495E-5</v>
      </c>
      <c r="BZ401" s="257">
        <v>0</v>
      </c>
      <c r="CA401" s="257">
        <v>0</v>
      </c>
      <c r="CB401" s="257">
        <v>0</v>
      </c>
      <c r="CC401" s="257">
        <v>0</v>
      </c>
      <c r="CD401" s="257">
        <v>0</v>
      </c>
      <c r="CE401" s="257">
        <v>0</v>
      </c>
      <c r="CF401" s="257">
        <v>0</v>
      </c>
      <c r="CG401" s="257">
        <v>0</v>
      </c>
      <c r="CH401" s="257">
        <v>0</v>
      </c>
      <c r="CI401" s="257">
        <v>0</v>
      </c>
      <c r="CJ401" s="257">
        <v>0</v>
      </c>
      <c r="CK401" s="257">
        <v>0</v>
      </c>
      <c r="CL401" s="257">
        <v>0</v>
      </c>
      <c r="CM401" s="257">
        <v>0</v>
      </c>
      <c r="CN401" s="257" t="s">
        <v>3072</v>
      </c>
      <c r="CO401" s="257">
        <v>54.398789620000002</v>
      </c>
      <c r="CP401" s="257">
        <v>56.739926740000001</v>
      </c>
      <c r="CQ401" s="257">
        <v>4.7778308571428552</v>
      </c>
      <c r="CR401" s="257">
        <v>-9.1923873230000002</v>
      </c>
      <c r="CS401" s="257">
        <v>-9.5324096189999992</v>
      </c>
      <c r="CT401" s="257">
        <v>-3.4002229599999903E-4</v>
      </c>
      <c r="CU401" s="257">
        <v>-7.1166666666666495E-5</v>
      </c>
      <c r="CV401" s="258">
        <v>-3.6989552773656446E-2</v>
      </c>
      <c r="CW401" s="256" t="s">
        <v>234</v>
      </c>
      <c r="CX401" s="257" t="s">
        <v>3073</v>
      </c>
      <c r="CY401" s="257" t="s">
        <v>235</v>
      </c>
      <c r="CZ401" s="257"/>
      <c r="DA401" s="276"/>
      <c r="DB401" s="276">
        <v>80</v>
      </c>
      <c r="DC401" s="257" t="s">
        <v>3074</v>
      </c>
      <c r="DD401" s="257">
        <v>0</v>
      </c>
      <c r="DE401" s="257">
        <v>1</v>
      </c>
      <c r="DF401" s="257">
        <v>0</v>
      </c>
      <c r="DG401" s="257">
        <v>0</v>
      </c>
      <c r="DH401" s="257"/>
      <c r="DI401" s="257">
        <v>1</v>
      </c>
      <c r="DJ401" s="257" t="s">
        <v>173</v>
      </c>
      <c r="DK401" s="257">
        <v>0</v>
      </c>
      <c r="DL401" s="257" t="s">
        <v>180</v>
      </c>
      <c r="DM401" s="257">
        <v>0</v>
      </c>
      <c r="DN401" s="257">
        <v>0</v>
      </c>
      <c r="DO401" s="257">
        <v>0</v>
      </c>
      <c r="DP401" s="276">
        <v>0</v>
      </c>
      <c r="DQ401" s="276">
        <v>0</v>
      </c>
      <c r="DR401" s="276">
        <v>0</v>
      </c>
      <c r="DS401" s="276">
        <v>0</v>
      </c>
      <c r="DT401" s="257">
        <v>0</v>
      </c>
      <c r="DU401" s="276" t="s">
        <v>962</v>
      </c>
      <c r="DV401" s="276">
        <v>1</v>
      </c>
      <c r="DW401" s="276">
        <v>1</v>
      </c>
      <c r="DX401" s="276">
        <v>1</v>
      </c>
      <c r="DY401" s="276">
        <v>0</v>
      </c>
      <c r="DZ401" s="257">
        <v>0</v>
      </c>
      <c r="EA401" s="276">
        <v>0</v>
      </c>
      <c r="EB401" s="276">
        <v>1</v>
      </c>
      <c r="EC401" s="276">
        <v>1</v>
      </c>
      <c r="ED401" s="276">
        <v>0</v>
      </c>
      <c r="EE401" s="276">
        <v>0</v>
      </c>
      <c r="EF401" s="257">
        <v>1</v>
      </c>
      <c r="EG401" s="276">
        <v>0</v>
      </c>
      <c r="EH401" s="257">
        <v>0</v>
      </c>
      <c r="EI401" s="258">
        <v>0</v>
      </c>
      <c r="EJ401" s="256"/>
      <c r="EK401" t="str">
        <f>IF(AND(AND(AND(OR($DX401=1,$DW401=1),OR($EC401=1,$EA401=1)),SUM($DV401:$DZ401,$EF401)&gt;=4),SUM($EA401:$EE401)&gt;=2),"Whole sector","")</f>
        <v>Whole sector</v>
      </c>
      <c r="EL401" t="str">
        <f>IF(AND(AND(OR($DX401=1,$DW401=1),AND($EC401=0,$EA401=0)),SUM($DV401:$DZ401,$EF401)&gt;=4),"Ecosystem approach","")</f>
        <v/>
      </c>
      <c r="EM401" s="258" t="s">
        <v>544</v>
      </c>
      <c r="EN401" s="257" t="s">
        <v>236</v>
      </c>
      <c r="EO401" s="257"/>
      <c r="EP401" t="str">
        <f>IF(ISNUMBER(BU401),IF(ABS(BU401-[2]QC_indicators!$B$2)&gt;3*[2]QC_indicators!$C$2,"C ratio",IF(ISNUMBER(BY401),IF(ABS(BY401-[2]QC_indicators!$B$1)&gt;3*[2]QC_indicators!$C$1,"DF","no"))),IF(ISNUMBER(BY401),IF(ABS(BY401-[2]QC_indicators!$B$1)&gt;3*[2]QC_indicators!$C$1,"DF","no")))</f>
        <v>no</v>
      </c>
      <c r="EQ401" s="257"/>
      <c r="ER401" s="257"/>
      <c r="ES401" s="257"/>
      <c r="ET401" s="257"/>
      <c r="EU401"/>
    </row>
    <row r="402" spans="1:151" s="139" customFormat="1" ht="15" customHeight="1">
      <c r="A402" s="1" t="s">
        <v>587</v>
      </c>
      <c r="B402" t="s">
        <v>1448</v>
      </c>
      <c r="C402" t="s">
        <v>1449</v>
      </c>
      <c r="D402" t="s">
        <v>1450</v>
      </c>
      <c r="E402" t="s">
        <v>1451</v>
      </c>
      <c r="F402" t="s">
        <v>1452</v>
      </c>
      <c r="G402" t="s">
        <v>593</v>
      </c>
      <c r="H402" t="s">
        <v>254</v>
      </c>
      <c r="I402">
        <v>2020</v>
      </c>
      <c r="J402">
        <v>12</v>
      </c>
      <c r="K402" t="s">
        <v>1453</v>
      </c>
      <c r="L402"/>
      <c r="M402" t="str">
        <f>LEFT($D402,FIND(",",$D402)-1)&amp;"_"&amp;I402&amp;L402</f>
        <v>Elisa_2020</v>
      </c>
      <c r="N402" s="264" t="s">
        <v>222</v>
      </c>
      <c r="O402" s="171" t="s">
        <v>274</v>
      </c>
      <c r="P402" t="s">
        <v>223</v>
      </c>
      <c r="Q402" s="264" t="s">
        <v>389</v>
      </c>
      <c r="R402" s="269" t="s">
        <v>1154</v>
      </c>
      <c r="S402" s="154" t="s">
        <v>1454</v>
      </c>
      <c r="T402" s="294" t="s">
        <v>1455</v>
      </c>
      <c r="U402" s="143" t="s">
        <v>1503</v>
      </c>
      <c r="V402">
        <v>0</v>
      </c>
      <c r="W402">
        <v>0</v>
      </c>
      <c r="X402">
        <v>0</v>
      </c>
      <c r="Y402">
        <v>0</v>
      </c>
      <c r="Z402">
        <v>0</v>
      </c>
      <c r="AA402">
        <v>0</v>
      </c>
      <c r="AB402">
        <v>0</v>
      </c>
      <c r="AC402">
        <v>0</v>
      </c>
      <c r="AD402">
        <v>0</v>
      </c>
      <c r="AE402">
        <v>1</v>
      </c>
      <c r="AF402">
        <v>0</v>
      </c>
      <c r="AG402">
        <v>0</v>
      </c>
      <c r="AH402">
        <v>0</v>
      </c>
      <c r="AI402">
        <v>0</v>
      </c>
      <c r="AJ402">
        <v>0</v>
      </c>
      <c r="AK402">
        <v>1</v>
      </c>
      <c r="AL402">
        <v>0</v>
      </c>
      <c r="AM402">
        <v>0</v>
      </c>
      <c r="AN402">
        <v>0</v>
      </c>
      <c r="AO402">
        <v>0</v>
      </c>
      <c r="AP402">
        <v>0</v>
      </c>
      <c r="AQ402">
        <v>0</v>
      </c>
      <c r="AR402">
        <v>0</v>
      </c>
      <c r="AS402">
        <v>0</v>
      </c>
      <c r="AT402">
        <v>0</v>
      </c>
      <c r="AU402">
        <v>0</v>
      </c>
      <c r="AV402">
        <v>0</v>
      </c>
      <c r="AW402">
        <v>0</v>
      </c>
      <c r="AX402" s="141">
        <f>COUNTIF(V402:AW402,"&lt;&gt;0")</f>
        <v>2</v>
      </c>
      <c r="AY402" s="141">
        <f>COUNTIF(V402:AL402,"&lt;&gt;0")</f>
        <v>2</v>
      </c>
      <c r="AZ402">
        <f>COUNTIF(V402:AC402,"&lt;&gt;0")</f>
        <v>0</v>
      </c>
      <c r="BA402">
        <f>COUNTIF(AD402:AI402,"&lt;&gt;0")</f>
        <v>1</v>
      </c>
      <c r="BB402">
        <f>COUNTIF(AJ402:AL402,"&lt;&gt;0")</f>
        <v>1</v>
      </c>
      <c r="BC402">
        <f>COUNTIF(AS402:AW402,"&lt;&gt;0")</f>
        <v>0</v>
      </c>
      <c r="BD402">
        <f>COUNTIF(AM402:AR402,"&lt;&gt;0")</f>
        <v>0</v>
      </c>
      <c r="BE402" t="str" cm="1">
        <f t="array" ref="BE402">IF(AY402=1,INDEX($V$7:$AL$7,MATCH(TRUE,INDEX($V402:$AW402&lt;&gt;0,),0)),IF(AY402=0,INDEX($AM$7:$AW$7,MATCH(1,$AM402:$AW402,0)),IF(BF402="Multiple strategies","mixed drivers",IF(BF402="Supply chain","multiple supply","multiple silviculture"))))</f>
        <v>mixed drivers</v>
      </c>
      <c r="BF402" s="2" t="str" cm="1">
        <f t="array" ref="BF402">IF(COUNTIF(AZ402:BB402,"&lt;&gt;0")=1,INDEX($V$4:$AW$4,MATCH(TRUE,INDEX($V402:$AW402&lt;&gt;0,),0)),IF(COUNTIF(AZ402:BB402,"&lt;&gt;0")=0,INDEX($AM$4:$AW$4,MATCH(1,$AM402:$AW402,0)),"Multiple strategies"))</f>
        <v>Multiple strategies</v>
      </c>
      <c r="BG402" s="142" t="s">
        <v>321</v>
      </c>
      <c r="BH402" s="160" t="s">
        <v>1457</v>
      </c>
      <c r="BI402" s="160" t="s">
        <v>1458</v>
      </c>
      <c r="BJ402" s="143" t="s">
        <v>498</v>
      </c>
      <c r="BK402" s="143">
        <v>944</v>
      </c>
      <c r="BL402" s="143">
        <v>170044</v>
      </c>
      <c r="BM402">
        <f>IFERROR(BL403/BK402,"")</f>
        <v>143.7415254237288</v>
      </c>
      <c r="BN402">
        <f>BL402-BK402</f>
        <v>169100</v>
      </c>
      <c r="BO402" s="159">
        <f>BN402</f>
        <v>169100</v>
      </c>
      <c r="BP402" s="155" t="s">
        <v>232</v>
      </c>
      <c r="BQ402" s="155" t="s">
        <v>1459</v>
      </c>
      <c r="BR402" s="155" t="s">
        <v>825</v>
      </c>
      <c r="BS402" s="143" t="s">
        <v>1477</v>
      </c>
      <c r="BT402" t="s">
        <v>1523</v>
      </c>
      <c r="BU402" s="144">
        <f>BT402/BS402</f>
        <v>102.3482463622033</v>
      </c>
      <c r="BV402">
        <f>BT402-BS402</f>
        <v>-10.892402777777798</v>
      </c>
      <c r="BW402"/>
      <c r="BX402">
        <f>BV402</f>
        <v>-10.892402777777798</v>
      </c>
      <c r="BY402">
        <f>IFERROR(BX402/BO402,"")</f>
        <v>-6.441397266574689E-5</v>
      </c>
      <c r="BZ402">
        <v>0</v>
      </c>
      <c r="CA402">
        <v>0</v>
      </c>
      <c r="CB402">
        <v>0</v>
      </c>
      <c r="CC402">
        <v>0</v>
      </c>
      <c r="CD402">
        <v>0</v>
      </c>
      <c r="CE402">
        <v>0</v>
      </c>
      <c r="CF402">
        <v>0</v>
      </c>
      <c r="CG402">
        <v>0</v>
      </c>
      <c r="CH402">
        <v>0</v>
      </c>
      <c r="CI402">
        <v>0</v>
      </c>
      <c r="CJ402">
        <v>0</v>
      </c>
      <c r="CK402">
        <v>0</v>
      </c>
      <c r="CL402">
        <v>0</v>
      </c>
      <c r="CM402">
        <v>0</v>
      </c>
      <c r="CN402" t="str">
        <f>IF($BL402&lt;$BK402,"refNeedCorrection","refOK")</f>
        <v>refOK</v>
      </c>
      <c r="CO402">
        <f>IF($CN402="refOK",$BK402,$BL402)</f>
        <v>944</v>
      </c>
      <c r="CP402">
        <f>IF($CN402="refOK",$BL402,$BK402)</f>
        <v>170044</v>
      </c>
      <c r="CQ402">
        <f>IF($CN402="refOK",$BO402,-$BO402)</f>
        <v>169100</v>
      </c>
      <c r="CR402">
        <f>IF($CN402="refOK",$BS402,$BT402)*IF($BP402="Emissions positive",-1,1)</f>
        <v>-0.107475</v>
      </c>
      <c r="CS402">
        <f>IF($CN402="refOK",$BT402,$BS402)*IF($BP402="Emissions positive",-1,1)</f>
        <v>-10.999877777777799</v>
      </c>
      <c r="CT402">
        <f>IF($CN402="refNeedCorrection",-BX402,BX402)*IF($BP402="Emissions positive",-1,1)</f>
        <v>-10.892402777777798</v>
      </c>
      <c r="CU402">
        <f>IFERROR(CT402/CQ402,"")</f>
        <v>-6.441397266574689E-5</v>
      </c>
      <c r="CV402" s="2">
        <f>IFERROR((CS402-CR402)/ABS(CR402),"")</f>
        <v>-101.34824636220328</v>
      </c>
      <c r="CW402" s="263" t="s">
        <v>1462</v>
      </c>
      <c r="CX402" s="264" t="str">
        <f>IF(OR($CW402="prd",$CW402="std",$CW402="cit"),"loc",IF(OR($CW402="eur",$CW402="reg",$CW402="coy"),"reg",$CW402))</f>
        <v>reg</v>
      </c>
      <c r="CY402" s="270" t="s">
        <v>743</v>
      </c>
      <c r="CZ402"/>
      <c r="DA402" s="143"/>
      <c r="DB402" s="143">
        <v>0</v>
      </c>
      <c r="DC402" t="str">
        <f>IF(DB402=0,"0",IF(AND(DB402&gt;=1,DB402&lt;=30),"1-30",IF(AND(DB402&gt;30,DB402&lt;=70),"31-70",IF(AND(DB402&gt;70,DB402&lt;=100),"71-100",IF(DB402&gt;100,"+100")))))</f>
        <v>0</v>
      </c>
      <c r="DD402">
        <v>0</v>
      </c>
      <c r="DE402">
        <v>1</v>
      </c>
      <c r="DF402">
        <v>0</v>
      </c>
      <c r="DG402">
        <v>0</v>
      </c>
      <c r="DH402">
        <v>0</v>
      </c>
      <c r="DI402">
        <f>SUM(DD402:DH402)</f>
        <v>1</v>
      </c>
      <c r="DJ402" t="str">
        <f>IF(DI402=1,INDEX($DD$7:$DG$7,MATCH(1,$DD402:$DG402,0)),"mixedProduct")</f>
        <v>EnergyInput</v>
      </c>
      <c r="DK402">
        <f>IF(DD402=1,DK$7,0)</f>
        <v>0</v>
      </c>
      <c r="DL402" t="str">
        <f>IF(DE402=1,DL$7,0)</f>
        <v>Energy</v>
      </c>
      <c r="DM402">
        <f>IF(DF402=1,DM$7,0)</f>
        <v>0</v>
      </c>
      <c r="DN402">
        <f>IF(DG402=1,DN$7,0)</f>
        <v>0</v>
      </c>
      <c r="DO402">
        <v>0</v>
      </c>
      <c r="DP402" s="143">
        <v>0</v>
      </c>
      <c r="DQ402" s="143">
        <v>0</v>
      </c>
      <c r="DR402">
        <v>0</v>
      </c>
      <c r="DS402" s="143">
        <v>0</v>
      </c>
      <c r="DT402">
        <f>SUM(DO402:DP402)</f>
        <v>0</v>
      </c>
      <c r="DU402" s="143" t="str">
        <f>IF(DO402=1,"self-calculated DF",IF(DP402=1,"external DF used","explicit C balance"))</f>
        <v>explicit C balance</v>
      </c>
      <c r="DV402" s="143">
        <v>0</v>
      </c>
      <c r="DW402" s="143">
        <v>0</v>
      </c>
      <c r="DX402" s="143">
        <v>0</v>
      </c>
      <c r="DY402" s="143">
        <v>0</v>
      </c>
      <c r="DZ402">
        <v>0</v>
      </c>
      <c r="EA402" s="143">
        <v>0</v>
      </c>
      <c r="EB402" s="143">
        <v>1</v>
      </c>
      <c r="EC402" s="143">
        <v>0</v>
      </c>
      <c r="ED402" s="143">
        <v>0</v>
      </c>
      <c r="EE402">
        <v>0</v>
      </c>
      <c r="EF402">
        <v>0</v>
      </c>
      <c r="EG402" s="143">
        <v>0</v>
      </c>
      <c r="EH402" s="143">
        <v>0</v>
      </c>
      <c r="EI402" s="2">
        <v>0</v>
      </c>
      <c r="EJ402" s="1"/>
      <c r="EK402" t="str">
        <f>IF(AND(AND(AND(OR($DX402=1,$DW402=1),OR($EC402=1,$EA402=1)),SUM($DV402:$DZ402,$EF402)&gt;=4),SUM($EA402:$EE402)&gt;=2),"Whole sector","")</f>
        <v/>
      </c>
      <c r="EL402" t="str">
        <f>IF(AND(AND(OR($DX402=1,$DW402=1),AND($EC402=0,$EA402=0)),SUM($DV402:$DZ402,$EF402)&gt;=4),"Ecosystem approach","")</f>
        <v/>
      </c>
      <c r="EM402" s="2" t="str">
        <f>IF(AND(AND(AND($DX402=0,$DW402=0),OR($EC402=1,$EA402=1)),SUM($EB402:$EE402)&gt;=2),"Technology approach","")</f>
        <v/>
      </c>
      <c r="EN402"/>
      <c r="EO402"/>
      <c r="EP402" t="str">
        <f>IF(ISNUMBER(BU402),IF(ABS(BU402-[3]QC_indicators!$B$2)&gt;3*[3]QC_indicators!$C$2,"C ratio",IF(ISNUMBER(BY402),IF(ABS(BY402-[3]QC_indicators!$B$1)&gt;3*[3]QC_indicators!$C$1,"DF","no"))),IF(ISNUMBER(BY402),IF(ABS(BY402-[3]QC_indicators!$B$1)&gt;3*[3]QC_indicators!$C$1,"DF","no")))</f>
        <v>C ratio</v>
      </c>
      <c r="EQ402"/>
      <c r="ER402" s="149"/>
      <c r="ES402"/>
      <c r="ET402" s="264" t="s">
        <v>3407</v>
      </c>
      <c r="EU402"/>
    </row>
    <row r="403" spans="1:151" s="139" customFormat="1" ht="15" customHeight="1">
      <c r="A403" s="1" t="s">
        <v>587</v>
      </c>
      <c r="B403" t="s">
        <v>1448</v>
      </c>
      <c r="C403" t="s">
        <v>1449</v>
      </c>
      <c r="D403" t="s">
        <v>1450</v>
      </c>
      <c r="E403" t="s">
        <v>1451</v>
      </c>
      <c r="F403" t="s">
        <v>1452</v>
      </c>
      <c r="G403" t="s">
        <v>593</v>
      </c>
      <c r="H403" t="s">
        <v>254</v>
      </c>
      <c r="I403">
        <v>2020</v>
      </c>
      <c r="J403">
        <v>12</v>
      </c>
      <c r="K403" t="s">
        <v>1453</v>
      </c>
      <c r="L403"/>
      <c r="M403" t="str">
        <f>LEFT($D403,FIND(",",$D403)-1)&amp;"_"&amp;I403&amp;L403</f>
        <v>Elisa_2020</v>
      </c>
      <c r="N403" s="264" t="s">
        <v>222</v>
      </c>
      <c r="O403" s="171" t="s">
        <v>274</v>
      </c>
      <c r="P403" t="s">
        <v>223</v>
      </c>
      <c r="Q403" s="264" t="s">
        <v>389</v>
      </c>
      <c r="R403" s="269" t="s">
        <v>1154</v>
      </c>
      <c r="S403" s="154" t="s">
        <v>1454</v>
      </c>
      <c r="T403" s="294" t="s">
        <v>1455</v>
      </c>
      <c r="U403" s="143" t="s">
        <v>1500</v>
      </c>
      <c r="V403">
        <v>0</v>
      </c>
      <c r="W403">
        <v>0</v>
      </c>
      <c r="X403">
        <v>0</v>
      </c>
      <c r="Y403">
        <v>0</v>
      </c>
      <c r="Z403">
        <v>0</v>
      </c>
      <c r="AA403">
        <v>0</v>
      </c>
      <c r="AB403">
        <v>0</v>
      </c>
      <c r="AC403">
        <v>0</v>
      </c>
      <c r="AD403">
        <v>0</v>
      </c>
      <c r="AE403">
        <v>1</v>
      </c>
      <c r="AF403">
        <v>0</v>
      </c>
      <c r="AG403">
        <v>0</v>
      </c>
      <c r="AH403">
        <v>0</v>
      </c>
      <c r="AI403">
        <v>0</v>
      </c>
      <c r="AJ403">
        <v>0</v>
      </c>
      <c r="AK403">
        <v>1</v>
      </c>
      <c r="AL403">
        <v>0</v>
      </c>
      <c r="AM403">
        <v>0</v>
      </c>
      <c r="AN403">
        <v>0</v>
      </c>
      <c r="AO403">
        <v>0</v>
      </c>
      <c r="AP403">
        <v>0</v>
      </c>
      <c r="AQ403">
        <v>0</v>
      </c>
      <c r="AR403">
        <v>0</v>
      </c>
      <c r="AS403">
        <v>0</v>
      </c>
      <c r="AT403">
        <v>0</v>
      </c>
      <c r="AU403">
        <v>0</v>
      </c>
      <c r="AV403">
        <v>0</v>
      </c>
      <c r="AW403">
        <v>0</v>
      </c>
      <c r="AX403" s="141">
        <f>COUNTIF(V403:AW403,"&lt;&gt;0")</f>
        <v>2</v>
      </c>
      <c r="AY403" s="141">
        <f>COUNTIF(V403:AL403,"&lt;&gt;0")</f>
        <v>2</v>
      </c>
      <c r="AZ403">
        <f>COUNTIF(V403:AC403,"&lt;&gt;0")</f>
        <v>0</v>
      </c>
      <c r="BA403">
        <f>COUNTIF(AD403:AI403,"&lt;&gt;0")</f>
        <v>1</v>
      </c>
      <c r="BB403">
        <f>COUNTIF(AJ403:AL403,"&lt;&gt;0")</f>
        <v>1</v>
      </c>
      <c r="BC403">
        <f>COUNTIF(AS403:AW403,"&lt;&gt;0")</f>
        <v>0</v>
      </c>
      <c r="BD403">
        <f>COUNTIF(AM403:AR403,"&lt;&gt;0")</f>
        <v>0</v>
      </c>
      <c r="BE403" t="str" cm="1">
        <f t="array" ref="BE403">IF(AY403=1,INDEX($V$7:$AL$7,MATCH(TRUE,INDEX($V403:$AW403&lt;&gt;0,),0)),IF(AY403=0,INDEX($AM$7:$AW$7,MATCH(1,$AM403:$AW403,0)),IF(BF403="Multiple strategies","mixed drivers",IF(BF403="Supply chain","multiple supply","multiple silviculture"))))</f>
        <v>mixed drivers</v>
      </c>
      <c r="BF403" s="2" t="str" cm="1">
        <f t="array" ref="BF403">IF(COUNTIF(AZ403:BB403,"&lt;&gt;0")=1,INDEX($V$4:$AW$4,MATCH(TRUE,INDEX($V403:$AW403&lt;&gt;0,),0)),IF(COUNTIF(AZ403:BB403,"&lt;&gt;0")=0,INDEX($AM$4:$AW$4,MATCH(1,$AM403:$AW403,0)),"Multiple strategies"))</f>
        <v>Multiple strategies</v>
      </c>
      <c r="BG403" s="142" t="s">
        <v>321</v>
      </c>
      <c r="BH403" s="160" t="s">
        <v>1457</v>
      </c>
      <c r="BI403" s="160" t="s">
        <v>1458</v>
      </c>
      <c r="BJ403" s="143" t="s">
        <v>498</v>
      </c>
      <c r="BK403" s="143">
        <v>944</v>
      </c>
      <c r="BL403" s="143">
        <v>135692</v>
      </c>
      <c r="BM403">
        <f>IFERROR(BL405/BK403,"")</f>
        <v>112.64936440677967</v>
      </c>
      <c r="BN403">
        <f>BL403-BK403</f>
        <v>134748</v>
      </c>
      <c r="BO403" s="159">
        <f>BN403</f>
        <v>134748</v>
      </c>
      <c r="BP403" s="155" t="s">
        <v>232</v>
      </c>
      <c r="BQ403" s="155" t="s">
        <v>1459</v>
      </c>
      <c r="BR403" s="155" t="s">
        <v>825</v>
      </c>
      <c r="BS403" s="143" t="s">
        <v>1477</v>
      </c>
      <c r="BT403" t="s">
        <v>1524</v>
      </c>
      <c r="BU403" s="144">
        <f>BT403/BS403</f>
        <v>71.598046057222618</v>
      </c>
      <c r="BV403">
        <f>BT403-BS403</f>
        <v>-7.5875250000000003</v>
      </c>
      <c r="BW403"/>
      <c r="BX403">
        <f>BV403</f>
        <v>-7.5875250000000003</v>
      </c>
      <c r="BY403">
        <f>IFERROR(BX403/BO403,"")</f>
        <v>-5.6308999020393629E-5</v>
      </c>
      <c r="BZ403">
        <v>0</v>
      </c>
      <c r="CA403">
        <v>0</v>
      </c>
      <c r="CB403">
        <v>0</v>
      </c>
      <c r="CC403">
        <v>0</v>
      </c>
      <c r="CD403">
        <v>0</v>
      </c>
      <c r="CE403">
        <v>0</v>
      </c>
      <c r="CF403">
        <v>0</v>
      </c>
      <c r="CG403">
        <v>0</v>
      </c>
      <c r="CH403">
        <v>0</v>
      </c>
      <c r="CI403">
        <v>0</v>
      </c>
      <c r="CJ403">
        <v>0</v>
      </c>
      <c r="CK403">
        <v>0</v>
      </c>
      <c r="CL403">
        <v>0</v>
      </c>
      <c r="CM403">
        <v>0</v>
      </c>
      <c r="CN403" t="str">
        <f>IF($BL403&lt;$BK403,"refNeedCorrection","refOK")</f>
        <v>refOK</v>
      </c>
      <c r="CO403">
        <f>IF($CN403="refOK",$BK403,$BL403)</f>
        <v>944</v>
      </c>
      <c r="CP403">
        <f>IF($CN403="refOK",$BL403,$BK403)</f>
        <v>135692</v>
      </c>
      <c r="CQ403">
        <f>IF($CN403="refOK",$BO403,-$BO403)</f>
        <v>134748</v>
      </c>
      <c r="CR403">
        <f>IF($CN403="refOK",$BS403,$BT403)*IF($BP403="Emissions positive",-1,1)</f>
        <v>-0.107475</v>
      </c>
      <c r="CS403">
        <f>IF($CN403="refOK",$BT403,$BS403)*IF($BP403="Emissions positive",-1,1)</f>
        <v>-7.6950000000000003</v>
      </c>
      <c r="CT403">
        <f>IF($CN403="refNeedCorrection",-BX403,BX403)*IF($BP403="Emissions positive",-1,1)</f>
        <v>-7.5875250000000003</v>
      </c>
      <c r="CU403">
        <f>IFERROR(CT403/CQ403,"")</f>
        <v>-5.6308999020393629E-5</v>
      </c>
      <c r="CV403" s="2">
        <f>IFERROR((CS403-CR403)/ABS(CR403),"")</f>
        <v>-70.598046057222618</v>
      </c>
      <c r="CW403" s="263" t="s">
        <v>1462</v>
      </c>
      <c r="CX403" s="264" t="str">
        <f>IF(OR($CW403="prd",$CW403="std",$CW403="cit"),"loc",IF(OR($CW403="eur",$CW403="reg",$CW403="coy"),"reg",$CW403))</f>
        <v>reg</v>
      </c>
      <c r="CY403" s="270" t="s">
        <v>743</v>
      </c>
      <c r="CZ403"/>
      <c r="DA403" s="143"/>
      <c r="DB403" s="143">
        <v>0</v>
      </c>
      <c r="DC403" t="str">
        <f>IF(DB403=0,"0",IF(AND(DB403&gt;=1,DB403&lt;=30),"1-30",IF(AND(DB403&gt;30,DB403&lt;=70),"31-70",IF(AND(DB403&gt;70,DB403&lt;=100),"71-100",IF(DB403&gt;100,"+100")))))</f>
        <v>0</v>
      </c>
      <c r="DD403">
        <v>0</v>
      </c>
      <c r="DE403">
        <v>1</v>
      </c>
      <c r="DF403">
        <v>0</v>
      </c>
      <c r="DG403">
        <v>0</v>
      </c>
      <c r="DH403">
        <v>0</v>
      </c>
      <c r="DI403">
        <f>SUM(DD403:DH403)</f>
        <v>1</v>
      </c>
      <c r="DJ403" t="str">
        <f>IF(DI403=1,INDEX($DD$7:$DG$7,MATCH(1,$DD403:$DG403,0)),"mixedProduct")</f>
        <v>EnergyInput</v>
      </c>
      <c r="DK403">
        <f>IF(DD403=1,DK$7,0)</f>
        <v>0</v>
      </c>
      <c r="DL403" t="str">
        <f>IF(DE403=1,DL$7,0)</f>
        <v>Energy</v>
      </c>
      <c r="DM403">
        <f>IF(DF403=1,DM$7,0)</f>
        <v>0</v>
      </c>
      <c r="DN403">
        <f>IF(DG403=1,DN$7,0)</f>
        <v>0</v>
      </c>
      <c r="DO403">
        <v>0</v>
      </c>
      <c r="DP403" s="143">
        <v>0</v>
      </c>
      <c r="DQ403" s="143">
        <v>0</v>
      </c>
      <c r="DR403">
        <v>0</v>
      </c>
      <c r="DS403" s="143">
        <v>0</v>
      </c>
      <c r="DT403">
        <f>SUM(DO403:DP403)</f>
        <v>0</v>
      </c>
      <c r="DU403" s="143" t="str">
        <f>IF(DO403=1,"self-calculated DF",IF(DP403=1,"external DF used","explicit C balance"))</f>
        <v>explicit C balance</v>
      </c>
      <c r="DV403" s="143">
        <v>0</v>
      </c>
      <c r="DW403" s="143">
        <v>0</v>
      </c>
      <c r="DX403" s="143">
        <v>0</v>
      </c>
      <c r="DY403" s="143">
        <v>0</v>
      </c>
      <c r="DZ403">
        <v>0</v>
      </c>
      <c r="EA403" s="143">
        <v>0</v>
      </c>
      <c r="EB403" s="143">
        <v>1</v>
      </c>
      <c r="EC403" s="143">
        <v>0</v>
      </c>
      <c r="ED403" s="143">
        <v>0</v>
      </c>
      <c r="EE403">
        <v>0</v>
      </c>
      <c r="EF403">
        <v>0</v>
      </c>
      <c r="EG403" s="143">
        <v>0</v>
      </c>
      <c r="EH403" s="143">
        <v>0</v>
      </c>
      <c r="EI403" s="2">
        <v>0</v>
      </c>
      <c r="EJ403" s="1"/>
      <c r="EK403" t="str">
        <f>IF(AND(AND(AND(OR($DX403=1,$DW403=1),OR($EC403=1,$EA403=1)),SUM($DV403:$DZ403,$EF403)&gt;=4),SUM($EA403:$EE403)&gt;=2),"Whole sector","")</f>
        <v/>
      </c>
      <c r="EL403" t="str">
        <f>IF(AND(AND(OR($DX403=1,$DW403=1),AND($EC403=0,$EA403=0)),SUM($DV403:$DZ403,$EF403)&gt;=4),"Ecosystem approach","")</f>
        <v/>
      </c>
      <c r="EM403" s="2" t="str">
        <f>IF(AND(AND(AND($DX403=0,$DW403=0),OR($EC403=1,$EA403=1)),SUM($EB403:$EE403)&gt;=2),"Technology approach","")</f>
        <v/>
      </c>
      <c r="EN403"/>
      <c r="EO403"/>
      <c r="EP403" t="str">
        <f>IF(ISNUMBER(BU403),IF(ABS(BU403-[3]QC_indicators!$B$2)&gt;3*[3]QC_indicators!$C$2,"C ratio",IF(ISNUMBER(BY403),IF(ABS(BY403-[3]QC_indicators!$B$1)&gt;3*[3]QC_indicators!$C$1,"DF","no"))),IF(ISNUMBER(BY403),IF(ABS(BY403-[3]QC_indicators!$B$1)&gt;3*[3]QC_indicators!$C$1,"DF","no")))</f>
        <v>C ratio</v>
      </c>
      <c r="EQ403"/>
      <c r="ER403" s="149"/>
      <c r="ES403"/>
      <c r="ET403" s="264" t="s">
        <v>3407</v>
      </c>
      <c r="EU403"/>
    </row>
    <row r="404" spans="1:151" s="139" customFormat="1" ht="15" customHeight="1">
      <c r="A404" s="256" t="s">
        <v>214</v>
      </c>
      <c r="B404" s="257" t="s">
        <v>215</v>
      </c>
      <c r="C404" s="257" t="s">
        <v>216</v>
      </c>
      <c r="D404" s="257" t="s">
        <v>217</v>
      </c>
      <c r="E404" s="257" t="s">
        <v>218</v>
      </c>
      <c r="F404" s="257" t="s">
        <v>219</v>
      </c>
      <c r="G404" s="257" t="s">
        <v>220</v>
      </c>
      <c r="H404" s="257"/>
      <c r="I404" s="257">
        <v>2012</v>
      </c>
      <c r="J404" s="257"/>
      <c r="K404" s="257" t="s">
        <v>221</v>
      </c>
      <c r="L404" s="257"/>
      <c r="M404" s="257" t="s">
        <v>3070</v>
      </c>
      <c r="N404" s="257" t="s">
        <v>222</v>
      </c>
      <c r="O404" s="275" t="s">
        <v>223</v>
      </c>
      <c r="P404" s="257"/>
      <c r="Q404" s="257" t="s">
        <v>224</v>
      </c>
      <c r="R404" s="258" t="s">
        <v>225</v>
      </c>
      <c r="S404" s="256" t="s">
        <v>226</v>
      </c>
      <c r="T404" s="257" t="s">
        <v>227</v>
      </c>
      <c r="U404" s="257" t="s">
        <v>228</v>
      </c>
      <c r="V404" s="257">
        <v>0</v>
      </c>
      <c r="W404" s="257">
        <v>0</v>
      </c>
      <c r="X404" s="257">
        <v>0</v>
      </c>
      <c r="Y404" s="257">
        <v>1</v>
      </c>
      <c r="Z404" s="257">
        <v>0</v>
      </c>
      <c r="AA404" s="257">
        <v>0</v>
      </c>
      <c r="AB404" s="257">
        <v>0</v>
      </c>
      <c r="AC404" s="257">
        <v>0</v>
      </c>
      <c r="AD404" s="257">
        <v>0</v>
      </c>
      <c r="AE404" s="257">
        <v>0</v>
      </c>
      <c r="AF404" s="257">
        <v>0</v>
      </c>
      <c r="AG404" s="257">
        <v>0</v>
      </c>
      <c r="AH404" s="257">
        <v>0</v>
      </c>
      <c r="AI404" s="257">
        <v>0</v>
      </c>
      <c r="AJ404" s="257">
        <v>0</v>
      </c>
      <c r="AK404" s="257">
        <v>0</v>
      </c>
      <c r="AL404" s="257">
        <v>0</v>
      </c>
      <c r="AM404" s="257">
        <v>0</v>
      </c>
      <c r="AN404" s="257">
        <v>0</v>
      </c>
      <c r="AO404" s="257">
        <v>0</v>
      </c>
      <c r="AP404" s="257">
        <v>0</v>
      </c>
      <c r="AQ404" s="257">
        <v>0</v>
      </c>
      <c r="AR404" s="257">
        <v>0</v>
      </c>
      <c r="AS404" s="257">
        <v>0</v>
      </c>
      <c r="AT404" s="257">
        <v>0</v>
      </c>
      <c r="AU404" s="257">
        <v>0</v>
      </c>
      <c r="AV404" s="257">
        <v>0</v>
      </c>
      <c r="AW404" s="257">
        <v>0</v>
      </c>
      <c r="AX404" s="277">
        <v>1</v>
      </c>
      <c r="AY404" s="277">
        <v>1</v>
      </c>
      <c r="AZ404" s="257">
        <v>1</v>
      </c>
      <c r="BA404" s="257">
        <v>0</v>
      </c>
      <c r="BB404" s="257">
        <v>0</v>
      </c>
      <c r="BC404" s="257">
        <v>0</v>
      </c>
      <c r="BD404" s="257">
        <v>0</v>
      </c>
      <c r="BE404" s="257" t="s">
        <v>91</v>
      </c>
      <c r="BF404" s="2" t="str" cm="1">
        <f t="array" ref="BF404">IF(COUNTIF(AZ404:BB404,"&lt;&gt;0")=1,INDEX($V$4:$AW$4,MATCH(TRUE,INDEX($V404:$AW404&lt;&gt;0,),0)),IF(COUNTIF(AZ404:BB404,"&lt;&gt;0")=0,INDEX($AM$4:$AW$4,MATCH(1,$AM404:$AW404,0)),"Multiple strategies"))</f>
        <v>Silviculture for removals</v>
      </c>
      <c r="BG404" s="278" t="s">
        <v>229</v>
      </c>
      <c r="BH404" s="257" t="s">
        <v>230</v>
      </c>
      <c r="BI404" s="279" t="s">
        <v>3071</v>
      </c>
      <c r="BJ404" s="276" t="s">
        <v>231</v>
      </c>
      <c r="BK404" s="257">
        <v>53.012261809999998</v>
      </c>
      <c r="BL404" s="257">
        <v>54.766085619999998</v>
      </c>
      <c r="BM404" s="257">
        <v>1.0330833612850898</v>
      </c>
      <c r="BN404" s="257">
        <v>1.7538238100000001</v>
      </c>
      <c r="BO404" s="276">
        <v>3.5792322653061226</v>
      </c>
      <c r="BP404" s="276" t="s">
        <v>232</v>
      </c>
      <c r="BQ404" s="279" t="s">
        <v>3071</v>
      </c>
      <c r="BR404" s="276" t="s">
        <v>233</v>
      </c>
      <c r="BS404" s="257">
        <v>-8.8453815260000006</v>
      </c>
      <c r="BT404" s="257">
        <v>-9.0261044179999992</v>
      </c>
      <c r="BU404" s="259">
        <v>1.0204313280855986</v>
      </c>
      <c r="BV404" s="257">
        <v>-0.18072289199999858</v>
      </c>
      <c r="BW404" s="257"/>
      <c r="BX404" s="257">
        <v>-1.8072289199999857E-4</v>
      </c>
      <c r="BY404" s="257">
        <v>-5.049208282786359E-5</v>
      </c>
      <c r="BZ404" s="257">
        <v>0</v>
      </c>
      <c r="CA404" s="257">
        <v>0</v>
      </c>
      <c r="CB404" s="257">
        <v>0</v>
      </c>
      <c r="CC404" s="257">
        <v>0</v>
      </c>
      <c r="CD404" s="257">
        <v>0</v>
      </c>
      <c r="CE404" s="257">
        <v>0</v>
      </c>
      <c r="CF404" s="257">
        <v>0</v>
      </c>
      <c r="CG404" s="257">
        <v>0</v>
      </c>
      <c r="CH404" s="257">
        <v>0</v>
      </c>
      <c r="CI404" s="257">
        <v>0</v>
      </c>
      <c r="CJ404" s="257">
        <v>0</v>
      </c>
      <c r="CK404" s="257">
        <v>0</v>
      </c>
      <c r="CL404" s="257">
        <v>0</v>
      </c>
      <c r="CM404" s="257">
        <v>0</v>
      </c>
      <c r="CN404" s="257" t="s">
        <v>3072</v>
      </c>
      <c r="CO404" s="257">
        <v>53.012261809999998</v>
      </c>
      <c r="CP404" s="257">
        <v>54.766085619999998</v>
      </c>
      <c r="CQ404" s="257">
        <v>3.5792322653061226</v>
      </c>
      <c r="CR404" s="257">
        <v>-8.8453815260000006</v>
      </c>
      <c r="CS404" s="257">
        <v>-9.0261044179999992</v>
      </c>
      <c r="CT404" s="257">
        <v>-1.8072289199999857E-4</v>
      </c>
      <c r="CU404" s="257">
        <v>-5.049208282786359E-5</v>
      </c>
      <c r="CV404" s="258">
        <v>-2.0431328085598572E-2</v>
      </c>
      <c r="CW404" s="256" t="s">
        <v>234</v>
      </c>
      <c r="CX404" s="257" t="s">
        <v>3073</v>
      </c>
      <c r="CY404" s="257" t="s">
        <v>235</v>
      </c>
      <c r="CZ404" s="257"/>
      <c r="DA404" s="276"/>
      <c r="DB404" s="276">
        <v>80</v>
      </c>
      <c r="DC404" s="257" t="s">
        <v>3074</v>
      </c>
      <c r="DD404" s="257">
        <v>0</v>
      </c>
      <c r="DE404" s="257">
        <v>1</v>
      </c>
      <c r="DF404" s="257">
        <v>0</v>
      </c>
      <c r="DG404" s="257">
        <v>0</v>
      </c>
      <c r="DH404" s="257"/>
      <c r="DI404" s="257">
        <v>1</v>
      </c>
      <c r="DJ404" s="257" t="s">
        <v>173</v>
      </c>
      <c r="DK404" s="257">
        <v>0</v>
      </c>
      <c r="DL404" s="257" t="s">
        <v>180</v>
      </c>
      <c r="DM404" s="257">
        <v>0</v>
      </c>
      <c r="DN404" s="257">
        <v>0</v>
      </c>
      <c r="DO404" s="257">
        <v>0</v>
      </c>
      <c r="DP404" s="276">
        <v>0</v>
      </c>
      <c r="DQ404" s="276">
        <v>0</v>
      </c>
      <c r="DR404" s="276">
        <v>0</v>
      </c>
      <c r="DS404" s="276">
        <v>0</v>
      </c>
      <c r="DT404" s="257">
        <v>0</v>
      </c>
      <c r="DU404" s="276" t="s">
        <v>962</v>
      </c>
      <c r="DV404" s="276">
        <v>1</v>
      </c>
      <c r="DW404" s="276">
        <v>1</v>
      </c>
      <c r="DX404" s="276">
        <v>1</v>
      </c>
      <c r="DY404" s="276">
        <v>0</v>
      </c>
      <c r="DZ404" s="257">
        <v>0</v>
      </c>
      <c r="EA404" s="276">
        <v>0</v>
      </c>
      <c r="EB404" s="276">
        <v>1</v>
      </c>
      <c r="EC404" s="276">
        <v>1</v>
      </c>
      <c r="ED404" s="276">
        <v>0</v>
      </c>
      <c r="EE404" s="276">
        <v>0</v>
      </c>
      <c r="EF404" s="257">
        <v>1</v>
      </c>
      <c r="EG404" s="276">
        <v>0</v>
      </c>
      <c r="EH404" s="257">
        <v>0</v>
      </c>
      <c r="EI404" s="258">
        <v>0</v>
      </c>
      <c r="EJ404" s="256"/>
      <c r="EK404" t="str">
        <f>IF(AND(AND(AND(OR($DX404=1,$DW404=1),OR($EC404=1,$EA404=1)),SUM($DV404:$DZ404,$EF404)&gt;=4),SUM($EA404:$EE404)&gt;=2),"Whole sector","")</f>
        <v>Whole sector</v>
      </c>
      <c r="EL404" t="str">
        <f>IF(AND(AND(OR($DX404=1,$DW404=1),AND($EC404=0,$EA404=0)),SUM($DV404:$DZ404,$EF404)&gt;=4),"Ecosystem approach","")</f>
        <v/>
      </c>
      <c r="EM404" s="258" t="s">
        <v>544</v>
      </c>
      <c r="EN404" s="257" t="s">
        <v>236</v>
      </c>
      <c r="EO404" s="257"/>
      <c r="EP404" t="str">
        <f>IF(ISNUMBER(BU404),IF(ABS(BU404-[2]QC_indicators!$B$2)&gt;3*[2]QC_indicators!$C$2,"C ratio",IF(ISNUMBER(BY404),IF(ABS(BY404-[2]QC_indicators!$B$1)&gt;3*[2]QC_indicators!$C$1,"DF","no"))),IF(ISNUMBER(BY404),IF(ABS(BY404-[2]QC_indicators!$B$1)&gt;3*[2]QC_indicators!$C$1,"DF","no")))</f>
        <v>no</v>
      </c>
      <c r="EQ404" s="257"/>
      <c r="ER404" s="257"/>
      <c r="ES404" s="257"/>
      <c r="ET404" s="257"/>
      <c r="EU404"/>
    </row>
    <row r="405" spans="1:151" s="139" customFormat="1" ht="15" customHeight="1">
      <c r="A405" s="1" t="s">
        <v>587</v>
      </c>
      <c r="B405" t="s">
        <v>1448</v>
      </c>
      <c r="C405" t="s">
        <v>1449</v>
      </c>
      <c r="D405" t="s">
        <v>1450</v>
      </c>
      <c r="E405" t="s">
        <v>1451</v>
      </c>
      <c r="F405" t="s">
        <v>1452</v>
      </c>
      <c r="G405" t="s">
        <v>593</v>
      </c>
      <c r="H405" t="s">
        <v>254</v>
      </c>
      <c r="I405">
        <v>2020</v>
      </c>
      <c r="J405">
        <v>12</v>
      </c>
      <c r="K405" t="s">
        <v>1453</v>
      </c>
      <c r="L405"/>
      <c r="M405" t="str">
        <f>LEFT($D405,FIND(",",$D405)-1)&amp;"_"&amp;I405&amp;L405</f>
        <v>Elisa_2020</v>
      </c>
      <c r="N405" s="264" t="s">
        <v>222</v>
      </c>
      <c r="O405" s="171" t="s">
        <v>274</v>
      </c>
      <c r="P405" t="s">
        <v>223</v>
      </c>
      <c r="Q405" s="264" t="s">
        <v>389</v>
      </c>
      <c r="R405" s="269" t="s">
        <v>1154</v>
      </c>
      <c r="S405" s="154" t="s">
        <v>1454</v>
      </c>
      <c r="T405" s="294" t="s">
        <v>1455</v>
      </c>
      <c r="U405" s="143" t="s">
        <v>1505</v>
      </c>
      <c r="V405">
        <v>0</v>
      </c>
      <c r="W405">
        <v>0</v>
      </c>
      <c r="X405">
        <v>0</v>
      </c>
      <c r="Y405">
        <v>0</v>
      </c>
      <c r="Z405">
        <v>0</v>
      </c>
      <c r="AA405">
        <v>0</v>
      </c>
      <c r="AB405">
        <v>0</v>
      </c>
      <c r="AC405">
        <v>0</v>
      </c>
      <c r="AD405">
        <v>0</v>
      </c>
      <c r="AE405">
        <v>1</v>
      </c>
      <c r="AF405">
        <v>0</v>
      </c>
      <c r="AG405">
        <v>0</v>
      </c>
      <c r="AH405">
        <v>0</v>
      </c>
      <c r="AI405">
        <v>0</v>
      </c>
      <c r="AJ405">
        <v>0</v>
      </c>
      <c r="AK405">
        <v>1</v>
      </c>
      <c r="AL405">
        <v>0</v>
      </c>
      <c r="AM405">
        <v>0</v>
      </c>
      <c r="AN405">
        <v>0</v>
      </c>
      <c r="AO405">
        <v>0</v>
      </c>
      <c r="AP405">
        <v>0</v>
      </c>
      <c r="AQ405">
        <v>0</v>
      </c>
      <c r="AR405">
        <v>0</v>
      </c>
      <c r="AS405">
        <v>0</v>
      </c>
      <c r="AT405">
        <v>0</v>
      </c>
      <c r="AU405">
        <v>0</v>
      </c>
      <c r="AV405">
        <v>0</v>
      </c>
      <c r="AW405">
        <v>0</v>
      </c>
      <c r="AX405" s="141">
        <f>COUNTIF(V405:AW405,"&lt;&gt;0")</f>
        <v>2</v>
      </c>
      <c r="AY405" s="141">
        <f>COUNTIF(V405:AL405,"&lt;&gt;0")</f>
        <v>2</v>
      </c>
      <c r="AZ405">
        <f>COUNTIF(V405:AC405,"&lt;&gt;0")</f>
        <v>0</v>
      </c>
      <c r="BA405">
        <f>COUNTIF(AD405:AI405,"&lt;&gt;0")</f>
        <v>1</v>
      </c>
      <c r="BB405">
        <f>COUNTIF(AJ405:AL405,"&lt;&gt;0")</f>
        <v>1</v>
      </c>
      <c r="BC405">
        <f>COUNTIF(AS405:AW405,"&lt;&gt;0")</f>
        <v>0</v>
      </c>
      <c r="BD405">
        <f>COUNTIF(AM405:AR405,"&lt;&gt;0")</f>
        <v>0</v>
      </c>
      <c r="BE405" t="str" cm="1">
        <f t="array" ref="BE405">IF(AY405=1,INDEX($V$7:$AL$7,MATCH(TRUE,INDEX($V405:$AW405&lt;&gt;0,),0)),IF(AY405=0,INDEX($AM$7:$AW$7,MATCH(1,$AM405:$AW405,0)),IF(BF405="Multiple strategies","mixed drivers",IF(BF405="Supply chain","multiple supply","multiple silviculture"))))</f>
        <v>mixed drivers</v>
      </c>
      <c r="BF405" s="2" t="str" cm="1">
        <f t="array" ref="BF405">IF(COUNTIF(AZ405:BB405,"&lt;&gt;0")=1,INDEX($V$4:$AW$4,MATCH(TRUE,INDEX($V405:$AW405&lt;&gt;0,),0)),IF(COUNTIF(AZ405:BB405,"&lt;&gt;0")=0,INDEX($AM$4:$AW$4,MATCH(1,$AM405:$AW405,0)),"Multiple strategies"))</f>
        <v>Multiple strategies</v>
      </c>
      <c r="BG405" s="142" t="s">
        <v>321</v>
      </c>
      <c r="BH405" s="160" t="s">
        <v>1457</v>
      </c>
      <c r="BI405" s="160" t="s">
        <v>1458</v>
      </c>
      <c r="BJ405" s="143" t="s">
        <v>498</v>
      </c>
      <c r="BK405" s="143">
        <v>944</v>
      </c>
      <c r="BL405" s="143">
        <v>106341</v>
      </c>
      <c r="BM405">
        <f>IFERROR(BL406/BK405,"")</f>
        <v>7.2904537372881356E-2</v>
      </c>
      <c r="BN405">
        <f>BL405-BK405</f>
        <v>105397</v>
      </c>
      <c r="BO405" s="159">
        <f>BN405</f>
        <v>105397</v>
      </c>
      <c r="BP405" s="155" t="s">
        <v>232</v>
      </c>
      <c r="BQ405" s="155" t="s">
        <v>1459</v>
      </c>
      <c r="BR405" s="155" t="s">
        <v>825</v>
      </c>
      <c r="BS405" s="143" t="s">
        <v>1477</v>
      </c>
      <c r="BT405" t="s">
        <v>1525</v>
      </c>
      <c r="BU405" s="144">
        <f>BT405/BS405</f>
        <v>46.240355689953759</v>
      </c>
      <c r="BV405">
        <f>BT405-BS405</f>
        <v>-4.8622072277777804</v>
      </c>
      <c r="BW405"/>
      <c r="BX405">
        <f>BV405</f>
        <v>-4.8622072277777804</v>
      </c>
      <c r="BY405">
        <f>IFERROR(BX405/BO405,"")</f>
        <v>-4.6132311429905788E-5</v>
      </c>
      <c r="BZ405">
        <v>0</v>
      </c>
      <c r="CA405">
        <v>0</v>
      </c>
      <c r="CB405">
        <v>0</v>
      </c>
      <c r="CC405">
        <v>0</v>
      </c>
      <c r="CD405">
        <v>0</v>
      </c>
      <c r="CE405">
        <v>0</v>
      </c>
      <c r="CF405">
        <v>0</v>
      </c>
      <c r="CG405">
        <v>0</v>
      </c>
      <c r="CH405">
        <v>0</v>
      </c>
      <c r="CI405">
        <v>0</v>
      </c>
      <c r="CJ405">
        <v>0</v>
      </c>
      <c r="CK405">
        <v>0</v>
      </c>
      <c r="CL405">
        <v>0</v>
      </c>
      <c r="CM405">
        <v>0</v>
      </c>
      <c r="CN405" t="str">
        <f>IF($BL405&lt;$BK405,"refNeedCorrection","refOK")</f>
        <v>refOK</v>
      </c>
      <c r="CO405">
        <f>IF($CN405="refOK",$BK405,$BL405)</f>
        <v>944</v>
      </c>
      <c r="CP405">
        <f>IF($CN405="refOK",$BL405,$BK405)</f>
        <v>106341</v>
      </c>
      <c r="CQ405">
        <f>IF($CN405="refOK",$BO405,-$BO405)</f>
        <v>105397</v>
      </c>
      <c r="CR405">
        <f>IF($CN405="refOK",$BS405,$BT405)*IF($BP405="Emissions positive",-1,1)</f>
        <v>-0.107475</v>
      </c>
      <c r="CS405">
        <f>IF($CN405="refOK",$BT405,$BS405)*IF($BP405="Emissions positive",-1,1)</f>
        <v>-4.9696822277777803</v>
      </c>
      <c r="CT405">
        <f>IF($CN405="refNeedCorrection",-BX405,BX405)*IF($BP405="Emissions positive",-1,1)</f>
        <v>-4.8622072277777804</v>
      </c>
      <c r="CU405">
        <f>IFERROR(CT405/CQ405,"")</f>
        <v>-4.6132311429905788E-5</v>
      </c>
      <c r="CV405" s="2">
        <f>IFERROR((CS405-CR405)/ABS(CR405),"")</f>
        <v>-45.240355689953759</v>
      </c>
      <c r="CW405" s="263" t="s">
        <v>1462</v>
      </c>
      <c r="CX405" s="264" t="str">
        <f>IF(OR($CW405="prd",$CW405="std",$CW405="cit"),"loc",IF(OR($CW405="eur",$CW405="reg",$CW405="coy"),"reg",$CW405))</f>
        <v>reg</v>
      </c>
      <c r="CY405" s="270" t="s">
        <v>743</v>
      </c>
      <c r="CZ405"/>
      <c r="DA405" s="143"/>
      <c r="DB405" s="143">
        <v>0</v>
      </c>
      <c r="DC405" t="str">
        <f>IF(DB405=0,"0",IF(AND(DB405&gt;=1,DB405&lt;=30),"1-30",IF(AND(DB405&gt;30,DB405&lt;=70),"31-70",IF(AND(DB405&gt;70,DB405&lt;=100),"71-100",IF(DB405&gt;100,"+100")))))</f>
        <v>0</v>
      </c>
      <c r="DD405">
        <v>0</v>
      </c>
      <c r="DE405">
        <v>1</v>
      </c>
      <c r="DF405">
        <v>0</v>
      </c>
      <c r="DG405">
        <v>0</v>
      </c>
      <c r="DH405">
        <v>0</v>
      </c>
      <c r="DI405">
        <f>SUM(DD405:DH405)</f>
        <v>1</v>
      </c>
      <c r="DJ405" t="str">
        <f>IF(DI405=1,INDEX($DD$7:$DG$7,MATCH(1,$DD405:$DG405,0)),"mixedProduct")</f>
        <v>EnergyInput</v>
      </c>
      <c r="DK405">
        <f>IF(DD405=1,DK$7,0)</f>
        <v>0</v>
      </c>
      <c r="DL405" t="str">
        <f>IF(DE405=1,DL$7,0)</f>
        <v>Energy</v>
      </c>
      <c r="DM405">
        <f>IF(DF405=1,DM$7,0)</f>
        <v>0</v>
      </c>
      <c r="DN405">
        <f>IF(DG405=1,DN$7,0)</f>
        <v>0</v>
      </c>
      <c r="DO405">
        <v>0</v>
      </c>
      <c r="DP405" s="143">
        <v>0</v>
      </c>
      <c r="DQ405" s="143">
        <v>0</v>
      </c>
      <c r="DR405">
        <v>0</v>
      </c>
      <c r="DS405" s="143">
        <v>0</v>
      </c>
      <c r="DT405">
        <f>SUM(DO405:DP405)</f>
        <v>0</v>
      </c>
      <c r="DU405" s="143" t="str">
        <f>IF(DO405=1,"self-calculated DF",IF(DP405=1,"external DF used","explicit C balance"))</f>
        <v>explicit C balance</v>
      </c>
      <c r="DV405" s="143">
        <v>0</v>
      </c>
      <c r="DW405" s="143">
        <v>0</v>
      </c>
      <c r="DX405" s="143">
        <v>0</v>
      </c>
      <c r="DY405" s="143">
        <v>0</v>
      </c>
      <c r="DZ405">
        <v>0</v>
      </c>
      <c r="EA405" s="143">
        <v>0</v>
      </c>
      <c r="EB405" s="143">
        <v>1</v>
      </c>
      <c r="EC405" s="143">
        <v>0</v>
      </c>
      <c r="ED405" s="143">
        <v>0</v>
      </c>
      <c r="EE405">
        <v>0</v>
      </c>
      <c r="EF405">
        <v>0</v>
      </c>
      <c r="EG405" s="143">
        <v>0</v>
      </c>
      <c r="EH405" s="143">
        <v>0</v>
      </c>
      <c r="EI405" s="2">
        <v>0</v>
      </c>
      <c r="EJ405" s="1"/>
      <c r="EK405" t="str">
        <f>IF(AND(AND(AND(OR($DX405=1,$DW405=1),OR($EC405=1,$EA405=1)),SUM($DV405:$DZ405,$EF405)&gt;=4),SUM($EA405:$EE405)&gt;=2),"Whole sector","")</f>
        <v/>
      </c>
      <c r="EL405" t="str">
        <f>IF(AND(AND(OR($DX405=1,$DW405=1),AND($EC405=0,$EA405=0)),SUM($DV405:$DZ405,$EF405)&gt;=4),"Ecosystem approach","")</f>
        <v/>
      </c>
      <c r="EM405" s="2" t="str">
        <f>IF(AND(AND(AND($DX405=0,$DW405=0),OR($EC405=1,$EA405=1)),SUM($EB405:$EE405)&gt;=2),"Technology approach","")</f>
        <v/>
      </c>
      <c r="EN405"/>
      <c r="EO405"/>
      <c r="EP405" t="str">
        <f>IF(ISNUMBER(BU405),IF(ABS(BU405-[3]QC_indicators!$B$2)&gt;3*[3]QC_indicators!$C$2,"C ratio",IF(ISNUMBER(BY405),IF(ABS(BY405-[3]QC_indicators!$B$1)&gt;3*[3]QC_indicators!$C$1,"DF","no"))),IF(ISNUMBER(BY405),IF(ABS(BY405-[3]QC_indicators!$B$1)&gt;3*[3]QC_indicators!$C$1,"DF","no")))</f>
        <v>no</v>
      </c>
      <c r="EQ405"/>
      <c r="ER405" s="149"/>
      <c r="ES405"/>
      <c r="ET405" s="264" t="s">
        <v>3407</v>
      </c>
      <c r="EU405"/>
    </row>
    <row r="406" spans="1:151" s="139" customFormat="1" ht="15" customHeight="1">
      <c r="A406" s="256" t="s">
        <v>214</v>
      </c>
      <c r="B406" s="257" t="s">
        <v>215</v>
      </c>
      <c r="C406" s="257" t="s">
        <v>216</v>
      </c>
      <c r="D406" s="257" t="s">
        <v>217</v>
      </c>
      <c r="E406" s="257" t="s">
        <v>218</v>
      </c>
      <c r="F406" s="257" t="s">
        <v>219</v>
      </c>
      <c r="G406" s="257" t="s">
        <v>220</v>
      </c>
      <c r="H406" s="257"/>
      <c r="I406" s="257">
        <v>2012</v>
      </c>
      <c r="J406" s="257"/>
      <c r="K406" s="257" t="s">
        <v>221</v>
      </c>
      <c r="L406" s="257"/>
      <c r="M406" s="257" t="s">
        <v>3070</v>
      </c>
      <c r="N406" s="257" t="s">
        <v>222</v>
      </c>
      <c r="O406" s="275" t="s">
        <v>223</v>
      </c>
      <c r="P406" s="257"/>
      <c r="Q406" s="257" t="s">
        <v>224</v>
      </c>
      <c r="R406" s="258" t="s">
        <v>225</v>
      </c>
      <c r="S406" s="256" t="s">
        <v>240</v>
      </c>
      <c r="T406" s="257">
        <v>2000</v>
      </c>
      <c r="U406" s="257">
        <v>4000</v>
      </c>
      <c r="V406" s="257">
        <v>0</v>
      </c>
      <c r="W406" s="257">
        <v>0</v>
      </c>
      <c r="X406" s="257">
        <v>0</v>
      </c>
      <c r="Y406" s="257">
        <v>0</v>
      </c>
      <c r="Z406" s="257">
        <v>0</v>
      </c>
      <c r="AA406" s="257">
        <v>1</v>
      </c>
      <c r="AB406" s="257">
        <v>0</v>
      </c>
      <c r="AC406" s="257">
        <v>0</v>
      </c>
      <c r="AD406" s="257">
        <v>0</v>
      </c>
      <c r="AE406" s="257">
        <v>0</v>
      </c>
      <c r="AF406" s="257">
        <v>0</v>
      </c>
      <c r="AG406" s="257">
        <v>0</v>
      </c>
      <c r="AH406" s="257">
        <v>0</v>
      </c>
      <c r="AI406" s="257">
        <v>0</v>
      </c>
      <c r="AJ406" s="257">
        <v>0</v>
      </c>
      <c r="AK406" s="257">
        <v>0</v>
      </c>
      <c r="AL406" s="257">
        <v>0</v>
      </c>
      <c r="AM406" s="257">
        <v>0</v>
      </c>
      <c r="AN406" s="257">
        <v>0</v>
      </c>
      <c r="AO406" s="257">
        <v>0</v>
      </c>
      <c r="AP406" s="257">
        <v>0</v>
      </c>
      <c r="AQ406" s="257">
        <v>0</v>
      </c>
      <c r="AR406" s="257">
        <v>0</v>
      </c>
      <c r="AS406" s="257">
        <v>0</v>
      </c>
      <c r="AT406" s="257">
        <v>0</v>
      </c>
      <c r="AU406" s="257">
        <v>0</v>
      </c>
      <c r="AV406" s="257">
        <v>0</v>
      </c>
      <c r="AW406" s="257">
        <v>0</v>
      </c>
      <c r="AX406" s="277">
        <v>1</v>
      </c>
      <c r="AY406" s="277">
        <v>1</v>
      </c>
      <c r="AZ406" s="257">
        <v>1</v>
      </c>
      <c r="BA406" s="257">
        <v>0</v>
      </c>
      <c r="BB406" s="257">
        <v>0</v>
      </c>
      <c r="BC406" s="257">
        <v>0</v>
      </c>
      <c r="BD406" s="257">
        <v>0</v>
      </c>
      <c r="BE406" s="257" t="s">
        <v>93</v>
      </c>
      <c r="BF406" s="2" t="str" cm="1">
        <f t="array" ref="BF406">IF(COUNTIF(AZ406:BB406,"&lt;&gt;0")=1,INDEX($V$4:$AW$4,MATCH(TRUE,INDEX($V406:$AW406&lt;&gt;0,),0)),IF(COUNTIF(AZ406:BB406,"&lt;&gt;0")=0,INDEX($AM$4:$AW$4,MATCH(1,$AM406:$AW406,0)),"Multiple strategies"))</f>
        <v>Silviculture for productivity</v>
      </c>
      <c r="BG406" s="278" t="s">
        <v>229</v>
      </c>
      <c r="BH406" s="257" t="s">
        <v>230</v>
      </c>
      <c r="BI406" s="279" t="s">
        <v>3071</v>
      </c>
      <c r="BJ406" s="276" t="s">
        <v>231</v>
      </c>
      <c r="BK406" s="257">
        <v>63.509174309999999</v>
      </c>
      <c r="BL406" s="257">
        <v>68.821883279999994</v>
      </c>
      <c r="BM406" s="276">
        <v>1.0836526222820608</v>
      </c>
      <c r="BN406" s="257">
        <v>5.3127089699999956</v>
      </c>
      <c r="BO406" s="276">
        <v>10.842263204081624</v>
      </c>
      <c r="BP406" s="276" t="s">
        <v>232</v>
      </c>
      <c r="BQ406" s="279" t="s">
        <v>3071</v>
      </c>
      <c r="BR406" s="276" t="s">
        <v>233</v>
      </c>
      <c r="BS406" s="257">
        <v>-8.7158725570000009</v>
      </c>
      <c r="BT406" s="257">
        <v>-8.9016064260000007</v>
      </c>
      <c r="BU406" s="259">
        <v>1.0213098422200806</v>
      </c>
      <c r="BV406" s="257">
        <v>-0.18573386899999988</v>
      </c>
      <c r="BW406" s="257"/>
      <c r="BX406" s="257">
        <v>-1.8573386899999988E-4</v>
      </c>
      <c r="BY406" s="257">
        <v>-1.7130544195798478E-5</v>
      </c>
      <c r="BZ406" s="257">
        <v>0</v>
      </c>
      <c r="CA406" s="257">
        <v>0</v>
      </c>
      <c r="CB406" s="257">
        <v>0</v>
      </c>
      <c r="CC406" s="257">
        <v>0</v>
      </c>
      <c r="CD406" s="257">
        <v>0</v>
      </c>
      <c r="CE406" s="257">
        <v>0</v>
      </c>
      <c r="CF406" s="257">
        <v>0</v>
      </c>
      <c r="CG406" s="257">
        <v>0</v>
      </c>
      <c r="CH406" s="257">
        <v>0</v>
      </c>
      <c r="CI406" s="257">
        <v>0</v>
      </c>
      <c r="CJ406" s="257">
        <v>0</v>
      </c>
      <c r="CK406" s="257">
        <v>0</v>
      </c>
      <c r="CL406" s="257">
        <v>0</v>
      </c>
      <c r="CM406" s="257">
        <v>0</v>
      </c>
      <c r="CN406" s="257" t="s">
        <v>3072</v>
      </c>
      <c r="CO406" s="257">
        <v>63.509174309999999</v>
      </c>
      <c r="CP406" s="257">
        <v>68.821883279999994</v>
      </c>
      <c r="CQ406" s="257">
        <v>10.842263204081624</v>
      </c>
      <c r="CR406" s="257">
        <v>-8.7158725570000009</v>
      </c>
      <c r="CS406" s="257">
        <v>-8.9016064260000007</v>
      </c>
      <c r="CT406" s="257">
        <v>-1.8573386899999988E-4</v>
      </c>
      <c r="CU406" s="257">
        <v>-1.7130544195798478E-5</v>
      </c>
      <c r="CV406" s="258">
        <v>-2.1309842220080533E-2</v>
      </c>
      <c r="CW406" s="256" t="s">
        <v>234</v>
      </c>
      <c r="CX406" s="257" t="s">
        <v>3073</v>
      </c>
      <c r="CY406" s="257" t="s">
        <v>235</v>
      </c>
      <c r="CZ406" s="257"/>
      <c r="DA406" s="276"/>
      <c r="DB406" s="276">
        <v>80</v>
      </c>
      <c r="DC406" s="257" t="s">
        <v>3074</v>
      </c>
      <c r="DD406" s="257">
        <v>0</v>
      </c>
      <c r="DE406" s="257">
        <v>1</v>
      </c>
      <c r="DF406" s="257">
        <v>0</v>
      </c>
      <c r="DG406" s="257">
        <v>0</v>
      </c>
      <c r="DH406" s="257"/>
      <c r="DI406" s="257">
        <v>1</v>
      </c>
      <c r="DJ406" s="257" t="s">
        <v>173</v>
      </c>
      <c r="DK406" s="257">
        <v>0</v>
      </c>
      <c r="DL406" s="257" t="s">
        <v>180</v>
      </c>
      <c r="DM406" s="257">
        <v>0</v>
      </c>
      <c r="DN406" s="257">
        <v>0</v>
      </c>
      <c r="DO406" s="257">
        <v>0</v>
      </c>
      <c r="DP406" s="276">
        <v>0</v>
      </c>
      <c r="DQ406" s="276">
        <v>0</v>
      </c>
      <c r="DR406" s="276">
        <v>0</v>
      </c>
      <c r="DS406" s="276">
        <v>0</v>
      </c>
      <c r="DT406" s="257">
        <v>0</v>
      </c>
      <c r="DU406" s="276" t="s">
        <v>962</v>
      </c>
      <c r="DV406" s="276">
        <v>1</v>
      </c>
      <c r="DW406" s="276">
        <v>1</v>
      </c>
      <c r="DX406" s="276">
        <v>1</v>
      </c>
      <c r="DY406" s="276">
        <v>0</v>
      </c>
      <c r="DZ406" s="257">
        <v>0</v>
      </c>
      <c r="EA406" s="276">
        <v>0</v>
      </c>
      <c r="EB406" s="276">
        <v>1</v>
      </c>
      <c r="EC406" s="276">
        <v>1</v>
      </c>
      <c r="ED406" s="276">
        <v>0</v>
      </c>
      <c r="EE406" s="276">
        <v>0</v>
      </c>
      <c r="EF406" s="257">
        <v>1</v>
      </c>
      <c r="EG406" s="276">
        <v>0</v>
      </c>
      <c r="EH406" s="257">
        <v>0</v>
      </c>
      <c r="EI406" s="258">
        <v>0</v>
      </c>
      <c r="EJ406" s="256"/>
      <c r="EK406" t="str">
        <f>IF(AND(AND(AND(OR($DX406=1,$DW406=1),OR($EC406=1,$EA406=1)),SUM($DV406:$DZ406,$EF406)&gt;=4),SUM($EA406:$EE406)&gt;=2),"Whole sector","")</f>
        <v>Whole sector</v>
      </c>
      <c r="EL406" t="str">
        <f>IF(AND(AND(OR($DX406=1,$DW406=1),AND($EC406=0,$EA406=0)),SUM($DV406:$DZ406,$EF406)&gt;=4),"Ecosystem approach","")</f>
        <v/>
      </c>
      <c r="EM406" s="258" t="s">
        <v>544</v>
      </c>
      <c r="EN406" s="257" t="s">
        <v>236</v>
      </c>
      <c r="EO406" s="257"/>
      <c r="EP406" t="str">
        <f>IF(ISNUMBER(BU406),IF(ABS(BU406-[2]QC_indicators!$B$2)&gt;3*[2]QC_indicators!$C$2,"C ratio",IF(ISNUMBER(BY406),IF(ABS(BY406-[2]QC_indicators!$B$1)&gt;3*[2]QC_indicators!$C$1,"DF","no"))),IF(ISNUMBER(BY406),IF(ABS(BY406-[2]QC_indicators!$B$1)&gt;3*[2]QC_indicators!$C$1,"DF","no")))</f>
        <v>no</v>
      </c>
      <c r="EQ406" s="280"/>
      <c r="ER406" s="280"/>
      <c r="ES406" s="280"/>
      <c r="ET406"/>
      <c r="EU406"/>
    </row>
    <row r="407" spans="1:151" s="139" customFormat="1" ht="15" customHeight="1">
      <c r="A407" s="256" t="s">
        <v>214</v>
      </c>
      <c r="B407" s="257" t="s">
        <v>215</v>
      </c>
      <c r="C407" s="257" t="s">
        <v>216</v>
      </c>
      <c r="D407" s="257" t="s">
        <v>217</v>
      </c>
      <c r="E407" s="257" t="s">
        <v>218</v>
      </c>
      <c r="F407" s="257" t="s">
        <v>219</v>
      </c>
      <c r="G407" s="257" t="s">
        <v>220</v>
      </c>
      <c r="H407" s="257"/>
      <c r="I407" s="257">
        <v>2012</v>
      </c>
      <c r="J407" s="257"/>
      <c r="K407" s="257" t="s">
        <v>221</v>
      </c>
      <c r="L407" s="257"/>
      <c r="M407" s="257" t="s">
        <v>3070</v>
      </c>
      <c r="N407" s="257" t="s">
        <v>222</v>
      </c>
      <c r="O407" s="275" t="s">
        <v>223</v>
      </c>
      <c r="P407" s="257"/>
      <c r="Q407" s="257" t="s">
        <v>224</v>
      </c>
      <c r="R407" s="258" t="s">
        <v>225</v>
      </c>
      <c r="S407" s="256" t="s">
        <v>240</v>
      </c>
      <c r="T407" s="257">
        <v>2000</v>
      </c>
      <c r="U407" s="257">
        <v>4000</v>
      </c>
      <c r="V407" s="257">
        <v>0</v>
      </c>
      <c r="W407" s="257">
        <v>0</v>
      </c>
      <c r="X407" s="257">
        <v>0</v>
      </c>
      <c r="Y407" s="257">
        <v>0</v>
      </c>
      <c r="Z407" s="257">
        <v>0</v>
      </c>
      <c r="AA407" s="257">
        <v>1</v>
      </c>
      <c r="AB407" s="257">
        <v>0</v>
      </c>
      <c r="AC407" s="257">
        <v>0</v>
      </c>
      <c r="AD407" s="257">
        <v>0</v>
      </c>
      <c r="AE407" s="257">
        <v>0</v>
      </c>
      <c r="AF407" s="257">
        <v>0</v>
      </c>
      <c r="AG407" s="257">
        <v>0</v>
      </c>
      <c r="AH407" s="257">
        <v>0</v>
      </c>
      <c r="AI407" s="257">
        <v>0</v>
      </c>
      <c r="AJ407" s="257">
        <v>0</v>
      </c>
      <c r="AK407" s="257">
        <v>0</v>
      </c>
      <c r="AL407" s="257">
        <v>0</v>
      </c>
      <c r="AM407" s="257">
        <v>0</v>
      </c>
      <c r="AN407" s="257">
        <v>0</v>
      </c>
      <c r="AO407" s="257">
        <v>0</v>
      </c>
      <c r="AP407" s="257">
        <v>0</v>
      </c>
      <c r="AQ407" s="257">
        <v>0</v>
      </c>
      <c r="AR407" s="257">
        <v>0</v>
      </c>
      <c r="AS407" s="257">
        <v>0</v>
      </c>
      <c r="AT407" s="257">
        <v>0</v>
      </c>
      <c r="AU407" s="257">
        <v>0</v>
      </c>
      <c r="AV407" s="257">
        <v>0</v>
      </c>
      <c r="AW407" s="257">
        <v>0</v>
      </c>
      <c r="AX407" s="277">
        <v>1</v>
      </c>
      <c r="AY407" s="277">
        <v>1</v>
      </c>
      <c r="AZ407" s="257">
        <v>1</v>
      </c>
      <c r="BA407" s="257">
        <v>0</v>
      </c>
      <c r="BB407" s="257">
        <v>0</v>
      </c>
      <c r="BC407" s="257">
        <v>0</v>
      </c>
      <c r="BD407" s="257">
        <v>0</v>
      </c>
      <c r="BE407" s="257" t="s">
        <v>93</v>
      </c>
      <c r="BF407" s="2" t="str" cm="1">
        <f t="array" ref="BF407">IF(COUNTIF(AZ407:BB407,"&lt;&gt;0")=1,INDEX($V$4:$AW$4,MATCH(TRUE,INDEX($V407:$AW407&lt;&gt;0,),0)),IF(COUNTIF(AZ407:BB407,"&lt;&gt;0")=0,INDEX($AM$4:$AW$4,MATCH(1,$AM407:$AW407,0)),"Multiple strategies"))</f>
        <v>Silviculture for productivity</v>
      </c>
      <c r="BG407" s="278" t="s">
        <v>229</v>
      </c>
      <c r="BH407" s="257" t="s">
        <v>230</v>
      </c>
      <c r="BI407" s="279" t="s">
        <v>3071</v>
      </c>
      <c r="BJ407" s="276" t="s">
        <v>231</v>
      </c>
      <c r="BK407" s="257">
        <v>58.199966019999998</v>
      </c>
      <c r="BL407" s="257">
        <v>66.639750489999997</v>
      </c>
      <c r="BM407" s="276">
        <v>1.145013563531974</v>
      </c>
      <c r="BN407" s="257">
        <v>8.4397844699999993</v>
      </c>
      <c r="BO407" s="276">
        <v>17.224049938775508</v>
      </c>
      <c r="BP407" s="276" t="s">
        <v>232</v>
      </c>
      <c r="BQ407" s="279" t="s">
        <v>3071</v>
      </c>
      <c r="BR407" s="276" t="s">
        <v>233</v>
      </c>
      <c r="BS407" s="257">
        <v>-9.137844007</v>
      </c>
      <c r="BT407" s="257">
        <v>-9.4136546180000007</v>
      </c>
      <c r="BU407" s="259">
        <v>1.0301833354551377</v>
      </c>
      <c r="BV407" s="257">
        <v>-0.2758106110000007</v>
      </c>
      <c r="BW407" s="257"/>
      <c r="BX407" s="257">
        <v>-2.7581061100000068E-4</v>
      </c>
      <c r="BY407" s="257">
        <v>-1.6013110271997307E-5</v>
      </c>
      <c r="BZ407" s="257">
        <v>0</v>
      </c>
      <c r="CA407" s="257">
        <v>0</v>
      </c>
      <c r="CB407" s="257">
        <v>0</v>
      </c>
      <c r="CC407" s="257">
        <v>0</v>
      </c>
      <c r="CD407" s="257">
        <v>0</v>
      </c>
      <c r="CE407" s="257">
        <v>0</v>
      </c>
      <c r="CF407" s="257">
        <v>0</v>
      </c>
      <c r="CG407" s="257">
        <v>0</v>
      </c>
      <c r="CH407" s="257">
        <v>0</v>
      </c>
      <c r="CI407" s="257">
        <v>0</v>
      </c>
      <c r="CJ407" s="257">
        <v>0</v>
      </c>
      <c r="CK407" s="257">
        <v>0</v>
      </c>
      <c r="CL407" s="257">
        <v>0</v>
      </c>
      <c r="CM407" s="257">
        <v>0</v>
      </c>
      <c r="CN407" s="257" t="s">
        <v>3072</v>
      </c>
      <c r="CO407" s="257">
        <v>58.199966019999998</v>
      </c>
      <c r="CP407" s="257">
        <v>66.639750489999997</v>
      </c>
      <c r="CQ407" s="257">
        <v>17.224049938775508</v>
      </c>
      <c r="CR407" s="257">
        <v>-9.137844007</v>
      </c>
      <c r="CS407" s="257">
        <v>-9.4136546180000007</v>
      </c>
      <c r="CT407" s="257">
        <v>-2.7581061100000068E-4</v>
      </c>
      <c r="CU407" s="257">
        <v>-1.6013110271997307E-5</v>
      </c>
      <c r="CV407" s="258">
        <v>-3.0183335455137707E-2</v>
      </c>
      <c r="CW407" s="256" t="s">
        <v>234</v>
      </c>
      <c r="CX407" s="257" t="s">
        <v>3073</v>
      </c>
      <c r="CY407" s="257" t="s">
        <v>235</v>
      </c>
      <c r="CZ407" s="257"/>
      <c r="DA407" s="276"/>
      <c r="DB407" s="276">
        <v>80</v>
      </c>
      <c r="DC407" s="257" t="s">
        <v>3074</v>
      </c>
      <c r="DD407" s="257">
        <v>0</v>
      </c>
      <c r="DE407" s="257">
        <v>1</v>
      </c>
      <c r="DF407" s="257">
        <v>0</v>
      </c>
      <c r="DG407" s="257">
        <v>0</v>
      </c>
      <c r="DH407" s="257"/>
      <c r="DI407" s="257">
        <v>1</v>
      </c>
      <c r="DJ407" s="257" t="s">
        <v>173</v>
      </c>
      <c r="DK407" s="257">
        <v>0</v>
      </c>
      <c r="DL407" s="257" t="s">
        <v>180</v>
      </c>
      <c r="DM407" s="257">
        <v>0</v>
      </c>
      <c r="DN407" s="257">
        <v>0</v>
      </c>
      <c r="DO407" s="257">
        <v>0</v>
      </c>
      <c r="DP407" s="276">
        <v>0</v>
      </c>
      <c r="DQ407" s="276">
        <v>0</v>
      </c>
      <c r="DR407" s="276">
        <v>0</v>
      </c>
      <c r="DS407" s="276">
        <v>0</v>
      </c>
      <c r="DT407" s="257">
        <v>0</v>
      </c>
      <c r="DU407" s="276" t="s">
        <v>962</v>
      </c>
      <c r="DV407" s="276">
        <v>1</v>
      </c>
      <c r="DW407" s="276">
        <v>1</v>
      </c>
      <c r="DX407" s="276">
        <v>1</v>
      </c>
      <c r="DY407" s="276">
        <v>0</v>
      </c>
      <c r="DZ407" s="257">
        <v>0</v>
      </c>
      <c r="EA407" s="276">
        <v>0</v>
      </c>
      <c r="EB407" s="276">
        <v>1</v>
      </c>
      <c r="EC407" s="276">
        <v>1</v>
      </c>
      <c r="ED407" s="276">
        <v>0</v>
      </c>
      <c r="EE407" s="276">
        <v>0</v>
      </c>
      <c r="EF407" s="257">
        <v>1</v>
      </c>
      <c r="EG407" s="276">
        <v>0</v>
      </c>
      <c r="EH407" s="257">
        <v>0</v>
      </c>
      <c r="EI407" s="258">
        <v>0</v>
      </c>
      <c r="EJ407" s="256"/>
      <c r="EK407" t="str">
        <f>IF(AND(AND(AND(OR($DX407=1,$DW407=1),OR($EC407=1,$EA407=1)),SUM($DV407:$DZ407,$EF407)&gt;=4),SUM($EA407:$EE407)&gt;=2),"Whole sector","")</f>
        <v>Whole sector</v>
      </c>
      <c r="EL407" t="str">
        <f>IF(AND(AND(OR($DX407=1,$DW407=1),AND($EC407=0,$EA407=0)),SUM($DV407:$DZ407,$EF407)&gt;=4),"Ecosystem approach","")</f>
        <v/>
      </c>
      <c r="EM407" s="258" t="s">
        <v>544</v>
      </c>
      <c r="EN407" s="257" t="s">
        <v>236</v>
      </c>
      <c r="EO407" s="257"/>
      <c r="EP407" t="str">
        <f>IF(ISNUMBER(BU407),IF(ABS(BU407-[2]QC_indicators!$B$2)&gt;3*[2]QC_indicators!$C$2,"C ratio",IF(ISNUMBER(BY407),IF(ABS(BY407-[2]QC_indicators!$B$1)&gt;3*[2]QC_indicators!$C$1,"DF","no"))),IF(ISNUMBER(BY407),IF(ABS(BY407-[2]QC_indicators!$B$1)&gt;3*[2]QC_indicators!$C$1,"DF","no")))</f>
        <v>no</v>
      </c>
      <c r="EQ407" s="280"/>
      <c r="ER407" s="280"/>
      <c r="ES407" s="280"/>
      <c r="ET407"/>
      <c r="EU407"/>
    </row>
    <row r="408" spans="1:151" s="139" customFormat="1" ht="15" customHeight="1">
      <c r="A408" s="256" t="s">
        <v>214</v>
      </c>
      <c r="B408" s="257" t="s">
        <v>215</v>
      </c>
      <c r="C408" s="257" t="s">
        <v>216</v>
      </c>
      <c r="D408" s="257" t="s">
        <v>217</v>
      </c>
      <c r="E408" s="257" t="s">
        <v>218</v>
      </c>
      <c r="F408" s="257" t="s">
        <v>219</v>
      </c>
      <c r="G408" s="257" t="s">
        <v>220</v>
      </c>
      <c r="H408" s="257"/>
      <c r="I408" s="257">
        <v>2012</v>
      </c>
      <c r="J408" s="257"/>
      <c r="K408" s="257" t="s">
        <v>221</v>
      </c>
      <c r="L408" s="257"/>
      <c r="M408" s="257" t="s">
        <v>3070</v>
      </c>
      <c r="N408" s="257" t="s">
        <v>222</v>
      </c>
      <c r="O408" s="275" t="s">
        <v>223</v>
      </c>
      <c r="P408" s="257"/>
      <c r="Q408" s="257" t="s">
        <v>224</v>
      </c>
      <c r="R408" s="258" t="s">
        <v>225</v>
      </c>
      <c r="S408" s="256" t="s">
        <v>241</v>
      </c>
      <c r="T408" s="257" t="s">
        <v>244</v>
      </c>
      <c r="U408" s="276" t="s">
        <v>242</v>
      </c>
      <c r="V408" s="257">
        <v>0</v>
      </c>
      <c r="W408" s="257">
        <v>0</v>
      </c>
      <c r="X408" s="257">
        <v>0</v>
      </c>
      <c r="Y408" s="257">
        <v>0</v>
      </c>
      <c r="Z408" s="257">
        <v>0</v>
      </c>
      <c r="AA408" s="257">
        <v>0</v>
      </c>
      <c r="AB408" s="257">
        <v>0</v>
      </c>
      <c r="AC408" s="257">
        <v>1</v>
      </c>
      <c r="AD408" s="257">
        <v>0</v>
      </c>
      <c r="AE408" s="257">
        <v>0</v>
      </c>
      <c r="AF408" s="257">
        <v>0</v>
      </c>
      <c r="AG408" s="257">
        <v>0</v>
      </c>
      <c r="AH408" s="257">
        <v>0</v>
      </c>
      <c r="AI408" s="257">
        <v>0</v>
      </c>
      <c r="AJ408" s="257">
        <v>0</v>
      </c>
      <c r="AK408" s="257">
        <v>0</v>
      </c>
      <c r="AL408" s="257">
        <v>0</v>
      </c>
      <c r="AM408" s="257">
        <v>0</v>
      </c>
      <c r="AN408" s="257">
        <v>0</v>
      </c>
      <c r="AO408" s="257">
        <v>0</v>
      </c>
      <c r="AP408" s="257">
        <v>0</v>
      </c>
      <c r="AQ408" s="257">
        <v>0</v>
      </c>
      <c r="AR408" s="257">
        <v>0</v>
      </c>
      <c r="AS408" s="257">
        <v>0</v>
      </c>
      <c r="AT408" s="257">
        <v>0</v>
      </c>
      <c r="AU408" s="257">
        <v>0</v>
      </c>
      <c r="AV408" s="257">
        <v>0</v>
      </c>
      <c r="AW408" s="257">
        <v>0</v>
      </c>
      <c r="AX408" s="277">
        <v>1</v>
      </c>
      <c r="AY408" s="277">
        <v>1</v>
      </c>
      <c r="AZ408" s="257">
        <v>1</v>
      </c>
      <c r="BA408" s="257">
        <v>0</v>
      </c>
      <c r="BB408" s="257">
        <v>0</v>
      </c>
      <c r="BC408" s="257">
        <v>0</v>
      </c>
      <c r="BD408" s="257">
        <v>0</v>
      </c>
      <c r="BE408" s="257" t="s">
        <v>95</v>
      </c>
      <c r="BF408" s="2" t="str" cm="1">
        <f t="array" ref="BF408">IF(COUNTIF(AZ408:BB408,"&lt;&gt;0")=1,INDEX($V$4:$AW$4,MATCH(TRUE,INDEX($V408:$AW408&lt;&gt;0,),0)),IF(COUNTIF(AZ408:BB408,"&lt;&gt;0")=0,INDEX($AM$4:$AW$4,MATCH(1,$AM408:$AW408,0)),"Multiple strategies"))</f>
        <v>Silviculture for productivity</v>
      </c>
      <c r="BG408" s="278" t="s">
        <v>229</v>
      </c>
      <c r="BH408" s="257" t="s">
        <v>230</v>
      </c>
      <c r="BI408" s="279" t="s">
        <v>3071</v>
      </c>
      <c r="BJ408" s="276" t="s">
        <v>231</v>
      </c>
      <c r="BK408" s="257">
        <v>54.766085619072001</v>
      </c>
      <c r="BL408" s="257">
        <v>58.199966021066899</v>
      </c>
      <c r="BM408" s="276">
        <v>1.0627008551584169</v>
      </c>
      <c r="BN408" s="257">
        <v>3.4338804019948981</v>
      </c>
      <c r="BO408" s="276">
        <v>7.0079191877446902</v>
      </c>
      <c r="BP408" s="276" t="s">
        <v>232</v>
      </c>
      <c r="BQ408" s="279" t="s">
        <v>3071</v>
      </c>
      <c r="BR408" s="276" t="s">
        <v>233</v>
      </c>
      <c r="BS408" s="257">
        <v>-9.0261044176706804</v>
      </c>
      <c r="BT408" s="257">
        <v>-9.1378440072016396</v>
      </c>
      <c r="BU408" s="259">
        <v>1.0123796030225622</v>
      </c>
      <c r="BV408" s="257">
        <v>-0.11173958953095919</v>
      </c>
      <c r="BW408" s="257"/>
      <c r="BX408" s="257">
        <v>-1.1173958953095919E-4</v>
      </c>
      <c r="BY408" s="257">
        <v>-1.5944759997570629E-5</v>
      </c>
      <c r="BZ408" s="257">
        <v>0</v>
      </c>
      <c r="CA408" s="257">
        <v>0</v>
      </c>
      <c r="CB408" s="257">
        <v>0</v>
      </c>
      <c r="CC408" s="257">
        <v>0</v>
      </c>
      <c r="CD408" s="257">
        <v>0</v>
      </c>
      <c r="CE408" s="257">
        <v>0</v>
      </c>
      <c r="CF408" s="257">
        <v>0</v>
      </c>
      <c r="CG408" s="257">
        <v>0</v>
      </c>
      <c r="CH408" s="257">
        <v>0</v>
      </c>
      <c r="CI408" s="257">
        <v>0</v>
      </c>
      <c r="CJ408" s="257">
        <v>0</v>
      </c>
      <c r="CK408" s="257">
        <v>0</v>
      </c>
      <c r="CL408" s="257">
        <v>0</v>
      </c>
      <c r="CM408" s="257">
        <v>0</v>
      </c>
      <c r="CN408" s="257" t="s">
        <v>3072</v>
      </c>
      <c r="CO408" s="257">
        <v>54.766085619072001</v>
      </c>
      <c r="CP408" s="257">
        <v>58.199966021066899</v>
      </c>
      <c r="CQ408" s="257">
        <v>7.0079191877446902</v>
      </c>
      <c r="CR408" s="257">
        <v>-9.0261044176706804</v>
      </c>
      <c r="CS408" s="257">
        <v>-9.1378440072016396</v>
      </c>
      <c r="CT408" s="257">
        <v>-1.1173958953095919E-4</v>
      </c>
      <c r="CU408" s="257">
        <v>-1.5944759997570629E-5</v>
      </c>
      <c r="CV408" s="258">
        <v>-1.2379603022562335E-2</v>
      </c>
      <c r="CW408" s="256" t="s">
        <v>234</v>
      </c>
      <c r="CX408" s="257" t="s">
        <v>3073</v>
      </c>
      <c r="CY408" s="257" t="s">
        <v>235</v>
      </c>
      <c r="CZ408" s="257"/>
      <c r="DA408" s="276"/>
      <c r="DB408" s="276">
        <v>80</v>
      </c>
      <c r="DC408" s="257" t="s">
        <v>3074</v>
      </c>
      <c r="DD408" s="257">
        <v>0</v>
      </c>
      <c r="DE408" s="257">
        <v>1</v>
      </c>
      <c r="DF408" s="257">
        <v>0</v>
      </c>
      <c r="DG408" s="257">
        <v>0</v>
      </c>
      <c r="DH408" s="257"/>
      <c r="DI408" s="257">
        <v>1</v>
      </c>
      <c r="DJ408" s="257" t="s">
        <v>173</v>
      </c>
      <c r="DK408" s="257">
        <v>0</v>
      </c>
      <c r="DL408" s="257" t="s">
        <v>180</v>
      </c>
      <c r="DM408" s="257">
        <v>0</v>
      </c>
      <c r="DN408" s="257">
        <v>0</v>
      </c>
      <c r="DO408" s="257">
        <v>0</v>
      </c>
      <c r="DP408" s="276">
        <v>0</v>
      </c>
      <c r="DQ408" s="276">
        <v>0</v>
      </c>
      <c r="DR408" s="276">
        <v>0</v>
      </c>
      <c r="DS408" s="276">
        <v>0</v>
      </c>
      <c r="DT408" s="257">
        <v>0</v>
      </c>
      <c r="DU408" s="276" t="s">
        <v>962</v>
      </c>
      <c r="DV408" s="276">
        <v>1</v>
      </c>
      <c r="DW408" s="276">
        <v>1</v>
      </c>
      <c r="DX408" s="276">
        <v>1</v>
      </c>
      <c r="DY408" s="276">
        <v>0</v>
      </c>
      <c r="DZ408" s="257">
        <v>0</v>
      </c>
      <c r="EA408" s="276">
        <v>0</v>
      </c>
      <c r="EB408" s="276">
        <v>1</v>
      </c>
      <c r="EC408" s="276">
        <v>1</v>
      </c>
      <c r="ED408" s="276">
        <v>0</v>
      </c>
      <c r="EE408" s="276">
        <v>0</v>
      </c>
      <c r="EF408" s="257">
        <v>1</v>
      </c>
      <c r="EG408" s="276">
        <v>0</v>
      </c>
      <c r="EH408" s="257">
        <v>0</v>
      </c>
      <c r="EI408" s="258">
        <v>0</v>
      </c>
      <c r="EJ408" s="256"/>
      <c r="EK408" t="str">
        <f>IF(AND(AND(AND(OR($DX408=1,$DW408=1),OR($EC408=1,$EA408=1)),SUM($DV408:$DZ408,$EF408)&gt;=4),SUM($EA408:$EE408)&gt;=2),"Whole sector","")</f>
        <v>Whole sector</v>
      </c>
      <c r="EL408" t="str">
        <f>IF(AND(AND(OR($DX408=1,$DW408=1),AND($EC408=0,$EA408=0)),SUM($DV408:$DZ408,$EF408)&gt;=4),"Ecosystem approach","")</f>
        <v/>
      </c>
      <c r="EM408" s="258" t="s">
        <v>544</v>
      </c>
      <c r="EN408" s="257" t="s">
        <v>236</v>
      </c>
      <c r="EO408" s="257"/>
      <c r="EP408" t="str">
        <f>IF(ISNUMBER(BU408),IF(ABS(BU408-[2]QC_indicators!$B$2)&gt;3*[2]QC_indicators!$C$2,"C ratio",IF(ISNUMBER(BY408),IF(ABS(BY408-[2]QC_indicators!$B$1)&gt;3*[2]QC_indicators!$C$1,"DF","no"))),IF(ISNUMBER(BY408),IF(ABS(BY408-[2]QC_indicators!$B$1)&gt;3*[2]QC_indicators!$C$1,"DF","no")))</f>
        <v>no</v>
      </c>
      <c r="EQ408"/>
      <c r="ER408"/>
      <c r="ES408"/>
      <c r="ET408"/>
      <c r="EU408"/>
    </row>
    <row r="409" spans="1:151" s="139" customFormat="1" ht="15" customHeight="1">
      <c r="A409" s="256" t="s">
        <v>214</v>
      </c>
      <c r="B409" s="257" t="s">
        <v>215</v>
      </c>
      <c r="C409" s="257" t="s">
        <v>216</v>
      </c>
      <c r="D409" s="257" t="s">
        <v>217</v>
      </c>
      <c r="E409" s="257" t="s">
        <v>218</v>
      </c>
      <c r="F409" s="257" t="s">
        <v>219</v>
      </c>
      <c r="G409" s="257" t="s">
        <v>220</v>
      </c>
      <c r="H409" s="257"/>
      <c r="I409" s="257">
        <v>2012</v>
      </c>
      <c r="J409" s="257"/>
      <c r="K409" s="257" t="s">
        <v>221</v>
      </c>
      <c r="L409" s="257"/>
      <c r="M409" s="257" t="s">
        <v>3070</v>
      </c>
      <c r="N409" s="257" t="s">
        <v>222</v>
      </c>
      <c r="O409" s="275" t="s">
        <v>223</v>
      </c>
      <c r="P409" s="257"/>
      <c r="Q409" s="257" t="s">
        <v>224</v>
      </c>
      <c r="R409" s="258" t="s">
        <v>225</v>
      </c>
      <c r="S409" s="256" t="s">
        <v>240</v>
      </c>
      <c r="T409" s="257">
        <v>2000</v>
      </c>
      <c r="U409" s="257">
        <v>4000</v>
      </c>
      <c r="V409" s="257">
        <v>0</v>
      </c>
      <c r="W409" s="257">
        <v>0</v>
      </c>
      <c r="X409" s="257">
        <v>0</v>
      </c>
      <c r="Y409" s="257">
        <v>0</v>
      </c>
      <c r="Z409" s="257">
        <v>0</v>
      </c>
      <c r="AA409" s="257">
        <v>1</v>
      </c>
      <c r="AB409" s="257">
        <v>0</v>
      </c>
      <c r="AC409" s="257">
        <v>0</v>
      </c>
      <c r="AD409" s="257">
        <v>0</v>
      </c>
      <c r="AE409" s="257">
        <v>0</v>
      </c>
      <c r="AF409" s="257">
        <v>0</v>
      </c>
      <c r="AG409" s="257">
        <v>0</v>
      </c>
      <c r="AH409" s="257">
        <v>0</v>
      </c>
      <c r="AI409" s="257">
        <v>0</v>
      </c>
      <c r="AJ409" s="257">
        <v>0</v>
      </c>
      <c r="AK409" s="257">
        <v>0</v>
      </c>
      <c r="AL409" s="257">
        <v>0</v>
      </c>
      <c r="AM409" s="257">
        <v>0</v>
      </c>
      <c r="AN409" s="257">
        <v>0</v>
      </c>
      <c r="AO409" s="257">
        <v>0</v>
      </c>
      <c r="AP409" s="257">
        <v>0</v>
      </c>
      <c r="AQ409" s="257">
        <v>0</v>
      </c>
      <c r="AR409" s="257">
        <v>0</v>
      </c>
      <c r="AS409" s="257">
        <v>0</v>
      </c>
      <c r="AT409" s="257">
        <v>0</v>
      </c>
      <c r="AU409" s="257">
        <v>0</v>
      </c>
      <c r="AV409" s="257">
        <v>0</v>
      </c>
      <c r="AW409" s="257">
        <v>0</v>
      </c>
      <c r="AX409" s="277">
        <v>1</v>
      </c>
      <c r="AY409" s="277">
        <v>1</v>
      </c>
      <c r="AZ409" s="257">
        <v>1</v>
      </c>
      <c r="BA409" s="257">
        <v>0</v>
      </c>
      <c r="BB409" s="257">
        <v>0</v>
      </c>
      <c r="BC409" s="257">
        <v>0</v>
      </c>
      <c r="BD409" s="257">
        <v>0</v>
      </c>
      <c r="BE409" s="257" t="s">
        <v>93</v>
      </c>
      <c r="BF409" s="2" t="str" cm="1">
        <f t="array" ref="BF409">IF(COUNTIF(AZ409:BB409,"&lt;&gt;0")=1,INDEX($V$4:$AW$4,MATCH(TRUE,INDEX($V409:$AW409&lt;&gt;0,),0)),IF(COUNTIF(AZ409:BB409,"&lt;&gt;0")=0,INDEX($AM$4:$AW$4,MATCH(1,$AM409:$AW409,0)),"Multiple strategies"))</f>
        <v>Silviculture for productivity</v>
      </c>
      <c r="BG409" s="278" t="s">
        <v>229</v>
      </c>
      <c r="BH409" s="257" t="s">
        <v>230</v>
      </c>
      <c r="BI409" s="279" t="s">
        <v>3071</v>
      </c>
      <c r="BJ409" s="276" t="s">
        <v>231</v>
      </c>
      <c r="BK409" s="257">
        <v>53.012261809999998</v>
      </c>
      <c r="BL409" s="257">
        <v>60.054679620000002</v>
      </c>
      <c r="BM409" s="276">
        <v>1.1328450733764306</v>
      </c>
      <c r="BN409" s="257">
        <v>7.0424178100000034</v>
      </c>
      <c r="BO409" s="276">
        <v>14.372281244897966</v>
      </c>
      <c r="BP409" s="276" t="s">
        <v>232</v>
      </c>
      <c r="BQ409" s="279" t="s">
        <v>3071</v>
      </c>
      <c r="BR409" s="276" t="s">
        <v>233</v>
      </c>
      <c r="BS409" s="257">
        <v>-8.8453815260000006</v>
      </c>
      <c r="BT409" s="257">
        <v>-9.0244200239999994</v>
      </c>
      <c r="BU409" s="259">
        <v>1.0202409017037575</v>
      </c>
      <c r="BV409" s="257">
        <v>-0.17903849799999882</v>
      </c>
      <c r="BW409" s="257"/>
      <c r="BX409" s="257">
        <v>-1.7903849799999881E-4</v>
      </c>
      <c r="BY409" s="257">
        <v>-1.2457208076383553E-5</v>
      </c>
      <c r="BZ409" s="257">
        <v>0</v>
      </c>
      <c r="CA409" s="257">
        <v>0</v>
      </c>
      <c r="CB409" s="257">
        <v>0</v>
      </c>
      <c r="CC409" s="257">
        <v>0</v>
      </c>
      <c r="CD409" s="257">
        <v>0</v>
      </c>
      <c r="CE409" s="257">
        <v>0</v>
      </c>
      <c r="CF409" s="257">
        <v>0</v>
      </c>
      <c r="CG409" s="257">
        <v>0</v>
      </c>
      <c r="CH409" s="257">
        <v>0</v>
      </c>
      <c r="CI409" s="257">
        <v>0</v>
      </c>
      <c r="CJ409" s="257">
        <v>0</v>
      </c>
      <c r="CK409" s="257">
        <v>0</v>
      </c>
      <c r="CL409" s="257">
        <v>0</v>
      </c>
      <c r="CM409" s="257">
        <v>0</v>
      </c>
      <c r="CN409" s="257" t="s">
        <v>3072</v>
      </c>
      <c r="CO409" s="257">
        <v>53.012261809999998</v>
      </c>
      <c r="CP409" s="257">
        <v>60.054679620000002</v>
      </c>
      <c r="CQ409" s="257">
        <v>14.372281244897966</v>
      </c>
      <c r="CR409" s="257">
        <v>-8.8453815260000006</v>
      </c>
      <c r="CS409" s="257">
        <v>-9.0244200239999994</v>
      </c>
      <c r="CT409" s="257">
        <v>-1.7903849799999881E-4</v>
      </c>
      <c r="CU409" s="257">
        <v>-1.2457208076383553E-5</v>
      </c>
      <c r="CV409" s="258">
        <v>-2.0240901703757534E-2</v>
      </c>
      <c r="CW409" s="256" t="s">
        <v>234</v>
      </c>
      <c r="CX409" s="257" t="s">
        <v>3073</v>
      </c>
      <c r="CY409" s="257" t="s">
        <v>235</v>
      </c>
      <c r="CZ409" s="257"/>
      <c r="DA409" s="276"/>
      <c r="DB409" s="276">
        <v>80</v>
      </c>
      <c r="DC409" s="257" t="s">
        <v>3074</v>
      </c>
      <c r="DD409" s="257">
        <v>0</v>
      </c>
      <c r="DE409" s="257">
        <v>1</v>
      </c>
      <c r="DF409" s="257">
        <v>0</v>
      </c>
      <c r="DG409" s="257">
        <v>0</v>
      </c>
      <c r="DH409" s="257"/>
      <c r="DI409" s="257">
        <v>1</v>
      </c>
      <c r="DJ409" s="257" t="s">
        <v>173</v>
      </c>
      <c r="DK409" s="257">
        <v>0</v>
      </c>
      <c r="DL409" s="257" t="s">
        <v>180</v>
      </c>
      <c r="DM409" s="257">
        <v>0</v>
      </c>
      <c r="DN409" s="257">
        <v>0</v>
      </c>
      <c r="DO409" s="257">
        <v>0</v>
      </c>
      <c r="DP409" s="276">
        <v>0</v>
      </c>
      <c r="DQ409" s="276">
        <v>0</v>
      </c>
      <c r="DR409" s="276">
        <v>0</v>
      </c>
      <c r="DS409" s="276">
        <v>0</v>
      </c>
      <c r="DT409" s="257">
        <v>0</v>
      </c>
      <c r="DU409" s="276" t="s">
        <v>962</v>
      </c>
      <c r="DV409" s="276">
        <v>1</v>
      </c>
      <c r="DW409" s="276">
        <v>1</v>
      </c>
      <c r="DX409" s="276">
        <v>1</v>
      </c>
      <c r="DY409" s="276">
        <v>0</v>
      </c>
      <c r="DZ409" s="257">
        <v>0</v>
      </c>
      <c r="EA409" s="276">
        <v>0</v>
      </c>
      <c r="EB409" s="276">
        <v>1</v>
      </c>
      <c r="EC409" s="276">
        <v>1</v>
      </c>
      <c r="ED409" s="276">
        <v>0</v>
      </c>
      <c r="EE409" s="276">
        <v>0</v>
      </c>
      <c r="EF409" s="257">
        <v>1</v>
      </c>
      <c r="EG409" s="276">
        <v>0</v>
      </c>
      <c r="EH409" s="257">
        <v>0</v>
      </c>
      <c r="EI409" s="258">
        <v>0</v>
      </c>
      <c r="EJ409" s="256"/>
      <c r="EK409" t="str">
        <f>IF(AND(AND(AND(OR($DX409=1,$DW409=1),OR($EC409=1,$EA409=1)),SUM($DV409:$DZ409,$EF409)&gt;=4),SUM($EA409:$EE409)&gt;=2),"Whole sector","")</f>
        <v>Whole sector</v>
      </c>
      <c r="EL409" t="str">
        <f>IF(AND(AND(OR($DX409=1,$DW409=1),AND($EC409=0,$EA409=0)),SUM($DV409:$DZ409,$EF409)&gt;=4),"Ecosystem approach","")</f>
        <v/>
      </c>
      <c r="EM409" s="258" t="s">
        <v>544</v>
      </c>
      <c r="EN409" s="257" t="s">
        <v>236</v>
      </c>
      <c r="EO409" s="257"/>
      <c r="EP409" t="str">
        <f>IF(ISNUMBER(BU409),IF(ABS(BU409-[2]QC_indicators!$B$2)&gt;3*[2]QC_indicators!$C$2,"C ratio",IF(ISNUMBER(BY409),IF(ABS(BY409-[2]QC_indicators!$B$1)&gt;3*[2]QC_indicators!$C$1,"DF","no"))),IF(ISNUMBER(BY409),IF(ABS(BY409-[2]QC_indicators!$B$1)&gt;3*[2]QC_indicators!$C$1,"DF","no")))</f>
        <v>no</v>
      </c>
      <c r="EQ409" s="280"/>
      <c r="ER409" s="280"/>
      <c r="ES409" s="280"/>
      <c r="ET409"/>
      <c r="EU409"/>
    </row>
    <row r="410" spans="1:151" s="139" customFormat="1" ht="15" customHeight="1">
      <c r="A410" s="256" t="s">
        <v>214</v>
      </c>
      <c r="B410" s="257" t="s">
        <v>215</v>
      </c>
      <c r="C410" s="257" t="s">
        <v>216</v>
      </c>
      <c r="D410" s="257" t="s">
        <v>217</v>
      </c>
      <c r="E410" s="257" t="s">
        <v>218</v>
      </c>
      <c r="F410" s="257" t="s">
        <v>219</v>
      </c>
      <c r="G410" s="257" t="s">
        <v>220</v>
      </c>
      <c r="H410" s="257"/>
      <c r="I410" s="257">
        <v>2012</v>
      </c>
      <c r="J410" s="257"/>
      <c r="K410" s="257" t="s">
        <v>221</v>
      </c>
      <c r="L410" s="257"/>
      <c r="M410" s="257" t="s">
        <v>3070</v>
      </c>
      <c r="N410" s="257" t="s">
        <v>222</v>
      </c>
      <c r="O410" s="275" t="s">
        <v>223</v>
      </c>
      <c r="P410" s="257"/>
      <c r="Q410" s="257" t="s">
        <v>224</v>
      </c>
      <c r="R410" s="258" t="s">
        <v>225</v>
      </c>
      <c r="S410" s="256" t="s">
        <v>240</v>
      </c>
      <c r="T410" s="257">
        <v>2000</v>
      </c>
      <c r="U410" s="257">
        <v>4000</v>
      </c>
      <c r="V410" s="257">
        <v>0</v>
      </c>
      <c r="W410" s="257">
        <v>0</v>
      </c>
      <c r="X410" s="257">
        <v>0</v>
      </c>
      <c r="Y410" s="257">
        <v>0</v>
      </c>
      <c r="Z410" s="257">
        <v>0</v>
      </c>
      <c r="AA410" s="257">
        <v>1</v>
      </c>
      <c r="AB410" s="257">
        <v>0</v>
      </c>
      <c r="AC410" s="257">
        <v>0</v>
      </c>
      <c r="AD410" s="257">
        <v>0</v>
      </c>
      <c r="AE410" s="257">
        <v>0</v>
      </c>
      <c r="AF410" s="257">
        <v>0</v>
      </c>
      <c r="AG410" s="257">
        <v>0</v>
      </c>
      <c r="AH410" s="257">
        <v>0</v>
      </c>
      <c r="AI410" s="257">
        <v>0</v>
      </c>
      <c r="AJ410" s="257">
        <v>0</v>
      </c>
      <c r="AK410" s="257">
        <v>0</v>
      </c>
      <c r="AL410" s="257">
        <v>0</v>
      </c>
      <c r="AM410" s="257">
        <v>0</v>
      </c>
      <c r="AN410" s="257">
        <v>0</v>
      </c>
      <c r="AO410" s="257">
        <v>0</v>
      </c>
      <c r="AP410" s="257">
        <v>0</v>
      </c>
      <c r="AQ410" s="257">
        <v>0</v>
      </c>
      <c r="AR410" s="257">
        <v>0</v>
      </c>
      <c r="AS410" s="257">
        <v>0</v>
      </c>
      <c r="AT410" s="257">
        <v>0</v>
      </c>
      <c r="AU410" s="257">
        <v>0</v>
      </c>
      <c r="AV410" s="257">
        <v>0</v>
      </c>
      <c r="AW410" s="257">
        <v>0</v>
      </c>
      <c r="AX410" s="277">
        <v>1</v>
      </c>
      <c r="AY410" s="277">
        <v>1</v>
      </c>
      <c r="AZ410" s="257">
        <v>1</v>
      </c>
      <c r="BA410" s="257">
        <v>0</v>
      </c>
      <c r="BB410" s="257">
        <v>0</v>
      </c>
      <c r="BC410" s="257">
        <v>0</v>
      </c>
      <c r="BD410" s="257">
        <v>0</v>
      </c>
      <c r="BE410" s="257" t="s">
        <v>93</v>
      </c>
      <c r="BF410" s="2" t="str" cm="1">
        <f t="array" ref="BF410">IF(COUNTIF(AZ410:BB410,"&lt;&gt;0")=1,INDEX($V$4:$AW$4,MATCH(TRUE,INDEX($V410:$AW410&lt;&gt;0,),0)),IF(COUNTIF(AZ410:BB410,"&lt;&gt;0")=0,INDEX($AM$4:$AW$4,MATCH(1,$AM410:$AW410,0)),"Multiple strategies"))</f>
        <v>Silviculture for productivity</v>
      </c>
      <c r="BG410" s="278" t="s">
        <v>229</v>
      </c>
      <c r="BH410" s="257" t="s">
        <v>230</v>
      </c>
      <c r="BI410" s="279" t="s">
        <v>3071</v>
      </c>
      <c r="BJ410" s="276" t="s">
        <v>231</v>
      </c>
      <c r="BK410" s="257">
        <v>62.093385429999998</v>
      </c>
      <c r="BL410" s="257">
        <v>68.641374010000007</v>
      </c>
      <c r="BM410" s="276">
        <v>1.1054538826423272</v>
      </c>
      <c r="BN410" s="257">
        <v>6.5479885800000091</v>
      </c>
      <c r="BO410" s="276">
        <v>13.363242000000019</v>
      </c>
      <c r="BP410" s="276" t="s">
        <v>232</v>
      </c>
      <c r="BQ410" s="279" t="s">
        <v>3071</v>
      </c>
      <c r="BR410" s="276" t="s">
        <v>233</v>
      </c>
      <c r="BS410" s="257">
        <v>-8.7761541919999999</v>
      </c>
      <c r="BT410" s="257">
        <v>-8.9317269079999999</v>
      </c>
      <c r="BU410" s="259">
        <v>1.0177267528118197</v>
      </c>
      <c r="BV410" s="257">
        <v>-0.155572716</v>
      </c>
      <c r="BW410" s="257"/>
      <c r="BX410" s="257">
        <v>-1.5557271599999999E-4</v>
      </c>
      <c r="BY410" s="257">
        <v>-1.1641839308155893E-5</v>
      </c>
      <c r="BZ410" s="257">
        <v>0</v>
      </c>
      <c r="CA410" s="257">
        <v>0</v>
      </c>
      <c r="CB410" s="257">
        <v>0</v>
      </c>
      <c r="CC410" s="257">
        <v>0</v>
      </c>
      <c r="CD410" s="257">
        <v>0</v>
      </c>
      <c r="CE410" s="257">
        <v>0</v>
      </c>
      <c r="CF410" s="257">
        <v>0</v>
      </c>
      <c r="CG410" s="257">
        <v>0</v>
      </c>
      <c r="CH410" s="257">
        <v>0</v>
      </c>
      <c r="CI410" s="257">
        <v>0</v>
      </c>
      <c r="CJ410" s="257">
        <v>0</v>
      </c>
      <c r="CK410" s="257">
        <v>0</v>
      </c>
      <c r="CL410" s="257">
        <v>0</v>
      </c>
      <c r="CM410" s="257">
        <v>0</v>
      </c>
      <c r="CN410" s="257" t="s">
        <v>3072</v>
      </c>
      <c r="CO410" s="257">
        <v>62.093385429999998</v>
      </c>
      <c r="CP410" s="257">
        <v>68.641374010000007</v>
      </c>
      <c r="CQ410" s="257">
        <v>13.363242000000019</v>
      </c>
      <c r="CR410" s="257">
        <v>-8.7761541919999999</v>
      </c>
      <c r="CS410" s="257">
        <v>-8.9317269079999999</v>
      </c>
      <c r="CT410" s="257">
        <v>-1.5557271599999999E-4</v>
      </c>
      <c r="CU410" s="257">
        <v>-1.1641839308155893E-5</v>
      </c>
      <c r="CV410" s="258">
        <v>-1.7726752811819787E-2</v>
      </c>
      <c r="CW410" s="256" t="s">
        <v>234</v>
      </c>
      <c r="CX410" s="257" t="s">
        <v>3073</v>
      </c>
      <c r="CY410" s="257" t="s">
        <v>235</v>
      </c>
      <c r="CZ410" s="257"/>
      <c r="DA410" s="276"/>
      <c r="DB410" s="276">
        <v>80</v>
      </c>
      <c r="DC410" s="257" t="s">
        <v>3074</v>
      </c>
      <c r="DD410" s="257">
        <v>0</v>
      </c>
      <c r="DE410" s="257">
        <v>1</v>
      </c>
      <c r="DF410" s="257">
        <v>0</v>
      </c>
      <c r="DG410" s="257">
        <v>0</v>
      </c>
      <c r="DH410" s="257"/>
      <c r="DI410" s="257">
        <v>1</v>
      </c>
      <c r="DJ410" s="257" t="s">
        <v>173</v>
      </c>
      <c r="DK410" s="257">
        <v>0</v>
      </c>
      <c r="DL410" s="257" t="s">
        <v>180</v>
      </c>
      <c r="DM410" s="257">
        <v>0</v>
      </c>
      <c r="DN410" s="257">
        <v>0</v>
      </c>
      <c r="DO410" s="257">
        <v>0</v>
      </c>
      <c r="DP410" s="276">
        <v>0</v>
      </c>
      <c r="DQ410" s="276">
        <v>0</v>
      </c>
      <c r="DR410" s="276">
        <v>0</v>
      </c>
      <c r="DS410" s="276">
        <v>0</v>
      </c>
      <c r="DT410" s="257">
        <v>0</v>
      </c>
      <c r="DU410" s="276" t="s">
        <v>962</v>
      </c>
      <c r="DV410" s="276">
        <v>1</v>
      </c>
      <c r="DW410" s="276">
        <v>1</v>
      </c>
      <c r="DX410" s="276">
        <v>1</v>
      </c>
      <c r="DY410" s="276">
        <v>0</v>
      </c>
      <c r="DZ410" s="257">
        <v>0</v>
      </c>
      <c r="EA410" s="276">
        <v>0</v>
      </c>
      <c r="EB410" s="276">
        <v>1</v>
      </c>
      <c r="EC410" s="276">
        <v>1</v>
      </c>
      <c r="ED410" s="276">
        <v>0</v>
      </c>
      <c r="EE410" s="276">
        <v>0</v>
      </c>
      <c r="EF410" s="257">
        <v>1</v>
      </c>
      <c r="EG410" s="276">
        <v>0</v>
      </c>
      <c r="EH410" s="257">
        <v>0</v>
      </c>
      <c r="EI410" s="258">
        <v>0</v>
      </c>
      <c r="EJ410" s="256"/>
      <c r="EK410" t="str">
        <f>IF(AND(AND(AND(OR($DX410=1,$DW410=1),OR($EC410=1,$EA410=1)),SUM($DV410:$DZ410,$EF410)&gt;=4),SUM($EA410:$EE410)&gt;=2),"Whole sector","")</f>
        <v>Whole sector</v>
      </c>
      <c r="EL410" t="str">
        <f>IF(AND(AND(OR($DX410=1,$DW410=1),AND($EC410=0,$EA410=0)),SUM($DV410:$DZ410,$EF410)&gt;=4),"Ecosystem approach","")</f>
        <v/>
      </c>
      <c r="EM410" s="258" t="s">
        <v>544</v>
      </c>
      <c r="EN410" s="257" t="s">
        <v>236</v>
      </c>
      <c r="EO410" s="257"/>
      <c r="EP410" t="str">
        <f>IF(ISNUMBER(BU410),IF(ABS(BU410-[2]QC_indicators!$B$2)&gt;3*[2]QC_indicators!$C$2,"C ratio",IF(ISNUMBER(BY410),IF(ABS(BY410-[2]QC_indicators!$B$1)&gt;3*[2]QC_indicators!$C$1,"DF","no"))),IF(ISNUMBER(BY410),IF(ABS(BY410-[2]QC_indicators!$B$1)&gt;3*[2]QC_indicators!$C$1,"DF","no")))</f>
        <v>no</v>
      </c>
      <c r="EQ410" s="280"/>
      <c r="ER410" s="280"/>
      <c r="ES410" s="280"/>
      <c r="ET410"/>
      <c r="EU410"/>
    </row>
    <row r="411" spans="1:151" s="139" customFormat="1" ht="15" customHeight="1">
      <c r="A411" s="256" t="s">
        <v>214</v>
      </c>
      <c r="B411" s="257" t="s">
        <v>215</v>
      </c>
      <c r="C411" s="257" t="s">
        <v>216</v>
      </c>
      <c r="D411" s="257" t="s">
        <v>217</v>
      </c>
      <c r="E411" s="257" t="s">
        <v>218</v>
      </c>
      <c r="F411" s="257" t="s">
        <v>219</v>
      </c>
      <c r="G411" s="257" t="s">
        <v>220</v>
      </c>
      <c r="H411" s="257"/>
      <c r="I411" s="257">
        <v>2012</v>
      </c>
      <c r="J411" s="257"/>
      <c r="K411" s="257" t="s">
        <v>221</v>
      </c>
      <c r="L411" s="257"/>
      <c r="M411" s="257" t="s">
        <v>3070</v>
      </c>
      <c r="N411" s="257" t="s">
        <v>222</v>
      </c>
      <c r="O411" s="275" t="s">
        <v>223</v>
      </c>
      <c r="P411" s="257"/>
      <c r="Q411" s="257" t="s">
        <v>224</v>
      </c>
      <c r="R411" s="258" t="s">
        <v>225</v>
      </c>
      <c r="S411" s="256" t="s">
        <v>240</v>
      </c>
      <c r="T411" s="257">
        <v>2000</v>
      </c>
      <c r="U411" s="257">
        <v>4000</v>
      </c>
      <c r="V411" s="257">
        <v>0</v>
      </c>
      <c r="W411" s="257">
        <v>0</v>
      </c>
      <c r="X411" s="257">
        <v>0</v>
      </c>
      <c r="Y411" s="257">
        <v>0</v>
      </c>
      <c r="Z411" s="257">
        <v>0</v>
      </c>
      <c r="AA411" s="257">
        <v>1</v>
      </c>
      <c r="AB411" s="257">
        <v>0</v>
      </c>
      <c r="AC411" s="257">
        <v>0</v>
      </c>
      <c r="AD411" s="257">
        <v>0</v>
      </c>
      <c r="AE411" s="257">
        <v>0</v>
      </c>
      <c r="AF411" s="257">
        <v>0</v>
      </c>
      <c r="AG411" s="257">
        <v>0</v>
      </c>
      <c r="AH411" s="257">
        <v>0</v>
      </c>
      <c r="AI411" s="257">
        <v>0</v>
      </c>
      <c r="AJ411" s="257">
        <v>0</v>
      </c>
      <c r="AK411" s="257">
        <v>0</v>
      </c>
      <c r="AL411" s="257">
        <v>0</v>
      </c>
      <c r="AM411" s="257">
        <v>0</v>
      </c>
      <c r="AN411" s="257">
        <v>0</v>
      </c>
      <c r="AO411" s="257">
        <v>0</v>
      </c>
      <c r="AP411" s="257">
        <v>0</v>
      </c>
      <c r="AQ411" s="257">
        <v>0</v>
      </c>
      <c r="AR411" s="257">
        <v>0</v>
      </c>
      <c r="AS411" s="257">
        <v>0</v>
      </c>
      <c r="AT411" s="257">
        <v>0</v>
      </c>
      <c r="AU411" s="257">
        <v>0</v>
      </c>
      <c r="AV411" s="257">
        <v>0</v>
      </c>
      <c r="AW411" s="257">
        <v>0</v>
      </c>
      <c r="AX411" s="277">
        <v>1</v>
      </c>
      <c r="AY411" s="277">
        <v>1</v>
      </c>
      <c r="AZ411" s="257">
        <v>1</v>
      </c>
      <c r="BA411" s="257">
        <v>0</v>
      </c>
      <c r="BB411" s="257">
        <v>0</v>
      </c>
      <c r="BC411" s="257">
        <v>0</v>
      </c>
      <c r="BD411" s="257">
        <v>0</v>
      </c>
      <c r="BE411" s="257" t="s">
        <v>93</v>
      </c>
      <c r="BF411" s="2" t="str" cm="1">
        <f t="array" ref="BF411">IF(COUNTIF(AZ411:BB411,"&lt;&gt;0")=1,INDEX($V$4:$AW$4,MATCH(TRUE,INDEX($V411:$AW411&lt;&gt;0,),0)),IF(COUNTIF(AZ411:BB411,"&lt;&gt;0")=0,INDEX($AM$4:$AW$4,MATCH(1,$AM411:$AW411,0)),"Multiple strategies"))</f>
        <v>Silviculture for productivity</v>
      </c>
      <c r="BG411" s="278" t="s">
        <v>229</v>
      </c>
      <c r="BH411" s="257" t="s">
        <v>230</v>
      </c>
      <c r="BI411" s="279" t="s">
        <v>3071</v>
      </c>
      <c r="BJ411" s="276" t="s">
        <v>231</v>
      </c>
      <c r="BK411" s="257">
        <v>47.845851490000001</v>
      </c>
      <c r="BL411" s="257">
        <v>54.398789620000002</v>
      </c>
      <c r="BM411" s="276">
        <v>1.1369593794640607</v>
      </c>
      <c r="BN411" s="257">
        <v>6.5529381300000011</v>
      </c>
      <c r="BO411" s="276">
        <v>13.373343122448983</v>
      </c>
      <c r="BP411" s="276" t="s">
        <v>232</v>
      </c>
      <c r="BQ411" s="279" t="s">
        <v>3071</v>
      </c>
      <c r="BR411" s="276" t="s">
        <v>233</v>
      </c>
      <c r="BS411" s="257">
        <v>-9.0763052210000001</v>
      </c>
      <c r="BT411" s="257">
        <v>-9.1923873230000002</v>
      </c>
      <c r="BU411" s="259">
        <v>1.0127895767246147</v>
      </c>
      <c r="BV411" s="257">
        <v>-0.11608210200000002</v>
      </c>
      <c r="BW411" s="257"/>
      <c r="BX411" s="257">
        <v>-1.1608210200000002E-4</v>
      </c>
      <c r="BY411" s="257">
        <v>-8.680110944371147E-6</v>
      </c>
      <c r="BZ411" s="257">
        <v>0</v>
      </c>
      <c r="CA411" s="257">
        <v>0</v>
      </c>
      <c r="CB411" s="257">
        <v>0</v>
      </c>
      <c r="CC411" s="257">
        <v>0</v>
      </c>
      <c r="CD411" s="257">
        <v>0</v>
      </c>
      <c r="CE411" s="257">
        <v>0</v>
      </c>
      <c r="CF411" s="257">
        <v>0</v>
      </c>
      <c r="CG411" s="257">
        <v>0</v>
      </c>
      <c r="CH411" s="257">
        <v>0</v>
      </c>
      <c r="CI411" s="257">
        <v>0</v>
      </c>
      <c r="CJ411" s="257">
        <v>0</v>
      </c>
      <c r="CK411" s="257">
        <v>0</v>
      </c>
      <c r="CL411" s="257">
        <v>0</v>
      </c>
      <c r="CM411" s="257">
        <v>0</v>
      </c>
      <c r="CN411" s="257" t="s">
        <v>3072</v>
      </c>
      <c r="CO411" s="257">
        <v>47.845851490000001</v>
      </c>
      <c r="CP411" s="257">
        <v>54.398789620000002</v>
      </c>
      <c r="CQ411" s="257">
        <v>13.373343122448983</v>
      </c>
      <c r="CR411" s="257">
        <v>-9.0763052210000001</v>
      </c>
      <c r="CS411" s="257">
        <v>-9.1923873230000002</v>
      </c>
      <c r="CT411" s="257">
        <v>-1.1608210200000002E-4</v>
      </c>
      <c r="CU411" s="257">
        <v>-8.680110944371147E-6</v>
      </c>
      <c r="CV411" s="258">
        <v>-1.2789576724614648E-2</v>
      </c>
      <c r="CW411" s="256" t="s">
        <v>234</v>
      </c>
      <c r="CX411" s="257" t="s">
        <v>3073</v>
      </c>
      <c r="CY411" s="257" t="s">
        <v>235</v>
      </c>
      <c r="CZ411" s="257"/>
      <c r="DA411" s="276"/>
      <c r="DB411" s="276">
        <v>80</v>
      </c>
      <c r="DC411" s="257" t="s">
        <v>3074</v>
      </c>
      <c r="DD411" s="257">
        <v>0</v>
      </c>
      <c r="DE411" s="257">
        <v>1</v>
      </c>
      <c r="DF411" s="257">
        <v>0</v>
      </c>
      <c r="DG411" s="257">
        <v>0</v>
      </c>
      <c r="DH411" s="257"/>
      <c r="DI411" s="257">
        <v>1</v>
      </c>
      <c r="DJ411" s="257" t="s">
        <v>173</v>
      </c>
      <c r="DK411" s="257">
        <v>0</v>
      </c>
      <c r="DL411" s="257" t="s">
        <v>180</v>
      </c>
      <c r="DM411" s="257">
        <v>0</v>
      </c>
      <c r="DN411" s="257">
        <v>0</v>
      </c>
      <c r="DO411" s="257">
        <v>0</v>
      </c>
      <c r="DP411" s="276">
        <v>0</v>
      </c>
      <c r="DQ411" s="276">
        <v>0</v>
      </c>
      <c r="DR411" s="276">
        <v>0</v>
      </c>
      <c r="DS411" s="276">
        <v>0</v>
      </c>
      <c r="DT411" s="257">
        <v>0</v>
      </c>
      <c r="DU411" s="276" t="s">
        <v>962</v>
      </c>
      <c r="DV411" s="276">
        <v>1</v>
      </c>
      <c r="DW411" s="276">
        <v>1</v>
      </c>
      <c r="DX411" s="276">
        <v>1</v>
      </c>
      <c r="DY411" s="276">
        <v>0</v>
      </c>
      <c r="DZ411" s="257">
        <v>0</v>
      </c>
      <c r="EA411" s="276">
        <v>0</v>
      </c>
      <c r="EB411" s="276">
        <v>1</v>
      </c>
      <c r="EC411" s="276">
        <v>1</v>
      </c>
      <c r="ED411" s="276">
        <v>0</v>
      </c>
      <c r="EE411" s="276">
        <v>0</v>
      </c>
      <c r="EF411" s="257">
        <v>1</v>
      </c>
      <c r="EG411" s="276">
        <v>0</v>
      </c>
      <c r="EH411" s="257">
        <v>0</v>
      </c>
      <c r="EI411" s="258">
        <v>0</v>
      </c>
      <c r="EJ411" s="256"/>
      <c r="EK411" t="str">
        <f>IF(AND(AND(AND(OR($DX411=1,$DW411=1),OR($EC411=1,$EA411=1)),SUM($DV411:$DZ411,$EF411)&gt;=4),SUM($EA411:$EE411)&gt;=2),"Whole sector","")</f>
        <v>Whole sector</v>
      </c>
      <c r="EL411" t="str">
        <f>IF(AND(AND(OR($DX411=1,$DW411=1),AND($EC411=0,$EA411=0)),SUM($DV411:$DZ411,$EF411)&gt;=4),"Ecosystem approach","")</f>
        <v/>
      </c>
      <c r="EM411" s="258" t="s">
        <v>544</v>
      </c>
      <c r="EN411" s="257" t="s">
        <v>236</v>
      </c>
      <c r="EO411" s="257"/>
      <c r="EP411" t="str">
        <f>IF(ISNUMBER(BU411),IF(ABS(BU411-[2]QC_indicators!$B$2)&gt;3*[2]QC_indicators!$C$2,"C ratio",IF(ISNUMBER(BY411),IF(ABS(BY411-[2]QC_indicators!$B$1)&gt;3*[2]QC_indicators!$C$1,"DF","no"))),IF(ISNUMBER(BY411),IF(ABS(BY411-[2]QC_indicators!$B$1)&gt;3*[2]QC_indicators!$C$1,"DF","no")))</f>
        <v>no</v>
      </c>
      <c r="EQ411" s="280"/>
      <c r="ER411" s="280"/>
      <c r="ES411" s="280"/>
      <c r="ET411"/>
      <c r="EU411"/>
    </row>
    <row r="412" spans="1:151" s="139" customFormat="1" ht="15" customHeight="1">
      <c r="A412" s="1"/>
      <c r="B412"/>
      <c r="C412"/>
      <c r="D412" t="s">
        <v>2052</v>
      </c>
      <c r="E412" t="s">
        <v>2053</v>
      </c>
      <c r="F412"/>
      <c r="G412" t="s">
        <v>2054</v>
      </c>
      <c r="H412"/>
      <c r="I412">
        <v>2018</v>
      </c>
      <c r="J412"/>
      <c r="K412" s="150" t="s">
        <v>2055</v>
      </c>
      <c r="L412"/>
      <c r="M412" t="str">
        <f>LEFT($D412,FIND(",",$D412)-1)&amp;"_"&amp;I412&amp;L412</f>
        <v>Olguin_2018</v>
      </c>
      <c r="N412" t="s">
        <v>222</v>
      </c>
      <c r="O412" s="157" t="s">
        <v>274</v>
      </c>
      <c r="P412" t="s">
        <v>513</v>
      </c>
      <c r="Q412" t="s">
        <v>389</v>
      </c>
      <c r="R412" s="262" t="s">
        <v>223</v>
      </c>
      <c r="S412" s="263" t="s">
        <v>3205</v>
      </c>
      <c r="T412" t="s">
        <v>2056</v>
      </c>
      <c r="U412" t="s">
        <v>2065</v>
      </c>
      <c r="V412">
        <v>0</v>
      </c>
      <c r="W412">
        <v>0</v>
      </c>
      <c r="X412">
        <v>0</v>
      </c>
      <c r="Y412">
        <v>0</v>
      </c>
      <c r="Z412">
        <v>0</v>
      </c>
      <c r="AA412">
        <v>0</v>
      </c>
      <c r="AB412">
        <v>0</v>
      </c>
      <c r="AC412">
        <v>1</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s="141">
        <f>COUNTIF(V412:AW412,"&lt;&gt;0")</f>
        <v>1</v>
      </c>
      <c r="AY412" s="141">
        <f>COUNTIF(V412:AL412,"&lt;&gt;0")</f>
        <v>1</v>
      </c>
      <c r="AZ412">
        <f>COUNTIF(V412:AC412,"&lt;&gt;0")</f>
        <v>1</v>
      </c>
      <c r="BA412">
        <f>COUNTIF(AD412:AI412,"&lt;&gt;0")</f>
        <v>0</v>
      </c>
      <c r="BB412">
        <f>COUNTIF(AJ412:AL412,"&lt;&gt;0")</f>
        <v>0</v>
      </c>
      <c r="BC412">
        <f>COUNTIF(AS412:AW412,"&lt;&gt;0")</f>
        <v>0</v>
      </c>
      <c r="BD412">
        <f>COUNTIF(AM412:AR412,"&lt;&gt;0")</f>
        <v>0</v>
      </c>
      <c r="BE412" t="str">
        <f t="array" ref="BE412">IF(AY412=1,INDEX($V$7:$AL$7,MATCH(TRUE,INDEX($V412:$AW412&lt;&gt;0,),0)),IF(AY412=0,INDEX($AM$7:$AW$7,MATCH(1,$AM412:$AW412,0)),IF(BF412="Multiple strategies","mixed drivers",IF(BF412="Supply chain","multiple supply","multiple silviculture"))))</f>
        <v>site fertility</v>
      </c>
      <c r="BF412" s="2" t="str" cm="1">
        <f t="array" ref="BF412">IF(COUNTIF(AZ412:BB412,"&lt;&gt;0")=1,INDEX($V$4:$AW$4,MATCH(TRUE,INDEX($V412:$AW412&lt;&gt;0,),0)),IF(COUNTIF(AZ412:BB412,"&lt;&gt;0")=0,INDEX($AM$4:$AW$4,MATCH(1,$AM412:$AW412,0)),"Multiple strategies"))</f>
        <v>Silviculture for productivity</v>
      </c>
      <c r="BG412" s="1" t="s">
        <v>321</v>
      </c>
      <c r="BH412"/>
      <c r="BI412" s="264" t="s">
        <v>1036</v>
      </c>
      <c r="BJ412" t="s">
        <v>2058</v>
      </c>
      <c r="BK412">
        <v>0</v>
      </c>
      <c r="BL412">
        <v>6788</v>
      </c>
      <c r="BM412" t="str">
        <f>IFERROR(BL412/BK412,"")</f>
        <v/>
      </c>
      <c r="BN412">
        <f>BL412-BK412</f>
        <v>6788</v>
      </c>
      <c r="BO412">
        <f>BN412*tC_to_m3</f>
        <v>29474.598349978292</v>
      </c>
      <c r="BP412" t="s">
        <v>232</v>
      </c>
      <c r="BQ412" t="s">
        <v>424</v>
      </c>
      <c r="BR412" t="s">
        <v>2063</v>
      </c>
      <c r="BS412"/>
      <c r="BT412"/>
      <c r="BU412" s="144"/>
      <c r="BV412">
        <v>-0.23</v>
      </c>
      <c r="BW412"/>
      <c r="BX412">
        <f>BV412</f>
        <v>-0.23</v>
      </c>
      <c r="BY412">
        <f>IFERROR(BX412/BO412,"")</f>
        <v>-7.8033294048320564E-6</v>
      </c>
      <c r="BZ412">
        <v>0</v>
      </c>
      <c r="CA412">
        <v>0</v>
      </c>
      <c r="CB412">
        <v>0</v>
      </c>
      <c r="CC412">
        <v>0</v>
      </c>
      <c r="CD412">
        <v>0</v>
      </c>
      <c r="CE412">
        <v>0</v>
      </c>
      <c r="CF412">
        <v>0</v>
      </c>
      <c r="CG412">
        <v>0</v>
      </c>
      <c r="CH412">
        <v>0</v>
      </c>
      <c r="CI412">
        <v>0</v>
      </c>
      <c r="CJ412">
        <v>0</v>
      </c>
      <c r="CK412">
        <v>0</v>
      </c>
      <c r="CL412">
        <v>0</v>
      </c>
      <c r="CM412">
        <v>0</v>
      </c>
      <c r="CN412" t="str">
        <f>IF($BL412&lt;$BK412,"refNeedCorrection","refOK")</f>
        <v>refOK</v>
      </c>
      <c r="CO412">
        <f>IF($CN412="refOK",$BK412,$BL412)</f>
        <v>0</v>
      </c>
      <c r="CP412">
        <f>IF($CN412="refOK",$BL412,$BK412)</f>
        <v>6788</v>
      </c>
      <c r="CQ412">
        <f>IF($CN412="refOK",$BO412,-$BO412)</f>
        <v>29474.598349978292</v>
      </c>
      <c r="CR412">
        <f>IF($CN412="refOK",$BS412,$BT412)*IF($BP412="Emissions positive",-1,1)</f>
        <v>0</v>
      </c>
      <c r="CS412">
        <f>IF($CN412="refOK",$BT412,$BS412)*IF($BP412="Emissions positive",-1,1)</f>
        <v>0</v>
      </c>
      <c r="CT412">
        <f>IF($CN412="refNeedCorrection",-BX412,BX412)*IF($BP412="Emissions positive",-1,1)</f>
        <v>-0.23</v>
      </c>
      <c r="CU412">
        <f>IFERROR(CT412/CQ412,"")</f>
        <v>-7.8033294048320564E-6</v>
      </c>
      <c r="CV412" s="2" t="str">
        <f>IFERROR((CS412-CR412)/ABS(CR412),"")</f>
        <v/>
      </c>
      <c r="CW412" s="1" t="s">
        <v>2036</v>
      </c>
      <c r="CX412" t="str">
        <f>IF(OR($CW412="prd",$CW412="std",$CW412="cit"),"loc",IF(OR($CW412="eur",$CW412="reg",$CW412="coy"),"reg",$CW412))</f>
        <v>reg</v>
      </c>
      <c r="CY412" t="s">
        <v>2060</v>
      </c>
      <c r="CZ412">
        <v>2021</v>
      </c>
      <c r="DA412">
        <v>2050</v>
      </c>
      <c r="DB412">
        <f>DA412-CZ412</f>
        <v>29</v>
      </c>
      <c r="DC412" t="str">
        <f>IF(DB412=0,"0",IF(AND(DB412&gt;=1,DB412&lt;=30),"1-30",IF(AND(DB412&gt;30,DB412&lt;=70),"31-70",IF(AND(DB412&gt;70,DB412&lt;=100),"71-100",IF(DB412&gt;100,"+100")))))</f>
        <v>1-30</v>
      </c>
      <c r="DD412">
        <v>0</v>
      </c>
      <c r="DE412">
        <v>0</v>
      </c>
      <c r="DF412">
        <v>0</v>
      </c>
      <c r="DG412">
        <v>1</v>
      </c>
      <c r="DH412">
        <v>0</v>
      </c>
      <c r="DI412">
        <f>SUM(DD412:DG412)</f>
        <v>1</v>
      </c>
      <c r="DJ412" t="str">
        <f>IF(DI412=1,INDEX($DD$7:$DG$7,MATCH(1,$DD412:$DG412,0)),"mixedProduct")</f>
        <v>TimberInput</v>
      </c>
      <c r="DK412">
        <f>IF(DD412=1,DK$7,0)</f>
        <v>0</v>
      </c>
      <c r="DL412">
        <f>IF(DE412=1,DL$7,0)</f>
        <v>0</v>
      </c>
      <c r="DM412">
        <f>IF(DF412=1,DM$7,0)</f>
        <v>0</v>
      </c>
      <c r="DN412" t="str">
        <f>IF(DG412=1,DN$7,0)</f>
        <v>Timber</v>
      </c>
      <c r="DO412"/>
      <c r="DP412">
        <v>1</v>
      </c>
      <c r="DQ412"/>
      <c r="DR412"/>
      <c r="DS412" s="184" t="s">
        <v>2066</v>
      </c>
      <c r="DT412"/>
      <c r="DU412" s="143" t="str">
        <f>IF(DO412=1,"self-calculated DF",IF(DP412=1,"external DF used","explicit C balance"))</f>
        <v>external DF used</v>
      </c>
      <c r="DV412">
        <v>1</v>
      </c>
      <c r="DW412">
        <v>1</v>
      </c>
      <c r="DX412">
        <v>1</v>
      </c>
      <c r="DY412">
        <v>1</v>
      </c>
      <c r="DZ412">
        <v>1</v>
      </c>
      <c r="EA412">
        <v>1</v>
      </c>
      <c r="EB412">
        <v>0</v>
      </c>
      <c r="EC412">
        <v>0</v>
      </c>
      <c r="ED412">
        <v>0</v>
      </c>
      <c r="EE412">
        <v>0</v>
      </c>
      <c r="EF412">
        <v>1</v>
      </c>
      <c r="EG412">
        <v>0</v>
      </c>
      <c r="EH412">
        <v>1</v>
      </c>
      <c r="EI412" s="2">
        <v>0</v>
      </c>
      <c r="EJ412" s="1"/>
      <c r="EK412" t="str">
        <f>IF(AND(AND(AND(OR($DX412=1,$DW412=1),OR($EC412=1,$EA412=1)),SUM($DV412:$DZ412,$EF412)&gt;=4),SUM($EA412:$EE412)&gt;=2),"Whole sector","")</f>
        <v/>
      </c>
      <c r="EL412" t="str">
        <f>IF(AND(AND(OR($DX412=1,$DW412=1),AND($EC412=0,$EA412=0)),SUM($DV412:$DZ412,$EF412)&gt;=4),"Ecosystem approach","")</f>
        <v/>
      </c>
      <c r="EM412" s="2" t="str">
        <f>IF(AND(AND(AND($DX412=0,$DW412=0),OR($EC412=1,$EA412=1)),SUM($EB412:$EE412)&gt;=2),"Technology approach","")</f>
        <v/>
      </c>
      <c r="EN412"/>
      <c r="EO412"/>
      <c r="EP412" t="str">
        <f>IF(ISNUMBER(BU412),IF(ABS(BU412-[1]QC_indicators!$B$2)&gt;3*[1]QC_indicators!$C$2,"C ratio",IF(ISNUMBER(BY412),IF(ABS(BY412-[1]QC_indicators!$B$1)&gt;3*[1]QC_indicators!$C$1,"DF","no"))),IF(ISNUMBER(BY412),IF(ABS(BY412-[1]QC_indicators!$B$1)&gt;3*[1]QC_indicators!$C$1,"DF","no")))</f>
        <v>no</v>
      </c>
      <c r="EQ412"/>
      <c r="ER412"/>
      <c r="ES412"/>
      <c r="ET412" s="264" t="s">
        <v>3273</v>
      </c>
      <c r="EU412"/>
    </row>
    <row r="413" spans="1:151" s="139" customFormat="1" ht="15" customHeight="1">
      <c r="A413" s="1"/>
      <c r="B413"/>
      <c r="C413"/>
      <c r="D413" t="s">
        <v>2052</v>
      </c>
      <c r="E413" t="s">
        <v>2053</v>
      </c>
      <c r="F413"/>
      <c r="G413" t="s">
        <v>2054</v>
      </c>
      <c r="H413"/>
      <c r="I413">
        <v>2018</v>
      </c>
      <c r="J413"/>
      <c r="K413" s="150" t="s">
        <v>2055</v>
      </c>
      <c r="L413"/>
      <c r="M413" t="str">
        <f>LEFT($D413,FIND(",",$D413)-1)&amp;"_"&amp;I413&amp;L413</f>
        <v>Olguin_2018</v>
      </c>
      <c r="N413" t="s">
        <v>222</v>
      </c>
      <c r="O413" s="157" t="s">
        <v>274</v>
      </c>
      <c r="P413" t="s">
        <v>513</v>
      </c>
      <c r="Q413" t="s">
        <v>389</v>
      </c>
      <c r="R413" s="262" t="s">
        <v>223</v>
      </c>
      <c r="S413" s="263" t="s">
        <v>3209</v>
      </c>
      <c r="T413" t="s">
        <v>2056</v>
      </c>
      <c r="U413" t="s">
        <v>2062</v>
      </c>
      <c r="V413">
        <v>0</v>
      </c>
      <c r="W413">
        <v>0</v>
      </c>
      <c r="X413">
        <v>0</v>
      </c>
      <c r="Y413">
        <v>0</v>
      </c>
      <c r="Z413">
        <v>0</v>
      </c>
      <c r="AA413">
        <v>0</v>
      </c>
      <c r="AB413">
        <v>0</v>
      </c>
      <c r="AC413">
        <v>1</v>
      </c>
      <c r="AD413">
        <v>0</v>
      </c>
      <c r="AE413">
        <v>0</v>
      </c>
      <c r="AF413">
        <v>1</v>
      </c>
      <c r="AG413">
        <v>0</v>
      </c>
      <c r="AH413">
        <v>0</v>
      </c>
      <c r="AI413">
        <v>0</v>
      </c>
      <c r="AJ413">
        <v>0</v>
      </c>
      <c r="AK413">
        <v>0</v>
      </c>
      <c r="AL413">
        <v>0</v>
      </c>
      <c r="AM413">
        <v>0</v>
      </c>
      <c r="AN413">
        <v>0</v>
      </c>
      <c r="AO413">
        <v>0</v>
      </c>
      <c r="AP413">
        <v>0</v>
      </c>
      <c r="AQ413">
        <v>0</v>
      </c>
      <c r="AR413">
        <v>0</v>
      </c>
      <c r="AS413">
        <v>0</v>
      </c>
      <c r="AT413">
        <v>0</v>
      </c>
      <c r="AU413">
        <v>0</v>
      </c>
      <c r="AV413">
        <v>0</v>
      </c>
      <c r="AW413">
        <v>0</v>
      </c>
      <c r="AX413" s="141">
        <f>COUNTIF(V413:AW413,"&lt;&gt;0")</f>
        <v>2</v>
      </c>
      <c r="AY413" s="141">
        <f>COUNTIF(V413:AL413,"&lt;&gt;0")</f>
        <v>2</v>
      </c>
      <c r="AZ413">
        <f>COUNTIF(V413:AC413,"&lt;&gt;0")</f>
        <v>1</v>
      </c>
      <c r="BA413">
        <f>COUNTIF(AD413:AI413,"&lt;&gt;0")</f>
        <v>1</v>
      </c>
      <c r="BB413">
        <f>COUNTIF(AJ413:AL413,"&lt;&gt;0")</f>
        <v>0</v>
      </c>
      <c r="BC413">
        <f>COUNTIF(AS413:AW413,"&lt;&gt;0")</f>
        <v>0</v>
      </c>
      <c r="BD413">
        <f>COUNTIF(AM413:AR413,"&lt;&gt;0")</f>
        <v>0</v>
      </c>
      <c r="BE413" t="str">
        <f t="array" ref="BE413">IF(AY413=1,INDEX($V$7:$AL$7,MATCH(TRUE,INDEX($V413:$AW413&lt;&gt;0,),0)),IF(AY413=0,INDEX($AM$7:$AW$7,MATCH(1,$AM413:$AW413,0)),IF(BF413="Multiple strategies","mixed drivers",IF(BF413="Supply chain","multiple supply","multiple silviculture"))))</f>
        <v>mixed drivers</v>
      </c>
      <c r="BF413" s="2" t="str" cm="1">
        <f t="array" ref="BF413">IF(COUNTIF(AZ413:BB413,"&lt;&gt;0")=1,INDEX($V$4:$AW$4,MATCH(TRUE,INDEX($V413:$AW413&lt;&gt;0,),0)),IF(COUNTIF(AZ413:BB413,"&lt;&gt;0")=0,INDEX($AM$4:$AW$4,MATCH(1,$AM413:$AW413,0)),"Multiple strategies"))</f>
        <v>Multiple strategies</v>
      </c>
      <c r="BG413" s="1" t="s">
        <v>321</v>
      </c>
      <c r="BH413"/>
      <c r="BI413" s="264" t="s">
        <v>1036</v>
      </c>
      <c r="BJ413" t="s">
        <v>2058</v>
      </c>
      <c r="BK413">
        <v>0</v>
      </c>
      <c r="BL413">
        <v>6788</v>
      </c>
      <c r="BM413" t="str">
        <f>IFERROR(BL413/BK413,"")</f>
        <v/>
      </c>
      <c r="BN413">
        <f>BL413-BK413</f>
        <v>6788</v>
      </c>
      <c r="BO413">
        <f>BN413*tC_to_m3</f>
        <v>29474.598349978292</v>
      </c>
      <c r="BP413" t="s">
        <v>232</v>
      </c>
      <c r="BQ413" t="s">
        <v>424</v>
      </c>
      <c r="BR413" t="s">
        <v>2063</v>
      </c>
      <c r="BS413"/>
      <c r="BT413"/>
      <c r="BU413" s="144"/>
      <c r="BV413">
        <v>-0.22</v>
      </c>
      <c r="BW413"/>
      <c r="BX413">
        <f>BV413</f>
        <v>-0.22</v>
      </c>
      <c r="BY413">
        <f>IFERROR(BX413/BO413,"")</f>
        <v>-7.4640542133176188E-6</v>
      </c>
      <c r="BZ413">
        <v>0</v>
      </c>
      <c r="CA413">
        <v>0</v>
      </c>
      <c r="CB413">
        <v>0</v>
      </c>
      <c r="CC413">
        <v>0</v>
      </c>
      <c r="CD413">
        <v>0</v>
      </c>
      <c r="CE413">
        <v>0</v>
      </c>
      <c r="CF413">
        <v>0</v>
      </c>
      <c r="CG413">
        <v>0</v>
      </c>
      <c r="CH413">
        <v>0</v>
      </c>
      <c r="CI413">
        <v>0</v>
      </c>
      <c r="CJ413">
        <v>0</v>
      </c>
      <c r="CK413">
        <v>0</v>
      </c>
      <c r="CL413">
        <v>0</v>
      </c>
      <c r="CM413">
        <v>0</v>
      </c>
      <c r="CN413" t="str">
        <f>IF($BL413&lt;$BK413,"refNeedCorrection","refOK")</f>
        <v>refOK</v>
      </c>
      <c r="CO413">
        <f>IF($CN413="refOK",$BK413,$BL413)</f>
        <v>0</v>
      </c>
      <c r="CP413">
        <f>IF($CN413="refOK",$BL413,$BK413)</f>
        <v>6788</v>
      </c>
      <c r="CQ413">
        <f>IF($CN413="refOK",$BO413,-$BO413)</f>
        <v>29474.598349978292</v>
      </c>
      <c r="CR413">
        <f>IF($CN413="refOK",$BS413,$BT413)*IF($BP413="Emissions positive",-1,1)</f>
        <v>0</v>
      </c>
      <c r="CS413">
        <f>IF($CN413="refOK",$BT413,$BS413)*IF($BP413="Emissions positive",-1,1)</f>
        <v>0</v>
      </c>
      <c r="CT413">
        <f>IF($CN413="refNeedCorrection",-BX413,BX413)*IF($BP413="Emissions positive",-1,1)</f>
        <v>-0.22</v>
      </c>
      <c r="CU413">
        <f>IFERROR(CT413/CQ413,"")</f>
        <v>-7.4640542133176188E-6</v>
      </c>
      <c r="CV413" s="2" t="str">
        <f>IFERROR((CS413-CR413)/ABS(CR413),"")</f>
        <v/>
      </c>
      <c r="CW413" s="1" t="s">
        <v>2036</v>
      </c>
      <c r="CX413" t="str">
        <f>IF(OR($CW413="prd",$CW413="std",$CW413="cit"),"loc",IF(OR($CW413="eur",$CW413="reg",$CW413="coy"),"reg",$CW413))</f>
        <v>reg</v>
      </c>
      <c r="CY413" t="s">
        <v>2060</v>
      </c>
      <c r="CZ413">
        <v>2021</v>
      </c>
      <c r="DA413">
        <v>2050</v>
      </c>
      <c r="DB413">
        <f>DA413-CZ413</f>
        <v>29</v>
      </c>
      <c r="DC413" t="str">
        <f>IF(DB413=0,"0",IF(AND(DB413&gt;=1,DB413&lt;=30),"1-30",IF(AND(DB413&gt;30,DB413&lt;=70),"31-70",IF(AND(DB413&gt;70,DB413&lt;=100),"71-100",IF(DB413&gt;100,"+100")))))</f>
        <v>1-30</v>
      </c>
      <c r="DD413">
        <v>0</v>
      </c>
      <c r="DE413">
        <v>0</v>
      </c>
      <c r="DF413">
        <v>0</v>
      </c>
      <c r="DG413">
        <v>1</v>
      </c>
      <c r="DH413">
        <v>0</v>
      </c>
      <c r="DI413">
        <f>SUM(DD413:DG413)</f>
        <v>1</v>
      </c>
      <c r="DJ413" t="str">
        <f>IF(DI413=1,INDEX($DD$7:$DG$7,MATCH(1,$DD413:$DG413,0)),"mixedProduct")</f>
        <v>TimberInput</v>
      </c>
      <c r="DK413">
        <f>IF(DD413=1,DK$7,0)</f>
        <v>0</v>
      </c>
      <c r="DL413">
        <f>IF(DE413=1,DL$7,0)</f>
        <v>0</v>
      </c>
      <c r="DM413">
        <f>IF(DF413=1,DM$7,0)</f>
        <v>0</v>
      </c>
      <c r="DN413" t="str">
        <f>IF(DG413=1,DN$7,0)</f>
        <v>Timber</v>
      </c>
      <c r="DO413"/>
      <c r="DP413">
        <v>1</v>
      </c>
      <c r="DQ413"/>
      <c r="DR413"/>
      <c r="DS413" s="184" t="s">
        <v>2061</v>
      </c>
      <c r="DT413"/>
      <c r="DU413" s="143" t="str">
        <f>IF(DO413=1,"self-calculated DF",IF(DP413=1,"external DF used","explicit C balance"))</f>
        <v>external DF used</v>
      </c>
      <c r="DV413">
        <v>1</v>
      </c>
      <c r="DW413">
        <v>1</v>
      </c>
      <c r="DX413">
        <v>1</v>
      </c>
      <c r="DY413">
        <v>1</v>
      </c>
      <c r="DZ413">
        <v>1</v>
      </c>
      <c r="EA413">
        <v>1</v>
      </c>
      <c r="EB413">
        <v>0</v>
      </c>
      <c r="EC413">
        <v>0</v>
      </c>
      <c r="ED413">
        <v>0</v>
      </c>
      <c r="EE413">
        <v>0</v>
      </c>
      <c r="EF413">
        <v>1</v>
      </c>
      <c r="EG413">
        <v>0</v>
      </c>
      <c r="EH413">
        <v>1</v>
      </c>
      <c r="EI413" s="2">
        <v>0</v>
      </c>
      <c r="EJ413" s="1"/>
      <c r="EK413" t="str">
        <f>IF(AND(AND(AND(OR($DX413=1,$DW413=1),OR($EC413=1,$EA413=1)),SUM($DV413:$DZ413,$EF413)&gt;=4),SUM($EA413:$EE413)&gt;=2),"Whole sector","")</f>
        <v/>
      </c>
      <c r="EL413" t="str">
        <f>IF(AND(AND(OR($DX413=1,$DW413=1),AND($EC413=0,$EA413=0)),SUM($DV413:$DZ413,$EF413)&gt;=4),"Ecosystem approach","")</f>
        <v/>
      </c>
      <c r="EM413" s="2" t="str">
        <f>IF(AND(AND(AND($DX413=0,$DW413=0),OR($EC413=1,$EA413=1)),SUM($EB413:$EE413)&gt;=2),"Technology approach","")</f>
        <v/>
      </c>
      <c r="EN413"/>
      <c r="EO413"/>
      <c r="EP413" t="str">
        <f>IF(ISNUMBER(BU413),IF(ABS(BU413-[1]QC_indicators!$B$2)&gt;3*[1]QC_indicators!$C$2,"C ratio",IF(ISNUMBER(BY413),IF(ABS(BY413-[1]QC_indicators!$B$1)&gt;3*[1]QC_indicators!$C$1,"DF","no"))),IF(ISNUMBER(BY413),IF(ABS(BY413-[1]QC_indicators!$B$1)&gt;3*[1]QC_indicators!$C$1,"DF","no")))</f>
        <v>no</v>
      </c>
      <c r="EQ413"/>
      <c r="ER413"/>
      <c r="ES413"/>
      <c r="ET413" s="264" t="s">
        <v>3273</v>
      </c>
      <c r="EU413"/>
    </row>
    <row r="414" spans="1:151" s="139" customFormat="1">
      <c r="A414" s="256" t="s">
        <v>214</v>
      </c>
      <c r="B414" s="257" t="s">
        <v>215</v>
      </c>
      <c r="C414" s="257" t="s">
        <v>216</v>
      </c>
      <c r="D414" s="257" t="s">
        <v>217</v>
      </c>
      <c r="E414" s="257" t="s">
        <v>218</v>
      </c>
      <c r="F414" s="257" t="s">
        <v>219</v>
      </c>
      <c r="G414" s="257" t="s">
        <v>220</v>
      </c>
      <c r="H414" s="257"/>
      <c r="I414" s="257">
        <v>2012</v>
      </c>
      <c r="J414" s="257"/>
      <c r="K414" s="257" t="s">
        <v>221</v>
      </c>
      <c r="L414" s="257"/>
      <c r="M414" s="257" t="s">
        <v>3070</v>
      </c>
      <c r="N414" s="257" t="s">
        <v>222</v>
      </c>
      <c r="O414" s="275" t="s">
        <v>223</v>
      </c>
      <c r="P414" s="257"/>
      <c r="Q414" s="257" t="s">
        <v>224</v>
      </c>
      <c r="R414" s="258" t="s">
        <v>225</v>
      </c>
      <c r="S414" s="256" t="s">
        <v>240</v>
      </c>
      <c r="T414" s="257">
        <v>2000</v>
      </c>
      <c r="U414" s="257">
        <v>4000</v>
      </c>
      <c r="V414" s="257">
        <v>0</v>
      </c>
      <c r="W414" s="257">
        <v>0</v>
      </c>
      <c r="X414" s="257">
        <v>0</v>
      </c>
      <c r="Y414" s="257">
        <v>0</v>
      </c>
      <c r="Z414" s="257">
        <v>0</v>
      </c>
      <c r="AA414" s="257">
        <v>1</v>
      </c>
      <c r="AB414" s="257">
        <v>0</v>
      </c>
      <c r="AC414" s="257">
        <v>0</v>
      </c>
      <c r="AD414" s="257">
        <v>0</v>
      </c>
      <c r="AE414" s="257">
        <v>0</v>
      </c>
      <c r="AF414" s="257">
        <v>0</v>
      </c>
      <c r="AG414" s="257">
        <v>0</v>
      </c>
      <c r="AH414" s="257">
        <v>0</v>
      </c>
      <c r="AI414" s="257">
        <v>0</v>
      </c>
      <c r="AJ414" s="257">
        <v>0</v>
      </c>
      <c r="AK414" s="257">
        <v>0</v>
      </c>
      <c r="AL414" s="257">
        <v>0</v>
      </c>
      <c r="AM414" s="257">
        <v>0</v>
      </c>
      <c r="AN414" s="257">
        <v>0</v>
      </c>
      <c r="AO414" s="257">
        <v>0</v>
      </c>
      <c r="AP414" s="257">
        <v>0</v>
      </c>
      <c r="AQ414" s="257">
        <v>0</v>
      </c>
      <c r="AR414" s="257">
        <v>0</v>
      </c>
      <c r="AS414" s="257">
        <v>0</v>
      </c>
      <c r="AT414" s="257">
        <v>0</v>
      </c>
      <c r="AU414" s="257">
        <v>0</v>
      </c>
      <c r="AV414" s="257">
        <v>0</v>
      </c>
      <c r="AW414" s="257">
        <v>0</v>
      </c>
      <c r="AX414" s="277">
        <v>1</v>
      </c>
      <c r="AY414" s="277">
        <v>1</v>
      </c>
      <c r="AZ414" s="257">
        <v>1</v>
      </c>
      <c r="BA414" s="257">
        <v>0</v>
      </c>
      <c r="BB414" s="257">
        <v>0</v>
      </c>
      <c r="BC414" s="257">
        <v>0</v>
      </c>
      <c r="BD414" s="257">
        <v>0</v>
      </c>
      <c r="BE414" s="257" t="s">
        <v>93</v>
      </c>
      <c r="BF414" s="2" t="str" cm="1">
        <f t="array" ref="BF414">IF(COUNTIF(AZ414:BB414,"&lt;&gt;0")=1,INDEX($V$4:$AW$4,MATCH(TRUE,INDEX($V414:$AW414&lt;&gt;0,),0)),IF(COUNTIF(AZ414:BB414,"&lt;&gt;0")=0,INDEX($AM$4:$AW$4,MATCH(1,$AM414:$AW414,0)),"Multiple strategies"))</f>
        <v>Silviculture for productivity</v>
      </c>
      <c r="BG414" s="278" t="s">
        <v>229</v>
      </c>
      <c r="BH414" s="257" t="s">
        <v>230</v>
      </c>
      <c r="BI414" s="279" t="s">
        <v>3071</v>
      </c>
      <c r="BJ414" s="276" t="s">
        <v>231</v>
      </c>
      <c r="BK414" s="257">
        <v>85.005979260000004</v>
      </c>
      <c r="BL414" s="257">
        <v>90.539028419999994</v>
      </c>
      <c r="BM414" s="276">
        <v>1.0650901172854743</v>
      </c>
      <c r="BN414" s="257">
        <v>5.5330491599999903</v>
      </c>
      <c r="BO414" s="276">
        <v>11.29193706122447</v>
      </c>
      <c r="BP414" s="276" t="s">
        <v>232</v>
      </c>
      <c r="BQ414" s="279" t="s">
        <v>3071</v>
      </c>
      <c r="BR414" s="276" t="s">
        <v>233</v>
      </c>
      <c r="BS414" s="257">
        <v>-8.1260280659999999</v>
      </c>
      <c r="BT414" s="257">
        <v>-8.2073792920000006</v>
      </c>
      <c r="BU414" s="259">
        <v>1.0100111918564965</v>
      </c>
      <c r="BV414" s="257">
        <v>-8.1351226000000665E-2</v>
      </c>
      <c r="BW414" s="257"/>
      <c r="BX414" s="257">
        <v>-8.135122600000067E-5</v>
      </c>
      <c r="BY414" s="257">
        <v>-7.2043641014749993E-6</v>
      </c>
      <c r="BZ414" s="257">
        <v>0</v>
      </c>
      <c r="CA414" s="257">
        <v>0</v>
      </c>
      <c r="CB414" s="257">
        <v>0</v>
      </c>
      <c r="CC414" s="257">
        <v>0</v>
      </c>
      <c r="CD414" s="257">
        <v>0</v>
      </c>
      <c r="CE414" s="257">
        <v>0</v>
      </c>
      <c r="CF414" s="257">
        <v>0</v>
      </c>
      <c r="CG414" s="257">
        <v>0</v>
      </c>
      <c r="CH414" s="257">
        <v>0</v>
      </c>
      <c r="CI414" s="257">
        <v>0</v>
      </c>
      <c r="CJ414" s="257">
        <v>0</v>
      </c>
      <c r="CK414" s="257">
        <v>0</v>
      </c>
      <c r="CL414" s="257">
        <v>0</v>
      </c>
      <c r="CM414" s="257">
        <v>0</v>
      </c>
      <c r="CN414" s="257" t="s">
        <v>3072</v>
      </c>
      <c r="CO414" s="257">
        <v>85.005979260000004</v>
      </c>
      <c r="CP414" s="257">
        <v>90.539028419999994</v>
      </c>
      <c r="CQ414" s="257">
        <v>11.29193706122447</v>
      </c>
      <c r="CR414" s="257">
        <v>-8.1260280659999999</v>
      </c>
      <c r="CS414" s="257">
        <v>-8.2073792920000006</v>
      </c>
      <c r="CT414" s="257">
        <v>-8.135122600000067E-5</v>
      </c>
      <c r="CU414" s="257">
        <v>-7.2043641014749993E-6</v>
      </c>
      <c r="CV414" s="258">
        <v>-1.0011191856496434E-2</v>
      </c>
      <c r="CW414" s="256" t="s">
        <v>234</v>
      </c>
      <c r="CX414" s="257" t="s">
        <v>3073</v>
      </c>
      <c r="CY414" s="257" t="s">
        <v>235</v>
      </c>
      <c r="CZ414" s="257"/>
      <c r="DA414" s="276"/>
      <c r="DB414" s="276">
        <v>80</v>
      </c>
      <c r="DC414" s="257" t="s">
        <v>3074</v>
      </c>
      <c r="DD414" s="257">
        <v>0</v>
      </c>
      <c r="DE414" s="257">
        <v>1</v>
      </c>
      <c r="DF414" s="257">
        <v>0</v>
      </c>
      <c r="DG414" s="257">
        <v>0</v>
      </c>
      <c r="DH414" s="257"/>
      <c r="DI414" s="257">
        <v>1</v>
      </c>
      <c r="DJ414" s="257" t="s">
        <v>173</v>
      </c>
      <c r="DK414" s="257">
        <v>0</v>
      </c>
      <c r="DL414" s="257" t="s">
        <v>180</v>
      </c>
      <c r="DM414" s="257">
        <v>0</v>
      </c>
      <c r="DN414" s="257">
        <v>0</v>
      </c>
      <c r="DO414" s="257">
        <v>0</v>
      </c>
      <c r="DP414" s="276">
        <v>0</v>
      </c>
      <c r="DQ414" s="276">
        <v>0</v>
      </c>
      <c r="DR414" s="276">
        <v>0</v>
      </c>
      <c r="DS414" s="276">
        <v>0</v>
      </c>
      <c r="DT414" s="257">
        <v>0</v>
      </c>
      <c r="DU414" s="276" t="s">
        <v>962</v>
      </c>
      <c r="DV414" s="276">
        <v>1</v>
      </c>
      <c r="DW414" s="276">
        <v>1</v>
      </c>
      <c r="DX414" s="276">
        <v>1</v>
      </c>
      <c r="DY414" s="276">
        <v>0</v>
      </c>
      <c r="DZ414" s="257">
        <v>0</v>
      </c>
      <c r="EA414" s="276">
        <v>0</v>
      </c>
      <c r="EB414" s="276">
        <v>1</v>
      </c>
      <c r="EC414" s="276">
        <v>1</v>
      </c>
      <c r="ED414" s="276">
        <v>0</v>
      </c>
      <c r="EE414" s="276">
        <v>0</v>
      </c>
      <c r="EF414" s="257">
        <v>1</v>
      </c>
      <c r="EG414" s="276">
        <v>0</v>
      </c>
      <c r="EH414" s="257">
        <v>0</v>
      </c>
      <c r="EI414" s="258">
        <v>0</v>
      </c>
      <c r="EJ414" s="256"/>
      <c r="EK414" t="str">
        <f>IF(AND(AND(AND(OR($DX414=1,$DW414=1),OR($EC414=1,$EA414=1)),SUM($DV414:$DZ414,$EF414)&gt;=4),SUM($EA414:$EE414)&gt;=2),"Whole sector","")</f>
        <v>Whole sector</v>
      </c>
      <c r="EL414" t="str">
        <f>IF(AND(AND(OR($DX414=1,$DW414=1),AND($EC414=0,$EA414=0)),SUM($DV414:$DZ414,$EF414)&gt;=4),"Ecosystem approach","")</f>
        <v/>
      </c>
      <c r="EM414" s="258" t="s">
        <v>544</v>
      </c>
      <c r="EN414" s="257" t="s">
        <v>236</v>
      </c>
      <c r="EO414" s="257"/>
      <c r="EP414" t="str">
        <f>IF(ISNUMBER(BU414),IF(ABS(BU414-[2]QC_indicators!$B$2)&gt;3*[2]QC_indicators!$C$2,"C ratio",IF(ISNUMBER(BY414),IF(ABS(BY414-[2]QC_indicators!$B$1)&gt;3*[2]QC_indicators!$C$1,"DF","no"))),IF(ISNUMBER(BY414),IF(ABS(BY414-[2]QC_indicators!$B$1)&gt;3*[2]QC_indicators!$C$1,"DF","no")))</f>
        <v>no</v>
      </c>
      <c r="EQ414" s="280"/>
      <c r="ER414" s="280"/>
      <c r="ES414" s="280"/>
      <c r="ET414"/>
      <c r="EU414"/>
    </row>
    <row r="415" spans="1:151" s="139" customFormat="1">
      <c r="A415" s="1"/>
      <c r="B415"/>
      <c r="C415"/>
      <c r="D415" t="s">
        <v>2052</v>
      </c>
      <c r="E415" t="s">
        <v>2053</v>
      </c>
      <c r="F415"/>
      <c r="G415" t="s">
        <v>2054</v>
      </c>
      <c r="H415"/>
      <c r="I415">
        <v>2018</v>
      </c>
      <c r="J415"/>
      <c r="K415" s="150" t="s">
        <v>2055</v>
      </c>
      <c r="L415"/>
      <c r="M415" t="str">
        <f>LEFT($D415,FIND(",",$D415)-1)&amp;"_"&amp;I415&amp;L415</f>
        <v>Olguin_2018</v>
      </c>
      <c r="N415" t="s">
        <v>222</v>
      </c>
      <c r="O415" s="157" t="s">
        <v>274</v>
      </c>
      <c r="P415" t="s">
        <v>513</v>
      </c>
      <c r="Q415" t="s">
        <v>389</v>
      </c>
      <c r="R415" s="262" t="s">
        <v>223</v>
      </c>
      <c r="S415" s="263" t="s">
        <v>3207</v>
      </c>
      <c r="T415" t="s">
        <v>2056</v>
      </c>
      <c r="U415" t="s">
        <v>2064</v>
      </c>
      <c r="V415">
        <v>0</v>
      </c>
      <c r="W415">
        <v>0</v>
      </c>
      <c r="X415">
        <v>0</v>
      </c>
      <c r="Y415">
        <v>0</v>
      </c>
      <c r="Z415">
        <v>0</v>
      </c>
      <c r="AA415">
        <v>0</v>
      </c>
      <c r="AB415">
        <v>0</v>
      </c>
      <c r="AC415">
        <v>1</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s="141">
        <f>COUNTIF(V415:AW415,"&lt;&gt;0")</f>
        <v>1</v>
      </c>
      <c r="AY415" s="141">
        <f>COUNTIF(V415:AL415,"&lt;&gt;0")</f>
        <v>1</v>
      </c>
      <c r="AZ415">
        <f>COUNTIF(V415:AC415,"&lt;&gt;0")</f>
        <v>1</v>
      </c>
      <c r="BA415">
        <f>COUNTIF(AD415:AI415,"&lt;&gt;0")</f>
        <v>0</v>
      </c>
      <c r="BB415">
        <f>COUNTIF(AJ415:AL415,"&lt;&gt;0")</f>
        <v>0</v>
      </c>
      <c r="BC415">
        <f>COUNTIF(AS415:AW415,"&lt;&gt;0")</f>
        <v>0</v>
      </c>
      <c r="BD415">
        <f>COUNTIF(AM415:AR415,"&lt;&gt;0")</f>
        <v>0</v>
      </c>
      <c r="BE415" t="str">
        <f t="array" ref="BE415">IF(AY415=1,INDEX($V$7:$AL$7,MATCH(TRUE,INDEX($V415:$AW415&lt;&gt;0,),0)),IF(AY415=0,INDEX($AM$7:$AW$7,MATCH(1,$AM415:$AW415,0)),IF(BF415="Multiple strategies","mixed drivers",IF(BF415="Supply chain","multiple supply","multiple silviculture"))))</f>
        <v>site fertility</v>
      </c>
      <c r="BF415" s="2" t="str" cm="1">
        <f t="array" ref="BF415">IF(COUNTIF(AZ415:BB415,"&lt;&gt;0")=1,INDEX($V$4:$AW$4,MATCH(TRUE,INDEX($V415:$AW415&lt;&gt;0,),0)),IF(COUNTIF(AZ415:BB415,"&lt;&gt;0")=0,INDEX($AM$4:$AW$4,MATCH(1,$AM415:$AW415,0)),"Multiple strategies"))</f>
        <v>Silviculture for productivity</v>
      </c>
      <c r="BG415" s="1" t="s">
        <v>321</v>
      </c>
      <c r="BH415"/>
      <c r="BI415" s="264" t="s">
        <v>1036</v>
      </c>
      <c r="BJ415" t="s">
        <v>2058</v>
      </c>
      <c r="BK415">
        <v>0</v>
      </c>
      <c r="BL415">
        <v>6788</v>
      </c>
      <c r="BM415" t="str">
        <f>IFERROR(BL415/BK415,"")</f>
        <v/>
      </c>
      <c r="BN415">
        <f>BL415-BK415</f>
        <v>6788</v>
      </c>
      <c r="BO415">
        <f>BN415*tC_to_m3</f>
        <v>29474.598349978292</v>
      </c>
      <c r="BP415" t="s">
        <v>232</v>
      </c>
      <c r="BQ415" t="s">
        <v>424</v>
      </c>
      <c r="BR415" t="s">
        <v>2063</v>
      </c>
      <c r="BS415"/>
      <c r="BT415"/>
      <c r="BU415" s="144"/>
      <c r="BV415">
        <v>-0.21</v>
      </c>
      <c r="BW415"/>
      <c r="BX415">
        <f>BV415</f>
        <v>-0.21</v>
      </c>
      <c r="BY415">
        <f>IFERROR(BX415/BO415,"")</f>
        <v>-7.1247790218031812E-6</v>
      </c>
      <c r="BZ415">
        <v>0</v>
      </c>
      <c r="CA415">
        <v>0</v>
      </c>
      <c r="CB415">
        <v>0</v>
      </c>
      <c r="CC415">
        <v>0</v>
      </c>
      <c r="CD415">
        <v>0</v>
      </c>
      <c r="CE415">
        <v>0</v>
      </c>
      <c r="CF415">
        <v>0</v>
      </c>
      <c r="CG415">
        <v>0</v>
      </c>
      <c r="CH415">
        <v>0</v>
      </c>
      <c r="CI415">
        <v>0</v>
      </c>
      <c r="CJ415">
        <v>0</v>
      </c>
      <c r="CK415">
        <v>0</v>
      </c>
      <c r="CL415">
        <v>0</v>
      </c>
      <c r="CM415">
        <v>0</v>
      </c>
      <c r="CN415" t="str">
        <f>IF($BL415&lt;$BK415,"refNeedCorrection","refOK")</f>
        <v>refOK</v>
      </c>
      <c r="CO415">
        <f>IF($CN415="refOK",$BK415,$BL415)</f>
        <v>0</v>
      </c>
      <c r="CP415">
        <f>IF($CN415="refOK",$BL415,$BK415)</f>
        <v>6788</v>
      </c>
      <c r="CQ415">
        <f>IF($CN415="refOK",$BO415,-$BO415)</f>
        <v>29474.598349978292</v>
      </c>
      <c r="CR415">
        <f>IF($CN415="refOK",$BS415,$BT415)*IF($BP415="Emissions positive",-1,1)</f>
        <v>0</v>
      </c>
      <c r="CS415">
        <f>IF($CN415="refOK",$BT415,$BS415)*IF($BP415="Emissions positive",-1,1)</f>
        <v>0</v>
      </c>
      <c r="CT415">
        <f>IF($CN415="refNeedCorrection",-BX415,BX415)*IF($BP415="Emissions positive",-1,1)</f>
        <v>-0.21</v>
      </c>
      <c r="CU415">
        <f>IFERROR(CT415/CQ415,"")</f>
        <v>-7.1247790218031812E-6</v>
      </c>
      <c r="CV415" s="2" t="str">
        <f>IFERROR((CS415-CR415)/ABS(CR415),"")</f>
        <v/>
      </c>
      <c r="CW415" s="1" t="s">
        <v>2036</v>
      </c>
      <c r="CX415" t="str">
        <f>IF(OR($CW415="prd",$CW415="std",$CW415="cit"),"loc",IF(OR($CW415="eur",$CW415="reg",$CW415="coy"),"reg",$CW415))</f>
        <v>reg</v>
      </c>
      <c r="CY415" t="s">
        <v>2060</v>
      </c>
      <c r="CZ415">
        <v>2021</v>
      </c>
      <c r="DA415">
        <v>2050</v>
      </c>
      <c r="DB415">
        <f>DA415-CZ415</f>
        <v>29</v>
      </c>
      <c r="DC415" t="str">
        <f>IF(DB415=0,"0",IF(AND(DB415&gt;=1,DB415&lt;=30),"1-30",IF(AND(DB415&gt;30,DB415&lt;=70),"31-70",IF(AND(DB415&gt;70,DB415&lt;=100),"71-100",IF(DB415&gt;100,"+100")))))</f>
        <v>1-30</v>
      </c>
      <c r="DD415">
        <v>0</v>
      </c>
      <c r="DE415">
        <v>0</v>
      </c>
      <c r="DF415">
        <v>0</v>
      </c>
      <c r="DG415">
        <v>1</v>
      </c>
      <c r="DH415">
        <v>0</v>
      </c>
      <c r="DI415">
        <f>SUM(DD415:DG415)</f>
        <v>1</v>
      </c>
      <c r="DJ415" t="str">
        <f>IF(DI415=1,INDEX($DD$7:$DG$7,MATCH(1,$DD415:$DG415,0)),"mixedProduct")</f>
        <v>TimberInput</v>
      </c>
      <c r="DK415">
        <f>IF(DD415=1,DK$7,0)</f>
        <v>0</v>
      </c>
      <c r="DL415">
        <f>IF(DE415=1,DL$7,0)</f>
        <v>0</v>
      </c>
      <c r="DM415">
        <f>IF(DF415=1,DM$7,0)</f>
        <v>0</v>
      </c>
      <c r="DN415" t="str">
        <f>IF(DG415=1,DN$7,0)</f>
        <v>Timber</v>
      </c>
      <c r="DO415"/>
      <c r="DP415">
        <v>1</v>
      </c>
      <c r="DQ415"/>
      <c r="DR415"/>
      <c r="DS415" s="184" t="s">
        <v>2061</v>
      </c>
      <c r="DT415"/>
      <c r="DU415" s="143" t="str">
        <f>IF(DO415=1,"self-calculated DF",IF(DP415=1,"external DF used","explicit C balance"))</f>
        <v>external DF used</v>
      </c>
      <c r="DV415">
        <v>1</v>
      </c>
      <c r="DW415">
        <v>1</v>
      </c>
      <c r="DX415">
        <v>1</v>
      </c>
      <c r="DY415">
        <v>1</v>
      </c>
      <c r="DZ415">
        <v>1</v>
      </c>
      <c r="EA415">
        <v>1</v>
      </c>
      <c r="EB415">
        <v>0</v>
      </c>
      <c r="EC415">
        <v>0</v>
      </c>
      <c r="ED415">
        <v>0</v>
      </c>
      <c r="EE415">
        <v>0</v>
      </c>
      <c r="EF415">
        <v>1</v>
      </c>
      <c r="EG415">
        <v>0</v>
      </c>
      <c r="EH415">
        <v>1</v>
      </c>
      <c r="EI415" s="2">
        <v>0</v>
      </c>
      <c r="EJ415" s="1"/>
      <c r="EK415" t="str">
        <f>IF(AND(AND(AND(OR($DX415=1,$DW415=1),OR($EC415=1,$EA415=1)),SUM($DV415:$DZ415,$EF415)&gt;=4),SUM($EA415:$EE415)&gt;=2),"Whole sector","")</f>
        <v/>
      </c>
      <c r="EL415" t="str">
        <f>IF(AND(AND(OR($DX415=1,$DW415=1),AND($EC415=0,$EA415=0)),SUM($DV415:$DZ415,$EF415)&gt;=4),"Ecosystem approach","")</f>
        <v/>
      </c>
      <c r="EM415" s="2" t="str">
        <f>IF(AND(AND(AND($DX415=0,$DW415=0),OR($EC415=1,$EA415=1)),SUM($EB415:$EE415)&gt;=2),"Technology approach","")</f>
        <v/>
      </c>
      <c r="EN415"/>
      <c r="EO415"/>
      <c r="EP415" t="str">
        <f>IF(ISNUMBER(BU415),IF(ABS(BU415-[1]QC_indicators!$B$2)&gt;3*[1]QC_indicators!$C$2,"C ratio",IF(ISNUMBER(BY415),IF(ABS(BY415-[1]QC_indicators!$B$1)&gt;3*[1]QC_indicators!$C$1,"DF","no"))),IF(ISNUMBER(BY415),IF(ABS(BY415-[1]QC_indicators!$B$1)&gt;3*[1]QC_indicators!$C$1,"DF","no")))</f>
        <v>no</v>
      </c>
      <c r="EQ415"/>
      <c r="ER415"/>
      <c r="ES415"/>
      <c r="ET415" s="264" t="s">
        <v>3273</v>
      </c>
      <c r="EU415"/>
    </row>
    <row r="416" spans="1:151" s="139" customFormat="1">
      <c r="A416" s="1"/>
      <c r="B416"/>
      <c r="C416"/>
      <c r="D416" t="s">
        <v>2052</v>
      </c>
      <c r="E416" t="s">
        <v>2053</v>
      </c>
      <c r="F416"/>
      <c r="G416" t="s">
        <v>2054</v>
      </c>
      <c r="H416"/>
      <c r="I416">
        <v>2018</v>
      </c>
      <c r="J416"/>
      <c r="K416" s="150" t="s">
        <v>2055</v>
      </c>
      <c r="L416"/>
      <c r="M416" t="str">
        <f>LEFT($D416,FIND(",",$D416)-1)&amp;"_"&amp;I416&amp;L416</f>
        <v>Olguin_2018</v>
      </c>
      <c r="N416" t="s">
        <v>222</v>
      </c>
      <c r="O416" s="157" t="s">
        <v>274</v>
      </c>
      <c r="P416" t="s">
        <v>513</v>
      </c>
      <c r="Q416" t="s">
        <v>389</v>
      </c>
      <c r="R416" s="262" t="s">
        <v>223</v>
      </c>
      <c r="S416" s="263" t="s">
        <v>3198</v>
      </c>
      <c r="T416" t="s">
        <v>2056</v>
      </c>
      <c r="U416" t="s">
        <v>2065</v>
      </c>
      <c r="V416">
        <v>0</v>
      </c>
      <c r="W416">
        <v>0</v>
      </c>
      <c r="X416">
        <v>0</v>
      </c>
      <c r="Y416">
        <v>0</v>
      </c>
      <c r="Z416">
        <v>0</v>
      </c>
      <c r="AA416">
        <v>0</v>
      </c>
      <c r="AB416">
        <v>0</v>
      </c>
      <c r="AC416">
        <v>1</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s="141">
        <f>COUNTIF(V416:AW416,"&lt;&gt;0")</f>
        <v>1</v>
      </c>
      <c r="AY416" s="141">
        <f>COUNTIF(V416:AL416,"&lt;&gt;0")</f>
        <v>1</v>
      </c>
      <c r="AZ416">
        <f>COUNTIF(V416:AC416,"&lt;&gt;0")</f>
        <v>1</v>
      </c>
      <c r="BA416">
        <f>COUNTIF(AD416:AI416,"&lt;&gt;0")</f>
        <v>0</v>
      </c>
      <c r="BB416">
        <f>COUNTIF(AJ416:AL416,"&lt;&gt;0")</f>
        <v>0</v>
      </c>
      <c r="BC416">
        <f>COUNTIF(AS416:AW416,"&lt;&gt;0")</f>
        <v>0</v>
      </c>
      <c r="BD416">
        <f>COUNTIF(AM416:AR416,"&lt;&gt;0")</f>
        <v>0</v>
      </c>
      <c r="BE416" t="str">
        <f t="array" ref="BE416">IF(AY416=1,INDEX($V$7:$AL$7,MATCH(TRUE,INDEX($V416:$AW416&lt;&gt;0,),0)),IF(AY416=0,INDEX($AM$7:$AW$7,MATCH(1,$AM416:$AW416,0)),IF(BF416="Multiple strategies","mixed drivers",IF(BF416="Supply chain","multiple supply","multiple silviculture"))))</f>
        <v>site fertility</v>
      </c>
      <c r="BF416" s="2" t="str" cm="1">
        <f t="array" ref="BF416">IF(COUNTIF(AZ416:BB416,"&lt;&gt;0")=1,INDEX($V$4:$AW$4,MATCH(TRUE,INDEX($V416:$AW416&lt;&gt;0,),0)),IF(COUNTIF(AZ416:BB416,"&lt;&gt;0")=0,INDEX($AM$4:$AW$4,MATCH(1,$AM416:$AW416,0)),"Multiple strategies"))</f>
        <v>Silviculture for productivity</v>
      </c>
      <c r="BG416" s="1" t="s">
        <v>321</v>
      </c>
      <c r="BH416"/>
      <c r="BI416" s="264" t="s">
        <v>1036</v>
      </c>
      <c r="BJ416" t="s">
        <v>2058</v>
      </c>
      <c r="BK416">
        <v>0</v>
      </c>
      <c r="BL416">
        <v>6788</v>
      </c>
      <c r="BM416" t="str">
        <f>IFERROR(BL416/BK416,"")</f>
        <v/>
      </c>
      <c r="BN416">
        <f>BL416-BK416</f>
        <v>6788</v>
      </c>
      <c r="BO416">
        <f>BN416*tC_to_m3</f>
        <v>29474.598349978292</v>
      </c>
      <c r="BP416" t="s">
        <v>232</v>
      </c>
      <c r="BQ416" t="s">
        <v>424</v>
      </c>
      <c r="BR416" t="s">
        <v>2063</v>
      </c>
      <c r="BS416"/>
      <c r="BT416"/>
      <c r="BU416" s="144"/>
      <c r="BV416">
        <v>-0.19</v>
      </c>
      <c r="BW416"/>
      <c r="BX416">
        <f>BV416</f>
        <v>-0.19</v>
      </c>
      <c r="BY416">
        <f>IFERROR(BX416/BO416,"")</f>
        <v>-6.4462286387743068E-6</v>
      </c>
      <c r="BZ416">
        <v>0</v>
      </c>
      <c r="CA416">
        <v>0</v>
      </c>
      <c r="CB416">
        <v>0</v>
      </c>
      <c r="CC416">
        <v>0</v>
      </c>
      <c r="CD416">
        <v>0</v>
      </c>
      <c r="CE416">
        <v>0</v>
      </c>
      <c r="CF416">
        <v>0</v>
      </c>
      <c r="CG416">
        <v>0</v>
      </c>
      <c r="CH416">
        <v>0</v>
      </c>
      <c r="CI416">
        <v>0</v>
      </c>
      <c r="CJ416">
        <v>0</v>
      </c>
      <c r="CK416">
        <v>0</v>
      </c>
      <c r="CL416">
        <v>0</v>
      </c>
      <c r="CM416">
        <v>0</v>
      </c>
      <c r="CN416" t="str">
        <f>IF($BL416&lt;$BK416,"refNeedCorrection","refOK")</f>
        <v>refOK</v>
      </c>
      <c r="CO416">
        <f>IF($CN416="refOK",$BK416,$BL416)</f>
        <v>0</v>
      </c>
      <c r="CP416">
        <f>IF($CN416="refOK",$BL416,$BK416)</f>
        <v>6788</v>
      </c>
      <c r="CQ416">
        <f>IF($CN416="refOK",$BO416,-$BO416)</f>
        <v>29474.598349978292</v>
      </c>
      <c r="CR416">
        <f>IF($CN416="refOK",$BS416,$BT416)*IF($BP416="Emissions positive",-1,1)</f>
        <v>0</v>
      </c>
      <c r="CS416">
        <f>IF($CN416="refOK",$BT416,$BS416)*IF($BP416="Emissions positive",-1,1)</f>
        <v>0</v>
      </c>
      <c r="CT416">
        <f>IF($CN416="refNeedCorrection",-BX416,BX416)*IF($BP416="Emissions positive",-1,1)</f>
        <v>-0.19</v>
      </c>
      <c r="CU416">
        <f>IFERROR(CT416/CQ416,"")</f>
        <v>-6.4462286387743068E-6</v>
      </c>
      <c r="CV416" s="2" t="str">
        <f>IFERROR((CS416-CR416)/ABS(CR416),"")</f>
        <v/>
      </c>
      <c r="CW416" s="1" t="s">
        <v>2036</v>
      </c>
      <c r="CX416" t="str">
        <f>IF(OR($CW416="prd",$CW416="std",$CW416="cit"),"loc",IF(OR($CW416="eur",$CW416="reg",$CW416="coy"),"reg",$CW416))</f>
        <v>reg</v>
      </c>
      <c r="CY416" t="s">
        <v>2060</v>
      </c>
      <c r="CZ416">
        <v>2021</v>
      </c>
      <c r="DA416">
        <v>2040</v>
      </c>
      <c r="DB416">
        <f>DA416-CZ416</f>
        <v>19</v>
      </c>
      <c r="DC416" t="str">
        <f>IF(DB416=0,"0",IF(AND(DB416&gt;=1,DB416&lt;=30),"1-30",IF(AND(DB416&gt;30,DB416&lt;=70),"31-70",IF(AND(DB416&gt;70,DB416&lt;=100),"71-100",IF(DB416&gt;100,"+100")))))</f>
        <v>1-30</v>
      </c>
      <c r="DD416">
        <v>0</v>
      </c>
      <c r="DE416">
        <v>0</v>
      </c>
      <c r="DF416">
        <v>0</v>
      </c>
      <c r="DG416">
        <v>1</v>
      </c>
      <c r="DH416">
        <v>0</v>
      </c>
      <c r="DI416">
        <f>SUM(DD416:DG416)</f>
        <v>1</v>
      </c>
      <c r="DJ416" t="str">
        <f>IF(DI416=1,INDEX($DD$7:$DG$7,MATCH(1,$DD416:$DG416,0)),"mixedProduct")</f>
        <v>TimberInput</v>
      </c>
      <c r="DK416">
        <f>IF(DD416=1,DK$7,0)</f>
        <v>0</v>
      </c>
      <c r="DL416">
        <f>IF(DE416=1,DL$7,0)</f>
        <v>0</v>
      </c>
      <c r="DM416">
        <f>IF(DF416=1,DM$7,0)</f>
        <v>0</v>
      </c>
      <c r="DN416" t="str">
        <f>IF(DG416=1,DN$7,0)</f>
        <v>Timber</v>
      </c>
      <c r="DO416"/>
      <c r="DP416">
        <v>1</v>
      </c>
      <c r="DQ416"/>
      <c r="DR416"/>
      <c r="DS416" s="184" t="s">
        <v>2061</v>
      </c>
      <c r="DT416"/>
      <c r="DU416" s="143" t="str">
        <f>IF(DO416=1,"self-calculated DF",IF(DP416=1,"external DF used","explicit C balance"))</f>
        <v>external DF used</v>
      </c>
      <c r="DV416">
        <v>1</v>
      </c>
      <c r="DW416">
        <v>1</v>
      </c>
      <c r="DX416">
        <v>1</v>
      </c>
      <c r="DY416">
        <v>1</v>
      </c>
      <c r="DZ416">
        <v>1</v>
      </c>
      <c r="EA416">
        <v>1</v>
      </c>
      <c r="EB416">
        <v>0</v>
      </c>
      <c r="EC416">
        <v>0</v>
      </c>
      <c r="ED416">
        <v>0</v>
      </c>
      <c r="EE416">
        <v>0</v>
      </c>
      <c r="EF416">
        <v>1</v>
      </c>
      <c r="EG416">
        <v>0</v>
      </c>
      <c r="EH416">
        <v>1</v>
      </c>
      <c r="EI416" s="2">
        <v>0</v>
      </c>
      <c r="EJ416" s="1"/>
      <c r="EK416" t="str">
        <f>IF(AND(AND(AND(OR($DX416=1,$DW416=1),OR($EC416=1,$EA416=1)),SUM($DV416:$DZ416,$EF416)&gt;=4),SUM($EA416:$EE416)&gt;=2),"Whole sector","")</f>
        <v/>
      </c>
      <c r="EL416" t="str">
        <f>IF(AND(AND(OR($DX416=1,$DW416=1),AND($EC416=0,$EA416=0)),SUM($DV416:$DZ416,$EF416)&gt;=4),"Ecosystem approach","")</f>
        <v/>
      </c>
      <c r="EM416" s="2" t="str">
        <f>IF(AND(AND(AND($DX416=0,$DW416=0),OR($EC416=1,$EA416=1)),SUM($EB416:$EE416)&gt;=2),"Technology approach","")</f>
        <v/>
      </c>
      <c r="EN416"/>
      <c r="EO416"/>
      <c r="EP416" t="str">
        <f>IF(ISNUMBER(BU416),IF(ABS(BU416-[1]QC_indicators!$B$2)&gt;3*[1]QC_indicators!$C$2,"C ratio",IF(ISNUMBER(BY416),IF(ABS(BY416-[1]QC_indicators!$B$1)&gt;3*[1]QC_indicators!$C$1,"DF","no"))),IF(ISNUMBER(BY416),IF(ABS(BY416-[1]QC_indicators!$B$1)&gt;3*[1]QC_indicators!$C$1,"DF","no")))</f>
        <v>no</v>
      </c>
      <c r="EQ416"/>
      <c r="ER416"/>
      <c r="ES416"/>
      <c r="ET416" s="264" t="s">
        <v>3273</v>
      </c>
      <c r="EU416"/>
    </row>
    <row r="417" spans="1:151" s="139" customFormat="1" ht="15" customHeight="1">
      <c r="A417" s="256" t="s">
        <v>214</v>
      </c>
      <c r="B417" s="257" t="s">
        <v>215</v>
      </c>
      <c r="C417" s="257" t="s">
        <v>216</v>
      </c>
      <c r="D417" s="257" t="s">
        <v>217</v>
      </c>
      <c r="E417" s="257" t="s">
        <v>218</v>
      </c>
      <c r="F417" s="257" t="s">
        <v>219</v>
      </c>
      <c r="G417" s="257" t="s">
        <v>220</v>
      </c>
      <c r="H417" s="257"/>
      <c r="I417" s="257">
        <v>2012</v>
      </c>
      <c r="J417" s="257"/>
      <c r="K417" s="257" t="s">
        <v>221</v>
      </c>
      <c r="L417" s="257"/>
      <c r="M417" s="257" t="s">
        <v>3070</v>
      </c>
      <c r="N417" s="257" t="s">
        <v>222</v>
      </c>
      <c r="O417" s="275" t="s">
        <v>223</v>
      </c>
      <c r="P417" s="257"/>
      <c r="Q417" s="257" t="s">
        <v>224</v>
      </c>
      <c r="R417" s="258" t="s">
        <v>225</v>
      </c>
      <c r="S417" s="256" t="s">
        <v>240</v>
      </c>
      <c r="T417" s="257">
        <v>2000</v>
      </c>
      <c r="U417" s="257">
        <v>4000</v>
      </c>
      <c r="V417" s="257">
        <v>0</v>
      </c>
      <c r="W417" s="257">
        <v>0</v>
      </c>
      <c r="X417" s="257">
        <v>0</v>
      </c>
      <c r="Y417" s="257">
        <v>0</v>
      </c>
      <c r="Z417" s="257">
        <v>0</v>
      </c>
      <c r="AA417" s="257">
        <v>1</v>
      </c>
      <c r="AB417" s="257">
        <v>0</v>
      </c>
      <c r="AC417" s="257">
        <v>0</v>
      </c>
      <c r="AD417" s="257">
        <v>0</v>
      </c>
      <c r="AE417" s="257">
        <v>0</v>
      </c>
      <c r="AF417" s="257">
        <v>0</v>
      </c>
      <c r="AG417" s="257">
        <v>0</v>
      </c>
      <c r="AH417" s="257">
        <v>0</v>
      </c>
      <c r="AI417" s="257">
        <v>0</v>
      </c>
      <c r="AJ417" s="257">
        <v>0</v>
      </c>
      <c r="AK417" s="257">
        <v>0</v>
      </c>
      <c r="AL417" s="257">
        <v>0</v>
      </c>
      <c r="AM417" s="257">
        <v>0</v>
      </c>
      <c r="AN417" s="257">
        <v>0</v>
      </c>
      <c r="AO417" s="257">
        <v>0</v>
      </c>
      <c r="AP417" s="257">
        <v>0</v>
      </c>
      <c r="AQ417" s="257">
        <v>0</v>
      </c>
      <c r="AR417" s="257">
        <v>0</v>
      </c>
      <c r="AS417" s="257">
        <v>0</v>
      </c>
      <c r="AT417" s="257">
        <v>0</v>
      </c>
      <c r="AU417" s="257">
        <v>0</v>
      </c>
      <c r="AV417" s="257">
        <v>0</v>
      </c>
      <c r="AW417" s="257">
        <v>0</v>
      </c>
      <c r="AX417" s="277">
        <v>1</v>
      </c>
      <c r="AY417" s="277">
        <v>1</v>
      </c>
      <c r="AZ417" s="257">
        <v>1</v>
      </c>
      <c r="BA417" s="257">
        <v>0</v>
      </c>
      <c r="BB417" s="257">
        <v>0</v>
      </c>
      <c r="BC417" s="257">
        <v>0</v>
      </c>
      <c r="BD417" s="257">
        <v>0</v>
      </c>
      <c r="BE417" s="257" t="s">
        <v>93</v>
      </c>
      <c r="BF417" s="2" t="str" cm="1">
        <f t="array" ref="BF417">IF(COUNTIF(AZ417:BB417,"&lt;&gt;0")=1,INDEX($V$4:$AW$4,MATCH(TRUE,INDEX($V417:$AW417&lt;&gt;0,),0)),IF(COUNTIF(AZ417:BB417,"&lt;&gt;0")=0,INDEX($AM$4:$AW$4,MATCH(1,$AM417:$AW417,0)),"Multiple strategies"))</f>
        <v>Silviculture for productivity</v>
      </c>
      <c r="BG417" s="278" t="s">
        <v>229</v>
      </c>
      <c r="BH417" s="257" t="s">
        <v>230</v>
      </c>
      <c r="BI417" s="279" t="s">
        <v>3071</v>
      </c>
      <c r="BJ417" s="276" t="s">
        <v>231</v>
      </c>
      <c r="BK417" s="257">
        <v>48.643391100000002</v>
      </c>
      <c r="BL417" s="257">
        <v>53.696488080000002</v>
      </c>
      <c r="BM417" s="276">
        <v>1.1038804422498414</v>
      </c>
      <c r="BN417" s="257">
        <v>5.0530969799999994</v>
      </c>
      <c r="BO417" s="276">
        <v>10.312442816326529</v>
      </c>
      <c r="BP417" s="276" t="s">
        <v>232</v>
      </c>
      <c r="BQ417" s="279" t="s">
        <v>3071</v>
      </c>
      <c r="BR417" s="276" t="s">
        <v>233</v>
      </c>
      <c r="BS417" s="257">
        <v>-9.3488297330000005</v>
      </c>
      <c r="BT417" s="257">
        <v>-9.4136546180000007</v>
      </c>
      <c r="BU417" s="259">
        <v>1.0069340106570963</v>
      </c>
      <c r="BV417" s="257">
        <v>-6.4824885000000165E-2</v>
      </c>
      <c r="BW417" s="257"/>
      <c r="BX417" s="257">
        <v>-6.4824885000000165E-5</v>
      </c>
      <c r="BY417" s="257">
        <v>-6.2860843114077907E-6</v>
      </c>
      <c r="BZ417" s="257">
        <v>0</v>
      </c>
      <c r="CA417" s="257">
        <v>0</v>
      </c>
      <c r="CB417" s="257">
        <v>0</v>
      </c>
      <c r="CC417" s="257">
        <v>0</v>
      </c>
      <c r="CD417" s="257">
        <v>0</v>
      </c>
      <c r="CE417" s="257">
        <v>0</v>
      </c>
      <c r="CF417" s="257">
        <v>0</v>
      </c>
      <c r="CG417" s="257">
        <v>0</v>
      </c>
      <c r="CH417" s="257">
        <v>0</v>
      </c>
      <c r="CI417" s="257">
        <v>0</v>
      </c>
      <c r="CJ417" s="257">
        <v>0</v>
      </c>
      <c r="CK417" s="257">
        <v>0</v>
      </c>
      <c r="CL417" s="257">
        <v>0</v>
      </c>
      <c r="CM417" s="257">
        <v>0</v>
      </c>
      <c r="CN417" s="257" t="s">
        <v>3072</v>
      </c>
      <c r="CO417" s="257">
        <v>48.643391100000002</v>
      </c>
      <c r="CP417" s="257">
        <v>53.696488080000002</v>
      </c>
      <c r="CQ417" s="257">
        <v>10.312442816326529</v>
      </c>
      <c r="CR417" s="257">
        <v>-9.3488297330000005</v>
      </c>
      <c r="CS417" s="257">
        <v>-9.4136546180000007</v>
      </c>
      <c r="CT417" s="257">
        <v>-6.4824885000000165E-5</v>
      </c>
      <c r="CU417" s="257">
        <v>-6.2860843114077907E-6</v>
      </c>
      <c r="CV417" s="258">
        <v>-6.9340106570962359E-3</v>
      </c>
      <c r="CW417" s="256" t="s">
        <v>234</v>
      </c>
      <c r="CX417" s="257" t="s">
        <v>3073</v>
      </c>
      <c r="CY417" s="257" t="s">
        <v>235</v>
      </c>
      <c r="CZ417" s="257"/>
      <c r="DA417" s="276"/>
      <c r="DB417" s="276">
        <v>80</v>
      </c>
      <c r="DC417" s="257" t="s">
        <v>3074</v>
      </c>
      <c r="DD417" s="257">
        <v>0</v>
      </c>
      <c r="DE417" s="257">
        <v>1</v>
      </c>
      <c r="DF417" s="257">
        <v>0</v>
      </c>
      <c r="DG417" s="257">
        <v>0</v>
      </c>
      <c r="DH417" s="257"/>
      <c r="DI417" s="257">
        <v>1</v>
      </c>
      <c r="DJ417" s="257" t="s">
        <v>173</v>
      </c>
      <c r="DK417" s="257">
        <v>0</v>
      </c>
      <c r="DL417" s="257" t="s">
        <v>180</v>
      </c>
      <c r="DM417" s="257">
        <v>0</v>
      </c>
      <c r="DN417" s="257">
        <v>0</v>
      </c>
      <c r="DO417" s="257">
        <v>0</v>
      </c>
      <c r="DP417" s="276">
        <v>0</v>
      </c>
      <c r="DQ417" s="276">
        <v>0</v>
      </c>
      <c r="DR417" s="276">
        <v>0</v>
      </c>
      <c r="DS417" s="276">
        <v>0</v>
      </c>
      <c r="DT417" s="257">
        <v>0</v>
      </c>
      <c r="DU417" s="276" t="s">
        <v>962</v>
      </c>
      <c r="DV417" s="276">
        <v>1</v>
      </c>
      <c r="DW417" s="276">
        <v>1</v>
      </c>
      <c r="DX417" s="276">
        <v>1</v>
      </c>
      <c r="DY417" s="276">
        <v>0</v>
      </c>
      <c r="DZ417" s="257">
        <v>0</v>
      </c>
      <c r="EA417" s="276">
        <v>0</v>
      </c>
      <c r="EB417" s="276">
        <v>1</v>
      </c>
      <c r="EC417" s="276">
        <v>1</v>
      </c>
      <c r="ED417" s="276">
        <v>0</v>
      </c>
      <c r="EE417" s="276">
        <v>0</v>
      </c>
      <c r="EF417" s="257">
        <v>1</v>
      </c>
      <c r="EG417" s="276">
        <v>0</v>
      </c>
      <c r="EH417" s="257">
        <v>0</v>
      </c>
      <c r="EI417" s="258">
        <v>0</v>
      </c>
      <c r="EJ417" s="256"/>
      <c r="EK417" t="str">
        <f>IF(AND(AND(AND(OR($DX417=1,$DW417=1),OR($EC417=1,$EA417=1)),SUM($DV417:$DZ417,$EF417)&gt;=4),SUM($EA417:$EE417)&gt;=2),"Whole sector","")</f>
        <v>Whole sector</v>
      </c>
      <c r="EL417" t="str">
        <f>IF(AND(AND(OR($DX417=1,$DW417=1),AND($EC417=0,$EA417=0)),SUM($DV417:$DZ417,$EF417)&gt;=4),"Ecosystem approach","")</f>
        <v/>
      </c>
      <c r="EM417" s="258" t="s">
        <v>544</v>
      </c>
      <c r="EN417" s="257" t="s">
        <v>236</v>
      </c>
      <c r="EO417" s="257"/>
      <c r="EP417" t="str">
        <f>IF(ISNUMBER(BU417),IF(ABS(BU417-[2]QC_indicators!$B$2)&gt;3*[2]QC_indicators!$C$2,"C ratio",IF(ISNUMBER(BY417),IF(ABS(BY417-[2]QC_indicators!$B$1)&gt;3*[2]QC_indicators!$C$1,"DF","no"))),IF(ISNUMBER(BY417),IF(ABS(BY417-[2]QC_indicators!$B$1)&gt;3*[2]QC_indicators!$C$1,"DF","no")))</f>
        <v>no</v>
      </c>
      <c r="EQ417" s="280"/>
      <c r="ER417" s="280"/>
      <c r="ES417" s="280"/>
      <c r="ET417"/>
      <c r="EU417"/>
    </row>
    <row r="418" spans="1:151" s="139" customFormat="1" ht="15" customHeight="1">
      <c r="A418" s="1"/>
      <c r="B418"/>
      <c r="C418"/>
      <c r="D418" t="s">
        <v>2052</v>
      </c>
      <c r="E418" t="s">
        <v>2053</v>
      </c>
      <c r="F418"/>
      <c r="G418" t="s">
        <v>2054</v>
      </c>
      <c r="H418"/>
      <c r="I418">
        <v>2018</v>
      </c>
      <c r="J418"/>
      <c r="K418" s="150" t="s">
        <v>2055</v>
      </c>
      <c r="L418"/>
      <c r="M418" t="str">
        <f>LEFT($D418,FIND(",",$D418)-1)&amp;"_"&amp;I418&amp;L418</f>
        <v>Olguin_2018</v>
      </c>
      <c r="N418" t="s">
        <v>222</v>
      </c>
      <c r="O418" s="157" t="s">
        <v>274</v>
      </c>
      <c r="P418" t="s">
        <v>513</v>
      </c>
      <c r="Q418" t="s">
        <v>389</v>
      </c>
      <c r="R418" s="262" t="s">
        <v>223</v>
      </c>
      <c r="S418" s="263" t="s">
        <v>3201</v>
      </c>
      <c r="T418" t="s">
        <v>2056</v>
      </c>
      <c r="U418" t="s">
        <v>2062</v>
      </c>
      <c r="V418">
        <v>0</v>
      </c>
      <c r="W418">
        <v>0</v>
      </c>
      <c r="X418">
        <v>0</v>
      </c>
      <c r="Y418">
        <v>0</v>
      </c>
      <c r="Z418">
        <v>0</v>
      </c>
      <c r="AA418">
        <v>0</v>
      </c>
      <c r="AB418">
        <v>0</v>
      </c>
      <c r="AC418">
        <v>1</v>
      </c>
      <c r="AD418">
        <v>0</v>
      </c>
      <c r="AE418">
        <v>0</v>
      </c>
      <c r="AF418">
        <v>1</v>
      </c>
      <c r="AG418">
        <v>0</v>
      </c>
      <c r="AH418">
        <v>0</v>
      </c>
      <c r="AI418">
        <v>0</v>
      </c>
      <c r="AJ418">
        <v>0</v>
      </c>
      <c r="AK418">
        <v>0</v>
      </c>
      <c r="AL418">
        <v>0</v>
      </c>
      <c r="AM418">
        <v>0</v>
      </c>
      <c r="AN418">
        <v>0</v>
      </c>
      <c r="AO418">
        <v>0</v>
      </c>
      <c r="AP418">
        <v>0</v>
      </c>
      <c r="AQ418">
        <v>0</v>
      </c>
      <c r="AR418">
        <v>0</v>
      </c>
      <c r="AS418">
        <v>0</v>
      </c>
      <c r="AT418">
        <v>0</v>
      </c>
      <c r="AU418">
        <v>0</v>
      </c>
      <c r="AV418">
        <v>0</v>
      </c>
      <c r="AW418">
        <v>0</v>
      </c>
      <c r="AX418" s="141">
        <f>COUNTIF(V418:AW418,"&lt;&gt;0")</f>
        <v>2</v>
      </c>
      <c r="AY418" s="141">
        <f>COUNTIF(V418:AL418,"&lt;&gt;0")</f>
        <v>2</v>
      </c>
      <c r="AZ418">
        <f>COUNTIF(V418:AC418,"&lt;&gt;0")</f>
        <v>1</v>
      </c>
      <c r="BA418">
        <f>COUNTIF(AD418:AI418,"&lt;&gt;0")</f>
        <v>1</v>
      </c>
      <c r="BB418">
        <f>COUNTIF(AJ418:AL418,"&lt;&gt;0")</f>
        <v>0</v>
      </c>
      <c r="BC418">
        <f>COUNTIF(AS418:AW418,"&lt;&gt;0")</f>
        <v>0</v>
      </c>
      <c r="BD418">
        <f>COUNTIF(AM418:AR418,"&lt;&gt;0")</f>
        <v>0</v>
      </c>
      <c r="BE418" t="str">
        <f t="array" ref="BE418">IF(AY418=1,INDEX($V$7:$AL$7,MATCH(TRUE,INDEX($V418:$AW418&lt;&gt;0,),0)),IF(AY418=0,INDEX($AM$7:$AW$7,MATCH(1,$AM418:$AW418,0)),IF(BF418="Multiple strategies","mixed drivers",IF(BF418="Supply chain","multiple supply","multiple silviculture"))))</f>
        <v>mixed drivers</v>
      </c>
      <c r="BF418" s="2" t="str" cm="1">
        <f t="array" ref="BF418">IF(COUNTIF(AZ418:BB418,"&lt;&gt;0")=1,INDEX($V$4:$AW$4,MATCH(TRUE,INDEX($V418:$AW418&lt;&gt;0,),0)),IF(COUNTIF(AZ418:BB418,"&lt;&gt;0")=0,INDEX($AM$4:$AW$4,MATCH(1,$AM418:$AW418,0)),"Multiple strategies"))</f>
        <v>Multiple strategies</v>
      </c>
      <c r="BG418" s="1" t="s">
        <v>321</v>
      </c>
      <c r="BH418"/>
      <c r="BI418" s="264" t="s">
        <v>1036</v>
      </c>
      <c r="BJ418" t="s">
        <v>2058</v>
      </c>
      <c r="BK418">
        <v>0</v>
      </c>
      <c r="BL418">
        <v>6788</v>
      </c>
      <c r="BM418" t="str">
        <f>IFERROR(BL418/BK418,"")</f>
        <v/>
      </c>
      <c r="BN418">
        <f>BL418-BK418</f>
        <v>6788</v>
      </c>
      <c r="BO418">
        <f>BN418*tC_to_m3</f>
        <v>29474.598349978292</v>
      </c>
      <c r="BP418" t="s">
        <v>232</v>
      </c>
      <c r="BQ418" t="s">
        <v>424</v>
      </c>
      <c r="BR418" t="s">
        <v>2063</v>
      </c>
      <c r="BS418"/>
      <c r="BT418"/>
      <c r="BU418" s="144"/>
      <c r="BV418">
        <v>-0.18</v>
      </c>
      <c r="BW418"/>
      <c r="BX418">
        <f>BV418</f>
        <v>-0.18</v>
      </c>
      <c r="BY418">
        <f>IFERROR(BX418/BO418,"")</f>
        <v>-6.1069534472598692E-6</v>
      </c>
      <c r="BZ418">
        <v>0</v>
      </c>
      <c r="CA418">
        <v>0</v>
      </c>
      <c r="CB418">
        <v>0</v>
      </c>
      <c r="CC418">
        <v>0</v>
      </c>
      <c r="CD418">
        <v>0</v>
      </c>
      <c r="CE418">
        <v>0</v>
      </c>
      <c r="CF418">
        <v>0</v>
      </c>
      <c r="CG418">
        <v>0</v>
      </c>
      <c r="CH418">
        <v>0</v>
      </c>
      <c r="CI418">
        <v>0</v>
      </c>
      <c r="CJ418">
        <v>0</v>
      </c>
      <c r="CK418">
        <v>0</v>
      </c>
      <c r="CL418">
        <v>0</v>
      </c>
      <c r="CM418">
        <v>0</v>
      </c>
      <c r="CN418" t="str">
        <f>IF($BL418&lt;$BK418,"refNeedCorrection","refOK")</f>
        <v>refOK</v>
      </c>
      <c r="CO418">
        <f>IF($CN418="refOK",$BK418,$BL418)</f>
        <v>0</v>
      </c>
      <c r="CP418">
        <f>IF($CN418="refOK",$BL418,$BK418)</f>
        <v>6788</v>
      </c>
      <c r="CQ418">
        <f>IF($CN418="refOK",$BO418,-$BO418)</f>
        <v>29474.598349978292</v>
      </c>
      <c r="CR418">
        <f>IF($CN418="refOK",$BS418,$BT418)*IF($BP418="Emissions positive",-1,1)</f>
        <v>0</v>
      </c>
      <c r="CS418">
        <f>IF($CN418="refOK",$BT418,$BS418)*IF($BP418="Emissions positive",-1,1)</f>
        <v>0</v>
      </c>
      <c r="CT418">
        <f>IF($CN418="refNeedCorrection",-BX418,BX418)*IF($BP418="Emissions positive",-1,1)</f>
        <v>-0.18</v>
      </c>
      <c r="CU418">
        <f>IFERROR(CT418/CQ418,"")</f>
        <v>-6.1069534472598692E-6</v>
      </c>
      <c r="CV418" s="2" t="str">
        <f>IFERROR((CS418-CR418)/ABS(CR418),"")</f>
        <v/>
      </c>
      <c r="CW418" s="1" t="s">
        <v>2036</v>
      </c>
      <c r="CX418" t="str">
        <f>IF(OR($CW418="prd",$CW418="std",$CW418="cit"),"loc",IF(OR($CW418="eur",$CW418="reg",$CW418="coy"),"reg",$CW418))</f>
        <v>reg</v>
      </c>
      <c r="CY418" t="s">
        <v>2060</v>
      </c>
      <c r="CZ418">
        <v>2021</v>
      </c>
      <c r="DA418">
        <v>2040</v>
      </c>
      <c r="DB418">
        <f>DA418-CZ418</f>
        <v>19</v>
      </c>
      <c r="DC418" t="str">
        <f>IF(DB418=0,"0",IF(AND(DB418&gt;=1,DB418&lt;=30),"1-30",IF(AND(DB418&gt;30,DB418&lt;=70),"31-70",IF(AND(DB418&gt;70,DB418&lt;=100),"71-100",IF(DB418&gt;100,"+100")))))</f>
        <v>1-30</v>
      </c>
      <c r="DD418">
        <v>0</v>
      </c>
      <c r="DE418">
        <v>0</v>
      </c>
      <c r="DF418">
        <v>0</v>
      </c>
      <c r="DG418">
        <v>1</v>
      </c>
      <c r="DH418">
        <v>0</v>
      </c>
      <c r="DI418">
        <f>SUM(DD418:DG418)</f>
        <v>1</v>
      </c>
      <c r="DJ418" t="str">
        <f>IF(DI418=1,INDEX($DD$7:$DG$7,MATCH(1,$DD418:$DG418,0)),"mixedProduct")</f>
        <v>TimberInput</v>
      </c>
      <c r="DK418">
        <f>IF(DD418=1,DK$7,0)</f>
        <v>0</v>
      </c>
      <c r="DL418">
        <f>IF(DE418=1,DL$7,0)</f>
        <v>0</v>
      </c>
      <c r="DM418">
        <f>IF(DF418=1,DM$7,0)</f>
        <v>0</v>
      </c>
      <c r="DN418" t="str">
        <f>IF(DG418=1,DN$7,0)</f>
        <v>Timber</v>
      </c>
      <c r="DO418"/>
      <c r="DP418">
        <v>1</v>
      </c>
      <c r="DQ418"/>
      <c r="DR418"/>
      <c r="DS418" s="184" t="s">
        <v>2061</v>
      </c>
      <c r="DT418"/>
      <c r="DU418" s="143" t="str">
        <f>IF(DO418=1,"self-calculated DF",IF(DP418=1,"external DF used","explicit C balance"))</f>
        <v>external DF used</v>
      </c>
      <c r="DV418">
        <v>1</v>
      </c>
      <c r="DW418">
        <v>1</v>
      </c>
      <c r="DX418">
        <v>1</v>
      </c>
      <c r="DY418">
        <v>1</v>
      </c>
      <c r="DZ418">
        <v>1</v>
      </c>
      <c r="EA418">
        <v>1</v>
      </c>
      <c r="EB418">
        <v>0</v>
      </c>
      <c r="EC418">
        <v>0</v>
      </c>
      <c r="ED418">
        <v>0</v>
      </c>
      <c r="EE418">
        <v>0</v>
      </c>
      <c r="EF418">
        <v>1</v>
      </c>
      <c r="EG418">
        <v>0</v>
      </c>
      <c r="EH418">
        <v>1</v>
      </c>
      <c r="EI418" s="2">
        <v>0</v>
      </c>
      <c r="EJ418" s="1"/>
      <c r="EK418" t="str">
        <f>IF(AND(AND(AND(OR($DX418=1,$DW418=1),OR($EC418=1,$EA418=1)),SUM($DV418:$DZ418,$EF418)&gt;=4),SUM($EA418:$EE418)&gt;=2),"Whole sector","")</f>
        <v/>
      </c>
      <c r="EL418" t="str">
        <f>IF(AND(AND(OR($DX418=1,$DW418=1),AND($EC418=0,$EA418=0)),SUM($DV418:$DZ418,$EF418)&gt;=4),"Ecosystem approach","")</f>
        <v/>
      </c>
      <c r="EM418" s="2" t="str">
        <f>IF(AND(AND(AND($DX418=0,$DW418=0),OR($EC418=1,$EA418=1)),SUM($EB418:$EE418)&gt;=2),"Technology approach","")</f>
        <v/>
      </c>
      <c r="EN418"/>
      <c r="EO418"/>
      <c r="EP418" t="str">
        <f>IF(ISNUMBER(BU418),IF(ABS(BU418-[1]QC_indicators!$B$2)&gt;3*[1]QC_indicators!$C$2,"C ratio",IF(ISNUMBER(BY418),IF(ABS(BY418-[1]QC_indicators!$B$1)&gt;3*[1]QC_indicators!$C$1,"DF","no"))),IF(ISNUMBER(BY418),IF(ABS(BY418-[1]QC_indicators!$B$1)&gt;3*[1]QC_indicators!$C$1,"DF","no")))</f>
        <v>no</v>
      </c>
      <c r="EQ418"/>
      <c r="ER418"/>
      <c r="ES418"/>
      <c r="ET418" s="264" t="s">
        <v>3273</v>
      </c>
      <c r="EU418"/>
    </row>
    <row r="419" spans="1:151" s="139" customFormat="1" ht="15" customHeight="1">
      <c r="A419" s="1"/>
      <c r="B419"/>
      <c r="C419"/>
      <c r="D419" t="s">
        <v>2052</v>
      </c>
      <c r="E419" t="s">
        <v>2053</v>
      </c>
      <c r="F419"/>
      <c r="G419" t="s">
        <v>2054</v>
      </c>
      <c r="H419"/>
      <c r="I419">
        <v>2018</v>
      </c>
      <c r="J419"/>
      <c r="K419" s="150" t="s">
        <v>2055</v>
      </c>
      <c r="L419"/>
      <c r="M419" t="str">
        <f>LEFT($D419,FIND(",",$D419)-1)&amp;"_"&amp;I419&amp;L419</f>
        <v>Olguin_2018</v>
      </c>
      <c r="N419" t="s">
        <v>222</v>
      </c>
      <c r="O419" s="157" t="s">
        <v>274</v>
      </c>
      <c r="P419" t="s">
        <v>513</v>
      </c>
      <c r="Q419" t="s">
        <v>389</v>
      </c>
      <c r="R419" s="262" t="s">
        <v>223</v>
      </c>
      <c r="S419" s="263" t="s">
        <v>3211</v>
      </c>
      <c r="T419" t="s">
        <v>2056</v>
      </c>
      <c r="U419" t="s">
        <v>2057</v>
      </c>
      <c r="V419">
        <v>0</v>
      </c>
      <c r="W419">
        <v>0</v>
      </c>
      <c r="X419">
        <v>0</v>
      </c>
      <c r="Y419">
        <v>0</v>
      </c>
      <c r="Z419">
        <v>0</v>
      </c>
      <c r="AA419">
        <v>0</v>
      </c>
      <c r="AB419">
        <v>0</v>
      </c>
      <c r="AC419">
        <v>1</v>
      </c>
      <c r="AD419">
        <v>0</v>
      </c>
      <c r="AE419">
        <v>0</v>
      </c>
      <c r="AF419">
        <v>1</v>
      </c>
      <c r="AG419">
        <v>0</v>
      </c>
      <c r="AH419">
        <v>0</v>
      </c>
      <c r="AI419">
        <v>0</v>
      </c>
      <c r="AJ419">
        <v>0</v>
      </c>
      <c r="AK419">
        <v>0</v>
      </c>
      <c r="AL419">
        <v>0</v>
      </c>
      <c r="AM419">
        <v>0</v>
      </c>
      <c r="AN419">
        <v>0</v>
      </c>
      <c r="AO419">
        <v>0</v>
      </c>
      <c r="AP419">
        <v>0</v>
      </c>
      <c r="AQ419">
        <v>0</v>
      </c>
      <c r="AR419">
        <v>0</v>
      </c>
      <c r="AS419">
        <v>0</v>
      </c>
      <c r="AT419">
        <v>0</v>
      </c>
      <c r="AU419">
        <v>0</v>
      </c>
      <c r="AV419">
        <v>0</v>
      </c>
      <c r="AW419">
        <v>0</v>
      </c>
      <c r="AX419" s="141">
        <f>COUNTIF(V419:AW419,"&lt;&gt;0")</f>
        <v>2</v>
      </c>
      <c r="AY419" s="141">
        <f>COUNTIF(V419:AL419,"&lt;&gt;0")</f>
        <v>2</v>
      </c>
      <c r="AZ419">
        <f>COUNTIF(V419:AC419,"&lt;&gt;0")</f>
        <v>1</v>
      </c>
      <c r="BA419">
        <f>COUNTIF(AD419:AI419,"&lt;&gt;0")</f>
        <v>1</v>
      </c>
      <c r="BB419">
        <f>COUNTIF(AJ419:AL419,"&lt;&gt;0")</f>
        <v>0</v>
      </c>
      <c r="BC419">
        <f>COUNTIF(AS419:AW419,"&lt;&gt;0")</f>
        <v>0</v>
      </c>
      <c r="BD419">
        <f>COUNTIF(AM419:AR419,"&lt;&gt;0")</f>
        <v>0</v>
      </c>
      <c r="BE419" t="str">
        <f t="array" ref="BE419">IF(AY419=1,INDEX($V$7:$AL$7,MATCH(TRUE,INDEX($V419:$AW419&lt;&gt;0,),0)),IF(AY419=0,INDEX($AM$7:$AW$7,MATCH(1,$AM419:$AW419,0)),IF(BF419="Multiple strategies","mixed drivers",IF(BF419="Supply chain","multiple supply","multiple silviculture"))))</f>
        <v>mixed drivers</v>
      </c>
      <c r="BF419" s="2" t="str" cm="1">
        <f t="array" ref="BF419">IF(COUNTIF(AZ419:BB419,"&lt;&gt;0")=1,INDEX($V$4:$AW$4,MATCH(TRUE,INDEX($V419:$AW419&lt;&gt;0,),0)),IF(COUNTIF(AZ419:BB419,"&lt;&gt;0")=0,INDEX($AM$4:$AW$4,MATCH(1,$AM419:$AW419,0)),"Multiple strategies"))</f>
        <v>Multiple strategies</v>
      </c>
      <c r="BG419" s="1" t="s">
        <v>321</v>
      </c>
      <c r="BH419"/>
      <c r="BI419" s="264" t="s">
        <v>1036</v>
      </c>
      <c r="BJ419" t="s">
        <v>2058</v>
      </c>
      <c r="BK419">
        <v>0</v>
      </c>
      <c r="BL419">
        <v>6788</v>
      </c>
      <c r="BM419" t="str">
        <f>IFERROR(BL419/BK419,"")</f>
        <v/>
      </c>
      <c r="BN419">
        <f>BL419-BK419</f>
        <v>6788</v>
      </c>
      <c r="BO419">
        <f>BN419*tC_to_m3</f>
        <v>29474.598349978292</v>
      </c>
      <c r="BP419" t="s">
        <v>232</v>
      </c>
      <c r="BQ419" t="s">
        <v>424</v>
      </c>
      <c r="BR419" t="s">
        <v>2063</v>
      </c>
      <c r="BS419"/>
      <c r="BT419"/>
      <c r="BU419" s="144"/>
      <c r="BV419">
        <v>-0.18</v>
      </c>
      <c r="BW419"/>
      <c r="BX419">
        <f>BV419</f>
        <v>-0.18</v>
      </c>
      <c r="BY419">
        <f>IFERROR(BX419/BO419,"")</f>
        <v>-6.1069534472598692E-6</v>
      </c>
      <c r="BZ419">
        <v>0</v>
      </c>
      <c r="CA419">
        <v>0</v>
      </c>
      <c r="CB419">
        <v>0</v>
      </c>
      <c r="CC419">
        <v>0</v>
      </c>
      <c r="CD419">
        <v>0</v>
      </c>
      <c r="CE419">
        <v>0</v>
      </c>
      <c r="CF419">
        <v>0</v>
      </c>
      <c r="CG419">
        <v>0</v>
      </c>
      <c r="CH419">
        <v>0</v>
      </c>
      <c r="CI419">
        <v>0</v>
      </c>
      <c r="CJ419">
        <v>0</v>
      </c>
      <c r="CK419">
        <v>0</v>
      </c>
      <c r="CL419">
        <v>0</v>
      </c>
      <c r="CM419">
        <v>0</v>
      </c>
      <c r="CN419" t="str">
        <f>IF($BL419&lt;$BK419,"refNeedCorrection","refOK")</f>
        <v>refOK</v>
      </c>
      <c r="CO419">
        <f>IF($CN419="refOK",$BK419,$BL419)</f>
        <v>0</v>
      </c>
      <c r="CP419">
        <f>IF($CN419="refOK",$BL419,$BK419)</f>
        <v>6788</v>
      </c>
      <c r="CQ419">
        <f>IF($CN419="refOK",$BO419,-$BO419)</f>
        <v>29474.598349978292</v>
      </c>
      <c r="CR419">
        <f>IF($CN419="refOK",$BS419,$BT419)*IF($BP419="Emissions positive",-1,1)</f>
        <v>0</v>
      </c>
      <c r="CS419">
        <f>IF($CN419="refOK",$BT419,$BS419)*IF($BP419="Emissions positive",-1,1)</f>
        <v>0</v>
      </c>
      <c r="CT419">
        <f>IF($CN419="refNeedCorrection",-BX419,BX419)*IF($BP419="Emissions positive",-1,1)</f>
        <v>-0.18</v>
      </c>
      <c r="CU419">
        <f>IFERROR(CT419/CQ419,"")</f>
        <v>-6.1069534472598692E-6</v>
      </c>
      <c r="CV419" s="2" t="str">
        <f>IFERROR((CS419-CR419)/ABS(CR419),"")</f>
        <v/>
      </c>
      <c r="CW419" s="1" t="s">
        <v>2036</v>
      </c>
      <c r="CX419" t="str">
        <f>IF(OR($CW419="prd",$CW419="std",$CW419="cit"),"loc",IF(OR($CW419="eur",$CW419="reg",$CW419="coy"),"reg",$CW419))</f>
        <v>reg</v>
      </c>
      <c r="CY419" t="s">
        <v>2060</v>
      </c>
      <c r="CZ419">
        <v>2021</v>
      </c>
      <c r="DA419">
        <v>2050</v>
      </c>
      <c r="DB419">
        <f>DA419-CZ419</f>
        <v>29</v>
      </c>
      <c r="DC419" t="str">
        <f>IF(DB419=0,"0",IF(AND(DB419&gt;=1,DB419&lt;=30),"1-30",IF(AND(DB419&gt;30,DB419&lt;=70),"31-70",IF(AND(DB419&gt;70,DB419&lt;=100),"71-100",IF(DB419&gt;100,"+100")))))</f>
        <v>1-30</v>
      </c>
      <c r="DD419">
        <v>0</v>
      </c>
      <c r="DE419">
        <v>0</v>
      </c>
      <c r="DF419">
        <v>0</v>
      </c>
      <c r="DG419">
        <v>1</v>
      </c>
      <c r="DH419">
        <v>0</v>
      </c>
      <c r="DI419">
        <f>SUM(DD419:DG419)</f>
        <v>1</v>
      </c>
      <c r="DJ419" t="str">
        <f>IF(DI419=1,INDEX($DD$7:$DG$7,MATCH(1,$DD419:$DG419,0)),"mixedProduct")</f>
        <v>TimberInput</v>
      </c>
      <c r="DK419">
        <f>IF(DD419=1,DK$7,0)</f>
        <v>0</v>
      </c>
      <c r="DL419">
        <f>IF(DE419=1,DL$7,0)</f>
        <v>0</v>
      </c>
      <c r="DM419">
        <f>IF(DF419=1,DM$7,0)</f>
        <v>0</v>
      </c>
      <c r="DN419" t="str">
        <f>IF(DG419=1,DN$7,0)</f>
        <v>Timber</v>
      </c>
      <c r="DO419"/>
      <c r="DP419">
        <v>1</v>
      </c>
      <c r="DQ419"/>
      <c r="DR419"/>
      <c r="DS419" s="184" t="s">
        <v>2061</v>
      </c>
      <c r="DT419"/>
      <c r="DU419" s="143" t="str">
        <f>IF(DO419=1,"self-calculated DF",IF(DP419=1,"external DF used","explicit C balance"))</f>
        <v>external DF used</v>
      </c>
      <c r="DV419">
        <v>1</v>
      </c>
      <c r="DW419">
        <v>1</v>
      </c>
      <c r="DX419">
        <v>1</v>
      </c>
      <c r="DY419">
        <v>1</v>
      </c>
      <c r="DZ419">
        <v>1</v>
      </c>
      <c r="EA419">
        <v>1</v>
      </c>
      <c r="EB419">
        <v>0</v>
      </c>
      <c r="EC419">
        <v>0</v>
      </c>
      <c r="ED419">
        <v>0</v>
      </c>
      <c r="EE419">
        <v>0</v>
      </c>
      <c r="EF419">
        <v>1</v>
      </c>
      <c r="EG419">
        <v>0</v>
      </c>
      <c r="EH419">
        <v>1</v>
      </c>
      <c r="EI419" s="2">
        <v>0</v>
      </c>
      <c r="EJ419" s="1"/>
      <c r="EK419" t="str">
        <f>IF(AND(AND(AND(OR($DX419=1,$DW419=1),OR($EC419=1,$EA419=1)),SUM($DV419:$DZ419,$EF419)&gt;=4),SUM($EA419:$EE419)&gt;=2),"Whole sector","")</f>
        <v/>
      </c>
      <c r="EL419" t="str">
        <f>IF(AND(AND(OR($DX419=1,$DW419=1),AND($EC419=0,$EA419=0)),SUM($DV419:$DZ419,$EF419)&gt;=4),"Ecosystem approach","")</f>
        <v/>
      </c>
      <c r="EM419" s="2" t="str">
        <f>IF(AND(AND(AND($DX419=0,$DW419=0),OR($EC419=1,$EA419=1)),SUM($EB419:$EE419)&gt;=2),"Technology approach","")</f>
        <v/>
      </c>
      <c r="EN419"/>
      <c r="EO419"/>
      <c r="EP419" t="str">
        <f>IF(ISNUMBER(BU419),IF(ABS(BU419-[1]QC_indicators!$B$2)&gt;3*[1]QC_indicators!$C$2,"C ratio",IF(ISNUMBER(BY419),IF(ABS(BY419-[1]QC_indicators!$B$1)&gt;3*[1]QC_indicators!$C$1,"DF","no"))),IF(ISNUMBER(BY419),IF(ABS(BY419-[1]QC_indicators!$B$1)&gt;3*[1]QC_indicators!$C$1,"DF","no")))</f>
        <v>no</v>
      </c>
      <c r="EQ419"/>
      <c r="ER419"/>
      <c r="ES419"/>
      <c r="ET419" s="264" t="s">
        <v>3273</v>
      </c>
      <c r="EU419"/>
    </row>
    <row r="420" spans="1:151" s="139" customFormat="1" ht="15" customHeight="1">
      <c r="A420" s="1"/>
      <c r="B420"/>
      <c r="C420"/>
      <c r="D420" t="s">
        <v>2052</v>
      </c>
      <c r="E420" t="s">
        <v>2053</v>
      </c>
      <c r="F420"/>
      <c r="G420" t="s">
        <v>2054</v>
      </c>
      <c r="H420"/>
      <c r="I420">
        <v>2018</v>
      </c>
      <c r="J420"/>
      <c r="K420" s="150" t="s">
        <v>2055</v>
      </c>
      <c r="L420"/>
      <c r="M420" t="str">
        <f>LEFT($D420,FIND(",",$D420)-1)&amp;"_"&amp;I420&amp;L420</f>
        <v>Olguin_2018</v>
      </c>
      <c r="N420" t="s">
        <v>222</v>
      </c>
      <c r="O420" s="157" t="s">
        <v>274</v>
      </c>
      <c r="P420" t="s">
        <v>513</v>
      </c>
      <c r="Q420" t="s">
        <v>389</v>
      </c>
      <c r="R420" s="262" t="s">
        <v>223</v>
      </c>
      <c r="S420" s="263" t="s">
        <v>3199</v>
      </c>
      <c r="T420" t="s">
        <v>2056</v>
      </c>
      <c r="U420" t="s">
        <v>2064</v>
      </c>
      <c r="V420">
        <v>0</v>
      </c>
      <c r="W420">
        <v>0</v>
      </c>
      <c r="X420">
        <v>0</v>
      </c>
      <c r="Y420">
        <v>0</v>
      </c>
      <c r="Z420">
        <v>0</v>
      </c>
      <c r="AA420">
        <v>0</v>
      </c>
      <c r="AB420">
        <v>0</v>
      </c>
      <c r="AC420">
        <v>1</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s="141">
        <f>COUNTIF(V420:AW420,"&lt;&gt;0")</f>
        <v>1</v>
      </c>
      <c r="AY420" s="141">
        <f>COUNTIF(V420:AL420,"&lt;&gt;0")</f>
        <v>1</v>
      </c>
      <c r="AZ420">
        <f>COUNTIF(V420:AC420,"&lt;&gt;0")</f>
        <v>1</v>
      </c>
      <c r="BA420">
        <f>COUNTIF(AD420:AI420,"&lt;&gt;0")</f>
        <v>0</v>
      </c>
      <c r="BB420">
        <f>COUNTIF(AJ420:AL420,"&lt;&gt;0")</f>
        <v>0</v>
      </c>
      <c r="BC420">
        <f>COUNTIF(AS420:AW420,"&lt;&gt;0")</f>
        <v>0</v>
      </c>
      <c r="BD420">
        <f>COUNTIF(AM420:AR420,"&lt;&gt;0")</f>
        <v>0</v>
      </c>
      <c r="BE420" t="str">
        <f t="array" ref="BE420">IF(AY420=1,INDEX($V$7:$AL$7,MATCH(TRUE,INDEX($V420:$AW420&lt;&gt;0,),0)),IF(AY420=0,INDEX($AM$7:$AW$7,MATCH(1,$AM420:$AW420,0)),IF(BF420="Multiple strategies","mixed drivers",IF(BF420="Supply chain","multiple supply","multiple silviculture"))))</f>
        <v>site fertility</v>
      </c>
      <c r="BF420" s="2" t="str" cm="1">
        <f t="array" ref="BF420">IF(COUNTIF(AZ420:BB420,"&lt;&gt;0")=1,INDEX($V$4:$AW$4,MATCH(TRUE,INDEX($V420:$AW420&lt;&gt;0,),0)),IF(COUNTIF(AZ420:BB420,"&lt;&gt;0")=0,INDEX($AM$4:$AW$4,MATCH(1,$AM420:$AW420,0)),"Multiple strategies"))</f>
        <v>Silviculture for productivity</v>
      </c>
      <c r="BG420" s="1" t="s">
        <v>321</v>
      </c>
      <c r="BH420"/>
      <c r="BI420" s="264" t="s">
        <v>1036</v>
      </c>
      <c r="BJ420" t="s">
        <v>2058</v>
      </c>
      <c r="BK420">
        <v>0</v>
      </c>
      <c r="BL420">
        <v>6788</v>
      </c>
      <c r="BM420" t="str">
        <f>IFERROR(BL420/BK420,"")</f>
        <v/>
      </c>
      <c r="BN420">
        <f>BL420-BK420</f>
        <v>6788</v>
      </c>
      <c r="BO420">
        <f>BN420*tC_to_m3</f>
        <v>29474.598349978292</v>
      </c>
      <c r="BP420" t="s">
        <v>232</v>
      </c>
      <c r="BQ420" t="s">
        <v>424</v>
      </c>
      <c r="BR420" t="s">
        <v>2063</v>
      </c>
      <c r="BS420"/>
      <c r="BT420"/>
      <c r="BU420" s="144"/>
      <c r="BV420">
        <v>-0.17</v>
      </c>
      <c r="BW420"/>
      <c r="BX420">
        <f>BV420</f>
        <v>-0.17</v>
      </c>
      <c r="BY420">
        <f>IFERROR(BX420/BO420,"")</f>
        <v>-5.7676782557454333E-6</v>
      </c>
      <c r="BZ420">
        <v>0</v>
      </c>
      <c r="CA420">
        <v>0</v>
      </c>
      <c r="CB420">
        <v>0</v>
      </c>
      <c r="CC420">
        <v>0</v>
      </c>
      <c r="CD420">
        <v>0</v>
      </c>
      <c r="CE420">
        <v>0</v>
      </c>
      <c r="CF420">
        <v>0</v>
      </c>
      <c r="CG420">
        <v>0</v>
      </c>
      <c r="CH420">
        <v>0</v>
      </c>
      <c r="CI420">
        <v>0</v>
      </c>
      <c r="CJ420">
        <v>0</v>
      </c>
      <c r="CK420">
        <v>0</v>
      </c>
      <c r="CL420">
        <v>0</v>
      </c>
      <c r="CM420">
        <v>0</v>
      </c>
      <c r="CN420" t="str">
        <f>IF($BL420&lt;$BK420,"refNeedCorrection","refOK")</f>
        <v>refOK</v>
      </c>
      <c r="CO420">
        <f>IF($CN420="refOK",$BK420,$BL420)</f>
        <v>0</v>
      </c>
      <c r="CP420">
        <f>IF($CN420="refOK",$BL420,$BK420)</f>
        <v>6788</v>
      </c>
      <c r="CQ420">
        <f>IF($CN420="refOK",$BO420,-$BO420)</f>
        <v>29474.598349978292</v>
      </c>
      <c r="CR420">
        <f>IF($CN420="refOK",$BS420,$BT420)*IF($BP420="Emissions positive",-1,1)</f>
        <v>0</v>
      </c>
      <c r="CS420">
        <f>IF($CN420="refOK",$BT420,$BS420)*IF($BP420="Emissions positive",-1,1)</f>
        <v>0</v>
      </c>
      <c r="CT420">
        <f>IF($CN420="refNeedCorrection",-BX420,BX420)*IF($BP420="Emissions positive",-1,1)</f>
        <v>-0.17</v>
      </c>
      <c r="CU420">
        <f>IFERROR(CT420/CQ420,"")</f>
        <v>-5.7676782557454333E-6</v>
      </c>
      <c r="CV420" s="2" t="str">
        <f>IFERROR((CS420-CR420)/ABS(CR420),"")</f>
        <v/>
      </c>
      <c r="CW420" s="1" t="s">
        <v>2036</v>
      </c>
      <c r="CX420" t="str">
        <f>IF(OR($CW420="prd",$CW420="std",$CW420="cit"),"loc",IF(OR($CW420="eur",$CW420="reg",$CW420="coy"),"reg",$CW420))</f>
        <v>reg</v>
      </c>
      <c r="CY420" t="s">
        <v>2060</v>
      </c>
      <c r="CZ420">
        <v>2021</v>
      </c>
      <c r="DA420">
        <v>2040</v>
      </c>
      <c r="DB420">
        <f>DA420-CZ420</f>
        <v>19</v>
      </c>
      <c r="DC420" t="str">
        <f>IF(DB420=0,"0",IF(AND(DB420&gt;=1,DB420&lt;=30),"1-30",IF(AND(DB420&gt;30,DB420&lt;=70),"31-70",IF(AND(DB420&gt;70,DB420&lt;=100),"71-100",IF(DB420&gt;100,"+100")))))</f>
        <v>1-30</v>
      </c>
      <c r="DD420">
        <v>0</v>
      </c>
      <c r="DE420">
        <v>0</v>
      </c>
      <c r="DF420">
        <v>0</v>
      </c>
      <c r="DG420">
        <v>1</v>
      </c>
      <c r="DH420">
        <v>0</v>
      </c>
      <c r="DI420">
        <f>SUM(DD420:DG420)</f>
        <v>1</v>
      </c>
      <c r="DJ420" t="str">
        <f>IF(DI420=1,INDEX($DD$7:$DG$7,MATCH(1,$DD420:$DG420,0)),"mixedProduct")</f>
        <v>TimberInput</v>
      </c>
      <c r="DK420">
        <f>IF(DD420=1,DK$7,0)</f>
        <v>0</v>
      </c>
      <c r="DL420">
        <f>IF(DE420=1,DL$7,0)</f>
        <v>0</v>
      </c>
      <c r="DM420">
        <f>IF(DF420=1,DM$7,0)</f>
        <v>0</v>
      </c>
      <c r="DN420" t="str">
        <f>IF(DG420=1,DN$7,0)</f>
        <v>Timber</v>
      </c>
      <c r="DO420"/>
      <c r="DP420">
        <v>1</v>
      </c>
      <c r="DQ420"/>
      <c r="DR420"/>
      <c r="DS420" s="184" t="s">
        <v>2061</v>
      </c>
      <c r="DT420"/>
      <c r="DU420" s="143" t="str">
        <f>IF(DO420=1,"self-calculated DF",IF(DP420=1,"external DF used","explicit C balance"))</f>
        <v>external DF used</v>
      </c>
      <c r="DV420">
        <v>1</v>
      </c>
      <c r="DW420">
        <v>1</v>
      </c>
      <c r="DX420">
        <v>1</v>
      </c>
      <c r="DY420">
        <v>1</v>
      </c>
      <c r="DZ420">
        <v>1</v>
      </c>
      <c r="EA420">
        <v>1</v>
      </c>
      <c r="EB420">
        <v>0</v>
      </c>
      <c r="EC420">
        <v>0</v>
      </c>
      <c r="ED420">
        <v>0</v>
      </c>
      <c r="EE420">
        <v>0</v>
      </c>
      <c r="EF420">
        <v>1</v>
      </c>
      <c r="EG420">
        <v>0</v>
      </c>
      <c r="EH420">
        <v>1</v>
      </c>
      <c r="EI420" s="2">
        <v>0</v>
      </c>
      <c r="EJ420" s="1"/>
      <c r="EK420" t="str">
        <f>IF(AND(AND(AND(OR($DX420=1,$DW420=1),OR($EC420=1,$EA420=1)),SUM($DV420:$DZ420,$EF420)&gt;=4),SUM($EA420:$EE420)&gt;=2),"Whole sector","")</f>
        <v/>
      </c>
      <c r="EL420" t="str">
        <f>IF(AND(AND(OR($DX420=1,$DW420=1),AND($EC420=0,$EA420=0)),SUM($DV420:$DZ420,$EF420)&gt;=4),"Ecosystem approach","")</f>
        <v/>
      </c>
      <c r="EM420" s="2" t="str">
        <f>IF(AND(AND(AND($DX420=0,$DW420=0),OR($EC420=1,$EA420=1)),SUM($EB420:$EE420)&gt;=2),"Technology approach","")</f>
        <v/>
      </c>
      <c r="EN420"/>
      <c r="EO420"/>
      <c r="EP420" t="str">
        <f>IF(ISNUMBER(BU420),IF(ABS(BU420-[1]QC_indicators!$B$2)&gt;3*[1]QC_indicators!$C$2,"C ratio",IF(ISNUMBER(BY420),IF(ABS(BY420-[1]QC_indicators!$B$1)&gt;3*[1]QC_indicators!$C$1,"DF","no"))),IF(ISNUMBER(BY420),IF(ABS(BY420-[1]QC_indicators!$B$1)&gt;3*[1]QC_indicators!$C$1,"DF","no")))</f>
        <v>no</v>
      </c>
      <c r="EQ420"/>
      <c r="ER420"/>
      <c r="ES420"/>
      <c r="ET420" s="264" t="s">
        <v>3273</v>
      </c>
      <c r="EU420"/>
    </row>
    <row r="421" spans="1:151" s="139" customFormat="1" ht="15" customHeight="1">
      <c r="A421" s="1" t="s">
        <v>1138</v>
      </c>
      <c r="B421" t="s">
        <v>2206</v>
      </c>
      <c r="C421" t="s">
        <v>2207</v>
      </c>
      <c r="D421" t="s">
        <v>2208</v>
      </c>
      <c r="E421" t="s">
        <v>2209</v>
      </c>
      <c r="F421" t="s">
        <v>2210</v>
      </c>
      <c r="G421" t="s">
        <v>1139</v>
      </c>
      <c r="H421" t="s">
        <v>254</v>
      </c>
      <c r="I421">
        <v>2017</v>
      </c>
      <c r="J421">
        <v>12</v>
      </c>
      <c r="K421" t="s">
        <v>2211</v>
      </c>
      <c r="L421"/>
      <c r="M421" t="str">
        <f>LEFT($D421,FIND(",",$D421)-1)&amp;"_"&amp;I421&amp;L421</f>
        <v>Qin_2017</v>
      </c>
      <c r="N421" t="s">
        <v>222</v>
      </c>
      <c r="O421" s="145" t="s">
        <v>341</v>
      </c>
      <c r="P421"/>
      <c r="Q421" t="s">
        <v>256</v>
      </c>
      <c r="R421" s="262" t="s">
        <v>223</v>
      </c>
      <c r="S421" s="1" t="s">
        <v>2215</v>
      </c>
      <c r="T421" s="264" t="s">
        <v>3232</v>
      </c>
      <c r="U421" t="s">
        <v>2213</v>
      </c>
      <c r="V421">
        <v>0</v>
      </c>
      <c r="W421">
        <v>0</v>
      </c>
      <c r="X421">
        <v>0</v>
      </c>
      <c r="Y421">
        <v>1</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1</v>
      </c>
      <c r="AW421">
        <v>0</v>
      </c>
      <c r="AX421" s="141">
        <f>COUNTIF(V421:AW421,"&lt;&gt;0")</f>
        <v>2</v>
      </c>
      <c r="AY421" s="141">
        <f>COUNTIF(V421:AL421,"&lt;&gt;0")</f>
        <v>1</v>
      </c>
      <c r="AZ421">
        <f>COUNTIF(V421:AC421,"&lt;&gt;0")</f>
        <v>1</v>
      </c>
      <c r="BA421">
        <f>COUNTIF(AD421:AI421,"&lt;&gt;0")</f>
        <v>0</v>
      </c>
      <c r="BB421">
        <f>COUNTIF(AJ421:AL421,"&lt;&gt;0")</f>
        <v>0</v>
      </c>
      <c r="BC421">
        <f>COUNTIF(AS421:AW421,"&lt;&gt;0")</f>
        <v>1</v>
      </c>
      <c r="BD421">
        <f>COUNTIF(AM421:AR421,"&lt;&gt;0")</f>
        <v>0</v>
      </c>
      <c r="BE421" t="str">
        <f t="array" ref="BE421">IF(AY421=1,INDEX($V$7:$AL$7,MATCH(TRUE,INDEX($V421:$AW421&lt;&gt;0,),0)),IF(AY421=0,INDEX($AM$7:$AW$7,MATCH(1,$AM421:$AW421,0)),IF(BF421="Multiple strategies","mixed drivers",IF(BF421="Supply chain","multiple supply","multiple silviculture"))))</f>
        <v xml:space="preserve">cutting intensity </v>
      </c>
      <c r="BF421" s="2" t="str" cm="1">
        <f t="array" ref="BF421">IF(COUNTIF(AZ421:BB421,"&lt;&gt;0")=1,INDEX($V$4:$AW$4,MATCH(TRUE,INDEX($V421:$AW421&lt;&gt;0,),0)),IF(COUNTIF(AZ421:BB421,"&lt;&gt;0")=0,INDEX($AM$4:$AW$4,MATCH(1,$AM421:$AW421,0)),"Multiple strategies"))</f>
        <v>Silviculture for removals</v>
      </c>
      <c r="BG421" s="1" t="s">
        <v>321</v>
      </c>
      <c r="BH421" s="264" t="s">
        <v>3225</v>
      </c>
      <c r="BI421" s="264" t="s">
        <v>3226</v>
      </c>
      <c r="BJ421" s="264" t="s">
        <v>1323</v>
      </c>
      <c r="BK421">
        <v>1.95</v>
      </c>
      <c r="BL421">
        <v>3.7</v>
      </c>
      <c r="BM421"/>
      <c r="BN421">
        <f>BL421-BK421</f>
        <v>1.7500000000000002</v>
      </c>
      <c r="BO421" s="143">
        <f>BN421*10^6</f>
        <v>1750000.0000000002</v>
      </c>
      <c r="BP421" t="s">
        <v>232</v>
      </c>
      <c r="BQ421" s="153" t="s">
        <v>3227</v>
      </c>
      <c r="BR421" s="264" t="s">
        <v>3228</v>
      </c>
      <c r="BS421">
        <v>1.18</v>
      </c>
      <c r="BT421">
        <v>-0.57999999999999996</v>
      </c>
      <c r="BU421" s="144">
        <f>IFERROR(BT421/BS421,"")</f>
        <v>-0.49152542372881353</v>
      </c>
      <c r="BV421">
        <f>BT421-BS421</f>
        <v>-1.7599999999999998</v>
      </c>
      <c r="BW421"/>
      <c r="BX421">
        <f>BV421*C_to_CO2</f>
        <v>-6.4591999999999992</v>
      </c>
      <c r="BY421">
        <f>IFERROR(BX421/BO421,"")</f>
        <v>-3.6909714285714275E-6</v>
      </c>
      <c r="BZ421">
        <v>0</v>
      </c>
      <c r="CA421">
        <v>0</v>
      </c>
      <c r="CB421">
        <v>0</v>
      </c>
      <c r="CC421">
        <v>0</v>
      </c>
      <c r="CD421">
        <v>0</v>
      </c>
      <c r="CE421">
        <v>0</v>
      </c>
      <c r="CF421">
        <v>0</v>
      </c>
      <c r="CG421">
        <v>0</v>
      </c>
      <c r="CH421">
        <v>0</v>
      </c>
      <c r="CI421">
        <v>0</v>
      </c>
      <c r="CJ421">
        <v>0</v>
      </c>
      <c r="CK421">
        <v>0</v>
      </c>
      <c r="CL421">
        <v>0</v>
      </c>
      <c r="CM421">
        <v>0</v>
      </c>
      <c r="CN421" t="str">
        <f>IF($BL421&lt;$BK421,"refNeedCorrection","refOK")</f>
        <v>refOK</v>
      </c>
      <c r="CO421">
        <f>IF($CN421="refOK",$BK421,$BL421)</f>
        <v>1.95</v>
      </c>
      <c r="CP421">
        <f>IF($CN421="refOK",$BL421,$BK421)</f>
        <v>3.7</v>
      </c>
      <c r="CQ421">
        <f>IF($CN421="refOK",$BO421,-$BO421)</f>
        <v>1750000.0000000002</v>
      </c>
      <c r="CR421">
        <f>IF($CN421="refOK",$BS421,$BT421)*IF($BP421="Emissions positive",-1,1)</f>
        <v>1.18</v>
      </c>
      <c r="CS421">
        <f>IF($CN421="refOK",$BT421,$BS421)*IF($BP421="Emissions positive",-1,1)</f>
        <v>-0.57999999999999996</v>
      </c>
      <c r="CT421">
        <f>IF($CN421="refNeedCorrection",-BX421,BX421)*IF($BP421="Emissions positive",-1,1)</f>
        <v>-6.4591999999999992</v>
      </c>
      <c r="CU421">
        <f>IFERROR(CT421/CQ421,"")</f>
        <v>-3.6909714285714275E-6</v>
      </c>
      <c r="CV421" s="2">
        <f>IFERROR((CS421-CR421)/ABS(CR421),"")</f>
        <v>-1.4915254237288134</v>
      </c>
      <c r="CW421" s="1" t="s">
        <v>1199</v>
      </c>
      <c r="CX421" t="str">
        <f>IF(OR($CW421="prd",$CW421="std",$CW421="cit"),"loc",IF(OR($CW421="eur",$CW421="reg",$CW421="coy"),"reg",$CW421))</f>
        <v>reg</v>
      </c>
      <c r="CY421" t="s">
        <v>690</v>
      </c>
      <c r="CZ421"/>
      <c r="DA421"/>
      <c r="DB421">
        <v>30</v>
      </c>
      <c r="DC421" t="str">
        <f>IF(DB421=0,"0",IF(AND(DB421&gt;=1,DB421&lt;=30),"1-30",IF(AND(DB421&gt;30,DB421&lt;=70),"31-70",IF(AND(DB421&gt;70,DB421&lt;=100),"71-100",IF(DB421&gt;100,"+100")))))</f>
        <v>1-30</v>
      </c>
      <c r="DD421">
        <v>1</v>
      </c>
      <c r="DE421">
        <v>0</v>
      </c>
      <c r="DF421">
        <v>0</v>
      </c>
      <c r="DG421">
        <v>0</v>
      </c>
      <c r="DH421"/>
      <c r="DI421">
        <f>SUM(DD421:DG421)</f>
        <v>1</v>
      </c>
      <c r="DJ421" t="str">
        <f>IF(DI421=1,INDEX($DD$7:$DG$7,MATCH(1,$DD421:$DG421,0)),"mixedProduct")</f>
        <v>UpstreamInput</v>
      </c>
      <c r="DK421" t="str">
        <f>IF(DD421=1,DK$7,0)</f>
        <v>Upstream</v>
      </c>
      <c r="DL421">
        <f>IF(DE421=1,DL$7,0)</f>
        <v>0</v>
      </c>
      <c r="DM421">
        <f>IF(DF421=1,DM$7,0)</f>
        <v>0</v>
      </c>
      <c r="DN421">
        <f>IF(DG421=1,DN$7,0)</f>
        <v>0</v>
      </c>
      <c r="DO421">
        <v>1</v>
      </c>
      <c r="DP421">
        <v>0</v>
      </c>
      <c r="DQ421">
        <v>0</v>
      </c>
      <c r="DR421">
        <v>0</v>
      </c>
      <c r="DS421">
        <v>0</v>
      </c>
      <c r="DT421">
        <f>SUM(DO421:DP421)</f>
        <v>1</v>
      </c>
      <c r="DU421" s="143" t="str">
        <f>IF(DO421=1,"self-calculated DF",IF(DP421=1,"external DF used","explicit C balance"))</f>
        <v>self-calculated DF</v>
      </c>
      <c r="DV421">
        <v>0</v>
      </c>
      <c r="DW421">
        <v>0</v>
      </c>
      <c r="DX421">
        <v>1</v>
      </c>
      <c r="DY421">
        <v>0</v>
      </c>
      <c r="DZ421">
        <v>0</v>
      </c>
      <c r="EA421" s="143">
        <v>0</v>
      </c>
      <c r="EB421">
        <v>0</v>
      </c>
      <c r="EC421">
        <v>0</v>
      </c>
      <c r="ED421">
        <v>0</v>
      </c>
      <c r="EE421">
        <v>0</v>
      </c>
      <c r="EF421">
        <v>1</v>
      </c>
      <c r="EG421">
        <v>0</v>
      </c>
      <c r="EH421">
        <v>0</v>
      </c>
      <c r="EI421" s="2">
        <v>0</v>
      </c>
      <c r="EJ421" s="1"/>
      <c r="EK421" t="str">
        <f>IF(AND(AND(AND(OR($DX421=1,$DW421=1),OR($EC421=1,$EA421=1)),SUM($DV421:$DZ421,$EF421)&gt;=4),SUM($EA421:$EE421)&gt;=2),"Whole sector","")</f>
        <v/>
      </c>
      <c r="EL421" t="str">
        <f>IF(AND(AND(OR($DX421=1,$DW421=1),AND($EC421=0,$EA421=0)),SUM($DV421:$DZ421,$EF421)&gt;=4),"Ecosystem approach","")</f>
        <v/>
      </c>
      <c r="EM421" s="2" t="str">
        <f>IF(AND(AND(AND($DX421=0,$DW421=0),OR($EC421=1,$EA421=1)),SUM($EB421:$EE421)&gt;=2),"Technology approach","")</f>
        <v/>
      </c>
      <c r="EN421"/>
      <c r="EO421"/>
      <c r="EP421" t="str">
        <f>IF(ISNUMBER(BU421),IF(ABS(BU421-[1]QC_indicators!$B$2)&gt;3*[1]QC_indicators!$C$2,"C ratio",IF(ISNUMBER(BY421),IF(ABS(BY421-[1]QC_indicators!$B$1)&gt;3*[1]QC_indicators!$C$1,"DF","no"))),IF(ISNUMBER(BY421),IF(ABS(BY421-[1]QC_indicators!$B$1)&gt;3*[1]QC_indicators!$C$1,"DF","no")))</f>
        <v>no</v>
      </c>
      <c r="EQ421"/>
      <c r="ER421"/>
      <c r="ES421"/>
      <c r="ET421" s="264" t="s">
        <v>3229</v>
      </c>
      <c r="EU421"/>
    </row>
    <row r="422" spans="1:151" s="139" customFormat="1" ht="15" customHeight="1">
      <c r="A422" s="256" t="s">
        <v>214</v>
      </c>
      <c r="B422" s="257" t="s">
        <v>215</v>
      </c>
      <c r="C422" s="257" t="s">
        <v>216</v>
      </c>
      <c r="D422" s="257" t="s">
        <v>217</v>
      </c>
      <c r="E422" s="257" t="s">
        <v>218</v>
      </c>
      <c r="F422" s="257" t="s">
        <v>219</v>
      </c>
      <c r="G422" s="257" t="s">
        <v>220</v>
      </c>
      <c r="H422" s="257"/>
      <c r="I422" s="257">
        <v>2012</v>
      </c>
      <c r="J422" s="257"/>
      <c r="K422" s="257" t="s">
        <v>221</v>
      </c>
      <c r="L422" s="257"/>
      <c r="M422" s="257" t="s">
        <v>3070</v>
      </c>
      <c r="N422" s="257" t="s">
        <v>222</v>
      </c>
      <c r="O422" s="275" t="s">
        <v>223</v>
      </c>
      <c r="P422" s="257"/>
      <c r="Q422" s="257" t="s">
        <v>224</v>
      </c>
      <c r="R422" s="258" t="s">
        <v>225</v>
      </c>
      <c r="S422" s="256" t="s">
        <v>226</v>
      </c>
      <c r="T422" s="257" t="s">
        <v>238</v>
      </c>
      <c r="U422" s="257" t="s">
        <v>228</v>
      </c>
      <c r="V422" s="257">
        <v>0</v>
      </c>
      <c r="W422" s="257">
        <v>0</v>
      </c>
      <c r="X422" s="257">
        <v>0</v>
      </c>
      <c r="Y422" s="257">
        <v>1</v>
      </c>
      <c r="Z422" s="257">
        <v>0</v>
      </c>
      <c r="AA422" s="257">
        <v>0</v>
      </c>
      <c r="AB422" s="257">
        <v>0</v>
      </c>
      <c r="AC422" s="257">
        <v>0</v>
      </c>
      <c r="AD422" s="257">
        <v>0</v>
      </c>
      <c r="AE422" s="257">
        <v>0</v>
      </c>
      <c r="AF422" s="257">
        <v>0</v>
      </c>
      <c r="AG422" s="257">
        <v>0</v>
      </c>
      <c r="AH422" s="257">
        <v>0</v>
      </c>
      <c r="AI422" s="257">
        <v>0</v>
      </c>
      <c r="AJ422" s="257">
        <v>0</v>
      </c>
      <c r="AK422" s="257">
        <v>0</v>
      </c>
      <c r="AL422" s="257">
        <v>0</v>
      </c>
      <c r="AM422" s="257">
        <v>0</v>
      </c>
      <c r="AN422" s="257">
        <v>0</v>
      </c>
      <c r="AO422" s="257">
        <v>0</v>
      </c>
      <c r="AP422" s="257">
        <v>0</v>
      </c>
      <c r="AQ422" s="257">
        <v>0</v>
      </c>
      <c r="AR422" s="257">
        <v>0</v>
      </c>
      <c r="AS422" s="257">
        <v>0</v>
      </c>
      <c r="AT422" s="257">
        <v>0</v>
      </c>
      <c r="AU422" s="257">
        <v>0</v>
      </c>
      <c r="AV422" s="257">
        <v>0</v>
      </c>
      <c r="AW422" s="257">
        <v>0</v>
      </c>
      <c r="AX422" s="277">
        <v>1</v>
      </c>
      <c r="AY422" s="277">
        <v>1</v>
      </c>
      <c r="AZ422" s="257">
        <v>1</v>
      </c>
      <c r="BA422" s="257">
        <v>0</v>
      </c>
      <c r="BB422" s="257">
        <v>0</v>
      </c>
      <c r="BC422" s="257">
        <v>0</v>
      </c>
      <c r="BD422" s="257">
        <v>0</v>
      </c>
      <c r="BE422" s="257" t="s">
        <v>91</v>
      </c>
      <c r="BF422" s="2" t="str" cm="1">
        <f t="array" ref="BF422">IF(COUNTIF(AZ422:BB422,"&lt;&gt;0")=1,INDEX($V$4:$AW$4,MATCH(TRUE,INDEX($V422:$AW422&lt;&gt;0,),0)),IF(COUNTIF(AZ422:BB422,"&lt;&gt;0")=0,INDEX($AM$4:$AW$4,MATCH(1,$AM422:$AW422,0)),"Multiple strategies"))</f>
        <v>Silviculture for removals</v>
      </c>
      <c r="BG422" s="278" t="s">
        <v>229</v>
      </c>
      <c r="BH422" s="257" t="s">
        <v>230</v>
      </c>
      <c r="BI422" s="279" t="s">
        <v>3071</v>
      </c>
      <c r="BJ422" s="276" t="s">
        <v>231</v>
      </c>
      <c r="BK422" s="257">
        <v>77.011494249999998</v>
      </c>
      <c r="BL422" s="257">
        <v>95.977011489999995</v>
      </c>
      <c r="BM422" s="257">
        <v>1.2462686567076966</v>
      </c>
      <c r="BN422" s="257">
        <v>18.965517239999997</v>
      </c>
      <c r="BO422" s="276">
        <v>38.705137224489789</v>
      </c>
      <c r="BP422" s="276" t="s">
        <v>232</v>
      </c>
      <c r="BQ422" s="279" t="s">
        <v>3071</v>
      </c>
      <c r="BR422" s="276" t="s">
        <v>233</v>
      </c>
      <c r="BS422" s="257">
        <v>-8</v>
      </c>
      <c r="BT422" s="257">
        <v>-8.1428571430000005</v>
      </c>
      <c r="BU422" s="259">
        <v>1.0178571428750001</v>
      </c>
      <c r="BV422" s="257">
        <v>-0.14285714300000052</v>
      </c>
      <c r="BW422" s="257"/>
      <c r="BX422" s="257">
        <v>-1.4285714300000052E-4</v>
      </c>
      <c r="BY422" s="257">
        <v>-3.6909090948684437E-6</v>
      </c>
      <c r="BZ422" s="257">
        <v>0</v>
      </c>
      <c r="CA422" s="257">
        <v>0</v>
      </c>
      <c r="CB422" s="257">
        <v>0</v>
      </c>
      <c r="CC422" s="257">
        <v>0</v>
      </c>
      <c r="CD422" s="257">
        <v>0</v>
      </c>
      <c r="CE422" s="257">
        <v>0</v>
      </c>
      <c r="CF422" s="257">
        <v>0</v>
      </c>
      <c r="CG422" s="257">
        <v>0</v>
      </c>
      <c r="CH422" s="257">
        <v>0</v>
      </c>
      <c r="CI422" s="257">
        <v>0</v>
      </c>
      <c r="CJ422" s="257">
        <v>0</v>
      </c>
      <c r="CK422" s="257">
        <v>0</v>
      </c>
      <c r="CL422" s="257">
        <v>0</v>
      </c>
      <c r="CM422" s="257">
        <v>0</v>
      </c>
      <c r="CN422" s="257" t="s">
        <v>3072</v>
      </c>
      <c r="CO422" s="257">
        <v>77.011494249999998</v>
      </c>
      <c r="CP422" s="257">
        <v>95.977011489999995</v>
      </c>
      <c r="CQ422" s="257">
        <v>38.705137224489789</v>
      </c>
      <c r="CR422" s="257">
        <v>-8</v>
      </c>
      <c r="CS422" s="257">
        <v>-8.1428571430000005</v>
      </c>
      <c r="CT422" s="257">
        <v>-1.4285714300000052E-4</v>
      </c>
      <c r="CU422" s="257">
        <v>-3.6909090948684437E-6</v>
      </c>
      <c r="CV422" s="258">
        <v>-1.7857142875000065E-2</v>
      </c>
      <c r="CW422" s="256" t="s">
        <v>234</v>
      </c>
      <c r="CX422" s="257" t="s">
        <v>3073</v>
      </c>
      <c r="CY422" s="257" t="s">
        <v>235</v>
      </c>
      <c r="CZ422" s="257"/>
      <c r="DA422" s="276"/>
      <c r="DB422" s="276">
        <v>80</v>
      </c>
      <c r="DC422" s="257" t="s">
        <v>3074</v>
      </c>
      <c r="DD422" s="257">
        <v>0</v>
      </c>
      <c r="DE422" s="257">
        <v>1</v>
      </c>
      <c r="DF422" s="257">
        <v>0</v>
      </c>
      <c r="DG422" s="257">
        <v>0</v>
      </c>
      <c r="DH422" s="257"/>
      <c r="DI422" s="257">
        <v>1</v>
      </c>
      <c r="DJ422" s="257" t="s">
        <v>173</v>
      </c>
      <c r="DK422" s="257">
        <v>0</v>
      </c>
      <c r="DL422" s="257" t="s">
        <v>180</v>
      </c>
      <c r="DM422" s="257">
        <v>0</v>
      </c>
      <c r="DN422" s="257">
        <v>0</v>
      </c>
      <c r="DO422" s="257">
        <v>0</v>
      </c>
      <c r="DP422" s="276">
        <v>0</v>
      </c>
      <c r="DQ422" s="276">
        <v>0</v>
      </c>
      <c r="DR422" s="276">
        <v>0</v>
      </c>
      <c r="DS422" s="276">
        <v>0</v>
      </c>
      <c r="DT422" s="257">
        <v>0</v>
      </c>
      <c r="DU422" s="276" t="s">
        <v>962</v>
      </c>
      <c r="DV422" s="276">
        <v>1</v>
      </c>
      <c r="DW422" s="276">
        <v>1</v>
      </c>
      <c r="DX422" s="276">
        <v>1</v>
      </c>
      <c r="DY422" s="276">
        <v>0</v>
      </c>
      <c r="DZ422" s="257">
        <v>0</v>
      </c>
      <c r="EA422" s="276">
        <v>0</v>
      </c>
      <c r="EB422" s="276">
        <v>1</v>
      </c>
      <c r="EC422" s="276">
        <v>1</v>
      </c>
      <c r="ED422" s="276">
        <v>0</v>
      </c>
      <c r="EE422" s="276">
        <v>0</v>
      </c>
      <c r="EF422" s="257">
        <v>1</v>
      </c>
      <c r="EG422" s="276">
        <v>0</v>
      </c>
      <c r="EH422" s="257">
        <v>0</v>
      </c>
      <c r="EI422" s="258">
        <v>0</v>
      </c>
      <c r="EJ422" s="256"/>
      <c r="EK422" t="str">
        <f>IF(AND(AND(AND(OR($DX422=1,$DW422=1),OR($EC422=1,$EA422=1)),SUM($DV422:$DZ422,$EF422)&gt;=4),SUM($EA422:$EE422)&gt;=2),"Whole sector","")</f>
        <v>Whole sector</v>
      </c>
      <c r="EL422" t="str">
        <f>IF(AND(AND(OR($DX422=1,$DW422=1),AND($EC422=0,$EA422=0)),SUM($DV422:$DZ422,$EF422)&gt;=4),"Ecosystem approach","")</f>
        <v/>
      </c>
      <c r="EM422" s="258" t="s">
        <v>544</v>
      </c>
      <c r="EN422" s="257" t="s">
        <v>236</v>
      </c>
      <c r="EO422" s="257"/>
      <c r="EP422" t="str">
        <f>IF(ISNUMBER(BU422),IF(ABS(BU422-[2]QC_indicators!$B$2)&gt;3*[2]QC_indicators!$C$2,"C ratio",IF(ISNUMBER(BY422),IF(ABS(BY422-[2]QC_indicators!$B$1)&gt;3*[2]QC_indicators!$C$1,"DF","no"))),IF(ISNUMBER(BY422),IF(ABS(BY422-[2]QC_indicators!$B$1)&gt;3*[2]QC_indicators!$C$1,"DF","no")))</f>
        <v>no</v>
      </c>
      <c r="EQ422" s="257"/>
      <c r="ER422" s="257"/>
      <c r="ES422" s="257"/>
      <c r="ET422" s="257"/>
      <c r="EU422"/>
    </row>
    <row r="423" spans="1:151" s="139" customFormat="1" ht="15" customHeight="1">
      <c r="A423" s="1" t="s">
        <v>1138</v>
      </c>
      <c r="B423" t="s">
        <v>2206</v>
      </c>
      <c r="C423" t="s">
        <v>2207</v>
      </c>
      <c r="D423" t="s">
        <v>2208</v>
      </c>
      <c r="E423" t="s">
        <v>2209</v>
      </c>
      <c r="F423" t="s">
        <v>2210</v>
      </c>
      <c r="G423" t="s">
        <v>1139</v>
      </c>
      <c r="H423" t="s">
        <v>254</v>
      </c>
      <c r="I423">
        <v>2017</v>
      </c>
      <c r="J423">
        <v>12</v>
      </c>
      <c r="K423" t="s">
        <v>2211</v>
      </c>
      <c r="L423"/>
      <c r="M423" t="str">
        <f>LEFT($D423,FIND(",",$D423)-1)&amp;"_"&amp;I423&amp;L423</f>
        <v>Qin_2017</v>
      </c>
      <c r="N423" t="s">
        <v>222</v>
      </c>
      <c r="O423" s="145" t="s">
        <v>341</v>
      </c>
      <c r="P423"/>
      <c r="Q423" t="s">
        <v>256</v>
      </c>
      <c r="R423" s="262" t="s">
        <v>223</v>
      </c>
      <c r="S423" s="1" t="s">
        <v>2214</v>
      </c>
      <c r="T423" s="264" t="s">
        <v>3230</v>
      </c>
      <c r="U423" t="s">
        <v>2213</v>
      </c>
      <c r="V423">
        <v>0</v>
      </c>
      <c r="W423">
        <v>0</v>
      </c>
      <c r="X423">
        <v>0</v>
      </c>
      <c r="Y423">
        <v>1</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1</v>
      </c>
      <c r="AW423">
        <v>0</v>
      </c>
      <c r="AX423" s="141">
        <f>COUNTIF(V423:AW423,"&lt;&gt;0")</f>
        <v>2</v>
      </c>
      <c r="AY423" s="141">
        <f>COUNTIF(V423:AL423,"&lt;&gt;0")</f>
        <v>1</v>
      </c>
      <c r="AZ423">
        <f>COUNTIF(V423:AC423,"&lt;&gt;0")</f>
        <v>1</v>
      </c>
      <c r="BA423">
        <f>COUNTIF(AD423:AI423,"&lt;&gt;0")</f>
        <v>0</v>
      </c>
      <c r="BB423">
        <f>COUNTIF(AJ423:AL423,"&lt;&gt;0")</f>
        <v>0</v>
      </c>
      <c r="BC423">
        <f>COUNTIF(AS423:AW423,"&lt;&gt;0")</f>
        <v>1</v>
      </c>
      <c r="BD423">
        <f>COUNTIF(AM423:AR423,"&lt;&gt;0")</f>
        <v>0</v>
      </c>
      <c r="BE423" t="str">
        <f t="array" ref="BE423">IF(AY423=1,INDEX($V$7:$AL$7,MATCH(TRUE,INDEX($V423:$AW423&lt;&gt;0,),0)),IF(AY423=0,INDEX($AM$7:$AW$7,MATCH(1,$AM423:$AW423,0)),IF(BF423="Multiple strategies","mixed drivers",IF(BF423="Supply chain","multiple supply","multiple silviculture"))))</f>
        <v xml:space="preserve">cutting intensity </v>
      </c>
      <c r="BF423" s="2" t="str" cm="1">
        <f t="array" ref="BF423">IF(COUNTIF(AZ423:BB423,"&lt;&gt;0")=1,INDEX($V$4:$AW$4,MATCH(TRUE,INDEX($V423:$AW423&lt;&gt;0,),0)),IF(COUNTIF(AZ423:BB423,"&lt;&gt;0")=0,INDEX($AM$4:$AW$4,MATCH(1,$AM423:$AW423,0)),"Multiple strategies"))</f>
        <v>Silviculture for removals</v>
      </c>
      <c r="BG423" s="1" t="s">
        <v>321</v>
      </c>
      <c r="BH423" s="264" t="s">
        <v>3225</v>
      </c>
      <c r="BI423" s="264" t="s">
        <v>3226</v>
      </c>
      <c r="BJ423" s="264" t="s">
        <v>1323</v>
      </c>
      <c r="BK423">
        <v>0.65</v>
      </c>
      <c r="BL423">
        <v>3.7</v>
      </c>
      <c r="BM423"/>
      <c r="BN423">
        <f>BL423-BK423</f>
        <v>3.0500000000000003</v>
      </c>
      <c r="BO423" s="143">
        <f>BN423*10^6</f>
        <v>3050000.0000000005</v>
      </c>
      <c r="BP423" t="s">
        <v>232</v>
      </c>
      <c r="BQ423" s="153" t="s">
        <v>3227</v>
      </c>
      <c r="BR423" s="264" t="s">
        <v>3231</v>
      </c>
      <c r="BS423">
        <v>1.76</v>
      </c>
      <c r="BT423">
        <v>-0.57999999999999996</v>
      </c>
      <c r="BU423" s="144">
        <f>IFERROR(BT423/BS423,"")</f>
        <v>-0.32954545454545453</v>
      </c>
      <c r="BV423">
        <f>BT423-BS423</f>
        <v>-2.34</v>
      </c>
      <c r="BW423"/>
      <c r="BX423">
        <f>BV423*C_to_CO2</f>
        <v>-8.5877999999999997</v>
      </c>
      <c r="BY423">
        <f>IFERROR(BX423/BO423,"")</f>
        <v>-2.8156721311475402E-6</v>
      </c>
      <c r="BZ423">
        <v>0</v>
      </c>
      <c r="CA423">
        <v>0</v>
      </c>
      <c r="CB423">
        <v>0</v>
      </c>
      <c r="CC423">
        <v>0</v>
      </c>
      <c r="CD423">
        <v>0</v>
      </c>
      <c r="CE423">
        <v>0</v>
      </c>
      <c r="CF423">
        <v>0</v>
      </c>
      <c r="CG423">
        <v>0</v>
      </c>
      <c r="CH423">
        <v>0</v>
      </c>
      <c r="CI423">
        <v>0</v>
      </c>
      <c r="CJ423">
        <v>0</v>
      </c>
      <c r="CK423">
        <v>0</v>
      </c>
      <c r="CL423">
        <v>0</v>
      </c>
      <c r="CM423">
        <v>0</v>
      </c>
      <c r="CN423" t="str">
        <f>IF($BL423&lt;$BK423,"refNeedCorrection","refOK")</f>
        <v>refOK</v>
      </c>
      <c r="CO423">
        <f>IF($CN423="refOK",$BK423,$BL423)</f>
        <v>0.65</v>
      </c>
      <c r="CP423">
        <f>IF($CN423="refOK",$BL423,$BK423)</f>
        <v>3.7</v>
      </c>
      <c r="CQ423">
        <f>IF($CN423="refOK",$BO423,-$BO423)</f>
        <v>3050000.0000000005</v>
      </c>
      <c r="CR423">
        <f>IF($CN423="refOK",$BS423,$BT423)*IF($BP423="Emissions positive",-1,1)</f>
        <v>1.76</v>
      </c>
      <c r="CS423">
        <f>IF($CN423="refOK",$BT423,$BS423)*IF($BP423="Emissions positive",-1,1)</f>
        <v>-0.57999999999999996</v>
      </c>
      <c r="CT423">
        <f>IF($CN423="refNeedCorrection",-BX423,BX423)*IF($BP423="Emissions positive",-1,1)</f>
        <v>-8.5877999999999997</v>
      </c>
      <c r="CU423">
        <f>IFERROR(CT423/CQ423,"")</f>
        <v>-2.8156721311475402E-6</v>
      </c>
      <c r="CV423" s="2">
        <f>IFERROR((CS423-CR423)/ABS(CR423),"")</f>
        <v>-1.3295454545454544</v>
      </c>
      <c r="CW423" s="1" t="s">
        <v>1199</v>
      </c>
      <c r="CX423" t="str">
        <f>IF(OR($CW423="prd",$CW423="std",$CW423="cit"),"loc",IF(OR($CW423="eur",$CW423="reg",$CW423="coy"),"reg",$CW423))</f>
        <v>reg</v>
      </c>
      <c r="CY423" t="s">
        <v>690</v>
      </c>
      <c r="CZ423"/>
      <c r="DA423"/>
      <c r="DB423">
        <v>30</v>
      </c>
      <c r="DC423" t="str">
        <f>IF(DB423=0,"0",IF(AND(DB423&gt;=1,DB423&lt;=30),"1-30",IF(AND(DB423&gt;30,DB423&lt;=70),"31-70",IF(AND(DB423&gt;70,DB423&lt;=100),"71-100",IF(DB423&gt;100,"+100")))))</f>
        <v>1-30</v>
      </c>
      <c r="DD423">
        <v>1</v>
      </c>
      <c r="DE423">
        <v>0</v>
      </c>
      <c r="DF423">
        <v>0</v>
      </c>
      <c r="DG423">
        <v>0</v>
      </c>
      <c r="DH423"/>
      <c r="DI423">
        <f>SUM(DD423:DG423)</f>
        <v>1</v>
      </c>
      <c r="DJ423" t="str">
        <f>IF(DI423=1,INDEX($DD$7:$DG$7,MATCH(1,$DD423:$DG423,0)),"mixedProduct")</f>
        <v>UpstreamInput</v>
      </c>
      <c r="DK423" t="str">
        <f>IF(DD423=1,DK$7,0)</f>
        <v>Upstream</v>
      </c>
      <c r="DL423">
        <f>IF(DE423=1,DL$7,0)</f>
        <v>0</v>
      </c>
      <c r="DM423">
        <f>IF(DF423=1,DM$7,0)</f>
        <v>0</v>
      </c>
      <c r="DN423">
        <f>IF(DG423=1,DN$7,0)</f>
        <v>0</v>
      </c>
      <c r="DO423">
        <v>1</v>
      </c>
      <c r="DP423">
        <v>0</v>
      </c>
      <c r="DQ423">
        <v>0</v>
      </c>
      <c r="DR423">
        <v>0</v>
      </c>
      <c r="DS423">
        <v>0</v>
      </c>
      <c r="DT423">
        <f>SUM(DO423:DP423)</f>
        <v>1</v>
      </c>
      <c r="DU423" s="143" t="str">
        <f>IF(DO423=1,"self-calculated DF",IF(DP423=1,"external DF used","explicit C balance"))</f>
        <v>self-calculated DF</v>
      </c>
      <c r="DV423">
        <v>0</v>
      </c>
      <c r="DW423">
        <v>0</v>
      </c>
      <c r="DX423">
        <v>1</v>
      </c>
      <c r="DY423">
        <v>0</v>
      </c>
      <c r="DZ423">
        <v>0</v>
      </c>
      <c r="EA423" s="143">
        <v>0</v>
      </c>
      <c r="EB423">
        <v>0</v>
      </c>
      <c r="EC423">
        <v>0</v>
      </c>
      <c r="ED423">
        <v>0</v>
      </c>
      <c r="EE423">
        <v>0</v>
      </c>
      <c r="EF423">
        <v>1</v>
      </c>
      <c r="EG423">
        <v>0</v>
      </c>
      <c r="EH423">
        <v>0</v>
      </c>
      <c r="EI423" s="2">
        <v>0</v>
      </c>
      <c r="EJ423" s="1"/>
      <c r="EK423" t="str">
        <f>IF(AND(AND(AND(OR($DX423=1,$DW423=1),OR($EC423=1,$EA423=1)),SUM($DV423:$DZ423,$EF423)&gt;=4),SUM($EA423:$EE423)&gt;=2),"Whole sector","")</f>
        <v/>
      </c>
      <c r="EL423" t="str">
        <f>IF(AND(AND(OR($DX423=1,$DW423=1),AND($EC423=0,$EA423=0)),SUM($DV423:$DZ423,$EF423)&gt;=4),"Ecosystem approach","")</f>
        <v/>
      </c>
      <c r="EM423" s="2" t="str">
        <f>IF(AND(AND(AND($DX423=0,$DW423=0),OR($EC423=1,$EA423=1)),SUM($EB423:$EE423)&gt;=2),"Technology approach","")</f>
        <v/>
      </c>
      <c r="EN423"/>
      <c r="EO423"/>
      <c r="EP423" t="str">
        <f>IF(ISNUMBER(BU423),IF(ABS(BU423-[1]QC_indicators!$B$2)&gt;3*[1]QC_indicators!$C$2,"C ratio",IF(ISNUMBER(BY423),IF(ABS(BY423-[1]QC_indicators!$B$1)&gt;3*[1]QC_indicators!$C$1,"DF","no"))),IF(ISNUMBER(BY423),IF(ABS(BY423-[1]QC_indicators!$B$1)&gt;3*[1]QC_indicators!$C$1,"DF","no")))</f>
        <v>no</v>
      </c>
      <c r="EQ423"/>
      <c r="ER423"/>
      <c r="ES423"/>
      <c r="ET423" s="264" t="s">
        <v>3229</v>
      </c>
      <c r="EU423"/>
    </row>
    <row r="424" spans="1:151" s="139" customFormat="1" ht="15" customHeight="1">
      <c r="A424" s="256" t="s">
        <v>214</v>
      </c>
      <c r="B424" s="257" t="s">
        <v>215</v>
      </c>
      <c r="C424" s="257" t="s">
        <v>216</v>
      </c>
      <c r="D424" s="257" t="s">
        <v>217</v>
      </c>
      <c r="E424" s="257" t="s">
        <v>218</v>
      </c>
      <c r="F424" s="257" t="s">
        <v>219</v>
      </c>
      <c r="G424" s="257" t="s">
        <v>220</v>
      </c>
      <c r="H424" s="257"/>
      <c r="I424" s="257">
        <v>2012</v>
      </c>
      <c r="J424" s="257"/>
      <c r="K424" s="257" t="s">
        <v>221</v>
      </c>
      <c r="L424" s="257"/>
      <c r="M424" s="257" t="s">
        <v>3070</v>
      </c>
      <c r="N424" s="257" t="s">
        <v>222</v>
      </c>
      <c r="O424" s="275" t="s">
        <v>223</v>
      </c>
      <c r="P424" s="257"/>
      <c r="Q424" s="257" t="s">
        <v>224</v>
      </c>
      <c r="R424" s="258" t="s">
        <v>225</v>
      </c>
      <c r="S424" s="256" t="s">
        <v>241</v>
      </c>
      <c r="T424" s="257" t="s">
        <v>242</v>
      </c>
      <c r="U424" s="276" t="s">
        <v>243</v>
      </c>
      <c r="V424" s="257">
        <v>0</v>
      </c>
      <c r="W424" s="257">
        <v>0</v>
      </c>
      <c r="X424" s="257">
        <v>0</v>
      </c>
      <c r="Y424" s="257">
        <v>0</v>
      </c>
      <c r="Z424" s="257">
        <v>0</v>
      </c>
      <c r="AA424" s="257">
        <v>0</v>
      </c>
      <c r="AB424" s="257">
        <v>0</v>
      </c>
      <c r="AC424" s="257">
        <v>1</v>
      </c>
      <c r="AD424" s="257">
        <v>0</v>
      </c>
      <c r="AE424" s="257">
        <v>0</v>
      </c>
      <c r="AF424" s="257">
        <v>0</v>
      </c>
      <c r="AG424" s="257">
        <v>0</v>
      </c>
      <c r="AH424" s="257">
        <v>0</v>
      </c>
      <c r="AI424" s="257">
        <v>0</v>
      </c>
      <c r="AJ424" s="257">
        <v>0</v>
      </c>
      <c r="AK424" s="257">
        <v>0</v>
      </c>
      <c r="AL424" s="257">
        <v>0</v>
      </c>
      <c r="AM424" s="257">
        <v>0</v>
      </c>
      <c r="AN424" s="257">
        <v>0</v>
      </c>
      <c r="AO424" s="257">
        <v>0</v>
      </c>
      <c r="AP424" s="257">
        <v>0</v>
      </c>
      <c r="AQ424" s="257">
        <v>0</v>
      </c>
      <c r="AR424" s="257">
        <v>0</v>
      </c>
      <c r="AS424" s="257">
        <v>0</v>
      </c>
      <c r="AT424" s="257">
        <v>0</v>
      </c>
      <c r="AU424" s="257">
        <v>0</v>
      </c>
      <c r="AV424" s="257">
        <v>0</v>
      </c>
      <c r="AW424" s="257">
        <v>0</v>
      </c>
      <c r="AX424" s="277">
        <v>1</v>
      </c>
      <c r="AY424" s="277">
        <v>1</v>
      </c>
      <c r="AZ424" s="257">
        <v>1</v>
      </c>
      <c r="BA424" s="257">
        <v>0</v>
      </c>
      <c r="BB424" s="257">
        <v>0</v>
      </c>
      <c r="BC424" s="257">
        <v>0</v>
      </c>
      <c r="BD424" s="257">
        <v>0</v>
      </c>
      <c r="BE424" s="257" t="s">
        <v>95</v>
      </c>
      <c r="BF424" s="2" t="str" cm="1">
        <f t="array" ref="BF424">IF(COUNTIF(AZ424:BB424,"&lt;&gt;0")=1,INDEX($V$4:$AW$4,MATCH(TRUE,INDEX($V424:$AW424&lt;&gt;0,),0)),IF(COUNTIF(AZ424:BB424,"&lt;&gt;0")=0,INDEX($AM$4:$AW$4,MATCH(1,$AM424:$AW424,0)),"Multiple strategies"))</f>
        <v>Silviculture for productivity</v>
      </c>
      <c r="BG424" s="278" t="s">
        <v>229</v>
      </c>
      <c r="BH424" s="257" t="s">
        <v>230</v>
      </c>
      <c r="BI424" s="279" t="s">
        <v>3071</v>
      </c>
      <c r="BJ424" s="276" t="s">
        <v>231</v>
      </c>
      <c r="BK424" s="257">
        <v>89.047467968273295</v>
      </c>
      <c r="BL424" s="257">
        <v>95.977011494252807</v>
      </c>
      <c r="BM424" s="276">
        <v>1.0778185352608616</v>
      </c>
      <c r="BN424" s="257">
        <v>6.9295435259795113</v>
      </c>
      <c r="BO424" s="276">
        <v>14.141925563223493</v>
      </c>
      <c r="BP424" s="276" t="s">
        <v>232</v>
      </c>
      <c r="BQ424" s="279" t="s">
        <v>3071</v>
      </c>
      <c r="BR424" s="276" t="s">
        <v>233</v>
      </c>
      <c r="BS424" s="257">
        <v>-8.1050396583282396</v>
      </c>
      <c r="BT424" s="257">
        <v>-8.1428571428571406</v>
      </c>
      <c r="BU424" s="259">
        <v>1.0046659222068139</v>
      </c>
      <c r="BV424" s="257">
        <v>-3.7817484528900991E-2</v>
      </c>
      <c r="BW424" s="257"/>
      <c r="BX424" s="257">
        <v>-3.781748452890099E-5</v>
      </c>
      <c r="BY424" s="257">
        <v>-2.6741396961702658E-6</v>
      </c>
      <c r="BZ424" s="257">
        <v>0</v>
      </c>
      <c r="CA424" s="257">
        <v>0</v>
      </c>
      <c r="CB424" s="257">
        <v>0</v>
      </c>
      <c r="CC424" s="257">
        <v>0</v>
      </c>
      <c r="CD424" s="257">
        <v>0</v>
      </c>
      <c r="CE424" s="257">
        <v>0</v>
      </c>
      <c r="CF424" s="257">
        <v>0</v>
      </c>
      <c r="CG424" s="257">
        <v>0</v>
      </c>
      <c r="CH424" s="257">
        <v>0</v>
      </c>
      <c r="CI424" s="257">
        <v>0</v>
      </c>
      <c r="CJ424" s="257">
        <v>0</v>
      </c>
      <c r="CK424" s="257">
        <v>0</v>
      </c>
      <c r="CL424" s="257">
        <v>0</v>
      </c>
      <c r="CM424" s="257">
        <v>0</v>
      </c>
      <c r="CN424" s="257" t="s">
        <v>3072</v>
      </c>
      <c r="CO424" s="257">
        <v>89.047467968273295</v>
      </c>
      <c r="CP424" s="257">
        <v>95.977011494252807</v>
      </c>
      <c r="CQ424" s="257">
        <v>14.141925563223493</v>
      </c>
      <c r="CR424" s="257">
        <v>-8.1050396583282396</v>
      </c>
      <c r="CS424" s="257">
        <v>-8.1428571428571406</v>
      </c>
      <c r="CT424" s="257">
        <v>-3.781748452890099E-5</v>
      </c>
      <c r="CU424" s="257">
        <v>-2.6741396961702658E-6</v>
      </c>
      <c r="CV424" s="258">
        <v>-4.6659222068138892E-3</v>
      </c>
      <c r="CW424" s="256" t="s">
        <v>234</v>
      </c>
      <c r="CX424" s="257" t="s">
        <v>3073</v>
      </c>
      <c r="CY424" s="257" t="s">
        <v>235</v>
      </c>
      <c r="CZ424" s="257"/>
      <c r="DA424" s="276"/>
      <c r="DB424" s="276">
        <v>80</v>
      </c>
      <c r="DC424" s="257" t="s">
        <v>3074</v>
      </c>
      <c r="DD424" s="257">
        <v>0</v>
      </c>
      <c r="DE424" s="257">
        <v>1</v>
      </c>
      <c r="DF424" s="257">
        <v>0</v>
      </c>
      <c r="DG424" s="257">
        <v>0</v>
      </c>
      <c r="DH424" s="257"/>
      <c r="DI424" s="257">
        <v>1</v>
      </c>
      <c r="DJ424" s="257" t="s">
        <v>173</v>
      </c>
      <c r="DK424" s="257">
        <v>0</v>
      </c>
      <c r="DL424" s="257" t="s">
        <v>180</v>
      </c>
      <c r="DM424" s="257">
        <v>0</v>
      </c>
      <c r="DN424" s="257">
        <v>0</v>
      </c>
      <c r="DO424" s="257">
        <v>0</v>
      </c>
      <c r="DP424" s="276">
        <v>0</v>
      </c>
      <c r="DQ424" s="276">
        <v>0</v>
      </c>
      <c r="DR424" s="276">
        <v>0</v>
      </c>
      <c r="DS424" s="276">
        <v>0</v>
      </c>
      <c r="DT424" s="257">
        <v>0</v>
      </c>
      <c r="DU424" s="276" t="s">
        <v>962</v>
      </c>
      <c r="DV424" s="276">
        <v>1</v>
      </c>
      <c r="DW424" s="276">
        <v>1</v>
      </c>
      <c r="DX424" s="276">
        <v>1</v>
      </c>
      <c r="DY424" s="276">
        <v>0</v>
      </c>
      <c r="DZ424" s="257">
        <v>0</v>
      </c>
      <c r="EA424" s="276">
        <v>0</v>
      </c>
      <c r="EB424" s="276">
        <v>1</v>
      </c>
      <c r="EC424" s="276">
        <v>1</v>
      </c>
      <c r="ED424" s="276">
        <v>0</v>
      </c>
      <c r="EE424" s="276">
        <v>0</v>
      </c>
      <c r="EF424" s="257">
        <v>1</v>
      </c>
      <c r="EG424" s="276">
        <v>0</v>
      </c>
      <c r="EH424" s="257">
        <v>0</v>
      </c>
      <c r="EI424" s="258">
        <v>0</v>
      </c>
      <c r="EJ424" s="256"/>
      <c r="EK424" t="str">
        <f>IF(AND(AND(AND(OR($DX424=1,$DW424=1),OR($EC424=1,$EA424=1)),SUM($DV424:$DZ424,$EF424)&gt;=4),SUM($EA424:$EE424)&gt;=2),"Whole sector","")</f>
        <v>Whole sector</v>
      </c>
      <c r="EL424" t="str">
        <f>IF(AND(AND(OR($DX424=1,$DW424=1),AND($EC424=0,$EA424=0)),SUM($DV424:$DZ424,$EF424)&gt;=4),"Ecosystem approach","")</f>
        <v/>
      </c>
      <c r="EM424" s="258" t="s">
        <v>544</v>
      </c>
      <c r="EN424" s="257" t="s">
        <v>236</v>
      </c>
      <c r="EO424" s="257"/>
      <c r="EP424" t="str">
        <f>IF(ISNUMBER(BU424),IF(ABS(BU424-[2]QC_indicators!$B$2)&gt;3*[2]QC_indicators!$C$2,"C ratio",IF(ISNUMBER(BY424),IF(ABS(BY424-[2]QC_indicators!$B$1)&gt;3*[2]QC_indicators!$C$1,"DF","no"))),IF(ISNUMBER(BY424),IF(ABS(BY424-[2]QC_indicators!$B$1)&gt;3*[2]QC_indicators!$C$1,"DF","no")))</f>
        <v>no</v>
      </c>
      <c r="EQ424"/>
      <c r="ER424"/>
      <c r="ES424"/>
      <c r="ET424"/>
      <c r="EU424"/>
    </row>
    <row r="425" spans="1:151" s="139" customFormat="1" ht="15" customHeight="1">
      <c r="A425" s="1" t="s">
        <v>1138</v>
      </c>
      <c r="B425" t="s">
        <v>2206</v>
      </c>
      <c r="C425" t="s">
        <v>2207</v>
      </c>
      <c r="D425" t="s">
        <v>2208</v>
      </c>
      <c r="E425" t="s">
        <v>2209</v>
      </c>
      <c r="F425" t="s">
        <v>2210</v>
      </c>
      <c r="G425" t="s">
        <v>1139</v>
      </c>
      <c r="H425" t="s">
        <v>254</v>
      </c>
      <c r="I425">
        <v>2017</v>
      </c>
      <c r="J425">
        <v>12</v>
      </c>
      <c r="K425" t="s">
        <v>2211</v>
      </c>
      <c r="L425"/>
      <c r="M425" t="str">
        <f>LEFT($D425,FIND(",",$D425)-1)&amp;"_"&amp;I425&amp;L425</f>
        <v>Qin_2017</v>
      </c>
      <c r="N425" t="s">
        <v>222</v>
      </c>
      <c r="O425" s="145" t="s">
        <v>341</v>
      </c>
      <c r="P425"/>
      <c r="Q425" t="s">
        <v>256</v>
      </c>
      <c r="R425" s="262" t="s">
        <v>223</v>
      </c>
      <c r="S425" s="1" t="s">
        <v>2212</v>
      </c>
      <c r="T425" s="264" t="s">
        <v>3224</v>
      </c>
      <c r="U425" t="s">
        <v>2213</v>
      </c>
      <c r="V425">
        <v>0</v>
      </c>
      <c r="W425">
        <v>0</v>
      </c>
      <c r="X425">
        <v>0</v>
      </c>
      <c r="Y425">
        <v>1</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1</v>
      </c>
      <c r="AW425">
        <v>0</v>
      </c>
      <c r="AX425" s="141">
        <f>COUNTIF(V425:AW425,"&lt;&gt;0")</f>
        <v>2</v>
      </c>
      <c r="AY425" s="141">
        <f>COUNTIF(V425:AL425,"&lt;&gt;0")</f>
        <v>1</v>
      </c>
      <c r="AZ425">
        <f>COUNTIF(V425:AC425,"&lt;&gt;0")</f>
        <v>1</v>
      </c>
      <c r="BA425">
        <f>COUNTIF(AD425:AI425,"&lt;&gt;0")</f>
        <v>0</v>
      </c>
      <c r="BB425">
        <f>COUNTIF(AJ425:AL425,"&lt;&gt;0")</f>
        <v>0</v>
      </c>
      <c r="BC425">
        <f>COUNTIF(AS425:AW425,"&lt;&gt;0")</f>
        <v>1</v>
      </c>
      <c r="BD425">
        <f>COUNTIF(AM425:AR425,"&lt;&gt;0")</f>
        <v>0</v>
      </c>
      <c r="BE425" t="str">
        <f t="array" ref="BE425">IF(AY425=1,INDEX($V$7:$AL$7,MATCH(TRUE,INDEX($V425:$AW425&lt;&gt;0,),0)),IF(AY425=0,INDEX($AM$7:$AW$7,MATCH(1,$AM425:$AW425,0)),IF(BF425="Multiple strategies","mixed drivers",IF(BF425="Supply chain","multiple supply","multiple silviculture"))))</f>
        <v xml:space="preserve">cutting intensity </v>
      </c>
      <c r="BF425" s="2" t="str" cm="1">
        <f t="array" ref="BF425">IF(COUNTIF(AZ425:BB425,"&lt;&gt;0")=1,INDEX($V$4:$AW$4,MATCH(TRUE,INDEX($V425:$AW425&lt;&gt;0,),0)),IF(COUNTIF(AZ425:BB425,"&lt;&gt;0")=0,INDEX($AM$4:$AW$4,MATCH(1,$AM425:$AW425,0)),"Multiple strategies"))</f>
        <v>Silviculture for removals</v>
      </c>
      <c r="BG425" s="1" t="s">
        <v>321</v>
      </c>
      <c r="BH425" s="264" t="s">
        <v>3225</v>
      </c>
      <c r="BI425" s="264" t="s">
        <v>3226</v>
      </c>
      <c r="BJ425" s="264" t="s">
        <v>1323</v>
      </c>
      <c r="BK425">
        <v>0.14000000000000001</v>
      </c>
      <c r="BL425">
        <v>3.7</v>
      </c>
      <c r="BM425"/>
      <c r="BN425">
        <f>BL425-BK425</f>
        <v>3.56</v>
      </c>
      <c r="BO425" s="143">
        <f>BN425*10^6</f>
        <v>3560000</v>
      </c>
      <c r="BP425" t="s">
        <v>232</v>
      </c>
      <c r="BQ425" s="153" t="s">
        <v>3227</v>
      </c>
      <c r="BR425" s="264" t="s">
        <v>3228</v>
      </c>
      <c r="BS425">
        <v>1.9</v>
      </c>
      <c r="BT425">
        <v>-0.57999999999999996</v>
      </c>
      <c r="BU425" s="144">
        <f>IFERROR(BT425/BS425,"")</f>
        <v>-0.30526315789473685</v>
      </c>
      <c r="BV425">
        <f>BT425-BS425</f>
        <v>-2.48</v>
      </c>
      <c r="BW425"/>
      <c r="BX425">
        <f>BV425*C_to_CO2</f>
        <v>-9.1015999999999995</v>
      </c>
      <c r="BY425">
        <f>IFERROR(BX425/BO425,"")</f>
        <v>-2.5566292134831461E-6</v>
      </c>
      <c r="BZ425">
        <v>0</v>
      </c>
      <c r="CA425">
        <v>0</v>
      </c>
      <c r="CB425">
        <v>0</v>
      </c>
      <c r="CC425">
        <v>0</v>
      </c>
      <c r="CD425">
        <v>0</v>
      </c>
      <c r="CE425">
        <v>0</v>
      </c>
      <c r="CF425">
        <v>0</v>
      </c>
      <c r="CG425">
        <v>0</v>
      </c>
      <c r="CH425">
        <v>0</v>
      </c>
      <c r="CI425">
        <v>0</v>
      </c>
      <c r="CJ425">
        <v>0</v>
      </c>
      <c r="CK425">
        <v>0</v>
      </c>
      <c r="CL425">
        <v>0</v>
      </c>
      <c r="CM425">
        <v>0</v>
      </c>
      <c r="CN425" t="str">
        <f>IF($BL425&lt;$BK425,"refNeedCorrection","refOK")</f>
        <v>refOK</v>
      </c>
      <c r="CO425">
        <f>IF($CN425="refOK",$BK425,$BL425)</f>
        <v>0.14000000000000001</v>
      </c>
      <c r="CP425">
        <f>IF($CN425="refOK",$BL425,$BK425)</f>
        <v>3.7</v>
      </c>
      <c r="CQ425">
        <f>IF($CN425="refOK",$BO425,-$BO425)</f>
        <v>3560000</v>
      </c>
      <c r="CR425">
        <f>IF($CN425="refOK",$BS425,$BT425)*IF($BP425="Emissions positive",-1,1)</f>
        <v>1.9</v>
      </c>
      <c r="CS425">
        <f>IF($CN425="refOK",$BT425,$BS425)*IF($BP425="Emissions positive",-1,1)</f>
        <v>-0.57999999999999996</v>
      </c>
      <c r="CT425">
        <f>IF($CN425="refNeedCorrection",-BX425,BX425)*IF($BP425="Emissions positive",-1,1)</f>
        <v>-9.1015999999999995</v>
      </c>
      <c r="CU425">
        <f>IFERROR(CT425/CQ425,"")</f>
        <v>-2.5566292134831461E-6</v>
      </c>
      <c r="CV425" s="2">
        <f>IFERROR((CS425-CR425)/ABS(CR425),"")</f>
        <v>-1.3052631578947369</v>
      </c>
      <c r="CW425" s="1" t="s">
        <v>1199</v>
      </c>
      <c r="CX425" t="str">
        <f>IF(OR($CW425="prd",$CW425="std",$CW425="cit"),"loc",IF(OR($CW425="eur",$CW425="reg",$CW425="coy"),"reg",$CW425))</f>
        <v>reg</v>
      </c>
      <c r="CY425" t="s">
        <v>690</v>
      </c>
      <c r="CZ425"/>
      <c r="DA425"/>
      <c r="DB425">
        <v>30</v>
      </c>
      <c r="DC425" t="str">
        <f>IF(DB425=0,"0",IF(AND(DB425&gt;=1,DB425&lt;=30),"1-30",IF(AND(DB425&gt;30,DB425&lt;=70),"31-70",IF(AND(DB425&gt;70,DB425&lt;=100),"71-100",IF(DB425&gt;100,"+100")))))</f>
        <v>1-30</v>
      </c>
      <c r="DD425">
        <v>1</v>
      </c>
      <c r="DE425">
        <v>0</v>
      </c>
      <c r="DF425">
        <v>0</v>
      </c>
      <c r="DG425">
        <v>0</v>
      </c>
      <c r="DH425"/>
      <c r="DI425">
        <f>SUM(DD425:DG425)</f>
        <v>1</v>
      </c>
      <c r="DJ425" t="str">
        <f>IF(DI425=1,INDEX($DD$7:$DG$7,MATCH(1,$DD425:$DG425,0)),"mixedProduct")</f>
        <v>UpstreamInput</v>
      </c>
      <c r="DK425" t="str">
        <f>IF(DD425=1,DK$7,0)</f>
        <v>Upstream</v>
      </c>
      <c r="DL425">
        <f>IF(DE425=1,DL$7,0)</f>
        <v>0</v>
      </c>
      <c r="DM425">
        <f>IF(DF425=1,DM$7,0)</f>
        <v>0</v>
      </c>
      <c r="DN425">
        <f>IF(DG425=1,DN$7,0)</f>
        <v>0</v>
      </c>
      <c r="DO425">
        <v>1</v>
      </c>
      <c r="DP425">
        <v>0</v>
      </c>
      <c r="DQ425">
        <v>0</v>
      </c>
      <c r="DR425">
        <v>0</v>
      </c>
      <c r="DS425">
        <v>0</v>
      </c>
      <c r="DT425">
        <f>SUM(DO425:DP425)</f>
        <v>1</v>
      </c>
      <c r="DU425" s="143" t="str">
        <f>IF(DO425=1,"self-calculated DF",IF(DP425=1,"external DF used","explicit C balance"))</f>
        <v>self-calculated DF</v>
      </c>
      <c r="DV425">
        <v>0</v>
      </c>
      <c r="DW425">
        <v>0</v>
      </c>
      <c r="DX425">
        <v>1</v>
      </c>
      <c r="DY425">
        <v>0</v>
      </c>
      <c r="DZ425">
        <v>0</v>
      </c>
      <c r="EA425" s="143">
        <v>0</v>
      </c>
      <c r="EB425">
        <v>0</v>
      </c>
      <c r="EC425">
        <v>0</v>
      </c>
      <c r="ED425">
        <v>0</v>
      </c>
      <c r="EE425">
        <v>0</v>
      </c>
      <c r="EF425">
        <v>1</v>
      </c>
      <c r="EG425">
        <v>0</v>
      </c>
      <c r="EH425">
        <v>0</v>
      </c>
      <c r="EI425" s="2">
        <v>0</v>
      </c>
      <c r="EJ425" s="1"/>
      <c r="EK425" t="str">
        <f>IF(AND(AND(AND(OR($DX425=1,$DW425=1),OR($EC425=1,$EA425=1)),SUM($DV425:$DZ425,$EF425)&gt;=4),SUM($EA425:$EE425)&gt;=2),"Whole sector","")</f>
        <v/>
      </c>
      <c r="EL425" t="str">
        <f>IF(AND(AND(OR($DX425=1,$DW425=1),AND($EC425=0,$EA425=0)),SUM($DV425:$DZ425,$EF425)&gt;=4),"Ecosystem approach","")</f>
        <v/>
      </c>
      <c r="EM425" s="2" t="str">
        <f>IF(AND(AND(AND($DX425=0,$DW425=0),OR($EC425=1,$EA425=1)),SUM($EB425:$EE425)&gt;=2),"Technology approach","")</f>
        <v/>
      </c>
      <c r="EN425"/>
      <c r="EO425"/>
      <c r="EP425" t="str">
        <f>IF(ISNUMBER(BU425),IF(ABS(BU425-[1]QC_indicators!$B$2)&gt;3*[1]QC_indicators!$C$2,"C ratio",IF(ISNUMBER(BY425),IF(ABS(BY425-[1]QC_indicators!$B$1)&gt;3*[1]QC_indicators!$C$1,"DF","no"))),IF(ISNUMBER(BY425),IF(ABS(BY425-[1]QC_indicators!$B$1)&gt;3*[1]QC_indicators!$C$1,"DF","no")))</f>
        <v>no</v>
      </c>
      <c r="EQ425"/>
      <c r="ER425"/>
      <c r="ES425"/>
      <c r="ET425" s="305" t="s">
        <v>3410</v>
      </c>
      <c r="EU425"/>
    </row>
    <row r="426" spans="1:151" s="139" customFormat="1" ht="15" customHeight="1">
      <c r="A426" s="1"/>
      <c r="B426"/>
      <c r="C426"/>
      <c r="D426" t="s">
        <v>2052</v>
      </c>
      <c r="E426" t="s">
        <v>2053</v>
      </c>
      <c r="F426"/>
      <c r="G426" t="s">
        <v>2054</v>
      </c>
      <c r="H426"/>
      <c r="I426">
        <v>2018</v>
      </c>
      <c r="J426"/>
      <c r="K426" s="150" t="s">
        <v>2055</v>
      </c>
      <c r="L426"/>
      <c r="M426" t="str">
        <f>LEFT($D426,FIND(",",$D426)-1)&amp;"_"&amp;I426&amp;L426</f>
        <v>Olguin_2018</v>
      </c>
      <c r="N426" t="s">
        <v>222</v>
      </c>
      <c r="O426" s="157" t="s">
        <v>274</v>
      </c>
      <c r="P426" t="s">
        <v>513</v>
      </c>
      <c r="Q426" t="s">
        <v>389</v>
      </c>
      <c r="R426" s="262" t="s">
        <v>223</v>
      </c>
      <c r="S426" s="263" t="s">
        <v>3197</v>
      </c>
      <c r="T426" t="s">
        <v>2056</v>
      </c>
      <c r="U426" t="s">
        <v>2065</v>
      </c>
      <c r="V426">
        <v>0</v>
      </c>
      <c r="W426">
        <v>0</v>
      </c>
      <c r="X426">
        <v>0</v>
      </c>
      <c r="Y426">
        <v>0</v>
      </c>
      <c r="Z426">
        <v>0</v>
      </c>
      <c r="AA426">
        <v>0</v>
      </c>
      <c r="AB426">
        <v>0</v>
      </c>
      <c r="AC426">
        <v>1</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s="141">
        <f>COUNTIF(V426:AW426,"&lt;&gt;0")</f>
        <v>1</v>
      </c>
      <c r="AY426" s="141">
        <f>COUNTIF(V426:AL426,"&lt;&gt;0")</f>
        <v>1</v>
      </c>
      <c r="AZ426">
        <f>COUNTIF(V426:AC426,"&lt;&gt;0")</f>
        <v>1</v>
      </c>
      <c r="BA426">
        <f>COUNTIF(AD426:AI426,"&lt;&gt;0")</f>
        <v>0</v>
      </c>
      <c r="BB426">
        <f>COUNTIF(AJ426:AL426,"&lt;&gt;0")</f>
        <v>0</v>
      </c>
      <c r="BC426">
        <f>COUNTIF(AS426:AW426,"&lt;&gt;0")</f>
        <v>0</v>
      </c>
      <c r="BD426">
        <f>COUNTIF(AM426:AR426,"&lt;&gt;0")</f>
        <v>0</v>
      </c>
      <c r="BE426" t="str">
        <f t="array" ref="BE426">IF(AY426=1,INDEX($V$7:$AL$7,MATCH(TRUE,INDEX($V426:$AW426&lt;&gt;0,),0)),IF(AY426=0,INDEX($AM$7:$AW$7,MATCH(1,$AM426:$AW426,0)),IF(BF426="Multiple strategies","mixed drivers",IF(BF426="Supply chain","multiple supply","multiple silviculture"))))</f>
        <v>site fertility</v>
      </c>
      <c r="BF426" s="2" t="str" cm="1">
        <f t="array" ref="BF426">IF(COUNTIF(AZ426:BB426,"&lt;&gt;0")=1,INDEX($V$4:$AW$4,MATCH(TRUE,INDEX($V426:$AW426&lt;&gt;0,),0)),IF(COUNTIF(AZ426:BB426,"&lt;&gt;0")=0,INDEX($AM$4:$AW$4,MATCH(1,$AM426:$AW426,0)),"Multiple strategies"))</f>
        <v>Silviculture for productivity</v>
      </c>
      <c r="BG426" s="1" t="s">
        <v>321</v>
      </c>
      <c r="BH426"/>
      <c r="BI426" s="264" t="s">
        <v>1036</v>
      </c>
      <c r="BJ426" t="s">
        <v>2058</v>
      </c>
      <c r="BK426">
        <v>0</v>
      </c>
      <c r="BL426">
        <v>218025</v>
      </c>
      <c r="BM426" t="str">
        <f>IFERROR(BL426/BK426,"")</f>
        <v/>
      </c>
      <c r="BN426">
        <f>BL426-BK426</f>
        <v>218025</v>
      </c>
      <c r="BO426">
        <f>BN426*tC_to_m3</f>
        <v>946699.95657837612</v>
      </c>
      <c r="BP426" t="s">
        <v>232</v>
      </c>
      <c r="BQ426" t="s">
        <v>424</v>
      </c>
      <c r="BR426" t="s">
        <v>2063</v>
      </c>
      <c r="BS426"/>
      <c r="BT426"/>
      <c r="BU426" s="144"/>
      <c r="BV426">
        <v>-1.62</v>
      </c>
      <c r="BW426"/>
      <c r="BX426">
        <f>BV426</f>
        <v>-1.62</v>
      </c>
      <c r="BY426">
        <f>IFERROR(BX426/BO426,"")</f>
        <v>-1.7112074303405573E-6</v>
      </c>
      <c r="BZ426">
        <v>0</v>
      </c>
      <c r="CA426">
        <v>0</v>
      </c>
      <c r="CB426">
        <v>0</v>
      </c>
      <c r="CC426">
        <v>0</v>
      </c>
      <c r="CD426">
        <v>0</v>
      </c>
      <c r="CE426">
        <v>0</v>
      </c>
      <c r="CF426">
        <v>0</v>
      </c>
      <c r="CG426">
        <v>0</v>
      </c>
      <c r="CH426">
        <v>0</v>
      </c>
      <c r="CI426">
        <v>0</v>
      </c>
      <c r="CJ426">
        <v>0</v>
      </c>
      <c r="CK426">
        <v>0</v>
      </c>
      <c r="CL426">
        <v>0</v>
      </c>
      <c r="CM426">
        <v>0</v>
      </c>
      <c r="CN426" t="str">
        <f>IF($BL426&lt;$BK426,"refNeedCorrection","refOK")</f>
        <v>refOK</v>
      </c>
      <c r="CO426">
        <f>IF($CN426="refOK",$BK426,$BL426)</f>
        <v>0</v>
      </c>
      <c r="CP426">
        <f>IF($CN426="refOK",$BL426,$BK426)</f>
        <v>218025</v>
      </c>
      <c r="CQ426">
        <f>IF($CN426="refOK",$BO426,-$BO426)</f>
        <v>946699.95657837612</v>
      </c>
      <c r="CR426">
        <f>IF($CN426="refOK",$BS426,$BT426)*IF($BP426="Emissions positive",-1,1)</f>
        <v>0</v>
      </c>
      <c r="CS426">
        <f>IF($CN426="refOK",$BT426,$BS426)*IF($BP426="Emissions positive",-1,1)</f>
        <v>0</v>
      </c>
      <c r="CT426">
        <f>IF($CN426="refNeedCorrection",-BX426,BX426)*IF($BP426="Emissions positive",-1,1)</f>
        <v>-1.62</v>
      </c>
      <c r="CU426">
        <f>IFERROR(CT426/CQ426,"")</f>
        <v>-1.7112074303405573E-6</v>
      </c>
      <c r="CV426" s="2" t="str">
        <f>IFERROR((CS426-CR426)/ABS(CR426),"")</f>
        <v/>
      </c>
      <c r="CW426" s="1" t="s">
        <v>2036</v>
      </c>
      <c r="CX426" t="str">
        <f>IF(OR($CW426="prd",$CW426="std",$CW426="cit"),"loc",IF(OR($CW426="eur",$CW426="reg",$CW426="coy"),"reg",$CW426))</f>
        <v>reg</v>
      </c>
      <c r="CY426" t="s">
        <v>2060</v>
      </c>
      <c r="CZ426">
        <v>2021</v>
      </c>
      <c r="DA426">
        <v>2040</v>
      </c>
      <c r="DB426">
        <f>DA426-CZ426</f>
        <v>19</v>
      </c>
      <c r="DC426" t="str">
        <f>IF(DB426=0,"0",IF(AND(DB426&gt;=1,DB426&lt;=30),"1-30",IF(AND(DB426&gt;30,DB426&lt;=70),"31-70",IF(AND(DB426&gt;70,DB426&lt;=100),"71-100",IF(DB426&gt;100,"+100")))))</f>
        <v>1-30</v>
      </c>
      <c r="DD426">
        <v>0</v>
      </c>
      <c r="DE426">
        <v>0</v>
      </c>
      <c r="DF426">
        <v>0</v>
      </c>
      <c r="DG426">
        <v>1</v>
      </c>
      <c r="DH426">
        <v>0</v>
      </c>
      <c r="DI426">
        <f>SUM(DD426:DG426)</f>
        <v>1</v>
      </c>
      <c r="DJ426" t="str">
        <f>IF(DI426=1,INDEX($DD$7:$DG$7,MATCH(1,$DD426:$DG426,0)),"mixedProduct")</f>
        <v>TimberInput</v>
      </c>
      <c r="DK426">
        <f>IF(DD426=1,DK$7,0)</f>
        <v>0</v>
      </c>
      <c r="DL426">
        <f>IF(DE426=1,DL$7,0)</f>
        <v>0</v>
      </c>
      <c r="DM426">
        <f>IF(DF426=1,DM$7,0)</f>
        <v>0</v>
      </c>
      <c r="DN426" t="str">
        <f>IF(DG426=1,DN$7,0)</f>
        <v>Timber</v>
      </c>
      <c r="DO426"/>
      <c r="DP426">
        <v>1</v>
      </c>
      <c r="DQ426"/>
      <c r="DR426"/>
      <c r="DS426" s="184" t="s">
        <v>2061</v>
      </c>
      <c r="DT426"/>
      <c r="DU426" s="143" t="str">
        <f>IF(DO426=1,"self-calculated DF",IF(DP426=1,"external DF used","explicit C balance"))</f>
        <v>external DF used</v>
      </c>
      <c r="DV426">
        <v>1</v>
      </c>
      <c r="DW426">
        <v>1</v>
      </c>
      <c r="DX426">
        <v>1</v>
      </c>
      <c r="DY426">
        <v>1</v>
      </c>
      <c r="DZ426">
        <v>1</v>
      </c>
      <c r="EA426">
        <v>1</v>
      </c>
      <c r="EB426">
        <v>0</v>
      </c>
      <c r="EC426">
        <v>0</v>
      </c>
      <c r="ED426">
        <v>0</v>
      </c>
      <c r="EE426">
        <v>0</v>
      </c>
      <c r="EF426">
        <v>1</v>
      </c>
      <c r="EG426">
        <v>0</v>
      </c>
      <c r="EH426">
        <v>1</v>
      </c>
      <c r="EI426" s="2">
        <v>0</v>
      </c>
      <c r="EJ426" s="1"/>
      <c r="EK426" t="str">
        <f>IF(AND(AND(AND(OR($DX426=1,$DW426=1),OR($EC426=1,$EA426=1)),SUM($DV426:$DZ426,$EF426)&gt;=4),SUM($EA426:$EE426)&gt;=2),"Whole sector","")</f>
        <v/>
      </c>
      <c r="EL426" t="str">
        <f>IF(AND(AND(OR($DX426=1,$DW426=1),AND($EC426=0,$EA426=0)),SUM($DV426:$DZ426,$EF426)&gt;=4),"Ecosystem approach","")</f>
        <v/>
      </c>
      <c r="EM426" s="2" t="str">
        <f>IF(AND(AND(AND($DX426=0,$DW426=0),OR($EC426=1,$EA426=1)),SUM($EB426:$EE426)&gt;=2),"Technology approach","")</f>
        <v/>
      </c>
      <c r="EN426"/>
      <c r="EO426"/>
      <c r="EP426" t="str">
        <f>IF(ISNUMBER(BU426),IF(ABS(BU426-[1]QC_indicators!$B$2)&gt;3*[1]QC_indicators!$C$2,"C ratio",IF(ISNUMBER(BY426),IF(ABS(BY426-[1]QC_indicators!$B$1)&gt;3*[1]QC_indicators!$C$1,"DF","no"))),IF(ISNUMBER(BY426),IF(ABS(BY426-[1]QC_indicators!$B$1)&gt;3*[1]QC_indicators!$C$1,"DF","no")))</f>
        <v>no</v>
      </c>
      <c r="EQ426"/>
      <c r="ER426"/>
      <c r="ES426"/>
      <c r="ET426" s="264" t="s">
        <v>3273</v>
      </c>
      <c r="EU426"/>
    </row>
    <row r="427" spans="1:151" s="139" customFormat="1" ht="15" customHeight="1">
      <c r="A427" s="1"/>
      <c r="B427"/>
      <c r="C427"/>
      <c r="D427" t="s">
        <v>2052</v>
      </c>
      <c r="E427" t="s">
        <v>2053</v>
      </c>
      <c r="F427"/>
      <c r="G427" t="s">
        <v>2054</v>
      </c>
      <c r="H427"/>
      <c r="I427">
        <v>2018</v>
      </c>
      <c r="J427"/>
      <c r="K427" s="150" t="s">
        <v>2055</v>
      </c>
      <c r="L427"/>
      <c r="M427" t="str">
        <f>LEFT($D427,FIND(",",$D427)-1)&amp;"_"&amp;I427&amp;L427</f>
        <v>Olguin_2018</v>
      </c>
      <c r="N427" t="s">
        <v>222</v>
      </c>
      <c r="O427" s="157" t="s">
        <v>274</v>
      </c>
      <c r="P427" t="s">
        <v>513</v>
      </c>
      <c r="Q427" t="s">
        <v>389</v>
      </c>
      <c r="R427" s="262" t="s">
        <v>223</v>
      </c>
      <c r="S427" s="263" t="s">
        <v>3204</v>
      </c>
      <c r="T427" t="s">
        <v>2056</v>
      </c>
      <c r="U427" t="s">
        <v>2065</v>
      </c>
      <c r="V427">
        <v>0</v>
      </c>
      <c r="W427">
        <v>0</v>
      </c>
      <c r="X427">
        <v>0</v>
      </c>
      <c r="Y427">
        <v>0</v>
      </c>
      <c r="Z427">
        <v>0</v>
      </c>
      <c r="AA427">
        <v>0</v>
      </c>
      <c r="AB427">
        <v>0</v>
      </c>
      <c r="AC427">
        <v>1</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s="141">
        <f>COUNTIF(V427:AW427,"&lt;&gt;0")</f>
        <v>1</v>
      </c>
      <c r="AY427" s="141">
        <f>COUNTIF(V427:AL427,"&lt;&gt;0")</f>
        <v>1</v>
      </c>
      <c r="AZ427">
        <f>COUNTIF(V427:AC427,"&lt;&gt;0")</f>
        <v>1</v>
      </c>
      <c r="BA427">
        <f>COUNTIF(AD427:AI427,"&lt;&gt;0")</f>
        <v>0</v>
      </c>
      <c r="BB427">
        <f>COUNTIF(AJ427:AL427,"&lt;&gt;0")</f>
        <v>0</v>
      </c>
      <c r="BC427">
        <f>COUNTIF(AS427:AW427,"&lt;&gt;0")</f>
        <v>0</v>
      </c>
      <c r="BD427">
        <f>COUNTIF(AM427:AR427,"&lt;&gt;0")</f>
        <v>0</v>
      </c>
      <c r="BE427" t="str">
        <f t="array" ref="BE427">IF(AY427=1,INDEX($V$7:$AL$7,MATCH(TRUE,INDEX($V427:$AW427&lt;&gt;0,),0)),IF(AY427=0,INDEX($AM$7:$AW$7,MATCH(1,$AM427:$AW427,0)),IF(BF427="Multiple strategies","mixed drivers",IF(BF427="Supply chain","multiple supply","multiple silviculture"))))</f>
        <v>site fertility</v>
      </c>
      <c r="BF427" s="2" t="str" cm="1">
        <f t="array" ref="BF427">IF(COUNTIF(AZ427:BB427,"&lt;&gt;0")=1,INDEX($V$4:$AW$4,MATCH(TRUE,INDEX($V427:$AW427&lt;&gt;0,),0)),IF(COUNTIF(AZ427:BB427,"&lt;&gt;0")=0,INDEX($AM$4:$AW$4,MATCH(1,$AM427:$AW427,0)),"Multiple strategies"))</f>
        <v>Silviculture for productivity</v>
      </c>
      <c r="BG427" s="1" t="s">
        <v>321</v>
      </c>
      <c r="BH427"/>
      <c r="BI427" s="264" t="s">
        <v>1036</v>
      </c>
      <c r="BJ427" t="s">
        <v>2058</v>
      </c>
      <c r="BK427">
        <v>0</v>
      </c>
      <c r="BL427">
        <v>218025</v>
      </c>
      <c r="BM427" t="str">
        <f>IFERROR(BL427/BK427,"")</f>
        <v/>
      </c>
      <c r="BN427">
        <f>BL427-BK427</f>
        <v>218025</v>
      </c>
      <c r="BO427">
        <f>BN427*tC_to_m3</f>
        <v>946699.95657837612</v>
      </c>
      <c r="BP427" t="s">
        <v>232</v>
      </c>
      <c r="BQ427" t="s">
        <v>424</v>
      </c>
      <c r="BR427" t="s">
        <v>2063</v>
      </c>
      <c r="BS427"/>
      <c r="BT427"/>
      <c r="BU427" s="144"/>
      <c r="BV427">
        <v>-1.49</v>
      </c>
      <c r="BW427"/>
      <c r="BX427">
        <f>BV427</f>
        <v>-1.49</v>
      </c>
      <c r="BY427">
        <f>IFERROR(BX427/BO427,"")</f>
        <v>-1.573888315560142E-6</v>
      </c>
      <c r="BZ427">
        <v>0</v>
      </c>
      <c r="CA427">
        <v>0</v>
      </c>
      <c r="CB427">
        <v>0</v>
      </c>
      <c r="CC427">
        <v>0</v>
      </c>
      <c r="CD427">
        <v>0</v>
      </c>
      <c r="CE427">
        <v>0</v>
      </c>
      <c r="CF427">
        <v>0</v>
      </c>
      <c r="CG427">
        <v>0</v>
      </c>
      <c r="CH427">
        <v>0</v>
      </c>
      <c r="CI427">
        <v>0</v>
      </c>
      <c r="CJ427">
        <v>0</v>
      </c>
      <c r="CK427">
        <v>0</v>
      </c>
      <c r="CL427">
        <v>0</v>
      </c>
      <c r="CM427">
        <v>0</v>
      </c>
      <c r="CN427" t="str">
        <f>IF($BL427&lt;$BK427,"refNeedCorrection","refOK")</f>
        <v>refOK</v>
      </c>
      <c r="CO427">
        <f>IF($CN427="refOK",$BK427,$BL427)</f>
        <v>0</v>
      </c>
      <c r="CP427">
        <f>IF($CN427="refOK",$BL427,$BK427)</f>
        <v>218025</v>
      </c>
      <c r="CQ427">
        <f>IF($CN427="refOK",$BO427,-$BO427)</f>
        <v>946699.95657837612</v>
      </c>
      <c r="CR427">
        <f>IF($CN427="refOK",$BS427,$BT427)*IF($BP427="Emissions positive",-1,1)</f>
        <v>0</v>
      </c>
      <c r="CS427">
        <f>IF($CN427="refOK",$BT427,$BS427)*IF($BP427="Emissions positive",-1,1)</f>
        <v>0</v>
      </c>
      <c r="CT427">
        <f>IF($CN427="refNeedCorrection",-BX427,BX427)*IF($BP427="Emissions positive",-1,1)</f>
        <v>-1.49</v>
      </c>
      <c r="CU427">
        <f>IFERROR(CT427/CQ427,"")</f>
        <v>-1.573888315560142E-6</v>
      </c>
      <c r="CV427" s="2" t="str">
        <f>IFERROR((CS427-CR427)/ABS(CR427),"")</f>
        <v/>
      </c>
      <c r="CW427" s="1" t="s">
        <v>2036</v>
      </c>
      <c r="CX427" t="str">
        <f>IF(OR($CW427="prd",$CW427="std",$CW427="cit"),"loc",IF(OR($CW427="eur",$CW427="reg",$CW427="coy"),"reg",$CW427))</f>
        <v>reg</v>
      </c>
      <c r="CY427" t="s">
        <v>2060</v>
      </c>
      <c r="CZ427">
        <v>2021</v>
      </c>
      <c r="DA427">
        <v>2050</v>
      </c>
      <c r="DB427">
        <f>DA427-CZ427</f>
        <v>29</v>
      </c>
      <c r="DC427" t="str">
        <f>IF(DB427=0,"0",IF(AND(DB427&gt;=1,DB427&lt;=30),"1-30",IF(AND(DB427&gt;30,DB427&lt;=70),"31-70",IF(AND(DB427&gt;70,DB427&lt;=100),"71-100",IF(DB427&gt;100,"+100")))))</f>
        <v>1-30</v>
      </c>
      <c r="DD427">
        <v>0</v>
      </c>
      <c r="DE427">
        <v>0</v>
      </c>
      <c r="DF427">
        <v>0</v>
      </c>
      <c r="DG427">
        <v>1</v>
      </c>
      <c r="DH427">
        <v>0</v>
      </c>
      <c r="DI427">
        <f>SUM(DD427:DG427)</f>
        <v>1</v>
      </c>
      <c r="DJ427" t="str">
        <f>IF(DI427=1,INDEX($DD$7:$DG$7,MATCH(1,$DD427:$DG427,0)),"mixedProduct")</f>
        <v>TimberInput</v>
      </c>
      <c r="DK427">
        <f>IF(DD427=1,DK$7,0)</f>
        <v>0</v>
      </c>
      <c r="DL427">
        <f>IF(DE427=1,DL$7,0)</f>
        <v>0</v>
      </c>
      <c r="DM427">
        <f>IF(DF427=1,DM$7,0)</f>
        <v>0</v>
      </c>
      <c r="DN427" t="str">
        <f>IF(DG427=1,DN$7,0)</f>
        <v>Timber</v>
      </c>
      <c r="DO427"/>
      <c r="DP427">
        <v>1</v>
      </c>
      <c r="DQ427"/>
      <c r="DR427"/>
      <c r="DS427" s="184" t="s">
        <v>2061</v>
      </c>
      <c r="DT427"/>
      <c r="DU427" s="143" t="str">
        <f>IF(DO427=1,"self-calculated DF",IF(DP427=1,"external DF used","explicit C balance"))</f>
        <v>external DF used</v>
      </c>
      <c r="DV427">
        <v>1</v>
      </c>
      <c r="DW427">
        <v>1</v>
      </c>
      <c r="DX427">
        <v>1</v>
      </c>
      <c r="DY427">
        <v>1</v>
      </c>
      <c r="DZ427">
        <v>1</v>
      </c>
      <c r="EA427">
        <v>1</v>
      </c>
      <c r="EB427">
        <v>0</v>
      </c>
      <c r="EC427">
        <v>0</v>
      </c>
      <c r="ED427">
        <v>0</v>
      </c>
      <c r="EE427">
        <v>0</v>
      </c>
      <c r="EF427">
        <v>1</v>
      </c>
      <c r="EG427">
        <v>0</v>
      </c>
      <c r="EH427">
        <v>1</v>
      </c>
      <c r="EI427" s="2">
        <v>0</v>
      </c>
      <c r="EJ427" s="1"/>
      <c r="EK427" t="str">
        <f>IF(AND(AND(AND(OR($DX427=1,$DW427=1),OR($EC427=1,$EA427=1)),SUM($DV427:$DZ427,$EF427)&gt;=4),SUM($EA427:$EE427)&gt;=2),"Whole sector","")</f>
        <v/>
      </c>
      <c r="EL427" t="str">
        <f>IF(AND(AND(OR($DX427=1,$DW427=1),AND($EC427=0,$EA427=0)),SUM($DV427:$DZ427,$EF427)&gt;=4),"Ecosystem approach","")</f>
        <v/>
      </c>
      <c r="EM427" s="2" t="str">
        <f>IF(AND(AND(AND($DX427=0,$DW427=0),OR($EC427=1,$EA427=1)),SUM($EB427:$EE427)&gt;=2),"Technology approach","")</f>
        <v/>
      </c>
      <c r="EN427"/>
      <c r="EO427"/>
      <c r="EP427" t="str">
        <f>IF(ISNUMBER(BU427),IF(ABS(BU427-[1]QC_indicators!$B$2)&gt;3*[1]QC_indicators!$C$2,"C ratio",IF(ISNUMBER(BY427),IF(ABS(BY427-[1]QC_indicators!$B$1)&gt;3*[1]QC_indicators!$C$1,"DF","no"))),IF(ISNUMBER(BY427),IF(ABS(BY427-[1]QC_indicators!$B$1)&gt;3*[1]QC_indicators!$C$1,"DF","no")))</f>
        <v>no</v>
      </c>
      <c r="EQ427"/>
      <c r="ER427"/>
      <c r="ES427"/>
      <c r="ET427" s="264" t="s">
        <v>3273</v>
      </c>
      <c r="EU427"/>
    </row>
    <row r="428" spans="1:151" s="139" customFormat="1" ht="15" customHeight="1">
      <c r="A428" s="1"/>
      <c r="B428"/>
      <c r="C428"/>
      <c r="D428" t="s">
        <v>2052</v>
      </c>
      <c r="E428" t="s">
        <v>2053</v>
      </c>
      <c r="F428"/>
      <c r="G428" t="s">
        <v>2054</v>
      </c>
      <c r="H428"/>
      <c r="I428">
        <v>2018</v>
      </c>
      <c r="J428"/>
      <c r="K428" s="150" t="s">
        <v>2055</v>
      </c>
      <c r="L428"/>
      <c r="M428" t="str">
        <f>LEFT($D428,FIND(",",$D428)-1)&amp;"_"&amp;I428&amp;L428</f>
        <v>Olguin_2018</v>
      </c>
      <c r="N428" t="s">
        <v>222</v>
      </c>
      <c r="O428" s="157" t="s">
        <v>274</v>
      </c>
      <c r="P428" t="s">
        <v>513</v>
      </c>
      <c r="Q428" t="s">
        <v>389</v>
      </c>
      <c r="R428" s="262" t="s">
        <v>223</v>
      </c>
      <c r="S428" s="263" t="s">
        <v>3203</v>
      </c>
      <c r="T428" t="s">
        <v>2056</v>
      </c>
      <c r="U428" t="s">
        <v>2062</v>
      </c>
      <c r="V428">
        <v>0</v>
      </c>
      <c r="W428">
        <v>0</v>
      </c>
      <c r="X428">
        <v>0</v>
      </c>
      <c r="Y428">
        <v>0</v>
      </c>
      <c r="Z428">
        <v>0</v>
      </c>
      <c r="AA428">
        <v>0</v>
      </c>
      <c r="AB428">
        <v>0</v>
      </c>
      <c r="AC428">
        <v>1</v>
      </c>
      <c r="AD428">
        <v>0</v>
      </c>
      <c r="AE428">
        <v>0</v>
      </c>
      <c r="AF428">
        <v>1</v>
      </c>
      <c r="AG428">
        <v>0</v>
      </c>
      <c r="AH428">
        <v>0</v>
      </c>
      <c r="AI428">
        <v>0</v>
      </c>
      <c r="AJ428">
        <v>0</v>
      </c>
      <c r="AK428">
        <v>0</v>
      </c>
      <c r="AL428">
        <v>0</v>
      </c>
      <c r="AM428">
        <v>0</v>
      </c>
      <c r="AN428">
        <v>0</v>
      </c>
      <c r="AO428">
        <v>0</v>
      </c>
      <c r="AP428">
        <v>0</v>
      </c>
      <c r="AQ428">
        <v>0</v>
      </c>
      <c r="AR428">
        <v>0</v>
      </c>
      <c r="AS428">
        <v>0</v>
      </c>
      <c r="AT428">
        <v>0</v>
      </c>
      <c r="AU428">
        <v>0</v>
      </c>
      <c r="AV428">
        <v>0</v>
      </c>
      <c r="AW428">
        <v>0</v>
      </c>
      <c r="AX428" s="141">
        <f>COUNTIF(V428:AW428,"&lt;&gt;0")</f>
        <v>2</v>
      </c>
      <c r="AY428" s="141">
        <f>COUNTIF(V428:AL428,"&lt;&gt;0")</f>
        <v>2</v>
      </c>
      <c r="AZ428">
        <f>COUNTIF(V428:AC428,"&lt;&gt;0")</f>
        <v>1</v>
      </c>
      <c r="BA428">
        <f>COUNTIF(AD428:AI428,"&lt;&gt;0")</f>
        <v>1</v>
      </c>
      <c r="BB428">
        <f>COUNTIF(AJ428:AL428,"&lt;&gt;0")</f>
        <v>0</v>
      </c>
      <c r="BC428">
        <f>COUNTIF(AS428:AW428,"&lt;&gt;0")</f>
        <v>0</v>
      </c>
      <c r="BD428">
        <f>COUNTIF(AM428:AR428,"&lt;&gt;0")</f>
        <v>0</v>
      </c>
      <c r="BE428" t="str">
        <f t="array" ref="BE428">IF(AY428=1,INDEX($V$7:$AL$7,MATCH(TRUE,INDEX($V428:$AW428&lt;&gt;0,),0)),IF(AY428=0,INDEX($AM$7:$AW$7,MATCH(1,$AM428:$AW428,0)),IF(BF428="Multiple strategies","mixed drivers",IF(BF428="Supply chain","multiple supply","multiple silviculture"))))</f>
        <v>mixed drivers</v>
      </c>
      <c r="BF428" s="2" t="str" cm="1">
        <f t="array" ref="BF428">IF(COUNTIF(AZ428:BB428,"&lt;&gt;0")=1,INDEX($V$4:$AW$4,MATCH(TRUE,INDEX($V428:$AW428&lt;&gt;0,),0)),IF(COUNTIF(AZ428:BB428,"&lt;&gt;0")=0,INDEX($AM$4:$AW$4,MATCH(1,$AM428:$AW428,0)),"Multiple strategies"))</f>
        <v>Multiple strategies</v>
      </c>
      <c r="BG428" s="1" t="s">
        <v>321</v>
      </c>
      <c r="BH428"/>
      <c r="BI428" s="264" t="s">
        <v>1036</v>
      </c>
      <c r="BJ428" t="s">
        <v>2058</v>
      </c>
      <c r="BK428">
        <v>0</v>
      </c>
      <c r="BL428">
        <v>218025</v>
      </c>
      <c r="BM428" t="str">
        <f>IFERROR(BL428/BK428,"")</f>
        <v/>
      </c>
      <c r="BN428">
        <f>BL428-BK428</f>
        <v>218025</v>
      </c>
      <c r="BO428">
        <f>BN428*tC_to_m3</f>
        <v>946699.95657837612</v>
      </c>
      <c r="BP428" t="s">
        <v>232</v>
      </c>
      <c r="BQ428" t="s">
        <v>424</v>
      </c>
      <c r="BR428" t="s">
        <v>2063</v>
      </c>
      <c r="BS428"/>
      <c r="BT428"/>
      <c r="BU428" s="144"/>
      <c r="BV428">
        <v>-1.31</v>
      </c>
      <c r="BW428"/>
      <c r="BX428">
        <f>BV428</f>
        <v>-1.31</v>
      </c>
      <c r="BY428">
        <f>IFERROR(BX428/BO428,"")</f>
        <v>-1.3837541566334135E-6</v>
      </c>
      <c r="BZ428">
        <v>0</v>
      </c>
      <c r="CA428">
        <v>0</v>
      </c>
      <c r="CB428">
        <v>0</v>
      </c>
      <c r="CC428">
        <v>0</v>
      </c>
      <c r="CD428">
        <v>0</v>
      </c>
      <c r="CE428">
        <v>0</v>
      </c>
      <c r="CF428">
        <v>0</v>
      </c>
      <c r="CG428">
        <v>0</v>
      </c>
      <c r="CH428">
        <v>0</v>
      </c>
      <c r="CI428">
        <v>0</v>
      </c>
      <c r="CJ428">
        <v>0</v>
      </c>
      <c r="CK428">
        <v>0</v>
      </c>
      <c r="CL428">
        <v>0</v>
      </c>
      <c r="CM428">
        <v>0</v>
      </c>
      <c r="CN428" t="str">
        <f>IF($BL428&lt;$BK428,"refNeedCorrection","refOK")</f>
        <v>refOK</v>
      </c>
      <c r="CO428">
        <f>IF($CN428="refOK",$BK428,$BL428)</f>
        <v>0</v>
      </c>
      <c r="CP428">
        <f>IF($CN428="refOK",$BL428,$BK428)</f>
        <v>218025</v>
      </c>
      <c r="CQ428">
        <f>IF($CN428="refOK",$BO428,-$BO428)</f>
        <v>946699.95657837612</v>
      </c>
      <c r="CR428">
        <f>IF($CN428="refOK",$BS428,$BT428)*IF($BP428="Emissions positive",-1,1)</f>
        <v>0</v>
      </c>
      <c r="CS428">
        <f>IF($CN428="refOK",$BT428,$BS428)*IF($BP428="Emissions positive",-1,1)</f>
        <v>0</v>
      </c>
      <c r="CT428">
        <f>IF($CN428="refNeedCorrection",-BX428,BX428)*IF($BP428="Emissions positive",-1,1)</f>
        <v>-1.31</v>
      </c>
      <c r="CU428">
        <f>IFERROR(CT428/CQ428,"")</f>
        <v>-1.3837541566334135E-6</v>
      </c>
      <c r="CV428" s="2" t="str">
        <f>IFERROR((CS428-CR428)/ABS(CR428),"")</f>
        <v/>
      </c>
      <c r="CW428" s="1" t="s">
        <v>2036</v>
      </c>
      <c r="CX428" t="str">
        <f>IF(OR($CW428="prd",$CW428="std",$CW428="cit"),"loc",IF(OR($CW428="eur",$CW428="reg",$CW428="coy"),"reg",$CW428))</f>
        <v>reg</v>
      </c>
      <c r="CY428" t="s">
        <v>2060</v>
      </c>
      <c r="CZ428">
        <v>2021</v>
      </c>
      <c r="DA428">
        <v>2040</v>
      </c>
      <c r="DB428">
        <f>DA428-CZ428</f>
        <v>19</v>
      </c>
      <c r="DC428" t="str">
        <f>IF(DB428=0,"0",IF(AND(DB428&gt;=1,DB428&lt;=30),"1-30",IF(AND(DB428&gt;30,DB428&lt;=70),"31-70",IF(AND(DB428&gt;70,DB428&lt;=100),"71-100",IF(DB428&gt;100,"+100")))))</f>
        <v>1-30</v>
      </c>
      <c r="DD428">
        <v>0</v>
      </c>
      <c r="DE428">
        <v>0</v>
      </c>
      <c r="DF428">
        <v>0</v>
      </c>
      <c r="DG428">
        <v>1</v>
      </c>
      <c r="DH428">
        <v>0</v>
      </c>
      <c r="DI428">
        <f>SUM(DD428:DG428)</f>
        <v>1</v>
      </c>
      <c r="DJ428" t="str">
        <f>IF(DI428=1,INDEX($DD$7:$DG$7,MATCH(1,$DD428:$DG428,0)),"mixedProduct")</f>
        <v>TimberInput</v>
      </c>
      <c r="DK428">
        <f>IF(DD428=1,DK$7,0)</f>
        <v>0</v>
      </c>
      <c r="DL428">
        <f>IF(DE428=1,DL$7,0)</f>
        <v>0</v>
      </c>
      <c r="DM428">
        <f>IF(DF428=1,DM$7,0)</f>
        <v>0</v>
      </c>
      <c r="DN428" t="str">
        <f>IF(DG428=1,DN$7,0)</f>
        <v>Timber</v>
      </c>
      <c r="DO428"/>
      <c r="DP428">
        <v>1</v>
      </c>
      <c r="DQ428"/>
      <c r="DR428"/>
      <c r="DS428" s="184" t="s">
        <v>2061</v>
      </c>
      <c r="DT428"/>
      <c r="DU428" s="143" t="str">
        <f>IF(DO428=1,"self-calculated DF",IF(DP428=1,"external DF used","explicit C balance"))</f>
        <v>external DF used</v>
      </c>
      <c r="DV428">
        <v>1</v>
      </c>
      <c r="DW428">
        <v>1</v>
      </c>
      <c r="DX428">
        <v>1</v>
      </c>
      <c r="DY428">
        <v>1</v>
      </c>
      <c r="DZ428">
        <v>1</v>
      </c>
      <c r="EA428">
        <v>1</v>
      </c>
      <c r="EB428">
        <v>0</v>
      </c>
      <c r="EC428">
        <v>0</v>
      </c>
      <c r="ED428">
        <v>0</v>
      </c>
      <c r="EE428">
        <v>0</v>
      </c>
      <c r="EF428">
        <v>1</v>
      </c>
      <c r="EG428">
        <v>0</v>
      </c>
      <c r="EH428">
        <v>1</v>
      </c>
      <c r="EI428" s="2">
        <v>0</v>
      </c>
      <c r="EJ428" s="1"/>
      <c r="EK428" t="str">
        <f>IF(AND(AND(AND(OR($DX428=1,$DW428=1),OR($EC428=1,$EA428=1)),SUM($DV428:$DZ428,$EF428)&gt;=4),SUM($EA428:$EE428)&gt;=2),"Whole sector","")</f>
        <v/>
      </c>
      <c r="EL428" t="str">
        <f>IF(AND(AND(OR($DX428=1,$DW428=1),AND($EC428=0,$EA428=0)),SUM($DV428:$DZ428,$EF428)&gt;=4),"Ecosystem approach","")</f>
        <v/>
      </c>
      <c r="EM428" s="2" t="str">
        <f>IF(AND(AND(AND($DX428=0,$DW428=0),OR($EC428=1,$EA428=1)),SUM($EB428:$EE428)&gt;=2),"Technology approach","")</f>
        <v/>
      </c>
      <c r="EN428"/>
      <c r="EO428"/>
      <c r="EP428" t="str">
        <f>IF(ISNUMBER(BU428),IF(ABS(BU428-[1]QC_indicators!$B$2)&gt;3*[1]QC_indicators!$C$2,"C ratio",IF(ISNUMBER(BY428),IF(ABS(BY428-[1]QC_indicators!$B$1)&gt;3*[1]QC_indicators!$C$1,"DF","no"))),IF(ISNUMBER(BY428),IF(ABS(BY428-[1]QC_indicators!$B$1)&gt;3*[1]QC_indicators!$C$1,"DF","no")))</f>
        <v>no</v>
      </c>
      <c r="EQ428"/>
      <c r="ER428"/>
      <c r="ES428"/>
      <c r="ET428" s="264" t="s">
        <v>3273</v>
      </c>
      <c r="EU428"/>
    </row>
    <row r="429" spans="1:151" s="139" customFormat="1" ht="15" customHeight="1">
      <c r="A429" s="1"/>
      <c r="B429"/>
      <c r="C429"/>
      <c r="D429" t="s">
        <v>2052</v>
      </c>
      <c r="E429" t="s">
        <v>2053</v>
      </c>
      <c r="F429"/>
      <c r="G429" t="s">
        <v>2054</v>
      </c>
      <c r="H429"/>
      <c r="I429">
        <v>2018</v>
      </c>
      <c r="J429"/>
      <c r="K429" s="150" t="s">
        <v>2055</v>
      </c>
      <c r="L429"/>
      <c r="M429" t="str">
        <f>LEFT($D429,FIND(",",$D429)-1)&amp;"_"&amp;I429&amp;L429</f>
        <v>Olguin_2018</v>
      </c>
      <c r="N429" t="s">
        <v>222</v>
      </c>
      <c r="O429" s="157" t="s">
        <v>274</v>
      </c>
      <c r="P429" t="s">
        <v>513</v>
      </c>
      <c r="Q429" t="s">
        <v>389</v>
      </c>
      <c r="R429" s="262" t="s">
        <v>223</v>
      </c>
      <c r="S429" s="263" t="s">
        <v>3208</v>
      </c>
      <c r="T429" t="s">
        <v>2056</v>
      </c>
      <c r="U429" t="s">
        <v>2062</v>
      </c>
      <c r="V429">
        <v>0</v>
      </c>
      <c r="W429">
        <v>0</v>
      </c>
      <c r="X429">
        <v>0</v>
      </c>
      <c r="Y429">
        <v>0</v>
      </c>
      <c r="Z429">
        <v>0</v>
      </c>
      <c r="AA429">
        <v>0</v>
      </c>
      <c r="AB429">
        <v>0</v>
      </c>
      <c r="AC429">
        <v>1</v>
      </c>
      <c r="AD429">
        <v>0</v>
      </c>
      <c r="AE429">
        <v>0</v>
      </c>
      <c r="AF429">
        <v>1</v>
      </c>
      <c r="AG429">
        <v>0</v>
      </c>
      <c r="AH429">
        <v>0</v>
      </c>
      <c r="AI429">
        <v>0</v>
      </c>
      <c r="AJ429">
        <v>0</v>
      </c>
      <c r="AK429">
        <v>0</v>
      </c>
      <c r="AL429">
        <v>0</v>
      </c>
      <c r="AM429">
        <v>0</v>
      </c>
      <c r="AN429">
        <v>0</v>
      </c>
      <c r="AO429">
        <v>0</v>
      </c>
      <c r="AP429">
        <v>0</v>
      </c>
      <c r="AQ429">
        <v>0</v>
      </c>
      <c r="AR429">
        <v>0</v>
      </c>
      <c r="AS429">
        <v>0</v>
      </c>
      <c r="AT429">
        <v>0</v>
      </c>
      <c r="AU429">
        <v>0</v>
      </c>
      <c r="AV429">
        <v>0</v>
      </c>
      <c r="AW429">
        <v>0</v>
      </c>
      <c r="AX429" s="141">
        <f>COUNTIF(V429:AW429,"&lt;&gt;0")</f>
        <v>2</v>
      </c>
      <c r="AY429" s="141">
        <f>COUNTIF(V429:AL429,"&lt;&gt;0")</f>
        <v>2</v>
      </c>
      <c r="AZ429">
        <f>COUNTIF(V429:AC429,"&lt;&gt;0")</f>
        <v>1</v>
      </c>
      <c r="BA429">
        <f>COUNTIF(AD429:AI429,"&lt;&gt;0")</f>
        <v>1</v>
      </c>
      <c r="BB429">
        <f>COUNTIF(AJ429:AL429,"&lt;&gt;0")</f>
        <v>0</v>
      </c>
      <c r="BC429">
        <f>COUNTIF(AS429:AW429,"&lt;&gt;0")</f>
        <v>0</v>
      </c>
      <c r="BD429">
        <f>COUNTIF(AM429:AR429,"&lt;&gt;0")</f>
        <v>0</v>
      </c>
      <c r="BE429" t="str">
        <f t="array" ref="BE429">IF(AY429=1,INDEX($V$7:$AL$7,MATCH(TRUE,INDEX($V429:$AW429&lt;&gt;0,),0)),IF(AY429=0,INDEX($AM$7:$AW$7,MATCH(1,$AM429:$AW429,0)),IF(BF429="Multiple strategies","mixed drivers",IF(BF429="Supply chain","multiple supply","multiple silviculture"))))</f>
        <v>mixed drivers</v>
      </c>
      <c r="BF429" s="2" t="str" cm="1">
        <f t="array" ref="BF429">IF(COUNTIF(AZ429:BB429,"&lt;&gt;0")=1,INDEX($V$4:$AW$4,MATCH(TRUE,INDEX($V429:$AW429&lt;&gt;0,),0)),IF(COUNTIF(AZ429:BB429,"&lt;&gt;0")=0,INDEX($AM$4:$AW$4,MATCH(1,$AM429:$AW429,0)),"Multiple strategies"))</f>
        <v>Multiple strategies</v>
      </c>
      <c r="BG429" s="1" t="s">
        <v>321</v>
      </c>
      <c r="BH429"/>
      <c r="BI429" s="264" t="s">
        <v>1036</v>
      </c>
      <c r="BJ429" t="s">
        <v>2058</v>
      </c>
      <c r="BK429">
        <v>0</v>
      </c>
      <c r="BL429">
        <v>218025</v>
      </c>
      <c r="BM429" t="str">
        <f>IFERROR(BL429/BK429,"")</f>
        <v/>
      </c>
      <c r="BN429">
        <f>BL429-BK429</f>
        <v>218025</v>
      </c>
      <c r="BO429">
        <f>BN429*tC_to_m3</f>
        <v>946699.95657837612</v>
      </c>
      <c r="BP429" t="s">
        <v>232</v>
      </c>
      <c r="BQ429" t="s">
        <v>424</v>
      </c>
      <c r="BR429" t="s">
        <v>2063</v>
      </c>
      <c r="BS429"/>
      <c r="BT429"/>
      <c r="BU429" s="144"/>
      <c r="BV429">
        <v>-1.1599999999999999</v>
      </c>
      <c r="BW429"/>
      <c r="BX429">
        <f>BV429</f>
        <v>-1.1599999999999999</v>
      </c>
      <c r="BY429">
        <f>IFERROR(BX429/BO429,"")</f>
        <v>-1.2253090241944729E-6</v>
      </c>
      <c r="BZ429">
        <v>0</v>
      </c>
      <c r="CA429">
        <v>0</v>
      </c>
      <c r="CB429">
        <v>0</v>
      </c>
      <c r="CC429">
        <v>0</v>
      </c>
      <c r="CD429">
        <v>0</v>
      </c>
      <c r="CE429">
        <v>0</v>
      </c>
      <c r="CF429">
        <v>0</v>
      </c>
      <c r="CG429">
        <v>0</v>
      </c>
      <c r="CH429">
        <v>0</v>
      </c>
      <c r="CI429">
        <v>0</v>
      </c>
      <c r="CJ429">
        <v>0</v>
      </c>
      <c r="CK429">
        <v>0</v>
      </c>
      <c r="CL429">
        <v>0</v>
      </c>
      <c r="CM429">
        <v>0</v>
      </c>
      <c r="CN429" t="str">
        <f>IF($BL429&lt;$BK429,"refNeedCorrection","refOK")</f>
        <v>refOK</v>
      </c>
      <c r="CO429">
        <f>IF($CN429="refOK",$BK429,$BL429)</f>
        <v>0</v>
      </c>
      <c r="CP429">
        <f>IF($CN429="refOK",$BL429,$BK429)</f>
        <v>218025</v>
      </c>
      <c r="CQ429">
        <f>IF($CN429="refOK",$BO429,-$BO429)</f>
        <v>946699.95657837612</v>
      </c>
      <c r="CR429">
        <f>IF($CN429="refOK",$BS429,$BT429)*IF($BP429="Emissions positive",-1,1)</f>
        <v>0</v>
      </c>
      <c r="CS429">
        <f>IF($CN429="refOK",$BT429,$BS429)*IF($BP429="Emissions positive",-1,1)</f>
        <v>0</v>
      </c>
      <c r="CT429">
        <f>IF($CN429="refNeedCorrection",-BX429,BX429)*IF($BP429="Emissions positive",-1,1)</f>
        <v>-1.1599999999999999</v>
      </c>
      <c r="CU429">
        <f>IFERROR(CT429/CQ429,"")</f>
        <v>-1.2253090241944729E-6</v>
      </c>
      <c r="CV429" s="2" t="str">
        <f>IFERROR((CS429-CR429)/ABS(CR429),"")</f>
        <v/>
      </c>
      <c r="CW429" s="1" t="s">
        <v>2036</v>
      </c>
      <c r="CX429" t="str">
        <f>IF(OR($CW429="prd",$CW429="std",$CW429="cit"),"loc",IF(OR($CW429="eur",$CW429="reg",$CW429="coy"),"reg",$CW429))</f>
        <v>reg</v>
      </c>
      <c r="CY429" t="s">
        <v>2060</v>
      </c>
      <c r="CZ429">
        <v>2021</v>
      </c>
      <c r="DA429">
        <v>2050</v>
      </c>
      <c r="DB429">
        <f>DA429-CZ429</f>
        <v>29</v>
      </c>
      <c r="DC429" t="str">
        <f>IF(DB429=0,"0",IF(AND(DB429&gt;=1,DB429&lt;=30),"1-30",IF(AND(DB429&gt;30,DB429&lt;=70),"31-70",IF(AND(DB429&gt;70,DB429&lt;=100),"71-100",IF(DB429&gt;100,"+100")))))</f>
        <v>1-30</v>
      </c>
      <c r="DD429">
        <v>0</v>
      </c>
      <c r="DE429">
        <v>0</v>
      </c>
      <c r="DF429">
        <v>0</v>
      </c>
      <c r="DG429">
        <v>1</v>
      </c>
      <c r="DH429">
        <v>0</v>
      </c>
      <c r="DI429">
        <f>SUM(DD429:DG429)</f>
        <v>1</v>
      </c>
      <c r="DJ429" t="str">
        <f>IF(DI429=1,INDEX($DD$7:$DG$7,MATCH(1,$DD429:$DG429,0)),"mixedProduct")</f>
        <v>TimberInput</v>
      </c>
      <c r="DK429">
        <f>IF(DD429=1,DK$7,0)</f>
        <v>0</v>
      </c>
      <c r="DL429">
        <f>IF(DE429=1,DL$7,0)</f>
        <v>0</v>
      </c>
      <c r="DM429">
        <f>IF(DF429=1,DM$7,0)</f>
        <v>0</v>
      </c>
      <c r="DN429" t="str">
        <f>IF(DG429=1,DN$7,0)</f>
        <v>Timber</v>
      </c>
      <c r="DO429"/>
      <c r="DP429">
        <v>1</v>
      </c>
      <c r="DQ429"/>
      <c r="DR429"/>
      <c r="DS429" s="184" t="s">
        <v>2061</v>
      </c>
      <c r="DT429"/>
      <c r="DU429" s="143" t="str">
        <f>IF(DO429=1,"self-calculated DF",IF(DP429=1,"external DF used","explicit C balance"))</f>
        <v>external DF used</v>
      </c>
      <c r="DV429">
        <v>1</v>
      </c>
      <c r="DW429">
        <v>1</v>
      </c>
      <c r="DX429">
        <v>1</v>
      </c>
      <c r="DY429">
        <v>1</v>
      </c>
      <c r="DZ429">
        <v>1</v>
      </c>
      <c r="EA429">
        <v>1</v>
      </c>
      <c r="EB429">
        <v>0</v>
      </c>
      <c r="EC429">
        <v>0</v>
      </c>
      <c r="ED429">
        <v>0</v>
      </c>
      <c r="EE429">
        <v>0</v>
      </c>
      <c r="EF429">
        <v>1</v>
      </c>
      <c r="EG429">
        <v>0</v>
      </c>
      <c r="EH429">
        <v>1</v>
      </c>
      <c r="EI429" s="2">
        <v>0</v>
      </c>
      <c r="EJ429" s="1"/>
      <c r="EK429" t="str">
        <f>IF(AND(AND(AND(OR($DX429=1,$DW429=1),OR($EC429=1,$EA429=1)),SUM($DV429:$DZ429,$EF429)&gt;=4),SUM($EA429:$EE429)&gt;=2),"Whole sector","")</f>
        <v/>
      </c>
      <c r="EL429" t="str">
        <f>IF(AND(AND(OR($DX429=1,$DW429=1),AND($EC429=0,$EA429=0)),SUM($DV429:$DZ429,$EF429)&gt;=4),"Ecosystem approach","")</f>
        <v/>
      </c>
      <c r="EM429" s="2" t="str">
        <f>IF(AND(AND(AND($DX429=0,$DW429=0),OR($EC429=1,$EA429=1)),SUM($EB429:$EE429)&gt;=2),"Technology approach","")</f>
        <v/>
      </c>
      <c r="EN429"/>
      <c r="EO429"/>
      <c r="EP429" t="str">
        <f>IF(ISNUMBER(BU429),IF(ABS(BU429-[1]QC_indicators!$B$2)&gt;3*[1]QC_indicators!$C$2,"C ratio",IF(ISNUMBER(BY429),IF(ABS(BY429-[1]QC_indicators!$B$1)&gt;3*[1]QC_indicators!$C$1,"DF","no"))),IF(ISNUMBER(BY429),IF(ABS(BY429-[1]QC_indicators!$B$1)&gt;3*[1]QC_indicators!$C$1,"DF","no")))</f>
        <v>no</v>
      </c>
      <c r="EQ429"/>
      <c r="ER429"/>
      <c r="ES429"/>
      <c r="ET429" s="264" t="s">
        <v>3273</v>
      </c>
      <c r="EU429"/>
    </row>
    <row r="430" spans="1:151" s="139" customFormat="1" ht="15" customHeight="1">
      <c r="A430" s="1"/>
      <c r="B430"/>
      <c r="C430"/>
      <c r="D430" t="s">
        <v>2052</v>
      </c>
      <c r="E430" t="s">
        <v>2053</v>
      </c>
      <c r="F430"/>
      <c r="G430" t="s">
        <v>2054</v>
      </c>
      <c r="H430"/>
      <c r="I430">
        <v>2018</v>
      </c>
      <c r="J430"/>
      <c r="K430" s="150" t="s">
        <v>2055</v>
      </c>
      <c r="L430"/>
      <c r="M430" t="str">
        <f>LEFT($D430,FIND(",",$D430)-1)&amp;"_"&amp;I430&amp;L430</f>
        <v>Olguin_2018</v>
      </c>
      <c r="N430" t="s">
        <v>222</v>
      </c>
      <c r="O430" s="157" t="s">
        <v>274</v>
      </c>
      <c r="P430" t="s">
        <v>513</v>
      </c>
      <c r="Q430" t="s">
        <v>389</v>
      </c>
      <c r="R430" s="262" t="s">
        <v>223</v>
      </c>
      <c r="S430" s="263" t="s">
        <v>3200</v>
      </c>
      <c r="T430" t="s">
        <v>2056</v>
      </c>
      <c r="U430" t="s">
        <v>2064</v>
      </c>
      <c r="V430">
        <v>0</v>
      </c>
      <c r="W430">
        <v>0</v>
      </c>
      <c r="X430">
        <v>0</v>
      </c>
      <c r="Y430">
        <v>0</v>
      </c>
      <c r="Z430">
        <v>0</v>
      </c>
      <c r="AA430">
        <v>0</v>
      </c>
      <c r="AB430">
        <v>0</v>
      </c>
      <c r="AC430">
        <v>1</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s="141">
        <f>COUNTIF(V430:AW430,"&lt;&gt;0")</f>
        <v>1</v>
      </c>
      <c r="AY430" s="141">
        <f>COUNTIF(V430:AL430,"&lt;&gt;0")</f>
        <v>1</v>
      </c>
      <c r="AZ430">
        <f>COUNTIF(V430:AC430,"&lt;&gt;0")</f>
        <v>1</v>
      </c>
      <c r="BA430">
        <f>COUNTIF(AD430:AI430,"&lt;&gt;0")</f>
        <v>0</v>
      </c>
      <c r="BB430">
        <f>COUNTIF(AJ430:AL430,"&lt;&gt;0")</f>
        <v>0</v>
      </c>
      <c r="BC430">
        <f>COUNTIF(AS430:AW430,"&lt;&gt;0")</f>
        <v>0</v>
      </c>
      <c r="BD430">
        <f>COUNTIF(AM430:AR430,"&lt;&gt;0")</f>
        <v>0</v>
      </c>
      <c r="BE430" t="str">
        <f t="array" ref="BE430">IF(AY430=1,INDEX($V$7:$AL$7,MATCH(TRUE,INDEX($V430:$AW430&lt;&gt;0,),0)),IF(AY430=0,INDEX($AM$7:$AW$7,MATCH(1,$AM430:$AW430,0)),IF(BF430="Multiple strategies","mixed drivers",IF(BF430="Supply chain","multiple supply","multiple silviculture"))))</f>
        <v>site fertility</v>
      </c>
      <c r="BF430" s="2" t="str" cm="1">
        <f t="array" ref="BF430">IF(COUNTIF(AZ430:BB430,"&lt;&gt;0")=1,INDEX($V$4:$AW$4,MATCH(TRUE,INDEX($V430:$AW430&lt;&gt;0,),0)),IF(COUNTIF(AZ430:BB430,"&lt;&gt;0")=0,INDEX($AM$4:$AW$4,MATCH(1,$AM430:$AW430,0)),"Multiple strategies"))</f>
        <v>Silviculture for productivity</v>
      </c>
      <c r="BG430" s="1" t="s">
        <v>321</v>
      </c>
      <c r="BH430"/>
      <c r="BI430" s="264" t="s">
        <v>1036</v>
      </c>
      <c r="BJ430" t="s">
        <v>2058</v>
      </c>
      <c r="BK430">
        <v>0</v>
      </c>
      <c r="BL430">
        <v>218025</v>
      </c>
      <c r="BM430" t="str">
        <f>IFERROR(BL430/BK430,"")</f>
        <v/>
      </c>
      <c r="BN430">
        <f>BL430-BK430</f>
        <v>218025</v>
      </c>
      <c r="BO430">
        <f>BN430*tC_to_m3</f>
        <v>946699.95657837612</v>
      </c>
      <c r="BP430" t="s">
        <v>232</v>
      </c>
      <c r="BQ430" t="s">
        <v>424</v>
      </c>
      <c r="BR430" t="s">
        <v>2063</v>
      </c>
      <c r="BS430"/>
      <c r="BT430"/>
      <c r="BU430" s="144"/>
      <c r="BV430">
        <v>-1.1599999999999999</v>
      </c>
      <c r="BW430"/>
      <c r="BX430">
        <f>BV430</f>
        <v>-1.1599999999999999</v>
      </c>
      <c r="BY430">
        <f>IFERROR(BX430/BO430,"")</f>
        <v>-1.2253090241944729E-6</v>
      </c>
      <c r="BZ430">
        <v>0</v>
      </c>
      <c r="CA430">
        <v>0</v>
      </c>
      <c r="CB430">
        <v>0</v>
      </c>
      <c r="CC430">
        <v>0</v>
      </c>
      <c r="CD430">
        <v>0</v>
      </c>
      <c r="CE430">
        <v>0</v>
      </c>
      <c r="CF430">
        <v>0</v>
      </c>
      <c r="CG430">
        <v>0</v>
      </c>
      <c r="CH430">
        <v>0</v>
      </c>
      <c r="CI430">
        <v>0</v>
      </c>
      <c r="CJ430">
        <v>0</v>
      </c>
      <c r="CK430">
        <v>0</v>
      </c>
      <c r="CL430">
        <v>0</v>
      </c>
      <c r="CM430">
        <v>0</v>
      </c>
      <c r="CN430" t="str">
        <f>IF($BL430&lt;$BK430,"refNeedCorrection","refOK")</f>
        <v>refOK</v>
      </c>
      <c r="CO430">
        <f>IF($CN430="refOK",$BK430,$BL430)</f>
        <v>0</v>
      </c>
      <c r="CP430">
        <f>IF($CN430="refOK",$BL430,$BK430)</f>
        <v>218025</v>
      </c>
      <c r="CQ430">
        <f>IF($CN430="refOK",$BO430,-$BO430)</f>
        <v>946699.95657837612</v>
      </c>
      <c r="CR430">
        <f>IF($CN430="refOK",$BS430,$BT430)*IF($BP430="Emissions positive",-1,1)</f>
        <v>0</v>
      </c>
      <c r="CS430">
        <f>IF($CN430="refOK",$BT430,$BS430)*IF($BP430="Emissions positive",-1,1)</f>
        <v>0</v>
      </c>
      <c r="CT430">
        <f>IF($CN430="refNeedCorrection",-BX430,BX430)*IF($BP430="Emissions positive",-1,1)</f>
        <v>-1.1599999999999999</v>
      </c>
      <c r="CU430">
        <f>IFERROR(CT430/CQ430,"")</f>
        <v>-1.2253090241944729E-6</v>
      </c>
      <c r="CV430" s="2" t="str">
        <f>IFERROR((CS430-CR430)/ABS(CR430),"")</f>
        <v/>
      </c>
      <c r="CW430" s="1" t="s">
        <v>2036</v>
      </c>
      <c r="CX430" t="str">
        <f>IF(OR($CW430="prd",$CW430="std",$CW430="cit"),"loc",IF(OR($CW430="eur",$CW430="reg",$CW430="coy"),"reg",$CW430))</f>
        <v>reg</v>
      </c>
      <c r="CY430" t="s">
        <v>2060</v>
      </c>
      <c r="CZ430">
        <v>2021</v>
      </c>
      <c r="DA430">
        <v>2040</v>
      </c>
      <c r="DB430">
        <f>DA430-CZ430</f>
        <v>19</v>
      </c>
      <c r="DC430" t="str">
        <f>IF(DB430=0,"0",IF(AND(DB430&gt;=1,DB430&lt;=30),"1-30",IF(AND(DB430&gt;30,DB430&lt;=70),"31-70",IF(AND(DB430&gt;70,DB430&lt;=100),"71-100",IF(DB430&gt;100,"+100")))))</f>
        <v>1-30</v>
      </c>
      <c r="DD430">
        <v>0</v>
      </c>
      <c r="DE430">
        <v>0</v>
      </c>
      <c r="DF430">
        <v>0</v>
      </c>
      <c r="DG430">
        <v>1</v>
      </c>
      <c r="DH430">
        <v>0</v>
      </c>
      <c r="DI430">
        <f>SUM(DD430:DG430)</f>
        <v>1</v>
      </c>
      <c r="DJ430" t="str">
        <f>IF(DI430=1,INDEX($DD$7:$DG$7,MATCH(1,$DD430:$DG430,0)),"mixedProduct")</f>
        <v>TimberInput</v>
      </c>
      <c r="DK430">
        <f>IF(DD430=1,DK$7,0)</f>
        <v>0</v>
      </c>
      <c r="DL430">
        <f>IF(DE430=1,DL$7,0)</f>
        <v>0</v>
      </c>
      <c r="DM430">
        <f>IF(DF430=1,DM$7,0)</f>
        <v>0</v>
      </c>
      <c r="DN430" t="str">
        <f>IF(DG430=1,DN$7,0)</f>
        <v>Timber</v>
      </c>
      <c r="DO430"/>
      <c r="DP430">
        <v>1</v>
      </c>
      <c r="DQ430"/>
      <c r="DR430"/>
      <c r="DS430" s="184" t="s">
        <v>2061</v>
      </c>
      <c r="DT430"/>
      <c r="DU430" s="143" t="str">
        <f>IF(DO430=1,"self-calculated DF",IF(DP430=1,"external DF used","explicit C balance"))</f>
        <v>external DF used</v>
      </c>
      <c r="DV430">
        <v>1</v>
      </c>
      <c r="DW430">
        <v>1</v>
      </c>
      <c r="DX430">
        <v>1</v>
      </c>
      <c r="DY430">
        <v>1</v>
      </c>
      <c r="DZ430">
        <v>1</v>
      </c>
      <c r="EA430">
        <v>1</v>
      </c>
      <c r="EB430">
        <v>0</v>
      </c>
      <c r="EC430">
        <v>0</v>
      </c>
      <c r="ED430">
        <v>0</v>
      </c>
      <c r="EE430">
        <v>0</v>
      </c>
      <c r="EF430">
        <v>1</v>
      </c>
      <c r="EG430">
        <v>0</v>
      </c>
      <c r="EH430">
        <v>1</v>
      </c>
      <c r="EI430" s="2">
        <v>0</v>
      </c>
      <c r="EJ430" s="1"/>
      <c r="EK430" t="str">
        <f>IF(AND(AND(AND(OR($DX430=1,$DW430=1),OR($EC430=1,$EA430=1)),SUM($DV430:$DZ430,$EF430)&gt;=4),SUM($EA430:$EE430)&gt;=2),"Whole sector","")</f>
        <v/>
      </c>
      <c r="EL430" t="str">
        <f>IF(AND(AND(OR($DX430=1,$DW430=1),AND($EC430=0,$EA430=0)),SUM($DV430:$DZ430,$EF430)&gt;=4),"Ecosystem approach","")</f>
        <v/>
      </c>
      <c r="EM430" s="2" t="str">
        <f>IF(AND(AND(AND($DX430=0,$DW430=0),OR($EC430=1,$EA430=1)),SUM($EB430:$EE430)&gt;=2),"Technology approach","")</f>
        <v/>
      </c>
      <c r="EN430"/>
      <c r="EO430"/>
      <c r="EP430" t="str">
        <f>IF(ISNUMBER(BU430),IF(ABS(BU430-[1]QC_indicators!$B$2)&gt;3*[1]QC_indicators!$C$2,"C ratio",IF(ISNUMBER(BY430),IF(ABS(BY430-[1]QC_indicators!$B$1)&gt;3*[1]QC_indicators!$C$1,"DF","no"))),IF(ISNUMBER(BY430),IF(ABS(BY430-[1]QC_indicators!$B$1)&gt;3*[1]QC_indicators!$C$1,"DF","no")))</f>
        <v>no</v>
      </c>
      <c r="EQ430"/>
      <c r="ER430"/>
      <c r="ES430"/>
      <c r="ET430" s="264" t="s">
        <v>3273</v>
      </c>
      <c r="EU430"/>
    </row>
    <row r="431" spans="1:151" s="139" customFormat="1" ht="15" customHeight="1">
      <c r="A431" s="1"/>
      <c r="B431"/>
      <c r="C431"/>
      <c r="D431" t="s">
        <v>2052</v>
      </c>
      <c r="E431" t="s">
        <v>2053</v>
      </c>
      <c r="F431"/>
      <c r="G431" t="s">
        <v>2054</v>
      </c>
      <c r="H431"/>
      <c r="I431">
        <v>2018</v>
      </c>
      <c r="J431"/>
      <c r="K431" s="150" t="s">
        <v>2055</v>
      </c>
      <c r="L431"/>
      <c r="M431" t="str">
        <f>LEFT($D431,FIND(",",$D431)-1)&amp;"_"&amp;I431&amp;L431</f>
        <v>Olguin_2018</v>
      </c>
      <c r="N431" t="s">
        <v>222</v>
      </c>
      <c r="O431" s="157" t="s">
        <v>274</v>
      </c>
      <c r="P431" t="s">
        <v>513</v>
      </c>
      <c r="Q431" t="s">
        <v>389</v>
      </c>
      <c r="R431" s="262" t="s">
        <v>223</v>
      </c>
      <c r="S431" s="263" t="s">
        <v>3188</v>
      </c>
      <c r="T431" t="s">
        <v>2056</v>
      </c>
      <c r="U431" t="s">
        <v>2065</v>
      </c>
      <c r="V431">
        <v>0</v>
      </c>
      <c r="W431">
        <v>0</v>
      </c>
      <c r="X431">
        <v>0</v>
      </c>
      <c r="Y431">
        <v>0</v>
      </c>
      <c r="Z431">
        <v>0</v>
      </c>
      <c r="AA431">
        <v>0</v>
      </c>
      <c r="AB431">
        <v>0</v>
      </c>
      <c r="AC431">
        <v>1</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s="141">
        <f>COUNTIF(V431:AW431,"&lt;&gt;0")</f>
        <v>1</v>
      </c>
      <c r="AY431" s="141">
        <f>COUNTIF(V431:AL431,"&lt;&gt;0")</f>
        <v>1</v>
      </c>
      <c r="AZ431">
        <f>COUNTIF(V431:AC431,"&lt;&gt;0")</f>
        <v>1</v>
      </c>
      <c r="BA431">
        <f>COUNTIF(AD431:AI431,"&lt;&gt;0")</f>
        <v>0</v>
      </c>
      <c r="BB431">
        <f>COUNTIF(AJ431:AL431,"&lt;&gt;0")</f>
        <v>0</v>
      </c>
      <c r="BC431">
        <f>COUNTIF(AS431:AW431,"&lt;&gt;0")</f>
        <v>0</v>
      </c>
      <c r="BD431">
        <f>COUNTIF(AM431:AR431,"&lt;&gt;0")</f>
        <v>0</v>
      </c>
      <c r="BE431" t="str">
        <f t="array" ref="BE431">IF(AY431=1,INDEX($V$7:$AL$7,MATCH(TRUE,INDEX($V431:$AW431&lt;&gt;0,),0)),IF(AY431=0,INDEX($AM$7:$AW$7,MATCH(1,$AM431:$AW431,0)),IF(BF431="Multiple strategies","mixed drivers",IF(BF431="Supply chain","multiple supply","multiple silviculture"))))</f>
        <v>site fertility</v>
      </c>
      <c r="BF431" s="2" t="str" cm="1">
        <f t="array" ref="BF431">IF(COUNTIF(AZ431:BB431,"&lt;&gt;0")=1,INDEX($V$4:$AW$4,MATCH(TRUE,INDEX($V431:$AW431&lt;&gt;0,),0)),IF(COUNTIF(AZ431:BB431,"&lt;&gt;0")=0,INDEX($AM$4:$AW$4,MATCH(1,$AM431:$AW431,0)),"Multiple strategies"))</f>
        <v>Silviculture for productivity</v>
      </c>
      <c r="BG431" s="1" t="s">
        <v>321</v>
      </c>
      <c r="BH431"/>
      <c r="BI431" s="264" t="s">
        <v>1036</v>
      </c>
      <c r="BJ431" t="s">
        <v>2058</v>
      </c>
      <c r="BK431">
        <v>0</v>
      </c>
      <c r="BL431">
        <v>218025</v>
      </c>
      <c r="BM431" t="str">
        <f>IFERROR(BL431/BK431,"")</f>
        <v/>
      </c>
      <c r="BN431">
        <f>BL431-BK431</f>
        <v>218025</v>
      </c>
      <c r="BO431">
        <f>BN431*tC_to_m3</f>
        <v>946699.95657837612</v>
      </c>
      <c r="BP431" t="s">
        <v>232</v>
      </c>
      <c r="BQ431" t="s">
        <v>424</v>
      </c>
      <c r="BR431" t="s">
        <v>2063</v>
      </c>
      <c r="BS431"/>
      <c r="BT431"/>
      <c r="BU431" s="144"/>
      <c r="BV431">
        <v>-1.1200000000000001</v>
      </c>
      <c r="BW431"/>
      <c r="BX431">
        <f>BV431</f>
        <v>-1.1200000000000001</v>
      </c>
      <c r="BY431">
        <f>IFERROR(BX431/BO431,"")</f>
        <v>-1.1830569888774224E-6</v>
      </c>
      <c r="BZ431">
        <v>0</v>
      </c>
      <c r="CA431">
        <v>0</v>
      </c>
      <c r="CB431">
        <v>0</v>
      </c>
      <c r="CC431">
        <v>0</v>
      </c>
      <c r="CD431">
        <v>0</v>
      </c>
      <c r="CE431">
        <v>0</v>
      </c>
      <c r="CF431">
        <v>0</v>
      </c>
      <c r="CG431">
        <v>0</v>
      </c>
      <c r="CH431">
        <v>0</v>
      </c>
      <c r="CI431">
        <v>0</v>
      </c>
      <c r="CJ431">
        <v>0</v>
      </c>
      <c r="CK431">
        <v>0</v>
      </c>
      <c r="CL431">
        <v>0</v>
      </c>
      <c r="CM431">
        <v>0</v>
      </c>
      <c r="CN431" t="str">
        <f>IF($BL431&lt;$BK431,"refNeedCorrection","refOK")</f>
        <v>refOK</v>
      </c>
      <c r="CO431">
        <f>IF($CN431="refOK",$BK431,$BL431)</f>
        <v>0</v>
      </c>
      <c r="CP431">
        <f>IF($CN431="refOK",$BL431,$BK431)</f>
        <v>218025</v>
      </c>
      <c r="CQ431">
        <f>IF($CN431="refOK",$BO431,-$BO431)</f>
        <v>946699.95657837612</v>
      </c>
      <c r="CR431">
        <f>IF($CN431="refOK",$BS431,$BT431)*IF($BP431="Emissions positive",-1,1)</f>
        <v>0</v>
      </c>
      <c r="CS431">
        <f>IF($CN431="refOK",$BT431,$BS431)*IF($BP431="Emissions positive",-1,1)</f>
        <v>0</v>
      </c>
      <c r="CT431">
        <f>IF($CN431="refNeedCorrection",-BX431,BX431)*IF($BP431="Emissions positive",-1,1)</f>
        <v>-1.1200000000000001</v>
      </c>
      <c r="CU431">
        <f>IFERROR(CT431/CQ431,"")</f>
        <v>-1.1830569888774224E-6</v>
      </c>
      <c r="CV431" s="2" t="str">
        <f>IFERROR((CS431-CR431)/ABS(CR431),"")</f>
        <v/>
      </c>
      <c r="CW431" s="1" t="s">
        <v>2036</v>
      </c>
      <c r="CX431" t="str">
        <f>IF(OR($CW431="prd",$CW431="std",$CW431="cit"),"loc",IF(OR($CW431="eur",$CW431="reg",$CW431="coy"),"reg",$CW431))</f>
        <v>reg</v>
      </c>
      <c r="CY431" t="s">
        <v>2060</v>
      </c>
      <c r="CZ431">
        <v>2021</v>
      </c>
      <c r="DA431">
        <v>2030</v>
      </c>
      <c r="DB431">
        <f>DA431-CZ431</f>
        <v>9</v>
      </c>
      <c r="DC431" t="str">
        <f>IF(DB431=0,"0",IF(AND(DB431&gt;=1,DB431&lt;=30),"1-30",IF(AND(DB431&gt;30,DB431&lt;=70),"31-70",IF(AND(DB431&gt;70,DB431&lt;=100),"71-100",IF(DB431&gt;100,"+100")))))</f>
        <v>1-30</v>
      </c>
      <c r="DD431">
        <v>0</v>
      </c>
      <c r="DE431">
        <v>0</v>
      </c>
      <c r="DF431">
        <v>0</v>
      </c>
      <c r="DG431">
        <v>1</v>
      </c>
      <c r="DH431">
        <v>0</v>
      </c>
      <c r="DI431">
        <f>SUM(DD431:DH431)</f>
        <v>1</v>
      </c>
      <c r="DJ431" t="str">
        <f>IF(DI431=1,INDEX($DD$7:$DG$7,MATCH(1,$DD431:$DG431,0)),"mixedProduct")</f>
        <v>TimberInput</v>
      </c>
      <c r="DK431">
        <f>IF(DD431=1,DK$7,0)</f>
        <v>0</v>
      </c>
      <c r="DL431">
        <f>IF(DE431=1,DL$7,0)</f>
        <v>0</v>
      </c>
      <c r="DM431">
        <f>IF(DF431=1,DM$7,0)</f>
        <v>0</v>
      </c>
      <c r="DN431" t="str">
        <f>IF(DG431=1,DN$7,0)</f>
        <v>Timber</v>
      </c>
      <c r="DO431"/>
      <c r="DP431">
        <v>1</v>
      </c>
      <c r="DQ431"/>
      <c r="DR431"/>
      <c r="DS431" s="184" t="s">
        <v>2061</v>
      </c>
      <c r="DT431"/>
      <c r="DU431" s="143" t="str">
        <f>IF(DO431=1,"self-calculated DF",IF(DP431=1,"external DF used","explicit C balance"))</f>
        <v>external DF used</v>
      </c>
      <c r="DV431">
        <v>1</v>
      </c>
      <c r="DW431">
        <v>1</v>
      </c>
      <c r="DX431">
        <v>1</v>
      </c>
      <c r="DY431">
        <v>1</v>
      </c>
      <c r="DZ431">
        <v>1</v>
      </c>
      <c r="EA431">
        <v>1</v>
      </c>
      <c r="EB431">
        <v>0</v>
      </c>
      <c r="EC431">
        <v>0</v>
      </c>
      <c r="ED431">
        <v>0</v>
      </c>
      <c r="EE431">
        <v>0</v>
      </c>
      <c r="EF431">
        <v>1</v>
      </c>
      <c r="EG431">
        <v>0</v>
      </c>
      <c r="EH431">
        <v>1</v>
      </c>
      <c r="EI431" s="2">
        <v>0</v>
      </c>
      <c r="EJ431" s="1"/>
      <c r="EK431" t="str">
        <f>IF(AND(AND(AND(OR($DX431=1,$DW431=1),OR($EC431=1,$EA431=1)),SUM($DV431:$DZ431,$EF431)&gt;=4),SUM($EA431:$EE431)&gt;=2),"Whole sector","")</f>
        <v/>
      </c>
      <c r="EL431" t="str">
        <f>IF(AND(AND(OR($DX431=1,$DW431=1),AND($EC431=0,$EA431=0)),SUM($DV431:$DZ431,$EF431)&gt;=4),"Ecosystem approach","")</f>
        <v/>
      </c>
      <c r="EM431" s="2" t="str">
        <f>IF(AND(AND(AND($DX431=0,$DW431=0),OR($EC431=1,$EA431=1)),SUM($EB431:$EE431)&gt;=2),"Technology approach","")</f>
        <v/>
      </c>
      <c r="EN431"/>
      <c r="EO431"/>
      <c r="EP431" t="str">
        <f>IF(ISNUMBER(BU431),IF(ABS(BU431-[1]QC_indicators!$B$2)&gt;3*[1]QC_indicators!$C$2,"C ratio",IF(ISNUMBER(BY431),IF(ABS(BY431-[1]QC_indicators!$B$1)&gt;3*[1]QC_indicators!$C$1,"DF","no"))),IF(ISNUMBER(BY431),IF(ABS(BY431-[1]QC_indicators!$B$1)&gt;3*[1]QC_indicators!$C$1,"DF","no")))</f>
        <v>no</v>
      </c>
      <c r="EQ431"/>
      <c r="ER431"/>
      <c r="ES431"/>
      <c r="ET431" s="264" t="s">
        <v>3273</v>
      </c>
      <c r="EU431"/>
    </row>
    <row r="432" spans="1:151" s="139" customFormat="1" ht="15" customHeight="1">
      <c r="A432" s="1"/>
      <c r="B432"/>
      <c r="C432"/>
      <c r="D432" t="s">
        <v>2052</v>
      </c>
      <c r="E432" t="s">
        <v>2053</v>
      </c>
      <c r="F432"/>
      <c r="G432" t="s">
        <v>2054</v>
      </c>
      <c r="H432"/>
      <c r="I432">
        <v>2018</v>
      </c>
      <c r="J432"/>
      <c r="K432" s="150" t="s">
        <v>2055</v>
      </c>
      <c r="L432"/>
      <c r="M432" t="str">
        <f>LEFT($D432,FIND(",",$D432)-1)&amp;"_"&amp;I432&amp;L432</f>
        <v>Olguin_2018</v>
      </c>
      <c r="N432" t="s">
        <v>222</v>
      </c>
      <c r="O432" s="157" t="s">
        <v>274</v>
      </c>
      <c r="P432" t="s">
        <v>513</v>
      </c>
      <c r="Q432" t="s">
        <v>389</v>
      </c>
      <c r="R432" s="262" t="s">
        <v>223</v>
      </c>
      <c r="S432" s="263" t="s">
        <v>3206</v>
      </c>
      <c r="T432" t="s">
        <v>2056</v>
      </c>
      <c r="U432" t="s">
        <v>2064</v>
      </c>
      <c r="V432">
        <v>0</v>
      </c>
      <c r="W432">
        <v>0</v>
      </c>
      <c r="X432">
        <v>0</v>
      </c>
      <c r="Y432">
        <v>0</v>
      </c>
      <c r="Z432">
        <v>0</v>
      </c>
      <c r="AA432">
        <v>0</v>
      </c>
      <c r="AB432">
        <v>0</v>
      </c>
      <c r="AC432">
        <v>1</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s="141">
        <f>COUNTIF(V432:AW432,"&lt;&gt;0")</f>
        <v>1</v>
      </c>
      <c r="AY432" s="141">
        <f>COUNTIF(V432:AL432,"&lt;&gt;0")</f>
        <v>1</v>
      </c>
      <c r="AZ432">
        <f>COUNTIF(V432:AC432,"&lt;&gt;0")</f>
        <v>1</v>
      </c>
      <c r="BA432">
        <f>COUNTIF(AD432:AI432,"&lt;&gt;0")</f>
        <v>0</v>
      </c>
      <c r="BB432">
        <f>COUNTIF(AJ432:AL432,"&lt;&gt;0")</f>
        <v>0</v>
      </c>
      <c r="BC432">
        <f>COUNTIF(AS432:AW432,"&lt;&gt;0")</f>
        <v>0</v>
      </c>
      <c r="BD432">
        <f>COUNTIF(AM432:AR432,"&lt;&gt;0")</f>
        <v>0</v>
      </c>
      <c r="BE432" t="str">
        <f t="array" ref="BE432">IF(AY432=1,INDEX($V$7:$AL$7,MATCH(TRUE,INDEX($V432:$AW432&lt;&gt;0,),0)),IF(AY432=0,INDEX($AM$7:$AW$7,MATCH(1,$AM432:$AW432,0)),IF(BF432="Multiple strategies","mixed drivers",IF(BF432="Supply chain","multiple supply","multiple silviculture"))))</f>
        <v>site fertility</v>
      </c>
      <c r="BF432" s="2" t="str" cm="1">
        <f t="array" ref="BF432">IF(COUNTIF(AZ432:BB432,"&lt;&gt;0")=1,INDEX($V$4:$AW$4,MATCH(TRUE,INDEX($V432:$AW432&lt;&gt;0,),0)),IF(COUNTIF(AZ432:BB432,"&lt;&gt;0")=0,INDEX($AM$4:$AW$4,MATCH(1,$AM432:$AW432,0)),"Multiple strategies"))</f>
        <v>Silviculture for productivity</v>
      </c>
      <c r="BG432" s="1" t="s">
        <v>321</v>
      </c>
      <c r="BH432"/>
      <c r="BI432" s="264" t="s">
        <v>1036</v>
      </c>
      <c r="BJ432" t="s">
        <v>2058</v>
      </c>
      <c r="BK432">
        <v>0</v>
      </c>
      <c r="BL432">
        <v>218025</v>
      </c>
      <c r="BM432" t="str">
        <f>IFERROR(BL432/BK432,"")</f>
        <v/>
      </c>
      <c r="BN432">
        <f>BL432-BK432</f>
        <v>218025</v>
      </c>
      <c r="BO432">
        <f>BN432*tC_to_m3</f>
        <v>946699.95657837612</v>
      </c>
      <c r="BP432" t="s">
        <v>232</v>
      </c>
      <c r="BQ432" t="s">
        <v>424</v>
      </c>
      <c r="BR432" t="s">
        <v>2063</v>
      </c>
      <c r="BS432"/>
      <c r="BT432"/>
      <c r="BU432" s="144"/>
      <c r="BV432">
        <v>-1.03</v>
      </c>
      <c r="BW432"/>
      <c r="BX432">
        <f>BV432</f>
        <v>-1.03</v>
      </c>
      <c r="BY432">
        <f>IFERROR(BX432/BO432,"")</f>
        <v>-1.087989909414058E-6</v>
      </c>
      <c r="BZ432">
        <v>0</v>
      </c>
      <c r="CA432">
        <v>0</v>
      </c>
      <c r="CB432">
        <v>0</v>
      </c>
      <c r="CC432">
        <v>0</v>
      </c>
      <c r="CD432">
        <v>0</v>
      </c>
      <c r="CE432">
        <v>0</v>
      </c>
      <c r="CF432">
        <v>0</v>
      </c>
      <c r="CG432">
        <v>0</v>
      </c>
      <c r="CH432">
        <v>0</v>
      </c>
      <c r="CI432">
        <v>0</v>
      </c>
      <c r="CJ432">
        <v>0</v>
      </c>
      <c r="CK432">
        <v>0</v>
      </c>
      <c r="CL432">
        <v>0</v>
      </c>
      <c r="CM432">
        <v>0</v>
      </c>
      <c r="CN432" t="str">
        <f>IF($BL432&lt;$BK432,"refNeedCorrection","refOK")</f>
        <v>refOK</v>
      </c>
      <c r="CO432">
        <f>IF($CN432="refOK",$BK432,$BL432)</f>
        <v>0</v>
      </c>
      <c r="CP432">
        <f>IF($CN432="refOK",$BL432,$BK432)</f>
        <v>218025</v>
      </c>
      <c r="CQ432">
        <f>IF($CN432="refOK",$BO432,-$BO432)</f>
        <v>946699.95657837612</v>
      </c>
      <c r="CR432">
        <f>IF($CN432="refOK",$BS432,$BT432)*IF($BP432="Emissions positive",-1,1)</f>
        <v>0</v>
      </c>
      <c r="CS432">
        <f>IF($CN432="refOK",$BT432,$BS432)*IF($BP432="Emissions positive",-1,1)</f>
        <v>0</v>
      </c>
      <c r="CT432">
        <f>IF($CN432="refNeedCorrection",-BX432,BX432)*IF($BP432="Emissions positive",-1,1)</f>
        <v>-1.03</v>
      </c>
      <c r="CU432">
        <f>IFERROR(CT432/CQ432,"")</f>
        <v>-1.087989909414058E-6</v>
      </c>
      <c r="CV432" s="2" t="str">
        <f>IFERROR((CS432-CR432)/ABS(CR432),"")</f>
        <v/>
      </c>
      <c r="CW432" s="1" t="s">
        <v>2036</v>
      </c>
      <c r="CX432" t="str">
        <f>IF(OR($CW432="prd",$CW432="std",$CW432="cit"),"loc",IF(OR($CW432="eur",$CW432="reg",$CW432="coy"),"reg",$CW432))</f>
        <v>reg</v>
      </c>
      <c r="CY432" t="s">
        <v>2060</v>
      </c>
      <c r="CZ432">
        <v>2021</v>
      </c>
      <c r="DA432">
        <v>2050</v>
      </c>
      <c r="DB432">
        <f>DA432-CZ432</f>
        <v>29</v>
      </c>
      <c r="DC432" t="str">
        <f>IF(DB432=0,"0",IF(AND(DB432&gt;=1,DB432&lt;=30),"1-30",IF(AND(DB432&gt;30,DB432&lt;=70),"31-70",IF(AND(DB432&gt;70,DB432&lt;=100),"71-100",IF(DB432&gt;100,"+100")))))</f>
        <v>1-30</v>
      </c>
      <c r="DD432">
        <v>0</v>
      </c>
      <c r="DE432">
        <v>0</v>
      </c>
      <c r="DF432">
        <v>0</v>
      </c>
      <c r="DG432">
        <v>1</v>
      </c>
      <c r="DH432">
        <v>0</v>
      </c>
      <c r="DI432">
        <f>SUM(DD432:DG432)</f>
        <v>1</v>
      </c>
      <c r="DJ432" t="str">
        <f>IF(DI432=1,INDEX($DD$7:$DG$7,MATCH(1,$DD432:$DG432,0)),"mixedProduct")</f>
        <v>TimberInput</v>
      </c>
      <c r="DK432">
        <f>IF(DD432=1,DK$7,0)</f>
        <v>0</v>
      </c>
      <c r="DL432">
        <f>IF(DE432=1,DL$7,0)</f>
        <v>0</v>
      </c>
      <c r="DM432">
        <f>IF(DF432=1,DM$7,0)</f>
        <v>0</v>
      </c>
      <c r="DN432" t="str">
        <f>IF(DG432=1,DN$7,0)</f>
        <v>Timber</v>
      </c>
      <c r="DO432"/>
      <c r="DP432">
        <v>1</v>
      </c>
      <c r="DQ432"/>
      <c r="DR432"/>
      <c r="DS432" s="184" t="s">
        <v>2061</v>
      </c>
      <c r="DT432"/>
      <c r="DU432" s="143" t="str">
        <f>IF(DO432=1,"self-calculated DF",IF(DP432=1,"external DF used","explicit C balance"))</f>
        <v>external DF used</v>
      </c>
      <c r="DV432">
        <v>1</v>
      </c>
      <c r="DW432">
        <v>1</v>
      </c>
      <c r="DX432">
        <v>1</v>
      </c>
      <c r="DY432">
        <v>1</v>
      </c>
      <c r="DZ432">
        <v>1</v>
      </c>
      <c r="EA432">
        <v>1</v>
      </c>
      <c r="EB432">
        <v>0</v>
      </c>
      <c r="EC432">
        <v>0</v>
      </c>
      <c r="ED432">
        <v>0</v>
      </c>
      <c r="EE432">
        <v>0</v>
      </c>
      <c r="EF432">
        <v>1</v>
      </c>
      <c r="EG432">
        <v>0</v>
      </c>
      <c r="EH432">
        <v>1</v>
      </c>
      <c r="EI432" s="2">
        <v>0</v>
      </c>
      <c r="EJ432" s="1"/>
      <c r="EK432" t="str">
        <f>IF(AND(AND(AND(OR($DX432=1,$DW432=1),OR($EC432=1,$EA432=1)),SUM($DV432:$DZ432,$EF432)&gt;=4),SUM($EA432:$EE432)&gt;=2),"Whole sector","")</f>
        <v/>
      </c>
      <c r="EL432" t="str">
        <f>IF(AND(AND(OR($DX432=1,$DW432=1),AND($EC432=0,$EA432=0)),SUM($DV432:$DZ432,$EF432)&gt;=4),"Ecosystem approach","")</f>
        <v/>
      </c>
      <c r="EM432" s="2" t="str">
        <f>IF(AND(AND(AND($DX432=0,$DW432=0),OR($EC432=1,$EA432=1)),SUM($EB432:$EE432)&gt;=2),"Technology approach","")</f>
        <v/>
      </c>
      <c r="EN432"/>
      <c r="EO432"/>
      <c r="EP432" t="str">
        <f>IF(ISNUMBER(BU432),IF(ABS(BU432-[1]QC_indicators!$B$2)&gt;3*[1]QC_indicators!$C$2,"C ratio",IF(ISNUMBER(BY432),IF(ABS(BY432-[1]QC_indicators!$B$1)&gt;3*[1]QC_indicators!$C$1,"DF","no"))),IF(ISNUMBER(BY432),IF(ABS(BY432-[1]QC_indicators!$B$1)&gt;3*[1]QC_indicators!$C$1,"DF","no")))</f>
        <v>no</v>
      </c>
      <c r="EQ432"/>
      <c r="ER432"/>
      <c r="ES432"/>
      <c r="ET432" s="264" t="s">
        <v>3273</v>
      </c>
      <c r="EU432"/>
    </row>
    <row r="433" spans="1:151" s="139" customFormat="1" ht="15" customHeight="1">
      <c r="A433" s="256" t="s">
        <v>214</v>
      </c>
      <c r="B433" s="257" t="s">
        <v>215</v>
      </c>
      <c r="C433" s="257" t="s">
        <v>216</v>
      </c>
      <c r="D433" s="257" t="s">
        <v>217</v>
      </c>
      <c r="E433" s="257" t="s">
        <v>218</v>
      </c>
      <c r="F433" s="257" t="s">
        <v>219</v>
      </c>
      <c r="G433" s="257" t="s">
        <v>220</v>
      </c>
      <c r="H433" s="257"/>
      <c r="I433" s="257">
        <v>2012</v>
      </c>
      <c r="J433" s="257"/>
      <c r="K433" s="257" t="s">
        <v>221</v>
      </c>
      <c r="L433" s="257"/>
      <c r="M433" s="257" t="s">
        <v>3070</v>
      </c>
      <c r="N433" s="257" t="s">
        <v>222</v>
      </c>
      <c r="O433" s="275" t="s">
        <v>223</v>
      </c>
      <c r="P433" s="257"/>
      <c r="Q433" s="257" t="s">
        <v>224</v>
      </c>
      <c r="R433" s="258" t="s">
        <v>225</v>
      </c>
      <c r="S433" s="256" t="s">
        <v>240</v>
      </c>
      <c r="T433" s="257">
        <v>2000</v>
      </c>
      <c r="U433" s="257">
        <v>4000</v>
      </c>
      <c r="V433" s="257">
        <v>0</v>
      </c>
      <c r="W433" s="257">
        <v>0</v>
      </c>
      <c r="X433" s="257">
        <v>0</v>
      </c>
      <c r="Y433" s="257">
        <v>0</v>
      </c>
      <c r="Z433" s="257">
        <v>0</v>
      </c>
      <c r="AA433" s="257">
        <v>1</v>
      </c>
      <c r="AB433" s="257">
        <v>0</v>
      </c>
      <c r="AC433" s="257">
        <v>0</v>
      </c>
      <c r="AD433" s="257">
        <v>0</v>
      </c>
      <c r="AE433" s="257">
        <v>0</v>
      </c>
      <c r="AF433" s="257">
        <v>0</v>
      </c>
      <c r="AG433" s="257">
        <v>0</v>
      </c>
      <c r="AH433" s="257">
        <v>0</v>
      </c>
      <c r="AI433" s="257">
        <v>0</v>
      </c>
      <c r="AJ433" s="257">
        <v>0</v>
      </c>
      <c r="AK433" s="257">
        <v>0</v>
      </c>
      <c r="AL433" s="257">
        <v>0</v>
      </c>
      <c r="AM433" s="257">
        <v>0</v>
      </c>
      <c r="AN433" s="257">
        <v>0</v>
      </c>
      <c r="AO433" s="257">
        <v>0</v>
      </c>
      <c r="AP433" s="257">
        <v>0</v>
      </c>
      <c r="AQ433" s="257">
        <v>0</v>
      </c>
      <c r="AR433" s="257">
        <v>0</v>
      </c>
      <c r="AS433" s="257">
        <v>0</v>
      </c>
      <c r="AT433" s="257">
        <v>0</v>
      </c>
      <c r="AU433" s="257">
        <v>0</v>
      </c>
      <c r="AV433" s="257">
        <v>0</v>
      </c>
      <c r="AW433" s="257">
        <v>0</v>
      </c>
      <c r="AX433" s="277">
        <v>1</v>
      </c>
      <c r="AY433" s="277">
        <v>1</v>
      </c>
      <c r="AZ433" s="257">
        <v>1</v>
      </c>
      <c r="BA433" s="257">
        <v>0</v>
      </c>
      <c r="BB433" s="257">
        <v>0</v>
      </c>
      <c r="BC433" s="257">
        <v>0</v>
      </c>
      <c r="BD433" s="257">
        <v>0</v>
      </c>
      <c r="BE433" s="257" t="s">
        <v>93</v>
      </c>
      <c r="BF433" s="2" t="str" cm="1">
        <f t="array" ref="BF433">IF(COUNTIF(AZ433:BB433,"&lt;&gt;0")=1,INDEX($V$4:$AW$4,MATCH(TRUE,INDEX($V433:$AW433&lt;&gt;0,),0)),IF(COUNTIF(AZ433:BB433,"&lt;&gt;0")=0,INDEX($AM$4:$AW$4,MATCH(1,$AM433:$AW433,0)),"Multiple strategies"))</f>
        <v>Silviculture for productivity</v>
      </c>
      <c r="BG433" s="278" t="s">
        <v>229</v>
      </c>
      <c r="BH433" s="257" t="s">
        <v>230</v>
      </c>
      <c r="BI433" s="279" t="s">
        <v>3071</v>
      </c>
      <c r="BJ433" s="276" t="s">
        <v>231</v>
      </c>
      <c r="BK433" s="257">
        <v>89.04746797</v>
      </c>
      <c r="BL433" s="257">
        <v>98.063244030000007</v>
      </c>
      <c r="BM433" s="276">
        <v>1.1012468548015022</v>
      </c>
      <c r="BN433" s="257">
        <v>9.0157760600000074</v>
      </c>
      <c r="BO433" s="276">
        <v>18.399542979591853</v>
      </c>
      <c r="BP433" s="276" t="s">
        <v>232</v>
      </c>
      <c r="BQ433" s="279" t="s">
        <v>3071</v>
      </c>
      <c r="BR433" s="276" t="s">
        <v>233</v>
      </c>
      <c r="BS433" s="257">
        <v>-8.1050396580000008</v>
      </c>
      <c r="BT433" s="257">
        <v>-8.12446701</v>
      </c>
      <c r="BU433" s="259">
        <v>1.0023969471859182</v>
      </c>
      <c r="BV433" s="257">
        <v>-1.9427351999999232E-2</v>
      </c>
      <c r="BW433" s="257"/>
      <c r="BX433" s="257">
        <v>-1.9427351999999233E-5</v>
      </c>
      <c r="BY433" s="257">
        <v>-1.0558605733602943E-6</v>
      </c>
      <c r="BZ433" s="257">
        <v>0</v>
      </c>
      <c r="CA433" s="257">
        <v>0</v>
      </c>
      <c r="CB433" s="257">
        <v>0</v>
      </c>
      <c r="CC433" s="257">
        <v>0</v>
      </c>
      <c r="CD433" s="257">
        <v>0</v>
      </c>
      <c r="CE433" s="257">
        <v>0</v>
      </c>
      <c r="CF433" s="257">
        <v>0</v>
      </c>
      <c r="CG433" s="257">
        <v>0</v>
      </c>
      <c r="CH433" s="257">
        <v>0</v>
      </c>
      <c r="CI433" s="257">
        <v>0</v>
      </c>
      <c r="CJ433" s="257">
        <v>0</v>
      </c>
      <c r="CK433" s="257">
        <v>0</v>
      </c>
      <c r="CL433" s="257">
        <v>0</v>
      </c>
      <c r="CM433" s="257">
        <v>0</v>
      </c>
      <c r="CN433" s="257" t="s">
        <v>3072</v>
      </c>
      <c r="CO433" s="257">
        <v>89.04746797</v>
      </c>
      <c r="CP433" s="257">
        <v>98.063244030000007</v>
      </c>
      <c r="CQ433" s="257">
        <v>18.399542979591853</v>
      </c>
      <c r="CR433" s="257">
        <v>-8.1050396580000008</v>
      </c>
      <c r="CS433" s="257">
        <v>-8.12446701</v>
      </c>
      <c r="CT433" s="257">
        <v>-1.9427351999999233E-5</v>
      </c>
      <c r="CU433" s="257">
        <v>-1.0558605733602943E-6</v>
      </c>
      <c r="CV433" s="258">
        <v>-2.396947185918289E-3</v>
      </c>
      <c r="CW433" s="256" t="s">
        <v>234</v>
      </c>
      <c r="CX433" s="257" t="s">
        <v>3073</v>
      </c>
      <c r="CY433" s="257" t="s">
        <v>235</v>
      </c>
      <c r="CZ433" s="257"/>
      <c r="DA433" s="276"/>
      <c r="DB433" s="276">
        <v>80</v>
      </c>
      <c r="DC433" s="257" t="s">
        <v>3074</v>
      </c>
      <c r="DD433" s="257">
        <v>0</v>
      </c>
      <c r="DE433" s="257">
        <v>1</v>
      </c>
      <c r="DF433" s="257">
        <v>0</v>
      </c>
      <c r="DG433" s="257">
        <v>0</v>
      </c>
      <c r="DH433" s="257"/>
      <c r="DI433" s="257">
        <v>1</v>
      </c>
      <c r="DJ433" s="257" t="s">
        <v>173</v>
      </c>
      <c r="DK433" s="257">
        <v>0</v>
      </c>
      <c r="DL433" s="257" t="s">
        <v>180</v>
      </c>
      <c r="DM433" s="257">
        <v>0</v>
      </c>
      <c r="DN433" s="257">
        <v>0</v>
      </c>
      <c r="DO433" s="257">
        <v>0</v>
      </c>
      <c r="DP433" s="276">
        <v>0</v>
      </c>
      <c r="DQ433" s="276">
        <v>0</v>
      </c>
      <c r="DR433" s="276">
        <v>0</v>
      </c>
      <c r="DS433" s="276">
        <v>0</v>
      </c>
      <c r="DT433" s="257">
        <v>0</v>
      </c>
      <c r="DU433" s="276" t="s">
        <v>962</v>
      </c>
      <c r="DV433" s="276">
        <v>1</v>
      </c>
      <c r="DW433" s="276">
        <v>1</v>
      </c>
      <c r="DX433" s="276">
        <v>1</v>
      </c>
      <c r="DY433" s="276">
        <v>0</v>
      </c>
      <c r="DZ433" s="257">
        <v>0</v>
      </c>
      <c r="EA433" s="276">
        <v>0</v>
      </c>
      <c r="EB433" s="276">
        <v>1</v>
      </c>
      <c r="EC433" s="276">
        <v>1</v>
      </c>
      <c r="ED433" s="276">
        <v>0</v>
      </c>
      <c r="EE433" s="276">
        <v>0</v>
      </c>
      <c r="EF433" s="257">
        <v>1</v>
      </c>
      <c r="EG433" s="276">
        <v>0</v>
      </c>
      <c r="EH433" s="257">
        <v>0</v>
      </c>
      <c r="EI433" s="258">
        <v>0</v>
      </c>
      <c r="EJ433" s="256"/>
      <c r="EK433" t="str">
        <f>IF(AND(AND(AND(OR($DX433=1,$DW433=1),OR($EC433=1,$EA433=1)),SUM($DV433:$DZ433,$EF433)&gt;=4),SUM($EA433:$EE433)&gt;=2),"Whole sector","")</f>
        <v>Whole sector</v>
      </c>
      <c r="EL433" t="str">
        <f>IF(AND(AND(OR($DX433=1,$DW433=1),AND($EC433=0,$EA433=0)),SUM($DV433:$DZ433,$EF433)&gt;=4),"Ecosystem approach","")</f>
        <v/>
      </c>
      <c r="EM433" s="258" t="s">
        <v>544</v>
      </c>
      <c r="EN433" s="257" t="s">
        <v>236</v>
      </c>
      <c r="EO433" s="257"/>
      <c r="EP433" t="str">
        <f>IF(ISNUMBER(BU433),IF(ABS(BU433-[2]QC_indicators!$B$2)&gt;3*[2]QC_indicators!$C$2,"C ratio",IF(ISNUMBER(BY433),IF(ABS(BY433-[2]QC_indicators!$B$1)&gt;3*[2]QC_indicators!$C$1,"DF","no"))),IF(ISNUMBER(BY433),IF(ABS(BY433-[2]QC_indicators!$B$1)&gt;3*[2]QC_indicators!$C$1,"DF","no")))</f>
        <v>no</v>
      </c>
      <c r="EQ433" s="280"/>
      <c r="ER433" s="280"/>
      <c r="ES433" s="280"/>
      <c r="ET433"/>
      <c r="EU433"/>
    </row>
    <row r="434" spans="1:151" s="139" customFormat="1" ht="15" customHeight="1">
      <c r="A434" s="1"/>
      <c r="B434"/>
      <c r="C434"/>
      <c r="D434" t="s">
        <v>2052</v>
      </c>
      <c r="E434" t="s">
        <v>2053</v>
      </c>
      <c r="F434"/>
      <c r="G434" t="s">
        <v>2054</v>
      </c>
      <c r="H434"/>
      <c r="I434">
        <v>2018</v>
      </c>
      <c r="J434"/>
      <c r="K434" s="150" t="s">
        <v>2055</v>
      </c>
      <c r="L434"/>
      <c r="M434" t="str">
        <f>LEFT($D434,FIND(",",$D434)-1)&amp;"_"&amp;I434&amp;L434</f>
        <v>Olguin_2018</v>
      </c>
      <c r="N434" t="s">
        <v>222</v>
      </c>
      <c r="O434" s="157" t="s">
        <v>274</v>
      </c>
      <c r="P434" t="s">
        <v>513</v>
      </c>
      <c r="Q434" t="s">
        <v>389</v>
      </c>
      <c r="R434" s="262" t="s">
        <v>223</v>
      </c>
      <c r="S434" s="263" t="s">
        <v>3192</v>
      </c>
      <c r="T434" t="s">
        <v>2056</v>
      </c>
      <c r="U434" t="s">
        <v>2062</v>
      </c>
      <c r="V434">
        <v>0</v>
      </c>
      <c r="W434">
        <v>0</v>
      </c>
      <c r="X434">
        <v>0</v>
      </c>
      <c r="Y434">
        <v>0</v>
      </c>
      <c r="Z434">
        <v>0</v>
      </c>
      <c r="AA434">
        <v>0</v>
      </c>
      <c r="AB434">
        <v>0</v>
      </c>
      <c r="AC434">
        <v>1</v>
      </c>
      <c r="AD434">
        <v>0</v>
      </c>
      <c r="AE434">
        <v>0</v>
      </c>
      <c r="AF434">
        <v>1</v>
      </c>
      <c r="AG434">
        <v>0</v>
      </c>
      <c r="AH434">
        <v>0</v>
      </c>
      <c r="AI434">
        <v>0</v>
      </c>
      <c r="AJ434">
        <v>0</v>
      </c>
      <c r="AK434">
        <v>0</v>
      </c>
      <c r="AL434">
        <v>0</v>
      </c>
      <c r="AM434">
        <v>0</v>
      </c>
      <c r="AN434">
        <v>0</v>
      </c>
      <c r="AO434">
        <v>0</v>
      </c>
      <c r="AP434">
        <v>0</v>
      </c>
      <c r="AQ434">
        <v>0</v>
      </c>
      <c r="AR434">
        <v>0</v>
      </c>
      <c r="AS434">
        <v>0</v>
      </c>
      <c r="AT434">
        <v>0</v>
      </c>
      <c r="AU434">
        <v>0</v>
      </c>
      <c r="AV434">
        <v>0</v>
      </c>
      <c r="AW434">
        <v>0</v>
      </c>
      <c r="AX434" s="141">
        <f>COUNTIF(V434:AW434,"&lt;&gt;0")</f>
        <v>2</v>
      </c>
      <c r="AY434" s="141">
        <f>COUNTIF(V434:AL434,"&lt;&gt;0")</f>
        <v>2</v>
      </c>
      <c r="AZ434">
        <f>COUNTIF(V434:AC434,"&lt;&gt;0")</f>
        <v>1</v>
      </c>
      <c r="BA434">
        <f>COUNTIF(AD434:AI434,"&lt;&gt;0")</f>
        <v>1</v>
      </c>
      <c r="BB434">
        <f>COUNTIF(AJ434:AL434,"&lt;&gt;0")</f>
        <v>0</v>
      </c>
      <c r="BC434">
        <f>COUNTIF(AS434:AW434,"&lt;&gt;0")</f>
        <v>0</v>
      </c>
      <c r="BD434">
        <f>COUNTIF(AM434:AR434,"&lt;&gt;0")</f>
        <v>0</v>
      </c>
      <c r="BE434" t="str">
        <f t="array" ref="BE434">IF(AY434=1,INDEX($V$7:$AL$7,MATCH(TRUE,INDEX($V434:$AW434&lt;&gt;0,),0)),IF(AY434=0,INDEX($AM$7:$AW$7,MATCH(1,$AM434:$AW434,0)),IF(BF434="Multiple strategies","mixed drivers",IF(BF434="Supply chain","multiple supply","multiple silviculture"))))</f>
        <v>mixed drivers</v>
      </c>
      <c r="BF434" s="2" t="str" cm="1">
        <f t="array" ref="BF434">IF(COUNTIF(AZ434:BB434,"&lt;&gt;0")=1,INDEX($V$4:$AW$4,MATCH(TRUE,INDEX($V434:$AW434&lt;&gt;0,),0)),IF(COUNTIF(AZ434:BB434,"&lt;&gt;0")=0,INDEX($AM$4:$AW$4,MATCH(1,$AM434:$AW434,0)),"Multiple strategies"))</f>
        <v>Multiple strategies</v>
      </c>
      <c r="BG434" s="1" t="s">
        <v>321</v>
      </c>
      <c r="BH434"/>
      <c r="BI434" s="264" t="s">
        <v>1036</v>
      </c>
      <c r="BJ434" t="s">
        <v>2058</v>
      </c>
      <c r="BK434">
        <v>0</v>
      </c>
      <c r="BL434">
        <v>218025</v>
      </c>
      <c r="BM434" t="str">
        <f>IFERROR(BL434/BK434,"")</f>
        <v/>
      </c>
      <c r="BN434">
        <f>BL434-BK434</f>
        <v>218025</v>
      </c>
      <c r="BO434">
        <f>BN434*tC_to_m3</f>
        <v>946699.95657837612</v>
      </c>
      <c r="BP434" t="s">
        <v>232</v>
      </c>
      <c r="BQ434" t="s">
        <v>424</v>
      </c>
      <c r="BR434" t="s">
        <v>2063</v>
      </c>
      <c r="BS434"/>
      <c r="BT434"/>
      <c r="BU434" s="144"/>
      <c r="BV434">
        <v>-0.95</v>
      </c>
      <c r="BW434"/>
      <c r="BX434">
        <f>BV434</f>
        <v>-0.95</v>
      </c>
      <c r="BY434">
        <f>IFERROR(BX434/BO434,"")</f>
        <v>-1.0034858387799563E-6</v>
      </c>
      <c r="BZ434">
        <v>0</v>
      </c>
      <c r="CA434">
        <v>0</v>
      </c>
      <c r="CB434">
        <v>0</v>
      </c>
      <c r="CC434">
        <v>0</v>
      </c>
      <c r="CD434">
        <v>0</v>
      </c>
      <c r="CE434">
        <v>0</v>
      </c>
      <c r="CF434">
        <v>0</v>
      </c>
      <c r="CG434">
        <v>0</v>
      </c>
      <c r="CH434">
        <v>0</v>
      </c>
      <c r="CI434">
        <v>0</v>
      </c>
      <c r="CJ434">
        <v>0</v>
      </c>
      <c r="CK434">
        <v>0</v>
      </c>
      <c r="CL434">
        <v>0</v>
      </c>
      <c r="CM434">
        <v>0</v>
      </c>
      <c r="CN434" t="str">
        <f>IF($BL434&lt;$BK434,"refNeedCorrection","refOK")</f>
        <v>refOK</v>
      </c>
      <c r="CO434">
        <f>IF($CN434="refOK",$BK434,$BL434)</f>
        <v>0</v>
      </c>
      <c r="CP434">
        <f>IF($CN434="refOK",$BL434,$BK434)</f>
        <v>218025</v>
      </c>
      <c r="CQ434">
        <f>IF($CN434="refOK",$BO434,-$BO434)</f>
        <v>946699.95657837612</v>
      </c>
      <c r="CR434">
        <f>IF($CN434="refOK",$BS434,$BT434)*IF($BP434="Emissions positive",-1,1)</f>
        <v>0</v>
      </c>
      <c r="CS434">
        <f>IF($CN434="refOK",$BT434,$BS434)*IF($BP434="Emissions positive",-1,1)</f>
        <v>0</v>
      </c>
      <c r="CT434">
        <f>IF($CN434="refNeedCorrection",-BX434,BX434)*IF($BP434="Emissions positive",-1,1)</f>
        <v>-0.95</v>
      </c>
      <c r="CU434">
        <f>IFERROR(CT434/CQ434,"")</f>
        <v>-1.0034858387799563E-6</v>
      </c>
      <c r="CV434" s="2" t="str">
        <f>IFERROR((CS434-CR434)/ABS(CR434),"")</f>
        <v/>
      </c>
      <c r="CW434" s="1" t="s">
        <v>2036</v>
      </c>
      <c r="CX434" t="str">
        <f>IF(OR($CW434="prd",$CW434="std",$CW434="cit"),"loc",IF(OR($CW434="eur",$CW434="reg",$CW434="coy"),"reg",$CW434))</f>
        <v>reg</v>
      </c>
      <c r="CY434" t="s">
        <v>2060</v>
      </c>
      <c r="CZ434">
        <v>2021</v>
      </c>
      <c r="DA434">
        <v>2030</v>
      </c>
      <c r="DB434">
        <f>DA434-CZ434</f>
        <v>9</v>
      </c>
      <c r="DC434" t="str">
        <f>IF(DB434=0,"0",IF(AND(DB434&gt;=1,DB434&lt;=30),"1-30",IF(AND(DB434&gt;30,DB434&lt;=70),"31-70",IF(AND(DB434&gt;70,DB434&lt;=100),"71-100",IF(DB434&gt;100,"+100")))))</f>
        <v>1-30</v>
      </c>
      <c r="DD434">
        <v>0</v>
      </c>
      <c r="DE434">
        <v>0</v>
      </c>
      <c r="DF434">
        <v>0</v>
      </c>
      <c r="DG434">
        <v>1</v>
      </c>
      <c r="DH434">
        <v>0</v>
      </c>
      <c r="DI434">
        <f>SUM(DD434:DG434)</f>
        <v>1</v>
      </c>
      <c r="DJ434" t="str">
        <f>IF(DI434=1,INDEX($DD$7:$DG$7,MATCH(1,$DD434:$DG434,0)),"mixedProduct")</f>
        <v>TimberInput</v>
      </c>
      <c r="DK434">
        <f>IF(DD434=1,DK$7,0)</f>
        <v>0</v>
      </c>
      <c r="DL434">
        <f>IF(DE434=1,DL$7,0)</f>
        <v>0</v>
      </c>
      <c r="DM434">
        <f>IF(DF434=1,DM$7,0)</f>
        <v>0</v>
      </c>
      <c r="DN434" t="str">
        <f>IF(DG434=1,DN$7,0)</f>
        <v>Timber</v>
      </c>
      <c r="DO434"/>
      <c r="DP434">
        <v>1</v>
      </c>
      <c r="DQ434"/>
      <c r="DR434"/>
      <c r="DS434" s="184" t="s">
        <v>2061</v>
      </c>
      <c r="DT434"/>
      <c r="DU434" s="143" t="str">
        <f>IF(DO434=1,"self-calculated DF",IF(DP434=1,"external DF used","explicit C balance"))</f>
        <v>external DF used</v>
      </c>
      <c r="DV434">
        <v>1</v>
      </c>
      <c r="DW434">
        <v>1</v>
      </c>
      <c r="DX434">
        <v>1</v>
      </c>
      <c r="DY434">
        <v>1</v>
      </c>
      <c r="DZ434">
        <v>1</v>
      </c>
      <c r="EA434">
        <v>1</v>
      </c>
      <c r="EB434">
        <v>0</v>
      </c>
      <c r="EC434">
        <v>0</v>
      </c>
      <c r="ED434">
        <v>0</v>
      </c>
      <c r="EE434">
        <v>0</v>
      </c>
      <c r="EF434">
        <v>1</v>
      </c>
      <c r="EG434">
        <v>0</v>
      </c>
      <c r="EH434">
        <v>1</v>
      </c>
      <c r="EI434" s="2">
        <v>0</v>
      </c>
      <c r="EJ434" s="1"/>
      <c r="EK434" t="str">
        <f>IF(AND(AND(AND(OR($DX434=1,$DW434=1),OR($EC434=1,$EA434=1)),SUM($DV434:$DZ434,$EF434)&gt;=4),SUM($EA434:$EE434)&gt;=2),"Whole sector","")</f>
        <v/>
      </c>
      <c r="EL434" t="str">
        <f>IF(AND(AND(OR($DX434=1,$DW434=1),AND($EC434=0,$EA434=0)),SUM($DV434:$DZ434,$EF434)&gt;=4),"Ecosystem approach","")</f>
        <v/>
      </c>
      <c r="EM434" s="2" t="str">
        <f>IF(AND(AND(AND($DX434=0,$DW434=0),OR($EC434=1,$EA434=1)),SUM($EB434:$EE434)&gt;=2),"Technology approach","")</f>
        <v/>
      </c>
      <c r="EN434"/>
      <c r="EO434"/>
      <c r="EP434" t="str">
        <f>IF(ISNUMBER(BU434),IF(ABS(BU434-[1]QC_indicators!$B$2)&gt;3*[1]QC_indicators!$C$2,"C ratio",IF(ISNUMBER(BY434),IF(ABS(BY434-[1]QC_indicators!$B$1)&gt;3*[1]QC_indicators!$C$1,"DF","no"))),IF(ISNUMBER(BY434),IF(ABS(BY434-[1]QC_indicators!$B$1)&gt;3*[1]QC_indicators!$C$1,"DF","no")))</f>
        <v>no</v>
      </c>
      <c r="EQ434"/>
      <c r="ER434"/>
      <c r="ES434"/>
      <c r="ET434" s="264" t="s">
        <v>3273</v>
      </c>
      <c r="EU434"/>
    </row>
    <row r="435" spans="1:151" s="139" customFormat="1" ht="15" customHeight="1">
      <c r="A435" s="256" t="s">
        <v>214</v>
      </c>
      <c r="B435" s="257" t="s">
        <v>215</v>
      </c>
      <c r="C435" s="257" t="s">
        <v>216</v>
      </c>
      <c r="D435" s="257" t="s">
        <v>217</v>
      </c>
      <c r="E435" s="257" t="s">
        <v>218</v>
      </c>
      <c r="F435" s="257" t="s">
        <v>219</v>
      </c>
      <c r="G435" s="257" t="s">
        <v>220</v>
      </c>
      <c r="H435" s="257"/>
      <c r="I435" s="257">
        <v>2012</v>
      </c>
      <c r="J435" s="257"/>
      <c r="K435" s="257" t="s">
        <v>221</v>
      </c>
      <c r="L435" s="257"/>
      <c r="M435" s="257" t="s">
        <v>3070</v>
      </c>
      <c r="N435" s="257" t="s">
        <v>222</v>
      </c>
      <c r="O435" s="275" t="s">
        <v>223</v>
      </c>
      <c r="P435" s="257"/>
      <c r="Q435" s="257" t="s">
        <v>224</v>
      </c>
      <c r="R435" s="258" t="s">
        <v>225</v>
      </c>
      <c r="S435" s="256" t="s">
        <v>240</v>
      </c>
      <c r="T435" s="257">
        <v>2000</v>
      </c>
      <c r="U435" s="257">
        <v>4000</v>
      </c>
      <c r="V435" s="257">
        <v>0</v>
      </c>
      <c r="W435" s="257">
        <v>0</v>
      </c>
      <c r="X435" s="257">
        <v>0</v>
      </c>
      <c r="Y435" s="257">
        <v>0</v>
      </c>
      <c r="Z435" s="257">
        <v>0</v>
      </c>
      <c r="AA435" s="257">
        <v>1</v>
      </c>
      <c r="AB435" s="257">
        <v>0</v>
      </c>
      <c r="AC435" s="257">
        <v>0</v>
      </c>
      <c r="AD435" s="257">
        <v>0</v>
      </c>
      <c r="AE435" s="257">
        <v>0</v>
      </c>
      <c r="AF435" s="257">
        <v>0</v>
      </c>
      <c r="AG435" s="257">
        <v>0</v>
      </c>
      <c r="AH435" s="257">
        <v>0</v>
      </c>
      <c r="AI435" s="257">
        <v>0</v>
      </c>
      <c r="AJ435" s="257">
        <v>0</v>
      </c>
      <c r="AK435" s="257">
        <v>0</v>
      </c>
      <c r="AL435" s="257">
        <v>0</v>
      </c>
      <c r="AM435" s="257">
        <v>0</v>
      </c>
      <c r="AN435" s="257">
        <v>0</v>
      </c>
      <c r="AO435" s="257">
        <v>0</v>
      </c>
      <c r="AP435" s="257">
        <v>0</v>
      </c>
      <c r="AQ435" s="257">
        <v>0</v>
      </c>
      <c r="AR435" s="257">
        <v>0</v>
      </c>
      <c r="AS435" s="257">
        <v>0</v>
      </c>
      <c r="AT435" s="257">
        <v>0</v>
      </c>
      <c r="AU435" s="257">
        <v>0</v>
      </c>
      <c r="AV435" s="257">
        <v>0</v>
      </c>
      <c r="AW435" s="257">
        <v>0</v>
      </c>
      <c r="AX435" s="277">
        <v>1</v>
      </c>
      <c r="AY435" s="277">
        <v>1</v>
      </c>
      <c r="AZ435" s="257">
        <v>1</v>
      </c>
      <c r="BA435" s="257">
        <v>0</v>
      </c>
      <c r="BB435" s="257">
        <v>0</v>
      </c>
      <c r="BC435" s="257">
        <v>0</v>
      </c>
      <c r="BD435" s="257">
        <v>0</v>
      </c>
      <c r="BE435" s="257" t="s">
        <v>93</v>
      </c>
      <c r="BF435" s="2" t="str" cm="1">
        <f t="array" ref="BF435">IF(COUNTIF(AZ435:BB435,"&lt;&gt;0")=1,INDEX($V$4:$AW$4,MATCH(TRUE,INDEX($V435:$AW435&lt;&gt;0,),0)),IF(COUNTIF(AZ435:BB435,"&lt;&gt;0")=0,INDEX($AM$4:$AW$4,MATCH(1,$AM435:$AW435,0)),"Multiple strategies"))</f>
        <v>Silviculture for productivity</v>
      </c>
      <c r="BG435" s="278" t="s">
        <v>229</v>
      </c>
      <c r="BH435" s="257" t="s">
        <v>230</v>
      </c>
      <c r="BI435" s="279" t="s">
        <v>3071</v>
      </c>
      <c r="BJ435" s="276" t="s">
        <v>231</v>
      </c>
      <c r="BK435" s="257">
        <v>110.7133618</v>
      </c>
      <c r="BL435" s="257">
        <v>124.6996771</v>
      </c>
      <c r="BM435" s="276">
        <v>1.1263290633813994</v>
      </c>
      <c r="BN435" s="257">
        <v>13.986315300000001</v>
      </c>
      <c r="BO435" s="276">
        <v>28.543500612244902</v>
      </c>
      <c r="BP435" s="276" t="s">
        <v>232</v>
      </c>
      <c r="BQ435" s="279" t="s">
        <v>3071</v>
      </c>
      <c r="BR435" s="276" t="s">
        <v>233</v>
      </c>
      <c r="BS435" s="257">
        <v>-7.8881757170000002</v>
      </c>
      <c r="BT435" s="257">
        <v>-7.9158553720000002</v>
      </c>
      <c r="BU435" s="259">
        <v>1.0035090058833689</v>
      </c>
      <c r="BV435" s="257">
        <v>-2.7679655000000025E-2</v>
      </c>
      <c r="BW435" s="257"/>
      <c r="BX435" s="257">
        <v>-2.7679655000000026E-5</v>
      </c>
      <c r="BY435" s="257">
        <v>-9.6973582098496033E-7</v>
      </c>
      <c r="BZ435" s="257">
        <v>0</v>
      </c>
      <c r="CA435" s="257">
        <v>0</v>
      </c>
      <c r="CB435" s="257">
        <v>0</v>
      </c>
      <c r="CC435" s="257">
        <v>0</v>
      </c>
      <c r="CD435" s="257">
        <v>0</v>
      </c>
      <c r="CE435" s="257">
        <v>0</v>
      </c>
      <c r="CF435" s="257">
        <v>0</v>
      </c>
      <c r="CG435" s="257">
        <v>0</v>
      </c>
      <c r="CH435" s="257">
        <v>0</v>
      </c>
      <c r="CI435" s="257">
        <v>0</v>
      </c>
      <c r="CJ435" s="257">
        <v>0</v>
      </c>
      <c r="CK435" s="257">
        <v>0</v>
      </c>
      <c r="CL435" s="257">
        <v>0</v>
      </c>
      <c r="CM435" s="257">
        <v>0</v>
      </c>
      <c r="CN435" s="257" t="s">
        <v>3072</v>
      </c>
      <c r="CO435" s="257">
        <v>110.7133618</v>
      </c>
      <c r="CP435" s="257">
        <v>124.6996771</v>
      </c>
      <c r="CQ435" s="257">
        <v>28.543500612244902</v>
      </c>
      <c r="CR435" s="257">
        <v>-7.8881757170000002</v>
      </c>
      <c r="CS435" s="257">
        <v>-7.9158553720000002</v>
      </c>
      <c r="CT435" s="257">
        <v>-2.7679655000000026E-5</v>
      </c>
      <c r="CU435" s="257">
        <v>-9.6973582098496033E-7</v>
      </c>
      <c r="CV435" s="258">
        <v>-3.5090058833688155E-3</v>
      </c>
      <c r="CW435" s="256" t="s">
        <v>234</v>
      </c>
      <c r="CX435" s="257" t="s">
        <v>3073</v>
      </c>
      <c r="CY435" s="257" t="s">
        <v>235</v>
      </c>
      <c r="CZ435" s="257"/>
      <c r="DA435" s="276"/>
      <c r="DB435" s="276">
        <v>80</v>
      </c>
      <c r="DC435" s="257" t="s">
        <v>3074</v>
      </c>
      <c r="DD435" s="257">
        <v>0</v>
      </c>
      <c r="DE435" s="257">
        <v>1</v>
      </c>
      <c r="DF435" s="257">
        <v>0</v>
      </c>
      <c r="DG435" s="257">
        <v>0</v>
      </c>
      <c r="DH435" s="257"/>
      <c r="DI435" s="257">
        <v>1</v>
      </c>
      <c r="DJ435" s="257" t="s">
        <v>173</v>
      </c>
      <c r="DK435" s="257">
        <v>0</v>
      </c>
      <c r="DL435" s="257" t="s">
        <v>180</v>
      </c>
      <c r="DM435" s="257">
        <v>0</v>
      </c>
      <c r="DN435" s="257">
        <v>0</v>
      </c>
      <c r="DO435" s="257">
        <v>0</v>
      </c>
      <c r="DP435" s="276">
        <v>0</v>
      </c>
      <c r="DQ435" s="276">
        <v>0</v>
      </c>
      <c r="DR435" s="276">
        <v>0</v>
      </c>
      <c r="DS435" s="276">
        <v>0</v>
      </c>
      <c r="DT435" s="257">
        <v>0</v>
      </c>
      <c r="DU435" s="276" t="s">
        <v>962</v>
      </c>
      <c r="DV435" s="276">
        <v>1</v>
      </c>
      <c r="DW435" s="276">
        <v>1</v>
      </c>
      <c r="DX435" s="276">
        <v>1</v>
      </c>
      <c r="DY435" s="276">
        <v>0</v>
      </c>
      <c r="DZ435" s="257">
        <v>0</v>
      </c>
      <c r="EA435" s="276">
        <v>0</v>
      </c>
      <c r="EB435" s="276">
        <v>1</v>
      </c>
      <c r="EC435" s="276">
        <v>1</v>
      </c>
      <c r="ED435" s="276">
        <v>0</v>
      </c>
      <c r="EE435" s="276">
        <v>0</v>
      </c>
      <c r="EF435" s="257">
        <v>1</v>
      </c>
      <c r="EG435" s="276">
        <v>0</v>
      </c>
      <c r="EH435" s="257">
        <v>0</v>
      </c>
      <c r="EI435" s="258">
        <v>0</v>
      </c>
      <c r="EJ435" s="256"/>
      <c r="EK435" t="str">
        <f>IF(AND(AND(AND(OR($DX435=1,$DW435=1),OR($EC435=1,$EA435=1)),SUM($DV435:$DZ435,$EF435)&gt;=4),SUM($EA435:$EE435)&gt;=2),"Whole sector","")</f>
        <v>Whole sector</v>
      </c>
      <c r="EL435" t="str">
        <f>IF(AND(AND(OR($DX435=1,$DW435=1),AND($EC435=0,$EA435=0)),SUM($DV435:$DZ435,$EF435)&gt;=4),"Ecosystem approach","")</f>
        <v/>
      </c>
      <c r="EM435" s="258" t="s">
        <v>544</v>
      </c>
      <c r="EN435" s="257" t="s">
        <v>236</v>
      </c>
      <c r="EO435" s="257"/>
      <c r="EP435" t="str">
        <f>IF(ISNUMBER(BU435),IF(ABS(BU435-[2]QC_indicators!$B$2)&gt;3*[2]QC_indicators!$C$2,"C ratio",IF(ISNUMBER(BY435),IF(ABS(BY435-[2]QC_indicators!$B$1)&gt;3*[2]QC_indicators!$C$1,"DF","no"))),IF(ISNUMBER(BY435),IF(ABS(BY435-[2]QC_indicators!$B$1)&gt;3*[2]QC_indicators!$C$1,"DF","no")))</f>
        <v>no</v>
      </c>
      <c r="EQ435" s="280"/>
      <c r="ER435" s="280"/>
      <c r="ES435" s="280"/>
      <c r="ET435"/>
      <c r="EU435"/>
    </row>
    <row r="436" spans="1:151" s="139" customFormat="1" ht="15" customHeight="1">
      <c r="A436" s="1"/>
      <c r="B436"/>
      <c r="C436"/>
      <c r="D436" t="s">
        <v>2052</v>
      </c>
      <c r="E436" t="s">
        <v>2053</v>
      </c>
      <c r="F436"/>
      <c r="G436" t="s">
        <v>2054</v>
      </c>
      <c r="H436"/>
      <c r="I436">
        <v>2018</v>
      </c>
      <c r="J436"/>
      <c r="K436" s="150" t="s">
        <v>2055</v>
      </c>
      <c r="L436"/>
      <c r="M436" t="str">
        <f>LEFT($D436,FIND(",",$D436)-1)&amp;"_"&amp;I436&amp;L436</f>
        <v>Olguin_2018</v>
      </c>
      <c r="N436" t="s">
        <v>222</v>
      </c>
      <c r="O436" s="157" t="s">
        <v>274</v>
      </c>
      <c r="P436" t="s">
        <v>513</v>
      </c>
      <c r="Q436" t="s">
        <v>389</v>
      </c>
      <c r="R436" s="262" t="s">
        <v>223</v>
      </c>
      <c r="S436" s="263" t="s">
        <v>3191</v>
      </c>
      <c r="T436" t="s">
        <v>2056</v>
      </c>
      <c r="U436" t="s">
        <v>2064</v>
      </c>
      <c r="V436">
        <v>0</v>
      </c>
      <c r="W436">
        <v>0</v>
      </c>
      <c r="X436">
        <v>0</v>
      </c>
      <c r="Y436">
        <v>0</v>
      </c>
      <c r="Z436">
        <v>0</v>
      </c>
      <c r="AA436">
        <v>0</v>
      </c>
      <c r="AB436">
        <v>0</v>
      </c>
      <c r="AC436">
        <v>1</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s="141">
        <f>COUNTIF(V436:AW436,"&lt;&gt;0")</f>
        <v>1</v>
      </c>
      <c r="AY436" s="141">
        <f>COUNTIF(V436:AL436,"&lt;&gt;0")</f>
        <v>1</v>
      </c>
      <c r="AZ436">
        <f>COUNTIF(V436:AC436,"&lt;&gt;0")</f>
        <v>1</v>
      </c>
      <c r="BA436">
        <f>COUNTIF(AD436:AI436,"&lt;&gt;0")</f>
        <v>0</v>
      </c>
      <c r="BB436">
        <f>COUNTIF(AJ436:AL436,"&lt;&gt;0")</f>
        <v>0</v>
      </c>
      <c r="BC436">
        <f>COUNTIF(AS436:AW436,"&lt;&gt;0")</f>
        <v>0</v>
      </c>
      <c r="BD436">
        <f>COUNTIF(AM436:AR436,"&lt;&gt;0")</f>
        <v>0</v>
      </c>
      <c r="BE436" t="str">
        <f t="array" ref="BE436">IF(AY436=1,INDEX($V$7:$AL$7,MATCH(TRUE,INDEX($V436:$AW436&lt;&gt;0,),0)),IF(AY436=0,INDEX($AM$7:$AW$7,MATCH(1,$AM436:$AW436,0)),IF(BF436="Multiple strategies","mixed drivers",IF(BF436="Supply chain","multiple supply","multiple silviculture"))))</f>
        <v>site fertility</v>
      </c>
      <c r="BF436" s="2" t="str" cm="1">
        <f t="array" ref="BF436">IF(COUNTIF(AZ436:BB436,"&lt;&gt;0")=1,INDEX($V$4:$AW$4,MATCH(TRUE,INDEX($V436:$AW436&lt;&gt;0,),0)),IF(COUNTIF(AZ436:BB436,"&lt;&gt;0")=0,INDEX($AM$4:$AW$4,MATCH(1,$AM436:$AW436,0)),"Multiple strategies"))</f>
        <v>Silviculture for productivity</v>
      </c>
      <c r="BG436" s="1" t="s">
        <v>321</v>
      </c>
      <c r="BH436"/>
      <c r="BI436" s="264" t="s">
        <v>1036</v>
      </c>
      <c r="BJ436" t="s">
        <v>2058</v>
      </c>
      <c r="BK436">
        <v>0</v>
      </c>
      <c r="BL436">
        <v>218025</v>
      </c>
      <c r="BM436" t="str">
        <f>IFERROR(BL437/BK436,"")</f>
        <v/>
      </c>
      <c r="BN436">
        <f>BL436-BK436</f>
        <v>218025</v>
      </c>
      <c r="BO436">
        <f>BN436*tC_to_m3</f>
        <v>946699.95657837612</v>
      </c>
      <c r="BP436" t="s">
        <v>232</v>
      </c>
      <c r="BQ436" t="s">
        <v>424</v>
      </c>
      <c r="BR436" t="s">
        <v>2063</v>
      </c>
      <c r="BS436"/>
      <c r="BT436"/>
      <c r="BU436" s="144"/>
      <c r="BV436">
        <v>-0.83</v>
      </c>
      <c r="BW436"/>
      <c r="BX436">
        <f>BV436</f>
        <v>-0.83</v>
      </c>
      <c r="BY436">
        <f>IFERROR(BX436/BO436,"")</f>
        <v>-8.7672973282880392E-7</v>
      </c>
      <c r="BZ436">
        <v>0</v>
      </c>
      <c r="CA436">
        <v>0</v>
      </c>
      <c r="CB436">
        <v>0</v>
      </c>
      <c r="CC436">
        <v>0</v>
      </c>
      <c r="CD436">
        <v>0</v>
      </c>
      <c r="CE436">
        <v>0</v>
      </c>
      <c r="CF436">
        <v>0</v>
      </c>
      <c r="CG436">
        <v>0</v>
      </c>
      <c r="CH436">
        <v>0</v>
      </c>
      <c r="CI436">
        <v>0</v>
      </c>
      <c r="CJ436">
        <v>0</v>
      </c>
      <c r="CK436">
        <v>0</v>
      </c>
      <c r="CL436">
        <v>0</v>
      </c>
      <c r="CM436">
        <v>0</v>
      </c>
      <c r="CN436" t="str">
        <f>IF($BL437&lt;$BK436,"refNeedCorrection","refOK")</f>
        <v>refOK</v>
      </c>
      <c r="CO436">
        <f>IF($CN436="refOK",$BK436,$BL437)</f>
        <v>0</v>
      </c>
      <c r="CP436">
        <f>IF($CN436="refOK",$BL437,$BK436)</f>
        <v>218025</v>
      </c>
      <c r="CQ436">
        <f>IF($CN436="refOK",$BO436,-$BO436)</f>
        <v>946699.95657837612</v>
      </c>
      <c r="CR436">
        <f>IF($CN436="refOK",$BS436,$BT436)*IF($BP436="Emissions positive",-1,1)</f>
        <v>0</v>
      </c>
      <c r="CS436">
        <f>IF($CN436="refOK",$BT436,$BS436)*IF($BP436="Emissions positive",-1,1)</f>
        <v>0</v>
      </c>
      <c r="CT436">
        <f>IF($CN436="refNeedCorrection",-BX436,BX436)*IF($BP436="Emissions positive",-1,1)</f>
        <v>-0.83</v>
      </c>
      <c r="CU436">
        <f>IFERROR(CT436/CQ436,"")</f>
        <v>-8.7672973282880392E-7</v>
      </c>
      <c r="CV436" s="2" t="str">
        <f>IFERROR((CS436-CR436)/ABS(CR436),"")</f>
        <v/>
      </c>
      <c r="CW436" s="1" t="s">
        <v>2036</v>
      </c>
      <c r="CX436" t="str">
        <f>IF(OR($CW436="prd",$CW436="std",$CW436="cit"),"loc",IF(OR($CW436="eur",$CW436="reg",$CW436="coy"),"reg",$CW436))</f>
        <v>reg</v>
      </c>
      <c r="CY436" t="s">
        <v>2060</v>
      </c>
      <c r="CZ436">
        <v>2021</v>
      </c>
      <c r="DA436">
        <v>2030</v>
      </c>
      <c r="DB436">
        <f>DA436-CZ436</f>
        <v>9</v>
      </c>
      <c r="DC436" t="str">
        <f>IF(DB436=0,"0",IF(AND(DB436&gt;=1,DB436&lt;=30),"1-30",IF(AND(DB436&gt;30,DB436&lt;=70),"31-70",IF(AND(DB436&gt;70,DB436&lt;=100),"71-100",IF(DB436&gt;100,"+100")))))</f>
        <v>1-30</v>
      </c>
      <c r="DD436">
        <v>0</v>
      </c>
      <c r="DE436">
        <v>0</v>
      </c>
      <c r="DF436">
        <v>0</v>
      </c>
      <c r="DG436">
        <v>1</v>
      </c>
      <c r="DH436">
        <v>0</v>
      </c>
      <c r="DI436">
        <f>SUM(DD436:DG436)</f>
        <v>1</v>
      </c>
      <c r="DJ436" t="str">
        <f>IF(DI436=1,INDEX($DD$7:$DG$7,MATCH(1,$DD436:$DG436,0)),"mixedProduct")</f>
        <v>TimberInput</v>
      </c>
      <c r="DK436">
        <f>IF(DD436=1,DK$7,0)</f>
        <v>0</v>
      </c>
      <c r="DL436">
        <f>IF(DE436=1,DL$7,0)</f>
        <v>0</v>
      </c>
      <c r="DM436">
        <f>IF(DF436=1,DM$7,0)</f>
        <v>0</v>
      </c>
      <c r="DN436" t="str">
        <f>IF(DG436=1,DN$7,0)</f>
        <v>Timber</v>
      </c>
      <c r="DO436"/>
      <c r="DP436">
        <v>1</v>
      </c>
      <c r="DQ436"/>
      <c r="DR436"/>
      <c r="DS436" s="184" t="s">
        <v>2061</v>
      </c>
      <c r="DT436"/>
      <c r="DU436" s="143" t="str">
        <f>IF(DO436=1,"self-calculated DF",IF(DP436=1,"external DF used","explicit C balance"))</f>
        <v>external DF used</v>
      </c>
      <c r="DV436">
        <v>1</v>
      </c>
      <c r="DW436">
        <v>1</v>
      </c>
      <c r="DX436">
        <v>1</v>
      </c>
      <c r="DY436">
        <v>1</v>
      </c>
      <c r="DZ436">
        <v>1</v>
      </c>
      <c r="EA436">
        <v>1</v>
      </c>
      <c r="EB436">
        <v>0</v>
      </c>
      <c r="EC436">
        <v>0</v>
      </c>
      <c r="ED436">
        <v>0</v>
      </c>
      <c r="EE436">
        <v>0</v>
      </c>
      <c r="EF436">
        <v>1</v>
      </c>
      <c r="EG436">
        <v>0</v>
      </c>
      <c r="EH436">
        <v>1</v>
      </c>
      <c r="EI436" s="2">
        <v>0</v>
      </c>
      <c r="EJ436" s="1"/>
      <c r="EK436" t="str">
        <f>IF(AND(AND(AND(OR($DX436=1,$DW436=1),OR($EC436=1,$EA436=1)),SUM($DV436:$DZ436,$EF436)&gt;=4),SUM($EA436:$EE436)&gt;=2),"Whole sector","")</f>
        <v/>
      </c>
      <c r="EL436" t="str">
        <f>IF(AND(AND(OR($DX436=1,$DW436=1),AND($EC436=0,$EA436=0)),SUM($DV436:$DZ436,$EF436)&gt;=4),"Ecosystem approach","")</f>
        <v/>
      </c>
      <c r="EM436" s="2" t="str">
        <f>IF(AND(AND(AND($DX436=0,$DW436=0),OR($EC436=1,$EA436=1)),SUM($EB436:$EE436)&gt;=2),"Technology approach","")</f>
        <v/>
      </c>
      <c r="EN436"/>
      <c r="EO436"/>
      <c r="EP436" t="str">
        <f>IF(ISNUMBER(BU436),IF(ABS(BU436-[1]QC_indicators!$B$2)&gt;3*[1]QC_indicators!$C$2,"C ratio",IF(ISNUMBER(BY436),IF(ABS(BY436-[1]QC_indicators!$B$1)&gt;3*[1]QC_indicators!$C$1,"DF","no"))),IF(ISNUMBER(BY436),IF(ABS(BY436-[1]QC_indicators!$B$1)&gt;3*[1]QC_indicators!$C$1,"DF","no")))</f>
        <v>no</v>
      </c>
      <c r="EQ436"/>
      <c r="ER436"/>
      <c r="ES436"/>
      <c r="ET436" s="264" t="s">
        <v>3273</v>
      </c>
      <c r="EU436"/>
    </row>
    <row r="437" spans="1:151" s="139" customFormat="1" ht="15" customHeight="1">
      <c r="A437" s="1"/>
      <c r="B437"/>
      <c r="C437"/>
      <c r="D437" t="s">
        <v>2052</v>
      </c>
      <c r="E437" t="s">
        <v>2053</v>
      </c>
      <c r="F437"/>
      <c r="G437" t="s">
        <v>2054</v>
      </c>
      <c r="H437"/>
      <c r="I437">
        <v>2018</v>
      </c>
      <c r="J437"/>
      <c r="K437" s="150" t="s">
        <v>2055</v>
      </c>
      <c r="L437"/>
      <c r="M437" t="str">
        <f>LEFT($D437,FIND(",",$D437)-1)&amp;"_"&amp;I437&amp;L437</f>
        <v>Olguin_2018</v>
      </c>
      <c r="N437" t="s">
        <v>222</v>
      </c>
      <c r="O437" s="157" t="s">
        <v>274</v>
      </c>
      <c r="P437" t="s">
        <v>513</v>
      </c>
      <c r="Q437" t="s">
        <v>389</v>
      </c>
      <c r="R437" s="262" t="s">
        <v>223</v>
      </c>
      <c r="S437" s="263" t="s">
        <v>3202</v>
      </c>
      <c r="T437" t="s">
        <v>2056</v>
      </c>
      <c r="U437" t="s">
        <v>2057</v>
      </c>
      <c r="V437">
        <v>0</v>
      </c>
      <c r="W437">
        <v>0</v>
      </c>
      <c r="X437">
        <v>0</v>
      </c>
      <c r="Y437">
        <v>0</v>
      </c>
      <c r="Z437">
        <v>0</v>
      </c>
      <c r="AA437">
        <v>0</v>
      </c>
      <c r="AB437">
        <v>0</v>
      </c>
      <c r="AC437">
        <v>1</v>
      </c>
      <c r="AD437">
        <v>0</v>
      </c>
      <c r="AE437">
        <v>0</v>
      </c>
      <c r="AF437">
        <v>1</v>
      </c>
      <c r="AG437">
        <v>0</v>
      </c>
      <c r="AH437">
        <v>0</v>
      </c>
      <c r="AI437">
        <v>0</v>
      </c>
      <c r="AJ437">
        <v>0</v>
      </c>
      <c r="AK437">
        <v>0</v>
      </c>
      <c r="AL437">
        <v>0</v>
      </c>
      <c r="AM437">
        <v>0</v>
      </c>
      <c r="AN437">
        <v>0</v>
      </c>
      <c r="AO437">
        <v>0</v>
      </c>
      <c r="AP437">
        <v>0</v>
      </c>
      <c r="AQ437">
        <v>0</v>
      </c>
      <c r="AR437">
        <v>0</v>
      </c>
      <c r="AS437">
        <v>0</v>
      </c>
      <c r="AT437">
        <v>0</v>
      </c>
      <c r="AU437">
        <v>0</v>
      </c>
      <c r="AV437">
        <v>0</v>
      </c>
      <c r="AW437">
        <v>0</v>
      </c>
      <c r="AX437" s="141">
        <f>COUNTIF(V437:AW437,"&lt;&gt;0")</f>
        <v>2</v>
      </c>
      <c r="AY437" s="141">
        <f>COUNTIF(V437:AL437,"&lt;&gt;0")</f>
        <v>2</v>
      </c>
      <c r="AZ437">
        <f>COUNTIF(V437:AC437,"&lt;&gt;0")</f>
        <v>1</v>
      </c>
      <c r="BA437">
        <f>COUNTIF(AD437:AI437,"&lt;&gt;0")</f>
        <v>1</v>
      </c>
      <c r="BB437">
        <f>COUNTIF(AJ437:AL437,"&lt;&gt;0")</f>
        <v>0</v>
      </c>
      <c r="BC437">
        <f>COUNTIF(AS437:AW437,"&lt;&gt;0")</f>
        <v>0</v>
      </c>
      <c r="BD437">
        <f>COUNTIF(AM437:AR437,"&lt;&gt;0")</f>
        <v>0</v>
      </c>
      <c r="BE437" t="str">
        <f t="array" ref="BE437">IF(AY437=1,INDEX($V$7:$AL$7,MATCH(TRUE,INDEX($V437:$AW437&lt;&gt;0,),0)),IF(AY437=0,INDEX($AM$7:$AW$7,MATCH(1,$AM437:$AW437,0)),IF(BF437="Multiple strategies","mixed drivers",IF(BF437="Supply chain","multiple supply","multiple silviculture"))))</f>
        <v>mixed drivers</v>
      </c>
      <c r="BF437" s="2" t="str" cm="1">
        <f t="array" ref="BF437">IF(COUNTIF(AZ437:BB437,"&lt;&gt;0")=1,INDEX($V$4:$AW$4,MATCH(TRUE,INDEX($V437:$AW437&lt;&gt;0,),0)),IF(COUNTIF(AZ437:BB437,"&lt;&gt;0")=0,INDEX($AM$4:$AW$4,MATCH(1,$AM437:$AW437,0)),"Multiple strategies"))</f>
        <v>Multiple strategies</v>
      </c>
      <c r="BG437" s="1" t="s">
        <v>321</v>
      </c>
      <c r="BH437"/>
      <c r="BI437" s="264" t="s">
        <v>1036</v>
      </c>
      <c r="BJ437" t="s">
        <v>2058</v>
      </c>
      <c r="BK437">
        <v>0</v>
      </c>
      <c r="BL437">
        <v>218025</v>
      </c>
      <c r="BM437" t="str">
        <f>IFERROR(BL437/BK437,"")</f>
        <v/>
      </c>
      <c r="BN437">
        <f>BL437-BK437</f>
        <v>218025</v>
      </c>
      <c r="BO437">
        <f>BN437*tC_to_m3</f>
        <v>946699.95657837612</v>
      </c>
      <c r="BP437" t="s">
        <v>232</v>
      </c>
      <c r="BQ437" t="s">
        <v>424</v>
      </c>
      <c r="BR437" t="s">
        <v>2063</v>
      </c>
      <c r="BS437"/>
      <c r="BT437"/>
      <c r="BU437" s="144"/>
      <c r="BV437">
        <v>-0.33</v>
      </c>
      <c r="BW437"/>
      <c r="BX437">
        <f>BV437</f>
        <v>-0.33</v>
      </c>
      <c r="BY437">
        <f>IFERROR(BX437/BO437,"")</f>
        <v>-3.4857929136566908E-7</v>
      </c>
      <c r="BZ437">
        <v>0</v>
      </c>
      <c r="CA437">
        <v>0</v>
      </c>
      <c r="CB437">
        <v>0</v>
      </c>
      <c r="CC437">
        <v>0</v>
      </c>
      <c r="CD437">
        <v>0</v>
      </c>
      <c r="CE437">
        <v>0</v>
      </c>
      <c r="CF437">
        <v>0</v>
      </c>
      <c r="CG437">
        <v>0</v>
      </c>
      <c r="CH437">
        <v>0</v>
      </c>
      <c r="CI437">
        <v>0</v>
      </c>
      <c r="CJ437">
        <v>0</v>
      </c>
      <c r="CK437">
        <v>0</v>
      </c>
      <c r="CL437">
        <v>0</v>
      </c>
      <c r="CM437">
        <v>0</v>
      </c>
      <c r="CN437" t="str">
        <f>IF($BL437&lt;$BK437,"refNeedCorrection","refOK")</f>
        <v>refOK</v>
      </c>
      <c r="CO437">
        <f>IF($CN437="refOK",$BK437,$BL437)</f>
        <v>0</v>
      </c>
      <c r="CP437">
        <f>IF($CN437="refOK",$BL437,$BK437)</f>
        <v>218025</v>
      </c>
      <c r="CQ437">
        <f>IF($CN437="refOK",$BO437,-$BO437)</f>
        <v>946699.95657837612</v>
      </c>
      <c r="CR437">
        <f>IF($CN437="refOK",$BS437,$BT437)*IF($BP437="Emissions positive",-1,1)</f>
        <v>0</v>
      </c>
      <c r="CS437">
        <f>IF($CN437="refOK",$BT437,$BS437)*IF($BP437="Emissions positive",-1,1)</f>
        <v>0</v>
      </c>
      <c r="CT437">
        <f>IF($CN437="refNeedCorrection",-BX437,BX437)*IF($BP437="Emissions positive",-1,1)</f>
        <v>-0.33</v>
      </c>
      <c r="CU437">
        <f>IFERROR(CT437/CQ437,"")</f>
        <v>-3.4857929136566908E-7</v>
      </c>
      <c r="CV437" s="2" t="str">
        <f>IFERROR((CS437-CR437)/ABS(CR437),"")</f>
        <v/>
      </c>
      <c r="CW437" s="1" t="s">
        <v>2036</v>
      </c>
      <c r="CX437" t="str">
        <f>IF(OR($CW437="prd",$CW437="std",$CW437="cit"),"loc",IF(OR($CW437="eur",$CW437="reg",$CW437="coy"),"reg",$CW437))</f>
        <v>reg</v>
      </c>
      <c r="CY437" t="s">
        <v>2060</v>
      </c>
      <c r="CZ437">
        <v>2021</v>
      </c>
      <c r="DA437">
        <v>2040</v>
      </c>
      <c r="DB437">
        <f>DA437-CZ437</f>
        <v>19</v>
      </c>
      <c r="DC437" t="str">
        <f>IF(DB437=0,"0",IF(AND(DB437&gt;=1,DB437&lt;=30),"1-30",IF(AND(DB437&gt;30,DB437&lt;=70),"31-70",IF(AND(DB437&gt;70,DB437&lt;=100),"71-100",IF(DB437&gt;100,"+100")))))</f>
        <v>1-30</v>
      </c>
      <c r="DD437">
        <v>0</v>
      </c>
      <c r="DE437">
        <v>0</v>
      </c>
      <c r="DF437">
        <v>0</v>
      </c>
      <c r="DG437">
        <v>1</v>
      </c>
      <c r="DH437">
        <v>0</v>
      </c>
      <c r="DI437">
        <f>SUM(DD437:DG437)</f>
        <v>1</v>
      </c>
      <c r="DJ437" t="str">
        <f>IF(DI437=1,INDEX($DD$7:$DG$7,MATCH(1,$DD437:$DG437,0)),"mixedProduct")</f>
        <v>TimberInput</v>
      </c>
      <c r="DK437">
        <f>IF(DD437=1,DK$7,0)</f>
        <v>0</v>
      </c>
      <c r="DL437">
        <f>IF(DE437=1,DL$7,0)</f>
        <v>0</v>
      </c>
      <c r="DM437">
        <f>IF(DF437=1,DM$7,0)</f>
        <v>0</v>
      </c>
      <c r="DN437" t="str">
        <f>IF(DG437=1,DN$7,0)</f>
        <v>Timber</v>
      </c>
      <c r="DO437"/>
      <c r="DP437">
        <v>1</v>
      </c>
      <c r="DQ437"/>
      <c r="DR437"/>
      <c r="DS437" s="184" t="s">
        <v>2061</v>
      </c>
      <c r="DT437"/>
      <c r="DU437" s="143" t="str">
        <f>IF(DO437=1,"self-calculated DF",IF(DP437=1,"external DF used","explicit C balance"))</f>
        <v>external DF used</v>
      </c>
      <c r="DV437">
        <v>1</v>
      </c>
      <c r="DW437">
        <v>1</v>
      </c>
      <c r="DX437">
        <v>1</v>
      </c>
      <c r="DY437">
        <v>1</v>
      </c>
      <c r="DZ437">
        <v>1</v>
      </c>
      <c r="EA437">
        <v>1</v>
      </c>
      <c r="EB437">
        <v>0</v>
      </c>
      <c r="EC437">
        <v>0</v>
      </c>
      <c r="ED437">
        <v>0</v>
      </c>
      <c r="EE437">
        <v>0</v>
      </c>
      <c r="EF437">
        <v>1</v>
      </c>
      <c r="EG437">
        <v>0</v>
      </c>
      <c r="EH437">
        <v>1</v>
      </c>
      <c r="EI437" s="2">
        <v>0</v>
      </c>
      <c r="EJ437" s="1"/>
      <c r="EK437" t="str">
        <f>IF(AND(AND(AND(OR($DX437=1,$DW437=1),OR($EC437=1,$EA437=1)),SUM($DV437:$DZ437,$EF437)&gt;=4),SUM($EA437:$EE437)&gt;=2),"Whole sector","")</f>
        <v/>
      </c>
      <c r="EL437" t="str">
        <f>IF(AND(AND(OR($DX437=1,$DW437=1),AND($EC437=0,$EA437=0)),SUM($DV437:$DZ437,$EF437)&gt;=4),"Ecosystem approach","")</f>
        <v/>
      </c>
      <c r="EM437" s="2" t="str">
        <f>IF(AND(AND(AND($DX437=0,$DW437=0),OR($EC437=1,$EA437=1)),SUM($EB437:$EE437)&gt;=2),"Technology approach","")</f>
        <v/>
      </c>
      <c r="EN437"/>
      <c r="EO437"/>
      <c r="EP437" t="str">
        <f>IF(ISNUMBER(BU437),IF(ABS(BU437-[1]QC_indicators!$B$2)&gt;3*[1]QC_indicators!$C$2,"C ratio",IF(ISNUMBER(BY437),IF(ABS(BY437-[1]QC_indicators!$B$1)&gt;3*[1]QC_indicators!$C$1,"DF","no"))),IF(ISNUMBER(BY437),IF(ABS(BY437-[1]QC_indicators!$B$1)&gt;3*[1]QC_indicators!$C$1,"DF","no")))</f>
        <v>no</v>
      </c>
      <c r="EQ437"/>
      <c r="ER437"/>
      <c r="ES437"/>
      <c r="ET437" s="264" t="s">
        <v>3273</v>
      </c>
      <c r="EU437"/>
    </row>
    <row r="438" spans="1:151" s="139" customFormat="1" ht="15" customHeight="1">
      <c r="A438" s="1"/>
      <c r="B438"/>
      <c r="C438"/>
      <c r="D438" t="s">
        <v>2052</v>
      </c>
      <c r="E438" t="s">
        <v>2053</v>
      </c>
      <c r="F438"/>
      <c r="G438" t="s">
        <v>2054</v>
      </c>
      <c r="H438"/>
      <c r="I438">
        <v>2018</v>
      </c>
      <c r="J438"/>
      <c r="K438" s="150" t="s">
        <v>2055</v>
      </c>
      <c r="L438"/>
      <c r="M438" t="str">
        <f>LEFT($D438,FIND(",",$D438)-1)&amp;"_"&amp;I438&amp;L438</f>
        <v>Olguin_2018</v>
      </c>
      <c r="N438" t="s">
        <v>222</v>
      </c>
      <c r="O438" s="157" t="s">
        <v>274</v>
      </c>
      <c r="P438" t="s">
        <v>513</v>
      </c>
      <c r="Q438" t="s">
        <v>389</v>
      </c>
      <c r="R438" s="262" t="s">
        <v>223</v>
      </c>
      <c r="S438" s="263" t="s">
        <v>3210</v>
      </c>
      <c r="T438" t="s">
        <v>2056</v>
      </c>
      <c r="U438" t="s">
        <v>2057</v>
      </c>
      <c r="V438">
        <v>0</v>
      </c>
      <c r="W438">
        <v>0</v>
      </c>
      <c r="X438">
        <v>0</v>
      </c>
      <c r="Y438">
        <v>0</v>
      </c>
      <c r="Z438">
        <v>0</v>
      </c>
      <c r="AA438">
        <v>0</v>
      </c>
      <c r="AB438">
        <v>0</v>
      </c>
      <c r="AC438">
        <v>1</v>
      </c>
      <c r="AD438">
        <v>0</v>
      </c>
      <c r="AE438">
        <v>0</v>
      </c>
      <c r="AF438">
        <v>1</v>
      </c>
      <c r="AG438">
        <v>0</v>
      </c>
      <c r="AH438">
        <v>0</v>
      </c>
      <c r="AI438">
        <v>0</v>
      </c>
      <c r="AJ438">
        <v>0</v>
      </c>
      <c r="AK438">
        <v>0</v>
      </c>
      <c r="AL438">
        <v>0</v>
      </c>
      <c r="AM438">
        <v>0</v>
      </c>
      <c r="AN438">
        <v>0</v>
      </c>
      <c r="AO438">
        <v>0</v>
      </c>
      <c r="AP438">
        <v>0</v>
      </c>
      <c r="AQ438">
        <v>0</v>
      </c>
      <c r="AR438">
        <v>0</v>
      </c>
      <c r="AS438">
        <v>0</v>
      </c>
      <c r="AT438">
        <v>0</v>
      </c>
      <c r="AU438">
        <v>0</v>
      </c>
      <c r="AV438">
        <v>0</v>
      </c>
      <c r="AW438">
        <v>0</v>
      </c>
      <c r="AX438" s="141">
        <f>COUNTIF(V438:AW438,"&lt;&gt;0")</f>
        <v>2</v>
      </c>
      <c r="AY438" s="141">
        <f>COUNTIF(V438:AL438,"&lt;&gt;0")</f>
        <v>2</v>
      </c>
      <c r="AZ438">
        <f>COUNTIF(V438:AC438,"&lt;&gt;0")</f>
        <v>1</v>
      </c>
      <c r="BA438">
        <f>COUNTIF(AD438:AI438,"&lt;&gt;0")</f>
        <v>1</v>
      </c>
      <c r="BB438">
        <f>COUNTIF(AJ438:AL438,"&lt;&gt;0")</f>
        <v>0</v>
      </c>
      <c r="BC438">
        <f>COUNTIF(AS438:AW438,"&lt;&gt;0")</f>
        <v>0</v>
      </c>
      <c r="BD438">
        <f>COUNTIF(AM438:AR438,"&lt;&gt;0")</f>
        <v>0</v>
      </c>
      <c r="BE438" t="str">
        <f t="array" ref="BE438">IF(AY438=1,INDEX($V$7:$AL$7,MATCH(TRUE,INDEX($V438:$AW438&lt;&gt;0,),0)),IF(AY438=0,INDEX($AM$7:$AW$7,MATCH(1,$AM438:$AW438,0)),IF(BF438="Multiple strategies","mixed drivers",IF(BF438="Supply chain","multiple supply","multiple silviculture"))))</f>
        <v>mixed drivers</v>
      </c>
      <c r="BF438" s="2" t="str" cm="1">
        <f t="array" ref="BF438">IF(COUNTIF(AZ438:BB438,"&lt;&gt;0")=1,INDEX($V$4:$AW$4,MATCH(TRUE,INDEX($V438:$AW438&lt;&gt;0,),0)),IF(COUNTIF(AZ438:BB438,"&lt;&gt;0")=0,INDEX($AM$4:$AW$4,MATCH(1,$AM438:$AW438,0)),"Multiple strategies"))</f>
        <v>Multiple strategies</v>
      </c>
      <c r="BG438" s="1" t="s">
        <v>321</v>
      </c>
      <c r="BH438"/>
      <c r="BI438" s="264" t="s">
        <v>1036</v>
      </c>
      <c r="BJ438" t="s">
        <v>2058</v>
      </c>
      <c r="BK438">
        <v>0</v>
      </c>
      <c r="BL438">
        <v>218025</v>
      </c>
      <c r="BM438" t="str">
        <f>IFERROR(BL438/BK438,"")</f>
        <v/>
      </c>
      <c r="BN438">
        <f>BL438-BK438</f>
        <v>218025</v>
      </c>
      <c r="BO438">
        <f>BN438*tC_to_m3</f>
        <v>946699.95657837612</v>
      </c>
      <c r="BP438" t="s">
        <v>232</v>
      </c>
      <c r="BQ438" t="s">
        <v>424</v>
      </c>
      <c r="BR438" t="s">
        <v>2063</v>
      </c>
      <c r="BS438"/>
      <c r="BT438"/>
      <c r="BU438" s="144"/>
      <c r="BV438">
        <v>-0.18</v>
      </c>
      <c r="BW438"/>
      <c r="BX438">
        <f>BV438</f>
        <v>-0.18</v>
      </c>
      <c r="BY438">
        <f>IFERROR(BX438/BO438,"")</f>
        <v>-1.9013415892672855E-7</v>
      </c>
      <c r="BZ438">
        <v>0</v>
      </c>
      <c r="CA438">
        <v>0</v>
      </c>
      <c r="CB438">
        <v>0</v>
      </c>
      <c r="CC438">
        <v>0</v>
      </c>
      <c r="CD438">
        <v>0</v>
      </c>
      <c r="CE438">
        <v>0</v>
      </c>
      <c r="CF438">
        <v>0</v>
      </c>
      <c r="CG438">
        <v>0</v>
      </c>
      <c r="CH438">
        <v>0</v>
      </c>
      <c r="CI438">
        <v>0</v>
      </c>
      <c r="CJ438">
        <v>0</v>
      </c>
      <c r="CK438">
        <v>0</v>
      </c>
      <c r="CL438">
        <v>0</v>
      </c>
      <c r="CM438">
        <v>0</v>
      </c>
      <c r="CN438" t="str">
        <f>IF($BL438&lt;$BK438,"refNeedCorrection","refOK")</f>
        <v>refOK</v>
      </c>
      <c r="CO438">
        <f>IF($CN438="refOK",$BK438,$BL438)</f>
        <v>0</v>
      </c>
      <c r="CP438">
        <f>IF($CN438="refOK",$BL438,$BK438)</f>
        <v>218025</v>
      </c>
      <c r="CQ438">
        <f>IF($CN438="refOK",$BO438,-$BO438)</f>
        <v>946699.95657837612</v>
      </c>
      <c r="CR438">
        <f>IF($CN438="refOK",$BS438,$BT438)*IF($BP438="Emissions positive",-1,1)</f>
        <v>0</v>
      </c>
      <c r="CS438">
        <f>IF($CN438="refOK",$BT438,$BS438)*IF($BP438="Emissions positive",-1,1)</f>
        <v>0</v>
      </c>
      <c r="CT438">
        <f>IF($CN438="refNeedCorrection",-BX438,BX438)*IF($BP438="Emissions positive",-1,1)</f>
        <v>-0.18</v>
      </c>
      <c r="CU438">
        <f>IFERROR(CT438/CQ438,"")</f>
        <v>-1.9013415892672855E-7</v>
      </c>
      <c r="CV438" s="2" t="str">
        <f>IFERROR((CS438-CR438)/ABS(CR438),"")</f>
        <v/>
      </c>
      <c r="CW438" s="1" t="s">
        <v>2036</v>
      </c>
      <c r="CX438" t="str">
        <f>IF(OR($CW438="prd",$CW438="std",$CW438="cit"),"loc",IF(OR($CW438="eur",$CW438="reg",$CW438="coy"),"reg",$CW438))</f>
        <v>reg</v>
      </c>
      <c r="CY438" t="s">
        <v>2060</v>
      </c>
      <c r="CZ438">
        <v>2021</v>
      </c>
      <c r="DA438">
        <v>2050</v>
      </c>
      <c r="DB438">
        <f>DA438-CZ438</f>
        <v>29</v>
      </c>
      <c r="DC438" t="str">
        <f>IF(DB438=0,"0",IF(AND(DB438&gt;=1,DB438&lt;=30),"1-30",IF(AND(DB438&gt;30,DB438&lt;=70),"31-70",IF(AND(DB438&gt;70,DB438&lt;=100),"71-100",IF(DB438&gt;100,"+100")))))</f>
        <v>1-30</v>
      </c>
      <c r="DD438">
        <v>0</v>
      </c>
      <c r="DE438">
        <v>0</v>
      </c>
      <c r="DF438">
        <v>0</v>
      </c>
      <c r="DG438">
        <v>1</v>
      </c>
      <c r="DH438">
        <v>0</v>
      </c>
      <c r="DI438">
        <f>SUM(DD438:DG438)</f>
        <v>1</v>
      </c>
      <c r="DJ438" t="str">
        <f>IF(DI438=1,INDEX($DD$7:$DG$7,MATCH(1,$DD438:$DG438,0)),"mixedProduct")</f>
        <v>TimberInput</v>
      </c>
      <c r="DK438">
        <f>IF(DD438=1,DK$7,0)</f>
        <v>0</v>
      </c>
      <c r="DL438">
        <f>IF(DE438=1,DL$7,0)</f>
        <v>0</v>
      </c>
      <c r="DM438">
        <f>IF(DF438=1,DM$7,0)</f>
        <v>0</v>
      </c>
      <c r="DN438" t="str">
        <f>IF(DG438=1,DN$7,0)</f>
        <v>Timber</v>
      </c>
      <c r="DO438"/>
      <c r="DP438">
        <v>1</v>
      </c>
      <c r="DQ438"/>
      <c r="DR438"/>
      <c r="DS438" s="184" t="s">
        <v>2061</v>
      </c>
      <c r="DT438"/>
      <c r="DU438" s="143" t="str">
        <f>IF(DO438=1,"self-calculated DF",IF(DP438=1,"external DF used","explicit C balance"))</f>
        <v>external DF used</v>
      </c>
      <c r="DV438">
        <v>1</v>
      </c>
      <c r="DW438">
        <v>1</v>
      </c>
      <c r="DX438">
        <v>1</v>
      </c>
      <c r="DY438">
        <v>1</v>
      </c>
      <c r="DZ438">
        <v>1</v>
      </c>
      <c r="EA438">
        <v>1</v>
      </c>
      <c r="EB438">
        <v>0</v>
      </c>
      <c r="EC438">
        <v>0</v>
      </c>
      <c r="ED438">
        <v>0</v>
      </c>
      <c r="EE438">
        <v>0</v>
      </c>
      <c r="EF438">
        <v>1</v>
      </c>
      <c r="EG438">
        <v>0</v>
      </c>
      <c r="EH438">
        <v>1</v>
      </c>
      <c r="EI438" s="2">
        <v>0</v>
      </c>
      <c r="EJ438" s="1"/>
      <c r="EK438" t="str">
        <f>IF(AND(AND(AND(OR($DX438=1,$DW438=1),OR($EC438=1,$EA438=1)),SUM($DV438:$DZ438,$EF438)&gt;=4),SUM($EA438:$EE438)&gt;=2),"Whole sector","")</f>
        <v/>
      </c>
      <c r="EL438" t="str">
        <f>IF(AND(AND(OR($DX438=1,$DW438=1),AND($EC438=0,$EA438=0)),SUM($DV438:$DZ438,$EF438)&gt;=4),"Ecosystem approach","")</f>
        <v/>
      </c>
      <c r="EM438" s="2" t="str">
        <f>IF(AND(AND(AND($DX438=0,$DW438=0),OR($EC438=1,$EA438=1)),SUM($EB438:$EE438)&gt;=2),"Technology approach","")</f>
        <v/>
      </c>
      <c r="EN438"/>
      <c r="EO438"/>
      <c r="EP438" t="str">
        <f>IF(ISNUMBER(BU438),IF(ABS(BU438-[1]QC_indicators!$B$2)&gt;3*[1]QC_indicators!$C$2,"C ratio",IF(ISNUMBER(BY438),IF(ABS(BY438-[1]QC_indicators!$B$1)&gt;3*[1]QC_indicators!$C$1,"DF","no"))),IF(ISNUMBER(BY438),IF(ABS(BY438-[1]QC_indicators!$B$1)&gt;3*[1]QC_indicators!$C$1,"DF","no")))</f>
        <v>no</v>
      </c>
      <c r="EQ438"/>
      <c r="ER438"/>
      <c r="ES438"/>
      <c r="ET438" s="264" t="s">
        <v>3273</v>
      </c>
      <c r="EU438"/>
    </row>
    <row r="439" spans="1:151" s="139" customFormat="1" ht="15" customHeight="1">
      <c r="A439" s="1"/>
      <c r="B439"/>
      <c r="C439"/>
      <c r="D439" t="s">
        <v>827</v>
      </c>
      <c r="E439" s="264" t="s">
        <v>828</v>
      </c>
      <c r="F439"/>
      <c r="G439" t="s">
        <v>829</v>
      </c>
      <c r="H439"/>
      <c r="I439">
        <v>2012</v>
      </c>
      <c r="J439"/>
      <c r="K439" s="295" t="s">
        <v>830</v>
      </c>
      <c r="L439"/>
      <c r="M439" t="str">
        <f>LEFT($D439,FIND(",",$D439)-1)&amp;"_"&amp;I439&amp;L439</f>
        <v>Kilpeläinen_2012</v>
      </c>
      <c r="N439" t="s">
        <v>222</v>
      </c>
      <c r="O439" t="s">
        <v>223</v>
      </c>
      <c r="P439"/>
      <c r="Q439" s="264" t="s">
        <v>256</v>
      </c>
      <c r="R439" s="269" t="s">
        <v>1154</v>
      </c>
      <c r="S439" s="1" t="s">
        <v>831</v>
      </c>
      <c r="T439" t="s">
        <v>832</v>
      </c>
      <c r="U439" s="143" t="s">
        <v>833</v>
      </c>
      <c r="V439">
        <v>0</v>
      </c>
      <c r="W439">
        <v>0</v>
      </c>
      <c r="X439">
        <v>0</v>
      </c>
      <c r="Y439">
        <v>1</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s="141">
        <f>COUNTIF(V439:AW439,"&lt;&gt;0")</f>
        <v>1</v>
      </c>
      <c r="AY439" s="141">
        <f>COUNTIF(V439:AL439,"&lt;&gt;0")</f>
        <v>1</v>
      </c>
      <c r="AZ439">
        <f>COUNTIF(V439:AC439,"&lt;&gt;0")</f>
        <v>1</v>
      </c>
      <c r="BA439">
        <f>COUNTIF(AD439:AI439,"&lt;&gt;0")</f>
        <v>0</v>
      </c>
      <c r="BB439">
        <f>COUNTIF(AJ439:AL439,"&lt;&gt;0")</f>
        <v>0</v>
      </c>
      <c r="BC439">
        <f>COUNTIF(AS439:AW439,"&lt;&gt;0")</f>
        <v>0</v>
      </c>
      <c r="BD439">
        <f>COUNTIF(AM439:AR439,"&lt;&gt;0")</f>
        <v>0</v>
      </c>
      <c r="BE439" t="str" cm="1">
        <f t="array" ref="BE439">IF(AY439=1,INDEX($V$7:$AL$7,MATCH(TRUE,INDEX($V439:$AW439&lt;&gt;0,),0)),IF(AY439=0,INDEX($AM$7:$AW$7,MATCH(1,$AM439:$AW439,0)),IF(BF439="Multiple strategies","mixed drivers",IF(BF439="Supply chain","multiple supply","multiple silviculture"))))</f>
        <v xml:space="preserve">cutting intensity </v>
      </c>
      <c r="BF439" s="2" t="str" cm="1">
        <f t="array" ref="BF439">IF(COUNTIF(AZ439:BB439,"&lt;&gt;0")=1,INDEX($V$4:$AW$4,MATCH(TRUE,INDEX($V439:$AW439&lt;&gt;0,),0)),IF(COUNTIF(AZ439:BB439,"&lt;&gt;0")=0,INDEX($AM$4:$AW$4,MATCH(1,$AM439:$AW439,0)),"Multiple strategies"))</f>
        <v>Silviculture for removals</v>
      </c>
      <c r="BG439" s="142" t="s">
        <v>321</v>
      </c>
      <c r="BH439" t="s">
        <v>834</v>
      </c>
      <c r="BI439"/>
      <c r="BJ439" s="143" t="s">
        <v>835</v>
      </c>
      <c r="BK439"/>
      <c r="BL439" s="143"/>
      <c r="BM439" s="143"/>
      <c r="BN439" s="143">
        <v>17000000</v>
      </c>
      <c r="BO439" s="143">
        <f>BN439*90</f>
        <v>1530000000</v>
      </c>
      <c r="BP439" s="264" t="s">
        <v>232</v>
      </c>
      <c r="BQ439" s="264"/>
      <c r="BR439" t="s">
        <v>836</v>
      </c>
      <c r="BS439">
        <v>-9928</v>
      </c>
      <c r="BT439">
        <v>-10141</v>
      </c>
      <c r="BU439">
        <v>1.0214544721998389</v>
      </c>
      <c r="BV439">
        <v>-213</v>
      </c>
      <c r="BW439"/>
      <c r="BX439">
        <f>BV439/10^6</f>
        <v>-2.13E-4</v>
      </c>
      <c r="BY439">
        <f>IFERROR(BX439/BO439,"")</f>
        <v>-1.3921568627450981E-13</v>
      </c>
      <c r="BZ439" s="143">
        <v>0</v>
      </c>
      <c r="CA439" s="143">
        <v>0</v>
      </c>
      <c r="CB439" s="143">
        <v>0</v>
      </c>
      <c r="CC439" s="143">
        <v>0</v>
      </c>
      <c r="CD439" s="143">
        <v>0</v>
      </c>
      <c r="CE439" s="143">
        <v>0</v>
      </c>
      <c r="CF439" s="143">
        <v>0</v>
      </c>
      <c r="CG439" s="143">
        <v>1</v>
      </c>
      <c r="CH439" s="143">
        <v>0</v>
      </c>
      <c r="CI439" s="143">
        <v>0</v>
      </c>
      <c r="CJ439" s="143">
        <v>0</v>
      </c>
      <c r="CK439" s="143">
        <v>0</v>
      </c>
      <c r="CL439" s="143">
        <v>0</v>
      </c>
      <c r="CM439">
        <v>0</v>
      </c>
      <c r="CN439" t="str">
        <f>IF(BL439&lt;BK439,"refNeedCorrection","refOK")</f>
        <v>refOK</v>
      </c>
      <c r="CO439"/>
      <c r="CP439"/>
      <c r="CQ439">
        <f>IF($CN439="refNeedCorrection",-BO439,BO439)</f>
        <v>1530000000</v>
      </c>
      <c r="CR439">
        <f>IF($CN439="refOK",$BS439,$BT439)*IF($BP439="Emissions positive",-1,1)</f>
        <v>-9928</v>
      </c>
      <c r="CS439">
        <f>IF($CN439="refOK",$BT439,$BS439)*IF($BP439="Emissions positive",-1,1)</f>
        <v>-10141</v>
      </c>
      <c r="CT439">
        <f>IF($CN439="refNeedCorrection",-BX439,BX439)*IF($BP439="Emissions positive",-1,1)</f>
        <v>-2.13E-4</v>
      </c>
      <c r="CU439">
        <f>IFERROR(CT439/CQ439,"")</f>
        <v>-1.3921568627450981E-13</v>
      </c>
      <c r="CV439" s="2">
        <f>IFERROR((CS439-CR439)/ABS(CR439),"")</f>
        <v>-2.1454472199838839E-2</v>
      </c>
      <c r="CW439" s="1" t="s">
        <v>234</v>
      </c>
      <c r="CX439" s="264" t="str">
        <f>IF(OR($CW439="prd",$CW439="std",$CW439="cit"),"loc",IF(OR($CW439="eur",$CW439="reg",$CW439="coy"),"reg",$CW439))</f>
        <v>loc</v>
      </c>
      <c r="CY439" t="s">
        <v>235</v>
      </c>
      <c r="CZ439"/>
      <c r="DA439" s="143"/>
      <c r="DB439" s="143">
        <v>90</v>
      </c>
      <c r="DC439" t="str">
        <f>IF(DB439=0,"0",IF(AND(DB439&gt;=1,DB439&lt;=30),"1-30",IF(AND(DB439&gt;30,DB439&lt;=70),"31-70",IF(AND(DB439&gt;70,DB439&lt;=100),"71-100",IF(DB439&gt;100,"+100")))))</f>
        <v>71-100</v>
      </c>
      <c r="DD439">
        <v>0</v>
      </c>
      <c r="DE439">
        <v>1</v>
      </c>
      <c r="DF439">
        <v>0</v>
      </c>
      <c r="DG439">
        <v>1</v>
      </c>
      <c r="DH439"/>
      <c r="DI439">
        <f>SUM(DD439:DG439)</f>
        <v>2</v>
      </c>
      <c r="DJ439" t="str">
        <f>IF(DI439=1,INDEX($DD$7:$DG$7,MATCH(1,$DD439:$DG439,0)),"mixedProduct")</f>
        <v>mixedProduct</v>
      </c>
      <c r="DK439">
        <f>IF(DD439=1,DK$7,0)</f>
        <v>0</v>
      </c>
      <c r="DL439" t="str">
        <f>IF(DE439=1,DL$7,0)</f>
        <v>Energy</v>
      </c>
      <c r="DM439">
        <f>IF(DF439=1,DM$7,0)</f>
        <v>0</v>
      </c>
      <c r="DN439" t="str">
        <f>IF(DG439=1,DN$7,0)</f>
        <v>Timber</v>
      </c>
      <c r="DO439">
        <v>0</v>
      </c>
      <c r="DP439" s="143">
        <v>0</v>
      </c>
      <c r="DQ439" s="143">
        <v>0</v>
      </c>
      <c r="DR439">
        <v>0</v>
      </c>
      <c r="DS439" s="143">
        <v>0</v>
      </c>
      <c r="DT439">
        <f>SUM(DO439:DP439)</f>
        <v>0</v>
      </c>
      <c r="DU439" s="143" t="str">
        <f>IF(DO439=1,"self-calculated DF",IF(DP439=1,"external DF used","explicit C balance"))</f>
        <v>explicit C balance</v>
      </c>
      <c r="DV439" s="143">
        <v>1</v>
      </c>
      <c r="DW439" s="143">
        <v>1</v>
      </c>
      <c r="DX439" s="143">
        <v>1</v>
      </c>
      <c r="DY439" s="143">
        <v>0</v>
      </c>
      <c r="DZ439">
        <v>0</v>
      </c>
      <c r="EA439" s="143">
        <v>0</v>
      </c>
      <c r="EB439" s="143">
        <v>1</v>
      </c>
      <c r="EC439" s="143">
        <v>1</v>
      </c>
      <c r="ED439" s="143">
        <v>0</v>
      </c>
      <c r="EE439">
        <v>0</v>
      </c>
      <c r="EF439">
        <v>1</v>
      </c>
      <c r="EG439" s="143">
        <v>0</v>
      </c>
      <c r="EH439" s="143">
        <v>0</v>
      </c>
      <c r="EI439" s="2">
        <v>0</v>
      </c>
      <c r="EJ439" s="1"/>
      <c r="EK439" t="str">
        <f>IF(AND(AND(AND(OR($DX439=1,$DW439=1),OR($EC439=1,$EA439=1)),SUM($DV439:$DZ439,$EF439)&gt;=4),SUM($EA439:$EE439)&gt;=2),"Whole sector","")</f>
        <v>Whole sector</v>
      </c>
      <c r="EL439" t="str">
        <f>IF(AND(AND(OR($DX439=1,$DW439=1),AND($EC439=0,$EA439=0)),SUM($DV439:$DZ439,$EF439)&gt;=4),"Ecosystem approach","")</f>
        <v/>
      </c>
      <c r="EM439" s="2" t="str">
        <f>IF(AND(AND(AND($DX439=0,$DW439=0),OR($EC439=1,$EA439=1)),SUM($EB439:$EE439)&gt;=2),"Technology approach","")</f>
        <v/>
      </c>
      <c r="EN439" t="s">
        <v>837</v>
      </c>
      <c r="EO439"/>
      <c r="EP439" t="str">
        <f>IF(ISNUMBER(BU439),IF(ABS(BU439-[3]QC_indicators!$B$2)&gt;3*[3]QC_indicators!$C$2,"C ratio",IF(ISNUMBER(BY439),IF(ABS(BY439-[3]QC_indicators!$B$1)&gt;3*[3]QC_indicators!$C$1,"DF","no"))),IF(ISNUMBER(BY439),IF(ABS(BY439-[3]QC_indicators!$B$1)&gt;3*[3]QC_indicators!$C$1,"DF","no")))</f>
        <v>no</v>
      </c>
      <c r="EQ439"/>
      <c r="ER439" s="294" t="s">
        <v>349</v>
      </c>
      <c r="ES439"/>
      <c r="ET439" s="264" t="s">
        <v>3407</v>
      </c>
      <c r="EU439"/>
    </row>
    <row r="440" spans="1:151" s="139" customFormat="1" ht="15" customHeight="1">
      <c r="A440" s="256" t="s">
        <v>214</v>
      </c>
      <c r="B440" s="257" t="s">
        <v>215</v>
      </c>
      <c r="C440" s="257" t="s">
        <v>216</v>
      </c>
      <c r="D440" s="257" t="s">
        <v>217</v>
      </c>
      <c r="E440" s="257" t="s">
        <v>218</v>
      </c>
      <c r="F440" s="257" t="s">
        <v>219</v>
      </c>
      <c r="G440" s="257" t="s">
        <v>220</v>
      </c>
      <c r="H440" s="257"/>
      <c r="I440" s="257">
        <v>2012</v>
      </c>
      <c r="J440" s="257"/>
      <c r="K440" s="257" t="s">
        <v>221</v>
      </c>
      <c r="L440" s="257"/>
      <c r="M440" s="257" t="s">
        <v>3070</v>
      </c>
      <c r="N440" s="257" t="s">
        <v>222</v>
      </c>
      <c r="O440" s="275" t="s">
        <v>223</v>
      </c>
      <c r="P440" s="257"/>
      <c r="Q440" s="257" t="s">
        <v>224</v>
      </c>
      <c r="R440" s="258" t="s">
        <v>225</v>
      </c>
      <c r="S440" s="256" t="s">
        <v>226</v>
      </c>
      <c r="T440" s="257" t="s">
        <v>228</v>
      </c>
      <c r="U440" s="257" t="s">
        <v>238</v>
      </c>
      <c r="V440" s="257">
        <v>0</v>
      </c>
      <c r="W440" s="257">
        <v>0</v>
      </c>
      <c r="X440" s="257">
        <v>0</v>
      </c>
      <c r="Y440" s="257">
        <v>1</v>
      </c>
      <c r="Z440" s="257">
        <v>0</v>
      </c>
      <c r="AA440" s="257">
        <v>0</v>
      </c>
      <c r="AB440" s="257">
        <v>0</v>
      </c>
      <c r="AC440" s="257">
        <v>0</v>
      </c>
      <c r="AD440" s="257">
        <v>0</v>
      </c>
      <c r="AE440" s="257">
        <v>0</v>
      </c>
      <c r="AF440" s="257">
        <v>0</v>
      </c>
      <c r="AG440" s="257">
        <v>0</v>
      </c>
      <c r="AH440" s="257">
        <v>0</v>
      </c>
      <c r="AI440" s="257">
        <v>0</v>
      </c>
      <c r="AJ440" s="257">
        <v>0</v>
      </c>
      <c r="AK440" s="257">
        <v>0</v>
      </c>
      <c r="AL440" s="257">
        <v>0</v>
      </c>
      <c r="AM440" s="257">
        <v>0</v>
      </c>
      <c r="AN440" s="257">
        <v>0</v>
      </c>
      <c r="AO440" s="257">
        <v>0</v>
      </c>
      <c r="AP440" s="257">
        <v>0</v>
      </c>
      <c r="AQ440" s="257">
        <v>0</v>
      </c>
      <c r="AR440" s="257">
        <v>0</v>
      </c>
      <c r="AS440" s="257">
        <v>0</v>
      </c>
      <c r="AT440" s="257">
        <v>0</v>
      </c>
      <c r="AU440" s="257">
        <v>0</v>
      </c>
      <c r="AV440" s="257">
        <v>0</v>
      </c>
      <c r="AW440" s="257">
        <v>0</v>
      </c>
      <c r="AX440" s="277">
        <v>1</v>
      </c>
      <c r="AY440" s="277">
        <v>1</v>
      </c>
      <c r="AZ440" s="257">
        <v>1</v>
      </c>
      <c r="BA440" s="257">
        <v>0</v>
      </c>
      <c r="BB440" s="257">
        <v>0</v>
      </c>
      <c r="BC440" s="257">
        <v>0</v>
      </c>
      <c r="BD440" s="257">
        <v>0</v>
      </c>
      <c r="BE440" s="257" t="s">
        <v>91</v>
      </c>
      <c r="BF440" s="2" t="str" cm="1">
        <f t="array" ref="BF440">IF(COUNTIF(AZ440:BB440,"&lt;&gt;0")=1,INDEX($V$4:$AW$4,MATCH(TRUE,INDEX($V440:$AW440&lt;&gt;0,),0)),IF(COUNTIF(AZ440:BB440,"&lt;&gt;0")=0,INDEX($AM$4:$AW$4,MATCH(1,$AM440:$AW440,0)),"Multiple strategies"))</f>
        <v>Silviculture for removals</v>
      </c>
      <c r="BG440" s="278" t="s">
        <v>229</v>
      </c>
      <c r="BH440" s="257" t="s">
        <v>230</v>
      </c>
      <c r="BI440" s="279" t="s">
        <v>3071</v>
      </c>
      <c r="BJ440" s="276" t="s">
        <v>231</v>
      </c>
      <c r="BK440" s="257">
        <v>53.696488080000002</v>
      </c>
      <c r="BL440" s="257">
        <v>66.639750489999997</v>
      </c>
      <c r="BM440" s="276">
        <v>0.80577264598338694</v>
      </c>
      <c r="BN440" s="257">
        <v>12.943262409999996</v>
      </c>
      <c r="BO440" s="276">
        <v>26.414821244897951</v>
      </c>
      <c r="BP440" s="276" t="s">
        <v>232</v>
      </c>
      <c r="BQ440" s="279" t="s">
        <v>3071</v>
      </c>
      <c r="BR440" s="276" t="s">
        <v>233</v>
      </c>
      <c r="BS440" s="257">
        <v>-9.4136546180000007</v>
      </c>
      <c r="BT440" s="257">
        <v>-9.4136546180000007</v>
      </c>
      <c r="BU440" s="259">
        <v>1</v>
      </c>
      <c r="BV440" s="257">
        <v>0</v>
      </c>
      <c r="BW440" s="257"/>
      <c r="BX440" s="257">
        <v>0</v>
      </c>
      <c r="BY440" s="257">
        <v>0</v>
      </c>
      <c r="BZ440" s="257">
        <v>0</v>
      </c>
      <c r="CA440" s="257">
        <v>0</v>
      </c>
      <c r="CB440" s="257">
        <v>0</v>
      </c>
      <c r="CC440" s="257">
        <v>0</v>
      </c>
      <c r="CD440" s="257">
        <v>0</v>
      </c>
      <c r="CE440" s="257">
        <v>0</v>
      </c>
      <c r="CF440" s="257">
        <v>0</v>
      </c>
      <c r="CG440" s="257">
        <v>0</v>
      </c>
      <c r="CH440" s="257">
        <v>0</v>
      </c>
      <c r="CI440" s="257">
        <v>0</v>
      </c>
      <c r="CJ440" s="257">
        <v>0</v>
      </c>
      <c r="CK440" s="257">
        <v>0</v>
      </c>
      <c r="CL440" s="257">
        <v>0</v>
      </c>
      <c r="CM440" s="257">
        <v>0</v>
      </c>
      <c r="CN440" s="257" t="s">
        <v>3072</v>
      </c>
      <c r="CO440" s="257">
        <v>53.696488080000002</v>
      </c>
      <c r="CP440" s="257">
        <v>66.639750489999997</v>
      </c>
      <c r="CQ440" s="257">
        <v>26.414821244897951</v>
      </c>
      <c r="CR440" s="257">
        <v>-9.4136546180000007</v>
      </c>
      <c r="CS440" s="257">
        <v>-9.4136546180000007</v>
      </c>
      <c r="CT440" s="257">
        <v>0</v>
      </c>
      <c r="CU440" s="257">
        <v>0</v>
      </c>
      <c r="CV440" s="258">
        <v>0</v>
      </c>
      <c r="CW440" s="256" t="s">
        <v>234</v>
      </c>
      <c r="CX440" s="257" t="s">
        <v>3073</v>
      </c>
      <c r="CY440" s="257" t="s">
        <v>235</v>
      </c>
      <c r="CZ440" s="257"/>
      <c r="DA440" s="276"/>
      <c r="DB440" s="276">
        <v>80</v>
      </c>
      <c r="DC440" s="257" t="s">
        <v>3074</v>
      </c>
      <c r="DD440" s="257">
        <v>0</v>
      </c>
      <c r="DE440" s="257">
        <v>1</v>
      </c>
      <c r="DF440" s="257">
        <v>0</v>
      </c>
      <c r="DG440" s="257">
        <v>0</v>
      </c>
      <c r="DH440" s="257"/>
      <c r="DI440" s="257">
        <v>1</v>
      </c>
      <c r="DJ440" s="257" t="s">
        <v>173</v>
      </c>
      <c r="DK440" s="257">
        <v>0</v>
      </c>
      <c r="DL440" s="257" t="s">
        <v>180</v>
      </c>
      <c r="DM440" s="257">
        <v>0</v>
      </c>
      <c r="DN440" s="257">
        <v>0</v>
      </c>
      <c r="DO440" s="257">
        <v>0</v>
      </c>
      <c r="DP440" s="276">
        <v>0</v>
      </c>
      <c r="DQ440" s="276">
        <v>0</v>
      </c>
      <c r="DR440" s="276">
        <v>0</v>
      </c>
      <c r="DS440" s="276">
        <v>0</v>
      </c>
      <c r="DT440" s="257">
        <v>0</v>
      </c>
      <c r="DU440" s="276" t="s">
        <v>962</v>
      </c>
      <c r="DV440" s="276">
        <v>1</v>
      </c>
      <c r="DW440" s="276">
        <v>1</v>
      </c>
      <c r="DX440" s="276">
        <v>1</v>
      </c>
      <c r="DY440" s="276">
        <v>0</v>
      </c>
      <c r="DZ440" s="257">
        <v>0</v>
      </c>
      <c r="EA440" s="276">
        <v>0</v>
      </c>
      <c r="EB440" s="276">
        <v>1</v>
      </c>
      <c r="EC440" s="276">
        <v>1</v>
      </c>
      <c r="ED440" s="276">
        <v>0</v>
      </c>
      <c r="EE440" s="276">
        <v>0</v>
      </c>
      <c r="EF440" s="257">
        <v>1</v>
      </c>
      <c r="EG440" s="276">
        <v>0</v>
      </c>
      <c r="EH440" s="257">
        <v>0</v>
      </c>
      <c r="EI440" s="258">
        <v>0</v>
      </c>
      <c r="EJ440" s="256"/>
      <c r="EK440" t="str">
        <f>IF(AND(AND(AND(OR($DX440=1,$DW440=1),OR($EC440=1,$EA440=1)),SUM($DV440:$DZ440,$EF440)&gt;=4),SUM($EA440:$EE440)&gt;=2),"Whole sector","")</f>
        <v>Whole sector</v>
      </c>
      <c r="EL440" t="str">
        <f>IF(AND(AND(OR($DX440=1,$DW440=1),AND($EC440=0,$EA440=0)),SUM($DV440:$DZ440,$EF440)&gt;=4),"Ecosystem approach","")</f>
        <v/>
      </c>
      <c r="EM440" s="258" t="s">
        <v>544</v>
      </c>
      <c r="EN440" s="257" t="s">
        <v>236</v>
      </c>
      <c r="EO440" s="257"/>
      <c r="EP440" t="str">
        <f>IF(ISNUMBER(BU440),IF(ABS(BU440-[2]QC_indicators!$B$2)&gt;3*[2]QC_indicators!$C$2,"C ratio",IF(ISNUMBER(BY440),IF(ABS(BY440-[2]QC_indicators!$B$1)&gt;3*[2]QC_indicators!$C$1,"DF","no"))),IF(ISNUMBER(BY440),IF(ABS(BY440-[2]QC_indicators!$B$1)&gt;3*[2]QC_indicators!$C$1,"DF","no")))</f>
        <v>no</v>
      </c>
      <c r="EQ440" s="257"/>
      <c r="ER440" s="257"/>
      <c r="ES440" s="257"/>
      <c r="ET440" s="257"/>
      <c r="EU440"/>
    </row>
    <row r="441" spans="1:151" s="139" customFormat="1" ht="15" customHeight="1">
      <c r="A441" s="1" t="s">
        <v>1270</v>
      </c>
      <c r="B441" t="s">
        <v>1271</v>
      </c>
      <c r="C441" t="s">
        <v>1272</v>
      </c>
      <c r="D441" t="s">
        <v>1273</v>
      </c>
      <c r="E441" t="s">
        <v>1274</v>
      </c>
      <c r="F441" t="s">
        <v>1275</v>
      </c>
      <c r="G441" t="s">
        <v>1276</v>
      </c>
      <c r="H441"/>
      <c r="I441">
        <v>2019</v>
      </c>
      <c r="J441"/>
      <c r="K441" t="s">
        <v>1277</v>
      </c>
      <c r="L441"/>
      <c r="M441" t="str">
        <f>LEFT($D441,FIND(",",$D441)-1)&amp;"_"&amp;I441&amp;L441</f>
        <v>Baskent_2019</v>
      </c>
      <c r="N441" t="s">
        <v>222</v>
      </c>
      <c r="O441" s="140" t="s">
        <v>513</v>
      </c>
      <c r="P441"/>
      <c r="Q441" t="s">
        <v>224</v>
      </c>
      <c r="R441" s="269" t="s">
        <v>274</v>
      </c>
      <c r="S441" s="1" t="s">
        <v>1278</v>
      </c>
      <c r="T441" t="s">
        <v>1111</v>
      </c>
      <c r="U441" s="143" t="s">
        <v>1285</v>
      </c>
      <c r="V441" s="143">
        <v>0</v>
      </c>
      <c r="W441" s="143">
        <v>0</v>
      </c>
      <c r="X441" s="143">
        <v>0</v>
      </c>
      <c r="Y441" s="143">
        <v>1</v>
      </c>
      <c r="Z441" s="143">
        <v>2</v>
      </c>
      <c r="AA441" s="143">
        <v>0</v>
      </c>
      <c r="AB441" s="143">
        <v>0</v>
      </c>
      <c r="AC441" s="143">
        <v>0</v>
      </c>
      <c r="AD441">
        <v>0</v>
      </c>
      <c r="AE441">
        <v>0</v>
      </c>
      <c r="AF441">
        <v>2</v>
      </c>
      <c r="AG441">
        <v>0</v>
      </c>
      <c r="AH441">
        <v>0</v>
      </c>
      <c r="AI441">
        <v>0</v>
      </c>
      <c r="AJ441">
        <v>2</v>
      </c>
      <c r="AK441">
        <v>0</v>
      </c>
      <c r="AL441">
        <v>0</v>
      </c>
      <c r="AM441">
        <v>0</v>
      </c>
      <c r="AN441">
        <v>2</v>
      </c>
      <c r="AO441">
        <v>2</v>
      </c>
      <c r="AP441">
        <v>0</v>
      </c>
      <c r="AQ441">
        <v>0</v>
      </c>
      <c r="AR441">
        <v>0</v>
      </c>
      <c r="AS441">
        <v>2</v>
      </c>
      <c r="AT441">
        <v>0</v>
      </c>
      <c r="AU441">
        <v>0</v>
      </c>
      <c r="AV441">
        <v>0</v>
      </c>
      <c r="AW441">
        <v>2</v>
      </c>
      <c r="AX441" s="141">
        <f>COUNTIF(V441:AW441,"&lt;&gt;0")</f>
        <v>8</v>
      </c>
      <c r="AY441" s="141">
        <f>COUNTIF(V441:AL441,"&lt;&gt;0")</f>
        <v>4</v>
      </c>
      <c r="AZ441">
        <f>COUNTIF(V441:AC441,"&lt;&gt;0")</f>
        <v>2</v>
      </c>
      <c r="BA441">
        <f>COUNTIF(AD441:AI441,"&lt;&gt;0")</f>
        <v>1</v>
      </c>
      <c r="BB441">
        <f>COUNTIF(AJ441:AL441,"&lt;&gt;0")</f>
        <v>1</v>
      </c>
      <c r="BC441">
        <f>COUNTIF(AS441:AW441,"&lt;&gt;0")</f>
        <v>2</v>
      </c>
      <c r="BD441">
        <f>COUNTIF(AM441:AR441,"&lt;&gt;0")</f>
        <v>2</v>
      </c>
      <c r="BE441" t="str">
        <f t="array" ref="BE441">IF(AY441=1,INDEX($V$7:$AL$7,MATCH(TRUE,INDEX($V441:$AW441&lt;&gt;0,),0)),IF(AY441=0,INDEX($AM$7:$AW$7,MATCH(1,$AM441:$AW441,0)),IF(BF441="Multiple strategies","mixed drivers",IF(BF441="Supply chain","multiple supply","multiple silviculture"))))</f>
        <v>mixed drivers</v>
      </c>
      <c r="BF441" s="2" t="str" cm="1">
        <f t="array" ref="BF441">IF(COUNTIF(AZ441:BB441,"&lt;&gt;0")=1,INDEX($V$4:$AW$4,MATCH(TRUE,INDEX($V441:$AW441&lt;&gt;0,),0)),IF(COUNTIF(AZ441:BB441,"&lt;&gt;0")=0,INDEX($AM$4:$AW$4,MATCH(1,$AM441:$AW441,0)),"Multiple strategies"))</f>
        <v>Multiple strategies</v>
      </c>
      <c r="BG441" s="1" t="s">
        <v>321</v>
      </c>
      <c r="BH441" t="s">
        <v>1280</v>
      </c>
      <c r="BI441"/>
      <c r="BJ441" s="143" t="s">
        <v>278</v>
      </c>
      <c r="BK441">
        <v>10.270935960591125</v>
      </c>
      <c r="BL441">
        <v>11.20689655172413</v>
      </c>
      <c r="BM441" s="143">
        <f>BL441/BK441</f>
        <v>1.091127098321343</v>
      </c>
      <c r="BN441">
        <f>BL441-BK441</f>
        <v>0.93596059113300534</v>
      </c>
      <c r="BO441" s="143">
        <f>BN441*tC_to_m3</f>
        <v>4.0640928837733625</v>
      </c>
      <c r="BP441" t="s">
        <v>232</v>
      </c>
      <c r="BQ441" s="333" t="s">
        <v>787</v>
      </c>
      <c r="BR441" s="143" t="s">
        <v>278</v>
      </c>
      <c r="BS441">
        <v>30.8433734939759</v>
      </c>
      <c r="BT441">
        <v>30.8433734939759</v>
      </c>
      <c r="BU441" s="144">
        <f>IFERROR(BT441/BS441,"")</f>
        <v>1</v>
      </c>
      <c r="BV441">
        <f>BT441-BS441</f>
        <v>0</v>
      </c>
      <c r="BW441"/>
      <c r="BX441">
        <f>BV441*C_to_CO2</f>
        <v>0</v>
      </c>
      <c r="BY441">
        <f>IFERROR(BX441/BO441,"")</f>
        <v>0</v>
      </c>
      <c r="BZ441" s="143">
        <v>0</v>
      </c>
      <c r="CA441" s="143">
        <v>0</v>
      </c>
      <c r="CB441" s="143">
        <v>0</v>
      </c>
      <c r="CC441" s="143">
        <v>0</v>
      </c>
      <c r="CD441" s="143">
        <v>0</v>
      </c>
      <c r="CE441" s="143">
        <v>0</v>
      </c>
      <c r="CF441" s="143">
        <v>0</v>
      </c>
      <c r="CG441" s="143">
        <v>1</v>
      </c>
      <c r="CH441" s="143">
        <v>0</v>
      </c>
      <c r="CI441" s="143">
        <v>1</v>
      </c>
      <c r="CJ441" s="143">
        <v>1</v>
      </c>
      <c r="CK441" s="143">
        <v>0</v>
      </c>
      <c r="CL441" s="143">
        <v>1</v>
      </c>
      <c r="CM441" s="143">
        <v>0</v>
      </c>
      <c r="CN441" t="str">
        <f>IF($BL441&lt;$BK441,"refNeedCorrection","refOK")</f>
        <v>refOK</v>
      </c>
      <c r="CO441">
        <f>IF($CN441="refOK",$BK441,$BL441)</f>
        <v>10.270935960591125</v>
      </c>
      <c r="CP441">
        <f>IF($CN441="refOK",$BL441,$BK441)</f>
        <v>11.20689655172413</v>
      </c>
      <c r="CQ441">
        <f>IF($CN441="refOK",$BO441,-$BO441)</f>
        <v>4.0640928837733625</v>
      </c>
      <c r="CR441">
        <f>IF($CN441="refOK",$BS441,$BT441)*IF($BP441="Emissions positive",-1,1)</f>
        <v>30.8433734939759</v>
      </c>
      <c r="CS441">
        <f>IF($CN441="refOK",$BT441,$BS441)*IF($BP441="Emissions positive",-1,1)</f>
        <v>30.8433734939759</v>
      </c>
      <c r="CT441">
        <f>IF($CN441="refNeedCorrection",-BX441,BX441)*IF($BP441="Emissions positive",-1,1)</f>
        <v>0</v>
      </c>
      <c r="CU441">
        <f>IFERROR(CT441/CQ441,"")</f>
        <v>0</v>
      </c>
      <c r="CV441" s="2">
        <f>IFERROR((CS441-CR441)/ABS(CR441),"")</f>
        <v>0</v>
      </c>
      <c r="CW441" s="1" t="s">
        <v>1199</v>
      </c>
      <c r="CX441" t="str">
        <f>IF(OR($CW441="prd",$CW441="std",$CW441="cit"),"loc",IF(OR($CW441="eur",$CW441="reg",$CW441="coy"),"reg",$CW441))</f>
        <v>reg</v>
      </c>
      <c r="CY441" t="s">
        <v>1281</v>
      </c>
      <c r="CZ441">
        <v>2010</v>
      </c>
      <c r="DA441" s="143">
        <v>2060</v>
      </c>
      <c r="DB441" s="143">
        <f>DA441-CZ441</f>
        <v>50</v>
      </c>
      <c r="DC441" t="str">
        <f>IF(DB441=0,"0",IF(AND(DB441&gt;=1,DB441&lt;=30),"1-30",IF(AND(DB441&gt;30,DB441&lt;=70),"31-70",IF(AND(DB441&gt;70,DB441&lt;=100),"71-100",IF(DB441&gt;100,"+100")))))</f>
        <v>31-70</v>
      </c>
      <c r="DD441">
        <v>1</v>
      </c>
      <c r="DE441">
        <v>0</v>
      </c>
      <c r="DF441">
        <v>0</v>
      </c>
      <c r="DG441">
        <v>0</v>
      </c>
      <c r="DH441"/>
      <c r="DI441">
        <f>SUM(DD441:DG441)</f>
        <v>1</v>
      </c>
      <c r="DJ441" t="str">
        <f>IF(DI441=1,INDEX($DD$7:$DG$7,MATCH(1,$DD441:$DG441,0)),"mixedProduct")</f>
        <v>UpstreamInput</v>
      </c>
      <c r="DK441" t="str">
        <f>IF(DD441=1,DK$7,0)</f>
        <v>Upstream</v>
      </c>
      <c r="DL441">
        <f>IF(DE441=1,DL$7,0)</f>
        <v>0</v>
      </c>
      <c r="DM441">
        <f>IF(DF441=1,DM$7,0)</f>
        <v>0</v>
      </c>
      <c r="DN441">
        <f>IF(DG441=1,DN$7,0)</f>
        <v>0</v>
      </c>
      <c r="DO441" s="143">
        <v>1</v>
      </c>
      <c r="DP441">
        <v>0</v>
      </c>
      <c r="DQ441" s="143">
        <v>0</v>
      </c>
      <c r="DR441" s="143">
        <v>0</v>
      </c>
      <c r="DS441" s="143" t="s">
        <v>1282</v>
      </c>
      <c r="DT441">
        <f>SUM(DO441:DP441)</f>
        <v>1</v>
      </c>
      <c r="DU441" s="143" t="str">
        <f>IF(DO441=1,"self-calculated DF",IF(DP441=1,"external DF used","explicit C balance"))</f>
        <v>self-calculated DF</v>
      </c>
      <c r="DV441" s="143">
        <v>0</v>
      </c>
      <c r="DW441">
        <v>1</v>
      </c>
      <c r="DX441" s="143">
        <v>1</v>
      </c>
      <c r="DY441" s="143">
        <v>0</v>
      </c>
      <c r="DZ441">
        <v>0</v>
      </c>
      <c r="EA441">
        <v>0</v>
      </c>
      <c r="EB441" s="143">
        <v>0</v>
      </c>
      <c r="EC441">
        <v>0</v>
      </c>
      <c r="ED441" s="143">
        <v>0</v>
      </c>
      <c r="EE441">
        <v>0</v>
      </c>
      <c r="EF441">
        <v>1</v>
      </c>
      <c r="EG441" s="143">
        <v>0</v>
      </c>
      <c r="EH441">
        <v>0</v>
      </c>
      <c r="EI441" s="2">
        <v>0</v>
      </c>
      <c r="EJ441" s="1"/>
      <c r="EK441" t="str">
        <f>IF(AND(AND(AND(OR($DX441=1,$DW441=1),OR($EC441=1,$EA441=1)),SUM($DV441:$DZ441,$EF441)&gt;=4),SUM($EA441:$EE441)&gt;=2),"Whole sector","")</f>
        <v/>
      </c>
      <c r="EL441" t="str">
        <f>IF(AND(AND(OR($DX441=1,$DW441=1),AND($EC441=0,$EA441=0)),SUM($DV441:$DZ441,$EF441)&gt;=4),"Ecosystem approach","")</f>
        <v/>
      </c>
      <c r="EM441" s="2" t="str">
        <f>IF(AND(AND(AND($DX441=0,$DW441=0),OR($EC441=1,$EA441=1)),SUM($EB441:$EE441)&gt;=2),"Technology approach","")</f>
        <v/>
      </c>
      <c r="EN441" t="s">
        <v>1283</v>
      </c>
      <c r="EO441"/>
      <c r="EP441" t="str">
        <f>IF(ISNUMBER(BU441),IF(ABS(BU441-[2]QC_indicators!$B$2)&gt;3*[2]QC_indicators!$C$2,"C ratio",IF(ISNUMBER(BY441),IF(ABS(BY441-[2]QC_indicators!$B$1)&gt;3*[2]QC_indicators!$C$1,"DF","no"))),IF(ISNUMBER(BY441),IF(ABS(BY441-[2]QC_indicators!$B$1)&gt;3*[2]QC_indicators!$C$1,"DF","no")))</f>
        <v>no</v>
      </c>
      <c r="EQ441" t="s">
        <v>286</v>
      </c>
      <c r="ER441" t="s">
        <v>1284</v>
      </c>
      <c r="ES441"/>
      <c r="ET441" s="264" t="s">
        <v>3273</v>
      </c>
      <c r="EU441"/>
    </row>
    <row r="442" spans="1:151" s="139" customFormat="1" ht="15" customHeight="1">
      <c r="A442" s="1" t="s">
        <v>1636</v>
      </c>
      <c r="B442" t="s">
        <v>1637</v>
      </c>
      <c r="C442" t="s">
        <v>1638</v>
      </c>
      <c r="D442" t="s">
        <v>1639</v>
      </c>
      <c r="E442" t="s">
        <v>1640</v>
      </c>
      <c r="F442" t="s">
        <v>1641</v>
      </c>
      <c r="G442" t="s">
        <v>1642</v>
      </c>
      <c r="H442" t="s">
        <v>254</v>
      </c>
      <c r="I442">
        <v>2022</v>
      </c>
      <c r="J442">
        <v>0</v>
      </c>
      <c r="K442" t="s">
        <v>1643</v>
      </c>
      <c r="L442"/>
      <c r="M442" t="str">
        <f>LEFT($D442,FIND(",",$D442)-1)&amp;"_"&amp;I442&amp;L442</f>
        <v>Gregor_2022</v>
      </c>
      <c r="N442" t="s">
        <v>222</v>
      </c>
      <c r="O442" s="161" t="s">
        <v>223</v>
      </c>
      <c r="P442"/>
      <c r="Q442" s="264" t="s">
        <v>389</v>
      </c>
      <c r="R442" s="269" t="s">
        <v>1154</v>
      </c>
      <c r="S442" s="154" t="s">
        <v>1644</v>
      </c>
      <c r="T442" s="294" t="s">
        <v>1646</v>
      </c>
      <c r="U442" s="264" t="s">
        <v>1653</v>
      </c>
      <c r="V442">
        <v>0</v>
      </c>
      <c r="W442">
        <v>0</v>
      </c>
      <c r="X442">
        <v>0</v>
      </c>
      <c r="Y442">
        <v>0</v>
      </c>
      <c r="Z442">
        <v>1</v>
      </c>
      <c r="AA442">
        <v>0</v>
      </c>
      <c r="AB442">
        <v>0</v>
      </c>
      <c r="AC442">
        <v>0</v>
      </c>
      <c r="AD442">
        <v>0</v>
      </c>
      <c r="AE442">
        <v>0</v>
      </c>
      <c r="AF442">
        <v>2</v>
      </c>
      <c r="AG442">
        <v>0</v>
      </c>
      <c r="AH442">
        <v>0</v>
      </c>
      <c r="AI442">
        <v>0</v>
      </c>
      <c r="AJ442">
        <v>0</v>
      </c>
      <c r="AK442">
        <v>0</v>
      </c>
      <c r="AL442">
        <v>0</v>
      </c>
      <c r="AM442">
        <v>0</v>
      </c>
      <c r="AN442">
        <v>2</v>
      </c>
      <c r="AO442">
        <v>2</v>
      </c>
      <c r="AP442">
        <v>2</v>
      </c>
      <c r="AQ442">
        <v>2</v>
      </c>
      <c r="AR442">
        <v>0</v>
      </c>
      <c r="AS442">
        <v>0</v>
      </c>
      <c r="AT442">
        <v>0</v>
      </c>
      <c r="AU442">
        <v>0</v>
      </c>
      <c r="AV442">
        <v>0</v>
      </c>
      <c r="AW442">
        <v>0</v>
      </c>
      <c r="AX442" s="141">
        <f>COUNTIF(V442:AW442,"&lt;&gt;0")</f>
        <v>6</v>
      </c>
      <c r="AY442" s="141">
        <f>COUNTIF(V442:AL442,"&lt;&gt;0")</f>
        <v>2</v>
      </c>
      <c r="AZ442">
        <f>COUNTIF(V442:AC442,"&lt;&gt;0")</f>
        <v>1</v>
      </c>
      <c r="BA442">
        <f>COUNTIF(AD442:AI442,"&lt;&gt;0")</f>
        <v>1</v>
      </c>
      <c r="BB442">
        <f>COUNTIF(AJ442:AL442,"&lt;&gt;0")</f>
        <v>0</v>
      </c>
      <c r="BC442">
        <f>COUNTIF(AS442:AW442,"&lt;&gt;0")</f>
        <v>0</v>
      </c>
      <c r="BD442">
        <f>COUNTIF(AM442:AR442,"&lt;&gt;0")</f>
        <v>4</v>
      </c>
      <c r="BE442" t="str" cm="1">
        <f t="array" ref="BE442">IF(AY442=1,INDEX($V$7:$AL$7,MATCH(TRUE,INDEX($V442:$AW442&lt;&gt;0,),0)),IF(AY442=0,INDEX($AM$7:$AW$7,MATCH(1,$AM442:$AW442,0)),IF(BF442="Multiple strategies","mixed drivers",IF(BF442="Supply chain","multiple supply","multiple silviculture"))))</f>
        <v>mixed drivers</v>
      </c>
      <c r="BF442" s="2" t="str" cm="1">
        <f t="array" ref="BF442">IF(COUNTIF(AZ442:BB442,"&lt;&gt;0")=1,INDEX($V$4:$AW$4,MATCH(TRUE,INDEX($V442:$AW442&lt;&gt;0,),0)),IF(COUNTIF(AZ442:BB442,"&lt;&gt;0")=0,INDEX($AM$4:$AW$4,MATCH(1,$AM442:$AW442,0)),"Multiple strategies"))</f>
        <v>Multiple strategies</v>
      </c>
      <c r="BG442" s="1" t="s">
        <v>321</v>
      </c>
      <c r="BH442" s="264" t="s">
        <v>1647</v>
      </c>
      <c r="BI442" s="264" t="s">
        <v>688</v>
      </c>
      <c r="BJ442" s="264" t="s">
        <v>1648</v>
      </c>
      <c r="BK442">
        <f>2.99*(2115-2020)</f>
        <v>284.05</v>
      </c>
      <c r="BL442">
        <f>3.2*(2115-2020)</f>
        <v>304</v>
      </c>
      <c r="BM442"/>
      <c r="BN442">
        <f>BL442-BK442</f>
        <v>19.949999999999989</v>
      </c>
      <c r="BO442">
        <f>BL442-BK442</f>
        <v>19.949999999999989</v>
      </c>
      <c r="BP442" s="264" t="s">
        <v>232</v>
      </c>
      <c r="BQ442" s="264" t="s">
        <v>1649</v>
      </c>
      <c r="BR442" s="264" t="s">
        <v>1650</v>
      </c>
      <c r="BS442" s="264">
        <f>1.7*10000</f>
        <v>17000</v>
      </c>
      <c r="BT442" s="264">
        <f>1.7*10000</f>
        <v>17000</v>
      </c>
      <c r="BU442"/>
      <c r="BV442">
        <f>BT442-BS442</f>
        <v>0</v>
      </c>
      <c r="BW442"/>
      <c r="BX442">
        <f>BV442/1000*C_to_CO2</f>
        <v>0</v>
      </c>
      <c r="BY442">
        <f>IFERROR(BX442/BO442,"")</f>
        <v>0</v>
      </c>
      <c r="BZ442">
        <v>0</v>
      </c>
      <c r="CA442">
        <v>0</v>
      </c>
      <c r="CB442">
        <v>0</v>
      </c>
      <c r="CC442">
        <v>0</v>
      </c>
      <c r="CD442">
        <v>0</v>
      </c>
      <c r="CE442">
        <v>0</v>
      </c>
      <c r="CF442">
        <v>0</v>
      </c>
      <c r="CG442">
        <v>0</v>
      </c>
      <c r="CH442">
        <v>0</v>
      </c>
      <c r="CI442">
        <v>0</v>
      </c>
      <c r="CJ442">
        <v>0</v>
      </c>
      <c r="CK442">
        <v>0</v>
      </c>
      <c r="CL442">
        <v>0</v>
      </c>
      <c r="CM442">
        <v>0</v>
      </c>
      <c r="CN442" t="str">
        <f>IF($BL442&lt;$BK442,"refNeedCorrection","refOK")</f>
        <v>refOK</v>
      </c>
      <c r="CO442">
        <f>IF($CN442="refOK",$BK442,$BL442)</f>
        <v>284.05</v>
      </c>
      <c r="CP442">
        <f>IF($CN442="refOK",$BL442,$BK442)</f>
        <v>304</v>
      </c>
      <c r="CQ442">
        <f>IF($CN442="refOK",$BO442,-$BO442)</f>
        <v>19.949999999999989</v>
      </c>
      <c r="CR442">
        <f>IF($CN442="refOK",$BS442,$BT442)*IF($BP442="Emissions positive",-1,1)</f>
        <v>17000</v>
      </c>
      <c r="CS442">
        <f>IF($CN442="refOK",$BT442,$BS442)*IF($BP442="Emissions positive",-1,1)</f>
        <v>17000</v>
      </c>
      <c r="CT442">
        <f>IF($CN442="refNeedCorrection",-BX442,BX442)*IF($BP442="Emissions positive",-1,1)</f>
        <v>0</v>
      </c>
      <c r="CU442">
        <f>IFERROR(CT442/CQ442,"")</f>
        <v>0</v>
      </c>
      <c r="CV442" s="2">
        <f>IFERROR((CS442-CR442)/ABS(CR442),"")</f>
        <v>0</v>
      </c>
      <c r="CW442" s="162" t="s">
        <v>1462</v>
      </c>
      <c r="CX442" s="264" t="str">
        <f>IF(OR($CW442="prd",$CW442="std",$CW442="cit"),"loc",IF(OR($CW442="eur",$CW442="reg",$CW442="coy"),"reg",$CW442))</f>
        <v>reg</v>
      </c>
      <c r="CY442" s="155" t="s">
        <v>743</v>
      </c>
      <c r="CZ442">
        <v>2010</v>
      </c>
      <c r="DA442">
        <v>2115</v>
      </c>
      <c r="DB442">
        <f>DA442-CZ442</f>
        <v>105</v>
      </c>
      <c r="DC442" t="str">
        <f>IF(DB442=0,"0",IF(AND(DB442&gt;=1,DB442&lt;=30),"1-30",IF(AND(DB442&gt;30,DB442&lt;=70),"31-70",IF(AND(DB442&gt;70,DB442&lt;=100),"71-100",IF(DB442&gt;100,"+100")))))</f>
        <v>+100</v>
      </c>
      <c r="DD442">
        <v>0</v>
      </c>
      <c r="DE442">
        <v>1</v>
      </c>
      <c r="DF442">
        <v>1</v>
      </c>
      <c r="DG442">
        <v>1</v>
      </c>
      <c r="DH442">
        <v>0</v>
      </c>
      <c r="DI442">
        <f>SUM(DD442:DG442)</f>
        <v>3</v>
      </c>
      <c r="DJ442" t="str">
        <f>IF(DI442=1,INDEX($DD$7:$DG$7,MATCH(1,$DD442:$DG442,0)),"mixedProduct")</f>
        <v>mixedProduct</v>
      </c>
      <c r="DK442">
        <f>IF(DD442=1,DK$7,0)</f>
        <v>0</v>
      </c>
      <c r="DL442" t="str">
        <f>IF(DE442=1,DL$7,0)</f>
        <v>Energy</v>
      </c>
      <c r="DM442" t="str">
        <f>IF(DF442=1,DM$7,0)</f>
        <v>Pulp/Paper</v>
      </c>
      <c r="DN442" t="str">
        <f>IF(DG442=1,DN$7,0)</f>
        <v>Timber</v>
      </c>
      <c r="DO442">
        <v>0</v>
      </c>
      <c r="DP442">
        <v>1</v>
      </c>
      <c r="DQ442" s="264" t="s">
        <v>1651</v>
      </c>
      <c r="DR442" s="264" t="s">
        <v>1651</v>
      </c>
      <c r="DS442" s="264" t="s">
        <v>1651</v>
      </c>
      <c r="DT442">
        <f>SUM(DO442:DP442)</f>
        <v>1</v>
      </c>
      <c r="DU442" s="143" t="str">
        <f>IF(DO442=1,"self-calculated DF",IF(DP442=1,"external DF used","explicit C balance"))</f>
        <v>external DF used</v>
      </c>
      <c r="DV442">
        <v>1</v>
      </c>
      <c r="DW442">
        <v>1</v>
      </c>
      <c r="DX442">
        <v>1</v>
      </c>
      <c r="DY442">
        <v>1</v>
      </c>
      <c r="DZ442">
        <v>1</v>
      </c>
      <c r="EA442">
        <v>1</v>
      </c>
      <c r="EB442">
        <v>1</v>
      </c>
      <c r="EC442">
        <v>1</v>
      </c>
      <c r="ED442">
        <v>0</v>
      </c>
      <c r="EE442">
        <v>0</v>
      </c>
      <c r="EF442">
        <v>1</v>
      </c>
      <c r="EG442">
        <v>0</v>
      </c>
      <c r="EH442">
        <v>1</v>
      </c>
      <c r="EI442" s="2">
        <v>0</v>
      </c>
      <c r="EJ442" s="1"/>
      <c r="EK442" t="str">
        <f>IF(AND(AND(AND(OR($DX442=1,$DW442=1),OR($EC442=1,$EA442=1)),SUM($DV442:$DZ442,$EF442)&gt;=4),SUM($EA442:$EE442)&gt;=2),"Whole sector","")</f>
        <v>Whole sector</v>
      </c>
      <c r="EL442" t="str">
        <f>IF(AND(AND(OR($DX442=1,$DW442=1),AND($EC442=0,$EA442=0)),SUM($DV442:$DZ442,$EF442)&gt;=4),"Ecosystem approach","")</f>
        <v/>
      </c>
      <c r="EM442" s="2" t="str">
        <f>IF(AND(AND(AND($DX442=0,$DW442=0),OR($EC442=1,$EA442=1)),SUM($EB442:$EE442)&gt;=2),"Technology approach","")</f>
        <v/>
      </c>
      <c r="EN442"/>
      <c r="EO442"/>
      <c r="EP442" t="str">
        <f>IF(ISNUMBER(BU442),IF(ABS(BU442-[3]QC_indicators!$B$2)&gt;3*[3]QC_indicators!$C$2,"C ratio",IF(ISNUMBER(BY442),IF(ABS(BY442-[3]QC_indicators!$B$1)&gt;3*[3]QC_indicators!$C$1,"DF","no"))),IF(ISNUMBER(BY442),IF(ABS(BY442-[3]QC_indicators!$B$1)&gt;3*[3]QC_indicators!$C$1,"DF","no")))</f>
        <v>no</v>
      </c>
      <c r="EQ442"/>
      <c r="ER442"/>
      <c r="ES442"/>
      <c r="ET442" s="264" t="s">
        <v>3407</v>
      </c>
      <c r="EU442"/>
    </row>
    <row r="443" spans="1:151" s="139" customFormat="1" ht="15" customHeight="1">
      <c r="A443" s="1" t="s">
        <v>1957</v>
      </c>
      <c r="B443" t="s">
        <v>1958</v>
      </c>
      <c r="C443" t="s">
        <v>1959</v>
      </c>
      <c r="D443" t="s">
        <v>1960</v>
      </c>
      <c r="E443" t="s">
        <v>1961</v>
      </c>
      <c r="F443" t="s">
        <v>1962</v>
      </c>
      <c r="G443" t="s">
        <v>1963</v>
      </c>
      <c r="H443" t="s">
        <v>254</v>
      </c>
      <c r="I443">
        <v>2020</v>
      </c>
      <c r="J443">
        <v>5</v>
      </c>
      <c r="K443" t="s">
        <v>1964</v>
      </c>
      <c r="L443"/>
      <c r="M443" t="str">
        <f>LEFT($D443,FIND(",",$D443)-1)&amp;"_"&amp;I443&amp;L443</f>
        <v>Lundholm_2020</v>
      </c>
      <c r="N443" t="s">
        <v>222</v>
      </c>
      <c r="O443" s="145" t="s">
        <v>225</v>
      </c>
      <c r="P443"/>
      <c r="Q443" s="264" t="s">
        <v>256</v>
      </c>
      <c r="R443" s="269" t="s">
        <v>1154</v>
      </c>
      <c r="S443" s="1" t="s">
        <v>1965</v>
      </c>
      <c r="T443" t="s">
        <v>1111</v>
      </c>
      <c r="U443" s="143" t="s">
        <v>1966</v>
      </c>
      <c r="V443">
        <v>0</v>
      </c>
      <c r="W443">
        <v>0</v>
      </c>
      <c r="X443">
        <v>0</v>
      </c>
      <c r="Y443">
        <v>2</v>
      </c>
      <c r="Z443">
        <v>0</v>
      </c>
      <c r="AA443">
        <v>0</v>
      </c>
      <c r="AB443">
        <v>0</v>
      </c>
      <c r="AC443">
        <v>0</v>
      </c>
      <c r="AD443">
        <v>0</v>
      </c>
      <c r="AE443">
        <v>0</v>
      </c>
      <c r="AF443">
        <v>0</v>
      </c>
      <c r="AG443">
        <v>0</v>
      </c>
      <c r="AH443">
        <v>0</v>
      </c>
      <c r="AI443">
        <v>0</v>
      </c>
      <c r="AJ443">
        <v>0</v>
      </c>
      <c r="AK443">
        <v>0</v>
      </c>
      <c r="AL443">
        <v>0</v>
      </c>
      <c r="AM443">
        <v>0</v>
      </c>
      <c r="AN443">
        <v>1</v>
      </c>
      <c r="AO443">
        <v>0</v>
      </c>
      <c r="AP443">
        <v>0</v>
      </c>
      <c r="AQ443">
        <v>2</v>
      </c>
      <c r="AR443">
        <v>0</v>
      </c>
      <c r="AS443">
        <v>0</v>
      </c>
      <c r="AT443">
        <v>0</v>
      </c>
      <c r="AU443">
        <v>2</v>
      </c>
      <c r="AV443">
        <v>0</v>
      </c>
      <c r="AW443">
        <v>0</v>
      </c>
      <c r="AX443" s="141">
        <f>COUNTIF(V443:AW443,"&lt;&gt;0")</f>
        <v>4</v>
      </c>
      <c r="AY443" s="141">
        <f>COUNTIF(V443:AL443,"&lt;&gt;0")</f>
        <v>1</v>
      </c>
      <c r="AZ443">
        <f>COUNTIF(V443:AC443,"&lt;&gt;0")</f>
        <v>1</v>
      </c>
      <c r="BA443">
        <f>COUNTIF(AD443:AI443,"&lt;&gt;0")</f>
        <v>0</v>
      </c>
      <c r="BB443">
        <f>COUNTIF(AJ443:AL443,"&lt;&gt;0")</f>
        <v>0</v>
      </c>
      <c r="BC443">
        <f>COUNTIF(AS443:AW443,"&lt;&gt;0")</f>
        <v>1</v>
      </c>
      <c r="BD443">
        <f>COUNTIF(AM443:AR443,"&lt;&gt;0")</f>
        <v>2</v>
      </c>
      <c r="BE443" t="str" cm="1">
        <f t="array" ref="BE443">IF(AY443=1,INDEX($V$7:$AL$7,MATCH(TRUE,INDEX($V443:$AW443&lt;&gt;0,),0)),IF(AY443=0,INDEX($AM$7:$AW$7,MATCH(1,$AM443:$AW443,0)),IF(BF443="Multiple strategies","mixed drivers",IF(BF443="Supply chain","multiple supply","multiple silviculture"))))</f>
        <v xml:space="preserve">cutting intensity </v>
      </c>
      <c r="BF443" s="2" t="str" cm="1">
        <f t="array" ref="BF443">IF(COUNTIF(AZ443:BB443,"&lt;&gt;0")=1,INDEX($V$4:$AW$4,MATCH(TRUE,INDEX($V443:$AW443&lt;&gt;0,),0)),IF(COUNTIF(AZ443:BB443,"&lt;&gt;0")=0,INDEX($AM$4:$AW$4,MATCH(1,$AM443:$AW443,0)),"Multiple strategies"))</f>
        <v>Silviculture for removals</v>
      </c>
      <c r="BG443" s="142" t="s">
        <v>321</v>
      </c>
      <c r="BH443" t="s">
        <v>1434</v>
      </c>
      <c r="BI443"/>
      <c r="BJ443" s="143" t="s">
        <v>498</v>
      </c>
      <c r="BK443">
        <v>32797</v>
      </c>
      <c r="BL443" s="143">
        <v>42789</v>
      </c>
      <c r="BM443" s="163">
        <f>BL443/BK443</f>
        <v>1.3046620117693692</v>
      </c>
      <c r="BN443">
        <f>BL443-BK443</f>
        <v>9992</v>
      </c>
      <c r="BO443" s="159">
        <f>BN443</f>
        <v>9992</v>
      </c>
      <c r="BP443" t="s">
        <v>232</v>
      </c>
      <c r="BQ443"/>
      <c r="BR443" t="s">
        <v>1967</v>
      </c>
      <c r="BS443" s="143">
        <v>21.5</v>
      </c>
      <c r="BT443">
        <v>9.9</v>
      </c>
      <c r="BU443" s="144">
        <f>IFERROR(BT443/BS443,"")</f>
        <v>0.46046511627906977</v>
      </c>
      <c r="BV443">
        <f>BT443-BS443</f>
        <v>-11.6</v>
      </c>
      <c r="BW443"/>
      <c r="BX443"/>
      <c r="BY443">
        <f>IFERROR(BX443/BO443,"")</f>
        <v>0</v>
      </c>
      <c r="BZ443">
        <v>0</v>
      </c>
      <c r="CA443">
        <v>0</v>
      </c>
      <c r="CB443">
        <v>0</v>
      </c>
      <c r="CC443">
        <v>0</v>
      </c>
      <c r="CD443">
        <v>0</v>
      </c>
      <c r="CE443">
        <v>0</v>
      </c>
      <c r="CF443">
        <v>0</v>
      </c>
      <c r="CG443">
        <v>0</v>
      </c>
      <c r="CH443">
        <v>0</v>
      </c>
      <c r="CI443">
        <v>0</v>
      </c>
      <c r="CJ443">
        <v>1</v>
      </c>
      <c r="CK443">
        <v>0</v>
      </c>
      <c r="CL443">
        <v>1</v>
      </c>
      <c r="CM443">
        <v>1</v>
      </c>
      <c r="CN443" t="str">
        <f>IF($BL443&lt;$BK443,"refNeedCorrection","refOK")</f>
        <v>refOK</v>
      </c>
      <c r="CO443">
        <f>IF($CN443="refNeedCorrection",BL443,BK443)</f>
        <v>32797</v>
      </c>
      <c r="CP443">
        <f>IF($CN443="refNeedCorrection",BK443,BL443)</f>
        <v>42789</v>
      </c>
      <c r="CQ443">
        <f>IF($CN443="refOK",$BO443,-$BO443)</f>
        <v>9992</v>
      </c>
      <c r="CR443">
        <f>IF($CN443="refOK",$BS443,$BT443)*IF($BP443="Emissions positive",-1,1)</f>
        <v>21.5</v>
      </c>
      <c r="CS443">
        <f>IF($CN443="refOK",$BT443,$BS443)*IF($BP443="Emissions positive",-1,1)</f>
        <v>9.9</v>
      </c>
      <c r="CT443">
        <f>IF($CN443="refNeedCorrection",-BX443,BX443)*IF($BP443="Emissions positive",-1,1)</f>
        <v>0</v>
      </c>
      <c r="CU443">
        <f>IFERROR(CT443/CQ443,"")</f>
        <v>0</v>
      </c>
      <c r="CV443" s="2">
        <f>IFERROR((CS443-CR443)/ABS(CR443),"")</f>
        <v>-0.53953488372093017</v>
      </c>
      <c r="CW443" s="1" t="s">
        <v>1199</v>
      </c>
      <c r="CX443" s="264" t="str">
        <f>IF(OR($CW443="prd",$CW443="std",$CW443="cit"),"loc",IF(OR($CW443="eur",$CW443="reg",$CW443="coy"),"reg",$CW443))</f>
        <v>reg</v>
      </c>
      <c r="CY443" t="s">
        <v>1968</v>
      </c>
      <c r="CZ443">
        <v>2021</v>
      </c>
      <c r="DA443" s="143">
        <v>2110</v>
      </c>
      <c r="DB443" s="143">
        <f>DA443-CZ443</f>
        <v>89</v>
      </c>
      <c r="DC443" t="str">
        <f>IF(DB443=0,"0",IF(AND(DB443&gt;=1,DB443&lt;=30),"1-30",IF(AND(DB443&gt;30,DB443&lt;=70),"31-70",IF(AND(DB443&gt;70,DB443&lt;=100),"71-100",IF(DB443&gt;100,"+100")))))</f>
        <v>71-100</v>
      </c>
      <c r="DD443">
        <v>0</v>
      </c>
      <c r="DE443">
        <v>1</v>
      </c>
      <c r="DF443">
        <v>1</v>
      </c>
      <c r="DG443">
        <v>1</v>
      </c>
      <c r="DH443"/>
      <c r="DI443">
        <f>SUM(DD443:DG443)</f>
        <v>3</v>
      </c>
      <c r="DJ443" t="str">
        <f>IF(DI443=1,INDEX($DD$7:$DG$7,MATCH(1,$DD443:$DG443,0)),"mixedProduct")</f>
        <v>mixedProduct</v>
      </c>
      <c r="DK443">
        <f>IF(DD443=1,DK$7,0)</f>
        <v>0</v>
      </c>
      <c r="DL443" t="str">
        <f>IF(DE443=1,DL$7,0)</f>
        <v>Energy</v>
      </c>
      <c r="DM443" t="str">
        <f>IF(DF443=1,DM$7,0)</f>
        <v>Pulp/Paper</v>
      </c>
      <c r="DN443" t="str">
        <f>IF(DG443=1,DN$7,0)</f>
        <v>Timber</v>
      </c>
      <c r="DO443">
        <v>0</v>
      </c>
      <c r="DP443" s="143">
        <v>1</v>
      </c>
      <c r="DQ443" t="s">
        <v>1969</v>
      </c>
      <c r="DR443" t="s">
        <v>1970</v>
      </c>
      <c r="DS443" s="143">
        <v>0</v>
      </c>
      <c r="DT443">
        <f>SUM(DO443:DP443)</f>
        <v>1</v>
      </c>
      <c r="DU443" s="143" t="str">
        <f>IF(DO443=1,"self-calculated DF",IF(DP443=1,"external DF used","explicit C balance"))</f>
        <v>external DF used</v>
      </c>
      <c r="DV443" s="143">
        <v>1</v>
      </c>
      <c r="DW443" s="143">
        <v>1</v>
      </c>
      <c r="DX443" s="143">
        <v>1</v>
      </c>
      <c r="DY443" s="143">
        <v>1</v>
      </c>
      <c r="DZ443">
        <v>1</v>
      </c>
      <c r="EA443" s="143">
        <v>1</v>
      </c>
      <c r="EB443" s="143">
        <v>0</v>
      </c>
      <c r="EC443" s="143">
        <v>0</v>
      </c>
      <c r="ED443" s="143">
        <v>0</v>
      </c>
      <c r="EE443">
        <v>0</v>
      </c>
      <c r="EF443">
        <v>1</v>
      </c>
      <c r="EG443" s="143">
        <v>0</v>
      </c>
      <c r="EH443">
        <v>0</v>
      </c>
      <c r="EI443" s="2">
        <v>0</v>
      </c>
      <c r="EJ443" s="1"/>
      <c r="EK443" t="str">
        <f>IF(AND(AND(AND(OR($DX443=1,$DW443=1),OR($EC443=1,$EA443=1)),SUM($DV443:$DZ443,$EF443)&gt;=4),SUM($EA443:$EE443)&gt;=2),"Whole sector","")</f>
        <v/>
      </c>
      <c r="EL443" t="str">
        <f>IF(AND(AND(OR($DX443=1,$DW443=1),AND($EC443=0,$EA443=0)),SUM($DV443:$DZ443,$EF443)&gt;=4),"Ecosystem approach","")</f>
        <v/>
      </c>
      <c r="EM443" s="2" t="str">
        <f>IF(AND(AND(AND($DX443=0,$DW443=0),OR($EC443=1,$EA443=1)),SUM($EB443:$EE443)&gt;=2),"Technology approach","")</f>
        <v/>
      </c>
      <c r="EN443"/>
      <c r="EO443"/>
      <c r="EP443" t="str">
        <f>IF(ISNUMBER(BU443),IF(ABS(BU443-[3]QC_indicators!$B$2)&gt;3*[3]QC_indicators!$C$2,"C ratio",IF(ISNUMBER(BY443),IF(ABS(BY443-[3]QC_indicators!$B$1)&gt;3*[3]QC_indicators!$C$1,"DF","no"))),IF(ISNUMBER(BY443),IF(ABS(BY443-[3]QC_indicators!$B$1)&gt;3*[3]QC_indicators!$C$1,"DF","no")))</f>
        <v>no</v>
      </c>
      <c r="EQ443"/>
      <c r="ER443"/>
      <c r="ES443"/>
      <c r="ET443" s="264" t="s">
        <v>3407</v>
      </c>
      <c r="EU443"/>
    </row>
    <row r="444" spans="1:151" s="139" customFormat="1" ht="15" customHeight="1">
      <c r="A444" s="1" t="s">
        <v>1957</v>
      </c>
      <c r="B444" t="s">
        <v>1958</v>
      </c>
      <c r="C444" t="s">
        <v>1959</v>
      </c>
      <c r="D444" t="s">
        <v>1960</v>
      </c>
      <c r="E444" t="s">
        <v>1961</v>
      </c>
      <c r="F444" t="s">
        <v>1962</v>
      </c>
      <c r="G444" t="s">
        <v>1963</v>
      </c>
      <c r="H444" t="s">
        <v>254</v>
      </c>
      <c r="I444">
        <v>2020</v>
      </c>
      <c r="J444">
        <v>5</v>
      </c>
      <c r="K444" t="s">
        <v>1964</v>
      </c>
      <c r="L444"/>
      <c r="M444" t="str">
        <f>LEFT($D444,FIND(",",$D444)-1)&amp;"_"&amp;I444&amp;L444</f>
        <v>Lundholm_2020</v>
      </c>
      <c r="N444" t="s">
        <v>222</v>
      </c>
      <c r="O444" s="145" t="s">
        <v>225</v>
      </c>
      <c r="P444"/>
      <c r="Q444" s="264" t="s">
        <v>256</v>
      </c>
      <c r="R444" s="269" t="s">
        <v>1154</v>
      </c>
      <c r="S444" s="1" t="s">
        <v>1965</v>
      </c>
      <c r="T444" t="s">
        <v>1111</v>
      </c>
      <c r="U444" s="143" t="s">
        <v>1966</v>
      </c>
      <c r="V444">
        <v>0</v>
      </c>
      <c r="W444">
        <v>0</v>
      </c>
      <c r="X444">
        <v>0</v>
      </c>
      <c r="Y444">
        <v>2</v>
      </c>
      <c r="Z444">
        <v>0</v>
      </c>
      <c r="AA444">
        <v>0</v>
      </c>
      <c r="AB444">
        <v>0</v>
      </c>
      <c r="AC444">
        <v>0</v>
      </c>
      <c r="AD444">
        <v>0</v>
      </c>
      <c r="AE444">
        <v>0</v>
      </c>
      <c r="AF444">
        <v>0</v>
      </c>
      <c r="AG444">
        <v>0</v>
      </c>
      <c r="AH444">
        <v>0</v>
      </c>
      <c r="AI444">
        <v>0</v>
      </c>
      <c r="AJ444">
        <v>0</v>
      </c>
      <c r="AK444">
        <v>0</v>
      </c>
      <c r="AL444">
        <v>0</v>
      </c>
      <c r="AM444">
        <v>0</v>
      </c>
      <c r="AN444">
        <v>1</v>
      </c>
      <c r="AO444">
        <v>0</v>
      </c>
      <c r="AP444">
        <v>0</v>
      </c>
      <c r="AQ444">
        <v>2</v>
      </c>
      <c r="AR444">
        <v>0</v>
      </c>
      <c r="AS444">
        <v>0</v>
      </c>
      <c r="AT444">
        <v>0</v>
      </c>
      <c r="AU444">
        <v>2</v>
      </c>
      <c r="AV444">
        <v>0</v>
      </c>
      <c r="AW444">
        <v>0</v>
      </c>
      <c r="AX444" s="141">
        <f>COUNTIF(V444:AW444,"&lt;&gt;0")</f>
        <v>4</v>
      </c>
      <c r="AY444" s="141">
        <f>COUNTIF(V444:AL444,"&lt;&gt;0")</f>
        <v>1</v>
      </c>
      <c r="AZ444">
        <f>COUNTIF(V444:AC444,"&lt;&gt;0")</f>
        <v>1</v>
      </c>
      <c r="BA444">
        <f>COUNTIF(AD444:AI444,"&lt;&gt;0")</f>
        <v>0</v>
      </c>
      <c r="BB444">
        <f>COUNTIF(AJ444:AL444,"&lt;&gt;0")</f>
        <v>0</v>
      </c>
      <c r="BC444">
        <f>COUNTIF(AS444:AW444,"&lt;&gt;0")</f>
        <v>1</v>
      </c>
      <c r="BD444">
        <f>COUNTIF(AM444:AR444,"&lt;&gt;0")</f>
        <v>2</v>
      </c>
      <c r="BE444" t="str" cm="1">
        <f t="array" ref="BE444">IF(AY444=1,INDEX($V$7:$AL$7,MATCH(TRUE,INDEX($V444:$AW444&lt;&gt;0,),0)),IF(AY444=0,INDEX($AM$7:$AW$7,MATCH(1,$AM444:$AW444,0)),IF(BF444="Multiple strategies","mixed drivers",IF(BF444="Supply chain","multiple supply","multiple silviculture"))))</f>
        <v xml:space="preserve">cutting intensity </v>
      </c>
      <c r="BF444" s="2" t="str" cm="1">
        <f t="array" ref="BF444">IF(COUNTIF(AZ444:BB444,"&lt;&gt;0")=1,INDEX($V$4:$AW$4,MATCH(TRUE,INDEX($V444:$AW444&lt;&gt;0,),0)),IF(COUNTIF(AZ444:BB444,"&lt;&gt;0")=0,INDEX($AM$4:$AW$4,MATCH(1,$AM444:$AW444,0)),"Multiple strategies"))</f>
        <v>Silviculture for removals</v>
      </c>
      <c r="BG444" s="142" t="s">
        <v>321</v>
      </c>
      <c r="BH444" t="s">
        <v>1434</v>
      </c>
      <c r="BI444"/>
      <c r="BJ444" s="143" t="s">
        <v>498</v>
      </c>
      <c r="BK444">
        <v>32797</v>
      </c>
      <c r="BL444" s="143">
        <v>45223</v>
      </c>
      <c r="BM444" s="163">
        <f>BL444/BK444</f>
        <v>1.3788761167179926</v>
      </c>
      <c r="BN444">
        <f>BL444-BK444</f>
        <v>12426</v>
      </c>
      <c r="BO444" s="159">
        <f>BN444</f>
        <v>12426</v>
      </c>
      <c r="BP444" t="s">
        <v>232</v>
      </c>
      <c r="BQ444"/>
      <c r="BR444" t="s">
        <v>1967</v>
      </c>
      <c r="BS444" s="143">
        <v>21.5</v>
      </c>
      <c r="BT444">
        <v>7.6</v>
      </c>
      <c r="BU444" s="144">
        <f>IFERROR(BT444/BS444,"")</f>
        <v>0.35348837209302325</v>
      </c>
      <c r="BV444">
        <f>BT444-BS444</f>
        <v>-13.9</v>
      </c>
      <c r="BW444"/>
      <c r="BX444"/>
      <c r="BY444">
        <f>IFERROR(BX444/BO444,"")</f>
        <v>0</v>
      </c>
      <c r="BZ444">
        <v>0</v>
      </c>
      <c r="CA444">
        <v>0</v>
      </c>
      <c r="CB444">
        <v>0</v>
      </c>
      <c r="CC444">
        <v>0</v>
      </c>
      <c r="CD444">
        <v>0</v>
      </c>
      <c r="CE444">
        <v>0</v>
      </c>
      <c r="CF444">
        <v>0</v>
      </c>
      <c r="CG444">
        <v>0</v>
      </c>
      <c r="CH444">
        <v>0</v>
      </c>
      <c r="CI444">
        <v>0</v>
      </c>
      <c r="CJ444">
        <v>1</v>
      </c>
      <c r="CK444">
        <v>0</v>
      </c>
      <c r="CL444">
        <v>1</v>
      </c>
      <c r="CM444">
        <v>1</v>
      </c>
      <c r="CN444" t="str">
        <f>IF($BL444&lt;$BK444,"refNeedCorrection","refOK")</f>
        <v>refOK</v>
      </c>
      <c r="CO444">
        <f>IF($CN444="refNeedCorrection",BL444,BK444)</f>
        <v>32797</v>
      </c>
      <c r="CP444">
        <f>IF($CN444="refNeedCorrection",BK444,BL444)</f>
        <v>45223</v>
      </c>
      <c r="CQ444">
        <f>IF($CN444="refOK",$BO444,-$BO444)</f>
        <v>12426</v>
      </c>
      <c r="CR444">
        <f>IF($CN444="refOK",$BS444,$BT444)*IF($BP444="Emissions positive",-1,1)</f>
        <v>21.5</v>
      </c>
      <c r="CS444">
        <f>IF($CN444="refOK",$BT444,$BS444)*IF($BP444="Emissions positive",-1,1)</f>
        <v>7.6</v>
      </c>
      <c r="CT444">
        <f>IF($CN444="refNeedCorrection",-BX444,BX444)*IF($BP444="Emissions positive",-1,1)</f>
        <v>0</v>
      </c>
      <c r="CU444">
        <f>IFERROR(CT444/CQ444,"")</f>
        <v>0</v>
      </c>
      <c r="CV444" s="2">
        <f>IFERROR((CS444-CR444)/ABS(CR444),"")</f>
        <v>-0.6465116279069768</v>
      </c>
      <c r="CW444" s="1" t="s">
        <v>1199</v>
      </c>
      <c r="CX444" s="264" t="str">
        <f>IF(OR($CW444="prd",$CW444="std",$CW444="cit"),"loc",IF(OR($CW444="eur",$CW444="reg",$CW444="coy"),"reg",$CW444))</f>
        <v>reg</v>
      </c>
      <c r="CY444" t="s">
        <v>1968</v>
      </c>
      <c r="CZ444">
        <v>2021</v>
      </c>
      <c r="DA444" s="143">
        <v>2110</v>
      </c>
      <c r="DB444" s="143">
        <f>DA444-CZ444</f>
        <v>89</v>
      </c>
      <c r="DC444" t="str">
        <f>IF(DB444=0,"0",IF(AND(DB444&gt;=1,DB444&lt;=30),"1-30",IF(AND(DB444&gt;30,DB444&lt;=70),"31-70",IF(AND(DB444&gt;70,DB444&lt;=100),"71-100",IF(DB444&gt;100,"+100")))))</f>
        <v>71-100</v>
      </c>
      <c r="DD444">
        <v>0</v>
      </c>
      <c r="DE444">
        <v>1</v>
      </c>
      <c r="DF444">
        <v>1</v>
      </c>
      <c r="DG444">
        <v>1</v>
      </c>
      <c r="DH444"/>
      <c r="DI444">
        <f>SUM(DD444:DG444)</f>
        <v>3</v>
      </c>
      <c r="DJ444" t="str">
        <f>IF(DI444=1,INDEX($DD$7:$DG$7,MATCH(1,$DD444:$DG444,0)),"mixedProduct")</f>
        <v>mixedProduct</v>
      </c>
      <c r="DK444">
        <f>IF(DD444=1,DK$7,0)</f>
        <v>0</v>
      </c>
      <c r="DL444" t="str">
        <f>IF(DE444=1,DL$7,0)</f>
        <v>Energy</v>
      </c>
      <c r="DM444" t="str">
        <f>IF(DF444=1,DM$7,0)</f>
        <v>Pulp/Paper</v>
      </c>
      <c r="DN444" t="str">
        <f>IF(DG444=1,DN$7,0)</f>
        <v>Timber</v>
      </c>
      <c r="DO444">
        <v>0</v>
      </c>
      <c r="DP444" s="143">
        <v>1</v>
      </c>
      <c r="DQ444" t="s">
        <v>1969</v>
      </c>
      <c r="DR444" t="s">
        <v>1970</v>
      </c>
      <c r="DS444" s="143">
        <v>0</v>
      </c>
      <c r="DT444">
        <f>SUM(DO444:DP444)</f>
        <v>1</v>
      </c>
      <c r="DU444" s="143" t="str">
        <f>IF(DO444=1,"self-calculated DF",IF(DP444=1,"external DF used","explicit C balance"))</f>
        <v>external DF used</v>
      </c>
      <c r="DV444" s="143">
        <v>1</v>
      </c>
      <c r="DW444" s="143">
        <v>1</v>
      </c>
      <c r="DX444" s="143">
        <v>1</v>
      </c>
      <c r="DY444" s="143">
        <v>1</v>
      </c>
      <c r="DZ444">
        <v>1</v>
      </c>
      <c r="EA444" s="143">
        <v>1</v>
      </c>
      <c r="EB444" s="143">
        <v>0</v>
      </c>
      <c r="EC444" s="143">
        <v>0</v>
      </c>
      <c r="ED444" s="143">
        <v>0</v>
      </c>
      <c r="EE444">
        <v>0</v>
      </c>
      <c r="EF444">
        <v>1</v>
      </c>
      <c r="EG444" s="143">
        <v>0</v>
      </c>
      <c r="EH444">
        <v>0</v>
      </c>
      <c r="EI444" s="2">
        <v>0</v>
      </c>
      <c r="EJ444" s="1"/>
      <c r="EK444" t="str">
        <f>IF(AND(AND(AND(OR($DX444=1,$DW444=1),OR($EC444=1,$EA444=1)),SUM($DV444:$DZ444,$EF444)&gt;=4),SUM($EA444:$EE444)&gt;=2),"Whole sector","")</f>
        <v/>
      </c>
      <c r="EL444" t="str">
        <f>IF(AND(AND(OR($DX444=1,$DW444=1),AND($EC444=0,$EA444=0)),SUM($DV444:$DZ444,$EF444)&gt;=4),"Ecosystem approach","")</f>
        <v/>
      </c>
      <c r="EM444" s="2" t="str">
        <f>IF(AND(AND(AND($DX444=0,$DW444=0),OR($EC444=1,$EA444=1)),SUM($EB444:$EE444)&gt;=2),"Technology approach","")</f>
        <v/>
      </c>
      <c r="EN444"/>
      <c r="EO444"/>
      <c r="EP444" t="str">
        <f>IF(ISNUMBER(BU444),IF(ABS(BU444-[3]QC_indicators!$B$2)&gt;3*[3]QC_indicators!$C$2,"C ratio",IF(ISNUMBER(BY444),IF(ABS(BY444-[3]QC_indicators!$B$1)&gt;3*[3]QC_indicators!$C$1,"DF","no"))),IF(ISNUMBER(BY444),IF(ABS(BY444-[3]QC_indicators!$B$1)&gt;3*[3]QC_indicators!$C$1,"DF","no")))</f>
        <v>no</v>
      </c>
      <c r="EQ444"/>
      <c r="ER444"/>
      <c r="ES444"/>
      <c r="ET444" s="264" t="s">
        <v>3407</v>
      </c>
      <c r="EU444"/>
    </row>
    <row r="445" spans="1:151" s="139" customFormat="1" ht="15" customHeight="1">
      <c r="A445" s="1" t="s">
        <v>1957</v>
      </c>
      <c r="B445" t="s">
        <v>1958</v>
      </c>
      <c r="C445" t="s">
        <v>1959</v>
      </c>
      <c r="D445" t="s">
        <v>1960</v>
      </c>
      <c r="E445" t="s">
        <v>1961</v>
      </c>
      <c r="F445" t="s">
        <v>1962</v>
      </c>
      <c r="G445" t="s">
        <v>1963</v>
      </c>
      <c r="H445" t="s">
        <v>254</v>
      </c>
      <c r="I445">
        <v>2020</v>
      </c>
      <c r="J445">
        <v>5</v>
      </c>
      <c r="K445" t="s">
        <v>1964</v>
      </c>
      <c r="L445"/>
      <c r="M445" t="str">
        <f>LEFT($D445,FIND(",",$D445)-1)&amp;"_"&amp;I445&amp;L445</f>
        <v>Lundholm_2020</v>
      </c>
      <c r="N445" t="s">
        <v>222</v>
      </c>
      <c r="O445" s="145" t="s">
        <v>225</v>
      </c>
      <c r="P445"/>
      <c r="Q445" s="264" t="s">
        <v>256</v>
      </c>
      <c r="R445" s="269" t="s">
        <v>1154</v>
      </c>
      <c r="S445" s="1" t="s">
        <v>1965</v>
      </c>
      <c r="T445" t="s">
        <v>1111</v>
      </c>
      <c r="U445" s="143" t="s">
        <v>1971</v>
      </c>
      <c r="V445">
        <v>0</v>
      </c>
      <c r="W445">
        <v>0</v>
      </c>
      <c r="X445">
        <v>0</v>
      </c>
      <c r="Y445">
        <v>2</v>
      </c>
      <c r="Z445">
        <v>0</v>
      </c>
      <c r="AA445">
        <v>0</v>
      </c>
      <c r="AB445">
        <v>0</v>
      </c>
      <c r="AC445">
        <v>0</v>
      </c>
      <c r="AD445">
        <v>0</v>
      </c>
      <c r="AE445">
        <v>0</v>
      </c>
      <c r="AF445">
        <v>0</v>
      </c>
      <c r="AG445">
        <v>0</v>
      </c>
      <c r="AH445">
        <v>0</v>
      </c>
      <c r="AI445">
        <v>0</v>
      </c>
      <c r="AJ445">
        <v>0</v>
      </c>
      <c r="AK445">
        <v>0</v>
      </c>
      <c r="AL445">
        <v>0</v>
      </c>
      <c r="AM445">
        <v>0</v>
      </c>
      <c r="AN445">
        <v>1</v>
      </c>
      <c r="AO445">
        <v>0</v>
      </c>
      <c r="AP445">
        <v>0</v>
      </c>
      <c r="AQ445">
        <v>2</v>
      </c>
      <c r="AR445">
        <v>0</v>
      </c>
      <c r="AS445">
        <v>0</v>
      </c>
      <c r="AT445">
        <v>0</v>
      </c>
      <c r="AU445">
        <v>2</v>
      </c>
      <c r="AV445">
        <v>0</v>
      </c>
      <c r="AW445">
        <v>0</v>
      </c>
      <c r="AX445" s="141">
        <f>COUNTIF(V445:AW445,"&lt;&gt;0")</f>
        <v>4</v>
      </c>
      <c r="AY445" s="141">
        <f>COUNTIF(V445:AL445,"&lt;&gt;0")</f>
        <v>1</v>
      </c>
      <c r="AZ445">
        <f>COUNTIF(V445:AC445,"&lt;&gt;0")</f>
        <v>1</v>
      </c>
      <c r="BA445">
        <f>COUNTIF(AD445:AI445,"&lt;&gt;0")</f>
        <v>0</v>
      </c>
      <c r="BB445">
        <f>COUNTIF(AJ445:AL445,"&lt;&gt;0")</f>
        <v>0</v>
      </c>
      <c r="BC445">
        <f>COUNTIF(AS445:AW445,"&lt;&gt;0")</f>
        <v>1</v>
      </c>
      <c r="BD445">
        <f>COUNTIF(AM445:AR445,"&lt;&gt;0")</f>
        <v>2</v>
      </c>
      <c r="BE445" t="str" cm="1">
        <f t="array" ref="BE445">IF(AY445=1,INDEX($V$7:$AL$7,MATCH(TRUE,INDEX($V445:$AW445&lt;&gt;0,),0)),IF(AY445=0,INDEX($AM$7:$AW$7,MATCH(1,$AM445:$AW445,0)),IF(BF445="Multiple strategies","mixed drivers",IF(BF445="Supply chain","multiple supply","multiple silviculture"))))</f>
        <v xml:space="preserve">cutting intensity </v>
      </c>
      <c r="BF445" s="2" t="str" cm="1">
        <f t="array" ref="BF445">IF(COUNTIF(AZ445:BB445,"&lt;&gt;0")=1,INDEX($V$4:$AW$4,MATCH(TRUE,INDEX($V445:$AW445&lt;&gt;0,),0)),IF(COUNTIF(AZ445:BB445,"&lt;&gt;0")=0,INDEX($AM$4:$AW$4,MATCH(1,$AM445:$AW445,0)),"Multiple strategies"))</f>
        <v>Silviculture for removals</v>
      </c>
      <c r="BG445" s="142" t="s">
        <v>321</v>
      </c>
      <c r="BH445" t="s">
        <v>1434</v>
      </c>
      <c r="BI445"/>
      <c r="BJ445" s="143" t="s">
        <v>498</v>
      </c>
      <c r="BK445">
        <v>32797</v>
      </c>
      <c r="BL445" s="143">
        <v>52773</v>
      </c>
      <c r="BM445" s="163">
        <f>BL445/BK445</f>
        <v>1.6090800987895235</v>
      </c>
      <c r="BN445">
        <f>BL445-BK445</f>
        <v>19976</v>
      </c>
      <c r="BO445" s="159">
        <f>BN445</f>
        <v>19976</v>
      </c>
      <c r="BP445" t="s">
        <v>232</v>
      </c>
      <c r="BQ445"/>
      <c r="BR445" t="s">
        <v>1967</v>
      </c>
      <c r="BS445" s="143">
        <v>21.5</v>
      </c>
      <c r="BT445">
        <v>-11.7</v>
      </c>
      <c r="BU445" s="144">
        <f>IFERROR(BT445/BS445,"")</f>
        <v>-0.54418604651162783</v>
      </c>
      <c r="BV445">
        <f>BT445-BS445</f>
        <v>-33.200000000000003</v>
      </c>
      <c r="BW445"/>
      <c r="BX445"/>
      <c r="BY445">
        <f>IFERROR(BX445/BO445,"")</f>
        <v>0</v>
      </c>
      <c r="BZ445">
        <v>0</v>
      </c>
      <c r="CA445">
        <v>0</v>
      </c>
      <c r="CB445">
        <v>0</v>
      </c>
      <c r="CC445">
        <v>0</v>
      </c>
      <c r="CD445">
        <v>0</v>
      </c>
      <c r="CE445">
        <v>0</v>
      </c>
      <c r="CF445">
        <v>0</v>
      </c>
      <c r="CG445">
        <v>0</v>
      </c>
      <c r="CH445">
        <v>0</v>
      </c>
      <c r="CI445">
        <v>0</v>
      </c>
      <c r="CJ445">
        <v>1</v>
      </c>
      <c r="CK445">
        <v>0</v>
      </c>
      <c r="CL445">
        <v>1</v>
      </c>
      <c r="CM445">
        <v>1</v>
      </c>
      <c r="CN445" t="str">
        <f>IF($BL445&lt;$BK445,"refNeedCorrection","refOK")</f>
        <v>refOK</v>
      </c>
      <c r="CO445">
        <f>IF($CN445="refNeedCorrection",BL445,BK445)</f>
        <v>32797</v>
      </c>
      <c r="CP445">
        <f>IF($CN445="refNeedCorrection",BK445,BL445)</f>
        <v>52773</v>
      </c>
      <c r="CQ445">
        <f>IF($CN445="refOK",$BO445,-$BO445)</f>
        <v>19976</v>
      </c>
      <c r="CR445">
        <f>IF($CN445="refOK",$BS445,$BT445)*IF($BP445="Emissions positive",-1,1)</f>
        <v>21.5</v>
      </c>
      <c r="CS445">
        <f>IF($CN445="refOK",$BT445,$BS445)*IF($BP445="Emissions positive",-1,1)</f>
        <v>-11.7</v>
      </c>
      <c r="CT445">
        <f>IF($CN445="refNeedCorrection",-BX445,BX445)*IF($BP445="Emissions positive",-1,1)</f>
        <v>0</v>
      </c>
      <c r="CU445">
        <f>IFERROR(CT445/CQ445,"")</f>
        <v>0</v>
      </c>
      <c r="CV445" s="2">
        <f>IFERROR((CS445-CR445)/ABS(CR445),"")</f>
        <v>-1.5441860465116279</v>
      </c>
      <c r="CW445" s="1" t="s">
        <v>1199</v>
      </c>
      <c r="CX445" s="264" t="str">
        <f>IF(OR($CW445="prd",$CW445="std",$CW445="cit"),"loc",IF(OR($CW445="eur",$CW445="reg",$CW445="coy"),"reg",$CW445))</f>
        <v>reg</v>
      </c>
      <c r="CY445" t="s">
        <v>1968</v>
      </c>
      <c r="CZ445">
        <v>2021</v>
      </c>
      <c r="DA445" s="143">
        <v>2110</v>
      </c>
      <c r="DB445" s="143">
        <f>DA445-CZ445</f>
        <v>89</v>
      </c>
      <c r="DC445" t="str">
        <f>IF(DB445=0,"0",IF(AND(DB445&gt;=1,DB445&lt;=30),"1-30",IF(AND(DB445&gt;30,DB445&lt;=70),"31-70",IF(AND(DB445&gt;70,DB445&lt;=100),"71-100",IF(DB445&gt;100,"+100")))))</f>
        <v>71-100</v>
      </c>
      <c r="DD445">
        <v>0</v>
      </c>
      <c r="DE445">
        <v>1</v>
      </c>
      <c r="DF445">
        <v>1</v>
      </c>
      <c r="DG445">
        <v>1</v>
      </c>
      <c r="DH445"/>
      <c r="DI445">
        <f>SUM(DD445:DG445)</f>
        <v>3</v>
      </c>
      <c r="DJ445" t="str">
        <f>IF(DI445=1,INDEX($DD$7:$DG$7,MATCH(1,$DD445:$DG445,0)),"mixedProduct")</f>
        <v>mixedProduct</v>
      </c>
      <c r="DK445">
        <f>IF(DD445=1,DK$7,0)</f>
        <v>0</v>
      </c>
      <c r="DL445" t="str">
        <f>IF(DE445=1,DL$7,0)</f>
        <v>Energy</v>
      </c>
      <c r="DM445" t="str">
        <f>IF(DF445=1,DM$7,0)</f>
        <v>Pulp/Paper</v>
      </c>
      <c r="DN445" t="str">
        <f>IF(DG445=1,DN$7,0)</f>
        <v>Timber</v>
      </c>
      <c r="DO445">
        <v>0</v>
      </c>
      <c r="DP445" s="143">
        <v>1</v>
      </c>
      <c r="DQ445" t="s">
        <v>1969</v>
      </c>
      <c r="DR445" t="s">
        <v>1970</v>
      </c>
      <c r="DS445" s="143">
        <v>0</v>
      </c>
      <c r="DT445">
        <f>SUM(DO445:DP445)</f>
        <v>1</v>
      </c>
      <c r="DU445" s="143" t="str">
        <f>IF(DO445=1,"self-calculated DF",IF(DP445=1,"external DF used","explicit C balance"))</f>
        <v>external DF used</v>
      </c>
      <c r="DV445" s="143">
        <v>1</v>
      </c>
      <c r="DW445" s="143">
        <v>1</v>
      </c>
      <c r="DX445" s="143">
        <v>1</v>
      </c>
      <c r="DY445" s="143">
        <v>1</v>
      </c>
      <c r="DZ445">
        <v>1</v>
      </c>
      <c r="EA445" s="143">
        <v>1</v>
      </c>
      <c r="EB445" s="143">
        <v>0</v>
      </c>
      <c r="EC445" s="143">
        <v>0</v>
      </c>
      <c r="ED445" s="143">
        <v>0</v>
      </c>
      <c r="EE445">
        <v>0</v>
      </c>
      <c r="EF445">
        <v>1</v>
      </c>
      <c r="EG445" s="143">
        <v>0</v>
      </c>
      <c r="EH445">
        <v>0</v>
      </c>
      <c r="EI445" s="2">
        <v>0</v>
      </c>
      <c r="EJ445" s="1"/>
      <c r="EK445" t="str">
        <f>IF(AND(AND(AND(OR($DX445=1,$DW445=1),OR($EC445=1,$EA445=1)),SUM($DV445:$DZ445,$EF445)&gt;=4),SUM($EA445:$EE445)&gt;=2),"Whole sector","")</f>
        <v/>
      </c>
      <c r="EL445" t="str">
        <f>IF(AND(AND(OR($DX445=1,$DW445=1),AND($EC445=0,$EA445=0)),SUM($DV445:$DZ445,$EF445)&gt;=4),"Ecosystem approach","")</f>
        <v/>
      </c>
      <c r="EM445" s="2" t="str">
        <f>IF(AND(AND(AND($DX445=0,$DW445=0),OR($EC445=1,$EA445=1)),SUM($EB445:$EE445)&gt;=2),"Technology approach","")</f>
        <v/>
      </c>
      <c r="EN445"/>
      <c r="EO445"/>
      <c r="EP445" t="str">
        <f>IF(ISNUMBER(BU445),IF(ABS(BU445-[3]QC_indicators!$B$2)&gt;3*[3]QC_indicators!$C$2,"C ratio",IF(ISNUMBER(BY445),IF(ABS(BY445-[3]QC_indicators!$B$1)&gt;3*[3]QC_indicators!$C$1,"DF","no"))),IF(ISNUMBER(BY445),IF(ABS(BY445-[3]QC_indicators!$B$1)&gt;3*[3]QC_indicators!$C$1,"DF","no")))</f>
        <v>no</v>
      </c>
      <c r="EQ445"/>
      <c r="ER445"/>
      <c r="ES445"/>
      <c r="ET445" s="264" t="s">
        <v>3407</v>
      </c>
      <c r="EU445"/>
    </row>
    <row r="446" spans="1:151" s="139" customFormat="1" ht="15" customHeight="1">
      <c r="A446" s="1"/>
      <c r="B446"/>
      <c r="C446"/>
      <c r="D446" t="s">
        <v>963</v>
      </c>
      <c r="E446" t="s">
        <v>1007</v>
      </c>
      <c r="F446"/>
      <c r="G446" t="s">
        <v>1008</v>
      </c>
      <c r="H446"/>
      <c r="I446">
        <v>2004</v>
      </c>
      <c r="J446"/>
      <c r="K446" t="s">
        <v>1009</v>
      </c>
      <c r="L446"/>
      <c r="M446" t="str">
        <f>LEFT($D446,FIND(",",$D446)-1)&amp;"_"&amp;I446&amp;L446</f>
        <v>Petersen_2004</v>
      </c>
      <c r="N446" t="s">
        <v>222</v>
      </c>
      <c r="O446" s="171" t="s">
        <v>513</v>
      </c>
      <c r="P446" s="141" t="s">
        <v>225</v>
      </c>
      <c r="Q446" t="s">
        <v>389</v>
      </c>
      <c r="R446" s="262" t="s">
        <v>223</v>
      </c>
      <c r="S446" s="1"/>
      <c r="T446" s="264" t="s">
        <v>1010</v>
      </c>
      <c r="U446" t="s">
        <v>1011</v>
      </c>
      <c r="V446">
        <v>0</v>
      </c>
      <c r="W446">
        <v>0</v>
      </c>
      <c r="X446">
        <v>0</v>
      </c>
      <c r="Y446">
        <v>0</v>
      </c>
      <c r="Z446">
        <v>0</v>
      </c>
      <c r="AA446">
        <v>0</v>
      </c>
      <c r="AB446">
        <v>0</v>
      </c>
      <c r="AC446">
        <v>0</v>
      </c>
      <c r="AD446">
        <v>0</v>
      </c>
      <c r="AE446">
        <v>0</v>
      </c>
      <c r="AF446">
        <v>0</v>
      </c>
      <c r="AG446">
        <v>0</v>
      </c>
      <c r="AH446">
        <v>0</v>
      </c>
      <c r="AI446">
        <v>0</v>
      </c>
      <c r="AJ446">
        <v>1</v>
      </c>
      <c r="AK446">
        <v>0</v>
      </c>
      <c r="AL446">
        <v>0</v>
      </c>
      <c r="AM446">
        <v>0</v>
      </c>
      <c r="AN446">
        <v>0</v>
      </c>
      <c r="AO446">
        <v>0</v>
      </c>
      <c r="AP446">
        <v>0</v>
      </c>
      <c r="AQ446">
        <v>0</v>
      </c>
      <c r="AR446">
        <v>0</v>
      </c>
      <c r="AS446">
        <v>0</v>
      </c>
      <c r="AT446">
        <v>0</v>
      </c>
      <c r="AU446">
        <v>0</v>
      </c>
      <c r="AV446">
        <v>0</v>
      </c>
      <c r="AW446">
        <v>0</v>
      </c>
      <c r="AX446" s="141">
        <f>COUNTIF(V446:AW446,"&lt;&gt;0")</f>
        <v>1</v>
      </c>
      <c r="AY446" s="141">
        <f>COUNTIF(V446:AL446,"&lt;&gt;0")</f>
        <v>1</v>
      </c>
      <c r="AZ446">
        <f>COUNTIF(V446:AC446,"&lt;&gt;0")</f>
        <v>0</v>
      </c>
      <c r="BA446">
        <f>COUNTIF(AD446:AI446,"&lt;&gt;0")</f>
        <v>0</v>
      </c>
      <c r="BB446">
        <f>COUNTIF(AJ446:AL446,"&lt;&gt;0")</f>
        <v>1</v>
      </c>
      <c r="BC446">
        <f>COUNTIF(AS446:AW446,"&lt;&gt;0")</f>
        <v>0</v>
      </c>
      <c r="BD446">
        <f>COUNTIF(AM446:AR446,"&lt;&gt;0")</f>
        <v>0</v>
      </c>
      <c r="BE446" t="str">
        <f t="array" ref="BE446">IF(AY446=1,INDEX($V$7:$AL$7,MATCH(TRUE,INDEX($V446:$AW446&lt;&gt;0,),0)),IF(AY446=0,INDEX($AM$7:$AW$7,MATCH(1,$AM446:$AW446,0)),IF(BF446="Multiple strategies","mixed drivers",IF(BF446="Supply chain","multiple supply","multiple silviculture"))))</f>
        <v>efficiency improvement</v>
      </c>
      <c r="BF446" s="2" t="str" cm="1">
        <f t="array" ref="BF446">IF(COUNTIF(AZ446:BB446,"&lt;&gt;0")=1,INDEX($V$4:$AW$4,MATCH(TRUE,INDEX($V446:$AW446&lt;&gt;0,),0)),IF(COUNTIF(AZ446:BB446,"&lt;&gt;0")=0,INDEX($AM$4:$AW$4,MATCH(1,$AM446:$AW446,0)),"Multiple strategies"))</f>
        <v>Technology</v>
      </c>
      <c r="BG446" s="142" t="s">
        <v>229</v>
      </c>
      <c r="BH446" t="s">
        <v>970</v>
      </c>
      <c r="BI446" t="s">
        <v>1012</v>
      </c>
      <c r="BJ446" t="s">
        <v>498</v>
      </c>
      <c r="BK446">
        <v>1</v>
      </c>
      <c r="BL446" s="143">
        <v>1</v>
      </c>
      <c r="BM446">
        <f>IFERROR(BL446/BK446,"")</f>
        <v>1</v>
      </c>
      <c r="BN446">
        <f>BL446-BK446</f>
        <v>0</v>
      </c>
      <c r="BO446" s="159">
        <v>1</v>
      </c>
      <c r="BP446" t="s">
        <v>232</v>
      </c>
      <c r="BQ446" t="s">
        <v>1013</v>
      </c>
      <c r="BR446" t="s">
        <v>973</v>
      </c>
      <c r="BS446">
        <v>0.8</v>
      </c>
      <c r="BT446">
        <v>0.8</v>
      </c>
      <c r="BU446" s="144"/>
      <c r="BV446">
        <v>0</v>
      </c>
      <c r="BW446"/>
      <c r="BX446">
        <f>BV446*C_to_CO2</f>
        <v>0</v>
      </c>
      <c r="BY446">
        <f>IFERROR(BX446/BO446,"")</f>
        <v>0</v>
      </c>
      <c r="BZ446">
        <v>0</v>
      </c>
      <c r="CA446">
        <v>0</v>
      </c>
      <c r="CB446">
        <v>0</v>
      </c>
      <c r="CC446">
        <v>0</v>
      </c>
      <c r="CD446">
        <v>0</v>
      </c>
      <c r="CE446">
        <v>0</v>
      </c>
      <c r="CF446">
        <v>0</v>
      </c>
      <c r="CG446">
        <v>0</v>
      </c>
      <c r="CH446">
        <v>0</v>
      </c>
      <c r="CI446">
        <v>0</v>
      </c>
      <c r="CJ446">
        <v>0</v>
      </c>
      <c r="CK446">
        <v>0</v>
      </c>
      <c r="CL446">
        <v>0</v>
      </c>
      <c r="CM446">
        <v>0</v>
      </c>
      <c r="CN446" t="str">
        <f>IF($BL446&lt;$BK446,"refNeedCorrection","refOK")</f>
        <v>refOK</v>
      </c>
      <c r="CO446">
        <f>IF($CN446="refOK",$BK446,$BL446)</f>
        <v>1</v>
      </c>
      <c r="CP446">
        <f>IF($CN446="refOK",$BL446,$BK446)</f>
        <v>1</v>
      </c>
      <c r="CQ446">
        <f>IF($CN446="refOK",$BO446,-$BO446)</f>
        <v>1</v>
      </c>
      <c r="CR446">
        <f>IF($CN446="refOK",$BS446,$BT446)*IF($BP446="Emissions positive",-1,1)</f>
        <v>0.8</v>
      </c>
      <c r="CS446">
        <f>IF($CN446="refOK",$BT446,$BS446)*IF($BP446="Emissions positive",-1,1)</f>
        <v>0.8</v>
      </c>
      <c r="CT446">
        <f>IF($CN446="refNeedCorrection",-BX446,BX446)*IF($BP446="Emissions positive",-1,1)</f>
        <v>0</v>
      </c>
      <c r="CU446">
        <f>IFERROR(CT446/CQ446,"")</f>
        <v>0</v>
      </c>
      <c r="CV446" s="2">
        <f>IFERROR((CS446-CR446)/ABS(CR446),"")</f>
        <v>0</v>
      </c>
      <c r="CW446" s="1" t="s">
        <v>263</v>
      </c>
      <c r="CX446" t="str">
        <f>IF(OR($CW446="prd",$CW446="std",$CW446="cit"),"loc",IF(OR($CW446="eur",$CW446="reg",$CW446="coy"),"reg",$CW446))</f>
        <v>loc</v>
      </c>
      <c r="CY446" t="s">
        <v>264</v>
      </c>
      <c r="CZ446"/>
      <c r="DA446" s="143"/>
      <c r="DB446" s="143">
        <v>45</v>
      </c>
      <c r="DC446" t="str">
        <f>IF(DB446=0,"0",IF(AND(DB446&gt;=1,DB446&lt;=30),"1-30",IF(AND(DB446&gt;30,DB446&lt;=70),"31-70",IF(AND(DB446&gt;70,DB446&lt;=100),"71-100",IF(DB446&gt;100,"+100")))))</f>
        <v>31-70</v>
      </c>
      <c r="DD446">
        <v>0</v>
      </c>
      <c r="DE446">
        <v>0</v>
      </c>
      <c r="DF446">
        <v>0</v>
      </c>
      <c r="DG446">
        <v>1</v>
      </c>
      <c r="DH446">
        <v>0</v>
      </c>
      <c r="DI446">
        <f>SUM(DD446:DG446)</f>
        <v>1</v>
      </c>
      <c r="DJ446" t="str">
        <f>IF(DI446=1,INDEX($DD$7:$DG$7,MATCH(1,$DD446:$DG446,0)),"mixedProduct")</f>
        <v>TimberInput</v>
      </c>
      <c r="DK446">
        <f>IF(DD446=1,DK$7,0)</f>
        <v>0</v>
      </c>
      <c r="DL446">
        <f>IF(DE446=1,DL$7,0)</f>
        <v>0</v>
      </c>
      <c r="DM446">
        <f>IF(DF446=1,DM$7,0)</f>
        <v>0</v>
      </c>
      <c r="DN446" t="str">
        <f>IF(DG446=1,DN$7,0)</f>
        <v>Timber</v>
      </c>
      <c r="DO446">
        <v>1</v>
      </c>
      <c r="DP446">
        <v>0</v>
      </c>
      <c r="DQ446">
        <v>0</v>
      </c>
      <c r="DR446">
        <v>0</v>
      </c>
      <c r="DS446">
        <v>0</v>
      </c>
      <c r="DT446">
        <f>SUM(DO446:DP446)</f>
        <v>1</v>
      </c>
      <c r="DU446" s="143" t="str">
        <f>IF(DO446=1,"self-calculated DF",IF(DP446=1,"external DF used","explicit C balance"))</f>
        <v>self-calculated DF</v>
      </c>
      <c r="DV446" s="143">
        <v>0</v>
      </c>
      <c r="DW446" s="143">
        <v>0</v>
      </c>
      <c r="DX446" s="143">
        <v>0</v>
      </c>
      <c r="DY446" s="143">
        <v>0</v>
      </c>
      <c r="DZ446">
        <v>0</v>
      </c>
      <c r="EA446" s="143">
        <v>1</v>
      </c>
      <c r="EB446" s="143">
        <v>0</v>
      </c>
      <c r="EC446" s="143">
        <v>1</v>
      </c>
      <c r="ED446" s="143">
        <v>0</v>
      </c>
      <c r="EE446">
        <v>0</v>
      </c>
      <c r="EF446">
        <v>0</v>
      </c>
      <c r="EG446" s="143">
        <v>0</v>
      </c>
      <c r="EH446" s="143">
        <v>0</v>
      </c>
      <c r="EI446" s="2">
        <v>0</v>
      </c>
      <c r="EJ446" s="1"/>
      <c r="EK446" t="str">
        <f>IF(AND(AND(AND(OR($DX446=1,$DW446=1),OR($EC446=1,$EA446=1)),SUM($DV446:$DZ446,$EF446)&gt;=4),SUM($EA446:$EE446)&gt;=2),"Whole sector","")</f>
        <v/>
      </c>
      <c r="EL446" t="str">
        <f>IF(AND(AND(OR($DX446=1,$DW446=1),AND($EC446=0,$EA446=0)),SUM($DV446:$DZ446,$EF446)&gt;=4),"Ecosystem approach","")</f>
        <v/>
      </c>
      <c r="EM446" s="2" t="str">
        <f>IF(AND(AND(AND($DX446=0,$DW446=0),OR($EC446=1,$EA446=1)),SUM($EB446:$EE446)&gt;=2),"Technology approach","")</f>
        <v/>
      </c>
      <c r="EN446"/>
      <c r="EO446"/>
      <c r="EP446" t="str">
        <f>IF(ISNUMBER(BU446),IF(ABS(BU446-[1]QC_indicators!$B$2)&gt;3*[1]QC_indicators!$C$2,"C ratio",IF(ISNUMBER(BY446),IF(ABS(BY446-[1]QC_indicators!$B$1)&gt;3*[1]QC_indicators!$C$1,"DF","no"))),IF(ISNUMBER(BY446),IF(ABS(BY446-[1]QC_indicators!$B$1)&gt;3*[1]QC_indicators!$C$1,"DF","no")))</f>
        <v>no</v>
      </c>
      <c r="EQ446"/>
      <c r="ER446" t="s">
        <v>995</v>
      </c>
      <c r="ES446"/>
      <c r="ET446" s="264" t="s">
        <v>3212</v>
      </c>
      <c r="EU446"/>
    </row>
    <row r="447" spans="1:151" s="139" customFormat="1" ht="15" customHeight="1">
      <c r="A447" s="1" t="s">
        <v>1360</v>
      </c>
      <c r="B447" t="s">
        <v>2135</v>
      </c>
      <c r="C447" t="s">
        <v>2136</v>
      </c>
      <c r="D447" t="s">
        <v>2137</v>
      </c>
      <c r="E447" t="s">
        <v>2138</v>
      </c>
      <c r="F447" t="s">
        <v>2139</v>
      </c>
      <c r="G447" t="s">
        <v>1366</v>
      </c>
      <c r="H447" t="s">
        <v>254</v>
      </c>
      <c r="I447">
        <v>2012</v>
      </c>
      <c r="J447">
        <v>21</v>
      </c>
      <c r="K447" t="s">
        <v>2140</v>
      </c>
      <c r="L447" s="192"/>
      <c r="M447" t="str">
        <f>LEFT($D447,FIND(",",$D447)-1)&amp;"_"&amp;I447&amp;L447</f>
        <v>Pyorala_2012</v>
      </c>
      <c r="N447" t="s">
        <v>222</v>
      </c>
      <c r="O447" s="145" t="s">
        <v>341</v>
      </c>
      <c r="P447" s="180" t="s">
        <v>223</v>
      </c>
      <c r="Q447" s="264" t="s">
        <v>256</v>
      </c>
      <c r="R447" s="269" t="s">
        <v>1154</v>
      </c>
      <c r="S447" s="263" t="s">
        <v>2150</v>
      </c>
      <c r="T447" s="264" t="s">
        <v>2143</v>
      </c>
      <c r="U447" s="264" t="s">
        <v>2142</v>
      </c>
      <c r="V447">
        <v>0</v>
      </c>
      <c r="W447">
        <v>0</v>
      </c>
      <c r="X447">
        <v>0</v>
      </c>
      <c r="Y447">
        <v>1</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s="141">
        <f>COUNTIF(V447:AW447,"&lt;&gt;0")</f>
        <v>1</v>
      </c>
      <c r="AY447" s="141">
        <f>COUNTIF(V447:AL447,"&lt;&gt;0")</f>
        <v>1</v>
      </c>
      <c r="AZ447">
        <f>COUNTIF(V447:AC447,"&lt;&gt;0")</f>
        <v>1</v>
      </c>
      <c r="BA447">
        <f>COUNTIF(AD447:AI447,"&lt;&gt;0")</f>
        <v>0</v>
      </c>
      <c r="BB447">
        <f>COUNTIF(AJ447:AL447,"&lt;&gt;0")</f>
        <v>0</v>
      </c>
      <c r="BC447">
        <f>COUNTIF(AS447:AW447,"&lt;&gt;0")</f>
        <v>0</v>
      </c>
      <c r="BD447">
        <f>COUNTIF(AM447:AR447,"&lt;&gt;0")</f>
        <v>0</v>
      </c>
      <c r="BE447" t="str" cm="1">
        <f t="array" ref="BE447">IF(AY447=1,INDEX($V$7:$AL$7,MATCH(TRUE,INDEX($V447:$AW447&lt;&gt;0,),0)),IF(AY447=0,INDEX($AM$7:$AW$7,MATCH(1,$AM447:$AW447,0)),IF(BF447="Multiple strategies","mixed drivers",IF(BF447="Supply chain","multiple supply","multiple silviculture"))))</f>
        <v xml:space="preserve">cutting intensity </v>
      </c>
      <c r="BF447" s="2" t="str" cm="1">
        <f t="array" ref="BF447">IF(COUNTIF(AZ447:BB447,"&lt;&gt;0")=1,INDEX($V$4:$AW$4,MATCH(TRUE,INDEX($V447:$AW447&lt;&gt;0,),0)),IF(COUNTIF(AZ447:BB447,"&lt;&gt;0")=0,INDEX($AM$4:$AW$4,MATCH(1,$AM447:$AW447,0)),"Multiple strategies"))</f>
        <v>Silviculture for removals</v>
      </c>
      <c r="BG447" s="178" t="s">
        <v>321</v>
      </c>
      <c r="BH447" s="264" t="s">
        <v>2144</v>
      </c>
      <c r="BI447" s="264" t="s">
        <v>701</v>
      </c>
      <c r="BJ447" s="160" t="s">
        <v>700</v>
      </c>
      <c r="BK447">
        <v>6.5</v>
      </c>
      <c r="BL447">
        <v>6.7</v>
      </c>
      <c r="BM447"/>
      <c r="BN447">
        <f>BL447-BK447</f>
        <v>0.20000000000000018</v>
      </c>
      <c r="BO447">
        <f>BN447</f>
        <v>0.20000000000000018</v>
      </c>
      <c r="BP447" s="155" t="s">
        <v>395</v>
      </c>
      <c r="BQ447" s="335" t="s">
        <v>783</v>
      </c>
      <c r="BR447" s="155" t="s">
        <v>279</v>
      </c>
      <c r="BS447">
        <v>1</v>
      </c>
      <c r="BT447">
        <v>1</v>
      </c>
      <c r="BU447" s="144"/>
      <c r="BV447">
        <f>BT447-BS447</f>
        <v>0</v>
      </c>
      <c r="BW447"/>
      <c r="BX447">
        <f>BV447</f>
        <v>0</v>
      </c>
      <c r="BY447">
        <f>IFERROR(BX447/BO447,"")</f>
        <v>0</v>
      </c>
      <c r="BZ447">
        <v>0</v>
      </c>
      <c r="CA447">
        <v>0</v>
      </c>
      <c r="CB447">
        <v>0</v>
      </c>
      <c r="CC447">
        <v>0</v>
      </c>
      <c r="CD447">
        <v>0</v>
      </c>
      <c r="CE447">
        <v>0</v>
      </c>
      <c r="CF447">
        <v>0</v>
      </c>
      <c r="CG447">
        <v>0</v>
      </c>
      <c r="CH447">
        <v>0</v>
      </c>
      <c r="CI447">
        <v>0</v>
      </c>
      <c r="CJ447">
        <v>0</v>
      </c>
      <c r="CK447">
        <v>0</v>
      </c>
      <c r="CL447">
        <v>0</v>
      </c>
      <c r="CM447">
        <v>0</v>
      </c>
      <c r="CN447" t="str">
        <f>IF($BL447&lt;$BK447,"refNeedCorrection","refOK")</f>
        <v>refOK</v>
      </c>
      <c r="CO447">
        <f>IF($CN447="refOK",$BK447,$BL447)</f>
        <v>6.5</v>
      </c>
      <c r="CP447">
        <f>IF($CN447="refOK",$BL447,$BK447)</f>
        <v>6.7</v>
      </c>
      <c r="CQ447">
        <f>IF($CN447="refOK",$BO447,-$BO447)</f>
        <v>0.20000000000000018</v>
      </c>
      <c r="CR447">
        <f>IF($CN447="refOK",$BS447,$BT447)*IF($BP447="Emissions positive",-1,1)</f>
        <v>-1</v>
      </c>
      <c r="CS447">
        <f>IF($CN447="refOK",$BT447,$BS447)*IF($BP447="Emissions positive",-1,1)</f>
        <v>-1</v>
      </c>
      <c r="CT447">
        <f>IF($CN447="refNeedCorrection",-BX447,BX447)*IF($BP447="Emissions positive",-1,1)</f>
        <v>0</v>
      </c>
      <c r="CU447">
        <f>IFERROR(CT447/CQ447,"")</f>
        <v>0</v>
      </c>
      <c r="CV447" s="2">
        <f>IFERROR((CS447-CR447)/ABS(CR447),"")</f>
        <v>0</v>
      </c>
      <c r="CW447" s="1" t="s">
        <v>1199</v>
      </c>
      <c r="CX447" s="264" t="str">
        <f>IF(OR($CW447="prd",$CW447="std",$CW447="cit"),"loc",IF(OR($CW447="eur",$CW447="reg",$CW447="coy"),"reg",$CW447))</f>
        <v>reg</v>
      </c>
      <c r="CY447" t="s">
        <v>235</v>
      </c>
      <c r="CZ447"/>
      <c r="DA447"/>
      <c r="DB447">
        <v>80</v>
      </c>
      <c r="DC447" t="str">
        <f>IF(DB447=0,"0",IF(AND(DB447&gt;=1,DB447&lt;=30),"1-30",IF(AND(DB447&gt;30,DB447&lt;=70),"31-70",IF(AND(DB447&gt;70,DB447&lt;=100),"71-100",IF(DB447&gt;100,"+100")))))</f>
        <v>71-100</v>
      </c>
      <c r="DD447">
        <v>0</v>
      </c>
      <c r="DE447">
        <v>1</v>
      </c>
      <c r="DF447">
        <v>1</v>
      </c>
      <c r="DG447">
        <v>1</v>
      </c>
      <c r="DH447"/>
      <c r="DI447">
        <f>SUM(DD447:DG447)</f>
        <v>3</v>
      </c>
      <c r="DJ447" t="str">
        <f>IF(DI447=1,INDEX($DD$7:$DG$7,MATCH(1,$DD447:$DG447,0)),"mixedProduct")</f>
        <v>mixedProduct</v>
      </c>
      <c r="DK447">
        <f>IF(DD447=1,DK$7,0)</f>
        <v>0</v>
      </c>
      <c r="DL447" t="str">
        <f>IF(DE447=1,DL$7,0)</f>
        <v>Energy</v>
      </c>
      <c r="DM447" t="str">
        <f>IF(DF447=1,DM$7,0)</f>
        <v>Pulp/Paper</v>
      </c>
      <c r="DN447" t="str">
        <f>IF(DG447=1,DN$7,0)</f>
        <v>Timber</v>
      </c>
      <c r="DO447">
        <v>0</v>
      </c>
      <c r="DP447">
        <v>1</v>
      </c>
      <c r="DQ447" t="s">
        <v>2146</v>
      </c>
      <c r="DR447">
        <v>0</v>
      </c>
      <c r="DS447">
        <v>0</v>
      </c>
      <c r="DT447">
        <f>SUM(DO447:DP447)</f>
        <v>1</v>
      </c>
      <c r="DU447" s="143" t="str">
        <f>IF(DO447=1,"self-calculated DF",IF(DP447=1,"external DF used","explicit C balance"))</f>
        <v>external DF used</v>
      </c>
      <c r="DV447">
        <v>1</v>
      </c>
      <c r="DW447">
        <v>1</v>
      </c>
      <c r="DX447">
        <v>1</v>
      </c>
      <c r="DY447">
        <v>0</v>
      </c>
      <c r="DZ447">
        <v>1</v>
      </c>
      <c r="EA447">
        <v>0</v>
      </c>
      <c r="EB447">
        <v>1</v>
      </c>
      <c r="EC447">
        <v>1</v>
      </c>
      <c r="ED447">
        <v>0</v>
      </c>
      <c r="EE447">
        <v>0</v>
      </c>
      <c r="EF447">
        <v>1</v>
      </c>
      <c r="EG447">
        <v>0</v>
      </c>
      <c r="EH447">
        <v>0</v>
      </c>
      <c r="EI447" s="2">
        <v>0</v>
      </c>
      <c r="EJ447" s="1"/>
      <c r="EK447" t="str">
        <f>IF(AND(AND(AND(OR($DX447=1,$DW447=1),OR($EC447=1,$EA447=1)),SUM($DV447:$DZ447,$EF447)&gt;=4),SUM($EA447:$EE447)&gt;=2),"Whole sector","")</f>
        <v>Whole sector</v>
      </c>
      <c r="EL447" t="str">
        <f>IF(AND(AND(OR($DX447=1,$DW447=1),AND($EC447=0,$EA447=0)),SUM($DV447:$DZ447,$EF447)&gt;=4),"Ecosystem approach","")</f>
        <v/>
      </c>
      <c r="EM447" s="2" t="str">
        <f>IF(AND(AND(AND($DX447=0,$DW447=0),OR($EC447=1,$EA447=1)),SUM($EB447:$EE447)&gt;=2),"Technology approach","")</f>
        <v/>
      </c>
      <c r="EN447"/>
      <c r="EO447"/>
      <c r="EP447" t="str">
        <f>IF(ISNUMBER(BU447),IF(ABS(BU447-[3]QC_indicators!$B$2)&gt;3*[3]QC_indicators!$C$2,"C ratio",IF(ISNUMBER(BY447),IF(ABS(BY447-[3]QC_indicators!$B$1)&gt;3*[3]QC_indicators!$C$1,"DF","no"))),IF(ISNUMBER(BY447),IF(ABS(BY447-[3]QC_indicators!$B$1)&gt;3*[3]QC_indicators!$C$1,"DF","no")))</f>
        <v>no</v>
      </c>
      <c r="EQ447"/>
      <c r="ER447"/>
      <c r="ES447"/>
      <c r="ET447" s="264" t="s">
        <v>3407</v>
      </c>
      <c r="EU447"/>
    </row>
    <row r="448" spans="1:151" s="139" customFormat="1" ht="15" customHeight="1">
      <c r="A448" s="1" t="s">
        <v>1360</v>
      </c>
      <c r="B448" t="s">
        <v>2135</v>
      </c>
      <c r="C448" t="s">
        <v>2136</v>
      </c>
      <c r="D448" t="s">
        <v>2137</v>
      </c>
      <c r="E448" t="s">
        <v>2138</v>
      </c>
      <c r="F448" t="s">
        <v>2139</v>
      </c>
      <c r="G448" t="s">
        <v>1366</v>
      </c>
      <c r="H448" t="s">
        <v>254</v>
      </c>
      <c r="I448">
        <v>2012</v>
      </c>
      <c r="J448">
        <v>21</v>
      </c>
      <c r="K448" t="s">
        <v>2140</v>
      </c>
      <c r="L448" s="192"/>
      <c r="M448" t="str">
        <f>LEFT($D448,FIND(",",$D448)-1)&amp;"_"&amp;I448&amp;L448</f>
        <v>Pyorala_2012</v>
      </c>
      <c r="N448" t="s">
        <v>222</v>
      </c>
      <c r="O448" s="145" t="s">
        <v>341</v>
      </c>
      <c r="P448" s="180" t="s">
        <v>223</v>
      </c>
      <c r="Q448" s="264" t="s">
        <v>256</v>
      </c>
      <c r="R448" s="269" t="s">
        <v>1154</v>
      </c>
      <c r="S448" s="263" t="s">
        <v>2155</v>
      </c>
      <c r="T448" s="264" t="s">
        <v>2143</v>
      </c>
      <c r="U448" s="264" t="s">
        <v>2152</v>
      </c>
      <c r="V448">
        <v>0</v>
      </c>
      <c r="W448">
        <v>0</v>
      </c>
      <c r="X448">
        <v>0</v>
      </c>
      <c r="Y448">
        <v>0</v>
      </c>
      <c r="Z448">
        <v>0</v>
      </c>
      <c r="AA448">
        <v>0</v>
      </c>
      <c r="AB448">
        <v>1</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s="141">
        <f>COUNTIF(V448:AW448,"&lt;&gt;0")</f>
        <v>1</v>
      </c>
      <c r="AY448" s="141">
        <f>COUNTIF(V448:AL448,"&lt;&gt;0")</f>
        <v>1</v>
      </c>
      <c r="AZ448">
        <f>COUNTIF(V448:AC448,"&lt;&gt;0")</f>
        <v>1</v>
      </c>
      <c r="BA448">
        <f>COUNTIF(AD448:AI448,"&lt;&gt;0")</f>
        <v>0</v>
      </c>
      <c r="BB448">
        <f>COUNTIF(AJ448:AL448,"&lt;&gt;0")</f>
        <v>0</v>
      </c>
      <c r="BC448">
        <f>COUNTIF(AS448:AW448,"&lt;&gt;0")</f>
        <v>0</v>
      </c>
      <c r="BD448">
        <f>COUNTIF(AM448:AR448,"&lt;&gt;0")</f>
        <v>0</v>
      </c>
      <c r="BE448" t="str" cm="1">
        <f t="array" ref="BE448">IF(AY448=1,INDEX($V$7:$AL$7,MATCH(TRUE,INDEX($V448:$AW448&lt;&gt;0,),0)),IF(AY448=0,INDEX($AM$7:$AW$7,MATCH(1,$AM448:$AW448,0)),IF(BF448="Multiple strategies","mixed drivers",IF(BF448="Supply chain","multiple supply","multiple silviculture"))))</f>
        <v>fertilisation</v>
      </c>
      <c r="BF448" s="2" t="str" cm="1">
        <f t="array" ref="BF448">IF(COUNTIF(AZ448:BB448,"&lt;&gt;0")=1,INDEX($V$4:$AW$4,MATCH(TRUE,INDEX($V448:$AW448&lt;&gt;0,),0)),IF(COUNTIF(AZ448:BB448,"&lt;&gt;0")=0,INDEX($AM$4:$AW$4,MATCH(1,$AM448:$AW448,0)),"Multiple strategies"))</f>
        <v>Silviculture for productivity</v>
      </c>
      <c r="BG448" s="178" t="s">
        <v>321</v>
      </c>
      <c r="BH448" s="264" t="s">
        <v>2144</v>
      </c>
      <c r="BI448" s="264" t="s">
        <v>701</v>
      </c>
      <c r="BJ448" s="160" t="s">
        <v>700</v>
      </c>
      <c r="BK448">
        <v>6.5</v>
      </c>
      <c r="BL448">
        <v>7</v>
      </c>
      <c r="BM448"/>
      <c r="BN448">
        <f>BL448-BK448</f>
        <v>0.5</v>
      </c>
      <c r="BO448">
        <f>BN448</f>
        <v>0.5</v>
      </c>
      <c r="BP448" s="155" t="s">
        <v>395</v>
      </c>
      <c r="BQ448" s="335" t="s">
        <v>783</v>
      </c>
      <c r="BR448" s="155" t="s">
        <v>279</v>
      </c>
      <c r="BS448">
        <v>1</v>
      </c>
      <c r="BT448">
        <v>1</v>
      </c>
      <c r="BU448" s="144"/>
      <c r="BV448">
        <f>BT448-BS448</f>
        <v>0</v>
      </c>
      <c r="BW448"/>
      <c r="BX448">
        <f>BV448</f>
        <v>0</v>
      </c>
      <c r="BY448">
        <f>IFERROR(BX448/BO448,"")</f>
        <v>0</v>
      </c>
      <c r="BZ448">
        <v>0</v>
      </c>
      <c r="CA448">
        <v>0</v>
      </c>
      <c r="CB448">
        <v>0</v>
      </c>
      <c r="CC448">
        <v>0</v>
      </c>
      <c r="CD448">
        <v>0</v>
      </c>
      <c r="CE448">
        <v>0</v>
      </c>
      <c r="CF448">
        <v>0</v>
      </c>
      <c r="CG448">
        <v>0</v>
      </c>
      <c r="CH448">
        <v>0</v>
      </c>
      <c r="CI448">
        <v>0</v>
      </c>
      <c r="CJ448">
        <v>0</v>
      </c>
      <c r="CK448">
        <v>0</v>
      </c>
      <c r="CL448">
        <v>0</v>
      </c>
      <c r="CM448">
        <v>0</v>
      </c>
      <c r="CN448" t="str">
        <f>IF($BL448&lt;$BK448,"refNeedCorrection","refOK")</f>
        <v>refOK</v>
      </c>
      <c r="CO448">
        <f>IF($CN448="refOK",$BK448,$BL448)</f>
        <v>6.5</v>
      </c>
      <c r="CP448">
        <f>IF($CN448="refOK",$BL448,$BK448)</f>
        <v>7</v>
      </c>
      <c r="CQ448">
        <f>IF($CN448="refOK",$BO448,-$BO448)</f>
        <v>0.5</v>
      </c>
      <c r="CR448">
        <f>IF($CN448="refOK",$BS448,$BT448)*IF($BP448="Emissions positive",-1,1)</f>
        <v>-1</v>
      </c>
      <c r="CS448">
        <f>IF($CN448="refOK",$BT448,$BS448)*IF($BP448="Emissions positive",-1,1)</f>
        <v>-1</v>
      </c>
      <c r="CT448">
        <f>IF($CN448="refNeedCorrection",-BX448,BX448)*IF($BP448="Emissions positive",-1,1)</f>
        <v>0</v>
      </c>
      <c r="CU448">
        <f>IFERROR(CT448/CQ448,"")</f>
        <v>0</v>
      </c>
      <c r="CV448" s="2">
        <f>IFERROR((CS448-CR448)/ABS(CR448),"")</f>
        <v>0</v>
      </c>
      <c r="CW448" s="1" t="s">
        <v>1199</v>
      </c>
      <c r="CX448" s="264" t="str">
        <f>IF(OR($CW448="prd",$CW448="std",$CW448="cit"),"loc",IF(OR($CW448="eur",$CW448="reg",$CW448="coy"),"reg",$CW448))</f>
        <v>reg</v>
      </c>
      <c r="CY448" t="s">
        <v>235</v>
      </c>
      <c r="CZ448"/>
      <c r="DA448"/>
      <c r="DB448">
        <v>80</v>
      </c>
      <c r="DC448" t="str">
        <f>IF(DB448=0,"0",IF(AND(DB448&gt;=1,DB448&lt;=30),"1-30",IF(AND(DB448&gt;30,DB448&lt;=70),"31-70",IF(AND(DB448&gt;70,DB448&lt;=100),"71-100",IF(DB448&gt;100,"+100")))))</f>
        <v>71-100</v>
      </c>
      <c r="DD448">
        <v>0</v>
      </c>
      <c r="DE448">
        <v>1</v>
      </c>
      <c r="DF448">
        <v>1</v>
      </c>
      <c r="DG448">
        <v>1</v>
      </c>
      <c r="DH448"/>
      <c r="DI448">
        <f>SUM(DD448:DG448)</f>
        <v>3</v>
      </c>
      <c r="DJ448" t="str">
        <f>IF(DI448=1,INDEX($DD$7:$DG$7,MATCH(1,$DD448:$DG448,0)),"mixedProduct")</f>
        <v>mixedProduct</v>
      </c>
      <c r="DK448">
        <f>IF(DD448=1,DK$7,0)</f>
        <v>0</v>
      </c>
      <c r="DL448" t="str">
        <f>IF(DE448=1,DL$7,0)</f>
        <v>Energy</v>
      </c>
      <c r="DM448" t="str">
        <f>IF(DF448=1,DM$7,0)</f>
        <v>Pulp/Paper</v>
      </c>
      <c r="DN448" t="str">
        <f>IF(DG448=1,DN$7,0)</f>
        <v>Timber</v>
      </c>
      <c r="DO448">
        <v>0</v>
      </c>
      <c r="DP448">
        <v>1</v>
      </c>
      <c r="DQ448" t="s">
        <v>2146</v>
      </c>
      <c r="DR448">
        <v>0</v>
      </c>
      <c r="DS448">
        <v>0</v>
      </c>
      <c r="DT448">
        <f>SUM(DO448:DP448)</f>
        <v>1</v>
      </c>
      <c r="DU448" s="143" t="str">
        <f>IF(DO448=1,"self-calculated DF",IF(DP448=1,"external DF used","explicit C balance"))</f>
        <v>external DF used</v>
      </c>
      <c r="DV448">
        <v>1</v>
      </c>
      <c r="DW448">
        <v>1</v>
      </c>
      <c r="DX448">
        <v>1</v>
      </c>
      <c r="DY448">
        <v>0</v>
      </c>
      <c r="DZ448">
        <v>1</v>
      </c>
      <c r="EA448">
        <v>0</v>
      </c>
      <c r="EB448">
        <v>1</v>
      </c>
      <c r="EC448">
        <v>1</v>
      </c>
      <c r="ED448">
        <v>0</v>
      </c>
      <c r="EE448">
        <v>0</v>
      </c>
      <c r="EF448">
        <v>1</v>
      </c>
      <c r="EG448">
        <v>0</v>
      </c>
      <c r="EH448">
        <v>0</v>
      </c>
      <c r="EI448" s="2">
        <v>0</v>
      </c>
      <c r="EJ448" s="1"/>
      <c r="EK448" t="str">
        <f>IF(AND(AND(AND(OR($DX448=1,$DW448=1),OR($EC448=1,$EA448=1)),SUM($DV448:$DZ448,$EF448)&gt;=4),SUM($EA448:$EE448)&gt;=2),"Whole sector","")</f>
        <v>Whole sector</v>
      </c>
      <c r="EL448" t="str">
        <f>IF(AND(AND(OR($DX448=1,$DW448=1),AND($EC448=0,$EA448=0)),SUM($DV448:$DZ448,$EF448)&gt;=4),"Ecosystem approach","")</f>
        <v/>
      </c>
      <c r="EM448" s="2" t="str">
        <f>IF(AND(AND(AND($DX448=0,$DW448=0),OR($EC448=1,$EA448=1)),SUM($EB448:$EE448)&gt;=2),"Technology approach","")</f>
        <v/>
      </c>
      <c r="EN448"/>
      <c r="EO448"/>
      <c r="EP448" t="str">
        <f>IF(ISNUMBER(BU448),IF(ABS(BU448-[3]QC_indicators!$B$2)&gt;3*[3]QC_indicators!$C$2,"C ratio",IF(ISNUMBER(BY448),IF(ABS(BY448-[3]QC_indicators!$B$1)&gt;3*[3]QC_indicators!$C$1,"DF","no"))),IF(ISNUMBER(BY448),IF(ABS(BY448-[3]QC_indicators!$B$1)&gt;3*[3]QC_indicators!$C$1,"DF","no")))</f>
        <v>no</v>
      </c>
      <c r="EQ448"/>
      <c r="ER448"/>
      <c r="ES448"/>
      <c r="ET448" s="264" t="s">
        <v>3407</v>
      </c>
      <c r="EU448"/>
    </row>
    <row r="449" spans="1:151" s="139" customFormat="1" ht="15" customHeight="1">
      <c r="A449" s="1" t="s">
        <v>1360</v>
      </c>
      <c r="B449" t="s">
        <v>2135</v>
      </c>
      <c r="C449" t="s">
        <v>2136</v>
      </c>
      <c r="D449" t="s">
        <v>2137</v>
      </c>
      <c r="E449" t="s">
        <v>2138</v>
      </c>
      <c r="F449" t="s">
        <v>2139</v>
      </c>
      <c r="G449" t="s">
        <v>1366</v>
      </c>
      <c r="H449" t="s">
        <v>254</v>
      </c>
      <c r="I449">
        <v>2012</v>
      </c>
      <c r="J449">
        <v>21</v>
      </c>
      <c r="K449" t="s">
        <v>2140</v>
      </c>
      <c r="L449" s="192"/>
      <c r="M449" t="str">
        <f>LEFT($D449,FIND(",",$D449)-1)&amp;"_"&amp;I449&amp;L449</f>
        <v>Pyorala_2012</v>
      </c>
      <c r="N449" t="s">
        <v>222</v>
      </c>
      <c r="O449" s="145" t="s">
        <v>341</v>
      </c>
      <c r="P449" s="180" t="s">
        <v>223</v>
      </c>
      <c r="Q449" s="264" t="s">
        <v>256</v>
      </c>
      <c r="R449" s="269" t="s">
        <v>1154</v>
      </c>
      <c r="S449" s="263" t="s">
        <v>2147</v>
      </c>
      <c r="T449" s="264" t="s">
        <v>2142</v>
      </c>
      <c r="U449" s="264" t="s">
        <v>2143</v>
      </c>
      <c r="V449">
        <v>0</v>
      </c>
      <c r="W449">
        <v>0</v>
      </c>
      <c r="X449">
        <v>0</v>
      </c>
      <c r="Y449">
        <v>1</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s="141">
        <f>COUNTIF(V449:AW449,"&lt;&gt;0")</f>
        <v>1</v>
      </c>
      <c r="AY449" s="141">
        <f>COUNTIF(V449:AL449,"&lt;&gt;0")</f>
        <v>1</v>
      </c>
      <c r="AZ449">
        <f>COUNTIF(V449:AC449,"&lt;&gt;0")</f>
        <v>1</v>
      </c>
      <c r="BA449">
        <f>COUNTIF(AD449:AI449,"&lt;&gt;0")</f>
        <v>0</v>
      </c>
      <c r="BB449">
        <f>COUNTIF(AJ449:AL449,"&lt;&gt;0")</f>
        <v>0</v>
      </c>
      <c r="BC449">
        <f>COUNTIF(AS449:AW449,"&lt;&gt;0")</f>
        <v>0</v>
      </c>
      <c r="BD449">
        <f>COUNTIF(AM449:AR449,"&lt;&gt;0")</f>
        <v>0</v>
      </c>
      <c r="BE449" t="str" cm="1">
        <f t="array" ref="BE449">IF(AY449=1,INDEX($V$7:$AL$7,MATCH(TRUE,INDEX($V449:$AW449&lt;&gt;0,),0)),IF(AY449=0,INDEX($AM$7:$AW$7,MATCH(1,$AM449:$AW449,0)),IF(BF449="Multiple strategies","mixed drivers",IF(BF449="Supply chain","multiple supply","multiple silviculture"))))</f>
        <v xml:space="preserve">cutting intensity </v>
      </c>
      <c r="BF449" s="2" t="str" cm="1">
        <f t="array" ref="BF449">IF(COUNTIF(AZ449:BB449,"&lt;&gt;0")=1,INDEX($V$4:$AW$4,MATCH(TRUE,INDEX($V449:$AW449&lt;&gt;0,),0)),IF(COUNTIF(AZ449:BB449,"&lt;&gt;0")=0,INDEX($AM$4:$AW$4,MATCH(1,$AM449:$AW449,0)),"Multiple strategies"))</f>
        <v>Silviculture for removals</v>
      </c>
      <c r="BG449" s="178" t="s">
        <v>321</v>
      </c>
      <c r="BH449" s="264" t="s">
        <v>2144</v>
      </c>
      <c r="BI449" s="264" t="s">
        <v>701</v>
      </c>
      <c r="BJ449" s="160" t="s">
        <v>700</v>
      </c>
      <c r="BK449">
        <v>7.3</v>
      </c>
      <c r="BL449">
        <v>7.6</v>
      </c>
      <c r="BM449"/>
      <c r="BN449">
        <f>BL449-BK449</f>
        <v>0.29999999999999982</v>
      </c>
      <c r="BO449">
        <f>BN449</f>
        <v>0.29999999999999982</v>
      </c>
      <c r="BP449" s="155" t="s">
        <v>395</v>
      </c>
      <c r="BQ449" s="264" t="s">
        <v>783</v>
      </c>
      <c r="BR449" s="155" t="s">
        <v>279</v>
      </c>
      <c r="BS449">
        <v>0.6</v>
      </c>
      <c r="BT449">
        <v>0.6</v>
      </c>
      <c r="BU449" s="144"/>
      <c r="BV449">
        <f>BT449-BS449</f>
        <v>0</v>
      </c>
      <c r="BW449"/>
      <c r="BX449">
        <f>BV449</f>
        <v>0</v>
      </c>
      <c r="BY449">
        <f>IFERROR(BX449/BO449,"")</f>
        <v>0</v>
      </c>
      <c r="BZ449">
        <v>0</v>
      </c>
      <c r="CA449">
        <v>0</v>
      </c>
      <c r="CB449">
        <v>0</v>
      </c>
      <c r="CC449">
        <v>0</v>
      </c>
      <c r="CD449">
        <v>0</v>
      </c>
      <c r="CE449">
        <v>0</v>
      </c>
      <c r="CF449">
        <v>0</v>
      </c>
      <c r="CG449">
        <v>0</v>
      </c>
      <c r="CH449">
        <v>0</v>
      </c>
      <c r="CI449">
        <v>0</v>
      </c>
      <c r="CJ449">
        <v>0</v>
      </c>
      <c r="CK449">
        <v>0</v>
      </c>
      <c r="CL449">
        <v>0</v>
      </c>
      <c r="CM449">
        <v>0</v>
      </c>
      <c r="CN449" t="str">
        <f>IF($BL449&lt;$BK449,"refNeedCorrection","refOK")</f>
        <v>refOK</v>
      </c>
      <c r="CO449">
        <f>IF($CN449="refOK",$BK449,$BL449)</f>
        <v>7.3</v>
      </c>
      <c r="CP449">
        <f>IF($CN449="refOK",$BL449,$BK449)</f>
        <v>7.6</v>
      </c>
      <c r="CQ449">
        <f>IF($CN449="refOK",$BO449,-$BO449)</f>
        <v>0.29999999999999982</v>
      </c>
      <c r="CR449">
        <f>IF($CN449="refOK",$BS449,$BT449)*IF($BP449="Emissions positive",-1,1)</f>
        <v>-0.6</v>
      </c>
      <c r="CS449">
        <f>IF($CN449="refOK",$BT449,$BS449)*IF($BP449="Emissions positive",-1,1)</f>
        <v>-0.6</v>
      </c>
      <c r="CT449">
        <f>IF($CN449="refNeedCorrection",-BX449,BX449)*IF($BP449="Emissions positive",-1,1)</f>
        <v>0</v>
      </c>
      <c r="CU449">
        <f>IFERROR(CT449/CQ449,"")</f>
        <v>0</v>
      </c>
      <c r="CV449" s="2">
        <f>IFERROR((CS449-CR449)/ABS(CR449),"")</f>
        <v>0</v>
      </c>
      <c r="CW449" s="1" t="s">
        <v>1199</v>
      </c>
      <c r="CX449" s="264" t="str">
        <f>IF(OR($CW449="prd",$CW449="std",$CW449="cit"),"loc",IF(OR($CW449="eur",$CW449="reg",$CW449="coy"),"reg",$CW449))</f>
        <v>reg</v>
      </c>
      <c r="CY449" t="s">
        <v>235</v>
      </c>
      <c r="CZ449"/>
      <c r="DA449"/>
      <c r="DB449">
        <v>50</v>
      </c>
      <c r="DC449" t="str">
        <f>IF(DB449=0,"0",IF(AND(DB449&gt;=1,DB449&lt;=30),"1-30",IF(AND(DB449&gt;30,DB449&lt;=70),"31-70",IF(AND(DB449&gt;70,DB449&lt;=100),"71-100",IF(DB449&gt;100,"+100")))))</f>
        <v>31-70</v>
      </c>
      <c r="DD449">
        <v>0</v>
      </c>
      <c r="DE449">
        <v>1</v>
      </c>
      <c r="DF449">
        <v>1</v>
      </c>
      <c r="DG449">
        <v>1</v>
      </c>
      <c r="DH449"/>
      <c r="DI449">
        <f>SUM(DD449:DG449)</f>
        <v>3</v>
      </c>
      <c r="DJ449" t="str">
        <f>IF(DI449=1,INDEX($DD$7:$DG$7,MATCH(1,$DD449:$DG449,0)),"mixedProduct")</f>
        <v>mixedProduct</v>
      </c>
      <c r="DK449">
        <f>IF(DD449=1,DK$7,0)</f>
        <v>0</v>
      </c>
      <c r="DL449" t="str">
        <f>IF(DE449=1,DL$7,0)</f>
        <v>Energy</v>
      </c>
      <c r="DM449" t="str">
        <f>IF(DF449=1,DM$7,0)</f>
        <v>Pulp/Paper</v>
      </c>
      <c r="DN449" t="str">
        <f>IF(DG449=1,DN$7,0)</f>
        <v>Timber</v>
      </c>
      <c r="DO449">
        <v>0</v>
      </c>
      <c r="DP449">
        <v>1</v>
      </c>
      <c r="DQ449" t="s">
        <v>2146</v>
      </c>
      <c r="DR449">
        <v>0</v>
      </c>
      <c r="DS449">
        <v>0</v>
      </c>
      <c r="DT449">
        <f>SUM(DO449:DP449)</f>
        <v>1</v>
      </c>
      <c r="DU449" s="143" t="str">
        <f>IF(DO449=1,"self-calculated DF",IF(DP449=1,"external DF used","explicit C balance"))</f>
        <v>external DF used</v>
      </c>
      <c r="DV449">
        <v>1</v>
      </c>
      <c r="DW449">
        <v>1</v>
      </c>
      <c r="DX449">
        <v>1</v>
      </c>
      <c r="DY449">
        <v>0</v>
      </c>
      <c r="DZ449">
        <v>1</v>
      </c>
      <c r="EA449">
        <v>0</v>
      </c>
      <c r="EB449">
        <v>1</v>
      </c>
      <c r="EC449">
        <v>1</v>
      </c>
      <c r="ED449">
        <v>0</v>
      </c>
      <c r="EE449">
        <v>0</v>
      </c>
      <c r="EF449">
        <v>1</v>
      </c>
      <c r="EG449">
        <v>0</v>
      </c>
      <c r="EH449">
        <v>0</v>
      </c>
      <c r="EI449" s="2">
        <v>0</v>
      </c>
      <c r="EJ449" s="1"/>
      <c r="EK449" t="str">
        <f>IF(AND(AND(AND(OR($DX449=1,$DW449=1),OR($EC449=1,$EA449=1)),SUM($DV449:$DZ449,$EF449)&gt;=4),SUM($EA449:$EE449)&gt;=2),"Whole sector","")</f>
        <v>Whole sector</v>
      </c>
      <c r="EL449" t="str">
        <f>IF(AND(AND(OR($DX449=1,$DW449=1),AND($EC449=0,$EA449=0)),SUM($DV449:$DZ449,$EF449)&gt;=4),"Ecosystem approach","")</f>
        <v/>
      </c>
      <c r="EM449" s="2" t="str">
        <f>IF(AND(AND(AND($DX449=0,$DW449=0),OR($EC449=1,$EA449=1)),SUM($EB449:$EE449)&gt;=2),"Technology approach","")</f>
        <v/>
      </c>
      <c r="EN449"/>
      <c r="EO449"/>
      <c r="EP449" t="str">
        <f>IF(ISNUMBER(BU449),IF(ABS(BU449-[3]QC_indicators!$B$2)&gt;3*[3]QC_indicators!$C$2,"C ratio",IF(ISNUMBER(BY449),IF(ABS(BY449-[3]QC_indicators!$B$1)&gt;3*[3]QC_indicators!$C$1,"DF","no"))),IF(ISNUMBER(BY449),IF(ABS(BY449-[3]QC_indicators!$B$1)&gt;3*[3]QC_indicators!$C$1,"DF","no")))</f>
        <v>no</v>
      </c>
      <c r="EQ449"/>
      <c r="ER449"/>
      <c r="ES449"/>
      <c r="ET449" s="264" t="s">
        <v>3407</v>
      </c>
      <c r="EU449"/>
    </row>
    <row r="450" spans="1:151" s="139" customFormat="1" ht="15" customHeight="1">
      <c r="A450" s="1" t="s">
        <v>1360</v>
      </c>
      <c r="B450" t="s">
        <v>2135</v>
      </c>
      <c r="C450" t="s">
        <v>2136</v>
      </c>
      <c r="D450" t="s">
        <v>2137</v>
      </c>
      <c r="E450" t="s">
        <v>2138</v>
      </c>
      <c r="F450" t="s">
        <v>2139</v>
      </c>
      <c r="G450" t="s">
        <v>1366</v>
      </c>
      <c r="H450" t="s">
        <v>254</v>
      </c>
      <c r="I450">
        <v>2012</v>
      </c>
      <c r="J450">
        <v>21</v>
      </c>
      <c r="K450" t="s">
        <v>2140</v>
      </c>
      <c r="L450" s="192"/>
      <c r="M450" t="str">
        <f>LEFT($D450,FIND(",",$D450)-1)&amp;"_"&amp;I450&amp;L450</f>
        <v>Pyorala_2012</v>
      </c>
      <c r="N450" t="s">
        <v>222</v>
      </c>
      <c r="O450" s="145" t="s">
        <v>341</v>
      </c>
      <c r="P450" s="180" t="s">
        <v>223</v>
      </c>
      <c r="Q450" s="264" t="s">
        <v>256</v>
      </c>
      <c r="R450" s="269" t="s">
        <v>1154</v>
      </c>
      <c r="S450" s="263" t="s">
        <v>2149</v>
      </c>
      <c r="T450" s="264" t="s">
        <v>2143</v>
      </c>
      <c r="U450" s="264" t="s">
        <v>2142</v>
      </c>
      <c r="V450">
        <v>0</v>
      </c>
      <c r="W450">
        <v>0</v>
      </c>
      <c r="X450">
        <v>0</v>
      </c>
      <c r="Y450">
        <v>1</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s="141">
        <f>COUNTIF(V450:AW450,"&lt;&gt;0")</f>
        <v>1</v>
      </c>
      <c r="AY450" s="141">
        <f>COUNTIF(V450:AL450,"&lt;&gt;0")</f>
        <v>1</v>
      </c>
      <c r="AZ450">
        <f>COUNTIF(V450:AC450,"&lt;&gt;0")</f>
        <v>1</v>
      </c>
      <c r="BA450">
        <f>COUNTIF(AD450:AI450,"&lt;&gt;0")</f>
        <v>0</v>
      </c>
      <c r="BB450">
        <f>COUNTIF(AJ450:AL450,"&lt;&gt;0")</f>
        <v>0</v>
      </c>
      <c r="BC450">
        <f>COUNTIF(AS450:AW450,"&lt;&gt;0")</f>
        <v>0</v>
      </c>
      <c r="BD450">
        <f>COUNTIF(AM450:AR450,"&lt;&gt;0")</f>
        <v>0</v>
      </c>
      <c r="BE450" t="str" cm="1">
        <f t="array" ref="BE450">IF(AY450=1,INDEX($V$7:$AL$7,MATCH(TRUE,INDEX($V450:$AW450&lt;&gt;0,),0)),IF(AY450=0,INDEX($AM$7:$AW$7,MATCH(1,$AM450:$AW450,0)),IF(BF450="Multiple strategies","mixed drivers",IF(BF450="Supply chain","multiple supply","multiple silviculture"))))</f>
        <v xml:space="preserve">cutting intensity </v>
      </c>
      <c r="BF450" s="2" t="str" cm="1">
        <f t="array" ref="BF450">IF(COUNTIF(AZ450:BB450,"&lt;&gt;0")=1,INDEX($V$4:$AW$4,MATCH(TRUE,INDEX($V450:$AW450&lt;&gt;0,),0)),IF(COUNTIF(AZ450:BB450,"&lt;&gt;0")=0,INDEX($AM$4:$AW$4,MATCH(1,$AM450:$AW450,0)),"Multiple strategies"))</f>
        <v>Silviculture for removals</v>
      </c>
      <c r="BG450" s="178" t="s">
        <v>321</v>
      </c>
      <c r="BH450" s="264" t="s">
        <v>2144</v>
      </c>
      <c r="BI450" s="264" t="s">
        <v>426</v>
      </c>
      <c r="BJ450" s="160" t="s">
        <v>700</v>
      </c>
      <c r="BK450">
        <v>7.8</v>
      </c>
      <c r="BL450">
        <v>8.6999999999999993</v>
      </c>
      <c r="BM450"/>
      <c r="BN450">
        <f>BL450-BK450</f>
        <v>0.89999999999999947</v>
      </c>
      <c r="BO450">
        <f>BN450</f>
        <v>0.89999999999999947</v>
      </c>
      <c r="BP450" s="155" t="s">
        <v>395</v>
      </c>
      <c r="BQ450" s="264" t="s">
        <v>783</v>
      </c>
      <c r="BR450" s="155" t="s">
        <v>279</v>
      </c>
      <c r="BS450">
        <v>0.6</v>
      </c>
      <c r="BT450">
        <v>0.6</v>
      </c>
      <c r="BU450" s="144"/>
      <c r="BV450">
        <f>BT450-BS450</f>
        <v>0</v>
      </c>
      <c r="BW450"/>
      <c r="BX450">
        <f>BV450</f>
        <v>0</v>
      </c>
      <c r="BY450">
        <f>IFERROR(BX450/BO450,"")</f>
        <v>0</v>
      </c>
      <c r="BZ450">
        <v>0</v>
      </c>
      <c r="CA450">
        <v>0</v>
      </c>
      <c r="CB450">
        <v>0</v>
      </c>
      <c r="CC450">
        <v>0</v>
      </c>
      <c r="CD450">
        <v>0</v>
      </c>
      <c r="CE450">
        <v>0</v>
      </c>
      <c r="CF450">
        <v>0</v>
      </c>
      <c r="CG450">
        <v>0</v>
      </c>
      <c r="CH450">
        <v>0</v>
      </c>
      <c r="CI450">
        <v>0</v>
      </c>
      <c r="CJ450">
        <v>0</v>
      </c>
      <c r="CK450">
        <v>0</v>
      </c>
      <c r="CL450">
        <v>0</v>
      </c>
      <c r="CM450">
        <v>0</v>
      </c>
      <c r="CN450" t="str">
        <f>IF($BL450&lt;$BK450,"refNeedCorrection","refOK")</f>
        <v>refOK</v>
      </c>
      <c r="CO450">
        <f>IF($CN450="refOK",$BK450,$BL450)</f>
        <v>7.8</v>
      </c>
      <c r="CP450">
        <f>IF($CN450="refOK",$BL450,$BK450)</f>
        <v>8.6999999999999993</v>
      </c>
      <c r="CQ450">
        <f>IF($CN450="refOK",$BO450,-$BO450)</f>
        <v>0.89999999999999947</v>
      </c>
      <c r="CR450">
        <f>IF($CN450="refOK",$BS450,$BT450)*IF($BP450="Emissions positive",-1,1)</f>
        <v>-0.6</v>
      </c>
      <c r="CS450">
        <f>IF($CN450="refOK",$BT450,$BS450)*IF($BP450="Emissions positive",-1,1)</f>
        <v>-0.6</v>
      </c>
      <c r="CT450">
        <f>IF($CN450="refNeedCorrection",-BX450,BX450)*IF($BP450="Emissions positive",-1,1)</f>
        <v>0</v>
      </c>
      <c r="CU450">
        <f>IFERROR(CT450/CQ450,"")</f>
        <v>0</v>
      </c>
      <c r="CV450" s="2">
        <f>IFERROR((CS450-CR450)/ABS(CR450),"")</f>
        <v>0</v>
      </c>
      <c r="CW450" s="1" t="s">
        <v>1199</v>
      </c>
      <c r="CX450" s="264" t="str">
        <f>IF(OR($CW450="prd",$CW450="std",$CW450="cit"),"loc",IF(OR($CW450="eur",$CW450="reg",$CW450="coy"),"reg",$CW450))</f>
        <v>reg</v>
      </c>
      <c r="CY450" t="s">
        <v>235</v>
      </c>
      <c r="CZ450"/>
      <c r="DA450"/>
      <c r="DB450">
        <v>50</v>
      </c>
      <c r="DC450" t="str">
        <f>IF(DB450=0,"0",IF(AND(DB450&gt;=1,DB450&lt;=30),"1-30",IF(AND(DB450&gt;30,DB450&lt;=70),"31-70",IF(AND(DB450&gt;70,DB450&lt;=100),"71-100",IF(DB450&gt;100,"+100")))))</f>
        <v>31-70</v>
      </c>
      <c r="DD450">
        <v>0</v>
      </c>
      <c r="DE450">
        <v>1</v>
      </c>
      <c r="DF450">
        <v>1</v>
      </c>
      <c r="DG450">
        <v>1</v>
      </c>
      <c r="DH450"/>
      <c r="DI450">
        <f>SUM(DD450:DG450)</f>
        <v>3</v>
      </c>
      <c r="DJ450" t="str">
        <f>IF(DI450=1,INDEX($DD$7:$DG$7,MATCH(1,$DD450:$DG450,0)),"mixedProduct")</f>
        <v>mixedProduct</v>
      </c>
      <c r="DK450">
        <f>IF(DD450=1,DK$7,0)</f>
        <v>0</v>
      </c>
      <c r="DL450" t="str">
        <f>IF(DE450=1,DL$7,0)</f>
        <v>Energy</v>
      </c>
      <c r="DM450" t="str">
        <f>IF(DF450=1,DM$7,0)</f>
        <v>Pulp/Paper</v>
      </c>
      <c r="DN450" t="str">
        <f>IF(DG450=1,DN$7,0)</f>
        <v>Timber</v>
      </c>
      <c r="DO450">
        <v>0</v>
      </c>
      <c r="DP450">
        <v>1</v>
      </c>
      <c r="DQ450" t="s">
        <v>2146</v>
      </c>
      <c r="DR450">
        <v>0</v>
      </c>
      <c r="DS450">
        <v>0</v>
      </c>
      <c r="DT450">
        <f>SUM(DO450:DP450)</f>
        <v>1</v>
      </c>
      <c r="DU450" s="143" t="str">
        <f>IF(DO450=1,"self-calculated DF",IF(DP450=1,"external DF used","explicit C balance"))</f>
        <v>external DF used</v>
      </c>
      <c r="DV450">
        <v>1</v>
      </c>
      <c r="DW450">
        <v>1</v>
      </c>
      <c r="DX450">
        <v>1</v>
      </c>
      <c r="DY450">
        <v>0</v>
      </c>
      <c r="DZ450">
        <v>1</v>
      </c>
      <c r="EA450">
        <v>0</v>
      </c>
      <c r="EB450">
        <v>1</v>
      </c>
      <c r="EC450">
        <v>1</v>
      </c>
      <c r="ED450">
        <v>0</v>
      </c>
      <c r="EE450">
        <v>0</v>
      </c>
      <c r="EF450">
        <v>1</v>
      </c>
      <c r="EG450">
        <v>0</v>
      </c>
      <c r="EH450">
        <v>0</v>
      </c>
      <c r="EI450" s="2">
        <v>0</v>
      </c>
      <c r="EJ450" s="1"/>
      <c r="EK450" t="str">
        <f>IF(AND(AND(AND(OR($DX450=1,$DW450=1),OR($EC450=1,$EA450=1)),SUM($DV450:$DZ450,$EF450)&gt;=4),SUM($EA450:$EE450)&gt;=2),"Whole sector","")</f>
        <v>Whole sector</v>
      </c>
      <c r="EL450" t="str">
        <f>IF(AND(AND(OR($DX450=1,$DW450=1),AND($EC450=0,$EA450=0)),SUM($DV450:$DZ450,$EF450)&gt;=4),"Ecosystem approach","")</f>
        <v/>
      </c>
      <c r="EM450" s="2" t="str">
        <f>IF(AND(AND(AND($DX450=0,$DW450=0),OR($EC450=1,$EA450=1)),SUM($EB450:$EE450)&gt;=2),"Technology approach","")</f>
        <v/>
      </c>
      <c r="EN450"/>
      <c r="EO450"/>
      <c r="EP450" t="str">
        <f>IF(ISNUMBER(BU450),IF(ABS(BU450-[3]QC_indicators!$B$2)&gt;3*[3]QC_indicators!$C$2,"C ratio",IF(ISNUMBER(BY450),IF(ABS(BY450-[3]QC_indicators!$B$1)&gt;3*[3]QC_indicators!$C$1,"DF","no"))),IF(ISNUMBER(BY450),IF(ABS(BY450-[3]QC_indicators!$B$1)&gt;3*[3]QC_indicators!$C$1,"DF","no")))</f>
        <v>no</v>
      </c>
      <c r="EQ450"/>
      <c r="ER450"/>
      <c r="ES450"/>
      <c r="ET450" s="264" t="s">
        <v>3407</v>
      </c>
      <c r="EU450"/>
    </row>
    <row r="451" spans="1:151" s="139" customFormat="1" ht="15" customHeight="1">
      <c r="A451" s="1" t="s">
        <v>1360</v>
      </c>
      <c r="B451" t="s">
        <v>2135</v>
      </c>
      <c r="C451" t="s">
        <v>2136</v>
      </c>
      <c r="D451" t="s">
        <v>2137</v>
      </c>
      <c r="E451" t="s">
        <v>2138</v>
      </c>
      <c r="F451" t="s">
        <v>2139</v>
      </c>
      <c r="G451" t="s">
        <v>1366</v>
      </c>
      <c r="H451" t="s">
        <v>254</v>
      </c>
      <c r="I451">
        <v>2012</v>
      </c>
      <c r="J451">
        <v>21</v>
      </c>
      <c r="K451" t="s">
        <v>2140</v>
      </c>
      <c r="L451" s="192"/>
      <c r="M451" t="str">
        <f>LEFT($D451,FIND(",",$D451)-1)&amp;"_"&amp;I451&amp;L451</f>
        <v>Pyorala_2012</v>
      </c>
      <c r="N451" t="s">
        <v>222</v>
      </c>
      <c r="O451" s="145" t="s">
        <v>341</v>
      </c>
      <c r="P451" s="180" t="s">
        <v>223</v>
      </c>
      <c r="Q451" s="264" t="s">
        <v>256</v>
      </c>
      <c r="R451" s="269" t="s">
        <v>1154</v>
      </c>
      <c r="S451" s="263" t="s">
        <v>2153</v>
      </c>
      <c r="T451" s="264" t="s">
        <v>2143</v>
      </c>
      <c r="U451" s="264" t="s">
        <v>2152</v>
      </c>
      <c r="V451">
        <v>0</v>
      </c>
      <c r="W451">
        <v>0</v>
      </c>
      <c r="X451">
        <v>0</v>
      </c>
      <c r="Y451">
        <v>0</v>
      </c>
      <c r="Z451">
        <v>0</v>
      </c>
      <c r="AA451">
        <v>0</v>
      </c>
      <c r="AB451">
        <v>1</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s="141">
        <f>COUNTIF(V451:AW451,"&lt;&gt;0")</f>
        <v>1</v>
      </c>
      <c r="AY451" s="141">
        <f>COUNTIF(V451:AL451,"&lt;&gt;0")</f>
        <v>1</v>
      </c>
      <c r="AZ451">
        <f>COUNTIF(V451:AC451,"&lt;&gt;0")</f>
        <v>1</v>
      </c>
      <c r="BA451">
        <f>COUNTIF(AD451:AI451,"&lt;&gt;0")</f>
        <v>0</v>
      </c>
      <c r="BB451">
        <f>COUNTIF(AJ451:AL451,"&lt;&gt;0")</f>
        <v>0</v>
      </c>
      <c r="BC451">
        <f>COUNTIF(AS451:AW451,"&lt;&gt;0")</f>
        <v>0</v>
      </c>
      <c r="BD451">
        <f>COUNTIF(AM451:AR451,"&lt;&gt;0")</f>
        <v>0</v>
      </c>
      <c r="BE451" t="str" cm="1">
        <f t="array" ref="BE451">IF(AY451=1,INDEX($V$7:$AL$7,MATCH(TRUE,INDEX($V451:$AW451&lt;&gt;0,),0)),IF(AY451=0,INDEX($AM$7:$AW$7,MATCH(1,$AM451:$AW451,0)),IF(BF451="Multiple strategies","mixed drivers",IF(BF451="Supply chain","multiple supply","multiple silviculture"))))</f>
        <v>fertilisation</v>
      </c>
      <c r="BF451" s="2" t="str" cm="1">
        <f t="array" ref="BF451">IF(COUNTIF(AZ451:BB451,"&lt;&gt;0")=1,INDEX($V$4:$AW$4,MATCH(TRUE,INDEX($V451:$AW451&lt;&gt;0,),0)),IF(COUNTIF(AZ451:BB451,"&lt;&gt;0")=0,INDEX($AM$4:$AW$4,MATCH(1,$AM451:$AW451,0)),"Multiple strategies"))</f>
        <v>Silviculture for productivity</v>
      </c>
      <c r="BG451" s="178" t="s">
        <v>321</v>
      </c>
      <c r="BH451" s="264" t="s">
        <v>2144</v>
      </c>
      <c r="BI451" s="264" t="s">
        <v>701</v>
      </c>
      <c r="BJ451" s="160" t="s">
        <v>700</v>
      </c>
      <c r="BK451">
        <v>7.6</v>
      </c>
      <c r="BL451">
        <v>7.9</v>
      </c>
      <c r="BM451"/>
      <c r="BN451">
        <f>BL451-BK451</f>
        <v>0.30000000000000071</v>
      </c>
      <c r="BO451">
        <f>BN451</f>
        <v>0.30000000000000071</v>
      </c>
      <c r="BP451" s="155" t="s">
        <v>395</v>
      </c>
      <c r="BQ451" s="264" t="s">
        <v>783</v>
      </c>
      <c r="BR451" s="155" t="s">
        <v>279</v>
      </c>
      <c r="BS451">
        <v>0.6</v>
      </c>
      <c r="BT451">
        <v>0.6</v>
      </c>
      <c r="BU451" s="144"/>
      <c r="BV451">
        <f>BT451-BS451</f>
        <v>0</v>
      </c>
      <c r="BW451"/>
      <c r="BX451">
        <f>BV451</f>
        <v>0</v>
      </c>
      <c r="BY451">
        <f>IFERROR(BX451/BO451,"")</f>
        <v>0</v>
      </c>
      <c r="BZ451">
        <v>0</v>
      </c>
      <c r="CA451">
        <v>0</v>
      </c>
      <c r="CB451">
        <v>0</v>
      </c>
      <c r="CC451">
        <v>0</v>
      </c>
      <c r="CD451">
        <v>0</v>
      </c>
      <c r="CE451">
        <v>0</v>
      </c>
      <c r="CF451">
        <v>0</v>
      </c>
      <c r="CG451">
        <v>0</v>
      </c>
      <c r="CH451">
        <v>0</v>
      </c>
      <c r="CI451">
        <v>0</v>
      </c>
      <c r="CJ451">
        <v>0</v>
      </c>
      <c r="CK451">
        <v>0</v>
      </c>
      <c r="CL451">
        <v>0</v>
      </c>
      <c r="CM451">
        <v>0</v>
      </c>
      <c r="CN451" t="str">
        <f>IF($BL451&lt;$BK451,"refNeedCorrection","refOK")</f>
        <v>refOK</v>
      </c>
      <c r="CO451">
        <f>IF($CN451="refOK",$BK451,$BL451)</f>
        <v>7.6</v>
      </c>
      <c r="CP451">
        <f>IF($CN451="refOK",$BL451,$BK451)</f>
        <v>7.9</v>
      </c>
      <c r="CQ451">
        <f>IF($CN451="refOK",$BO451,-$BO451)</f>
        <v>0.30000000000000071</v>
      </c>
      <c r="CR451">
        <f>IF($CN451="refOK",$BS451,$BT451)*IF($BP451="Emissions positive",-1,1)</f>
        <v>-0.6</v>
      </c>
      <c r="CS451">
        <f>IF($CN451="refOK",$BT451,$BS451)*IF($BP451="Emissions positive",-1,1)</f>
        <v>-0.6</v>
      </c>
      <c r="CT451">
        <f>IF($CN451="refNeedCorrection",-BX451,BX451)*IF($BP451="Emissions positive",-1,1)</f>
        <v>0</v>
      </c>
      <c r="CU451">
        <f>IFERROR(CT451/CQ451,"")</f>
        <v>0</v>
      </c>
      <c r="CV451" s="2">
        <f>IFERROR((CS451-CR451)/ABS(CR451),"")</f>
        <v>0</v>
      </c>
      <c r="CW451" s="1" t="s">
        <v>1199</v>
      </c>
      <c r="CX451" s="264" t="str">
        <f>IF(OR($CW451="prd",$CW451="std",$CW451="cit"),"loc",IF(OR($CW451="eur",$CW451="reg",$CW451="coy"),"reg",$CW451))</f>
        <v>reg</v>
      </c>
      <c r="CY451" t="s">
        <v>235</v>
      </c>
      <c r="CZ451"/>
      <c r="DA451"/>
      <c r="DB451">
        <v>50</v>
      </c>
      <c r="DC451" t="str">
        <f>IF(DB451=0,"0",IF(AND(DB451&gt;=1,DB451&lt;=30),"1-30",IF(AND(DB451&gt;30,DB451&lt;=70),"31-70",IF(AND(DB451&gt;70,DB451&lt;=100),"71-100",IF(DB451&gt;100,"+100")))))</f>
        <v>31-70</v>
      </c>
      <c r="DD451">
        <v>0</v>
      </c>
      <c r="DE451">
        <v>1</v>
      </c>
      <c r="DF451">
        <v>1</v>
      </c>
      <c r="DG451">
        <v>1</v>
      </c>
      <c r="DH451"/>
      <c r="DI451">
        <f>SUM(DD451:DG451)</f>
        <v>3</v>
      </c>
      <c r="DJ451" t="str">
        <f>IF(DI451=1,INDEX($DD$7:$DG$7,MATCH(1,$DD451:$DG451,0)),"mixedProduct")</f>
        <v>mixedProduct</v>
      </c>
      <c r="DK451">
        <f>IF(DD451=1,DK$7,0)</f>
        <v>0</v>
      </c>
      <c r="DL451" t="str">
        <f>IF(DE451=1,DL$7,0)</f>
        <v>Energy</v>
      </c>
      <c r="DM451" t="str">
        <f>IF(DF451=1,DM$7,0)</f>
        <v>Pulp/Paper</v>
      </c>
      <c r="DN451" t="str">
        <f>IF(DG451=1,DN$7,0)</f>
        <v>Timber</v>
      </c>
      <c r="DO451">
        <v>0</v>
      </c>
      <c r="DP451">
        <v>1</v>
      </c>
      <c r="DQ451" t="s">
        <v>2146</v>
      </c>
      <c r="DR451">
        <v>0</v>
      </c>
      <c r="DS451">
        <v>0</v>
      </c>
      <c r="DT451">
        <f>SUM(DO451:DP451)</f>
        <v>1</v>
      </c>
      <c r="DU451" s="143" t="str">
        <f>IF(DO451=1,"self-calculated DF",IF(DP451=1,"external DF used","explicit C balance"))</f>
        <v>external DF used</v>
      </c>
      <c r="DV451">
        <v>1</v>
      </c>
      <c r="DW451">
        <v>1</v>
      </c>
      <c r="DX451">
        <v>1</v>
      </c>
      <c r="DY451">
        <v>0</v>
      </c>
      <c r="DZ451">
        <v>1</v>
      </c>
      <c r="EA451">
        <v>0</v>
      </c>
      <c r="EB451">
        <v>1</v>
      </c>
      <c r="EC451">
        <v>1</v>
      </c>
      <c r="ED451">
        <v>0</v>
      </c>
      <c r="EE451">
        <v>0</v>
      </c>
      <c r="EF451">
        <v>1</v>
      </c>
      <c r="EG451">
        <v>0</v>
      </c>
      <c r="EH451">
        <v>0</v>
      </c>
      <c r="EI451" s="2">
        <v>0</v>
      </c>
      <c r="EJ451" s="1"/>
      <c r="EK451" t="str">
        <f>IF(AND(AND(AND(OR($DX451=1,$DW451=1),OR($EC451=1,$EA451=1)),SUM($DV451:$DZ451,$EF451)&gt;=4),SUM($EA451:$EE451)&gt;=2),"Whole sector","")</f>
        <v>Whole sector</v>
      </c>
      <c r="EL451" t="str">
        <f>IF(AND(AND(OR($DX451=1,$DW451=1),AND($EC451=0,$EA451=0)),SUM($DV451:$DZ451,$EF451)&gt;=4),"Ecosystem approach","")</f>
        <v/>
      </c>
      <c r="EM451" s="2" t="str">
        <f>IF(AND(AND(AND($DX451=0,$DW451=0),OR($EC451=1,$EA451=1)),SUM($EB451:$EE451)&gt;=2),"Technology approach","")</f>
        <v/>
      </c>
      <c r="EN451"/>
      <c r="EO451"/>
      <c r="EP451" t="str">
        <f>IF(ISNUMBER(BU451),IF(ABS(BU451-[3]QC_indicators!$B$2)&gt;3*[3]QC_indicators!$C$2,"C ratio",IF(ISNUMBER(BY451),IF(ABS(BY451-[3]QC_indicators!$B$1)&gt;3*[3]QC_indicators!$C$1,"DF","no"))),IF(ISNUMBER(BY451),IF(ABS(BY451-[3]QC_indicators!$B$1)&gt;3*[3]QC_indicators!$C$1,"DF","no")))</f>
        <v>no</v>
      </c>
      <c r="EQ451"/>
      <c r="ER451"/>
      <c r="ES451"/>
      <c r="ET451" s="264" t="s">
        <v>3407</v>
      </c>
      <c r="EU451"/>
    </row>
    <row r="452" spans="1:151" s="139" customFormat="1" ht="15" customHeight="1">
      <c r="A452" s="1" t="s">
        <v>1360</v>
      </c>
      <c r="B452" t="s">
        <v>2135</v>
      </c>
      <c r="C452" t="s">
        <v>2136</v>
      </c>
      <c r="D452" t="s">
        <v>2137</v>
      </c>
      <c r="E452" t="s">
        <v>2138</v>
      </c>
      <c r="F452" t="s">
        <v>2139</v>
      </c>
      <c r="G452" t="s">
        <v>1366</v>
      </c>
      <c r="H452" t="s">
        <v>254</v>
      </c>
      <c r="I452">
        <v>2012</v>
      </c>
      <c r="J452">
        <v>21</v>
      </c>
      <c r="K452" t="s">
        <v>2140</v>
      </c>
      <c r="L452" s="192"/>
      <c r="M452" t="str">
        <f>LEFT($D452,FIND(",",$D452)-1)&amp;"_"&amp;I452&amp;L452</f>
        <v>Pyorala_2012</v>
      </c>
      <c r="N452" t="s">
        <v>222</v>
      </c>
      <c r="O452" s="145" t="s">
        <v>341</v>
      </c>
      <c r="P452" s="180" t="s">
        <v>223</v>
      </c>
      <c r="Q452" s="264" t="s">
        <v>2164</v>
      </c>
      <c r="R452" s="269" t="s">
        <v>1154</v>
      </c>
      <c r="S452" s="263" t="s">
        <v>2165</v>
      </c>
      <c r="T452" s="264" t="s">
        <v>2157</v>
      </c>
      <c r="U452" s="264" t="s">
        <v>2158</v>
      </c>
      <c r="V452">
        <v>0</v>
      </c>
      <c r="W452">
        <v>0</v>
      </c>
      <c r="X452">
        <v>0</v>
      </c>
      <c r="Y452">
        <v>0</v>
      </c>
      <c r="Z452">
        <v>0</v>
      </c>
      <c r="AA452">
        <v>0</v>
      </c>
      <c r="AB452">
        <v>0</v>
      </c>
      <c r="AC452">
        <v>1</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s="141">
        <f>COUNTIF(V452:AW452,"&lt;&gt;0")</f>
        <v>1</v>
      </c>
      <c r="AY452" s="141">
        <f>COUNTIF(V452:AL452,"&lt;&gt;0")</f>
        <v>1</v>
      </c>
      <c r="AZ452">
        <f>COUNTIF(V452:AC452,"&lt;&gt;0")</f>
        <v>1</v>
      </c>
      <c r="BA452">
        <f>COUNTIF(AD452:AI452,"&lt;&gt;0")</f>
        <v>0</v>
      </c>
      <c r="BB452">
        <f>COUNTIF(AJ452:AL452,"&lt;&gt;0")</f>
        <v>0</v>
      </c>
      <c r="BC452">
        <f>COUNTIF(AS452:AW452,"&lt;&gt;0")</f>
        <v>0</v>
      </c>
      <c r="BD452">
        <f>COUNTIF(AM452:AR452,"&lt;&gt;0")</f>
        <v>0</v>
      </c>
      <c r="BE452" t="str" cm="1">
        <f t="array" ref="BE452">IF(AY452=1,INDEX($V$7:$AL$7,MATCH(TRUE,INDEX($V452:$AW452&lt;&gt;0,),0)),IF(AY452=0,INDEX($AM$7:$AW$7,MATCH(1,$AM452:$AW452,0)),IF(BF452="Multiple strategies","mixed drivers",IF(BF452="Supply chain","multiple supply","multiple silviculture"))))</f>
        <v>site fertility</v>
      </c>
      <c r="BF452" s="2" t="str" cm="1">
        <f t="array" ref="BF452">IF(COUNTIF(AZ452:BB452,"&lt;&gt;0")=1,INDEX($V$4:$AW$4,MATCH(TRUE,INDEX($V452:$AW452&lt;&gt;0,),0)),IF(COUNTIF(AZ452:BB452,"&lt;&gt;0")=0,INDEX($AM$4:$AW$4,MATCH(1,$AM452:$AW452,0)),"Multiple strategies"))</f>
        <v>Silviculture for productivity</v>
      </c>
      <c r="BG452" s="178" t="s">
        <v>321</v>
      </c>
      <c r="BH452" s="264" t="s">
        <v>2144</v>
      </c>
      <c r="BI452" s="264" t="s">
        <v>2159</v>
      </c>
      <c r="BJ452" s="160" t="s">
        <v>700</v>
      </c>
      <c r="BK452">
        <v>7.6</v>
      </c>
      <c r="BL452">
        <v>7.8</v>
      </c>
      <c r="BM452"/>
      <c r="BN452">
        <f>BL452-BK452</f>
        <v>0.20000000000000018</v>
      </c>
      <c r="BO452">
        <f>BN452</f>
        <v>0.20000000000000018</v>
      </c>
      <c r="BP452" s="155" t="s">
        <v>395</v>
      </c>
      <c r="BQ452" s="264" t="s">
        <v>783</v>
      </c>
      <c r="BR452" s="155" t="s">
        <v>279</v>
      </c>
      <c r="BS452">
        <v>0.6</v>
      </c>
      <c r="BT452">
        <v>0.6</v>
      </c>
      <c r="BU452" s="144"/>
      <c r="BV452">
        <f>BT452-BS452</f>
        <v>0</v>
      </c>
      <c r="BW452"/>
      <c r="BX452">
        <f>BV452</f>
        <v>0</v>
      </c>
      <c r="BY452">
        <f>IFERROR(BX452/BO452,"")</f>
        <v>0</v>
      </c>
      <c r="BZ452">
        <v>0</v>
      </c>
      <c r="CA452">
        <v>0</v>
      </c>
      <c r="CB452">
        <v>0</v>
      </c>
      <c r="CC452">
        <v>0</v>
      </c>
      <c r="CD452">
        <v>0</v>
      </c>
      <c r="CE452">
        <v>0</v>
      </c>
      <c r="CF452">
        <v>0</v>
      </c>
      <c r="CG452">
        <v>0</v>
      </c>
      <c r="CH452">
        <v>0</v>
      </c>
      <c r="CI452">
        <v>0</v>
      </c>
      <c r="CJ452">
        <v>0</v>
      </c>
      <c r="CK452">
        <v>0</v>
      </c>
      <c r="CL452">
        <v>0</v>
      </c>
      <c r="CM452">
        <v>0</v>
      </c>
      <c r="CN452" t="str">
        <f>IF($BL452&lt;$BK452,"refNeedCorrection","refOK")</f>
        <v>refOK</v>
      </c>
      <c r="CO452">
        <f>IF($CN452="refOK",$BK452,$BL452)</f>
        <v>7.6</v>
      </c>
      <c r="CP452">
        <f>IF($CN452="refOK",$BL452,$BK452)</f>
        <v>7.8</v>
      </c>
      <c r="CQ452">
        <f>IF($CN452="refOK",$BO452,-$BO452)</f>
        <v>0.20000000000000018</v>
      </c>
      <c r="CR452">
        <f>IF($CN452="refOK",$BS452,$BT452)*IF($BP452="Emissions positive",-1,1)</f>
        <v>-0.6</v>
      </c>
      <c r="CS452">
        <f>IF($CN452="refOK",$BT452,$BS452)*IF($BP452="Emissions positive",-1,1)</f>
        <v>-0.6</v>
      </c>
      <c r="CT452">
        <f>IF($CN452="refNeedCorrection",-BX452,BX452)*IF($BP452="Emissions positive",-1,1)</f>
        <v>0</v>
      </c>
      <c r="CU452">
        <f>IFERROR(CT452/CQ452,"")</f>
        <v>0</v>
      </c>
      <c r="CV452" s="2">
        <f>IFERROR((CS452-CR452)/ABS(CR452),"")</f>
        <v>0</v>
      </c>
      <c r="CW452" s="1" t="s">
        <v>1199</v>
      </c>
      <c r="CX452" s="264" t="str">
        <f>IF(OR($CW452="prd",$CW452="std",$CW452="cit"),"loc",IF(OR($CW452="eur",$CW452="reg",$CW452="coy"),"reg",$CW452))</f>
        <v>reg</v>
      </c>
      <c r="CY452" t="s">
        <v>235</v>
      </c>
      <c r="CZ452"/>
      <c r="DA452"/>
      <c r="DB452">
        <v>50</v>
      </c>
      <c r="DC452" t="str">
        <f>IF(DB452=0,"0",IF(AND(DB452&gt;=1,DB452&lt;=30),"1-30",IF(AND(DB452&gt;30,DB452&lt;=70),"31-70",IF(AND(DB452&gt;70,DB452&lt;=100),"71-100",IF(DB452&gt;100,"+100")))))</f>
        <v>31-70</v>
      </c>
      <c r="DD452">
        <v>0</v>
      </c>
      <c r="DE452">
        <v>1</v>
      </c>
      <c r="DF452">
        <v>1</v>
      </c>
      <c r="DG452">
        <v>1</v>
      </c>
      <c r="DH452"/>
      <c r="DI452">
        <f>SUM(DD452:DG452)</f>
        <v>3</v>
      </c>
      <c r="DJ452" t="str">
        <f>IF(DI452=1,INDEX($DD$7:$DG$7,MATCH(1,$DD452:$DG452,0)),"mixedProduct")</f>
        <v>mixedProduct</v>
      </c>
      <c r="DK452">
        <f>IF(DD452=1,DK$7,0)</f>
        <v>0</v>
      </c>
      <c r="DL452" t="str">
        <f>IF(DE452=1,DL$7,0)</f>
        <v>Energy</v>
      </c>
      <c r="DM452" t="str">
        <f>IF(DF452=1,DM$7,0)</f>
        <v>Pulp/Paper</v>
      </c>
      <c r="DN452" t="str">
        <f>IF(DG452=1,DN$7,0)</f>
        <v>Timber</v>
      </c>
      <c r="DO452">
        <v>0</v>
      </c>
      <c r="DP452">
        <v>1</v>
      </c>
      <c r="DQ452" t="s">
        <v>2146</v>
      </c>
      <c r="DR452">
        <v>0</v>
      </c>
      <c r="DS452">
        <v>0</v>
      </c>
      <c r="DT452">
        <f>SUM(DO452:DP452)</f>
        <v>1</v>
      </c>
      <c r="DU452" s="143" t="str">
        <f>IF(DO452=1,"self-calculated DF",IF(DP452=1,"external DF used","explicit C balance"))</f>
        <v>external DF used</v>
      </c>
      <c r="DV452">
        <v>1</v>
      </c>
      <c r="DW452">
        <v>1</v>
      </c>
      <c r="DX452">
        <v>1</v>
      </c>
      <c r="DY452">
        <v>0</v>
      </c>
      <c r="DZ452">
        <v>1</v>
      </c>
      <c r="EA452">
        <v>0</v>
      </c>
      <c r="EB452">
        <v>1</v>
      </c>
      <c r="EC452">
        <v>1</v>
      </c>
      <c r="ED452">
        <v>0</v>
      </c>
      <c r="EE452">
        <v>0</v>
      </c>
      <c r="EF452">
        <v>1</v>
      </c>
      <c r="EG452">
        <v>0</v>
      </c>
      <c r="EH452">
        <v>0</v>
      </c>
      <c r="EI452" s="2">
        <v>0</v>
      </c>
      <c r="EJ452" s="1"/>
      <c r="EK452" t="str">
        <f>IF(AND(AND(AND(OR($DX452=1,$DW452=1),OR($EC452=1,$EA452=1)),SUM($DV452:$DZ452,$EF452)&gt;=4),SUM($EA452:$EE452)&gt;=2),"Whole sector","")</f>
        <v>Whole sector</v>
      </c>
      <c r="EL452" t="str">
        <f>IF(AND(AND(OR($DX452=1,$DW452=1),AND($EC452=0,$EA452=0)),SUM($DV452:$DZ452,$EF452)&gt;=4),"Ecosystem approach","")</f>
        <v/>
      </c>
      <c r="EM452" s="2" t="str">
        <f>IF(AND(AND(AND($DX452=0,$DW452=0),OR($EC452=1,$EA452=1)),SUM($EB452:$EE452)&gt;=2),"Technology approach","")</f>
        <v/>
      </c>
      <c r="EN452"/>
      <c r="EO452"/>
      <c r="EP452" t="str">
        <f>IF(ISNUMBER(BU452),IF(ABS(BU452-[3]QC_indicators!$B$2)&gt;3*[3]QC_indicators!$C$2,"C ratio",IF(ISNUMBER(BY452),IF(ABS(BY452-[3]QC_indicators!$B$1)&gt;3*[3]QC_indicators!$C$1,"DF","no"))),IF(ISNUMBER(BY452),IF(ABS(BY452-[3]QC_indicators!$B$1)&gt;3*[3]QC_indicators!$C$1,"DF","no")))</f>
        <v>no</v>
      </c>
      <c r="EQ452"/>
      <c r="ER452"/>
      <c r="ES452"/>
      <c r="ET452" s="264" t="s">
        <v>3407</v>
      </c>
      <c r="EU452"/>
    </row>
    <row r="453" spans="1:151" s="139" customFormat="1" ht="15" customHeight="1">
      <c r="A453" s="1" t="s">
        <v>1360</v>
      </c>
      <c r="B453" t="s">
        <v>2135</v>
      </c>
      <c r="C453" t="s">
        <v>2136</v>
      </c>
      <c r="D453" t="s">
        <v>2137</v>
      </c>
      <c r="E453" t="s">
        <v>2138</v>
      </c>
      <c r="F453" t="s">
        <v>2139</v>
      </c>
      <c r="G453" t="s">
        <v>1366</v>
      </c>
      <c r="H453" t="s">
        <v>254</v>
      </c>
      <c r="I453">
        <v>2012</v>
      </c>
      <c r="J453">
        <v>21</v>
      </c>
      <c r="K453" t="s">
        <v>2140</v>
      </c>
      <c r="L453" s="192"/>
      <c r="M453" t="str">
        <f>LEFT($D453,FIND(",",$D453)-1)&amp;"_"&amp;I453&amp;L453</f>
        <v>Pyorala_2012</v>
      </c>
      <c r="N453" t="s">
        <v>222</v>
      </c>
      <c r="O453" s="145" t="s">
        <v>341</v>
      </c>
      <c r="P453" s="180" t="s">
        <v>223</v>
      </c>
      <c r="Q453" s="264" t="s">
        <v>2164</v>
      </c>
      <c r="R453" s="269" t="s">
        <v>1154</v>
      </c>
      <c r="S453" s="263" t="s">
        <v>2161</v>
      </c>
      <c r="T453" s="264" t="s">
        <v>2157</v>
      </c>
      <c r="U453" s="264" t="s">
        <v>2158</v>
      </c>
      <c r="V453">
        <v>0</v>
      </c>
      <c r="W453">
        <v>0</v>
      </c>
      <c r="X453">
        <v>0</v>
      </c>
      <c r="Y453">
        <v>0</v>
      </c>
      <c r="Z453">
        <v>0</v>
      </c>
      <c r="AA453">
        <v>0</v>
      </c>
      <c r="AB453">
        <v>0</v>
      </c>
      <c r="AC453">
        <v>1</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s="141">
        <f>COUNTIF(V453:AW453,"&lt;&gt;0")</f>
        <v>1</v>
      </c>
      <c r="AY453" s="141">
        <f>COUNTIF(V453:AL453,"&lt;&gt;0")</f>
        <v>1</v>
      </c>
      <c r="AZ453">
        <f>COUNTIF(V453:AC453,"&lt;&gt;0")</f>
        <v>1</v>
      </c>
      <c r="BA453">
        <f>COUNTIF(AD453:AI453,"&lt;&gt;0")</f>
        <v>0</v>
      </c>
      <c r="BB453">
        <f>COUNTIF(AJ453:AL453,"&lt;&gt;0")</f>
        <v>0</v>
      </c>
      <c r="BC453">
        <f>COUNTIF(AS453:AW453,"&lt;&gt;0")</f>
        <v>0</v>
      </c>
      <c r="BD453">
        <f>COUNTIF(AM453:AR453,"&lt;&gt;0")</f>
        <v>0</v>
      </c>
      <c r="BE453" t="str" cm="1">
        <f t="array" ref="BE453">IF(AY453=1,INDEX($V$7:$AL$7,MATCH(TRUE,INDEX($V453:$AW453&lt;&gt;0,),0)),IF(AY453=0,INDEX($AM$7:$AW$7,MATCH(1,$AM453:$AW453,0)),IF(BF453="Multiple strategies","mixed drivers",IF(BF453="Supply chain","multiple supply","multiple silviculture"))))</f>
        <v>site fertility</v>
      </c>
      <c r="BF453" s="2" t="str" cm="1">
        <f t="array" ref="BF453">IF(COUNTIF(AZ453:BB453,"&lt;&gt;0")=1,INDEX($V$4:$AW$4,MATCH(TRUE,INDEX($V453:$AW453&lt;&gt;0,),0)),IF(COUNTIF(AZ453:BB453,"&lt;&gt;0")=0,INDEX($AM$4:$AW$4,MATCH(1,$AM453:$AW453,0)),"Multiple strategies"))</f>
        <v>Silviculture for productivity</v>
      </c>
      <c r="BG453" s="178" t="s">
        <v>321</v>
      </c>
      <c r="BH453" s="264" t="s">
        <v>2144</v>
      </c>
      <c r="BI453" s="264" t="s">
        <v>2159</v>
      </c>
      <c r="BJ453" s="160" t="s">
        <v>700</v>
      </c>
      <c r="BK453">
        <v>8.3000000000000007</v>
      </c>
      <c r="BL453">
        <v>9.1</v>
      </c>
      <c r="BM453"/>
      <c r="BN453">
        <f>BL453-BK453</f>
        <v>0.79999999999999893</v>
      </c>
      <c r="BO453">
        <f>BN453</f>
        <v>0.79999999999999893</v>
      </c>
      <c r="BP453" s="155" t="s">
        <v>395</v>
      </c>
      <c r="BQ453" s="264" t="s">
        <v>783</v>
      </c>
      <c r="BR453" s="155" t="s">
        <v>279</v>
      </c>
      <c r="BS453">
        <v>0.6</v>
      </c>
      <c r="BT453">
        <v>0.6</v>
      </c>
      <c r="BU453" s="144"/>
      <c r="BV453">
        <f>BT453-BS453</f>
        <v>0</v>
      </c>
      <c r="BW453"/>
      <c r="BX453">
        <f>BV453</f>
        <v>0</v>
      </c>
      <c r="BY453">
        <f>IFERROR(BX453/BO453,"")</f>
        <v>0</v>
      </c>
      <c r="BZ453">
        <v>0</v>
      </c>
      <c r="CA453">
        <v>0</v>
      </c>
      <c r="CB453">
        <v>0</v>
      </c>
      <c r="CC453">
        <v>0</v>
      </c>
      <c r="CD453">
        <v>0</v>
      </c>
      <c r="CE453">
        <v>0</v>
      </c>
      <c r="CF453">
        <v>0</v>
      </c>
      <c r="CG453">
        <v>0</v>
      </c>
      <c r="CH453">
        <v>0</v>
      </c>
      <c r="CI453">
        <v>0</v>
      </c>
      <c r="CJ453">
        <v>0</v>
      </c>
      <c r="CK453">
        <v>0</v>
      </c>
      <c r="CL453">
        <v>0</v>
      </c>
      <c r="CM453">
        <v>0</v>
      </c>
      <c r="CN453" t="str">
        <f>IF($BL453&lt;$BK453,"refNeedCorrection","refOK")</f>
        <v>refOK</v>
      </c>
      <c r="CO453">
        <f>IF($CN453="refOK",$BK453,$BL453)</f>
        <v>8.3000000000000007</v>
      </c>
      <c r="CP453">
        <f>IF($CN453="refOK",$BL453,$BK453)</f>
        <v>9.1</v>
      </c>
      <c r="CQ453">
        <f>IF($CN453="refOK",$BO453,-$BO453)</f>
        <v>0.79999999999999893</v>
      </c>
      <c r="CR453">
        <f>IF($CN453="refOK",$BS453,$BT453)*IF($BP453="Emissions positive",-1,1)</f>
        <v>-0.6</v>
      </c>
      <c r="CS453">
        <f>IF($CN453="refOK",$BT453,$BS453)*IF($BP453="Emissions positive",-1,1)</f>
        <v>-0.6</v>
      </c>
      <c r="CT453">
        <f>IF($CN453="refNeedCorrection",-BX453,BX453)*IF($BP453="Emissions positive",-1,1)</f>
        <v>0</v>
      </c>
      <c r="CU453">
        <f>IFERROR(CT453/CQ453,"")</f>
        <v>0</v>
      </c>
      <c r="CV453" s="2">
        <f>IFERROR((CS453-CR453)/ABS(CR453),"")</f>
        <v>0</v>
      </c>
      <c r="CW453" s="1" t="s">
        <v>1199</v>
      </c>
      <c r="CX453" s="264" t="str">
        <f>IF(OR($CW453="prd",$CW453="std",$CW453="cit"),"loc",IF(OR($CW453="eur",$CW453="reg",$CW453="coy"),"reg",$CW453))</f>
        <v>reg</v>
      </c>
      <c r="CY453" t="s">
        <v>235</v>
      </c>
      <c r="CZ453"/>
      <c r="DA453"/>
      <c r="DB453">
        <v>50</v>
      </c>
      <c r="DC453" t="str">
        <f>IF(DB453=0,"0",IF(AND(DB453&gt;=1,DB453&lt;=30),"1-30",IF(AND(DB453&gt;30,DB453&lt;=70),"31-70",IF(AND(DB453&gt;70,DB453&lt;=100),"71-100",IF(DB453&gt;100,"+100")))))</f>
        <v>31-70</v>
      </c>
      <c r="DD453">
        <v>0</v>
      </c>
      <c r="DE453">
        <v>1</v>
      </c>
      <c r="DF453">
        <v>1</v>
      </c>
      <c r="DG453">
        <v>1</v>
      </c>
      <c r="DH453"/>
      <c r="DI453">
        <f>SUM(DD453:DG453)</f>
        <v>3</v>
      </c>
      <c r="DJ453" t="str">
        <f>IF(DI453=1,INDEX($DD$7:$DG$7,MATCH(1,$DD453:$DG453,0)),"mixedProduct")</f>
        <v>mixedProduct</v>
      </c>
      <c r="DK453">
        <f>IF(DD453=1,DK$7,0)</f>
        <v>0</v>
      </c>
      <c r="DL453" t="str">
        <f>IF(DE453=1,DL$7,0)</f>
        <v>Energy</v>
      </c>
      <c r="DM453" t="str">
        <f>IF(DF453=1,DM$7,0)</f>
        <v>Pulp/Paper</v>
      </c>
      <c r="DN453" t="str">
        <f>IF(DG453=1,DN$7,0)</f>
        <v>Timber</v>
      </c>
      <c r="DO453">
        <v>0</v>
      </c>
      <c r="DP453">
        <v>1</v>
      </c>
      <c r="DQ453" t="s">
        <v>2146</v>
      </c>
      <c r="DR453">
        <v>0</v>
      </c>
      <c r="DS453">
        <v>0</v>
      </c>
      <c r="DT453">
        <f>SUM(DO453:DP453)</f>
        <v>1</v>
      </c>
      <c r="DU453" s="143" t="str">
        <f>IF(DO453=1,"self-calculated DF",IF(DP453=1,"external DF used","explicit C balance"))</f>
        <v>external DF used</v>
      </c>
      <c r="DV453">
        <v>1</v>
      </c>
      <c r="DW453">
        <v>1</v>
      </c>
      <c r="DX453">
        <v>1</v>
      </c>
      <c r="DY453">
        <v>0</v>
      </c>
      <c r="DZ453">
        <v>1</v>
      </c>
      <c r="EA453">
        <v>0</v>
      </c>
      <c r="EB453">
        <v>1</v>
      </c>
      <c r="EC453">
        <v>1</v>
      </c>
      <c r="ED453">
        <v>0</v>
      </c>
      <c r="EE453">
        <v>0</v>
      </c>
      <c r="EF453">
        <v>1</v>
      </c>
      <c r="EG453">
        <v>0</v>
      </c>
      <c r="EH453">
        <v>0</v>
      </c>
      <c r="EI453" s="2">
        <v>0</v>
      </c>
      <c r="EJ453" s="1"/>
      <c r="EK453" t="str">
        <f>IF(AND(AND(AND(OR($DX453=1,$DW453=1),OR($EC453=1,$EA453=1)),SUM($DV453:$DZ453,$EF453)&gt;=4),SUM($EA453:$EE453)&gt;=2),"Whole sector","")</f>
        <v>Whole sector</v>
      </c>
      <c r="EL453" t="str">
        <f>IF(AND(AND(OR($DX453=1,$DW453=1),AND($EC453=0,$EA453=0)),SUM($DV453:$DZ453,$EF453)&gt;=4),"Ecosystem approach","")</f>
        <v/>
      </c>
      <c r="EM453" s="2" t="str">
        <f>IF(AND(AND(AND($DX453=0,$DW453=0),OR($EC453=1,$EA453=1)),SUM($EB453:$EE453)&gt;=2),"Technology approach","")</f>
        <v/>
      </c>
      <c r="EN453"/>
      <c r="EO453"/>
      <c r="EP453" t="str">
        <f>IF(ISNUMBER(BU453),IF(ABS(BU453-[3]QC_indicators!$B$2)&gt;3*[3]QC_indicators!$C$2,"C ratio",IF(ISNUMBER(BY453),IF(ABS(BY453-[3]QC_indicators!$B$1)&gt;3*[3]QC_indicators!$C$1,"DF","no"))),IF(ISNUMBER(BY453),IF(ABS(BY453-[3]QC_indicators!$B$1)&gt;3*[3]QC_indicators!$C$1,"DF","no")))</f>
        <v>no</v>
      </c>
      <c r="EQ453"/>
      <c r="ER453"/>
      <c r="ES453"/>
      <c r="ET453" s="264" t="s">
        <v>3407</v>
      </c>
      <c r="EU453"/>
    </row>
    <row r="454" spans="1:151" s="139" customFormat="1" ht="15" customHeight="1">
      <c r="A454" s="1" t="s">
        <v>1138</v>
      </c>
      <c r="B454" t="s">
        <v>2206</v>
      </c>
      <c r="C454" t="s">
        <v>2207</v>
      </c>
      <c r="D454" t="s">
        <v>2208</v>
      </c>
      <c r="E454" t="s">
        <v>2209</v>
      </c>
      <c r="F454" t="s">
        <v>2210</v>
      </c>
      <c r="G454" t="s">
        <v>1139</v>
      </c>
      <c r="H454" t="s">
        <v>254</v>
      </c>
      <c r="I454">
        <v>2017</v>
      </c>
      <c r="J454">
        <v>12</v>
      </c>
      <c r="K454" t="s">
        <v>2211</v>
      </c>
      <c r="L454"/>
      <c r="M454" t="str">
        <f>LEFT($D454,FIND(",",$D454)-1)&amp;"_"&amp;I454&amp;L454</f>
        <v>Qin_2017</v>
      </c>
      <c r="N454" t="s">
        <v>222</v>
      </c>
      <c r="O454" s="145" t="s">
        <v>341</v>
      </c>
      <c r="P454"/>
      <c r="Q454" t="s">
        <v>256</v>
      </c>
      <c r="R454" s="262" t="s">
        <v>223</v>
      </c>
      <c r="S454" s="1" t="s">
        <v>2216</v>
      </c>
      <c r="T454" s="264" t="s">
        <v>3233</v>
      </c>
      <c r="U454" t="s">
        <v>2213</v>
      </c>
      <c r="V454">
        <v>0</v>
      </c>
      <c r="W454">
        <v>0</v>
      </c>
      <c r="X454">
        <v>0</v>
      </c>
      <c r="Y454">
        <v>1</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1</v>
      </c>
      <c r="AW454">
        <v>0</v>
      </c>
      <c r="AX454" s="141">
        <f>COUNTIF(V454:AW454,"&lt;&gt;0")</f>
        <v>2</v>
      </c>
      <c r="AY454" s="141">
        <f>COUNTIF(V454:AL454,"&lt;&gt;0")</f>
        <v>1</v>
      </c>
      <c r="AZ454">
        <f>COUNTIF(V454:AC454,"&lt;&gt;0")</f>
        <v>1</v>
      </c>
      <c r="BA454">
        <f>COUNTIF(AD454:AI454,"&lt;&gt;0")</f>
        <v>0</v>
      </c>
      <c r="BB454">
        <f>COUNTIF(AJ454:AL454,"&lt;&gt;0")</f>
        <v>0</v>
      </c>
      <c r="BC454">
        <f>COUNTIF(AS454:AW454,"&lt;&gt;0")</f>
        <v>1</v>
      </c>
      <c r="BD454">
        <f>COUNTIF(AM454:AR454,"&lt;&gt;0")</f>
        <v>0</v>
      </c>
      <c r="BE454" t="str">
        <f t="array" ref="BE454">IF(AY454=1,INDEX($V$7:$AL$7,MATCH(TRUE,INDEX($V454:$AW454&lt;&gt;0,),0)),IF(AY454=0,INDEX($AM$7:$AW$7,MATCH(1,$AM454:$AW454,0)),IF(BF454="Multiple strategies","mixed drivers",IF(BF454="Supply chain","multiple supply","multiple silviculture"))))</f>
        <v xml:space="preserve">cutting intensity </v>
      </c>
      <c r="BF454" s="2" t="str" cm="1">
        <f t="array" ref="BF454">IF(COUNTIF(AZ454:BB454,"&lt;&gt;0")=1,INDEX($V$4:$AW$4,MATCH(TRUE,INDEX($V454:$AW454&lt;&gt;0,),0)),IF(COUNTIF(AZ454:BB454,"&lt;&gt;0")=0,INDEX($AM$4:$AW$4,MATCH(1,$AM454:$AW454,0)),"Multiple strategies"))</f>
        <v>Silviculture for removals</v>
      </c>
      <c r="BG454" s="1" t="s">
        <v>321</v>
      </c>
      <c r="BH454" s="264" t="s">
        <v>3225</v>
      </c>
      <c r="BI454" s="264" t="s">
        <v>3226</v>
      </c>
      <c r="BJ454" s="264" t="s">
        <v>1323</v>
      </c>
      <c r="BK454">
        <v>3.67</v>
      </c>
      <c r="BL454">
        <v>3.7</v>
      </c>
      <c r="BM454"/>
      <c r="BN454">
        <f>BL454-BK454</f>
        <v>3.0000000000000249E-2</v>
      </c>
      <c r="BO454" s="143">
        <f>BN454*10^6</f>
        <v>30000.000000000247</v>
      </c>
      <c r="BP454" t="s">
        <v>232</v>
      </c>
      <c r="BQ454" s="153" t="s">
        <v>3227</v>
      </c>
      <c r="BR454" s="264" t="s">
        <v>3228</v>
      </c>
      <c r="BS454">
        <v>-0.57999999999999996</v>
      </c>
      <c r="BT454">
        <v>-0.57999999999999996</v>
      </c>
      <c r="BU454" s="144">
        <f>IFERROR(BT454/BS454,"")</f>
        <v>1</v>
      </c>
      <c r="BV454">
        <f>BT454-BS454</f>
        <v>0</v>
      </c>
      <c r="BW454"/>
      <c r="BX454">
        <f>BV454*C_to_CO2</f>
        <v>0</v>
      </c>
      <c r="BY454">
        <f>IFERROR(BX454/BO454,"")</f>
        <v>0</v>
      </c>
      <c r="BZ454">
        <v>0</v>
      </c>
      <c r="CA454">
        <v>0</v>
      </c>
      <c r="CB454">
        <v>0</v>
      </c>
      <c r="CC454">
        <v>0</v>
      </c>
      <c r="CD454">
        <v>0</v>
      </c>
      <c r="CE454">
        <v>0</v>
      </c>
      <c r="CF454">
        <v>0</v>
      </c>
      <c r="CG454">
        <v>0</v>
      </c>
      <c r="CH454">
        <v>0</v>
      </c>
      <c r="CI454">
        <v>0</v>
      </c>
      <c r="CJ454">
        <v>0</v>
      </c>
      <c r="CK454">
        <v>0</v>
      </c>
      <c r="CL454">
        <v>0</v>
      </c>
      <c r="CM454">
        <v>0</v>
      </c>
      <c r="CN454" t="str">
        <f>IF($BL454&lt;$BK454,"refNeedCorrection","refOK")</f>
        <v>refOK</v>
      </c>
      <c r="CO454">
        <f>IF($CN454="refOK",$BK454,$BL454)</f>
        <v>3.67</v>
      </c>
      <c r="CP454">
        <f>IF($CN454="refOK",$BL454,$BK454)</f>
        <v>3.7</v>
      </c>
      <c r="CQ454">
        <f>IF($CN454="refOK",$BO454,-$BO454)</f>
        <v>30000.000000000247</v>
      </c>
      <c r="CR454">
        <f>IF($CN454="refOK",$BS454,$BT454)*IF($BP454="Emissions positive",-1,1)</f>
        <v>-0.57999999999999996</v>
      </c>
      <c r="CS454">
        <f>IF($CN454="refOK",$BT454,$BS454)*IF($BP454="Emissions positive",-1,1)</f>
        <v>-0.57999999999999996</v>
      </c>
      <c r="CT454">
        <f>IF($CN454="refNeedCorrection",-BX454,BX454)*IF($BP454="Emissions positive",-1,1)</f>
        <v>0</v>
      </c>
      <c r="CU454">
        <f>IFERROR(CT454/CQ454,"")</f>
        <v>0</v>
      </c>
      <c r="CV454" s="2">
        <f>IFERROR((CS454-CR454)/ABS(CR454),"")</f>
        <v>0</v>
      </c>
      <c r="CW454" s="1" t="s">
        <v>1199</v>
      </c>
      <c r="CX454" t="str">
        <f>IF(OR($CW454="prd",$CW454="std",$CW454="cit"),"loc",IF(OR($CW454="eur",$CW454="reg",$CW454="coy"),"reg",$CW454))</f>
        <v>reg</v>
      </c>
      <c r="CY454" t="s">
        <v>690</v>
      </c>
      <c r="CZ454"/>
      <c r="DA454"/>
      <c r="DB454">
        <v>30</v>
      </c>
      <c r="DC454" t="str">
        <f>IF(DB454=0,"0",IF(AND(DB454&gt;=1,DB454&lt;=30),"1-30",IF(AND(DB454&gt;30,DB454&lt;=70),"31-70",IF(AND(DB454&gt;70,DB454&lt;=100),"71-100",IF(DB454&gt;100,"+100")))))</f>
        <v>1-30</v>
      </c>
      <c r="DD454">
        <v>1</v>
      </c>
      <c r="DE454">
        <v>0</v>
      </c>
      <c r="DF454">
        <v>0</v>
      </c>
      <c r="DG454">
        <v>0</v>
      </c>
      <c r="DH454"/>
      <c r="DI454">
        <f>SUM(DD454:DG454)</f>
        <v>1</v>
      </c>
      <c r="DJ454" t="str">
        <f>IF(DI454=1,INDEX($DD$7:$DG$7,MATCH(1,$DD454:$DG454,0)),"mixedProduct")</f>
        <v>UpstreamInput</v>
      </c>
      <c r="DK454" t="str">
        <f>IF(DD454=1,DK$7,0)</f>
        <v>Upstream</v>
      </c>
      <c r="DL454">
        <f>IF(DE454=1,DL$7,0)</f>
        <v>0</v>
      </c>
      <c r="DM454">
        <f>IF(DF454=1,DM$7,0)</f>
        <v>0</v>
      </c>
      <c r="DN454">
        <f>IF(DG454=1,DN$7,0)</f>
        <v>0</v>
      </c>
      <c r="DO454">
        <v>1</v>
      </c>
      <c r="DP454">
        <v>0</v>
      </c>
      <c r="DQ454">
        <v>0</v>
      </c>
      <c r="DR454">
        <v>0</v>
      </c>
      <c r="DS454">
        <v>0</v>
      </c>
      <c r="DT454">
        <f>SUM(DO454:DP454)</f>
        <v>1</v>
      </c>
      <c r="DU454" s="143" t="str">
        <f>IF(DO454=1,"self-calculated DF",IF(DP454=1,"external DF used","explicit C balance"))</f>
        <v>self-calculated DF</v>
      </c>
      <c r="DV454">
        <v>0</v>
      </c>
      <c r="DW454">
        <v>0</v>
      </c>
      <c r="DX454">
        <v>1</v>
      </c>
      <c r="DY454">
        <v>0</v>
      </c>
      <c r="DZ454">
        <v>0</v>
      </c>
      <c r="EA454" s="143">
        <v>0</v>
      </c>
      <c r="EB454">
        <v>0</v>
      </c>
      <c r="EC454">
        <v>0</v>
      </c>
      <c r="ED454">
        <v>0</v>
      </c>
      <c r="EE454">
        <v>0</v>
      </c>
      <c r="EF454">
        <v>1</v>
      </c>
      <c r="EG454">
        <v>0</v>
      </c>
      <c r="EH454">
        <v>0</v>
      </c>
      <c r="EI454" s="2">
        <v>0</v>
      </c>
      <c r="EJ454" s="1"/>
      <c r="EK454" t="str">
        <f>IF(AND(AND(AND(OR($DX454=1,$DW454=1),OR($EC454=1,$EA454=1)),SUM($DV454:$DZ454,$EF454)&gt;=4),SUM($EA454:$EE454)&gt;=2),"Whole sector","")</f>
        <v/>
      </c>
      <c r="EL454" t="str">
        <f>IF(AND(AND(OR($DX454=1,$DW454=1),AND($EC454=0,$EA454=0)),SUM($DV454:$DZ454,$EF454)&gt;=4),"Ecosystem approach","")</f>
        <v/>
      </c>
      <c r="EM454" s="2" t="str">
        <f>IF(AND(AND(AND($DX454=0,$DW454=0),OR($EC454=1,$EA454=1)),SUM($EB454:$EE454)&gt;=2),"Technology approach","")</f>
        <v/>
      </c>
      <c r="EN454"/>
      <c r="EO454"/>
      <c r="EP454" t="str">
        <f>IF(ISNUMBER(BU454),IF(ABS(BU454-[1]QC_indicators!$B$2)&gt;3*[1]QC_indicators!$C$2,"C ratio",IF(ISNUMBER(BY454),IF(ABS(BY454-[1]QC_indicators!$B$1)&gt;3*[1]QC_indicators!$C$1,"DF","no"))),IF(ISNUMBER(BY454),IF(ABS(BY454-[1]QC_indicators!$B$1)&gt;3*[1]QC_indicators!$C$1,"DF","no")))</f>
        <v>no</v>
      </c>
      <c r="EQ454"/>
      <c r="ER454"/>
      <c r="ES454"/>
      <c r="ET454" s="264" t="s">
        <v>3229</v>
      </c>
      <c r="EU454"/>
    </row>
    <row r="455" spans="1:151" s="139" customFormat="1" ht="15" customHeight="1">
      <c r="A455" s="1" t="s">
        <v>1423</v>
      </c>
      <c r="B455" t="s">
        <v>2490</v>
      </c>
      <c r="C455" t="s">
        <v>2491</v>
      </c>
      <c r="D455" t="s">
        <v>2492</v>
      </c>
      <c r="E455" t="s">
        <v>2493</v>
      </c>
      <c r="F455" t="s">
        <v>2494</v>
      </c>
      <c r="G455" t="s">
        <v>1429</v>
      </c>
      <c r="H455" t="s">
        <v>254</v>
      </c>
      <c r="I455">
        <v>2016</v>
      </c>
      <c r="J455">
        <v>24</v>
      </c>
      <c r="K455" t="s">
        <v>2495</v>
      </c>
      <c r="L455"/>
      <c r="M455" t="str">
        <f>LEFT($D455,FIND(",",$D455)-1)&amp;"_"&amp;I455&amp;L455</f>
        <v>Zubizarreta-Gerendiain_2016</v>
      </c>
      <c r="N455" t="s">
        <v>222</v>
      </c>
      <c r="O455" s="145" t="s">
        <v>1154</v>
      </c>
      <c r="P455"/>
      <c r="Q455" t="s">
        <v>256</v>
      </c>
      <c r="R455" s="262" t="s">
        <v>223</v>
      </c>
      <c r="S455" s="1" t="s">
        <v>2526</v>
      </c>
      <c r="T455" t="s">
        <v>2507</v>
      </c>
      <c r="U455" t="s">
        <v>2528</v>
      </c>
      <c r="V455">
        <v>0</v>
      </c>
      <c r="W455">
        <v>0</v>
      </c>
      <c r="X455">
        <v>0</v>
      </c>
      <c r="Y455">
        <v>1</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s="141">
        <f>COUNTIF(V455:AW455,"&lt;&gt;0")</f>
        <v>1</v>
      </c>
      <c r="AY455" s="141">
        <f>COUNTIF(V455:AL455,"&lt;&gt;0")</f>
        <v>1</v>
      </c>
      <c r="AZ455">
        <f>COUNTIF(V455:AC455,"&lt;&gt;0")</f>
        <v>1</v>
      </c>
      <c r="BA455">
        <f>COUNTIF(AD455:AI455,"&lt;&gt;0")</f>
        <v>0</v>
      </c>
      <c r="BB455">
        <f>COUNTIF(AJ455:AL455,"&lt;&gt;0")</f>
        <v>0</v>
      </c>
      <c r="BC455">
        <f>COUNTIF(AS455:AW455,"&lt;&gt;0")</f>
        <v>0</v>
      </c>
      <c r="BD455">
        <f>COUNTIF(AM455:AR455,"&lt;&gt;0")</f>
        <v>0</v>
      </c>
      <c r="BE455" t="str">
        <f t="array" ref="BE455">IF(AY455=1,INDEX($V$7:$AL$7,MATCH(TRUE,INDEX($V455:$AW455&lt;&gt;0,),0)),IF(AY455=0,INDEX($AM$7:$AW$7,MATCH(1,$AM455:$AW455,0)),IF(BF455="Multiple strategies","mixed drivers",IF(BF455="Supply chain","multiple supply","multiple silviculture"))))</f>
        <v xml:space="preserve">cutting intensity </v>
      </c>
      <c r="BF455" s="2" t="str" cm="1">
        <f t="array" ref="BF455">IF(COUNTIF(AZ455:BB455,"&lt;&gt;0")=1,INDEX($V$4:$AW$4,MATCH(TRUE,INDEX($V455:$AW455&lt;&gt;0,),0)),IF(COUNTIF(AZ455:BB455,"&lt;&gt;0")=0,INDEX($AM$4:$AW$4,MATCH(1,$AM455:$AW455,0)),"Multiple strategies"))</f>
        <v>Silviculture for removals</v>
      </c>
      <c r="BG455" s="1" t="s">
        <v>321</v>
      </c>
      <c r="BH455" t="s">
        <v>2499</v>
      </c>
      <c r="BI455" s="264" t="s">
        <v>2113</v>
      </c>
      <c r="BJ455" t="s">
        <v>2500</v>
      </c>
      <c r="BK455">
        <v>64.910485933503793</v>
      </c>
      <c r="BL455">
        <v>71.585677749360599</v>
      </c>
      <c r="BM455" s="143">
        <f>BL455/BK455</f>
        <v>1.1028368794326247</v>
      </c>
      <c r="BN455">
        <f>BL455-BK455</f>
        <v>6.675191815856806</v>
      </c>
      <c r="BO455">
        <f>BN455*1000*t_to_m3</f>
        <v>13622.840440524094</v>
      </c>
      <c r="BP455" t="s">
        <v>232</v>
      </c>
      <c r="BQ455" s="143" t="s">
        <v>3256</v>
      </c>
      <c r="BR455" t="s">
        <v>1195</v>
      </c>
      <c r="BS455">
        <v>10626.584664536607</v>
      </c>
      <c r="BT455">
        <v>10626.584664536607</v>
      </c>
      <c r="BU455" s="144">
        <f>IFERROR(BT455/BS455,"")</f>
        <v>1</v>
      </c>
      <c r="BV455" s="144">
        <f>BT455-BS455</f>
        <v>0</v>
      </c>
      <c r="BW455" s="144"/>
      <c r="BX455" s="144">
        <f>BV455</f>
        <v>0</v>
      </c>
      <c r="BY455">
        <f>IFERROR(BX455/BO455,"")</f>
        <v>0</v>
      </c>
      <c r="BZ455">
        <v>0</v>
      </c>
      <c r="CA455">
        <v>0</v>
      </c>
      <c r="CB455">
        <v>0</v>
      </c>
      <c r="CC455">
        <v>0</v>
      </c>
      <c r="CD455">
        <v>0</v>
      </c>
      <c r="CE455">
        <v>0</v>
      </c>
      <c r="CF455">
        <v>0</v>
      </c>
      <c r="CG455">
        <v>0</v>
      </c>
      <c r="CH455">
        <v>0</v>
      </c>
      <c r="CI455">
        <v>0</v>
      </c>
      <c r="CJ455">
        <v>0</v>
      </c>
      <c r="CK455">
        <v>0</v>
      </c>
      <c r="CL455">
        <v>0</v>
      </c>
      <c r="CM455">
        <v>1</v>
      </c>
      <c r="CN455" t="str">
        <f>IF($BL455&lt;$BK455,"refNeedCorrection","refOK")</f>
        <v>refOK</v>
      </c>
      <c r="CO455">
        <f>IF($CN455="refOK",$BK455,$BL455)</f>
        <v>64.910485933503793</v>
      </c>
      <c r="CP455">
        <f>IF($CN455="refOK",$BL455,$BK455)</f>
        <v>71.585677749360599</v>
      </c>
      <c r="CQ455">
        <f>IF($CN455="refOK",$BO455,-$BO455)</f>
        <v>13622.840440524094</v>
      </c>
      <c r="CR455">
        <f>IF($CN455="refOK",$BS455,$BT455)*IF($BP455="Emissions positive",-1,1)</f>
        <v>10626.584664536607</v>
      </c>
      <c r="CS455">
        <f>IF($CN455="refOK",$BT455,$BS455)*IF($BP455="Emissions positive",-1,1)</f>
        <v>10626.584664536607</v>
      </c>
      <c r="CT455">
        <f>IF($CN455="refNeedCorrection",-BX455,BX455)*IF($BP455="Emissions positive",-1,1)</f>
        <v>0</v>
      </c>
      <c r="CU455">
        <f>IFERROR(CT455/CQ455,"")</f>
        <v>0</v>
      </c>
      <c r="CV455" s="2">
        <f>IFERROR((CS455-CR455)/ABS(CR455),"")</f>
        <v>0</v>
      </c>
      <c r="CW455" s="1" t="s">
        <v>1199</v>
      </c>
      <c r="CX455" t="str">
        <f>IF(OR($CW455="prd",$CW455="std",$CW455="cit"),"loc",IF(OR($CW455="eur",$CW455="reg",$CW455="coy"),"reg",$CW455))</f>
        <v>reg</v>
      </c>
      <c r="CY455" t="s">
        <v>235</v>
      </c>
      <c r="CZ455">
        <v>2010</v>
      </c>
      <c r="DA455">
        <v>2070</v>
      </c>
      <c r="DB455">
        <f>DA455-CZ455</f>
        <v>60</v>
      </c>
      <c r="DC455" t="str">
        <f>IF(DB455=0,"0",IF(AND(DB455&gt;=1,DB455&lt;=30),"1-30",IF(AND(DB455&gt;30,DB455&lt;=70),"31-70",IF(AND(DB455&gt;70,DB455&lt;=100),"71-100",IF(DB455&gt;100,"+100")))))</f>
        <v>31-70</v>
      </c>
      <c r="DD455">
        <v>1</v>
      </c>
      <c r="DE455">
        <v>1</v>
      </c>
      <c r="DF455">
        <v>1</v>
      </c>
      <c r="DG455">
        <v>1</v>
      </c>
      <c r="DH455">
        <v>0</v>
      </c>
      <c r="DI455">
        <f>SUM(DD455:DG455)</f>
        <v>4</v>
      </c>
      <c r="DJ455" t="str">
        <f>IF(DI455=1,INDEX($DD$7:$DG$7,MATCH(1,$DD455:$DG455,0)),"mixedProduct")</f>
        <v>mixedProduct</v>
      </c>
      <c r="DK455" t="str">
        <f>IF(DD455=1,DK$7,0)</f>
        <v>Upstream</v>
      </c>
      <c r="DL455" t="str">
        <f>IF(DE455=1,DL$7,0)</f>
        <v>Energy</v>
      </c>
      <c r="DM455" t="str">
        <f>IF(DF455=1,DM$7,0)</f>
        <v>Pulp/Paper</v>
      </c>
      <c r="DN455" t="str">
        <f>IF(DG455=1,DN$7,0)</f>
        <v>Timber</v>
      </c>
      <c r="DO455">
        <v>0</v>
      </c>
      <c r="DP455">
        <v>0</v>
      </c>
      <c r="DQ455">
        <v>0</v>
      </c>
      <c r="DR455">
        <v>0</v>
      </c>
      <c r="DS455">
        <v>0</v>
      </c>
      <c r="DT455">
        <f>SUM(DO455:DP455)</f>
        <v>0</v>
      </c>
      <c r="DU455" s="143" t="str">
        <f>IF(DO455=1,"self-calculated DF",IF(DP455=1,"external DF used","explicit C balance"))</f>
        <v>explicit C balance</v>
      </c>
      <c r="DV455">
        <v>1</v>
      </c>
      <c r="DW455">
        <v>1</v>
      </c>
      <c r="DX455">
        <v>1</v>
      </c>
      <c r="DY455">
        <v>0</v>
      </c>
      <c r="DZ455">
        <v>0</v>
      </c>
      <c r="EA455" s="143">
        <v>0</v>
      </c>
      <c r="EB455">
        <v>1</v>
      </c>
      <c r="EC455">
        <v>1</v>
      </c>
      <c r="ED455">
        <v>0</v>
      </c>
      <c r="EE455">
        <v>0</v>
      </c>
      <c r="EF455">
        <v>1</v>
      </c>
      <c r="EG455">
        <v>0</v>
      </c>
      <c r="EH455">
        <v>0</v>
      </c>
      <c r="EI455" s="2">
        <v>0</v>
      </c>
      <c r="EJ455" s="1"/>
      <c r="EK455" t="str">
        <f>IF(AND(AND(AND(OR($DX455=1,$DW455=1),OR($EC455=1,$EA455=1)),SUM($DV455:$DZ455,$EF455)&gt;=4),SUM($EA455:$EE455)&gt;=2),"Whole sector","")</f>
        <v>Whole sector</v>
      </c>
      <c r="EL455" t="str">
        <f>IF(AND(AND(OR($DX455=1,$DW455=1),AND($EC455=0,$EA455=0)),SUM($DV455:$DZ455,$EF455)&gt;=4),"Ecosystem approach","")</f>
        <v/>
      </c>
      <c r="EM455" s="2" t="str">
        <f>IF(AND(AND(AND($DX455=0,$DW455=0),OR($EC455=1,$EA455=1)),SUM($EB455:$EE455)&gt;=2),"Technology approach","")</f>
        <v/>
      </c>
      <c r="EN455"/>
      <c r="EO455"/>
      <c r="EP455" t="str">
        <f>IF(ISNUMBER(BU455),IF(ABS(BU455-[1]QC_indicators!$B$2)&gt;3*[1]QC_indicators!$C$2,"C ratio",IF(ISNUMBER(BY455),IF(ABS(BY455-[1]QC_indicators!$B$1)&gt;3*[1]QC_indicators!$C$1,"DF","no"))),IF(ISNUMBER(BY455),IF(ABS(BY455-[1]QC_indicators!$B$1)&gt;3*[1]QC_indicators!$C$1,"DF","no")))</f>
        <v>no</v>
      </c>
      <c r="EQ455"/>
      <c r="ER455"/>
      <c r="ES455"/>
      <c r="ET455" s="264" t="s">
        <v>3258</v>
      </c>
      <c r="EU455"/>
    </row>
    <row r="456" spans="1:151" s="139" customFormat="1" ht="15" customHeight="1">
      <c r="A456" s="1"/>
      <c r="B456"/>
      <c r="C456"/>
      <c r="D456" t="s">
        <v>2052</v>
      </c>
      <c r="E456" t="s">
        <v>2053</v>
      </c>
      <c r="F456"/>
      <c r="G456" t="s">
        <v>2054</v>
      </c>
      <c r="H456"/>
      <c r="I456">
        <v>2018</v>
      </c>
      <c r="J456"/>
      <c r="K456" s="150" t="s">
        <v>2055</v>
      </c>
      <c r="L456"/>
      <c r="M456" t="str">
        <f>LEFT($D456,FIND(",",$D456)-1)&amp;"_"&amp;I456&amp;L456</f>
        <v>Olguin_2018</v>
      </c>
      <c r="N456" t="s">
        <v>222</v>
      </c>
      <c r="O456" s="157" t="s">
        <v>274</v>
      </c>
      <c r="P456" t="s">
        <v>513</v>
      </c>
      <c r="Q456" t="s">
        <v>389</v>
      </c>
      <c r="R456" s="262" t="s">
        <v>223</v>
      </c>
      <c r="S456" s="263" t="s">
        <v>3189</v>
      </c>
      <c r="T456" t="s">
        <v>2056</v>
      </c>
      <c r="U456" t="s">
        <v>2065</v>
      </c>
      <c r="V456">
        <v>0</v>
      </c>
      <c r="W456">
        <v>0</v>
      </c>
      <c r="X456">
        <v>0</v>
      </c>
      <c r="Y456">
        <v>0</v>
      </c>
      <c r="Z456">
        <v>0</v>
      </c>
      <c r="AA456">
        <v>0</v>
      </c>
      <c r="AB456">
        <v>0</v>
      </c>
      <c r="AC456">
        <v>1</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s="141">
        <f>COUNTIF(V456:AW456,"&lt;&gt;0")</f>
        <v>1</v>
      </c>
      <c r="AY456" s="141">
        <f>COUNTIF(V456:AL456,"&lt;&gt;0")</f>
        <v>1</v>
      </c>
      <c r="AZ456">
        <f>COUNTIF(V456:AC456,"&lt;&gt;0")</f>
        <v>1</v>
      </c>
      <c r="BA456">
        <f>COUNTIF(AD456:AI456,"&lt;&gt;0")</f>
        <v>0</v>
      </c>
      <c r="BB456">
        <f>COUNTIF(AJ456:AL456,"&lt;&gt;0")</f>
        <v>0</v>
      </c>
      <c r="BC456">
        <f>COUNTIF(AS456:AW456,"&lt;&gt;0")</f>
        <v>0</v>
      </c>
      <c r="BD456">
        <f>COUNTIF(AM456:AR456,"&lt;&gt;0")</f>
        <v>0</v>
      </c>
      <c r="BE456" t="str">
        <f t="array" ref="BE456">IF(AY456=1,INDEX($V$7:$AL$7,MATCH(TRUE,INDEX($V456:$AW456&lt;&gt;0,),0)),IF(AY456=0,INDEX($AM$7:$AW$7,MATCH(1,$AM456:$AW456,0)),IF(BF456="Multiple strategies","mixed drivers",IF(BF456="Supply chain","multiple supply","multiple silviculture"))))</f>
        <v>site fertility</v>
      </c>
      <c r="BF456" s="2" t="str" cm="1">
        <f t="array" ref="BF456">IF(COUNTIF(AZ456:BB456,"&lt;&gt;0")=1,INDEX($V$4:$AW$4,MATCH(TRUE,INDEX($V456:$AW456&lt;&gt;0,),0)),IF(COUNTIF(AZ456:BB456,"&lt;&gt;0")=0,INDEX($AM$4:$AW$4,MATCH(1,$AM456:$AW456,0)),"Multiple strategies"))</f>
        <v>Silviculture for productivity</v>
      </c>
      <c r="BG456" s="1" t="s">
        <v>321</v>
      </c>
      <c r="BH456"/>
      <c r="BI456" s="264" t="s">
        <v>1036</v>
      </c>
      <c r="BJ456" t="s">
        <v>2058</v>
      </c>
      <c r="BK456">
        <v>0</v>
      </c>
      <c r="BL456">
        <v>6788</v>
      </c>
      <c r="BM456" t="str">
        <f>IFERROR(BL456/BK456,"")</f>
        <v/>
      </c>
      <c r="BN456">
        <f>BL456-BK456</f>
        <v>6788</v>
      </c>
      <c r="BO456">
        <f>BN456*tC_to_m3</f>
        <v>29474.598349978292</v>
      </c>
      <c r="BP456" t="s">
        <v>232</v>
      </c>
      <c r="BQ456" t="s">
        <v>424</v>
      </c>
      <c r="BR456" t="s">
        <v>2063</v>
      </c>
      <c r="BS456"/>
      <c r="BT456"/>
      <c r="BU456" s="144"/>
      <c r="BV456">
        <v>1E-3</v>
      </c>
      <c r="BW456"/>
      <c r="BX456">
        <f>BV456</f>
        <v>1E-3</v>
      </c>
      <c r="BY456">
        <f>IFERROR(BX456/BO456,"")</f>
        <v>3.3927519151443721E-8</v>
      </c>
      <c r="BZ456">
        <v>0</v>
      </c>
      <c r="CA456">
        <v>0</v>
      </c>
      <c r="CB456">
        <v>0</v>
      </c>
      <c r="CC456">
        <v>0</v>
      </c>
      <c r="CD456">
        <v>0</v>
      </c>
      <c r="CE456">
        <v>0</v>
      </c>
      <c r="CF456">
        <v>0</v>
      </c>
      <c r="CG456">
        <v>0</v>
      </c>
      <c r="CH456">
        <v>0</v>
      </c>
      <c r="CI456">
        <v>0</v>
      </c>
      <c r="CJ456">
        <v>0</v>
      </c>
      <c r="CK456">
        <v>0</v>
      </c>
      <c r="CL456">
        <v>0</v>
      </c>
      <c r="CM456">
        <v>0</v>
      </c>
      <c r="CN456" t="str">
        <f>IF($BL456&lt;$BK456,"refNeedCorrection","refOK")</f>
        <v>refOK</v>
      </c>
      <c r="CO456">
        <f>IF($CN456="refOK",$BK456,$BL456)</f>
        <v>0</v>
      </c>
      <c r="CP456">
        <f>IF($CN456="refOK",$BL456,$BK456)</f>
        <v>6788</v>
      </c>
      <c r="CQ456">
        <f>IF($CN456="refOK",$BO456,-$BO456)</f>
        <v>29474.598349978292</v>
      </c>
      <c r="CR456">
        <f>IF($CN456="refOK",$BS456,$BT456)*IF($BP456="Emissions positive",-1,1)</f>
        <v>0</v>
      </c>
      <c r="CS456">
        <f>IF($CN456="refOK",$BT456,$BS456)*IF($BP456="Emissions positive",-1,1)</f>
        <v>0</v>
      </c>
      <c r="CT456">
        <f>IF($CN456="refNeedCorrection",-BX456,BX456)*IF($BP456="Emissions positive",-1,1)</f>
        <v>1E-3</v>
      </c>
      <c r="CU456">
        <f>IFERROR(CT456/CQ456,"")</f>
        <v>3.3927519151443721E-8</v>
      </c>
      <c r="CV456" s="2" t="str">
        <f>IFERROR((CS456-CR456)/ABS(CR456),"")</f>
        <v/>
      </c>
      <c r="CW456" s="1" t="s">
        <v>2036</v>
      </c>
      <c r="CX456" t="str">
        <f>IF(OR($CW456="prd",$CW456="std",$CW456="cit"),"loc",IF(OR($CW456="eur",$CW456="reg",$CW456="coy"),"reg",$CW456))</f>
        <v>reg</v>
      </c>
      <c r="CY456" t="s">
        <v>2060</v>
      </c>
      <c r="CZ456">
        <v>2021</v>
      </c>
      <c r="DA456">
        <v>2030</v>
      </c>
      <c r="DB456">
        <f>DA456-CZ456</f>
        <v>9</v>
      </c>
      <c r="DC456" t="str">
        <f>IF(DB456=0,"0",IF(AND(DB456&gt;=1,DB456&lt;=30),"1-30",IF(AND(DB456&gt;30,DB456&lt;=70),"31-70",IF(AND(DB456&gt;70,DB456&lt;=100),"71-100",IF(DB456&gt;100,"+100")))))</f>
        <v>1-30</v>
      </c>
      <c r="DD456">
        <v>0</v>
      </c>
      <c r="DE456">
        <v>0</v>
      </c>
      <c r="DF456">
        <v>0</v>
      </c>
      <c r="DG456">
        <v>1</v>
      </c>
      <c r="DH456">
        <v>0</v>
      </c>
      <c r="DI456">
        <f>SUM(DD456:DG456)</f>
        <v>1</v>
      </c>
      <c r="DJ456" t="str">
        <f>IF(DI456=1,INDEX($DD$7:$DG$7,MATCH(1,$DD456:$DG456,0)),"mixedProduct")</f>
        <v>TimberInput</v>
      </c>
      <c r="DK456">
        <f>IF(DD456=1,DK$7,0)</f>
        <v>0</v>
      </c>
      <c r="DL456">
        <f>IF(DE456=1,DL$7,0)</f>
        <v>0</v>
      </c>
      <c r="DM456">
        <f>IF(DF456=1,DM$7,0)</f>
        <v>0</v>
      </c>
      <c r="DN456" t="str">
        <f>IF(DG456=1,DN$7,0)</f>
        <v>Timber</v>
      </c>
      <c r="DO456"/>
      <c r="DP456">
        <v>1</v>
      </c>
      <c r="DQ456"/>
      <c r="DR456"/>
      <c r="DS456" s="184" t="s">
        <v>2061</v>
      </c>
      <c r="DT456"/>
      <c r="DU456" s="143" t="str">
        <f>IF(DO456=1,"self-calculated DF",IF(DP456=1,"external DF used","explicit C balance"))</f>
        <v>external DF used</v>
      </c>
      <c r="DV456">
        <v>1</v>
      </c>
      <c r="DW456">
        <v>1</v>
      </c>
      <c r="DX456">
        <v>1</v>
      </c>
      <c r="DY456">
        <v>1</v>
      </c>
      <c r="DZ456">
        <v>1</v>
      </c>
      <c r="EA456">
        <v>1</v>
      </c>
      <c r="EB456">
        <v>0</v>
      </c>
      <c r="EC456">
        <v>0</v>
      </c>
      <c r="ED456">
        <v>0</v>
      </c>
      <c r="EE456">
        <v>0</v>
      </c>
      <c r="EF456">
        <v>1</v>
      </c>
      <c r="EG456">
        <v>0</v>
      </c>
      <c r="EH456">
        <v>1</v>
      </c>
      <c r="EI456" s="2">
        <v>0</v>
      </c>
      <c r="EJ456" s="1"/>
      <c r="EK456" t="str">
        <f>IF(AND(AND(AND(OR($DX456=1,$DW456=1),OR($EC456=1,$EA456=1)),SUM($DV456:$DZ456,$EF456)&gt;=4),SUM($EA456:$EE456)&gt;=2),"Whole sector","")</f>
        <v/>
      </c>
      <c r="EL456" t="str">
        <f>IF(AND(AND(OR($DX456=1,$DW456=1),AND($EC456=0,$EA456=0)),SUM($DV456:$DZ456,$EF456)&gt;=4),"Ecosystem approach","")</f>
        <v/>
      </c>
      <c r="EM456" s="2" t="str">
        <f>IF(AND(AND(AND($DX456=0,$DW456=0),OR($EC456=1,$EA456=1)),SUM($EB456:$EE456)&gt;=2),"Technology approach","")</f>
        <v/>
      </c>
      <c r="EN456"/>
      <c r="EO456"/>
      <c r="EP456" t="str">
        <f>IF(ISNUMBER(BU456),IF(ABS(BU456-[1]QC_indicators!$B$2)&gt;3*[1]QC_indicators!$C$2,"C ratio",IF(ISNUMBER(BY456),IF(ABS(BY456-[1]QC_indicators!$B$1)&gt;3*[1]QC_indicators!$C$1,"DF","no"))),IF(ISNUMBER(BY456),IF(ABS(BY456-[1]QC_indicators!$B$1)&gt;3*[1]QC_indicators!$C$1,"DF","no")))</f>
        <v>no</v>
      </c>
      <c r="EQ456"/>
      <c r="ER456"/>
      <c r="ES456"/>
      <c r="ET456" s="264" t="s">
        <v>3273</v>
      </c>
      <c r="EU456"/>
    </row>
    <row r="457" spans="1:151" s="139" customFormat="1" ht="15" customHeight="1">
      <c r="A457" s="1"/>
      <c r="B457"/>
      <c r="C457"/>
      <c r="D457" t="s">
        <v>2052</v>
      </c>
      <c r="E457" t="s">
        <v>2053</v>
      </c>
      <c r="F457"/>
      <c r="G457" t="s">
        <v>2054</v>
      </c>
      <c r="H457"/>
      <c r="I457">
        <v>2018</v>
      </c>
      <c r="J457"/>
      <c r="K457" s="150" t="s">
        <v>2055</v>
      </c>
      <c r="L457"/>
      <c r="M457" t="str">
        <f>LEFT($D457,FIND(",",$D457)-1)&amp;"_"&amp;I457&amp;L457</f>
        <v>Olguin_2018</v>
      </c>
      <c r="N457" t="s">
        <v>222</v>
      </c>
      <c r="O457" s="157" t="s">
        <v>274</v>
      </c>
      <c r="P457" t="s">
        <v>513</v>
      </c>
      <c r="Q457" t="s">
        <v>389</v>
      </c>
      <c r="R457" s="262" t="s">
        <v>223</v>
      </c>
      <c r="S457" s="263" t="s">
        <v>3193</v>
      </c>
      <c r="T457" t="s">
        <v>2056</v>
      </c>
      <c r="U457" t="s">
        <v>2062</v>
      </c>
      <c r="V457">
        <v>0</v>
      </c>
      <c r="W457">
        <v>0</v>
      </c>
      <c r="X457">
        <v>0</v>
      </c>
      <c r="Y457">
        <v>0</v>
      </c>
      <c r="Z457">
        <v>0</v>
      </c>
      <c r="AA457">
        <v>0</v>
      </c>
      <c r="AB457">
        <v>0</v>
      </c>
      <c r="AC457">
        <v>1</v>
      </c>
      <c r="AD457">
        <v>0</v>
      </c>
      <c r="AE457">
        <v>0</v>
      </c>
      <c r="AF457">
        <v>1</v>
      </c>
      <c r="AG457">
        <v>0</v>
      </c>
      <c r="AH457">
        <v>0</v>
      </c>
      <c r="AI457">
        <v>0</v>
      </c>
      <c r="AJ457">
        <v>0</v>
      </c>
      <c r="AK457">
        <v>0</v>
      </c>
      <c r="AL457">
        <v>0</v>
      </c>
      <c r="AM457">
        <v>0</v>
      </c>
      <c r="AN457">
        <v>0</v>
      </c>
      <c r="AO457">
        <v>0</v>
      </c>
      <c r="AP457">
        <v>0</v>
      </c>
      <c r="AQ457">
        <v>0</v>
      </c>
      <c r="AR457">
        <v>0</v>
      </c>
      <c r="AS457">
        <v>0</v>
      </c>
      <c r="AT457">
        <v>0</v>
      </c>
      <c r="AU457">
        <v>0</v>
      </c>
      <c r="AV457">
        <v>0</v>
      </c>
      <c r="AW457">
        <v>0</v>
      </c>
      <c r="AX457" s="141">
        <f>COUNTIF(V457:AW457,"&lt;&gt;0")</f>
        <v>2</v>
      </c>
      <c r="AY457" s="141">
        <f>COUNTIF(V457:AL457,"&lt;&gt;0")</f>
        <v>2</v>
      </c>
      <c r="AZ457">
        <f>COUNTIF(V457:AC457,"&lt;&gt;0")</f>
        <v>1</v>
      </c>
      <c r="BA457">
        <f>COUNTIF(AD457:AI457,"&lt;&gt;0")</f>
        <v>1</v>
      </c>
      <c r="BB457">
        <f>COUNTIF(AJ457:AL457,"&lt;&gt;0")</f>
        <v>0</v>
      </c>
      <c r="BC457">
        <f>COUNTIF(AS457:AW457,"&lt;&gt;0")</f>
        <v>0</v>
      </c>
      <c r="BD457">
        <f>COUNTIF(AM457:AR457,"&lt;&gt;0")</f>
        <v>0</v>
      </c>
      <c r="BE457" t="str">
        <f t="array" ref="BE457">IF(AY457=1,INDEX($V$7:$AL$7,MATCH(TRUE,INDEX($V457:$AW457&lt;&gt;0,),0)),IF(AY457=0,INDEX($AM$7:$AW$7,MATCH(1,$AM457:$AW457,0)),IF(BF457="Multiple strategies","mixed drivers",IF(BF457="Supply chain","multiple supply","multiple silviculture"))))</f>
        <v>mixed drivers</v>
      </c>
      <c r="BF457" s="2" t="str" cm="1">
        <f t="array" ref="BF457">IF(COUNTIF(AZ457:BB457,"&lt;&gt;0")=1,INDEX($V$4:$AW$4,MATCH(TRUE,INDEX($V457:$AW457&lt;&gt;0,),0)),IF(COUNTIF(AZ457:BB457,"&lt;&gt;0")=0,INDEX($AM$4:$AW$4,MATCH(1,$AM457:$AW457,0)),"Multiple strategies"))</f>
        <v>Multiple strategies</v>
      </c>
      <c r="BG457" s="1" t="s">
        <v>321</v>
      </c>
      <c r="BH457"/>
      <c r="BI457" s="264" t="s">
        <v>1036</v>
      </c>
      <c r="BJ457" t="s">
        <v>2058</v>
      </c>
      <c r="BK457">
        <v>0</v>
      </c>
      <c r="BL457">
        <v>6788</v>
      </c>
      <c r="BM457" t="str">
        <f>IFERROR(BL457/BK457,"")</f>
        <v/>
      </c>
      <c r="BN457">
        <f>BL457-BK457</f>
        <v>6788</v>
      </c>
      <c r="BO457">
        <f>BN457*tC_to_m3</f>
        <v>29474.598349978292</v>
      </c>
      <c r="BP457" t="s">
        <v>232</v>
      </c>
      <c r="BQ457" t="s">
        <v>424</v>
      </c>
      <c r="BR457" t="s">
        <v>2063</v>
      </c>
      <c r="BS457"/>
      <c r="BT457"/>
      <c r="BU457" s="144"/>
      <c r="BV457">
        <v>0.01</v>
      </c>
      <c r="BW457"/>
      <c r="BX457">
        <f>BV457</f>
        <v>0.01</v>
      </c>
      <c r="BY457">
        <f>IFERROR(BX457/BO457,"")</f>
        <v>3.3927519151443723E-7</v>
      </c>
      <c r="BZ457">
        <v>0</v>
      </c>
      <c r="CA457">
        <v>0</v>
      </c>
      <c r="CB457">
        <v>0</v>
      </c>
      <c r="CC457">
        <v>0</v>
      </c>
      <c r="CD457">
        <v>0</v>
      </c>
      <c r="CE457">
        <v>0</v>
      </c>
      <c r="CF457">
        <v>0</v>
      </c>
      <c r="CG457">
        <v>0</v>
      </c>
      <c r="CH457">
        <v>0</v>
      </c>
      <c r="CI457">
        <v>0</v>
      </c>
      <c r="CJ457">
        <v>0</v>
      </c>
      <c r="CK457">
        <v>0</v>
      </c>
      <c r="CL457">
        <v>0</v>
      </c>
      <c r="CM457">
        <v>0</v>
      </c>
      <c r="CN457" t="str">
        <f>IF($BL457&lt;$BK457,"refNeedCorrection","refOK")</f>
        <v>refOK</v>
      </c>
      <c r="CO457">
        <f>IF($CN457="refOK",$BK457,$BL457)</f>
        <v>0</v>
      </c>
      <c r="CP457">
        <f>IF($CN457="refOK",$BL457,$BK457)</f>
        <v>6788</v>
      </c>
      <c r="CQ457">
        <f>IF($CN457="refOK",$BO457,-$BO457)</f>
        <v>29474.598349978292</v>
      </c>
      <c r="CR457">
        <f>IF($CN457="refOK",$BS457,$BT457)*IF($BP457="Emissions positive",-1,1)</f>
        <v>0</v>
      </c>
      <c r="CS457">
        <f>IF($CN457="refOK",$BT457,$BS457)*IF($BP457="Emissions positive",-1,1)</f>
        <v>0</v>
      </c>
      <c r="CT457">
        <f>IF($CN457="refNeedCorrection",-BX457,BX457)*IF($BP457="Emissions positive",-1,1)</f>
        <v>0.01</v>
      </c>
      <c r="CU457">
        <f>IFERROR(CT457/CQ457,"")</f>
        <v>3.3927519151443723E-7</v>
      </c>
      <c r="CV457" s="2" t="str">
        <f>IFERROR((CS457-CR457)/ABS(CR457),"")</f>
        <v/>
      </c>
      <c r="CW457" s="1" t="s">
        <v>2036</v>
      </c>
      <c r="CX457" t="str">
        <f>IF(OR($CW457="prd",$CW457="std",$CW457="cit"),"loc",IF(OR($CW457="eur",$CW457="reg",$CW457="coy"),"reg",$CW457))</f>
        <v>reg</v>
      </c>
      <c r="CY457" t="s">
        <v>2060</v>
      </c>
      <c r="CZ457">
        <v>2021</v>
      </c>
      <c r="DA457">
        <v>2030</v>
      </c>
      <c r="DB457">
        <f>DA457-CZ457</f>
        <v>9</v>
      </c>
      <c r="DC457" t="str">
        <f>IF(DB457=0,"0",IF(AND(DB457&gt;=1,DB457&lt;=30),"1-30",IF(AND(DB457&gt;30,DB457&lt;=70),"31-70",IF(AND(DB457&gt;70,DB457&lt;=100),"71-100",IF(DB457&gt;100,"+100")))))</f>
        <v>1-30</v>
      </c>
      <c r="DD457">
        <v>0</v>
      </c>
      <c r="DE457">
        <v>0</v>
      </c>
      <c r="DF457">
        <v>0</v>
      </c>
      <c r="DG457">
        <v>1</v>
      </c>
      <c r="DH457">
        <v>0</v>
      </c>
      <c r="DI457">
        <f>SUM(DD457:DG457)</f>
        <v>1</v>
      </c>
      <c r="DJ457" t="str">
        <f>IF(DI457=1,INDEX($DD$7:$DG$7,MATCH(1,$DD457:$DG457,0)),"mixedProduct")</f>
        <v>TimberInput</v>
      </c>
      <c r="DK457">
        <f>IF(DD457=1,DK$7,0)</f>
        <v>0</v>
      </c>
      <c r="DL457">
        <f>IF(DE457=1,DL$7,0)</f>
        <v>0</v>
      </c>
      <c r="DM457">
        <f>IF(DF457=1,DM$7,0)</f>
        <v>0</v>
      </c>
      <c r="DN457" t="str">
        <f>IF(DG457=1,DN$7,0)</f>
        <v>Timber</v>
      </c>
      <c r="DO457"/>
      <c r="DP457">
        <v>1</v>
      </c>
      <c r="DQ457"/>
      <c r="DR457"/>
      <c r="DS457" s="184" t="s">
        <v>2061</v>
      </c>
      <c r="DT457"/>
      <c r="DU457" s="143" t="str">
        <f>IF(DO457=1,"self-calculated DF",IF(DP457=1,"external DF used","explicit C balance"))</f>
        <v>external DF used</v>
      </c>
      <c r="DV457">
        <v>1</v>
      </c>
      <c r="DW457">
        <v>1</v>
      </c>
      <c r="DX457">
        <v>1</v>
      </c>
      <c r="DY457">
        <v>1</v>
      </c>
      <c r="DZ457">
        <v>1</v>
      </c>
      <c r="EA457">
        <v>1</v>
      </c>
      <c r="EB457">
        <v>0</v>
      </c>
      <c r="EC457">
        <v>0</v>
      </c>
      <c r="ED457">
        <v>0</v>
      </c>
      <c r="EE457">
        <v>0</v>
      </c>
      <c r="EF457">
        <v>1</v>
      </c>
      <c r="EG457">
        <v>0</v>
      </c>
      <c r="EH457">
        <v>1</v>
      </c>
      <c r="EI457" s="2">
        <v>0</v>
      </c>
      <c r="EJ457" s="1"/>
      <c r="EK457" t="str">
        <f>IF(AND(AND(AND(OR($DX457=1,$DW457=1),OR($EC457=1,$EA457=1)),SUM($DV457:$DZ457,$EF457)&gt;=4),SUM($EA457:$EE457)&gt;=2),"Whole sector","")</f>
        <v/>
      </c>
      <c r="EL457" t="str">
        <f>IF(AND(AND(OR($DX457=1,$DW457=1),AND($EC457=0,$EA457=0)),SUM($DV457:$DZ457,$EF457)&gt;=4),"Ecosystem approach","")</f>
        <v/>
      </c>
      <c r="EM457" s="2" t="str">
        <f>IF(AND(AND(AND($DX457=0,$DW457=0),OR($EC457=1,$EA457=1)),SUM($EB457:$EE457)&gt;=2),"Technology approach","")</f>
        <v/>
      </c>
      <c r="EN457"/>
      <c r="EO457"/>
      <c r="EP457" t="str">
        <f>IF(ISNUMBER(BU457),IF(ABS(BU457-[1]QC_indicators!$B$2)&gt;3*[1]QC_indicators!$C$2,"C ratio",IF(ISNUMBER(BY457),IF(ABS(BY457-[1]QC_indicators!$B$1)&gt;3*[1]QC_indicators!$C$1,"DF","no"))),IF(ISNUMBER(BY457),IF(ABS(BY457-[1]QC_indicators!$B$1)&gt;3*[1]QC_indicators!$C$1,"DF","no")))</f>
        <v>no</v>
      </c>
      <c r="EQ457"/>
      <c r="ER457"/>
      <c r="ES457"/>
      <c r="ET457" s="264" t="s">
        <v>3273</v>
      </c>
      <c r="EU457"/>
    </row>
    <row r="458" spans="1:151" s="139" customFormat="1" ht="15" customHeight="1">
      <c r="A458" s="1"/>
      <c r="B458"/>
      <c r="C458"/>
      <c r="D458" t="s">
        <v>2052</v>
      </c>
      <c r="E458" t="s">
        <v>2053</v>
      </c>
      <c r="F458"/>
      <c r="G458" t="s">
        <v>2054</v>
      </c>
      <c r="H458"/>
      <c r="I458">
        <v>2018</v>
      </c>
      <c r="J458"/>
      <c r="K458" s="150" t="s">
        <v>2055</v>
      </c>
      <c r="L458"/>
      <c r="M458" t="str">
        <f>LEFT($D458,FIND(",",$D458)-1)&amp;"_"&amp;I458&amp;L458</f>
        <v>Olguin_2018</v>
      </c>
      <c r="N458" t="s">
        <v>222</v>
      </c>
      <c r="O458" s="157" t="s">
        <v>274</v>
      </c>
      <c r="P458" t="s">
        <v>513</v>
      </c>
      <c r="Q458" t="s">
        <v>389</v>
      </c>
      <c r="R458" s="262" t="s">
        <v>223</v>
      </c>
      <c r="S458" s="263" t="s">
        <v>3190</v>
      </c>
      <c r="T458" t="s">
        <v>2056</v>
      </c>
      <c r="U458" t="s">
        <v>2064</v>
      </c>
      <c r="V458">
        <v>0</v>
      </c>
      <c r="W458">
        <v>0</v>
      </c>
      <c r="X458">
        <v>0</v>
      </c>
      <c r="Y458">
        <v>0</v>
      </c>
      <c r="Z458">
        <v>0</v>
      </c>
      <c r="AA458">
        <v>0</v>
      </c>
      <c r="AB458">
        <v>0</v>
      </c>
      <c r="AC458">
        <v>1</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s="141">
        <f>COUNTIF(V458:AW458,"&lt;&gt;0")</f>
        <v>1</v>
      </c>
      <c r="AY458" s="141">
        <f>COUNTIF(V458:AL458,"&lt;&gt;0")</f>
        <v>1</v>
      </c>
      <c r="AZ458">
        <f>COUNTIF(V458:AC458,"&lt;&gt;0")</f>
        <v>1</v>
      </c>
      <c r="BA458">
        <f>COUNTIF(AD458:AI458,"&lt;&gt;0")</f>
        <v>0</v>
      </c>
      <c r="BB458">
        <f>COUNTIF(AJ458:AL458,"&lt;&gt;0")</f>
        <v>0</v>
      </c>
      <c r="BC458">
        <f>COUNTIF(AS458:AW458,"&lt;&gt;0")</f>
        <v>0</v>
      </c>
      <c r="BD458">
        <f>COUNTIF(AM458:AR458,"&lt;&gt;0")</f>
        <v>0</v>
      </c>
      <c r="BE458" t="str">
        <f t="array" ref="BE458">IF(AY458=1,INDEX($V$7:$AL$7,MATCH(TRUE,INDEX($V458:$AW458&lt;&gt;0,),0)),IF(AY458=0,INDEX($AM$7:$AW$7,MATCH(1,$AM458:$AW458,0)),IF(BF458="Multiple strategies","mixed drivers",IF(BF458="Supply chain","multiple supply","multiple silviculture"))))</f>
        <v>site fertility</v>
      </c>
      <c r="BF458" s="2" t="str" cm="1">
        <f t="array" ref="BF458">IF(COUNTIF(AZ458:BB458,"&lt;&gt;0")=1,INDEX($V$4:$AW$4,MATCH(TRUE,INDEX($V458:$AW458&lt;&gt;0,),0)),IF(COUNTIF(AZ458:BB458,"&lt;&gt;0")=0,INDEX($AM$4:$AW$4,MATCH(1,$AM458:$AW458,0)),"Multiple strategies"))</f>
        <v>Silviculture for productivity</v>
      </c>
      <c r="BG458" s="1" t="s">
        <v>321</v>
      </c>
      <c r="BH458"/>
      <c r="BI458" s="264" t="s">
        <v>1036</v>
      </c>
      <c r="BJ458" t="s">
        <v>2058</v>
      </c>
      <c r="BK458">
        <v>0</v>
      </c>
      <c r="BL458">
        <v>6788</v>
      </c>
      <c r="BM458" t="str">
        <f>IFERROR(BL458/BK458,"")</f>
        <v/>
      </c>
      <c r="BN458">
        <f>BL458-BK458</f>
        <v>6788</v>
      </c>
      <c r="BO458">
        <f>BN458*tC_to_m3</f>
        <v>29474.598349978292</v>
      </c>
      <c r="BP458" t="s">
        <v>232</v>
      </c>
      <c r="BQ458" t="s">
        <v>424</v>
      </c>
      <c r="BR458" t="s">
        <v>2063</v>
      </c>
      <c r="BS458"/>
      <c r="BT458"/>
      <c r="BU458" s="144"/>
      <c r="BV458">
        <v>0.01</v>
      </c>
      <c r="BW458"/>
      <c r="BX458">
        <f>BV458</f>
        <v>0.01</v>
      </c>
      <c r="BY458">
        <f>IFERROR(BX458/BO458,"")</f>
        <v>3.3927519151443723E-7</v>
      </c>
      <c r="BZ458">
        <v>0</v>
      </c>
      <c r="CA458">
        <v>0</v>
      </c>
      <c r="CB458">
        <v>0</v>
      </c>
      <c r="CC458">
        <v>0</v>
      </c>
      <c r="CD458">
        <v>0</v>
      </c>
      <c r="CE458">
        <v>0</v>
      </c>
      <c r="CF458">
        <v>0</v>
      </c>
      <c r="CG458">
        <v>0</v>
      </c>
      <c r="CH458">
        <v>0</v>
      </c>
      <c r="CI458">
        <v>0</v>
      </c>
      <c r="CJ458">
        <v>0</v>
      </c>
      <c r="CK458">
        <v>0</v>
      </c>
      <c r="CL458">
        <v>0</v>
      </c>
      <c r="CM458">
        <v>0</v>
      </c>
      <c r="CN458" t="str">
        <f>IF($BL458&lt;$BK458,"refNeedCorrection","refOK")</f>
        <v>refOK</v>
      </c>
      <c r="CO458">
        <f>IF($CN458="refOK",$BK458,$BL458)</f>
        <v>0</v>
      </c>
      <c r="CP458">
        <f>IF($CN458="refOK",$BL458,$BK458)</f>
        <v>6788</v>
      </c>
      <c r="CQ458">
        <f>IF($CN458="refOK",$BO458,-$BO458)</f>
        <v>29474.598349978292</v>
      </c>
      <c r="CR458">
        <f>IF($CN458="refOK",$BS458,$BT458)*IF($BP458="Emissions positive",-1,1)</f>
        <v>0</v>
      </c>
      <c r="CS458">
        <f>IF($CN458="refOK",$BT458,$BS458)*IF($BP458="Emissions positive",-1,1)</f>
        <v>0</v>
      </c>
      <c r="CT458">
        <f>IF($CN458="refNeedCorrection",-BX458,BX458)*IF($BP458="Emissions positive",-1,1)</f>
        <v>0.01</v>
      </c>
      <c r="CU458">
        <f>IFERROR(CT458/CQ458,"")</f>
        <v>3.3927519151443723E-7</v>
      </c>
      <c r="CV458" s="2" t="str">
        <f>IFERROR((CS458-CR458)/ABS(CR458),"")</f>
        <v/>
      </c>
      <c r="CW458" s="1" t="s">
        <v>2036</v>
      </c>
      <c r="CX458" t="str">
        <f>IF(OR($CW458="prd",$CW458="std",$CW458="cit"),"loc",IF(OR($CW458="eur",$CW458="reg",$CW458="coy"),"reg",$CW458))</f>
        <v>reg</v>
      </c>
      <c r="CY458" t="s">
        <v>2060</v>
      </c>
      <c r="CZ458">
        <v>2021</v>
      </c>
      <c r="DA458">
        <v>2030</v>
      </c>
      <c r="DB458">
        <f>DA458-CZ458</f>
        <v>9</v>
      </c>
      <c r="DC458" t="str">
        <f>IF(DB458=0,"0",IF(AND(DB458&gt;=1,DB458&lt;=30),"1-30",IF(AND(DB458&gt;30,DB458&lt;=70),"31-70",IF(AND(DB458&gt;70,DB458&lt;=100),"71-100",IF(DB458&gt;100,"+100")))))</f>
        <v>1-30</v>
      </c>
      <c r="DD458">
        <v>0</v>
      </c>
      <c r="DE458">
        <v>0</v>
      </c>
      <c r="DF458">
        <v>0</v>
      </c>
      <c r="DG458">
        <v>1</v>
      </c>
      <c r="DH458">
        <v>0</v>
      </c>
      <c r="DI458">
        <f>SUM(DD458:DG458)</f>
        <v>1</v>
      </c>
      <c r="DJ458" t="str">
        <f>IF(DI458=1,INDEX($DD$7:$DG$7,MATCH(1,$DD458:$DG458,0)),"mixedProduct")</f>
        <v>TimberInput</v>
      </c>
      <c r="DK458">
        <f>IF(DD458=1,DK$7,0)</f>
        <v>0</v>
      </c>
      <c r="DL458">
        <f>IF(DE458=1,DL$7,0)</f>
        <v>0</v>
      </c>
      <c r="DM458">
        <f>IF(DF458=1,DM$7,0)</f>
        <v>0</v>
      </c>
      <c r="DN458" t="str">
        <f>IF(DG458=1,DN$7,0)</f>
        <v>Timber</v>
      </c>
      <c r="DO458"/>
      <c r="DP458">
        <v>1</v>
      </c>
      <c r="DQ458"/>
      <c r="DR458"/>
      <c r="DS458" s="184" t="s">
        <v>2061</v>
      </c>
      <c r="DT458"/>
      <c r="DU458" s="143" t="str">
        <f>IF(DO458=1,"self-calculated DF",IF(DP458=1,"external DF used","explicit C balance"))</f>
        <v>external DF used</v>
      </c>
      <c r="DV458">
        <v>1</v>
      </c>
      <c r="DW458">
        <v>1</v>
      </c>
      <c r="DX458">
        <v>1</v>
      </c>
      <c r="DY458">
        <v>1</v>
      </c>
      <c r="DZ458">
        <v>1</v>
      </c>
      <c r="EA458">
        <v>1</v>
      </c>
      <c r="EB458">
        <v>0</v>
      </c>
      <c r="EC458">
        <v>0</v>
      </c>
      <c r="ED458">
        <v>0</v>
      </c>
      <c r="EE458">
        <v>0</v>
      </c>
      <c r="EF458">
        <v>1</v>
      </c>
      <c r="EG458">
        <v>0</v>
      </c>
      <c r="EH458">
        <v>1</v>
      </c>
      <c r="EI458" s="2">
        <v>0</v>
      </c>
      <c r="EJ458" s="1"/>
      <c r="EK458" t="str">
        <f>IF(AND(AND(AND(OR($DX458=1,$DW458=1),OR($EC458=1,$EA458=1)),SUM($DV458:$DZ458,$EF458)&gt;=4),SUM($EA458:$EE458)&gt;=2),"Whole sector","")</f>
        <v/>
      </c>
      <c r="EL458" t="str">
        <f>IF(AND(AND(OR($DX458=1,$DW458=1),AND($EC458=0,$EA458=0)),SUM($DV458:$DZ458,$EF458)&gt;=4),"Ecosystem approach","")</f>
        <v/>
      </c>
      <c r="EM458" s="2" t="str">
        <f>IF(AND(AND(AND($DX458=0,$DW458=0),OR($EC458=1,$EA458=1)),SUM($EB458:$EE458)&gt;=2),"Technology approach","")</f>
        <v/>
      </c>
      <c r="EN458"/>
      <c r="EO458"/>
      <c r="EP458" t="str">
        <f>IF(ISNUMBER(BU458),IF(ABS(BU458-[1]QC_indicators!$B$2)&gt;3*[1]QC_indicators!$C$2,"C ratio",IF(ISNUMBER(BY458),IF(ABS(BY458-[1]QC_indicators!$B$1)&gt;3*[1]QC_indicators!$C$1,"DF","no"))),IF(ISNUMBER(BY458),IF(ABS(BY458-[1]QC_indicators!$B$1)&gt;3*[1]QC_indicators!$C$1,"DF","no")))</f>
        <v>no</v>
      </c>
      <c r="EQ458"/>
      <c r="ER458"/>
      <c r="ES458"/>
      <c r="ET458" s="264" t="s">
        <v>3273</v>
      </c>
      <c r="EU458"/>
    </row>
    <row r="459" spans="1:151" s="139" customFormat="1" ht="15" customHeight="1">
      <c r="A459" s="256" t="s">
        <v>214</v>
      </c>
      <c r="B459" s="257" t="s">
        <v>215</v>
      </c>
      <c r="C459" s="257" t="s">
        <v>216</v>
      </c>
      <c r="D459" s="257" t="s">
        <v>217</v>
      </c>
      <c r="E459" s="257" t="s">
        <v>218</v>
      </c>
      <c r="F459" s="257" t="s">
        <v>219</v>
      </c>
      <c r="G459" s="257" t="s">
        <v>220</v>
      </c>
      <c r="H459" s="257"/>
      <c r="I459" s="257">
        <v>2012</v>
      </c>
      <c r="J459" s="257"/>
      <c r="K459" s="257" t="s">
        <v>221</v>
      </c>
      <c r="L459" s="257"/>
      <c r="M459" s="257" t="s">
        <v>3070</v>
      </c>
      <c r="N459" s="257" t="s">
        <v>222</v>
      </c>
      <c r="O459" s="275" t="s">
        <v>223</v>
      </c>
      <c r="P459" s="257"/>
      <c r="Q459" s="257" t="s">
        <v>224</v>
      </c>
      <c r="R459" s="258" t="s">
        <v>225</v>
      </c>
      <c r="S459" s="256" t="s">
        <v>226</v>
      </c>
      <c r="T459" s="257" t="s">
        <v>228</v>
      </c>
      <c r="U459" s="257" t="s">
        <v>238</v>
      </c>
      <c r="V459" s="257">
        <v>0</v>
      </c>
      <c r="W459" s="257">
        <v>0</v>
      </c>
      <c r="X459" s="257">
        <v>0</v>
      </c>
      <c r="Y459" s="257">
        <v>1</v>
      </c>
      <c r="Z459" s="257">
        <v>0</v>
      </c>
      <c r="AA459" s="257">
        <v>0</v>
      </c>
      <c r="AB459" s="257">
        <v>0</v>
      </c>
      <c r="AC459" s="257">
        <v>0</v>
      </c>
      <c r="AD459" s="257">
        <v>0</v>
      </c>
      <c r="AE459" s="257">
        <v>0</v>
      </c>
      <c r="AF459" s="257">
        <v>0</v>
      </c>
      <c r="AG459" s="257">
        <v>0</v>
      </c>
      <c r="AH459" s="257">
        <v>0</v>
      </c>
      <c r="AI459" s="257">
        <v>0</v>
      </c>
      <c r="AJ459" s="257">
        <v>0</v>
      </c>
      <c r="AK459" s="257">
        <v>0</v>
      </c>
      <c r="AL459" s="257">
        <v>0</v>
      </c>
      <c r="AM459" s="257">
        <v>0</v>
      </c>
      <c r="AN459" s="257">
        <v>0</v>
      </c>
      <c r="AO459" s="257">
        <v>0</v>
      </c>
      <c r="AP459" s="257">
        <v>0</v>
      </c>
      <c r="AQ459" s="257">
        <v>0</v>
      </c>
      <c r="AR459" s="257">
        <v>0</v>
      </c>
      <c r="AS459" s="257">
        <v>0</v>
      </c>
      <c r="AT459" s="257">
        <v>0</v>
      </c>
      <c r="AU459" s="257">
        <v>0</v>
      </c>
      <c r="AV459" s="257">
        <v>0</v>
      </c>
      <c r="AW459" s="257">
        <v>0</v>
      </c>
      <c r="AX459" s="277">
        <v>1</v>
      </c>
      <c r="AY459" s="277">
        <v>1</v>
      </c>
      <c r="AZ459" s="257">
        <v>1</v>
      </c>
      <c r="BA459" s="257">
        <v>0</v>
      </c>
      <c r="BB459" s="257">
        <v>0</v>
      </c>
      <c r="BC459" s="257">
        <v>0</v>
      </c>
      <c r="BD459" s="257">
        <v>0</v>
      </c>
      <c r="BE459" s="257" t="s">
        <v>91</v>
      </c>
      <c r="BF459" s="2" t="str" cm="1">
        <f t="array" ref="BF459">IF(COUNTIF(AZ459:BB459,"&lt;&gt;0")=1,INDEX($V$4:$AW$4,MATCH(TRUE,INDEX($V459:$AW459&lt;&gt;0,),0)),IF(COUNTIF(AZ459:BB459,"&lt;&gt;0")=0,INDEX($AM$4:$AW$4,MATCH(1,$AM459:$AW459,0)),"Multiple strategies"))</f>
        <v>Silviculture for removals</v>
      </c>
      <c r="BG459" s="278" t="s">
        <v>229</v>
      </c>
      <c r="BH459" s="257" t="s">
        <v>230</v>
      </c>
      <c r="BI459" s="279" t="s">
        <v>3071</v>
      </c>
      <c r="BJ459" s="276" t="s">
        <v>231</v>
      </c>
      <c r="BK459" s="257">
        <v>46.459096459999998</v>
      </c>
      <c r="BL459" s="257">
        <v>56.739926740000001</v>
      </c>
      <c r="BM459" s="276">
        <v>0.81880783302541138</v>
      </c>
      <c r="BN459" s="257">
        <v>10.280830280000004</v>
      </c>
      <c r="BO459" s="276">
        <v>20.981286285714294</v>
      </c>
      <c r="BP459" s="276" t="s">
        <v>232</v>
      </c>
      <c r="BQ459" s="279" t="s">
        <v>3071</v>
      </c>
      <c r="BR459" s="276" t="s">
        <v>233</v>
      </c>
      <c r="BS459" s="257">
        <v>-9.5592716459999991</v>
      </c>
      <c r="BT459" s="257">
        <v>-9.5324096189999992</v>
      </c>
      <c r="BU459" s="259">
        <v>0.99718995044865788</v>
      </c>
      <c r="BV459" s="257">
        <v>2.6862026999999955E-2</v>
      </c>
      <c r="BW459" s="257"/>
      <c r="BX459" s="257">
        <v>2.6862026999999954E-5</v>
      </c>
      <c r="BY459" s="257">
        <v>1.2802850423088564E-6</v>
      </c>
      <c r="BZ459" s="257">
        <v>0</v>
      </c>
      <c r="CA459" s="257">
        <v>0</v>
      </c>
      <c r="CB459" s="257">
        <v>0</v>
      </c>
      <c r="CC459" s="257">
        <v>0</v>
      </c>
      <c r="CD459" s="257">
        <v>0</v>
      </c>
      <c r="CE459" s="257">
        <v>0</v>
      </c>
      <c r="CF459" s="257">
        <v>0</v>
      </c>
      <c r="CG459" s="257">
        <v>0</v>
      </c>
      <c r="CH459" s="257">
        <v>0</v>
      </c>
      <c r="CI459" s="257">
        <v>0</v>
      </c>
      <c r="CJ459" s="257">
        <v>0</v>
      </c>
      <c r="CK459" s="257">
        <v>0</v>
      </c>
      <c r="CL459" s="257">
        <v>0</v>
      </c>
      <c r="CM459" s="257">
        <v>0</v>
      </c>
      <c r="CN459" s="257" t="s">
        <v>3072</v>
      </c>
      <c r="CO459" s="257">
        <v>46.459096459999998</v>
      </c>
      <c r="CP459" s="257">
        <v>56.739926740000001</v>
      </c>
      <c r="CQ459" s="257">
        <v>20.981286285714294</v>
      </c>
      <c r="CR459" s="257">
        <v>-9.5592716459999991</v>
      </c>
      <c r="CS459" s="257">
        <v>-9.5324096189999992</v>
      </c>
      <c r="CT459" s="257">
        <v>2.6862026999999954E-5</v>
      </c>
      <c r="CU459" s="257">
        <v>1.2802850423088564E-6</v>
      </c>
      <c r="CV459" s="258">
        <v>2.8100495513421419E-3</v>
      </c>
      <c r="CW459" s="256" t="s">
        <v>234</v>
      </c>
      <c r="CX459" s="257" t="s">
        <v>3073</v>
      </c>
      <c r="CY459" s="257" t="s">
        <v>235</v>
      </c>
      <c r="CZ459" s="257"/>
      <c r="DA459" s="276"/>
      <c r="DB459" s="276">
        <v>80</v>
      </c>
      <c r="DC459" s="257" t="s">
        <v>3074</v>
      </c>
      <c r="DD459" s="257">
        <v>0</v>
      </c>
      <c r="DE459" s="257">
        <v>1</v>
      </c>
      <c r="DF459" s="257">
        <v>0</v>
      </c>
      <c r="DG459" s="257">
        <v>0</v>
      </c>
      <c r="DH459" s="257"/>
      <c r="DI459" s="257">
        <v>1</v>
      </c>
      <c r="DJ459" s="257" t="s">
        <v>173</v>
      </c>
      <c r="DK459" s="257">
        <v>0</v>
      </c>
      <c r="DL459" s="257" t="s">
        <v>180</v>
      </c>
      <c r="DM459" s="257">
        <v>0</v>
      </c>
      <c r="DN459" s="257">
        <v>0</v>
      </c>
      <c r="DO459" s="257">
        <v>0</v>
      </c>
      <c r="DP459" s="276">
        <v>0</v>
      </c>
      <c r="DQ459" s="276">
        <v>0</v>
      </c>
      <c r="DR459" s="276">
        <v>0</v>
      </c>
      <c r="DS459" s="276">
        <v>0</v>
      </c>
      <c r="DT459" s="257">
        <v>0</v>
      </c>
      <c r="DU459" s="276" t="s">
        <v>962</v>
      </c>
      <c r="DV459" s="276">
        <v>1</v>
      </c>
      <c r="DW459" s="276">
        <v>1</v>
      </c>
      <c r="DX459" s="276">
        <v>1</v>
      </c>
      <c r="DY459" s="276">
        <v>0</v>
      </c>
      <c r="DZ459" s="257">
        <v>0</v>
      </c>
      <c r="EA459" s="276">
        <v>0</v>
      </c>
      <c r="EB459" s="276">
        <v>1</v>
      </c>
      <c r="EC459" s="276">
        <v>1</v>
      </c>
      <c r="ED459" s="276">
        <v>0</v>
      </c>
      <c r="EE459" s="276">
        <v>0</v>
      </c>
      <c r="EF459" s="257">
        <v>1</v>
      </c>
      <c r="EG459" s="276">
        <v>0</v>
      </c>
      <c r="EH459" s="257">
        <v>0</v>
      </c>
      <c r="EI459" s="258">
        <v>0</v>
      </c>
      <c r="EJ459" s="256"/>
      <c r="EK459" t="str">
        <f>IF(AND(AND(AND(OR($DX459=1,$DW459=1),OR($EC459=1,$EA459=1)),SUM($DV459:$DZ459,$EF459)&gt;=4),SUM($EA459:$EE459)&gt;=2),"Whole sector","")</f>
        <v>Whole sector</v>
      </c>
      <c r="EL459" t="str">
        <f>IF(AND(AND(OR($DX459=1,$DW459=1),AND($EC459=0,$EA459=0)),SUM($DV459:$DZ459,$EF459)&gt;=4),"Ecosystem approach","")</f>
        <v/>
      </c>
      <c r="EM459" s="258" t="s">
        <v>544</v>
      </c>
      <c r="EN459" s="257" t="s">
        <v>236</v>
      </c>
      <c r="EO459" s="257"/>
      <c r="EP459" t="str">
        <f>IF(ISNUMBER(BU459),IF(ABS(BU459-[2]QC_indicators!$B$2)&gt;3*[2]QC_indicators!$C$2,"C ratio",IF(ISNUMBER(BY459),IF(ABS(BY459-[2]QC_indicators!$B$1)&gt;3*[2]QC_indicators!$C$1,"DF","no"))),IF(ISNUMBER(BY459),IF(ABS(BY459-[2]QC_indicators!$B$1)&gt;3*[2]QC_indicators!$C$1,"DF","no")))</f>
        <v>no</v>
      </c>
      <c r="EQ459" s="257"/>
      <c r="ER459" s="257"/>
      <c r="ES459" s="257"/>
      <c r="ET459" s="257"/>
      <c r="EU459"/>
    </row>
    <row r="460" spans="1:151" ht="15" customHeight="1">
      <c r="A460" s="256" t="s">
        <v>214</v>
      </c>
      <c r="B460" s="257" t="s">
        <v>215</v>
      </c>
      <c r="C460" s="257" t="s">
        <v>216</v>
      </c>
      <c r="D460" s="257" t="s">
        <v>217</v>
      </c>
      <c r="E460" s="257" t="s">
        <v>218</v>
      </c>
      <c r="F460" s="257" t="s">
        <v>219</v>
      </c>
      <c r="G460" s="257" t="s">
        <v>220</v>
      </c>
      <c r="H460" s="257"/>
      <c r="I460" s="257">
        <v>2012</v>
      </c>
      <c r="J460" s="257"/>
      <c r="K460" s="257" t="s">
        <v>221</v>
      </c>
      <c r="L460" s="257"/>
      <c r="M460" s="257" t="s">
        <v>3070</v>
      </c>
      <c r="N460" s="257" t="s">
        <v>222</v>
      </c>
      <c r="O460" s="275" t="s">
        <v>223</v>
      </c>
      <c r="P460" s="257"/>
      <c r="Q460" s="257" t="s">
        <v>224</v>
      </c>
      <c r="R460" s="258" t="s">
        <v>225</v>
      </c>
      <c r="S460" s="256" t="s">
        <v>240</v>
      </c>
      <c r="T460" s="257">
        <v>2000</v>
      </c>
      <c r="U460" s="257">
        <v>4000</v>
      </c>
      <c r="V460" s="257">
        <v>0</v>
      </c>
      <c r="W460" s="257">
        <v>0</v>
      </c>
      <c r="X460" s="257">
        <v>0</v>
      </c>
      <c r="Y460" s="257">
        <v>0</v>
      </c>
      <c r="Z460" s="257">
        <v>0</v>
      </c>
      <c r="AA460" s="257">
        <v>1</v>
      </c>
      <c r="AB460" s="257">
        <v>0</v>
      </c>
      <c r="AC460" s="257">
        <v>0</v>
      </c>
      <c r="AD460" s="257">
        <v>0</v>
      </c>
      <c r="AE460" s="257">
        <v>0</v>
      </c>
      <c r="AF460" s="257">
        <v>0</v>
      </c>
      <c r="AG460" s="257">
        <v>0</v>
      </c>
      <c r="AH460" s="257">
        <v>0</v>
      </c>
      <c r="AI460" s="257">
        <v>0</v>
      </c>
      <c r="AJ460" s="257">
        <v>0</v>
      </c>
      <c r="AK460" s="257">
        <v>0</v>
      </c>
      <c r="AL460" s="257">
        <v>0</v>
      </c>
      <c r="AM460" s="257">
        <v>0</v>
      </c>
      <c r="AN460" s="257">
        <v>0</v>
      </c>
      <c r="AO460" s="257">
        <v>0</v>
      </c>
      <c r="AP460" s="257">
        <v>0</v>
      </c>
      <c r="AQ460" s="257">
        <v>0</v>
      </c>
      <c r="AR460" s="257">
        <v>0</v>
      </c>
      <c r="AS460" s="257">
        <v>0</v>
      </c>
      <c r="AT460" s="257">
        <v>0</v>
      </c>
      <c r="AU460" s="257">
        <v>0</v>
      </c>
      <c r="AV460" s="257">
        <v>0</v>
      </c>
      <c r="AW460" s="257">
        <v>0</v>
      </c>
      <c r="AX460" s="277">
        <v>1</v>
      </c>
      <c r="AY460" s="277">
        <v>1</v>
      </c>
      <c r="AZ460" s="257">
        <v>1</v>
      </c>
      <c r="BA460" s="257">
        <v>0</v>
      </c>
      <c r="BB460" s="257">
        <v>0</v>
      </c>
      <c r="BC460" s="257">
        <v>0</v>
      </c>
      <c r="BD460" s="257">
        <v>0</v>
      </c>
      <c r="BE460" s="257" t="s">
        <v>93</v>
      </c>
      <c r="BF460" s="2" t="str" cm="1">
        <f t="array" ref="BF460">IF(COUNTIF(AZ460:BB460,"&lt;&gt;0")=1,INDEX($V$4:$AW$4,MATCH(TRUE,INDEX($V460:$AW460&lt;&gt;0,),0)),IF(COUNTIF(AZ460:BB460,"&lt;&gt;0")=0,INDEX($AM$4:$AW$4,MATCH(1,$AM460:$AW460,0)),"Multiple strategies"))</f>
        <v>Silviculture for productivity</v>
      </c>
      <c r="BG460" s="278" t="s">
        <v>229</v>
      </c>
      <c r="BH460" s="257" t="s">
        <v>230</v>
      </c>
      <c r="BI460" s="279" t="s">
        <v>3071</v>
      </c>
      <c r="BJ460" s="276" t="s">
        <v>231</v>
      </c>
      <c r="BK460" s="257">
        <v>64.183526540000003</v>
      </c>
      <c r="BL460" s="257">
        <v>75.212579790000007</v>
      </c>
      <c r="BM460" s="276">
        <v>1.1718361991706168</v>
      </c>
      <c r="BN460" s="257">
        <v>11.029053250000004</v>
      </c>
      <c r="BO460" s="276">
        <v>22.508271938775518</v>
      </c>
      <c r="BP460" s="276" t="s">
        <v>232</v>
      </c>
      <c r="BQ460" s="279" t="s">
        <v>3071</v>
      </c>
      <c r="BR460" s="276" t="s">
        <v>233</v>
      </c>
      <c r="BS460" s="257">
        <v>-8.4950335569999993</v>
      </c>
      <c r="BT460" s="257">
        <v>-8.4548837900000002</v>
      </c>
      <c r="BU460" s="259">
        <v>0.99527373650373452</v>
      </c>
      <c r="BV460" s="257">
        <v>4.0149766999999059E-2</v>
      </c>
      <c r="BW460" s="257"/>
      <c r="BX460" s="257">
        <v>4.0149766999999061E-5</v>
      </c>
      <c r="BY460" s="257">
        <v>1.783778297561446E-6</v>
      </c>
      <c r="BZ460" s="257">
        <v>0</v>
      </c>
      <c r="CA460" s="257">
        <v>0</v>
      </c>
      <c r="CB460" s="257">
        <v>0</v>
      </c>
      <c r="CC460" s="257">
        <v>0</v>
      </c>
      <c r="CD460" s="257">
        <v>0</v>
      </c>
      <c r="CE460" s="257">
        <v>0</v>
      </c>
      <c r="CF460" s="257">
        <v>0</v>
      </c>
      <c r="CG460" s="257">
        <v>0</v>
      </c>
      <c r="CH460" s="257">
        <v>0</v>
      </c>
      <c r="CI460" s="257">
        <v>0</v>
      </c>
      <c r="CJ460" s="257">
        <v>0</v>
      </c>
      <c r="CK460" s="257">
        <v>0</v>
      </c>
      <c r="CL460" s="257">
        <v>0</v>
      </c>
      <c r="CM460" s="257">
        <v>0</v>
      </c>
      <c r="CN460" s="257" t="s">
        <v>3072</v>
      </c>
      <c r="CO460" s="257">
        <v>64.183526540000003</v>
      </c>
      <c r="CP460" s="257">
        <v>75.212579790000007</v>
      </c>
      <c r="CQ460" s="257">
        <v>22.508271938775518</v>
      </c>
      <c r="CR460" s="257">
        <v>-8.4950335569999993</v>
      </c>
      <c r="CS460" s="257">
        <v>-8.4548837900000002</v>
      </c>
      <c r="CT460" s="257">
        <v>4.0149766999999061E-5</v>
      </c>
      <c r="CU460" s="257">
        <v>1.783778297561446E-6</v>
      </c>
      <c r="CV460" s="258">
        <v>4.7262634962654407E-3</v>
      </c>
      <c r="CW460" s="256" t="s">
        <v>234</v>
      </c>
      <c r="CX460" s="257" t="s">
        <v>3073</v>
      </c>
      <c r="CY460" s="257" t="s">
        <v>235</v>
      </c>
      <c r="CZ460" s="257"/>
      <c r="DA460" s="276"/>
      <c r="DB460" s="276">
        <v>80</v>
      </c>
      <c r="DC460" s="257" t="s">
        <v>3074</v>
      </c>
      <c r="DD460" s="257">
        <v>0</v>
      </c>
      <c r="DE460" s="257">
        <v>1</v>
      </c>
      <c r="DF460" s="257">
        <v>0</v>
      </c>
      <c r="DG460" s="257">
        <v>0</v>
      </c>
      <c r="DH460" s="257"/>
      <c r="DI460" s="257">
        <v>1</v>
      </c>
      <c r="DJ460" s="257" t="s">
        <v>173</v>
      </c>
      <c r="DK460" s="257">
        <v>0</v>
      </c>
      <c r="DL460" s="257" t="s">
        <v>180</v>
      </c>
      <c r="DM460" s="257">
        <v>0</v>
      </c>
      <c r="DN460" s="257">
        <v>0</v>
      </c>
      <c r="DO460" s="257">
        <v>0</v>
      </c>
      <c r="DP460" s="276">
        <v>0</v>
      </c>
      <c r="DQ460" s="276">
        <v>0</v>
      </c>
      <c r="DR460" s="276">
        <v>0</v>
      </c>
      <c r="DS460" s="276">
        <v>0</v>
      </c>
      <c r="DT460" s="257">
        <v>0</v>
      </c>
      <c r="DU460" s="276" t="s">
        <v>962</v>
      </c>
      <c r="DV460" s="276">
        <v>1</v>
      </c>
      <c r="DW460" s="276">
        <v>1</v>
      </c>
      <c r="DX460" s="276">
        <v>1</v>
      </c>
      <c r="DY460" s="276">
        <v>0</v>
      </c>
      <c r="DZ460" s="257">
        <v>0</v>
      </c>
      <c r="EA460" s="276">
        <v>0</v>
      </c>
      <c r="EB460" s="276">
        <v>1</v>
      </c>
      <c r="EC460" s="276">
        <v>1</v>
      </c>
      <c r="ED460" s="276">
        <v>0</v>
      </c>
      <c r="EE460" s="276">
        <v>0</v>
      </c>
      <c r="EF460" s="257">
        <v>1</v>
      </c>
      <c r="EG460" s="276">
        <v>0</v>
      </c>
      <c r="EH460" s="257">
        <v>0</v>
      </c>
      <c r="EI460" s="258">
        <v>0</v>
      </c>
      <c r="EJ460" s="256"/>
      <c r="EK460" t="str">
        <f>IF(AND(AND(AND(OR($DX460=1,$DW460=1),OR($EC460=1,$EA460=1)),SUM($DV460:$DZ460,$EF460)&gt;=4),SUM($EA460:$EE460)&gt;=2),"Whole sector","")</f>
        <v>Whole sector</v>
      </c>
      <c r="EL460" t="str">
        <f>IF(AND(AND(OR($DX460=1,$DW460=1),AND($EC460=0,$EA460=0)),SUM($DV460:$DZ460,$EF460)&gt;=4),"Ecosystem approach","")</f>
        <v/>
      </c>
      <c r="EM460" s="258" t="s">
        <v>544</v>
      </c>
      <c r="EN460" s="257" t="s">
        <v>236</v>
      </c>
      <c r="EO460" s="257"/>
      <c r="EP460" t="str">
        <f>IF(ISNUMBER(BU460),IF(ABS(BU460-[2]QC_indicators!$B$2)&gt;3*[2]QC_indicators!$C$2,"C ratio",IF(ISNUMBER(BY460),IF(ABS(BY460-[2]QC_indicators!$B$1)&gt;3*[2]QC_indicators!$C$1,"DF","no"))),IF(ISNUMBER(BY460),IF(ABS(BY460-[2]QC_indicators!$B$1)&gt;3*[2]QC_indicators!$C$1,"DF","no")))</f>
        <v>no</v>
      </c>
      <c r="EQ460" s="280"/>
      <c r="ER460" s="280"/>
      <c r="ES460" s="280"/>
    </row>
    <row r="461" spans="1:151" ht="15" customHeight="1">
      <c r="A461" s="256" t="s">
        <v>214</v>
      </c>
      <c r="B461" s="257" t="s">
        <v>215</v>
      </c>
      <c r="C461" s="257" t="s">
        <v>216</v>
      </c>
      <c r="D461" s="257" t="s">
        <v>217</v>
      </c>
      <c r="E461" s="257" t="s">
        <v>218</v>
      </c>
      <c r="F461" s="257" t="s">
        <v>219</v>
      </c>
      <c r="G461" s="257" t="s">
        <v>220</v>
      </c>
      <c r="H461" s="257"/>
      <c r="I461" s="257">
        <v>2012</v>
      </c>
      <c r="J461" s="257"/>
      <c r="K461" s="257" t="s">
        <v>221</v>
      </c>
      <c r="L461" s="257"/>
      <c r="M461" s="257" t="s">
        <v>3070</v>
      </c>
      <c r="N461" s="257" t="s">
        <v>222</v>
      </c>
      <c r="O461" s="275" t="s">
        <v>223</v>
      </c>
      <c r="P461" s="257"/>
      <c r="Q461" s="257" t="s">
        <v>224</v>
      </c>
      <c r="R461" s="258" t="s">
        <v>225</v>
      </c>
      <c r="S461" s="256" t="s">
        <v>226</v>
      </c>
      <c r="T461" s="257" t="s">
        <v>228</v>
      </c>
      <c r="U461" s="257" t="s">
        <v>227</v>
      </c>
      <c r="V461" s="257">
        <v>0</v>
      </c>
      <c r="W461" s="257">
        <v>0</v>
      </c>
      <c r="X461" s="257">
        <v>0</v>
      </c>
      <c r="Y461" s="257">
        <v>1</v>
      </c>
      <c r="Z461" s="257">
        <v>0</v>
      </c>
      <c r="AA461" s="257">
        <v>0</v>
      </c>
      <c r="AB461" s="257">
        <v>0</v>
      </c>
      <c r="AC461" s="257">
        <v>0</v>
      </c>
      <c r="AD461" s="257">
        <v>0</v>
      </c>
      <c r="AE461" s="257">
        <v>0</v>
      </c>
      <c r="AF461" s="257">
        <v>0</v>
      </c>
      <c r="AG461" s="257">
        <v>0</v>
      </c>
      <c r="AH461" s="257">
        <v>0</v>
      </c>
      <c r="AI461" s="257">
        <v>0</v>
      </c>
      <c r="AJ461" s="257">
        <v>0</v>
      </c>
      <c r="AK461" s="257">
        <v>0</v>
      </c>
      <c r="AL461" s="257">
        <v>0</v>
      </c>
      <c r="AM461" s="257">
        <v>0</v>
      </c>
      <c r="AN461" s="257">
        <v>0</v>
      </c>
      <c r="AO461" s="257">
        <v>0</v>
      </c>
      <c r="AP461" s="257">
        <v>0</v>
      </c>
      <c r="AQ461" s="257">
        <v>0</v>
      </c>
      <c r="AR461" s="257">
        <v>0</v>
      </c>
      <c r="AS461" s="257">
        <v>0</v>
      </c>
      <c r="AT461" s="257">
        <v>0</v>
      </c>
      <c r="AU461" s="257">
        <v>0</v>
      </c>
      <c r="AV461" s="257">
        <v>0</v>
      </c>
      <c r="AW461" s="257">
        <v>0</v>
      </c>
      <c r="AX461" s="277">
        <v>1</v>
      </c>
      <c r="AY461" s="277">
        <v>1</v>
      </c>
      <c r="AZ461" s="257">
        <v>1</v>
      </c>
      <c r="BA461" s="257">
        <v>0</v>
      </c>
      <c r="BB461" s="257">
        <v>0</v>
      </c>
      <c r="BC461" s="257">
        <v>0</v>
      </c>
      <c r="BD461" s="257">
        <v>0</v>
      </c>
      <c r="BE461" s="257" t="s">
        <v>91</v>
      </c>
      <c r="BF461" s="2" t="str" cm="1">
        <f t="array" ref="BF461">IF(COUNTIF(AZ461:BB461,"&lt;&gt;0")=1,INDEX($V$4:$AW$4,MATCH(TRUE,INDEX($V461:$AW461&lt;&gt;0,),0)),IF(COUNTIF(AZ461:BB461,"&lt;&gt;0")=0,INDEX($AM$4:$AW$4,MATCH(1,$AM461:$AW461,0)),"Multiple strategies"))</f>
        <v>Silviculture for removals</v>
      </c>
      <c r="BG461" s="278" t="s">
        <v>229</v>
      </c>
      <c r="BH461" s="257" t="s">
        <v>230</v>
      </c>
      <c r="BI461" s="279" t="s">
        <v>3071</v>
      </c>
      <c r="BJ461" s="276" t="s">
        <v>231</v>
      </c>
      <c r="BK461" s="257">
        <v>85.005979260000004</v>
      </c>
      <c r="BL461" s="257">
        <v>89.04746797</v>
      </c>
      <c r="BM461" s="276">
        <v>0.9546142209078694</v>
      </c>
      <c r="BN461" s="257">
        <v>4.0414887099999959</v>
      </c>
      <c r="BO461" s="276">
        <v>8.2479361428571352</v>
      </c>
      <c r="BP461" s="276" t="s">
        <v>232</v>
      </c>
      <c r="BQ461" s="279" t="s">
        <v>3071</v>
      </c>
      <c r="BR461" s="276" t="s">
        <v>233</v>
      </c>
      <c r="BS461" s="257">
        <v>-8.1260280659999999</v>
      </c>
      <c r="BT461" s="257">
        <v>-8.1050396580000008</v>
      </c>
      <c r="BU461" s="259">
        <v>0.99741713813568811</v>
      </c>
      <c r="BV461" s="257">
        <v>2.0988407999999126E-2</v>
      </c>
      <c r="BW461" s="257"/>
      <c r="BX461" s="257">
        <v>2.0988407999999125E-5</v>
      </c>
      <c r="BY461" s="257">
        <v>2.5446860446628788E-6</v>
      </c>
      <c r="BZ461" s="257">
        <v>0</v>
      </c>
      <c r="CA461" s="257">
        <v>0</v>
      </c>
      <c r="CB461" s="257">
        <v>0</v>
      </c>
      <c r="CC461" s="257">
        <v>0</v>
      </c>
      <c r="CD461" s="257">
        <v>0</v>
      </c>
      <c r="CE461" s="257">
        <v>0</v>
      </c>
      <c r="CF461" s="257">
        <v>0</v>
      </c>
      <c r="CG461" s="257">
        <v>0</v>
      </c>
      <c r="CH461" s="257">
        <v>0</v>
      </c>
      <c r="CI461" s="257">
        <v>0</v>
      </c>
      <c r="CJ461" s="257">
        <v>0</v>
      </c>
      <c r="CK461" s="257">
        <v>0</v>
      </c>
      <c r="CL461" s="257">
        <v>0</v>
      </c>
      <c r="CM461" s="257">
        <v>0</v>
      </c>
      <c r="CN461" s="257" t="s">
        <v>3072</v>
      </c>
      <c r="CO461" s="257">
        <v>85.005979260000004</v>
      </c>
      <c r="CP461" s="257">
        <v>89.04746797</v>
      </c>
      <c r="CQ461" s="257">
        <v>8.2479361428571352</v>
      </c>
      <c r="CR461" s="257">
        <v>-8.1260280659999999</v>
      </c>
      <c r="CS461" s="257">
        <v>-8.1050396580000008</v>
      </c>
      <c r="CT461" s="257">
        <v>2.0988407999999125E-5</v>
      </c>
      <c r="CU461" s="257">
        <v>2.5446860446628788E-6</v>
      </c>
      <c r="CV461" s="258">
        <v>2.5828618643118435E-3</v>
      </c>
      <c r="CW461" s="256" t="s">
        <v>234</v>
      </c>
      <c r="CX461" s="257" t="s">
        <v>3073</v>
      </c>
      <c r="CY461" s="257" t="s">
        <v>235</v>
      </c>
      <c r="CZ461" s="257"/>
      <c r="DA461" s="276"/>
      <c r="DB461" s="276">
        <v>80</v>
      </c>
      <c r="DC461" s="257" t="s">
        <v>3074</v>
      </c>
      <c r="DD461" s="257">
        <v>0</v>
      </c>
      <c r="DE461" s="257">
        <v>1</v>
      </c>
      <c r="DF461" s="257">
        <v>0</v>
      </c>
      <c r="DG461" s="257">
        <v>0</v>
      </c>
      <c r="DH461" s="257"/>
      <c r="DI461" s="257">
        <v>1</v>
      </c>
      <c r="DJ461" s="257" t="s">
        <v>173</v>
      </c>
      <c r="DK461" s="257">
        <v>0</v>
      </c>
      <c r="DL461" s="257" t="s">
        <v>180</v>
      </c>
      <c r="DM461" s="257">
        <v>0</v>
      </c>
      <c r="DN461" s="257">
        <v>0</v>
      </c>
      <c r="DO461" s="257">
        <v>0</v>
      </c>
      <c r="DP461" s="276">
        <v>0</v>
      </c>
      <c r="DQ461" s="276">
        <v>0</v>
      </c>
      <c r="DR461" s="276">
        <v>0</v>
      </c>
      <c r="DS461" s="276">
        <v>0</v>
      </c>
      <c r="DT461" s="257">
        <v>0</v>
      </c>
      <c r="DU461" s="276" t="s">
        <v>962</v>
      </c>
      <c r="DV461" s="276">
        <v>1</v>
      </c>
      <c r="DW461" s="276">
        <v>1</v>
      </c>
      <c r="DX461" s="276">
        <v>1</v>
      </c>
      <c r="DY461" s="276">
        <v>0</v>
      </c>
      <c r="DZ461" s="257">
        <v>0</v>
      </c>
      <c r="EA461" s="276">
        <v>0</v>
      </c>
      <c r="EB461" s="276">
        <v>1</v>
      </c>
      <c r="EC461" s="276">
        <v>1</v>
      </c>
      <c r="ED461" s="276">
        <v>0</v>
      </c>
      <c r="EE461" s="276">
        <v>0</v>
      </c>
      <c r="EF461" s="257">
        <v>1</v>
      </c>
      <c r="EG461" s="276">
        <v>0</v>
      </c>
      <c r="EH461" s="257">
        <v>0</v>
      </c>
      <c r="EI461" s="258">
        <v>0</v>
      </c>
      <c r="EJ461" s="256"/>
      <c r="EK461" t="str">
        <f>IF(AND(AND(AND(OR($DX461=1,$DW461=1),OR($EC461=1,$EA461=1)),SUM($DV461:$DZ461,$EF461)&gt;=4),SUM($EA461:$EE461)&gt;=2),"Whole sector","")</f>
        <v>Whole sector</v>
      </c>
      <c r="EL461" t="str">
        <f>IF(AND(AND(OR($DX461=1,$DW461=1),AND($EC461=0,$EA461=0)),SUM($DV461:$DZ461,$EF461)&gt;=4),"Ecosystem approach","")</f>
        <v/>
      </c>
      <c r="EM461" s="258" t="s">
        <v>544</v>
      </c>
      <c r="EN461" s="257" t="s">
        <v>236</v>
      </c>
      <c r="EO461" s="257"/>
      <c r="EP461" t="str">
        <f>IF(ISNUMBER(BU461),IF(ABS(BU461-[2]QC_indicators!$B$2)&gt;3*[2]QC_indicators!$C$2,"C ratio",IF(ISNUMBER(BY461),IF(ABS(BY461-[2]QC_indicators!$B$1)&gt;3*[2]QC_indicators!$C$1,"DF","no"))),IF(ISNUMBER(BY461),IF(ABS(BY461-[2]QC_indicators!$B$1)&gt;3*[2]QC_indicators!$C$1,"DF","no")))</f>
        <v>no</v>
      </c>
      <c r="EQ461" s="257"/>
      <c r="ER461" s="257"/>
      <c r="ES461" s="257"/>
      <c r="ET461" s="257"/>
    </row>
    <row r="462" spans="1:151" ht="15" customHeight="1">
      <c r="A462" s="256" t="s">
        <v>214</v>
      </c>
      <c r="B462" s="257" t="s">
        <v>215</v>
      </c>
      <c r="C462" s="257" t="s">
        <v>216</v>
      </c>
      <c r="D462" s="257" t="s">
        <v>217</v>
      </c>
      <c r="E462" s="257" t="s">
        <v>218</v>
      </c>
      <c r="F462" s="257" t="s">
        <v>219</v>
      </c>
      <c r="G462" s="257" t="s">
        <v>220</v>
      </c>
      <c r="H462" s="257"/>
      <c r="I462" s="257">
        <v>2012</v>
      </c>
      <c r="J462" s="257"/>
      <c r="K462" s="257" t="s">
        <v>221</v>
      </c>
      <c r="L462" s="257"/>
      <c r="M462" s="257" t="s">
        <v>3070</v>
      </c>
      <c r="N462" s="257" t="s">
        <v>222</v>
      </c>
      <c r="O462" s="275" t="s">
        <v>223</v>
      </c>
      <c r="P462" s="257"/>
      <c r="Q462" s="257" t="s">
        <v>224</v>
      </c>
      <c r="R462" s="258" t="s">
        <v>225</v>
      </c>
      <c r="S462" s="256" t="s">
        <v>226</v>
      </c>
      <c r="T462" s="257" t="s">
        <v>228</v>
      </c>
      <c r="U462" s="257" t="s">
        <v>237</v>
      </c>
      <c r="V462" s="257">
        <v>0</v>
      </c>
      <c r="W462" s="257">
        <v>0</v>
      </c>
      <c r="X462" s="257">
        <v>0</v>
      </c>
      <c r="Y462" s="257">
        <v>1</v>
      </c>
      <c r="Z462" s="257">
        <v>0</v>
      </c>
      <c r="AA462" s="257">
        <v>0</v>
      </c>
      <c r="AB462" s="257">
        <v>0</v>
      </c>
      <c r="AC462" s="257">
        <v>0</v>
      </c>
      <c r="AD462" s="257">
        <v>0</v>
      </c>
      <c r="AE462" s="257">
        <v>0</v>
      </c>
      <c r="AF462" s="257">
        <v>0</v>
      </c>
      <c r="AG462" s="257">
        <v>0</v>
      </c>
      <c r="AH462" s="257">
        <v>0</v>
      </c>
      <c r="AI462" s="257">
        <v>0</v>
      </c>
      <c r="AJ462" s="257">
        <v>0</v>
      </c>
      <c r="AK462" s="257">
        <v>0</v>
      </c>
      <c r="AL462" s="257">
        <v>0</v>
      </c>
      <c r="AM462" s="257">
        <v>0</v>
      </c>
      <c r="AN462" s="257">
        <v>0</v>
      </c>
      <c r="AO462" s="257">
        <v>0</v>
      </c>
      <c r="AP462" s="257">
        <v>0</v>
      </c>
      <c r="AQ462" s="257">
        <v>0</v>
      </c>
      <c r="AR462" s="257">
        <v>0</v>
      </c>
      <c r="AS462" s="257">
        <v>0</v>
      </c>
      <c r="AT462" s="257">
        <v>0</v>
      </c>
      <c r="AU462" s="257">
        <v>0</v>
      </c>
      <c r="AV462" s="257">
        <v>0</v>
      </c>
      <c r="AW462" s="257">
        <v>0</v>
      </c>
      <c r="AX462" s="277">
        <v>1</v>
      </c>
      <c r="AY462" s="277">
        <v>1</v>
      </c>
      <c r="AZ462" s="257">
        <v>1</v>
      </c>
      <c r="BA462" s="257">
        <v>0</v>
      </c>
      <c r="BB462" s="257">
        <v>0</v>
      </c>
      <c r="BC462" s="257">
        <v>0</v>
      </c>
      <c r="BD462" s="257">
        <v>0</v>
      </c>
      <c r="BE462" s="257" t="s">
        <v>91</v>
      </c>
      <c r="BF462" s="2" t="str" cm="1">
        <f t="array" ref="BF462">IF(COUNTIF(AZ462:BB462,"&lt;&gt;0")=1,INDEX($V$4:$AW$4,MATCH(TRUE,INDEX($V462:$AW462&lt;&gt;0,),0)),IF(COUNTIF(AZ462:BB462,"&lt;&gt;0")=0,INDEX($AM$4:$AW$4,MATCH(1,$AM462:$AW462,0)),"Multiple strategies"))</f>
        <v>Silviculture for removals</v>
      </c>
      <c r="BG462" s="278" t="s">
        <v>229</v>
      </c>
      <c r="BH462" s="257" t="s">
        <v>230</v>
      </c>
      <c r="BI462" s="279" t="s">
        <v>3071</v>
      </c>
      <c r="BJ462" s="276" t="s">
        <v>231</v>
      </c>
      <c r="BK462" s="257">
        <v>47.845851490000001</v>
      </c>
      <c r="BL462" s="257">
        <v>54.766085619999998</v>
      </c>
      <c r="BM462" s="276">
        <v>0.87364015427327157</v>
      </c>
      <c r="BN462" s="257">
        <v>6.9202341299999972</v>
      </c>
      <c r="BO462" s="276">
        <v>14.122926795918362</v>
      </c>
      <c r="BP462" s="276" t="s">
        <v>232</v>
      </c>
      <c r="BQ462" s="279" t="s">
        <v>3071</v>
      </c>
      <c r="BR462" s="276" t="s">
        <v>233</v>
      </c>
      <c r="BS462" s="257">
        <v>-9.0763052210000001</v>
      </c>
      <c r="BT462" s="257">
        <v>-9.0261044179999992</v>
      </c>
      <c r="BU462" s="259">
        <v>0.99446902657219471</v>
      </c>
      <c r="BV462" s="257">
        <v>5.020080300000096E-2</v>
      </c>
      <c r="BW462" s="257"/>
      <c r="BX462" s="257">
        <v>5.0200803000000959E-5</v>
      </c>
      <c r="BY462" s="257">
        <v>3.5545608729282225E-6</v>
      </c>
      <c r="BZ462" s="257">
        <v>0</v>
      </c>
      <c r="CA462" s="257">
        <v>0</v>
      </c>
      <c r="CB462" s="257">
        <v>0</v>
      </c>
      <c r="CC462" s="257">
        <v>0</v>
      </c>
      <c r="CD462" s="257">
        <v>0</v>
      </c>
      <c r="CE462" s="257">
        <v>0</v>
      </c>
      <c r="CF462" s="257">
        <v>0</v>
      </c>
      <c r="CG462" s="257">
        <v>0</v>
      </c>
      <c r="CH462" s="257">
        <v>0</v>
      </c>
      <c r="CI462" s="257">
        <v>0</v>
      </c>
      <c r="CJ462" s="257">
        <v>0</v>
      </c>
      <c r="CK462" s="257">
        <v>0</v>
      </c>
      <c r="CL462" s="257">
        <v>0</v>
      </c>
      <c r="CM462" s="257">
        <v>0</v>
      </c>
      <c r="CN462" s="257" t="s">
        <v>3072</v>
      </c>
      <c r="CO462" s="257">
        <v>47.845851490000001</v>
      </c>
      <c r="CP462" s="257">
        <v>54.766085619999998</v>
      </c>
      <c r="CQ462" s="257">
        <v>14.122926795918362</v>
      </c>
      <c r="CR462" s="257">
        <v>-9.0763052210000001</v>
      </c>
      <c r="CS462" s="257">
        <v>-9.0261044179999992</v>
      </c>
      <c r="CT462" s="257">
        <v>5.0200803000000959E-5</v>
      </c>
      <c r="CU462" s="257">
        <v>3.5545608729282225E-6</v>
      </c>
      <c r="CV462" s="258">
        <v>5.5309734278052389E-3</v>
      </c>
      <c r="CW462" s="256" t="s">
        <v>234</v>
      </c>
      <c r="CX462" s="257" t="s">
        <v>3073</v>
      </c>
      <c r="CY462" s="257" t="s">
        <v>235</v>
      </c>
      <c r="CZ462" s="257"/>
      <c r="DA462" s="276"/>
      <c r="DB462" s="276">
        <v>80</v>
      </c>
      <c r="DC462" s="257" t="s">
        <v>3074</v>
      </c>
      <c r="DD462" s="257">
        <v>0</v>
      </c>
      <c r="DE462" s="257">
        <v>1</v>
      </c>
      <c r="DF462" s="257">
        <v>0</v>
      </c>
      <c r="DG462" s="257">
        <v>0</v>
      </c>
      <c r="DH462" s="257"/>
      <c r="DI462" s="257">
        <v>1</v>
      </c>
      <c r="DJ462" s="257" t="s">
        <v>173</v>
      </c>
      <c r="DK462" s="257">
        <v>0</v>
      </c>
      <c r="DL462" s="257" t="s">
        <v>180</v>
      </c>
      <c r="DM462" s="257">
        <v>0</v>
      </c>
      <c r="DN462" s="257">
        <v>0</v>
      </c>
      <c r="DO462" s="257">
        <v>0</v>
      </c>
      <c r="DP462" s="276">
        <v>0</v>
      </c>
      <c r="DQ462" s="276">
        <v>0</v>
      </c>
      <c r="DR462" s="276">
        <v>0</v>
      </c>
      <c r="DS462" s="276">
        <v>0</v>
      </c>
      <c r="DT462" s="257">
        <v>0</v>
      </c>
      <c r="DU462" s="276" t="s">
        <v>962</v>
      </c>
      <c r="DV462" s="276">
        <v>1</v>
      </c>
      <c r="DW462" s="276">
        <v>1</v>
      </c>
      <c r="DX462" s="276">
        <v>1</v>
      </c>
      <c r="DY462" s="276">
        <v>0</v>
      </c>
      <c r="DZ462" s="257">
        <v>0</v>
      </c>
      <c r="EA462" s="276">
        <v>0</v>
      </c>
      <c r="EB462" s="276">
        <v>1</v>
      </c>
      <c r="EC462" s="276">
        <v>1</v>
      </c>
      <c r="ED462" s="276">
        <v>0</v>
      </c>
      <c r="EE462" s="276">
        <v>0</v>
      </c>
      <c r="EF462" s="257">
        <v>1</v>
      </c>
      <c r="EG462" s="276">
        <v>0</v>
      </c>
      <c r="EH462" s="257">
        <v>0</v>
      </c>
      <c r="EI462" s="258">
        <v>0</v>
      </c>
      <c r="EJ462" s="256"/>
      <c r="EK462" t="str">
        <f>IF(AND(AND(AND(OR($DX462=1,$DW462=1),OR($EC462=1,$EA462=1)),SUM($DV462:$DZ462,$EF462)&gt;=4),SUM($EA462:$EE462)&gt;=2),"Whole sector","")</f>
        <v>Whole sector</v>
      </c>
      <c r="EL462" t="str">
        <f>IF(AND(AND(OR($DX462=1,$DW462=1),AND($EC462=0,$EA462=0)),SUM($DV462:$DZ462,$EF462)&gt;=4),"Ecosystem approach","")</f>
        <v/>
      </c>
      <c r="EM462" s="258" t="s">
        <v>544</v>
      </c>
      <c r="EN462" s="257" t="s">
        <v>236</v>
      </c>
      <c r="EO462" s="257"/>
      <c r="EP462" t="str">
        <f>IF(ISNUMBER(BU462),IF(ABS(BU462-[2]QC_indicators!$B$2)&gt;3*[2]QC_indicators!$C$2,"C ratio",IF(ISNUMBER(BY462),IF(ABS(BY462-[2]QC_indicators!$B$1)&gt;3*[2]QC_indicators!$C$1,"DF","no"))),IF(ISNUMBER(BY462),IF(ABS(BY462-[2]QC_indicators!$B$1)&gt;3*[2]QC_indicators!$C$1,"DF","no")))</f>
        <v>no</v>
      </c>
      <c r="EQ462" s="257"/>
      <c r="ER462" s="257"/>
      <c r="ES462" s="257"/>
      <c r="ET462" s="257"/>
    </row>
    <row r="463" spans="1:151" ht="15" customHeight="1">
      <c r="A463" s="256" t="s">
        <v>214</v>
      </c>
      <c r="B463" s="257" t="s">
        <v>215</v>
      </c>
      <c r="C463" s="257" t="s">
        <v>216</v>
      </c>
      <c r="D463" s="257" t="s">
        <v>217</v>
      </c>
      <c r="E463" s="257" t="s">
        <v>218</v>
      </c>
      <c r="F463" s="257" t="s">
        <v>219</v>
      </c>
      <c r="G463" s="257" t="s">
        <v>220</v>
      </c>
      <c r="H463" s="257"/>
      <c r="I463" s="257">
        <v>2012</v>
      </c>
      <c r="J463" s="257"/>
      <c r="K463" s="257" t="s">
        <v>221</v>
      </c>
      <c r="L463" s="257"/>
      <c r="M463" s="257" t="s">
        <v>3070</v>
      </c>
      <c r="N463" s="257" t="s">
        <v>222</v>
      </c>
      <c r="O463" s="275" t="s">
        <v>223</v>
      </c>
      <c r="P463" s="257"/>
      <c r="Q463" s="257" t="s">
        <v>224</v>
      </c>
      <c r="R463" s="258" t="s">
        <v>225</v>
      </c>
      <c r="S463" s="256" t="s">
        <v>226</v>
      </c>
      <c r="T463" s="257" t="s">
        <v>228</v>
      </c>
      <c r="U463" s="257" t="s">
        <v>237</v>
      </c>
      <c r="V463" s="257">
        <v>0</v>
      </c>
      <c r="W463" s="257">
        <v>0</v>
      </c>
      <c r="X463" s="257">
        <v>0</v>
      </c>
      <c r="Y463" s="257">
        <v>1</v>
      </c>
      <c r="Z463" s="257">
        <v>0</v>
      </c>
      <c r="AA463" s="257">
        <v>0</v>
      </c>
      <c r="AB463" s="257">
        <v>0</v>
      </c>
      <c r="AC463" s="257">
        <v>0</v>
      </c>
      <c r="AD463" s="257">
        <v>0</v>
      </c>
      <c r="AE463" s="257">
        <v>0</v>
      </c>
      <c r="AF463" s="257">
        <v>0</v>
      </c>
      <c r="AG463" s="257">
        <v>0</v>
      </c>
      <c r="AH463" s="257">
        <v>0</v>
      </c>
      <c r="AI463" s="257">
        <v>0</v>
      </c>
      <c r="AJ463" s="257">
        <v>0</v>
      </c>
      <c r="AK463" s="257">
        <v>0</v>
      </c>
      <c r="AL463" s="257">
        <v>0</v>
      </c>
      <c r="AM463" s="257">
        <v>0</v>
      </c>
      <c r="AN463" s="257">
        <v>0</v>
      </c>
      <c r="AO463" s="257">
        <v>0</v>
      </c>
      <c r="AP463" s="257">
        <v>0</v>
      </c>
      <c r="AQ463" s="257">
        <v>0</v>
      </c>
      <c r="AR463" s="257">
        <v>0</v>
      </c>
      <c r="AS463" s="257">
        <v>0</v>
      </c>
      <c r="AT463" s="257">
        <v>0</v>
      </c>
      <c r="AU463" s="257">
        <v>0</v>
      </c>
      <c r="AV463" s="257">
        <v>0</v>
      </c>
      <c r="AW463" s="257">
        <v>0</v>
      </c>
      <c r="AX463" s="277">
        <v>1</v>
      </c>
      <c r="AY463" s="277">
        <v>1</v>
      </c>
      <c r="AZ463" s="257">
        <v>1</v>
      </c>
      <c r="BA463" s="257">
        <v>0</v>
      </c>
      <c r="BB463" s="257">
        <v>0</v>
      </c>
      <c r="BC463" s="257">
        <v>0</v>
      </c>
      <c r="BD463" s="257">
        <v>0</v>
      </c>
      <c r="BE463" s="257" t="s">
        <v>91</v>
      </c>
      <c r="BF463" s="2" t="str" cm="1">
        <f t="array" ref="BF463">IF(COUNTIF(AZ463:BB463,"&lt;&gt;0")=1,INDEX($V$4:$AW$4,MATCH(TRUE,INDEX($V463:$AW463&lt;&gt;0,),0)),IF(COUNTIF(AZ463:BB463,"&lt;&gt;0")=0,INDEX($AM$4:$AW$4,MATCH(1,$AM463:$AW463,0)),"Multiple strategies"))</f>
        <v>Silviculture for removals</v>
      </c>
      <c r="BG463" s="278" t="s">
        <v>229</v>
      </c>
      <c r="BH463" s="257" t="s">
        <v>230</v>
      </c>
      <c r="BI463" s="279" t="s">
        <v>3071</v>
      </c>
      <c r="BJ463" s="276" t="s">
        <v>231</v>
      </c>
      <c r="BK463" s="257">
        <v>98.063244030000007</v>
      </c>
      <c r="BL463" s="257">
        <v>124.6996771</v>
      </c>
      <c r="BM463" s="276">
        <v>1.2716250449745599</v>
      </c>
      <c r="BN463" s="257">
        <v>26.636433069999995</v>
      </c>
      <c r="BO463" s="276">
        <v>54.36006748979591</v>
      </c>
      <c r="BP463" s="276" t="s">
        <v>232</v>
      </c>
      <c r="BQ463" s="279" t="s">
        <v>3071</v>
      </c>
      <c r="BR463" s="276" t="s">
        <v>233</v>
      </c>
      <c r="BS463" s="257">
        <v>-8.12446701</v>
      </c>
      <c r="BT463" s="257">
        <v>-7.9158553720000002</v>
      </c>
      <c r="BU463" s="259">
        <v>0.9743230370997592</v>
      </c>
      <c r="BV463" s="257">
        <v>0.20861163799999982</v>
      </c>
      <c r="BW463" s="257"/>
      <c r="BX463" s="257">
        <v>2.0861163799999982E-4</v>
      </c>
      <c r="BY463" s="257">
        <v>3.83758975352926E-6</v>
      </c>
      <c r="BZ463" s="257">
        <v>0</v>
      </c>
      <c r="CA463" s="257">
        <v>0</v>
      </c>
      <c r="CB463" s="257">
        <v>0</v>
      </c>
      <c r="CC463" s="257">
        <v>0</v>
      </c>
      <c r="CD463" s="257">
        <v>0</v>
      </c>
      <c r="CE463" s="257">
        <v>0</v>
      </c>
      <c r="CF463" s="257">
        <v>0</v>
      </c>
      <c r="CG463" s="257">
        <v>0</v>
      </c>
      <c r="CH463" s="257">
        <v>0</v>
      </c>
      <c r="CI463" s="257">
        <v>0</v>
      </c>
      <c r="CJ463" s="257">
        <v>0</v>
      </c>
      <c r="CK463" s="257">
        <v>0</v>
      </c>
      <c r="CL463" s="257">
        <v>0</v>
      </c>
      <c r="CM463" s="257">
        <v>0</v>
      </c>
      <c r="CN463" s="257" t="s">
        <v>3072</v>
      </c>
      <c r="CO463" s="257">
        <v>98.063244030000007</v>
      </c>
      <c r="CP463" s="257">
        <v>124.6996771</v>
      </c>
      <c r="CQ463" s="257">
        <v>54.36006748979591</v>
      </c>
      <c r="CR463" s="257">
        <v>-8.12446701</v>
      </c>
      <c r="CS463" s="257">
        <v>-7.9158553720000002</v>
      </c>
      <c r="CT463" s="257">
        <v>2.0861163799999982E-4</v>
      </c>
      <c r="CU463" s="257">
        <v>3.83758975352926E-6</v>
      </c>
      <c r="CV463" s="258">
        <v>2.5676962900240741E-2</v>
      </c>
      <c r="CW463" s="256" t="s">
        <v>234</v>
      </c>
      <c r="CX463" s="257" t="s">
        <v>3073</v>
      </c>
      <c r="CY463" s="257" t="s">
        <v>235</v>
      </c>
      <c r="CZ463" s="257"/>
      <c r="DA463" s="276"/>
      <c r="DB463" s="276">
        <v>80</v>
      </c>
      <c r="DC463" s="257" t="s">
        <v>3074</v>
      </c>
      <c r="DD463" s="257">
        <v>0</v>
      </c>
      <c r="DE463" s="257">
        <v>1</v>
      </c>
      <c r="DF463" s="257">
        <v>0</v>
      </c>
      <c r="DG463" s="257">
        <v>0</v>
      </c>
      <c r="DH463" s="257"/>
      <c r="DI463" s="257">
        <v>1</v>
      </c>
      <c r="DJ463" s="257" t="s">
        <v>173</v>
      </c>
      <c r="DK463" s="257">
        <v>0</v>
      </c>
      <c r="DL463" s="257" t="s">
        <v>180</v>
      </c>
      <c r="DM463" s="257">
        <v>0</v>
      </c>
      <c r="DN463" s="257">
        <v>0</v>
      </c>
      <c r="DO463" s="257">
        <v>0</v>
      </c>
      <c r="DP463" s="276">
        <v>0</v>
      </c>
      <c r="DQ463" s="276">
        <v>0</v>
      </c>
      <c r="DR463" s="276">
        <v>0</v>
      </c>
      <c r="DS463" s="276">
        <v>0</v>
      </c>
      <c r="DT463" s="257">
        <v>0</v>
      </c>
      <c r="DU463" s="276" t="s">
        <v>962</v>
      </c>
      <c r="DV463" s="276">
        <v>1</v>
      </c>
      <c r="DW463" s="276">
        <v>1</v>
      </c>
      <c r="DX463" s="276">
        <v>1</v>
      </c>
      <c r="DY463" s="276">
        <v>0</v>
      </c>
      <c r="DZ463" s="257">
        <v>0</v>
      </c>
      <c r="EA463" s="276">
        <v>0</v>
      </c>
      <c r="EB463" s="276">
        <v>1</v>
      </c>
      <c r="EC463" s="276">
        <v>1</v>
      </c>
      <c r="ED463" s="276">
        <v>0</v>
      </c>
      <c r="EE463" s="276">
        <v>0</v>
      </c>
      <c r="EF463" s="257">
        <v>1</v>
      </c>
      <c r="EG463" s="276">
        <v>0</v>
      </c>
      <c r="EH463" s="257">
        <v>0</v>
      </c>
      <c r="EI463" s="258">
        <v>0</v>
      </c>
      <c r="EJ463" s="256"/>
      <c r="EK463" t="str">
        <f>IF(AND(AND(AND(OR($DX463=1,$DW463=1),OR($EC463=1,$EA463=1)),SUM($DV463:$DZ463,$EF463)&gt;=4),SUM($EA463:$EE463)&gt;=2),"Whole sector","")</f>
        <v>Whole sector</v>
      </c>
      <c r="EL463" t="str">
        <f>IF(AND(AND(OR($DX463=1,$DW463=1),AND($EC463=0,$EA463=0)),SUM($DV463:$DZ463,$EF463)&gt;=4),"Ecosystem approach","")</f>
        <v/>
      </c>
      <c r="EM463" s="258" t="s">
        <v>544</v>
      </c>
      <c r="EN463" s="257" t="s">
        <v>236</v>
      </c>
      <c r="EO463" s="257"/>
      <c r="EP463" t="str">
        <f>IF(ISNUMBER(BU463),IF(ABS(BU463-[2]QC_indicators!$B$2)&gt;3*[2]QC_indicators!$C$2,"C ratio",IF(ISNUMBER(BY463),IF(ABS(BY463-[2]QC_indicators!$B$1)&gt;3*[2]QC_indicators!$C$1,"DF","no"))),IF(ISNUMBER(BY463),IF(ABS(BY463-[2]QC_indicators!$B$1)&gt;3*[2]QC_indicators!$C$1,"DF","no")))</f>
        <v>no</v>
      </c>
      <c r="EQ463" s="257"/>
      <c r="ER463" s="257"/>
      <c r="ES463" s="257"/>
      <c r="ET463" s="257"/>
    </row>
    <row r="464" spans="1:151" ht="15" customHeight="1">
      <c r="A464" s="256" t="s">
        <v>214</v>
      </c>
      <c r="B464" s="257" t="s">
        <v>215</v>
      </c>
      <c r="C464" s="257" t="s">
        <v>216</v>
      </c>
      <c r="D464" s="257" t="s">
        <v>217</v>
      </c>
      <c r="E464" s="257" t="s">
        <v>218</v>
      </c>
      <c r="F464" s="257" t="s">
        <v>219</v>
      </c>
      <c r="G464" s="257" t="s">
        <v>220</v>
      </c>
      <c r="H464" s="257"/>
      <c r="I464" s="257">
        <v>2012</v>
      </c>
      <c r="J464" s="257"/>
      <c r="K464" s="257" t="s">
        <v>221</v>
      </c>
      <c r="L464" s="257"/>
      <c r="M464" s="257" t="s">
        <v>3070</v>
      </c>
      <c r="N464" s="257" t="s">
        <v>222</v>
      </c>
      <c r="O464" s="275" t="s">
        <v>223</v>
      </c>
      <c r="P464" s="257"/>
      <c r="Q464" s="257" t="s">
        <v>224</v>
      </c>
      <c r="R464" s="258" t="s">
        <v>225</v>
      </c>
      <c r="S464" s="256" t="s">
        <v>226</v>
      </c>
      <c r="T464" s="257" t="s">
        <v>228</v>
      </c>
      <c r="U464" s="257" t="s">
        <v>237</v>
      </c>
      <c r="V464" s="257">
        <v>0</v>
      </c>
      <c r="W464" s="257">
        <v>0</v>
      </c>
      <c r="X464" s="257">
        <v>0</v>
      </c>
      <c r="Y464" s="257">
        <v>1</v>
      </c>
      <c r="Z464" s="257">
        <v>0</v>
      </c>
      <c r="AA464" s="257">
        <v>0</v>
      </c>
      <c r="AB464" s="257">
        <v>0</v>
      </c>
      <c r="AC464" s="257">
        <v>0</v>
      </c>
      <c r="AD464" s="257">
        <v>0</v>
      </c>
      <c r="AE464" s="257">
        <v>0</v>
      </c>
      <c r="AF464" s="257">
        <v>0</v>
      </c>
      <c r="AG464" s="257">
        <v>0</v>
      </c>
      <c r="AH464" s="257">
        <v>0</v>
      </c>
      <c r="AI464" s="257">
        <v>0</v>
      </c>
      <c r="AJ464" s="257">
        <v>0</v>
      </c>
      <c r="AK464" s="257">
        <v>0</v>
      </c>
      <c r="AL464" s="257">
        <v>0</v>
      </c>
      <c r="AM464" s="257">
        <v>0</v>
      </c>
      <c r="AN464" s="257">
        <v>0</v>
      </c>
      <c r="AO464" s="257">
        <v>0</v>
      </c>
      <c r="AP464" s="257">
        <v>0</v>
      </c>
      <c r="AQ464" s="257">
        <v>0</v>
      </c>
      <c r="AR464" s="257">
        <v>0</v>
      </c>
      <c r="AS464" s="257">
        <v>0</v>
      </c>
      <c r="AT464" s="257">
        <v>0</v>
      </c>
      <c r="AU464" s="257">
        <v>0</v>
      </c>
      <c r="AV464" s="257">
        <v>0</v>
      </c>
      <c r="AW464" s="257">
        <v>0</v>
      </c>
      <c r="AX464" s="277">
        <v>1</v>
      </c>
      <c r="AY464" s="277">
        <v>1</v>
      </c>
      <c r="AZ464" s="257">
        <v>1</v>
      </c>
      <c r="BA464" s="257">
        <v>0</v>
      </c>
      <c r="BB464" s="257">
        <v>0</v>
      </c>
      <c r="BC464" s="257">
        <v>0</v>
      </c>
      <c r="BD464" s="257">
        <v>0</v>
      </c>
      <c r="BE464" s="257" t="s">
        <v>91</v>
      </c>
      <c r="BF464" s="2" t="str" cm="1">
        <f t="array" ref="BF464">IF(COUNTIF(AZ464:BB464,"&lt;&gt;0")=1,INDEX($V$4:$AW$4,MATCH(TRUE,INDEX($V464:$AW464&lt;&gt;0,),0)),IF(COUNTIF(AZ464:BB464,"&lt;&gt;0")=0,INDEX($AM$4:$AW$4,MATCH(1,$AM464:$AW464,0)),"Multiple strategies"))</f>
        <v>Silviculture for removals</v>
      </c>
      <c r="BG464" s="278" t="s">
        <v>229</v>
      </c>
      <c r="BH464" s="257" t="s">
        <v>230</v>
      </c>
      <c r="BI464" s="279" t="s">
        <v>3071</v>
      </c>
      <c r="BJ464" s="276" t="s">
        <v>231</v>
      </c>
      <c r="BK464" s="257">
        <v>100.5900439</v>
      </c>
      <c r="BL464" s="257">
        <v>127.1903367</v>
      </c>
      <c r="BM464" s="276">
        <v>1.2644426005663569</v>
      </c>
      <c r="BN464" s="257">
        <v>26.600292800000005</v>
      </c>
      <c r="BO464" s="276">
        <v>54.286311836734704</v>
      </c>
      <c r="BP464" s="276" t="s">
        <v>232</v>
      </c>
      <c r="BQ464" s="282" t="s">
        <v>2625</v>
      </c>
      <c r="BR464" s="276" t="s">
        <v>233</v>
      </c>
      <c r="BS464" s="257">
        <v>-11.804099559999999</v>
      </c>
      <c r="BT464" s="257">
        <v>-11.589751100000001</v>
      </c>
      <c r="BU464" s="259">
        <v>0.9818411850128449</v>
      </c>
      <c r="BV464" s="257">
        <v>0.2143484599999983</v>
      </c>
      <c r="BW464" s="257"/>
      <c r="BX464" s="257">
        <v>2.143484599999983E-4</v>
      </c>
      <c r="BY464" s="257">
        <v>3.9484808001812348E-6</v>
      </c>
      <c r="BZ464" s="257">
        <v>0</v>
      </c>
      <c r="CA464" s="257">
        <v>0</v>
      </c>
      <c r="CB464" s="257">
        <v>0</v>
      </c>
      <c r="CC464" s="257">
        <v>0</v>
      </c>
      <c r="CD464" s="257">
        <v>0</v>
      </c>
      <c r="CE464" s="257">
        <v>0</v>
      </c>
      <c r="CF464" s="257">
        <v>0</v>
      </c>
      <c r="CG464" s="257">
        <v>0</v>
      </c>
      <c r="CH464" s="257">
        <v>0</v>
      </c>
      <c r="CI464" s="257">
        <v>0</v>
      </c>
      <c r="CJ464" s="257">
        <v>0</v>
      </c>
      <c r="CK464" s="257">
        <v>0</v>
      </c>
      <c r="CL464" s="257">
        <v>0</v>
      </c>
      <c r="CM464" s="257">
        <v>0</v>
      </c>
      <c r="CN464" s="257" t="s">
        <v>3072</v>
      </c>
      <c r="CO464" s="257">
        <v>100.5900439</v>
      </c>
      <c r="CP464" s="257">
        <v>127.1903367</v>
      </c>
      <c r="CQ464" s="257">
        <v>54.286311836734704</v>
      </c>
      <c r="CR464" s="257">
        <v>-11.804099559999999</v>
      </c>
      <c r="CS464" s="257">
        <v>-11.589751100000001</v>
      </c>
      <c r="CT464" s="257">
        <v>2.143484599999983E-4</v>
      </c>
      <c r="CU464" s="257">
        <v>3.9484808001812348E-6</v>
      </c>
      <c r="CV464" s="258">
        <v>1.8158814987155047E-2</v>
      </c>
      <c r="CW464" s="256" t="s">
        <v>234</v>
      </c>
      <c r="CX464" s="257" t="s">
        <v>3073</v>
      </c>
      <c r="CY464" s="257" t="s">
        <v>235</v>
      </c>
      <c r="CZ464" s="257"/>
      <c r="DA464" s="276"/>
      <c r="DB464" s="276">
        <v>80</v>
      </c>
      <c r="DC464" s="257" t="s">
        <v>3074</v>
      </c>
      <c r="DD464" s="257">
        <v>0</v>
      </c>
      <c r="DE464" s="257">
        <v>1</v>
      </c>
      <c r="DF464" s="257">
        <v>0</v>
      </c>
      <c r="DG464" s="257">
        <v>0</v>
      </c>
      <c r="DH464" s="257"/>
      <c r="DI464" s="257">
        <v>1</v>
      </c>
      <c r="DJ464" s="257" t="s">
        <v>173</v>
      </c>
      <c r="DK464" s="257">
        <v>0</v>
      </c>
      <c r="DL464" s="257" t="s">
        <v>180</v>
      </c>
      <c r="DM464" s="257">
        <v>0</v>
      </c>
      <c r="DN464" s="257">
        <v>0</v>
      </c>
      <c r="DO464" s="257">
        <v>0</v>
      </c>
      <c r="DP464" s="276">
        <v>0</v>
      </c>
      <c r="DQ464" s="276">
        <v>0</v>
      </c>
      <c r="DR464" s="276">
        <v>0</v>
      </c>
      <c r="DS464" s="276">
        <v>0</v>
      </c>
      <c r="DT464" s="257">
        <v>0</v>
      </c>
      <c r="DU464" s="276" t="s">
        <v>962</v>
      </c>
      <c r="DV464" s="276">
        <v>1</v>
      </c>
      <c r="DW464" s="276">
        <v>1</v>
      </c>
      <c r="DX464" s="276">
        <v>1</v>
      </c>
      <c r="DY464" s="276">
        <v>0</v>
      </c>
      <c r="DZ464" s="257">
        <v>0</v>
      </c>
      <c r="EA464" s="276">
        <v>0</v>
      </c>
      <c r="EB464" s="276">
        <v>1</v>
      </c>
      <c r="EC464" s="276">
        <v>1</v>
      </c>
      <c r="ED464" s="276">
        <v>0</v>
      </c>
      <c r="EE464" s="276">
        <v>0</v>
      </c>
      <c r="EF464" s="257">
        <v>1</v>
      </c>
      <c r="EG464" s="276">
        <v>0</v>
      </c>
      <c r="EH464" s="257">
        <v>0</v>
      </c>
      <c r="EI464" s="258">
        <v>0</v>
      </c>
      <c r="EJ464" s="256"/>
      <c r="EK464" t="str">
        <f>IF(AND(AND(AND(OR($DX464=1,$DW464=1),OR($EC464=1,$EA464=1)),SUM($DV464:$DZ464,$EF464)&gt;=4),SUM($EA464:$EE464)&gt;=2),"Whole sector","")</f>
        <v>Whole sector</v>
      </c>
      <c r="EL464" t="str">
        <f>IF(AND(AND(OR($DX464=1,$DW464=1),AND($EC464=0,$EA464=0)),SUM($DV464:$DZ464,$EF464)&gt;=4),"Ecosystem approach","")</f>
        <v/>
      </c>
      <c r="EM464" s="258" t="s">
        <v>544</v>
      </c>
      <c r="EN464" s="257" t="s">
        <v>236</v>
      </c>
      <c r="EO464" s="257"/>
      <c r="EP464" t="str">
        <f>IF(ISNUMBER(BU464),IF(ABS(BU464-[2]QC_indicators!$B$2)&gt;3*[2]QC_indicators!$C$2,"C ratio",IF(ISNUMBER(BY464),IF(ABS(BY464-[2]QC_indicators!$B$1)&gt;3*[2]QC_indicators!$C$1,"DF","no"))),IF(ISNUMBER(BY464),IF(ABS(BY464-[2]QC_indicators!$B$1)&gt;3*[2]QC_indicators!$C$1,"DF","no")))</f>
        <v>no</v>
      </c>
      <c r="EQ464" s="280"/>
      <c r="ER464" s="280"/>
      <c r="ES464" s="280"/>
    </row>
    <row r="465" spans="1:149" ht="15" customHeight="1">
      <c r="A465" s="256" t="s">
        <v>214</v>
      </c>
      <c r="B465" s="257" t="s">
        <v>215</v>
      </c>
      <c r="C465" s="257" t="s">
        <v>216</v>
      </c>
      <c r="D465" s="257" t="s">
        <v>217</v>
      </c>
      <c r="E465" s="257" t="s">
        <v>218</v>
      </c>
      <c r="F465" s="257" t="s">
        <v>219</v>
      </c>
      <c r="G465" s="257" t="s">
        <v>220</v>
      </c>
      <c r="H465" s="257"/>
      <c r="I465" s="257">
        <v>2012</v>
      </c>
      <c r="J465" s="257"/>
      <c r="K465" s="257" t="s">
        <v>221</v>
      </c>
      <c r="L465" s="257"/>
      <c r="M465" s="257" t="s">
        <v>3070</v>
      </c>
      <c r="N465" s="257" t="s">
        <v>222</v>
      </c>
      <c r="O465" s="275" t="s">
        <v>223</v>
      </c>
      <c r="P465" s="257"/>
      <c r="Q465" s="257" t="s">
        <v>224</v>
      </c>
      <c r="R465" s="258" t="s">
        <v>225</v>
      </c>
      <c r="S465" s="256" t="s">
        <v>226</v>
      </c>
      <c r="T465" s="257" t="s">
        <v>228</v>
      </c>
      <c r="U465" s="257" t="s">
        <v>237</v>
      </c>
      <c r="V465" s="257">
        <v>0</v>
      </c>
      <c r="W465" s="257">
        <v>0</v>
      </c>
      <c r="X465" s="257">
        <v>0</v>
      </c>
      <c r="Y465" s="257">
        <v>1</v>
      </c>
      <c r="Z465" s="257">
        <v>0</v>
      </c>
      <c r="AA465" s="257">
        <v>0</v>
      </c>
      <c r="AB465" s="257">
        <v>0</v>
      </c>
      <c r="AC465" s="257">
        <v>0</v>
      </c>
      <c r="AD465" s="257">
        <v>0</v>
      </c>
      <c r="AE465" s="257">
        <v>0</v>
      </c>
      <c r="AF465" s="257">
        <v>0</v>
      </c>
      <c r="AG465" s="257">
        <v>0</v>
      </c>
      <c r="AH465" s="257">
        <v>0</v>
      </c>
      <c r="AI465" s="257">
        <v>0</v>
      </c>
      <c r="AJ465" s="257">
        <v>0</v>
      </c>
      <c r="AK465" s="257">
        <v>0</v>
      </c>
      <c r="AL465" s="257">
        <v>0</v>
      </c>
      <c r="AM465" s="257">
        <v>0</v>
      </c>
      <c r="AN465" s="257">
        <v>0</v>
      </c>
      <c r="AO465" s="257">
        <v>0</v>
      </c>
      <c r="AP465" s="257">
        <v>0</v>
      </c>
      <c r="AQ465" s="257">
        <v>0</v>
      </c>
      <c r="AR465" s="257">
        <v>0</v>
      </c>
      <c r="AS465" s="257">
        <v>0</v>
      </c>
      <c r="AT465" s="257">
        <v>0</v>
      </c>
      <c r="AU465" s="257">
        <v>0</v>
      </c>
      <c r="AV465" s="257">
        <v>0</v>
      </c>
      <c r="AW465" s="257">
        <v>0</v>
      </c>
      <c r="AX465" s="277">
        <v>1</v>
      </c>
      <c r="AY465" s="277">
        <v>1</v>
      </c>
      <c r="AZ465" s="257">
        <v>1</v>
      </c>
      <c r="BA465" s="257">
        <v>0</v>
      </c>
      <c r="BB465" s="257">
        <v>0</v>
      </c>
      <c r="BC465" s="257">
        <v>0</v>
      </c>
      <c r="BD465" s="257">
        <v>0</v>
      </c>
      <c r="BE465" s="257" t="s">
        <v>91</v>
      </c>
      <c r="BF465" s="2" t="str" cm="1">
        <f t="array" ref="BF465">IF(COUNTIF(AZ465:BB465,"&lt;&gt;0")=1,INDEX($V$4:$AW$4,MATCH(TRUE,INDEX($V465:$AW465&lt;&gt;0,),0)),IF(COUNTIF(AZ465:BB465,"&lt;&gt;0")=0,INDEX($AM$4:$AW$4,MATCH(1,$AM465:$AW465,0)),"Multiple strategies"))</f>
        <v>Silviculture for removals</v>
      </c>
      <c r="BG465" s="278" t="s">
        <v>229</v>
      </c>
      <c r="BH465" s="257" t="s">
        <v>230</v>
      </c>
      <c r="BI465" s="279" t="s">
        <v>3071</v>
      </c>
      <c r="BJ465" s="276" t="s">
        <v>231</v>
      </c>
      <c r="BK465" s="257">
        <v>89.04746797</v>
      </c>
      <c r="BL465" s="257">
        <v>110.7133618</v>
      </c>
      <c r="BM465" s="276">
        <v>1.2433072419004572</v>
      </c>
      <c r="BN465" s="257">
        <v>21.665893830000002</v>
      </c>
      <c r="BO465" s="276">
        <v>44.216109857142861</v>
      </c>
      <c r="BP465" s="276" t="s">
        <v>232</v>
      </c>
      <c r="BQ465" s="279" t="s">
        <v>3071</v>
      </c>
      <c r="BR465" s="276" t="s">
        <v>233</v>
      </c>
      <c r="BS465" s="257">
        <v>-8.1050396580000008</v>
      </c>
      <c r="BT465" s="257">
        <v>-7.8881757170000002</v>
      </c>
      <c r="BU465" s="259">
        <v>0.97324332142089554</v>
      </c>
      <c r="BV465" s="257">
        <v>0.21686394100000062</v>
      </c>
      <c r="BW465" s="257"/>
      <c r="BX465" s="257">
        <v>2.168639410000006E-4</v>
      </c>
      <c r="BY465" s="257">
        <v>4.9046363802845369E-6</v>
      </c>
      <c r="BZ465" s="257">
        <v>0</v>
      </c>
      <c r="CA465" s="257">
        <v>0</v>
      </c>
      <c r="CB465" s="257">
        <v>0</v>
      </c>
      <c r="CC465" s="257">
        <v>0</v>
      </c>
      <c r="CD465" s="257">
        <v>0</v>
      </c>
      <c r="CE465" s="257">
        <v>0</v>
      </c>
      <c r="CF465" s="257">
        <v>0</v>
      </c>
      <c r="CG465" s="257">
        <v>0</v>
      </c>
      <c r="CH465" s="257">
        <v>0</v>
      </c>
      <c r="CI465" s="257">
        <v>0</v>
      </c>
      <c r="CJ465" s="257">
        <v>0</v>
      </c>
      <c r="CK465" s="257">
        <v>0</v>
      </c>
      <c r="CL465" s="257">
        <v>0</v>
      </c>
      <c r="CM465" s="257">
        <v>0</v>
      </c>
      <c r="CN465" s="257" t="s">
        <v>3072</v>
      </c>
      <c r="CO465" s="257">
        <v>89.04746797</v>
      </c>
      <c r="CP465" s="257">
        <v>110.7133618</v>
      </c>
      <c r="CQ465" s="257">
        <v>44.216109857142861</v>
      </c>
      <c r="CR465" s="257">
        <v>-8.1050396580000008</v>
      </c>
      <c r="CS465" s="257">
        <v>-7.8881757170000002</v>
      </c>
      <c r="CT465" s="257">
        <v>2.168639410000006E-4</v>
      </c>
      <c r="CU465" s="257">
        <v>4.9046363802845369E-6</v>
      </c>
      <c r="CV465" s="258">
        <v>2.6756678579104441E-2</v>
      </c>
      <c r="CW465" s="256" t="s">
        <v>234</v>
      </c>
      <c r="CX465" s="257" t="s">
        <v>3073</v>
      </c>
      <c r="CY465" s="257" t="s">
        <v>235</v>
      </c>
      <c r="CZ465" s="257"/>
      <c r="DA465" s="276"/>
      <c r="DB465" s="276">
        <v>80</v>
      </c>
      <c r="DC465" s="257" t="s">
        <v>3074</v>
      </c>
      <c r="DD465" s="257">
        <v>0</v>
      </c>
      <c r="DE465" s="257">
        <v>1</v>
      </c>
      <c r="DF465" s="257">
        <v>0</v>
      </c>
      <c r="DG465" s="257">
        <v>0</v>
      </c>
      <c r="DH465" s="257"/>
      <c r="DI465" s="257">
        <v>1</v>
      </c>
      <c r="DJ465" s="257" t="s">
        <v>173</v>
      </c>
      <c r="DK465" s="257">
        <v>0</v>
      </c>
      <c r="DL465" s="257" t="s">
        <v>180</v>
      </c>
      <c r="DM465" s="257">
        <v>0</v>
      </c>
      <c r="DN465" s="257">
        <v>0</v>
      </c>
      <c r="DO465" s="257">
        <v>0</v>
      </c>
      <c r="DP465" s="276">
        <v>0</v>
      </c>
      <c r="DQ465" s="276">
        <v>0</v>
      </c>
      <c r="DR465" s="276">
        <v>0</v>
      </c>
      <c r="DS465" s="276">
        <v>0</v>
      </c>
      <c r="DT465" s="257">
        <v>0</v>
      </c>
      <c r="DU465" s="276" t="s">
        <v>962</v>
      </c>
      <c r="DV465" s="276">
        <v>1</v>
      </c>
      <c r="DW465" s="276">
        <v>1</v>
      </c>
      <c r="DX465" s="276">
        <v>1</v>
      </c>
      <c r="DY465" s="276">
        <v>0</v>
      </c>
      <c r="DZ465" s="257">
        <v>0</v>
      </c>
      <c r="EA465" s="276">
        <v>0</v>
      </c>
      <c r="EB465" s="276">
        <v>1</v>
      </c>
      <c r="EC465" s="276">
        <v>1</v>
      </c>
      <c r="ED465" s="276">
        <v>0</v>
      </c>
      <c r="EE465" s="276">
        <v>0</v>
      </c>
      <c r="EF465" s="257">
        <v>1</v>
      </c>
      <c r="EG465" s="276">
        <v>0</v>
      </c>
      <c r="EH465" s="257">
        <v>0</v>
      </c>
      <c r="EI465" s="258">
        <v>0</v>
      </c>
      <c r="EJ465" s="256"/>
      <c r="EK465" t="str">
        <f>IF(AND(AND(AND(OR($DX465=1,$DW465=1),OR($EC465=1,$EA465=1)),SUM($DV465:$DZ465,$EF465)&gt;=4),SUM($EA465:$EE465)&gt;=2),"Whole sector","")</f>
        <v>Whole sector</v>
      </c>
      <c r="EL465" t="str">
        <f>IF(AND(AND(OR($DX465=1,$DW465=1),AND($EC465=0,$EA465=0)),SUM($DV465:$DZ465,$EF465)&gt;=4),"Ecosystem approach","")</f>
        <v/>
      </c>
      <c r="EM465" s="258" t="s">
        <v>544</v>
      </c>
      <c r="EN465" s="257" t="s">
        <v>236</v>
      </c>
      <c r="EO465" s="257"/>
      <c r="EP465" t="str">
        <f>IF(ISNUMBER(BU465),IF(ABS(BU465-[2]QC_indicators!$B$2)&gt;3*[2]QC_indicators!$C$2,"C ratio",IF(ISNUMBER(BY465),IF(ABS(BY465-[2]QC_indicators!$B$1)&gt;3*[2]QC_indicators!$C$1,"DF","no"))),IF(ISNUMBER(BY465),IF(ABS(BY465-[2]QC_indicators!$B$1)&gt;3*[2]QC_indicators!$C$1,"DF","no")))</f>
        <v>no</v>
      </c>
      <c r="EQ465" s="280"/>
      <c r="ER465" s="280"/>
      <c r="ES465" s="280"/>
    </row>
    <row r="466" spans="1:149" ht="15" customHeight="1">
      <c r="A466" s="256" t="s">
        <v>214</v>
      </c>
      <c r="B466" s="257" t="s">
        <v>215</v>
      </c>
      <c r="C466" s="257" t="s">
        <v>216</v>
      </c>
      <c r="D466" s="257" t="s">
        <v>217</v>
      </c>
      <c r="E466" s="257" t="s">
        <v>218</v>
      </c>
      <c r="F466" s="257" t="s">
        <v>219</v>
      </c>
      <c r="G466" s="257" t="s">
        <v>220</v>
      </c>
      <c r="H466" s="257"/>
      <c r="I466" s="257">
        <v>2012</v>
      </c>
      <c r="J466" s="257"/>
      <c r="K466" s="257" t="s">
        <v>221</v>
      </c>
      <c r="L466" s="257"/>
      <c r="M466" s="257" t="s">
        <v>3070</v>
      </c>
      <c r="N466" s="257" t="s">
        <v>222</v>
      </c>
      <c r="O466" s="275" t="s">
        <v>223</v>
      </c>
      <c r="P466" s="257"/>
      <c r="Q466" s="257" t="s">
        <v>224</v>
      </c>
      <c r="R466" s="258" t="s">
        <v>225</v>
      </c>
      <c r="S466" s="256" t="s">
        <v>226</v>
      </c>
      <c r="T466" s="257" t="s">
        <v>228</v>
      </c>
      <c r="U466" s="257" t="s">
        <v>239</v>
      </c>
      <c r="V466" s="257">
        <v>0</v>
      </c>
      <c r="W466" s="257">
        <v>0</v>
      </c>
      <c r="X466" s="257">
        <v>0</v>
      </c>
      <c r="Y466" s="257">
        <v>1</v>
      </c>
      <c r="Z466" s="257">
        <v>0</v>
      </c>
      <c r="AA466" s="257">
        <v>0</v>
      </c>
      <c r="AB466" s="257">
        <v>0</v>
      </c>
      <c r="AC466" s="257">
        <v>0</v>
      </c>
      <c r="AD466" s="257">
        <v>0</v>
      </c>
      <c r="AE466" s="257">
        <v>0</v>
      </c>
      <c r="AF466" s="257">
        <v>0</v>
      </c>
      <c r="AG466" s="257">
        <v>0</v>
      </c>
      <c r="AH466" s="257">
        <v>0</v>
      </c>
      <c r="AI466" s="257">
        <v>0</v>
      </c>
      <c r="AJ466" s="257">
        <v>0</v>
      </c>
      <c r="AK466" s="257">
        <v>0</v>
      </c>
      <c r="AL466" s="257">
        <v>0</v>
      </c>
      <c r="AM466" s="257">
        <v>0</v>
      </c>
      <c r="AN466" s="257">
        <v>0</v>
      </c>
      <c r="AO466" s="257">
        <v>0</v>
      </c>
      <c r="AP466" s="257">
        <v>0</v>
      </c>
      <c r="AQ466" s="257">
        <v>0</v>
      </c>
      <c r="AR466" s="257">
        <v>0</v>
      </c>
      <c r="AS466" s="257">
        <v>0</v>
      </c>
      <c r="AT466" s="257">
        <v>0</v>
      </c>
      <c r="AU466" s="257">
        <v>0</v>
      </c>
      <c r="AV466" s="257">
        <v>0</v>
      </c>
      <c r="AW466" s="257">
        <v>0</v>
      </c>
      <c r="AX466" s="277">
        <v>1</v>
      </c>
      <c r="AY466" s="277">
        <v>1</v>
      </c>
      <c r="AZ466" s="257">
        <v>1</v>
      </c>
      <c r="BA466" s="257">
        <v>0</v>
      </c>
      <c r="BB466" s="257">
        <v>0</v>
      </c>
      <c r="BC466" s="257">
        <v>0</v>
      </c>
      <c r="BD466" s="257">
        <v>0</v>
      </c>
      <c r="BE466" s="257" t="s">
        <v>91</v>
      </c>
      <c r="BF466" s="2" t="str" cm="1">
        <f t="array" ref="BF466">IF(COUNTIF(AZ466:BB466,"&lt;&gt;0")=1,INDEX($V$4:$AW$4,MATCH(TRUE,INDEX($V466:$AW466&lt;&gt;0,),0)),IF(COUNTIF(AZ466:BB466,"&lt;&gt;0")=0,INDEX($AM$4:$AW$4,MATCH(1,$AM466:$AW466,0)),"Multiple strategies"))</f>
        <v>Silviculture for removals</v>
      </c>
      <c r="BG466" s="278" t="s">
        <v>229</v>
      </c>
      <c r="BH466" s="257" t="s">
        <v>230</v>
      </c>
      <c r="BI466" s="279" t="s">
        <v>3071</v>
      </c>
      <c r="BJ466" s="276" t="s">
        <v>231</v>
      </c>
      <c r="BK466" s="257">
        <v>69.827586210000007</v>
      </c>
      <c r="BL466" s="257">
        <v>95.977011489999995</v>
      </c>
      <c r="BM466" s="276">
        <v>0.72754491024421464</v>
      </c>
      <c r="BN466" s="257">
        <v>26.149425279999988</v>
      </c>
      <c r="BO466" s="276">
        <v>53.366174040816304</v>
      </c>
      <c r="BP466" s="276" t="s">
        <v>232</v>
      </c>
      <c r="BQ466" s="279" t="s">
        <v>3071</v>
      </c>
      <c r="BR466" s="276" t="s">
        <v>233</v>
      </c>
      <c r="BS466" s="257">
        <v>-8.4285714289999998</v>
      </c>
      <c r="BT466" s="257">
        <v>-8.1428571430000005</v>
      </c>
      <c r="BU466" s="259">
        <v>0.96610169488307962</v>
      </c>
      <c r="BV466" s="257">
        <v>0.28571428599999926</v>
      </c>
      <c r="BW466" s="257"/>
      <c r="BX466" s="257">
        <v>2.8571428599999925E-4</v>
      </c>
      <c r="BY466" s="257">
        <v>5.3538461607061248E-6</v>
      </c>
      <c r="BZ466" s="257">
        <v>0</v>
      </c>
      <c r="CA466" s="257">
        <v>0</v>
      </c>
      <c r="CB466" s="257">
        <v>0</v>
      </c>
      <c r="CC466" s="257">
        <v>0</v>
      </c>
      <c r="CD466" s="257">
        <v>0</v>
      </c>
      <c r="CE466" s="257">
        <v>0</v>
      </c>
      <c r="CF466" s="257">
        <v>0</v>
      </c>
      <c r="CG466" s="257">
        <v>0</v>
      </c>
      <c r="CH466" s="257">
        <v>0</v>
      </c>
      <c r="CI466" s="257">
        <v>0</v>
      </c>
      <c r="CJ466" s="257">
        <v>0</v>
      </c>
      <c r="CK466" s="257">
        <v>0</v>
      </c>
      <c r="CL466" s="257">
        <v>0</v>
      </c>
      <c r="CM466" s="257">
        <v>0</v>
      </c>
      <c r="CN466" s="257" t="s">
        <v>3072</v>
      </c>
      <c r="CO466" s="257">
        <v>69.827586210000007</v>
      </c>
      <c r="CP466" s="257">
        <v>95.977011489999995</v>
      </c>
      <c r="CQ466" s="257">
        <v>53.366174040816304</v>
      </c>
      <c r="CR466" s="257">
        <v>-8.4285714289999998</v>
      </c>
      <c r="CS466" s="257">
        <v>-8.1428571430000005</v>
      </c>
      <c r="CT466" s="257">
        <v>2.8571428599999925E-4</v>
      </c>
      <c r="CU466" s="257">
        <v>5.3538461607061248E-6</v>
      </c>
      <c r="CV466" s="258">
        <v>3.3898305116920338E-2</v>
      </c>
      <c r="CW466" s="256" t="s">
        <v>234</v>
      </c>
      <c r="CX466" s="257" t="s">
        <v>3073</v>
      </c>
      <c r="CY466" s="257" t="s">
        <v>235</v>
      </c>
      <c r="CZ466" s="257"/>
      <c r="DA466" s="276"/>
      <c r="DB466" s="276">
        <v>80</v>
      </c>
      <c r="DC466" s="257" t="s">
        <v>3074</v>
      </c>
      <c r="DD466" s="257">
        <v>0</v>
      </c>
      <c r="DE466" s="257">
        <v>1</v>
      </c>
      <c r="DF466" s="257">
        <v>0</v>
      </c>
      <c r="DG466" s="257">
        <v>0</v>
      </c>
      <c r="DH466" s="257"/>
      <c r="DI466" s="257">
        <v>1</v>
      </c>
      <c r="DJ466" s="257" t="s">
        <v>173</v>
      </c>
      <c r="DK466" s="257">
        <v>0</v>
      </c>
      <c r="DL466" s="257" t="s">
        <v>180</v>
      </c>
      <c r="DM466" s="257">
        <v>0</v>
      </c>
      <c r="DN466" s="257">
        <v>0</v>
      </c>
      <c r="DO466" s="257">
        <v>0</v>
      </c>
      <c r="DP466" s="276">
        <v>0</v>
      </c>
      <c r="DQ466" s="276">
        <v>0</v>
      </c>
      <c r="DR466" s="276">
        <v>0</v>
      </c>
      <c r="DS466" s="276">
        <v>0</v>
      </c>
      <c r="DT466" s="257">
        <v>0</v>
      </c>
      <c r="DU466" s="276" t="s">
        <v>962</v>
      </c>
      <c r="DV466" s="276">
        <v>1</v>
      </c>
      <c r="DW466" s="276">
        <v>1</v>
      </c>
      <c r="DX466" s="276">
        <v>1</v>
      </c>
      <c r="DY466" s="276">
        <v>0</v>
      </c>
      <c r="DZ466" s="257">
        <v>0</v>
      </c>
      <c r="EA466" s="276">
        <v>0</v>
      </c>
      <c r="EB466" s="276">
        <v>1</v>
      </c>
      <c r="EC466" s="276">
        <v>1</v>
      </c>
      <c r="ED466" s="276">
        <v>0</v>
      </c>
      <c r="EE466" s="276">
        <v>0</v>
      </c>
      <c r="EF466" s="257">
        <v>1</v>
      </c>
      <c r="EG466" s="276">
        <v>0</v>
      </c>
      <c r="EH466" s="257">
        <v>0</v>
      </c>
      <c r="EI466" s="258">
        <v>0</v>
      </c>
      <c r="EJ466" s="256"/>
      <c r="EK466" t="str">
        <f>IF(AND(AND(AND(OR($DX466=1,$DW466=1),OR($EC466=1,$EA466=1)),SUM($DV466:$DZ466,$EF466)&gt;=4),SUM($EA466:$EE466)&gt;=2),"Whole sector","")</f>
        <v>Whole sector</v>
      </c>
      <c r="EL466" t="str">
        <f>IF(AND(AND(OR($DX466=1,$DW466=1),AND($EC466=0,$EA466=0)),SUM($DV466:$DZ466,$EF466)&gt;=4),"Ecosystem approach","")</f>
        <v/>
      </c>
      <c r="EM466" s="258" t="s">
        <v>544</v>
      </c>
      <c r="EN466" s="257" t="s">
        <v>236</v>
      </c>
      <c r="EO466" s="257"/>
      <c r="EP466" t="str">
        <f>IF(ISNUMBER(BU466),IF(ABS(BU466-[2]QC_indicators!$B$2)&gt;3*[2]QC_indicators!$C$2,"C ratio",IF(ISNUMBER(BY466),IF(ABS(BY466-[2]QC_indicators!$B$1)&gt;3*[2]QC_indicators!$C$1,"DF","no"))),IF(ISNUMBER(BY466),IF(ABS(BY466-[2]QC_indicators!$B$1)&gt;3*[2]QC_indicators!$C$1,"DF","no")))</f>
        <v>no</v>
      </c>
      <c r="EQ466" s="280"/>
      <c r="ER466" s="280"/>
      <c r="ES466" s="280"/>
    </row>
    <row r="467" spans="1:149" ht="15" customHeight="1">
      <c r="A467" s="256" t="s">
        <v>214</v>
      </c>
      <c r="B467" s="257" t="s">
        <v>215</v>
      </c>
      <c r="C467" s="257" t="s">
        <v>216</v>
      </c>
      <c r="D467" s="257" t="s">
        <v>217</v>
      </c>
      <c r="E467" s="257" t="s">
        <v>218</v>
      </c>
      <c r="F467" s="257" t="s">
        <v>219</v>
      </c>
      <c r="G467" s="257" t="s">
        <v>220</v>
      </c>
      <c r="H467" s="257"/>
      <c r="I467" s="257">
        <v>2012</v>
      </c>
      <c r="J467" s="257"/>
      <c r="K467" s="257" t="s">
        <v>221</v>
      </c>
      <c r="L467" s="257"/>
      <c r="M467" s="257" t="s">
        <v>3070</v>
      </c>
      <c r="N467" s="257" t="s">
        <v>222</v>
      </c>
      <c r="O467" s="275" t="s">
        <v>223</v>
      </c>
      <c r="P467" s="257"/>
      <c r="Q467" s="257" t="s">
        <v>224</v>
      </c>
      <c r="R467" s="258" t="s">
        <v>225</v>
      </c>
      <c r="S467" s="256" t="s">
        <v>226</v>
      </c>
      <c r="T467" s="257" t="s">
        <v>228</v>
      </c>
      <c r="U467" s="257" t="s">
        <v>227</v>
      </c>
      <c r="V467" s="257">
        <v>0</v>
      </c>
      <c r="W467" s="257">
        <v>0</v>
      </c>
      <c r="X467" s="257">
        <v>0</v>
      </c>
      <c r="Y467" s="257">
        <v>1</v>
      </c>
      <c r="Z467" s="257">
        <v>0</v>
      </c>
      <c r="AA467" s="257">
        <v>0</v>
      </c>
      <c r="AB467" s="257">
        <v>0</v>
      </c>
      <c r="AC467" s="257">
        <v>0</v>
      </c>
      <c r="AD467" s="257">
        <v>0</v>
      </c>
      <c r="AE467" s="257">
        <v>0</v>
      </c>
      <c r="AF467" s="257">
        <v>0</v>
      </c>
      <c r="AG467" s="257">
        <v>0</v>
      </c>
      <c r="AH467" s="257">
        <v>0</v>
      </c>
      <c r="AI467" s="257">
        <v>0</v>
      </c>
      <c r="AJ467" s="257">
        <v>0</v>
      </c>
      <c r="AK467" s="257">
        <v>0</v>
      </c>
      <c r="AL467" s="257">
        <v>0</v>
      </c>
      <c r="AM467" s="257">
        <v>0</v>
      </c>
      <c r="AN467" s="257">
        <v>0</v>
      </c>
      <c r="AO467" s="257">
        <v>0</v>
      </c>
      <c r="AP467" s="257">
        <v>0</v>
      </c>
      <c r="AQ467" s="257">
        <v>0</v>
      </c>
      <c r="AR467" s="257">
        <v>0</v>
      </c>
      <c r="AS467" s="257">
        <v>0</v>
      </c>
      <c r="AT467" s="257">
        <v>0</v>
      </c>
      <c r="AU467" s="257">
        <v>0</v>
      </c>
      <c r="AV467" s="257">
        <v>0</v>
      </c>
      <c r="AW467" s="257">
        <v>0</v>
      </c>
      <c r="AX467" s="277">
        <v>1</v>
      </c>
      <c r="AY467" s="277">
        <v>1</v>
      </c>
      <c r="AZ467" s="257">
        <v>1</v>
      </c>
      <c r="BA467" s="257">
        <v>0</v>
      </c>
      <c r="BB467" s="257">
        <v>0</v>
      </c>
      <c r="BC467" s="257">
        <v>0</v>
      </c>
      <c r="BD467" s="257">
        <v>0</v>
      </c>
      <c r="BE467" s="257" t="s">
        <v>91</v>
      </c>
      <c r="BF467" s="2" t="str" cm="1">
        <f t="array" ref="BF467">IF(COUNTIF(AZ467:BB467,"&lt;&gt;0")=1,INDEX($V$4:$AW$4,MATCH(TRUE,INDEX($V467:$AW467&lt;&gt;0,),0)),IF(COUNTIF(AZ467:BB467,"&lt;&gt;0")=0,INDEX($AM$4:$AW$4,MATCH(1,$AM467:$AW467,0)),"Multiple strategies"))</f>
        <v>Silviculture for removals</v>
      </c>
      <c r="BG467" s="278" t="s">
        <v>229</v>
      </c>
      <c r="BH467" s="257" t="s">
        <v>230</v>
      </c>
      <c r="BI467" s="279" t="s">
        <v>3071</v>
      </c>
      <c r="BJ467" s="276" t="s">
        <v>231</v>
      </c>
      <c r="BK467" s="257">
        <v>90.539028419999994</v>
      </c>
      <c r="BL467" s="257">
        <v>98.063244030000007</v>
      </c>
      <c r="BM467" s="276">
        <v>0.92327180602246683</v>
      </c>
      <c r="BN467" s="257">
        <v>7.524215610000013</v>
      </c>
      <c r="BO467" s="276">
        <v>15.355542061224517</v>
      </c>
      <c r="BP467" s="276" t="s">
        <v>232</v>
      </c>
      <c r="BQ467" s="279" t="s">
        <v>3071</v>
      </c>
      <c r="BR467" s="276" t="s">
        <v>233</v>
      </c>
      <c r="BS467" s="257">
        <v>-8.2073792920000006</v>
      </c>
      <c r="BT467" s="257">
        <v>-8.12446701</v>
      </c>
      <c r="BU467" s="259">
        <v>0.98989783717187074</v>
      </c>
      <c r="BV467" s="257">
        <v>8.2912282000000559E-2</v>
      </c>
      <c r="BW467" s="257"/>
      <c r="BX467" s="257">
        <v>8.2912282000000562E-5</v>
      </c>
      <c r="BY467" s="257">
        <v>5.3995021256441911E-6</v>
      </c>
      <c r="BZ467" s="257">
        <v>0</v>
      </c>
      <c r="CA467" s="257">
        <v>0</v>
      </c>
      <c r="CB467" s="257">
        <v>0</v>
      </c>
      <c r="CC467" s="257">
        <v>0</v>
      </c>
      <c r="CD467" s="257">
        <v>0</v>
      </c>
      <c r="CE467" s="257">
        <v>0</v>
      </c>
      <c r="CF467" s="257">
        <v>0</v>
      </c>
      <c r="CG467" s="257">
        <v>0</v>
      </c>
      <c r="CH467" s="257">
        <v>0</v>
      </c>
      <c r="CI467" s="257">
        <v>0</v>
      </c>
      <c r="CJ467" s="257">
        <v>0</v>
      </c>
      <c r="CK467" s="257">
        <v>0</v>
      </c>
      <c r="CL467" s="257">
        <v>0</v>
      </c>
      <c r="CM467" s="257">
        <v>0</v>
      </c>
      <c r="CN467" s="257" t="s">
        <v>3072</v>
      </c>
      <c r="CO467" s="257">
        <v>90.539028419999994</v>
      </c>
      <c r="CP467" s="257">
        <v>98.063244030000007</v>
      </c>
      <c r="CQ467" s="257">
        <v>15.355542061224517</v>
      </c>
      <c r="CR467" s="257">
        <v>-8.2073792920000006</v>
      </c>
      <c r="CS467" s="257">
        <v>-8.12446701</v>
      </c>
      <c r="CT467" s="257">
        <v>8.2912282000000562E-5</v>
      </c>
      <c r="CU467" s="257">
        <v>5.3995021256441911E-6</v>
      </c>
      <c r="CV467" s="258">
        <v>1.0102162828129297E-2</v>
      </c>
      <c r="CW467" s="256" t="s">
        <v>234</v>
      </c>
      <c r="CX467" s="257" t="s">
        <v>3073</v>
      </c>
      <c r="CY467" s="257" t="s">
        <v>235</v>
      </c>
      <c r="CZ467" s="257"/>
      <c r="DA467" s="276"/>
      <c r="DB467" s="276">
        <v>80</v>
      </c>
      <c r="DC467" s="257" t="s">
        <v>3074</v>
      </c>
      <c r="DD467" s="257">
        <v>0</v>
      </c>
      <c r="DE467" s="257">
        <v>1</v>
      </c>
      <c r="DF467" s="257">
        <v>0</v>
      </c>
      <c r="DG467" s="257">
        <v>0</v>
      </c>
      <c r="DH467" s="257"/>
      <c r="DI467" s="257">
        <v>1</v>
      </c>
      <c r="DJ467" s="257" t="s">
        <v>173</v>
      </c>
      <c r="DK467" s="257">
        <v>0</v>
      </c>
      <c r="DL467" s="257" t="s">
        <v>180</v>
      </c>
      <c r="DM467" s="257">
        <v>0</v>
      </c>
      <c r="DN467" s="257">
        <v>0</v>
      </c>
      <c r="DO467" s="257">
        <v>0</v>
      </c>
      <c r="DP467" s="276">
        <v>0</v>
      </c>
      <c r="DQ467" s="276">
        <v>0</v>
      </c>
      <c r="DR467" s="276">
        <v>0</v>
      </c>
      <c r="DS467" s="276">
        <v>0</v>
      </c>
      <c r="DT467" s="257">
        <v>0</v>
      </c>
      <c r="DU467" s="276" t="s">
        <v>962</v>
      </c>
      <c r="DV467" s="276">
        <v>1</v>
      </c>
      <c r="DW467" s="276">
        <v>1</v>
      </c>
      <c r="DX467" s="276">
        <v>1</v>
      </c>
      <c r="DY467" s="276">
        <v>0</v>
      </c>
      <c r="DZ467" s="257">
        <v>0</v>
      </c>
      <c r="EA467" s="276">
        <v>0</v>
      </c>
      <c r="EB467" s="276">
        <v>1</v>
      </c>
      <c r="EC467" s="276">
        <v>1</v>
      </c>
      <c r="ED467" s="276">
        <v>0</v>
      </c>
      <c r="EE467" s="276">
        <v>0</v>
      </c>
      <c r="EF467" s="257">
        <v>1</v>
      </c>
      <c r="EG467" s="276">
        <v>0</v>
      </c>
      <c r="EH467" s="257">
        <v>0</v>
      </c>
      <c r="EI467" s="258">
        <v>0</v>
      </c>
      <c r="EJ467" s="256"/>
      <c r="EK467" t="str">
        <f>IF(AND(AND(AND(OR($DX467=1,$DW467=1),OR($EC467=1,$EA467=1)),SUM($DV467:$DZ467,$EF467)&gt;=4),SUM($EA467:$EE467)&gt;=2),"Whole sector","")</f>
        <v>Whole sector</v>
      </c>
      <c r="EL467" t="str">
        <f>IF(AND(AND(OR($DX467=1,$DW467=1),AND($EC467=0,$EA467=0)),SUM($DV467:$DZ467,$EF467)&gt;=4),"Ecosystem approach","")</f>
        <v/>
      </c>
      <c r="EM467" s="258" t="s">
        <v>544</v>
      </c>
      <c r="EN467" s="257" t="s">
        <v>236</v>
      </c>
      <c r="EO467" s="257"/>
      <c r="EP467" t="str">
        <f>IF(ISNUMBER(BU467),IF(ABS(BU467-[2]QC_indicators!$B$2)&gt;3*[2]QC_indicators!$C$2,"C ratio",IF(ISNUMBER(BY467),IF(ABS(BY467-[2]QC_indicators!$B$1)&gt;3*[2]QC_indicators!$C$1,"DF","no"))),IF(ISNUMBER(BY467),IF(ABS(BY467-[2]QC_indicators!$B$1)&gt;3*[2]QC_indicators!$C$1,"DF","no")))</f>
        <v>no</v>
      </c>
      <c r="EQ467" s="280"/>
      <c r="ER467" s="280"/>
      <c r="ES467" s="280"/>
    </row>
    <row r="468" spans="1:149" ht="15" customHeight="1">
      <c r="A468" s="256" t="s">
        <v>214</v>
      </c>
      <c r="B468" s="257" t="s">
        <v>215</v>
      </c>
      <c r="C468" s="257" t="s">
        <v>216</v>
      </c>
      <c r="D468" s="257" t="s">
        <v>217</v>
      </c>
      <c r="E468" s="257" t="s">
        <v>218</v>
      </c>
      <c r="F468" s="257" t="s">
        <v>219</v>
      </c>
      <c r="G468" s="257" t="s">
        <v>220</v>
      </c>
      <c r="H468" s="257"/>
      <c r="I468" s="257">
        <v>2012</v>
      </c>
      <c r="J468" s="257"/>
      <c r="K468" s="257" t="s">
        <v>221</v>
      </c>
      <c r="L468" s="257"/>
      <c r="M468" s="257" t="s">
        <v>3070</v>
      </c>
      <c r="N468" s="257" t="s">
        <v>222</v>
      </c>
      <c r="O468" s="275" t="s">
        <v>223</v>
      </c>
      <c r="P468" s="257"/>
      <c r="Q468" s="257" t="s">
        <v>224</v>
      </c>
      <c r="R468" s="258" t="s">
        <v>225</v>
      </c>
      <c r="S468" s="256" t="s">
        <v>226</v>
      </c>
      <c r="T468" s="257" t="s">
        <v>228</v>
      </c>
      <c r="U468" s="257" t="s">
        <v>227</v>
      </c>
      <c r="V468" s="257">
        <v>0</v>
      </c>
      <c r="W468" s="257">
        <v>0</v>
      </c>
      <c r="X468" s="257">
        <v>0</v>
      </c>
      <c r="Y468" s="257">
        <v>1</v>
      </c>
      <c r="Z468" s="257">
        <v>0</v>
      </c>
      <c r="AA468" s="257">
        <v>0</v>
      </c>
      <c r="AB468" s="257">
        <v>0</v>
      </c>
      <c r="AC468" s="257">
        <v>0</v>
      </c>
      <c r="AD468" s="257">
        <v>0</v>
      </c>
      <c r="AE468" s="257">
        <v>0</v>
      </c>
      <c r="AF468" s="257">
        <v>0</v>
      </c>
      <c r="AG468" s="257">
        <v>0</v>
      </c>
      <c r="AH468" s="257">
        <v>0</v>
      </c>
      <c r="AI468" s="257">
        <v>0</v>
      </c>
      <c r="AJ468" s="257">
        <v>0</v>
      </c>
      <c r="AK468" s="257">
        <v>0</v>
      </c>
      <c r="AL468" s="257">
        <v>0</v>
      </c>
      <c r="AM468" s="257">
        <v>0</v>
      </c>
      <c r="AN468" s="257">
        <v>0</v>
      </c>
      <c r="AO468" s="257">
        <v>0</v>
      </c>
      <c r="AP468" s="257">
        <v>0</v>
      </c>
      <c r="AQ468" s="257">
        <v>0</v>
      </c>
      <c r="AR468" s="257">
        <v>0</v>
      </c>
      <c r="AS468" s="257">
        <v>0</v>
      </c>
      <c r="AT468" s="257">
        <v>0</v>
      </c>
      <c r="AU468" s="257">
        <v>0</v>
      </c>
      <c r="AV468" s="257">
        <v>0</v>
      </c>
      <c r="AW468" s="257">
        <v>0</v>
      </c>
      <c r="AX468" s="277">
        <v>1</v>
      </c>
      <c r="AY468" s="277">
        <v>1</v>
      </c>
      <c r="AZ468" s="257">
        <v>1</v>
      </c>
      <c r="BA468" s="257">
        <v>0</v>
      </c>
      <c r="BB468" s="257">
        <v>0</v>
      </c>
      <c r="BC468" s="257">
        <v>0</v>
      </c>
      <c r="BD468" s="257">
        <v>0</v>
      </c>
      <c r="BE468" s="257" t="s">
        <v>91</v>
      </c>
      <c r="BF468" s="2" t="str" cm="1">
        <f t="array" ref="BF468">IF(COUNTIF(AZ468:BB468,"&lt;&gt;0")=1,INDEX($V$4:$AW$4,MATCH(TRUE,INDEX($V468:$AW468&lt;&gt;0,),0)),IF(COUNTIF(AZ468:BB468,"&lt;&gt;0")=0,INDEX($AM$4:$AW$4,MATCH(1,$AM468:$AW468,0)),"Multiple strategies"))</f>
        <v>Silviculture for removals</v>
      </c>
      <c r="BG468" s="278" t="s">
        <v>229</v>
      </c>
      <c r="BH468" s="257" t="s">
        <v>230</v>
      </c>
      <c r="BI468" s="279" t="s">
        <v>3071</v>
      </c>
      <c r="BJ468" s="276" t="s">
        <v>231</v>
      </c>
      <c r="BK468" s="257">
        <v>100.5900439</v>
      </c>
      <c r="BL468" s="257">
        <v>102.3265007</v>
      </c>
      <c r="BM468" s="276">
        <v>1.0172627104301324</v>
      </c>
      <c r="BN468" s="257">
        <v>1.7364567999999991</v>
      </c>
      <c r="BO468" s="276">
        <v>3.5437893877551003</v>
      </c>
      <c r="BP468" s="276" t="s">
        <v>232</v>
      </c>
      <c r="BQ468" s="282" t="s">
        <v>2625</v>
      </c>
      <c r="BR468" s="276" t="s">
        <v>233</v>
      </c>
      <c r="BS468" s="257">
        <v>-11.804099559999999</v>
      </c>
      <c r="BT468" s="257">
        <v>-11.78438263</v>
      </c>
      <c r="BU468" s="259">
        <v>0.99832965404097296</v>
      </c>
      <c r="BV468" s="257">
        <v>1.9716929999999522E-2</v>
      </c>
      <c r="BW468" s="257"/>
      <c r="BX468" s="257">
        <v>1.9716929999999522E-5</v>
      </c>
      <c r="BY468" s="257">
        <v>5.5637984774511927E-6</v>
      </c>
      <c r="BZ468" s="257">
        <v>0</v>
      </c>
      <c r="CA468" s="257">
        <v>0</v>
      </c>
      <c r="CB468" s="257">
        <v>0</v>
      </c>
      <c r="CC468" s="257">
        <v>0</v>
      </c>
      <c r="CD468" s="257">
        <v>0</v>
      </c>
      <c r="CE468" s="257">
        <v>0</v>
      </c>
      <c r="CF468" s="257">
        <v>0</v>
      </c>
      <c r="CG468" s="257">
        <v>0</v>
      </c>
      <c r="CH468" s="257">
        <v>0</v>
      </c>
      <c r="CI468" s="257">
        <v>0</v>
      </c>
      <c r="CJ468" s="257">
        <v>0</v>
      </c>
      <c r="CK468" s="257">
        <v>0</v>
      </c>
      <c r="CL468" s="257">
        <v>0</v>
      </c>
      <c r="CM468" s="257">
        <v>0</v>
      </c>
      <c r="CN468" s="257" t="s">
        <v>3072</v>
      </c>
      <c r="CO468" s="257">
        <v>100.5900439</v>
      </c>
      <c r="CP468" s="257">
        <v>102.3265007</v>
      </c>
      <c r="CQ468" s="257">
        <v>3.5437893877551003</v>
      </c>
      <c r="CR468" s="257">
        <v>-11.804099559999999</v>
      </c>
      <c r="CS468" s="257">
        <v>-11.78438263</v>
      </c>
      <c r="CT468" s="257">
        <v>1.9716929999999522E-5</v>
      </c>
      <c r="CU468" s="257">
        <v>5.5637984774511927E-6</v>
      </c>
      <c r="CV468" s="258">
        <v>1.6703459590270962E-3</v>
      </c>
      <c r="CW468" s="256" t="s">
        <v>234</v>
      </c>
      <c r="CX468" s="257" t="s">
        <v>3073</v>
      </c>
      <c r="CY468" s="257" t="s">
        <v>235</v>
      </c>
      <c r="CZ468" s="257"/>
      <c r="DA468" s="276"/>
      <c r="DB468" s="276">
        <v>80</v>
      </c>
      <c r="DC468" s="257" t="s">
        <v>3074</v>
      </c>
      <c r="DD468" s="257">
        <v>0</v>
      </c>
      <c r="DE468" s="257">
        <v>1</v>
      </c>
      <c r="DF468" s="257">
        <v>0</v>
      </c>
      <c r="DG468" s="257">
        <v>0</v>
      </c>
      <c r="DH468" s="257"/>
      <c r="DI468" s="257">
        <v>1</v>
      </c>
      <c r="DJ468" s="257" t="s">
        <v>173</v>
      </c>
      <c r="DK468" s="257">
        <v>0</v>
      </c>
      <c r="DL468" s="257" t="s">
        <v>180</v>
      </c>
      <c r="DM468" s="257">
        <v>0</v>
      </c>
      <c r="DN468" s="257">
        <v>0</v>
      </c>
      <c r="DO468" s="257">
        <v>0</v>
      </c>
      <c r="DP468" s="276">
        <v>0</v>
      </c>
      <c r="DQ468" s="276">
        <v>0</v>
      </c>
      <c r="DR468" s="276">
        <v>0</v>
      </c>
      <c r="DS468" s="276">
        <v>0</v>
      </c>
      <c r="DT468" s="257">
        <v>0</v>
      </c>
      <c r="DU468" s="276" t="s">
        <v>962</v>
      </c>
      <c r="DV468" s="276">
        <v>1</v>
      </c>
      <c r="DW468" s="276">
        <v>1</v>
      </c>
      <c r="DX468" s="276">
        <v>1</v>
      </c>
      <c r="DY468" s="276">
        <v>0</v>
      </c>
      <c r="DZ468" s="257">
        <v>0</v>
      </c>
      <c r="EA468" s="276">
        <v>0</v>
      </c>
      <c r="EB468" s="276">
        <v>1</v>
      </c>
      <c r="EC468" s="276">
        <v>1</v>
      </c>
      <c r="ED468" s="276">
        <v>0</v>
      </c>
      <c r="EE468" s="276">
        <v>0</v>
      </c>
      <c r="EF468" s="257">
        <v>1</v>
      </c>
      <c r="EG468" s="276">
        <v>0</v>
      </c>
      <c r="EH468" s="257">
        <v>0</v>
      </c>
      <c r="EI468" s="258">
        <v>0</v>
      </c>
      <c r="EJ468" s="256"/>
      <c r="EK468" t="str">
        <f>IF(AND(AND(AND(OR($DX468=1,$DW468=1),OR($EC468=1,$EA468=1)),SUM($DV468:$DZ468,$EF468)&gt;=4),SUM($EA468:$EE468)&gt;=2),"Whole sector","")</f>
        <v>Whole sector</v>
      </c>
      <c r="EL468" t="str">
        <f>IF(AND(AND(OR($DX468=1,$DW468=1),AND($EC468=0,$EA468=0)),SUM($DV468:$DZ468,$EF468)&gt;=4),"Ecosystem approach","")</f>
        <v/>
      </c>
      <c r="EM468" s="258" t="s">
        <v>544</v>
      </c>
      <c r="EN468" s="257" t="s">
        <v>236</v>
      </c>
      <c r="EO468" s="257"/>
      <c r="EP468" t="str">
        <f>IF(ISNUMBER(BU468),IF(ABS(BU468-[2]QC_indicators!$B$2)&gt;3*[2]QC_indicators!$C$2,"C ratio",IF(ISNUMBER(BY468),IF(ABS(BY468-[2]QC_indicators!$B$1)&gt;3*[2]QC_indicators!$C$1,"DF","no"))),IF(ISNUMBER(BY468),IF(ABS(BY468-[2]QC_indicators!$B$1)&gt;3*[2]QC_indicators!$C$1,"DF","no")))</f>
        <v>no</v>
      </c>
      <c r="EQ468" s="280"/>
      <c r="ER468" s="280"/>
      <c r="ES468" s="280"/>
    </row>
    <row r="469" spans="1:149" ht="15" customHeight="1">
      <c r="A469" s="256" t="s">
        <v>214</v>
      </c>
      <c r="B469" s="257" t="s">
        <v>215</v>
      </c>
      <c r="C469" s="257" t="s">
        <v>216</v>
      </c>
      <c r="D469" s="257" t="s">
        <v>217</v>
      </c>
      <c r="E469" s="257" t="s">
        <v>218</v>
      </c>
      <c r="F469" s="257" t="s">
        <v>219</v>
      </c>
      <c r="G469" s="257" t="s">
        <v>220</v>
      </c>
      <c r="H469" s="257"/>
      <c r="I469" s="257">
        <v>2012</v>
      </c>
      <c r="J469" s="257"/>
      <c r="K469" s="257" t="s">
        <v>221</v>
      </c>
      <c r="L469" s="257"/>
      <c r="M469" s="257" t="s">
        <v>3070</v>
      </c>
      <c r="N469" s="257" t="s">
        <v>222</v>
      </c>
      <c r="O469" s="275" t="s">
        <v>223</v>
      </c>
      <c r="P469" s="257"/>
      <c r="Q469" s="257" t="s">
        <v>224</v>
      </c>
      <c r="R469" s="258" t="s">
        <v>225</v>
      </c>
      <c r="S469" s="256" t="s">
        <v>241</v>
      </c>
      <c r="T469" s="257" t="s">
        <v>244</v>
      </c>
      <c r="U469" s="276" t="s">
        <v>242</v>
      </c>
      <c r="V469" s="257">
        <v>0</v>
      </c>
      <c r="W469" s="257">
        <v>0</v>
      </c>
      <c r="X469" s="257">
        <v>0</v>
      </c>
      <c r="Y469" s="257">
        <v>0</v>
      </c>
      <c r="Z469" s="257">
        <v>0</v>
      </c>
      <c r="AA469" s="257">
        <v>0</v>
      </c>
      <c r="AB469" s="257">
        <v>0</v>
      </c>
      <c r="AC469" s="257">
        <v>1</v>
      </c>
      <c r="AD469" s="257">
        <v>0</v>
      </c>
      <c r="AE469" s="257">
        <v>0</v>
      </c>
      <c r="AF469" s="257">
        <v>0</v>
      </c>
      <c r="AG469" s="257">
        <v>0</v>
      </c>
      <c r="AH469" s="257">
        <v>0</v>
      </c>
      <c r="AI469" s="257">
        <v>0</v>
      </c>
      <c r="AJ469" s="257">
        <v>0</v>
      </c>
      <c r="AK469" s="257">
        <v>0</v>
      </c>
      <c r="AL469" s="257">
        <v>0</v>
      </c>
      <c r="AM469" s="257">
        <v>0</v>
      </c>
      <c r="AN469" s="257">
        <v>0</v>
      </c>
      <c r="AO469" s="257">
        <v>0</v>
      </c>
      <c r="AP469" s="257">
        <v>0</v>
      </c>
      <c r="AQ469" s="257">
        <v>0</v>
      </c>
      <c r="AR469" s="257">
        <v>0</v>
      </c>
      <c r="AS469" s="257">
        <v>0</v>
      </c>
      <c r="AT469" s="257">
        <v>0</v>
      </c>
      <c r="AU469" s="257">
        <v>0</v>
      </c>
      <c r="AV469" s="257">
        <v>0</v>
      </c>
      <c r="AW469" s="257">
        <v>0</v>
      </c>
      <c r="AX469" s="277">
        <v>1</v>
      </c>
      <c r="AY469" s="277">
        <v>1</v>
      </c>
      <c r="AZ469" s="257">
        <v>1</v>
      </c>
      <c r="BA469" s="257">
        <v>0</v>
      </c>
      <c r="BB469" s="257">
        <v>0</v>
      </c>
      <c r="BC469" s="257">
        <v>0</v>
      </c>
      <c r="BD469" s="257">
        <v>0</v>
      </c>
      <c r="BE469" s="257" t="s">
        <v>95</v>
      </c>
      <c r="BF469" s="2" t="str" cm="1">
        <f t="array" ref="BF469">IF(COUNTIF(AZ469:BB469,"&lt;&gt;0")=1,INDEX($V$4:$AW$4,MATCH(TRUE,INDEX($V469:$AW469&lt;&gt;0,),0)),IF(COUNTIF(AZ469:BB469,"&lt;&gt;0")=0,INDEX($AM$4:$AW$4,MATCH(1,$AM469:$AW469,0)),"Multiple strategies"))</f>
        <v>Silviculture for productivity</v>
      </c>
      <c r="BG469" s="278" t="s">
        <v>229</v>
      </c>
      <c r="BH469" s="257" t="s">
        <v>230</v>
      </c>
      <c r="BI469" s="279" t="s">
        <v>3071</v>
      </c>
      <c r="BJ469" s="276" t="s">
        <v>231</v>
      </c>
      <c r="BK469" s="257">
        <v>56.739926739926702</v>
      </c>
      <c r="BL469" s="257">
        <v>66.639750491326893</v>
      </c>
      <c r="BM469" s="276">
        <v>1.1744772036237736</v>
      </c>
      <c r="BN469" s="257">
        <v>9.8998237514001914</v>
      </c>
      <c r="BO469" s="276">
        <v>20.203721941633045</v>
      </c>
      <c r="BP469" s="276" t="s">
        <v>232</v>
      </c>
      <c r="BQ469" s="279" t="s">
        <v>3071</v>
      </c>
      <c r="BR469" s="276" t="s">
        <v>233</v>
      </c>
      <c r="BS469" s="257">
        <v>-9.5324096193661401</v>
      </c>
      <c r="BT469" s="257">
        <v>-9.4136546184738901</v>
      </c>
      <c r="BU469" s="259">
        <v>0.98754197462822135</v>
      </c>
      <c r="BV469" s="257">
        <v>0.11875500089225</v>
      </c>
      <c r="BW469" s="257"/>
      <c r="BX469" s="257">
        <v>1.1875500089224999E-4</v>
      </c>
      <c r="BY469" s="257">
        <v>5.8778774146329967E-6</v>
      </c>
      <c r="BZ469" s="257">
        <v>0</v>
      </c>
      <c r="CA469" s="257">
        <v>0</v>
      </c>
      <c r="CB469" s="257">
        <v>0</v>
      </c>
      <c r="CC469" s="257">
        <v>0</v>
      </c>
      <c r="CD469" s="257">
        <v>0</v>
      </c>
      <c r="CE469" s="257">
        <v>0</v>
      </c>
      <c r="CF469" s="257">
        <v>0</v>
      </c>
      <c r="CG469" s="257">
        <v>0</v>
      </c>
      <c r="CH469" s="257">
        <v>0</v>
      </c>
      <c r="CI469" s="257">
        <v>0</v>
      </c>
      <c r="CJ469" s="257">
        <v>0</v>
      </c>
      <c r="CK469" s="257">
        <v>0</v>
      </c>
      <c r="CL469" s="257">
        <v>0</v>
      </c>
      <c r="CM469" s="257">
        <v>0</v>
      </c>
      <c r="CN469" s="257" t="s">
        <v>3072</v>
      </c>
      <c r="CO469" s="257">
        <v>56.739926739926702</v>
      </c>
      <c r="CP469" s="257">
        <v>66.639750491326893</v>
      </c>
      <c r="CQ469" s="257">
        <v>20.203721941633045</v>
      </c>
      <c r="CR469" s="257">
        <v>-9.5324096193661401</v>
      </c>
      <c r="CS469" s="257">
        <v>-9.4136546184738901</v>
      </c>
      <c r="CT469" s="257">
        <v>1.1875500089224999E-4</v>
      </c>
      <c r="CU469" s="257">
        <v>5.8778774146329967E-6</v>
      </c>
      <c r="CV469" s="258">
        <v>1.2458025371778625E-2</v>
      </c>
      <c r="CW469" s="256" t="s">
        <v>234</v>
      </c>
      <c r="CX469" s="257" t="s">
        <v>3073</v>
      </c>
      <c r="CY469" s="257" t="s">
        <v>235</v>
      </c>
      <c r="CZ469" s="257"/>
      <c r="DA469" s="276"/>
      <c r="DB469" s="276">
        <v>80</v>
      </c>
      <c r="DC469" s="257" t="s">
        <v>3074</v>
      </c>
      <c r="DD469" s="257">
        <v>0</v>
      </c>
      <c r="DE469" s="257">
        <v>1</v>
      </c>
      <c r="DF469" s="257">
        <v>0</v>
      </c>
      <c r="DG469" s="257">
        <v>0</v>
      </c>
      <c r="DH469" s="257"/>
      <c r="DI469" s="257">
        <v>1</v>
      </c>
      <c r="DJ469" s="257" t="s">
        <v>173</v>
      </c>
      <c r="DK469" s="257">
        <v>0</v>
      </c>
      <c r="DL469" s="257" t="s">
        <v>180</v>
      </c>
      <c r="DM469" s="257">
        <v>0</v>
      </c>
      <c r="DN469" s="257">
        <v>0</v>
      </c>
      <c r="DO469" s="257">
        <v>0</v>
      </c>
      <c r="DP469" s="276">
        <v>0</v>
      </c>
      <c r="DQ469" s="276">
        <v>0</v>
      </c>
      <c r="DR469" s="276">
        <v>0</v>
      </c>
      <c r="DS469" s="276">
        <v>0</v>
      </c>
      <c r="DT469" s="257">
        <v>0</v>
      </c>
      <c r="DU469" s="276" t="s">
        <v>962</v>
      </c>
      <c r="DV469" s="276">
        <v>1</v>
      </c>
      <c r="DW469" s="276">
        <v>1</v>
      </c>
      <c r="DX469" s="276">
        <v>1</v>
      </c>
      <c r="DY469" s="276">
        <v>0</v>
      </c>
      <c r="DZ469" s="257">
        <v>0</v>
      </c>
      <c r="EA469" s="276">
        <v>0</v>
      </c>
      <c r="EB469" s="276">
        <v>1</v>
      </c>
      <c r="EC469" s="276">
        <v>1</v>
      </c>
      <c r="ED469" s="276">
        <v>0</v>
      </c>
      <c r="EE469" s="276">
        <v>0</v>
      </c>
      <c r="EF469" s="257">
        <v>1</v>
      </c>
      <c r="EG469" s="276">
        <v>0</v>
      </c>
      <c r="EH469" s="257">
        <v>0</v>
      </c>
      <c r="EI469" s="258">
        <v>0</v>
      </c>
      <c r="EJ469" s="256"/>
      <c r="EK469" t="str">
        <f>IF(AND(AND(AND(OR($DX469=1,$DW469=1),OR($EC469=1,$EA469=1)),SUM($DV469:$DZ469,$EF469)&gt;=4),SUM($EA469:$EE469)&gt;=2),"Whole sector","")</f>
        <v>Whole sector</v>
      </c>
      <c r="EL469" t="str">
        <f>IF(AND(AND(OR($DX469=1,$DW469=1),AND($EC469=0,$EA469=0)),SUM($DV469:$DZ469,$EF469)&gt;=4),"Ecosystem approach","")</f>
        <v/>
      </c>
      <c r="EM469" s="258" t="s">
        <v>544</v>
      </c>
      <c r="EN469" s="257" t="s">
        <v>236</v>
      </c>
      <c r="EO469" s="257"/>
      <c r="EP469" t="str">
        <f>IF(ISNUMBER(BU469),IF(ABS(BU469-[2]QC_indicators!$B$2)&gt;3*[2]QC_indicators!$C$2,"C ratio",IF(ISNUMBER(BY469),IF(ABS(BY469-[2]QC_indicators!$B$1)&gt;3*[2]QC_indicators!$C$1,"DF","no"))),IF(ISNUMBER(BY469),IF(ABS(BY469-[2]QC_indicators!$B$1)&gt;3*[2]QC_indicators!$C$1,"DF","no")))</f>
        <v>no</v>
      </c>
    </row>
    <row r="470" spans="1:149" ht="15" customHeight="1">
      <c r="A470" s="256" t="s">
        <v>214</v>
      </c>
      <c r="B470" s="257" t="s">
        <v>215</v>
      </c>
      <c r="C470" s="257" t="s">
        <v>216</v>
      </c>
      <c r="D470" s="257" t="s">
        <v>217</v>
      </c>
      <c r="E470" s="257" t="s">
        <v>218</v>
      </c>
      <c r="F470" s="257" t="s">
        <v>219</v>
      </c>
      <c r="G470" s="257" t="s">
        <v>220</v>
      </c>
      <c r="H470" s="257"/>
      <c r="I470" s="257">
        <v>2012</v>
      </c>
      <c r="J470" s="257"/>
      <c r="K470" s="257" t="s">
        <v>221</v>
      </c>
      <c r="L470" s="257"/>
      <c r="M470" s="257" t="s">
        <v>3070</v>
      </c>
      <c r="N470" s="257" t="s">
        <v>222</v>
      </c>
      <c r="O470" s="275" t="s">
        <v>223</v>
      </c>
      <c r="P470" s="257"/>
      <c r="Q470" s="257" t="s">
        <v>224</v>
      </c>
      <c r="R470" s="258" t="s">
        <v>225</v>
      </c>
      <c r="S470" s="256" t="s">
        <v>241</v>
      </c>
      <c r="T470" s="257" t="s">
        <v>244</v>
      </c>
      <c r="U470" s="276" t="s">
        <v>242</v>
      </c>
      <c r="V470" s="257">
        <v>0</v>
      </c>
      <c r="W470" s="257">
        <v>0</v>
      </c>
      <c r="X470" s="257">
        <v>0</v>
      </c>
      <c r="Y470" s="257">
        <v>0</v>
      </c>
      <c r="Z470" s="257">
        <v>0</v>
      </c>
      <c r="AA470" s="257">
        <v>0</v>
      </c>
      <c r="AB470" s="257">
        <v>0</v>
      </c>
      <c r="AC470" s="257">
        <v>1</v>
      </c>
      <c r="AD470" s="257">
        <v>0</v>
      </c>
      <c r="AE470" s="257">
        <v>0</v>
      </c>
      <c r="AF470" s="257">
        <v>0</v>
      </c>
      <c r="AG470" s="257">
        <v>0</v>
      </c>
      <c r="AH470" s="257">
        <v>0</v>
      </c>
      <c r="AI470" s="257">
        <v>0</v>
      </c>
      <c r="AJ470" s="257">
        <v>0</v>
      </c>
      <c r="AK470" s="257">
        <v>0</v>
      </c>
      <c r="AL470" s="257">
        <v>0</v>
      </c>
      <c r="AM470" s="257">
        <v>0</v>
      </c>
      <c r="AN470" s="257">
        <v>0</v>
      </c>
      <c r="AO470" s="257">
        <v>0</v>
      </c>
      <c r="AP470" s="257">
        <v>0</v>
      </c>
      <c r="AQ470" s="257">
        <v>0</v>
      </c>
      <c r="AR470" s="257">
        <v>0</v>
      </c>
      <c r="AS470" s="257">
        <v>0</v>
      </c>
      <c r="AT470" s="257">
        <v>0</v>
      </c>
      <c r="AU470" s="257">
        <v>0</v>
      </c>
      <c r="AV470" s="257">
        <v>0</v>
      </c>
      <c r="AW470" s="257">
        <v>0</v>
      </c>
      <c r="AX470" s="277">
        <v>1</v>
      </c>
      <c r="AY470" s="277">
        <v>1</v>
      </c>
      <c r="AZ470" s="257">
        <v>1</v>
      </c>
      <c r="BA470" s="257">
        <v>0</v>
      </c>
      <c r="BB470" s="257">
        <v>0</v>
      </c>
      <c r="BC470" s="257">
        <v>0</v>
      </c>
      <c r="BD470" s="257">
        <v>0</v>
      </c>
      <c r="BE470" s="257" t="s">
        <v>95</v>
      </c>
      <c r="BF470" s="2" t="str" cm="1">
        <f t="array" ref="BF470">IF(COUNTIF(AZ470:BB470,"&lt;&gt;0")=1,INDEX($V$4:$AW$4,MATCH(TRUE,INDEX($V470:$AW470&lt;&gt;0,),0)),IF(COUNTIF(AZ470:BB470,"&lt;&gt;0")=0,INDEX($AM$4:$AW$4,MATCH(1,$AM470:$AW470,0)),"Multiple strategies"))</f>
        <v>Silviculture for productivity</v>
      </c>
      <c r="BG470" s="278" t="s">
        <v>229</v>
      </c>
      <c r="BH470" s="257" t="s">
        <v>230</v>
      </c>
      <c r="BI470" s="279" t="s">
        <v>3071</v>
      </c>
      <c r="BJ470" s="276" t="s">
        <v>231</v>
      </c>
      <c r="BK470" s="257">
        <v>53.012261813210301</v>
      </c>
      <c r="BL470" s="257">
        <v>63.5091743119266</v>
      </c>
      <c r="BM470" s="276">
        <v>1.1980091424075126</v>
      </c>
      <c r="BN470" s="257">
        <v>10.496912498716299</v>
      </c>
      <c r="BO470" s="276">
        <v>21.422270405543468</v>
      </c>
      <c r="BP470" s="276" t="s">
        <v>232</v>
      </c>
      <c r="BQ470" s="279" t="s">
        <v>3071</v>
      </c>
      <c r="BR470" s="276" t="s">
        <v>233</v>
      </c>
      <c r="BS470" s="257">
        <v>-8.8453815261044095</v>
      </c>
      <c r="BT470" s="257">
        <v>-8.71587255658436</v>
      </c>
      <c r="BU470" s="259">
        <v>0.98535857733916354</v>
      </c>
      <c r="BV470" s="257">
        <v>0.12950896952004953</v>
      </c>
      <c r="BW470" s="257"/>
      <c r="BX470" s="257">
        <v>1.2950896952004952E-4</v>
      </c>
      <c r="BY470" s="257">
        <v>6.0455295852551797E-6</v>
      </c>
      <c r="BZ470" s="257">
        <v>0</v>
      </c>
      <c r="CA470" s="257">
        <v>0</v>
      </c>
      <c r="CB470" s="257">
        <v>0</v>
      </c>
      <c r="CC470" s="257">
        <v>0</v>
      </c>
      <c r="CD470" s="257">
        <v>0</v>
      </c>
      <c r="CE470" s="257">
        <v>0</v>
      </c>
      <c r="CF470" s="257">
        <v>0</v>
      </c>
      <c r="CG470" s="257">
        <v>0</v>
      </c>
      <c r="CH470" s="257">
        <v>0</v>
      </c>
      <c r="CI470" s="257">
        <v>0</v>
      </c>
      <c r="CJ470" s="257">
        <v>0</v>
      </c>
      <c r="CK470" s="257">
        <v>0</v>
      </c>
      <c r="CL470" s="257">
        <v>0</v>
      </c>
      <c r="CM470" s="257">
        <v>0</v>
      </c>
      <c r="CN470" s="257" t="s">
        <v>3072</v>
      </c>
      <c r="CO470" s="257">
        <v>53.012261813210301</v>
      </c>
      <c r="CP470" s="257">
        <v>63.5091743119266</v>
      </c>
      <c r="CQ470" s="257">
        <v>21.422270405543468</v>
      </c>
      <c r="CR470" s="257">
        <v>-8.8453815261044095</v>
      </c>
      <c r="CS470" s="257">
        <v>-8.71587255658436</v>
      </c>
      <c r="CT470" s="257">
        <v>1.2950896952004952E-4</v>
      </c>
      <c r="CU470" s="257">
        <v>6.0455295852551797E-6</v>
      </c>
      <c r="CV470" s="258">
        <v>1.4641422660836487E-2</v>
      </c>
      <c r="CW470" s="256" t="s">
        <v>234</v>
      </c>
      <c r="CX470" s="257" t="s">
        <v>3073</v>
      </c>
      <c r="CY470" s="257" t="s">
        <v>235</v>
      </c>
      <c r="CZ470" s="257"/>
      <c r="DA470" s="276"/>
      <c r="DB470" s="276">
        <v>80</v>
      </c>
      <c r="DC470" s="257" t="s">
        <v>3074</v>
      </c>
      <c r="DD470" s="257">
        <v>0</v>
      </c>
      <c r="DE470" s="257">
        <v>1</v>
      </c>
      <c r="DF470" s="257">
        <v>0</v>
      </c>
      <c r="DG470" s="257">
        <v>0</v>
      </c>
      <c r="DH470" s="257"/>
      <c r="DI470" s="257">
        <v>1</v>
      </c>
      <c r="DJ470" s="257" t="s">
        <v>173</v>
      </c>
      <c r="DK470" s="257">
        <v>0</v>
      </c>
      <c r="DL470" s="257" t="s">
        <v>180</v>
      </c>
      <c r="DM470" s="257">
        <v>0</v>
      </c>
      <c r="DN470" s="257">
        <v>0</v>
      </c>
      <c r="DO470" s="257">
        <v>0</v>
      </c>
      <c r="DP470" s="276">
        <v>0</v>
      </c>
      <c r="DQ470" s="276">
        <v>0</v>
      </c>
      <c r="DR470" s="276">
        <v>0</v>
      </c>
      <c r="DS470" s="276">
        <v>0</v>
      </c>
      <c r="DT470" s="257">
        <v>0</v>
      </c>
      <c r="DU470" s="276" t="s">
        <v>962</v>
      </c>
      <c r="DV470" s="276">
        <v>1</v>
      </c>
      <c r="DW470" s="276">
        <v>1</v>
      </c>
      <c r="DX470" s="276">
        <v>1</v>
      </c>
      <c r="DY470" s="276">
        <v>0</v>
      </c>
      <c r="DZ470" s="257">
        <v>0</v>
      </c>
      <c r="EA470" s="276">
        <v>0</v>
      </c>
      <c r="EB470" s="276">
        <v>1</v>
      </c>
      <c r="EC470" s="276">
        <v>1</v>
      </c>
      <c r="ED470" s="276">
        <v>0</v>
      </c>
      <c r="EE470" s="276">
        <v>0</v>
      </c>
      <c r="EF470" s="257">
        <v>1</v>
      </c>
      <c r="EG470" s="276">
        <v>0</v>
      </c>
      <c r="EH470" s="257">
        <v>0</v>
      </c>
      <c r="EI470" s="258">
        <v>0</v>
      </c>
      <c r="EJ470" s="256"/>
      <c r="EK470" t="str">
        <f>IF(AND(AND(AND(OR($DX470=1,$DW470=1),OR($EC470=1,$EA470=1)),SUM($DV470:$DZ470,$EF470)&gt;=4),SUM($EA470:$EE470)&gt;=2),"Whole sector","")</f>
        <v>Whole sector</v>
      </c>
      <c r="EL470" t="str">
        <f>IF(AND(AND(OR($DX470=1,$DW470=1),AND($EC470=0,$EA470=0)),SUM($DV470:$DZ470,$EF470)&gt;=4),"Ecosystem approach","")</f>
        <v/>
      </c>
      <c r="EM470" s="258" t="s">
        <v>544</v>
      </c>
      <c r="EN470" s="257" t="s">
        <v>236</v>
      </c>
      <c r="EO470" s="257"/>
      <c r="EP470" t="str">
        <f>IF(ISNUMBER(BU470),IF(ABS(BU470-[2]QC_indicators!$B$2)&gt;3*[2]QC_indicators!$C$2,"C ratio",IF(ISNUMBER(BY470),IF(ABS(BY470-[2]QC_indicators!$B$1)&gt;3*[2]QC_indicators!$C$1,"DF","no"))),IF(ISNUMBER(BY470),IF(ABS(BY470-[2]QC_indicators!$B$1)&gt;3*[2]QC_indicators!$C$1,"DF","no")))</f>
        <v>no</v>
      </c>
    </row>
    <row r="471" spans="1:149" ht="15" customHeight="1">
      <c r="A471" s="256" t="s">
        <v>214</v>
      </c>
      <c r="B471" s="257" t="s">
        <v>215</v>
      </c>
      <c r="C471" s="257" t="s">
        <v>216</v>
      </c>
      <c r="D471" s="257" t="s">
        <v>217</v>
      </c>
      <c r="E471" s="257" t="s">
        <v>218</v>
      </c>
      <c r="F471" s="257" t="s">
        <v>219</v>
      </c>
      <c r="G471" s="257" t="s">
        <v>220</v>
      </c>
      <c r="H471" s="257"/>
      <c r="I471" s="257">
        <v>2012</v>
      </c>
      <c r="J471" s="257"/>
      <c r="K471" s="257" t="s">
        <v>221</v>
      </c>
      <c r="L471" s="257"/>
      <c r="M471" s="257" t="s">
        <v>3070</v>
      </c>
      <c r="N471" s="257" t="s">
        <v>222</v>
      </c>
      <c r="O471" s="275" t="s">
        <v>223</v>
      </c>
      <c r="P471" s="257"/>
      <c r="Q471" s="257" t="s">
        <v>224</v>
      </c>
      <c r="R471" s="258" t="s">
        <v>225</v>
      </c>
      <c r="S471" s="256" t="s">
        <v>241</v>
      </c>
      <c r="T471" s="257" t="s">
        <v>244</v>
      </c>
      <c r="U471" s="276" t="s">
        <v>242</v>
      </c>
      <c r="V471" s="257">
        <v>0</v>
      </c>
      <c r="W471" s="257">
        <v>0</v>
      </c>
      <c r="X471" s="257">
        <v>0</v>
      </c>
      <c r="Y471" s="257">
        <v>0</v>
      </c>
      <c r="Z471" s="257">
        <v>0</v>
      </c>
      <c r="AA471" s="257">
        <v>0</v>
      </c>
      <c r="AB471" s="257">
        <v>0</v>
      </c>
      <c r="AC471" s="257">
        <v>1</v>
      </c>
      <c r="AD471" s="257">
        <v>0</v>
      </c>
      <c r="AE471" s="257">
        <v>0</v>
      </c>
      <c r="AF471" s="257">
        <v>0</v>
      </c>
      <c r="AG471" s="257">
        <v>0</v>
      </c>
      <c r="AH471" s="257">
        <v>0</v>
      </c>
      <c r="AI471" s="257">
        <v>0</v>
      </c>
      <c r="AJ471" s="257">
        <v>0</v>
      </c>
      <c r="AK471" s="257">
        <v>0</v>
      </c>
      <c r="AL471" s="257">
        <v>0</v>
      </c>
      <c r="AM471" s="257">
        <v>0</v>
      </c>
      <c r="AN471" s="257">
        <v>0</v>
      </c>
      <c r="AO471" s="257">
        <v>0</v>
      </c>
      <c r="AP471" s="257">
        <v>0</v>
      </c>
      <c r="AQ471" s="257">
        <v>0</v>
      </c>
      <c r="AR471" s="257">
        <v>0</v>
      </c>
      <c r="AS471" s="257">
        <v>0</v>
      </c>
      <c r="AT471" s="257">
        <v>0</v>
      </c>
      <c r="AU471" s="257">
        <v>0</v>
      </c>
      <c r="AV471" s="257">
        <v>0</v>
      </c>
      <c r="AW471" s="257">
        <v>0</v>
      </c>
      <c r="AX471" s="277">
        <v>1</v>
      </c>
      <c r="AY471" s="277">
        <v>1</v>
      </c>
      <c r="AZ471" s="257">
        <v>1</v>
      </c>
      <c r="BA471" s="257">
        <v>0</v>
      </c>
      <c r="BB471" s="257">
        <v>0</v>
      </c>
      <c r="BC471" s="257">
        <v>0</v>
      </c>
      <c r="BD471" s="257">
        <v>0</v>
      </c>
      <c r="BE471" s="257" t="s">
        <v>95</v>
      </c>
      <c r="BF471" s="2" t="str" cm="1">
        <f t="array" ref="BF471">IF(COUNTIF(AZ471:BB471,"&lt;&gt;0")=1,INDEX($V$4:$AW$4,MATCH(TRUE,INDEX($V471:$AW471&lt;&gt;0,),0)),IF(COUNTIF(AZ471:BB471,"&lt;&gt;0")=0,INDEX($AM$4:$AW$4,MATCH(1,$AM471:$AW471,0)),"Multiple strategies"))</f>
        <v>Silviculture for productivity</v>
      </c>
      <c r="BG471" s="278" t="s">
        <v>229</v>
      </c>
      <c r="BH471" s="257" t="s">
        <v>230</v>
      </c>
      <c r="BI471" s="279" t="s">
        <v>3071</v>
      </c>
      <c r="BJ471" s="276" t="s">
        <v>231</v>
      </c>
      <c r="BK471" s="257">
        <v>60.054679619897001</v>
      </c>
      <c r="BL471" s="257">
        <v>68.821883277791997</v>
      </c>
      <c r="BM471" s="276">
        <v>1.1459870190530546</v>
      </c>
      <c r="BN471" s="257">
        <v>8.7672036578949957</v>
      </c>
      <c r="BO471" s="276">
        <v>17.892252363051011</v>
      </c>
      <c r="BP471" s="276" t="s">
        <v>232</v>
      </c>
      <c r="BQ471" s="279" t="s">
        <v>3071</v>
      </c>
      <c r="BR471" s="276" t="s">
        <v>233</v>
      </c>
      <c r="BS471" s="257">
        <v>-9.0244200244200208</v>
      </c>
      <c r="BT471" s="257">
        <v>-8.9016064257028091</v>
      </c>
      <c r="BU471" s="259">
        <v>0.98639097045739466</v>
      </c>
      <c r="BV471" s="257">
        <v>0.12281359871721165</v>
      </c>
      <c r="BW471" s="257"/>
      <c r="BX471" s="257">
        <v>1.2281359871721165E-4</v>
      </c>
      <c r="BY471" s="257">
        <v>6.8640658663429066E-6</v>
      </c>
      <c r="BZ471" s="257">
        <v>0</v>
      </c>
      <c r="CA471" s="257">
        <v>0</v>
      </c>
      <c r="CB471" s="257">
        <v>0</v>
      </c>
      <c r="CC471" s="257">
        <v>0</v>
      </c>
      <c r="CD471" s="257">
        <v>0</v>
      </c>
      <c r="CE471" s="257">
        <v>0</v>
      </c>
      <c r="CF471" s="257">
        <v>0</v>
      </c>
      <c r="CG471" s="257">
        <v>0</v>
      </c>
      <c r="CH471" s="257">
        <v>0</v>
      </c>
      <c r="CI471" s="257">
        <v>0</v>
      </c>
      <c r="CJ471" s="257">
        <v>0</v>
      </c>
      <c r="CK471" s="257">
        <v>0</v>
      </c>
      <c r="CL471" s="257">
        <v>0</v>
      </c>
      <c r="CM471" s="257">
        <v>0</v>
      </c>
      <c r="CN471" s="257" t="s">
        <v>3072</v>
      </c>
      <c r="CO471" s="257">
        <v>60.054679619897001</v>
      </c>
      <c r="CP471" s="257">
        <v>68.821883277791997</v>
      </c>
      <c r="CQ471" s="257">
        <v>17.892252363051011</v>
      </c>
      <c r="CR471" s="257">
        <v>-9.0244200244200208</v>
      </c>
      <c r="CS471" s="257">
        <v>-8.9016064257028091</v>
      </c>
      <c r="CT471" s="257">
        <v>1.2281359871721165E-4</v>
      </c>
      <c r="CU471" s="257">
        <v>6.8640658663429066E-6</v>
      </c>
      <c r="CV471" s="258">
        <v>1.3609029542605382E-2</v>
      </c>
      <c r="CW471" s="256" t="s">
        <v>234</v>
      </c>
      <c r="CX471" s="257" t="s">
        <v>3073</v>
      </c>
      <c r="CY471" s="257" t="s">
        <v>235</v>
      </c>
      <c r="CZ471" s="257"/>
      <c r="DA471" s="276"/>
      <c r="DB471" s="276">
        <v>80</v>
      </c>
      <c r="DC471" s="257" t="s">
        <v>3074</v>
      </c>
      <c r="DD471" s="257">
        <v>0</v>
      </c>
      <c r="DE471" s="257">
        <v>1</v>
      </c>
      <c r="DF471" s="257">
        <v>0</v>
      </c>
      <c r="DG471" s="257">
        <v>0</v>
      </c>
      <c r="DH471" s="257"/>
      <c r="DI471" s="257">
        <v>1</v>
      </c>
      <c r="DJ471" s="257" t="s">
        <v>173</v>
      </c>
      <c r="DK471" s="257">
        <v>0</v>
      </c>
      <c r="DL471" s="257" t="s">
        <v>180</v>
      </c>
      <c r="DM471" s="257">
        <v>0</v>
      </c>
      <c r="DN471" s="257">
        <v>0</v>
      </c>
      <c r="DO471" s="257">
        <v>0</v>
      </c>
      <c r="DP471" s="276">
        <v>0</v>
      </c>
      <c r="DQ471" s="276">
        <v>0</v>
      </c>
      <c r="DR471" s="276">
        <v>0</v>
      </c>
      <c r="DS471" s="276">
        <v>0</v>
      </c>
      <c r="DT471" s="257">
        <v>0</v>
      </c>
      <c r="DU471" s="276" t="s">
        <v>962</v>
      </c>
      <c r="DV471" s="276">
        <v>1</v>
      </c>
      <c r="DW471" s="276">
        <v>1</v>
      </c>
      <c r="DX471" s="276">
        <v>1</v>
      </c>
      <c r="DY471" s="276">
        <v>0</v>
      </c>
      <c r="DZ471" s="257">
        <v>0</v>
      </c>
      <c r="EA471" s="276">
        <v>0</v>
      </c>
      <c r="EB471" s="276">
        <v>1</v>
      </c>
      <c r="EC471" s="276">
        <v>1</v>
      </c>
      <c r="ED471" s="276">
        <v>0</v>
      </c>
      <c r="EE471" s="276">
        <v>0</v>
      </c>
      <c r="EF471" s="257">
        <v>1</v>
      </c>
      <c r="EG471" s="276">
        <v>0</v>
      </c>
      <c r="EH471" s="257">
        <v>0</v>
      </c>
      <c r="EI471" s="258">
        <v>0</v>
      </c>
      <c r="EJ471" s="256"/>
      <c r="EK471" t="str">
        <f>IF(AND(AND(AND(OR($DX471=1,$DW471=1),OR($EC471=1,$EA471=1)),SUM($DV471:$DZ471,$EF471)&gt;=4),SUM($EA471:$EE471)&gt;=2),"Whole sector","")</f>
        <v>Whole sector</v>
      </c>
      <c r="EL471" t="str">
        <f>IF(AND(AND(OR($DX471=1,$DW471=1),AND($EC471=0,$EA471=0)),SUM($DV471:$DZ471,$EF471)&gt;=4),"Ecosystem approach","")</f>
        <v/>
      </c>
      <c r="EM471" s="258" t="s">
        <v>544</v>
      </c>
      <c r="EN471" s="257" t="s">
        <v>236</v>
      </c>
      <c r="EO471" s="257"/>
      <c r="EP471" t="str">
        <f>IF(ISNUMBER(BU471),IF(ABS(BU471-[2]QC_indicators!$B$2)&gt;3*[2]QC_indicators!$C$2,"C ratio",IF(ISNUMBER(BY471),IF(ABS(BY471-[2]QC_indicators!$B$1)&gt;3*[2]QC_indicators!$C$1,"DF","no"))),IF(ISNUMBER(BY471),IF(ABS(BY471-[2]QC_indicators!$B$1)&gt;3*[2]QC_indicators!$C$1,"DF","no")))</f>
        <v>no</v>
      </c>
    </row>
    <row r="472" spans="1:149" ht="15" customHeight="1">
      <c r="A472" s="256" t="s">
        <v>214</v>
      </c>
      <c r="B472" s="257" t="s">
        <v>215</v>
      </c>
      <c r="C472" s="257" t="s">
        <v>216</v>
      </c>
      <c r="D472" s="257" t="s">
        <v>217</v>
      </c>
      <c r="E472" s="257" t="s">
        <v>218</v>
      </c>
      <c r="F472" s="257" t="s">
        <v>219</v>
      </c>
      <c r="G472" s="257" t="s">
        <v>220</v>
      </c>
      <c r="H472" s="257"/>
      <c r="I472" s="257">
        <v>2012</v>
      </c>
      <c r="J472" s="257"/>
      <c r="K472" s="257" t="s">
        <v>221</v>
      </c>
      <c r="L472" s="257"/>
      <c r="M472" s="257" t="s">
        <v>3070</v>
      </c>
      <c r="N472" s="257" t="s">
        <v>222</v>
      </c>
      <c r="O472" s="275" t="s">
        <v>223</v>
      </c>
      <c r="P472" s="257"/>
      <c r="Q472" s="257" t="s">
        <v>224</v>
      </c>
      <c r="R472" s="258" t="s">
        <v>225</v>
      </c>
      <c r="S472" s="256" t="s">
        <v>226</v>
      </c>
      <c r="T472" s="257" t="s">
        <v>228</v>
      </c>
      <c r="U472" s="257" t="s">
        <v>238</v>
      </c>
      <c r="V472" s="257">
        <v>0</v>
      </c>
      <c r="W472" s="257">
        <v>0</v>
      </c>
      <c r="X472" s="257">
        <v>0</v>
      </c>
      <c r="Y472" s="257">
        <v>1</v>
      </c>
      <c r="Z472" s="257">
        <v>0</v>
      </c>
      <c r="AA472" s="257">
        <v>0</v>
      </c>
      <c r="AB472" s="257">
        <v>0</v>
      </c>
      <c r="AC472" s="257">
        <v>0</v>
      </c>
      <c r="AD472" s="257">
        <v>0</v>
      </c>
      <c r="AE472" s="257">
        <v>0</v>
      </c>
      <c r="AF472" s="257">
        <v>0</v>
      </c>
      <c r="AG472" s="257">
        <v>0</v>
      </c>
      <c r="AH472" s="257">
        <v>0</v>
      </c>
      <c r="AI472" s="257">
        <v>0</v>
      </c>
      <c r="AJ472" s="257">
        <v>0</v>
      </c>
      <c r="AK472" s="257">
        <v>0</v>
      </c>
      <c r="AL472" s="257">
        <v>0</v>
      </c>
      <c r="AM472" s="257">
        <v>0</v>
      </c>
      <c r="AN472" s="257">
        <v>0</v>
      </c>
      <c r="AO472" s="257">
        <v>0</v>
      </c>
      <c r="AP472" s="257">
        <v>0</v>
      </c>
      <c r="AQ472" s="257">
        <v>0</v>
      </c>
      <c r="AR472" s="257">
        <v>0</v>
      </c>
      <c r="AS472" s="257">
        <v>0</v>
      </c>
      <c r="AT472" s="257">
        <v>0</v>
      </c>
      <c r="AU472" s="257">
        <v>0</v>
      </c>
      <c r="AV472" s="257">
        <v>0</v>
      </c>
      <c r="AW472" s="257">
        <v>0</v>
      </c>
      <c r="AX472" s="277">
        <v>1</v>
      </c>
      <c r="AY472" s="277">
        <v>1</v>
      </c>
      <c r="AZ472" s="257">
        <v>1</v>
      </c>
      <c r="BA472" s="257">
        <v>0</v>
      </c>
      <c r="BB472" s="257">
        <v>0</v>
      </c>
      <c r="BC472" s="257">
        <v>0</v>
      </c>
      <c r="BD472" s="257">
        <v>0</v>
      </c>
      <c r="BE472" s="257" t="s">
        <v>91</v>
      </c>
      <c r="BF472" s="2" t="str" cm="1">
        <f t="array" ref="BF472">IF(COUNTIF(AZ472:BB472,"&lt;&gt;0")=1,INDEX($V$4:$AW$4,MATCH(TRUE,INDEX($V472:$AW472&lt;&gt;0,),0)),IF(COUNTIF(AZ472:BB472,"&lt;&gt;0")=0,INDEX($AM$4:$AW$4,MATCH(1,$AM472:$AW472,0)),"Multiple strategies"))</f>
        <v>Silviculture for removals</v>
      </c>
      <c r="BG472" s="278" t="s">
        <v>229</v>
      </c>
      <c r="BH472" s="257" t="s">
        <v>230</v>
      </c>
      <c r="BI472" s="279" t="s">
        <v>3071</v>
      </c>
      <c r="BJ472" s="276" t="s">
        <v>231</v>
      </c>
      <c r="BK472" s="257">
        <v>82.922401170000001</v>
      </c>
      <c r="BL472" s="257">
        <v>100.5900439</v>
      </c>
      <c r="BM472" s="276">
        <v>0.82435992624116949</v>
      </c>
      <c r="BN472" s="257">
        <v>17.667642729999997</v>
      </c>
      <c r="BO472" s="276">
        <v>36.056413734693869</v>
      </c>
      <c r="BP472" s="276" t="s">
        <v>232</v>
      </c>
      <c r="BQ472" s="282" t="s">
        <v>2625</v>
      </c>
      <c r="BR472" s="276" t="s">
        <v>233</v>
      </c>
      <c r="BS472" s="257">
        <v>-12.051927770000001</v>
      </c>
      <c r="BT472" s="257">
        <v>-11.804099559999999</v>
      </c>
      <c r="BU472" s="259">
        <v>0.97943663331463848</v>
      </c>
      <c r="BV472" s="257">
        <v>0.24782821000000155</v>
      </c>
      <c r="BW472" s="257"/>
      <c r="BX472" s="257">
        <v>2.4782821000000156E-4</v>
      </c>
      <c r="BY472" s="257">
        <v>6.8733460799385768E-6</v>
      </c>
      <c r="BZ472" s="257">
        <v>0</v>
      </c>
      <c r="CA472" s="257">
        <v>0</v>
      </c>
      <c r="CB472" s="257">
        <v>0</v>
      </c>
      <c r="CC472" s="257">
        <v>0</v>
      </c>
      <c r="CD472" s="257">
        <v>0</v>
      </c>
      <c r="CE472" s="257">
        <v>0</v>
      </c>
      <c r="CF472" s="257">
        <v>0</v>
      </c>
      <c r="CG472" s="257">
        <v>0</v>
      </c>
      <c r="CH472" s="257">
        <v>0</v>
      </c>
      <c r="CI472" s="257">
        <v>0</v>
      </c>
      <c r="CJ472" s="257">
        <v>0</v>
      </c>
      <c r="CK472" s="257">
        <v>0</v>
      </c>
      <c r="CL472" s="257">
        <v>0</v>
      </c>
      <c r="CM472" s="257">
        <v>0</v>
      </c>
      <c r="CN472" s="257" t="s">
        <v>3072</v>
      </c>
      <c r="CO472" s="257">
        <v>82.922401170000001</v>
      </c>
      <c r="CP472" s="257">
        <v>100.5900439</v>
      </c>
      <c r="CQ472" s="257">
        <v>36.056413734693869</v>
      </c>
      <c r="CR472" s="257">
        <v>-12.051927770000001</v>
      </c>
      <c r="CS472" s="257">
        <v>-11.804099559999999</v>
      </c>
      <c r="CT472" s="257">
        <v>2.4782821000000156E-4</v>
      </c>
      <c r="CU472" s="257">
        <v>6.8733460799385768E-6</v>
      </c>
      <c r="CV472" s="258">
        <v>2.0563366685361534E-2</v>
      </c>
      <c r="CW472" s="256" t="s">
        <v>234</v>
      </c>
      <c r="CX472" s="257" t="s">
        <v>3073</v>
      </c>
      <c r="CY472" s="257" t="s">
        <v>235</v>
      </c>
      <c r="CZ472" s="257"/>
      <c r="DA472" s="276"/>
      <c r="DB472" s="276">
        <v>80</v>
      </c>
      <c r="DC472" s="257" t="s">
        <v>3074</v>
      </c>
      <c r="DD472" s="257">
        <v>0</v>
      </c>
      <c r="DE472" s="257">
        <v>1</v>
      </c>
      <c r="DF472" s="257">
        <v>0</v>
      </c>
      <c r="DG472" s="257">
        <v>0</v>
      </c>
      <c r="DH472" s="257"/>
      <c r="DI472" s="257">
        <v>1</v>
      </c>
      <c r="DJ472" s="257" t="s">
        <v>173</v>
      </c>
      <c r="DK472" s="257">
        <v>0</v>
      </c>
      <c r="DL472" s="257" t="s">
        <v>180</v>
      </c>
      <c r="DM472" s="257">
        <v>0</v>
      </c>
      <c r="DN472" s="257">
        <v>0</v>
      </c>
      <c r="DO472" s="257">
        <v>0</v>
      </c>
      <c r="DP472" s="276">
        <v>0</v>
      </c>
      <c r="DQ472" s="276">
        <v>0</v>
      </c>
      <c r="DR472" s="276">
        <v>0</v>
      </c>
      <c r="DS472" s="276">
        <v>0</v>
      </c>
      <c r="DT472" s="257">
        <v>0</v>
      </c>
      <c r="DU472" s="276" t="s">
        <v>962</v>
      </c>
      <c r="DV472" s="276">
        <v>1</v>
      </c>
      <c r="DW472" s="276">
        <v>1</v>
      </c>
      <c r="DX472" s="276">
        <v>1</v>
      </c>
      <c r="DY472" s="276">
        <v>0</v>
      </c>
      <c r="DZ472" s="257">
        <v>0</v>
      </c>
      <c r="EA472" s="276">
        <v>0</v>
      </c>
      <c r="EB472" s="276">
        <v>1</v>
      </c>
      <c r="EC472" s="276">
        <v>1</v>
      </c>
      <c r="ED472" s="276">
        <v>0</v>
      </c>
      <c r="EE472" s="276">
        <v>0</v>
      </c>
      <c r="EF472" s="257">
        <v>1</v>
      </c>
      <c r="EG472" s="276">
        <v>0</v>
      </c>
      <c r="EH472" s="257">
        <v>0</v>
      </c>
      <c r="EI472" s="258">
        <v>0</v>
      </c>
      <c r="EJ472" s="256"/>
      <c r="EK472" t="str">
        <f>IF(AND(AND(AND(OR($DX472=1,$DW472=1),OR($EC472=1,$EA472=1)),SUM($DV472:$DZ472,$EF472)&gt;=4),SUM($EA472:$EE472)&gt;=2),"Whole sector","")</f>
        <v>Whole sector</v>
      </c>
      <c r="EL472" t="str">
        <f>IF(AND(AND(OR($DX472=1,$DW472=1),AND($EC472=0,$EA472=0)),SUM($DV472:$DZ472,$EF472)&gt;=4),"Ecosystem approach","")</f>
        <v/>
      </c>
      <c r="EM472" s="258" t="s">
        <v>544</v>
      </c>
      <c r="EN472" s="257" t="s">
        <v>236</v>
      </c>
      <c r="EO472" s="257"/>
      <c r="EP472" t="str">
        <f>IF(ISNUMBER(BU472),IF(ABS(BU472-[2]QC_indicators!$B$2)&gt;3*[2]QC_indicators!$C$2,"C ratio",IF(ISNUMBER(BY472),IF(ABS(BY472-[2]QC_indicators!$B$1)&gt;3*[2]QC_indicators!$C$1,"DF","no"))),IF(ISNUMBER(BY472),IF(ABS(BY472-[2]QC_indicators!$B$1)&gt;3*[2]QC_indicators!$C$1,"DF","no")))</f>
        <v>no</v>
      </c>
      <c r="EQ472" s="280"/>
      <c r="ER472" s="280"/>
      <c r="ES472" s="280"/>
    </row>
    <row r="473" spans="1:149" ht="15" customHeight="1">
      <c r="A473" s="256" t="s">
        <v>214</v>
      </c>
      <c r="B473" s="257" t="s">
        <v>215</v>
      </c>
      <c r="C473" s="257" t="s">
        <v>216</v>
      </c>
      <c r="D473" s="257" t="s">
        <v>217</v>
      </c>
      <c r="E473" s="257" t="s">
        <v>218</v>
      </c>
      <c r="F473" s="257" t="s">
        <v>219</v>
      </c>
      <c r="G473" s="257" t="s">
        <v>220</v>
      </c>
      <c r="H473" s="257"/>
      <c r="I473" s="257">
        <v>2012</v>
      </c>
      <c r="J473" s="257"/>
      <c r="K473" s="257" t="s">
        <v>221</v>
      </c>
      <c r="L473" s="257"/>
      <c r="M473" s="257" t="s">
        <v>3070</v>
      </c>
      <c r="N473" s="257" t="s">
        <v>222</v>
      </c>
      <c r="O473" s="275" t="s">
        <v>223</v>
      </c>
      <c r="P473" s="257"/>
      <c r="Q473" s="257" t="s">
        <v>224</v>
      </c>
      <c r="R473" s="258" t="s">
        <v>225</v>
      </c>
      <c r="S473" s="256" t="s">
        <v>226</v>
      </c>
      <c r="T473" s="257" t="s">
        <v>228</v>
      </c>
      <c r="U473" s="257" t="s">
        <v>238</v>
      </c>
      <c r="V473" s="257">
        <v>0</v>
      </c>
      <c r="W473" s="257">
        <v>0</v>
      </c>
      <c r="X473" s="257">
        <v>0</v>
      </c>
      <c r="Y473" s="257">
        <v>1</v>
      </c>
      <c r="Z473" s="257">
        <v>0</v>
      </c>
      <c r="AA473" s="257">
        <v>0</v>
      </c>
      <c r="AB473" s="257">
        <v>0</v>
      </c>
      <c r="AC473" s="257">
        <v>0</v>
      </c>
      <c r="AD473" s="257">
        <v>0</v>
      </c>
      <c r="AE473" s="257">
        <v>0</v>
      </c>
      <c r="AF473" s="257">
        <v>0</v>
      </c>
      <c r="AG473" s="257">
        <v>0</v>
      </c>
      <c r="AH473" s="257">
        <v>0</v>
      </c>
      <c r="AI473" s="257">
        <v>0</v>
      </c>
      <c r="AJ473" s="257">
        <v>0</v>
      </c>
      <c r="AK473" s="257">
        <v>0</v>
      </c>
      <c r="AL473" s="257">
        <v>0</v>
      </c>
      <c r="AM473" s="257">
        <v>0</v>
      </c>
      <c r="AN473" s="257">
        <v>0</v>
      </c>
      <c r="AO473" s="257">
        <v>0</v>
      </c>
      <c r="AP473" s="257">
        <v>0</v>
      </c>
      <c r="AQ473" s="257">
        <v>0</v>
      </c>
      <c r="AR473" s="257">
        <v>0</v>
      </c>
      <c r="AS473" s="257">
        <v>0</v>
      </c>
      <c r="AT473" s="257">
        <v>0</v>
      </c>
      <c r="AU473" s="257">
        <v>0</v>
      </c>
      <c r="AV473" s="257">
        <v>0</v>
      </c>
      <c r="AW473" s="257">
        <v>0</v>
      </c>
      <c r="AX473" s="277">
        <v>1</v>
      </c>
      <c r="AY473" s="277">
        <v>1</v>
      </c>
      <c r="AZ473" s="257">
        <v>1</v>
      </c>
      <c r="BA473" s="257">
        <v>0</v>
      </c>
      <c r="BB473" s="257">
        <v>0</v>
      </c>
      <c r="BC473" s="257">
        <v>0</v>
      </c>
      <c r="BD473" s="257">
        <v>0</v>
      </c>
      <c r="BE473" s="257" t="s">
        <v>91</v>
      </c>
      <c r="BF473" s="2" t="str" cm="1">
        <f t="array" ref="BF473">IF(COUNTIF(AZ473:BB473,"&lt;&gt;0")=1,INDEX($V$4:$AW$4,MATCH(TRUE,INDEX($V473:$AW473&lt;&gt;0,),0)),IF(COUNTIF(AZ473:BB473,"&lt;&gt;0")=0,INDEX($AM$4:$AW$4,MATCH(1,$AM473:$AW473,0)),"Multiple strategies"))</f>
        <v>Silviculture for removals</v>
      </c>
      <c r="BG473" s="278" t="s">
        <v>229</v>
      </c>
      <c r="BH473" s="257" t="s">
        <v>230</v>
      </c>
      <c r="BI473" s="279" t="s">
        <v>3071</v>
      </c>
      <c r="BJ473" s="276" t="s">
        <v>231</v>
      </c>
      <c r="BK473" s="257">
        <v>75.212579790000007</v>
      </c>
      <c r="BL473" s="257">
        <v>98.063244030000007</v>
      </c>
      <c r="BM473" s="276">
        <v>0.76698033533329357</v>
      </c>
      <c r="BN473" s="257">
        <v>22.85066424</v>
      </c>
      <c r="BO473" s="276">
        <v>46.63400865306123</v>
      </c>
      <c r="BP473" s="276" t="s">
        <v>232</v>
      </c>
      <c r="BQ473" s="279" t="s">
        <v>3071</v>
      </c>
      <c r="BR473" s="276" t="s">
        <v>233</v>
      </c>
      <c r="BS473" s="257">
        <v>-8.4548837900000002</v>
      </c>
      <c r="BT473" s="257">
        <v>-8.12446701</v>
      </c>
      <c r="BU473" s="259">
        <v>0.96092000928613586</v>
      </c>
      <c r="BV473" s="257">
        <v>0.33041678000000019</v>
      </c>
      <c r="BW473" s="257"/>
      <c r="BX473" s="257">
        <v>3.3041678000000018E-4</v>
      </c>
      <c r="BY473" s="257">
        <v>7.0853179802356617E-6</v>
      </c>
      <c r="BZ473" s="257">
        <v>0</v>
      </c>
      <c r="CA473" s="257">
        <v>0</v>
      </c>
      <c r="CB473" s="257">
        <v>0</v>
      </c>
      <c r="CC473" s="257">
        <v>0</v>
      </c>
      <c r="CD473" s="257">
        <v>0</v>
      </c>
      <c r="CE473" s="257">
        <v>0</v>
      </c>
      <c r="CF473" s="257">
        <v>0</v>
      </c>
      <c r="CG473" s="257">
        <v>0</v>
      </c>
      <c r="CH473" s="257">
        <v>0</v>
      </c>
      <c r="CI473" s="257">
        <v>0</v>
      </c>
      <c r="CJ473" s="257">
        <v>0</v>
      </c>
      <c r="CK473" s="257">
        <v>0</v>
      </c>
      <c r="CL473" s="257">
        <v>0</v>
      </c>
      <c r="CM473" s="257">
        <v>0</v>
      </c>
      <c r="CN473" s="257" t="s">
        <v>3072</v>
      </c>
      <c r="CO473" s="257">
        <v>75.212579790000007</v>
      </c>
      <c r="CP473" s="257">
        <v>98.063244030000007</v>
      </c>
      <c r="CQ473" s="257">
        <v>46.63400865306123</v>
      </c>
      <c r="CR473" s="257">
        <v>-8.4548837900000002</v>
      </c>
      <c r="CS473" s="257">
        <v>-8.12446701</v>
      </c>
      <c r="CT473" s="257">
        <v>3.3041678000000018E-4</v>
      </c>
      <c r="CU473" s="257">
        <v>7.0853179802356617E-6</v>
      </c>
      <c r="CV473" s="258">
        <v>3.9079990713864109E-2</v>
      </c>
      <c r="CW473" s="256" t="s">
        <v>234</v>
      </c>
      <c r="CX473" s="257" t="s">
        <v>3073</v>
      </c>
      <c r="CY473" s="257" t="s">
        <v>235</v>
      </c>
      <c r="CZ473" s="257"/>
      <c r="DA473" s="276"/>
      <c r="DB473" s="276">
        <v>80</v>
      </c>
      <c r="DC473" s="257" t="s">
        <v>3074</v>
      </c>
      <c r="DD473" s="257">
        <v>0</v>
      </c>
      <c r="DE473" s="257">
        <v>1</v>
      </c>
      <c r="DF473" s="257">
        <v>0</v>
      </c>
      <c r="DG473" s="257">
        <v>0</v>
      </c>
      <c r="DH473" s="257"/>
      <c r="DI473" s="257">
        <v>1</v>
      </c>
      <c r="DJ473" s="257" t="s">
        <v>173</v>
      </c>
      <c r="DK473" s="257">
        <v>0</v>
      </c>
      <c r="DL473" s="257" t="s">
        <v>180</v>
      </c>
      <c r="DM473" s="257">
        <v>0</v>
      </c>
      <c r="DN473" s="257">
        <v>0</v>
      </c>
      <c r="DO473" s="257">
        <v>0</v>
      </c>
      <c r="DP473" s="276">
        <v>0</v>
      </c>
      <c r="DQ473" s="276">
        <v>0</v>
      </c>
      <c r="DR473" s="276">
        <v>0</v>
      </c>
      <c r="DS473" s="276">
        <v>0</v>
      </c>
      <c r="DT473" s="257">
        <v>0</v>
      </c>
      <c r="DU473" s="276" t="s">
        <v>962</v>
      </c>
      <c r="DV473" s="276">
        <v>1</v>
      </c>
      <c r="DW473" s="276">
        <v>1</v>
      </c>
      <c r="DX473" s="276">
        <v>1</v>
      </c>
      <c r="DY473" s="276">
        <v>0</v>
      </c>
      <c r="DZ473" s="257">
        <v>0</v>
      </c>
      <c r="EA473" s="276">
        <v>0</v>
      </c>
      <c r="EB473" s="276">
        <v>1</v>
      </c>
      <c r="EC473" s="276">
        <v>1</v>
      </c>
      <c r="ED473" s="276">
        <v>0</v>
      </c>
      <c r="EE473" s="276">
        <v>0</v>
      </c>
      <c r="EF473" s="257">
        <v>1</v>
      </c>
      <c r="EG473" s="276">
        <v>0</v>
      </c>
      <c r="EH473" s="257">
        <v>0</v>
      </c>
      <c r="EI473" s="258">
        <v>0</v>
      </c>
      <c r="EJ473" s="256"/>
      <c r="EK473" t="str">
        <f>IF(AND(AND(AND(OR($DX473=1,$DW473=1),OR($EC473=1,$EA473=1)),SUM($DV473:$DZ473,$EF473)&gt;=4),SUM($EA473:$EE473)&gt;=2),"Whole sector","")</f>
        <v>Whole sector</v>
      </c>
      <c r="EL473" t="str">
        <f>IF(AND(AND(OR($DX473=1,$DW473=1),AND($EC473=0,$EA473=0)),SUM($DV473:$DZ473,$EF473)&gt;=4),"Ecosystem approach","")</f>
        <v/>
      </c>
      <c r="EM473" s="258" t="s">
        <v>544</v>
      </c>
      <c r="EN473" s="257" t="s">
        <v>236</v>
      </c>
      <c r="EO473" s="257"/>
      <c r="EP473" t="str">
        <f>IF(ISNUMBER(BU473),IF(ABS(BU473-[2]QC_indicators!$B$2)&gt;3*[2]QC_indicators!$C$2,"C ratio",IF(ISNUMBER(BY473),IF(ABS(BY473-[2]QC_indicators!$B$1)&gt;3*[2]QC_indicators!$C$1,"DF","no"))),IF(ISNUMBER(BY473),IF(ABS(BY473-[2]QC_indicators!$B$1)&gt;3*[2]QC_indicators!$C$1,"DF","no")))</f>
        <v>no</v>
      </c>
      <c r="EQ473" s="280"/>
      <c r="ER473" s="280"/>
      <c r="ES473" s="280"/>
    </row>
    <row r="474" spans="1:149" ht="15" customHeight="1">
      <c r="A474" s="256" t="s">
        <v>214</v>
      </c>
      <c r="B474" s="257" t="s">
        <v>215</v>
      </c>
      <c r="C474" s="257" t="s">
        <v>216</v>
      </c>
      <c r="D474" s="257" t="s">
        <v>217</v>
      </c>
      <c r="E474" s="257" t="s">
        <v>218</v>
      </c>
      <c r="F474" s="257" t="s">
        <v>219</v>
      </c>
      <c r="G474" s="257" t="s">
        <v>220</v>
      </c>
      <c r="H474" s="257"/>
      <c r="I474" s="257">
        <v>2012</v>
      </c>
      <c r="J474" s="257"/>
      <c r="K474" s="257" t="s">
        <v>221</v>
      </c>
      <c r="L474" s="257"/>
      <c r="M474" s="257" t="s">
        <v>3070</v>
      </c>
      <c r="N474" s="257" t="s">
        <v>222</v>
      </c>
      <c r="O474" s="275" t="s">
        <v>223</v>
      </c>
      <c r="P474" s="257"/>
      <c r="Q474" s="257" t="s">
        <v>224</v>
      </c>
      <c r="R474" s="258" t="s">
        <v>225</v>
      </c>
      <c r="S474" s="256" t="s">
        <v>226</v>
      </c>
      <c r="T474" s="257" t="s">
        <v>228</v>
      </c>
      <c r="U474" s="257" t="s">
        <v>238</v>
      </c>
      <c r="V474" s="257">
        <v>0</v>
      </c>
      <c r="W474" s="257">
        <v>0</v>
      </c>
      <c r="X474" s="257">
        <v>0</v>
      </c>
      <c r="Y474" s="257">
        <v>1</v>
      </c>
      <c r="Z474" s="257">
        <v>0</v>
      </c>
      <c r="AA474" s="257">
        <v>0</v>
      </c>
      <c r="AB474" s="257">
        <v>0</v>
      </c>
      <c r="AC474" s="257">
        <v>0</v>
      </c>
      <c r="AD474" s="257">
        <v>0</v>
      </c>
      <c r="AE474" s="257">
        <v>0</v>
      </c>
      <c r="AF474" s="257">
        <v>0</v>
      </c>
      <c r="AG474" s="257">
        <v>0</v>
      </c>
      <c r="AH474" s="257">
        <v>0</v>
      </c>
      <c r="AI474" s="257">
        <v>0</v>
      </c>
      <c r="AJ474" s="257">
        <v>0</v>
      </c>
      <c r="AK474" s="257">
        <v>0</v>
      </c>
      <c r="AL474" s="257">
        <v>0</v>
      </c>
      <c r="AM474" s="257">
        <v>0</v>
      </c>
      <c r="AN474" s="257">
        <v>0</v>
      </c>
      <c r="AO474" s="257">
        <v>0</v>
      </c>
      <c r="AP474" s="257">
        <v>0</v>
      </c>
      <c r="AQ474" s="257">
        <v>0</v>
      </c>
      <c r="AR474" s="257">
        <v>0</v>
      </c>
      <c r="AS474" s="257">
        <v>0</v>
      </c>
      <c r="AT474" s="257">
        <v>0</v>
      </c>
      <c r="AU474" s="257">
        <v>0</v>
      </c>
      <c r="AV474" s="257">
        <v>0</v>
      </c>
      <c r="AW474" s="257">
        <v>0</v>
      </c>
      <c r="AX474" s="277">
        <v>1</v>
      </c>
      <c r="AY474" s="277">
        <v>1</v>
      </c>
      <c r="AZ474" s="257">
        <v>1</v>
      </c>
      <c r="BA474" s="257">
        <v>0</v>
      </c>
      <c r="BB474" s="257">
        <v>0</v>
      </c>
      <c r="BC474" s="257">
        <v>0</v>
      </c>
      <c r="BD474" s="257">
        <v>0</v>
      </c>
      <c r="BE474" s="257" t="s">
        <v>91</v>
      </c>
      <c r="BF474" s="2" t="str" cm="1">
        <f t="array" ref="BF474">IF(COUNTIF(AZ474:BB474,"&lt;&gt;0")=1,INDEX($V$4:$AW$4,MATCH(TRUE,INDEX($V474:$AW474&lt;&gt;0,),0)),IF(COUNTIF(AZ474:BB474,"&lt;&gt;0")=0,INDEX($AM$4:$AW$4,MATCH(1,$AM474:$AW474,0)),"Multiple strategies"))</f>
        <v>Silviculture for removals</v>
      </c>
      <c r="BG474" s="278" t="s">
        <v>229</v>
      </c>
      <c r="BH474" s="257" t="s">
        <v>230</v>
      </c>
      <c r="BI474" s="279" t="s">
        <v>3071</v>
      </c>
      <c r="BJ474" s="276" t="s">
        <v>231</v>
      </c>
      <c r="BK474" s="257">
        <v>64.183526540000003</v>
      </c>
      <c r="BL474" s="257">
        <v>89.04746797</v>
      </c>
      <c r="BM474" s="276">
        <v>0.72077879363872943</v>
      </c>
      <c r="BN474" s="257">
        <v>24.863941429999997</v>
      </c>
      <c r="BO474" s="276">
        <v>50.742737612244895</v>
      </c>
      <c r="BP474" s="276" t="s">
        <v>232</v>
      </c>
      <c r="BQ474" s="279" t="s">
        <v>3071</v>
      </c>
      <c r="BR474" s="276" t="s">
        <v>233</v>
      </c>
      <c r="BS474" s="257">
        <v>-8.4950335569999993</v>
      </c>
      <c r="BT474" s="257">
        <v>-8.1050396580000008</v>
      </c>
      <c r="BU474" s="259">
        <v>0.95409154108889427</v>
      </c>
      <c r="BV474" s="257">
        <v>0.38999389899999848</v>
      </c>
      <c r="BW474" s="257"/>
      <c r="BX474" s="257">
        <v>3.8999389899999846E-4</v>
      </c>
      <c r="BY474" s="257">
        <v>7.6857086817067545E-6</v>
      </c>
      <c r="BZ474" s="257">
        <v>0</v>
      </c>
      <c r="CA474" s="257">
        <v>0</v>
      </c>
      <c r="CB474" s="257">
        <v>0</v>
      </c>
      <c r="CC474" s="257">
        <v>0</v>
      </c>
      <c r="CD474" s="257">
        <v>0</v>
      </c>
      <c r="CE474" s="257">
        <v>0</v>
      </c>
      <c r="CF474" s="257">
        <v>0</v>
      </c>
      <c r="CG474" s="257">
        <v>0</v>
      </c>
      <c r="CH474" s="257">
        <v>0</v>
      </c>
      <c r="CI474" s="257">
        <v>0</v>
      </c>
      <c r="CJ474" s="257">
        <v>0</v>
      </c>
      <c r="CK474" s="257">
        <v>0</v>
      </c>
      <c r="CL474" s="257">
        <v>0</v>
      </c>
      <c r="CM474" s="257">
        <v>0</v>
      </c>
      <c r="CN474" s="257" t="s">
        <v>3072</v>
      </c>
      <c r="CO474" s="257">
        <v>64.183526540000003</v>
      </c>
      <c r="CP474" s="257">
        <v>89.04746797</v>
      </c>
      <c r="CQ474" s="257">
        <v>50.742737612244895</v>
      </c>
      <c r="CR474" s="257">
        <v>-8.4950335569999993</v>
      </c>
      <c r="CS474" s="257">
        <v>-8.1050396580000008</v>
      </c>
      <c r="CT474" s="257">
        <v>3.8999389899999846E-4</v>
      </c>
      <c r="CU474" s="257">
        <v>7.6857086817067545E-6</v>
      </c>
      <c r="CV474" s="258">
        <v>4.590845891110569E-2</v>
      </c>
      <c r="CW474" s="256" t="s">
        <v>234</v>
      </c>
      <c r="CX474" s="257" t="s">
        <v>3073</v>
      </c>
      <c r="CY474" s="257" t="s">
        <v>235</v>
      </c>
      <c r="CZ474" s="257"/>
      <c r="DA474" s="276"/>
      <c r="DB474" s="276">
        <v>80</v>
      </c>
      <c r="DC474" s="257" t="s">
        <v>3074</v>
      </c>
      <c r="DD474" s="257">
        <v>0</v>
      </c>
      <c r="DE474" s="257">
        <v>1</v>
      </c>
      <c r="DF474" s="257">
        <v>0</v>
      </c>
      <c r="DG474" s="257">
        <v>0</v>
      </c>
      <c r="DH474" s="257"/>
      <c r="DI474" s="257">
        <v>1</v>
      </c>
      <c r="DJ474" s="257" t="s">
        <v>173</v>
      </c>
      <c r="DK474" s="257">
        <v>0</v>
      </c>
      <c r="DL474" s="257" t="s">
        <v>180</v>
      </c>
      <c r="DM474" s="257">
        <v>0</v>
      </c>
      <c r="DN474" s="257">
        <v>0</v>
      </c>
      <c r="DO474" s="257">
        <v>0</v>
      </c>
      <c r="DP474" s="276">
        <v>0</v>
      </c>
      <c r="DQ474" s="276">
        <v>0</v>
      </c>
      <c r="DR474" s="276">
        <v>0</v>
      </c>
      <c r="DS474" s="276">
        <v>0</v>
      </c>
      <c r="DT474" s="257">
        <v>0</v>
      </c>
      <c r="DU474" s="276" t="s">
        <v>962</v>
      </c>
      <c r="DV474" s="276">
        <v>1</v>
      </c>
      <c r="DW474" s="276">
        <v>1</v>
      </c>
      <c r="DX474" s="276">
        <v>1</v>
      </c>
      <c r="DY474" s="276">
        <v>0</v>
      </c>
      <c r="DZ474" s="257">
        <v>0</v>
      </c>
      <c r="EA474" s="276">
        <v>0</v>
      </c>
      <c r="EB474" s="276">
        <v>1</v>
      </c>
      <c r="EC474" s="276">
        <v>1</v>
      </c>
      <c r="ED474" s="276">
        <v>0</v>
      </c>
      <c r="EE474" s="276">
        <v>0</v>
      </c>
      <c r="EF474" s="257">
        <v>1</v>
      </c>
      <c r="EG474" s="276">
        <v>0</v>
      </c>
      <c r="EH474" s="257">
        <v>0</v>
      </c>
      <c r="EI474" s="258">
        <v>0</v>
      </c>
      <c r="EJ474" s="256"/>
      <c r="EK474" t="str">
        <f>IF(AND(AND(AND(OR($DX474=1,$DW474=1),OR($EC474=1,$EA474=1)),SUM($DV474:$DZ474,$EF474)&gt;=4),SUM($EA474:$EE474)&gt;=2),"Whole sector","")</f>
        <v>Whole sector</v>
      </c>
      <c r="EL474" t="str">
        <f>IF(AND(AND(OR($DX474=1,$DW474=1),AND($EC474=0,$EA474=0)),SUM($DV474:$DZ474,$EF474)&gt;=4),"Ecosystem approach","")</f>
        <v/>
      </c>
      <c r="EM474" s="258" t="s">
        <v>544</v>
      </c>
      <c r="EN474" s="257" t="s">
        <v>236</v>
      </c>
      <c r="EO474" s="257"/>
      <c r="EP474" t="str">
        <f>IF(ISNUMBER(BU474),IF(ABS(BU474-[2]QC_indicators!$B$2)&gt;3*[2]QC_indicators!$C$2,"C ratio",IF(ISNUMBER(BY474),IF(ABS(BY474-[2]QC_indicators!$B$1)&gt;3*[2]QC_indicators!$C$1,"DF","no"))),IF(ISNUMBER(BY474),IF(ABS(BY474-[2]QC_indicators!$B$1)&gt;3*[2]QC_indicators!$C$1,"DF","no")))</f>
        <v>no</v>
      </c>
      <c r="EQ474" s="280"/>
      <c r="ER474" s="280"/>
      <c r="ES474" s="280"/>
    </row>
    <row r="475" spans="1:149" ht="15" customHeight="1">
      <c r="A475" s="256" t="s">
        <v>214</v>
      </c>
      <c r="B475" s="257" t="s">
        <v>215</v>
      </c>
      <c r="C475" s="257" t="s">
        <v>216</v>
      </c>
      <c r="D475" s="257" t="s">
        <v>217</v>
      </c>
      <c r="E475" s="257" t="s">
        <v>218</v>
      </c>
      <c r="F475" s="257" t="s">
        <v>219</v>
      </c>
      <c r="G475" s="257" t="s">
        <v>220</v>
      </c>
      <c r="H475" s="257"/>
      <c r="I475" s="257">
        <v>2012</v>
      </c>
      <c r="J475" s="257"/>
      <c r="K475" s="257" t="s">
        <v>221</v>
      </c>
      <c r="L475" s="257"/>
      <c r="M475" s="257" t="s">
        <v>3070</v>
      </c>
      <c r="N475" s="257" t="s">
        <v>222</v>
      </c>
      <c r="O475" s="275" t="s">
        <v>223</v>
      </c>
      <c r="P475" s="257"/>
      <c r="Q475" s="257" t="s">
        <v>224</v>
      </c>
      <c r="R475" s="258" t="s">
        <v>225</v>
      </c>
      <c r="S475" s="256" t="s">
        <v>241</v>
      </c>
      <c r="T475" s="257" t="s">
        <v>244</v>
      </c>
      <c r="U475" s="276" t="s">
        <v>242</v>
      </c>
      <c r="V475" s="257">
        <v>0</v>
      </c>
      <c r="W475" s="257">
        <v>0</v>
      </c>
      <c r="X475" s="257">
        <v>0</v>
      </c>
      <c r="Y475" s="257">
        <v>0</v>
      </c>
      <c r="Z475" s="257">
        <v>0</v>
      </c>
      <c r="AA475" s="257">
        <v>0</v>
      </c>
      <c r="AB475" s="257">
        <v>0</v>
      </c>
      <c r="AC475" s="257">
        <v>1</v>
      </c>
      <c r="AD475" s="257">
        <v>0</v>
      </c>
      <c r="AE475" s="257">
        <v>0</v>
      </c>
      <c r="AF475" s="257">
        <v>0</v>
      </c>
      <c r="AG475" s="257">
        <v>0</v>
      </c>
      <c r="AH475" s="257">
        <v>0</v>
      </c>
      <c r="AI475" s="257">
        <v>0</v>
      </c>
      <c r="AJ475" s="257">
        <v>0</v>
      </c>
      <c r="AK475" s="257">
        <v>0</v>
      </c>
      <c r="AL475" s="257">
        <v>0</v>
      </c>
      <c r="AM475" s="257">
        <v>0</v>
      </c>
      <c r="AN475" s="257">
        <v>0</v>
      </c>
      <c r="AO475" s="257">
        <v>0</v>
      </c>
      <c r="AP475" s="257">
        <v>0</v>
      </c>
      <c r="AQ475" s="257">
        <v>0</v>
      </c>
      <c r="AR475" s="257">
        <v>0</v>
      </c>
      <c r="AS475" s="257">
        <v>0</v>
      </c>
      <c r="AT475" s="257">
        <v>0</v>
      </c>
      <c r="AU475" s="257">
        <v>0</v>
      </c>
      <c r="AV475" s="257">
        <v>0</v>
      </c>
      <c r="AW475" s="257">
        <v>0</v>
      </c>
      <c r="AX475" s="277">
        <v>1</v>
      </c>
      <c r="AY475" s="277">
        <v>1</v>
      </c>
      <c r="AZ475" s="257">
        <v>1</v>
      </c>
      <c r="BA475" s="257">
        <v>0</v>
      </c>
      <c r="BB475" s="257">
        <v>0</v>
      </c>
      <c r="BC475" s="257">
        <v>0</v>
      </c>
      <c r="BD475" s="257">
        <v>0</v>
      </c>
      <c r="BE475" s="257" t="s">
        <v>95</v>
      </c>
      <c r="BF475" s="2" t="str" cm="1">
        <f t="array" ref="BF475">IF(COUNTIF(AZ475:BB475,"&lt;&gt;0")=1,INDEX($V$4:$AW$4,MATCH(TRUE,INDEX($V475:$AW475&lt;&gt;0,),0)),IF(COUNTIF(AZ475:BB475,"&lt;&gt;0")=0,INDEX($AM$4:$AW$4,MATCH(1,$AM475:$AW475,0)),"Multiple strategies"))</f>
        <v>Silviculture for productivity</v>
      </c>
      <c r="BG475" s="278" t="s">
        <v>229</v>
      </c>
      <c r="BH475" s="257" t="s">
        <v>230</v>
      </c>
      <c r="BI475" s="279" t="s">
        <v>3071</v>
      </c>
      <c r="BJ475" s="276" t="s">
        <v>231</v>
      </c>
      <c r="BK475" s="257">
        <v>43.2961724266072</v>
      </c>
      <c r="BL475" s="257">
        <v>49.052379731692703</v>
      </c>
      <c r="BM475" s="276">
        <v>1.1329495653419028</v>
      </c>
      <c r="BN475" s="257">
        <v>5.7562073050855034</v>
      </c>
      <c r="BO475" s="276">
        <v>11.747361847113272</v>
      </c>
      <c r="BP475" s="276" t="s">
        <v>232</v>
      </c>
      <c r="BQ475" s="279" t="s">
        <v>3071</v>
      </c>
      <c r="BR475" s="276" t="s">
        <v>233</v>
      </c>
      <c r="BS475" s="257">
        <v>-9.82778574082921</v>
      </c>
      <c r="BT475" s="257">
        <v>-9.7349397590361395</v>
      </c>
      <c r="BU475" s="259">
        <v>0.99055270594602562</v>
      </c>
      <c r="BV475" s="257">
        <v>9.2845981793070465E-2</v>
      </c>
      <c r="BW475" s="257"/>
      <c r="BX475" s="257">
        <v>9.2845981793070463E-5</v>
      </c>
      <c r="BY475" s="257">
        <v>7.9035602207048637E-6</v>
      </c>
      <c r="BZ475" s="257">
        <v>0</v>
      </c>
      <c r="CA475" s="257">
        <v>0</v>
      </c>
      <c r="CB475" s="257">
        <v>0</v>
      </c>
      <c r="CC475" s="257">
        <v>0</v>
      </c>
      <c r="CD475" s="257">
        <v>0</v>
      </c>
      <c r="CE475" s="257">
        <v>0</v>
      </c>
      <c r="CF475" s="257">
        <v>0</v>
      </c>
      <c r="CG475" s="257">
        <v>0</v>
      </c>
      <c r="CH475" s="257">
        <v>0</v>
      </c>
      <c r="CI475" s="257">
        <v>0</v>
      </c>
      <c r="CJ475" s="257">
        <v>0</v>
      </c>
      <c r="CK475" s="257">
        <v>0</v>
      </c>
      <c r="CL475" s="257">
        <v>0</v>
      </c>
      <c r="CM475" s="257">
        <v>0</v>
      </c>
      <c r="CN475" s="257" t="s">
        <v>3072</v>
      </c>
      <c r="CO475" s="257">
        <v>43.2961724266072</v>
      </c>
      <c r="CP475" s="257">
        <v>49.052379731692703</v>
      </c>
      <c r="CQ475" s="257">
        <v>11.747361847113272</v>
      </c>
      <c r="CR475" s="257">
        <v>-9.82778574082921</v>
      </c>
      <c r="CS475" s="257">
        <v>-9.7349397590361395</v>
      </c>
      <c r="CT475" s="257">
        <v>9.2845981793070463E-5</v>
      </c>
      <c r="CU475" s="257">
        <v>7.9035602207048637E-6</v>
      </c>
      <c r="CV475" s="258">
        <v>9.4472940539744275E-3</v>
      </c>
      <c r="CW475" s="256" t="s">
        <v>234</v>
      </c>
      <c r="CX475" s="257" t="s">
        <v>3073</v>
      </c>
      <c r="CY475" s="257" t="s">
        <v>235</v>
      </c>
      <c r="CZ475" s="257"/>
      <c r="DA475" s="276"/>
      <c r="DB475" s="276">
        <v>80</v>
      </c>
      <c r="DC475" s="257" t="s">
        <v>3074</v>
      </c>
      <c r="DD475" s="257">
        <v>0</v>
      </c>
      <c r="DE475" s="257">
        <v>1</v>
      </c>
      <c r="DF475" s="257">
        <v>0</v>
      </c>
      <c r="DG475" s="257">
        <v>0</v>
      </c>
      <c r="DH475" s="257"/>
      <c r="DI475" s="257">
        <v>1</v>
      </c>
      <c r="DJ475" s="257" t="s">
        <v>173</v>
      </c>
      <c r="DK475" s="257">
        <v>0</v>
      </c>
      <c r="DL475" s="257" t="s">
        <v>180</v>
      </c>
      <c r="DM475" s="257">
        <v>0</v>
      </c>
      <c r="DN475" s="257">
        <v>0</v>
      </c>
      <c r="DO475" s="257">
        <v>0</v>
      </c>
      <c r="DP475" s="276">
        <v>0</v>
      </c>
      <c r="DQ475" s="276">
        <v>0</v>
      </c>
      <c r="DR475" s="276">
        <v>0</v>
      </c>
      <c r="DS475" s="276">
        <v>0</v>
      </c>
      <c r="DT475" s="257">
        <v>0</v>
      </c>
      <c r="DU475" s="276" t="s">
        <v>962</v>
      </c>
      <c r="DV475" s="276">
        <v>1</v>
      </c>
      <c r="DW475" s="276">
        <v>1</v>
      </c>
      <c r="DX475" s="276">
        <v>1</v>
      </c>
      <c r="DY475" s="276">
        <v>0</v>
      </c>
      <c r="DZ475" s="257">
        <v>0</v>
      </c>
      <c r="EA475" s="276">
        <v>0</v>
      </c>
      <c r="EB475" s="276">
        <v>1</v>
      </c>
      <c r="EC475" s="276">
        <v>1</v>
      </c>
      <c r="ED475" s="276">
        <v>0</v>
      </c>
      <c r="EE475" s="276">
        <v>0</v>
      </c>
      <c r="EF475" s="257">
        <v>1</v>
      </c>
      <c r="EG475" s="276">
        <v>0</v>
      </c>
      <c r="EH475" s="257">
        <v>0</v>
      </c>
      <c r="EI475" s="258">
        <v>0</v>
      </c>
      <c r="EJ475" s="256"/>
      <c r="EK475" t="str">
        <f>IF(AND(AND(AND(OR($DX475=1,$DW475=1),OR($EC475=1,$EA475=1)),SUM($DV475:$DZ475,$EF475)&gt;=4),SUM($EA475:$EE475)&gt;=2),"Whole sector","")</f>
        <v>Whole sector</v>
      </c>
      <c r="EL475" t="str">
        <f>IF(AND(AND(OR($DX475=1,$DW475=1),AND($EC475=0,$EA475=0)),SUM($DV475:$DZ475,$EF475)&gt;=4),"Ecosystem approach","")</f>
        <v/>
      </c>
      <c r="EM475" s="258" t="s">
        <v>544</v>
      </c>
      <c r="EN475" s="257" t="s">
        <v>236</v>
      </c>
      <c r="EO475" s="257"/>
      <c r="EP475" t="str">
        <f>IF(ISNUMBER(BU475),IF(ABS(BU475-[2]QC_indicators!$B$2)&gt;3*[2]QC_indicators!$C$2,"C ratio",IF(ISNUMBER(BY475),IF(ABS(BY475-[2]QC_indicators!$B$1)&gt;3*[2]QC_indicators!$C$1,"DF","no"))),IF(ISNUMBER(BY475),IF(ABS(BY475-[2]QC_indicators!$B$1)&gt;3*[2]QC_indicators!$C$1,"DF","no")))</f>
        <v>no</v>
      </c>
    </row>
    <row r="476" spans="1:149" ht="15" customHeight="1">
      <c r="A476" s="256" t="s">
        <v>214</v>
      </c>
      <c r="B476" s="257" t="s">
        <v>215</v>
      </c>
      <c r="C476" s="257" t="s">
        <v>216</v>
      </c>
      <c r="D476" s="257" t="s">
        <v>217</v>
      </c>
      <c r="E476" s="257" t="s">
        <v>218</v>
      </c>
      <c r="F476" s="257" t="s">
        <v>219</v>
      </c>
      <c r="G476" s="257" t="s">
        <v>220</v>
      </c>
      <c r="H476" s="257"/>
      <c r="I476" s="257">
        <v>2012</v>
      </c>
      <c r="J476" s="257"/>
      <c r="K476" s="257" t="s">
        <v>221</v>
      </c>
      <c r="L476" s="257"/>
      <c r="M476" s="257" t="s">
        <v>3070</v>
      </c>
      <c r="N476" s="257" t="s">
        <v>222</v>
      </c>
      <c r="O476" s="275" t="s">
        <v>223</v>
      </c>
      <c r="P476" s="257"/>
      <c r="Q476" s="257" t="s">
        <v>224</v>
      </c>
      <c r="R476" s="258" t="s">
        <v>225</v>
      </c>
      <c r="S476" s="256" t="s">
        <v>226</v>
      </c>
      <c r="T476" s="257" t="s">
        <v>228</v>
      </c>
      <c r="U476" s="257" t="s">
        <v>239</v>
      </c>
      <c r="V476" s="257">
        <v>0</v>
      </c>
      <c r="W476" s="257">
        <v>0</v>
      </c>
      <c r="X476" s="257">
        <v>0</v>
      </c>
      <c r="Y476" s="257">
        <v>1</v>
      </c>
      <c r="Z476" s="257">
        <v>0</v>
      </c>
      <c r="AA476" s="257">
        <v>0</v>
      </c>
      <c r="AB476" s="257">
        <v>0</v>
      </c>
      <c r="AC476" s="257">
        <v>0</v>
      </c>
      <c r="AD476" s="257">
        <v>0</v>
      </c>
      <c r="AE476" s="257">
        <v>0</v>
      </c>
      <c r="AF476" s="257">
        <v>0</v>
      </c>
      <c r="AG476" s="257">
        <v>0</v>
      </c>
      <c r="AH476" s="257">
        <v>0</v>
      </c>
      <c r="AI476" s="257">
        <v>0</v>
      </c>
      <c r="AJ476" s="257">
        <v>0</v>
      </c>
      <c r="AK476" s="257">
        <v>0</v>
      </c>
      <c r="AL476" s="257">
        <v>0</v>
      </c>
      <c r="AM476" s="257">
        <v>0</v>
      </c>
      <c r="AN476" s="257">
        <v>0</v>
      </c>
      <c r="AO476" s="257">
        <v>0</v>
      </c>
      <c r="AP476" s="257">
        <v>0</v>
      </c>
      <c r="AQ476" s="257">
        <v>0</v>
      </c>
      <c r="AR476" s="257">
        <v>0</v>
      </c>
      <c r="AS476" s="257">
        <v>0</v>
      </c>
      <c r="AT476" s="257">
        <v>0</v>
      </c>
      <c r="AU476" s="257">
        <v>0</v>
      </c>
      <c r="AV476" s="257">
        <v>0</v>
      </c>
      <c r="AW476" s="257">
        <v>0</v>
      </c>
      <c r="AX476" s="277">
        <v>1</v>
      </c>
      <c r="AY476" s="277">
        <v>1</v>
      </c>
      <c r="AZ476" s="257">
        <v>1</v>
      </c>
      <c r="BA476" s="257">
        <v>0</v>
      </c>
      <c r="BB476" s="257">
        <v>0</v>
      </c>
      <c r="BC476" s="257">
        <v>0</v>
      </c>
      <c r="BD476" s="257">
        <v>0</v>
      </c>
      <c r="BE476" s="257" t="s">
        <v>91</v>
      </c>
      <c r="BF476" s="2" t="str" cm="1">
        <f t="array" ref="BF476">IF(COUNTIF(AZ476:BB476,"&lt;&gt;0")=1,INDEX($V$4:$AW$4,MATCH(TRUE,INDEX($V476:$AW476&lt;&gt;0,),0)),IF(COUNTIF(AZ476:BB476,"&lt;&gt;0")=0,INDEX($AM$4:$AW$4,MATCH(1,$AM476:$AW476,0)),"Multiple strategies"))</f>
        <v>Silviculture for removals</v>
      </c>
      <c r="BG476" s="278" t="s">
        <v>229</v>
      </c>
      <c r="BH476" s="257" t="s">
        <v>230</v>
      </c>
      <c r="BI476" s="279" t="s">
        <v>3071</v>
      </c>
      <c r="BJ476" s="276" t="s">
        <v>231</v>
      </c>
      <c r="BK476" s="257">
        <v>74.931604759999999</v>
      </c>
      <c r="BL476" s="257">
        <v>98.063244030000007</v>
      </c>
      <c r="BM476" s="276">
        <v>0.76411509226715502</v>
      </c>
      <c r="BN476" s="257">
        <v>23.131639270000008</v>
      </c>
      <c r="BO476" s="276">
        <v>47.207427081632673</v>
      </c>
      <c r="BP476" s="276" t="s">
        <v>232</v>
      </c>
      <c r="BQ476" s="279" t="s">
        <v>3071</v>
      </c>
      <c r="BR476" s="276" t="s">
        <v>233</v>
      </c>
      <c r="BS476" s="257">
        <v>-8.5161560640000005</v>
      </c>
      <c r="BT476" s="257">
        <v>-8.12446701</v>
      </c>
      <c r="BU476" s="259">
        <v>0.95400635556037172</v>
      </c>
      <c r="BV476" s="257">
        <v>0.39168905400000043</v>
      </c>
      <c r="BW476" s="257"/>
      <c r="BX476" s="257">
        <v>3.916890540000004E-4</v>
      </c>
      <c r="BY476" s="257">
        <v>8.2971913153131285E-6</v>
      </c>
      <c r="BZ476" s="257">
        <v>0</v>
      </c>
      <c r="CA476" s="257">
        <v>0</v>
      </c>
      <c r="CB476" s="257">
        <v>0</v>
      </c>
      <c r="CC476" s="257">
        <v>0</v>
      </c>
      <c r="CD476" s="257">
        <v>0</v>
      </c>
      <c r="CE476" s="257">
        <v>0</v>
      </c>
      <c r="CF476" s="257">
        <v>0</v>
      </c>
      <c r="CG476" s="257">
        <v>0</v>
      </c>
      <c r="CH476" s="257">
        <v>0</v>
      </c>
      <c r="CI476" s="257">
        <v>0</v>
      </c>
      <c r="CJ476" s="257">
        <v>0</v>
      </c>
      <c r="CK476" s="257">
        <v>0</v>
      </c>
      <c r="CL476" s="257">
        <v>0</v>
      </c>
      <c r="CM476" s="257">
        <v>0</v>
      </c>
      <c r="CN476" s="257" t="s">
        <v>3072</v>
      </c>
      <c r="CO476" s="257">
        <v>74.931604759999999</v>
      </c>
      <c r="CP476" s="257">
        <v>98.063244030000007</v>
      </c>
      <c r="CQ476" s="257">
        <v>47.207427081632673</v>
      </c>
      <c r="CR476" s="257">
        <v>-8.5161560640000005</v>
      </c>
      <c r="CS476" s="257">
        <v>-8.12446701</v>
      </c>
      <c r="CT476" s="257">
        <v>3.916890540000004E-4</v>
      </c>
      <c r="CU476" s="257">
        <v>8.2971913153131285E-6</v>
      </c>
      <c r="CV476" s="258">
        <v>4.5993644439628299E-2</v>
      </c>
      <c r="CW476" s="256" t="s">
        <v>234</v>
      </c>
      <c r="CX476" s="257" t="s">
        <v>3073</v>
      </c>
      <c r="CY476" s="257" t="s">
        <v>235</v>
      </c>
      <c r="CZ476" s="257"/>
      <c r="DA476" s="276"/>
      <c r="DB476" s="276">
        <v>80</v>
      </c>
      <c r="DC476" s="257" t="s">
        <v>3074</v>
      </c>
      <c r="DD476" s="257">
        <v>0</v>
      </c>
      <c r="DE476" s="257">
        <v>1</v>
      </c>
      <c r="DF476" s="257">
        <v>0</v>
      </c>
      <c r="DG476" s="257">
        <v>0</v>
      </c>
      <c r="DH476" s="257"/>
      <c r="DI476" s="257">
        <v>1</v>
      </c>
      <c r="DJ476" s="257" t="s">
        <v>173</v>
      </c>
      <c r="DK476" s="257">
        <v>0</v>
      </c>
      <c r="DL476" s="257" t="s">
        <v>180</v>
      </c>
      <c r="DM476" s="257">
        <v>0</v>
      </c>
      <c r="DN476" s="257">
        <v>0</v>
      </c>
      <c r="DO476" s="257">
        <v>0</v>
      </c>
      <c r="DP476" s="276">
        <v>0</v>
      </c>
      <c r="DQ476" s="276">
        <v>0</v>
      </c>
      <c r="DR476" s="276">
        <v>0</v>
      </c>
      <c r="DS476" s="276">
        <v>0</v>
      </c>
      <c r="DT476" s="257">
        <v>0</v>
      </c>
      <c r="DU476" s="276" t="s">
        <v>962</v>
      </c>
      <c r="DV476" s="276">
        <v>1</v>
      </c>
      <c r="DW476" s="276">
        <v>1</v>
      </c>
      <c r="DX476" s="276">
        <v>1</v>
      </c>
      <c r="DY476" s="276">
        <v>0</v>
      </c>
      <c r="DZ476" s="257">
        <v>0</v>
      </c>
      <c r="EA476" s="276">
        <v>0</v>
      </c>
      <c r="EB476" s="276">
        <v>1</v>
      </c>
      <c r="EC476" s="276">
        <v>1</v>
      </c>
      <c r="ED476" s="276">
        <v>0</v>
      </c>
      <c r="EE476" s="276">
        <v>0</v>
      </c>
      <c r="EF476" s="257">
        <v>1</v>
      </c>
      <c r="EG476" s="276">
        <v>0</v>
      </c>
      <c r="EH476" s="257">
        <v>0</v>
      </c>
      <c r="EI476" s="258">
        <v>0</v>
      </c>
      <c r="EJ476" s="256"/>
      <c r="EK476" t="str">
        <f>IF(AND(AND(AND(OR($DX476=1,$DW476=1),OR($EC476=1,$EA476=1)),SUM($DV476:$DZ476,$EF476)&gt;=4),SUM($EA476:$EE476)&gt;=2),"Whole sector","")</f>
        <v>Whole sector</v>
      </c>
      <c r="EL476" t="str">
        <f>IF(AND(AND(OR($DX476=1,$DW476=1),AND($EC476=0,$EA476=0)),SUM($DV476:$DZ476,$EF476)&gt;=4),"Ecosystem approach","")</f>
        <v/>
      </c>
      <c r="EM476" s="258" t="s">
        <v>544</v>
      </c>
      <c r="EN476" s="257" t="s">
        <v>236</v>
      </c>
      <c r="EO476" s="257"/>
      <c r="EP476" t="str">
        <f>IF(ISNUMBER(BU476),IF(ABS(BU476-[2]QC_indicators!$B$2)&gt;3*[2]QC_indicators!$C$2,"C ratio",IF(ISNUMBER(BY476),IF(ABS(BY476-[2]QC_indicators!$B$1)&gt;3*[2]QC_indicators!$C$1,"DF","no"))),IF(ISNUMBER(BY476),IF(ABS(BY476-[2]QC_indicators!$B$1)&gt;3*[2]QC_indicators!$C$1,"DF","no")))</f>
        <v>no</v>
      </c>
      <c r="EQ476" s="280"/>
      <c r="ER476" s="280"/>
      <c r="ES476" s="280"/>
    </row>
    <row r="477" spans="1:149" ht="15" customHeight="1">
      <c r="A477" s="256" t="s">
        <v>214</v>
      </c>
      <c r="B477" s="257" t="s">
        <v>215</v>
      </c>
      <c r="C477" s="257" t="s">
        <v>216</v>
      </c>
      <c r="D477" s="257" t="s">
        <v>217</v>
      </c>
      <c r="E477" s="257" t="s">
        <v>218</v>
      </c>
      <c r="F477" s="257" t="s">
        <v>219</v>
      </c>
      <c r="G477" s="257" t="s">
        <v>220</v>
      </c>
      <c r="H477" s="257"/>
      <c r="I477" s="257">
        <v>2012</v>
      </c>
      <c r="J477" s="257"/>
      <c r="K477" s="257" t="s">
        <v>221</v>
      </c>
      <c r="L477" s="257"/>
      <c r="M477" s="257" t="s">
        <v>3070</v>
      </c>
      <c r="N477" s="257" t="s">
        <v>222</v>
      </c>
      <c r="O477" s="275" t="s">
        <v>223</v>
      </c>
      <c r="P477" s="257"/>
      <c r="Q477" s="257" t="s">
        <v>224</v>
      </c>
      <c r="R477" s="258" t="s">
        <v>225</v>
      </c>
      <c r="S477" s="256" t="s">
        <v>92</v>
      </c>
      <c r="T477" s="257" t="s">
        <v>245</v>
      </c>
      <c r="U477" s="276" t="s">
        <v>246</v>
      </c>
      <c r="V477" s="257">
        <v>0</v>
      </c>
      <c r="W477" s="257">
        <v>0</v>
      </c>
      <c r="X477" s="257">
        <v>0</v>
      </c>
      <c r="Y477" s="257">
        <v>0</v>
      </c>
      <c r="Z477" s="257">
        <v>1</v>
      </c>
      <c r="AA477" s="257">
        <v>0</v>
      </c>
      <c r="AB477" s="257">
        <v>0</v>
      </c>
      <c r="AC477" s="257">
        <v>0</v>
      </c>
      <c r="AD477" s="257">
        <v>0</v>
      </c>
      <c r="AE477" s="257">
        <v>0</v>
      </c>
      <c r="AF477" s="257">
        <v>0</v>
      </c>
      <c r="AG477" s="257">
        <v>0</v>
      </c>
      <c r="AH477" s="257">
        <v>0</v>
      </c>
      <c r="AI477" s="257">
        <v>0</v>
      </c>
      <c r="AJ477" s="257">
        <v>0</v>
      </c>
      <c r="AK477" s="257">
        <v>0</v>
      </c>
      <c r="AL477" s="257">
        <v>0</v>
      </c>
      <c r="AM477" s="257">
        <v>0</v>
      </c>
      <c r="AN477" s="257">
        <v>0</v>
      </c>
      <c r="AO477" s="257">
        <v>0</v>
      </c>
      <c r="AP477" s="257">
        <v>0</v>
      </c>
      <c r="AQ477" s="257">
        <v>0</v>
      </c>
      <c r="AR477" s="257">
        <v>0</v>
      </c>
      <c r="AS477" s="257">
        <v>0</v>
      </c>
      <c r="AT477" s="257">
        <v>0</v>
      </c>
      <c r="AU477" s="257">
        <v>0</v>
      </c>
      <c r="AV477" s="257">
        <v>0</v>
      </c>
      <c r="AW477" s="257">
        <v>0</v>
      </c>
      <c r="AX477" s="277">
        <v>1</v>
      </c>
      <c r="AY477" s="277">
        <v>1</v>
      </c>
      <c r="AZ477" s="257">
        <v>1</v>
      </c>
      <c r="BA477" s="257">
        <v>0</v>
      </c>
      <c r="BB477" s="257">
        <v>0</v>
      </c>
      <c r="BC477" s="257">
        <v>0</v>
      </c>
      <c r="BD477" s="257">
        <v>0</v>
      </c>
      <c r="BE477" s="257" t="s">
        <v>92</v>
      </c>
      <c r="BF477" s="2" t="str" cm="1">
        <f t="array" ref="BF477">IF(COUNTIF(AZ477:BB477,"&lt;&gt;0")=1,INDEX($V$4:$AW$4,MATCH(TRUE,INDEX($V477:$AW477&lt;&gt;0,),0)),IF(COUNTIF(AZ477:BB477,"&lt;&gt;0")=0,INDEX($AM$4:$AW$4,MATCH(1,$AM477:$AW477,0)),"Multiple strategies"))</f>
        <v>Silviculture for productivity</v>
      </c>
      <c r="BG477" s="278" t="s">
        <v>229</v>
      </c>
      <c r="BH477" s="257" t="s">
        <v>230</v>
      </c>
      <c r="BI477" s="279" t="s">
        <v>3071</v>
      </c>
      <c r="BJ477" s="276" t="s">
        <v>231</v>
      </c>
      <c r="BK477" s="257">
        <v>68.641374006664904</v>
      </c>
      <c r="BL477" s="257">
        <v>124.699677125181</v>
      </c>
      <c r="BM477" s="276">
        <v>1.8166838722236676</v>
      </c>
      <c r="BN477" s="257">
        <v>56.058303118516093</v>
      </c>
      <c r="BO477" s="276">
        <v>114.40470024186958</v>
      </c>
      <c r="BP477" s="276" t="s">
        <v>232</v>
      </c>
      <c r="BQ477" s="341" t="s">
        <v>3071</v>
      </c>
      <c r="BR477" s="276" t="s">
        <v>233</v>
      </c>
      <c r="BS477" s="257">
        <v>-8.9317269076305195</v>
      </c>
      <c r="BT477" s="257">
        <v>-7.9158553717989797</v>
      </c>
      <c r="BU477" s="259">
        <v>0.88626258434260186</v>
      </c>
      <c r="BV477" s="257">
        <v>1.0158715358315398</v>
      </c>
      <c r="BW477" s="257"/>
      <c r="BX477" s="257">
        <v>1.0158715358315397E-3</v>
      </c>
      <c r="BY477" s="257">
        <v>8.8796311137901422E-6</v>
      </c>
      <c r="BZ477" s="257">
        <v>0</v>
      </c>
      <c r="CA477" s="257">
        <v>0</v>
      </c>
      <c r="CB477" s="257">
        <v>0</v>
      </c>
      <c r="CC477" s="257">
        <v>0</v>
      </c>
      <c r="CD477" s="257">
        <v>0</v>
      </c>
      <c r="CE477" s="257">
        <v>0</v>
      </c>
      <c r="CF477" s="257">
        <v>0</v>
      </c>
      <c r="CG477" s="257">
        <v>0</v>
      </c>
      <c r="CH477" s="257">
        <v>0</v>
      </c>
      <c r="CI477" s="257">
        <v>0</v>
      </c>
      <c r="CJ477" s="257">
        <v>0</v>
      </c>
      <c r="CK477" s="257">
        <v>0</v>
      </c>
      <c r="CL477" s="257">
        <v>0</v>
      </c>
      <c r="CM477" s="257">
        <v>0</v>
      </c>
      <c r="CN477" s="257" t="s">
        <v>3072</v>
      </c>
      <c r="CO477" s="257">
        <v>68.641374006664904</v>
      </c>
      <c r="CP477" s="257">
        <v>124.699677125181</v>
      </c>
      <c r="CQ477" s="257">
        <v>114.40470024186958</v>
      </c>
      <c r="CR477" s="257">
        <v>-8.9317269076305195</v>
      </c>
      <c r="CS477" s="257">
        <v>-7.9158553717989797</v>
      </c>
      <c r="CT477" s="257">
        <v>1.0158715358315397E-3</v>
      </c>
      <c r="CU477" s="257">
        <v>8.8796311137901422E-6</v>
      </c>
      <c r="CV477" s="258">
        <v>0.11373741565739814</v>
      </c>
      <c r="CW477" s="256" t="s">
        <v>234</v>
      </c>
      <c r="CX477" s="257" t="s">
        <v>3073</v>
      </c>
      <c r="CY477" s="257" t="s">
        <v>235</v>
      </c>
      <c r="CZ477" s="257"/>
      <c r="DA477" s="276"/>
      <c r="DB477" s="276">
        <v>80</v>
      </c>
      <c r="DC477" s="257" t="s">
        <v>3074</v>
      </c>
      <c r="DD477" s="257">
        <v>0</v>
      </c>
      <c r="DE477" s="257">
        <v>1</v>
      </c>
      <c r="DF477" s="257">
        <v>0</v>
      </c>
      <c r="DG477" s="257">
        <v>0</v>
      </c>
      <c r="DH477" s="257"/>
      <c r="DI477" s="257">
        <v>1</v>
      </c>
      <c r="DJ477" s="257" t="s">
        <v>173</v>
      </c>
      <c r="DK477" s="257">
        <v>0</v>
      </c>
      <c r="DL477" s="257" t="s">
        <v>180</v>
      </c>
      <c r="DM477" s="257">
        <v>0</v>
      </c>
      <c r="DN477" s="257">
        <v>0</v>
      </c>
      <c r="DO477" s="257">
        <v>0</v>
      </c>
      <c r="DP477" s="276">
        <v>0</v>
      </c>
      <c r="DQ477" s="276">
        <v>0</v>
      </c>
      <c r="DR477" s="276">
        <v>0</v>
      </c>
      <c r="DS477" s="276">
        <v>0</v>
      </c>
      <c r="DT477" s="257">
        <v>0</v>
      </c>
      <c r="DU477" s="276" t="s">
        <v>962</v>
      </c>
      <c r="DV477" s="276">
        <v>1</v>
      </c>
      <c r="DW477" s="276">
        <v>1</v>
      </c>
      <c r="DX477" s="276">
        <v>1</v>
      </c>
      <c r="DY477" s="276">
        <v>0</v>
      </c>
      <c r="DZ477" s="257">
        <v>0</v>
      </c>
      <c r="EA477" s="276">
        <v>0</v>
      </c>
      <c r="EB477" s="276">
        <v>1</v>
      </c>
      <c r="EC477" s="276">
        <v>1</v>
      </c>
      <c r="ED477" s="276">
        <v>0</v>
      </c>
      <c r="EE477" s="276">
        <v>0</v>
      </c>
      <c r="EF477" s="257">
        <v>1</v>
      </c>
      <c r="EG477" s="276">
        <v>0</v>
      </c>
      <c r="EH477" s="257">
        <v>0</v>
      </c>
      <c r="EI477" s="258">
        <v>0</v>
      </c>
      <c r="EJ477" s="256"/>
      <c r="EK477" t="str">
        <f>IF(AND(AND(AND(OR($DX477=1,$DW477=1),OR($EC477=1,$EA477=1)),SUM($DV477:$DZ477,$EF477)&gt;=4),SUM($EA477:$EE477)&gt;=2),"Whole sector","")</f>
        <v>Whole sector</v>
      </c>
      <c r="EL477" t="str">
        <f>IF(AND(AND(OR($DX477=1,$DW477=1),AND($EC477=0,$EA477=0)),SUM($DV477:$DZ477,$EF477)&gt;=4),"Ecosystem approach","")</f>
        <v/>
      </c>
      <c r="EM477" s="258" t="s">
        <v>544</v>
      </c>
      <c r="EN477" s="257" t="s">
        <v>236</v>
      </c>
      <c r="EO477" s="257"/>
      <c r="EP477" t="str">
        <f>IF(ISNUMBER(BU477),IF(ABS(BU477-[2]QC_indicators!$B$2)&gt;3*[2]QC_indicators!$C$2,"C ratio",IF(ISNUMBER(BY477),IF(ABS(BY477-[2]QC_indicators!$B$1)&gt;3*[2]QC_indicators!$C$1,"DF","no"))),IF(ISNUMBER(BY477),IF(ABS(BY477-[2]QC_indicators!$B$1)&gt;3*[2]QC_indicators!$C$1,"DF","no")))</f>
        <v>no</v>
      </c>
    </row>
    <row r="478" spans="1:149" ht="15" customHeight="1">
      <c r="A478" s="256" t="s">
        <v>214</v>
      </c>
      <c r="B478" s="257" t="s">
        <v>215</v>
      </c>
      <c r="C478" s="257" t="s">
        <v>216</v>
      </c>
      <c r="D478" s="257" t="s">
        <v>217</v>
      </c>
      <c r="E478" s="257" t="s">
        <v>218</v>
      </c>
      <c r="F478" s="257" t="s">
        <v>219</v>
      </c>
      <c r="G478" s="257" t="s">
        <v>220</v>
      </c>
      <c r="H478" s="257"/>
      <c r="I478" s="257">
        <v>2012</v>
      </c>
      <c r="J478" s="257"/>
      <c r="K478" s="257" t="s">
        <v>221</v>
      </c>
      <c r="L478" s="257"/>
      <c r="M478" s="257" t="s">
        <v>3070</v>
      </c>
      <c r="N478" s="257" t="s">
        <v>222</v>
      </c>
      <c r="O478" s="275" t="s">
        <v>223</v>
      </c>
      <c r="P478" s="257"/>
      <c r="Q478" s="257" t="s">
        <v>224</v>
      </c>
      <c r="R478" s="258" t="s">
        <v>225</v>
      </c>
      <c r="S478" s="256" t="s">
        <v>92</v>
      </c>
      <c r="T478" s="257" t="s">
        <v>245</v>
      </c>
      <c r="U478" s="276" t="s">
        <v>246</v>
      </c>
      <c r="V478" s="257">
        <v>0</v>
      </c>
      <c r="W478" s="257">
        <v>0</v>
      </c>
      <c r="X478" s="257">
        <v>0</v>
      </c>
      <c r="Y478" s="257">
        <v>0</v>
      </c>
      <c r="Z478" s="257">
        <v>1</v>
      </c>
      <c r="AA478" s="257">
        <v>0</v>
      </c>
      <c r="AB478" s="257">
        <v>0</v>
      </c>
      <c r="AC478" s="257">
        <v>0</v>
      </c>
      <c r="AD478" s="257">
        <v>0</v>
      </c>
      <c r="AE478" s="257">
        <v>0</v>
      </c>
      <c r="AF478" s="257">
        <v>0</v>
      </c>
      <c r="AG478" s="257">
        <v>0</v>
      </c>
      <c r="AH478" s="257">
        <v>0</v>
      </c>
      <c r="AI478" s="257">
        <v>0</v>
      </c>
      <c r="AJ478" s="257">
        <v>0</v>
      </c>
      <c r="AK478" s="257">
        <v>0</v>
      </c>
      <c r="AL478" s="257">
        <v>0</v>
      </c>
      <c r="AM478" s="257">
        <v>0</v>
      </c>
      <c r="AN478" s="257">
        <v>0</v>
      </c>
      <c r="AO478" s="257">
        <v>0</v>
      </c>
      <c r="AP478" s="257">
        <v>0</v>
      </c>
      <c r="AQ478" s="257">
        <v>0</v>
      </c>
      <c r="AR478" s="257">
        <v>0</v>
      </c>
      <c r="AS478" s="257">
        <v>0</v>
      </c>
      <c r="AT478" s="257">
        <v>0</v>
      </c>
      <c r="AU478" s="257">
        <v>0</v>
      </c>
      <c r="AV478" s="257">
        <v>0</v>
      </c>
      <c r="AW478" s="257">
        <v>0</v>
      </c>
      <c r="AX478" s="277">
        <v>1</v>
      </c>
      <c r="AY478" s="277">
        <v>1</v>
      </c>
      <c r="AZ478" s="257">
        <v>1</v>
      </c>
      <c r="BA478" s="257">
        <v>0</v>
      </c>
      <c r="BB478" s="257">
        <v>0</v>
      </c>
      <c r="BC478" s="257">
        <v>0</v>
      </c>
      <c r="BD478" s="257">
        <v>0</v>
      </c>
      <c r="BE478" s="257" t="s">
        <v>92</v>
      </c>
      <c r="BF478" s="2" t="str" cm="1">
        <f t="array" ref="BF478">IF(COUNTIF(AZ478:BB478,"&lt;&gt;0")=1,INDEX($V$4:$AW$4,MATCH(TRUE,INDEX($V478:$AW478&lt;&gt;0,),0)),IF(COUNTIF(AZ478:BB478,"&lt;&gt;0")=0,INDEX($AM$4:$AW$4,MATCH(1,$AM478:$AW478,0)),"Multiple strategies"))</f>
        <v>Silviculture for productivity</v>
      </c>
      <c r="BG478" s="278" t="s">
        <v>229</v>
      </c>
      <c r="BH478" s="257" t="s">
        <v>230</v>
      </c>
      <c r="BI478" s="279" t="s">
        <v>3071</v>
      </c>
      <c r="BJ478" s="276" t="s">
        <v>231</v>
      </c>
      <c r="BK478" s="257">
        <v>62.093385434364002</v>
      </c>
      <c r="BL478" s="257">
        <v>110.71336180597901</v>
      </c>
      <c r="BM478" s="276">
        <v>1.783013778867137</v>
      </c>
      <c r="BN478" s="257">
        <v>48.619976371615003</v>
      </c>
      <c r="BO478" s="276">
        <v>99.224441574724494</v>
      </c>
      <c r="BP478" s="276" t="s">
        <v>232</v>
      </c>
      <c r="BQ478" s="341" t="s">
        <v>3071</v>
      </c>
      <c r="BR478" s="276" t="s">
        <v>233</v>
      </c>
      <c r="BS478" s="257">
        <v>-8.77615419238683</v>
      </c>
      <c r="BT478" s="257">
        <v>-7.88817571690055</v>
      </c>
      <c r="BU478" s="259">
        <v>0.89881918024451002</v>
      </c>
      <c r="BV478" s="257">
        <v>0.88797847548628006</v>
      </c>
      <c r="BW478" s="257"/>
      <c r="BX478" s="257">
        <v>8.8797847548628011E-4</v>
      </c>
      <c r="BY478" s="257">
        <v>8.9491909593419723E-6</v>
      </c>
      <c r="BZ478" s="257">
        <v>0</v>
      </c>
      <c r="CA478" s="257">
        <v>0</v>
      </c>
      <c r="CB478" s="257">
        <v>0</v>
      </c>
      <c r="CC478" s="257">
        <v>0</v>
      </c>
      <c r="CD478" s="257">
        <v>0</v>
      </c>
      <c r="CE478" s="257">
        <v>0</v>
      </c>
      <c r="CF478" s="257">
        <v>0</v>
      </c>
      <c r="CG478" s="257">
        <v>0</v>
      </c>
      <c r="CH478" s="257">
        <v>0</v>
      </c>
      <c r="CI478" s="257">
        <v>0</v>
      </c>
      <c r="CJ478" s="257">
        <v>0</v>
      </c>
      <c r="CK478" s="257">
        <v>0</v>
      </c>
      <c r="CL478" s="257">
        <v>0</v>
      </c>
      <c r="CM478" s="257">
        <v>0</v>
      </c>
      <c r="CN478" s="257" t="s">
        <v>3072</v>
      </c>
      <c r="CO478" s="257">
        <v>62.093385434364002</v>
      </c>
      <c r="CP478" s="257">
        <v>110.71336180597901</v>
      </c>
      <c r="CQ478" s="257">
        <v>99.224441574724494</v>
      </c>
      <c r="CR478" s="257">
        <v>-8.77615419238683</v>
      </c>
      <c r="CS478" s="257">
        <v>-7.88817571690055</v>
      </c>
      <c r="CT478" s="257">
        <v>8.8797847548628011E-4</v>
      </c>
      <c r="CU478" s="257">
        <v>8.9491909593419723E-6</v>
      </c>
      <c r="CV478" s="258">
        <v>0.10118081975549004</v>
      </c>
      <c r="CW478" s="256" t="s">
        <v>234</v>
      </c>
      <c r="CX478" s="257" t="s">
        <v>3073</v>
      </c>
      <c r="CY478" s="257" t="s">
        <v>235</v>
      </c>
      <c r="CZ478" s="257"/>
      <c r="DA478" s="276"/>
      <c r="DB478" s="276">
        <v>80</v>
      </c>
      <c r="DC478" s="257" t="s">
        <v>3074</v>
      </c>
      <c r="DD478" s="257">
        <v>0</v>
      </c>
      <c r="DE478" s="257">
        <v>1</v>
      </c>
      <c r="DF478" s="257">
        <v>0</v>
      </c>
      <c r="DG478" s="257">
        <v>0</v>
      </c>
      <c r="DH478" s="257"/>
      <c r="DI478" s="257">
        <v>1</v>
      </c>
      <c r="DJ478" s="257" t="s">
        <v>173</v>
      </c>
      <c r="DK478" s="257">
        <v>0</v>
      </c>
      <c r="DL478" s="257" t="s">
        <v>180</v>
      </c>
      <c r="DM478" s="257">
        <v>0</v>
      </c>
      <c r="DN478" s="257">
        <v>0</v>
      </c>
      <c r="DO478" s="257">
        <v>0</v>
      </c>
      <c r="DP478" s="276">
        <v>0</v>
      </c>
      <c r="DQ478" s="276">
        <v>0</v>
      </c>
      <c r="DR478" s="276">
        <v>0</v>
      </c>
      <c r="DS478" s="276">
        <v>0</v>
      </c>
      <c r="DT478" s="257">
        <v>0</v>
      </c>
      <c r="DU478" s="276" t="s">
        <v>962</v>
      </c>
      <c r="DV478" s="276">
        <v>1</v>
      </c>
      <c r="DW478" s="276">
        <v>1</v>
      </c>
      <c r="DX478" s="276">
        <v>1</v>
      </c>
      <c r="DY478" s="276">
        <v>0</v>
      </c>
      <c r="DZ478" s="257">
        <v>0</v>
      </c>
      <c r="EA478" s="276">
        <v>0</v>
      </c>
      <c r="EB478" s="276">
        <v>1</v>
      </c>
      <c r="EC478" s="276">
        <v>1</v>
      </c>
      <c r="ED478" s="276">
        <v>0</v>
      </c>
      <c r="EE478" s="276">
        <v>0</v>
      </c>
      <c r="EF478" s="257">
        <v>1</v>
      </c>
      <c r="EG478" s="276">
        <v>0</v>
      </c>
      <c r="EH478" s="257">
        <v>0</v>
      </c>
      <c r="EI478" s="258">
        <v>0</v>
      </c>
      <c r="EJ478" s="256"/>
      <c r="EK478" t="str">
        <f>IF(AND(AND(AND(OR($DX478=1,$DW478=1),OR($EC478=1,$EA478=1)),SUM($DV478:$DZ478,$EF478)&gt;=4),SUM($EA478:$EE478)&gt;=2),"Whole sector","")</f>
        <v>Whole sector</v>
      </c>
      <c r="EL478" t="str">
        <f>IF(AND(AND(OR($DX478=1,$DW478=1),AND($EC478=0,$EA478=0)),SUM($DV478:$DZ478,$EF478)&gt;=4),"Ecosystem approach","")</f>
        <v/>
      </c>
      <c r="EM478" s="258" t="s">
        <v>544</v>
      </c>
      <c r="EN478" s="257" t="s">
        <v>236</v>
      </c>
      <c r="EO478" s="257"/>
      <c r="EP478" t="str">
        <f>IF(ISNUMBER(BU478),IF(ABS(BU478-[2]QC_indicators!$B$2)&gt;3*[2]QC_indicators!$C$2,"C ratio",IF(ISNUMBER(BY478),IF(ABS(BY478-[2]QC_indicators!$B$1)&gt;3*[2]QC_indicators!$C$1,"DF","no"))),IF(ISNUMBER(BY478),IF(ABS(BY478-[2]QC_indicators!$B$1)&gt;3*[2]QC_indicators!$C$1,"DF","no")))</f>
        <v>no</v>
      </c>
      <c r="EQ478" s="257"/>
      <c r="ER478" s="257"/>
    </row>
    <row r="479" spans="1:149" ht="15" customHeight="1">
      <c r="A479" s="256" t="s">
        <v>214</v>
      </c>
      <c r="B479" s="257" t="s">
        <v>215</v>
      </c>
      <c r="C479" s="257" t="s">
        <v>216</v>
      </c>
      <c r="D479" s="257" t="s">
        <v>217</v>
      </c>
      <c r="E479" s="257" t="s">
        <v>218</v>
      </c>
      <c r="F479" s="257" t="s">
        <v>219</v>
      </c>
      <c r="G479" s="257" t="s">
        <v>220</v>
      </c>
      <c r="H479" s="257"/>
      <c r="I479" s="257">
        <v>2012</v>
      </c>
      <c r="J479" s="257"/>
      <c r="K479" s="257" t="s">
        <v>221</v>
      </c>
      <c r="L479" s="257"/>
      <c r="M479" s="257" t="s">
        <v>3070</v>
      </c>
      <c r="N479" s="257" t="s">
        <v>222</v>
      </c>
      <c r="O479" s="275" t="s">
        <v>223</v>
      </c>
      <c r="P479" s="257"/>
      <c r="Q479" s="257" t="s">
        <v>224</v>
      </c>
      <c r="R479" s="258" t="s">
        <v>225</v>
      </c>
      <c r="S479" s="256" t="s">
        <v>226</v>
      </c>
      <c r="T479" s="257" t="s">
        <v>228</v>
      </c>
      <c r="U479" s="257" t="s">
        <v>239</v>
      </c>
      <c r="V479" s="257">
        <v>0</v>
      </c>
      <c r="W479" s="257">
        <v>0</v>
      </c>
      <c r="X479" s="257">
        <v>0</v>
      </c>
      <c r="Y479" s="257">
        <v>1</v>
      </c>
      <c r="Z479" s="257">
        <v>0</v>
      </c>
      <c r="AA479" s="257">
        <v>0</v>
      </c>
      <c r="AB479" s="257">
        <v>0</v>
      </c>
      <c r="AC479" s="257">
        <v>0</v>
      </c>
      <c r="AD479" s="257">
        <v>0</v>
      </c>
      <c r="AE479" s="257">
        <v>0</v>
      </c>
      <c r="AF479" s="257">
        <v>0</v>
      </c>
      <c r="AG479" s="257">
        <v>0</v>
      </c>
      <c r="AH479" s="257">
        <v>0</v>
      </c>
      <c r="AI479" s="257">
        <v>0</v>
      </c>
      <c r="AJ479" s="257">
        <v>0</v>
      </c>
      <c r="AK479" s="257">
        <v>0</v>
      </c>
      <c r="AL479" s="257">
        <v>0</v>
      </c>
      <c r="AM479" s="257">
        <v>0</v>
      </c>
      <c r="AN479" s="257">
        <v>0</v>
      </c>
      <c r="AO479" s="257">
        <v>0</v>
      </c>
      <c r="AP479" s="257">
        <v>0</v>
      </c>
      <c r="AQ479" s="257">
        <v>0</v>
      </c>
      <c r="AR479" s="257">
        <v>0</v>
      </c>
      <c r="AS479" s="257">
        <v>0</v>
      </c>
      <c r="AT479" s="257">
        <v>0</v>
      </c>
      <c r="AU479" s="257">
        <v>0</v>
      </c>
      <c r="AV479" s="257">
        <v>0</v>
      </c>
      <c r="AW479" s="257">
        <v>0</v>
      </c>
      <c r="AX479" s="277">
        <v>1</v>
      </c>
      <c r="AY479" s="277">
        <v>1</v>
      </c>
      <c r="AZ479" s="257">
        <v>1</v>
      </c>
      <c r="BA479" s="257">
        <v>0</v>
      </c>
      <c r="BB479" s="257">
        <v>0</v>
      </c>
      <c r="BC479" s="257">
        <v>0</v>
      </c>
      <c r="BD479" s="257">
        <v>0</v>
      </c>
      <c r="BE479" s="257" t="s">
        <v>91</v>
      </c>
      <c r="BF479" s="2" t="str" cm="1">
        <f t="array" ref="BF479">IF(COUNTIF(AZ479:BB479,"&lt;&gt;0")=1,INDEX($V$4:$AW$4,MATCH(TRUE,INDEX($V479:$AW479&lt;&gt;0,),0)),IF(COUNTIF(AZ479:BB479,"&lt;&gt;0")=0,INDEX($AM$4:$AW$4,MATCH(1,$AM479:$AW479,0)),"Multiple strategies"))</f>
        <v>Silviculture for removals</v>
      </c>
      <c r="BG479" s="278" t="s">
        <v>229</v>
      </c>
      <c r="BH479" s="257" t="s">
        <v>230</v>
      </c>
      <c r="BI479" s="279" t="s">
        <v>3071</v>
      </c>
      <c r="BJ479" s="276" t="s">
        <v>231</v>
      </c>
      <c r="BK479" s="257">
        <v>49.052379729999998</v>
      </c>
      <c r="BL479" s="257">
        <v>66.639750489999997</v>
      </c>
      <c r="BM479" s="276">
        <v>0.73608288400420752</v>
      </c>
      <c r="BN479" s="257">
        <v>17.587370759999999</v>
      </c>
      <c r="BO479" s="276">
        <v>35.892593387755099</v>
      </c>
      <c r="BP479" s="276" t="s">
        <v>232</v>
      </c>
      <c r="BQ479" s="279" t="s">
        <v>3071</v>
      </c>
      <c r="BR479" s="276" t="s">
        <v>233</v>
      </c>
      <c r="BS479" s="257">
        <v>-9.7349397589999995</v>
      </c>
      <c r="BT479" s="257">
        <v>-9.4136546180000007</v>
      </c>
      <c r="BU479" s="259">
        <v>0.96699669962487755</v>
      </c>
      <c r="BV479" s="257">
        <v>0.32128514099999883</v>
      </c>
      <c r="BW479" s="257"/>
      <c r="BX479" s="257">
        <v>3.2128514099999882E-4</v>
      </c>
      <c r="BY479" s="257">
        <v>8.9512935866486184E-6</v>
      </c>
      <c r="BZ479" s="257">
        <v>0</v>
      </c>
      <c r="CA479" s="257">
        <v>0</v>
      </c>
      <c r="CB479" s="257">
        <v>0</v>
      </c>
      <c r="CC479" s="257">
        <v>0</v>
      </c>
      <c r="CD479" s="257">
        <v>0</v>
      </c>
      <c r="CE479" s="257">
        <v>0</v>
      </c>
      <c r="CF479" s="257">
        <v>0</v>
      </c>
      <c r="CG479" s="257">
        <v>0</v>
      </c>
      <c r="CH479" s="257">
        <v>0</v>
      </c>
      <c r="CI479" s="257">
        <v>0</v>
      </c>
      <c r="CJ479" s="257">
        <v>0</v>
      </c>
      <c r="CK479" s="257">
        <v>0</v>
      </c>
      <c r="CL479" s="257">
        <v>0</v>
      </c>
      <c r="CM479" s="257">
        <v>0</v>
      </c>
      <c r="CN479" s="257" t="s">
        <v>3072</v>
      </c>
      <c r="CO479" s="257">
        <v>49.052379729999998</v>
      </c>
      <c r="CP479" s="257">
        <v>66.639750489999997</v>
      </c>
      <c r="CQ479" s="257">
        <v>35.892593387755099</v>
      </c>
      <c r="CR479" s="257">
        <v>-9.7349397589999995</v>
      </c>
      <c r="CS479" s="257">
        <v>-9.4136546180000007</v>
      </c>
      <c r="CT479" s="257">
        <v>3.2128514099999882E-4</v>
      </c>
      <c r="CU479" s="257">
        <v>8.9512935866486184E-6</v>
      </c>
      <c r="CV479" s="258">
        <v>3.3003300375122419E-2</v>
      </c>
      <c r="CW479" s="256" t="s">
        <v>234</v>
      </c>
      <c r="CX479" s="257" t="s">
        <v>3073</v>
      </c>
      <c r="CY479" s="257" t="s">
        <v>235</v>
      </c>
      <c r="CZ479" s="257"/>
      <c r="DA479" s="276"/>
      <c r="DB479" s="276">
        <v>80</v>
      </c>
      <c r="DC479" s="257" t="s">
        <v>3074</v>
      </c>
      <c r="DD479" s="257">
        <v>0</v>
      </c>
      <c r="DE479" s="257">
        <v>1</v>
      </c>
      <c r="DF479" s="257">
        <v>0</v>
      </c>
      <c r="DG479" s="257">
        <v>0</v>
      </c>
      <c r="DH479" s="257"/>
      <c r="DI479" s="257">
        <v>1</v>
      </c>
      <c r="DJ479" s="257" t="s">
        <v>173</v>
      </c>
      <c r="DK479" s="257">
        <v>0</v>
      </c>
      <c r="DL479" s="257" t="s">
        <v>180</v>
      </c>
      <c r="DM479" s="257">
        <v>0</v>
      </c>
      <c r="DN479" s="257">
        <v>0</v>
      </c>
      <c r="DO479" s="257">
        <v>0</v>
      </c>
      <c r="DP479" s="276">
        <v>0</v>
      </c>
      <c r="DQ479" s="276">
        <v>0</v>
      </c>
      <c r="DR479" s="276">
        <v>0</v>
      </c>
      <c r="DS479" s="276">
        <v>0</v>
      </c>
      <c r="DT479" s="257">
        <v>0</v>
      </c>
      <c r="DU479" s="276" t="s">
        <v>962</v>
      </c>
      <c r="DV479" s="276">
        <v>1</v>
      </c>
      <c r="DW479" s="276">
        <v>1</v>
      </c>
      <c r="DX479" s="276">
        <v>1</v>
      </c>
      <c r="DY479" s="276">
        <v>0</v>
      </c>
      <c r="DZ479" s="257">
        <v>0</v>
      </c>
      <c r="EA479" s="276">
        <v>0</v>
      </c>
      <c r="EB479" s="276">
        <v>1</v>
      </c>
      <c r="EC479" s="276">
        <v>1</v>
      </c>
      <c r="ED479" s="276">
        <v>0</v>
      </c>
      <c r="EE479" s="276">
        <v>0</v>
      </c>
      <c r="EF479" s="257">
        <v>1</v>
      </c>
      <c r="EG479" s="276">
        <v>0</v>
      </c>
      <c r="EH479" s="257">
        <v>0</v>
      </c>
      <c r="EI479" s="258">
        <v>0</v>
      </c>
      <c r="EJ479" s="256"/>
      <c r="EK479" t="str">
        <f>IF(AND(AND(AND(OR($DX479=1,$DW479=1),OR($EC479=1,$EA479=1)),SUM($DV479:$DZ479,$EF479)&gt;=4),SUM($EA479:$EE479)&gt;=2),"Whole sector","")</f>
        <v>Whole sector</v>
      </c>
      <c r="EL479" t="str">
        <f>IF(AND(AND(OR($DX479=1,$DW479=1),AND($EC479=0,$EA479=0)),SUM($DV479:$DZ479,$EF479)&gt;=4),"Ecosystem approach","")</f>
        <v/>
      </c>
      <c r="EM479" s="258" t="s">
        <v>544</v>
      </c>
      <c r="EN479" s="257" t="s">
        <v>236</v>
      </c>
      <c r="EO479" s="257"/>
      <c r="EP479" t="str">
        <f>IF(ISNUMBER(BU479),IF(ABS(BU479-[2]QC_indicators!$B$2)&gt;3*[2]QC_indicators!$C$2,"C ratio",IF(ISNUMBER(BY479),IF(ABS(BY479-[2]QC_indicators!$B$1)&gt;3*[2]QC_indicators!$C$1,"DF","no"))),IF(ISNUMBER(BY479),IF(ABS(BY479-[2]QC_indicators!$B$1)&gt;3*[2]QC_indicators!$C$1,"DF","no")))</f>
        <v>no</v>
      </c>
      <c r="EQ479" s="280"/>
      <c r="ER479" s="280"/>
      <c r="ES479" s="280"/>
    </row>
    <row r="480" spans="1:149" ht="15" customHeight="1">
      <c r="A480" s="256" t="s">
        <v>214</v>
      </c>
      <c r="B480" s="257" t="s">
        <v>215</v>
      </c>
      <c r="C480" s="257" t="s">
        <v>216</v>
      </c>
      <c r="D480" s="257" t="s">
        <v>217</v>
      </c>
      <c r="E480" s="257" t="s">
        <v>218</v>
      </c>
      <c r="F480" s="257" t="s">
        <v>219</v>
      </c>
      <c r="G480" s="257" t="s">
        <v>220</v>
      </c>
      <c r="H480" s="257"/>
      <c r="I480" s="257">
        <v>2012</v>
      </c>
      <c r="J480" s="257"/>
      <c r="K480" s="257" t="s">
        <v>221</v>
      </c>
      <c r="L480" s="257"/>
      <c r="M480" s="257" t="s">
        <v>3070</v>
      </c>
      <c r="N480" s="257" t="s">
        <v>222</v>
      </c>
      <c r="O480" s="275" t="s">
        <v>223</v>
      </c>
      <c r="P480" s="257"/>
      <c r="Q480" s="257" t="s">
        <v>224</v>
      </c>
      <c r="R480" s="258" t="s">
        <v>225</v>
      </c>
      <c r="S480" s="256" t="s">
        <v>241</v>
      </c>
      <c r="T480" s="257" t="s">
        <v>244</v>
      </c>
      <c r="U480" s="276" t="s">
        <v>242</v>
      </c>
      <c r="V480" s="257">
        <v>0</v>
      </c>
      <c r="W480" s="257">
        <v>0</v>
      </c>
      <c r="X480" s="257">
        <v>0</v>
      </c>
      <c r="Y480" s="257">
        <v>0</v>
      </c>
      <c r="Z480" s="257">
        <v>0</v>
      </c>
      <c r="AA480" s="257">
        <v>0</v>
      </c>
      <c r="AB480" s="257">
        <v>0</v>
      </c>
      <c r="AC480" s="257">
        <v>1</v>
      </c>
      <c r="AD480" s="257">
        <v>0</v>
      </c>
      <c r="AE480" s="257">
        <v>0</v>
      </c>
      <c r="AF480" s="257">
        <v>0</v>
      </c>
      <c r="AG480" s="257">
        <v>0</v>
      </c>
      <c r="AH480" s="257">
        <v>0</v>
      </c>
      <c r="AI480" s="257">
        <v>0</v>
      </c>
      <c r="AJ480" s="257">
        <v>0</v>
      </c>
      <c r="AK480" s="257">
        <v>0</v>
      </c>
      <c r="AL480" s="257">
        <v>0</v>
      </c>
      <c r="AM480" s="257">
        <v>0</v>
      </c>
      <c r="AN480" s="257">
        <v>0</v>
      </c>
      <c r="AO480" s="257">
        <v>0</v>
      </c>
      <c r="AP480" s="257">
        <v>0</v>
      </c>
      <c r="AQ480" s="257">
        <v>0</v>
      </c>
      <c r="AR480" s="257">
        <v>0</v>
      </c>
      <c r="AS480" s="257">
        <v>0</v>
      </c>
      <c r="AT480" s="257">
        <v>0</v>
      </c>
      <c r="AU480" s="257">
        <v>0</v>
      </c>
      <c r="AV480" s="257">
        <v>0</v>
      </c>
      <c r="AW480" s="257">
        <v>0</v>
      </c>
      <c r="AX480" s="277">
        <v>1</v>
      </c>
      <c r="AY480" s="277">
        <v>1</v>
      </c>
      <c r="AZ480" s="257">
        <v>1</v>
      </c>
      <c r="BA480" s="257">
        <v>0</v>
      </c>
      <c r="BB480" s="257">
        <v>0</v>
      </c>
      <c r="BC480" s="257">
        <v>0</v>
      </c>
      <c r="BD480" s="257">
        <v>0</v>
      </c>
      <c r="BE480" s="257" t="s">
        <v>95</v>
      </c>
      <c r="BF480" s="2" t="str" cm="1">
        <f t="array" ref="BF480">IF(COUNTIF(AZ480:BB480,"&lt;&gt;0")=1,INDEX($V$4:$AW$4,MATCH(TRUE,INDEX($V480:$AW480&lt;&gt;0,),0)),IF(COUNTIF(AZ480:BB480,"&lt;&gt;0")=0,INDEX($AM$4:$AW$4,MATCH(1,$AM480:$AW480,0)),"Multiple strategies"))</f>
        <v>Silviculture for productivity</v>
      </c>
      <c r="BG480" s="278" t="s">
        <v>229</v>
      </c>
      <c r="BH480" s="257" t="s">
        <v>230</v>
      </c>
      <c r="BI480" s="279" t="s">
        <v>3071</v>
      </c>
      <c r="BJ480" s="276" t="s">
        <v>231</v>
      </c>
      <c r="BK480" s="257">
        <v>54.398789616180899</v>
      </c>
      <c r="BL480" s="257">
        <v>68.641374006664904</v>
      </c>
      <c r="BM480" s="276">
        <v>1.2618180384338469</v>
      </c>
      <c r="BN480" s="257">
        <v>14.242584390484005</v>
      </c>
      <c r="BO480" s="276">
        <v>29.066498756089807</v>
      </c>
      <c r="BP480" s="276" t="s">
        <v>232</v>
      </c>
      <c r="BQ480" s="279" t="s">
        <v>3071</v>
      </c>
      <c r="BR480" s="276" t="s">
        <v>233</v>
      </c>
      <c r="BS480" s="257">
        <v>-9.1923873228220998</v>
      </c>
      <c r="BT480" s="257">
        <v>-8.9317269076305195</v>
      </c>
      <c r="BU480" s="259">
        <v>0.97164388248258049</v>
      </c>
      <c r="BV480" s="257">
        <v>0.26066041519158034</v>
      </c>
      <c r="BW480" s="257"/>
      <c r="BX480" s="257">
        <v>2.6066041519158035E-4</v>
      </c>
      <c r="BY480" s="257">
        <v>8.9677266387981676E-6</v>
      </c>
      <c r="BZ480" s="257">
        <v>0</v>
      </c>
      <c r="CA480" s="257">
        <v>0</v>
      </c>
      <c r="CB480" s="257">
        <v>0</v>
      </c>
      <c r="CC480" s="257">
        <v>0</v>
      </c>
      <c r="CD480" s="257">
        <v>0</v>
      </c>
      <c r="CE480" s="257">
        <v>0</v>
      </c>
      <c r="CF480" s="257">
        <v>0</v>
      </c>
      <c r="CG480" s="257">
        <v>0</v>
      </c>
      <c r="CH480" s="257">
        <v>0</v>
      </c>
      <c r="CI480" s="257">
        <v>0</v>
      </c>
      <c r="CJ480" s="257">
        <v>0</v>
      </c>
      <c r="CK480" s="257">
        <v>0</v>
      </c>
      <c r="CL480" s="257">
        <v>0</v>
      </c>
      <c r="CM480" s="257">
        <v>0</v>
      </c>
      <c r="CN480" s="257" t="s">
        <v>3072</v>
      </c>
      <c r="CO480" s="257">
        <v>54.398789616180899</v>
      </c>
      <c r="CP480" s="257">
        <v>68.641374006664904</v>
      </c>
      <c r="CQ480" s="257">
        <v>29.066498756089807</v>
      </c>
      <c r="CR480" s="257">
        <v>-9.1923873228220998</v>
      </c>
      <c r="CS480" s="257">
        <v>-8.9317269076305195</v>
      </c>
      <c r="CT480" s="257">
        <v>2.6066041519158035E-4</v>
      </c>
      <c r="CU480" s="257">
        <v>8.9677266387981676E-6</v>
      </c>
      <c r="CV480" s="258">
        <v>2.8356117517419462E-2</v>
      </c>
      <c r="CW480" s="256" t="s">
        <v>234</v>
      </c>
      <c r="CX480" s="257" t="s">
        <v>3073</v>
      </c>
      <c r="CY480" s="257" t="s">
        <v>235</v>
      </c>
      <c r="CZ480" s="257"/>
      <c r="DA480" s="276"/>
      <c r="DB480" s="276">
        <v>80</v>
      </c>
      <c r="DC480" s="257" t="s">
        <v>3074</v>
      </c>
      <c r="DD480" s="257">
        <v>0</v>
      </c>
      <c r="DE480" s="257">
        <v>1</v>
      </c>
      <c r="DF480" s="257">
        <v>0</v>
      </c>
      <c r="DG480" s="257">
        <v>0</v>
      </c>
      <c r="DH480" s="257"/>
      <c r="DI480" s="257">
        <v>1</v>
      </c>
      <c r="DJ480" s="257" t="s">
        <v>173</v>
      </c>
      <c r="DK480" s="257">
        <v>0</v>
      </c>
      <c r="DL480" s="257" t="s">
        <v>180</v>
      </c>
      <c r="DM480" s="257">
        <v>0</v>
      </c>
      <c r="DN480" s="257">
        <v>0</v>
      </c>
      <c r="DO480" s="257">
        <v>0</v>
      </c>
      <c r="DP480" s="276">
        <v>0</v>
      </c>
      <c r="DQ480" s="276">
        <v>0</v>
      </c>
      <c r="DR480" s="276">
        <v>0</v>
      </c>
      <c r="DS480" s="276">
        <v>0</v>
      </c>
      <c r="DT480" s="257">
        <v>0</v>
      </c>
      <c r="DU480" s="276" t="s">
        <v>962</v>
      </c>
      <c r="DV480" s="276">
        <v>1</v>
      </c>
      <c r="DW480" s="276">
        <v>1</v>
      </c>
      <c r="DX480" s="276">
        <v>1</v>
      </c>
      <c r="DY480" s="276">
        <v>0</v>
      </c>
      <c r="DZ480" s="257">
        <v>0</v>
      </c>
      <c r="EA480" s="276">
        <v>0</v>
      </c>
      <c r="EB480" s="276">
        <v>1</v>
      </c>
      <c r="EC480" s="276">
        <v>1</v>
      </c>
      <c r="ED480" s="276">
        <v>0</v>
      </c>
      <c r="EE480" s="276">
        <v>0</v>
      </c>
      <c r="EF480" s="257">
        <v>1</v>
      </c>
      <c r="EG480" s="276">
        <v>0</v>
      </c>
      <c r="EH480" s="257">
        <v>0</v>
      </c>
      <c r="EI480" s="258">
        <v>0</v>
      </c>
      <c r="EJ480" s="256"/>
      <c r="EK480" t="str">
        <f>IF(AND(AND(AND(OR($DX480=1,$DW480=1),OR($EC480=1,$EA480=1)),SUM($DV480:$DZ480,$EF480)&gt;=4),SUM($EA480:$EE480)&gt;=2),"Whole sector","")</f>
        <v>Whole sector</v>
      </c>
      <c r="EL480" t="str">
        <f>IF(AND(AND(OR($DX480=1,$DW480=1),AND($EC480=0,$EA480=0)),SUM($DV480:$DZ480,$EF480)&gt;=4),"Ecosystem approach","")</f>
        <v/>
      </c>
      <c r="EM480" s="258" t="s">
        <v>544</v>
      </c>
      <c r="EN480" s="257" t="s">
        <v>236</v>
      </c>
      <c r="EO480" s="257"/>
      <c r="EP480" t="str">
        <f>IF(ISNUMBER(BU480),IF(ABS(BU480-[2]QC_indicators!$B$2)&gt;3*[2]QC_indicators!$C$2,"C ratio",IF(ISNUMBER(BY480),IF(ABS(BY480-[2]QC_indicators!$B$1)&gt;3*[2]QC_indicators!$C$1,"DF","no"))),IF(ISNUMBER(BY480),IF(ABS(BY480-[2]QC_indicators!$B$1)&gt;3*[2]QC_indicators!$C$1,"DF","no")))</f>
        <v>no</v>
      </c>
    </row>
    <row r="481" spans="1:150" ht="15" customHeight="1">
      <c r="A481" s="256" t="s">
        <v>214</v>
      </c>
      <c r="B481" s="257" t="s">
        <v>215</v>
      </c>
      <c r="C481" s="257" t="s">
        <v>216</v>
      </c>
      <c r="D481" s="257" t="s">
        <v>217</v>
      </c>
      <c r="E481" s="257" t="s">
        <v>218</v>
      </c>
      <c r="F481" s="257" t="s">
        <v>219</v>
      </c>
      <c r="G481" s="257" t="s">
        <v>220</v>
      </c>
      <c r="H481" s="257"/>
      <c r="I481" s="257">
        <v>2012</v>
      </c>
      <c r="J481" s="257"/>
      <c r="K481" s="257" t="s">
        <v>221</v>
      </c>
      <c r="L481" s="257"/>
      <c r="M481" s="257" t="s">
        <v>3070</v>
      </c>
      <c r="N481" s="257" t="s">
        <v>222</v>
      </c>
      <c r="O481" s="275" t="s">
        <v>223</v>
      </c>
      <c r="P481" s="257"/>
      <c r="Q481" s="257" t="s">
        <v>224</v>
      </c>
      <c r="R481" s="258" t="s">
        <v>225</v>
      </c>
      <c r="S481" s="256" t="s">
        <v>226</v>
      </c>
      <c r="T481" s="257" t="s">
        <v>228</v>
      </c>
      <c r="U481" s="257" t="s">
        <v>239</v>
      </c>
      <c r="V481" s="257">
        <v>0</v>
      </c>
      <c r="W481" s="257">
        <v>0</v>
      </c>
      <c r="X481" s="257">
        <v>0</v>
      </c>
      <c r="Y481" s="257">
        <v>1</v>
      </c>
      <c r="Z481" s="257">
        <v>0</v>
      </c>
      <c r="AA481" s="257">
        <v>0</v>
      </c>
      <c r="AB481" s="257">
        <v>0</v>
      </c>
      <c r="AC481" s="257">
        <v>0</v>
      </c>
      <c r="AD481" s="257">
        <v>0</v>
      </c>
      <c r="AE481" s="257">
        <v>0</v>
      </c>
      <c r="AF481" s="257">
        <v>0</v>
      </c>
      <c r="AG481" s="257">
        <v>0</v>
      </c>
      <c r="AH481" s="257">
        <v>0</v>
      </c>
      <c r="AI481" s="257">
        <v>0</v>
      </c>
      <c r="AJ481" s="257">
        <v>0</v>
      </c>
      <c r="AK481" s="257">
        <v>0</v>
      </c>
      <c r="AL481" s="257">
        <v>0</v>
      </c>
      <c r="AM481" s="257">
        <v>0</v>
      </c>
      <c r="AN481" s="257">
        <v>0</v>
      </c>
      <c r="AO481" s="257">
        <v>0</v>
      </c>
      <c r="AP481" s="257">
        <v>0</v>
      </c>
      <c r="AQ481" s="257">
        <v>0</v>
      </c>
      <c r="AR481" s="257">
        <v>0</v>
      </c>
      <c r="AS481" s="257">
        <v>0</v>
      </c>
      <c r="AT481" s="257">
        <v>0</v>
      </c>
      <c r="AU481" s="257">
        <v>0</v>
      </c>
      <c r="AV481" s="257">
        <v>0</v>
      </c>
      <c r="AW481" s="257">
        <v>0</v>
      </c>
      <c r="AX481" s="277">
        <v>1</v>
      </c>
      <c r="AY481" s="277">
        <v>1</v>
      </c>
      <c r="AZ481" s="257">
        <v>1</v>
      </c>
      <c r="BA481" s="257">
        <v>0</v>
      </c>
      <c r="BB481" s="257">
        <v>0</v>
      </c>
      <c r="BC481" s="257">
        <v>0</v>
      </c>
      <c r="BD481" s="257">
        <v>0</v>
      </c>
      <c r="BE481" s="257" t="s">
        <v>91</v>
      </c>
      <c r="BF481" s="2" t="str" cm="1">
        <f t="array" ref="BF481">IF(COUNTIF(AZ481:BB481,"&lt;&gt;0")=1,INDEX($V$4:$AW$4,MATCH(TRUE,INDEX($V481:$AW481&lt;&gt;0,),0)),IF(COUNTIF(AZ481:BB481,"&lt;&gt;0")=0,INDEX($AM$4:$AW$4,MATCH(1,$AM481:$AW481,0)),"Multiple strategies"))</f>
        <v>Silviculture for removals</v>
      </c>
      <c r="BG481" s="278" t="s">
        <v>229</v>
      </c>
      <c r="BH481" s="257" t="s">
        <v>230</v>
      </c>
      <c r="BI481" s="279" t="s">
        <v>3071</v>
      </c>
      <c r="BJ481" s="276" t="s">
        <v>231</v>
      </c>
      <c r="BK481" s="257">
        <v>81.736456810000007</v>
      </c>
      <c r="BL481" s="257">
        <v>100.5900439</v>
      </c>
      <c r="BM481" s="276">
        <v>0.81257004809797095</v>
      </c>
      <c r="BN481" s="257">
        <v>18.853587089999991</v>
      </c>
      <c r="BO481" s="276">
        <v>38.476708346938757</v>
      </c>
      <c r="BP481" s="276" t="s">
        <v>232</v>
      </c>
      <c r="BQ481" s="282" t="s">
        <v>2625</v>
      </c>
      <c r="BR481" s="276" t="s">
        <v>233</v>
      </c>
      <c r="BS481" s="257">
        <v>-12.163201559999999</v>
      </c>
      <c r="BT481" s="257">
        <v>-11.804099559999999</v>
      </c>
      <c r="BU481" s="259">
        <v>0.9704763586931795</v>
      </c>
      <c r="BV481" s="257">
        <v>0.35910200000000003</v>
      </c>
      <c r="BW481" s="257"/>
      <c r="BX481" s="257">
        <v>3.5910200000000003E-4</v>
      </c>
      <c r="BY481" s="257">
        <v>9.3329709174192014E-6</v>
      </c>
      <c r="BZ481" s="257">
        <v>0</v>
      </c>
      <c r="CA481" s="257">
        <v>0</v>
      </c>
      <c r="CB481" s="257">
        <v>0</v>
      </c>
      <c r="CC481" s="257">
        <v>0</v>
      </c>
      <c r="CD481" s="257">
        <v>0</v>
      </c>
      <c r="CE481" s="257">
        <v>0</v>
      </c>
      <c r="CF481" s="257">
        <v>0</v>
      </c>
      <c r="CG481" s="257">
        <v>0</v>
      </c>
      <c r="CH481" s="257">
        <v>0</v>
      </c>
      <c r="CI481" s="257">
        <v>0</v>
      </c>
      <c r="CJ481" s="257">
        <v>0</v>
      </c>
      <c r="CK481" s="257">
        <v>0</v>
      </c>
      <c r="CL481" s="257">
        <v>0</v>
      </c>
      <c r="CM481" s="257">
        <v>0</v>
      </c>
      <c r="CN481" s="257" t="s">
        <v>3072</v>
      </c>
      <c r="CO481" s="257">
        <v>81.736456810000007</v>
      </c>
      <c r="CP481" s="257">
        <v>100.5900439</v>
      </c>
      <c r="CQ481" s="257">
        <v>38.476708346938757</v>
      </c>
      <c r="CR481" s="257">
        <v>-12.163201559999999</v>
      </c>
      <c r="CS481" s="257">
        <v>-11.804099559999999</v>
      </c>
      <c r="CT481" s="257">
        <v>3.5910200000000003E-4</v>
      </c>
      <c r="CU481" s="257">
        <v>9.3329709174192014E-6</v>
      </c>
      <c r="CV481" s="258">
        <v>2.9523641306820541E-2</v>
      </c>
      <c r="CW481" s="256" t="s">
        <v>234</v>
      </c>
      <c r="CX481" s="257" t="s">
        <v>3073</v>
      </c>
      <c r="CY481" s="257" t="s">
        <v>235</v>
      </c>
      <c r="CZ481" s="257"/>
      <c r="DA481" s="276"/>
      <c r="DB481" s="276">
        <v>80</v>
      </c>
      <c r="DC481" s="257" t="s">
        <v>3074</v>
      </c>
      <c r="DD481" s="257">
        <v>0</v>
      </c>
      <c r="DE481" s="257">
        <v>1</v>
      </c>
      <c r="DF481" s="257">
        <v>0</v>
      </c>
      <c r="DG481" s="257">
        <v>0</v>
      </c>
      <c r="DH481" s="257"/>
      <c r="DI481" s="257">
        <v>1</v>
      </c>
      <c r="DJ481" s="257" t="s">
        <v>173</v>
      </c>
      <c r="DK481" s="257">
        <v>0</v>
      </c>
      <c r="DL481" s="257" t="s">
        <v>180</v>
      </c>
      <c r="DM481" s="257">
        <v>0</v>
      </c>
      <c r="DN481" s="257">
        <v>0</v>
      </c>
      <c r="DO481" s="257">
        <v>0</v>
      </c>
      <c r="DP481" s="276">
        <v>0</v>
      </c>
      <c r="DQ481" s="276">
        <v>0</v>
      </c>
      <c r="DR481" s="276">
        <v>0</v>
      </c>
      <c r="DS481" s="276">
        <v>0</v>
      </c>
      <c r="DT481" s="257">
        <v>0</v>
      </c>
      <c r="DU481" s="276" t="s">
        <v>962</v>
      </c>
      <c r="DV481" s="276">
        <v>1</v>
      </c>
      <c r="DW481" s="276">
        <v>1</v>
      </c>
      <c r="DX481" s="276">
        <v>1</v>
      </c>
      <c r="DY481" s="276">
        <v>0</v>
      </c>
      <c r="DZ481" s="257">
        <v>0</v>
      </c>
      <c r="EA481" s="276">
        <v>0</v>
      </c>
      <c r="EB481" s="276">
        <v>1</v>
      </c>
      <c r="EC481" s="276">
        <v>1</v>
      </c>
      <c r="ED481" s="276">
        <v>0</v>
      </c>
      <c r="EE481" s="276">
        <v>0</v>
      </c>
      <c r="EF481" s="257">
        <v>1</v>
      </c>
      <c r="EG481" s="276">
        <v>0</v>
      </c>
      <c r="EH481" s="257">
        <v>0</v>
      </c>
      <c r="EI481" s="258">
        <v>0</v>
      </c>
      <c r="EJ481" s="256"/>
      <c r="EK481" t="str">
        <f>IF(AND(AND(AND(OR($DX481=1,$DW481=1),OR($EC481=1,$EA481=1)),SUM($DV481:$DZ481,$EF481)&gt;=4),SUM($EA481:$EE481)&gt;=2),"Whole sector","")</f>
        <v>Whole sector</v>
      </c>
      <c r="EL481" t="str">
        <f>IF(AND(AND(OR($DX481=1,$DW481=1),AND($EC481=0,$EA481=0)),SUM($DV481:$DZ481,$EF481)&gt;=4),"Ecosystem approach","")</f>
        <v/>
      </c>
      <c r="EM481" s="258" t="s">
        <v>544</v>
      </c>
      <c r="EN481" s="257" t="s">
        <v>236</v>
      </c>
      <c r="EO481" s="257"/>
      <c r="EP481" t="str">
        <f>IF(ISNUMBER(BU481),IF(ABS(BU481-[2]QC_indicators!$B$2)&gt;3*[2]QC_indicators!$C$2,"C ratio",IF(ISNUMBER(BY481),IF(ABS(BY481-[2]QC_indicators!$B$1)&gt;3*[2]QC_indicators!$C$1,"DF","no"))),IF(ISNUMBER(BY481),IF(ABS(BY481-[2]QC_indicators!$B$1)&gt;3*[2]QC_indicators!$C$1,"DF","no")))</f>
        <v>no</v>
      </c>
      <c r="EQ481" s="280"/>
      <c r="ER481" s="280"/>
      <c r="ES481" s="280"/>
    </row>
    <row r="482" spans="1:150" ht="15" customHeight="1">
      <c r="A482" s="256" t="s">
        <v>214</v>
      </c>
      <c r="B482" s="257" t="s">
        <v>215</v>
      </c>
      <c r="C482" s="257" t="s">
        <v>216</v>
      </c>
      <c r="D482" s="257" t="s">
        <v>217</v>
      </c>
      <c r="E482" s="257" t="s">
        <v>218</v>
      </c>
      <c r="F482" s="257" t="s">
        <v>219</v>
      </c>
      <c r="G482" s="257" t="s">
        <v>220</v>
      </c>
      <c r="H482" s="257"/>
      <c r="I482" s="257">
        <v>2012</v>
      </c>
      <c r="J482" s="257"/>
      <c r="K482" s="257" t="s">
        <v>221</v>
      </c>
      <c r="L482" s="257"/>
      <c r="M482" s="257" t="s">
        <v>3070</v>
      </c>
      <c r="N482" s="257" t="s">
        <v>222</v>
      </c>
      <c r="O482" s="275" t="s">
        <v>223</v>
      </c>
      <c r="P482" s="257"/>
      <c r="Q482" s="257" t="s">
        <v>224</v>
      </c>
      <c r="R482" s="258" t="s">
        <v>225</v>
      </c>
      <c r="S482" s="256" t="s">
        <v>241</v>
      </c>
      <c r="T482" s="257" t="s">
        <v>244</v>
      </c>
      <c r="U482" s="276" t="s">
        <v>242</v>
      </c>
      <c r="V482" s="257">
        <v>0</v>
      </c>
      <c r="W482" s="257">
        <v>0</v>
      </c>
      <c r="X482" s="257">
        <v>0</v>
      </c>
      <c r="Y482" s="257">
        <v>0</v>
      </c>
      <c r="Z482" s="257">
        <v>0</v>
      </c>
      <c r="AA482" s="257">
        <v>0</v>
      </c>
      <c r="AB482" s="257">
        <v>0</v>
      </c>
      <c r="AC482" s="257">
        <v>1</v>
      </c>
      <c r="AD482" s="257">
        <v>0</v>
      </c>
      <c r="AE482" s="257">
        <v>0</v>
      </c>
      <c r="AF482" s="257">
        <v>0</v>
      </c>
      <c r="AG482" s="257">
        <v>0</v>
      </c>
      <c r="AH482" s="257">
        <v>0</v>
      </c>
      <c r="AI482" s="257">
        <v>0</v>
      </c>
      <c r="AJ482" s="257">
        <v>0</v>
      </c>
      <c r="AK482" s="257">
        <v>0</v>
      </c>
      <c r="AL482" s="257">
        <v>0</v>
      </c>
      <c r="AM482" s="257">
        <v>0</v>
      </c>
      <c r="AN482" s="257">
        <v>0</v>
      </c>
      <c r="AO482" s="257">
        <v>0</v>
      </c>
      <c r="AP482" s="257">
        <v>0</v>
      </c>
      <c r="AQ482" s="257">
        <v>0</v>
      </c>
      <c r="AR482" s="257">
        <v>0</v>
      </c>
      <c r="AS482" s="257">
        <v>0</v>
      </c>
      <c r="AT482" s="257">
        <v>0</v>
      </c>
      <c r="AU482" s="257">
        <v>0</v>
      </c>
      <c r="AV482" s="257">
        <v>0</v>
      </c>
      <c r="AW482" s="257">
        <v>0</v>
      </c>
      <c r="AX482" s="277">
        <v>1</v>
      </c>
      <c r="AY482" s="277">
        <v>1</v>
      </c>
      <c r="AZ482" s="257">
        <v>1</v>
      </c>
      <c r="BA482" s="257">
        <v>0</v>
      </c>
      <c r="BB482" s="257">
        <v>0</v>
      </c>
      <c r="BC482" s="257">
        <v>0</v>
      </c>
      <c r="BD482" s="257">
        <v>0</v>
      </c>
      <c r="BE482" s="257" t="s">
        <v>95</v>
      </c>
      <c r="BF482" s="2" t="str" cm="1">
        <f t="array" ref="BF482">IF(COUNTIF(AZ482:BB482,"&lt;&gt;0")=1,INDEX($V$4:$AW$4,MATCH(TRUE,INDEX($V482:$AW482&lt;&gt;0,),0)),IF(COUNTIF(AZ482:BB482,"&lt;&gt;0")=0,INDEX($AM$4:$AW$4,MATCH(1,$AM482:$AW482,0)),"Multiple strategies"))</f>
        <v>Silviculture for productivity</v>
      </c>
      <c r="BG482" s="278" t="s">
        <v>229</v>
      </c>
      <c r="BH482" s="257" t="s">
        <v>230</v>
      </c>
      <c r="BI482" s="279" t="s">
        <v>3071</v>
      </c>
      <c r="BJ482" s="276" t="s">
        <v>231</v>
      </c>
      <c r="BK482" s="257">
        <v>46.459096459096401</v>
      </c>
      <c r="BL482" s="257">
        <v>53.696488079979403</v>
      </c>
      <c r="BM482" s="276">
        <v>1.1557798616952217</v>
      </c>
      <c r="BN482" s="257">
        <v>7.2373916208830025</v>
      </c>
      <c r="BO482" s="276">
        <v>14.770186981393882</v>
      </c>
      <c r="BP482" s="276" t="s">
        <v>232</v>
      </c>
      <c r="BQ482" s="279" t="s">
        <v>3071</v>
      </c>
      <c r="BR482" s="276" t="s">
        <v>233</v>
      </c>
      <c r="BS482" s="257">
        <v>-9.5592716462281597</v>
      </c>
      <c r="BT482" s="257">
        <v>-9.4136546184738901</v>
      </c>
      <c r="BU482" s="259">
        <v>0.98476693275980642</v>
      </c>
      <c r="BV482" s="257">
        <v>0.14561702775426966</v>
      </c>
      <c r="BW482" s="257"/>
      <c r="BX482" s="257">
        <v>1.4561702775426965E-4</v>
      </c>
      <c r="BY482" s="257">
        <v>9.8588479575583257E-6</v>
      </c>
      <c r="BZ482" s="257">
        <v>0</v>
      </c>
      <c r="CA482" s="257">
        <v>0</v>
      </c>
      <c r="CB482" s="257">
        <v>0</v>
      </c>
      <c r="CC482" s="257">
        <v>0</v>
      </c>
      <c r="CD482" s="257">
        <v>0</v>
      </c>
      <c r="CE482" s="257">
        <v>0</v>
      </c>
      <c r="CF482" s="257">
        <v>0</v>
      </c>
      <c r="CG482" s="257">
        <v>0</v>
      </c>
      <c r="CH482" s="257">
        <v>0</v>
      </c>
      <c r="CI482" s="257">
        <v>0</v>
      </c>
      <c r="CJ482" s="257">
        <v>0</v>
      </c>
      <c r="CK482" s="257">
        <v>0</v>
      </c>
      <c r="CL482" s="257">
        <v>0</v>
      </c>
      <c r="CM482" s="257">
        <v>0</v>
      </c>
      <c r="CN482" s="257" t="s">
        <v>3072</v>
      </c>
      <c r="CO482" s="257">
        <v>46.459096459096401</v>
      </c>
      <c r="CP482" s="257">
        <v>53.696488079979403</v>
      </c>
      <c r="CQ482" s="257">
        <v>14.770186981393882</v>
      </c>
      <c r="CR482" s="257">
        <v>-9.5592716462281597</v>
      </c>
      <c r="CS482" s="257">
        <v>-9.4136546184738901</v>
      </c>
      <c r="CT482" s="257">
        <v>1.4561702775426965E-4</v>
      </c>
      <c r="CU482" s="257">
        <v>9.8588479575583257E-6</v>
      </c>
      <c r="CV482" s="258">
        <v>1.5233067240193594E-2</v>
      </c>
      <c r="CW482" s="256" t="s">
        <v>234</v>
      </c>
      <c r="CX482" s="257" t="s">
        <v>3073</v>
      </c>
      <c r="CY482" s="257" t="s">
        <v>235</v>
      </c>
      <c r="CZ482" s="257"/>
      <c r="DA482" s="276"/>
      <c r="DB482" s="276">
        <v>80</v>
      </c>
      <c r="DC482" s="257" t="s">
        <v>3074</v>
      </c>
      <c r="DD482" s="257">
        <v>0</v>
      </c>
      <c r="DE482" s="257">
        <v>1</v>
      </c>
      <c r="DF482" s="257">
        <v>0</v>
      </c>
      <c r="DG482" s="257">
        <v>0</v>
      </c>
      <c r="DH482" s="257"/>
      <c r="DI482" s="257">
        <v>1</v>
      </c>
      <c r="DJ482" s="257" t="s">
        <v>173</v>
      </c>
      <c r="DK482" s="257">
        <v>0</v>
      </c>
      <c r="DL482" s="257" t="s">
        <v>180</v>
      </c>
      <c r="DM482" s="257">
        <v>0</v>
      </c>
      <c r="DN482" s="257">
        <v>0</v>
      </c>
      <c r="DO482" s="257">
        <v>0</v>
      </c>
      <c r="DP482" s="276">
        <v>0</v>
      </c>
      <c r="DQ482" s="276">
        <v>0</v>
      </c>
      <c r="DR482" s="276">
        <v>0</v>
      </c>
      <c r="DS482" s="276">
        <v>0</v>
      </c>
      <c r="DT482" s="257">
        <v>0</v>
      </c>
      <c r="DU482" s="276" t="s">
        <v>962</v>
      </c>
      <c r="DV482" s="276">
        <v>1</v>
      </c>
      <c r="DW482" s="276">
        <v>1</v>
      </c>
      <c r="DX482" s="276">
        <v>1</v>
      </c>
      <c r="DY482" s="276">
        <v>0</v>
      </c>
      <c r="DZ482" s="257">
        <v>0</v>
      </c>
      <c r="EA482" s="276">
        <v>0</v>
      </c>
      <c r="EB482" s="276">
        <v>1</v>
      </c>
      <c r="EC482" s="276">
        <v>1</v>
      </c>
      <c r="ED482" s="276">
        <v>0</v>
      </c>
      <c r="EE482" s="276">
        <v>0</v>
      </c>
      <c r="EF482" s="257">
        <v>1</v>
      </c>
      <c r="EG482" s="276">
        <v>0</v>
      </c>
      <c r="EH482" s="257">
        <v>0</v>
      </c>
      <c r="EI482" s="258">
        <v>0</v>
      </c>
      <c r="EJ482" s="256"/>
      <c r="EK482" t="str">
        <f>IF(AND(AND(AND(OR($DX482=1,$DW482=1),OR($EC482=1,$EA482=1)),SUM($DV482:$DZ482,$EF482)&gt;=4),SUM($EA482:$EE482)&gt;=2),"Whole sector","")</f>
        <v>Whole sector</v>
      </c>
      <c r="EL482" t="str">
        <f>IF(AND(AND(OR($DX482=1,$DW482=1),AND($EC482=0,$EA482=0)),SUM($DV482:$DZ482,$EF482)&gt;=4),"Ecosystem approach","")</f>
        <v/>
      </c>
      <c r="EM482" s="258" t="s">
        <v>544</v>
      </c>
      <c r="EN482" s="257" t="s">
        <v>236</v>
      </c>
      <c r="EO482" s="257"/>
      <c r="EP482" t="str">
        <f>IF(ISNUMBER(BU482),IF(ABS(BU482-[2]QC_indicators!$B$2)&gt;3*[2]QC_indicators!$C$2,"C ratio",IF(ISNUMBER(BY482),IF(ABS(BY482-[2]QC_indicators!$B$1)&gt;3*[2]QC_indicators!$C$1,"DF","no"))),IF(ISNUMBER(BY482),IF(ABS(BY482-[2]QC_indicators!$B$1)&gt;3*[2]QC_indicators!$C$1,"DF","no")))</f>
        <v>no</v>
      </c>
    </row>
    <row r="483" spans="1:150" ht="15" customHeight="1">
      <c r="A483" s="256" t="s">
        <v>214</v>
      </c>
      <c r="B483" s="257" t="s">
        <v>215</v>
      </c>
      <c r="C483" s="257" t="s">
        <v>216</v>
      </c>
      <c r="D483" s="257" t="s">
        <v>217</v>
      </c>
      <c r="E483" s="257" t="s">
        <v>218</v>
      </c>
      <c r="F483" s="257" t="s">
        <v>219</v>
      </c>
      <c r="G483" s="257" t="s">
        <v>220</v>
      </c>
      <c r="H483" s="257"/>
      <c r="I483" s="257">
        <v>2012</v>
      </c>
      <c r="J483" s="257"/>
      <c r="K483" s="257" t="s">
        <v>221</v>
      </c>
      <c r="L483" s="257"/>
      <c r="M483" s="257" t="s">
        <v>3070</v>
      </c>
      <c r="N483" s="257" t="s">
        <v>222</v>
      </c>
      <c r="O483" s="275" t="s">
        <v>223</v>
      </c>
      <c r="P483" s="257"/>
      <c r="Q483" s="257" t="s">
        <v>224</v>
      </c>
      <c r="R483" s="258" t="s">
        <v>225</v>
      </c>
      <c r="S483" s="256" t="s">
        <v>241</v>
      </c>
      <c r="T483" s="257" t="s">
        <v>244</v>
      </c>
      <c r="U483" s="276" t="s">
        <v>242</v>
      </c>
      <c r="V483" s="257">
        <v>0</v>
      </c>
      <c r="W483" s="257">
        <v>0</v>
      </c>
      <c r="X483" s="257">
        <v>0</v>
      </c>
      <c r="Y483" s="257">
        <v>0</v>
      </c>
      <c r="Z483" s="257">
        <v>0</v>
      </c>
      <c r="AA483" s="257">
        <v>0</v>
      </c>
      <c r="AB483" s="257">
        <v>0</v>
      </c>
      <c r="AC483" s="257">
        <v>1</v>
      </c>
      <c r="AD483" s="257">
        <v>0</v>
      </c>
      <c r="AE483" s="257">
        <v>0</v>
      </c>
      <c r="AF483" s="257">
        <v>0</v>
      </c>
      <c r="AG483" s="257">
        <v>0</v>
      </c>
      <c r="AH483" s="257">
        <v>0</v>
      </c>
      <c r="AI483" s="257">
        <v>0</v>
      </c>
      <c r="AJ483" s="257">
        <v>0</v>
      </c>
      <c r="AK483" s="257">
        <v>0</v>
      </c>
      <c r="AL483" s="257">
        <v>0</v>
      </c>
      <c r="AM483" s="257">
        <v>0</v>
      </c>
      <c r="AN483" s="257">
        <v>0</v>
      </c>
      <c r="AO483" s="257">
        <v>0</v>
      </c>
      <c r="AP483" s="257">
        <v>0</v>
      </c>
      <c r="AQ483" s="257">
        <v>0</v>
      </c>
      <c r="AR483" s="257">
        <v>0</v>
      </c>
      <c r="AS483" s="257">
        <v>0</v>
      </c>
      <c r="AT483" s="257">
        <v>0</v>
      </c>
      <c r="AU483" s="257">
        <v>0</v>
      </c>
      <c r="AV483" s="257">
        <v>0</v>
      </c>
      <c r="AW483" s="257">
        <v>0</v>
      </c>
      <c r="AX483" s="277">
        <v>1</v>
      </c>
      <c r="AY483" s="277">
        <v>1</v>
      </c>
      <c r="AZ483" s="257">
        <v>1</v>
      </c>
      <c r="BA483" s="257">
        <v>0</v>
      </c>
      <c r="BB483" s="257">
        <v>0</v>
      </c>
      <c r="BC483" s="257">
        <v>0</v>
      </c>
      <c r="BD483" s="257">
        <v>0</v>
      </c>
      <c r="BE483" s="257" t="s">
        <v>95</v>
      </c>
      <c r="BF483" s="2" t="str" cm="1">
        <f t="array" ref="BF483">IF(COUNTIF(AZ483:BB483,"&lt;&gt;0")=1,INDEX($V$4:$AW$4,MATCH(TRUE,INDEX($V483:$AW483&lt;&gt;0,),0)),IF(COUNTIF(AZ483:BB483,"&lt;&gt;0")=0,INDEX($AM$4:$AW$4,MATCH(1,$AM483:$AW483,0)),"Multiple strategies"))</f>
        <v>Silviculture for productivity</v>
      </c>
      <c r="BG483" s="278" t="s">
        <v>229</v>
      </c>
      <c r="BH483" s="257" t="s">
        <v>230</v>
      </c>
      <c r="BI483" s="279" t="s">
        <v>3071</v>
      </c>
      <c r="BJ483" s="276" t="s">
        <v>231</v>
      </c>
      <c r="BK483" s="257">
        <v>47.845851491070597</v>
      </c>
      <c r="BL483" s="257">
        <v>62.093385434364002</v>
      </c>
      <c r="BM483" s="276">
        <v>1.2977799223816175</v>
      </c>
      <c r="BN483" s="257">
        <v>14.247533943293405</v>
      </c>
      <c r="BO483" s="276">
        <v>29.076599884272255</v>
      </c>
      <c r="BP483" s="276" t="s">
        <v>232</v>
      </c>
      <c r="BQ483" s="279" t="s">
        <v>3071</v>
      </c>
      <c r="BR483" s="276" t="s">
        <v>233</v>
      </c>
      <c r="BS483" s="257">
        <v>-9.0763052208835298</v>
      </c>
      <c r="BT483" s="257">
        <v>-8.77615419238683</v>
      </c>
      <c r="BU483" s="259">
        <v>0.96693026278952288</v>
      </c>
      <c r="BV483" s="257">
        <v>0.30015102849669972</v>
      </c>
      <c r="BW483" s="257"/>
      <c r="BX483" s="257">
        <v>3.001510284966997E-4</v>
      </c>
      <c r="BY483" s="257">
        <v>1.0322769157718938E-5</v>
      </c>
      <c r="BZ483" s="257">
        <v>0</v>
      </c>
      <c r="CA483" s="257">
        <v>0</v>
      </c>
      <c r="CB483" s="257">
        <v>0</v>
      </c>
      <c r="CC483" s="257">
        <v>0</v>
      </c>
      <c r="CD483" s="257">
        <v>0</v>
      </c>
      <c r="CE483" s="257">
        <v>0</v>
      </c>
      <c r="CF483" s="257">
        <v>0</v>
      </c>
      <c r="CG483" s="257">
        <v>0</v>
      </c>
      <c r="CH483" s="257">
        <v>0</v>
      </c>
      <c r="CI483" s="257">
        <v>0</v>
      </c>
      <c r="CJ483" s="257">
        <v>0</v>
      </c>
      <c r="CK483" s="257">
        <v>0</v>
      </c>
      <c r="CL483" s="257">
        <v>0</v>
      </c>
      <c r="CM483" s="257">
        <v>0</v>
      </c>
      <c r="CN483" s="257" t="s">
        <v>3072</v>
      </c>
      <c r="CO483" s="257">
        <v>47.845851491070597</v>
      </c>
      <c r="CP483" s="257">
        <v>62.093385434364002</v>
      </c>
      <c r="CQ483" s="257">
        <v>29.076599884272255</v>
      </c>
      <c r="CR483" s="257">
        <v>-9.0763052208835298</v>
      </c>
      <c r="CS483" s="257">
        <v>-8.77615419238683</v>
      </c>
      <c r="CT483" s="257">
        <v>3.001510284966997E-4</v>
      </c>
      <c r="CU483" s="257">
        <v>1.0322769157718938E-5</v>
      </c>
      <c r="CV483" s="258">
        <v>3.306973721047711E-2</v>
      </c>
      <c r="CW483" s="256" t="s">
        <v>234</v>
      </c>
      <c r="CX483" s="257" t="s">
        <v>3073</v>
      </c>
      <c r="CY483" s="257" t="s">
        <v>235</v>
      </c>
      <c r="CZ483" s="257"/>
      <c r="DA483" s="276"/>
      <c r="DB483" s="276">
        <v>80</v>
      </c>
      <c r="DC483" s="257" t="s">
        <v>3074</v>
      </c>
      <c r="DD483" s="257">
        <v>0</v>
      </c>
      <c r="DE483" s="257">
        <v>1</v>
      </c>
      <c r="DF483" s="257">
        <v>0</v>
      </c>
      <c r="DG483" s="257">
        <v>0</v>
      </c>
      <c r="DH483" s="257"/>
      <c r="DI483" s="257">
        <v>1</v>
      </c>
      <c r="DJ483" s="257" t="s">
        <v>173</v>
      </c>
      <c r="DK483" s="257">
        <v>0</v>
      </c>
      <c r="DL483" s="257" t="s">
        <v>180</v>
      </c>
      <c r="DM483" s="257">
        <v>0</v>
      </c>
      <c r="DN483" s="257">
        <v>0</v>
      </c>
      <c r="DO483" s="257">
        <v>0</v>
      </c>
      <c r="DP483" s="276">
        <v>0</v>
      </c>
      <c r="DQ483" s="276">
        <v>0</v>
      </c>
      <c r="DR483" s="276">
        <v>0</v>
      </c>
      <c r="DS483" s="276">
        <v>0</v>
      </c>
      <c r="DT483" s="257">
        <v>0</v>
      </c>
      <c r="DU483" s="276" t="s">
        <v>962</v>
      </c>
      <c r="DV483" s="276">
        <v>1</v>
      </c>
      <c r="DW483" s="276">
        <v>1</v>
      </c>
      <c r="DX483" s="276">
        <v>1</v>
      </c>
      <c r="DY483" s="276">
        <v>0</v>
      </c>
      <c r="DZ483" s="257">
        <v>0</v>
      </c>
      <c r="EA483" s="276">
        <v>0</v>
      </c>
      <c r="EB483" s="276">
        <v>1</v>
      </c>
      <c r="EC483" s="276">
        <v>1</v>
      </c>
      <c r="ED483" s="276">
        <v>0</v>
      </c>
      <c r="EE483" s="276">
        <v>0</v>
      </c>
      <c r="EF483" s="257">
        <v>1</v>
      </c>
      <c r="EG483" s="276">
        <v>0</v>
      </c>
      <c r="EH483" s="257">
        <v>0</v>
      </c>
      <c r="EI483" s="258">
        <v>0</v>
      </c>
      <c r="EJ483" s="256"/>
      <c r="EK483" t="str">
        <f>IF(AND(AND(AND(OR($DX483=1,$DW483=1),OR($EC483=1,$EA483=1)),SUM($DV483:$DZ483,$EF483)&gt;=4),SUM($EA483:$EE483)&gt;=2),"Whole sector","")</f>
        <v>Whole sector</v>
      </c>
      <c r="EL483" t="str">
        <f>IF(AND(AND(OR($DX483=1,$DW483=1),AND($EC483=0,$EA483=0)),SUM($DV483:$DZ483,$EF483)&gt;=4),"Ecosystem approach","")</f>
        <v/>
      </c>
      <c r="EM483" s="258" t="s">
        <v>544</v>
      </c>
      <c r="EN483" s="257" t="s">
        <v>236</v>
      </c>
      <c r="EO483" s="257"/>
      <c r="EP483" t="str">
        <f>IF(ISNUMBER(BU483),IF(ABS(BU483-[2]QC_indicators!$B$2)&gt;3*[2]QC_indicators!$C$2,"C ratio",IF(ISNUMBER(BY483),IF(ABS(BY483-[2]QC_indicators!$B$1)&gt;3*[2]QC_indicators!$C$1,"DF","no"))),IF(ISNUMBER(BY483),IF(ABS(BY483-[2]QC_indicators!$B$1)&gt;3*[2]QC_indicators!$C$1,"DF","no")))</f>
        <v>no</v>
      </c>
    </row>
    <row r="484" spans="1:150" ht="15" customHeight="1">
      <c r="A484" s="256" t="s">
        <v>214</v>
      </c>
      <c r="B484" s="257" t="s">
        <v>215</v>
      </c>
      <c r="C484" s="257" t="s">
        <v>216</v>
      </c>
      <c r="D484" s="257" t="s">
        <v>217</v>
      </c>
      <c r="E484" s="257" t="s">
        <v>218</v>
      </c>
      <c r="F484" s="257" t="s">
        <v>219</v>
      </c>
      <c r="G484" s="257" t="s">
        <v>220</v>
      </c>
      <c r="H484" s="257"/>
      <c r="I484" s="257">
        <v>2012</v>
      </c>
      <c r="J484" s="257"/>
      <c r="K484" s="257" t="s">
        <v>221</v>
      </c>
      <c r="L484" s="257"/>
      <c r="M484" s="257" t="s">
        <v>3070</v>
      </c>
      <c r="N484" s="257" t="s">
        <v>222</v>
      </c>
      <c r="O484" s="275" t="s">
        <v>223</v>
      </c>
      <c r="P484" s="257"/>
      <c r="Q484" s="257" t="s">
        <v>224</v>
      </c>
      <c r="R484" s="258" t="s">
        <v>225</v>
      </c>
      <c r="S484" s="256" t="s">
        <v>226</v>
      </c>
      <c r="T484" s="257" t="s">
        <v>228</v>
      </c>
      <c r="U484" s="257" t="s">
        <v>239</v>
      </c>
      <c r="V484" s="257">
        <v>0</v>
      </c>
      <c r="W484" s="257">
        <v>0</v>
      </c>
      <c r="X484" s="257">
        <v>0</v>
      </c>
      <c r="Y484" s="257">
        <v>1</v>
      </c>
      <c r="Z484" s="257">
        <v>0</v>
      </c>
      <c r="AA484" s="257">
        <v>0</v>
      </c>
      <c r="AB484" s="257">
        <v>0</v>
      </c>
      <c r="AC484" s="257">
        <v>0</v>
      </c>
      <c r="AD484" s="257">
        <v>0</v>
      </c>
      <c r="AE484" s="257">
        <v>0</v>
      </c>
      <c r="AF484" s="257">
        <v>0</v>
      </c>
      <c r="AG484" s="257">
        <v>0</v>
      </c>
      <c r="AH484" s="257">
        <v>0</v>
      </c>
      <c r="AI484" s="257">
        <v>0</v>
      </c>
      <c r="AJ484" s="257">
        <v>0</v>
      </c>
      <c r="AK484" s="257">
        <v>0</v>
      </c>
      <c r="AL484" s="257">
        <v>0</v>
      </c>
      <c r="AM484" s="257">
        <v>0</v>
      </c>
      <c r="AN484" s="257">
        <v>0</v>
      </c>
      <c r="AO484" s="257">
        <v>0</v>
      </c>
      <c r="AP484" s="257">
        <v>0</v>
      </c>
      <c r="AQ484" s="257">
        <v>0</v>
      </c>
      <c r="AR484" s="257">
        <v>0</v>
      </c>
      <c r="AS484" s="257">
        <v>0</v>
      </c>
      <c r="AT484" s="257">
        <v>0</v>
      </c>
      <c r="AU484" s="257">
        <v>0</v>
      </c>
      <c r="AV484" s="257">
        <v>0</v>
      </c>
      <c r="AW484" s="257">
        <v>0</v>
      </c>
      <c r="AX484" s="277">
        <v>1</v>
      </c>
      <c r="AY484" s="277">
        <v>1</v>
      </c>
      <c r="AZ484" s="257">
        <v>1</v>
      </c>
      <c r="BA484" s="257">
        <v>0</v>
      </c>
      <c r="BB484" s="257">
        <v>0</v>
      </c>
      <c r="BC484" s="257">
        <v>0</v>
      </c>
      <c r="BD484" s="257">
        <v>0</v>
      </c>
      <c r="BE484" s="257" t="s">
        <v>91</v>
      </c>
      <c r="BF484" s="2" t="str" cm="1">
        <f t="array" ref="BF484">IF(COUNTIF(AZ484:BB484,"&lt;&gt;0")=1,INDEX($V$4:$AW$4,MATCH(TRUE,INDEX($V484:$AW484&lt;&gt;0,),0)),IF(COUNTIF(AZ484:BB484,"&lt;&gt;0")=0,INDEX($AM$4:$AW$4,MATCH(1,$AM484:$AW484,0)),"Multiple strategies"))</f>
        <v>Silviculture for removals</v>
      </c>
      <c r="BG484" s="278" t="s">
        <v>229</v>
      </c>
      <c r="BH484" s="257" t="s">
        <v>230</v>
      </c>
      <c r="BI484" s="279" t="s">
        <v>3071</v>
      </c>
      <c r="BJ484" s="276" t="s">
        <v>231</v>
      </c>
      <c r="BK484" s="257">
        <v>43.296172429999999</v>
      </c>
      <c r="BL484" s="257">
        <v>56.739926740000001</v>
      </c>
      <c r="BM484" s="276">
        <v>0.76306359414943437</v>
      </c>
      <c r="BN484" s="257">
        <v>13.443754310000003</v>
      </c>
      <c r="BO484" s="276">
        <v>27.436233285714291</v>
      </c>
      <c r="BP484" s="276" t="s">
        <v>232</v>
      </c>
      <c r="BQ484" s="279" t="s">
        <v>3071</v>
      </c>
      <c r="BR484" s="276" t="s">
        <v>233</v>
      </c>
      <c r="BS484" s="257">
        <v>-9.8277857409999996</v>
      </c>
      <c r="BT484" s="257">
        <v>-9.5324096189999992</v>
      </c>
      <c r="BU484" s="259">
        <v>0.9699447943021654</v>
      </c>
      <c r="BV484" s="257">
        <v>0.29537612200000041</v>
      </c>
      <c r="BW484" s="257"/>
      <c r="BX484" s="257">
        <v>2.9537612200000041E-4</v>
      </c>
      <c r="BY484" s="257">
        <v>1.0765913779928351E-5</v>
      </c>
      <c r="BZ484" s="257">
        <v>0</v>
      </c>
      <c r="CA484" s="257">
        <v>0</v>
      </c>
      <c r="CB484" s="257">
        <v>0</v>
      </c>
      <c r="CC484" s="257">
        <v>0</v>
      </c>
      <c r="CD484" s="257">
        <v>0</v>
      </c>
      <c r="CE484" s="257">
        <v>0</v>
      </c>
      <c r="CF484" s="257">
        <v>0</v>
      </c>
      <c r="CG484" s="257">
        <v>0</v>
      </c>
      <c r="CH484" s="257">
        <v>0</v>
      </c>
      <c r="CI484" s="257">
        <v>0</v>
      </c>
      <c r="CJ484" s="257">
        <v>0</v>
      </c>
      <c r="CK484" s="257">
        <v>0</v>
      </c>
      <c r="CL484" s="257">
        <v>0</v>
      </c>
      <c r="CM484" s="257">
        <v>0</v>
      </c>
      <c r="CN484" s="257" t="s">
        <v>3072</v>
      </c>
      <c r="CO484" s="257">
        <v>43.296172429999999</v>
      </c>
      <c r="CP484" s="257">
        <v>56.739926740000001</v>
      </c>
      <c r="CQ484" s="257">
        <v>27.436233285714291</v>
      </c>
      <c r="CR484" s="257">
        <v>-9.8277857409999996</v>
      </c>
      <c r="CS484" s="257">
        <v>-9.5324096189999992</v>
      </c>
      <c r="CT484" s="257">
        <v>2.9537612200000041E-4</v>
      </c>
      <c r="CU484" s="257">
        <v>1.0765913779928351E-5</v>
      </c>
      <c r="CV484" s="258">
        <v>3.0055205697834559E-2</v>
      </c>
      <c r="CW484" s="256" t="s">
        <v>234</v>
      </c>
      <c r="CX484" s="257" t="s">
        <v>3073</v>
      </c>
      <c r="CY484" s="257" t="s">
        <v>235</v>
      </c>
      <c r="CZ484" s="257"/>
      <c r="DA484" s="276"/>
      <c r="DB484" s="276">
        <v>80</v>
      </c>
      <c r="DC484" s="257" t="s">
        <v>3074</v>
      </c>
      <c r="DD484" s="257">
        <v>0</v>
      </c>
      <c r="DE484" s="257">
        <v>1</v>
      </c>
      <c r="DF484" s="257">
        <v>0</v>
      </c>
      <c r="DG484" s="257">
        <v>0</v>
      </c>
      <c r="DH484" s="257"/>
      <c r="DI484" s="257">
        <v>1</v>
      </c>
      <c r="DJ484" s="257" t="s">
        <v>173</v>
      </c>
      <c r="DK484" s="257">
        <v>0</v>
      </c>
      <c r="DL484" s="257" t="s">
        <v>180</v>
      </c>
      <c r="DM484" s="257">
        <v>0</v>
      </c>
      <c r="DN484" s="257">
        <v>0</v>
      </c>
      <c r="DO484" s="257">
        <v>0</v>
      </c>
      <c r="DP484" s="276">
        <v>0</v>
      </c>
      <c r="DQ484" s="276">
        <v>0</v>
      </c>
      <c r="DR484" s="276">
        <v>0</v>
      </c>
      <c r="DS484" s="276">
        <v>0</v>
      </c>
      <c r="DT484" s="257">
        <v>0</v>
      </c>
      <c r="DU484" s="276" t="s">
        <v>962</v>
      </c>
      <c r="DV484" s="276">
        <v>1</v>
      </c>
      <c r="DW484" s="276">
        <v>1</v>
      </c>
      <c r="DX484" s="276">
        <v>1</v>
      </c>
      <c r="DY484" s="276">
        <v>0</v>
      </c>
      <c r="DZ484" s="257">
        <v>0</v>
      </c>
      <c r="EA484" s="276">
        <v>0</v>
      </c>
      <c r="EB484" s="276">
        <v>1</v>
      </c>
      <c r="EC484" s="276">
        <v>1</v>
      </c>
      <c r="ED484" s="276">
        <v>0</v>
      </c>
      <c r="EE484" s="276">
        <v>0</v>
      </c>
      <c r="EF484" s="257">
        <v>1</v>
      </c>
      <c r="EG484" s="276">
        <v>0</v>
      </c>
      <c r="EH484" s="257">
        <v>0</v>
      </c>
      <c r="EI484" s="258">
        <v>0</v>
      </c>
      <c r="EJ484" s="256"/>
      <c r="EK484" t="str">
        <f>IF(AND(AND(AND(OR($DX484=1,$DW484=1),OR($EC484=1,$EA484=1)),SUM($DV484:$DZ484,$EF484)&gt;=4),SUM($EA484:$EE484)&gt;=2),"Whole sector","")</f>
        <v>Whole sector</v>
      </c>
      <c r="EL484" t="str">
        <f>IF(AND(AND(OR($DX484=1,$DW484=1),AND($EC484=0,$EA484=0)),SUM($DV484:$DZ484,$EF484)&gt;=4),"Ecosystem approach","")</f>
        <v/>
      </c>
      <c r="EM484" s="258" t="s">
        <v>544</v>
      </c>
      <c r="EN484" s="257" t="s">
        <v>236</v>
      </c>
      <c r="EO484" s="257"/>
      <c r="EP484" t="str">
        <f>IF(ISNUMBER(BU484),IF(ABS(BU484-[2]QC_indicators!$B$2)&gt;3*[2]QC_indicators!$C$2,"C ratio",IF(ISNUMBER(BY484),IF(ABS(BY484-[2]QC_indicators!$B$1)&gt;3*[2]QC_indicators!$C$1,"DF","no"))),IF(ISNUMBER(BY484),IF(ABS(BY484-[2]QC_indicators!$B$1)&gt;3*[2]QC_indicators!$C$1,"DF","no")))</f>
        <v>no</v>
      </c>
      <c r="EQ484" s="280"/>
      <c r="ER484" s="280"/>
      <c r="ES484" s="280"/>
    </row>
    <row r="485" spans="1:150" ht="15" customHeight="1">
      <c r="A485" s="256" t="s">
        <v>214</v>
      </c>
      <c r="B485" s="257" t="s">
        <v>215</v>
      </c>
      <c r="C485" s="257" t="s">
        <v>216</v>
      </c>
      <c r="D485" s="257" t="s">
        <v>217</v>
      </c>
      <c r="E485" s="257" t="s">
        <v>218</v>
      </c>
      <c r="F485" s="257" t="s">
        <v>219</v>
      </c>
      <c r="G485" s="257" t="s">
        <v>220</v>
      </c>
      <c r="H485" s="257"/>
      <c r="I485" s="257">
        <v>2012</v>
      </c>
      <c r="J485" s="257"/>
      <c r="K485" s="257" t="s">
        <v>221</v>
      </c>
      <c r="L485" s="257"/>
      <c r="M485" s="257" t="s">
        <v>3070</v>
      </c>
      <c r="N485" s="257" t="s">
        <v>222</v>
      </c>
      <c r="O485" s="275" t="s">
        <v>223</v>
      </c>
      <c r="P485" s="257"/>
      <c r="Q485" s="257" t="s">
        <v>224</v>
      </c>
      <c r="R485" s="258" t="s">
        <v>225</v>
      </c>
      <c r="S485" s="256" t="s">
        <v>226</v>
      </c>
      <c r="T485" s="257" t="s">
        <v>228</v>
      </c>
      <c r="U485" s="257" t="s">
        <v>238</v>
      </c>
      <c r="V485" s="257">
        <v>0</v>
      </c>
      <c r="W485" s="257">
        <v>0</v>
      </c>
      <c r="X485" s="257">
        <v>0</v>
      </c>
      <c r="Y485" s="257">
        <v>1</v>
      </c>
      <c r="Z485" s="257">
        <v>0</v>
      </c>
      <c r="AA485" s="257">
        <v>0</v>
      </c>
      <c r="AB485" s="257">
        <v>0</v>
      </c>
      <c r="AC485" s="257">
        <v>0</v>
      </c>
      <c r="AD485" s="257">
        <v>0</v>
      </c>
      <c r="AE485" s="257">
        <v>0</v>
      </c>
      <c r="AF485" s="257">
        <v>0</v>
      </c>
      <c r="AG485" s="257">
        <v>0</v>
      </c>
      <c r="AH485" s="257">
        <v>0</v>
      </c>
      <c r="AI485" s="257">
        <v>0</v>
      </c>
      <c r="AJ485" s="257">
        <v>0</v>
      </c>
      <c r="AK485" s="257">
        <v>0</v>
      </c>
      <c r="AL485" s="257">
        <v>0</v>
      </c>
      <c r="AM485" s="257">
        <v>0</v>
      </c>
      <c r="AN485" s="257">
        <v>0</v>
      </c>
      <c r="AO485" s="257">
        <v>0</v>
      </c>
      <c r="AP485" s="257">
        <v>0</v>
      </c>
      <c r="AQ485" s="257">
        <v>0</v>
      </c>
      <c r="AR485" s="257">
        <v>0</v>
      </c>
      <c r="AS485" s="257">
        <v>0</v>
      </c>
      <c r="AT485" s="257">
        <v>0</v>
      </c>
      <c r="AU485" s="257">
        <v>0</v>
      </c>
      <c r="AV485" s="257">
        <v>0</v>
      </c>
      <c r="AW485" s="257">
        <v>0</v>
      </c>
      <c r="AX485" s="277">
        <v>1</v>
      </c>
      <c r="AY485" s="277">
        <v>1</v>
      </c>
      <c r="AZ485" s="257">
        <v>1</v>
      </c>
      <c r="BA485" s="257">
        <v>0</v>
      </c>
      <c r="BB485" s="257">
        <v>0</v>
      </c>
      <c r="BC485" s="257">
        <v>0</v>
      </c>
      <c r="BD485" s="257">
        <v>0</v>
      </c>
      <c r="BE485" s="257" t="s">
        <v>91</v>
      </c>
      <c r="BF485" s="2" t="str" cm="1">
        <f t="array" ref="BF485">IF(COUNTIF(AZ485:BB485,"&lt;&gt;0")=1,INDEX($V$4:$AW$4,MATCH(TRUE,INDEX($V485:$AW485&lt;&gt;0,),0)),IF(COUNTIF(AZ485:BB485,"&lt;&gt;0")=0,INDEX($AM$4:$AW$4,MATCH(1,$AM485:$AW485,0)),"Multiple strategies"))</f>
        <v>Silviculture for removals</v>
      </c>
      <c r="BG485" s="278" t="s">
        <v>229</v>
      </c>
      <c r="BH485" s="257" t="s">
        <v>230</v>
      </c>
      <c r="BI485" s="279" t="s">
        <v>3071</v>
      </c>
      <c r="BJ485" s="276" t="s">
        <v>231</v>
      </c>
      <c r="BK485" s="257">
        <v>48.643391100000002</v>
      </c>
      <c r="BL485" s="257">
        <v>58.199966019999998</v>
      </c>
      <c r="BM485" s="276">
        <v>0.8357975859175597</v>
      </c>
      <c r="BN485" s="257">
        <v>9.5565749199999956</v>
      </c>
      <c r="BO485" s="276">
        <v>19.50321412244897</v>
      </c>
      <c r="BP485" s="276" t="s">
        <v>232</v>
      </c>
      <c r="BQ485" s="279" t="s">
        <v>3071</v>
      </c>
      <c r="BR485" s="276" t="s">
        <v>233</v>
      </c>
      <c r="BS485" s="257">
        <v>-9.3488297330000005</v>
      </c>
      <c r="BT485" s="257">
        <v>-9.137844007</v>
      </c>
      <c r="BU485" s="259">
        <v>0.97743185703176816</v>
      </c>
      <c r="BV485" s="257">
        <v>0.21098572600000054</v>
      </c>
      <c r="BW485" s="257"/>
      <c r="BX485" s="257">
        <v>2.1098572600000053E-4</v>
      </c>
      <c r="BY485" s="257">
        <v>1.0817997724649274E-5</v>
      </c>
      <c r="BZ485" s="257">
        <v>0</v>
      </c>
      <c r="CA485" s="257">
        <v>0</v>
      </c>
      <c r="CB485" s="257">
        <v>0</v>
      </c>
      <c r="CC485" s="257">
        <v>0</v>
      </c>
      <c r="CD485" s="257">
        <v>0</v>
      </c>
      <c r="CE485" s="257">
        <v>0</v>
      </c>
      <c r="CF485" s="257">
        <v>0</v>
      </c>
      <c r="CG485" s="257">
        <v>0</v>
      </c>
      <c r="CH485" s="257">
        <v>0</v>
      </c>
      <c r="CI485" s="257">
        <v>0</v>
      </c>
      <c r="CJ485" s="257">
        <v>0</v>
      </c>
      <c r="CK485" s="257">
        <v>0</v>
      </c>
      <c r="CL485" s="257">
        <v>0</v>
      </c>
      <c r="CM485" s="257">
        <v>0</v>
      </c>
      <c r="CN485" s="257" t="s">
        <v>3072</v>
      </c>
      <c r="CO485" s="257">
        <v>48.643391100000002</v>
      </c>
      <c r="CP485" s="257">
        <v>58.199966019999998</v>
      </c>
      <c r="CQ485" s="257">
        <v>19.50321412244897</v>
      </c>
      <c r="CR485" s="257">
        <v>-9.3488297330000005</v>
      </c>
      <c r="CS485" s="257">
        <v>-9.137844007</v>
      </c>
      <c r="CT485" s="257">
        <v>2.1098572600000053E-4</v>
      </c>
      <c r="CU485" s="257">
        <v>1.0817997724649274E-5</v>
      </c>
      <c r="CV485" s="258">
        <v>2.256814296823182E-2</v>
      </c>
      <c r="CW485" s="256" t="s">
        <v>234</v>
      </c>
      <c r="CX485" s="257" t="s">
        <v>3073</v>
      </c>
      <c r="CY485" s="257" t="s">
        <v>235</v>
      </c>
      <c r="CZ485" s="257"/>
      <c r="DA485" s="276"/>
      <c r="DB485" s="276">
        <v>80</v>
      </c>
      <c r="DC485" s="257" t="s">
        <v>3074</v>
      </c>
      <c r="DD485" s="257">
        <v>0</v>
      </c>
      <c r="DE485" s="257">
        <v>1</v>
      </c>
      <c r="DF485" s="257">
        <v>0</v>
      </c>
      <c r="DG485" s="257">
        <v>0</v>
      </c>
      <c r="DH485" s="257"/>
      <c r="DI485" s="257">
        <v>1</v>
      </c>
      <c r="DJ485" s="257" t="s">
        <v>173</v>
      </c>
      <c r="DK485" s="257">
        <v>0</v>
      </c>
      <c r="DL485" s="257" t="s">
        <v>180</v>
      </c>
      <c r="DM485" s="257">
        <v>0</v>
      </c>
      <c r="DN485" s="257">
        <v>0</v>
      </c>
      <c r="DO485" s="257">
        <v>0</v>
      </c>
      <c r="DP485" s="276">
        <v>0</v>
      </c>
      <c r="DQ485" s="276">
        <v>0</v>
      </c>
      <c r="DR485" s="276">
        <v>0</v>
      </c>
      <c r="DS485" s="276">
        <v>0</v>
      </c>
      <c r="DT485" s="257">
        <v>0</v>
      </c>
      <c r="DU485" s="276" t="s">
        <v>962</v>
      </c>
      <c r="DV485" s="276">
        <v>1</v>
      </c>
      <c r="DW485" s="276">
        <v>1</v>
      </c>
      <c r="DX485" s="276">
        <v>1</v>
      </c>
      <c r="DY485" s="276">
        <v>0</v>
      </c>
      <c r="DZ485" s="257">
        <v>0</v>
      </c>
      <c r="EA485" s="276">
        <v>0</v>
      </c>
      <c r="EB485" s="276">
        <v>1</v>
      </c>
      <c r="EC485" s="276">
        <v>1</v>
      </c>
      <c r="ED485" s="276">
        <v>0</v>
      </c>
      <c r="EE485" s="276">
        <v>0</v>
      </c>
      <c r="EF485" s="257">
        <v>1</v>
      </c>
      <c r="EG485" s="276">
        <v>0</v>
      </c>
      <c r="EH485" s="257">
        <v>0</v>
      </c>
      <c r="EI485" s="258">
        <v>0</v>
      </c>
      <c r="EJ485" s="256"/>
      <c r="EK485" t="str">
        <f>IF(AND(AND(AND(OR($DX485=1,$DW485=1),OR($EC485=1,$EA485=1)),SUM($DV485:$DZ485,$EF485)&gt;=4),SUM($EA485:$EE485)&gt;=2),"Whole sector","")</f>
        <v>Whole sector</v>
      </c>
      <c r="EL485" t="str">
        <f>IF(AND(AND(OR($DX485=1,$DW485=1),AND($EC485=0,$EA485=0)),SUM($DV485:$DZ485,$EF485)&gt;=4),"Ecosystem approach","")</f>
        <v/>
      </c>
      <c r="EM485" s="258" t="s">
        <v>544</v>
      </c>
      <c r="EN485" s="257" t="s">
        <v>236</v>
      </c>
      <c r="EO485" s="257"/>
      <c r="EP485" t="str">
        <f>IF(ISNUMBER(BU485),IF(ABS(BU485-[2]QC_indicators!$B$2)&gt;3*[2]QC_indicators!$C$2,"C ratio",IF(ISNUMBER(BY485),IF(ABS(BY485-[2]QC_indicators!$B$1)&gt;3*[2]QC_indicators!$C$1,"DF","no"))),IF(ISNUMBER(BY485),IF(ABS(BY485-[2]QC_indicators!$B$1)&gt;3*[2]QC_indicators!$C$1,"DF","no")))</f>
        <v>no</v>
      </c>
      <c r="EQ485" s="280"/>
      <c r="ER485" s="280"/>
      <c r="ES485" s="280"/>
    </row>
    <row r="486" spans="1:150" ht="15" customHeight="1">
      <c r="A486" s="256" t="s">
        <v>214</v>
      </c>
      <c r="B486" s="257" t="s">
        <v>215</v>
      </c>
      <c r="C486" s="257" t="s">
        <v>216</v>
      </c>
      <c r="D486" s="257" t="s">
        <v>217</v>
      </c>
      <c r="E486" s="257" t="s">
        <v>218</v>
      </c>
      <c r="F486" s="257" t="s">
        <v>219</v>
      </c>
      <c r="G486" s="257" t="s">
        <v>220</v>
      </c>
      <c r="H486" s="257"/>
      <c r="I486" s="257">
        <v>2012</v>
      </c>
      <c r="J486" s="257"/>
      <c r="K486" s="257" t="s">
        <v>221</v>
      </c>
      <c r="L486" s="257"/>
      <c r="M486" s="257" t="s">
        <v>3070</v>
      </c>
      <c r="N486" s="257" t="s">
        <v>222</v>
      </c>
      <c r="O486" s="275" t="s">
        <v>223</v>
      </c>
      <c r="P486" s="257"/>
      <c r="Q486" s="257" t="s">
        <v>224</v>
      </c>
      <c r="R486" s="258" t="s">
        <v>225</v>
      </c>
      <c r="S486" s="256" t="s">
        <v>241</v>
      </c>
      <c r="T486" s="257" t="s">
        <v>242</v>
      </c>
      <c r="U486" s="276" t="s">
        <v>243</v>
      </c>
      <c r="V486" s="257">
        <v>0</v>
      </c>
      <c r="W486" s="257">
        <v>0</v>
      </c>
      <c r="X486" s="257">
        <v>0</v>
      </c>
      <c r="Y486" s="257">
        <v>0</v>
      </c>
      <c r="Z486" s="257">
        <v>0</v>
      </c>
      <c r="AA486" s="257">
        <v>0</v>
      </c>
      <c r="AB486" s="257">
        <v>0</v>
      </c>
      <c r="AC486" s="257">
        <v>1</v>
      </c>
      <c r="AD486" s="257">
        <v>0</v>
      </c>
      <c r="AE486" s="257">
        <v>0</v>
      </c>
      <c r="AF486" s="257">
        <v>0</v>
      </c>
      <c r="AG486" s="257">
        <v>0</v>
      </c>
      <c r="AH486" s="257">
        <v>0</v>
      </c>
      <c r="AI486" s="257">
        <v>0</v>
      </c>
      <c r="AJ486" s="257">
        <v>0</v>
      </c>
      <c r="AK486" s="257">
        <v>0</v>
      </c>
      <c r="AL486" s="257">
        <v>0</v>
      </c>
      <c r="AM486" s="257">
        <v>0</v>
      </c>
      <c r="AN486" s="257">
        <v>0</v>
      </c>
      <c r="AO486" s="257">
        <v>0</v>
      </c>
      <c r="AP486" s="257">
        <v>0</v>
      </c>
      <c r="AQ486" s="257">
        <v>0</v>
      </c>
      <c r="AR486" s="257">
        <v>0</v>
      </c>
      <c r="AS486" s="257">
        <v>0</v>
      </c>
      <c r="AT486" s="257">
        <v>0</v>
      </c>
      <c r="AU486" s="257">
        <v>0</v>
      </c>
      <c r="AV486" s="257">
        <v>0</v>
      </c>
      <c r="AW486" s="257">
        <v>0</v>
      </c>
      <c r="AX486" s="277">
        <v>1</v>
      </c>
      <c r="AY486" s="277">
        <v>1</v>
      </c>
      <c r="AZ486" s="257">
        <v>1</v>
      </c>
      <c r="BA486" s="257">
        <v>0</v>
      </c>
      <c r="BB486" s="257">
        <v>0</v>
      </c>
      <c r="BC486" s="257">
        <v>0</v>
      </c>
      <c r="BD486" s="257">
        <v>0</v>
      </c>
      <c r="BE486" s="257" t="s">
        <v>95</v>
      </c>
      <c r="BF486" s="2" t="str" cm="1">
        <f t="array" ref="BF486">IF(COUNTIF(AZ486:BB486,"&lt;&gt;0")=1,INDEX($V$4:$AW$4,MATCH(TRUE,INDEX($V486:$AW486&lt;&gt;0,),0)),IF(COUNTIF(AZ486:BB486,"&lt;&gt;0")=0,INDEX($AM$4:$AW$4,MATCH(1,$AM486:$AW486,0)),"Multiple strategies"))</f>
        <v>Silviculture for productivity</v>
      </c>
      <c r="BG486" s="278" t="s">
        <v>229</v>
      </c>
      <c r="BH486" s="257" t="s">
        <v>230</v>
      </c>
      <c r="BI486" s="279" t="s">
        <v>3071</v>
      </c>
      <c r="BJ486" s="276" t="s">
        <v>231</v>
      </c>
      <c r="BK486" s="257">
        <v>85.005979255643595</v>
      </c>
      <c r="BL486" s="257">
        <v>95.114942528735597</v>
      </c>
      <c r="BM486" s="276">
        <v>1.1189206143098558</v>
      </c>
      <c r="BN486" s="257">
        <v>10.108963273092002</v>
      </c>
      <c r="BO486" s="276">
        <v>20.630537292024492</v>
      </c>
      <c r="BP486" s="276" t="s">
        <v>232</v>
      </c>
      <c r="BQ486" s="279" t="s">
        <v>3071</v>
      </c>
      <c r="BR486" s="276" t="s">
        <v>233</v>
      </c>
      <c r="BS486" s="257">
        <v>-8.1260280658938306</v>
      </c>
      <c r="BT486" s="257">
        <v>-7.8979591836734597</v>
      </c>
      <c r="BU486" s="259">
        <v>0.9719335350098518</v>
      </c>
      <c r="BV486" s="257">
        <v>0.22806888222037092</v>
      </c>
      <c r="BW486" s="257"/>
      <c r="BX486" s="257">
        <v>2.2806888222037092E-4</v>
      </c>
      <c r="BY486" s="257">
        <v>1.1054917232259361E-5</v>
      </c>
      <c r="BZ486" s="257">
        <v>0</v>
      </c>
      <c r="CA486" s="257">
        <v>0</v>
      </c>
      <c r="CB486" s="257">
        <v>0</v>
      </c>
      <c r="CC486" s="257">
        <v>0</v>
      </c>
      <c r="CD486" s="257">
        <v>0</v>
      </c>
      <c r="CE486" s="257">
        <v>0</v>
      </c>
      <c r="CF486" s="257">
        <v>0</v>
      </c>
      <c r="CG486" s="257">
        <v>0</v>
      </c>
      <c r="CH486" s="257">
        <v>0</v>
      </c>
      <c r="CI486" s="257">
        <v>0</v>
      </c>
      <c r="CJ486" s="257">
        <v>0</v>
      </c>
      <c r="CK486" s="257">
        <v>0</v>
      </c>
      <c r="CL486" s="257">
        <v>0</v>
      </c>
      <c r="CM486" s="257">
        <v>0</v>
      </c>
      <c r="CN486" s="257" t="s">
        <v>3072</v>
      </c>
      <c r="CO486" s="257">
        <v>85.005979255643595</v>
      </c>
      <c r="CP486" s="257">
        <v>95.114942528735597</v>
      </c>
      <c r="CQ486" s="257">
        <v>20.630537292024492</v>
      </c>
      <c r="CR486" s="257">
        <v>-8.1260280658938306</v>
      </c>
      <c r="CS486" s="257">
        <v>-7.8979591836734597</v>
      </c>
      <c r="CT486" s="257">
        <v>2.2806888222037092E-4</v>
      </c>
      <c r="CU486" s="257">
        <v>1.1054917232259361E-5</v>
      </c>
      <c r="CV486" s="258">
        <v>2.8066464990148202E-2</v>
      </c>
      <c r="CW486" s="256" t="s">
        <v>234</v>
      </c>
      <c r="CX486" s="257" t="s">
        <v>3073</v>
      </c>
      <c r="CY486" s="257" t="s">
        <v>235</v>
      </c>
      <c r="CZ486" s="257"/>
      <c r="DA486" s="276"/>
      <c r="DB486" s="276">
        <v>80</v>
      </c>
      <c r="DC486" s="257" t="s">
        <v>3074</v>
      </c>
      <c r="DD486" s="257">
        <v>0</v>
      </c>
      <c r="DE486" s="257">
        <v>1</v>
      </c>
      <c r="DF486" s="257">
        <v>0</v>
      </c>
      <c r="DG486" s="257">
        <v>0</v>
      </c>
      <c r="DH486" s="257"/>
      <c r="DI486" s="257">
        <v>1</v>
      </c>
      <c r="DJ486" s="257" t="s">
        <v>173</v>
      </c>
      <c r="DK486" s="257">
        <v>0</v>
      </c>
      <c r="DL486" s="257" t="s">
        <v>180</v>
      </c>
      <c r="DM486" s="257">
        <v>0</v>
      </c>
      <c r="DN486" s="257">
        <v>0</v>
      </c>
      <c r="DO486" s="257">
        <v>0</v>
      </c>
      <c r="DP486" s="276">
        <v>0</v>
      </c>
      <c r="DQ486" s="276">
        <v>0</v>
      </c>
      <c r="DR486" s="276">
        <v>0</v>
      </c>
      <c r="DS486" s="276">
        <v>0</v>
      </c>
      <c r="DT486" s="257">
        <v>0</v>
      </c>
      <c r="DU486" s="276" t="s">
        <v>962</v>
      </c>
      <c r="DV486" s="276">
        <v>1</v>
      </c>
      <c r="DW486" s="276">
        <v>1</v>
      </c>
      <c r="DX486" s="276">
        <v>1</v>
      </c>
      <c r="DY486" s="276">
        <v>0</v>
      </c>
      <c r="DZ486" s="257">
        <v>0</v>
      </c>
      <c r="EA486" s="276">
        <v>0</v>
      </c>
      <c r="EB486" s="276">
        <v>1</v>
      </c>
      <c r="EC486" s="276">
        <v>1</v>
      </c>
      <c r="ED486" s="276">
        <v>0</v>
      </c>
      <c r="EE486" s="276">
        <v>0</v>
      </c>
      <c r="EF486" s="257">
        <v>1</v>
      </c>
      <c r="EG486" s="276">
        <v>0</v>
      </c>
      <c r="EH486" s="257">
        <v>0</v>
      </c>
      <c r="EI486" s="258">
        <v>0</v>
      </c>
      <c r="EJ486" s="256"/>
      <c r="EK486" t="str">
        <f>IF(AND(AND(AND(OR($DX486=1,$DW486=1),OR($EC486=1,$EA486=1)),SUM($DV486:$DZ486,$EF486)&gt;=4),SUM($EA486:$EE486)&gt;=2),"Whole sector","")</f>
        <v>Whole sector</v>
      </c>
      <c r="EL486" t="str">
        <f>IF(AND(AND(OR($DX486=1,$DW486=1),AND($EC486=0,$EA486=0)),SUM($DV486:$DZ486,$EF486)&gt;=4),"Ecosystem approach","")</f>
        <v/>
      </c>
      <c r="EM486" s="258" t="s">
        <v>544</v>
      </c>
      <c r="EN486" s="257" t="s">
        <v>236</v>
      </c>
      <c r="EO486" s="257"/>
      <c r="EP486" t="str">
        <f>IF(ISNUMBER(BU486),IF(ABS(BU486-[2]QC_indicators!$B$2)&gt;3*[2]QC_indicators!$C$2,"C ratio",IF(ISNUMBER(BY486),IF(ABS(BY486-[2]QC_indicators!$B$1)&gt;3*[2]QC_indicators!$C$1,"DF","no"))),IF(ISNUMBER(BY486),IF(ABS(BY486-[2]QC_indicators!$B$1)&gt;3*[2]QC_indicators!$C$1,"DF","no")))</f>
        <v>no</v>
      </c>
    </row>
    <row r="487" spans="1:150" ht="15" customHeight="1">
      <c r="A487" s="256" t="s">
        <v>214</v>
      </c>
      <c r="B487" s="257" t="s">
        <v>215</v>
      </c>
      <c r="C487" s="257" t="s">
        <v>216</v>
      </c>
      <c r="D487" s="257" t="s">
        <v>217</v>
      </c>
      <c r="E487" s="257" t="s">
        <v>218</v>
      </c>
      <c r="F487" s="257" t="s">
        <v>219</v>
      </c>
      <c r="G487" s="257" t="s">
        <v>220</v>
      </c>
      <c r="H487" s="257"/>
      <c r="I487" s="257">
        <v>2012</v>
      </c>
      <c r="J487" s="257"/>
      <c r="K487" s="257" t="s">
        <v>221</v>
      </c>
      <c r="L487" s="257"/>
      <c r="M487" s="257" t="s">
        <v>3070</v>
      </c>
      <c r="N487" s="257" t="s">
        <v>222</v>
      </c>
      <c r="O487" s="275" t="s">
        <v>223</v>
      </c>
      <c r="P487" s="257"/>
      <c r="Q487" s="257" t="s">
        <v>224</v>
      </c>
      <c r="R487" s="258" t="s">
        <v>225</v>
      </c>
      <c r="S487" s="256" t="s">
        <v>240</v>
      </c>
      <c r="T487" s="257">
        <v>2000</v>
      </c>
      <c r="U487" s="257">
        <v>4000</v>
      </c>
      <c r="V487" s="257">
        <v>0</v>
      </c>
      <c r="W487" s="257">
        <v>0</v>
      </c>
      <c r="X487" s="257">
        <v>0</v>
      </c>
      <c r="Y487" s="257">
        <v>0</v>
      </c>
      <c r="Z487" s="257">
        <v>0</v>
      </c>
      <c r="AA487" s="257">
        <v>1</v>
      </c>
      <c r="AB487" s="257">
        <v>0</v>
      </c>
      <c r="AC487" s="257">
        <v>0</v>
      </c>
      <c r="AD487" s="257">
        <v>0</v>
      </c>
      <c r="AE487" s="257">
        <v>0</v>
      </c>
      <c r="AF487" s="257">
        <v>0</v>
      </c>
      <c r="AG487" s="257">
        <v>0</v>
      </c>
      <c r="AH487" s="257">
        <v>0</v>
      </c>
      <c r="AI487" s="257">
        <v>0</v>
      </c>
      <c r="AJ487" s="257">
        <v>0</v>
      </c>
      <c r="AK487" s="257">
        <v>0</v>
      </c>
      <c r="AL487" s="257">
        <v>0</v>
      </c>
      <c r="AM487" s="257">
        <v>0</v>
      </c>
      <c r="AN487" s="257">
        <v>0</v>
      </c>
      <c r="AO487" s="257">
        <v>0</v>
      </c>
      <c r="AP487" s="257">
        <v>0</v>
      </c>
      <c r="AQ487" s="257">
        <v>0</v>
      </c>
      <c r="AR487" s="257">
        <v>0</v>
      </c>
      <c r="AS487" s="257">
        <v>0</v>
      </c>
      <c r="AT487" s="257">
        <v>0</v>
      </c>
      <c r="AU487" s="257">
        <v>0</v>
      </c>
      <c r="AV487" s="257">
        <v>0</v>
      </c>
      <c r="AW487" s="257">
        <v>0</v>
      </c>
      <c r="AX487" s="277">
        <v>1</v>
      </c>
      <c r="AY487" s="277">
        <v>1</v>
      </c>
      <c r="AZ487" s="257">
        <v>1</v>
      </c>
      <c r="BA487" s="257">
        <v>0</v>
      </c>
      <c r="BB487" s="257">
        <v>0</v>
      </c>
      <c r="BC487" s="257">
        <v>0</v>
      </c>
      <c r="BD487" s="257">
        <v>0</v>
      </c>
      <c r="BE487" s="257" t="s">
        <v>93</v>
      </c>
      <c r="BF487" s="2" t="str" cm="1">
        <f t="array" ref="BF487">IF(COUNTIF(AZ487:BB487,"&lt;&gt;0")=1,INDEX($V$4:$AW$4,MATCH(TRUE,INDEX($V487:$AW487&lt;&gt;0,),0)),IF(COUNTIF(AZ487:BB487,"&lt;&gt;0")=0,INDEX($AM$4:$AW$4,MATCH(1,$AM487:$AW487,0)),"Multiple strategies"))</f>
        <v>Silviculture for productivity</v>
      </c>
      <c r="BG487" s="278" t="s">
        <v>229</v>
      </c>
      <c r="BH487" s="257" t="s">
        <v>230</v>
      </c>
      <c r="BI487" s="279" t="s">
        <v>3071</v>
      </c>
      <c r="BJ487" s="276" t="s">
        <v>231</v>
      </c>
      <c r="BK487" s="257">
        <v>55.163392309999999</v>
      </c>
      <c r="BL487" s="257">
        <v>74.931604759999999</v>
      </c>
      <c r="BM487" s="276">
        <v>1.3583574472525037</v>
      </c>
      <c r="BN487" s="257">
        <v>19.76821245</v>
      </c>
      <c r="BO487" s="276">
        <v>40.343290714285715</v>
      </c>
      <c r="BP487" s="276" t="s">
        <v>232</v>
      </c>
      <c r="BQ487" s="279" t="s">
        <v>3071</v>
      </c>
      <c r="BR487" s="276" t="s">
        <v>233</v>
      </c>
      <c r="BS487" s="257">
        <v>-9.0346308719999993</v>
      </c>
      <c r="BT487" s="257">
        <v>-8.5161560640000005</v>
      </c>
      <c r="BU487" s="259">
        <v>0.94261250787712325</v>
      </c>
      <c r="BV487" s="257">
        <v>0.51847480799999879</v>
      </c>
      <c r="BW487" s="257"/>
      <c r="BX487" s="257">
        <v>5.1847480799999883E-4</v>
      </c>
      <c r="BY487" s="257">
        <v>1.2851574544869859E-5</v>
      </c>
      <c r="BZ487" s="257">
        <v>0</v>
      </c>
      <c r="CA487" s="257">
        <v>0</v>
      </c>
      <c r="CB487" s="257">
        <v>0</v>
      </c>
      <c r="CC487" s="257">
        <v>0</v>
      </c>
      <c r="CD487" s="257">
        <v>0</v>
      </c>
      <c r="CE487" s="257">
        <v>0</v>
      </c>
      <c r="CF487" s="257">
        <v>0</v>
      </c>
      <c r="CG487" s="257">
        <v>0</v>
      </c>
      <c r="CH487" s="257">
        <v>0</v>
      </c>
      <c r="CI487" s="257">
        <v>0</v>
      </c>
      <c r="CJ487" s="257">
        <v>0</v>
      </c>
      <c r="CK487" s="257">
        <v>0</v>
      </c>
      <c r="CL487" s="257">
        <v>0</v>
      </c>
      <c r="CM487" s="257">
        <v>0</v>
      </c>
      <c r="CN487" s="257" t="s">
        <v>3072</v>
      </c>
      <c r="CO487" s="257">
        <v>55.163392309999999</v>
      </c>
      <c r="CP487" s="257">
        <v>74.931604759999999</v>
      </c>
      <c r="CQ487" s="257">
        <v>40.343290714285715</v>
      </c>
      <c r="CR487" s="257">
        <v>-9.0346308719999993</v>
      </c>
      <c r="CS487" s="257">
        <v>-8.5161560640000005</v>
      </c>
      <c r="CT487" s="257">
        <v>5.1847480799999883E-4</v>
      </c>
      <c r="CU487" s="257">
        <v>1.2851574544869859E-5</v>
      </c>
      <c r="CV487" s="258">
        <v>5.7387492122876721E-2</v>
      </c>
      <c r="CW487" s="256" t="s">
        <v>234</v>
      </c>
      <c r="CX487" s="257" t="s">
        <v>3073</v>
      </c>
      <c r="CY487" s="257" t="s">
        <v>235</v>
      </c>
      <c r="CZ487" s="257"/>
      <c r="DA487" s="276"/>
      <c r="DB487" s="276">
        <v>80</v>
      </c>
      <c r="DC487" s="257" t="s">
        <v>3074</v>
      </c>
      <c r="DD487" s="257">
        <v>0</v>
      </c>
      <c r="DE487" s="257">
        <v>1</v>
      </c>
      <c r="DF487" s="257">
        <v>0</v>
      </c>
      <c r="DG487" s="257">
        <v>0</v>
      </c>
      <c r="DH487" s="257"/>
      <c r="DI487" s="257">
        <v>1</v>
      </c>
      <c r="DJ487" s="257" t="s">
        <v>173</v>
      </c>
      <c r="DK487" s="257">
        <v>0</v>
      </c>
      <c r="DL487" s="257" t="s">
        <v>180</v>
      </c>
      <c r="DM487" s="257">
        <v>0</v>
      </c>
      <c r="DN487" s="257">
        <v>0</v>
      </c>
      <c r="DO487" s="257">
        <v>0</v>
      </c>
      <c r="DP487" s="276">
        <v>0</v>
      </c>
      <c r="DQ487" s="276">
        <v>0</v>
      </c>
      <c r="DR487" s="276">
        <v>0</v>
      </c>
      <c r="DS487" s="276">
        <v>0</v>
      </c>
      <c r="DT487" s="257">
        <v>0</v>
      </c>
      <c r="DU487" s="276" t="s">
        <v>962</v>
      </c>
      <c r="DV487" s="276">
        <v>1</v>
      </c>
      <c r="DW487" s="276">
        <v>1</v>
      </c>
      <c r="DX487" s="276">
        <v>1</v>
      </c>
      <c r="DY487" s="276">
        <v>0</v>
      </c>
      <c r="DZ487" s="257">
        <v>0</v>
      </c>
      <c r="EA487" s="276">
        <v>0</v>
      </c>
      <c r="EB487" s="276">
        <v>1</v>
      </c>
      <c r="EC487" s="276">
        <v>1</v>
      </c>
      <c r="ED487" s="276">
        <v>0</v>
      </c>
      <c r="EE487" s="276">
        <v>0</v>
      </c>
      <c r="EF487" s="257">
        <v>1</v>
      </c>
      <c r="EG487" s="276">
        <v>0</v>
      </c>
      <c r="EH487" s="257">
        <v>0</v>
      </c>
      <c r="EI487" s="258">
        <v>0</v>
      </c>
      <c r="EJ487" s="256"/>
      <c r="EK487" t="str">
        <f>IF(AND(AND(AND(OR($DX487=1,$DW487=1),OR($EC487=1,$EA487=1)),SUM($DV487:$DZ487,$EF487)&gt;=4),SUM($EA487:$EE487)&gt;=2),"Whole sector","")</f>
        <v>Whole sector</v>
      </c>
      <c r="EL487" t="str">
        <f>IF(AND(AND(OR($DX487=1,$DW487=1),AND($EC487=0,$EA487=0)),SUM($DV487:$DZ487,$EF487)&gt;=4),"Ecosystem approach","")</f>
        <v/>
      </c>
      <c r="EM487" s="258" t="s">
        <v>544</v>
      </c>
      <c r="EN487" s="257" t="s">
        <v>236</v>
      </c>
      <c r="EO487" s="257"/>
      <c r="EP487" t="str">
        <f>IF(ISNUMBER(BU487),IF(ABS(BU487-[2]QC_indicators!$B$2)&gt;3*[2]QC_indicators!$C$2,"C ratio",IF(ISNUMBER(BY487),IF(ABS(BY487-[2]QC_indicators!$B$1)&gt;3*[2]QC_indicators!$C$1,"DF","no"))),IF(ISNUMBER(BY487),IF(ABS(BY487-[2]QC_indicators!$B$1)&gt;3*[2]QC_indicators!$C$1,"DF","no")))</f>
        <v>no</v>
      </c>
      <c r="EQ487" s="280"/>
      <c r="ER487" s="280"/>
      <c r="ES487" s="280"/>
    </row>
    <row r="488" spans="1:150" ht="15" customHeight="1">
      <c r="A488" s="256" t="s">
        <v>214</v>
      </c>
      <c r="B488" s="257" t="s">
        <v>215</v>
      </c>
      <c r="C488" s="257" t="s">
        <v>216</v>
      </c>
      <c r="D488" s="257" t="s">
        <v>217</v>
      </c>
      <c r="E488" s="257" t="s">
        <v>218</v>
      </c>
      <c r="F488" s="257" t="s">
        <v>219</v>
      </c>
      <c r="G488" s="257" t="s">
        <v>220</v>
      </c>
      <c r="H488" s="257"/>
      <c r="I488" s="257">
        <v>2012</v>
      </c>
      <c r="J488" s="257"/>
      <c r="K488" s="257" t="s">
        <v>221</v>
      </c>
      <c r="L488" s="257"/>
      <c r="M488" s="257" t="s">
        <v>3070</v>
      </c>
      <c r="N488" s="257" t="s">
        <v>222</v>
      </c>
      <c r="O488" s="275" t="s">
        <v>223</v>
      </c>
      <c r="P488" s="257"/>
      <c r="Q488" s="257" t="s">
        <v>224</v>
      </c>
      <c r="R488" s="258" t="s">
        <v>225</v>
      </c>
      <c r="S488" s="256" t="s">
        <v>226</v>
      </c>
      <c r="T488" s="257" t="s">
        <v>228</v>
      </c>
      <c r="U488" s="257" t="s">
        <v>237</v>
      </c>
      <c r="V488" s="257">
        <v>0</v>
      </c>
      <c r="W488" s="257">
        <v>0</v>
      </c>
      <c r="X488" s="257">
        <v>0</v>
      </c>
      <c r="Y488" s="257">
        <v>1</v>
      </c>
      <c r="Z488" s="257">
        <v>0</v>
      </c>
      <c r="AA488" s="257">
        <v>0</v>
      </c>
      <c r="AB488" s="257">
        <v>0</v>
      </c>
      <c r="AC488" s="257">
        <v>0</v>
      </c>
      <c r="AD488" s="257">
        <v>0</v>
      </c>
      <c r="AE488" s="257">
        <v>0</v>
      </c>
      <c r="AF488" s="257">
        <v>0</v>
      </c>
      <c r="AG488" s="257">
        <v>0</v>
      </c>
      <c r="AH488" s="257">
        <v>0</v>
      </c>
      <c r="AI488" s="257">
        <v>0</v>
      </c>
      <c r="AJ488" s="257">
        <v>0</v>
      </c>
      <c r="AK488" s="257">
        <v>0</v>
      </c>
      <c r="AL488" s="257">
        <v>0</v>
      </c>
      <c r="AM488" s="257">
        <v>0</v>
      </c>
      <c r="AN488" s="257">
        <v>0</v>
      </c>
      <c r="AO488" s="257">
        <v>0</v>
      </c>
      <c r="AP488" s="257">
        <v>0</v>
      </c>
      <c r="AQ488" s="257">
        <v>0</v>
      </c>
      <c r="AR488" s="257">
        <v>0</v>
      </c>
      <c r="AS488" s="257">
        <v>0</v>
      </c>
      <c r="AT488" s="257">
        <v>0</v>
      </c>
      <c r="AU488" s="257">
        <v>0</v>
      </c>
      <c r="AV488" s="257">
        <v>0</v>
      </c>
      <c r="AW488" s="257">
        <v>0</v>
      </c>
      <c r="AX488" s="277">
        <v>1</v>
      </c>
      <c r="AY488" s="277">
        <v>1</v>
      </c>
      <c r="AZ488" s="257">
        <v>1</v>
      </c>
      <c r="BA488" s="257">
        <v>0</v>
      </c>
      <c r="BB488" s="257">
        <v>0</v>
      </c>
      <c r="BC488" s="257">
        <v>0</v>
      </c>
      <c r="BD488" s="257">
        <v>0</v>
      </c>
      <c r="BE488" s="257" t="s">
        <v>91</v>
      </c>
      <c r="BF488" s="2" t="str" cm="1">
        <f t="array" ref="BF488">IF(COUNTIF(AZ488:BB488,"&lt;&gt;0")=1,INDEX($V$4:$AW$4,MATCH(TRUE,INDEX($V488:$AW488&lt;&gt;0,),0)),IF(COUNTIF(AZ488:BB488,"&lt;&gt;0")=0,INDEX($AM$4:$AW$4,MATCH(1,$AM488:$AW488,0)),"Multiple strategies"))</f>
        <v>Silviculture for removals</v>
      </c>
      <c r="BG488" s="278" t="s">
        <v>229</v>
      </c>
      <c r="BH488" s="257" t="s">
        <v>230</v>
      </c>
      <c r="BI488" s="279" t="s">
        <v>3071</v>
      </c>
      <c r="BJ488" s="276" t="s">
        <v>231</v>
      </c>
      <c r="BK488" s="257">
        <v>95.977011489999995</v>
      </c>
      <c r="BL488" s="257">
        <v>114.0804598</v>
      </c>
      <c r="BM488" s="276">
        <v>1.1886227548550647</v>
      </c>
      <c r="BN488" s="257">
        <v>18.103448310000005</v>
      </c>
      <c r="BO488" s="276">
        <v>36.945812877551027</v>
      </c>
      <c r="BP488" s="276" t="s">
        <v>232</v>
      </c>
      <c r="BQ488" s="279" t="s">
        <v>3071</v>
      </c>
      <c r="BR488" s="276" t="s">
        <v>233</v>
      </c>
      <c r="BS488" s="257">
        <v>-8.1428571430000005</v>
      </c>
      <c r="BT488" s="257">
        <v>-7.6632653060000004</v>
      </c>
      <c r="BU488" s="259">
        <v>0.94110275686068245</v>
      </c>
      <c r="BV488" s="257">
        <v>0.47959183700000008</v>
      </c>
      <c r="BW488" s="257"/>
      <c r="BX488" s="257">
        <v>4.7959183700000009E-4</v>
      </c>
      <c r="BY488" s="257">
        <v>1.2980952363654967E-5</v>
      </c>
      <c r="BZ488" s="257">
        <v>0</v>
      </c>
      <c r="CA488" s="257">
        <v>0</v>
      </c>
      <c r="CB488" s="257">
        <v>0</v>
      </c>
      <c r="CC488" s="257">
        <v>0</v>
      </c>
      <c r="CD488" s="257">
        <v>0</v>
      </c>
      <c r="CE488" s="257">
        <v>0</v>
      </c>
      <c r="CF488" s="257">
        <v>0</v>
      </c>
      <c r="CG488" s="257">
        <v>0</v>
      </c>
      <c r="CH488" s="257">
        <v>0</v>
      </c>
      <c r="CI488" s="257">
        <v>0</v>
      </c>
      <c r="CJ488" s="257">
        <v>0</v>
      </c>
      <c r="CK488" s="257">
        <v>0</v>
      </c>
      <c r="CL488" s="257">
        <v>0</v>
      </c>
      <c r="CM488" s="257">
        <v>0</v>
      </c>
      <c r="CN488" s="257" t="s">
        <v>3072</v>
      </c>
      <c r="CO488" s="257">
        <v>95.977011489999995</v>
      </c>
      <c r="CP488" s="257">
        <v>114.0804598</v>
      </c>
      <c r="CQ488" s="257">
        <v>36.945812877551027</v>
      </c>
      <c r="CR488" s="257">
        <v>-8.1428571430000005</v>
      </c>
      <c r="CS488" s="257">
        <v>-7.6632653060000004</v>
      </c>
      <c r="CT488" s="257">
        <v>4.7959183700000009E-4</v>
      </c>
      <c r="CU488" s="257">
        <v>1.2980952363654967E-5</v>
      </c>
      <c r="CV488" s="258">
        <v>5.8897243139317601E-2</v>
      </c>
      <c r="CW488" s="256" t="s">
        <v>234</v>
      </c>
      <c r="CX488" s="257" t="s">
        <v>3073</v>
      </c>
      <c r="CY488" s="257" t="s">
        <v>235</v>
      </c>
      <c r="CZ488" s="257"/>
      <c r="DA488" s="276"/>
      <c r="DB488" s="276">
        <v>80</v>
      </c>
      <c r="DC488" s="257" t="s">
        <v>3074</v>
      </c>
      <c r="DD488" s="257">
        <v>0</v>
      </c>
      <c r="DE488" s="257">
        <v>1</v>
      </c>
      <c r="DF488" s="257">
        <v>0</v>
      </c>
      <c r="DG488" s="257">
        <v>0</v>
      </c>
      <c r="DH488" s="257"/>
      <c r="DI488" s="257">
        <v>1</v>
      </c>
      <c r="DJ488" s="257" t="s">
        <v>173</v>
      </c>
      <c r="DK488" s="257">
        <v>0</v>
      </c>
      <c r="DL488" s="257" t="s">
        <v>180</v>
      </c>
      <c r="DM488" s="257">
        <v>0</v>
      </c>
      <c r="DN488" s="257">
        <v>0</v>
      </c>
      <c r="DO488" s="257">
        <v>0</v>
      </c>
      <c r="DP488" s="276">
        <v>0</v>
      </c>
      <c r="DQ488" s="276">
        <v>0</v>
      </c>
      <c r="DR488" s="276">
        <v>0</v>
      </c>
      <c r="DS488" s="276">
        <v>0</v>
      </c>
      <c r="DT488" s="257">
        <v>0</v>
      </c>
      <c r="DU488" s="276" t="s">
        <v>962</v>
      </c>
      <c r="DV488" s="276">
        <v>1</v>
      </c>
      <c r="DW488" s="276">
        <v>1</v>
      </c>
      <c r="DX488" s="276">
        <v>1</v>
      </c>
      <c r="DY488" s="276">
        <v>0</v>
      </c>
      <c r="DZ488" s="257">
        <v>0</v>
      </c>
      <c r="EA488" s="276">
        <v>0</v>
      </c>
      <c r="EB488" s="276">
        <v>1</v>
      </c>
      <c r="EC488" s="276">
        <v>1</v>
      </c>
      <c r="ED488" s="276">
        <v>0</v>
      </c>
      <c r="EE488" s="276">
        <v>0</v>
      </c>
      <c r="EF488" s="257">
        <v>1</v>
      </c>
      <c r="EG488" s="276">
        <v>0</v>
      </c>
      <c r="EH488" s="257">
        <v>0</v>
      </c>
      <c r="EI488" s="258">
        <v>0</v>
      </c>
      <c r="EJ488" s="256"/>
      <c r="EK488" t="str">
        <f>IF(AND(AND(AND(OR($DX488=1,$DW488=1),OR($EC488=1,$EA488=1)),SUM($DV488:$DZ488,$EF488)&gt;=4),SUM($EA488:$EE488)&gt;=2),"Whole sector","")</f>
        <v>Whole sector</v>
      </c>
      <c r="EL488" t="str">
        <f>IF(AND(AND(OR($DX488=1,$DW488=1),AND($EC488=0,$EA488=0)),SUM($DV488:$DZ488,$EF488)&gt;=4),"Ecosystem approach","")</f>
        <v/>
      </c>
      <c r="EM488" s="258" t="s">
        <v>544</v>
      </c>
      <c r="EN488" s="257" t="s">
        <v>236</v>
      </c>
      <c r="EO488" s="257"/>
      <c r="EP488" t="str">
        <f>IF(ISNUMBER(BU488),IF(ABS(BU488-[2]QC_indicators!$B$2)&gt;3*[2]QC_indicators!$C$2,"C ratio",IF(ISNUMBER(BY488),IF(ABS(BY488-[2]QC_indicators!$B$1)&gt;3*[2]QC_indicators!$C$1,"DF","no"))),IF(ISNUMBER(BY488),IF(ABS(BY488-[2]QC_indicators!$B$1)&gt;3*[2]QC_indicators!$C$1,"DF","no")))</f>
        <v>no</v>
      </c>
      <c r="EQ488" s="280"/>
      <c r="ER488" s="280"/>
      <c r="ES488" s="280"/>
    </row>
    <row r="489" spans="1:150" ht="15" customHeight="1">
      <c r="A489" s="256" t="s">
        <v>214</v>
      </c>
      <c r="B489" s="257" t="s">
        <v>215</v>
      </c>
      <c r="C489" s="257" t="s">
        <v>216</v>
      </c>
      <c r="D489" s="257" t="s">
        <v>217</v>
      </c>
      <c r="E489" s="257" t="s">
        <v>218</v>
      </c>
      <c r="F489" s="257" t="s">
        <v>219</v>
      </c>
      <c r="G489" s="257" t="s">
        <v>220</v>
      </c>
      <c r="H489" s="257"/>
      <c r="I489" s="257">
        <v>2012</v>
      </c>
      <c r="J489" s="257"/>
      <c r="K489" s="257" t="s">
        <v>221</v>
      </c>
      <c r="L489" s="257"/>
      <c r="M489" s="257" t="s">
        <v>3070</v>
      </c>
      <c r="N489" s="257" t="s">
        <v>222</v>
      </c>
      <c r="O489" s="275" t="s">
        <v>223</v>
      </c>
      <c r="P489" s="257"/>
      <c r="Q489" s="257" t="s">
        <v>224</v>
      </c>
      <c r="R489" s="258" t="s">
        <v>225</v>
      </c>
      <c r="S489" s="256" t="s">
        <v>226</v>
      </c>
      <c r="T489" s="257" t="s">
        <v>228</v>
      </c>
      <c r="U489" s="257" t="s">
        <v>239</v>
      </c>
      <c r="V489" s="257">
        <v>0</v>
      </c>
      <c r="W489" s="257">
        <v>0</v>
      </c>
      <c r="X489" s="257">
        <v>0</v>
      </c>
      <c r="Y489" s="257">
        <v>1</v>
      </c>
      <c r="Z489" s="257">
        <v>0</v>
      </c>
      <c r="AA489" s="257">
        <v>0</v>
      </c>
      <c r="AB489" s="257">
        <v>0</v>
      </c>
      <c r="AC489" s="257">
        <v>0</v>
      </c>
      <c r="AD489" s="257">
        <v>0</v>
      </c>
      <c r="AE489" s="257">
        <v>0</v>
      </c>
      <c r="AF489" s="257">
        <v>0</v>
      </c>
      <c r="AG489" s="257">
        <v>0</v>
      </c>
      <c r="AH489" s="257">
        <v>0</v>
      </c>
      <c r="AI489" s="257">
        <v>0</v>
      </c>
      <c r="AJ489" s="257">
        <v>0</v>
      </c>
      <c r="AK489" s="257">
        <v>0</v>
      </c>
      <c r="AL489" s="257">
        <v>0</v>
      </c>
      <c r="AM489" s="257">
        <v>0</v>
      </c>
      <c r="AN489" s="257">
        <v>0</v>
      </c>
      <c r="AO489" s="257">
        <v>0</v>
      </c>
      <c r="AP489" s="257">
        <v>0</v>
      </c>
      <c r="AQ489" s="257">
        <v>0</v>
      </c>
      <c r="AR489" s="257">
        <v>0</v>
      </c>
      <c r="AS489" s="257">
        <v>0</v>
      </c>
      <c r="AT489" s="257">
        <v>0</v>
      </c>
      <c r="AU489" s="257">
        <v>0</v>
      </c>
      <c r="AV489" s="257">
        <v>0</v>
      </c>
      <c r="AW489" s="257">
        <v>0</v>
      </c>
      <c r="AX489" s="277">
        <v>1</v>
      </c>
      <c r="AY489" s="277">
        <v>1</v>
      </c>
      <c r="AZ489" s="257">
        <v>1</v>
      </c>
      <c r="BA489" s="257">
        <v>0</v>
      </c>
      <c r="BB489" s="257">
        <v>0</v>
      </c>
      <c r="BC489" s="257">
        <v>0</v>
      </c>
      <c r="BD489" s="257">
        <v>0</v>
      </c>
      <c r="BE489" s="257" t="s">
        <v>91</v>
      </c>
      <c r="BF489" s="2" t="str" cm="1">
        <f t="array" ref="BF489">IF(COUNTIF(AZ489:BB489,"&lt;&gt;0")=1,INDEX($V$4:$AW$4,MATCH(TRUE,INDEX($V489:$AW489&lt;&gt;0,),0)),IF(COUNTIF(AZ489:BB489,"&lt;&gt;0")=0,INDEX($AM$4:$AW$4,MATCH(1,$AM489:$AW489,0)),"Multiple strategies"))</f>
        <v>Silviculture for removals</v>
      </c>
      <c r="BG489" s="278" t="s">
        <v>229</v>
      </c>
      <c r="BH489" s="257" t="s">
        <v>230</v>
      </c>
      <c r="BI489" s="279" t="s">
        <v>3071</v>
      </c>
      <c r="BJ489" s="276" t="s">
        <v>231</v>
      </c>
      <c r="BK489" s="257">
        <v>55.163392309999999</v>
      </c>
      <c r="BL489" s="257">
        <v>89.04746797</v>
      </c>
      <c r="BM489" s="276">
        <v>0.61948299673814966</v>
      </c>
      <c r="BN489" s="257">
        <v>33.884075660000001</v>
      </c>
      <c r="BO489" s="276">
        <v>69.151174816326531</v>
      </c>
      <c r="BP489" s="276" t="s">
        <v>232</v>
      </c>
      <c r="BQ489" s="279" t="s">
        <v>3071</v>
      </c>
      <c r="BR489" s="276" t="s">
        <v>233</v>
      </c>
      <c r="BS489" s="257">
        <v>-9.0346308719999993</v>
      </c>
      <c r="BT489" s="257">
        <v>-8.1050396580000008</v>
      </c>
      <c r="BU489" s="259">
        <v>0.89710800284259817</v>
      </c>
      <c r="BV489" s="257">
        <v>0.92959121399999844</v>
      </c>
      <c r="BW489" s="257"/>
      <c r="BX489" s="257">
        <v>9.295912139999984E-4</v>
      </c>
      <c r="BY489" s="257">
        <v>1.3442883891258529E-5</v>
      </c>
      <c r="BZ489" s="257">
        <v>0</v>
      </c>
      <c r="CA489" s="257">
        <v>0</v>
      </c>
      <c r="CB489" s="257">
        <v>0</v>
      </c>
      <c r="CC489" s="257">
        <v>0</v>
      </c>
      <c r="CD489" s="257">
        <v>0</v>
      </c>
      <c r="CE489" s="257">
        <v>0</v>
      </c>
      <c r="CF489" s="257">
        <v>0</v>
      </c>
      <c r="CG489" s="257">
        <v>0</v>
      </c>
      <c r="CH489" s="257">
        <v>0</v>
      </c>
      <c r="CI489" s="257">
        <v>0</v>
      </c>
      <c r="CJ489" s="257">
        <v>0</v>
      </c>
      <c r="CK489" s="257">
        <v>0</v>
      </c>
      <c r="CL489" s="257">
        <v>0</v>
      </c>
      <c r="CM489" s="257">
        <v>0</v>
      </c>
      <c r="CN489" s="257" t="s">
        <v>3072</v>
      </c>
      <c r="CO489" s="257">
        <v>55.163392309999999</v>
      </c>
      <c r="CP489" s="257">
        <v>89.04746797</v>
      </c>
      <c r="CQ489" s="257">
        <v>69.151174816326531</v>
      </c>
      <c r="CR489" s="257">
        <v>-9.0346308719999993</v>
      </c>
      <c r="CS489" s="257">
        <v>-8.1050396580000008</v>
      </c>
      <c r="CT489" s="257">
        <v>9.295912139999984E-4</v>
      </c>
      <c r="CU489" s="257">
        <v>1.3442883891258529E-5</v>
      </c>
      <c r="CV489" s="258">
        <v>0.1028919971574018</v>
      </c>
      <c r="CW489" s="256" t="s">
        <v>234</v>
      </c>
      <c r="CX489" s="257" t="s">
        <v>3073</v>
      </c>
      <c r="CY489" s="257" t="s">
        <v>235</v>
      </c>
      <c r="CZ489" s="257"/>
      <c r="DA489" s="276"/>
      <c r="DB489" s="276">
        <v>80</v>
      </c>
      <c r="DC489" s="257" t="s">
        <v>3074</v>
      </c>
      <c r="DD489" s="257">
        <v>0</v>
      </c>
      <c r="DE489" s="257">
        <v>1</v>
      </c>
      <c r="DF489" s="257">
        <v>0</v>
      </c>
      <c r="DG489" s="257">
        <v>0</v>
      </c>
      <c r="DH489" s="257"/>
      <c r="DI489" s="257">
        <v>1</v>
      </c>
      <c r="DJ489" s="257" t="s">
        <v>173</v>
      </c>
      <c r="DK489" s="257">
        <v>0</v>
      </c>
      <c r="DL489" s="257" t="s">
        <v>180</v>
      </c>
      <c r="DM489" s="257">
        <v>0</v>
      </c>
      <c r="DN489" s="257">
        <v>0</v>
      </c>
      <c r="DO489" s="257">
        <v>0</v>
      </c>
      <c r="DP489" s="276">
        <v>0</v>
      </c>
      <c r="DQ489" s="276">
        <v>0</v>
      </c>
      <c r="DR489" s="276">
        <v>0</v>
      </c>
      <c r="DS489" s="276">
        <v>0</v>
      </c>
      <c r="DT489" s="257">
        <v>0</v>
      </c>
      <c r="DU489" s="276" t="s">
        <v>962</v>
      </c>
      <c r="DV489" s="276">
        <v>1</v>
      </c>
      <c r="DW489" s="276">
        <v>1</v>
      </c>
      <c r="DX489" s="276">
        <v>1</v>
      </c>
      <c r="DY489" s="276">
        <v>0</v>
      </c>
      <c r="DZ489" s="257">
        <v>0</v>
      </c>
      <c r="EA489" s="276">
        <v>0</v>
      </c>
      <c r="EB489" s="276">
        <v>1</v>
      </c>
      <c r="EC489" s="276">
        <v>1</v>
      </c>
      <c r="ED489" s="276">
        <v>0</v>
      </c>
      <c r="EE489" s="276">
        <v>0</v>
      </c>
      <c r="EF489" s="257">
        <v>1</v>
      </c>
      <c r="EG489" s="276">
        <v>0</v>
      </c>
      <c r="EH489" s="257">
        <v>0</v>
      </c>
      <c r="EI489" s="258">
        <v>0</v>
      </c>
      <c r="EJ489" s="256"/>
      <c r="EK489" t="str">
        <f>IF(AND(AND(AND(OR($DX489=1,$DW489=1),OR($EC489=1,$EA489=1)),SUM($DV489:$DZ489,$EF489)&gt;=4),SUM($EA489:$EE489)&gt;=2),"Whole sector","")</f>
        <v>Whole sector</v>
      </c>
      <c r="EL489" t="str">
        <f>IF(AND(AND(OR($DX489=1,$DW489=1),AND($EC489=0,$EA489=0)),SUM($DV489:$DZ489,$EF489)&gt;=4),"Ecosystem approach","")</f>
        <v/>
      </c>
      <c r="EM489" s="258" t="s">
        <v>544</v>
      </c>
      <c r="EN489" s="257" t="s">
        <v>236</v>
      </c>
      <c r="EO489" s="257"/>
      <c r="EP489" t="str">
        <f>IF(ISNUMBER(BU489),IF(ABS(BU489-[2]QC_indicators!$B$2)&gt;3*[2]QC_indicators!$C$2,"C ratio",IF(ISNUMBER(BY489),IF(ABS(BY489-[2]QC_indicators!$B$1)&gt;3*[2]QC_indicators!$C$1,"DF","no"))),IF(ISNUMBER(BY489),IF(ABS(BY489-[2]QC_indicators!$B$1)&gt;3*[2]QC_indicators!$C$1,"DF","no")))</f>
        <v>no</v>
      </c>
      <c r="EQ489" s="280"/>
      <c r="ER489" s="280"/>
      <c r="ES489" s="280"/>
    </row>
    <row r="490" spans="1:150" ht="15" customHeight="1">
      <c r="A490" s="256" t="s">
        <v>214</v>
      </c>
      <c r="B490" s="257" t="s">
        <v>215</v>
      </c>
      <c r="C490" s="257" t="s">
        <v>216</v>
      </c>
      <c r="D490" s="257" t="s">
        <v>217</v>
      </c>
      <c r="E490" s="257" t="s">
        <v>218</v>
      </c>
      <c r="F490" s="257" t="s">
        <v>219</v>
      </c>
      <c r="G490" s="257" t="s">
        <v>220</v>
      </c>
      <c r="H490" s="257"/>
      <c r="I490" s="257">
        <v>2012</v>
      </c>
      <c r="J490" s="257"/>
      <c r="K490" s="257" t="s">
        <v>221</v>
      </c>
      <c r="L490" s="257"/>
      <c r="M490" s="257" t="s">
        <v>3070</v>
      </c>
      <c r="N490" s="257" t="s">
        <v>222</v>
      </c>
      <c r="O490" s="275" t="s">
        <v>223</v>
      </c>
      <c r="P490" s="257"/>
      <c r="Q490" s="257" t="s">
        <v>224</v>
      </c>
      <c r="R490" s="258" t="s">
        <v>225</v>
      </c>
      <c r="S490" s="256" t="s">
        <v>92</v>
      </c>
      <c r="T490" s="257" t="s">
        <v>245</v>
      </c>
      <c r="U490" s="276" t="s">
        <v>246</v>
      </c>
      <c r="V490" s="257">
        <v>0</v>
      </c>
      <c r="W490" s="257">
        <v>0</v>
      </c>
      <c r="X490" s="257">
        <v>0</v>
      </c>
      <c r="Y490" s="257">
        <v>0</v>
      </c>
      <c r="Z490" s="257">
        <v>1</v>
      </c>
      <c r="AA490" s="257">
        <v>0</v>
      </c>
      <c r="AB490" s="257">
        <v>0</v>
      </c>
      <c r="AC490" s="257">
        <v>0</v>
      </c>
      <c r="AD490" s="257">
        <v>0</v>
      </c>
      <c r="AE490" s="257">
        <v>0</v>
      </c>
      <c r="AF490" s="257">
        <v>0</v>
      </c>
      <c r="AG490" s="257">
        <v>0</v>
      </c>
      <c r="AH490" s="257">
        <v>0</v>
      </c>
      <c r="AI490" s="257">
        <v>0</v>
      </c>
      <c r="AJ490" s="257">
        <v>0</v>
      </c>
      <c r="AK490" s="257">
        <v>0</v>
      </c>
      <c r="AL490" s="257">
        <v>0</v>
      </c>
      <c r="AM490" s="257">
        <v>0</v>
      </c>
      <c r="AN490" s="257">
        <v>0</v>
      </c>
      <c r="AO490" s="257">
        <v>0</v>
      </c>
      <c r="AP490" s="257">
        <v>0</v>
      </c>
      <c r="AQ490" s="257">
        <v>0</v>
      </c>
      <c r="AR490" s="257">
        <v>0</v>
      </c>
      <c r="AS490" s="257">
        <v>0</v>
      </c>
      <c r="AT490" s="257">
        <v>0</v>
      </c>
      <c r="AU490" s="257">
        <v>0</v>
      </c>
      <c r="AV490" s="257">
        <v>0</v>
      </c>
      <c r="AW490" s="257">
        <v>0</v>
      </c>
      <c r="AX490" s="277">
        <v>1</v>
      </c>
      <c r="AY490" s="277">
        <v>1</v>
      </c>
      <c r="AZ490" s="257">
        <v>1</v>
      </c>
      <c r="BA490" s="257">
        <v>0</v>
      </c>
      <c r="BB490" s="257">
        <v>0</v>
      </c>
      <c r="BC490" s="257">
        <v>0</v>
      </c>
      <c r="BD490" s="257">
        <v>0</v>
      </c>
      <c r="BE490" s="257" t="s">
        <v>92</v>
      </c>
      <c r="BF490" s="2" t="str" cm="1">
        <f t="array" ref="BF490">IF(COUNTIF(AZ490:BB490,"&lt;&gt;0")=1,INDEX($V$4:$AW$4,MATCH(TRUE,INDEX($V490:$AW490&lt;&gt;0,),0)),IF(COUNTIF(AZ490:BB490,"&lt;&gt;0")=0,INDEX($AM$4:$AW$4,MATCH(1,$AM490:$AW490,0)),"Multiple strategies"))</f>
        <v>Silviculture for productivity</v>
      </c>
      <c r="BG490" s="278" t="s">
        <v>229</v>
      </c>
      <c r="BH490" s="257" t="s">
        <v>230</v>
      </c>
      <c r="BI490" s="279" t="s">
        <v>3071</v>
      </c>
      <c r="BJ490" s="276" t="s">
        <v>231</v>
      </c>
      <c r="BK490" s="257">
        <v>63.5091743119266</v>
      </c>
      <c r="BL490" s="257">
        <v>85.005979255643595</v>
      </c>
      <c r="BM490" s="276">
        <v>1.3384834581242546</v>
      </c>
      <c r="BN490" s="257">
        <v>21.496804943716995</v>
      </c>
      <c r="BO490" s="276">
        <v>43.871030497381625</v>
      </c>
      <c r="BP490" s="276" t="s">
        <v>232</v>
      </c>
      <c r="BQ490" s="279" t="s">
        <v>3071</v>
      </c>
      <c r="BR490" s="276" t="s">
        <v>233</v>
      </c>
      <c r="BS490" s="257">
        <v>-8.71587255658436</v>
      </c>
      <c r="BT490" s="257">
        <v>-8.1260280658938306</v>
      </c>
      <c r="BU490" s="259">
        <v>0.93232525064344429</v>
      </c>
      <c r="BV490" s="257">
        <v>0.58984449069052935</v>
      </c>
      <c r="BW490" s="257"/>
      <c r="BX490" s="257">
        <v>5.898444906905294E-4</v>
      </c>
      <c r="BY490" s="257">
        <v>1.3444965481851021E-5</v>
      </c>
      <c r="BZ490" s="257">
        <v>0</v>
      </c>
      <c r="CA490" s="257">
        <v>0</v>
      </c>
      <c r="CB490" s="257">
        <v>0</v>
      </c>
      <c r="CC490" s="257">
        <v>0</v>
      </c>
      <c r="CD490" s="257">
        <v>0</v>
      </c>
      <c r="CE490" s="257">
        <v>0</v>
      </c>
      <c r="CF490" s="257">
        <v>0</v>
      </c>
      <c r="CG490" s="257">
        <v>0</v>
      </c>
      <c r="CH490" s="257">
        <v>0</v>
      </c>
      <c r="CI490" s="257">
        <v>0</v>
      </c>
      <c r="CJ490" s="257">
        <v>0</v>
      </c>
      <c r="CK490" s="257">
        <v>0</v>
      </c>
      <c r="CL490" s="257">
        <v>0</v>
      </c>
      <c r="CM490" s="257">
        <v>0</v>
      </c>
      <c r="CN490" s="257" t="s">
        <v>3072</v>
      </c>
      <c r="CO490" s="257">
        <v>63.5091743119266</v>
      </c>
      <c r="CP490" s="257">
        <v>85.005979255643595</v>
      </c>
      <c r="CQ490" s="257">
        <v>43.871030497381625</v>
      </c>
      <c r="CR490" s="257">
        <v>-8.71587255658436</v>
      </c>
      <c r="CS490" s="257">
        <v>-8.1260280658938306</v>
      </c>
      <c r="CT490" s="257">
        <v>5.898444906905294E-4</v>
      </c>
      <c r="CU490" s="257">
        <v>1.3444965481851021E-5</v>
      </c>
      <c r="CV490" s="258">
        <v>6.767474935655575E-2</v>
      </c>
      <c r="CW490" s="256" t="s">
        <v>234</v>
      </c>
      <c r="CX490" s="257" t="s">
        <v>3073</v>
      </c>
      <c r="CY490" s="257" t="s">
        <v>235</v>
      </c>
      <c r="CZ490" s="257"/>
      <c r="DA490" s="276"/>
      <c r="DB490" s="276">
        <v>80</v>
      </c>
      <c r="DC490" s="257" t="s">
        <v>3074</v>
      </c>
      <c r="DD490" s="257">
        <v>0</v>
      </c>
      <c r="DE490" s="257">
        <v>1</v>
      </c>
      <c r="DF490" s="257">
        <v>0</v>
      </c>
      <c r="DG490" s="257">
        <v>0</v>
      </c>
      <c r="DH490" s="257"/>
      <c r="DI490" s="257">
        <v>1</v>
      </c>
      <c r="DJ490" s="257" t="s">
        <v>173</v>
      </c>
      <c r="DK490" s="257">
        <v>0</v>
      </c>
      <c r="DL490" s="257" t="s">
        <v>180</v>
      </c>
      <c r="DM490" s="257">
        <v>0</v>
      </c>
      <c r="DN490" s="257">
        <v>0</v>
      </c>
      <c r="DO490" s="257">
        <v>0</v>
      </c>
      <c r="DP490" s="276">
        <v>0</v>
      </c>
      <c r="DQ490" s="276">
        <v>0</v>
      </c>
      <c r="DR490" s="276">
        <v>0</v>
      </c>
      <c r="DS490" s="276">
        <v>0</v>
      </c>
      <c r="DT490" s="257">
        <v>0</v>
      </c>
      <c r="DU490" s="276" t="s">
        <v>962</v>
      </c>
      <c r="DV490" s="276">
        <v>1</v>
      </c>
      <c r="DW490" s="276">
        <v>1</v>
      </c>
      <c r="DX490" s="276">
        <v>1</v>
      </c>
      <c r="DY490" s="276">
        <v>0</v>
      </c>
      <c r="DZ490" s="257">
        <v>0</v>
      </c>
      <c r="EA490" s="276">
        <v>0</v>
      </c>
      <c r="EB490" s="276">
        <v>1</v>
      </c>
      <c r="EC490" s="276">
        <v>1</v>
      </c>
      <c r="ED490" s="276">
        <v>0</v>
      </c>
      <c r="EE490" s="276">
        <v>0</v>
      </c>
      <c r="EF490" s="257">
        <v>1</v>
      </c>
      <c r="EG490" s="276">
        <v>0</v>
      </c>
      <c r="EH490" s="257">
        <v>0</v>
      </c>
      <c r="EI490" s="258">
        <v>0</v>
      </c>
      <c r="EJ490" s="256"/>
      <c r="EK490" t="str">
        <f>IF(AND(AND(AND(OR($DX490=1,$DW490=1),OR($EC490=1,$EA490=1)),SUM($DV490:$DZ490,$EF490)&gt;=4),SUM($EA490:$EE490)&gt;=2),"Whole sector","")</f>
        <v>Whole sector</v>
      </c>
      <c r="EL490" t="str">
        <f>IF(AND(AND(OR($DX490=1,$DW490=1),AND($EC490=0,$EA490=0)),SUM($DV490:$DZ490,$EF490)&gt;=4),"Ecosystem approach","")</f>
        <v/>
      </c>
      <c r="EM490" s="258" t="s">
        <v>544</v>
      </c>
      <c r="EN490" s="257" t="s">
        <v>236</v>
      </c>
      <c r="EO490" s="257"/>
      <c r="EP490" t="str">
        <f>IF(ISNUMBER(BU490),IF(ABS(BU490-[2]QC_indicators!$B$2)&gt;3*[2]QC_indicators!$C$2,"C ratio",IF(ISNUMBER(BY490),IF(ABS(BY490-[2]QC_indicators!$B$1)&gt;3*[2]QC_indicators!$C$1,"DF","no"))),IF(ISNUMBER(BY490),IF(ABS(BY490-[2]QC_indicators!$B$1)&gt;3*[2]QC_indicators!$C$1,"DF","no")))</f>
        <v>no</v>
      </c>
      <c r="EQ490" s="257"/>
      <c r="ER490" s="257"/>
    </row>
    <row r="491" spans="1:150" ht="15" customHeight="1">
      <c r="A491" s="256" t="s">
        <v>214</v>
      </c>
      <c r="B491" s="257" t="s">
        <v>215</v>
      </c>
      <c r="C491" s="257" t="s">
        <v>216</v>
      </c>
      <c r="D491" s="257" t="s">
        <v>217</v>
      </c>
      <c r="E491" s="257" t="s">
        <v>218</v>
      </c>
      <c r="F491" s="257" t="s">
        <v>219</v>
      </c>
      <c r="G491" s="257" t="s">
        <v>220</v>
      </c>
      <c r="H491" s="257"/>
      <c r="I491" s="257">
        <v>2012</v>
      </c>
      <c r="J491" s="257"/>
      <c r="K491" s="257" t="s">
        <v>221</v>
      </c>
      <c r="L491" s="257"/>
      <c r="M491" s="257" t="s">
        <v>3070</v>
      </c>
      <c r="N491" s="257" t="s">
        <v>222</v>
      </c>
      <c r="O491" s="275" t="s">
        <v>223</v>
      </c>
      <c r="P491" s="257"/>
      <c r="Q491" s="257" t="s">
        <v>224</v>
      </c>
      <c r="R491" s="258" t="s">
        <v>225</v>
      </c>
      <c r="S491" s="256" t="s">
        <v>240</v>
      </c>
      <c r="T491" s="257">
        <v>2000</v>
      </c>
      <c r="U491" s="257">
        <v>4000</v>
      </c>
      <c r="V491" s="257">
        <v>0</v>
      </c>
      <c r="W491" s="257">
        <v>0</v>
      </c>
      <c r="X491" s="257">
        <v>0</v>
      </c>
      <c r="Y491" s="257">
        <v>0</v>
      </c>
      <c r="Z491" s="257">
        <v>0</v>
      </c>
      <c r="AA491" s="257">
        <v>1</v>
      </c>
      <c r="AB491" s="257">
        <v>0</v>
      </c>
      <c r="AC491" s="257">
        <v>0</v>
      </c>
      <c r="AD491" s="257">
        <v>0</v>
      </c>
      <c r="AE491" s="257">
        <v>0</v>
      </c>
      <c r="AF491" s="257">
        <v>0</v>
      </c>
      <c r="AG491" s="257">
        <v>0</v>
      </c>
      <c r="AH491" s="257">
        <v>0</v>
      </c>
      <c r="AI491" s="257">
        <v>0</v>
      </c>
      <c r="AJ491" s="257">
        <v>0</v>
      </c>
      <c r="AK491" s="257">
        <v>0</v>
      </c>
      <c r="AL491" s="257">
        <v>0</v>
      </c>
      <c r="AM491" s="257">
        <v>0</v>
      </c>
      <c r="AN491" s="257">
        <v>0</v>
      </c>
      <c r="AO491" s="257">
        <v>0</v>
      </c>
      <c r="AP491" s="257">
        <v>0</v>
      </c>
      <c r="AQ491" s="257">
        <v>0</v>
      </c>
      <c r="AR491" s="257">
        <v>0</v>
      </c>
      <c r="AS491" s="257">
        <v>0</v>
      </c>
      <c r="AT491" s="257">
        <v>0</v>
      </c>
      <c r="AU491" s="257">
        <v>0</v>
      </c>
      <c r="AV491" s="257">
        <v>0</v>
      </c>
      <c r="AW491" s="257">
        <v>0</v>
      </c>
      <c r="AX491" s="277">
        <v>1</v>
      </c>
      <c r="AY491" s="277">
        <v>1</v>
      </c>
      <c r="AZ491" s="257">
        <v>1</v>
      </c>
      <c r="BA491" s="257">
        <v>0</v>
      </c>
      <c r="BB491" s="257">
        <v>0</v>
      </c>
      <c r="BC491" s="257">
        <v>0</v>
      </c>
      <c r="BD491" s="257">
        <v>0</v>
      </c>
      <c r="BE491" s="257" t="s">
        <v>93</v>
      </c>
      <c r="BF491" s="2" t="str" cm="1">
        <f t="array" ref="BF491">IF(COUNTIF(AZ491:BB491,"&lt;&gt;0")=1,INDEX($V$4:$AW$4,MATCH(TRUE,INDEX($V491:$AW491&lt;&gt;0,),0)),IF(COUNTIF(AZ491:BB491,"&lt;&gt;0")=0,INDEX($AM$4:$AW$4,MATCH(1,$AM491:$AW491,0)),"Multiple strategies"))</f>
        <v>Silviculture for productivity</v>
      </c>
      <c r="BG491" s="278" t="s">
        <v>229</v>
      </c>
      <c r="BH491" s="257" t="s">
        <v>230</v>
      </c>
      <c r="BI491" s="279" t="s">
        <v>3071</v>
      </c>
      <c r="BJ491" s="276" t="s">
        <v>231</v>
      </c>
      <c r="BK491" s="257">
        <v>37.305819020000001</v>
      </c>
      <c r="BL491" s="257">
        <v>46.459096459999998</v>
      </c>
      <c r="BM491" s="276">
        <v>1.2453579007364197</v>
      </c>
      <c r="BN491" s="257">
        <v>9.1532774399999965</v>
      </c>
      <c r="BO491" s="276">
        <v>18.68015804081632</v>
      </c>
      <c r="BP491" s="276" t="s">
        <v>232</v>
      </c>
      <c r="BQ491" s="279" t="s">
        <v>3071</v>
      </c>
      <c r="BR491" s="276" t="s">
        <v>233</v>
      </c>
      <c r="BS491" s="257">
        <v>-9.8192771079999996</v>
      </c>
      <c r="BT491" s="257">
        <v>-9.5592716459999991</v>
      </c>
      <c r="BU491" s="259">
        <v>0.97352091613870761</v>
      </c>
      <c r="BV491" s="257">
        <v>0.26000546200000052</v>
      </c>
      <c r="BW491" s="257"/>
      <c r="BX491" s="257">
        <v>2.6000546200000054E-4</v>
      </c>
      <c r="BY491" s="257">
        <v>1.3918804189551619E-5</v>
      </c>
      <c r="BZ491" s="257">
        <v>0</v>
      </c>
      <c r="CA491" s="257">
        <v>0</v>
      </c>
      <c r="CB491" s="257">
        <v>0</v>
      </c>
      <c r="CC491" s="257">
        <v>0</v>
      </c>
      <c r="CD491" s="257">
        <v>0</v>
      </c>
      <c r="CE491" s="257">
        <v>0</v>
      </c>
      <c r="CF491" s="257">
        <v>0</v>
      </c>
      <c r="CG491" s="257">
        <v>0</v>
      </c>
      <c r="CH491" s="257">
        <v>0</v>
      </c>
      <c r="CI491" s="257">
        <v>0</v>
      </c>
      <c r="CJ491" s="257">
        <v>0</v>
      </c>
      <c r="CK491" s="257">
        <v>0</v>
      </c>
      <c r="CL491" s="257">
        <v>0</v>
      </c>
      <c r="CM491" s="257">
        <v>0</v>
      </c>
      <c r="CN491" s="257" t="s">
        <v>3072</v>
      </c>
      <c r="CO491" s="257">
        <v>37.305819020000001</v>
      </c>
      <c r="CP491" s="257">
        <v>46.459096459999998</v>
      </c>
      <c r="CQ491" s="257">
        <v>18.68015804081632</v>
      </c>
      <c r="CR491" s="257">
        <v>-9.8192771079999996</v>
      </c>
      <c r="CS491" s="257">
        <v>-9.5592716459999991</v>
      </c>
      <c r="CT491" s="257">
        <v>2.6000546200000054E-4</v>
      </c>
      <c r="CU491" s="257">
        <v>1.3918804189551619E-5</v>
      </c>
      <c r="CV491" s="258">
        <v>2.6479083861292382E-2</v>
      </c>
      <c r="CW491" s="256" t="s">
        <v>234</v>
      </c>
      <c r="CX491" s="257" t="s">
        <v>3073</v>
      </c>
      <c r="CY491" s="257" t="s">
        <v>235</v>
      </c>
      <c r="CZ491" s="257"/>
      <c r="DA491" s="276"/>
      <c r="DB491" s="276">
        <v>80</v>
      </c>
      <c r="DC491" s="257" t="s">
        <v>3074</v>
      </c>
      <c r="DD491" s="257">
        <v>0</v>
      </c>
      <c r="DE491" s="257">
        <v>1</v>
      </c>
      <c r="DF491" s="257">
        <v>0</v>
      </c>
      <c r="DG491" s="257">
        <v>0</v>
      </c>
      <c r="DH491" s="257"/>
      <c r="DI491" s="257">
        <v>1</v>
      </c>
      <c r="DJ491" s="257" t="s">
        <v>173</v>
      </c>
      <c r="DK491" s="257">
        <v>0</v>
      </c>
      <c r="DL491" s="257" t="s">
        <v>180</v>
      </c>
      <c r="DM491" s="257">
        <v>0</v>
      </c>
      <c r="DN491" s="257">
        <v>0</v>
      </c>
      <c r="DO491" s="257">
        <v>0</v>
      </c>
      <c r="DP491" s="276">
        <v>0</v>
      </c>
      <c r="DQ491" s="276">
        <v>0</v>
      </c>
      <c r="DR491" s="276">
        <v>0</v>
      </c>
      <c r="DS491" s="276">
        <v>0</v>
      </c>
      <c r="DT491" s="257">
        <v>0</v>
      </c>
      <c r="DU491" s="276" t="s">
        <v>962</v>
      </c>
      <c r="DV491" s="276">
        <v>1</v>
      </c>
      <c r="DW491" s="276">
        <v>1</v>
      </c>
      <c r="DX491" s="276">
        <v>1</v>
      </c>
      <c r="DY491" s="276">
        <v>0</v>
      </c>
      <c r="DZ491" s="257">
        <v>0</v>
      </c>
      <c r="EA491" s="276">
        <v>0</v>
      </c>
      <c r="EB491" s="276">
        <v>1</v>
      </c>
      <c r="EC491" s="276">
        <v>1</v>
      </c>
      <c r="ED491" s="276">
        <v>0</v>
      </c>
      <c r="EE491" s="276">
        <v>0</v>
      </c>
      <c r="EF491" s="257">
        <v>1</v>
      </c>
      <c r="EG491" s="276">
        <v>0</v>
      </c>
      <c r="EH491" s="257">
        <v>0</v>
      </c>
      <c r="EI491" s="258">
        <v>0</v>
      </c>
      <c r="EJ491" s="256"/>
      <c r="EK491" t="str">
        <f>IF(AND(AND(AND(OR($DX491=1,$DW491=1),OR($EC491=1,$EA491=1)),SUM($DV491:$DZ491,$EF491)&gt;=4),SUM($EA491:$EE491)&gt;=2),"Whole sector","")</f>
        <v>Whole sector</v>
      </c>
      <c r="EL491" t="str">
        <f>IF(AND(AND(OR($DX491=1,$DW491=1),AND($EC491=0,$EA491=0)),SUM($DV491:$DZ491,$EF491)&gt;=4),"Ecosystem approach","")</f>
        <v/>
      </c>
      <c r="EM491" s="258" t="s">
        <v>544</v>
      </c>
      <c r="EN491" s="257" t="s">
        <v>236</v>
      </c>
      <c r="EO491" s="257"/>
      <c r="EP491" t="str">
        <f>IF(ISNUMBER(BU491),IF(ABS(BU491-[2]QC_indicators!$B$2)&gt;3*[2]QC_indicators!$C$2,"C ratio",IF(ISNUMBER(BY491),IF(ABS(BY491-[2]QC_indicators!$B$1)&gt;3*[2]QC_indicators!$C$1,"DF","no"))),IF(ISNUMBER(BY491),IF(ABS(BY491-[2]QC_indicators!$B$1)&gt;3*[2]QC_indicators!$C$1,"DF","no")))</f>
        <v>no</v>
      </c>
      <c r="EQ491" s="280"/>
      <c r="ER491" s="280"/>
      <c r="ES491" s="280"/>
    </row>
    <row r="492" spans="1:150" ht="15" customHeight="1">
      <c r="A492" s="256" t="s">
        <v>214</v>
      </c>
      <c r="B492" s="257" t="s">
        <v>215</v>
      </c>
      <c r="C492" s="257" t="s">
        <v>216</v>
      </c>
      <c r="D492" s="257" t="s">
        <v>217</v>
      </c>
      <c r="E492" s="257" t="s">
        <v>218</v>
      </c>
      <c r="F492" s="257" t="s">
        <v>219</v>
      </c>
      <c r="G492" s="257" t="s">
        <v>220</v>
      </c>
      <c r="H492" s="257"/>
      <c r="I492" s="257">
        <v>2012</v>
      </c>
      <c r="J492" s="257"/>
      <c r="K492" s="257" t="s">
        <v>221</v>
      </c>
      <c r="L492" s="257"/>
      <c r="M492" s="257" t="s">
        <v>3070</v>
      </c>
      <c r="N492" s="257" t="s">
        <v>222</v>
      </c>
      <c r="O492" s="275" t="s">
        <v>223</v>
      </c>
      <c r="P492" s="257"/>
      <c r="Q492" s="257" t="s">
        <v>224</v>
      </c>
      <c r="R492" s="258" t="s">
        <v>225</v>
      </c>
      <c r="S492" s="256" t="s">
        <v>92</v>
      </c>
      <c r="T492" s="257" t="s">
        <v>245</v>
      </c>
      <c r="U492" s="276" t="s">
        <v>246</v>
      </c>
      <c r="V492" s="257">
        <v>0</v>
      </c>
      <c r="W492" s="257">
        <v>0</v>
      </c>
      <c r="X492" s="257">
        <v>0</v>
      </c>
      <c r="Y492" s="257">
        <v>0</v>
      </c>
      <c r="Z492" s="257">
        <v>1</v>
      </c>
      <c r="AA492" s="257">
        <v>0</v>
      </c>
      <c r="AB492" s="257">
        <v>0</v>
      </c>
      <c r="AC492" s="257">
        <v>0</v>
      </c>
      <c r="AD492" s="257">
        <v>0</v>
      </c>
      <c r="AE492" s="257">
        <v>0</v>
      </c>
      <c r="AF492" s="257">
        <v>0</v>
      </c>
      <c r="AG492" s="257">
        <v>0</v>
      </c>
      <c r="AH492" s="257">
        <v>0</v>
      </c>
      <c r="AI492" s="257">
        <v>0</v>
      </c>
      <c r="AJ492" s="257">
        <v>0</v>
      </c>
      <c r="AK492" s="257">
        <v>0</v>
      </c>
      <c r="AL492" s="257">
        <v>0</v>
      </c>
      <c r="AM492" s="257">
        <v>0</v>
      </c>
      <c r="AN492" s="257">
        <v>0</v>
      </c>
      <c r="AO492" s="257">
        <v>0</v>
      </c>
      <c r="AP492" s="257">
        <v>0</v>
      </c>
      <c r="AQ492" s="257">
        <v>0</v>
      </c>
      <c r="AR492" s="257">
        <v>0</v>
      </c>
      <c r="AS492" s="257">
        <v>0</v>
      </c>
      <c r="AT492" s="257">
        <v>0</v>
      </c>
      <c r="AU492" s="257">
        <v>0</v>
      </c>
      <c r="AV492" s="257">
        <v>0</v>
      </c>
      <c r="AW492" s="257">
        <v>0</v>
      </c>
      <c r="AX492" s="277">
        <v>1</v>
      </c>
      <c r="AY492" s="277">
        <v>1</v>
      </c>
      <c r="AZ492" s="257">
        <v>1</v>
      </c>
      <c r="BA492" s="257">
        <v>0</v>
      </c>
      <c r="BB492" s="257">
        <v>0</v>
      </c>
      <c r="BC492" s="257">
        <v>0</v>
      </c>
      <c r="BD492" s="257">
        <v>0</v>
      </c>
      <c r="BE492" s="257" t="s">
        <v>92</v>
      </c>
      <c r="BF492" s="2" t="str" cm="1">
        <f t="array" ref="BF492">IF(COUNTIF(AZ492:BB492,"&lt;&gt;0")=1,INDEX($V$4:$AW$4,MATCH(TRUE,INDEX($V492:$AW492&lt;&gt;0,),0)),IF(COUNTIF(AZ492:BB492,"&lt;&gt;0")=0,INDEX($AM$4:$AW$4,MATCH(1,$AM492:$AW492,0)),"Multiple strategies"))</f>
        <v>Silviculture for productivity</v>
      </c>
      <c r="BG492" s="278" t="s">
        <v>229</v>
      </c>
      <c r="BH492" s="257" t="s">
        <v>230</v>
      </c>
      <c r="BI492" s="279" t="s">
        <v>3071</v>
      </c>
      <c r="BJ492" s="276" t="s">
        <v>231</v>
      </c>
      <c r="BK492" s="257">
        <v>68.821883277791997</v>
      </c>
      <c r="BL492" s="257">
        <v>90.5390284179134</v>
      </c>
      <c r="BM492" s="276">
        <v>1.3155558102422529</v>
      </c>
      <c r="BN492" s="257">
        <v>21.717145140121403</v>
      </c>
      <c r="BO492" s="276">
        <v>44.320704367594701</v>
      </c>
      <c r="BP492" s="276" t="s">
        <v>232</v>
      </c>
      <c r="BQ492" s="279" t="s">
        <v>3071</v>
      </c>
      <c r="BR492" s="276" t="s">
        <v>233</v>
      </c>
      <c r="BS492" s="257">
        <v>-8.9016064257028091</v>
      </c>
      <c r="BT492" s="257">
        <v>-8.2073792916471504</v>
      </c>
      <c r="BU492" s="259">
        <v>0.92201102802623092</v>
      </c>
      <c r="BV492" s="257">
        <v>0.69422713405565872</v>
      </c>
      <c r="BW492" s="257"/>
      <c r="BX492" s="257">
        <v>6.9422713405565867E-4</v>
      </c>
      <c r="BY492" s="257">
        <v>1.5663720691299443E-5</v>
      </c>
      <c r="BZ492" s="257">
        <v>0</v>
      </c>
      <c r="CA492" s="257">
        <v>0</v>
      </c>
      <c r="CB492" s="257">
        <v>0</v>
      </c>
      <c r="CC492" s="257">
        <v>0</v>
      </c>
      <c r="CD492" s="257">
        <v>0</v>
      </c>
      <c r="CE492" s="257">
        <v>0</v>
      </c>
      <c r="CF492" s="257">
        <v>0</v>
      </c>
      <c r="CG492" s="257">
        <v>0</v>
      </c>
      <c r="CH492" s="257">
        <v>0</v>
      </c>
      <c r="CI492" s="257">
        <v>0</v>
      </c>
      <c r="CJ492" s="257">
        <v>0</v>
      </c>
      <c r="CK492" s="257">
        <v>0</v>
      </c>
      <c r="CL492" s="257">
        <v>0</v>
      </c>
      <c r="CM492" s="257">
        <v>0</v>
      </c>
      <c r="CN492" s="257" t="s">
        <v>3072</v>
      </c>
      <c r="CO492" s="257">
        <v>68.821883277791997</v>
      </c>
      <c r="CP492" s="257">
        <v>90.5390284179134</v>
      </c>
      <c r="CQ492" s="257">
        <v>44.320704367594701</v>
      </c>
      <c r="CR492" s="257">
        <v>-8.9016064257028091</v>
      </c>
      <c r="CS492" s="257">
        <v>-8.2073792916471504</v>
      </c>
      <c r="CT492" s="257">
        <v>6.9422713405565867E-4</v>
      </c>
      <c r="CU492" s="257">
        <v>1.5663720691299443E-5</v>
      </c>
      <c r="CV492" s="258">
        <v>7.7988971973769028E-2</v>
      </c>
      <c r="CW492" s="256" t="s">
        <v>234</v>
      </c>
      <c r="CX492" s="257" t="s">
        <v>3073</v>
      </c>
      <c r="CY492" s="257" t="s">
        <v>235</v>
      </c>
      <c r="CZ492" s="257"/>
      <c r="DA492" s="276"/>
      <c r="DB492" s="276">
        <v>80</v>
      </c>
      <c r="DC492" s="257" t="s">
        <v>3074</v>
      </c>
      <c r="DD492" s="257">
        <v>0</v>
      </c>
      <c r="DE492" s="257">
        <v>1</v>
      </c>
      <c r="DF492" s="257">
        <v>0</v>
      </c>
      <c r="DG492" s="257">
        <v>0</v>
      </c>
      <c r="DH492" s="257"/>
      <c r="DI492" s="257">
        <v>1</v>
      </c>
      <c r="DJ492" s="257" t="s">
        <v>173</v>
      </c>
      <c r="DK492" s="257">
        <v>0</v>
      </c>
      <c r="DL492" s="257" t="s">
        <v>180</v>
      </c>
      <c r="DM492" s="257">
        <v>0</v>
      </c>
      <c r="DN492" s="257">
        <v>0</v>
      </c>
      <c r="DO492" s="257">
        <v>0</v>
      </c>
      <c r="DP492" s="276">
        <v>0</v>
      </c>
      <c r="DQ492" s="276">
        <v>0</v>
      </c>
      <c r="DR492" s="276">
        <v>0</v>
      </c>
      <c r="DS492" s="276">
        <v>0</v>
      </c>
      <c r="DT492" s="257">
        <v>0</v>
      </c>
      <c r="DU492" s="276" t="s">
        <v>962</v>
      </c>
      <c r="DV492" s="276">
        <v>1</v>
      </c>
      <c r="DW492" s="276">
        <v>1</v>
      </c>
      <c r="DX492" s="276">
        <v>1</v>
      </c>
      <c r="DY492" s="276">
        <v>0</v>
      </c>
      <c r="DZ492" s="257">
        <v>0</v>
      </c>
      <c r="EA492" s="276">
        <v>0</v>
      </c>
      <c r="EB492" s="276">
        <v>1</v>
      </c>
      <c r="EC492" s="276">
        <v>1</v>
      </c>
      <c r="ED492" s="276">
        <v>0</v>
      </c>
      <c r="EE492" s="276">
        <v>0</v>
      </c>
      <c r="EF492" s="257">
        <v>1</v>
      </c>
      <c r="EG492" s="276">
        <v>0</v>
      </c>
      <c r="EH492" s="257">
        <v>0</v>
      </c>
      <c r="EI492" s="258">
        <v>0</v>
      </c>
      <c r="EJ492" s="256"/>
      <c r="EK492" t="str">
        <f>IF(AND(AND(AND(OR($DX492=1,$DW492=1),OR($EC492=1,$EA492=1)),SUM($DV492:$DZ492,$EF492)&gt;=4),SUM($EA492:$EE492)&gt;=2),"Whole sector","")</f>
        <v>Whole sector</v>
      </c>
      <c r="EL492" t="str">
        <f>IF(AND(AND(OR($DX492=1,$DW492=1),AND($EC492=0,$EA492=0)),SUM($DV492:$DZ492,$EF492)&gt;=4),"Ecosystem approach","")</f>
        <v/>
      </c>
      <c r="EM492" s="258" t="s">
        <v>544</v>
      </c>
      <c r="EN492" s="257" t="s">
        <v>236</v>
      </c>
      <c r="EO492" s="257"/>
      <c r="EP492" t="str">
        <f>IF(ISNUMBER(BU492),IF(ABS(BU492-[2]QC_indicators!$B$2)&gt;3*[2]QC_indicators!$C$2,"C ratio",IF(ISNUMBER(BY492),IF(ABS(BY492-[2]QC_indicators!$B$1)&gt;3*[2]QC_indicators!$C$1,"DF","no"))),IF(ISNUMBER(BY492),IF(ABS(BY492-[2]QC_indicators!$B$1)&gt;3*[2]QC_indicators!$C$1,"DF","no")))</f>
        <v>no</v>
      </c>
      <c r="EQ492" s="257"/>
      <c r="ER492" s="257"/>
    </row>
    <row r="493" spans="1:150" ht="15" customHeight="1">
      <c r="A493" s="256" t="s">
        <v>214</v>
      </c>
      <c r="B493" s="257" t="s">
        <v>215</v>
      </c>
      <c r="C493" s="257" t="s">
        <v>216</v>
      </c>
      <c r="D493" s="257" t="s">
        <v>217</v>
      </c>
      <c r="E493" s="257" t="s">
        <v>218</v>
      </c>
      <c r="F493" s="257" t="s">
        <v>219</v>
      </c>
      <c r="G493" s="257" t="s">
        <v>220</v>
      </c>
      <c r="H493" s="257"/>
      <c r="I493" s="257">
        <v>2012</v>
      </c>
      <c r="J493" s="257"/>
      <c r="K493" s="257" t="s">
        <v>221</v>
      </c>
      <c r="L493" s="257"/>
      <c r="M493" s="257" t="s">
        <v>3070</v>
      </c>
      <c r="N493" s="257" t="s">
        <v>222</v>
      </c>
      <c r="O493" s="275" t="s">
        <v>223</v>
      </c>
      <c r="P493" s="257"/>
      <c r="Q493" s="257" t="s">
        <v>224</v>
      </c>
      <c r="R493" s="258" t="s">
        <v>225</v>
      </c>
      <c r="S493" s="256" t="s">
        <v>92</v>
      </c>
      <c r="T493" s="257" t="s">
        <v>245</v>
      </c>
      <c r="U493" s="276" t="s">
        <v>246</v>
      </c>
      <c r="V493" s="257">
        <v>0</v>
      </c>
      <c r="W493" s="257">
        <v>0</v>
      </c>
      <c r="X493" s="257">
        <v>0</v>
      </c>
      <c r="Y493" s="257">
        <v>0</v>
      </c>
      <c r="Z493" s="257">
        <v>1</v>
      </c>
      <c r="AA493" s="257">
        <v>0</v>
      </c>
      <c r="AB493" s="257">
        <v>0</v>
      </c>
      <c r="AC493" s="257">
        <v>0</v>
      </c>
      <c r="AD493" s="257">
        <v>0</v>
      </c>
      <c r="AE493" s="257">
        <v>0</v>
      </c>
      <c r="AF493" s="257">
        <v>0</v>
      </c>
      <c r="AG493" s="257">
        <v>0</v>
      </c>
      <c r="AH493" s="257">
        <v>0</v>
      </c>
      <c r="AI493" s="257">
        <v>0</v>
      </c>
      <c r="AJ493" s="257">
        <v>0</v>
      </c>
      <c r="AK493" s="257">
        <v>0</v>
      </c>
      <c r="AL493" s="257">
        <v>0</v>
      </c>
      <c r="AM493" s="257">
        <v>0</v>
      </c>
      <c r="AN493" s="257">
        <v>0</v>
      </c>
      <c r="AO493" s="257">
        <v>0</v>
      </c>
      <c r="AP493" s="257">
        <v>0</v>
      </c>
      <c r="AQ493" s="257">
        <v>0</v>
      </c>
      <c r="AR493" s="257">
        <v>0</v>
      </c>
      <c r="AS493" s="257">
        <v>0</v>
      </c>
      <c r="AT493" s="257">
        <v>0</v>
      </c>
      <c r="AU493" s="257">
        <v>0</v>
      </c>
      <c r="AV493" s="257">
        <v>0</v>
      </c>
      <c r="AW493" s="257">
        <v>0</v>
      </c>
      <c r="AX493" s="277">
        <v>1</v>
      </c>
      <c r="AY493" s="277">
        <v>1</v>
      </c>
      <c r="AZ493" s="257">
        <v>1</v>
      </c>
      <c r="BA493" s="257">
        <v>0</v>
      </c>
      <c r="BB493" s="257">
        <v>0</v>
      </c>
      <c r="BC493" s="257">
        <v>0</v>
      </c>
      <c r="BD493" s="257">
        <v>0</v>
      </c>
      <c r="BE493" s="257" t="s">
        <v>92</v>
      </c>
      <c r="BF493" s="2" t="str" cm="1">
        <f t="array" ref="BF493">IF(COUNTIF(AZ493:BB493,"&lt;&gt;0")=1,INDEX($V$4:$AW$4,MATCH(TRUE,INDEX($V493:$AW493&lt;&gt;0,),0)),IF(COUNTIF(AZ493:BB493,"&lt;&gt;0")=0,INDEX($AM$4:$AW$4,MATCH(1,$AM493:$AW493,0)),"Multiple strategies"))</f>
        <v>Silviculture for productivity</v>
      </c>
      <c r="BG493" s="278" t="s">
        <v>229</v>
      </c>
      <c r="BH493" s="257" t="s">
        <v>230</v>
      </c>
      <c r="BI493" s="279" t="s">
        <v>3071</v>
      </c>
      <c r="BJ493" s="276" t="s">
        <v>231</v>
      </c>
      <c r="BK493" s="257">
        <v>58.199966021066899</v>
      </c>
      <c r="BL493" s="257">
        <v>89.047467968273295</v>
      </c>
      <c r="BM493" s="276">
        <v>1.530026116098425</v>
      </c>
      <c r="BN493" s="257">
        <v>30.847501947206396</v>
      </c>
      <c r="BO493" s="276">
        <v>62.954085606543664</v>
      </c>
      <c r="BP493" s="276" t="s">
        <v>232</v>
      </c>
      <c r="BQ493" s="279" t="s">
        <v>3071</v>
      </c>
      <c r="BR493" s="276" t="s">
        <v>233</v>
      </c>
      <c r="BS493" s="257">
        <v>-9.1378440072016396</v>
      </c>
      <c r="BT493" s="257">
        <v>-8.1050396583282396</v>
      </c>
      <c r="BU493" s="259">
        <v>0.88697505143889133</v>
      </c>
      <c r="BV493" s="257">
        <v>1.0328043488734</v>
      </c>
      <c r="BW493" s="257"/>
      <c r="BX493" s="257">
        <v>1.0328043488734E-3</v>
      </c>
      <c r="BY493" s="257">
        <v>1.6405676278555095E-5</v>
      </c>
      <c r="BZ493" s="257">
        <v>0</v>
      </c>
      <c r="CA493" s="257">
        <v>0</v>
      </c>
      <c r="CB493" s="257">
        <v>0</v>
      </c>
      <c r="CC493" s="257">
        <v>0</v>
      </c>
      <c r="CD493" s="257">
        <v>0</v>
      </c>
      <c r="CE493" s="257">
        <v>0</v>
      </c>
      <c r="CF493" s="257">
        <v>0</v>
      </c>
      <c r="CG493" s="257">
        <v>0</v>
      </c>
      <c r="CH493" s="257">
        <v>0</v>
      </c>
      <c r="CI493" s="257">
        <v>0</v>
      </c>
      <c r="CJ493" s="257">
        <v>0</v>
      </c>
      <c r="CK493" s="257">
        <v>0</v>
      </c>
      <c r="CL493" s="257">
        <v>0</v>
      </c>
      <c r="CM493" s="257">
        <v>0</v>
      </c>
      <c r="CN493" s="257" t="s">
        <v>3072</v>
      </c>
      <c r="CO493" s="257">
        <v>58.199966021066899</v>
      </c>
      <c r="CP493" s="257">
        <v>89.047467968273295</v>
      </c>
      <c r="CQ493" s="257">
        <v>62.954085606543664</v>
      </c>
      <c r="CR493" s="257">
        <v>-9.1378440072016396</v>
      </c>
      <c r="CS493" s="257">
        <v>-8.1050396583282396</v>
      </c>
      <c r="CT493" s="257">
        <v>1.0328043488734E-3</v>
      </c>
      <c r="CU493" s="257">
        <v>1.6405676278555095E-5</v>
      </c>
      <c r="CV493" s="258">
        <v>0.11302494856110862</v>
      </c>
      <c r="CW493" s="256" t="s">
        <v>234</v>
      </c>
      <c r="CX493" s="257" t="s">
        <v>3073</v>
      </c>
      <c r="CY493" s="257" t="s">
        <v>235</v>
      </c>
      <c r="CZ493" s="257"/>
      <c r="DA493" s="276"/>
      <c r="DB493" s="276">
        <v>80</v>
      </c>
      <c r="DC493" s="257" t="s">
        <v>3074</v>
      </c>
      <c r="DD493" s="257">
        <v>0</v>
      </c>
      <c r="DE493" s="257">
        <v>1</v>
      </c>
      <c r="DF493" s="257">
        <v>0</v>
      </c>
      <c r="DG493" s="257">
        <v>0</v>
      </c>
      <c r="DH493" s="257"/>
      <c r="DI493" s="257">
        <v>1</v>
      </c>
      <c r="DJ493" s="257" t="s">
        <v>173</v>
      </c>
      <c r="DK493" s="257">
        <v>0</v>
      </c>
      <c r="DL493" s="257" t="s">
        <v>180</v>
      </c>
      <c r="DM493" s="257">
        <v>0</v>
      </c>
      <c r="DN493" s="257">
        <v>0</v>
      </c>
      <c r="DO493" s="257">
        <v>0</v>
      </c>
      <c r="DP493" s="276">
        <v>0</v>
      </c>
      <c r="DQ493" s="276">
        <v>0</v>
      </c>
      <c r="DR493" s="276">
        <v>0</v>
      </c>
      <c r="DS493" s="276">
        <v>0</v>
      </c>
      <c r="DT493" s="257">
        <v>0</v>
      </c>
      <c r="DU493" s="276" t="s">
        <v>962</v>
      </c>
      <c r="DV493" s="276">
        <v>1</v>
      </c>
      <c r="DW493" s="276">
        <v>1</v>
      </c>
      <c r="DX493" s="276">
        <v>1</v>
      </c>
      <c r="DY493" s="276">
        <v>0</v>
      </c>
      <c r="DZ493" s="257">
        <v>0</v>
      </c>
      <c r="EA493" s="276">
        <v>0</v>
      </c>
      <c r="EB493" s="276">
        <v>1</v>
      </c>
      <c r="EC493" s="276">
        <v>1</v>
      </c>
      <c r="ED493" s="276">
        <v>0</v>
      </c>
      <c r="EE493" s="276">
        <v>0</v>
      </c>
      <c r="EF493" s="257">
        <v>1</v>
      </c>
      <c r="EG493" s="276">
        <v>0</v>
      </c>
      <c r="EH493" s="257">
        <v>0</v>
      </c>
      <c r="EI493" s="258">
        <v>0</v>
      </c>
      <c r="EJ493" s="256"/>
      <c r="EK493" t="str">
        <f>IF(AND(AND(AND(OR($DX493=1,$DW493=1),OR($EC493=1,$EA493=1)),SUM($DV493:$DZ493,$EF493)&gt;=4),SUM($EA493:$EE493)&gt;=2),"Whole sector","")</f>
        <v>Whole sector</v>
      </c>
      <c r="EL493" t="str">
        <f>IF(AND(AND(OR($DX493=1,$DW493=1),AND($EC493=0,$EA493=0)),SUM($DV493:$DZ493,$EF493)&gt;=4),"Ecosystem approach","")</f>
        <v/>
      </c>
      <c r="EM493" s="258" t="s">
        <v>544</v>
      </c>
      <c r="EN493" s="257" t="s">
        <v>236</v>
      </c>
      <c r="EO493" s="257"/>
      <c r="EP493" t="str">
        <f>IF(ISNUMBER(BU493),IF(ABS(BU493-[2]QC_indicators!$B$2)&gt;3*[2]QC_indicators!$C$2,"C ratio",IF(ISNUMBER(BY493),IF(ABS(BY493-[2]QC_indicators!$B$1)&gt;3*[2]QC_indicators!$C$1,"DF","no"))),IF(ISNUMBER(BY493),IF(ABS(BY493-[2]QC_indicators!$B$1)&gt;3*[2]QC_indicators!$C$1,"DF","no")))</f>
        <v>no</v>
      </c>
      <c r="EQ493" s="257"/>
      <c r="ER493" s="257"/>
    </row>
    <row r="494" spans="1:150" ht="15" customHeight="1">
      <c r="A494" s="1" t="s">
        <v>1311</v>
      </c>
      <c r="B494" t="s">
        <v>1312</v>
      </c>
      <c r="C494" t="s">
        <v>1313</v>
      </c>
      <c r="D494" t="s">
        <v>1314</v>
      </c>
      <c r="E494" t="s">
        <v>1315</v>
      </c>
      <c r="F494" t="s">
        <v>1316</v>
      </c>
      <c r="G494" t="s">
        <v>1317</v>
      </c>
      <c r="H494" t="s">
        <v>254</v>
      </c>
      <c r="I494">
        <v>2016</v>
      </c>
      <c r="J494">
        <v>0</v>
      </c>
      <c r="K494" t="s">
        <v>1318</v>
      </c>
      <c r="M494" t="str">
        <f>LEFT($D494,FIND(",",$D494)-1)&amp;"_"&amp;I494&amp;L494</f>
        <v>Bouyer_2016</v>
      </c>
      <c r="N494" t="s">
        <v>222</v>
      </c>
      <c r="O494" s="145" t="s">
        <v>225</v>
      </c>
      <c r="Q494" s="264" t="s">
        <v>224</v>
      </c>
      <c r="R494" s="269" t="s">
        <v>1154</v>
      </c>
      <c r="S494" s="1" t="s">
        <v>1319</v>
      </c>
      <c r="T494" s="264" t="s">
        <v>1320</v>
      </c>
      <c r="U494" t="s">
        <v>1321</v>
      </c>
      <c r="V494">
        <v>0</v>
      </c>
      <c r="W494">
        <v>0</v>
      </c>
      <c r="X494">
        <v>0</v>
      </c>
      <c r="Y494">
        <v>1</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s="141">
        <f>COUNTIF(V494:AW494,"&lt;&gt;0")</f>
        <v>1</v>
      </c>
      <c r="AY494" s="141">
        <f>COUNTIF(V494:AL494,"&lt;&gt;0")</f>
        <v>1</v>
      </c>
      <c r="AZ494">
        <f>COUNTIF(V494:AC494,"&lt;&gt;0")</f>
        <v>1</v>
      </c>
      <c r="BA494">
        <f>COUNTIF(AD494:AI494,"&lt;&gt;0")</f>
        <v>0</v>
      </c>
      <c r="BB494">
        <f>COUNTIF(AJ494:AL494,"&lt;&gt;0")</f>
        <v>0</v>
      </c>
      <c r="BC494">
        <f>COUNTIF(AS494:AW494,"&lt;&gt;0")</f>
        <v>0</v>
      </c>
      <c r="BD494">
        <f>COUNTIF(AM494:AR494,"&lt;&gt;0")</f>
        <v>0</v>
      </c>
      <c r="BE494" t="str" cm="1">
        <f t="array" ref="BE494">IF(AY494=1,INDEX($V$7:$AL$7,MATCH(TRUE,INDEX($V494:$AW494&lt;&gt;0,),0)),IF(AY494=0,INDEX($AM$7:$AW$7,MATCH(1,$AM494:$AW494,0)),IF(BF494="Multiple strategies","mixed drivers",IF(BF494="Supply chain","multiple supply","multiple silviculture"))))</f>
        <v xml:space="preserve">cutting intensity </v>
      </c>
      <c r="BF494" s="2" t="str" cm="1">
        <f t="array" ref="BF494">IF(COUNTIF(AZ494:BB494,"&lt;&gt;0")=1,INDEX($V$4:$AW$4,MATCH(TRUE,INDEX($V494:$AW494&lt;&gt;0,),0)),IF(COUNTIF(AZ494:BB494,"&lt;&gt;0")=0,INDEX($AM$4:$AW$4,MATCH(1,$AM494:$AW494,0)),"Multiple strategies"))</f>
        <v>Silviculture for removals</v>
      </c>
      <c r="BG494" s="173" t="s">
        <v>321</v>
      </c>
      <c r="BH494" t="s">
        <v>1322</v>
      </c>
      <c r="BJ494" s="143" t="s">
        <v>1323</v>
      </c>
      <c r="BK494">
        <v>0</v>
      </c>
      <c r="BL494" s="143">
        <v>164</v>
      </c>
      <c r="BM494" s="163"/>
      <c r="BN494">
        <f>BL494-BK494</f>
        <v>164</v>
      </c>
      <c r="BO494">
        <f>BN494*10^6</f>
        <v>164000000</v>
      </c>
      <c r="BP494" s="163" t="s">
        <v>232</v>
      </c>
      <c r="BQ494" s="163"/>
      <c r="BR494" t="s">
        <v>1324</v>
      </c>
      <c r="BS494">
        <v>10.99</v>
      </c>
      <c r="BT494">
        <v>13.7</v>
      </c>
      <c r="BU494" s="144" t="str">
        <f>IFERROR(BS494/#REF!,"")</f>
        <v/>
      </c>
      <c r="BV494" s="176">
        <f>BT494-BS494</f>
        <v>2.7099999999999991</v>
      </c>
      <c r="BW494" s="176"/>
      <c r="BX494" s="176">
        <f>BV494*10^9/10^6</f>
        <v>2709.9999999999991</v>
      </c>
      <c r="BY494">
        <f>IFERROR(BX494/BO494,"")</f>
        <v>1.6524390243902432E-5</v>
      </c>
      <c r="BZ494" s="143">
        <v>0</v>
      </c>
      <c r="CA494" s="143">
        <v>0</v>
      </c>
      <c r="CB494" s="143">
        <v>0</v>
      </c>
      <c r="CC494" s="143">
        <v>0</v>
      </c>
      <c r="CD494" s="143">
        <v>0</v>
      </c>
      <c r="CE494" s="143">
        <v>0</v>
      </c>
      <c r="CF494" s="143">
        <v>0</v>
      </c>
      <c r="CG494" s="143">
        <v>0</v>
      </c>
      <c r="CH494" s="143">
        <v>0</v>
      </c>
      <c r="CI494" s="143">
        <v>0</v>
      </c>
      <c r="CJ494" s="143">
        <v>0</v>
      </c>
      <c r="CK494" s="143">
        <v>0</v>
      </c>
      <c r="CL494" s="143">
        <v>0</v>
      </c>
      <c r="CM494">
        <v>0</v>
      </c>
      <c r="CN494" t="str">
        <f>IF($BL494&lt;$BK494,"refNeedCorrection","refOK")</f>
        <v>refOK</v>
      </c>
      <c r="CO494">
        <f>IF($CN494="refOK",$BK494,$BL494)</f>
        <v>0</v>
      </c>
      <c r="CP494">
        <f>IF($CN494="refOK",$BL494,$BK494)</f>
        <v>164</v>
      </c>
      <c r="CQ494">
        <f>IF($CN494="refOK",$BO494,-$BO494)</f>
        <v>164000000</v>
      </c>
      <c r="CR494" t="e">
        <f>IF($CN494="refOK",#REF!,$BS494)*IF($BP494="Emissions positive",-1,1)</f>
        <v>#REF!</v>
      </c>
      <c r="CS494">
        <f>IF($CN494="refOK",$BS494,#REF!)*IF($BP494="Emissions positive",-1,1)</f>
        <v>10.99</v>
      </c>
      <c r="CT494">
        <f>IF($CN494="refNeedCorrection",-BX494,BX494)*IF($BP494="Emissions positive",-1,1)</f>
        <v>2709.9999999999991</v>
      </c>
      <c r="CU494">
        <f>IFERROR(CT494/CQ494,"")</f>
        <v>1.6524390243902432E-5</v>
      </c>
      <c r="CV494" s="2" t="str">
        <f>IFERROR((CS494-CR494)/ABS(CR494),"")</f>
        <v/>
      </c>
      <c r="CW494" s="1" t="s">
        <v>1203</v>
      </c>
      <c r="CX494" s="264" t="str">
        <f>IF(OR($CW494="prd",$CW494="std",$CW494="cit"),"loc",IF(OR($CW494="eur",$CW494="reg",$CW494="coy"),"reg",$CW494))</f>
        <v>reg</v>
      </c>
      <c r="CY494" t="s">
        <v>1281</v>
      </c>
      <c r="CZ494">
        <v>2013</v>
      </c>
      <c r="DA494" s="143">
        <v>2020</v>
      </c>
      <c r="DB494" s="143">
        <v>8</v>
      </c>
      <c r="DC494" t="str">
        <f>IF(DB494=0,"0",IF(AND(DB494&gt;=1,DB494&lt;=30),"1-30",IF(AND(DB494&gt;30,DB494&lt;=70),"31-70",IF(AND(DB494&gt;70,DB494&lt;=100),"71-100",IF(DB494&gt;100,"+100")))))</f>
        <v>1-30</v>
      </c>
      <c r="DD494">
        <v>0</v>
      </c>
      <c r="DE494">
        <v>0</v>
      </c>
      <c r="DF494">
        <v>0</v>
      </c>
      <c r="DG494">
        <v>1</v>
      </c>
      <c r="DI494">
        <f>SUM(DD494:DG494)</f>
        <v>1</v>
      </c>
      <c r="DJ494" t="str">
        <f>IF(DI494=1,INDEX($DD$7:$DG$7,MATCH(1,$DD494:$DG494,0)),"mixedProduct")</f>
        <v>TimberInput</v>
      </c>
      <c r="DK494">
        <f>IF(DD494=1,DK$7,0)</f>
        <v>0</v>
      </c>
      <c r="DL494">
        <f>IF(DE494=1,DL$7,0)</f>
        <v>0</v>
      </c>
      <c r="DM494">
        <f>IF(DF494=1,DM$7,0)</f>
        <v>0</v>
      </c>
      <c r="DN494" t="str">
        <f>IF(DG494=1,DN$7,0)</f>
        <v>Timber</v>
      </c>
      <c r="DO494">
        <v>0</v>
      </c>
      <c r="DP494" s="143">
        <v>0</v>
      </c>
      <c r="DQ494" s="143">
        <v>0</v>
      </c>
      <c r="DR494" s="143">
        <v>0</v>
      </c>
      <c r="DS494" s="143">
        <v>0</v>
      </c>
      <c r="DT494">
        <f>SUM(DO494:DP494)</f>
        <v>0</v>
      </c>
      <c r="DU494" s="143" t="str">
        <f>IF(DO494=1,"self-calculated DF",IF(DP494=1,"external DF used","explicit C balance"))</f>
        <v>explicit C balance</v>
      </c>
      <c r="DV494" s="143">
        <v>0</v>
      </c>
      <c r="DW494" s="143">
        <v>0</v>
      </c>
      <c r="DX494" s="143">
        <v>0</v>
      </c>
      <c r="DY494" s="143">
        <v>1</v>
      </c>
      <c r="DZ494">
        <v>0</v>
      </c>
      <c r="EA494" s="141">
        <v>0</v>
      </c>
      <c r="EB494" s="143">
        <v>0</v>
      </c>
      <c r="EC494" s="143">
        <v>0</v>
      </c>
      <c r="ED494" s="143">
        <v>0</v>
      </c>
      <c r="EE494">
        <v>0</v>
      </c>
      <c r="EF494">
        <v>0</v>
      </c>
      <c r="EG494" s="143">
        <v>0</v>
      </c>
      <c r="EH494" s="143">
        <v>0</v>
      </c>
      <c r="EI494" s="2">
        <v>0</v>
      </c>
      <c r="EK494" t="str">
        <f>IF(AND(AND(AND(OR($DX494=1,$DW494=1),OR($EC494=1,$EA494=1)),SUM($DV494:$DZ494,$EF494)&gt;=4),SUM($EA494:$EE494)&gt;=2),"Whole sector","")</f>
        <v/>
      </c>
      <c r="EL494" t="str">
        <f>IF(AND(AND(OR($DX494=1,$DW494=1),AND($EC494=0,$EA494=0)),SUM($DV494:$DZ494,$EF494)&gt;=4),"Ecosystem approach","")</f>
        <v/>
      </c>
      <c r="EM494" s="2" t="str">
        <f>IF(AND(AND(AND($DX494=0,$DW494=0),OR($EC494=1,$EA494=1)),SUM($EB494:$EE494)&gt;=2),"Technology approach","")</f>
        <v/>
      </c>
      <c r="EP494" t="str">
        <f>IF(ISNUMBER(BU494),IF(ABS(BU494-[3]QC_indicators!$B$2)&gt;3*[3]QC_indicators!$C$2,"C ratio",IF(ISNUMBER(BY494),IF(ABS(BY494-[3]QC_indicators!$B$1)&gt;3*[3]QC_indicators!$C$1,"DF","no"))),IF(ISNUMBER(BY494),IF(ABS(BY494-[3]QC_indicators!$B$1)&gt;3*[3]QC_indicators!$C$1,"DF","no")))</f>
        <v>no</v>
      </c>
      <c r="ER494" s="264" t="s">
        <v>1325</v>
      </c>
      <c r="ET494" s="264" t="s">
        <v>3407</v>
      </c>
    </row>
    <row r="495" spans="1:150" ht="15" customHeight="1">
      <c r="A495" s="256" t="s">
        <v>214</v>
      </c>
      <c r="B495" s="257" t="s">
        <v>215</v>
      </c>
      <c r="C495" s="257" t="s">
        <v>216</v>
      </c>
      <c r="D495" s="257" t="s">
        <v>217</v>
      </c>
      <c r="E495" s="257" t="s">
        <v>218</v>
      </c>
      <c r="F495" s="257" t="s">
        <v>219</v>
      </c>
      <c r="G495" s="257" t="s">
        <v>220</v>
      </c>
      <c r="H495" s="257"/>
      <c r="I495" s="257">
        <v>2012</v>
      </c>
      <c r="J495" s="257"/>
      <c r="K495" s="257" t="s">
        <v>221</v>
      </c>
      <c r="L495" s="257"/>
      <c r="M495" s="257" t="s">
        <v>3070</v>
      </c>
      <c r="N495" s="257" t="s">
        <v>222</v>
      </c>
      <c r="O495" s="275" t="s">
        <v>223</v>
      </c>
      <c r="P495" s="257"/>
      <c r="Q495" s="257" t="s">
        <v>224</v>
      </c>
      <c r="R495" s="258" t="s">
        <v>225</v>
      </c>
      <c r="S495" s="256" t="s">
        <v>241</v>
      </c>
      <c r="T495" s="257" t="s">
        <v>242</v>
      </c>
      <c r="U495" s="276" t="s">
        <v>243</v>
      </c>
      <c r="V495" s="257">
        <v>0</v>
      </c>
      <c r="W495" s="257">
        <v>0</v>
      </c>
      <c r="X495" s="257">
        <v>0</v>
      </c>
      <c r="Y495" s="257">
        <v>0</v>
      </c>
      <c r="Z495" s="257">
        <v>0</v>
      </c>
      <c r="AA495" s="257">
        <v>0</v>
      </c>
      <c r="AB495" s="257">
        <v>0</v>
      </c>
      <c r="AC495" s="257">
        <v>1</v>
      </c>
      <c r="AD495" s="257">
        <v>0</v>
      </c>
      <c r="AE495" s="257">
        <v>0</v>
      </c>
      <c r="AF495" s="257">
        <v>0</v>
      </c>
      <c r="AG495" s="257">
        <v>0</v>
      </c>
      <c r="AH495" s="257">
        <v>0</v>
      </c>
      <c r="AI495" s="257">
        <v>0</v>
      </c>
      <c r="AJ495" s="257">
        <v>0</v>
      </c>
      <c r="AK495" s="257">
        <v>0</v>
      </c>
      <c r="AL495" s="257">
        <v>0</v>
      </c>
      <c r="AM495" s="257">
        <v>0</v>
      </c>
      <c r="AN495" s="257">
        <v>0</v>
      </c>
      <c r="AO495" s="257">
        <v>0</v>
      </c>
      <c r="AP495" s="257">
        <v>0</v>
      </c>
      <c r="AQ495" s="257">
        <v>0</v>
      </c>
      <c r="AR495" s="257">
        <v>0</v>
      </c>
      <c r="AS495" s="257">
        <v>0</v>
      </c>
      <c r="AT495" s="257">
        <v>0</v>
      </c>
      <c r="AU495" s="257">
        <v>0</v>
      </c>
      <c r="AV495" s="257">
        <v>0</v>
      </c>
      <c r="AW495" s="257">
        <v>0</v>
      </c>
      <c r="AX495" s="277">
        <v>1</v>
      </c>
      <c r="AY495" s="277">
        <v>1</v>
      </c>
      <c r="AZ495" s="257">
        <v>1</v>
      </c>
      <c r="BA495" s="257">
        <v>0</v>
      </c>
      <c r="BB495" s="257">
        <v>0</v>
      </c>
      <c r="BC495" s="257">
        <v>0</v>
      </c>
      <c r="BD495" s="257">
        <v>0</v>
      </c>
      <c r="BE495" s="257" t="s">
        <v>95</v>
      </c>
      <c r="BF495" s="2" t="str" cm="1">
        <f t="array" ref="BF495">IF(COUNTIF(AZ495:BB495,"&lt;&gt;0")=1,INDEX($V$4:$AW$4,MATCH(TRUE,INDEX($V495:$AW495&lt;&gt;0,),0)),IF(COUNTIF(AZ495:BB495,"&lt;&gt;0")=0,INDEX($AM$4:$AW$4,MATCH(1,$AM495:$AW495,0)),"Multiple strategies"))</f>
        <v>Silviculture for productivity</v>
      </c>
      <c r="BG495" s="278" t="s">
        <v>229</v>
      </c>
      <c r="BH495" s="257" t="s">
        <v>230</v>
      </c>
      <c r="BI495" s="279" t="s">
        <v>3071</v>
      </c>
      <c r="BJ495" s="276" t="s">
        <v>231</v>
      </c>
      <c r="BK495" s="257">
        <v>64.183526540573496</v>
      </c>
      <c r="BL495" s="257">
        <v>77.011494252873504</v>
      </c>
      <c r="BM495" s="276">
        <v>1.1998638654451439</v>
      </c>
      <c r="BN495" s="257">
        <v>12.827967712300008</v>
      </c>
      <c r="BO495" s="276">
        <v>26.179525943469404</v>
      </c>
      <c r="BP495" s="276" t="s">
        <v>232</v>
      </c>
      <c r="BQ495" s="279" t="s">
        <v>3071</v>
      </c>
      <c r="BR495" s="276" t="s">
        <v>233</v>
      </c>
      <c r="BS495" s="257">
        <v>-8.4950335570469804</v>
      </c>
      <c r="BT495" s="257">
        <v>-8</v>
      </c>
      <c r="BU495" s="259">
        <v>0.94172670964479832</v>
      </c>
      <c r="BV495" s="257">
        <v>0.49503355704698038</v>
      </c>
      <c r="BW495" s="257"/>
      <c r="BX495" s="257">
        <v>4.9503355704698035E-4</v>
      </c>
      <c r="BY495" s="257">
        <v>1.8909187206671654E-5</v>
      </c>
      <c r="BZ495" s="257">
        <v>0</v>
      </c>
      <c r="CA495" s="257">
        <v>0</v>
      </c>
      <c r="CB495" s="257">
        <v>0</v>
      </c>
      <c r="CC495" s="257">
        <v>0</v>
      </c>
      <c r="CD495" s="257">
        <v>0</v>
      </c>
      <c r="CE495" s="257">
        <v>0</v>
      </c>
      <c r="CF495" s="257">
        <v>0</v>
      </c>
      <c r="CG495" s="257">
        <v>0</v>
      </c>
      <c r="CH495" s="257">
        <v>0</v>
      </c>
      <c r="CI495" s="257">
        <v>0</v>
      </c>
      <c r="CJ495" s="257">
        <v>0</v>
      </c>
      <c r="CK495" s="257">
        <v>0</v>
      </c>
      <c r="CL495" s="257">
        <v>0</v>
      </c>
      <c r="CM495" s="257">
        <v>0</v>
      </c>
      <c r="CN495" s="257" t="s">
        <v>3072</v>
      </c>
      <c r="CO495" s="257">
        <v>64.183526540573496</v>
      </c>
      <c r="CP495" s="257">
        <v>77.011494252873504</v>
      </c>
      <c r="CQ495" s="257">
        <v>26.179525943469404</v>
      </c>
      <c r="CR495" s="257">
        <v>-8.4950335570469804</v>
      </c>
      <c r="CS495" s="257">
        <v>-8</v>
      </c>
      <c r="CT495" s="257">
        <v>4.9503355704698035E-4</v>
      </c>
      <c r="CU495" s="257">
        <v>1.8909187206671654E-5</v>
      </c>
      <c r="CV495" s="258">
        <v>5.8273290355201672E-2</v>
      </c>
      <c r="CW495" s="256" t="s">
        <v>234</v>
      </c>
      <c r="CX495" s="257" t="s">
        <v>3073</v>
      </c>
      <c r="CY495" s="257" t="s">
        <v>235</v>
      </c>
      <c r="CZ495" s="257"/>
      <c r="DA495" s="276"/>
      <c r="DB495" s="276">
        <v>80</v>
      </c>
      <c r="DC495" s="257" t="s">
        <v>3074</v>
      </c>
      <c r="DD495" s="257">
        <v>0</v>
      </c>
      <c r="DE495" s="257">
        <v>1</v>
      </c>
      <c r="DF495" s="257">
        <v>0</v>
      </c>
      <c r="DG495" s="257">
        <v>0</v>
      </c>
      <c r="DH495" s="257"/>
      <c r="DI495" s="257">
        <v>1</v>
      </c>
      <c r="DJ495" s="257" t="s">
        <v>173</v>
      </c>
      <c r="DK495" s="257">
        <v>0</v>
      </c>
      <c r="DL495" s="257" t="s">
        <v>180</v>
      </c>
      <c r="DM495" s="257">
        <v>0</v>
      </c>
      <c r="DN495" s="257">
        <v>0</v>
      </c>
      <c r="DO495" s="257">
        <v>0</v>
      </c>
      <c r="DP495" s="276">
        <v>0</v>
      </c>
      <c r="DQ495" s="276">
        <v>0</v>
      </c>
      <c r="DR495" s="276">
        <v>0</v>
      </c>
      <c r="DS495" s="276">
        <v>0</v>
      </c>
      <c r="DT495" s="257">
        <v>0</v>
      </c>
      <c r="DU495" s="276" t="s">
        <v>962</v>
      </c>
      <c r="DV495" s="276">
        <v>1</v>
      </c>
      <c r="DW495" s="276">
        <v>1</v>
      </c>
      <c r="DX495" s="276">
        <v>1</v>
      </c>
      <c r="DY495" s="276">
        <v>0</v>
      </c>
      <c r="DZ495" s="257">
        <v>0</v>
      </c>
      <c r="EA495" s="276">
        <v>0</v>
      </c>
      <c r="EB495" s="276">
        <v>1</v>
      </c>
      <c r="EC495" s="276">
        <v>1</v>
      </c>
      <c r="ED495" s="276">
        <v>0</v>
      </c>
      <c r="EE495" s="276">
        <v>0</v>
      </c>
      <c r="EF495" s="257">
        <v>1</v>
      </c>
      <c r="EG495" s="276">
        <v>0</v>
      </c>
      <c r="EH495" s="257">
        <v>0</v>
      </c>
      <c r="EI495" s="258">
        <v>0</v>
      </c>
      <c r="EJ495" s="256"/>
      <c r="EK495" t="str">
        <f>IF(AND(AND(AND(OR($DX495=1,$DW495=1),OR($EC495=1,$EA495=1)),SUM($DV495:$DZ495,$EF495)&gt;=4),SUM($EA495:$EE495)&gt;=2),"Whole sector","")</f>
        <v>Whole sector</v>
      </c>
      <c r="EL495" t="str">
        <f>IF(AND(AND(OR($DX495=1,$DW495=1),AND($EC495=0,$EA495=0)),SUM($DV495:$DZ495,$EF495)&gt;=4),"Ecosystem approach","")</f>
        <v/>
      </c>
      <c r="EM495" s="258" t="s">
        <v>544</v>
      </c>
      <c r="EN495" s="257" t="s">
        <v>236</v>
      </c>
      <c r="EO495" s="257"/>
      <c r="EP495" t="str">
        <f>IF(ISNUMBER(BU495),IF(ABS(BU495-[2]QC_indicators!$B$2)&gt;3*[2]QC_indicators!$C$2,"C ratio",IF(ISNUMBER(BY495),IF(ABS(BY495-[2]QC_indicators!$B$1)&gt;3*[2]QC_indicators!$C$1,"DF","no"))),IF(ISNUMBER(BY495),IF(ABS(BY495-[2]QC_indicators!$B$1)&gt;3*[2]QC_indicators!$C$1,"DF","no")))</f>
        <v>no</v>
      </c>
    </row>
    <row r="496" spans="1:150" ht="15" customHeight="1">
      <c r="A496" s="256" t="s">
        <v>214</v>
      </c>
      <c r="B496" s="257" t="s">
        <v>215</v>
      </c>
      <c r="C496" s="257" t="s">
        <v>216</v>
      </c>
      <c r="D496" s="257" t="s">
        <v>217</v>
      </c>
      <c r="E496" s="257" t="s">
        <v>218</v>
      </c>
      <c r="F496" s="257" t="s">
        <v>219</v>
      </c>
      <c r="G496" s="257" t="s">
        <v>220</v>
      </c>
      <c r="H496" s="257"/>
      <c r="I496" s="257">
        <v>2012</v>
      </c>
      <c r="J496" s="257"/>
      <c r="K496" s="257" t="s">
        <v>221</v>
      </c>
      <c r="L496" s="257"/>
      <c r="M496" s="257" t="s">
        <v>3070</v>
      </c>
      <c r="N496" s="257" t="s">
        <v>222</v>
      </c>
      <c r="O496" s="275" t="s">
        <v>223</v>
      </c>
      <c r="P496" s="257"/>
      <c r="Q496" s="257" t="s">
        <v>224</v>
      </c>
      <c r="R496" s="258" t="s">
        <v>225</v>
      </c>
      <c r="S496" s="256" t="s">
        <v>92</v>
      </c>
      <c r="T496" s="257" t="s">
        <v>245</v>
      </c>
      <c r="U496" s="276" t="s">
        <v>246</v>
      </c>
      <c r="V496" s="257">
        <v>0</v>
      </c>
      <c r="W496" s="257">
        <v>0</v>
      </c>
      <c r="X496" s="257">
        <v>0</v>
      </c>
      <c r="Y496" s="257">
        <v>0</v>
      </c>
      <c r="Z496" s="257">
        <v>1</v>
      </c>
      <c r="AA496" s="257">
        <v>0</v>
      </c>
      <c r="AB496" s="257">
        <v>0</v>
      </c>
      <c r="AC496" s="257">
        <v>0</v>
      </c>
      <c r="AD496" s="257">
        <v>0</v>
      </c>
      <c r="AE496" s="257">
        <v>0</v>
      </c>
      <c r="AF496" s="257">
        <v>0</v>
      </c>
      <c r="AG496" s="257">
        <v>0</v>
      </c>
      <c r="AH496" s="257">
        <v>0</v>
      </c>
      <c r="AI496" s="257">
        <v>0</v>
      </c>
      <c r="AJ496" s="257">
        <v>0</v>
      </c>
      <c r="AK496" s="257">
        <v>0</v>
      </c>
      <c r="AL496" s="257">
        <v>0</v>
      </c>
      <c r="AM496" s="257">
        <v>0</v>
      </c>
      <c r="AN496" s="257">
        <v>0</v>
      </c>
      <c r="AO496" s="257">
        <v>0</v>
      </c>
      <c r="AP496" s="257">
        <v>0</v>
      </c>
      <c r="AQ496" s="257">
        <v>0</v>
      </c>
      <c r="AR496" s="257">
        <v>0</v>
      </c>
      <c r="AS496" s="257">
        <v>0</v>
      </c>
      <c r="AT496" s="257">
        <v>0</v>
      </c>
      <c r="AU496" s="257">
        <v>0</v>
      </c>
      <c r="AV496" s="257">
        <v>0</v>
      </c>
      <c r="AW496" s="257">
        <v>0</v>
      </c>
      <c r="AX496" s="277">
        <v>1</v>
      </c>
      <c r="AY496" s="277">
        <v>1</v>
      </c>
      <c r="AZ496" s="257">
        <v>1</v>
      </c>
      <c r="BA496" s="257">
        <v>0</v>
      </c>
      <c r="BB496" s="257">
        <v>0</v>
      </c>
      <c r="BC496" s="257">
        <v>0</v>
      </c>
      <c r="BD496" s="257">
        <v>0</v>
      </c>
      <c r="BE496" s="257" t="s">
        <v>92</v>
      </c>
      <c r="BF496" s="2" t="str" cm="1">
        <f t="array" ref="BF496">IF(COUNTIF(AZ496:BB496,"&lt;&gt;0")=1,INDEX($V$4:$AW$4,MATCH(TRUE,INDEX($V496:$AW496&lt;&gt;0,),0)),IF(COUNTIF(AZ496:BB496,"&lt;&gt;0")=0,INDEX($AM$4:$AW$4,MATCH(1,$AM496:$AW496,0)),"Multiple strategies"))</f>
        <v>Silviculture for productivity</v>
      </c>
      <c r="BG496" s="278" t="s">
        <v>229</v>
      </c>
      <c r="BH496" s="257" t="s">
        <v>230</v>
      </c>
      <c r="BI496" s="279" t="s">
        <v>3071</v>
      </c>
      <c r="BJ496" s="276" t="s">
        <v>231</v>
      </c>
      <c r="BK496" s="257">
        <v>66.639750491326893</v>
      </c>
      <c r="BL496" s="257">
        <v>98.063244029280497</v>
      </c>
      <c r="BM496" s="276">
        <v>1.4715427849935203</v>
      </c>
      <c r="BN496" s="257">
        <v>31.423493537953604</v>
      </c>
      <c r="BO496" s="276">
        <v>64.129578648884902</v>
      </c>
      <c r="BP496" s="276" t="s">
        <v>232</v>
      </c>
      <c r="BQ496" s="279" t="s">
        <v>3071</v>
      </c>
      <c r="BR496" s="276" t="s">
        <v>233</v>
      </c>
      <c r="BS496" s="257">
        <v>-9.4136546184738901</v>
      </c>
      <c r="BT496" s="257">
        <v>-8.1244670100805898</v>
      </c>
      <c r="BU496" s="259">
        <v>0.86305131634388565</v>
      </c>
      <c r="BV496" s="257">
        <v>1.2891876083933003</v>
      </c>
      <c r="BW496" s="257"/>
      <c r="BX496" s="257">
        <v>1.2891876083933002E-3</v>
      </c>
      <c r="BY496" s="257">
        <v>2.010285480669873E-5</v>
      </c>
      <c r="BZ496" s="257">
        <v>0</v>
      </c>
      <c r="CA496" s="257">
        <v>0</v>
      </c>
      <c r="CB496" s="257">
        <v>0</v>
      </c>
      <c r="CC496" s="257">
        <v>0</v>
      </c>
      <c r="CD496" s="257">
        <v>0</v>
      </c>
      <c r="CE496" s="257">
        <v>0</v>
      </c>
      <c r="CF496" s="257">
        <v>0</v>
      </c>
      <c r="CG496" s="257">
        <v>0</v>
      </c>
      <c r="CH496" s="257">
        <v>0</v>
      </c>
      <c r="CI496" s="257">
        <v>0</v>
      </c>
      <c r="CJ496" s="257">
        <v>0</v>
      </c>
      <c r="CK496" s="257">
        <v>0</v>
      </c>
      <c r="CL496" s="257">
        <v>0</v>
      </c>
      <c r="CM496" s="257">
        <v>0</v>
      </c>
      <c r="CN496" s="257" t="s">
        <v>3072</v>
      </c>
      <c r="CO496" s="257">
        <v>66.639750491326893</v>
      </c>
      <c r="CP496" s="257">
        <v>98.063244029280497</v>
      </c>
      <c r="CQ496" s="257">
        <v>64.129578648884902</v>
      </c>
      <c r="CR496" s="257">
        <v>-9.4136546184738901</v>
      </c>
      <c r="CS496" s="257">
        <v>-8.1244670100805898</v>
      </c>
      <c r="CT496" s="257">
        <v>1.2891876083933002E-3</v>
      </c>
      <c r="CU496" s="257">
        <v>2.010285480669873E-5</v>
      </c>
      <c r="CV496" s="258">
        <v>0.13694868365611432</v>
      </c>
      <c r="CW496" s="256" t="s">
        <v>234</v>
      </c>
      <c r="CX496" s="257" t="s">
        <v>3073</v>
      </c>
      <c r="CY496" s="257" t="s">
        <v>235</v>
      </c>
      <c r="CZ496" s="257"/>
      <c r="DA496" s="276"/>
      <c r="DB496" s="276">
        <v>80</v>
      </c>
      <c r="DC496" s="257" t="s">
        <v>3074</v>
      </c>
      <c r="DD496" s="257">
        <v>0</v>
      </c>
      <c r="DE496" s="257">
        <v>1</v>
      </c>
      <c r="DF496" s="257">
        <v>0</v>
      </c>
      <c r="DG496" s="257">
        <v>0</v>
      </c>
      <c r="DH496" s="257"/>
      <c r="DI496" s="257">
        <v>1</v>
      </c>
      <c r="DJ496" s="257" t="s">
        <v>173</v>
      </c>
      <c r="DK496" s="257">
        <v>0</v>
      </c>
      <c r="DL496" s="257" t="s">
        <v>180</v>
      </c>
      <c r="DM496" s="257">
        <v>0</v>
      </c>
      <c r="DN496" s="257">
        <v>0</v>
      </c>
      <c r="DO496" s="257">
        <v>0</v>
      </c>
      <c r="DP496" s="276">
        <v>0</v>
      </c>
      <c r="DQ496" s="276">
        <v>0</v>
      </c>
      <c r="DR496" s="276">
        <v>0</v>
      </c>
      <c r="DS496" s="276">
        <v>0</v>
      </c>
      <c r="DT496" s="257">
        <v>0</v>
      </c>
      <c r="DU496" s="276" t="s">
        <v>962</v>
      </c>
      <c r="DV496" s="276">
        <v>1</v>
      </c>
      <c r="DW496" s="276">
        <v>1</v>
      </c>
      <c r="DX496" s="276">
        <v>1</v>
      </c>
      <c r="DY496" s="276">
        <v>0</v>
      </c>
      <c r="DZ496" s="257">
        <v>0</v>
      </c>
      <c r="EA496" s="276">
        <v>0</v>
      </c>
      <c r="EB496" s="276">
        <v>1</v>
      </c>
      <c r="EC496" s="276">
        <v>1</v>
      </c>
      <c r="ED496" s="276">
        <v>0</v>
      </c>
      <c r="EE496" s="276">
        <v>0</v>
      </c>
      <c r="EF496" s="257">
        <v>1</v>
      </c>
      <c r="EG496" s="276">
        <v>0</v>
      </c>
      <c r="EH496" s="257">
        <v>0</v>
      </c>
      <c r="EI496" s="258">
        <v>0</v>
      </c>
      <c r="EJ496" s="256"/>
      <c r="EK496" t="str">
        <f>IF(AND(AND(AND(OR($DX496=1,$DW496=1),OR($EC496=1,$EA496=1)),SUM($DV496:$DZ496,$EF496)&gt;=4),SUM($EA496:$EE496)&gt;=2),"Whole sector","")</f>
        <v>Whole sector</v>
      </c>
      <c r="EL496" t="str">
        <f>IF(AND(AND(OR($DX496=1,$DW496=1),AND($EC496=0,$EA496=0)),SUM($DV496:$DZ496,$EF496)&gt;=4),"Ecosystem approach","")</f>
        <v/>
      </c>
      <c r="EM496" s="258" t="s">
        <v>544</v>
      </c>
      <c r="EN496" s="257" t="s">
        <v>236</v>
      </c>
      <c r="EO496" s="257"/>
      <c r="EP496" t="str">
        <f>IF(ISNUMBER(BU496),IF(ABS(BU496-[2]QC_indicators!$B$2)&gt;3*[2]QC_indicators!$C$2,"C ratio",IF(ISNUMBER(BY496),IF(ABS(BY496-[2]QC_indicators!$B$1)&gt;3*[2]QC_indicators!$C$1,"DF","no"))),IF(ISNUMBER(BY496),IF(ABS(BY496-[2]QC_indicators!$B$1)&gt;3*[2]QC_indicators!$C$1,"DF","no")))</f>
        <v>no</v>
      </c>
      <c r="EQ496" s="257"/>
      <c r="ER496" s="257"/>
    </row>
    <row r="497" spans="1:149" ht="15" customHeight="1">
      <c r="A497" s="256" t="s">
        <v>214</v>
      </c>
      <c r="B497" s="257" t="s">
        <v>215</v>
      </c>
      <c r="C497" s="257" t="s">
        <v>216</v>
      </c>
      <c r="D497" s="257" t="s">
        <v>217</v>
      </c>
      <c r="E497" s="257" t="s">
        <v>218</v>
      </c>
      <c r="F497" s="257" t="s">
        <v>219</v>
      </c>
      <c r="G497" s="257" t="s">
        <v>220</v>
      </c>
      <c r="H497" s="257"/>
      <c r="I497" s="257">
        <v>2012</v>
      </c>
      <c r="J497" s="257"/>
      <c r="K497" s="257" t="s">
        <v>221</v>
      </c>
      <c r="L497" s="257"/>
      <c r="M497" s="257" t="s">
        <v>3070</v>
      </c>
      <c r="N497" s="257" t="s">
        <v>222</v>
      </c>
      <c r="O497" s="275" t="s">
        <v>223</v>
      </c>
      <c r="P497" s="257"/>
      <c r="Q497" s="257" t="s">
        <v>224</v>
      </c>
      <c r="R497" s="258" t="s">
        <v>225</v>
      </c>
      <c r="S497" s="256" t="s">
        <v>241</v>
      </c>
      <c r="T497" s="257" t="s">
        <v>242</v>
      </c>
      <c r="U497" s="276" t="s">
        <v>243</v>
      </c>
      <c r="V497" s="257">
        <v>0</v>
      </c>
      <c r="W497" s="257">
        <v>0</v>
      </c>
      <c r="X497" s="257">
        <v>0</v>
      </c>
      <c r="Y497" s="257">
        <v>0</v>
      </c>
      <c r="Z497" s="257">
        <v>0</v>
      </c>
      <c r="AA497" s="257">
        <v>0</v>
      </c>
      <c r="AB497" s="257">
        <v>0</v>
      </c>
      <c r="AC497" s="257">
        <v>1</v>
      </c>
      <c r="AD497" s="257">
        <v>0</v>
      </c>
      <c r="AE497" s="257">
        <v>0</v>
      </c>
      <c r="AF497" s="257">
        <v>0</v>
      </c>
      <c r="AG497" s="257">
        <v>0</v>
      </c>
      <c r="AH497" s="257">
        <v>0</v>
      </c>
      <c r="AI497" s="257">
        <v>0</v>
      </c>
      <c r="AJ497" s="257">
        <v>0</v>
      </c>
      <c r="AK497" s="257">
        <v>0</v>
      </c>
      <c r="AL497" s="257">
        <v>0</v>
      </c>
      <c r="AM497" s="257">
        <v>0</v>
      </c>
      <c r="AN497" s="257">
        <v>0</v>
      </c>
      <c r="AO497" s="257">
        <v>0</v>
      </c>
      <c r="AP497" s="257">
        <v>0</v>
      </c>
      <c r="AQ497" s="257">
        <v>0</v>
      </c>
      <c r="AR497" s="257">
        <v>0</v>
      </c>
      <c r="AS497" s="257">
        <v>0</v>
      </c>
      <c r="AT497" s="257">
        <v>0</v>
      </c>
      <c r="AU497" s="257">
        <v>0</v>
      </c>
      <c r="AV497" s="257">
        <v>0</v>
      </c>
      <c r="AW497" s="257">
        <v>0</v>
      </c>
      <c r="AX497" s="277">
        <v>1</v>
      </c>
      <c r="AY497" s="277">
        <v>1</v>
      </c>
      <c r="AZ497" s="257">
        <v>1</v>
      </c>
      <c r="BA497" s="257">
        <v>0</v>
      </c>
      <c r="BB497" s="257">
        <v>0</v>
      </c>
      <c r="BC497" s="257">
        <v>0</v>
      </c>
      <c r="BD497" s="257">
        <v>0</v>
      </c>
      <c r="BE497" s="257" t="s">
        <v>95</v>
      </c>
      <c r="BF497" s="2" t="str" cm="1">
        <f t="array" ref="BF497">IF(COUNTIF(AZ497:BB497,"&lt;&gt;0")=1,INDEX($V$4:$AW$4,MATCH(TRUE,INDEX($V497:$AW497&lt;&gt;0,),0)),IF(COUNTIF(AZ497:BB497,"&lt;&gt;0")=0,INDEX($AM$4:$AW$4,MATCH(1,$AM497:$AW497,0)),"Multiple strategies"))</f>
        <v>Silviculture for productivity</v>
      </c>
      <c r="BG497" s="278" t="s">
        <v>229</v>
      </c>
      <c r="BH497" s="257" t="s">
        <v>230</v>
      </c>
      <c r="BI497" s="279" t="s">
        <v>3071</v>
      </c>
      <c r="BJ497" s="276" t="s">
        <v>231</v>
      </c>
      <c r="BK497" s="257">
        <v>55.163392312385596</v>
      </c>
      <c r="BL497" s="257">
        <v>69.827586206896498</v>
      </c>
      <c r="BM497" s="276">
        <v>1.2658319816785164</v>
      </c>
      <c r="BN497" s="257">
        <v>14.664193894510902</v>
      </c>
      <c r="BO497" s="276">
        <v>29.926926315328373</v>
      </c>
      <c r="BP497" s="276" t="s">
        <v>232</v>
      </c>
      <c r="BQ497" s="279" t="s">
        <v>3071</v>
      </c>
      <c r="BR497" s="276" t="s">
        <v>233</v>
      </c>
      <c r="BS497" s="257">
        <v>-9.0346308724832198</v>
      </c>
      <c r="BT497" s="257">
        <v>-8.4285714285714199</v>
      </c>
      <c r="BU497" s="259">
        <v>0.9329181842107489</v>
      </c>
      <c r="BV497" s="257">
        <v>0.60605944391179989</v>
      </c>
      <c r="BW497" s="257"/>
      <c r="BX497" s="257">
        <v>6.0605944391179984E-4</v>
      </c>
      <c r="BY497" s="257">
        <v>2.0251309390279089E-5</v>
      </c>
      <c r="BZ497" s="257">
        <v>0</v>
      </c>
      <c r="CA497" s="257">
        <v>0</v>
      </c>
      <c r="CB497" s="257">
        <v>0</v>
      </c>
      <c r="CC497" s="257">
        <v>0</v>
      </c>
      <c r="CD497" s="257">
        <v>0</v>
      </c>
      <c r="CE497" s="257">
        <v>0</v>
      </c>
      <c r="CF497" s="257">
        <v>0</v>
      </c>
      <c r="CG497" s="257">
        <v>0</v>
      </c>
      <c r="CH497" s="257">
        <v>0</v>
      </c>
      <c r="CI497" s="257">
        <v>0</v>
      </c>
      <c r="CJ497" s="257">
        <v>0</v>
      </c>
      <c r="CK497" s="257">
        <v>0</v>
      </c>
      <c r="CL497" s="257">
        <v>0</v>
      </c>
      <c r="CM497" s="257">
        <v>0</v>
      </c>
      <c r="CN497" s="257" t="s">
        <v>3072</v>
      </c>
      <c r="CO497" s="257">
        <v>55.163392312385596</v>
      </c>
      <c r="CP497" s="257">
        <v>69.827586206896498</v>
      </c>
      <c r="CQ497" s="257">
        <v>29.926926315328373</v>
      </c>
      <c r="CR497" s="257">
        <v>-9.0346308724832198</v>
      </c>
      <c r="CS497" s="257">
        <v>-8.4285714285714199</v>
      </c>
      <c r="CT497" s="257">
        <v>6.0605944391179984E-4</v>
      </c>
      <c r="CU497" s="257">
        <v>2.0251309390279089E-5</v>
      </c>
      <c r="CV497" s="258">
        <v>6.7081815789251056E-2</v>
      </c>
      <c r="CW497" s="256" t="s">
        <v>234</v>
      </c>
      <c r="CX497" s="257" t="s">
        <v>3073</v>
      </c>
      <c r="CY497" s="257" t="s">
        <v>235</v>
      </c>
      <c r="CZ497" s="257"/>
      <c r="DA497" s="276"/>
      <c r="DB497" s="276">
        <v>80</v>
      </c>
      <c r="DC497" s="257" t="s">
        <v>3074</v>
      </c>
      <c r="DD497" s="257">
        <v>0</v>
      </c>
      <c r="DE497" s="257">
        <v>1</v>
      </c>
      <c r="DF497" s="257">
        <v>0</v>
      </c>
      <c r="DG497" s="257">
        <v>0</v>
      </c>
      <c r="DH497" s="257"/>
      <c r="DI497" s="257">
        <v>1</v>
      </c>
      <c r="DJ497" s="257" t="s">
        <v>173</v>
      </c>
      <c r="DK497" s="257">
        <v>0</v>
      </c>
      <c r="DL497" s="257" t="s">
        <v>180</v>
      </c>
      <c r="DM497" s="257">
        <v>0</v>
      </c>
      <c r="DN497" s="257">
        <v>0</v>
      </c>
      <c r="DO497" s="257">
        <v>0</v>
      </c>
      <c r="DP497" s="276">
        <v>0</v>
      </c>
      <c r="DQ497" s="276">
        <v>0</v>
      </c>
      <c r="DR497" s="276">
        <v>0</v>
      </c>
      <c r="DS497" s="276">
        <v>0</v>
      </c>
      <c r="DT497" s="257">
        <v>0</v>
      </c>
      <c r="DU497" s="276" t="s">
        <v>962</v>
      </c>
      <c r="DV497" s="276">
        <v>1</v>
      </c>
      <c r="DW497" s="276">
        <v>1</v>
      </c>
      <c r="DX497" s="276">
        <v>1</v>
      </c>
      <c r="DY497" s="276">
        <v>0</v>
      </c>
      <c r="DZ497" s="257">
        <v>0</v>
      </c>
      <c r="EA497" s="276">
        <v>0</v>
      </c>
      <c r="EB497" s="276">
        <v>1</v>
      </c>
      <c r="EC497" s="276">
        <v>1</v>
      </c>
      <c r="ED497" s="276">
        <v>0</v>
      </c>
      <c r="EE497" s="276">
        <v>0</v>
      </c>
      <c r="EF497" s="257">
        <v>1</v>
      </c>
      <c r="EG497" s="276">
        <v>0</v>
      </c>
      <c r="EH497" s="257">
        <v>0</v>
      </c>
      <c r="EI497" s="258">
        <v>0</v>
      </c>
      <c r="EJ497" s="256"/>
      <c r="EK497" t="str">
        <f>IF(AND(AND(AND(OR($DX497=1,$DW497=1),OR($EC497=1,$EA497=1)),SUM($DV497:$DZ497,$EF497)&gt;=4),SUM($EA497:$EE497)&gt;=2),"Whole sector","")</f>
        <v>Whole sector</v>
      </c>
      <c r="EL497" t="str">
        <f>IF(AND(AND(OR($DX497=1,$DW497=1),AND($EC497=0,$EA497=0)),SUM($DV497:$DZ497,$EF497)&gt;=4),"Ecosystem approach","")</f>
        <v/>
      </c>
      <c r="EM497" s="258" t="s">
        <v>544</v>
      </c>
      <c r="EN497" s="257" t="s">
        <v>236</v>
      </c>
      <c r="EO497" s="257"/>
      <c r="EP497" t="str">
        <f>IF(ISNUMBER(BU497),IF(ABS(BU497-[2]QC_indicators!$B$2)&gt;3*[2]QC_indicators!$C$2,"C ratio",IF(ISNUMBER(BY497),IF(ABS(BY497-[2]QC_indicators!$B$1)&gt;3*[2]QC_indicators!$C$1,"DF","no"))),IF(ISNUMBER(BY497),IF(ABS(BY497-[2]QC_indicators!$B$1)&gt;3*[2]QC_indicators!$C$1,"DF","no")))</f>
        <v>no</v>
      </c>
    </row>
    <row r="498" spans="1:149" ht="15" customHeight="1">
      <c r="A498" s="256" t="s">
        <v>214</v>
      </c>
      <c r="B498" s="257" t="s">
        <v>215</v>
      </c>
      <c r="C498" s="257" t="s">
        <v>216</v>
      </c>
      <c r="D498" s="257" t="s">
        <v>217</v>
      </c>
      <c r="E498" s="257" t="s">
        <v>218</v>
      </c>
      <c r="F498" s="257" t="s">
        <v>219</v>
      </c>
      <c r="G498" s="257" t="s">
        <v>220</v>
      </c>
      <c r="H498" s="257"/>
      <c r="I498" s="257">
        <v>2012</v>
      </c>
      <c r="J498" s="257"/>
      <c r="K498" s="257" t="s">
        <v>221</v>
      </c>
      <c r="L498" s="257"/>
      <c r="M498" s="257" t="s">
        <v>3070</v>
      </c>
      <c r="N498" s="257" t="s">
        <v>222</v>
      </c>
      <c r="O498" s="275" t="s">
        <v>223</v>
      </c>
      <c r="P498" s="257"/>
      <c r="Q498" s="257" t="s">
        <v>224</v>
      </c>
      <c r="R498" s="258" t="s">
        <v>225</v>
      </c>
      <c r="S498" s="256" t="s">
        <v>241</v>
      </c>
      <c r="T498" s="257" t="s">
        <v>244</v>
      </c>
      <c r="U498" s="276" t="s">
        <v>242</v>
      </c>
      <c r="V498" s="257">
        <v>0</v>
      </c>
      <c r="W498" s="257">
        <v>0</v>
      </c>
      <c r="X498" s="257">
        <v>0</v>
      </c>
      <c r="Y498" s="257">
        <v>0</v>
      </c>
      <c r="Z498" s="257">
        <v>0</v>
      </c>
      <c r="AA498" s="257">
        <v>0</v>
      </c>
      <c r="AB498" s="257">
        <v>0</v>
      </c>
      <c r="AC498" s="257">
        <v>1</v>
      </c>
      <c r="AD498" s="257">
        <v>0</v>
      </c>
      <c r="AE498" s="257">
        <v>0</v>
      </c>
      <c r="AF498" s="257">
        <v>0</v>
      </c>
      <c r="AG498" s="257">
        <v>0</v>
      </c>
      <c r="AH498" s="257">
        <v>0</v>
      </c>
      <c r="AI498" s="257">
        <v>0</v>
      </c>
      <c r="AJ498" s="257">
        <v>0</v>
      </c>
      <c r="AK498" s="257">
        <v>0</v>
      </c>
      <c r="AL498" s="257">
        <v>0</v>
      </c>
      <c r="AM498" s="257">
        <v>0</v>
      </c>
      <c r="AN498" s="257">
        <v>0</v>
      </c>
      <c r="AO498" s="257">
        <v>0</v>
      </c>
      <c r="AP498" s="257">
        <v>0</v>
      </c>
      <c r="AQ498" s="257">
        <v>0</v>
      </c>
      <c r="AR498" s="257">
        <v>0</v>
      </c>
      <c r="AS498" s="257">
        <v>0</v>
      </c>
      <c r="AT498" s="257">
        <v>0</v>
      </c>
      <c r="AU498" s="257">
        <v>0</v>
      </c>
      <c r="AV498" s="257">
        <v>0</v>
      </c>
      <c r="AW498" s="257">
        <v>0</v>
      </c>
      <c r="AX498" s="277">
        <v>1</v>
      </c>
      <c r="AY498" s="277">
        <v>1</v>
      </c>
      <c r="AZ498" s="257">
        <v>1</v>
      </c>
      <c r="BA498" s="257">
        <v>0</v>
      </c>
      <c r="BB498" s="257">
        <v>0</v>
      </c>
      <c r="BC498" s="257">
        <v>0</v>
      </c>
      <c r="BD498" s="257">
        <v>0</v>
      </c>
      <c r="BE498" s="257" t="s">
        <v>95</v>
      </c>
      <c r="BF498" s="2" t="str" cm="1">
        <f t="array" ref="BF498">IF(COUNTIF(AZ498:BB498,"&lt;&gt;0")=1,INDEX($V$4:$AW$4,MATCH(TRUE,INDEX($V498:$AW498&lt;&gt;0,),0)),IF(COUNTIF(AZ498:BB498,"&lt;&gt;0")=0,INDEX($AM$4:$AW$4,MATCH(1,$AM498:$AW498,0)),"Multiple strategies"))</f>
        <v>Silviculture for productivity</v>
      </c>
      <c r="BG498" s="278" t="s">
        <v>229</v>
      </c>
      <c r="BH498" s="257" t="s">
        <v>230</v>
      </c>
      <c r="BI498" s="279" t="s">
        <v>3071</v>
      </c>
      <c r="BJ498" s="276" t="s">
        <v>231</v>
      </c>
      <c r="BK498" s="257">
        <v>37.305819020763899</v>
      </c>
      <c r="BL498" s="257">
        <v>48.643391097519498</v>
      </c>
      <c r="BM498" s="276">
        <v>1.3039089443511551</v>
      </c>
      <c r="BN498" s="257">
        <v>11.337572076755599</v>
      </c>
      <c r="BO498" s="276">
        <v>23.137902197460406</v>
      </c>
      <c r="BP498" s="276" t="s">
        <v>232</v>
      </c>
      <c r="BQ498" s="279" t="s">
        <v>3071</v>
      </c>
      <c r="BR498" s="276" t="s">
        <v>233</v>
      </c>
      <c r="BS498" s="257">
        <v>-9.8192771084337291</v>
      </c>
      <c r="BT498" s="257">
        <v>-9.3488297325102803</v>
      </c>
      <c r="BU498" s="259">
        <v>0.95208940834153832</v>
      </c>
      <c r="BV498" s="257">
        <v>0.47044737592344887</v>
      </c>
      <c r="BW498" s="257"/>
      <c r="BX498" s="257">
        <v>4.7044737592344887E-4</v>
      </c>
      <c r="BY498" s="257">
        <v>2.0332326237211112E-5</v>
      </c>
      <c r="BZ498" s="257">
        <v>0</v>
      </c>
      <c r="CA498" s="257">
        <v>0</v>
      </c>
      <c r="CB498" s="257">
        <v>0</v>
      </c>
      <c r="CC498" s="257">
        <v>0</v>
      </c>
      <c r="CD498" s="257">
        <v>0</v>
      </c>
      <c r="CE498" s="257">
        <v>0</v>
      </c>
      <c r="CF498" s="257">
        <v>0</v>
      </c>
      <c r="CG498" s="257">
        <v>0</v>
      </c>
      <c r="CH498" s="257">
        <v>0</v>
      </c>
      <c r="CI498" s="257">
        <v>0</v>
      </c>
      <c r="CJ498" s="257">
        <v>0</v>
      </c>
      <c r="CK498" s="257">
        <v>0</v>
      </c>
      <c r="CL498" s="257">
        <v>0</v>
      </c>
      <c r="CM498" s="257">
        <v>0</v>
      </c>
      <c r="CN498" s="257" t="s">
        <v>3072</v>
      </c>
      <c r="CO498" s="257">
        <v>37.305819020763899</v>
      </c>
      <c r="CP498" s="257">
        <v>48.643391097519498</v>
      </c>
      <c r="CQ498" s="257">
        <v>23.137902197460406</v>
      </c>
      <c r="CR498" s="257">
        <v>-9.8192771084337291</v>
      </c>
      <c r="CS498" s="257">
        <v>-9.3488297325102803</v>
      </c>
      <c r="CT498" s="257">
        <v>4.7044737592344887E-4</v>
      </c>
      <c r="CU498" s="257">
        <v>2.0332326237211112E-5</v>
      </c>
      <c r="CV498" s="258">
        <v>4.791059165846169E-2</v>
      </c>
      <c r="CW498" s="256" t="s">
        <v>234</v>
      </c>
      <c r="CX498" s="257" t="s">
        <v>3073</v>
      </c>
      <c r="CY498" s="257" t="s">
        <v>235</v>
      </c>
      <c r="CZ498" s="257"/>
      <c r="DA498" s="276"/>
      <c r="DB498" s="276">
        <v>80</v>
      </c>
      <c r="DC498" s="257" t="s">
        <v>3074</v>
      </c>
      <c r="DD498" s="257">
        <v>0</v>
      </c>
      <c r="DE498" s="257">
        <v>1</v>
      </c>
      <c r="DF498" s="257">
        <v>0</v>
      </c>
      <c r="DG498" s="257">
        <v>0</v>
      </c>
      <c r="DH498" s="257"/>
      <c r="DI498" s="257">
        <v>1</v>
      </c>
      <c r="DJ498" s="257" t="s">
        <v>173</v>
      </c>
      <c r="DK498" s="257">
        <v>0</v>
      </c>
      <c r="DL498" s="257" t="s">
        <v>180</v>
      </c>
      <c r="DM498" s="257">
        <v>0</v>
      </c>
      <c r="DN498" s="257">
        <v>0</v>
      </c>
      <c r="DO498" s="257">
        <v>0</v>
      </c>
      <c r="DP498" s="276">
        <v>0</v>
      </c>
      <c r="DQ498" s="276">
        <v>0</v>
      </c>
      <c r="DR498" s="276">
        <v>0</v>
      </c>
      <c r="DS498" s="276">
        <v>0</v>
      </c>
      <c r="DT498" s="257">
        <v>0</v>
      </c>
      <c r="DU498" s="276" t="s">
        <v>962</v>
      </c>
      <c r="DV498" s="276">
        <v>1</v>
      </c>
      <c r="DW498" s="276">
        <v>1</v>
      </c>
      <c r="DX498" s="276">
        <v>1</v>
      </c>
      <c r="DY498" s="276">
        <v>0</v>
      </c>
      <c r="DZ498" s="257">
        <v>0</v>
      </c>
      <c r="EA498" s="276">
        <v>0</v>
      </c>
      <c r="EB498" s="276">
        <v>1</v>
      </c>
      <c r="EC498" s="276">
        <v>1</v>
      </c>
      <c r="ED498" s="276">
        <v>0</v>
      </c>
      <c r="EE498" s="276">
        <v>0</v>
      </c>
      <c r="EF498" s="257">
        <v>1</v>
      </c>
      <c r="EG498" s="276">
        <v>0</v>
      </c>
      <c r="EH498" s="257">
        <v>0</v>
      </c>
      <c r="EI498" s="258">
        <v>0</v>
      </c>
      <c r="EJ498" s="256"/>
      <c r="EK498" t="str">
        <f>IF(AND(AND(AND(OR($DX498=1,$DW498=1),OR($EC498=1,$EA498=1)),SUM($DV498:$DZ498,$EF498)&gt;=4),SUM($EA498:$EE498)&gt;=2),"Whole sector","")</f>
        <v>Whole sector</v>
      </c>
      <c r="EL498" t="str">
        <f>IF(AND(AND(OR($DX498=1,$DW498=1),AND($EC498=0,$EA498=0)),SUM($DV498:$DZ498,$EF498)&gt;=4),"Ecosystem approach","")</f>
        <v/>
      </c>
      <c r="EM498" s="258" t="s">
        <v>544</v>
      </c>
      <c r="EN498" s="257" t="s">
        <v>236</v>
      </c>
      <c r="EO498" s="257"/>
      <c r="EP498" t="str">
        <f>IF(ISNUMBER(BU498),IF(ABS(BU498-[2]QC_indicators!$B$2)&gt;3*[2]QC_indicators!$C$2,"C ratio",IF(ISNUMBER(BY498),IF(ABS(BY498-[2]QC_indicators!$B$1)&gt;3*[2]QC_indicators!$C$1,"DF","no"))),IF(ISNUMBER(BY498),IF(ABS(BY498-[2]QC_indicators!$B$1)&gt;3*[2]QC_indicators!$C$1,"DF","no")))</f>
        <v>no</v>
      </c>
    </row>
    <row r="499" spans="1:149" ht="15" customHeight="1">
      <c r="A499" s="256" t="s">
        <v>214</v>
      </c>
      <c r="B499" s="257" t="s">
        <v>215</v>
      </c>
      <c r="C499" s="257" t="s">
        <v>216</v>
      </c>
      <c r="D499" s="257" t="s">
        <v>217</v>
      </c>
      <c r="E499" s="257" t="s">
        <v>218</v>
      </c>
      <c r="F499" s="257" t="s">
        <v>219</v>
      </c>
      <c r="G499" s="257" t="s">
        <v>220</v>
      </c>
      <c r="H499" s="257"/>
      <c r="I499" s="257">
        <v>2012</v>
      </c>
      <c r="J499" s="257"/>
      <c r="K499" s="257" t="s">
        <v>221</v>
      </c>
      <c r="L499" s="257"/>
      <c r="M499" s="257" t="s">
        <v>3070</v>
      </c>
      <c r="N499" s="257" t="s">
        <v>222</v>
      </c>
      <c r="O499" s="275" t="s">
        <v>223</v>
      </c>
      <c r="P499" s="257"/>
      <c r="Q499" s="257" t="s">
        <v>224</v>
      </c>
      <c r="R499" s="258" t="s">
        <v>225</v>
      </c>
      <c r="S499" s="256" t="s">
        <v>241</v>
      </c>
      <c r="T499" s="257" t="s">
        <v>244</v>
      </c>
      <c r="U499" s="276" t="s">
        <v>242</v>
      </c>
      <c r="V499" s="257">
        <v>0</v>
      </c>
      <c r="W499" s="257">
        <v>0</v>
      </c>
      <c r="X499" s="257">
        <v>0</v>
      </c>
      <c r="Y499" s="257">
        <v>0</v>
      </c>
      <c r="Z499" s="257">
        <v>0</v>
      </c>
      <c r="AA499" s="257">
        <v>0</v>
      </c>
      <c r="AB499" s="257">
        <v>0</v>
      </c>
      <c r="AC499" s="257">
        <v>1</v>
      </c>
      <c r="AD499" s="257">
        <v>0</v>
      </c>
      <c r="AE499" s="257">
        <v>0</v>
      </c>
      <c r="AF499" s="257">
        <v>0</v>
      </c>
      <c r="AG499" s="257">
        <v>0</v>
      </c>
      <c r="AH499" s="257">
        <v>0</v>
      </c>
      <c r="AI499" s="257">
        <v>0</v>
      </c>
      <c r="AJ499" s="257">
        <v>0</v>
      </c>
      <c r="AK499" s="257">
        <v>0</v>
      </c>
      <c r="AL499" s="257">
        <v>0</v>
      </c>
      <c r="AM499" s="257">
        <v>0</v>
      </c>
      <c r="AN499" s="257">
        <v>0</v>
      </c>
      <c r="AO499" s="257">
        <v>0</v>
      </c>
      <c r="AP499" s="257">
        <v>0</v>
      </c>
      <c r="AQ499" s="257">
        <v>0</v>
      </c>
      <c r="AR499" s="257">
        <v>0</v>
      </c>
      <c r="AS499" s="257">
        <v>0</v>
      </c>
      <c r="AT499" s="257">
        <v>0</v>
      </c>
      <c r="AU499" s="257">
        <v>0</v>
      </c>
      <c r="AV499" s="257">
        <v>0</v>
      </c>
      <c r="AW499" s="257">
        <v>0</v>
      </c>
      <c r="AX499" s="277">
        <v>1</v>
      </c>
      <c r="AY499" s="277">
        <v>1</v>
      </c>
      <c r="AZ499" s="257">
        <v>1</v>
      </c>
      <c r="BA499" s="257">
        <v>0</v>
      </c>
      <c r="BB499" s="257">
        <v>0</v>
      </c>
      <c r="BC499" s="257">
        <v>0</v>
      </c>
      <c r="BD499" s="257">
        <v>0</v>
      </c>
      <c r="BE499" s="257" t="s">
        <v>95</v>
      </c>
      <c r="BF499" s="2" t="str" cm="1">
        <f t="array" ref="BF499">IF(COUNTIF(AZ499:BB499,"&lt;&gt;0")=1,INDEX($V$4:$AW$4,MATCH(TRUE,INDEX($V499:$AW499&lt;&gt;0,),0)),IF(COUNTIF(AZ499:BB499,"&lt;&gt;0")=0,INDEX($AM$4:$AW$4,MATCH(1,$AM499:$AW499,0)),"Multiple strategies"))</f>
        <v>Silviculture for productivity</v>
      </c>
      <c r="BG499" s="278" t="s">
        <v>229</v>
      </c>
      <c r="BH499" s="257" t="s">
        <v>230</v>
      </c>
      <c r="BI499" s="279" t="s">
        <v>3071</v>
      </c>
      <c r="BJ499" s="276" t="s">
        <v>231</v>
      </c>
      <c r="BK499" s="257">
        <v>34.220071776467499</v>
      </c>
      <c r="BL499" s="257">
        <v>41.741420319401897</v>
      </c>
      <c r="BM499" s="276">
        <v>1.2197934765322931</v>
      </c>
      <c r="BN499" s="257">
        <v>7.5213485429343976</v>
      </c>
      <c r="BO499" s="276">
        <v>15.349690903947751</v>
      </c>
      <c r="BP499" s="276" t="s">
        <v>232</v>
      </c>
      <c r="BQ499" s="279" t="s">
        <v>3071</v>
      </c>
      <c r="BR499" s="276" t="s">
        <v>233</v>
      </c>
      <c r="BS499" s="257">
        <v>-10.491967871485899</v>
      </c>
      <c r="BT499" s="257">
        <v>-10.1626318158436</v>
      </c>
      <c r="BU499" s="259">
        <v>0.96861064962490606</v>
      </c>
      <c r="BV499" s="257">
        <v>0.32933605564229929</v>
      </c>
      <c r="BW499" s="257"/>
      <c r="BX499" s="257">
        <v>3.2933605564229926E-4</v>
      </c>
      <c r="BY499" s="257">
        <v>2.1455549672182527E-5</v>
      </c>
      <c r="BZ499" s="257">
        <v>0</v>
      </c>
      <c r="CA499" s="257">
        <v>0</v>
      </c>
      <c r="CB499" s="257">
        <v>0</v>
      </c>
      <c r="CC499" s="257">
        <v>0</v>
      </c>
      <c r="CD499" s="257">
        <v>0</v>
      </c>
      <c r="CE499" s="257">
        <v>0</v>
      </c>
      <c r="CF499" s="257">
        <v>0</v>
      </c>
      <c r="CG499" s="257">
        <v>0</v>
      </c>
      <c r="CH499" s="257">
        <v>0</v>
      </c>
      <c r="CI499" s="257">
        <v>0</v>
      </c>
      <c r="CJ499" s="257">
        <v>0</v>
      </c>
      <c r="CK499" s="257">
        <v>0</v>
      </c>
      <c r="CL499" s="257">
        <v>0</v>
      </c>
      <c r="CM499" s="257">
        <v>0</v>
      </c>
      <c r="CN499" s="257" t="s">
        <v>3072</v>
      </c>
      <c r="CO499" s="257">
        <v>34.220071776467499</v>
      </c>
      <c r="CP499" s="257">
        <v>41.741420319401897</v>
      </c>
      <c r="CQ499" s="257">
        <v>15.349690903947751</v>
      </c>
      <c r="CR499" s="257">
        <v>-10.491967871485899</v>
      </c>
      <c r="CS499" s="257">
        <v>-10.1626318158436</v>
      </c>
      <c r="CT499" s="257">
        <v>3.2933605564229926E-4</v>
      </c>
      <c r="CU499" s="257">
        <v>2.1455549672182527E-5</v>
      </c>
      <c r="CV499" s="258">
        <v>3.1389350375093925E-2</v>
      </c>
      <c r="CW499" s="256" t="s">
        <v>234</v>
      </c>
      <c r="CX499" s="257" t="s">
        <v>3073</v>
      </c>
      <c r="CY499" s="257" t="s">
        <v>235</v>
      </c>
      <c r="CZ499" s="257"/>
      <c r="DA499" s="276"/>
      <c r="DB499" s="276">
        <v>80</v>
      </c>
      <c r="DC499" s="257" t="s">
        <v>3074</v>
      </c>
      <c r="DD499" s="257">
        <v>0</v>
      </c>
      <c r="DE499" s="257">
        <v>1</v>
      </c>
      <c r="DF499" s="257">
        <v>0</v>
      </c>
      <c r="DG499" s="257">
        <v>0</v>
      </c>
      <c r="DH499" s="257"/>
      <c r="DI499" s="257">
        <v>1</v>
      </c>
      <c r="DJ499" s="257" t="s">
        <v>173</v>
      </c>
      <c r="DK499" s="257">
        <v>0</v>
      </c>
      <c r="DL499" s="257" t="s">
        <v>180</v>
      </c>
      <c r="DM499" s="257">
        <v>0</v>
      </c>
      <c r="DN499" s="257">
        <v>0</v>
      </c>
      <c r="DO499" s="257">
        <v>0</v>
      </c>
      <c r="DP499" s="276">
        <v>0</v>
      </c>
      <c r="DQ499" s="276">
        <v>0</v>
      </c>
      <c r="DR499" s="276">
        <v>0</v>
      </c>
      <c r="DS499" s="276">
        <v>0</v>
      </c>
      <c r="DT499" s="257">
        <v>0</v>
      </c>
      <c r="DU499" s="276" t="s">
        <v>962</v>
      </c>
      <c r="DV499" s="276">
        <v>1</v>
      </c>
      <c r="DW499" s="276">
        <v>1</v>
      </c>
      <c r="DX499" s="276">
        <v>1</v>
      </c>
      <c r="DY499" s="276">
        <v>0</v>
      </c>
      <c r="DZ499" s="257">
        <v>0</v>
      </c>
      <c r="EA499" s="276">
        <v>0</v>
      </c>
      <c r="EB499" s="276">
        <v>1</v>
      </c>
      <c r="EC499" s="276">
        <v>1</v>
      </c>
      <c r="ED499" s="276">
        <v>0</v>
      </c>
      <c r="EE499" s="276">
        <v>0</v>
      </c>
      <c r="EF499" s="257">
        <v>1</v>
      </c>
      <c r="EG499" s="276">
        <v>0</v>
      </c>
      <c r="EH499" s="257">
        <v>0</v>
      </c>
      <c r="EI499" s="258">
        <v>0</v>
      </c>
      <c r="EJ499" s="256"/>
      <c r="EK499" t="str">
        <f>IF(AND(AND(AND(OR($DX499=1,$DW499=1),OR($EC499=1,$EA499=1)),SUM($DV499:$DZ499,$EF499)&gt;=4),SUM($EA499:$EE499)&gt;=2),"Whole sector","")</f>
        <v>Whole sector</v>
      </c>
      <c r="EL499" t="str">
        <f>IF(AND(AND(OR($DX499=1,$DW499=1),AND($EC499=0,$EA499=0)),SUM($DV499:$DZ499,$EF499)&gt;=4),"Ecosystem approach","")</f>
        <v/>
      </c>
      <c r="EM499" s="258" t="s">
        <v>544</v>
      </c>
      <c r="EN499" s="257" t="s">
        <v>236</v>
      </c>
      <c r="EO499" s="257"/>
      <c r="EP499" t="str">
        <f>IF(ISNUMBER(BU499),IF(ABS(BU499-[2]QC_indicators!$B$2)&gt;3*[2]QC_indicators!$C$2,"C ratio",IF(ISNUMBER(BY499),IF(ABS(BY499-[2]QC_indicators!$B$1)&gt;3*[2]QC_indicators!$C$1,"DF","no"))),IF(ISNUMBER(BY499),IF(ABS(BY499-[2]QC_indicators!$B$1)&gt;3*[2]QC_indicators!$C$1,"DF","no")))</f>
        <v>no</v>
      </c>
    </row>
    <row r="500" spans="1:149" ht="15" customHeight="1">
      <c r="A500" s="256" t="s">
        <v>214</v>
      </c>
      <c r="B500" s="257" t="s">
        <v>215</v>
      </c>
      <c r="C500" s="257" t="s">
        <v>216</v>
      </c>
      <c r="D500" s="257" t="s">
        <v>217</v>
      </c>
      <c r="E500" s="257" t="s">
        <v>218</v>
      </c>
      <c r="F500" s="257" t="s">
        <v>219</v>
      </c>
      <c r="G500" s="257" t="s">
        <v>220</v>
      </c>
      <c r="H500" s="257"/>
      <c r="I500" s="257">
        <v>2012</v>
      </c>
      <c r="J500" s="257"/>
      <c r="K500" s="257" t="s">
        <v>221</v>
      </c>
      <c r="L500" s="257"/>
      <c r="M500" s="257" t="s">
        <v>3070</v>
      </c>
      <c r="N500" s="257" t="s">
        <v>222</v>
      </c>
      <c r="O500" s="275" t="s">
        <v>223</v>
      </c>
      <c r="P500" s="257"/>
      <c r="Q500" s="257" t="s">
        <v>224</v>
      </c>
      <c r="R500" s="258" t="s">
        <v>225</v>
      </c>
      <c r="S500" s="256" t="s">
        <v>92</v>
      </c>
      <c r="T500" s="257" t="s">
        <v>245</v>
      </c>
      <c r="U500" s="276" t="s">
        <v>246</v>
      </c>
      <c r="V500" s="257">
        <v>0</v>
      </c>
      <c r="W500" s="257">
        <v>0</v>
      </c>
      <c r="X500" s="257">
        <v>0</v>
      </c>
      <c r="Y500" s="257">
        <v>0</v>
      </c>
      <c r="Z500" s="257">
        <v>1</v>
      </c>
      <c r="AA500" s="257">
        <v>0</v>
      </c>
      <c r="AB500" s="257">
        <v>0</v>
      </c>
      <c r="AC500" s="257">
        <v>0</v>
      </c>
      <c r="AD500" s="257">
        <v>0</v>
      </c>
      <c r="AE500" s="257">
        <v>0</v>
      </c>
      <c r="AF500" s="257">
        <v>0</v>
      </c>
      <c r="AG500" s="257">
        <v>0</v>
      </c>
      <c r="AH500" s="257">
        <v>0</v>
      </c>
      <c r="AI500" s="257">
        <v>0</v>
      </c>
      <c r="AJ500" s="257">
        <v>0</v>
      </c>
      <c r="AK500" s="257">
        <v>0</v>
      </c>
      <c r="AL500" s="257">
        <v>0</v>
      </c>
      <c r="AM500" s="257">
        <v>0</v>
      </c>
      <c r="AN500" s="257">
        <v>0</v>
      </c>
      <c r="AO500" s="257">
        <v>0</v>
      </c>
      <c r="AP500" s="257">
        <v>0</v>
      </c>
      <c r="AQ500" s="257">
        <v>0</v>
      </c>
      <c r="AR500" s="257">
        <v>0</v>
      </c>
      <c r="AS500" s="257">
        <v>0</v>
      </c>
      <c r="AT500" s="257">
        <v>0</v>
      </c>
      <c r="AU500" s="257">
        <v>0</v>
      </c>
      <c r="AV500" s="257">
        <v>0</v>
      </c>
      <c r="AW500" s="257">
        <v>0</v>
      </c>
      <c r="AX500" s="277">
        <v>1</v>
      </c>
      <c r="AY500" s="277">
        <v>1</v>
      </c>
      <c r="AZ500" s="257">
        <v>1</v>
      </c>
      <c r="BA500" s="257">
        <v>0</v>
      </c>
      <c r="BB500" s="257">
        <v>0</v>
      </c>
      <c r="BC500" s="257">
        <v>0</v>
      </c>
      <c r="BD500" s="257">
        <v>0</v>
      </c>
      <c r="BE500" s="257" t="s">
        <v>92</v>
      </c>
      <c r="BF500" s="2" t="str" cm="1">
        <f t="array" ref="BF500">IF(COUNTIF(AZ500:BB500,"&lt;&gt;0")=1,INDEX($V$4:$AW$4,MATCH(TRUE,INDEX($V500:$AW500&lt;&gt;0,),0)),IF(COUNTIF(AZ500:BB500,"&lt;&gt;0")=0,INDEX($AM$4:$AW$4,MATCH(1,$AM500:$AW500,0)),"Multiple strategies"))</f>
        <v>Silviculture for productivity</v>
      </c>
      <c r="BG500" s="278" t="s">
        <v>229</v>
      </c>
      <c r="BH500" s="257" t="s">
        <v>230</v>
      </c>
      <c r="BI500" s="279" t="s">
        <v>3071</v>
      </c>
      <c r="BJ500" s="276" t="s">
        <v>231</v>
      </c>
      <c r="BK500" s="257">
        <v>53.696488079979403</v>
      </c>
      <c r="BL500" s="257">
        <v>75.212579794444494</v>
      </c>
      <c r="BM500" s="276">
        <v>1.4006983041873704</v>
      </c>
      <c r="BN500" s="257">
        <v>21.516091714465091</v>
      </c>
      <c r="BO500" s="276">
        <v>43.910391254010392</v>
      </c>
      <c r="BP500" s="276" t="s">
        <v>232</v>
      </c>
      <c r="BQ500" s="279" t="s">
        <v>3071</v>
      </c>
      <c r="BR500" s="276" t="s">
        <v>233</v>
      </c>
      <c r="BS500" s="257">
        <v>-9.4136546184738901</v>
      </c>
      <c r="BT500" s="257">
        <v>-8.4548837897123708</v>
      </c>
      <c r="BU500" s="259">
        <v>0.89815105104026516</v>
      </c>
      <c r="BV500" s="257">
        <v>0.95877082876151931</v>
      </c>
      <c r="BW500" s="257"/>
      <c r="BX500" s="257">
        <v>9.5877082876151933E-4</v>
      </c>
      <c r="BY500" s="257">
        <v>2.1834713865683297E-5</v>
      </c>
      <c r="BZ500" s="257">
        <v>0</v>
      </c>
      <c r="CA500" s="257">
        <v>0</v>
      </c>
      <c r="CB500" s="257">
        <v>0</v>
      </c>
      <c r="CC500" s="257">
        <v>0</v>
      </c>
      <c r="CD500" s="257">
        <v>0</v>
      </c>
      <c r="CE500" s="257">
        <v>0</v>
      </c>
      <c r="CF500" s="257">
        <v>0</v>
      </c>
      <c r="CG500" s="257">
        <v>0</v>
      </c>
      <c r="CH500" s="257">
        <v>0</v>
      </c>
      <c r="CI500" s="257">
        <v>0</v>
      </c>
      <c r="CJ500" s="257">
        <v>0</v>
      </c>
      <c r="CK500" s="257">
        <v>0</v>
      </c>
      <c r="CL500" s="257">
        <v>0</v>
      </c>
      <c r="CM500" s="257">
        <v>0</v>
      </c>
      <c r="CN500" s="257" t="s">
        <v>3072</v>
      </c>
      <c r="CO500" s="257">
        <v>53.696488079979403</v>
      </c>
      <c r="CP500" s="257">
        <v>75.212579794444494</v>
      </c>
      <c r="CQ500" s="257">
        <v>43.910391254010392</v>
      </c>
      <c r="CR500" s="257">
        <v>-9.4136546184738901</v>
      </c>
      <c r="CS500" s="257">
        <v>-8.4548837897123708</v>
      </c>
      <c r="CT500" s="257">
        <v>9.5877082876151933E-4</v>
      </c>
      <c r="CU500" s="257">
        <v>2.1834713865683297E-5</v>
      </c>
      <c r="CV500" s="258">
        <v>0.10184894895973483</v>
      </c>
      <c r="CW500" s="256" t="s">
        <v>234</v>
      </c>
      <c r="CX500" s="257" t="s">
        <v>3073</v>
      </c>
      <c r="CY500" s="257" t="s">
        <v>235</v>
      </c>
      <c r="CZ500" s="257"/>
      <c r="DA500" s="276"/>
      <c r="DB500" s="276">
        <v>80</v>
      </c>
      <c r="DC500" s="257" t="s">
        <v>3074</v>
      </c>
      <c r="DD500" s="257">
        <v>0</v>
      </c>
      <c r="DE500" s="257">
        <v>1</v>
      </c>
      <c r="DF500" s="257">
        <v>0</v>
      </c>
      <c r="DG500" s="257">
        <v>0</v>
      </c>
      <c r="DH500" s="257"/>
      <c r="DI500" s="257">
        <v>1</v>
      </c>
      <c r="DJ500" s="257" t="s">
        <v>173</v>
      </c>
      <c r="DK500" s="257">
        <v>0</v>
      </c>
      <c r="DL500" s="257" t="s">
        <v>180</v>
      </c>
      <c r="DM500" s="257">
        <v>0</v>
      </c>
      <c r="DN500" s="257">
        <v>0</v>
      </c>
      <c r="DO500" s="257">
        <v>0</v>
      </c>
      <c r="DP500" s="276">
        <v>0</v>
      </c>
      <c r="DQ500" s="276">
        <v>0</v>
      </c>
      <c r="DR500" s="276">
        <v>0</v>
      </c>
      <c r="DS500" s="276">
        <v>0</v>
      </c>
      <c r="DT500" s="257">
        <v>0</v>
      </c>
      <c r="DU500" s="276" t="s">
        <v>962</v>
      </c>
      <c r="DV500" s="276">
        <v>1</v>
      </c>
      <c r="DW500" s="276">
        <v>1</v>
      </c>
      <c r="DX500" s="276">
        <v>1</v>
      </c>
      <c r="DY500" s="276">
        <v>0</v>
      </c>
      <c r="DZ500" s="257">
        <v>0</v>
      </c>
      <c r="EA500" s="276">
        <v>0</v>
      </c>
      <c r="EB500" s="276">
        <v>1</v>
      </c>
      <c r="EC500" s="276">
        <v>1</v>
      </c>
      <c r="ED500" s="276">
        <v>0</v>
      </c>
      <c r="EE500" s="276">
        <v>0</v>
      </c>
      <c r="EF500" s="257">
        <v>1</v>
      </c>
      <c r="EG500" s="276">
        <v>0</v>
      </c>
      <c r="EH500" s="257">
        <v>0</v>
      </c>
      <c r="EI500" s="258">
        <v>0</v>
      </c>
      <c r="EJ500" s="256"/>
      <c r="EK500" t="str">
        <f>IF(AND(AND(AND(OR($DX500=1,$DW500=1),OR($EC500=1,$EA500=1)),SUM($DV500:$DZ500,$EF500)&gt;=4),SUM($EA500:$EE500)&gt;=2),"Whole sector","")</f>
        <v>Whole sector</v>
      </c>
      <c r="EL500" t="str">
        <f>IF(AND(AND(OR($DX500=1,$DW500=1),AND($EC500=0,$EA500=0)),SUM($DV500:$DZ500,$EF500)&gt;=4),"Ecosystem approach","")</f>
        <v/>
      </c>
      <c r="EM500" s="258" t="s">
        <v>544</v>
      </c>
      <c r="EN500" s="257" t="s">
        <v>236</v>
      </c>
      <c r="EO500" s="257"/>
      <c r="EP500" t="str">
        <f>IF(ISNUMBER(BU500),IF(ABS(BU500-[2]QC_indicators!$B$2)&gt;3*[2]QC_indicators!$C$2,"C ratio",IF(ISNUMBER(BY500),IF(ABS(BY500-[2]QC_indicators!$B$1)&gt;3*[2]QC_indicators!$C$1,"DF","no"))),IF(ISNUMBER(BY500),IF(ABS(BY500-[2]QC_indicators!$B$1)&gt;3*[2]QC_indicators!$C$1,"DF","no")))</f>
        <v>no</v>
      </c>
      <c r="EQ500" s="257"/>
      <c r="ER500" s="257"/>
    </row>
    <row r="501" spans="1:149" ht="15" customHeight="1">
      <c r="A501" s="256" t="s">
        <v>214</v>
      </c>
      <c r="B501" s="257" t="s">
        <v>215</v>
      </c>
      <c r="C501" s="257" t="s">
        <v>216</v>
      </c>
      <c r="D501" s="257" t="s">
        <v>217</v>
      </c>
      <c r="E501" s="257" t="s">
        <v>218</v>
      </c>
      <c r="F501" s="257" t="s">
        <v>219</v>
      </c>
      <c r="G501" s="257" t="s">
        <v>220</v>
      </c>
      <c r="H501" s="257"/>
      <c r="I501" s="257">
        <v>2012</v>
      </c>
      <c r="J501" s="257"/>
      <c r="K501" s="257" t="s">
        <v>221</v>
      </c>
      <c r="L501" s="257"/>
      <c r="M501" s="257" t="s">
        <v>3070</v>
      </c>
      <c r="N501" s="257" t="s">
        <v>222</v>
      </c>
      <c r="O501" s="275" t="s">
        <v>223</v>
      </c>
      <c r="P501" s="257"/>
      <c r="Q501" s="257" t="s">
        <v>224</v>
      </c>
      <c r="R501" s="258" t="s">
        <v>225</v>
      </c>
      <c r="S501" s="256" t="s">
        <v>226</v>
      </c>
      <c r="T501" s="257" t="s">
        <v>228</v>
      </c>
      <c r="U501" s="257" t="s">
        <v>238</v>
      </c>
      <c r="V501" s="257">
        <v>0</v>
      </c>
      <c r="W501" s="257">
        <v>0</v>
      </c>
      <c r="X501" s="257">
        <v>0</v>
      </c>
      <c r="Y501" s="257">
        <v>1</v>
      </c>
      <c r="Z501" s="257">
        <v>0</v>
      </c>
      <c r="AA501" s="257">
        <v>0</v>
      </c>
      <c r="AB501" s="257">
        <v>0</v>
      </c>
      <c r="AC501" s="257">
        <v>0</v>
      </c>
      <c r="AD501" s="257">
        <v>0</v>
      </c>
      <c r="AE501" s="257">
        <v>0</v>
      </c>
      <c r="AF501" s="257">
        <v>0</v>
      </c>
      <c r="AG501" s="257">
        <v>0</v>
      </c>
      <c r="AH501" s="257">
        <v>0</v>
      </c>
      <c r="AI501" s="257">
        <v>0</v>
      </c>
      <c r="AJ501" s="257">
        <v>0</v>
      </c>
      <c r="AK501" s="257">
        <v>0</v>
      </c>
      <c r="AL501" s="257">
        <v>0</v>
      </c>
      <c r="AM501" s="257">
        <v>0</v>
      </c>
      <c r="AN501" s="257">
        <v>0</v>
      </c>
      <c r="AO501" s="257">
        <v>0</v>
      </c>
      <c r="AP501" s="257">
        <v>0</v>
      </c>
      <c r="AQ501" s="257">
        <v>0</v>
      </c>
      <c r="AR501" s="257">
        <v>0</v>
      </c>
      <c r="AS501" s="257">
        <v>0</v>
      </c>
      <c r="AT501" s="257">
        <v>0</v>
      </c>
      <c r="AU501" s="257">
        <v>0</v>
      </c>
      <c r="AV501" s="257">
        <v>0</v>
      </c>
      <c r="AW501" s="257">
        <v>0</v>
      </c>
      <c r="AX501" s="277">
        <v>1</v>
      </c>
      <c r="AY501" s="277">
        <v>1</v>
      </c>
      <c r="AZ501" s="257">
        <v>1</v>
      </c>
      <c r="BA501" s="257">
        <v>0</v>
      </c>
      <c r="BB501" s="257">
        <v>0</v>
      </c>
      <c r="BC501" s="257">
        <v>0</v>
      </c>
      <c r="BD501" s="257">
        <v>0</v>
      </c>
      <c r="BE501" s="257" t="s">
        <v>91</v>
      </c>
      <c r="BF501" s="2" t="str" cm="1">
        <f t="array" ref="BF501">IF(COUNTIF(AZ501:BB501,"&lt;&gt;0")=1,INDEX($V$4:$AW$4,MATCH(TRUE,INDEX($V501:$AW501&lt;&gt;0,),0)),IF(COUNTIF(AZ501:BB501,"&lt;&gt;0")=0,INDEX($AM$4:$AW$4,MATCH(1,$AM501:$AW501,0)),"Multiple strategies"))</f>
        <v>Silviculture for removals</v>
      </c>
      <c r="BG501" s="278" t="s">
        <v>229</v>
      </c>
      <c r="BH501" s="257" t="s">
        <v>230</v>
      </c>
      <c r="BI501" s="279" t="s">
        <v>3071</v>
      </c>
      <c r="BJ501" s="276" t="s">
        <v>231</v>
      </c>
      <c r="BK501" s="257">
        <v>37.305819020000001</v>
      </c>
      <c r="BL501" s="257">
        <v>54.766085619999998</v>
      </c>
      <c r="BM501" s="276">
        <v>0.68118468935045284</v>
      </c>
      <c r="BN501" s="257">
        <v>17.460266599999997</v>
      </c>
      <c r="BO501" s="276">
        <v>35.633197142857135</v>
      </c>
      <c r="BP501" s="276" t="s">
        <v>232</v>
      </c>
      <c r="BQ501" s="279" t="s">
        <v>3071</v>
      </c>
      <c r="BR501" s="276" t="s">
        <v>233</v>
      </c>
      <c r="BS501" s="257">
        <v>-9.8192771079999996</v>
      </c>
      <c r="BT501" s="257">
        <v>-9.0261044179999992</v>
      </c>
      <c r="BU501" s="259">
        <v>0.91922290395962203</v>
      </c>
      <c r="BV501" s="257">
        <v>0.79317269000000046</v>
      </c>
      <c r="BW501" s="257"/>
      <c r="BX501" s="257">
        <v>7.9317269000000047E-4</v>
      </c>
      <c r="BY501" s="257">
        <v>2.2259374785262461E-5</v>
      </c>
      <c r="BZ501" s="257">
        <v>0</v>
      </c>
      <c r="CA501" s="257">
        <v>0</v>
      </c>
      <c r="CB501" s="257">
        <v>0</v>
      </c>
      <c r="CC501" s="257">
        <v>0</v>
      </c>
      <c r="CD501" s="257">
        <v>0</v>
      </c>
      <c r="CE501" s="257">
        <v>0</v>
      </c>
      <c r="CF501" s="257">
        <v>0</v>
      </c>
      <c r="CG501" s="257">
        <v>0</v>
      </c>
      <c r="CH501" s="257">
        <v>0</v>
      </c>
      <c r="CI501" s="257">
        <v>0</v>
      </c>
      <c r="CJ501" s="257">
        <v>0</v>
      </c>
      <c r="CK501" s="257">
        <v>0</v>
      </c>
      <c r="CL501" s="257">
        <v>0</v>
      </c>
      <c r="CM501" s="257">
        <v>0</v>
      </c>
      <c r="CN501" s="257" t="s">
        <v>3072</v>
      </c>
      <c r="CO501" s="257">
        <v>37.305819020000001</v>
      </c>
      <c r="CP501" s="257">
        <v>54.766085619999998</v>
      </c>
      <c r="CQ501" s="257">
        <v>35.633197142857135</v>
      </c>
      <c r="CR501" s="257">
        <v>-9.8192771079999996</v>
      </c>
      <c r="CS501" s="257">
        <v>-9.0261044179999992</v>
      </c>
      <c r="CT501" s="257">
        <v>7.9317269000000047E-4</v>
      </c>
      <c r="CU501" s="257">
        <v>2.2259374785262461E-5</v>
      </c>
      <c r="CV501" s="258">
        <v>8.077709604037793E-2</v>
      </c>
      <c r="CW501" s="256" t="s">
        <v>234</v>
      </c>
      <c r="CX501" s="257" t="s">
        <v>3073</v>
      </c>
      <c r="CY501" s="257" t="s">
        <v>235</v>
      </c>
      <c r="CZ501" s="257"/>
      <c r="DA501" s="276"/>
      <c r="DB501" s="276">
        <v>80</v>
      </c>
      <c r="DC501" s="257" t="s">
        <v>3074</v>
      </c>
      <c r="DD501" s="257">
        <v>0</v>
      </c>
      <c r="DE501" s="257">
        <v>1</v>
      </c>
      <c r="DF501" s="257">
        <v>0</v>
      </c>
      <c r="DG501" s="257">
        <v>0</v>
      </c>
      <c r="DH501" s="257"/>
      <c r="DI501" s="257">
        <v>1</v>
      </c>
      <c r="DJ501" s="257" t="s">
        <v>173</v>
      </c>
      <c r="DK501" s="257">
        <v>0</v>
      </c>
      <c r="DL501" s="257" t="s">
        <v>180</v>
      </c>
      <c r="DM501" s="257">
        <v>0</v>
      </c>
      <c r="DN501" s="257">
        <v>0</v>
      </c>
      <c r="DO501" s="257">
        <v>0</v>
      </c>
      <c r="DP501" s="276">
        <v>0</v>
      </c>
      <c r="DQ501" s="276">
        <v>0</v>
      </c>
      <c r="DR501" s="276">
        <v>0</v>
      </c>
      <c r="DS501" s="276">
        <v>0</v>
      </c>
      <c r="DT501" s="257">
        <v>0</v>
      </c>
      <c r="DU501" s="276" t="s">
        <v>962</v>
      </c>
      <c r="DV501" s="276">
        <v>1</v>
      </c>
      <c r="DW501" s="276">
        <v>1</v>
      </c>
      <c r="DX501" s="276">
        <v>1</v>
      </c>
      <c r="DY501" s="276">
        <v>0</v>
      </c>
      <c r="DZ501" s="257">
        <v>0</v>
      </c>
      <c r="EA501" s="276">
        <v>0</v>
      </c>
      <c r="EB501" s="276">
        <v>1</v>
      </c>
      <c r="EC501" s="276">
        <v>1</v>
      </c>
      <c r="ED501" s="276">
        <v>0</v>
      </c>
      <c r="EE501" s="276">
        <v>0</v>
      </c>
      <c r="EF501" s="257">
        <v>1</v>
      </c>
      <c r="EG501" s="276">
        <v>0</v>
      </c>
      <c r="EH501" s="257">
        <v>0</v>
      </c>
      <c r="EI501" s="258">
        <v>0</v>
      </c>
      <c r="EJ501" s="256"/>
      <c r="EK501" t="str">
        <f>IF(AND(AND(AND(OR($DX501=1,$DW501=1),OR($EC501=1,$EA501=1)),SUM($DV501:$DZ501,$EF501)&gt;=4),SUM($EA501:$EE501)&gt;=2),"Whole sector","")</f>
        <v>Whole sector</v>
      </c>
      <c r="EL501" t="str">
        <f>IF(AND(AND(OR($DX501=1,$DW501=1),AND($EC501=0,$EA501=0)),SUM($DV501:$DZ501,$EF501)&gt;=4),"Ecosystem approach","")</f>
        <v/>
      </c>
      <c r="EM501" s="258" t="s">
        <v>544</v>
      </c>
      <c r="EN501" s="257" t="s">
        <v>236</v>
      </c>
      <c r="EO501" s="257"/>
      <c r="EP501" t="str">
        <f>IF(ISNUMBER(BU501),IF(ABS(BU501-[2]QC_indicators!$B$2)&gt;3*[2]QC_indicators!$C$2,"C ratio",IF(ISNUMBER(BY501),IF(ABS(BY501-[2]QC_indicators!$B$1)&gt;3*[2]QC_indicators!$C$1,"DF","no"))),IF(ISNUMBER(BY501),IF(ABS(BY501-[2]QC_indicators!$B$1)&gt;3*[2]QC_indicators!$C$1,"DF","no")))</f>
        <v>no</v>
      </c>
      <c r="EQ501" s="280"/>
      <c r="ER501" s="280"/>
      <c r="ES501" s="280"/>
    </row>
    <row r="502" spans="1:149" ht="15" customHeight="1">
      <c r="A502" s="256" t="s">
        <v>214</v>
      </c>
      <c r="B502" s="257" t="s">
        <v>215</v>
      </c>
      <c r="C502" s="257" t="s">
        <v>216</v>
      </c>
      <c r="D502" s="257" t="s">
        <v>217</v>
      </c>
      <c r="E502" s="257" t="s">
        <v>218</v>
      </c>
      <c r="F502" s="257" t="s">
        <v>219</v>
      </c>
      <c r="G502" s="257" t="s">
        <v>220</v>
      </c>
      <c r="H502" s="257"/>
      <c r="I502" s="257">
        <v>2012</v>
      </c>
      <c r="J502" s="257"/>
      <c r="K502" s="257" t="s">
        <v>221</v>
      </c>
      <c r="L502" s="257"/>
      <c r="M502" s="257" t="s">
        <v>3070</v>
      </c>
      <c r="N502" s="257" t="s">
        <v>222</v>
      </c>
      <c r="O502" s="275" t="s">
        <v>223</v>
      </c>
      <c r="P502" s="257"/>
      <c r="Q502" s="257" t="s">
        <v>224</v>
      </c>
      <c r="R502" s="258" t="s">
        <v>225</v>
      </c>
      <c r="S502" s="256" t="s">
        <v>92</v>
      </c>
      <c r="T502" s="257" t="s">
        <v>245</v>
      </c>
      <c r="U502" s="276" t="s">
        <v>246</v>
      </c>
      <c r="V502" s="257">
        <v>0</v>
      </c>
      <c r="W502" s="257">
        <v>0</v>
      </c>
      <c r="X502" s="257">
        <v>0</v>
      </c>
      <c r="Y502" s="257">
        <v>0</v>
      </c>
      <c r="Z502" s="257">
        <v>1</v>
      </c>
      <c r="AA502" s="257">
        <v>0</v>
      </c>
      <c r="AB502" s="257">
        <v>0</v>
      </c>
      <c r="AC502" s="257">
        <v>0</v>
      </c>
      <c r="AD502" s="257">
        <v>0</v>
      </c>
      <c r="AE502" s="257">
        <v>0</v>
      </c>
      <c r="AF502" s="257">
        <v>0</v>
      </c>
      <c r="AG502" s="257">
        <v>0</v>
      </c>
      <c r="AH502" s="257">
        <v>0</v>
      </c>
      <c r="AI502" s="257">
        <v>0</v>
      </c>
      <c r="AJ502" s="257">
        <v>0</v>
      </c>
      <c r="AK502" s="257">
        <v>0</v>
      </c>
      <c r="AL502" s="257">
        <v>0</v>
      </c>
      <c r="AM502" s="257">
        <v>0</v>
      </c>
      <c r="AN502" s="257">
        <v>0</v>
      </c>
      <c r="AO502" s="257">
        <v>0</v>
      </c>
      <c r="AP502" s="257">
        <v>0</v>
      </c>
      <c r="AQ502" s="257">
        <v>0</v>
      </c>
      <c r="AR502" s="257">
        <v>0</v>
      </c>
      <c r="AS502" s="257">
        <v>0</v>
      </c>
      <c r="AT502" s="257">
        <v>0</v>
      </c>
      <c r="AU502" s="257">
        <v>0</v>
      </c>
      <c r="AV502" s="257">
        <v>0</v>
      </c>
      <c r="AW502" s="257">
        <v>0</v>
      </c>
      <c r="AX502" s="277">
        <v>1</v>
      </c>
      <c r="AY502" s="277">
        <v>1</v>
      </c>
      <c r="AZ502" s="257">
        <v>1</v>
      </c>
      <c r="BA502" s="257">
        <v>0</v>
      </c>
      <c r="BB502" s="257">
        <v>0</v>
      </c>
      <c r="BC502" s="257">
        <v>0</v>
      </c>
      <c r="BD502" s="257">
        <v>0</v>
      </c>
      <c r="BE502" s="257" t="s">
        <v>92</v>
      </c>
      <c r="BF502" s="2" t="str" cm="1">
        <f t="array" ref="BF502">IF(COUNTIF(AZ502:BB502,"&lt;&gt;0")=1,INDEX($V$4:$AW$4,MATCH(TRUE,INDEX($V502:$AW502&lt;&gt;0,),0)),IF(COUNTIF(AZ502:BB502,"&lt;&gt;0")=0,INDEX($AM$4:$AW$4,MATCH(1,$AM502:$AW502,0)),"Multiple strategies"))</f>
        <v>Silviculture for productivity</v>
      </c>
      <c r="BG502" s="278" t="s">
        <v>229</v>
      </c>
      <c r="BH502" s="257" t="s">
        <v>230</v>
      </c>
      <c r="BI502" s="279" t="s">
        <v>3071</v>
      </c>
      <c r="BJ502" s="276" t="s">
        <v>231</v>
      </c>
      <c r="BK502" s="257">
        <v>49.052379731692703</v>
      </c>
      <c r="BL502" s="257">
        <v>74.931604761787398</v>
      </c>
      <c r="BM502" s="276">
        <v>1.5275834765132537</v>
      </c>
      <c r="BN502" s="257">
        <v>25.879225030094695</v>
      </c>
      <c r="BO502" s="276">
        <v>52.814744959376931</v>
      </c>
      <c r="BP502" s="276" t="s">
        <v>232</v>
      </c>
      <c r="BQ502" s="279" t="s">
        <v>3071</v>
      </c>
      <c r="BR502" s="276" t="s">
        <v>233</v>
      </c>
      <c r="BS502" s="257">
        <v>-9.7349397590361395</v>
      </c>
      <c r="BT502" s="257">
        <v>-8.5161560643777907</v>
      </c>
      <c r="BU502" s="259">
        <v>0.87480316007841208</v>
      </c>
      <c r="BV502" s="257">
        <v>1.2187836946583488</v>
      </c>
      <c r="BW502" s="257"/>
      <c r="BX502" s="257">
        <v>1.2187836946583488E-3</v>
      </c>
      <c r="BY502" s="257">
        <v>2.3076580140560944E-5</v>
      </c>
      <c r="BZ502" s="257">
        <v>0</v>
      </c>
      <c r="CA502" s="257">
        <v>0</v>
      </c>
      <c r="CB502" s="257">
        <v>0</v>
      </c>
      <c r="CC502" s="257">
        <v>0</v>
      </c>
      <c r="CD502" s="257">
        <v>0</v>
      </c>
      <c r="CE502" s="257">
        <v>0</v>
      </c>
      <c r="CF502" s="257">
        <v>0</v>
      </c>
      <c r="CG502" s="257">
        <v>0</v>
      </c>
      <c r="CH502" s="257">
        <v>0</v>
      </c>
      <c r="CI502" s="257">
        <v>0</v>
      </c>
      <c r="CJ502" s="257">
        <v>0</v>
      </c>
      <c r="CK502" s="257">
        <v>0</v>
      </c>
      <c r="CL502" s="257">
        <v>0</v>
      </c>
      <c r="CM502" s="257">
        <v>0</v>
      </c>
      <c r="CN502" s="257" t="s">
        <v>3072</v>
      </c>
      <c r="CO502" s="257">
        <v>49.052379731692703</v>
      </c>
      <c r="CP502" s="257">
        <v>74.931604761787398</v>
      </c>
      <c r="CQ502" s="257">
        <v>52.814744959376931</v>
      </c>
      <c r="CR502" s="257">
        <v>-9.7349397590361395</v>
      </c>
      <c r="CS502" s="257">
        <v>-8.5161560643777907</v>
      </c>
      <c r="CT502" s="257">
        <v>1.2187836946583488E-3</v>
      </c>
      <c r="CU502" s="257">
        <v>2.3076580140560944E-5</v>
      </c>
      <c r="CV502" s="258">
        <v>0.12519683992158787</v>
      </c>
      <c r="CW502" s="256" t="s">
        <v>234</v>
      </c>
      <c r="CX502" s="257" t="s">
        <v>3073</v>
      </c>
      <c r="CY502" s="257" t="s">
        <v>235</v>
      </c>
      <c r="CZ502" s="257"/>
      <c r="DA502" s="276"/>
      <c r="DB502" s="276">
        <v>80</v>
      </c>
      <c r="DC502" s="257" t="s">
        <v>3074</v>
      </c>
      <c r="DD502" s="257">
        <v>0</v>
      </c>
      <c r="DE502" s="257">
        <v>1</v>
      </c>
      <c r="DF502" s="257">
        <v>0</v>
      </c>
      <c r="DG502" s="257">
        <v>0</v>
      </c>
      <c r="DH502" s="257"/>
      <c r="DI502" s="257">
        <v>1</v>
      </c>
      <c r="DJ502" s="257" t="s">
        <v>173</v>
      </c>
      <c r="DK502" s="257">
        <v>0</v>
      </c>
      <c r="DL502" s="257" t="s">
        <v>180</v>
      </c>
      <c r="DM502" s="257">
        <v>0</v>
      </c>
      <c r="DN502" s="257">
        <v>0</v>
      </c>
      <c r="DO502" s="257">
        <v>0</v>
      </c>
      <c r="DP502" s="276">
        <v>0</v>
      </c>
      <c r="DQ502" s="276">
        <v>0</v>
      </c>
      <c r="DR502" s="276">
        <v>0</v>
      </c>
      <c r="DS502" s="276">
        <v>0</v>
      </c>
      <c r="DT502" s="257">
        <v>0</v>
      </c>
      <c r="DU502" s="276" t="s">
        <v>962</v>
      </c>
      <c r="DV502" s="276">
        <v>1</v>
      </c>
      <c r="DW502" s="276">
        <v>1</v>
      </c>
      <c r="DX502" s="276">
        <v>1</v>
      </c>
      <c r="DY502" s="276">
        <v>0</v>
      </c>
      <c r="DZ502" s="257">
        <v>0</v>
      </c>
      <c r="EA502" s="276">
        <v>0</v>
      </c>
      <c r="EB502" s="276">
        <v>1</v>
      </c>
      <c r="EC502" s="276">
        <v>1</v>
      </c>
      <c r="ED502" s="276">
        <v>0</v>
      </c>
      <c r="EE502" s="276">
        <v>0</v>
      </c>
      <c r="EF502" s="257">
        <v>1</v>
      </c>
      <c r="EG502" s="276">
        <v>0</v>
      </c>
      <c r="EH502" s="257">
        <v>0</v>
      </c>
      <c r="EI502" s="258">
        <v>0</v>
      </c>
      <c r="EJ502" s="256"/>
      <c r="EK502" t="str">
        <f>IF(AND(AND(AND(OR($DX502=1,$DW502=1),OR($EC502=1,$EA502=1)),SUM($DV502:$DZ502,$EF502)&gt;=4),SUM($EA502:$EE502)&gt;=2),"Whole sector","")</f>
        <v>Whole sector</v>
      </c>
      <c r="EL502" t="str">
        <f>IF(AND(AND(OR($DX502=1,$DW502=1),AND($EC502=0,$EA502=0)),SUM($DV502:$DZ502,$EF502)&gt;=4),"Ecosystem approach","")</f>
        <v/>
      </c>
      <c r="EM502" s="258" t="s">
        <v>544</v>
      </c>
      <c r="EN502" s="257" t="s">
        <v>236</v>
      </c>
      <c r="EO502" s="257"/>
      <c r="EP502" t="str">
        <f>IF(ISNUMBER(BU502),IF(ABS(BU502-[2]QC_indicators!$B$2)&gt;3*[2]QC_indicators!$C$2,"C ratio",IF(ISNUMBER(BY502),IF(ABS(BY502-[2]QC_indicators!$B$1)&gt;3*[2]QC_indicators!$C$1,"DF","no"))),IF(ISNUMBER(BY502),IF(ABS(BY502-[2]QC_indicators!$B$1)&gt;3*[2]QC_indicators!$C$1,"DF","no")))</f>
        <v>no</v>
      </c>
      <c r="EQ502" s="257"/>
      <c r="ER502" s="257"/>
    </row>
    <row r="503" spans="1:149" ht="15" customHeight="1">
      <c r="A503" s="256" t="s">
        <v>214</v>
      </c>
      <c r="B503" s="257" t="s">
        <v>215</v>
      </c>
      <c r="C503" s="257" t="s">
        <v>216</v>
      </c>
      <c r="D503" s="257" t="s">
        <v>217</v>
      </c>
      <c r="E503" s="257" t="s">
        <v>218</v>
      </c>
      <c r="F503" s="257" t="s">
        <v>219</v>
      </c>
      <c r="G503" s="257" t="s">
        <v>220</v>
      </c>
      <c r="H503" s="257"/>
      <c r="I503" s="257">
        <v>2012</v>
      </c>
      <c r="J503" s="257"/>
      <c r="K503" s="257" t="s">
        <v>221</v>
      </c>
      <c r="L503" s="257"/>
      <c r="M503" s="257" t="s">
        <v>3070</v>
      </c>
      <c r="N503" s="257" t="s">
        <v>222</v>
      </c>
      <c r="O503" s="275" t="s">
        <v>223</v>
      </c>
      <c r="P503" s="257"/>
      <c r="Q503" s="257" t="s">
        <v>224</v>
      </c>
      <c r="R503" s="258" t="s">
        <v>225</v>
      </c>
      <c r="S503" s="256" t="s">
        <v>92</v>
      </c>
      <c r="T503" s="257" t="s">
        <v>245</v>
      </c>
      <c r="U503" s="276" t="s">
        <v>246</v>
      </c>
      <c r="V503" s="257">
        <v>0</v>
      </c>
      <c r="W503" s="257">
        <v>0</v>
      </c>
      <c r="X503" s="257">
        <v>0</v>
      </c>
      <c r="Y503" s="257">
        <v>0</v>
      </c>
      <c r="Z503" s="257">
        <v>1</v>
      </c>
      <c r="AA503" s="257">
        <v>0</v>
      </c>
      <c r="AB503" s="257">
        <v>0</v>
      </c>
      <c r="AC503" s="257">
        <v>0</v>
      </c>
      <c r="AD503" s="257">
        <v>0</v>
      </c>
      <c r="AE503" s="257">
        <v>0</v>
      </c>
      <c r="AF503" s="257">
        <v>0</v>
      </c>
      <c r="AG503" s="257">
        <v>0</v>
      </c>
      <c r="AH503" s="257">
        <v>0</v>
      </c>
      <c r="AI503" s="257">
        <v>0</v>
      </c>
      <c r="AJ503" s="257">
        <v>0</v>
      </c>
      <c r="AK503" s="257">
        <v>0</v>
      </c>
      <c r="AL503" s="257">
        <v>0</v>
      </c>
      <c r="AM503" s="257">
        <v>0</v>
      </c>
      <c r="AN503" s="257">
        <v>0</v>
      </c>
      <c r="AO503" s="257">
        <v>0</v>
      </c>
      <c r="AP503" s="257">
        <v>0</v>
      </c>
      <c r="AQ503" s="257">
        <v>0</v>
      </c>
      <c r="AR503" s="257">
        <v>0</v>
      </c>
      <c r="AS503" s="257">
        <v>0</v>
      </c>
      <c r="AT503" s="257">
        <v>0</v>
      </c>
      <c r="AU503" s="257">
        <v>0</v>
      </c>
      <c r="AV503" s="257">
        <v>0</v>
      </c>
      <c r="AW503" s="257">
        <v>0</v>
      </c>
      <c r="AX503" s="277">
        <v>1</v>
      </c>
      <c r="AY503" s="277">
        <v>1</v>
      </c>
      <c r="AZ503" s="257">
        <v>1</v>
      </c>
      <c r="BA503" s="257">
        <v>0</v>
      </c>
      <c r="BB503" s="257">
        <v>0</v>
      </c>
      <c r="BC503" s="257">
        <v>0</v>
      </c>
      <c r="BD503" s="257">
        <v>0</v>
      </c>
      <c r="BE503" s="257" t="s">
        <v>92</v>
      </c>
      <c r="BF503" s="2" t="str" cm="1">
        <f t="array" ref="BF503">IF(COUNTIF(AZ503:BB503,"&lt;&gt;0")=1,INDEX($V$4:$AW$4,MATCH(TRUE,INDEX($V503:$AW503&lt;&gt;0,),0)),IF(COUNTIF(AZ503:BB503,"&lt;&gt;0")=0,INDEX($AM$4:$AW$4,MATCH(1,$AM503:$AW503,0)),"Multiple strategies"))</f>
        <v>Silviculture for productivity</v>
      </c>
      <c r="BG503" s="278" t="s">
        <v>229</v>
      </c>
      <c r="BH503" s="257" t="s">
        <v>230</v>
      </c>
      <c r="BI503" s="279" t="s">
        <v>3071</v>
      </c>
      <c r="BJ503" s="276" t="s">
        <v>231</v>
      </c>
      <c r="BK503" s="257">
        <v>48.643391097519498</v>
      </c>
      <c r="BL503" s="257">
        <v>64.183526540573496</v>
      </c>
      <c r="BM503" s="276">
        <v>1.3194706432349541</v>
      </c>
      <c r="BN503" s="257">
        <v>15.540135443053998</v>
      </c>
      <c r="BO503" s="276">
        <v>31.714562128681628</v>
      </c>
      <c r="BP503" s="276" t="s">
        <v>232</v>
      </c>
      <c r="BQ503" s="279" t="s">
        <v>3071</v>
      </c>
      <c r="BR503" s="276" t="s">
        <v>233</v>
      </c>
      <c r="BS503" s="257">
        <v>-9.3488297325102803</v>
      </c>
      <c r="BT503" s="257">
        <v>-8.4950335570469804</v>
      </c>
      <c r="BU503" s="259">
        <v>0.90867347038161916</v>
      </c>
      <c r="BV503" s="257">
        <v>0.85379617546329989</v>
      </c>
      <c r="BW503" s="257"/>
      <c r="BX503" s="257">
        <v>8.537961754632999E-4</v>
      </c>
      <c r="BY503" s="257">
        <v>2.6921266388576564E-5</v>
      </c>
      <c r="BZ503" s="257">
        <v>0</v>
      </c>
      <c r="CA503" s="257">
        <v>0</v>
      </c>
      <c r="CB503" s="257">
        <v>0</v>
      </c>
      <c r="CC503" s="257">
        <v>0</v>
      </c>
      <c r="CD503" s="257">
        <v>0</v>
      </c>
      <c r="CE503" s="257">
        <v>0</v>
      </c>
      <c r="CF503" s="257">
        <v>0</v>
      </c>
      <c r="CG503" s="257">
        <v>0</v>
      </c>
      <c r="CH503" s="257">
        <v>0</v>
      </c>
      <c r="CI503" s="257">
        <v>0</v>
      </c>
      <c r="CJ503" s="257">
        <v>0</v>
      </c>
      <c r="CK503" s="257">
        <v>0</v>
      </c>
      <c r="CL503" s="257">
        <v>0</v>
      </c>
      <c r="CM503" s="257">
        <v>0</v>
      </c>
      <c r="CN503" s="257" t="s">
        <v>3072</v>
      </c>
      <c r="CO503" s="257">
        <v>48.643391097519498</v>
      </c>
      <c r="CP503" s="257">
        <v>64.183526540573496</v>
      </c>
      <c r="CQ503" s="257">
        <v>31.714562128681628</v>
      </c>
      <c r="CR503" s="257">
        <v>-9.3488297325102803</v>
      </c>
      <c r="CS503" s="257">
        <v>-8.4950335570469804</v>
      </c>
      <c r="CT503" s="257">
        <v>8.537961754632999E-4</v>
      </c>
      <c r="CU503" s="257">
        <v>2.6921266388576564E-5</v>
      </c>
      <c r="CV503" s="258">
        <v>9.1326529618380878E-2</v>
      </c>
      <c r="CW503" s="256" t="s">
        <v>234</v>
      </c>
      <c r="CX503" s="257" t="s">
        <v>3073</v>
      </c>
      <c r="CY503" s="257" t="s">
        <v>235</v>
      </c>
      <c r="CZ503" s="257"/>
      <c r="DA503" s="276"/>
      <c r="DB503" s="276">
        <v>80</v>
      </c>
      <c r="DC503" s="257" t="s">
        <v>3074</v>
      </c>
      <c r="DD503" s="257">
        <v>0</v>
      </c>
      <c r="DE503" s="257">
        <v>1</v>
      </c>
      <c r="DF503" s="257">
        <v>0</v>
      </c>
      <c r="DG503" s="257">
        <v>0</v>
      </c>
      <c r="DH503" s="257"/>
      <c r="DI503" s="257">
        <v>1</v>
      </c>
      <c r="DJ503" s="257" t="s">
        <v>173</v>
      </c>
      <c r="DK503" s="257">
        <v>0</v>
      </c>
      <c r="DL503" s="257" t="s">
        <v>180</v>
      </c>
      <c r="DM503" s="257">
        <v>0</v>
      </c>
      <c r="DN503" s="257">
        <v>0</v>
      </c>
      <c r="DO503" s="257">
        <v>0</v>
      </c>
      <c r="DP503" s="276">
        <v>0</v>
      </c>
      <c r="DQ503" s="276">
        <v>0</v>
      </c>
      <c r="DR503" s="276">
        <v>0</v>
      </c>
      <c r="DS503" s="276">
        <v>0</v>
      </c>
      <c r="DT503" s="257">
        <v>0</v>
      </c>
      <c r="DU503" s="276" t="s">
        <v>962</v>
      </c>
      <c r="DV503" s="276">
        <v>1</v>
      </c>
      <c r="DW503" s="276">
        <v>1</v>
      </c>
      <c r="DX503" s="276">
        <v>1</v>
      </c>
      <c r="DY503" s="276">
        <v>0</v>
      </c>
      <c r="DZ503" s="257">
        <v>0</v>
      </c>
      <c r="EA503" s="276">
        <v>0</v>
      </c>
      <c r="EB503" s="276">
        <v>1</v>
      </c>
      <c r="EC503" s="276">
        <v>1</v>
      </c>
      <c r="ED503" s="276">
        <v>0</v>
      </c>
      <c r="EE503" s="276">
        <v>0</v>
      </c>
      <c r="EF503" s="257">
        <v>1</v>
      </c>
      <c r="EG503" s="276">
        <v>0</v>
      </c>
      <c r="EH503" s="257">
        <v>0</v>
      </c>
      <c r="EI503" s="258">
        <v>0</v>
      </c>
      <c r="EJ503" s="256"/>
      <c r="EK503" t="str">
        <f>IF(AND(AND(AND(OR($DX503=1,$DW503=1),OR($EC503=1,$EA503=1)),SUM($DV503:$DZ503,$EF503)&gt;=4),SUM($EA503:$EE503)&gt;=2),"Whole sector","")</f>
        <v>Whole sector</v>
      </c>
      <c r="EL503" t="str">
        <f>IF(AND(AND(OR($DX503=1,$DW503=1),AND($EC503=0,$EA503=0)),SUM($DV503:$DZ503,$EF503)&gt;=4),"Ecosystem approach","")</f>
        <v/>
      </c>
      <c r="EM503" s="258" t="s">
        <v>544</v>
      </c>
      <c r="EN503" s="257" t="s">
        <v>236</v>
      </c>
      <c r="EO503" s="257"/>
      <c r="EP503" t="str">
        <f>IF(ISNUMBER(BU503),IF(ABS(BU503-[2]QC_indicators!$B$2)&gt;3*[2]QC_indicators!$C$2,"C ratio",IF(ISNUMBER(BY503),IF(ABS(BY503-[2]QC_indicators!$B$1)&gt;3*[2]QC_indicators!$C$1,"DF","no"))),IF(ISNUMBER(BY503),IF(ABS(BY503-[2]QC_indicators!$B$1)&gt;3*[2]QC_indicators!$C$1,"DF","no")))</f>
        <v>no</v>
      </c>
      <c r="EQ503" s="257"/>
      <c r="ER503" s="257"/>
    </row>
    <row r="504" spans="1:149" ht="15" customHeight="1">
      <c r="A504" s="256" t="s">
        <v>214</v>
      </c>
      <c r="B504" s="257" t="s">
        <v>215</v>
      </c>
      <c r="C504" s="257" t="s">
        <v>216</v>
      </c>
      <c r="D504" s="257" t="s">
        <v>217</v>
      </c>
      <c r="E504" s="257" t="s">
        <v>218</v>
      </c>
      <c r="F504" s="257" t="s">
        <v>219</v>
      </c>
      <c r="G504" s="257" t="s">
        <v>220</v>
      </c>
      <c r="H504" s="257"/>
      <c r="I504" s="257">
        <v>2012</v>
      </c>
      <c r="J504" s="257"/>
      <c r="K504" s="257" t="s">
        <v>221</v>
      </c>
      <c r="L504" s="257"/>
      <c r="M504" s="257" t="s">
        <v>3070</v>
      </c>
      <c r="N504" s="257" t="s">
        <v>222</v>
      </c>
      <c r="O504" s="275" t="s">
        <v>223</v>
      </c>
      <c r="P504" s="257"/>
      <c r="Q504" s="257" t="s">
        <v>224</v>
      </c>
      <c r="R504" s="258" t="s">
        <v>225</v>
      </c>
      <c r="S504" s="256" t="s">
        <v>240</v>
      </c>
      <c r="T504" s="257">
        <v>2000</v>
      </c>
      <c r="U504" s="257">
        <v>4000</v>
      </c>
      <c r="V504" s="257">
        <v>0</v>
      </c>
      <c r="W504" s="257">
        <v>0</v>
      </c>
      <c r="X504" s="257">
        <v>0</v>
      </c>
      <c r="Y504" s="257">
        <v>0</v>
      </c>
      <c r="Z504" s="257">
        <v>0</v>
      </c>
      <c r="AA504" s="257">
        <v>1</v>
      </c>
      <c r="AB504" s="257">
        <v>0</v>
      </c>
      <c r="AC504" s="257">
        <v>0</v>
      </c>
      <c r="AD504" s="257">
        <v>0</v>
      </c>
      <c r="AE504" s="257">
        <v>0</v>
      </c>
      <c r="AF504" s="257">
        <v>0</v>
      </c>
      <c r="AG504" s="257">
        <v>0</v>
      </c>
      <c r="AH504" s="257">
        <v>0</v>
      </c>
      <c r="AI504" s="257">
        <v>0</v>
      </c>
      <c r="AJ504" s="257">
        <v>0</v>
      </c>
      <c r="AK504" s="257">
        <v>0</v>
      </c>
      <c r="AL504" s="257">
        <v>0</v>
      </c>
      <c r="AM504" s="257">
        <v>0</v>
      </c>
      <c r="AN504" s="257">
        <v>0</v>
      </c>
      <c r="AO504" s="257">
        <v>0</v>
      </c>
      <c r="AP504" s="257">
        <v>0</v>
      </c>
      <c r="AQ504" s="257">
        <v>0</v>
      </c>
      <c r="AR504" s="257">
        <v>0</v>
      </c>
      <c r="AS504" s="257">
        <v>0</v>
      </c>
      <c r="AT504" s="257">
        <v>0</v>
      </c>
      <c r="AU504" s="257">
        <v>0</v>
      </c>
      <c r="AV504" s="257">
        <v>0</v>
      </c>
      <c r="AW504" s="257">
        <v>0</v>
      </c>
      <c r="AX504" s="277">
        <v>1</v>
      </c>
      <c r="AY504" s="277">
        <v>1</v>
      </c>
      <c r="AZ504" s="257">
        <v>1</v>
      </c>
      <c r="BA504" s="257">
        <v>0</v>
      </c>
      <c r="BB504" s="257">
        <v>0</v>
      </c>
      <c r="BC504" s="257">
        <v>0</v>
      </c>
      <c r="BD504" s="257">
        <v>0</v>
      </c>
      <c r="BE504" s="257" t="s">
        <v>93</v>
      </c>
      <c r="BF504" s="2" t="str" cm="1">
        <f t="array" ref="BF504">IF(COUNTIF(AZ504:BB504,"&lt;&gt;0")=1,INDEX($V$4:$AW$4,MATCH(TRUE,INDEX($V504:$AW504&lt;&gt;0,),0)),IF(COUNTIF(AZ504:BB504,"&lt;&gt;0")=0,INDEX($AM$4:$AW$4,MATCH(1,$AM504:$AW504,0)),"Multiple strategies"))</f>
        <v>Silviculture for productivity</v>
      </c>
      <c r="BG504" s="278" t="s">
        <v>229</v>
      </c>
      <c r="BH504" s="257" t="s">
        <v>230</v>
      </c>
      <c r="BI504" s="279" t="s">
        <v>3071</v>
      </c>
      <c r="BJ504" s="276" t="s">
        <v>231</v>
      </c>
      <c r="BK504" s="257">
        <v>41.741420320000003</v>
      </c>
      <c r="BL504" s="257">
        <v>49.052379729999998</v>
      </c>
      <c r="BM504" s="276">
        <v>1.1751487935473297</v>
      </c>
      <c r="BN504" s="257">
        <v>7.3109594099999953</v>
      </c>
      <c r="BO504" s="276">
        <v>14.920325326530604</v>
      </c>
      <c r="BP504" s="276" t="s">
        <v>232</v>
      </c>
      <c r="BQ504" s="279" t="s">
        <v>3071</v>
      </c>
      <c r="BR504" s="276" t="s">
        <v>233</v>
      </c>
      <c r="BS504" s="257">
        <v>-10.16263182</v>
      </c>
      <c r="BT504" s="257">
        <v>-9.7349397589999995</v>
      </c>
      <c r="BU504" s="259">
        <v>0.95791522623516634</v>
      </c>
      <c r="BV504" s="257">
        <v>0.42769206100000012</v>
      </c>
      <c r="BW504" s="257"/>
      <c r="BX504" s="257">
        <v>4.2769206100000011E-4</v>
      </c>
      <c r="BY504" s="257">
        <v>2.8665062700710601E-5</v>
      </c>
      <c r="BZ504" s="257">
        <v>0</v>
      </c>
      <c r="CA504" s="257">
        <v>0</v>
      </c>
      <c r="CB504" s="257">
        <v>0</v>
      </c>
      <c r="CC504" s="257">
        <v>0</v>
      </c>
      <c r="CD504" s="257">
        <v>0</v>
      </c>
      <c r="CE504" s="257">
        <v>0</v>
      </c>
      <c r="CF504" s="257">
        <v>0</v>
      </c>
      <c r="CG504" s="257">
        <v>0</v>
      </c>
      <c r="CH504" s="257">
        <v>0</v>
      </c>
      <c r="CI504" s="257">
        <v>0</v>
      </c>
      <c r="CJ504" s="257">
        <v>0</v>
      </c>
      <c r="CK504" s="257">
        <v>0</v>
      </c>
      <c r="CL504" s="257">
        <v>0</v>
      </c>
      <c r="CM504" s="257">
        <v>0</v>
      </c>
      <c r="CN504" s="257" t="s">
        <v>3072</v>
      </c>
      <c r="CO504" s="257">
        <v>41.741420320000003</v>
      </c>
      <c r="CP504" s="257">
        <v>49.052379729999998</v>
      </c>
      <c r="CQ504" s="257">
        <v>14.920325326530604</v>
      </c>
      <c r="CR504" s="257">
        <v>-10.16263182</v>
      </c>
      <c r="CS504" s="257">
        <v>-9.7349397589999995</v>
      </c>
      <c r="CT504" s="257">
        <v>4.2769206100000011E-4</v>
      </c>
      <c r="CU504" s="257">
        <v>2.8665062700710601E-5</v>
      </c>
      <c r="CV504" s="258">
        <v>4.2084773764833695E-2</v>
      </c>
      <c r="CW504" s="256" t="s">
        <v>234</v>
      </c>
      <c r="CX504" s="257" t="s">
        <v>3073</v>
      </c>
      <c r="CY504" s="257" t="s">
        <v>235</v>
      </c>
      <c r="CZ504" s="257"/>
      <c r="DA504" s="276"/>
      <c r="DB504" s="276">
        <v>80</v>
      </c>
      <c r="DC504" s="257" t="s">
        <v>3074</v>
      </c>
      <c r="DD504" s="257">
        <v>0</v>
      </c>
      <c r="DE504" s="257">
        <v>1</v>
      </c>
      <c r="DF504" s="257">
        <v>0</v>
      </c>
      <c r="DG504" s="257">
        <v>0</v>
      </c>
      <c r="DH504" s="257"/>
      <c r="DI504" s="257">
        <v>1</v>
      </c>
      <c r="DJ504" s="257" t="s">
        <v>173</v>
      </c>
      <c r="DK504" s="257">
        <v>0</v>
      </c>
      <c r="DL504" s="257" t="s">
        <v>180</v>
      </c>
      <c r="DM504" s="257">
        <v>0</v>
      </c>
      <c r="DN504" s="257">
        <v>0</v>
      </c>
      <c r="DO504" s="257">
        <v>0</v>
      </c>
      <c r="DP504" s="276">
        <v>0</v>
      </c>
      <c r="DQ504" s="276">
        <v>0</v>
      </c>
      <c r="DR504" s="276">
        <v>0</v>
      </c>
      <c r="DS504" s="276">
        <v>0</v>
      </c>
      <c r="DT504" s="257">
        <v>0</v>
      </c>
      <c r="DU504" s="276" t="s">
        <v>962</v>
      </c>
      <c r="DV504" s="276">
        <v>1</v>
      </c>
      <c r="DW504" s="276">
        <v>1</v>
      </c>
      <c r="DX504" s="276">
        <v>1</v>
      </c>
      <c r="DY504" s="276">
        <v>0</v>
      </c>
      <c r="DZ504" s="257">
        <v>0</v>
      </c>
      <c r="EA504" s="276">
        <v>0</v>
      </c>
      <c r="EB504" s="276">
        <v>1</v>
      </c>
      <c r="EC504" s="276">
        <v>1</v>
      </c>
      <c r="ED504" s="276">
        <v>0</v>
      </c>
      <c r="EE504" s="276">
        <v>0</v>
      </c>
      <c r="EF504" s="257">
        <v>1</v>
      </c>
      <c r="EG504" s="276">
        <v>0</v>
      </c>
      <c r="EH504" s="257">
        <v>0</v>
      </c>
      <c r="EI504" s="258">
        <v>0</v>
      </c>
      <c r="EJ504" s="256"/>
      <c r="EK504" t="str">
        <f>IF(AND(AND(AND(OR($DX504=1,$DW504=1),OR($EC504=1,$EA504=1)),SUM($DV504:$DZ504,$EF504)&gt;=4),SUM($EA504:$EE504)&gt;=2),"Whole sector","")</f>
        <v>Whole sector</v>
      </c>
      <c r="EL504" t="str">
        <f>IF(AND(AND(OR($DX504=1,$DW504=1),AND($EC504=0,$EA504=0)),SUM($DV504:$DZ504,$EF504)&gt;=4),"Ecosystem approach","")</f>
        <v/>
      </c>
      <c r="EM504" s="258" t="s">
        <v>544</v>
      </c>
      <c r="EN504" s="257" t="s">
        <v>236</v>
      </c>
      <c r="EO504" s="257"/>
      <c r="EP504" t="str">
        <f>IF(ISNUMBER(BU504),IF(ABS(BU504-[2]QC_indicators!$B$2)&gt;3*[2]QC_indicators!$C$2,"C ratio",IF(ISNUMBER(BY504),IF(ABS(BY504-[2]QC_indicators!$B$1)&gt;3*[2]QC_indicators!$C$1,"DF","no"))),IF(ISNUMBER(BY504),IF(ABS(BY504-[2]QC_indicators!$B$1)&gt;3*[2]QC_indicators!$C$1,"DF","no")))</f>
        <v>no</v>
      </c>
      <c r="EQ504" s="280"/>
      <c r="ER504" s="280"/>
      <c r="ES504" s="280"/>
    </row>
    <row r="505" spans="1:149" ht="15" customHeight="1">
      <c r="A505" s="256" t="s">
        <v>214</v>
      </c>
      <c r="B505" s="257" t="s">
        <v>215</v>
      </c>
      <c r="C505" s="257" t="s">
        <v>216</v>
      </c>
      <c r="D505" s="257" t="s">
        <v>217</v>
      </c>
      <c r="E505" s="257" t="s">
        <v>218</v>
      </c>
      <c r="F505" s="257" t="s">
        <v>219</v>
      </c>
      <c r="G505" s="257" t="s">
        <v>220</v>
      </c>
      <c r="H505" s="257"/>
      <c r="I505" s="257">
        <v>2012</v>
      </c>
      <c r="J505" s="257"/>
      <c r="K505" s="257" t="s">
        <v>221</v>
      </c>
      <c r="L505" s="257"/>
      <c r="M505" s="257" t="s">
        <v>3070</v>
      </c>
      <c r="N505" s="257" t="s">
        <v>222</v>
      </c>
      <c r="O505" s="275" t="s">
        <v>223</v>
      </c>
      <c r="P505" s="257"/>
      <c r="Q505" s="257" t="s">
        <v>224</v>
      </c>
      <c r="R505" s="258" t="s">
        <v>225</v>
      </c>
      <c r="S505" s="256" t="s">
        <v>226</v>
      </c>
      <c r="T505" s="257" t="s">
        <v>228</v>
      </c>
      <c r="U505" s="257" t="s">
        <v>239</v>
      </c>
      <c r="V505" s="257">
        <v>0</v>
      </c>
      <c r="W505" s="257">
        <v>0</v>
      </c>
      <c r="X505" s="257">
        <v>0</v>
      </c>
      <c r="Y505" s="257">
        <v>1</v>
      </c>
      <c r="Z505" s="257">
        <v>0</v>
      </c>
      <c r="AA505" s="257">
        <v>0</v>
      </c>
      <c r="AB505" s="257">
        <v>0</v>
      </c>
      <c r="AC505" s="257">
        <v>0</v>
      </c>
      <c r="AD505" s="257">
        <v>0</v>
      </c>
      <c r="AE505" s="257">
        <v>0</v>
      </c>
      <c r="AF505" s="257">
        <v>0</v>
      </c>
      <c r="AG505" s="257">
        <v>0</v>
      </c>
      <c r="AH505" s="257">
        <v>0</v>
      </c>
      <c r="AI505" s="257">
        <v>0</v>
      </c>
      <c r="AJ505" s="257">
        <v>0</v>
      </c>
      <c r="AK505" s="257">
        <v>0</v>
      </c>
      <c r="AL505" s="257">
        <v>0</v>
      </c>
      <c r="AM505" s="257">
        <v>0</v>
      </c>
      <c r="AN505" s="257">
        <v>0</v>
      </c>
      <c r="AO505" s="257">
        <v>0</v>
      </c>
      <c r="AP505" s="257">
        <v>0</v>
      </c>
      <c r="AQ505" s="257">
        <v>0</v>
      </c>
      <c r="AR505" s="257">
        <v>0</v>
      </c>
      <c r="AS505" s="257">
        <v>0</v>
      </c>
      <c r="AT505" s="257">
        <v>0</v>
      </c>
      <c r="AU505" s="257">
        <v>0</v>
      </c>
      <c r="AV505" s="257">
        <v>0</v>
      </c>
      <c r="AW505" s="257">
        <v>0</v>
      </c>
      <c r="AX505" s="277">
        <v>1</v>
      </c>
      <c r="AY505" s="277">
        <v>1</v>
      </c>
      <c r="AZ505" s="257">
        <v>1</v>
      </c>
      <c r="BA505" s="257">
        <v>0</v>
      </c>
      <c r="BB505" s="257">
        <v>0</v>
      </c>
      <c r="BC505" s="257">
        <v>0</v>
      </c>
      <c r="BD505" s="257">
        <v>0</v>
      </c>
      <c r="BE505" s="257" t="s">
        <v>91</v>
      </c>
      <c r="BF505" s="2" t="str" cm="1">
        <f t="array" ref="BF505">IF(COUNTIF(AZ505:BB505,"&lt;&gt;0")=1,INDEX($V$4:$AW$4,MATCH(TRUE,INDEX($V505:$AW505&lt;&gt;0,),0)),IF(COUNTIF(AZ505:BB505,"&lt;&gt;0")=0,INDEX($AM$4:$AW$4,MATCH(1,$AM505:$AW505,0)),"Multiple strategies"))</f>
        <v>Silviculture for removals</v>
      </c>
      <c r="BG505" s="278" t="s">
        <v>229</v>
      </c>
      <c r="BH505" s="257" t="s">
        <v>230</v>
      </c>
      <c r="BI505" s="279" t="s">
        <v>3071</v>
      </c>
      <c r="BJ505" s="276" t="s">
        <v>231</v>
      </c>
      <c r="BK505" s="257">
        <v>41.741420320000003</v>
      </c>
      <c r="BL505" s="257">
        <v>58.199966019999998</v>
      </c>
      <c r="BM505" s="276">
        <v>0.71720695344832097</v>
      </c>
      <c r="BN505" s="257">
        <v>16.458545699999995</v>
      </c>
      <c r="BO505" s="276">
        <v>33.588868775510193</v>
      </c>
      <c r="BP505" s="276" t="s">
        <v>232</v>
      </c>
      <c r="BQ505" s="279" t="s">
        <v>3071</v>
      </c>
      <c r="BR505" s="276" t="s">
        <v>233</v>
      </c>
      <c r="BS505" s="257">
        <v>-10.16263182</v>
      </c>
      <c r="BT505" s="257">
        <v>-9.137844007</v>
      </c>
      <c r="BU505" s="259">
        <v>0.89916117880181168</v>
      </c>
      <c r="BV505" s="257">
        <v>1.0247878129999997</v>
      </c>
      <c r="BW505" s="257"/>
      <c r="BX505" s="257">
        <v>1.0247878129999997E-3</v>
      </c>
      <c r="BY505" s="257">
        <v>3.0509744756488419E-5</v>
      </c>
      <c r="BZ505" s="257">
        <v>0</v>
      </c>
      <c r="CA505" s="257">
        <v>0</v>
      </c>
      <c r="CB505" s="257">
        <v>0</v>
      </c>
      <c r="CC505" s="257">
        <v>0</v>
      </c>
      <c r="CD505" s="257">
        <v>0</v>
      </c>
      <c r="CE505" s="257">
        <v>0</v>
      </c>
      <c r="CF505" s="257">
        <v>0</v>
      </c>
      <c r="CG505" s="257">
        <v>0</v>
      </c>
      <c r="CH505" s="257">
        <v>0</v>
      </c>
      <c r="CI505" s="257">
        <v>0</v>
      </c>
      <c r="CJ505" s="257">
        <v>0</v>
      </c>
      <c r="CK505" s="257">
        <v>0</v>
      </c>
      <c r="CL505" s="257">
        <v>0</v>
      </c>
      <c r="CM505" s="257">
        <v>0</v>
      </c>
      <c r="CN505" s="257" t="s">
        <v>3072</v>
      </c>
      <c r="CO505" s="257">
        <v>41.741420320000003</v>
      </c>
      <c r="CP505" s="257">
        <v>58.199966019999998</v>
      </c>
      <c r="CQ505" s="257">
        <v>33.588868775510193</v>
      </c>
      <c r="CR505" s="257">
        <v>-10.16263182</v>
      </c>
      <c r="CS505" s="257">
        <v>-9.137844007</v>
      </c>
      <c r="CT505" s="257">
        <v>1.0247878129999997E-3</v>
      </c>
      <c r="CU505" s="257">
        <v>3.0509744756488419E-5</v>
      </c>
      <c r="CV505" s="258">
        <v>0.10083882119818838</v>
      </c>
      <c r="CW505" s="256" t="s">
        <v>234</v>
      </c>
      <c r="CX505" s="257" t="s">
        <v>3073</v>
      </c>
      <c r="CY505" s="257" t="s">
        <v>235</v>
      </c>
      <c r="CZ505" s="257"/>
      <c r="DA505" s="276"/>
      <c r="DB505" s="276">
        <v>80</v>
      </c>
      <c r="DC505" s="257" t="s">
        <v>3074</v>
      </c>
      <c r="DD505" s="257">
        <v>0</v>
      </c>
      <c r="DE505" s="257">
        <v>1</v>
      </c>
      <c r="DF505" s="257">
        <v>0</v>
      </c>
      <c r="DG505" s="257">
        <v>0</v>
      </c>
      <c r="DH505" s="257"/>
      <c r="DI505" s="257">
        <v>1</v>
      </c>
      <c r="DJ505" s="257" t="s">
        <v>173</v>
      </c>
      <c r="DK505" s="257">
        <v>0</v>
      </c>
      <c r="DL505" s="257" t="s">
        <v>180</v>
      </c>
      <c r="DM505" s="257">
        <v>0</v>
      </c>
      <c r="DN505" s="257">
        <v>0</v>
      </c>
      <c r="DO505" s="257">
        <v>0</v>
      </c>
      <c r="DP505" s="276">
        <v>0</v>
      </c>
      <c r="DQ505" s="276">
        <v>0</v>
      </c>
      <c r="DR505" s="276">
        <v>0</v>
      </c>
      <c r="DS505" s="276">
        <v>0</v>
      </c>
      <c r="DT505" s="257">
        <v>0</v>
      </c>
      <c r="DU505" s="276" t="s">
        <v>962</v>
      </c>
      <c r="DV505" s="276">
        <v>1</v>
      </c>
      <c r="DW505" s="276">
        <v>1</v>
      </c>
      <c r="DX505" s="276">
        <v>1</v>
      </c>
      <c r="DY505" s="276">
        <v>0</v>
      </c>
      <c r="DZ505" s="257">
        <v>0</v>
      </c>
      <c r="EA505" s="276">
        <v>0</v>
      </c>
      <c r="EB505" s="276">
        <v>1</v>
      </c>
      <c r="EC505" s="276">
        <v>1</v>
      </c>
      <c r="ED505" s="276">
        <v>0</v>
      </c>
      <c r="EE505" s="276">
        <v>0</v>
      </c>
      <c r="EF505" s="257">
        <v>1</v>
      </c>
      <c r="EG505" s="276">
        <v>0</v>
      </c>
      <c r="EH505" s="257">
        <v>0</v>
      </c>
      <c r="EI505" s="258">
        <v>0</v>
      </c>
      <c r="EJ505" s="256"/>
      <c r="EK505" t="str">
        <f>IF(AND(AND(AND(OR($DX505=1,$DW505=1),OR($EC505=1,$EA505=1)),SUM($DV505:$DZ505,$EF505)&gt;=4),SUM($EA505:$EE505)&gt;=2),"Whole sector","")</f>
        <v>Whole sector</v>
      </c>
      <c r="EL505" t="str">
        <f>IF(AND(AND(OR($DX505=1,$DW505=1),AND($EC505=0,$EA505=0)),SUM($DV505:$DZ505,$EF505)&gt;=4),"Ecosystem approach","")</f>
        <v/>
      </c>
      <c r="EM505" s="258" t="s">
        <v>544</v>
      </c>
      <c r="EN505" s="257" t="s">
        <v>236</v>
      </c>
      <c r="EO505" s="257"/>
      <c r="EP505" t="str">
        <f>IF(ISNUMBER(BU505),IF(ABS(BU505-[2]QC_indicators!$B$2)&gt;3*[2]QC_indicators!$C$2,"C ratio",IF(ISNUMBER(BY505),IF(ABS(BY505-[2]QC_indicators!$B$1)&gt;3*[2]QC_indicators!$C$1,"DF","no"))),IF(ISNUMBER(BY505),IF(ABS(BY505-[2]QC_indicators!$B$1)&gt;3*[2]QC_indicators!$C$1,"DF","no")))</f>
        <v>no</v>
      </c>
      <c r="EQ505" s="280"/>
      <c r="ER505" s="280"/>
      <c r="ES505" s="280"/>
    </row>
    <row r="506" spans="1:149" ht="15" customHeight="1">
      <c r="A506" s="256" t="s">
        <v>214</v>
      </c>
      <c r="B506" s="257" t="s">
        <v>215</v>
      </c>
      <c r="C506" s="257" t="s">
        <v>216</v>
      </c>
      <c r="D506" s="257" t="s">
        <v>217</v>
      </c>
      <c r="E506" s="257" t="s">
        <v>218</v>
      </c>
      <c r="F506" s="257" t="s">
        <v>219</v>
      </c>
      <c r="G506" s="257" t="s">
        <v>220</v>
      </c>
      <c r="H506" s="257"/>
      <c r="I506" s="257">
        <v>2012</v>
      </c>
      <c r="J506" s="257"/>
      <c r="K506" s="257" t="s">
        <v>221</v>
      </c>
      <c r="L506" s="257"/>
      <c r="M506" s="257" t="s">
        <v>3070</v>
      </c>
      <c r="N506" s="257" t="s">
        <v>222</v>
      </c>
      <c r="O506" s="275" t="s">
        <v>223</v>
      </c>
      <c r="P506" s="257"/>
      <c r="Q506" s="257" t="s">
        <v>224</v>
      </c>
      <c r="R506" s="258" t="s">
        <v>225</v>
      </c>
      <c r="S506" s="256" t="s">
        <v>241</v>
      </c>
      <c r="T506" s="257" t="s">
        <v>242</v>
      </c>
      <c r="U506" s="276" t="s">
        <v>243</v>
      </c>
      <c r="V506" s="257">
        <v>0</v>
      </c>
      <c r="W506" s="257">
        <v>0</v>
      </c>
      <c r="X506" s="257">
        <v>0</v>
      </c>
      <c r="Y506" s="257">
        <v>0</v>
      </c>
      <c r="Z506" s="257">
        <v>0</v>
      </c>
      <c r="AA506" s="257">
        <v>0</v>
      </c>
      <c r="AB506" s="257">
        <v>0</v>
      </c>
      <c r="AC506" s="257">
        <v>1</v>
      </c>
      <c r="AD506" s="257">
        <v>0</v>
      </c>
      <c r="AE506" s="257">
        <v>0</v>
      </c>
      <c r="AF506" s="257">
        <v>0</v>
      </c>
      <c r="AG506" s="257">
        <v>0</v>
      </c>
      <c r="AH506" s="257">
        <v>0</v>
      </c>
      <c r="AI506" s="257">
        <v>0</v>
      </c>
      <c r="AJ506" s="257">
        <v>0</v>
      </c>
      <c r="AK506" s="257">
        <v>0</v>
      </c>
      <c r="AL506" s="257">
        <v>0</v>
      </c>
      <c r="AM506" s="257">
        <v>0</v>
      </c>
      <c r="AN506" s="257">
        <v>0</v>
      </c>
      <c r="AO506" s="257">
        <v>0</v>
      </c>
      <c r="AP506" s="257">
        <v>0</v>
      </c>
      <c r="AQ506" s="257">
        <v>0</v>
      </c>
      <c r="AR506" s="257">
        <v>0</v>
      </c>
      <c r="AS506" s="257">
        <v>0</v>
      </c>
      <c r="AT506" s="257">
        <v>0</v>
      </c>
      <c r="AU506" s="257">
        <v>0</v>
      </c>
      <c r="AV506" s="257">
        <v>0</v>
      </c>
      <c r="AW506" s="257">
        <v>0</v>
      </c>
      <c r="AX506" s="277">
        <v>1</v>
      </c>
      <c r="AY506" s="277">
        <v>1</v>
      </c>
      <c r="AZ506" s="257">
        <v>1</v>
      </c>
      <c r="BA506" s="257">
        <v>0</v>
      </c>
      <c r="BB506" s="257">
        <v>0</v>
      </c>
      <c r="BC506" s="257">
        <v>0</v>
      </c>
      <c r="BD506" s="257">
        <v>0</v>
      </c>
      <c r="BE506" s="257" t="s">
        <v>95</v>
      </c>
      <c r="BF506" s="2" t="str" cm="1">
        <f t="array" ref="BF506">IF(COUNTIF(AZ506:BB506,"&lt;&gt;0")=1,INDEX($V$4:$AW$4,MATCH(TRUE,INDEX($V506:$AW506&lt;&gt;0,),0)),IF(COUNTIF(AZ506:BB506,"&lt;&gt;0")=0,INDEX($AM$4:$AW$4,MATCH(1,$AM506:$AW506,0)),"Multiple strategies"))</f>
        <v>Silviculture for productivity</v>
      </c>
      <c r="BG506" s="278" t="s">
        <v>229</v>
      </c>
      <c r="BH506" s="257" t="s">
        <v>230</v>
      </c>
      <c r="BI506" s="279" t="s">
        <v>3071</v>
      </c>
      <c r="BJ506" s="276" t="s">
        <v>231</v>
      </c>
      <c r="BK506" s="257">
        <v>110.71336180597901</v>
      </c>
      <c r="BL506" s="257">
        <v>114.080459770114</v>
      </c>
      <c r="BM506" s="276">
        <v>1.0304127515343244</v>
      </c>
      <c r="BN506" s="257">
        <v>3.3670979641349987</v>
      </c>
      <c r="BO506" s="276">
        <v>6.8716284982346911</v>
      </c>
      <c r="BP506" s="276" t="s">
        <v>232</v>
      </c>
      <c r="BQ506" s="279" t="s">
        <v>3071</v>
      </c>
      <c r="BR506" s="276" t="s">
        <v>233</v>
      </c>
      <c r="BS506" s="257">
        <v>-7.88817571690055</v>
      </c>
      <c r="BT506" s="257">
        <v>-7.6632653061224403</v>
      </c>
      <c r="BU506" s="259">
        <v>0.97148765204402898</v>
      </c>
      <c r="BV506" s="257">
        <v>0.22491041077810969</v>
      </c>
      <c r="BW506" s="257"/>
      <c r="BX506" s="257">
        <v>2.249104107781097E-4</v>
      </c>
      <c r="BY506" s="257">
        <v>3.2730292511576952E-5</v>
      </c>
      <c r="BZ506" s="257">
        <v>0</v>
      </c>
      <c r="CA506" s="257">
        <v>0</v>
      </c>
      <c r="CB506" s="257">
        <v>0</v>
      </c>
      <c r="CC506" s="257">
        <v>0</v>
      </c>
      <c r="CD506" s="257">
        <v>0</v>
      </c>
      <c r="CE506" s="257">
        <v>0</v>
      </c>
      <c r="CF506" s="257">
        <v>0</v>
      </c>
      <c r="CG506" s="257">
        <v>0</v>
      </c>
      <c r="CH506" s="257">
        <v>0</v>
      </c>
      <c r="CI506" s="257">
        <v>0</v>
      </c>
      <c r="CJ506" s="257">
        <v>0</v>
      </c>
      <c r="CK506" s="257">
        <v>0</v>
      </c>
      <c r="CL506" s="257">
        <v>0</v>
      </c>
      <c r="CM506" s="257">
        <v>0</v>
      </c>
      <c r="CN506" s="257" t="s">
        <v>3072</v>
      </c>
      <c r="CO506" s="257">
        <v>110.71336180597901</v>
      </c>
      <c r="CP506" s="257">
        <v>114.080459770114</v>
      </c>
      <c r="CQ506" s="257">
        <v>6.8716284982346911</v>
      </c>
      <c r="CR506" s="257">
        <v>-7.88817571690055</v>
      </c>
      <c r="CS506" s="257">
        <v>-7.6632653061224403</v>
      </c>
      <c r="CT506" s="257">
        <v>2.249104107781097E-4</v>
      </c>
      <c r="CU506" s="257">
        <v>3.2730292511576952E-5</v>
      </c>
      <c r="CV506" s="258">
        <v>2.8512347955971028E-2</v>
      </c>
      <c r="CW506" s="256" t="s">
        <v>234</v>
      </c>
      <c r="CX506" s="257" t="s">
        <v>3073</v>
      </c>
      <c r="CY506" s="257" t="s">
        <v>235</v>
      </c>
      <c r="CZ506" s="257"/>
      <c r="DA506" s="276"/>
      <c r="DB506" s="276">
        <v>80</v>
      </c>
      <c r="DC506" s="257" t="s">
        <v>3074</v>
      </c>
      <c r="DD506" s="257">
        <v>0</v>
      </c>
      <c r="DE506" s="257">
        <v>1</v>
      </c>
      <c r="DF506" s="257">
        <v>0</v>
      </c>
      <c r="DG506" s="257">
        <v>0</v>
      </c>
      <c r="DH506" s="257"/>
      <c r="DI506" s="257">
        <v>1</v>
      </c>
      <c r="DJ506" s="257" t="s">
        <v>173</v>
      </c>
      <c r="DK506" s="257">
        <v>0</v>
      </c>
      <c r="DL506" s="257" t="s">
        <v>180</v>
      </c>
      <c r="DM506" s="257">
        <v>0</v>
      </c>
      <c r="DN506" s="257">
        <v>0</v>
      </c>
      <c r="DO506" s="257">
        <v>0</v>
      </c>
      <c r="DP506" s="276">
        <v>0</v>
      </c>
      <c r="DQ506" s="276">
        <v>0</v>
      </c>
      <c r="DR506" s="276">
        <v>0</v>
      </c>
      <c r="DS506" s="276">
        <v>0</v>
      </c>
      <c r="DT506" s="257">
        <v>0</v>
      </c>
      <c r="DU506" s="276" t="s">
        <v>962</v>
      </c>
      <c r="DV506" s="276">
        <v>1</v>
      </c>
      <c r="DW506" s="276">
        <v>1</v>
      </c>
      <c r="DX506" s="276">
        <v>1</v>
      </c>
      <c r="DY506" s="276">
        <v>0</v>
      </c>
      <c r="DZ506" s="257">
        <v>0</v>
      </c>
      <c r="EA506" s="276">
        <v>0</v>
      </c>
      <c r="EB506" s="276">
        <v>1</v>
      </c>
      <c r="EC506" s="276">
        <v>1</v>
      </c>
      <c r="ED506" s="276">
        <v>0</v>
      </c>
      <c r="EE506" s="276">
        <v>0</v>
      </c>
      <c r="EF506" s="257">
        <v>1</v>
      </c>
      <c r="EG506" s="276">
        <v>0</v>
      </c>
      <c r="EH506" s="257">
        <v>0</v>
      </c>
      <c r="EI506" s="258">
        <v>0</v>
      </c>
      <c r="EJ506" s="256"/>
      <c r="EK506" t="str">
        <f>IF(AND(AND(AND(OR($DX506=1,$DW506=1),OR($EC506=1,$EA506=1)),SUM($DV506:$DZ506,$EF506)&gt;=4),SUM($EA506:$EE506)&gt;=2),"Whole sector","")</f>
        <v>Whole sector</v>
      </c>
      <c r="EL506" t="str">
        <f>IF(AND(AND(OR($DX506=1,$DW506=1),AND($EC506=0,$EA506=0)),SUM($DV506:$DZ506,$EF506)&gt;=4),"Ecosystem approach","")</f>
        <v/>
      </c>
      <c r="EM506" s="258" t="s">
        <v>544</v>
      </c>
      <c r="EN506" s="257" t="s">
        <v>236</v>
      </c>
      <c r="EO506" s="257"/>
      <c r="EP506" t="str">
        <f>IF(ISNUMBER(BU506),IF(ABS(BU506-[2]QC_indicators!$B$2)&gt;3*[2]QC_indicators!$C$2,"C ratio",IF(ISNUMBER(BY506),IF(ABS(BY506-[2]QC_indicators!$B$1)&gt;3*[2]QC_indicators!$C$1,"DF","no"))),IF(ISNUMBER(BY506),IF(ABS(BY506-[2]QC_indicators!$B$1)&gt;3*[2]QC_indicators!$C$1,"DF","no")))</f>
        <v>no</v>
      </c>
    </row>
    <row r="507" spans="1:149" ht="15" customHeight="1">
      <c r="A507" s="256" t="s">
        <v>214</v>
      </c>
      <c r="B507" s="257" t="s">
        <v>215</v>
      </c>
      <c r="C507" s="257" t="s">
        <v>216</v>
      </c>
      <c r="D507" s="257" t="s">
        <v>217</v>
      </c>
      <c r="E507" s="257" t="s">
        <v>218</v>
      </c>
      <c r="F507" s="257" t="s">
        <v>219</v>
      </c>
      <c r="G507" s="257" t="s">
        <v>220</v>
      </c>
      <c r="H507" s="257"/>
      <c r="I507" s="257">
        <v>2012</v>
      </c>
      <c r="J507" s="257"/>
      <c r="K507" s="257" t="s">
        <v>221</v>
      </c>
      <c r="L507" s="257"/>
      <c r="M507" s="257" t="s">
        <v>3070</v>
      </c>
      <c r="N507" s="257" t="s">
        <v>222</v>
      </c>
      <c r="O507" s="275" t="s">
        <v>223</v>
      </c>
      <c r="P507" s="257"/>
      <c r="Q507" s="257" t="s">
        <v>224</v>
      </c>
      <c r="R507" s="258" t="s">
        <v>225</v>
      </c>
      <c r="S507" s="256" t="s">
        <v>226</v>
      </c>
      <c r="T507" s="257" t="s">
        <v>228</v>
      </c>
      <c r="U507" s="257" t="s">
        <v>239</v>
      </c>
      <c r="V507" s="257">
        <v>0</v>
      </c>
      <c r="W507" s="257">
        <v>0</v>
      </c>
      <c r="X507" s="257">
        <v>0</v>
      </c>
      <c r="Y507" s="257">
        <v>1</v>
      </c>
      <c r="Z507" s="257">
        <v>0</v>
      </c>
      <c r="AA507" s="257">
        <v>0</v>
      </c>
      <c r="AB507" s="257">
        <v>0</v>
      </c>
      <c r="AC507" s="257">
        <v>0</v>
      </c>
      <c r="AD507" s="257">
        <v>0</v>
      </c>
      <c r="AE507" s="257">
        <v>0</v>
      </c>
      <c r="AF507" s="257">
        <v>0</v>
      </c>
      <c r="AG507" s="257">
        <v>0</v>
      </c>
      <c r="AH507" s="257">
        <v>0</v>
      </c>
      <c r="AI507" s="257">
        <v>0</v>
      </c>
      <c r="AJ507" s="257">
        <v>0</v>
      </c>
      <c r="AK507" s="257">
        <v>0</v>
      </c>
      <c r="AL507" s="257">
        <v>0</v>
      </c>
      <c r="AM507" s="257">
        <v>0</v>
      </c>
      <c r="AN507" s="257">
        <v>0</v>
      </c>
      <c r="AO507" s="257">
        <v>0</v>
      </c>
      <c r="AP507" s="257">
        <v>0</v>
      </c>
      <c r="AQ507" s="257">
        <v>0</v>
      </c>
      <c r="AR507" s="257">
        <v>0</v>
      </c>
      <c r="AS507" s="257">
        <v>0</v>
      </c>
      <c r="AT507" s="257">
        <v>0</v>
      </c>
      <c r="AU507" s="257">
        <v>0</v>
      </c>
      <c r="AV507" s="257">
        <v>0</v>
      </c>
      <c r="AW507" s="257">
        <v>0</v>
      </c>
      <c r="AX507" s="277">
        <v>1</v>
      </c>
      <c r="AY507" s="277">
        <v>1</v>
      </c>
      <c r="AZ507" s="257">
        <v>1</v>
      </c>
      <c r="BA507" s="257">
        <v>0</v>
      </c>
      <c r="BB507" s="257">
        <v>0</v>
      </c>
      <c r="BC507" s="257">
        <v>0</v>
      </c>
      <c r="BD507" s="257">
        <v>0</v>
      </c>
      <c r="BE507" s="257" t="s">
        <v>91</v>
      </c>
      <c r="BF507" s="2" t="str" cm="1">
        <f t="array" ref="BF507">IF(COUNTIF(AZ507:BB507,"&lt;&gt;0")=1,INDEX($V$4:$AW$4,MATCH(TRUE,INDEX($V507:$AW507&lt;&gt;0,),0)),IF(COUNTIF(AZ507:BB507,"&lt;&gt;0")=0,INDEX($AM$4:$AW$4,MATCH(1,$AM507:$AW507,0)),"Multiple strategies"))</f>
        <v>Silviculture for removals</v>
      </c>
      <c r="BG507" s="278" t="s">
        <v>229</v>
      </c>
      <c r="BH507" s="257" t="s">
        <v>230</v>
      </c>
      <c r="BI507" s="279" t="s">
        <v>3071</v>
      </c>
      <c r="BJ507" s="276" t="s">
        <v>231</v>
      </c>
      <c r="BK507" s="257">
        <v>34.220071779999998</v>
      </c>
      <c r="BL507" s="257">
        <v>54.766085619999998</v>
      </c>
      <c r="BM507" s="276">
        <v>0.62484056314412195</v>
      </c>
      <c r="BN507" s="257">
        <v>20.546013840000001</v>
      </c>
      <c r="BO507" s="276">
        <v>41.93064048979592</v>
      </c>
      <c r="BP507" s="276" t="s">
        <v>232</v>
      </c>
      <c r="BQ507" s="279" t="s">
        <v>3071</v>
      </c>
      <c r="BR507" s="276" t="s">
        <v>233</v>
      </c>
      <c r="BS507" s="257">
        <v>-10.49196787</v>
      </c>
      <c r="BT507" s="257">
        <v>-9.0261044179999992</v>
      </c>
      <c r="BU507" s="259">
        <v>0.86028708149294009</v>
      </c>
      <c r="BV507" s="257">
        <v>1.4658634520000007</v>
      </c>
      <c r="BW507" s="257"/>
      <c r="BX507" s="257">
        <v>1.4658634520000008E-3</v>
      </c>
      <c r="BY507" s="257">
        <v>3.4959243047020181E-5</v>
      </c>
      <c r="BZ507" s="257">
        <v>0</v>
      </c>
      <c r="CA507" s="257">
        <v>0</v>
      </c>
      <c r="CB507" s="257">
        <v>0</v>
      </c>
      <c r="CC507" s="257">
        <v>0</v>
      </c>
      <c r="CD507" s="257">
        <v>0</v>
      </c>
      <c r="CE507" s="257">
        <v>0</v>
      </c>
      <c r="CF507" s="257">
        <v>0</v>
      </c>
      <c r="CG507" s="257">
        <v>0</v>
      </c>
      <c r="CH507" s="257">
        <v>0</v>
      </c>
      <c r="CI507" s="257">
        <v>0</v>
      </c>
      <c r="CJ507" s="257">
        <v>0</v>
      </c>
      <c r="CK507" s="257">
        <v>0</v>
      </c>
      <c r="CL507" s="257">
        <v>0</v>
      </c>
      <c r="CM507" s="257">
        <v>0</v>
      </c>
      <c r="CN507" s="257" t="s">
        <v>3072</v>
      </c>
      <c r="CO507" s="257">
        <v>34.220071779999998</v>
      </c>
      <c r="CP507" s="257">
        <v>54.766085619999998</v>
      </c>
      <c r="CQ507" s="257">
        <v>41.93064048979592</v>
      </c>
      <c r="CR507" s="257">
        <v>-10.49196787</v>
      </c>
      <c r="CS507" s="257">
        <v>-9.0261044179999992</v>
      </c>
      <c r="CT507" s="257">
        <v>1.4658634520000008E-3</v>
      </c>
      <c r="CU507" s="257">
        <v>3.4959243047020181E-5</v>
      </c>
      <c r="CV507" s="258">
        <v>0.13971291850705989</v>
      </c>
      <c r="CW507" s="256" t="s">
        <v>234</v>
      </c>
      <c r="CX507" s="257" t="s">
        <v>3073</v>
      </c>
      <c r="CY507" s="257" t="s">
        <v>235</v>
      </c>
      <c r="CZ507" s="257"/>
      <c r="DA507" s="276"/>
      <c r="DB507" s="276">
        <v>80</v>
      </c>
      <c r="DC507" s="257" t="s">
        <v>3074</v>
      </c>
      <c r="DD507" s="257">
        <v>0</v>
      </c>
      <c r="DE507" s="257">
        <v>1</v>
      </c>
      <c r="DF507" s="257">
        <v>0</v>
      </c>
      <c r="DG507" s="257">
        <v>0</v>
      </c>
      <c r="DH507" s="257"/>
      <c r="DI507" s="257">
        <v>1</v>
      </c>
      <c r="DJ507" s="257" t="s">
        <v>173</v>
      </c>
      <c r="DK507" s="257">
        <v>0</v>
      </c>
      <c r="DL507" s="257" t="s">
        <v>180</v>
      </c>
      <c r="DM507" s="257">
        <v>0</v>
      </c>
      <c r="DN507" s="257">
        <v>0</v>
      </c>
      <c r="DO507" s="257">
        <v>0</v>
      </c>
      <c r="DP507" s="276">
        <v>0</v>
      </c>
      <c r="DQ507" s="276">
        <v>0</v>
      </c>
      <c r="DR507" s="276">
        <v>0</v>
      </c>
      <c r="DS507" s="276">
        <v>0</v>
      </c>
      <c r="DT507" s="257">
        <v>0</v>
      </c>
      <c r="DU507" s="276" t="s">
        <v>962</v>
      </c>
      <c r="DV507" s="276">
        <v>1</v>
      </c>
      <c r="DW507" s="276">
        <v>1</v>
      </c>
      <c r="DX507" s="276">
        <v>1</v>
      </c>
      <c r="DY507" s="276">
        <v>0</v>
      </c>
      <c r="DZ507" s="257">
        <v>0</v>
      </c>
      <c r="EA507" s="276">
        <v>0</v>
      </c>
      <c r="EB507" s="276">
        <v>1</v>
      </c>
      <c r="EC507" s="276">
        <v>1</v>
      </c>
      <c r="ED507" s="276">
        <v>0</v>
      </c>
      <c r="EE507" s="276">
        <v>0</v>
      </c>
      <c r="EF507" s="257">
        <v>1</v>
      </c>
      <c r="EG507" s="276">
        <v>0</v>
      </c>
      <c r="EH507" s="257">
        <v>0</v>
      </c>
      <c r="EI507" s="258">
        <v>0</v>
      </c>
      <c r="EJ507" s="256"/>
      <c r="EK507" t="str">
        <f>IF(AND(AND(AND(OR($DX507=1,$DW507=1),OR($EC507=1,$EA507=1)),SUM($DV507:$DZ507,$EF507)&gt;=4),SUM($EA507:$EE507)&gt;=2),"Whole sector","")</f>
        <v>Whole sector</v>
      </c>
      <c r="EL507" t="str">
        <f>IF(AND(AND(OR($DX507=1,$DW507=1),AND($EC507=0,$EA507=0)),SUM($DV507:$DZ507,$EF507)&gt;=4),"Ecosystem approach","")</f>
        <v/>
      </c>
      <c r="EM507" s="258" t="s">
        <v>544</v>
      </c>
      <c r="EN507" s="257" t="s">
        <v>236</v>
      </c>
      <c r="EO507" s="257"/>
      <c r="EP507" t="str">
        <f>IF(ISNUMBER(BU507),IF(ABS(BU507-[2]QC_indicators!$B$2)&gt;3*[2]QC_indicators!$C$2,"C ratio",IF(ISNUMBER(BY507),IF(ABS(BY507-[2]QC_indicators!$B$1)&gt;3*[2]QC_indicators!$C$1,"DF","no"))),IF(ISNUMBER(BY507),IF(ABS(BY507-[2]QC_indicators!$B$1)&gt;3*[2]QC_indicators!$C$1,"DF","no")))</f>
        <v>no</v>
      </c>
      <c r="EQ507" s="280"/>
      <c r="ER507" s="280"/>
      <c r="ES507" s="280"/>
    </row>
    <row r="508" spans="1:149" ht="15" customHeight="1">
      <c r="A508" s="256" t="s">
        <v>214</v>
      </c>
      <c r="B508" s="257" t="s">
        <v>215</v>
      </c>
      <c r="C508" s="257" t="s">
        <v>216</v>
      </c>
      <c r="D508" s="257" t="s">
        <v>217</v>
      </c>
      <c r="E508" s="257" t="s">
        <v>218</v>
      </c>
      <c r="F508" s="257" t="s">
        <v>219</v>
      </c>
      <c r="G508" s="257" t="s">
        <v>220</v>
      </c>
      <c r="H508" s="257"/>
      <c r="I508" s="257">
        <v>2012</v>
      </c>
      <c r="J508" s="257"/>
      <c r="K508" s="257" t="s">
        <v>221</v>
      </c>
      <c r="L508" s="257"/>
      <c r="M508" s="257" t="s">
        <v>3070</v>
      </c>
      <c r="N508" s="257" t="s">
        <v>222</v>
      </c>
      <c r="O508" s="275" t="s">
        <v>223</v>
      </c>
      <c r="P508" s="257"/>
      <c r="Q508" s="257" t="s">
        <v>224</v>
      </c>
      <c r="R508" s="258" t="s">
        <v>225</v>
      </c>
      <c r="S508" s="256" t="s">
        <v>240</v>
      </c>
      <c r="T508" s="257">
        <v>2000</v>
      </c>
      <c r="U508" s="257">
        <v>4000</v>
      </c>
      <c r="V508" s="257">
        <v>0</v>
      </c>
      <c r="W508" s="257">
        <v>0</v>
      </c>
      <c r="X508" s="257">
        <v>0</v>
      </c>
      <c r="Y508" s="257">
        <v>0</v>
      </c>
      <c r="Z508" s="257">
        <v>0</v>
      </c>
      <c r="AA508" s="257">
        <v>1</v>
      </c>
      <c r="AB508" s="257">
        <v>0</v>
      </c>
      <c r="AC508" s="257">
        <v>0</v>
      </c>
      <c r="AD508" s="257">
        <v>0</v>
      </c>
      <c r="AE508" s="257">
        <v>0</v>
      </c>
      <c r="AF508" s="257">
        <v>0</v>
      </c>
      <c r="AG508" s="257">
        <v>0</v>
      </c>
      <c r="AH508" s="257">
        <v>0</v>
      </c>
      <c r="AI508" s="257">
        <v>0</v>
      </c>
      <c r="AJ508" s="257">
        <v>0</v>
      </c>
      <c r="AK508" s="257">
        <v>0</v>
      </c>
      <c r="AL508" s="257">
        <v>0</v>
      </c>
      <c r="AM508" s="257">
        <v>0</v>
      </c>
      <c r="AN508" s="257">
        <v>0</v>
      </c>
      <c r="AO508" s="257">
        <v>0</v>
      </c>
      <c r="AP508" s="257">
        <v>0</v>
      </c>
      <c r="AQ508" s="257">
        <v>0</v>
      </c>
      <c r="AR508" s="257">
        <v>0</v>
      </c>
      <c r="AS508" s="257">
        <v>0</v>
      </c>
      <c r="AT508" s="257">
        <v>0</v>
      </c>
      <c r="AU508" s="257">
        <v>0</v>
      </c>
      <c r="AV508" s="257">
        <v>0</v>
      </c>
      <c r="AW508" s="257">
        <v>0</v>
      </c>
      <c r="AX508" s="277">
        <v>1</v>
      </c>
      <c r="AY508" s="277">
        <v>1</v>
      </c>
      <c r="AZ508" s="257">
        <v>1</v>
      </c>
      <c r="BA508" s="257">
        <v>0</v>
      </c>
      <c r="BB508" s="257">
        <v>0</v>
      </c>
      <c r="BC508" s="257">
        <v>0</v>
      </c>
      <c r="BD508" s="257">
        <v>0</v>
      </c>
      <c r="BE508" s="257" t="s">
        <v>93</v>
      </c>
      <c r="BF508" s="2" t="str" cm="1">
        <f t="array" ref="BF508">IF(COUNTIF(AZ508:BB508,"&lt;&gt;0")=1,INDEX($V$4:$AW$4,MATCH(TRUE,INDEX($V508:$AW508&lt;&gt;0,),0)),IF(COUNTIF(AZ508:BB508,"&lt;&gt;0")=0,INDEX($AM$4:$AW$4,MATCH(1,$AM508:$AW508,0)),"Multiple strategies"))</f>
        <v>Silviculture for productivity</v>
      </c>
      <c r="BG508" s="278" t="s">
        <v>229</v>
      </c>
      <c r="BH508" s="257" t="s">
        <v>230</v>
      </c>
      <c r="BI508" s="279" t="s">
        <v>3071</v>
      </c>
      <c r="BJ508" s="276" t="s">
        <v>231</v>
      </c>
      <c r="BK508" s="257">
        <v>34.220071779999998</v>
      </c>
      <c r="BL508" s="257">
        <v>43.296172429999999</v>
      </c>
      <c r="BM508" s="276">
        <v>1.2652273995317727</v>
      </c>
      <c r="BN508" s="257">
        <v>9.0761006500000008</v>
      </c>
      <c r="BO508" s="276">
        <v>18.522654387755104</v>
      </c>
      <c r="BP508" s="276" t="s">
        <v>232</v>
      </c>
      <c r="BQ508" s="279" t="s">
        <v>3071</v>
      </c>
      <c r="BR508" s="276" t="s">
        <v>233</v>
      </c>
      <c r="BS508" s="257">
        <v>-10.49196787</v>
      </c>
      <c r="BT508" s="257">
        <v>-9.8277857409999996</v>
      </c>
      <c r="BU508" s="259">
        <v>0.93669613391601048</v>
      </c>
      <c r="BV508" s="257">
        <v>0.66418212900000029</v>
      </c>
      <c r="BW508" s="257"/>
      <c r="BX508" s="257">
        <v>6.6418212900000028E-4</v>
      </c>
      <c r="BY508" s="257">
        <v>3.5857826588778529E-5</v>
      </c>
      <c r="BZ508" s="257">
        <v>0</v>
      </c>
      <c r="CA508" s="257">
        <v>0</v>
      </c>
      <c r="CB508" s="257">
        <v>0</v>
      </c>
      <c r="CC508" s="257">
        <v>0</v>
      </c>
      <c r="CD508" s="257">
        <v>0</v>
      </c>
      <c r="CE508" s="257">
        <v>0</v>
      </c>
      <c r="CF508" s="257">
        <v>0</v>
      </c>
      <c r="CG508" s="257">
        <v>0</v>
      </c>
      <c r="CH508" s="257">
        <v>0</v>
      </c>
      <c r="CI508" s="257">
        <v>0</v>
      </c>
      <c r="CJ508" s="257">
        <v>0</v>
      </c>
      <c r="CK508" s="257">
        <v>0</v>
      </c>
      <c r="CL508" s="257">
        <v>0</v>
      </c>
      <c r="CM508" s="257">
        <v>0</v>
      </c>
      <c r="CN508" s="257" t="s">
        <v>3072</v>
      </c>
      <c r="CO508" s="257">
        <v>34.220071779999998</v>
      </c>
      <c r="CP508" s="257">
        <v>43.296172429999999</v>
      </c>
      <c r="CQ508" s="257">
        <v>18.522654387755104</v>
      </c>
      <c r="CR508" s="257">
        <v>-10.49196787</v>
      </c>
      <c r="CS508" s="257">
        <v>-9.8277857409999996</v>
      </c>
      <c r="CT508" s="257">
        <v>6.6418212900000028E-4</v>
      </c>
      <c r="CU508" s="257">
        <v>3.5857826588778529E-5</v>
      </c>
      <c r="CV508" s="258">
        <v>6.3303866083989468E-2</v>
      </c>
      <c r="CW508" s="256" t="s">
        <v>234</v>
      </c>
      <c r="CX508" s="257" t="s">
        <v>3073</v>
      </c>
      <c r="CY508" s="257" t="s">
        <v>235</v>
      </c>
      <c r="CZ508" s="257"/>
      <c r="DA508" s="276"/>
      <c r="DB508" s="276">
        <v>80</v>
      </c>
      <c r="DC508" s="257" t="s">
        <v>3074</v>
      </c>
      <c r="DD508" s="257">
        <v>0</v>
      </c>
      <c r="DE508" s="257">
        <v>1</v>
      </c>
      <c r="DF508" s="257">
        <v>0</v>
      </c>
      <c r="DG508" s="257">
        <v>0</v>
      </c>
      <c r="DH508" s="257"/>
      <c r="DI508" s="257">
        <v>1</v>
      </c>
      <c r="DJ508" s="257" t="s">
        <v>173</v>
      </c>
      <c r="DK508" s="257">
        <v>0</v>
      </c>
      <c r="DL508" s="257" t="s">
        <v>180</v>
      </c>
      <c r="DM508" s="257">
        <v>0</v>
      </c>
      <c r="DN508" s="257">
        <v>0</v>
      </c>
      <c r="DO508" s="257">
        <v>0</v>
      </c>
      <c r="DP508" s="276">
        <v>0</v>
      </c>
      <c r="DQ508" s="276">
        <v>0</v>
      </c>
      <c r="DR508" s="276">
        <v>0</v>
      </c>
      <c r="DS508" s="276">
        <v>0</v>
      </c>
      <c r="DT508" s="257">
        <v>0</v>
      </c>
      <c r="DU508" s="276" t="s">
        <v>962</v>
      </c>
      <c r="DV508" s="276">
        <v>1</v>
      </c>
      <c r="DW508" s="276">
        <v>1</v>
      </c>
      <c r="DX508" s="276">
        <v>1</v>
      </c>
      <c r="DY508" s="276">
        <v>0</v>
      </c>
      <c r="DZ508" s="257">
        <v>0</v>
      </c>
      <c r="EA508" s="276">
        <v>0</v>
      </c>
      <c r="EB508" s="276">
        <v>1</v>
      </c>
      <c r="EC508" s="276">
        <v>1</v>
      </c>
      <c r="ED508" s="276">
        <v>0</v>
      </c>
      <c r="EE508" s="276">
        <v>0</v>
      </c>
      <c r="EF508" s="257">
        <v>1</v>
      </c>
      <c r="EG508" s="276">
        <v>0</v>
      </c>
      <c r="EH508" s="257">
        <v>0</v>
      </c>
      <c r="EI508" s="258">
        <v>0</v>
      </c>
      <c r="EJ508" s="256"/>
      <c r="EK508" t="str">
        <f>IF(AND(AND(AND(OR($DX508=1,$DW508=1),OR($EC508=1,$EA508=1)),SUM($DV508:$DZ508,$EF508)&gt;=4),SUM($EA508:$EE508)&gt;=2),"Whole sector","")</f>
        <v>Whole sector</v>
      </c>
      <c r="EL508" t="str">
        <f>IF(AND(AND(OR($DX508=1,$DW508=1),AND($EC508=0,$EA508=0)),SUM($DV508:$DZ508,$EF508)&gt;=4),"Ecosystem approach","")</f>
        <v/>
      </c>
      <c r="EM508" s="258" t="s">
        <v>544</v>
      </c>
      <c r="EN508" s="257" t="s">
        <v>236</v>
      </c>
      <c r="EO508" s="257"/>
      <c r="EP508" t="str">
        <f>IF(ISNUMBER(BU508),IF(ABS(BU508-[2]QC_indicators!$B$2)&gt;3*[2]QC_indicators!$C$2,"C ratio",IF(ISNUMBER(BY508),IF(ABS(BY508-[2]QC_indicators!$B$1)&gt;3*[2]QC_indicators!$C$1,"DF","no"))),IF(ISNUMBER(BY508),IF(ABS(BY508-[2]QC_indicators!$B$1)&gt;3*[2]QC_indicators!$C$1,"DF","no")))</f>
        <v>no</v>
      </c>
      <c r="EQ508" s="280"/>
      <c r="ER508" s="280"/>
      <c r="ES508" s="280"/>
    </row>
    <row r="509" spans="1:149" ht="15" customHeight="1">
      <c r="A509" s="256" t="s">
        <v>214</v>
      </c>
      <c r="B509" s="257" t="s">
        <v>215</v>
      </c>
      <c r="C509" s="257" t="s">
        <v>216</v>
      </c>
      <c r="D509" s="257" t="s">
        <v>217</v>
      </c>
      <c r="E509" s="257" t="s">
        <v>218</v>
      </c>
      <c r="F509" s="257" t="s">
        <v>219</v>
      </c>
      <c r="G509" s="257" t="s">
        <v>220</v>
      </c>
      <c r="H509" s="257"/>
      <c r="I509" s="257">
        <v>2012</v>
      </c>
      <c r="J509" s="257"/>
      <c r="K509" s="257" t="s">
        <v>221</v>
      </c>
      <c r="L509" s="257"/>
      <c r="M509" s="257" t="s">
        <v>3070</v>
      </c>
      <c r="N509" s="257" t="s">
        <v>222</v>
      </c>
      <c r="O509" s="275" t="s">
        <v>223</v>
      </c>
      <c r="P509" s="257"/>
      <c r="Q509" s="257" t="s">
        <v>224</v>
      </c>
      <c r="R509" s="258" t="s">
        <v>225</v>
      </c>
      <c r="S509" s="256" t="s">
        <v>226</v>
      </c>
      <c r="T509" s="257" t="s">
        <v>228</v>
      </c>
      <c r="U509" s="257" t="s">
        <v>227</v>
      </c>
      <c r="V509" s="257">
        <v>0</v>
      </c>
      <c r="W509" s="257">
        <v>0</v>
      </c>
      <c r="X509" s="257">
        <v>0</v>
      </c>
      <c r="Y509" s="257">
        <v>1</v>
      </c>
      <c r="Z509" s="257">
        <v>0</v>
      </c>
      <c r="AA509" s="257">
        <v>0</v>
      </c>
      <c r="AB509" s="257">
        <v>0</v>
      </c>
      <c r="AC509" s="257">
        <v>0</v>
      </c>
      <c r="AD509" s="257">
        <v>0</v>
      </c>
      <c r="AE509" s="257">
        <v>0</v>
      </c>
      <c r="AF509" s="257">
        <v>0</v>
      </c>
      <c r="AG509" s="257">
        <v>0</v>
      </c>
      <c r="AH509" s="257">
        <v>0</v>
      </c>
      <c r="AI509" s="257">
        <v>0</v>
      </c>
      <c r="AJ509" s="257">
        <v>0</v>
      </c>
      <c r="AK509" s="257">
        <v>0</v>
      </c>
      <c r="AL509" s="257">
        <v>0</v>
      </c>
      <c r="AM509" s="257">
        <v>0</v>
      </c>
      <c r="AN509" s="257">
        <v>0</v>
      </c>
      <c r="AO509" s="257">
        <v>0</v>
      </c>
      <c r="AP509" s="257">
        <v>0</v>
      </c>
      <c r="AQ509" s="257">
        <v>0</v>
      </c>
      <c r="AR509" s="257">
        <v>0</v>
      </c>
      <c r="AS509" s="257">
        <v>0</v>
      </c>
      <c r="AT509" s="257">
        <v>0</v>
      </c>
      <c r="AU509" s="257">
        <v>0</v>
      </c>
      <c r="AV509" s="257">
        <v>0</v>
      </c>
      <c r="AW509" s="257">
        <v>0</v>
      </c>
      <c r="AX509" s="277">
        <v>1</v>
      </c>
      <c r="AY509" s="277">
        <v>1</v>
      </c>
      <c r="AZ509" s="257">
        <v>1</v>
      </c>
      <c r="BA509" s="257">
        <v>0</v>
      </c>
      <c r="BB509" s="257">
        <v>0</v>
      </c>
      <c r="BC509" s="257">
        <v>0</v>
      </c>
      <c r="BD509" s="257">
        <v>0</v>
      </c>
      <c r="BE509" s="257" t="s">
        <v>91</v>
      </c>
      <c r="BF509" s="2" t="str" cm="1">
        <f t="array" ref="BF509">IF(COUNTIF(AZ509:BB509,"&lt;&gt;0")=1,INDEX($V$4:$AW$4,MATCH(TRUE,INDEX($V509:$AW509&lt;&gt;0,),0)),IF(COUNTIF(AZ509:BB509,"&lt;&gt;0")=0,INDEX($AM$4:$AW$4,MATCH(1,$AM509:$AW509,0)),"Multiple strategies"))</f>
        <v>Silviculture for removals</v>
      </c>
      <c r="BG509" s="278" t="s">
        <v>229</v>
      </c>
      <c r="BH509" s="257" t="s">
        <v>230</v>
      </c>
      <c r="BI509" s="279" t="s">
        <v>3071</v>
      </c>
      <c r="BJ509" s="276" t="s">
        <v>231</v>
      </c>
      <c r="BK509" s="257">
        <v>58.199966019999998</v>
      </c>
      <c r="BL509" s="257">
        <v>63.509174309999999</v>
      </c>
      <c r="BM509" s="276">
        <v>1.0912235633982248</v>
      </c>
      <c r="BN509" s="257">
        <v>5.3092082900000008</v>
      </c>
      <c r="BO509" s="276">
        <v>10.835118959183676</v>
      </c>
      <c r="BP509" s="276" t="s">
        <v>232</v>
      </c>
      <c r="BQ509" s="279" t="s">
        <v>3071</v>
      </c>
      <c r="BR509" s="276" t="s">
        <v>233</v>
      </c>
      <c r="BS509" s="257">
        <v>-9.137844007</v>
      </c>
      <c r="BT509" s="257">
        <v>-8.7158725570000009</v>
      </c>
      <c r="BU509" s="259">
        <v>0.95382155247159506</v>
      </c>
      <c r="BV509" s="257">
        <v>0.42197144999999914</v>
      </c>
      <c r="BW509" s="257"/>
      <c r="BX509" s="257">
        <v>4.2197144999999911E-4</v>
      </c>
      <c r="BY509" s="257">
        <v>3.8944791616001847E-5</v>
      </c>
      <c r="BZ509" s="257">
        <v>0</v>
      </c>
      <c r="CA509" s="257">
        <v>0</v>
      </c>
      <c r="CB509" s="257">
        <v>0</v>
      </c>
      <c r="CC509" s="257">
        <v>0</v>
      </c>
      <c r="CD509" s="257">
        <v>0</v>
      </c>
      <c r="CE509" s="257">
        <v>0</v>
      </c>
      <c r="CF509" s="257">
        <v>0</v>
      </c>
      <c r="CG509" s="257">
        <v>0</v>
      </c>
      <c r="CH509" s="257">
        <v>0</v>
      </c>
      <c r="CI509" s="257">
        <v>0</v>
      </c>
      <c r="CJ509" s="257">
        <v>0</v>
      </c>
      <c r="CK509" s="257">
        <v>0</v>
      </c>
      <c r="CL509" s="257">
        <v>0</v>
      </c>
      <c r="CM509" s="257">
        <v>0</v>
      </c>
      <c r="CN509" s="257" t="s">
        <v>3072</v>
      </c>
      <c r="CO509" s="257">
        <v>58.199966019999998</v>
      </c>
      <c r="CP509" s="257">
        <v>63.509174309999999</v>
      </c>
      <c r="CQ509" s="257">
        <v>10.835118959183676</v>
      </c>
      <c r="CR509" s="257">
        <v>-9.137844007</v>
      </c>
      <c r="CS509" s="257">
        <v>-8.7158725570000009</v>
      </c>
      <c r="CT509" s="257">
        <v>4.2197144999999911E-4</v>
      </c>
      <c r="CU509" s="257">
        <v>3.8944791616001847E-5</v>
      </c>
      <c r="CV509" s="258">
        <v>4.6178447528404949E-2</v>
      </c>
      <c r="CW509" s="256" t="s">
        <v>234</v>
      </c>
      <c r="CX509" s="257" t="s">
        <v>3073</v>
      </c>
      <c r="CY509" s="257" t="s">
        <v>235</v>
      </c>
      <c r="CZ509" s="257"/>
      <c r="DA509" s="276"/>
      <c r="DB509" s="276">
        <v>80</v>
      </c>
      <c r="DC509" s="257" t="s">
        <v>3074</v>
      </c>
      <c r="DD509" s="257">
        <v>0</v>
      </c>
      <c r="DE509" s="257">
        <v>1</v>
      </c>
      <c r="DF509" s="257">
        <v>0</v>
      </c>
      <c r="DG509" s="257">
        <v>0</v>
      </c>
      <c r="DH509" s="257"/>
      <c r="DI509" s="257">
        <v>1</v>
      </c>
      <c r="DJ509" s="257" t="s">
        <v>173</v>
      </c>
      <c r="DK509" s="257">
        <v>0</v>
      </c>
      <c r="DL509" s="257" t="s">
        <v>180</v>
      </c>
      <c r="DM509" s="257">
        <v>0</v>
      </c>
      <c r="DN509" s="257">
        <v>0</v>
      </c>
      <c r="DO509" s="257">
        <v>0</v>
      </c>
      <c r="DP509" s="276">
        <v>0</v>
      </c>
      <c r="DQ509" s="276">
        <v>0</v>
      </c>
      <c r="DR509" s="276">
        <v>0</v>
      </c>
      <c r="DS509" s="276">
        <v>0</v>
      </c>
      <c r="DT509" s="257">
        <v>0</v>
      </c>
      <c r="DU509" s="276" t="s">
        <v>962</v>
      </c>
      <c r="DV509" s="276">
        <v>1</v>
      </c>
      <c r="DW509" s="276">
        <v>1</v>
      </c>
      <c r="DX509" s="276">
        <v>1</v>
      </c>
      <c r="DY509" s="276">
        <v>0</v>
      </c>
      <c r="DZ509" s="257">
        <v>0</v>
      </c>
      <c r="EA509" s="276">
        <v>0</v>
      </c>
      <c r="EB509" s="276">
        <v>1</v>
      </c>
      <c r="EC509" s="276">
        <v>1</v>
      </c>
      <c r="ED509" s="276">
        <v>0</v>
      </c>
      <c r="EE509" s="276">
        <v>0</v>
      </c>
      <c r="EF509" s="257">
        <v>1</v>
      </c>
      <c r="EG509" s="276">
        <v>0</v>
      </c>
      <c r="EH509" s="257">
        <v>0</v>
      </c>
      <c r="EI509" s="258">
        <v>0</v>
      </c>
      <c r="EJ509" s="256"/>
      <c r="EK509" t="str">
        <f>IF(AND(AND(AND(OR($DX509=1,$DW509=1),OR($EC509=1,$EA509=1)),SUM($DV509:$DZ509,$EF509)&gt;=4),SUM($EA509:$EE509)&gt;=2),"Whole sector","")</f>
        <v>Whole sector</v>
      </c>
      <c r="EL509" t="str">
        <f>IF(AND(AND(OR($DX509=1,$DW509=1),AND($EC509=0,$EA509=0)),SUM($DV509:$DZ509,$EF509)&gt;=4),"Ecosystem approach","")</f>
        <v/>
      </c>
      <c r="EM509" s="258" t="s">
        <v>544</v>
      </c>
      <c r="EN509" s="257" t="s">
        <v>236</v>
      </c>
      <c r="EO509" s="257"/>
      <c r="EP509" t="str">
        <f>IF(ISNUMBER(BU509),IF(ABS(BU509-[2]QC_indicators!$B$2)&gt;3*[2]QC_indicators!$C$2,"C ratio",IF(ISNUMBER(BY509),IF(ABS(BY509-[2]QC_indicators!$B$1)&gt;3*[2]QC_indicators!$C$1,"DF","no"))),IF(ISNUMBER(BY509),IF(ABS(BY509-[2]QC_indicators!$B$1)&gt;3*[2]QC_indicators!$C$1,"DF","no")))</f>
        <v>no</v>
      </c>
      <c r="EQ509" s="280"/>
      <c r="ER509" s="280"/>
      <c r="ES509" s="280"/>
    </row>
    <row r="510" spans="1:149" ht="15" customHeight="1">
      <c r="A510" s="256" t="s">
        <v>214</v>
      </c>
      <c r="B510" s="257" t="s">
        <v>215</v>
      </c>
      <c r="C510" s="257" t="s">
        <v>216</v>
      </c>
      <c r="D510" s="257" t="s">
        <v>217</v>
      </c>
      <c r="E510" s="257" t="s">
        <v>218</v>
      </c>
      <c r="F510" s="257" t="s">
        <v>219</v>
      </c>
      <c r="G510" s="257" t="s">
        <v>220</v>
      </c>
      <c r="H510" s="257"/>
      <c r="I510" s="257">
        <v>2012</v>
      </c>
      <c r="J510" s="257"/>
      <c r="K510" s="257" t="s">
        <v>221</v>
      </c>
      <c r="L510" s="257"/>
      <c r="M510" s="257" t="s">
        <v>3070</v>
      </c>
      <c r="N510" s="257" t="s">
        <v>222</v>
      </c>
      <c r="O510" s="275" t="s">
        <v>223</v>
      </c>
      <c r="P510" s="257"/>
      <c r="Q510" s="257" t="s">
        <v>224</v>
      </c>
      <c r="R510" s="258" t="s">
        <v>225</v>
      </c>
      <c r="S510" s="256" t="s">
        <v>92</v>
      </c>
      <c r="T510" s="257" t="s">
        <v>245</v>
      </c>
      <c r="U510" s="276" t="s">
        <v>246</v>
      </c>
      <c r="V510" s="257">
        <v>0</v>
      </c>
      <c r="W510" s="257">
        <v>0</v>
      </c>
      <c r="X510" s="257">
        <v>0</v>
      </c>
      <c r="Y510" s="257">
        <v>0</v>
      </c>
      <c r="Z510" s="257">
        <v>1</v>
      </c>
      <c r="AA510" s="257">
        <v>0</v>
      </c>
      <c r="AB510" s="257">
        <v>0</v>
      </c>
      <c r="AC510" s="257">
        <v>0</v>
      </c>
      <c r="AD510" s="257">
        <v>0</v>
      </c>
      <c r="AE510" s="257">
        <v>0</v>
      </c>
      <c r="AF510" s="257">
        <v>0</v>
      </c>
      <c r="AG510" s="257">
        <v>0</v>
      </c>
      <c r="AH510" s="257">
        <v>0</v>
      </c>
      <c r="AI510" s="257">
        <v>0</v>
      </c>
      <c r="AJ510" s="257">
        <v>0</v>
      </c>
      <c r="AK510" s="257">
        <v>0</v>
      </c>
      <c r="AL510" s="257">
        <v>0</v>
      </c>
      <c r="AM510" s="257">
        <v>0</v>
      </c>
      <c r="AN510" s="257">
        <v>0</v>
      </c>
      <c r="AO510" s="257">
        <v>0</v>
      </c>
      <c r="AP510" s="257">
        <v>0</v>
      </c>
      <c r="AQ510" s="257">
        <v>0</v>
      </c>
      <c r="AR510" s="257">
        <v>0</v>
      </c>
      <c r="AS510" s="257">
        <v>0</v>
      </c>
      <c r="AT510" s="257">
        <v>0</v>
      </c>
      <c r="AU510" s="257">
        <v>0</v>
      </c>
      <c r="AV510" s="257">
        <v>0</v>
      </c>
      <c r="AW510" s="257">
        <v>0</v>
      </c>
      <c r="AX510" s="277">
        <v>1</v>
      </c>
      <c r="AY510" s="277">
        <v>1</v>
      </c>
      <c r="AZ510" s="257">
        <v>1</v>
      </c>
      <c r="BA510" s="257">
        <v>0</v>
      </c>
      <c r="BB510" s="257">
        <v>0</v>
      </c>
      <c r="BC510" s="257">
        <v>0</v>
      </c>
      <c r="BD510" s="257">
        <v>0</v>
      </c>
      <c r="BE510" s="257" t="s">
        <v>92</v>
      </c>
      <c r="BF510" s="2" t="str" cm="1">
        <f t="array" ref="BF510">IF(COUNTIF(AZ510:BB510,"&lt;&gt;0")=1,INDEX($V$4:$AW$4,MATCH(TRUE,INDEX($V510:$AW510&lt;&gt;0,),0)),IF(COUNTIF(AZ510:BB510,"&lt;&gt;0")=0,INDEX($AM$4:$AW$4,MATCH(1,$AM510:$AW510,0)),"Multiple strategies"))</f>
        <v>Silviculture for productivity</v>
      </c>
      <c r="BG510" s="278" t="s">
        <v>229</v>
      </c>
      <c r="BH510" s="257" t="s">
        <v>230</v>
      </c>
      <c r="BI510" s="279" t="s">
        <v>3071</v>
      </c>
      <c r="BJ510" s="276" t="s">
        <v>231</v>
      </c>
      <c r="BK510" s="257">
        <v>41.741420319401897</v>
      </c>
      <c r="BL510" s="257">
        <v>55.163392312385596</v>
      </c>
      <c r="BM510" s="276">
        <v>1.321550438156629</v>
      </c>
      <c r="BN510" s="257">
        <v>13.4219719929837</v>
      </c>
      <c r="BO510" s="276">
        <v>27.391779577517756</v>
      </c>
      <c r="BP510" s="276" t="s">
        <v>232</v>
      </c>
      <c r="BQ510" s="279" t="s">
        <v>3071</v>
      </c>
      <c r="BR510" s="276" t="s">
        <v>233</v>
      </c>
      <c r="BS510" s="257">
        <v>-10.1626318158436</v>
      </c>
      <c r="BT510" s="257">
        <v>-9.0346308724832198</v>
      </c>
      <c r="BU510" s="259">
        <v>0.88900503690374566</v>
      </c>
      <c r="BV510" s="257">
        <v>1.1280009433603801</v>
      </c>
      <c r="BW510" s="257"/>
      <c r="BX510" s="257">
        <v>1.1280009433603801E-3</v>
      </c>
      <c r="BY510" s="257">
        <v>4.1180272357558146E-5</v>
      </c>
      <c r="BZ510" s="257">
        <v>0</v>
      </c>
      <c r="CA510" s="257">
        <v>0</v>
      </c>
      <c r="CB510" s="257">
        <v>0</v>
      </c>
      <c r="CC510" s="257">
        <v>0</v>
      </c>
      <c r="CD510" s="257">
        <v>0</v>
      </c>
      <c r="CE510" s="257">
        <v>0</v>
      </c>
      <c r="CF510" s="257">
        <v>0</v>
      </c>
      <c r="CG510" s="257">
        <v>0</v>
      </c>
      <c r="CH510" s="257">
        <v>0</v>
      </c>
      <c r="CI510" s="257">
        <v>0</v>
      </c>
      <c r="CJ510" s="257">
        <v>0</v>
      </c>
      <c r="CK510" s="257">
        <v>0</v>
      </c>
      <c r="CL510" s="257">
        <v>0</v>
      </c>
      <c r="CM510" s="257">
        <v>0</v>
      </c>
      <c r="CN510" s="257" t="s">
        <v>3072</v>
      </c>
      <c r="CO510" s="257">
        <v>41.741420319401897</v>
      </c>
      <c r="CP510" s="257">
        <v>55.163392312385596</v>
      </c>
      <c r="CQ510" s="257">
        <v>27.391779577517756</v>
      </c>
      <c r="CR510" s="257">
        <v>-10.1626318158436</v>
      </c>
      <c r="CS510" s="257">
        <v>-9.0346308724832198</v>
      </c>
      <c r="CT510" s="257">
        <v>1.1280009433603801E-3</v>
      </c>
      <c r="CU510" s="257">
        <v>4.1180272357558146E-5</v>
      </c>
      <c r="CV510" s="258">
        <v>0.1109949630962543</v>
      </c>
      <c r="CW510" s="256" t="s">
        <v>234</v>
      </c>
      <c r="CX510" s="257" t="s">
        <v>3073</v>
      </c>
      <c r="CY510" s="257" t="s">
        <v>235</v>
      </c>
      <c r="CZ510" s="257"/>
      <c r="DA510" s="276"/>
      <c r="DB510" s="276">
        <v>80</v>
      </c>
      <c r="DC510" s="257" t="s">
        <v>3074</v>
      </c>
      <c r="DD510" s="257">
        <v>0</v>
      </c>
      <c r="DE510" s="257">
        <v>1</v>
      </c>
      <c r="DF510" s="257">
        <v>0</v>
      </c>
      <c r="DG510" s="257">
        <v>0</v>
      </c>
      <c r="DH510" s="257"/>
      <c r="DI510" s="257">
        <v>1</v>
      </c>
      <c r="DJ510" s="257" t="s">
        <v>173</v>
      </c>
      <c r="DK510" s="257">
        <v>0</v>
      </c>
      <c r="DL510" s="257" t="s">
        <v>180</v>
      </c>
      <c r="DM510" s="257">
        <v>0</v>
      </c>
      <c r="DN510" s="257">
        <v>0</v>
      </c>
      <c r="DO510" s="257">
        <v>0</v>
      </c>
      <c r="DP510" s="276">
        <v>0</v>
      </c>
      <c r="DQ510" s="276">
        <v>0</v>
      </c>
      <c r="DR510" s="276">
        <v>0</v>
      </c>
      <c r="DS510" s="276">
        <v>0</v>
      </c>
      <c r="DT510" s="257">
        <v>0</v>
      </c>
      <c r="DU510" s="276" t="s">
        <v>962</v>
      </c>
      <c r="DV510" s="276">
        <v>1</v>
      </c>
      <c r="DW510" s="276">
        <v>1</v>
      </c>
      <c r="DX510" s="276">
        <v>1</v>
      </c>
      <c r="DY510" s="276">
        <v>0</v>
      </c>
      <c r="DZ510" s="257">
        <v>0</v>
      </c>
      <c r="EA510" s="276">
        <v>0</v>
      </c>
      <c r="EB510" s="276">
        <v>1</v>
      </c>
      <c r="EC510" s="276">
        <v>1</v>
      </c>
      <c r="ED510" s="276">
        <v>0</v>
      </c>
      <c r="EE510" s="276">
        <v>0</v>
      </c>
      <c r="EF510" s="257">
        <v>1</v>
      </c>
      <c r="EG510" s="276">
        <v>0</v>
      </c>
      <c r="EH510" s="257">
        <v>0</v>
      </c>
      <c r="EI510" s="258">
        <v>0</v>
      </c>
      <c r="EJ510" s="256"/>
      <c r="EK510" t="str">
        <f>IF(AND(AND(AND(OR($DX510=1,$DW510=1),OR($EC510=1,$EA510=1)),SUM($DV510:$DZ510,$EF510)&gt;=4),SUM($EA510:$EE510)&gt;=2),"Whole sector","")</f>
        <v>Whole sector</v>
      </c>
      <c r="EL510" t="str">
        <f>IF(AND(AND(OR($DX510=1,$DW510=1),AND($EC510=0,$EA510=0)),SUM($DV510:$DZ510,$EF510)&gt;=4),"Ecosystem approach","")</f>
        <v/>
      </c>
      <c r="EM510" s="258" t="s">
        <v>544</v>
      </c>
      <c r="EN510" s="257" t="s">
        <v>236</v>
      </c>
      <c r="EO510" s="257"/>
      <c r="EP510" t="str">
        <f>IF(ISNUMBER(BU510),IF(ABS(BU510-[2]QC_indicators!$B$2)&gt;3*[2]QC_indicators!$C$2,"C ratio",IF(ISNUMBER(BY510),IF(ABS(BY510-[2]QC_indicators!$B$1)&gt;3*[2]QC_indicators!$C$1,"DF","no"))),IF(ISNUMBER(BY510),IF(ABS(BY510-[2]QC_indicators!$B$1)&gt;3*[2]QC_indicators!$C$1,"DF","no")))</f>
        <v>no</v>
      </c>
      <c r="EQ510" s="257"/>
      <c r="ER510" s="257"/>
    </row>
    <row r="511" spans="1:149" ht="15" customHeight="1">
      <c r="A511" s="256" t="s">
        <v>214</v>
      </c>
      <c r="B511" s="257" t="s">
        <v>215</v>
      </c>
      <c r="C511" s="257" t="s">
        <v>216</v>
      </c>
      <c r="D511" s="257" t="s">
        <v>217</v>
      </c>
      <c r="E511" s="257" t="s">
        <v>218</v>
      </c>
      <c r="F511" s="257" t="s">
        <v>219</v>
      </c>
      <c r="G511" s="257" t="s">
        <v>220</v>
      </c>
      <c r="H511" s="257"/>
      <c r="I511" s="257">
        <v>2012</v>
      </c>
      <c r="J511" s="257"/>
      <c r="K511" s="257" t="s">
        <v>221</v>
      </c>
      <c r="L511" s="257"/>
      <c r="M511" s="257" t="s">
        <v>3070</v>
      </c>
      <c r="N511" s="257" t="s">
        <v>222</v>
      </c>
      <c r="O511" s="275" t="s">
        <v>223</v>
      </c>
      <c r="P511" s="257"/>
      <c r="Q511" s="257" t="s">
        <v>224</v>
      </c>
      <c r="R511" s="258" t="s">
        <v>225</v>
      </c>
      <c r="S511" s="256" t="s">
        <v>226</v>
      </c>
      <c r="T511" s="257" t="s">
        <v>228</v>
      </c>
      <c r="U511" s="257" t="s">
        <v>237</v>
      </c>
      <c r="V511" s="257">
        <v>0</v>
      </c>
      <c r="W511" s="257">
        <v>0</v>
      </c>
      <c r="X511" s="257">
        <v>0</v>
      </c>
      <c r="Y511" s="257">
        <v>1</v>
      </c>
      <c r="Z511" s="257">
        <v>0</v>
      </c>
      <c r="AA511" s="257">
        <v>0</v>
      </c>
      <c r="AB511" s="257">
        <v>0</v>
      </c>
      <c r="AC511" s="257">
        <v>0</v>
      </c>
      <c r="AD511" s="257">
        <v>0</v>
      </c>
      <c r="AE511" s="257">
        <v>0</v>
      </c>
      <c r="AF511" s="257">
        <v>0</v>
      </c>
      <c r="AG511" s="257">
        <v>0</v>
      </c>
      <c r="AH511" s="257">
        <v>0</v>
      </c>
      <c r="AI511" s="257">
        <v>0</v>
      </c>
      <c r="AJ511" s="257">
        <v>0</v>
      </c>
      <c r="AK511" s="257">
        <v>0</v>
      </c>
      <c r="AL511" s="257">
        <v>0</v>
      </c>
      <c r="AM511" s="257">
        <v>0</v>
      </c>
      <c r="AN511" s="257">
        <v>0</v>
      </c>
      <c r="AO511" s="257">
        <v>0</v>
      </c>
      <c r="AP511" s="257">
        <v>0</v>
      </c>
      <c r="AQ511" s="257">
        <v>0</v>
      </c>
      <c r="AR511" s="257">
        <v>0</v>
      </c>
      <c r="AS511" s="257">
        <v>0</v>
      </c>
      <c r="AT511" s="257">
        <v>0</v>
      </c>
      <c r="AU511" s="257">
        <v>0</v>
      </c>
      <c r="AV511" s="257">
        <v>0</v>
      </c>
      <c r="AW511" s="257">
        <v>0</v>
      </c>
      <c r="AX511" s="277">
        <v>1</v>
      </c>
      <c r="AY511" s="277">
        <v>1</v>
      </c>
      <c r="AZ511" s="257">
        <v>1</v>
      </c>
      <c r="BA511" s="257">
        <v>0</v>
      </c>
      <c r="BB511" s="257">
        <v>0</v>
      </c>
      <c r="BC511" s="257">
        <v>0</v>
      </c>
      <c r="BD511" s="257">
        <v>0</v>
      </c>
      <c r="BE511" s="257" t="s">
        <v>91</v>
      </c>
      <c r="BF511" s="2" t="str" cm="1">
        <f t="array" ref="BF511">IF(COUNTIF(AZ511:BB511,"&lt;&gt;0")=1,INDEX($V$4:$AW$4,MATCH(TRUE,INDEX($V511:$AW511&lt;&gt;0,),0)),IF(COUNTIF(AZ511:BB511,"&lt;&gt;0")=0,INDEX($AM$4:$AW$4,MATCH(1,$AM511:$AW511,0)),"Multiple strategies"))</f>
        <v>Silviculture for removals</v>
      </c>
      <c r="BG511" s="278" t="s">
        <v>229</v>
      </c>
      <c r="BH511" s="257" t="s">
        <v>230</v>
      </c>
      <c r="BI511" s="279" t="s">
        <v>3071</v>
      </c>
      <c r="BJ511" s="276" t="s">
        <v>231</v>
      </c>
      <c r="BK511" s="257">
        <v>58.199966019999998</v>
      </c>
      <c r="BL511" s="257">
        <v>62.093385429999998</v>
      </c>
      <c r="BM511" s="276">
        <v>1.0668972797795457</v>
      </c>
      <c r="BN511" s="257">
        <v>3.8934194099999999</v>
      </c>
      <c r="BO511" s="276">
        <v>7.9457538979591833</v>
      </c>
      <c r="BP511" s="276" t="s">
        <v>232</v>
      </c>
      <c r="BQ511" s="279" t="s">
        <v>3071</v>
      </c>
      <c r="BR511" s="276" t="s">
        <v>233</v>
      </c>
      <c r="BS511" s="257">
        <v>-9.137844007</v>
      </c>
      <c r="BT511" s="257">
        <v>-8.7761541919999999</v>
      </c>
      <c r="BU511" s="259">
        <v>0.96041847346891351</v>
      </c>
      <c r="BV511" s="257">
        <v>0.36168981500000008</v>
      </c>
      <c r="BW511" s="257"/>
      <c r="BX511" s="257">
        <v>3.616898150000001E-4</v>
      </c>
      <c r="BY511" s="257">
        <v>4.5519886425490453E-5</v>
      </c>
      <c r="BZ511" s="257">
        <v>0</v>
      </c>
      <c r="CA511" s="257">
        <v>0</v>
      </c>
      <c r="CB511" s="257">
        <v>0</v>
      </c>
      <c r="CC511" s="257">
        <v>0</v>
      </c>
      <c r="CD511" s="257">
        <v>0</v>
      </c>
      <c r="CE511" s="257">
        <v>0</v>
      </c>
      <c r="CF511" s="257">
        <v>0</v>
      </c>
      <c r="CG511" s="257">
        <v>0</v>
      </c>
      <c r="CH511" s="257">
        <v>0</v>
      </c>
      <c r="CI511" s="257">
        <v>0</v>
      </c>
      <c r="CJ511" s="257">
        <v>0</v>
      </c>
      <c r="CK511" s="257">
        <v>0</v>
      </c>
      <c r="CL511" s="257">
        <v>0</v>
      </c>
      <c r="CM511" s="257">
        <v>0</v>
      </c>
      <c r="CN511" s="257" t="s">
        <v>3072</v>
      </c>
      <c r="CO511" s="257">
        <v>58.199966019999998</v>
      </c>
      <c r="CP511" s="257">
        <v>62.093385429999998</v>
      </c>
      <c r="CQ511" s="257">
        <v>7.9457538979591833</v>
      </c>
      <c r="CR511" s="257">
        <v>-9.137844007</v>
      </c>
      <c r="CS511" s="257">
        <v>-8.7761541919999999</v>
      </c>
      <c r="CT511" s="257">
        <v>3.616898150000001E-4</v>
      </c>
      <c r="CU511" s="257">
        <v>4.5519886425490453E-5</v>
      </c>
      <c r="CV511" s="258">
        <v>3.9581526531086479E-2</v>
      </c>
      <c r="CW511" s="256" t="s">
        <v>234</v>
      </c>
      <c r="CX511" s="257" t="s">
        <v>3073</v>
      </c>
      <c r="CY511" s="257" t="s">
        <v>235</v>
      </c>
      <c r="CZ511" s="257"/>
      <c r="DA511" s="276"/>
      <c r="DB511" s="276">
        <v>80</v>
      </c>
      <c r="DC511" s="257" t="s">
        <v>3074</v>
      </c>
      <c r="DD511" s="257">
        <v>0</v>
      </c>
      <c r="DE511" s="257">
        <v>1</v>
      </c>
      <c r="DF511" s="257">
        <v>0</v>
      </c>
      <c r="DG511" s="257">
        <v>0</v>
      </c>
      <c r="DH511" s="257"/>
      <c r="DI511" s="257">
        <v>1</v>
      </c>
      <c r="DJ511" s="257" t="s">
        <v>173</v>
      </c>
      <c r="DK511" s="257">
        <v>0</v>
      </c>
      <c r="DL511" s="257" t="s">
        <v>180</v>
      </c>
      <c r="DM511" s="257">
        <v>0</v>
      </c>
      <c r="DN511" s="257">
        <v>0</v>
      </c>
      <c r="DO511" s="257">
        <v>0</v>
      </c>
      <c r="DP511" s="276">
        <v>0</v>
      </c>
      <c r="DQ511" s="276">
        <v>0</v>
      </c>
      <c r="DR511" s="276">
        <v>0</v>
      </c>
      <c r="DS511" s="276">
        <v>0</v>
      </c>
      <c r="DT511" s="257">
        <v>0</v>
      </c>
      <c r="DU511" s="276" t="s">
        <v>962</v>
      </c>
      <c r="DV511" s="276">
        <v>1</v>
      </c>
      <c r="DW511" s="276">
        <v>1</v>
      </c>
      <c r="DX511" s="276">
        <v>1</v>
      </c>
      <c r="DY511" s="276">
        <v>0</v>
      </c>
      <c r="DZ511" s="257">
        <v>0</v>
      </c>
      <c r="EA511" s="276">
        <v>0</v>
      </c>
      <c r="EB511" s="276">
        <v>1</v>
      </c>
      <c r="EC511" s="276">
        <v>1</v>
      </c>
      <c r="ED511" s="276">
        <v>0</v>
      </c>
      <c r="EE511" s="276">
        <v>0</v>
      </c>
      <c r="EF511" s="257">
        <v>1</v>
      </c>
      <c r="EG511" s="276">
        <v>0</v>
      </c>
      <c r="EH511" s="257">
        <v>0</v>
      </c>
      <c r="EI511" s="258">
        <v>0</v>
      </c>
      <c r="EJ511" s="256"/>
      <c r="EK511" t="str">
        <f>IF(AND(AND(AND(OR($DX511=1,$DW511=1),OR($EC511=1,$EA511=1)),SUM($DV511:$DZ511,$EF511)&gt;=4),SUM($EA511:$EE511)&gt;=2),"Whole sector","")</f>
        <v>Whole sector</v>
      </c>
      <c r="EL511" t="str">
        <f>IF(AND(AND(OR($DX511=1,$DW511=1),AND($EC511=0,$EA511=0)),SUM($DV511:$DZ511,$EF511)&gt;=4),"Ecosystem approach","")</f>
        <v/>
      </c>
      <c r="EM511" s="258" t="s">
        <v>544</v>
      </c>
      <c r="EN511" s="257" t="s">
        <v>236</v>
      </c>
      <c r="EO511" s="257"/>
      <c r="EP511" t="str">
        <f>IF(ISNUMBER(BU511),IF(ABS(BU511-[2]QC_indicators!$B$2)&gt;3*[2]QC_indicators!$C$2,"C ratio",IF(ISNUMBER(BY511),IF(ABS(BY511-[2]QC_indicators!$B$1)&gt;3*[2]QC_indicators!$C$1,"DF","no"))),IF(ISNUMBER(BY511),IF(ABS(BY511-[2]QC_indicators!$B$1)&gt;3*[2]QC_indicators!$C$1,"DF","no")))</f>
        <v>no</v>
      </c>
      <c r="EQ511" s="280"/>
      <c r="ER511" s="280"/>
      <c r="ES511" s="280"/>
    </row>
    <row r="512" spans="1:149" ht="15" customHeight="1">
      <c r="A512" s="256" t="s">
        <v>214</v>
      </c>
      <c r="B512" s="257" t="s">
        <v>215</v>
      </c>
      <c r="C512" s="257" t="s">
        <v>216</v>
      </c>
      <c r="D512" s="257" t="s">
        <v>217</v>
      </c>
      <c r="E512" s="257" t="s">
        <v>218</v>
      </c>
      <c r="F512" s="257" t="s">
        <v>219</v>
      </c>
      <c r="G512" s="257" t="s">
        <v>220</v>
      </c>
      <c r="H512" s="257"/>
      <c r="I512" s="257">
        <v>2012</v>
      </c>
      <c r="J512" s="257"/>
      <c r="K512" s="257" t="s">
        <v>221</v>
      </c>
      <c r="L512" s="257"/>
      <c r="M512" s="257" t="s">
        <v>3070</v>
      </c>
      <c r="N512" s="257" t="s">
        <v>222</v>
      </c>
      <c r="O512" s="275" t="s">
        <v>223</v>
      </c>
      <c r="P512" s="257"/>
      <c r="Q512" s="257" t="s">
        <v>224</v>
      </c>
      <c r="R512" s="258" t="s">
        <v>225</v>
      </c>
      <c r="S512" s="256" t="s">
        <v>226</v>
      </c>
      <c r="T512" s="257" t="s">
        <v>228</v>
      </c>
      <c r="U512" s="257" t="s">
        <v>227</v>
      </c>
      <c r="V512" s="257">
        <v>0</v>
      </c>
      <c r="W512" s="257">
        <v>0</v>
      </c>
      <c r="X512" s="257">
        <v>0</v>
      </c>
      <c r="Y512" s="257">
        <v>1</v>
      </c>
      <c r="Z512" s="257">
        <v>0</v>
      </c>
      <c r="AA512" s="257">
        <v>0</v>
      </c>
      <c r="AB512" s="257">
        <v>0</v>
      </c>
      <c r="AC512" s="257">
        <v>0</v>
      </c>
      <c r="AD512" s="257">
        <v>0</v>
      </c>
      <c r="AE512" s="257">
        <v>0</v>
      </c>
      <c r="AF512" s="257">
        <v>0</v>
      </c>
      <c r="AG512" s="257">
        <v>0</v>
      </c>
      <c r="AH512" s="257">
        <v>0</v>
      </c>
      <c r="AI512" s="257">
        <v>0</v>
      </c>
      <c r="AJ512" s="257">
        <v>0</v>
      </c>
      <c r="AK512" s="257">
        <v>0</v>
      </c>
      <c r="AL512" s="257">
        <v>0</v>
      </c>
      <c r="AM512" s="257">
        <v>0</v>
      </c>
      <c r="AN512" s="257">
        <v>0</v>
      </c>
      <c r="AO512" s="257">
        <v>0</v>
      </c>
      <c r="AP512" s="257">
        <v>0</v>
      </c>
      <c r="AQ512" s="257">
        <v>0</v>
      </c>
      <c r="AR512" s="257">
        <v>0</v>
      </c>
      <c r="AS512" s="257">
        <v>0</v>
      </c>
      <c r="AT512" s="257">
        <v>0</v>
      </c>
      <c r="AU512" s="257">
        <v>0</v>
      </c>
      <c r="AV512" s="257">
        <v>0</v>
      </c>
      <c r="AW512" s="257">
        <v>0</v>
      </c>
      <c r="AX512" s="277">
        <v>1</v>
      </c>
      <c r="AY512" s="277">
        <v>1</v>
      </c>
      <c r="AZ512" s="257">
        <v>1</v>
      </c>
      <c r="BA512" s="257">
        <v>0</v>
      </c>
      <c r="BB512" s="257">
        <v>0</v>
      </c>
      <c r="BC512" s="257">
        <v>0</v>
      </c>
      <c r="BD512" s="257">
        <v>0</v>
      </c>
      <c r="BE512" s="257" t="s">
        <v>91</v>
      </c>
      <c r="BF512" s="2" t="str" cm="1">
        <f t="array" ref="BF512">IF(COUNTIF(AZ512:BB512,"&lt;&gt;0")=1,INDEX($V$4:$AW$4,MATCH(TRUE,INDEX($V512:$AW512&lt;&gt;0,),0)),IF(COUNTIF(AZ512:BB512,"&lt;&gt;0")=0,INDEX($AM$4:$AW$4,MATCH(1,$AM512:$AW512,0)),"Multiple strategies"))</f>
        <v>Silviculture for removals</v>
      </c>
      <c r="BG512" s="278" t="s">
        <v>229</v>
      </c>
      <c r="BH512" s="257" t="s">
        <v>230</v>
      </c>
      <c r="BI512" s="279" t="s">
        <v>3071</v>
      </c>
      <c r="BJ512" s="276" t="s">
        <v>231</v>
      </c>
      <c r="BK512" s="257">
        <v>56.739926740000001</v>
      </c>
      <c r="BL512" s="257">
        <v>60.054679620000002</v>
      </c>
      <c r="BM512" s="276">
        <v>1.0584201120877232</v>
      </c>
      <c r="BN512" s="257">
        <v>3.3147528800000003</v>
      </c>
      <c r="BO512" s="276">
        <v>6.7648017959183679</v>
      </c>
      <c r="BP512" s="276" t="s">
        <v>232</v>
      </c>
      <c r="BQ512" s="279" t="s">
        <v>3071</v>
      </c>
      <c r="BR512" s="276" t="s">
        <v>233</v>
      </c>
      <c r="BS512" s="257">
        <v>-9.5324096189999992</v>
      </c>
      <c r="BT512" s="257">
        <v>-9.0244200239999994</v>
      </c>
      <c r="BU512" s="259">
        <v>0.94670921463682434</v>
      </c>
      <c r="BV512" s="257">
        <v>0.50798959499999974</v>
      </c>
      <c r="BW512" s="257"/>
      <c r="BX512" s="257">
        <v>5.0798959499999971E-4</v>
      </c>
      <c r="BY512" s="257">
        <v>7.5093049334645982E-5</v>
      </c>
      <c r="BZ512" s="257">
        <v>0</v>
      </c>
      <c r="CA512" s="257">
        <v>0</v>
      </c>
      <c r="CB512" s="257">
        <v>0</v>
      </c>
      <c r="CC512" s="257">
        <v>0</v>
      </c>
      <c r="CD512" s="257">
        <v>0</v>
      </c>
      <c r="CE512" s="257">
        <v>0</v>
      </c>
      <c r="CF512" s="257">
        <v>0</v>
      </c>
      <c r="CG512" s="257">
        <v>0</v>
      </c>
      <c r="CH512" s="257">
        <v>0</v>
      </c>
      <c r="CI512" s="257">
        <v>0</v>
      </c>
      <c r="CJ512" s="257">
        <v>0</v>
      </c>
      <c r="CK512" s="257">
        <v>0</v>
      </c>
      <c r="CL512" s="257">
        <v>0</v>
      </c>
      <c r="CM512" s="257">
        <v>0</v>
      </c>
      <c r="CN512" s="257" t="s">
        <v>3072</v>
      </c>
      <c r="CO512" s="257">
        <v>56.739926740000001</v>
      </c>
      <c r="CP512" s="257">
        <v>60.054679620000002</v>
      </c>
      <c r="CQ512" s="257">
        <v>6.7648017959183679</v>
      </c>
      <c r="CR512" s="257">
        <v>-9.5324096189999992</v>
      </c>
      <c r="CS512" s="257">
        <v>-9.0244200239999994</v>
      </c>
      <c r="CT512" s="257">
        <v>5.0798959499999971E-4</v>
      </c>
      <c r="CU512" s="257">
        <v>7.5093049334645982E-5</v>
      </c>
      <c r="CV512" s="258">
        <v>5.3290785363175629E-2</v>
      </c>
      <c r="CW512" s="256" t="s">
        <v>234</v>
      </c>
      <c r="CX512" s="257" t="s">
        <v>3073</v>
      </c>
      <c r="CY512" s="257" t="s">
        <v>235</v>
      </c>
      <c r="CZ512" s="257"/>
      <c r="DA512" s="276"/>
      <c r="DB512" s="276">
        <v>80</v>
      </c>
      <c r="DC512" s="257" t="s">
        <v>3074</v>
      </c>
      <c r="DD512" s="257">
        <v>0</v>
      </c>
      <c r="DE512" s="257">
        <v>1</v>
      </c>
      <c r="DF512" s="257">
        <v>0</v>
      </c>
      <c r="DG512" s="257">
        <v>0</v>
      </c>
      <c r="DH512" s="257"/>
      <c r="DI512" s="257">
        <v>1</v>
      </c>
      <c r="DJ512" s="257" t="s">
        <v>173</v>
      </c>
      <c r="DK512" s="257">
        <v>0</v>
      </c>
      <c r="DL512" s="257" t="s">
        <v>180</v>
      </c>
      <c r="DM512" s="257">
        <v>0</v>
      </c>
      <c r="DN512" s="257">
        <v>0</v>
      </c>
      <c r="DO512" s="257">
        <v>0</v>
      </c>
      <c r="DP512" s="276">
        <v>0</v>
      </c>
      <c r="DQ512" s="276">
        <v>0</v>
      </c>
      <c r="DR512" s="276">
        <v>0</v>
      </c>
      <c r="DS512" s="276">
        <v>0</v>
      </c>
      <c r="DT512" s="257">
        <v>0</v>
      </c>
      <c r="DU512" s="276" t="s">
        <v>962</v>
      </c>
      <c r="DV512" s="276">
        <v>1</v>
      </c>
      <c r="DW512" s="276">
        <v>1</v>
      </c>
      <c r="DX512" s="276">
        <v>1</v>
      </c>
      <c r="DY512" s="276">
        <v>0</v>
      </c>
      <c r="DZ512" s="257">
        <v>0</v>
      </c>
      <c r="EA512" s="276">
        <v>0</v>
      </c>
      <c r="EB512" s="276">
        <v>1</v>
      </c>
      <c r="EC512" s="276">
        <v>1</v>
      </c>
      <c r="ED512" s="276">
        <v>0</v>
      </c>
      <c r="EE512" s="276">
        <v>0</v>
      </c>
      <c r="EF512" s="257">
        <v>1</v>
      </c>
      <c r="EG512" s="276">
        <v>0</v>
      </c>
      <c r="EH512" s="257">
        <v>0</v>
      </c>
      <c r="EI512" s="258">
        <v>0</v>
      </c>
      <c r="EJ512" s="256"/>
      <c r="EK512" t="str">
        <f>IF(AND(AND(AND(OR($DX512=1,$DW512=1),OR($EC512=1,$EA512=1)),SUM($DV512:$DZ512,$EF512)&gt;=4),SUM($EA512:$EE512)&gt;=2),"Whole sector","")</f>
        <v>Whole sector</v>
      </c>
      <c r="EL512" t="str">
        <f>IF(AND(AND(OR($DX512=1,$DW512=1),AND($EC512=0,$EA512=0)),SUM($DV512:$DZ512,$EF512)&gt;=4),"Ecosystem approach","")</f>
        <v/>
      </c>
      <c r="EM512" s="258" t="s">
        <v>544</v>
      </c>
      <c r="EN512" s="257" t="s">
        <v>236</v>
      </c>
      <c r="EO512" s="257"/>
      <c r="EP512" t="str">
        <f>IF(ISNUMBER(BU512),IF(ABS(BU512-[2]QC_indicators!$B$2)&gt;3*[2]QC_indicators!$C$2,"C ratio",IF(ISNUMBER(BY512),IF(ABS(BY512-[2]QC_indicators!$B$1)&gt;3*[2]QC_indicators!$C$1,"DF","no"))),IF(ISNUMBER(BY512),IF(ABS(BY512-[2]QC_indicators!$B$1)&gt;3*[2]QC_indicators!$C$1,"DF","no")))</f>
        <v>no</v>
      </c>
      <c r="EQ512" s="280"/>
      <c r="ER512" s="280"/>
      <c r="ES512" s="280"/>
    </row>
    <row r="513" spans="1:151" ht="15" customHeight="1">
      <c r="A513" s="1" t="s">
        <v>247</v>
      </c>
      <c r="B513" t="s">
        <v>641</v>
      </c>
      <c r="C513" t="s">
        <v>642</v>
      </c>
      <c r="D513" t="s">
        <v>643</v>
      </c>
      <c r="E513" t="s">
        <v>644</v>
      </c>
      <c r="F513" t="s">
        <v>645</v>
      </c>
      <c r="G513" t="s">
        <v>253</v>
      </c>
      <c r="H513" t="s">
        <v>254</v>
      </c>
      <c r="I513">
        <v>2014</v>
      </c>
      <c r="J513">
        <v>76</v>
      </c>
      <c r="K513" t="s">
        <v>646</v>
      </c>
      <c r="M513" t="str">
        <f>LEFT($D513,FIND(",",$D513)-1)&amp;"_"&amp;I513&amp;L513</f>
        <v>Dodoo_2014</v>
      </c>
      <c r="N513" t="s">
        <v>222</v>
      </c>
      <c r="O513" s="145" t="s">
        <v>223</v>
      </c>
      <c r="Q513" t="s">
        <v>256</v>
      </c>
      <c r="R513" s="255" t="s">
        <v>225</v>
      </c>
      <c r="S513" s="1" t="s">
        <v>647</v>
      </c>
      <c r="T513" t="s">
        <v>652</v>
      </c>
      <c r="U513" t="s">
        <v>653</v>
      </c>
      <c r="V513">
        <v>0</v>
      </c>
      <c r="W513">
        <v>0</v>
      </c>
      <c r="X513">
        <v>0</v>
      </c>
      <c r="Y513">
        <v>0</v>
      </c>
      <c r="Z513">
        <v>0</v>
      </c>
      <c r="AA513">
        <v>0</v>
      </c>
      <c r="AB513">
        <v>0</v>
      </c>
      <c r="AC513">
        <v>0</v>
      </c>
      <c r="AD513">
        <v>0</v>
      </c>
      <c r="AE513">
        <v>0</v>
      </c>
      <c r="AF513">
        <v>0</v>
      </c>
      <c r="AG513">
        <v>0</v>
      </c>
      <c r="AH513">
        <v>0</v>
      </c>
      <c r="AI513">
        <v>0</v>
      </c>
      <c r="AJ513">
        <v>0</v>
      </c>
      <c r="AK513">
        <v>1</v>
      </c>
      <c r="AL513">
        <v>0</v>
      </c>
      <c r="AM513">
        <v>0</v>
      </c>
      <c r="AN513">
        <v>0</v>
      </c>
      <c r="AO513">
        <v>0</v>
      </c>
      <c r="AP513">
        <v>0</v>
      </c>
      <c r="AQ513">
        <v>0</v>
      </c>
      <c r="AR513">
        <v>0</v>
      </c>
      <c r="AS513">
        <v>0</v>
      </c>
      <c r="AT513">
        <v>0</v>
      </c>
      <c r="AU513">
        <v>0</v>
      </c>
      <c r="AV513">
        <v>0</v>
      </c>
      <c r="AW513">
        <v>0</v>
      </c>
      <c r="AX513" s="141">
        <f>COUNTIF(V513:AW513,"&lt;&gt;0")</f>
        <v>1</v>
      </c>
      <c r="AY513" s="141">
        <f>COUNTIF(V513:AL513,"&lt;&gt;0")</f>
        <v>1</v>
      </c>
      <c r="AZ513">
        <f>COUNTIF(V513:AC513,"&lt;&gt;0")</f>
        <v>0</v>
      </c>
      <c r="BA513">
        <f>COUNTIF(AD513:AI513,"&lt;&gt;0")</f>
        <v>0</v>
      </c>
      <c r="BB513">
        <f>COUNTIF(AJ513:AL513,"&lt;&gt;0")</f>
        <v>1</v>
      </c>
      <c r="BC513">
        <f>COUNTIF(AS513:AW513,"&lt;&gt;0")</f>
        <v>0</v>
      </c>
      <c r="BD513">
        <f>COUNTIF(AM513:AR513,"&lt;&gt;0")</f>
        <v>0</v>
      </c>
      <c r="BE513" t="str">
        <f t="array" ref="BE513">IF(AY513=1,INDEX($V$7:$AL$7,MATCH(TRUE,INDEX($V513:$AW513&lt;&gt;0,),0)),IF(AY513=0,INDEX($AM$7:$AW$7,MATCH(1,$AM513:$AW513,0)),IF(BF513="Multiple strategies","mixed drivers",IF(BF513="Supply chain","multiple supply","multiple silviculture"))))</f>
        <v>technologies/design switch</v>
      </c>
      <c r="BF513" s="2" t="str" cm="1">
        <f t="array" ref="BF513">IF(COUNTIF(AZ513:BB513,"&lt;&gt;0")=1,INDEX($V$4:$AW$4,MATCH(TRUE,INDEX($V513:$AW513&lt;&gt;0,),0)),IF(COUNTIF(AZ513:BB513,"&lt;&gt;0")=0,INDEX($AM$4:$AW$4,MATCH(1,$AM513:$AW513,0)),"Multiple strategies"))</f>
        <v>Technology</v>
      </c>
      <c r="BG513" s="1" t="s">
        <v>229</v>
      </c>
      <c r="BH513" t="s">
        <v>650</v>
      </c>
      <c r="BI513" s="260" t="s">
        <v>3308</v>
      </c>
      <c r="BJ513" t="s">
        <v>651</v>
      </c>
      <c r="BK513" s="260">
        <f>55+21+10+5+5</f>
        <v>96</v>
      </c>
      <c r="BL513" s="260">
        <v>124</v>
      </c>
      <c r="BN513">
        <f>BL513-BK513</f>
        <v>28</v>
      </c>
      <c r="BO513">
        <f>BN513*t_to_m3</f>
        <v>57.142857142857146</v>
      </c>
      <c r="BP513" t="s">
        <v>232</v>
      </c>
      <c r="BQ513" s="260" t="s">
        <v>3310</v>
      </c>
      <c r="BR513" t="s">
        <v>262</v>
      </c>
      <c r="BS513">
        <v>33</v>
      </c>
      <c r="BT513">
        <v>39</v>
      </c>
      <c r="BU513" s="144">
        <v>1.1818181818181819</v>
      </c>
      <c r="BV513">
        <v>6</v>
      </c>
      <c r="BX513">
        <f>BV513/1000</f>
        <v>6.0000000000000001E-3</v>
      </c>
      <c r="BY513">
        <f>IFERROR(BX513/BO513,"")</f>
        <v>1.0499999999999999E-4</v>
      </c>
      <c r="BZ513">
        <v>0</v>
      </c>
      <c r="CA513">
        <v>0</v>
      </c>
      <c r="CB513">
        <v>0</v>
      </c>
      <c r="CC513">
        <v>0</v>
      </c>
      <c r="CD513">
        <v>0</v>
      </c>
      <c r="CE513">
        <v>0</v>
      </c>
      <c r="CF513">
        <v>0</v>
      </c>
      <c r="CG513">
        <v>0</v>
      </c>
      <c r="CH513">
        <v>0</v>
      </c>
      <c r="CI513">
        <v>0</v>
      </c>
      <c r="CJ513">
        <v>0</v>
      </c>
      <c r="CK513">
        <v>0</v>
      </c>
      <c r="CL513">
        <v>0</v>
      </c>
      <c r="CM513">
        <v>0</v>
      </c>
      <c r="CN513" t="str">
        <f>IF($BL513&lt;$BK513,"refNeedCorrection","refOK")</f>
        <v>refOK</v>
      </c>
      <c r="CO513">
        <f>IF($CN513="refOK",$BK513,$BL513)</f>
        <v>96</v>
      </c>
      <c r="CP513">
        <f>IF($CN513="refOK",$BL513,$BK513)</f>
        <v>124</v>
      </c>
      <c r="CQ513">
        <f>IF($CN513="refOK",$BO513,-$BO513)</f>
        <v>57.142857142857146</v>
      </c>
      <c r="CR513">
        <f>IF($CN513="refOK",$BS513,$BT513)*IF($BP513="Emissions positive",-1,1)</f>
        <v>33</v>
      </c>
      <c r="CS513">
        <f>IF($CN513="refOK",$BT513,$BS513)*IF($BP513="Emissions positive",-1,1)</f>
        <v>39</v>
      </c>
      <c r="CT513">
        <f>IF($CN513="refNeedCorrection",-BX513,BX513)*IF($BP513="Emissions positive",-1,1)</f>
        <v>6.0000000000000001E-3</v>
      </c>
      <c r="CU513">
        <f>IFERROR(CT513/CQ513,"")</f>
        <v>1.0499999999999999E-4</v>
      </c>
      <c r="CV513" s="2">
        <f>IFERROR((CS513-CR513)/ABS(CR513),"")</f>
        <v>0.18181818181818182</v>
      </c>
      <c r="CW513" s="1" t="s">
        <v>263</v>
      </c>
      <c r="CX513" t="str">
        <f>IF(OR($CW513="prd",$CW513="std",$CW513="cit"),"loc",IF(OR($CW513="eur",$CW513="reg",$CW513="coy"),"reg",$CW513))</f>
        <v>loc</v>
      </c>
      <c r="CY513" t="s">
        <v>444</v>
      </c>
      <c r="DB513">
        <v>50</v>
      </c>
      <c r="DC513" t="str">
        <f>IF(DB513=0,"0",IF(AND(DB513&gt;=1,DB513&lt;=30),"1-30",IF(AND(DB513&gt;30,DB513&lt;=70),"31-70",IF(AND(DB513&gt;70,DB513&lt;=100),"71-100",IF(DB513&gt;100,"+100")))))</f>
        <v>31-70</v>
      </c>
      <c r="DD513">
        <v>0</v>
      </c>
      <c r="DE513">
        <v>0</v>
      </c>
      <c r="DF513">
        <v>0</v>
      </c>
      <c r="DG513">
        <v>1</v>
      </c>
      <c r="DI513">
        <f>SUM(DD513:DG513)</f>
        <v>1</v>
      </c>
      <c r="DJ513" t="str">
        <f>IF(DI513=1,INDEX($DD$7:$DG$7,MATCH(1,$DD513:$DG513,0)),"mixedProduct")</f>
        <v>TimberInput</v>
      </c>
      <c r="DK513">
        <f>IF(DD513=1,DK$7,0)</f>
        <v>0</v>
      </c>
      <c r="DL513">
        <f>IF(DE513=1,DL$7,0)</f>
        <v>0</v>
      </c>
      <c r="DM513">
        <f>IF(DF513=1,DM$7,0)</f>
        <v>0</v>
      </c>
      <c r="DN513" t="str">
        <f>IF(DG513=1,DN$7,0)</f>
        <v>Timber</v>
      </c>
      <c r="DO513">
        <v>0</v>
      </c>
      <c r="DP513">
        <v>0</v>
      </c>
      <c r="DQ513">
        <v>0</v>
      </c>
      <c r="DR513">
        <v>0</v>
      </c>
      <c r="DS513">
        <v>0</v>
      </c>
      <c r="DT513">
        <f>SUM(DO513:DP513)</f>
        <v>0</v>
      </c>
      <c r="DU513" s="143" t="str">
        <f>IF(DO513=1,"self-calculated DF",IF(DP513=1,"external DF used","explicit C balance"))</f>
        <v>explicit C balance</v>
      </c>
      <c r="DV513">
        <v>0</v>
      </c>
      <c r="DW513">
        <v>0</v>
      </c>
      <c r="DX513">
        <v>0</v>
      </c>
      <c r="DY513">
        <v>1</v>
      </c>
      <c r="DZ513">
        <v>0</v>
      </c>
      <c r="EA513" s="143">
        <v>0</v>
      </c>
      <c r="EB513">
        <v>0</v>
      </c>
      <c r="EC513">
        <v>1</v>
      </c>
      <c r="ED513">
        <v>0</v>
      </c>
      <c r="EE513">
        <v>0</v>
      </c>
      <c r="EF513">
        <v>0</v>
      </c>
      <c r="EG513">
        <v>0</v>
      </c>
      <c r="EH513">
        <v>0</v>
      </c>
      <c r="EI513" s="2">
        <v>0</v>
      </c>
      <c r="EK513" t="str">
        <f>IF(AND(AND(AND(OR($DX513=1,$DW513=1),OR($EC513=1,$EA513=1)),SUM($DV513:$DZ513,$EF513)&gt;=4),SUM($EA513:$EE513)&gt;=2),"Whole sector","")</f>
        <v/>
      </c>
      <c r="EL513" t="str">
        <f>IF(AND(AND(OR($DX513=1,$DW513=1),AND($EC513=0,$EA513=0)),SUM($DV513:$DZ513,$EF513)&gt;=4),"Ecosystem approach","")</f>
        <v/>
      </c>
      <c r="EM513" s="2" t="str">
        <f>IF(AND(AND(AND($DX513=0,$DW513=0),OR($EC513=1,$EA513=1)),SUM($EB513:$EE513)&gt;=2),"Technology approach","")</f>
        <v/>
      </c>
      <c r="EP513" t="str">
        <f>IF(ISNUMBER(BU513),IF(ABS(BU513-[4]QC_indicators!$B$2)&gt;3*[4]QC_indicators!$C$2,"C ratio",IF(ISNUMBER(BY513),IF(ABS(BY513-[4]QC_indicators!$B$1)&gt;3*[4]QC_indicators!$C$1,"DF","no"))),IF(ISNUMBER(BY513),IF(ABS(BY513-[4]QC_indicators!$B$1)&gt;3*[4]QC_indicators!$C$1,"DF","no")))</f>
        <v>no</v>
      </c>
      <c r="ER513" s="149" t="s">
        <v>349</v>
      </c>
      <c r="ET513" s="264" t="s">
        <v>3273</v>
      </c>
    </row>
    <row r="514" spans="1:151" ht="15" customHeight="1">
      <c r="A514" s="256" t="s">
        <v>214</v>
      </c>
      <c r="B514" s="257" t="s">
        <v>215</v>
      </c>
      <c r="C514" s="257" t="s">
        <v>216</v>
      </c>
      <c r="D514" s="257" t="s">
        <v>217</v>
      </c>
      <c r="E514" s="257" t="s">
        <v>218</v>
      </c>
      <c r="F514" s="257" t="s">
        <v>219</v>
      </c>
      <c r="G514" s="257" t="s">
        <v>220</v>
      </c>
      <c r="H514" s="257"/>
      <c r="I514" s="257">
        <v>2012</v>
      </c>
      <c r="J514" s="257"/>
      <c r="K514" s="257" t="s">
        <v>221</v>
      </c>
      <c r="L514" s="257"/>
      <c r="M514" s="257" t="s">
        <v>3070</v>
      </c>
      <c r="N514" s="257" t="s">
        <v>222</v>
      </c>
      <c r="O514" s="275" t="s">
        <v>223</v>
      </c>
      <c r="P514" s="257"/>
      <c r="Q514" s="257" t="s">
        <v>224</v>
      </c>
      <c r="R514" s="258" t="s">
        <v>225</v>
      </c>
      <c r="S514" s="256" t="s">
        <v>226</v>
      </c>
      <c r="T514" s="257" t="s">
        <v>228</v>
      </c>
      <c r="U514" s="257" t="s">
        <v>227</v>
      </c>
      <c r="V514" s="257">
        <v>0</v>
      </c>
      <c r="W514" s="257">
        <v>0</v>
      </c>
      <c r="X514" s="257">
        <v>0</v>
      </c>
      <c r="Y514" s="257">
        <v>1</v>
      </c>
      <c r="Z514" s="257">
        <v>0</v>
      </c>
      <c r="AA514" s="257">
        <v>0</v>
      </c>
      <c r="AB514" s="257">
        <v>0</v>
      </c>
      <c r="AC514" s="257">
        <v>0</v>
      </c>
      <c r="AD514" s="257">
        <v>0</v>
      </c>
      <c r="AE514" s="257">
        <v>0</v>
      </c>
      <c r="AF514" s="257">
        <v>0</v>
      </c>
      <c r="AG514" s="257">
        <v>0</v>
      </c>
      <c r="AH514" s="257">
        <v>0</v>
      </c>
      <c r="AI514" s="257">
        <v>0</v>
      </c>
      <c r="AJ514" s="257">
        <v>0</v>
      </c>
      <c r="AK514" s="257">
        <v>0</v>
      </c>
      <c r="AL514" s="257">
        <v>0</v>
      </c>
      <c r="AM514" s="257">
        <v>0</v>
      </c>
      <c r="AN514" s="257">
        <v>0</v>
      </c>
      <c r="AO514" s="257">
        <v>0</v>
      </c>
      <c r="AP514" s="257">
        <v>0</v>
      </c>
      <c r="AQ514" s="257">
        <v>0</v>
      </c>
      <c r="AR514" s="257">
        <v>0</v>
      </c>
      <c r="AS514" s="257">
        <v>0</v>
      </c>
      <c r="AT514" s="257">
        <v>0</v>
      </c>
      <c r="AU514" s="257">
        <v>0</v>
      </c>
      <c r="AV514" s="257">
        <v>0</v>
      </c>
      <c r="AW514" s="257">
        <v>0</v>
      </c>
      <c r="AX514" s="277">
        <v>1</v>
      </c>
      <c r="AY514" s="277">
        <v>1</v>
      </c>
      <c r="AZ514" s="257">
        <v>1</v>
      </c>
      <c r="BA514" s="257">
        <v>0</v>
      </c>
      <c r="BB514" s="257">
        <v>0</v>
      </c>
      <c r="BC514" s="257">
        <v>0</v>
      </c>
      <c r="BD514" s="257">
        <v>0</v>
      </c>
      <c r="BE514" s="257" t="s">
        <v>91</v>
      </c>
      <c r="BF514" s="2" t="str" cm="1">
        <f t="array" ref="BF514">IF(COUNTIF(AZ514:BB514,"&lt;&gt;0")=1,INDEX($V$4:$AW$4,MATCH(TRUE,INDEX($V514:$AW514&lt;&gt;0,),0)),IF(COUNTIF(AZ514:BB514,"&lt;&gt;0")=0,INDEX($AM$4:$AW$4,MATCH(1,$AM514:$AW514,0)),"Multiple strategies"))</f>
        <v>Silviculture for removals</v>
      </c>
      <c r="BG514" s="278" t="s">
        <v>229</v>
      </c>
      <c r="BH514" s="257" t="s">
        <v>230</v>
      </c>
      <c r="BI514" s="279" t="s">
        <v>3071</v>
      </c>
      <c r="BJ514" s="276" t="s">
        <v>231</v>
      </c>
      <c r="BK514" s="257">
        <v>66.639750489999997</v>
      </c>
      <c r="BL514" s="257">
        <v>68.821883279999994</v>
      </c>
      <c r="BM514" s="276">
        <v>1.032745212488865</v>
      </c>
      <c r="BN514" s="257">
        <v>2.1821327899999972</v>
      </c>
      <c r="BO514" s="276">
        <v>4.4533322244897899</v>
      </c>
      <c r="BP514" s="276" t="s">
        <v>232</v>
      </c>
      <c r="BQ514" s="279" t="s">
        <v>3071</v>
      </c>
      <c r="BR514" s="276" t="s">
        <v>233</v>
      </c>
      <c r="BS514" s="257">
        <v>-9.4136546180000007</v>
      </c>
      <c r="BT514" s="257">
        <v>-8.9016064260000007</v>
      </c>
      <c r="BU514" s="259">
        <v>0.94560580212695455</v>
      </c>
      <c r="BV514" s="257">
        <v>0.51204819199999996</v>
      </c>
      <c r="BW514" s="257"/>
      <c r="BX514" s="257">
        <v>5.1204819199999997E-4</v>
      </c>
      <c r="BY514" s="257">
        <v>1.1498091006643107E-4</v>
      </c>
      <c r="BZ514" s="257">
        <v>0</v>
      </c>
      <c r="CA514" s="257">
        <v>0</v>
      </c>
      <c r="CB514" s="257">
        <v>0</v>
      </c>
      <c r="CC514" s="257">
        <v>0</v>
      </c>
      <c r="CD514" s="257">
        <v>0</v>
      </c>
      <c r="CE514" s="257">
        <v>0</v>
      </c>
      <c r="CF514" s="257">
        <v>0</v>
      </c>
      <c r="CG514" s="257">
        <v>0</v>
      </c>
      <c r="CH514" s="257">
        <v>0</v>
      </c>
      <c r="CI514" s="257">
        <v>0</v>
      </c>
      <c r="CJ514" s="257">
        <v>0</v>
      </c>
      <c r="CK514" s="257">
        <v>0</v>
      </c>
      <c r="CL514" s="257">
        <v>0</v>
      </c>
      <c r="CM514" s="257">
        <v>0</v>
      </c>
      <c r="CN514" s="257" t="s">
        <v>3072</v>
      </c>
      <c r="CO514" s="257">
        <v>66.639750489999997</v>
      </c>
      <c r="CP514" s="257">
        <v>68.821883279999994</v>
      </c>
      <c r="CQ514" s="257">
        <v>4.4533322244897899</v>
      </c>
      <c r="CR514" s="257">
        <v>-9.4136546180000007</v>
      </c>
      <c r="CS514" s="257">
        <v>-8.9016064260000007</v>
      </c>
      <c r="CT514" s="257">
        <v>5.1204819199999997E-4</v>
      </c>
      <c r="CU514" s="257">
        <v>1.1498091006643107E-4</v>
      </c>
      <c r="CV514" s="258">
        <v>5.4394197873045433E-2</v>
      </c>
      <c r="CW514" s="256" t="s">
        <v>234</v>
      </c>
      <c r="CX514" s="257" t="s">
        <v>3073</v>
      </c>
      <c r="CY514" s="257" t="s">
        <v>235</v>
      </c>
      <c r="CZ514" s="257"/>
      <c r="DA514" s="276"/>
      <c r="DB514" s="276">
        <v>80</v>
      </c>
      <c r="DC514" s="257" t="s">
        <v>3074</v>
      </c>
      <c r="DD514" s="257">
        <v>0</v>
      </c>
      <c r="DE514" s="257">
        <v>1</v>
      </c>
      <c r="DF514" s="257">
        <v>0</v>
      </c>
      <c r="DG514" s="257">
        <v>0</v>
      </c>
      <c r="DH514" s="257"/>
      <c r="DI514" s="257">
        <v>1</v>
      </c>
      <c r="DJ514" s="257" t="s">
        <v>173</v>
      </c>
      <c r="DK514" s="257">
        <v>0</v>
      </c>
      <c r="DL514" s="257" t="s">
        <v>180</v>
      </c>
      <c r="DM514" s="257">
        <v>0</v>
      </c>
      <c r="DN514" s="257">
        <v>0</v>
      </c>
      <c r="DO514" s="257">
        <v>0</v>
      </c>
      <c r="DP514" s="276">
        <v>0</v>
      </c>
      <c r="DQ514" s="276">
        <v>0</v>
      </c>
      <c r="DR514" s="276">
        <v>0</v>
      </c>
      <c r="DS514" s="276">
        <v>0</v>
      </c>
      <c r="DT514" s="257">
        <v>0</v>
      </c>
      <c r="DU514" s="276" t="s">
        <v>962</v>
      </c>
      <c r="DV514" s="276">
        <v>1</v>
      </c>
      <c r="DW514" s="276">
        <v>1</v>
      </c>
      <c r="DX514" s="276">
        <v>1</v>
      </c>
      <c r="DY514" s="276">
        <v>0</v>
      </c>
      <c r="DZ514" s="257">
        <v>0</v>
      </c>
      <c r="EA514" s="276">
        <v>0</v>
      </c>
      <c r="EB514" s="276">
        <v>1</v>
      </c>
      <c r="EC514" s="276">
        <v>1</v>
      </c>
      <c r="ED514" s="276">
        <v>0</v>
      </c>
      <c r="EE514" s="276">
        <v>0</v>
      </c>
      <c r="EF514" s="257">
        <v>1</v>
      </c>
      <c r="EG514" s="276">
        <v>0</v>
      </c>
      <c r="EH514" s="257">
        <v>0</v>
      </c>
      <c r="EI514" s="258">
        <v>0</v>
      </c>
      <c r="EJ514" s="256"/>
      <c r="EK514" t="str">
        <f>IF(AND(AND(AND(OR($DX514=1,$DW514=1),OR($EC514=1,$EA514=1)),SUM($DV514:$DZ514,$EF514)&gt;=4),SUM($EA514:$EE514)&gt;=2),"Whole sector","")</f>
        <v>Whole sector</v>
      </c>
      <c r="EL514" t="str">
        <f>IF(AND(AND(OR($DX514=1,$DW514=1),AND($EC514=0,$EA514=0)),SUM($DV514:$DZ514,$EF514)&gt;=4),"Ecosystem approach","")</f>
        <v/>
      </c>
      <c r="EM514" s="258" t="s">
        <v>544</v>
      </c>
      <c r="EN514" s="257" t="s">
        <v>236</v>
      </c>
      <c r="EO514" s="257"/>
      <c r="EP514" t="str">
        <f>IF(ISNUMBER(BU514),IF(ABS(BU514-[2]QC_indicators!$B$2)&gt;3*[2]QC_indicators!$C$2,"C ratio",IF(ISNUMBER(BY514),IF(ABS(BY514-[2]QC_indicators!$B$1)&gt;3*[2]QC_indicators!$C$1,"DF","no"))),IF(ISNUMBER(BY514),IF(ABS(BY514-[2]QC_indicators!$B$1)&gt;3*[2]QC_indicators!$C$1,"DF","no")))</f>
        <v>no</v>
      </c>
      <c r="EQ514" s="280"/>
      <c r="ER514" s="280"/>
      <c r="ES514" s="280"/>
    </row>
    <row r="515" spans="1:151" ht="15" customHeight="1">
      <c r="A515" s="256" t="s">
        <v>214</v>
      </c>
      <c r="B515" s="257" t="s">
        <v>215</v>
      </c>
      <c r="C515" s="257" t="s">
        <v>216</v>
      </c>
      <c r="D515" s="257" t="s">
        <v>217</v>
      </c>
      <c r="E515" s="257" t="s">
        <v>218</v>
      </c>
      <c r="F515" s="257" t="s">
        <v>219</v>
      </c>
      <c r="G515" s="257" t="s">
        <v>220</v>
      </c>
      <c r="H515" s="257"/>
      <c r="I515" s="257">
        <v>2012</v>
      </c>
      <c r="J515" s="257"/>
      <c r="K515" s="257" t="s">
        <v>221</v>
      </c>
      <c r="L515" s="257"/>
      <c r="M515" s="257" t="s">
        <v>3070</v>
      </c>
      <c r="N515" s="257" t="s">
        <v>222</v>
      </c>
      <c r="O515" s="275" t="s">
        <v>223</v>
      </c>
      <c r="P515" s="257"/>
      <c r="Q515" s="257" t="s">
        <v>224</v>
      </c>
      <c r="R515" s="258" t="s">
        <v>225</v>
      </c>
      <c r="S515" s="256" t="s">
        <v>226</v>
      </c>
      <c r="T515" s="257" t="s">
        <v>228</v>
      </c>
      <c r="U515" s="257" t="s">
        <v>237</v>
      </c>
      <c r="V515" s="257">
        <v>0</v>
      </c>
      <c r="W515" s="257">
        <v>0</v>
      </c>
      <c r="X515" s="257">
        <v>0</v>
      </c>
      <c r="Y515" s="257">
        <v>1</v>
      </c>
      <c r="Z515" s="257">
        <v>0</v>
      </c>
      <c r="AA515" s="257">
        <v>0</v>
      </c>
      <c r="AB515" s="257">
        <v>0</v>
      </c>
      <c r="AC515" s="257">
        <v>0</v>
      </c>
      <c r="AD515" s="257">
        <v>0</v>
      </c>
      <c r="AE515" s="257">
        <v>0</v>
      </c>
      <c r="AF515" s="257">
        <v>0</v>
      </c>
      <c r="AG515" s="257">
        <v>0</v>
      </c>
      <c r="AH515" s="257">
        <v>0</v>
      </c>
      <c r="AI515" s="257">
        <v>0</v>
      </c>
      <c r="AJ515" s="257">
        <v>0</v>
      </c>
      <c r="AK515" s="257">
        <v>0</v>
      </c>
      <c r="AL515" s="257">
        <v>0</v>
      </c>
      <c r="AM515" s="257">
        <v>0</v>
      </c>
      <c r="AN515" s="257">
        <v>0</v>
      </c>
      <c r="AO515" s="257">
        <v>0</v>
      </c>
      <c r="AP515" s="257">
        <v>0</v>
      </c>
      <c r="AQ515" s="257">
        <v>0</v>
      </c>
      <c r="AR515" s="257">
        <v>0</v>
      </c>
      <c r="AS515" s="257">
        <v>0</v>
      </c>
      <c r="AT515" s="257">
        <v>0</v>
      </c>
      <c r="AU515" s="257">
        <v>0</v>
      </c>
      <c r="AV515" s="257">
        <v>0</v>
      </c>
      <c r="AW515" s="257">
        <v>0</v>
      </c>
      <c r="AX515" s="277">
        <v>1</v>
      </c>
      <c r="AY515" s="277">
        <v>1</v>
      </c>
      <c r="AZ515" s="257">
        <v>1</v>
      </c>
      <c r="BA515" s="257">
        <v>0</v>
      </c>
      <c r="BB515" s="257">
        <v>0</v>
      </c>
      <c r="BC515" s="257">
        <v>0</v>
      </c>
      <c r="BD515" s="257">
        <v>0</v>
      </c>
      <c r="BE515" s="257" t="s">
        <v>91</v>
      </c>
      <c r="BF515" s="2" t="str" cm="1">
        <f t="array" ref="BF515">IF(COUNTIF(AZ515:BB515,"&lt;&gt;0")=1,INDEX($V$4:$AW$4,MATCH(TRUE,INDEX($V515:$AW515&lt;&gt;0,),0)),IF(COUNTIF(AZ515:BB515,"&lt;&gt;0")=0,INDEX($AM$4:$AW$4,MATCH(1,$AM515:$AW515,0)),"Multiple strategies"))</f>
        <v>Silviculture for removals</v>
      </c>
      <c r="BG515" s="278" t="s">
        <v>229</v>
      </c>
      <c r="BH515" s="257" t="s">
        <v>230</v>
      </c>
      <c r="BI515" s="279" t="s">
        <v>3071</v>
      </c>
      <c r="BJ515" s="276" t="s">
        <v>231</v>
      </c>
      <c r="BK515" s="257">
        <v>66.639750489999997</v>
      </c>
      <c r="BL515" s="257">
        <v>68.641374010000007</v>
      </c>
      <c r="BM515" s="276">
        <v>1.0300364798079544</v>
      </c>
      <c r="BN515" s="257">
        <v>2.0016235200000096</v>
      </c>
      <c r="BO515" s="276">
        <v>4.0849459591836936</v>
      </c>
      <c r="BP515" s="276" t="s">
        <v>232</v>
      </c>
      <c r="BQ515" s="279" t="s">
        <v>3071</v>
      </c>
      <c r="BR515" s="276" t="s">
        <v>233</v>
      </c>
      <c r="BS515" s="257">
        <v>-9.4136546180000007</v>
      </c>
      <c r="BT515" s="257">
        <v>-8.9317269079999999</v>
      </c>
      <c r="BU515" s="259">
        <v>0.94880546083786643</v>
      </c>
      <c r="BV515" s="257">
        <v>0.48192771000000079</v>
      </c>
      <c r="BW515" s="257"/>
      <c r="BX515" s="257">
        <v>4.8192771000000079E-4</v>
      </c>
      <c r="BY515" s="257">
        <v>1.1797652032985664E-4</v>
      </c>
      <c r="BZ515" s="257">
        <v>0</v>
      </c>
      <c r="CA515" s="257">
        <v>0</v>
      </c>
      <c r="CB515" s="257">
        <v>0</v>
      </c>
      <c r="CC515" s="257">
        <v>0</v>
      </c>
      <c r="CD515" s="257">
        <v>0</v>
      </c>
      <c r="CE515" s="257">
        <v>0</v>
      </c>
      <c r="CF515" s="257">
        <v>0</v>
      </c>
      <c r="CG515" s="257">
        <v>0</v>
      </c>
      <c r="CH515" s="257">
        <v>0</v>
      </c>
      <c r="CI515" s="257">
        <v>0</v>
      </c>
      <c r="CJ515" s="257">
        <v>0</v>
      </c>
      <c r="CK515" s="257">
        <v>0</v>
      </c>
      <c r="CL515" s="257">
        <v>0</v>
      </c>
      <c r="CM515" s="257">
        <v>0</v>
      </c>
      <c r="CN515" s="257" t="s">
        <v>3072</v>
      </c>
      <c r="CO515" s="257">
        <v>66.639750489999997</v>
      </c>
      <c r="CP515" s="257">
        <v>68.641374010000007</v>
      </c>
      <c r="CQ515" s="257">
        <v>4.0849459591836936</v>
      </c>
      <c r="CR515" s="257">
        <v>-9.4136546180000007</v>
      </c>
      <c r="CS515" s="257">
        <v>-8.9317269079999999</v>
      </c>
      <c r="CT515" s="257">
        <v>4.8192771000000079E-4</v>
      </c>
      <c r="CU515" s="257">
        <v>1.1797652032985664E-4</v>
      </c>
      <c r="CV515" s="258">
        <v>5.1194539162133595E-2</v>
      </c>
      <c r="CW515" s="256" t="s">
        <v>234</v>
      </c>
      <c r="CX515" s="257" t="s">
        <v>3073</v>
      </c>
      <c r="CY515" s="257" t="s">
        <v>235</v>
      </c>
      <c r="CZ515" s="257"/>
      <c r="DA515" s="276"/>
      <c r="DB515" s="276">
        <v>80</v>
      </c>
      <c r="DC515" s="257" t="s">
        <v>3074</v>
      </c>
      <c r="DD515" s="257">
        <v>0</v>
      </c>
      <c r="DE515" s="257">
        <v>1</v>
      </c>
      <c r="DF515" s="257">
        <v>0</v>
      </c>
      <c r="DG515" s="257">
        <v>0</v>
      </c>
      <c r="DH515" s="257"/>
      <c r="DI515" s="257">
        <v>1</v>
      </c>
      <c r="DJ515" s="257" t="s">
        <v>173</v>
      </c>
      <c r="DK515" s="257">
        <v>0</v>
      </c>
      <c r="DL515" s="257" t="s">
        <v>180</v>
      </c>
      <c r="DM515" s="257">
        <v>0</v>
      </c>
      <c r="DN515" s="257">
        <v>0</v>
      </c>
      <c r="DO515" s="257">
        <v>0</v>
      </c>
      <c r="DP515" s="276">
        <v>0</v>
      </c>
      <c r="DQ515" s="276">
        <v>0</v>
      </c>
      <c r="DR515" s="276">
        <v>0</v>
      </c>
      <c r="DS515" s="276">
        <v>0</v>
      </c>
      <c r="DT515" s="257">
        <v>0</v>
      </c>
      <c r="DU515" s="276" t="s">
        <v>962</v>
      </c>
      <c r="DV515" s="276">
        <v>1</v>
      </c>
      <c r="DW515" s="276">
        <v>1</v>
      </c>
      <c r="DX515" s="276">
        <v>1</v>
      </c>
      <c r="DY515" s="276">
        <v>0</v>
      </c>
      <c r="DZ515" s="257">
        <v>0</v>
      </c>
      <c r="EA515" s="276">
        <v>0</v>
      </c>
      <c r="EB515" s="276">
        <v>1</v>
      </c>
      <c r="EC515" s="276">
        <v>1</v>
      </c>
      <c r="ED515" s="276">
        <v>0</v>
      </c>
      <c r="EE515" s="276">
        <v>0</v>
      </c>
      <c r="EF515" s="257">
        <v>1</v>
      </c>
      <c r="EG515" s="276">
        <v>0</v>
      </c>
      <c r="EH515" s="257">
        <v>0</v>
      </c>
      <c r="EI515" s="258">
        <v>0</v>
      </c>
      <c r="EJ515" s="256"/>
      <c r="EK515" t="str">
        <f>IF(AND(AND(AND(OR($DX515=1,$DW515=1),OR($EC515=1,$EA515=1)),SUM($DV515:$DZ515,$EF515)&gt;=4),SUM($EA515:$EE515)&gt;=2),"Whole sector","")</f>
        <v>Whole sector</v>
      </c>
      <c r="EL515" t="str">
        <f>IF(AND(AND(OR($DX515=1,$DW515=1),AND($EC515=0,$EA515=0)),SUM($DV515:$DZ515,$EF515)&gt;=4),"Ecosystem approach","")</f>
        <v/>
      </c>
      <c r="EM515" s="258" t="s">
        <v>544</v>
      </c>
      <c r="EN515" s="257" t="s">
        <v>236</v>
      </c>
      <c r="EO515" s="257"/>
      <c r="EP515" t="str">
        <f>IF(ISNUMBER(BU515),IF(ABS(BU515-[2]QC_indicators!$B$2)&gt;3*[2]QC_indicators!$C$2,"C ratio",IF(ISNUMBER(BY515),IF(ABS(BY515-[2]QC_indicators!$B$1)&gt;3*[2]QC_indicators!$C$1,"DF","no"))),IF(ISNUMBER(BY515),IF(ABS(BY515-[2]QC_indicators!$B$1)&gt;3*[2]QC_indicators!$C$1,"DF","no")))</f>
        <v>no</v>
      </c>
      <c r="EQ515" s="280"/>
      <c r="ER515" s="280"/>
      <c r="ES515" s="280"/>
    </row>
    <row r="516" spans="1:151" ht="15" customHeight="1">
      <c r="A516" s="1" t="s">
        <v>1378</v>
      </c>
      <c r="B516" t="s">
        <v>1742</v>
      </c>
      <c r="C516" t="s">
        <v>1743</v>
      </c>
      <c r="D516" t="s">
        <v>1744</v>
      </c>
      <c r="E516" t="s">
        <v>1745</v>
      </c>
      <c r="F516" t="s">
        <v>1746</v>
      </c>
      <c r="G516" t="s">
        <v>1384</v>
      </c>
      <c r="H516" t="s">
        <v>254</v>
      </c>
      <c r="I516">
        <v>2019</v>
      </c>
      <c r="J516">
        <v>1</v>
      </c>
      <c r="K516" t="s">
        <v>1747</v>
      </c>
      <c r="M516" t="str">
        <f>LEFT($D516,FIND(",",$D516)-1)&amp;"_"&amp;I516&amp;L516</f>
        <v>Jones_2019</v>
      </c>
      <c r="N516" t="s">
        <v>222</v>
      </c>
      <c r="O516" s="171" t="s">
        <v>513</v>
      </c>
      <c r="P516" t="s">
        <v>960</v>
      </c>
      <c r="Q516" t="s">
        <v>389</v>
      </c>
      <c r="R516" s="269" t="s">
        <v>274</v>
      </c>
      <c r="S516" s="1" t="s">
        <v>1758</v>
      </c>
      <c r="T516" t="s">
        <v>1759</v>
      </c>
      <c r="U516" t="s">
        <v>1750</v>
      </c>
      <c r="V516" s="274">
        <v>1</v>
      </c>
      <c r="W516" s="274">
        <v>0</v>
      </c>
      <c r="X516" s="274">
        <v>0</v>
      </c>
      <c r="Y516" s="274">
        <v>0</v>
      </c>
      <c r="Z516" s="274">
        <v>0</v>
      </c>
      <c r="AA516" s="274">
        <v>0</v>
      </c>
      <c r="AB516" s="274">
        <v>0</v>
      </c>
      <c r="AC516" s="274">
        <v>0</v>
      </c>
      <c r="AD516" s="274">
        <v>0</v>
      </c>
      <c r="AE516" s="274">
        <v>0</v>
      </c>
      <c r="AF516" s="274">
        <v>0</v>
      </c>
      <c r="AG516" s="274">
        <v>0</v>
      </c>
      <c r="AH516" s="274">
        <v>0</v>
      </c>
      <c r="AI516" s="274">
        <v>0</v>
      </c>
      <c r="AJ516" s="274">
        <v>0</v>
      </c>
      <c r="AK516" s="274">
        <v>0</v>
      </c>
      <c r="AL516" s="274">
        <v>0</v>
      </c>
      <c r="AM516" s="274">
        <v>0</v>
      </c>
      <c r="AN516" s="274">
        <v>0</v>
      </c>
      <c r="AO516" s="274">
        <v>0</v>
      </c>
      <c r="AP516" s="274">
        <v>0</v>
      </c>
      <c r="AQ516" s="274">
        <v>0</v>
      </c>
      <c r="AR516" s="274">
        <v>0</v>
      </c>
      <c r="AS516" s="274">
        <v>0</v>
      </c>
      <c r="AT516" s="274">
        <v>2</v>
      </c>
      <c r="AU516" s="274">
        <v>0</v>
      </c>
      <c r="AV516" s="274">
        <v>0</v>
      </c>
      <c r="AW516" s="274">
        <v>2</v>
      </c>
      <c r="AX516" s="141">
        <f>COUNTIF(V516:AW516,"&lt;&gt;0")</f>
        <v>3</v>
      </c>
      <c r="AY516" s="141">
        <f>COUNTIF(V516:AL516,"&lt;&gt;0")</f>
        <v>1</v>
      </c>
      <c r="AZ516">
        <f>COUNTIF(V516:AC516,"&lt;&gt;0")</f>
        <v>1</v>
      </c>
      <c r="BA516">
        <f>COUNTIF(AD516:AI516,"&lt;&gt;0")</f>
        <v>0</v>
      </c>
      <c r="BB516">
        <f>COUNTIF(AJ516:AL516,"&lt;&gt;0")</f>
        <v>0</v>
      </c>
      <c r="BC516">
        <f>COUNTIF(AS516:AW516,"&lt;&gt;0")</f>
        <v>2</v>
      </c>
      <c r="BD516">
        <f>COUNTIF(AM516:AR516,"&lt;&gt;0")</f>
        <v>0</v>
      </c>
      <c r="BE516" s="274" t="str">
        <f t="array" ref="BE516">IF(AY516=1,INDEX($V$7:$AL$7,MATCH(TRUE,INDEX($V516:$AW516&lt;&gt;0,),0)),IF(AY516=0,INDEX($AM$7:$AW$7,MATCH(1,$AM516:$AW516,0)),IF(BF516="Multiple strategies","mixed drivers",IF(BF516="Supply chain","multiple supply","multiple silviculture"))))</f>
        <v>area subject to harvest</v>
      </c>
      <c r="BF516" s="2" t="str" cm="1">
        <f t="array" ref="BF516">IF(COUNTIF(AZ516:BB516,"&lt;&gt;0")=1,INDEX($V$4:$AW$4,MATCH(TRUE,INDEX($V516:$AW516&lt;&gt;0,),0)),IF(COUNTIF(AZ516:BB516,"&lt;&gt;0")=0,INDEX($AM$4:$AW$4,MATCH(1,$AM516:$AW516,0)),"Multiple strategies"))</f>
        <v>Silviculture for removals</v>
      </c>
      <c r="BG516" s="1" t="s">
        <v>321</v>
      </c>
      <c r="BH516" t="s">
        <v>1751</v>
      </c>
      <c r="BI516" t="s">
        <v>1752</v>
      </c>
      <c r="BJ516" t="s">
        <v>498</v>
      </c>
      <c r="BK516">
        <v>2094218749999.9985</v>
      </c>
      <c r="BL516">
        <v>2126067159090.9072</v>
      </c>
      <c r="BM516" t="s">
        <v>544</v>
      </c>
      <c r="BN516">
        <f>BL516-BK516</f>
        <v>31848409090.908691</v>
      </c>
      <c r="BO516">
        <f>BN516</f>
        <v>31848409090.908691</v>
      </c>
      <c r="BP516" t="s">
        <v>395</v>
      </c>
      <c r="BQ516" t="s">
        <v>1753</v>
      </c>
      <c r="BR516" t="s">
        <v>1754</v>
      </c>
      <c r="BS516">
        <v>-5270270.2702702703</v>
      </c>
      <c r="BT516">
        <v>-9234234.2342342511</v>
      </c>
      <c r="BU516" s="144">
        <v>1.7521367521367552</v>
      </c>
      <c r="BV516" s="152">
        <v>-3963963.9639639808</v>
      </c>
      <c r="BX516" s="152">
        <f>BV516</f>
        <v>-3963963.9639639808</v>
      </c>
      <c r="BY516">
        <f>IFERROR(BX516/BO516,"")</f>
        <v>-1.2446348427166859E-4</v>
      </c>
      <c r="BZ516">
        <v>0</v>
      </c>
      <c r="CA516">
        <v>0</v>
      </c>
      <c r="CB516">
        <v>0</v>
      </c>
      <c r="CC516">
        <v>0</v>
      </c>
      <c r="CD516">
        <v>0</v>
      </c>
      <c r="CE516">
        <v>0</v>
      </c>
      <c r="CF516">
        <v>0</v>
      </c>
      <c r="CG516">
        <v>0</v>
      </c>
      <c r="CH516">
        <v>0</v>
      </c>
      <c r="CI516">
        <v>0</v>
      </c>
      <c r="CJ516">
        <v>0</v>
      </c>
      <c r="CK516">
        <v>0</v>
      </c>
      <c r="CL516">
        <v>0</v>
      </c>
      <c r="CM516">
        <v>0</v>
      </c>
      <c r="CN516" t="str">
        <f>IF($BL516&lt;$BK516,"refNeedCorrection","refOK")</f>
        <v>refOK</v>
      </c>
      <c r="CO516">
        <f>IF($CN516="refOK",$BK516,$BL516)</f>
        <v>2094218749999.9985</v>
      </c>
      <c r="CP516">
        <f>IF($CN516="refOK",$BL516,$BK516)</f>
        <v>2126067159090.9072</v>
      </c>
      <c r="CQ516">
        <f>IF($CN516="refOK",$BO516,-$BO516)</f>
        <v>31848409090.908691</v>
      </c>
      <c r="CR516">
        <f>IF($CN516="refOK",$BS516,$BT516)*IF($BP516="Emissions positive",-1,1)</f>
        <v>5270270.2702702703</v>
      </c>
      <c r="CS516">
        <f>IF($CN516="refOK",$BT516,$BS516)*IF($BP516="Emissions positive",-1,1)</f>
        <v>9234234.2342342511</v>
      </c>
      <c r="CT516">
        <f>IF($CN516="refNeedCorrection",-BX516,BX516)*IF($BP516="Emissions positive",-1,1)</f>
        <v>3963963.9639639808</v>
      </c>
      <c r="CU516">
        <f>IFERROR(CT516/CQ516,"")</f>
        <v>1.2446348427166859E-4</v>
      </c>
      <c r="CV516" s="2">
        <f>IFERROR((CS516-CR516)/ABS(CR516),"")</f>
        <v>0.75213675213675535</v>
      </c>
      <c r="CW516" s="1" t="s">
        <v>1199</v>
      </c>
      <c r="CX516" t="str">
        <f>IF(OR($CW516="prd",$CW516="std",$CW516="cit"),"loc",IF(OR($CW516="eur",$CW516="reg",$CW516="coy"),"reg",$CW516))</f>
        <v>reg</v>
      </c>
      <c r="CY516" t="s">
        <v>428</v>
      </c>
      <c r="CZ516">
        <v>2015</v>
      </c>
      <c r="DA516">
        <v>2060</v>
      </c>
      <c r="DB516">
        <v>0</v>
      </c>
      <c r="DC516" t="str">
        <f>IF(DB516=0,"0",IF(AND(DB516&gt;=1,DB516&lt;=30),"1-30",IF(AND(DB516&gt;30,DB516&lt;=70),"31-70",IF(AND(DB516&gt;70,DB516&lt;=100),"71-100",IF(DB516&gt;100,"+100")))))</f>
        <v>0</v>
      </c>
      <c r="DD516">
        <v>1</v>
      </c>
      <c r="DE516">
        <v>0</v>
      </c>
      <c r="DF516">
        <v>0</v>
      </c>
      <c r="DG516">
        <v>0</v>
      </c>
      <c r="DH516">
        <v>0</v>
      </c>
      <c r="DI516">
        <v>1</v>
      </c>
      <c r="DJ516" t="str">
        <f>IF(DI516=1,INDEX($DD$7:$DG$7,MATCH(1,$DD516:$DG516,0)),"mixedProduct")</f>
        <v>UpstreamInput</v>
      </c>
      <c r="DK516" t="str">
        <f>IF(DD516=1,DK$7,0)</f>
        <v>Upstream</v>
      </c>
      <c r="DL516">
        <f>IF(DE516=1,DL$7,0)</f>
        <v>0</v>
      </c>
      <c r="DM516">
        <f>IF(DF516=1,DM$7,0)</f>
        <v>0</v>
      </c>
      <c r="DN516">
        <f>IF(DG516=1,DN$7,0)</f>
        <v>0</v>
      </c>
      <c r="DO516">
        <v>0</v>
      </c>
      <c r="DP516">
        <v>0</v>
      </c>
      <c r="DQ516">
        <v>0</v>
      </c>
      <c r="DR516">
        <v>0</v>
      </c>
      <c r="DS516">
        <v>0</v>
      </c>
      <c r="DT516">
        <f>SUM(DO516:DP516)</f>
        <v>0</v>
      </c>
      <c r="DU516" s="143" t="s">
        <v>962</v>
      </c>
      <c r="DV516">
        <v>1</v>
      </c>
      <c r="DW516">
        <v>1</v>
      </c>
      <c r="DX516">
        <v>1</v>
      </c>
      <c r="DY516">
        <v>0</v>
      </c>
      <c r="DZ516">
        <v>0</v>
      </c>
      <c r="EA516" s="143">
        <v>0</v>
      </c>
      <c r="EB516">
        <v>0</v>
      </c>
      <c r="EC516">
        <v>0</v>
      </c>
      <c r="ED516">
        <v>0</v>
      </c>
      <c r="EE516">
        <v>0</v>
      </c>
      <c r="EF516">
        <v>1</v>
      </c>
      <c r="EG516">
        <v>0</v>
      </c>
      <c r="EH516">
        <v>1</v>
      </c>
      <c r="EI516" s="2">
        <v>0</v>
      </c>
      <c r="EK516" t="str">
        <f>IF(AND(AND(AND(OR($DX516=1,$DW516=1),OR($EC516=1,$EA516=1)),SUM($DV516:$DZ516,$EF516)&gt;=4),SUM($EA516:$EE516)&gt;=2),"Whole sector","")</f>
        <v/>
      </c>
      <c r="EL516" t="str">
        <f>IF(AND(AND(OR($DX516=1,$DW516=1),AND($EC516=0,$EA516=0)),SUM($DV516:$DZ516,$EF516)&gt;=4),"Ecosystem approach","")</f>
        <v>Ecosystem approach</v>
      </c>
      <c r="EM516" s="2" t="str">
        <f>IF(AND(AND(AND($DX516=0,$DW516=0),OR($EC516=1,$EA516=1)),SUM($EB516:$EE516)&gt;=2),"Technology approach","")</f>
        <v/>
      </c>
      <c r="EP516" t="str">
        <f>IF(ISNUMBER(BU516),IF(ABS(BU516-[2]QC_indicators!$B$2)&gt;3*[2]QC_indicators!$C$2,"C ratio",IF(ISNUMBER(BY516),IF(ABS(BY516-[2]QC_indicators!$B$1)&gt;3*[2]QC_indicators!$C$1,"DF","no"))),IF(ISNUMBER(BY516),IF(ABS(BY516-[2]QC_indicators!$B$1)&gt;3*[2]QC_indicators!$C$1,"DF","no")))</f>
        <v>no</v>
      </c>
      <c r="ER516" t="s">
        <v>1755</v>
      </c>
      <c r="ET516" s="264" t="s">
        <v>3267</v>
      </c>
      <c r="EU516" s="264"/>
    </row>
    <row r="517" spans="1:151" ht="15" customHeight="1">
      <c r="A517" s="1" t="s">
        <v>1378</v>
      </c>
      <c r="B517" t="s">
        <v>1742</v>
      </c>
      <c r="C517" t="s">
        <v>1743</v>
      </c>
      <c r="D517" t="s">
        <v>1744</v>
      </c>
      <c r="E517" t="s">
        <v>1745</v>
      </c>
      <c r="F517" t="s">
        <v>1746</v>
      </c>
      <c r="G517" t="s">
        <v>1384</v>
      </c>
      <c r="H517" t="s">
        <v>254</v>
      </c>
      <c r="I517">
        <v>2019</v>
      </c>
      <c r="J517">
        <v>1</v>
      </c>
      <c r="K517" t="s">
        <v>1747</v>
      </c>
      <c r="M517" t="str">
        <f>LEFT($D517,FIND(",",$D517)-1)&amp;"_"&amp;I517&amp;L517</f>
        <v>Jones_2019</v>
      </c>
      <c r="N517" t="s">
        <v>222</v>
      </c>
      <c r="O517" s="171" t="s">
        <v>513</v>
      </c>
      <c r="P517" t="s">
        <v>960</v>
      </c>
      <c r="Q517" t="s">
        <v>389</v>
      </c>
      <c r="R517" s="269" t="s">
        <v>274</v>
      </c>
      <c r="S517" s="1" t="s">
        <v>1756</v>
      </c>
      <c r="T517" t="s">
        <v>1757</v>
      </c>
      <c r="U517" t="s">
        <v>1750</v>
      </c>
      <c r="V517" s="274">
        <v>1</v>
      </c>
      <c r="W517" s="274">
        <v>0</v>
      </c>
      <c r="X517" s="274">
        <v>0</v>
      </c>
      <c r="Y517" s="274">
        <v>0</v>
      </c>
      <c r="Z517" s="274">
        <v>0</v>
      </c>
      <c r="AA517" s="274">
        <v>0</v>
      </c>
      <c r="AB517" s="274">
        <v>0</v>
      </c>
      <c r="AC517" s="274">
        <v>0</v>
      </c>
      <c r="AD517" s="274">
        <v>0</v>
      </c>
      <c r="AE517" s="274">
        <v>0</v>
      </c>
      <c r="AF517" s="274">
        <v>0</v>
      </c>
      <c r="AG517" s="274">
        <v>0</v>
      </c>
      <c r="AH517" s="274">
        <v>0</v>
      </c>
      <c r="AI517" s="274">
        <v>0</v>
      </c>
      <c r="AJ517" s="274">
        <v>0</v>
      </c>
      <c r="AK517" s="274">
        <v>0</v>
      </c>
      <c r="AL517" s="274">
        <v>0</v>
      </c>
      <c r="AM517" s="274">
        <v>0</v>
      </c>
      <c r="AN517" s="274">
        <v>0</v>
      </c>
      <c r="AO517" s="274">
        <v>0</v>
      </c>
      <c r="AP517" s="274">
        <v>0</v>
      </c>
      <c r="AQ517" s="274">
        <v>0</v>
      </c>
      <c r="AR517" s="274">
        <v>0</v>
      </c>
      <c r="AS517" s="274">
        <v>0</v>
      </c>
      <c r="AT517" s="274">
        <v>2</v>
      </c>
      <c r="AU517" s="274">
        <v>0</v>
      </c>
      <c r="AV517" s="274">
        <v>0</v>
      </c>
      <c r="AW517" s="274">
        <v>2</v>
      </c>
      <c r="AX517" s="141">
        <f>COUNTIF(V517:AW517,"&lt;&gt;0")</f>
        <v>3</v>
      </c>
      <c r="AY517" s="141">
        <f>COUNTIF(V517:AL517,"&lt;&gt;0")</f>
        <v>1</v>
      </c>
      <c r="AZ517">
        <f>COUNTIF(V517:AC517,"&lt;&gt;0")</f>
        <v>1</v>
      </c>
      <c r="BA517">
        <f>COUNTIF(AD517:AI517,"&lt;&gt;0")</f>
        <v>0</v>
      </c>
      <c r="BB517">
        <f>COUNTIF(AJ517:AL517,"&lt;&gt;0")</f>
        <v>0</v>
      </c>
      <c r="BC517">
        <f>COUNTIF(AS517:AW517,"&lt;&gt;0")</f>
        <v>2</v>
      </c>
      <c r="BD517">
        <f>COUNTIF(AM517:AR517,"&lt;&gt;0")</f>
        <v>0</v>
      </c>
      <c r="BE517" s="274" t="str">
        <f t="array" ref="BE517">IF(AY517=1,INDEX($V$7:$AL$7,MATCH(TRUE,INDEX($V517:$AW517&lt;&gt;0,),0)),IF(AY517=0,INDEX($AM$7:$AW$7,MATCH(1,$AM517:$AW517,0)),IF(BF517="Multiple strategies","mixed drivers",IF(BF517="Supply chain","multiple supply","multiple silviculture"))))</f>
        <v>area subject to harvest</v>
      </c>
      <c r="BF517" s="2" t="str" cm="1">
        <f t="array" ref="BF517">IF(COUNTIF(AZ517:BB517,"&lt;&gt;0")=1,INDEX($V$4:$AW$4,MATCH(TRUE,INDEX($V517:$AW517&lt;&gt;0,),0)),IF(COUNTIF(AZ517:BB517,"&lt;&gt;0")=0,INDEX($AM$4:$AW$4,MATCH(1,$AM517:$AW517,0)),"Multiple strategies"))</f>
        <v>Silviculture for removals</v>
      </c>
      <c r="BG517" s="1" t="s">
        <v>321</v>
      </c>
      <c r="BH517" t="s">
        <v>1751</v>
      </c>
      <c r="BI517" t="s">
        <v>1752</v>
      </c>
      <c r="BJ517" t="s">
        <v>498</v>
      </c>
      <c r="BK517">
        <v>2101773977272.7263</v>
      </c>
      <c r="BL517">
        <v>2126067159090.9072</v>
      </c>
      <c r="BM517" t="s">
        <v>544</v>
      </c>
      <c r="BN517">
        <f>BL517-BK517</f>
        <v>24293181818.180908</v>
      </c>
      <c r="BO517">
        <f>BN517</f>
        <v>24293181818.180908</v>
      </c>
      <c r="BP517" t="s">
        <v>395</v>
      </c>
      <c r="BQ517" t="s">
        <v>1753</v>
      </c>
      <c r="BR517" t="s">
        <v>1754</v>
      </c>
      <c r="BS517">
        <v>-6126126.1261261208</v>
      </c>
      <c r="BT517">
        <v>-9234234.2342342511</v>
      </c>
      <c r="BU517" s="144">
        <v>1.5073529411764746</v>
      </c>
      <c r="BV517" s="152">
        <f>BT517-BS517</f>
        <v>-3108108.1081081303</v>
      </c>
      <c r="BX517" s="152">
        <f>BV517</f>
        <v>-3108108.1081081303</v>
      </c>
      <c r="BY517">
        <f>IFERROR(BX517/BO517,"")</f>
        <v>-1.2794158177262873E-4</v>
      </c>
      <c r="BZ517">
        <v>0</v>
      </c>
      <c r="CA517">
        <v>0</v>
      </c>
      <c r="CB517">
        <v>0</v>
      </c>
      <c r="CC517">
        <v>0</v>
      </c>
      <c r="CD517">
        <v>0</v>
      </c>
      <c r="CE517">
        <v>0</v>
      </c>
      <c r="CF517">
        <v>0</v>
      </c>
      <c r="CG517">
        <v>0</v>
      </c>
      <c r="CH517">
        <v>0</v>
      </c>
      <c r="CI517">
        <v>0</v>
      </c>
      <c r="CJ517">
        <v>0</v>
      </c>
      <c r="CK517">
        <v>0</v>
      </c>
      <c r="CL517">
        <v>0</v>
      </c>
      <c r="CM517">
        <v>0</v>
      </c>
      <c r="CN517" t="str">
        <f>IF($BL517&lt;$BK517,"refNeedCorrection","refOK")</f>
        <v>refOK</v>
      </c>
      <c r="CO517">
        <f>IF($CN517="refOK",$BK517,$BL517)</f>
        <v>2101773977272.7263</v>
      </c>
      <c r="CP517">
        <f>IF($CN517="refOK",$BL517,$BK517)</f>
        <v>2126067159090.9072</v>
      </c>
      <c r="CQ517">
        <f>IF($CN517="refOK",$BO517,-$BO517)</f>
        <v>24293181818.180908</v>
      </c>
      <c r="CR517">
        <f>IF($CN517="refOK",$BS517,$BT517)*IF($BP517="Emissions positive",-1,1)</f>
        <v>6126126.1261261208</v>
      </c>
      <c r="CS517">
        <f>IF($CN517="refOK",$BT517,$BS517)*IF($BP517="Emissions positive",-1,1)</f>
        <v>9234234.2342342511</v>
      </c>
      <c r="CT517">
        <f>IF($CN517="refNeedCorrection",-BX517,BX517)*IF($BP517="Emissions positive",-1,1)</f>
        <v>3108108.1081081303</v>
      </c>
      <c r="CU517">
        <f>IFERROR(CT517/CQ517,"")</f>
        <v>1.2794158177262873E-4</v>
      </c>
      <c r="CV517" s="2">
        <f>IFERROR((CS517-CR517)/ABS(CR517),"")</f>
        <v>0.50735294117647467</v>
      </c>
      <c r="CW517" s="1" t="s">
        <v>1199</v>
      </c>
      <c r="CX517" t="str">
        <f>IF(OR($CW517="prd",$CW517="std",$CW517="cit"),"loc",IF(OR($CW517="eur",$CW517="reg",$CW517="coy"),"reg",$CW517))</f>
        <v>reg</v>
      </c>
      <c r="CY517" t="s">
        <v>428</v>
      </c>
      <c r="CZ517">
        <v>2015</v>
      </c>
      <c r="DA517">
        <v>2060</v>
      </c>
      <c r="DB517">
        <v>0</v>
      </c>
      <c r="DC517" t="str">
        <f>IF(DB517=0,"0",IF(AND(DB517&gt;=1,DB517&lt;=30),"1-30",IF(AND(DB517&gt;30,DB517&lt;=70),"31-70",IF(AND(DB517&gt;70,DB517&lt;=100),"71-100",IF(DB517&gt;100,"+100")))))</f>
        <v>0</v>
      </c>
      <c r="DD517">
        <v>1</v>
      </c>
      <c r="DE517">
        <v>0</v>
      </c>
      <c r="DF517">
        <v>0</v>
      </c>
      <c r="DG517">
        <v>0</v>
      </c>
      <c r="DH517">
        <v>0</v>
      </c>
      <c r="DI517">
        <v>1</v>
      </c>
      <c r="DJ517" t="str">
        <f>IF(DI517=1,INDEX($DD$7:$DG$7,MATCH(1,$DD517:$DG517,0)),"mixedProduct")</f>
        <v>UpstreamInput</v>
      </c>
      <c r="DK517" t="str">
        <f>IF(DD517=1,DK$7,0)</f>
        <v>Upstream</v>
      </c>
      <c r="DL517">
        <f>IF(DE517=1,DL$7,0)</f>
        <v>0</v>
      </c>
      <c r="DM517">
        <f>IF(DF517=1,DM$7,0)</f>
        <v>0</v>
      </c>
      <c r="DN517">
        <f>IF(DG517=1,DN$7,0)</f>
        <v>0</v>
      </c>
      <c r="DO517">
        <v>0</v>
      </c>
      <c r="DP517">
        <v>0</v>
      </c>
      <c r="DQ517">
        <v>0</v>
      </c>
      <c r="DR517">
        <v>0</v>
      </c>
      <c r="DS517">
        <v>0</v>
      </c>
      <c r="DT517">
        <f>SUM(DO517:DP517)</f>
        <v>0</v>
      </c>
      <c r="DU517" s="143" t="s">
        <v>962</v>
      </c>
      <c r="DV517">
        <v>1</v>
      </c>
      <c r="DW517">
        <v>1</v>
      </c>
      <c r="DX517">
        <v>1</v>
      </c>
      <c r="DY517">
        <v>0</v>
      </c>
      <c r="DZ517">
        <v>0</v>
      </c>
      <c r="EA517" s="143">
        <v>0</v>
      </c>
      <c r="EB517">
        <v>0</v>
      </c>
      <c r="EC517">
        <v>0</v>
      </c>
      <c r="ED517">
        <v>0</v>
      </c>
      <c r="EE517">
        <v>0</v>
      </c>
      <c r="EF517">
        <v>1</v>
      </c>
      <c r="EG517">
        <v>0</v>
      </c>
      <c r="EH517">
        <v>1</v>
      </c>
      <c r="EI517" s="2">
        <v>0</v>
      </c>
      <c r="EK517" t="str">
        <f>IF(AND(AND(AND(OR($DX517=1,$DW517=1),OR($EC517=1,$EA517=1)),SUM($DV517:$DZ517,$EF517)&gt;=4),SUM($EA517:$EE517)&gt;=2),"Whole sector","")</f>
        <v/>
      </c>
      <c r="EL517" t="str">
        <f>IF(AND(AND(OR($DX517=1,$DW517=1),AND($EC517=0,$EA517=0)),SUM($DV517:$DZ517,$EF517)&gt;=4),"Ecosystem approach","")</f>
        <v>Ecosystem approach</v>
      </c>
      <c r="EM517" s="2" t="str">
        <f>IF(AND(AND(AND($DX517=0,$DW517=0),OR($EC517=1,$EA517=1)),SUM($EB517:$EE517)&gt;=2),"Technology approach","")</f>
        <v/>
      </c>
      <c r="EP517" t="str">
        <f>IF(ISNUMBER(BU517),IF(ABS(BU517-[2]QC_indicators!$B$2)&gt;3*[2]QC_indicators!$C$2,"C ratio",IF(ISNUMBER(BY517),IF(ABS(BY517-[2]QC_indicators!$B$1)&gt;3*[2]QC_indicators!$C$1,"DF","no"))),IF(ISNUMBER(BY517),IF(ABS(BY517-[2]QC_indicators!$B$1)&gt;3*[2]QC_indicators!$C$1,"DF","no")))</f>
        <v>no</v>
      </c>
      <c r="ER517" t="s">
        <v>1755</v>
      </c>
      <c r="ET517" s="264" t="s">
        <v>3267</v>
      </c>
      <c r="EU517" s="264"/>
    </row>
    <row r="518" spans="1:151" ht="15" customHeight="1">
      <c r="A518" s="1" t="s">
        <v>247</v>
      </c>
      <c r="B518" t="s">
        <v>641</v>
      </c>
      <c r="C518" t="s">
        <v>642</v>
      </c>
      <c r="D518" t="s">
        <v>643</v>
      </c>
      <c r="E518" t="s">
        <v>644</v>
      </c>
      <c r="F518" t="s">
        <v>645</v>
      </c>
      <c r="G518" t="s">
        <v>253</v>
      </c>
      <c r="H518" t="s">
        <v>254</v>
      </c>
      <c r="I518">
        <v>2014</v>
      </c>
      <c r="J518">
        <v>76</v>
      </c>
      <c r="K518" t="s">
        <v>646</v>
      </c>
      <c r="M518" t="str">
        <f>LEFT($D518,FIND(",",$D518)-1)&amp;"_"&amp;I518&amp;L518</f>
        <v>Dodoo_2014</v>
      </c>
      <c r="N518" t="s">
        <v>222</v>
      </c>
      <c r="O518" s="145" t="s">
        <v>223</v>
      </c>
      <c r="Q518" t="s">
        <v>256</v>
      </c>
      <c r="R518" s="255" t="s">
        <v>225</v>
      </c>
      <c r="S518" s="1" t="s">
        <v>647</v>
      </c>
      <c r="T518" t="s">
        <v>652</v>
      </c>
      <c r="U518" t="s">
        <v>654</v>
      </c>
      <c r="V518">
        <v>0</v>
      </c>
      <c r="W518">
        <v>0</v>
      </c>
      <c r="X518">
        <v>0</v>
      </c>
      <c r="Y518">
        <v>0</v>
      </c>
      <c r="Z518">
        <v>0</v>
      </c>
      <c r="AA518">
        <v>0</v>
      </c>
      <c r="AB518">
        <v>0</v>
      </c>
      <c r="AC518">
        <v>0</v>
      </c>
      <c r="AD518">
        <v>0</v>
      </c>
      <c r="AE518">
        <v>0</v>
      </c>
      <c r="AF518">
        <v>0</v>
      </c>
      <c r="AG518">
        <v>0</v>
      </c>
      <c r="AH518">
        <v>0</v>
      </c>
      <c r="AI518">
        <v>0</v>
      </c>
      <c r="AJ518">
        <v>0</v>
      </c>
      <c r="AK518">
        <v>1</v>
      </c>
      <c r="AL518">
        <v>0</v>
      </c>
      <c r="AM518">
        <v>0</v>
      </c>
      <c r="AN518">
        <v>0</v>
      </c>
      <c r="AO518">
        <v>0</v>
      </c>
      <c r="AP518">
        <v>0</v>
      </c>
      <c r="AQ518">
        <v>0</v>
      </c>
      <c r="AR518">
        <v>0</v>
      </c>
      <c r="AS518">
        <v>0</v>
      </c>
      <c r="AT518">
        <v>0</v>
      </c>
      <c r="AU518">
        <v>0</v>
      </c>
      <c r="AV518">
        <v>0</v>
      </c>
      <c r="AW518">
        <v>0</v>
      </c>
      <c r="AX518" s="141">
        <f>COUNTIF(V518:AW518,"&lt;&gt;0")</f>
        <v>1</v>
      </c>
      <c r="AY518" s="141">
        <f>COUNTIF(V518:AL518,"&lt;&gt;0")</f>
        <v>1</v>
      </c>
      <c r="AZ518">
        <f>COUNTIF(V518:AC518,"&lt;&gt;0")</f>
        <v>0</v>
      </c>
      <c r="BA518">
        <f>COUNTIF(AD518:AI518,"&lt;&gt;0")</f>
        <v>0</v>
      </c>
      <c r="BB518">
        <f>COUNTIF(AJ518:AL518,"&lt;&gt;0")</f>
        <v>1</v>
      </c>
      <c r="BC518">
        <f>COUNTIF(AS518:AW518,"&lt;&gt;0")</f>
        <v>0</v>
      </c>
      <c r="BD518">
        <f>COUNTIF(AM518:AR518,"&lt;&gt;0")</f>
        <v>0</v>
      </c>
      <c r="BE518" t="str">
        <f t="array" ref="BE518">IF(AY518=1,INDEX($V$7:$AL$7,MATCH(TRUE,INDEX($V518:$AW518&lt;&gt;0,),0)),IF(AY518=0,INDEX($AM$7:$AW$7,MATCH(1,$AM518:$AW518,0)),IF(BF518="Multiple strategies","mixed drivers",IF(BF518="Supply chain","multiple supply","multiple silviculture"))))</f>
        <v>technologies/design switch</v>
      </c>
      <c r="BF518" s="2" t="str" cm="1">
        <f t="array" ref="BF518">IF(COUNTIF(AZ518:BB518,"&lt;&gt;0")=1,INDEX($V$4:$AW$4,MATCH(TRUE,INDEX($V518:$AW518&lt;&gt;0,),0)),IF(COUNTIF(AZ518:BB518,"&lt;&gt;0")=0,INDEX($AM$4:$AW$4,MATCH(1,$AM518:$AW518,0)),"Multiple strategies"))</f>
        <v>Technology</v>
      </c>
      <c r="BG518" s="1" t="s">
        <v>229</v>
      </c>
      <c r="BH518" t="s">
        <v>650</v>
      </c>
      <c r="BI518" s="260" t="s">
        <v>3308</v>
      </c>
      <c r="BJ518" t="s">
        <v>651</v>
      </c>
      <c r="BK518" s="260">
        <f>55+21+10+5+5</f>
        <v>96</v>
      </c>
      <c r="BL518" s="260">
        <v>141</v>
      </c>
      <c r="BN518">
        <f>BL518-BK518</f>
        <v>45</v>
      </c>
      <c r="BO518">
        <f>BN518*t_to_m3</f>
        <v>91.83673469387756</v>
      </c>
      <c r="BP518" t="s">
        <v>232</v>
      </c>
      <c r="BQ518" s="260" t="s">
        <v>3309</v>
      </c>
      <c r="BR518" t="s">
        <v>262</v>
      </c>
      <c r="BS518">
        <v>-145</v>
      </c>
      <c r="BT518">
        <v>-133</v>
      </c>
      <c r="BU518" s="144">
        <v>0.91724137931034477</v>
      </c>
      <c r="BV518">
        <v>12</v>
      </c>
      <c r="BX518">
        <f>BV518/1000</f>
        <v>1.2E-2</v>
      </c>
      <c r="BY518">
        <f>IFERROR(BX518/BO518,"")</f>
        <v>1.3066666666666665E-4</v>
      </c>
      <c r="BZ518">
        <v>0</v>
      </c>
      <c r="CA518">
        <v>0</v>
      </c>
      <c r="CB518">
        <v>0</v>
      </c>
      <c r="CC518">
        <v>0</v>
      </c>
      <c r="CD518">
        <v>0</v>
      </c>
      <c r="CE518">
        <v>0</v>
      </c>
      <c r="CF518">
        <v>0</v>
      </c>
      <c r="CG518">
        <v>0</v>
      </c>
      <c r="CH518">
        <v>0</v>
      </c>
      <c r="CI518">
        <v>0</v>
      </c>
      <c r="CJ518">
        <v>0</v>
      </c>
      <c r="CK518">
        <v>0</v>
      </c>
      <c r="CL518">
        <v>0</v>
      </c>
      <c r="CM518">
        <v>0</v>
      </c>
      <c r="CN518" t="str">
        <f>IF($BL518&lt;$BK518,"refNeedCorrection","refOK")</f>
        <v>refOK</v>
      </c>
      <c r="CO518">
        <f>IF($CN518="refOK",$BK518,$BL518)</f>
        <v>96</v>
      </c>
      <c r="CP518">
        <f>IF($CN518="refOK",$BL518,$BK518)</f>
        <v>141</v>
      </c>
      <c r="CQ518">
        <f>IF($CN518="refOK",$BO518,-$BO518)</f>
        <v>91.83673469387756</v>
      </c>
      <c r="CR518">
        <f>IF($CN518="refOK",$BS518,$BT518)*IF($BP518="Emissions positive",-1,1)</f>
        <v>-145</v>
      </c>
      <c r="CS518">
        <f>IF($CN518="refOK",$BT518,$BS518)*IF($BP518="Emissions positive",-1,1)</f>
        <v>-133</v>
      </c>
      <c r="CT518">
        <f>IF($CN518="refNeedCorrection",-BX518,BX518)*IF($BP518="Emissions positive",-1,1)</f>
        <v>1.2E-2</v>
      </c>
      <c r="CU518">
        <f>IFERROR(CT518/CQ518,"")</f>
        <v>1.3066666666666665E-4</v>
      </c>
      <c r="CV518" s="2">
        <f>IFERROR((CS518-CR518)/ABS(CR518),"")</f>
        <v>8.2758620689655171E-2</v>
      </c>
      <c r="CW518" s="1" t="s">
        <v>263</v>
      </c>
      <c r="CX518" t="str">
        <f>IF(OR($CW518="prd",$CW518="std",$CW518="cit"),"loc",IF(OR($CW518="eur",$CW518="reg",$CW518="coy"),"reg",$CW518))</f>
        <v>loc</v>
      </c>
      <c r="CY518" t="s">
        <v>444</v>
      </c>
      <c r="DB518">
        <v>50</v>
      </c>
      <c r="DC518" t="str">
        <f>IF(DB518=0,"0",IF(AND(DB518&gt;=1,DB518&lt;=30),"1-30",IF(AND(DB518&gt;30,DB518&lt;=70),"31-70",IF(AND(DB518&gt;70,DB518&lt;=100),"71-100",IF(DB518&gt;100,"+100")))))</f>
        <v>31-70</v>
      </c>
      <c r="DD518">
        <v>0</v>
      </c>
      <c r="DE518">
        <v>0</v>
      </c>
      <c r="DF518">
        <v>0</v>
      </c>
      <c r="DG518">
        <v>1</v>
      </c>
      <c r="DI518">
        <f>SUM(DD518:DG518)</f>
        <v>1</v>
      </c>
      <c r="DJ518" t="str">
        <f>IF(DI518=1,INDEX($DD$7:$DG$7,MATCH(1,$DD518:$DG518,0)),"mixedProduct")</f>
        <v>TimberInput</v>
      </c>
      <c r="DK518">
        <f>IF(DD518=1,DK$7,0)</f>
        <v>0</v>
      </c>
      <c r="DL518">
        <f>IF(DE518=1,DL$7,0)</f>
        <v>0</v>
      </c>
      <c r="DM518">
        <f>IF(DF518=1,DM$7,0)</f>
        <v>0</v>
      </c>
      <c r="DN518" t="str">
        <f>IF(DG518=1,DN$7,0)</f>
        <v>Timber</v>
      </c>
      <c r="DO518">
        <v>0</v>
      </c>
      <c r="DP518">
        <v>0</v>
      </c>
      <c r="DQ518">
        <v>0</v>
      </c>
      <c r="DR518">
        <v>0</v>
      </c>
      <c r="DS518">
        <v>0</v>
      </c>
      <c r="DT518">
        <f>SUM(DO518:DP518)</f>
        <v>0</v>
      </c>
      <c r="DU518" s="143" t="str">
        <f>IF(DO518=1,"self-calculated DF",IF(DP518=1,"external DF used","explicit C balance"))</f>
        <v>explicit C balance</v>
      </c>
      <c r="DV518">
        <v>0</v>
      </c>
      <c r="DW518">
        <v>0</v>
      </c>
      <c r="DX518">
        <v>0</v>
      </c>
      <c r="DY518">
        <v>0</v>
      </c>
      <c r="DZ518">
        <v>0</v>
      </c>
      <c r="EA518" s="143">
        <v>0</v>
      </c>
      <c r="EB518">
        <v>0</v>
      </c>
      <c r="EC518">
        <v>1</v>
      </c>
      <c r="ED518">
        <v>0</v>
      </c>
      <c r="EE518">
        <v>0</v>
      </c>
      <c r="EF518">
        <v>0</v>
      </c>
      <c r="EG518">
        <v>0</v>
      </c>
      <c r="EH518">
        <v>0</v>
      </c>
      <c r="EI518" s="2">
        <v>0</v>
      </c>
      <c r="EK518" t="str">
        <f>IF(AND(AND(AND(OR($DX518=1,$DW518=1),OR($EC518=1,$EA518=1)),SUM($DV518:$DZ518,$EF518)&gt;=4),SUM($EA518:$EE518)&gt;=2),"Whole sector","")</f>
        <v/>
      </c>
      <c r="EL518" t="str">
        <f>IF(AND(AND(OR($DX518=1,$DW518=1),AND($EC518=0,$EA518=0)),SUM($DV518:$DZ518,$EF518)&gt;=4),"Ecosystem approach","")</f>
        <v/>
      </c>
      <c r="EM518" s="2" t="str">
        <f>IF(AND(AND(AND($DX518=0,$DW518=0),OR($EC518=1,$EA518=1)),SUM($EB518:$EE518)&gt;=2),"Technology approach","")</f>
        <v/>
      </c>
      <c r="EP518" t="str">
        <f>IF(ISNUMBER(BU518),IF(ABS(BU518-[4]QC_indicators!$B$2)&gt;3*[4]QC_indicators!$C$2,"C ratio",IF(ISNUMBER(BY518),IF(ABS(BY518-[4]QC_indicators!$B$1)&gt;3*[4]QC_indicators!$C$1,"DF","no"))),IF(ISNUMBER(BY518),IF(ABS(BY518-[4]QC_indicators!$B$1)&gt;3*[4]QC_indicators!$C$1,"DF","no")))</f>
        <v>no</v>
      </c>
      <c r="ER518" s="149" t="s">
        <v>349</v>
      </c>
      <c r="ET518" s="264" t="s">
        <v>3273</v>
      </c>
    </row>
    <row r="519" spans="1:151" ht="15" customHeight="1">
      <c r="A519" s="1" t="s">
        <v>1378</v>
      </c>
      <c r="B519" t="s">
        <v>1742</v>
      </c>
      <c r="C519" t="s">
        <v>1743</v>
      </c>
      <c r="D519" t="s">
        <v>1744</v>
      </c>
      <c r="E519" t="s">
        <v>1745</v>
      </c>
      <c r="F519" t="s">
        <v>1746</v>
      </c>
      <c r="G519" t="s">
        <v>1384</v>
      </c>
      <c r="H519" t="s">
        <v>254</v>
      </c>
      <c r="I519">
        <v>2019</v>
      </c>
      <c r="J519">
        <v>1</v>
      </c>
      <c r="K519" t="s">
        <v>1747</v>
      </c>
      <c r="M519" t="str">
        <f>LEFT($D519,FIND(",",$D519)-1)&amp;"_"&amp;I519&amp;L519</f>
        <v>Jones_2019</v>
      </c>
      <c r="N519" t="s">
        <v>222</v>
      </c>
      <c r="O519" s="171" t="s">
        <v>513</v>
      </c>
      <c r="P519" t="s">
        <v>960</v>
      </c>
      <c r="Q519" t="s">
        <v>389</v>
      </c>
      <c r="R519" s="269" t="s">
        <v>274</v>
      </c>
      <c r="S519" s="1" t="s">
        <v>1748</v>
      </c>
      <c r="T519" t="s">
        <v>1749</v>
      </c>
      <c r="U519" t="s">
        <v>1750</v>
      </c>
      <c r="V519" s="274">
        <v>1</v>
      </c>
      <c r="W519" s="274">
        <v>0</v>
      </c>
      <c r="X519" s="274">
        <v>0</v>
      </c>
      <c r="Y519" s="274">
        <v>0</v>
      </c>
      <c r="Z519" s="274">
        <v>0</v>
      </c>
      <c r="AA519" s="274">
        <v>0</v>
      </c>
      <c r="AB519" s="274">
        <v>0</v>
      </c>
      <c r="AC519" s="274">
        <v>0</v>
      </c>
      <c r="AD519" s="274">
        <v>0</v>
      </c>
      <c r="AE519" s="274">
        <v>0</v>
      </c>
      <c r="AF519" s="274">
        <v>0</v>
      </c>
      <c r="AG519" s="274">
        <v>0</v>
      </c>
      <c r="AH519" s="274">
        <v>0</v>
      </c>
      <c r="AI519" s="274">
        <v>0</v>
      </c>
      <c r="AJ519" s="274">
        <v>0</v>
      </c>
      <c r="AK519" s="274">
        <v>0</v>
      </c>
      <c r="AL519" s="274">
        <v>0</v>
      </c>
      <c r="AM519" s="274">
        <v>0</v>
      </c>
      <c r="AN519" s="274">
        <v>0</v>
      </c>
      <c r="AO519" s="274">
        <v>0</v>
      </c>
      <c r="AP519" s="274">
        <v>0</v>
      </c>
      <c r="AQ519" s="274">
        <v>0</v>
      </c>
      <c r="AR519" s="274">
        <v>0</v>
      </c>
      <c r="AS519" s="274">
        <v>0</v>
      </c>
      <c r="AT519" s="274">
        <v>2</v>
      </c>
      <c r="AU519" s="274">
        <v>0</v>
      </c>
      <c r="AV519" s="274">
        <v>0</v>
      </c>
      <c r="AW519" s="274">
        <v>2</v>
      </c>
      <c r="AX519" s="141">
        <f>COUNTIF(V519:AW519,"&lt;&gt;0")</f>
        <v>3</v>
      </c>
      <c r="AY519" s="141">
        <f>COUNTIF(V519:AL519,"&lt;&gt;0")</f>
        <v>1</v>
      </c>
      <c r="AZ519">
        <f>COUNTIF(V519:AC519,"&lt;&gt;0")</f>
        <v>1</v>
      </c>
      <c r="BA519">
        <f>COUNTIF(AD519:AI519,"&lt;&gt;0")</f>
        <v>0</v>
      </c>
      <c r="BB519">
        <f>COUNTIF(AJ519:AL519,"&lt;&gt;0")</f>
        <v>0</v>
      </c>
      <c r="BC519">
        <f>COUNTIF(AS519:AW519,"&lt;&gt;0")</f>
        <v>2</v>
      </c>
      <c r="BD519">
        <f>COUNTIF(AM519:AR519,"&lt;&gt;0")</f>
        <v>0</v>
      </c>
      <c r="BE519" s="274" t="str">
        <f t="array" ref="BE519">IF(AY519=1,INDEX($V$7:$AL$7,MATCH(TRUE,INDEX($V519:$AW519&lt;&gt;0,),0)),IF(AY519=0,INDEX($AM$7:$AW$7,MATCH(1,$AM519:$AW519,0)),IF(BF519="Multiple strategies","mixed drivers",IF(BF519="Supply chain","multiple supply","multiple silviculture"))))</f>
        <v>area subject to harvest</v>
      </c>
      <c r="BF519" s="2" t="str" cm="1">
        <f t="array" ref="BF519">IF(COUNTIF(AZ519:BB519,"&lt;&gt;0")=1,INDEX($V$4:$AW$4,MATCH(TRUE,INDEX($V519:$AW519&lt;&gt;0,),0)),IF(COUNTIF(AZ519:BB519,"&lt;&gt;0")=0,INDEX($AM$4:$AW$4,MATCH(1,$AM519:$AW519,0)),"Multiple strategies"))</f>
        <v>Silviculture for removals</v>
      </c>
      <c r="BG519" s="1" t="s">
        <v>321</v>
      </c>
      <c r="BH519" t="s">
        <v>1751</v>
      </c>
      <c r="BI519" t="s">
        <v>1752</v>
      </c>
      <c r="BJ519" t="s">
        <v>498</v>
      </c>
      <c r="BK519">
        <v>2099896818181.8174</v>
      </c>
      <c r="BL519">
        <v>2126067159090.9072</v>
      </c>
      <c r="BM519" t="s">
        <v>544</v>
      </c>
      <c r="BN519">
        <f>BL519-BK519</f>
        <v>26170340909.089844</v>
      </c>
      <c r="BO519">
        <f>BN519</f>
        <v>26170340909.089844</v>
      </c>
      <c r="BP519" t="s">
        <v>395</v>
      </c>
      <c r="BQ519" t="s">
        <v>1753</v>
      </c>
      <c r="BR519" t="s">
        <v>1754</v>
      </c>
      <c r="BS519">
        <v>-5630630.6306306301</v>
      </c>
      <c r="BT519">
        <v>-9234234.2342342511</v>
      </c>
      <c r="BU519" s="144">
        <v>1.6400000000000032</v>
      </c>
      <c r="BV519" s="152">
        <v>-3603603.603603621</v>
      </c>
      <c r="BX519" s="152">
        <f>BV519</f>
        <v>-3603603.603603621</v>
      </c>
      <c r="BY519">
        <f>IFERROR(BX519/BO519,"")</f>
        <v>-1.3769800004217629E-4</v>
      </c>
      <c r="BZ519">
        <v>0</v>
      </c>
      <c r="CA519">
        <v>0</v>
      </c>
      <c r="CB519">
        <v>0</v>
      </c>
      <c r="CC519">
        <v>0</v>
      </c>
      <c r="CD519">
        <v>0</v>
      </c>
      <c r="CE519">
        <v>0</v>
      </c>
      <c r="CF519">
        <v>0</v>
      </c>
      <c r="CG519">
        <v>0</v>
      </c>
      <c r="CH519">
        <v>0</v>
      </c>
      <c r="CI519">
        <v>0</v>
      </c>
      <c r="CJ519">
        <v>0</v>
      </c>
      <c r="CK519">
        <v>0</v>
      </c>
      <c r="CL519">
        <v>0</v>
      </c>
      <c r="CM519">
        <v>0</v>
      </c>
      <c r="CN519" t="str">
        <f>IF($BL519&lt;$BK519,"refNeedCorrection","refOK")</f>
        <v>refOK</v>
      </c>
      <c r="CO519">
        <f>IF($CN519="refOK",$BK519,$BL519)</f>
        <v>2099896818181.8174</v>
      </c>
      <c r="CP519">
        <f>IF($CN519="refOK",$BL519,$BK519)</f>
        <v>2126067159090.9072</v>
      </c>
      <c r="CQ519">
        <f>IF($CN519="refOK",$BO519,-$BO519)</f>
        <v>26170340909.089844</v>
      </c>
      <c r="CR519">
        <f>IF($CN519="refOK",$BS519,$BT519)*IF($BP519="Emissions positive",-1,1)</f>
        <v>5630630.6306306301</v>
      </c>
      <c r="CS519">
        <f>IF($CN519="refOK",$BT519,$BS519)*IF($BP519="Emissions positive",-1,1)</f>
        <v>9234234.2342342511</v>
      </c>
      <c r="CT519">
        <f>IF($CN519="refNeedCorrection",-BX519,BX519)*IF($BP519="Emissions positive",-1,1)</f>
        <v>3603603.603603621</v>
      </c>
      <c r="CU519">
        <f>IFERROR(CT519/CQ519,"")</f>
        <v>1.3769800004217629E-4</v>
      </c>
      <c r="CV519" s="2">
        <f>IFERROR((CS519-CR519)/ABS(CR519),"")</f>
        <v>0.64000000000000312</v>
      </c>
      <c r="CW519" s="1" t="s">
        <v>1199</v>
      </c>
      <c r="CX519" t="str">
        <f>IF(OR($CW519="prd",$CW519="std",$CW519="cit"),"loc",IF(OR($CW519="eur",$CW519="reg",$CW519="coy"),"reg",$CW519))</f>
        <v>reg</v>
      </c>
      <c r="CY519" t="s">
        <v>428</v>
      </c>
      <c r="CZ519">
        <v>2015</v>
      </c>
      <c r="DA519">
        <v>2060</v>
      </c>
      <c r="DB519">
        <v>0</v>
      </c>
      <c r="DC519" t="str">
        <f>IF(DB519=0,"0",IF(AND(DB519&gt;=1,DB519&lt;=30),"1-30",IF(AND(DB519&gt;30,DB519&lt;=70),"31-70",IF(AND(DB519&gt;70,DB519&lt;=100),"71-100",IF(DB519&gt;100,"+100")))))</f>
        <v>0</v>
      </c>
      <c r="DD519">
        <v>1</v>
      </c>
      <c r="DE519">
        <v>0</v>
      </c>
      <c r="DF519">
        <v>0</v>
      </c>
      <c r="DG519">
        <v>0</v>
      </c>
      <c r="DH519">
        <v>0</v>
      </c>
      <c r="DI519">
        <v>1</v>
      </c>
      <c r="DJ519" t="str">
        <f>IF(DI519=1,INDEX($DD$7:$DG$7,MATCH(1,$DD519:$DG519,0)),"mixedProduct")</f>
        <v>UpstreamInput</v>
      </c>
      <c r="DK519" t="str">
        <f>IF(DD519=1,DK$7,0)</f>
        <v>Upstream</v>
      </c>
      <c r="DL519">
        <f>IF(DE519=1,DL$7,0)</f>
        <v>0</v>
      </c>
      <c r="DM519">
        <f>IF(DF519=1,DM$7,0)</f>
        <v>0</v>
      </c>
      <c r="DN519">
        <f>IF(DG519=1,DN$7,0)</f>
        <v>0</v>
      </c>
      <c r="DO519">
        <v>0</v>
      </c>
      <c r="DP519">
        <v>0</v>
      </c>
      <c r="DQ519">
        <v>0</v>
      </c>
      <c r="DR519">
        <v>0</v>
      </c>
      <c r="DS519">
        <v>0</v>
      </c>
      <c r="DT519">
        <f>SUM(DO519:DP519)</f>
        <v>0</v>
      </c>
      <c r="DU519" s="143" t="s">
        <v>962</v>
      </c>
      <c r="DV519">
        <v>1</v>
      </c>
      <c r="DW519">
        <v>1</v>
      </c>
      <c r="DX519">
        <v>1</v>
      </c>
      <c r="DY519">
        <v>0</v>
      </c>
      <c r="DZ519">
        <v>0</v>
      </c>
      <c r="EA519" s="143">
        <v>0</v>
      </c>
      <c r="EB519">
        <v>0</v>
      </c>
      <c r="EC519">
        <v>0</v>
      </c>
      <c r="ED519">
        <v>0</v>
      </c>
      <c r="EE519">
        <v>0</v>
      </c>
      <c r="EF519">
        <v>1</v>
      </c>
      <c r="EG519">
        <v>0</v>
      </c>
      <c r="EH519">
        <v>1</v>
      </c>
      <c r="EI519" s="2">
        <v>0</v>
      </c>
      <c r="EK519" t="str">
        <f>IF(AND(AND(AND(OR($DX519=1,$DW519=1),OR($EC519=1,$EA519=1)),SUM($DV519:$DZ519,$EF519)&gt;=4),SUM($EA519:$EE519)&gt;=2),"Whole sector","")</f>
        <v/>
      </c>
      <c r="EL519" t="str">
        <f>IF(AND(AND(OR($DX519=1,$DW519=1),AND($EC519=0,$EA519=0)),SUM($DV519:$DZ519,$EF519)&gt;=4),"Ecosystem approach","")</f>
        <v>Ecosystem approach</v>
      </c>
      <c r="EM519" s="2" t="str">
        <f>IF(AND(AND(AND($DX519=0,$DW519=0),OR($EC519=1,$EA519=1)),SUM($EB519:$EE519)&gt;=2),"Technology approach","")</f>
        <v/>
      </c>
      <c r="EP519" t="str">
        <f>IF(ISNUMBER(BU519),IF(ABS(BU519-[2]QC_indicators!$B$2)&gt;3*[2]QC_indicators!$C$2,"C ratio",IF(ISNUMBER(BY519),IF(ABS(BY519-[2]QC_indicators!$B$1)&gt;3*[2]QC_indicators!$C$1,"DF","no"))),IF(ISNUMBER(BY519),IF(ABS(BY519-[2]QC_indicators!$B$1)&gt;3*[2]QC_indicators!$C$1,"DF","no")))</f>
        <v>no</v>
      </c>
      <c r="ER519" t="s">
        <v>1755</v>
      </c>
      <c r="ET519" s="264" t="s">
        <v>3267</v>
      </c>
      <c r="EU519" s="264"/>
    </row>
    <row r="520" spans="1:151" ht="15" customHeight="1">
      <c r="A520" s="1" t="s">
        <v>247</v>
      </c>
      <c r="B520" t="s">
        <v>641</v>
      </c>
      <c r="C520" t="s">
        <v>642</v>
      </c>
      <c r="D520" t="s">
        <v>643</v>
      </c>
      <c r="E520" t="s">
        <v>644</v>
      </c>
      <c r="F520" t="s">
        <v>645</v>
      </c>
      <c r="G520" t="s">
        <v>253</v>
      </c>
      <c r="H520" t="s">
        <v>254</v>
      </c>
      <c r="I520">
        <v>2014</v>
      </c>
      <c r="J520">
        <v>76</v>
      </c>
      <c r="K520" t="s">
        <v>646</v>
      </c>
      <c r="M520" t="str">
        <f>LEFT($D520,FIND(",",$D520)-1)&amp;"_"&amp;I520&amp;L520</f>
        <v>Dodoo_2014</v>
      </c>
      <c r="N520" t="s">
        <v>222</v>
      </c>
      <c r="O520" s="145" t="s">
        <v>223</v>
      </c>
      <c r="Q520" t="s">
        <v>256</v>
      </c>
      <c r="R520" s="255" t="s">
        <v>225</v>
      </c>
      <c r="S520" s="1" t="s">
        <v>647</v>
      </c>
      <c r="T520" t="s">
        <v>648</v>
      </c>
      <c r="U520" t="s">
        <v>649</v>
      </c>
      <c r="V520">
        <v>0</v>
      </c>
      <c r="W520">
        <v>0</v>
      </c>
      <c r="X520">
        <v>0</v>
      </c>
      <c r="Y520">
        <v>0</v>
      </c>
      <c r="Z520">
        <v>0</v>
      </c>
      <c r="AA520">
        <v>0</v>
      </c>
      <c r="AB520">
        <v>0</v>
      </c>
      <c r="AC520">
        <v>0</v>
      </c>
      <c r="AD520">
        <v>0</v>
      </c>
      <c r="AE520">
        <v>0</v>
      </c>
      <c r="AF520">
        <v>0</v>
      </c>
      <c r="AG520">
        <v>0</v>
      </c>
      <c r="AH520">
        <v>0</v>
      </c>
      <c r="AI520">
        <v>0</v>
      </c>
      <c r="AJ520">
        <v>0</v>
      </c>
      <c r="AK520">
        <v>1</v>
      </c>
      <c r="AL520">
        <v>0</v>
      </c>
      <c r="AM520">
        <v>0</v>
      </c>
      <c r="AN520">
        <v>0</v>
      </c>
      <c r="AO520">
        <v>0</v>
      </c>
      <c r="AP520">
        <v>0</v>
      </c>
      <c r="AQ520">
        <v>0</v>
      </c>
      <c r="AR520">
        <v>0</v>
      </c>
      <c r="AS520">
        <v>0</v>
      </c>
      <c r="AT520">
        <v>0</v>
      </c>
      <c r="AU520">
        <v>0</v>
      </c>
      <c r="AV520">
        <v>0</v>
      </c>
      <c r="AW520">
        <v>0</v>
      </c>
      <c r="AX520" s="141">
        <f>COUNTIF(V520:AW520,"&lt;&gt;0")</f>
        <v>1</v>
      </c>
      <c r="AY520" s="141">
        <f>COUNTIF(V520:AL520,"&lt;&gt;0")</f>
        <v>1</v>
      </c>
      <c r="AZ520">
        <f>COUNTIF(V520:AC520,"&lt;&gt;0")</f>
        <v>0</v>
      </c>
      <c r="BA520">
        <f>COUNTIF(AD520:AI520,"&lt;&gt;0")</f>
        <v>0</v>
      </c>
      <c r="BB520">
        <f>COUNTIF(AJ520:AL520,"&lt;&gt;0")</f>
        <v>1</v>
      </c>
      <c r="BC520">
        <f>COUNTIF(AS520:AW520,"&lt;&gt;0")</f>
        <v>0</v>
      </c>
      <c r="BD520">
        <f>COUNTIF(AM520:AR520,"&lt;&gt;0")</f>
        <v>0</v>
      </c>
      <c r="BE520" t="str">
        <f t="array" ref="BE520">IF(AY520=1,INDEX($V$7:$AL$7,MATCH(TRUE,INDEX($V520:$AW520&lt;&gt;0,),0)),IF(AY520=0,INDEX($AM$7:$AW$7,MATCH(1,$AM520:$AW520,0)),IF(BF520="Multiple strategies","mixed drivers",IF(BF520="Supply chain","multiple supply","multiple silviculture"))))</f>
        <v>technologies/design switch</v>
      </c>
      <c r="BF520" s="2" t="str" cm="1">
        <f t="array" ref="BF520">IF(COUNTIF(AZ520:BB520,"&lt;&gt;0")=1,INDEX($V$4:$AW$4,MATCH(TRUE,INDEX($V520:$AW520&lt;&gt;0,),0)),IF(COUNTIF(AZ520:BB520,"&lt;&gt;0")=0,INDEX($AM$4:$AW$4,MATCH(1,$AM520:$AW520,0)),"Multiple strategies"))</f>
        <v>Technology</v>
      </c>
      <c r="BG520" s="1" t="s">
        <v>229</v>
      </c>
      <c r="BH520" t="s">
        <v>650</v>
      </c>
      <c r="BI520" s="260" t="s">
        <v>3308</v>
      </c>
      <c r="BJ520" t="s">
        <v>651</v>
      </c>
      <c r="BK520" s="260">
        <f>55+21+10+5+5</f>
        <v>96</v>
      </c>
      <c r="BL520" s="260">
        <v>120</v>
      </c>
      <c r="BN520">
        <f>BL520-BK520</f>
        <v>24</v>
      </c>
      <c r="BO520">
        <f>BN520*t_to_m3</f>
        <v>48.979591836734699</v>
      </c>
      <c r="BP520" t="s">
        <v>232</v>
      </c>
      <c r="BQ520" s="260" t="s">
        <v>3310</v>
      </c>
      <c r="BR520" t="s">
        <v>262</v>
      </c>
      <c r="BS520">
        <v>27</v>
      </c>
      <c r="BT520">
        <v>38</v>
      </c>
      <c r="BU520" s="144">
        <v>1.4074074074074074</v>
      </c>
      <c r="BV520">
        <v>11</v>
      </c>
      <c r="BX520">
        <f>BV520/1000</f>
        <v>1.0999999999999999E-2</v>
      </c>
      <c r="BY520">
        <f>IFERROR(BX520/BO520,"")</f>
        <v>2.2458333333333331E-4</v>
      </c>
      <c r="BZ520">
        <v>0</v>
      </c>
      <c r="CA520">
        <v>0</v>
      </c>
      <c r="CB520">
        <v>0</v>
      </c>
      <c r="CC520">
        <v>0</v>
      </c>
      <c r="CD520">
        <v>0</v>
      </c>
      <c r="CE520">
        <v>0</v>
      </c>
      <c r="CF520">
        <v>0</v>
      </c>
      <c r="CG520">
        <v>0</v>
      </c>
      <c r="CH520">
        <v>0</v>
      </c>
      <c r="CI520">
        <v>0</v>
      </c>
      <c r="CJ520">
        <v>0</v>
      </c>
      <c r="CK520">
        <v>0</v>
      </c>
      <c r="CL520">
        <v>0</v>
      </c>
      <c r="CM520">
        <v>0</v>
      </c>
      <c r="CN520" t="str">
        <f>IF($BL520&lt;$BK520,"refNeedCorrection","refOK")</f>
        <v>refOK</v>
      </c>
      <c r="CO520">
        <f>IF($CN520="refOK",$BK520,$BL520)</f>
        <v>96</v>
      </c>
      <c r="CP520">
        <f>IF($CN520="refOK",$BL520,$BK520)</f>
        <v>120</v>
      </c>
      <c r="CQ520">
        <f>IF($CN520="refOK",$BO520,-$BO520)</f>
        <v>48.979591836734699</v>
      </c>
      <c r="CR520">
        <f>IF($CN520="refOK",$BS520,$BT520)*IF($BP520="Emissions positive",-1,1)</f>
        <v>27</v>
      </c>
      <c r="CS520">
        <f>IF($CN520="refOK",$BT520,$BS520)*IF($BP520="Emissions positive",-1,1)</f>
        <v>38</v>
      </c>
      <c r="CT520">
        <f>IF($CN520="refNeedCorrection",-BX520,BX520)*IF($BP520="Emissions positive",-1,1)</f>
        <v>1.0999999999999999E-2</v>
      </c>
      <c r="CU520">
        <f>IFERROR(CT520/CQ520,"")</f>
        <v>2.2458333333333331E-4</v>
      </c>
      <c r="CV520" s="2">
        <f>IFERROR((CS520-CR520)/ABS(CR520),"")</f>
        <v>0.40740740740740738</v>
      </c>
      <c r="CW520" s="1" t="s">
        <v>263</v>
      </c>
      <c r="CX520" t="str">
        <f>IF(OR($CW520="prd",$CW520="std",$CW520="cit"),"loc",IF(OR($CW520="eur",$CW520="reg",$CW520="coy"),"reg",$CW520))</f>
        <v>loc</v>
      </c>
      <c r="CY520" t="s">
        <v>444</v>
      </c>
      <c r="DB520">
        <v>50</v>
      </c>
      <c r="DC520" t="str">
        <f>IF(DB520=0,"0",IF(AND(DB520&gt;=1,DB520&lt;=30),"1-30",IF(AND(DB520&gt;30,DB520&lt;=70),"31-70",IF(AND(DB520&gt;70,DB520&lt;=100),"71-100",IF(DB520&gt;100,"+100")))))</f>
        <v>31-70</v>
      </c>
      <c r="DD520">
        <v>0</v>
      </c>
      <c r="DE520">
        <v>0</v>
      </c>
      <c r="DF520">
        <v>0</v>
      </c>
      <c r="DG520">
        <v>1</v>
      </c>
      <c r="DI520">
        <f>SUM(DD520:DG520)</f>
        <v>1</v>
      </c>
      <c r="DJ520" t="str">
        <f>IF(DI520=1,INDEX($DD$7:$DG$7,MATCH(1,$DD520:$DG520,0)),"mixedProduct")</f>
        <v>TimberInput</v>
      </c>
      <c r="DK520">
        <f>IF(DD520=1,DK$7,0)</f>
        <v>0</v>
      </c>
      <c r="DL520">
        <f>IF(DE520=1,DL$7,0)</f>
        <v>0</v>
      </c>
      <c r="DM520">
        <f>IF(DF520=1,DM$7,0)</f>
        <v>0</v>
      </c>
      <c r="DN520" t="str">
        <f>IF(DG520=1,DN$7,0)</f>
        <v>Timber</v>
      </c>
      <c r="DO520">
        <v>0</v>
      </c>
      <c r="DP520">
        <v>0</v>
      </c>
      <c r="DQ520">
        <v>0</v>
      </c>
      <c r="DR520">
        <v>0</v>
      </c>
      <c r="DS520">
        <v>0</v>
      </c>
      <c r="DT520">
        <f>SUM(DO520:DP520)</f>
        <v>0</v>
      </c>
      <c r="DU520" s="143" t="str">
        <f>IF(DO520=1,"self-calculated DF",IF(DP520=1,"external DF used","explicit C balance"))</f>
        <v>explicit C balance</v>
      </c>
      <c r="DV520">
        <v>0</v>
      </c>
      <c r="DW520">
        <v>0</v>
      </c>
      <c r="DX520">
        <v>0</v>
      </c>
      <c r="DY520">
        <v>1</v>
      </c>
      <c r="DZ520">
        <v>0</v>
      </c>
      <c r="EA520" s="143">
        <v>0</v>
      </c>
      <c r="EB520">
        <v>0</v>
      </c>
      <c r="EC520">
        <v>1</v>
      </c>
      <c r="ED520">
        <v>0</v>
      </c>
      <c r="EE520">
        <v>0</v>
      </c>
      <c r="EF520">
        <v>0</v>
      </c>
      <c r="EG520">
        <v>0</v>
      </c>
      <c r="EH520">
        <v>0</v>
      </c>
      <c r="EI520" s="2">
        <v>0</v>
      </c>
      <c r="EK520" t="str">
        <f>IF(AND(AND(AND(OR($DX520=1,$DW520=1),OR($EC520=1,$EA520=1)),SUM($DV520:$DZ520,$EF520)&gt;=4),SUM($EA520:$EE520)&gt;=2),"Whole sector","")</f>
        <v/>
      </c>
      <c r="EL520" t="str">
        <f>IF(AND(AND(OR($DX520=1,$DW520=1),AND($EC520=0,$EA520=0)),SUM($DV520:$DZ520,$EF520)&gt;=4),"Ecosystem approach","")</f>
        <v/>
      </c>
      <c r="EM520" s="2" t="str">
        <f>IF(AND(AND(AND($DX520=0,$DW520=0),OR($EC520=1,$EA520=1)),SUM($EB520:$EE520)&gt;=2),"Technology approach","")</f>
        <v/>
      </c>
      <c r="EP520" t="str">
        <f>IF(ISNUMBER(BU520),IF(ABS(BU520-[4]QC_indicators!$B$2)&gt;3*[4]QC_indicators!$C$2,"C ratio",IF(ISNUMBER(BY520),IF(ABS(BY520-[4]QC_indicators!$B$1)&gt;3*[4]QC_indicators!$C$1,"DF","no"))),IF(ISNUMBER(BY520),IF(ABS(BY520-[4]QC_indicators!$B$1)&gt;3*[4]QC_indicators!$C$1,"DF","no")))</f>
        <v>no</v>
      </c>
      <c r="ER520" s="149" t="s">
        <v>349</v>
      </c>
      <c r="ET520" s="264" t="s">
        <v>3273</v>
      </c>
    </row>
    <row r="521" spans="1:151" ht="15" customHeight="1">
      <c r="A521" s="1" t="s">
        <v>1378</v>
      </c>
      <c r="B521" t="s">
        <v>1742</v>
      </c>
      <c r="C521" t="s">
        <v>1743</v>
      </c>
      <c r="D521" t="s">
        <v>1744</v>
      </c>
      <c r="E521" t="s">
        <v>1745</v>
      </c>
      <c r="F521" t="s">
        <v>1746</v>
      </c>
      <c r="G521" t="s">
        <v>1384</v>
      </c>
      <c r="H521" t="s">
        <v>254</v>
      </c>
      <c r="I521">
        <v>2019</v>
      </c>
      <c r="J521">
        <v>1</v>
      </c>
      <c r="K521" t="s">
        <v>1747</v>
      </c>
      <c r="M521" t="str">
        <f>LEFT($D521,FIND(",",$D521)-1)&amp;"_"&amp;I521&amp;L521</f>
        <v>Jones_2019</v>
      </c>
      <c r="N521" t="s">
        <v>222</v>
      </c>
      <c r="O521" s="171" t="s">
        <v>513</v>
      </c>
      <c r="P521" t="s">
        <v>960</v>
      </c>
      <c r="Q521" t="s">
        <v>389</v>
      </c>
      <c r="R521" s="269" t="s">
        <v>274</v>
      </c>
      <c r="S521" s="1" t="s">
        <v>1748</v>
      </c>
      <c r="T521" t="s">
        <v>1749</v>
      </c>
      <c r="U521" t="s">
        <v>1750</v>
      </c>
      <c r="V521" s="274">
        <v>1</v>
      </c>
      <c r="W521" s="274">
        <v>0</v>
      </c>
      <c r="X521" s="274">
        <v>0</v>
      </c>
      <c r="Y521" s="274">
        <v>0</v>
      </c>
      <c r="Z521" s="274">
        <v>0</v>
      </c>
      <c r="AA521" s="274">
        <v>0</v>
      </c>
      <c r="AB521" s="274">
        <v>0</v>
      </c>
      <c r="AC521" s="274">
        <v>0</v>
      </c>
      <c r="AD521" s="274">
        <v>0</v>
      </c>
      <c r="AE521" s="274">
        <v>0</v>
      </c>
      <c r="AF521" s="274">
        <v>0</v>
      </c>
      <c r="AG521" s="274">
        <v>0</v>
      </c>
      <c r="AH521" s="274">
        <v>0</v>
      </c>
      <c r="AI521" s="274">
        <v>0</v>
      </c>
      <c r="AJ521" s="274">
        <v>0</v>
      </c>
      <c r="AK521" s="274">
        <v>0</v>
      </c>
      <c r="AL521" s="274">
        <v>0</v>
      </c>
      <c r="AM521" s="274">
        <v>0</v>
      </c>
      <c r="AN521" s="274">
        <v>0</v>
      </c>
      <c r="AO521" s="274">
        <v>0</v>
      </c>
      <c r="AP521" s="274">
        <v>0</v>
      </c>
      <c r="AQ521" s="274">
        <v>0</v>
      </c>
      <c r="AR521" s="274">
        <v>0</v>
      </c>
      <c r="AS521" s="274">
        <v>0</v>
      </c>
      <c r="AT521" s="274">
        <v>2</v>
      </c>
      <c r="AU521" s="274">
        <v>0</v>
      </c>
      <c r="AV521" s="274">
        <v>0</v>
      </c>
      <c r="AW521" s="274">
        <v>2</v>
      </c>
      <c r="AX521" s="141">
        <f>COUNTIF(V521:AW521,"&lt;&gt;0")</f>
        <v>3</v>
      </c>
      <c r="AY521" s="141">
        <f>COUNTIF(V521:AL521,"&lt;&gt;0")</f>
        <v>1</v>
      </c>
      <c r="AZ521">
        <f>COUNTIF(V521:AC521,"&lt;&gt;0")</f>
        <v>1</v>
      </c>
      <c r="BA521">
        <f>COUNTIF(AD521:AI521,"&lt;&gt;0")</f>
        <v>0</v>
      </c>
      <c r="BB521">
        <f>COUNTIF(AJ521:AL521,"&lt;&gt;0")</f>
        <v>0</v>
      </c>
      <c r="BC521">
        <f>COUNTIF(AS521:AW521,"&lt;&gt;0")</f>
        <v>2</v>
      </c>
      <c r="BD521">
        <f>COUNTIF(AM521:AR521,"&lt;&gt;0")</f>
        <v>0</v>
      </c>
      <c r="BE521" s="274" t="str">
        <f t="array" ref="BE521">IF(AY521=1,INDEX($V$7:$AL$7,MATCH(TRUE,INDEX($V521:$AW521&lt;&gt;0,),0)),IF(AY521=0,INDEX($AM$7:$AW$7,MATCH(1,$AM521:$AW521,0)),IF(BF521="Multiple strategies","mixed drivers",IF(BF521="Supply chain","multiple supply","multiple silviculture"))))</f>
        <v>area subject to harvest</v>
      </c>
      <c r="BF521" s="2" t="str" cm="1">
        <f t="array" ref="BF521">IF(COUNTIF(AZ521:BB521,"&lt;&gt;0")=1,INDEX($V$4:$AW$4,MATCH(TRUE,INDEX($V521:$AW521&lt;&gt;0,),0)),IF(COUNTIF(AZ521:BB521,"&lt;&gt;0")=0,INDEX($AM$4:$AW$4,MATCH(1,$AM521:$AW521,0)),"Multiple strategies"))</f>
        <v>Silviculture for removals</v>
      </c>
      <c r="BG521" s="1" t="s">
        <v>321</v>
      </c>
      <c r="BH521" t="s">
        <v>1751</v>
      </c>
      <c r="BI521" t="s">
        <v>1752</v>
      </c>
      <c r="BJ521" t="s">
        <v>498</v>
      </c>
      <c r="BK521">
        <v>1311119090909.0903</v>
      </c>
      <c r="BL521">
        <v>1318747840909.0903</v>
      </c>
      <c r="BM521" t="s">
        <v>544</v>
      </c>
      <c r="BN521">
        <f>BL521-BK521</f>
        <v>7628750000</v>
      </c>
      <c r="BO521">
        <f>BN521</f>
        <v>7628750000</v>
      </c>
      <c r="BP521" t="s">
        <v>395</v>
      </c>
      <c r="BQ521" t="s">
        <v>1753</v>
      </c>
      <c r="BR521" t="s">
        <v>1754</v>
      </c>
      <c r="BS521">
        <v>-5605095.5414012698</v>
      </c>
      <c r="BT521">
        <v>-6942675.1592356702</v>
      </c>
      <c r="BU521" s="144">
        <v>1.3963963963963968</v>
      </c>
      <c r="BV521" s="152">
        <v>-1981981.9819819806</v>
      </c>
      <c r="BX521" s="152">
        <f>BV521</f>
        <v>-1981981.9819819806</v>
      </c>
      <c r="BY521">
        <f>IFERROR(BX521/BO521,"")</f>
        <v>-2.5980429060881282E-4</v>
      </c>
      <c r="BZ521">
        <v>0</v>
      </c>
      <c r="CA521">
        <v>0</v>
      </c>
      <c r="CB521">
        <v>0</v>
      </c>
      <c r="CC521">
        <v>0</v>
      </c>
      <c r="CD521">
        <v>0</v>
      </c>
      <c r="CE521">
        <v>0</v>
      </c>
      <c r="CF521">
        <v>0</v>
      </c>
      <c r="CG521">
        <v>0</v>
      </c>
      <c r="CH521">
        <v>0</v>
      </c>
      <c r="CI521">
        <v>0</v>
      </c>
      <c r="CJ521">
        <v>0</v>
      </c>
      <c r="CK521">
        <v>0</v>
      </c>
      <c r="CL521">
        <v>0</v>
      </c>
      <c r="CM521">
        <v>0</v>
      </c>
      <c r="CN521" t="str">
        <f>IF($BL521&lt;$BK521,"refNeedCorrection","refOK")</f>
        <v>refOK</v>
      </c>
      <c r="CO521">
        <f>IF($CN521="refOK",$BK521,$BL521)</f>
        <v>1311119090909.0903</v>
      </c>
      <c r="CP521">
        <f>IF($CN521="refOK",$BL521,$BK521)</f>
        <v>1318747840909.0903</v>
      </c>
      <c r="CQ521">
        <f>IF($CN521="refOK",$BO521,-$BO521)</f>
        <v>7628750000</v>
      </c>
      <c r="CR521">
        <f>IF($CN521="refOK",$BS521,$BT521)*IF($BP521="Emissions positive",-1,1)</f>
        <v>5605095.5414012698</v>
      </c>
      <c r="CS521">
        <f>IF($CN521="refOK",$BT521,$BS521)*IF($BP521="Emissions positive",-1,1)</f>
        <v>6942675.1592356702</v>
      </c>
      <c r="CT521">
        <f>IF($CN521="refNeedCorrection",-BX521,BX521)*IF($BP521="Emissions positive",-1,1)</f>
        <v>1981981.9819819806</v>
      </c>
      <c r="CU521">
        <f>IFERROR(CT521/CQ521,"")</f>
        <v>2.5980429060881282E-4</v>
      </c>
      <c r="CV521" s="2">
        <f>IFERROR((CS521-CR521)/ABS(CR521),"")</f>
        <v>0.23863636363636478</v>
      </c>
      <c r="CW521" s="1" t="s">
        <v>1199</v>
      </c>
      <c r="CX521" t="str">
        <f>IF(OR($CW521="prd",$CW521="std",$CW521="cit"),"loc",IF(OR($CW521="eur",$CW521="reg",$CW521="coy"),"reg",$CW521))</f>
        <v>reg</v>
      </c>
      <c r="CY521" t="s">
        <v>428</v>
      </c>
      <c r="CZ521">
        <v>2015</v>
      </c>
      <c r="DA521">
        <v>2040</v>
      </c>
      <c r="DB521">
        <v>0</v>
      </c>
      <c r="DC521" t="str">
        <f>IF(DB521=0,"0",IF(AND(DB521&gt;=1,DB521&lt;=30),"1-30",IF(AND(DB521&gt;30,DB521&lt;=70),"31-70",IF(AND(DB521&gt;70,DB521&lt;=100),"71-100",IF(DB521&gt;100,"+100")))))</f>
        <v>0</v>
      </c>
      <c r="DD521">
        <v>1</v>
      </c>
      <c r="DE521">
        <v>0</v>
      </c>
      <c r="DF521">
        <v>0</v>
      </c>
      <c r="DG521">
        <v>0</v>
      </c>
      <c r="DH521">
        <v>0</v>
      </c>
      <c r="DI521">
        <v>1</v>
      </c>
      <c r="DJ521" t="str">
        <f>IF(DI521=1,INDEX($DD$7:$DG$7,MATCH(1,$DD521:$DG521,0)),"mixedProduct")</f>
        <v>UpstreamInput</v>
      </c>
      <c r="DK521" t="str">
        <f>IF(DD521=1,DK$7,0)</f>
        <v>Upstream</v>
      </c>
      <c r="DL521">
        <f>IF(DE521=1,DL$7,0)</f>
        <v>0</v>
      </c>
      <c r="DM521">
        <f>IF(DF521=1,DM$7,0)</f>
        <v>0</v>
      </c>
      <c r="DN521">
        <f>IF(DG521=1,DN$7,0)</f>
        <v>0</v>
      </c>
      <c r="DO521">
        <v>0</v>
      </c>
      <c r="DP521">
        <v>0</v>
      </c>
      <c r="DQ521">
        <v>0</v>
      </c>
      <c r="DR521">
        <v>0</v>
      </c>
      <c r="DS521">
        <v>0</v>
      </c>
      <c r="DT521">
        <f>SUM(DO521:DP521)</f>
        <v>0</v>
      </c>
      <c r="DU521" s="143" t="s">
        <v>962</v>
      </c>
      <c r="DV521">
        <v>1</v>
      </c>
      <c r="DW521">
        <v>1</v>
      </c>
      <c r="DX521">
        <v>1</v>
      </c>
      <c r="DY521">
        <v>0</v>
      </c>
      <c r="DZ521">
        <v>0</v>
      </c>
      <c r="EA521" s="143">
        <v>0</v>
      </c>
      <c r="EB521">
        <v>0</v>
      </c>
      <c r="EC521">
        <v>0</v>
      </c>
      <c r="ED521">
        <v>0</v>
      </c>
      <c r="EE521">
        <v>0</v>
      </c>
      <c r="EF521">
        <v>1</v>
      </c>
      <c r="EG521" s="143">
        <v>0</v>
      </c>
      <c r="EH521" s="143">
        <v>1</v>
      </c>
      <c r="EI521" s="2">
        <v>0</v>
      </c>
      <c r="EK521" t="str">
        <f>IF(AND(AND(AND(OR($DX521=1,$DW521=1),OR($EC521=1,$EA521=1)),SUM($DV521:$DZ521,$EF521)&gt;=4),SUM($EA521:$EE521)&gt;=2),"Whole sector","")</f>
        <v/>
      </c>
      <c r="EL521" t="str">
        <f>IF(AND(AND(OR($DX521=1,$DW521=1),AND($EC521=0,$EA521=0)),SUM($DV521:$DZ521,$EF521)&gt;=4),"Ecosystem approach","")</f>
        <v>Ecosystem approach</v>
      </c>
      <c r="EM521" s="2" t="str">
        <f>IF(AND(AND(AND($DX521=0,$DW521=0),OR($EC521=1,$EA521=1)),SUM($EB521:$EE521)&gt;=2),"Technology approach","")</f>
        <v/>
      </c>
      <c r="EP521" t="str">
        <f>IF(ISNUMBER(BU521),IF(ABS(BU521-[2]QC_indicators!$B$2)&gt;3*[2]QC_indicators!$C$2,"C ratio",IF(ISNUMBER(BY521),IF(ABS(BY521-[2]QC_indicators!$B$1)&gt;3*[2]QC_indicators!$C$1,"DF","no"))),IF(ISNUMBER(BY521),IF(ABS(BY521-[2]QC_indicators!$B$1)&gt;3*[2]QC_indicators!$C$1,"DF","no")))</f>
        <v>no</v>
      </c>
      <c r="ER521" t="s">
        <v>1755</v>
      </c>
      <c r="ET521" s="264" t="s">
        <v>3268</v>
      </c>
      <c r="EU521" s="264"/>
    </row>
    <row r="522" spans="1:151" ht="15" customHeight="1">
      <c r="A522" s="1" t="s">
        <v>1378</v>
      </c>
      <c r="B522" t="s">
        <v>1742</v>
      </c>
      <c r="C522" t="s">
        <v>1743</v>
      </c>
      <c r="D522" t="s">
        <v>1744</v>
      </c>
      <c r="E522" t="s">
        <v>1745</v>
      </c>
      <c r="F522" t="s">
        <v>1746</v>
      </c>
      <c r="G522" t="s">
        <v>1384</v>
      </c>
      <c r="H522" t="s">
        <v>254</v>
      </c>
      <c r="I522">
        <v>2019</v>
      </c>
      <c r="J522">
        <v>1</v>
      </c>
      <c r="K522" t="s">
        <v>1747</v>
      </c>
      <c r="M522" t="str">
        <f>LEFT($D522,FIND(",",$D522)-1)&amp;"_"&amp;I522&amp;L522</f>
        <v>Jones_2019</v>
      </c>
      <c r="N522" t="s">
        <v>222</v>
      </c>
      <c r="O522" s="171" t="s">
        <v>513</v>
      </c>
      <c r="P522" t="s">
        <v>960</v>
      </c>
      <c r="Q522" t="s">
        <v>389</v>
      </c>
      <c r="R522" s="269" t="s">
        <v>274</v>
      </c>
      <c r="S522" s="1" t="s">
        <v>1758</v>
      </c>
      <c r="T522" t="s">
        <v>1759</v>
      </c>
      <c r="U522" t="s">
        <v>1750</v>
      </c>
      <c r="V522" s="274">
        <v>1</v>
      </c>
      <c r="W522" s="274">
        <v>0</v>
      </c>
      <c r="X522" s="274">
        <v>0</v>
      </c>
      <c r="Y522" s="274">
        <v>0</v>
      </c>
      <c r="Z522" s="274">
        <v>0</v>
      </c>
      <c r="AA522" s="274">
        <v>0</v>
      </c>
      <c r="AB522" s="274">
        <v>0</v>
      </c>
      <c r="AC522" s="274">
        <v>0</v>
      </c>
      <c r="AD522" s="274">
        <v>0</v>
      </c>
      <c r="AE522" s="274">
        <v>0</v>
      </c>
      <c r="AF522" s="274">
        <v>0</v>
      </c>
      <c r="AG522" s="274">
        <v>0</v>
      </c>
      <c r="AH522" s="274">
        <v>0</v>
      </c>
      <c r="AI522" s="274">
        <v>0</v>
      </c>
      <c r="AJ522" s="274">
        <v>0</v>
      </c>
      <c r="AK522" s="274">
        <v>0</v>
      </c>
      <c r="AL522" s="274">
        <v>0</v>
      </c>
      <c r="AM522" s="274">
        <v>0</v>
      </c>
      <c r="AN522" s="274">
        <v>0</v>
      </c>
      <c r="AO522" s="274">
        <v>0</v>
      </c>
      <c r="AP522" s="274">
        <v>0</v>
      </c>
      <c r="AQ522" s="274">
        <v>0</v>
      </c>
      <c r="AR522" s="274">
        <v>0</v>
      </c>
      <c r="AS522" s="274">
        <v>0</v>
      </c>
      <c r="AT522" s="274">
        <v>2</v>
      </c>
      <c r="AU522" s="274">
        <v>0</v>
      </c>
      <c r="AV522" s="274">
        <v>0</v>
      </c>
      <c r="AW522" s="274">
        <v>2</v>
      </c>
      <c r="AX522" s="141">
        <f>COUNTIF(V522:AW522,"&lt;&gt;0")</f>
        <v>3</v>
      </c>
      <c r="AY522" s="141">
        <f>COUNTIF(V522:AL522,"&lt;&gt;0")</f>
        <v>1</v>
      </c>
      <c r="AZ522">
        <f>COUNTIF(V522:AC522,"&lt;&gt;0")</f>
        <v>1</v>
      </c>
      <c r="BA522">
        <f>COUNTIF(AD522:AI522,"&lt;&gt;0")</f>
        <v>0</v>
      </c>
      <c r="BB522">
        <f>COUNTIF(AJ522:AL522,"&lt;&gt;0")</f>
        <v>0</v>
      </c>
      <c r="BC522">
        <f>COUNTIF(AS522:AW522,"&lt;&gt;0")</f>
        <v>2</v>
      </c>
      <c r="BD522">
        <f>COUNTIF(AM522:AR522,"&lt;&gt;0")</f>
        <v>0</v>
      </c>
      <c r="BE522" s="274" t="str">
        <f t="array" ref="BE522">IF(AY522=1,INDEX($V$7:$AL$7,MATCH(TRUE,INDEX($V522:$AW522&lt;&gt;0,),0)),IF(AY522=0,INDEX($AM$7:$AW$7,MATCH(1,$AM522:$AW522,0)),IF(BF522="Multiple strategies","mixed drivers",IF(BF522="Supply chain","multiple supply","multiple silviculture"))))</f>
        <v>area subject to harvest</v>
      </c>
      <c r="BF522" s="2" t="str" cm="1">
        <f t="array" ref="BF522">IF(COUNTIF(AZ522:BB522,"&lt;&gt;0")=1,INDEX($V$4:$AW$4,MATCH(TRUE,INDEX($V522:$AW522&lt;&gt;0,),0)),IF(COUNTIF(AZ522:BB522,"&lt;&gt;0")=0,INDEX($AM$4:$AW$4,MATCH(1,$AM522:$AW522,0)),"Multiple strategies"))</f>
        <v>Silviculture for removals</v>
      </c>
      <c r="BG522" s="1" t="s">
        <v>321</v>
      </c>
      <c r="BH522" t="s">
        <v>1751</v>
      </c>
      <c r="BI522" t="s">
        <v>1752</v>
      </c>
      <c r="BJ522" t="s">
        <v>498</v>
      </c>
      <c r="BK522">
        <v>1309693749999.9995</v>
      </c>
      <c r="BL522">
        <v>1318747840909.0903</v>
      </c>
      <c r="BM522" t="s">
        <v>544</v>
      </c>
      <c r="BN522">
        <f>BL522-BK522</f>
        <v>9054090909.0908203</v>
      </c>
      <c r="BO522">
        <f>BN522</f>
        <v>9054090909.0908203</v>
      </c>
      <c r="BP522" t="s">
        <v>395</v>
      </c>
      <c r="BQ522" t="s">
        <v>1753</v>
      </c>
      <c r="BR522" t="s">
        <v>1754</v>
      </c>
      <c r="BS522">
        <v>-5095541.4012738802</v>
      </c>
      <c r="BT522">
        <v>-6942675.1592356702</v>
      </c>
      <c r="BU522" s="144">
        <v>1.519607843137238</v>
      </c>
      <c r="BV522" s="152">
        <v>-2387387.3873873334</v>
      </c>
      <c r="BX522" s="152">
        <f>BV522</f>
        <v>-2387387.3873873334</v>
      </c>
      <c r="BY522">
        <f>IFERROR(BX522/BO522,"")</f>
        <v>-2.6368051871339854E-4</v>
      </c>
      <c r="BZ522">
        <v>0</v>
      </c>
      <c r="CA522">
        <v>0</v>
      </c>
      <c r="CB522">
        <v>0</v>
      </c>
      <c r="CC522">
        <v>0</v>
      </c>
      <c r="CD522">
        <v>0</v>
      </c>
      <c r="CE522">
        <v>0</v>
      </c>
      <c r="CF522">
        <v>0</v>
      </c>
      <c r="CG522">
        <v>0</v>
      </c>
      <c r="CH522">
        <v>0</v>
      </c>
      <c r="CI522">
        <v>0</v>
      </c>
      <c r="CJ522">
        <v>0</v>
      </c>
      <c r="CK522">
        <v>0</v>
      </c>
      <c r="CL522">
        <v>0</v>
      </c>
      <c r="CM522">
        <v>0</v>
      </c>
      <c r="CN522" t="str">
        <f>IF($BL522&lt;$BK522,"refNeedCorrection","refOK")</f>
        <v>refOK</v>
      </c>
      <c r="CO522">
        <f>IF($CN522="refOK",$BK522,$BL522)</f>
        <v>1309693749999.9995</v>
      </c>
      <c r="CP522">
        <f>IF($CN522="refOK",$BL522,$BK522)</f>
        <v>1318747840909.0903</v>
      </c>
      <c r="CQ522">
        <f>IF($CN522="refOK",$BO522,-$BO522)</f>
        <v>9054090909.0908203</v>
      </c>
      <c r="CR522">
        <f>IF($CN522="refOK",$BS522,$BT522)*IF($BP522="Emissions positive",-1,1)</f>
        <v>5095541.4012738802</v>
      </c>
      <c r="CS522">
        <f>IF($CN522="refOK",$BT522,$BS522)*IF($BP522="Emissions positive",-1,1)</f>
        <v>6942675.1592356702</v>
      </c>
      <c r="CT522">
        <f>IF($CN522="refNeedCorrection",-BX522,BX522)*IF($BP522="Emissions positive",-1,1)</f>
        <v>2387387.3873873334</v>
      </c>
      <c r="CU522">
        <f>IFERROR(CT522/CQ522,"")</f>
        <v>2.6368051871339854E-4</v>
      </c>
      <c r="CV522" s="2">
        <f>IFERROR((CS522-CR522)/ABS(CR522),"")</f>
        <v>0.36250000000000165</v>
      </c>
      <c r="CW522" s="1" t="s">
        <v>1199</v>
      </c>
      <c r="CX522" t="str">
        <f>IF(OR($CW522="prd",$CW522="std",$CW522="cit"),"loc",IF(OR($CW522="eur",$CW522="reg",$CW522="coy"),"reg",$CW522))</f>
        <v>reg</v>
      </c>
      <c r="CY522" t="s">
        <v>428</v>
      </c>
      <c r="CZ522">
        <v>2015</v>
      </c>
      <c r="DA522">
        <v>2040</v>
      </c>
      <c r="DB522">
        <v>0</v>
      </c>
      <c r="DC522" t="str">
        <f>IF(DB522=0,"0",IF(AND(DB522&gt;=1,DB522&lt;=30),"1-30",IF(AND(DB522&gt;30,DB522&lt;=70),"31-70",IF(AND(DB522&gt;70,DB522&lt;=100),"71-100",IF(DB522&gt;100,"+100")))))</f>
        <v>0</v>
      </c>
      <c r="DD522">
        <v>1</v>
      </c>
      <c r="DE522">
        <v>0</v>
      </c>
      <c r="DF522">
        <v>0</v>
      </c>
      <c r="DG522">
        <v>0</v>
      </c>
      <c r="DH522">
        <v>0</v>
      </c>
      <c r="DI522">
        <v>1</v>
      </c>
      <c r="DJ522" t="str">
        <f>IF(DI522=1,INDEX($DD$7:$DG$7,MATCH(1,$DD522:$DG522,0)),"mixedProduct")</f>
        <v>UpstreamInput</v>
      </c>
      <c r="DK522" t="str">
        <f>IF(DD522=1,DK$7,0)</f>
        <v>Upstream</v>
      </c>
      <c r="DL522">
        <f>IF(DE522=1,DL$7,0)</f>
        <v>0</v>
      </c>
      <c r="DM522">
        <f>IF(DF522=1,DM$7,0)</f>
        <v>0</v>
      </c>
      <c r="DN522">
        <f>IF(DG522=1,DN$7,0)</f>
        <v>0</v>
      </c>
      <c r="DO522">
        <v>0</v>
      </c>
      <c r="DP522">
        <v>0</v>
      </c>
      <c r="DQ522">
        <v>0</v>
      </c>
      <c r="DR522">
        <v>0</v>
      </c>
      <c r="DS522">
        <v>0</v>
      </c>
      <c r="DT522">
        <f>SUM(DO522:DP522)</f>
        <v>0</v>
      </c>
      <c r="DU522" s="143" t="s">
        <v>962</v>
      </c>
      <c r="DV522">
        <v>1</v>
      </c>
      <c r="DW522">
        <v>1</v>
      </c>
      <c r="DX522">
        <v>1</v>
      </c>
      <c r="DY522">
        <v>0</v>
      </c>
      <c r="DZ522">
        <v>0</v>
      </c>
      <c r="EA522" s="143">
        <v>0</v>
      </c>
      <c r="EB522">
        <v>0</v>
      </c>
      <c r="EC522">
        <v>0</v>
      </c>
      <c r="ED522">
        <v>0</v>
      </c>
      <c r="EE522">
        <v>0</v>
      </c>
      <c r="EF522">
        <v>1</v>
      </c>
      <c r="EG522">
        <v>0</v>
      </c>
      <c r="EH522">
        <v>1</v>
      </c>
      <c r="EI522" s="2">
        <v>0</v>
      </c>
      <c r="EK522" t="str">
        <f>IF(AND(AND(AND(OR($DX522=1,$DW522=1),OR($EC522=1,$EA522=1)),SUM($DV522:$DZ522,$EF522)&gt;=4),SUM($EA522:$EE522)&gt;=2),"Whole sector","")</f>
        <v/>
      </c>
      <c r="EL522" t="str">
        <f>IF(AND(AND(OR($DX522=1,$DW522=1),AND($EC522=0,$EA522=0)),SUM($DV522:$DZ522,$EF522)&gt;=4),"Ecosystem approach","")</f>
        <v>Ecosystem approach</v>
      </c>
      <c r="EM522" s="2" t="str">
        <f>IF(AND(AND(AND($DX522=0,$DW522=0),OR($EC522=1,$EA522=1)),SUM($EB522:$EE522)&gt;=2),"Technology approach","")</f>
        <v/>
      </c>
      <c r="EP522" t="str">
        <f>IF(ISNUMBER(BU522),IF(ABS(BU522-[2]QC_indicators!$B$2)&gt;3*[2]QC_indicators!$C$2,"C ratio",IF(ISNUMBER(BY522),IF(ABS(BY522-[2]QC_indicators!$B$1)&gt;3*[2]QC_indicators!$C$1,"DF","no"))),IF(ISNUMBER(BY522),IF(ABS(BY522-[2]QC_indicators!$B$1)&gt;3*[2]QC_indicators!$C$1,"DF","no")))</f>
        <v>no</v>
      </c>
      <c r="ER522" t="s">
        <v>1755</v>
      </c>
      <c r="ET522" s="264" t="s">
        <v>3268</v>
      </c>
      <c r="EU522" s="264"/>
    </row>
    <row r="523" spans="1:151" ht="15" customHeight="1">
      <c r="A523" s="1" t="s">
        <v>814</v>
      </c>
      <c r="B523" t="s">
        <v>815</v>
      </c>
      <c r="C523" t="s">
        <v>816</v>
      </c>
      <c r="D523" t="s">
        <v>817</v>
      </c>
      <c r="E523" t="s">
        <v>818</v>
      </c>
      <c r="F523" t="s">
        <v>819</v>
      </c>
      <c r="G523" t="s">
        <v>180</v>
      </c>
      <c r="H523" t="s">
        <v>254</v>
      </c>
      <c r="I523">
        <v>2018</v>
      </c>
      <c r="J523">
        <v>14</v>
      </c>
      <c r="K523" t="s">
        <v>820</v>
      </c>
      <c r="M523" t="str">
        <f>LEFT($D523,FIND(",",$D523)-1)&amp;"_"&amp;I523&amp;L523</f>
        <v>Karlsson_2018</v>
      </c>
      <c r="N523" t="s">
        <v>222</v>
      </c>
      <c r="O523" s="145" t="s">
        <v>513</v>
      </c>
      <c r="Q523" t="s">
        <v>256</v>
      </c>
      <c r="R523" s="262" t="s">
        <v>223</v>
      </c>
      <c r="S523" s="1" t="s">
        <v>821</v>
      </c>
      <c r="T523" t="s">
        <v>822</v>
      </c>
      <c r="U523" t="s">
        <v>823</v>
      </c>
      <c r="V523">
        <v>0</v>
      </c>
      <c r="W523">
        <v>0</v>
      </c>
      <c r="X523">
        <v>0</v>
      </c>
      <c r="Y523">
        <v>0</v>
      </c>
      <c r="Z523">
        <v>0</v>
      </c>
      <c r="AA523">
        <v>0</v>
      </c>
      <c r="AB523">
        <v>0</v>
      </c>
      <c r="AC523">
        <v>0</v>
      </c>
      <c r="AD523">
        <v>0</v>
      </c>
      <c r="AE523">
        <v>0</v>
      </c>
      <c r="AF523">
        <v>1</v>
      </c>
      <c r="AG523">
        <v>0</v>
      </c>
      <c r="AH523">
        <v>0</v>
      </c>
      <c r="AI523">
        <v>0</v>
      </c>
      <c r="AJ523">
        <v>0</v>
      </c>
      <c r="AK523">
        <v>0</v>
      </c>
      <c r="AL523">
        <v>0</v>
      </c>
      <c r="AM523">
        <v>0</v>
      </c>
      <c r="AN523">
        <v>0</v>
      </c>
      <c r="AO523">
        <v>0</v>
      </c>
      <c r="AP523">
        <v>0</v>
      </c>
      <c r="AQ523">
        <v>0</v>
      </c>
      <c r="AR523">
        <v>0</v>
      </c>
      <c r="AS523">
        <v>0</v>
      </c>
      <c r="AT523">
        <v>0</v>
      </c>
      <c r="AU523">
        <v>0</v>
      </c>
      <c r="AV523">
        <v>0</v>
      </c>
      <c r="AW523">
        <v>0</v>
      </c>
      <c r="AX523" s="141">
        <f>COUNTIF(V523:AW523,"&lt;&gt;0")</f>
        <v>1</v>
      </c>
      <c r="AY523" s="141">
        <f>COUNTIF(V523:AL523,"&lt;&gt;0")</f>
        <v>1</v>
      </c>
      <c r="AZ523">
        <f>COUNTIF(V523:AC523,"&lt;&gt;0")</f>
        <v>0</v>
      </c>
      <c r="BA523">
        <f>COUNTIF(AD523:AI523,"&lt;&gt;0")</f>
        <v>1</v>
      </c>
      <c r="BB523">
        <f>COUNTIF(AJ523:AL523,"&lt;&gt;0")</f>
        <v>0</v>
      </c>
      <c r="BC523">
        <f>COUNTIF(AS523:AW523,"&lt;&gt;0")</f>
        <v>0</v>
      </c>
      <c r="BD523">
        <f>COUNTIF(AM523:AR523,"&lt;&gt;0")</f>
        <v>0</v>
      </c>
      <c r="BE523" t="str">
        <f t="array" ref="BE523">IF(AY523=1,INDEX($V$7:$AL$7,MATCH(TRUE,INDEX($V523:$AW523&lt;&gt;0,),0)),IF(AY523=0,INDEX($AM$7:$AW$7,MATCH(1,$AM523:$AW523,0)),IF(BF523="Multiple strategies","mixed drivers",IF(BF523="Supply chain","multiple supply","multiple silviculture"))))</f>
        <v>supply chain organization</v>
      </c>
      <c r="BF523" s="2" t="str" cm="1">
        <f t="array" ref="BF523">IF(COUNTIF(AZ523:BB523,"&lt;&gt;0")=1,INDEX($V$4:$AW$4,MATCH(TRUE,INDEX($V523:$AW523&lt;&gt;0,),0)),IF(COUNTIF(AZ523:BB523,"&lt;&gt;0")=0,INDEX($AM$4:$AW$4,MATCH(1,$AM523:$AW523,0)),"Multiple strategies"))</f>
        <v>Supply chain</v>
      </c>
      <c r="BG523" s="1" t="s">
        <v>229</v>
      </c>
      <c r="BH523" t="s">
        <v>824</v>
      </c>
      <c r="BI523" s="264" t="s">
        <v>3142</v>
      </c>
      <c r="BJ523" t="s">
        <v>651</v>
      </c>
      <c r="BK523">
        <v>0</v>
      </c>
      <c r="BL523">
        <v>15410</v>
      </c>
      <c r="BN523">
        <f>BL523-BK523</f>
        <v>15410</v>
      </c>
      <c r="BO523">
        <f>BN523*t_to_m3</f>
        <v>31448.979591836734</v>
      </c>
      <c r="BP523" t="s">
        <v>232</v>
      </c>
      <c r="BQ523" s="153" t="s">
        <v>787</v>
      </c>
      <c r="BR523" s="264" t="s">
        <v>397</v>
      </c>
      <c r="BS523">
        <v>-58800</v>
      </c>
      <c r="BT523">
        <v>-50300</v>
      </c>
      <c r="BU523" s="144">
        <f>IFERROR(BT523/BS523,"")</f>
        <v>0.85544217687074831</v>
      </c>
      <c r="BV523">
        <f>BT523-BS523</f>
        <v>8500</v>
      </c>
      <c r="BX523">
        <f>BV523/10^3</f>
        <v>8.5</v>
      </c>
      <c r="BY523">
        <f>IFERROR(BX523/BO523,"")</f>
        <v>2.7027903958468525E-4</v>
      </c>
      <c r="BZ523">
        <v>0</v>
      </c>
      <c r="CA523">
        <v>0</v>
      </c>
      <c r="CB523">
        <v>0</v>
      </c>
      <c r="CC523">
        <v>0</v>
      </c>
      <c r="CD523">
        <v>0</v>
      </c>
      <c r="CE523">
        <v>0</v>
      </c>
      <c r="CF523">
        <v>0</v>
      </c>
      <c r="CG523">
        <v>0</v>
      </c>
      <c r="CH523">
        <v>0</v>
      </c>
      <c r="CI523">
        <v>0</v>
      </c>
      <c r="CJ523">
        <v>0</v>
      </c>
      <c r="CK523">
        <v>0</v>
      </c>
      <c r="CL523">
        <v>0</v>
      </c>
      <c r="CM523">
        <v>0</v>
      </c>
      <c r="CN523" t="str">
        <f>IF($BL523&lt;$BK523,"refNeedCorrection","refOK")</f>
        <v>refOK</v>
      </c>
      <c r="CO523">
        <f>IF($CN523="refNeedCorrection",BL523,BK523)</f>
        <v>0</v>
      </c>
      <c r="CP523">
        <f>IF($CN523="refNeedCorrection",BK523,BL523)</f>
        <v>15410</v>
      </c>
      <c r="CQ523">
        <f>IF($CN523="refOK",$BO523,-$BO523)</f>
        <v>31448.979591836734</v>
      </c>
      <c r="CR523">
        <f>IF($CN523="refOK",$BS523,$BT523)*IF($BP523="Emissions positive",-1,1)</f>
        <v>-58800</v>
      </c>
      <c r="CS523">
        <f>IF($CN523="refOK",$BT523,$BS523)*IF($BP523="Emissions positive",-1,1)</f>
        <v>-50300</v>
      </c>
      <c r="CT523">
        <f>IF($CN523="refNeedCorrection",-BX523,BX523)*IF($BP523="Emissions positive",-1,1)</f>
        <v>8.5</v>
      </c>
      <c r="CU523">
        <f>IFERROR(CT523/CQ523,"")</f>
        <v>2.7027903958468525E-4</v>
      </c>
      <c r="CV523" s="2">
        <f>IFERROR((CS523-CR523)/ABS(CR523),"")</f>
        <v>0.14455782312925169</v>
      </c>
      <c r="CW523" s="1" t="s">
        <v>347</v>
      </c>
      <c r="CX523" t="str">
        <f>IF(OR($CW523="prd",$CW523="std",$CW523="cit"),"loc",IF(OR($CW523="eur",$CW523="reg",$CW523="coy"),"reg",$CW523))</f>
        <v>loc</v>
      </c>
      <c r="CY523" t="s">
        <v>444</v>
      </c>
      <c r="DB523">
        <v>0</v>
      </c>
      <c r="DC523" t="str">
        <f>IF(DB523=0,"0",IF(AND(DB523&gt;=1,DB523&lt;=30),"1-30",IF(AND(DB523&gt;30,DB523&lt;=70),"31-70",IF(AND(DB523&gt;70,DB523&lt;=100),"71-100",IF(DB523&gt;100,"+100")))))</f>
        <v>0</v>
      </c>
      <c r="DD523">
        <v>0</v>
      </c>
      <c r="DE523">
        <v>1</v>
      </c>
      <c r="DF523">
        <v>0</v>
      </c>
      <c r="DG523">
        <v>0</v>
      </c>
      <c r="DH523">
        <v>1</v>
      </c>
      <c r="DI523">
        <f>SUM(DD523:DG523)</f>
        <v>1</v>
      </c>
      <c r="DJ523" t="str">
        <f>IF(DI523=1,INDEX($DD$7:$DG$7,MATCH(1,$DD523:$DG523,0)),"mixedProduct")</f>
        <v>EnergyInput</v>
      </c>
      <c r="DK523">
        <f>IF(DD523=1,DK$7,0)</f>
        <v>0</v>
      </c>
      <c r="DL523" t="str">
        <f>IF(DE523=1,DL$7,0)</f>
        <v>Energy</v>
      </c>
      <c r="DM523">
        <f>IF(DF523=1,DM$7,0)</f>
        <v>0</v>
      </c>
      <c r="DN523">
        <f>IF(DG523=1,DN$7,0)</f>
        <v>0</v>
      </c>
      <c r="DO523">
        <v>0</v>
      </c>
      <c r="DP523">
        <v>0</v>
      </c>
      <c r="DQ523">
        <v>0</v>
      </c>
      <c r="DR523">
        <v>0</v>
      </c>
      <c r="DS523">
        <v>0</v>
      </c>
      <c r="DT523">
        <f>SUM(DO523:DP523)</f>
        <v>0</v>
      </c>
      <c r="DU523" s="143" t="str">
        <f>IF(DO523=1,"self-calculated DF",IF(DP523=1,"external DF used","explicit C balance"))</f>
        <v>explicit C balance</v>
      </c>
      <c r="DV523">
        <v>0</v>
      </c>
      <c r="DW523">
        <v>0</v>
      </c>
      <c r="DX523">
        <v>0</v>
      </c>
      <c r="DY523">
        <v>0</v>
      </c>
      <c r="DZ523">
        <v>0</v>
      </c>
      <c r="EA523" s="143">
        <v>0</v>
      </c>
      <c r="EB523">
        <v>0</v>
      </c>
      <c r="EC523">
        <v>1</v>
      </c>
      <c r="ED523">
        <v>0</v>
      </c>
      <c r="EE523">
        <v>1</v>
      </c>
      <c r="EF523">
        <v>0</v>
      </c>
      <c r="EG523">
        <v>0</v>
      </c>
      <c r="EH523">
        <v>0</v>
      </c>
      <c r="EI523" s="2">
        <v>0</v>
      </c>
      <c r="EK523" t="str">
        <f>IF(AND(AND(AND(OR($DX523=1,$DW523=1),OR($EC523=1,$EA523=1)),SUM($DV523:$DZ523,$EF523)&gt;=4),SUM($EA523:$EE523)&gt;=2),"Whole sector","")</f>
        <v/>
      </c>
      <c r="EL523" t="str">
        <f>IF(AND(AND(OR($DX523=1,$DW523=1),AND($EC523=0,$EA523=0)),SUM($DV523:$DZ523,$EF523)&gt;=4),"Ecosystem approach","")</f>
        <v/>
      </c>
      <c r="EM523" s="2" t="str">
        <f>IF(AND(AND(AND($DX523=0,$DW523=0),OR($EC523=1,$EA523=1)),SUM($EB523:$EE523)&gt;=2),"Technology approach","")</f>
        <v>Technology approach</v>
      </c>
      <c r="EP523" t="str">
        <f>IF(ISNUMBER(BU523),IF(ABS(BU523-[1]QC_indicators!$B$2)&gt;3*[1]QC_indicators!$C$2,"C ratio",IF(ISNUMBER(BY523),IF(ABS(BY523-[1]QC_indicators!$B$1)&gt;3*[1]QC_indicators!$C$1,"DF","no"))),IF(ISNUMBER(BY523),IF(ABS(BY523-[1]QC_indicators!$B$1)&gt;3*[1]QC_indicators!$C$1,"DF","no")))</f>
        <v>no</v>
      </c>
      <c r="ET523" s="264" t="s">
        <v>3143</v>
      </c>
    </row>
    <row r="524" spans="1:151" ht="15" customHeight="1">
      <c r="A524" s="1" t="s">
        <v>247</v>
      </c>
      <c r="B524" t="s">
        <v>641</v>
      </c>
      <c r="C524" t="s">
        <v>642</v>
      </c>
      <c r="D524" t="s">
        <v>643</v>
      </c>
      <c r="E524" t="s">
        <v>644</v>
      </c>
      <c r="F524" t="s">
        <v>645</v>
      </c>
      <c r="G524" t="s">
        <v>253</v>
      </c>
      <c r="H524" t="s">
        <v>254</v>
      </c>
      <c r="I524">
        <v>2014</v>
      </c>
      <c r="J524">
        <v>76</v>
      </c>
      <c r="K524" t="s">
        <v>646</v>
      </c>
      <c r="M524" t="str">
        <f>LEFT($D524,FIND(",",$D524)-1)&amp;"_"&amp;I524&amp;L524</f>
        <v>Dodoo_2014</v>
      </c>
      <c r="N524" t="s">
        <v>222</v>
      </c>
      <c r="O524" s="145" t="s">
        <v>223</v>
      </c>
      <c r="Q524" t="s">
        <v>256</v>
      </c>
      <c r="R524" s="255" t="s">
        <v>225</v>
      </c>
      <c r="S524" s="1" t="s">
        <v>647</v>
      </c>
      <c r="T524" t="s">
        <v>648</v>
      </c>
      <c r="U524" t="s">
        <v>655</v>
      </c>
      <c r="V524">
        <v>0</v>
      </c>
      <c r="W524">
        <v>0</v>
      </c>
      <c r="X524">
        <v>0</v>
      </c>
      <c r="Y524">
        <v>0</v>
      </c>
      <c r="Z524">
        <v>0</v>
      </c>
      <c r="AA524">
        <v>0</v>
      </c>
      <c r="AB524">
        <v>0</v>
      </c>
      <c r="AC524">
        <v>0</v>
      </c>
      <c r="AD524">
        <v>0</v>
      </c>
      <c r="AE524">
        <v>0</v>
      </c>
      <c r="AF524">
        <v>0</v>
      </c>
      <c r="AG524">
        <v>0</v>
      </c>
      <c r="AH524">
        <v>0</v>
      </c>
      <c r="AI524">
        <v>0</v>
      </c>
      <c r="AJ524">
        <v>0</v>
      </c>
      <c r="AK524">
        <v>1</v>
      </c>
      <c r="AL524">
        <v>0</v>
      </c>
      <c r="AM524">
        <v>0</v>
      </c>
      <c r="AN524">
        <v>0</v>
      </c>
      <c r="AO524">
        <v>0</v>
      </c>
      <c r="AP524">
        <v>0</v>
      </c>
      <c r="AQ524">
        <v>0</v>
      </c>
      <c r="AR524">
        <v>0</v>
      </c>
      <c r="AS524">
        <v>0</v>
      </c>
      <c r="AT524">
        <v>0</v>
      </c>
      <c r="AU524">
        <v>0</v>
      </c>
      <c r="AV524">
        <v>0</v>
      </c>
      <c r="AW524">
        <v>0</v>
      </c>
      <c r="AX524" s="141">
        <f>COUNTIF(V524:AW524,"&lt;&gt;0")</f>
        <v>1</v>
      </c>
      <c r="AY524" s="141">
        <f>COUNTIF(V524:AL524,"&lt;&gt;0")</f>
        <v>1</v>
      </c>
      <c r="AZ524">
        <f>COUNTIF(V524:AC524,"&lt;&gt;0")</f>
        <v>0</v>
      </c>
      <c r="BA524">
        <f>COUNTIF(AD524:AI524,"&lt;&gt;0")</f>
        <v>0</v>
      </c>
      <c r="BB524">
        <f>COUNTIF(AJ524:AL524,"&lt;&gt;0")</f>
        <v>1</v>
      </c>
      <c r="BC524">
        <f>COUNTIF(AS524:AW524,"&lt;&gt;0")</f>
        <v>0</v>
      </c>
      <c r="BD524">
        <f>COUNTIF(AM524:AR524,"&lt;&gt;0")</f>
        <v>0</v>
      </c>
      <c r="BE524" t="str">
        <f t="array" ref="BE524">IF(AY524=1,INDEX($V$7:$AL$7,MATCH(TRUE,INDEX($V524:$AW524&lt;&gt;0,),0)),IF(AY524=0,INDEX($AM$7:$AW$7,MATCH(1,$AM524:$AW524,0)),IF(BF524="Multiple strategies","mixed drivers",IF(BF524="Supply chain","multiple supply","multiple silviculture"))))</f>
        <v>technologies/design switch</v>
      </c>
      <c r="BF524" s="2" t="str" cm="1">
        <f t="array" ref="BF524">IF(COUNTIF(AZ524:BB524,"&lt;&gt;0")=1,INDEX($V$4:$AW$4,MATCH(TRUE,INDEX($V524:$AW524&lt;&gt;0,),0)),IF(COUNTIF(AZ524:BB524,"&lt;&gt;0")=0,INDEX($AM$4:$AW$4,MATCH(1,$AM524:$AW524,0)),"Multiple strategies"))</f>
        <v>Technology</v>
      </c>
      <c r="BG524" s="1" t="s">
        <v>229</v>
      </c>
      <c r="BH524" t="s">
        <v>650</v>
      </c>
      <c r="BI524" s="260" t="s">
        <v>3308</v>
      </c>
      <c r="BJ524" t="s">
        <v>651</v>
      </c>
      <c r="BK524" s="260">
        <f>55+21+10+5+5</f>
        <v>96</v>
      </c>
      <c r="BL524" s="260">
        <v>129.6</v>
      </c>
      <c r="BN524">
        <f>BL524-BK524</f>
        <v>33.599999999999994</v>
      </c>
      <c r="BO524">
        <f>BN524*t_to_m3</f>
        <v>68.571428571428555</v>
      </c>
      <c r="BP524" t="s">
        <v>232</v>
      </c>
      <c r="BQ524" s="260" t="s">
        <v>3309</v>
      </c>
      <c r="BR524" t="s">
        <v>262</v>
      </c>
      <c r="BS524">
        <v>-139</v>
      </c>
      <c r="BT524">
        <v>-120</v>
      </c>
      <c r="BU524" s="144">
        <v>0.86330935251798557</v>
      </c>
      <c r="BV524">
        <v>19</v>
      </c>
      <c r="BX524">
        <f>BV524/1000</f>
        <v>1.9E-2</v>
      </c>
      <c r="BY524">
        <f>IFERROR(BX524/BO524,"")</f>
        <v>2.7708333333333339E-4</v>
      </c>
      <c r="BZ524">
        <v>0</v>
      </c>
      <c r="CA524">
        <v>0</v>
      </c>
      <c r="CB524">
        <v>0</v>
      </c>
      <c r="CC524">
        <v>0</v>
      </c>
      <c r="CD524">
        <v>0</v>
      </c>
      <c r="CE524">
        <v>0</v>
      </c>
      <c r="CF524">
        <v>0</v>
      </c>
      <c r="CG524">
        <v>0</v>
      </c>
      <c r="CH524">
        <v>0</v>
      </c>
      <c r="CI524">
        <v>0</v>
      </c>
      <c r="CJ524">
        <v>0</v>
      </c>
      <c r="CK524">
        <v>0</v>
      </c>
      <c r="CL524">
        <v>0</v>
      </c>
      <c r="CM524">
        <v>0</v>
      </c>
      <c r="CN524" t="str">
        <f>IF($BL524&lt;$BK524,"refNeedCorrection","refOK")</f>
        <v>refOK</v>
      </c>
      <c r="CO524">
        <f>IF($CN524="refOK",$BK524,$BL524)</f>
        <v>96</v>
      </c>
      <c r="CP524">
        <f>IF($CN524="refOK",$BL524,$BK524)</f>
        <v>129.6</v>
      </c>
      <c r="CQ524">
        <f>IF($CN524="refOK",$BO524,-$BO524)</f>
        <v>68.571428571428555</v>
      </c>
      <c r="CR524">
        <f>IF($CN524="refOK",$BS524,$BT524)*IF($BP524="Emissions positive",-1,1)</f>
        <v>-139</v>
      </c>
      <c r="CS524">
        <f>IF($CN524="refOK",$BT524,$BS524)*IF($BP524="Emissions positive",-1,1)</f>
        <v>-120</v>
      </c>
      <c r="CT524">
        <f>IF($CN524="refNeedCorrection",-BX524,BX524)*IF($BP524="Emissions positive",-1,1)</f>
        <v>1.9E-2</v>
      </c>
      <c r="CU524">
        <f>IFERROR(CT524/CQ524,"")</f>
        <v>2.7708333333333339E-4</v>
      </c>
      <c r="CV524" s="2">
        <f>IFERROR((CS524-CR524)/ABS(CR524),"")</f>
        <v>0.1366906474820144</v>
      </c>
      <c r="CW524" s="1" t="s">
        <v>263</v>
      </c>
      <c r="CX524" t="str">
        <f>IF(OR($CW524="prd",$CW524="std",$CW524="cit"),"loc",IF(OR($CW524="eur",$CW524="reg",$CW524="coy"),"reg",$CW524))</f>
        <v>loc</v>
      </c>
      <c r="CY524" t="s">
        <v>444</v>
      </c>
      <c r="DB524">
        <v>50</v>
      </c>
      <c r="DC524" t="str">
        <f>IF(DB524=0,"0",IF(AND(DB524&gt;=1,DB524&lt;=30),"1-30",IF(AND(DB524&gt;30,DB524&lt;=70),"31-70",IF(AND(DB524&gt;70,DB524&lt;=100),"71-100",IF(DB524&gt;100,"+100")))))</f>
        <v>31-70</v>
      </c>
      <c r="DD524">
        <v>0</v>
      </c>
      <c r="DE524">
        <v>0</v>
      </c>
      <c r="DF524">
        <v>0</v>
      </c>
      <c r="DG524">
        <v>1</v>
      </c>
      <c r="DI524">
        <f>SUM(DD524:DG524)</f>
        <v>1</v>
      </c>
      <c r="DJ524" t="str">
        <f>IF(DI524=1,INDEX($DD$7:$DG$7,MATCH(1,$DD524:$DG524,0)),"mixedProduct")</f>
        <v>TimberInput</v>
      </c>
      <c r="DK524">
        <f>IF(DD524=1,DK$7,0)</f>
        <v>0</v>
      </c>
      <c r="DL524">
        <f>IF(DE524=1,DL$7,0)</f>
        <v>0</v>
      </c>
      <c r="DM524">
        <f>IF(DF524=1,DM$7,0)</f>
        <v>0</v>
      </c>
      <c r="DN524" t="str">
        <f>IF(DG524=1,DN$7,0)</f>
        <v>Timber</v>
      </c>
      <c r="DO524">
        <v>0</v>
      </c>
      <c r="DP524">
        <v>0</v>
      </c>
      <c r="DQ524">
        <v>0</v>
      </c>
      <c r="DR524">
        <v>0</v>
      </c>
      <c r="DS524">
        <v>0</v>
      </c>
      <c r="DT524">
        <f>SUM(DO524:DP524)</f>
        <v>0</v>
      </c>
      <c r="DU524" s="143" t="str">
        <f>IF(DO524=1,"self-calculated DF",IF(DP524=1,"external DF used","explicit C balance"))</f>
        <v>explicit C balance</v>
      </c>
      <c r="DV524">
        <v>0</v>
      </c>
      <c r="DW524">
        <v>0</v>
      </c>
      <c r="DX524">
        <v>0</v>
      </c>
      <c r="DY524">
        <v>0</v>
      </c>
      <c r="DZ524">
        <v>0</v>
      </c>
      <c r="EA524" s="143">
        <v>0</v>
      </c>
      <c r="EB524">
        <v>0</v>
      </c>
      <c r="EC524">
        <v>1</v>
      </c>
      <c r="ED524">
        <v>0</v>
      </c>
      <c r="EE524">
        <v>0</v>
      </c>
      <c r="EF524">
        <v>0</v>
      </c>
      <c r="EG524">
        <v>0</v>
      </c>
      <c r="EH524">
        <v>0</v>
      </c>
      <c r="EI524" s="2">
        <v>0</v>
      </c>
      <c r="EK524" t="str">
        <f>IF(AND(AND(AND(OR($DX524=1,$DW524=1),OR($EC524=1,$EA524=1)),SUM($DV524:$DZ524,$EF524)&gt;=4),SUM($EA524:$EE524)&gt;=2),"Whole sector","")</f>
        <v/>
      </c>
      <c r="EL524" t="str">
        <f>IF(AND(AND(OR($DX524=1,$DW524=1),AND($EC524=0,$EA524=0)),SUM($DV524:$DZ524,$EF524)&gt;=4),"Ecosystem approach","")</f>
        <v/>
      </c>
      <c r="EM524" s="2" t="str">
        <f>IF(AND(AND(AND($DX524=0,$DW524=0),OR($EC524=1,$EA524=1)),SUM($EB524:$EE524)&gt;=2),"Technology approach","")</f>
        <v/>
      </c>
      <c r="EP524" t="str">
        <f>IF(ISNUMBER(BU524),IF(ABS(BU524-[4]QC_indicators!$B$2)&gt;3*[4]QC_indicators!$C$2,"C ratio",IF(ISNUMBER(BY524),IF(ABS(BY524-[4]QC_indicators!$B$1)&gt;3*[4]QC_indicators!$C$1,"DF","no"))),IF(ISNUMBER(BY524),IF(ABS(BY524-[4]QC_indicators!$B$1)&gt;3*[4]QC_indicators!$C$1,"DF","no")))</f>
        <v>no</v>
      </c>
      <c r="ER524" s="149" t="s">
        <v>349</v>
      </c>
      <c r="ET524" s="264" t="s">
        <v>3273</v>
      </c>
    </row>
    <row r="525" spans="1:151" ht="15" customHeight="1">
      <c r="A525" s="1" t="s">
        <v>1378</v>
      </c>
      <c r="B525" t="s">
        <v>1742</v>
      </c>
      <c r="C525" t="s">
        <v>1743</v>
      </c>
      <c r="D525" t="s">
        <v>1744</v>
      </c>
      <c r="E525" t="s">
        <v>1745</v>
      </c>
      <c r="F525" t="s">
        <v>1746</v>
      </c>
      <c r="G525" t="s">
        <v>1384</v>
      </c>
      <c r="H525" t="s">
        <v>254</v>
      </c>
      <c r="I525">
        <v>2019</v>
      </c>
      <c r="J525">
        <v>1</v>
      </c>
      <c r="K525" t="s">
        <v>1747</v>
      </c>
      <c r="M525" t="str">
        <f>LEFT($D525,FIND(",",$D525)-1)&amp;"_"&amp;I525&amp;L525</f>
        <v>Jones_2019</v>
      </c>
      <c r="N525" t="s">
        <v>222</v>
      </c>
      <c r="O525" s="171" t="s">
        <v>513</v>
      </c>
      <c r="P525" t="s">
        <v>960</v>
      </c>
      <c r="Q525" t="s">
        <v>389</v>
      </c>
      <c r="R525" s="269" t="s">
        <v>274</v>
      </c>
      <c r="S525" s="1" t="s">
        <v>1756</v>
      </c>
      <c r="T525" t="s">
        <v>1757</v>
      </c>
      <c r="U525" t="s">
        <v>1750</v>
      </c>
      <c r="V525" s="274">
        <v>1</v>
      </c>
      <c r="W525" s="274">
        <v>0</v>
      </c>
      <c r="X525" s="274">
        <v>0</v>
      </c>
      <c r="Y525" s="274">
        <v>0</v>
      </c>
      <c r="Z525" s="274">
        <v>0</v>
      </c>
      <c r="AA525" s="274">
        <v>0</v>
      </c>
      <c r="AB525" s="274">
        <v>0</v>
      </c>
      <c r="AC525" s="274">
        <v>0</v>
      </c>
      <c r="AD525" s="274">
        <v>0</v>
      </c>
      <c r="AE525" s="274">
        <v>0</v>
      </c>
      <c r="AF525" s="274">
        <v>0</v>
      </c>
      <c r="AG525" s="274">
        <v>0</v>
      </c>
      <c r="AH525" s="274">
        <v>0</v>
      </c>
      <c r="AI525" s="274">
        <v>0</v>
      </c>
      <c r="AJ525" s="274">
        <v>0</v>
      </c>
      <c r="AK525" s="274">
        <v>0</v>
      </c>
      <c r="AL525" s="274">
        <v>0</v>
      </c>
      <c r="AM525" s="274">
        <v>0</v>
      </c>
      <c r="AN525" s="274">
        <v>0</v>
      </c>
      <c r="AO525" s="274">
        <v>0</v>
      </c>
      <c r="AP525" s="274">
        <v>0</v>
      </c>
      <c r="AQ525" s="274">
        <v>0</v>
      </c>
      <c r="AR525" s="274">
        <v>0</v>
      </c>
      <c r="AS525" s="274">
        <v>0</v>
      </c>
      <c r="AT525" s="274">
        <v>2</v>
      </c>
      <c r="AU525" s="274">
        <v>0</v>
      </c>
      <c r="AV525" s="274">
        <v>0</v>
      </c>
      <c r="AW525" s="274">
        <v>2</v>
      </c>
      <c r="AX525" s="141">
        <f>COUNTIF(V525:AW525,"&lt;&gt;0")</f>
        <v>3</v>
      </c>
      <c r="AY525" s="141">
        <f>COUNTIF(V525:AL525,"&lt;&gt;0")</f>
        <v>1</v>
      </c>
      <c r="AZ525">
        <f>COUNTIF(V525:AC525,"&lt;&gt;0")</f>
        <v>1</v>
      </c>
      <c r="BA525">
        <f>COUNTIF(AD525:AI525,"&lt;&gt;0")</f>
        <v>0</v>
      </c>
      <c r="BB525">
        <f>COUNTIF(AJ525:AL525,"&lt;&gt;0")</f>
        <v>0</v>
      </c>
      <c r="BC525">
        <f>COUNTIF(AS525:AW525,"&lt;&gt;0")</f>
        <v>2</v>
      </c>
      <c r="BD525">
        <f>COUNTIF(AM525:AR525,"&lt;&gt;0")</f>
        <v>0</v>
      </c>
      <c r="BE525" s="274" t="str">
        <f t="array" ref="BE525">IF(AY525=1,INDEX($V$7:$AL$7,MATCH(TRUE,INDEX($V525:$AW525&lt;&gt;0,),0)),IF(AY525=0,INDEX($AM$7:$AW$7,MATCH(1,$AM525:$AW525,0)),IF(BF525="Multiple strategies","mixed drivers",IF(BF525="Supply chain","multiple supply","multiple silviculture"))))</f>
        <v>area subject to harvest</v>
      </c>
      <c r="BF525" s="2" t="str" cm="1">
        <f t="array" ref="BF525">IF(COUNTIF(AZ525:BB525,"&lt;&gt;0")=1,INDEX($V$4:$AW$4,MATCH(TRUE,INDEX($V525:$AW525&lt;&gt;0,),0)),IF(COUNTIF(AZ525:BB525,"&lt;&gt;0")=0,INDEX($AM$4:$AW$4,MATCH(1,$AM525:$AW525,0)),"Multiple strategies"))</f>
        <v>Silviculture for removals</v>
      </c>
      <c r="BG525" s="1" t="s">
        <v>321</v>
      </c>
      <c r="BH525" t="s">
        <v>1751</v>
      </c>
      <c r="BI525" t="s">
        <v>1752</v>
      </c>
      <c r="BJ525" t="s">
        <v>498</v>
      </c>
      <c r="BK525">
        <v>1311146022727.2725</v>
      </c>
      <c r="BL525">
        <v>1318747840909.0903</v>
      </c>
      <c r="BM525" t="s">
        <v>544</v>
      </c>
      <c r="BN525">
        <f>BL525-BK525</f>
        <v>7601818181.8178711</v>
      </c>
      <c r="BO525">
        <f>BN525</f>
        <v>7601818181.8178711</v>
      </c>
      <c r="BP525" t="s">
        <v>395</v>
      </c>
      <c r="BQ525" t="s">
        <v>1753</v>
      </c>
      <c r="BR525" t="s">
        <v>1754</v>
      </c>
      <c r="BS525">
        <v>-5414012.7388535002</v>
      </c>
      <c r="BT525">
        <v>-6942675.1592356702</v>
      </c>
      <c r="BU525" s="144">
        <v>1.4622641509433971</v>
      </c>
      <c r="BV525" s="152">
        <v>-2207207.2072072076</v>
      </c>
      <c r="BX525" s="152">
        <f>BV525</f>
        <v>-2207207.2072072076</v>
      </c>
      <c r="BY525">
        <f>IFERROR(BX525/BO525,"")</f>
        <v>-2.9035253861851563E-4</v>
      </c>
      <c r="BZ525">
        <v>0</v>
      </c>
      <c r="CA525">
        <v>0</v>
      </c>
      <c r="CB525">
        <v>0</v>
      </c>
      <c r="CC525">
        <v>0</v>
      </c>
      <c r="CD525">
        <v>0</v>
      </c>
      <c r="CE525">
        <v>0</v>
      </c>
      <c r="CF525">
        <v>0</v>
      </c>
      <c r="CG525">
        <v>0</v>
      </c>
      <c r="CH525">
        <v>0</v>
      </c>
      <c r="CI525">
        <v>0</v>
      </c>
      <c r="CJ525">
        <v>0</v>
      </c>
      <c r="CK525">
        <v>0</v>
      </c>
      <c r="CL525">
        <v>0</v>
      </c>
      <c r="CM525">
        <v>0</v>
      </c>
      <c r="CN525" t="str">
        <f>IF($BL525&lt;$BK525,"refNeedCorrection","refOK")</f>
        <v>refOK</v>
      </c>
      <c r="CO525">
        <f>IF($CN525="refOK",$BK525,$BL525)</f>
        <v>1311146022727.2725</v>
      </c>
      <c r="CP525">
        <f>IF($CN525="refOK",$BL525,$BK525)</f>
        <v>1318747840909.0903</v>
      </c>
      <c r="CQ525">
        <f>IF($CN525="refOK",$BO525,-$BO525)</f>
        <v>7601818181.8178711</v>
      </c>
      <c r="CR525">
        <f>IF($CN525="refOK",$BS525,$BT525)*IF($BP525="Emissions positive",-1,1)</f>
        <v>5414012.7388535002</v>
      </c>
      <c r="CS525">
        <f>IF($CN525="refOK",$BT525,$BS525)*IF($BP525="Emissions positive",-1,1)</f>
        <v>6942675.1592356702</v>
      </c>
      <c r="CT525">
        <f>IF($CN525="refNeedCorrection",-BX525,BX525)*IF($BP525="Emissions positive",-1,1)</f>
        <v>2207207.2072072076</v>
      </c>
      <c r="CU525">
        <f>IFERROR(CT525/CQ525,"")</f>
        <v>2.9035253861851563E-4</v>
      </c>
      <c r="CV525" s="2">
        <f>IFERROR((CS525-CR525)/ABS(CR525),"")</f>
        <v>0.28235294117647153</v>
      </c>
      <c r="CW525" s="1" t="s">
        <v>1199</v>
      </c>
      <c r="CX525" t="str">
        <f>IF(OR($CW525="prd",$CW525="std",$CW525="cit"),"loc",IF(OR($CW525="eur",$CW525="reg",$CW525="coy"),"reg",$CW525))</f>
        <v>reg</v>
      </c>
      <c r="CY525" t="s">
        <v>428</v>
      </c>
      <c r="CZ525">
        <v>2015</v>
      </c>
      <c r="DA525">
        <v>2040</v>
      </c>
      <c r="DB525">
        <v>0</v>
      </c>
      <c r="DC525" t="str">
        <f>IF(DB525=0,"0",IF(AND(DB525&gt;=1,DB525&lt;=30),"1-30",IF(AND(DB525&gt;30,DB525&lt;=70),"31-70",IF(AND(DB525&gt;70,DB525&lt;=100),"71-100",IF(DB525&gt;100,"+100")))))</f>
        <v>0</v>
      </c>
      <c r="DD525">
        <v>1</v>
      </c>
      <c r="DE525">
        <v>0</v>
      </c>
      <c r="DF525">
        <v>0</v>
      </c>
      <c r="DG525">
        <v>0</v>
      </c>
      <c r="DH525">
        <v>0</v>
      </c>
      <c r="DI525">
        <v>1</v>
      </c>
      <c r="DJ525" t="str">
        <f>IF(DI525=1,INDEX($DD$7:$DG$7,MATCH(1,$DD525:$DG525,0)),"mixedProduct")</f>
        <v>UpstreamInput</v>
      </c>
      <c r="DK525" t="str">
        <f>IF(DD525=1,DK$7,0)</f>
        <v>Upstream</v>
      </c>
      <c r="DL525">
        <f>IF(DE525=1,DL$7,0)</f>
        <v>0</v>
      </c>
      <c r="DM525">
        <f>IF(DF525=1,DM$7,0)</f>
        <v>0</v>
      </c>
      <c r="DN525">
        <f>IF(DG525=1,DN$7,0)</f>
        <v>0</v>
      </c>
      <c r="DO525">
        <v>0</v>
      </c>
      <c r="DP525">
        <v>0</v>
      </c>
      <c r="DQ525">
        <v>0</v>
      </c>
      <c r="DR525">
        <v>0</v>
      </c>
      <c r="DS525">
        <v>0</v>
      </c>
      <c r="DT525">
        <f>SUM(DO525:DP525)</f>
        <v>0</v>
      </c>
      <c r="DU525" s="143" t="s">
        <v>962</v>
      </c>
      <c r="DV525">
        <v>1</v>
      </c>
      <c r="DW525">
        <v>1</v>
      </c>
      <c r="DX525">
        <v>1</v>
      </c>
      <c r="DY525">
        <v>0</v>
      </c>
      <c r="DZ525">
        <v>0</v>
      </c>
      <c r="EA525" s="143">
        <v>0</v>
      </c>
      <c r="EB525">
        <v>0</v>
      </c>
      <c r="EC525">
        <v>0</v>
      </c>
      <c r="ED525">
        <v>0</v>
      </c>
      <c r="EE525">
        <v>0</v>
      </c>
      <c r="EF525">
        <v>1</v>
      </c>
      <c r="EG525">
        <v>0</v>
      </c>
      <c r="EH525">
        <v>1</v>
      </c>
      <c r="EI525" s="2">
        <v>0</v>
      </c>
      <c r="EJ525" s="182"/>
      <c r="EK525" t="str">
        <f>IF(AND(AND(AND(OR($DX525=1,$DW525=1),OR($EC525=1,$EA525=1)),SUM($DV525:$DZ525,$EF525)&gt;=4),SUM($EA525:$EE525)&gt;=2),"Whole sector","")</f>
        <v/>
      </c>
      <c r="EL525" t="str">
        <f>IF(AND(AND(OR($DX525=1,$DW525=1),AND($EC525=0,$EA525=0)),SUM($DV525:$DZ525,$EF525)&gt;=4),"Ecosystem approach","")</f>
        <v>Ecosystem approach</v>
      </c>
      <c r="EM525" s="2" t="str">
        <f>IF(AND(AND(AND($DX525=0,$DW525=0),OR($EC525=1,$EA525=1)),SUM($EB525:$EE525)&gt;=2),"Technology approach","")</f>
        <v/>
      </c>
      <c r="EP525" t="str">
        <f>IF(ISNUMBER(BU525),IF(ABS(BU525-[2]QC_indicators!$B$2)&gt;3*[2]QC_indicators!$C$2,"C ratio",IF(ISNUMBER(BY525),IF(ABS(BY525-[2]QC_indicators!$B$1)&gt;3*[2]QC_indicators!$C$1,"DF","no"))),IF(ISNUMBER(BY525),IF(ABS(BY525-[2]QC_indicators!$B$1)&gt;3*[2]QC_indicators!$C$1,"DF","no")))</f>
        <v>no</v>
      </c>
      <c r="ER525" t="s">
        <v>1755</v>
      </c>
      <c r="ET525" s="264" t="s">
        <v>3268</v>
      </c>
      <c r="EU525" s="264"/>
    </row>
    <row r="526" spans="1:151" ht="15" customHeight="1">
      <c r="A526" s="1" t="s">
        <v>247</v>
      </c>
      <c r="B526" t="s">
        <v>641</v>
      </c>
      <c r="C526" t="s">
        <v>642</v>
      </c>
      <c r="D526" t="s">
        <v>643</v>
      </c>
      <c r="E526" t="s">
        <v>644</v>
      </c>
      <c r="F526" t="s">
        <v>645</v>
      </c>
      <c r="G526" t="s">
        <v>253</v>
      </c>
      <c r="H526" t="s">
        <v>254</v>
      </c>
      <c r="I526">
        <v>2014</v>
      </c>
      <c r="J526">
        <v>76</v>
      </c>
      <c r="K526" t="s">
        <v>646</v>
      </c>
      <c r="M526" t="str">
        <f>LEFT($D526,FIND(",",$D526)-1)&amp;"_"&amp;I526&amp;L526</f>
        <v>Dodoo_2014</v>
      </c>
      <c r="N526" t="s">
        <v>222</v>
      </c>
      <c r="O526" s="145" t="s">
        <v>223</v>
      </c>
      <c r="Q526" t="s">
        <v>256</v>
      </c>
      <c r="R526" s="255" t="s">
        <v>225</v>
      </c>
      <c r="S526" s="1" t="s">
        <v>647</v>
      </c>
      <c r="T526" t="s">
        <v>652</v>
      </c>
      <c r="U526" t="s">
        <v>654</v>
      </c>
      <c r="V526">
        <v>0</v>
      </c>
      <c r="W526">
        <v>0</v>
      </c>
      <c r="X526">
        <v>0</v>
      </c>
      <c r="Y526">
        <v>0</v>
      </c>
      <c r="Z526">
        <v>0</v>
      </c>
      <c r="AA526">
        <v>0</v>
      </c>
      <c r="AB526">
        <v>0</v>
      </c>
      <c r="AC526">
        <v>0</v>
      </c>
      <c r="AD526">
        <v>0</v>
      </c>
      <c r="AE526">
        <v>0</v>
      </c>
      <c r="AF526">
        <v>0</v>
      </c>
      <c r="AG526">
        <v>0</v>
      </c>
      <c r="AH526">
        <v>0</v>
      </c>
      <c r="AI526">
        <v>0</v>
      </c>
      <c r="AJ526">
        <v>0</v>
      </c>
      <c r="AK526">
        <v>1</v>
      </c>
      <c r="AL526">
        <v>0</v>
      </c>
      <c r="AM526">
        <v>0</v>
      </c>
      <c r="AN526">
        <v>0</v>
      </c>
      <c r="AO526">
        <v>0</v>
      </c>
      <c r="AP526">
        <v>0</v>
      </c>
      <c r="AQ526">
        <v>0</v>
      </c>
      <c r="AR526">
        <v>0</v>
      </c>
      <c r="AS526">
        <v>0</v>
      </c>
      <c r="AT526">
        <v>0</v>
      </c>
      <c r="AU526">
        <v>0</v>
      </c>
      <c r="AV526">
        <v>0</v>
      </c>
      <c r="AW526">
        <v>0</v>
      </c>
      <c r="AX526" s="141">
        <f>COUNTIF(V526:AW526,"&lt;&gt;0")</f>
        <v>1</v>
      </c>
      <c r="AY526" s="141">
        <f>COUNTIF(V526:AL526,"&lt;&gt;0")</f>
        <v>1</v>
      </c>
      <c r="AZ526">
        <f>COUNTIF(V526:AC526,"&lt;&gt;0")</f>
        <v>0</v>
      </c>
      <c r="BA526">
        <f>COUNTIF(AD526:AI526,"&lt;&gt;0")</f>
        <v>0</v>
      </c>
      <c r="BB526">
        <f>COUNTIF(AJ526:AL526,"&lt;&gt;0")</f>
        <v>1</v>
      </c>
      <c r="BC526">
        <f>COUNTIF(AS526:AW526,"&lt;&gt;0")</f>
        <v>0</v>
      </c>
      <c r="BD526">
        <f>COUNTIF(AM526:AR526,"&lt;&gt;0")</f>
        <v>0</v>
      </c>
      <c r="BE526" t="str">
        <f t="array" ref="BE526">IF(AY526=1,INDEX($V$7:$AL$7,MATCH(TRUE,INDEX($V526:$AW526&lt;&gt;0,),0)),IF(AY526=0,INDEX($AM$7:$AW$7,MATCH(1,$AM526:$AW526,0)),IF(BF526="Multiple strategies","mixed drivers",IF(BF526="Supply chain","multiple supply","multiple silviculture"))))</f>
        <v>technologies/design switch</v>
      </c>
      <c r="BF526" s="2" t="str" cm="1">
        <f t="array" ref="BF526">IF(COUNTIF(AZ526:BB526,"&lt;&gt;0")=1,INDEX($V$4:$AW$4,MATCH(TRUE,INDEX($V526:$AW526&lt;&gt;0,),0)),IF(COUNTIF(AZ526:BB526,"&lt;&gt;0")=0,INDEX($AM$4:$AW$4,MATCH(1,$AM526:$AW526,0)),"Multiple strategies"))</f>
        <v>Technology</v>
      </c>
      <c r="BG526" s="1" t="s">
        <v>229</v>
      </c>
      <c r="BH526" t="s">
        <v>650</v>
      </c>
      <c r="BI526" s="260" t="s">
        <v>3308</v>
      </c>
      <c r="BJ526" t="s">
        <v>651</v>
      </c>
      <c r="BK526" s="260">
        <f>55+21+10+5+5</f>
        <v>96</v>
      </c>
      <c r="BL526" s="260">
        <v>141</v>
      </c>
      <c r="BN526">
        <f>BL526-BK526</f>
        <v>45</v>
      </c>
      <c r="BO526">
        <f>BN526*t_to_m3</f>
        <v>91.83673469387756</v>
      </c>
      <c r="BP526" t="s">
        <v>232</v>
      </c>
      <c r="BQ526" s="260" t="s">
        <v>3310</v>
      </c>
      <c r="BR526" t="s">
        <v>262</v>
      </c>
      <c r="BS526">
        <v>33</v>
      </c>
      <c r="BT526">
        <v>98</v>
      </c>
      <c r="BU526" s="144">
        <v>2.9696969696969697</v>
      </c>
      <c r="BV526">
        <v>65</v>
      </c>
      <c r="BX526">
        <f>BV526/1000</f>
        <v>6.5000000000000002E-2</v>
      </c>
      <c r="BY526">
        <f>IFERROR(BX526/BO526,"")</f>
        <v>7.0777777777777777E-4</v>
      </c>
      <c r="BZ526">
        <v>0</v>
      </c>
      <c r="CA526">
        <v>0</v>
      </c>
      <c r="CB526">
        <v>0</v>
      </c>
      <c r="CC526">
        <v>0</v>
      </c>
      <c r="CD526">
        <v>0</v>
      </c>
      <c r="CE526">
        <v>0</v>
      </c>
      <c r="CF526">
        <v>0</v>
      </c>
      <c r="CG526">
        <v>0</v>
      </c>
      <c r="CH526">
        <v>0</v>
      </c>
      <c r="CI526">
        <v>0</v>
      </c>
      <c r="CJ526">
        <v>0</v>
      </c>
      <c r="CK526">
        <v>0</v>
      </c>
      <c r="CL526">
        <v>0</v>
      </c>
      <c r="CM526">
        <v>0</v>
      </c>
      <c r="CN526" t="str">
        <f>IF($BL526&lt;$BK526,"refNeedCorrection","refOK")</f>
        <v>refOK</v>
      </c>
      <c r="CO526">
        <f>IF($CN526="refOK",$BK526,$BL526)</f>
        <v>96</v>
      </c>
      <c r="CP526">
        <f>IF($CN526="refOK",$BL526,$BK526)</f>
        <v>141</v>
      </c>
      <c r="CQ526">
        <f>IF($CN526="refOK",$BO526,-$BO526)</f>
        <v>91.83673469387756</v>
      </c>
      <c r="CR526">
        <f>IF($CN526="refOK",$BS526,$BT526)*IF($BP526="Emissions positive",-1,1)</f>
        <v>33</v>
      </c>
      <c r="CS526">
        <f>IF($CN526="refOK",$BT526,$BS526)*IF($BP526="Emissions positive",-1,1)</f>
        <v>98</v>
      </c>
      <c r="CT526">
        <f>IF($CN526="refNeedCorrection",-BX526,BX526)*IF($BP526="Emissions positive",-1,1)</f>
        <v>6.5000000000000002E-2</v>
      </c>
      <c r="CU526">
        <f>IFERROR(CT526/CQ526,"")</f>
        <v>7.0777777777777777E-4</v>
      </c>
      <c r="CV526" s="2">
        <f>IFERROR((CS526-CR526)/ABS(CR526),"")</f>
        <v>1.9696969696969697</v>
      </c>
      <c r="CW526" s="1" t="s">
        <v>263</v>
      </c>
      <c r="CX526" t="str">
        <f>IF(OR($CW526="prd",$CW526="std",$CW526="cit"),"loc",IF(OR($CW526="eur",$CW526="reg",$CW526="coy"),"reg",$CW526))</f>
        <v>loc</v>
      </c>
      <c r="CY526" t="s">
        <v>444</v>
      </c>
      <c r="DB526">
        <v>50</v>
      </c>
      <c r="DC526" t="str">
        <f>IF(DB526=0,"0",IF(AND(DB526&gt;=1,DB526&lt;=30),"1-30",IF(AND(DB526&gt;30,DB526&lt;=70),"31-70",IF(AND(DB526&gt;70,DB526&lt;=100),"71-100",IF(DB526&gt;100,"+100")))))</f>
        <v>31-70</v>
      </c>
      <c r="DD526">
        <v>0</v>
      </c>
      <c r="DE526">
        <v>0</v>
      </c>
      <c r="DF526">
        <v>0</v>
      </c>
      <c r="DG526">
        <v>1</v>
      </c>
      <c r="DI526">
        <f>SUM(DD526:DG526)</f>
        <v>1</v>
      </c>
      <c r="DJ526" t="str">
        <f>IF(DI526=1,INDEX($DD$7:$DG$7,MATCH(1,$DD526:$DG526,0)),"mixedProduct")</f>
        <v>TimberInput</v>
      </c>
      <c r="DK526">
        <f>IF(DD526=1,DK$7,0)</f>
        <v>0</v>
      </c>
      <c r="DL526">
        <f>IF(DE526=1,DL$7,0)</f>
        <v>0</v>
      </c>
      <c r="DM526">
        <f>IF(DF526=1,DM$7,0)</f>
        <v>0</v>
      </c>
      <c r="DN526" t="str">
        <f>IF(DG526=1,DN$7,0)</f>
        <v>Timber</v>
      </c>
      <c r="DO526">
        <v>0</v>
      </c>
      <c r="DP526">
        <v>0</v>
      </c>
      <c r="DQ526">
        <v>0</v>
      </c>
      <c r="DR526">
        <v>0</v>
      </c>
      <c r="DS526">
        <v>0</v>
      </c>
      <c r="DT526">
        <f>SUM(DO526:DP526)</f>
        <v>0</v>
      </c>
      <c r="DU526" s="143" t="str">
        <f>IF(DO526=1,"self-calculated DF",IF(DP526=1,"external DF used","explicit C balance"))</f>
        <v>explicit C balance</v>
      </c>
      <c r="DV526">
        <v>0</v>
      </c>
      <c r="DW526">
        <v>0</v>
      </c>
      <c r="DX526">
        <v>0</v>
      </c>
      <c r="DY526">
        <v>1</v>
      </c>
      <c r="DZ526">
        <v>0</v>
      </c>
      <c r="EA526" s="143">
        <v>0</v>
      </c>
      <c r="EB526">
        <v>0</v>
      </c>
      <c r="EC526">
        <v>1</v>
      </c>
      <c r="ED526">
        <v>0</v>
      </c>
      <c r="EE526">
        <v>0</v>
      </c>
      <c r="EF526">
        <v>0</v>
      </c>
      <c r="EG526">
        <v>0</v>
      </c>
      <c r="EH526">
        <v>0</v>
      </c>
      <c r="EI526" s="2">
        <v>0</v>
      </c>
      <c r="EK526" t="str">
        <f>IF(AND(AND(AND(OR($DX526=1,$DW526=1),OR($EC526=1,$EA526=1)),SUM($DV526:$DZ526,$EF526)&gt;=4),SUM($EA526:$EE526)&gt;=2),"Whole sector","")</f>
        <v/>
      </c>
      <c r="EL526" t="str">
        <f>IF(AND(AND(OR($DX526=1,$DW526=1),AND($EC526=0,$EA526=0)),SUM($DV526:$DZ526,$EF526)&gt;=4),"Ecosystem approach","")</f>
        <v/>
      </c>
      <c r="EM526" s="2" t="str">
        <f>IF(AND(AND(AND($DX526=0,$DW526=0),OR($EC526=1,$EA526=1)),SUM($EB526:$EE526)&gt;=2),"Technology approach","")</f>
        <v/>
      </c>
      <c r="EP526" t="str">
        <f>IF(ISNUMBER(BU526),IF(ABS(BU526-[4]QC_indicators!$B$2)&gt;3*[4]QC_indicators!$C$2,"C ratio",IF(ISNUMBER(BY526),IF(ABS(BY526-[4]QC_indicators!$B$1)&gt;3*[4]QC_indicators!$C$1,"DF","no"))),IF(ISNUMBER(BY526),IF(ABS(BY526-[4]QC_indicators!$B$1)&gt;3*[4]QC_indicators!$C$1,"DF","no")))</f>
        <v>no</v>
      </c>
      <c r="ER526" s="149" t="s">
        <v>349</v>
      </c>
      <c r="ET526" s="264" t="s">
        <v>3273</v>
      </c>
    </row>
    <row r="527" spans="1:151" ht="15" customHeight="1">
      <c r="A527" s="1" t="s">
        <v>247</v>
      </c>
      <c r="B527" t="s">
        <v>641</v>
      </c>
      <c r="C527" t="s">
        <v>642</v>
      </c>
      <c r="D527" t="s">
        <v>643</v>
      </c>
      <c r="E527" t="s">
        <v>644</v>
      </c>
      <c r="F527" t="s">
        <v>645</v>
      </c>
      <c r="G527" t="s">
        <v>253</v>
      </c>
      <c r="H527" t="s">
        <v>254</v>
      </c>
      <c r="I527">
        <v>2014</v>
      </c>
      <c r="J527">
        <v>76</v>
      </c>
      <c r="K527" t="s">
        <v>646</v>
      </c>
      <c r="M527" t="str">
        <f>LEFT($D527,FIND(",",$D527)-1)&amp;"_"&amp;I527&amp;L527</f>
        <v>Dodoo_2014</v>
      </c>
      <c r="N527" t="s">
        <v>222</v>
      </c>
      <c r="O527" s="145" t="s">
        <v>223</v>
      </c>
      <c r="Q527" t="s">
        <v>256</v>
      </c>
      <c r="R527" s="255" t="s">
        <v>225</v>
      </c>
      <c r="S527" s="1" t="s">
        <v>647</v>
      </c>
      <c r="T527" t="s">
        <v>648</v>
      </c>
      <c r="U527" t="s">
        <v>655</v>
      </c>
      <c r="V527">
        <v>0</v>
      </c>
      <c r="W527">
        <v>0</v>
      </c>
      <c r="X527">
        <v>0</v>
      </c>
      <c r="Y527">
        <v>0</v>
      </c>
      <c r="Z527">
        <v>0</v>
      </c>
      <c r="AA527">
        <v>0</v>
      </c>
      <c r="AB527">
        <v>0</v>
      </c>
      <c r="AC527">
        <v>0</v>
      </c>
      <c r="AD527">
        <v>0</v>
      </c>
      <c r="AE527">
        <v>0</v>
      </c>
      <c r="AF527">
        <v>0</v>
      </c>
      <c r="AG527">
        <v>0</v>
      </c>
      <c r="AH527">
        <v>0</v>
      </c>
      <c r="AI527">
        <v>0</v>
      </c>
      <c r="AJ527">
        <v>0</v>
      </c>
      <c r="AK527">
        <v>1</v>
      </c>
      <c r="AL527">
        <v>0</v>
      </c>
      <c r="AM527">
        <v>0</v>
      </c>
      <c r="AN527">
        <v>0</v>
      </c>
      <c r="AO527">
        <v>0</v>
      </c>
      <c r="AP527">
        <v>0</v>
      </c>
      <c r="AQ527">
        <v>0</v>
      </c>
      <c r="AR527">
        <v>0</v>
      </c>
      <c r="AS527">
        <v>0</v>
      </c>
      <c r="AT527">
        <v>0</v>
      </c>
      <c r="AU527">
        <v>0</v>
      </c>
      <c r="AV527">
        <v>0</v>
      </c>
      <c r="AW527">
        <v>0</v>
      </c>
      <c r="AX527" s="141">
        <f>COUNTIF(V527:AW527,"&lt;&gt;0")</f>
        <v>1</v>
      </c>
      <c r="AY527" s="141">
        <f>COUNTIF(V527:AL527,"&lt;&gt;0")</f>
        <v>1</v>
      </c>
      <c r="AZ527">
        <f>COUNTIF(V527:AC527,"&lt;&gt;0")</f>
        <v>0</v>
      </c>
      <c r="BA527">
        <f>COUNTIF(AD527:AI527,"&lt;&gt;0")</f>
        <v>0</v>
      </c>
      <c r="BB527">
        <f>COUNTIF(AJ527:AL527,"&lt;&gt;0")</f>
        <v>1</v>
      </c>
      <c r="BC527">
        <f>COUNTIF(AS527:AW527,"&lt;&gt;0")</f>
        <v>0</v>
      </c>
      <c r="BD527">
        <f>COUNTIF(AM527:AR527,"&lt;&gt;0")</f>
        <v>0</v>
      </c>
      <c r="BE527" t="str">
        <f t="array" ref="BE527">IF(AY527=1,INDEX($V$7:$AL$7,MATCH(TRUE,INDEX($V527:$AW527&lt;&gt;0,),0)),IF(AY527=0,INDEX($AM$7:$AW$7,MATCH(1,$AM527:$AW527,0)),IF(BF527="Multiple strategies","mixed drivers",IF(BF527="Supply chain","multiple supply","multiple silviculture"))))</f>
        <v>technologies/design switch</v>
      </c>
      <c r="BF527" s="2" t="str" cm="1">
        <f t="array" ref="BF527">IF(COUNTIF(AZ527:BB527,"&lt;&gt;0")=1,INDEX($V$4:$AW$4,MATCH(TRUE,INDEX($V527:$AW527&lt;&gt;0,),0)),IF(COUNTIF(AZ527:BB527,"&lt;&gt;0")=0,INDEX($AM$4:$AW$4,MATCH(1,$AM527:$AW527,0)),"Multiple strategies"))</f>
        <v>Technology</v>
      </c>
      <c r="BG527" s="1" t="s">
        <v>229</v>
      </c>
      <c r="BH527" t="s">
        <v>650</v>
      </c>
      <c r="BI527" s="260" t="s">
        <v>3308</v>
      </c>
      <c r="BJ527" t="s">
        <v>651</v>
      </c>
      <c r="BK527" s="260">
        <f>55+21+10+5+5</f>
        <v>96</v>
      </c>
      <c r="BL527" s="260">
        <v>129.6</v>
      </c>
      <c r="BN527">
        <f>BL527-BK527</f>
        <v>33.599999999999994</v>
      </c>
      <c r="BO527">
        <f>BN527*t_to_m3</f>
        <v>68.571428571428555</v>
      </c>
      <c r="BP527" t="s">
        <v>232</v>
      </c>
      <c r="BQ527" s="260" t="s">
        <v>3310</v>
      </c>
      <c r="BR527" t="s">
        <v>262</v>
      </c>
      <c r="BS527">
        <v>27</v>
      </c>
      <c r="BT527">
        <v>93</v>
      </c>
      <c r="BU527" s="144">
        <v>3.4444444444444446</v>
      </c>
      <c r="BV527">
        <v>66</v>
      </c>
      <c r="BX527">
        <f>BV527/1000</f>
        <v>6.6000000000000003E-2</v>
      </c>
      <c r="BY527">
        <f>IFERROR(BX527/BO527,"")</f>
        <v>9.6250000000000025E-4</v>
      </c>
      <c r="BZ527">
        <v>0</v>
      </c>
      <c r="CA527">
        <v>0</v>
      </c>
      <c r="CB527">
        <v>0</v>
      </c>
      <c r="CC527">
        <v>0</v>
      </c>
      <c r="CD527">
        <v>0</v>
      </c>
      <c r="CE527">
        <v>0</v>
      </c>
      <c r="CF527">
        <v>0</v>
      </c>
      <c r="CG527">
        <v>0</v>
      </c>
      <c r="CH527">
        <v>0</v>
      </c>
      <c r="CI527">
        <v>0</v>
      </c>
      <c r="CJ527">
        <v>0</v>
      </c>
      <c r="CK527">
        <v>0</v>
      </c>
      <c r="CL527">
        <v>0</v>
      </c>
      <c r="CM527">
        <v>0</v>
      </c>
      <c r="CN527" t="str">
        <f>IF($BL527&lt;$BK527,"refNeedCorrection","refOK")</f>
        <v>refOK</v>
      </c>
      <c r="CO527">
        <f>IF($CN527="refOK",$BK527,$BL527)</f>
        <v>96</v>
      </c>
      <c r="CP527">
        <f>IF($CN527="refOK",$BL527,$BK527)</f>
        <v>129.6</v>
      </c>
      <c r="CQ527">
        <f>IF($CN527="refOK",$BO527,-$BO527)</f>
        <v>68.571428571428555</v>
      </c>
      <c r="CR527">
        <f>IF($CN527="refOK",$BS527,$BT527)*IF($BP527="Emissions positive",-1,1)</f>
        <v>27</v>
      </c>
      <c r="CS527">
        <f>IF($CN527="refOK",$BT527,$BS527)*IF($BP527="Emissions positive",-1,1)</f>
        <v>93</v>
      </c>
      <c r="CT527">
        <f>IF($CN527="refNeedCorrection",-BX527,BX527)*IF($BP527="Emissions positive",-1,1)</f>
        <v>6.6000000000000003E-2</v>
      </c>
      <c r="CU527">
        <f>IFERROR(CT527/CQ527,"")</f>
        <v>9.6250000000000025E-4</v>
      </c>
      <c r="CV527" s="2">
        <f>IFERROR((CS527-CR527)/ABS(CR527),"")</f>
        <v>2.4444444444444446</v>
      </c>
      <c r="CW527" s="1" t="s">
        <v>263</v>
      </c>
      <c r="CX527" t="str">
        <f>IF(OR($CW527="prd",$CW527="std",$CW527="cit"),"loc",IF(OR($CW527="eur",$CW527="reg",$CW527="coy"),"reg",$CW527))</f>
        <v>loc</v>
      </c>
      <c r="CY527" t="s">
        <v>444</v>
      </c>
      <c r="DB527">
        <v>50</v>
      </c>
      <c r="DC527" t="str">
        <f>IF(DB527=0,"0",IF(AND(DB527&gt;=1,DB527&lt;=30),"1-30",IF(AND(DB527&gt;30,DB527&lt;=70),"31-70",IF(AND(DB527&gt;70,DB527&lt;=100),"71-100",IF(DB527&gt;100,"+100")))))</f>
        <v>31-70</v>
      </c>
      <c r="DD527">
        <v>0</v>
      </c>
      <c r="DE527">
        <v>0</v>
      </c>
      <c r="DF527">
        <v>0</v>
      </c>
      <c r="DG527">
        <v>1</v>
      </c>
      <c r="DI527">
        <f>SUM(DD527:DG527)</f>
        <v>1</v>
      </c>
      <c r="DJ527" t="str">
        <f>IF(DI527=1,INDEX($DD$7:$DG$7,MATCH(1,$DD527:$DG527,0)),"mixedProduct")</f>
        <v>TimberInput</v>
      </c>
      <c r="DK527">
        <f>IF(DD527=1,DK$7,0)</f>
        <v>0</v>
      </c>
      <c r="DL527">
        <f>IF(DE527=1,DL$7,0)</f>
        <v>0</v>
      </c>
      <c r="DM527">
        <f>IF(DF527=1,DM$7,0)</f>
        <v>0</v>
      </c>
      <c r="DN527" t="str">
        <f>IF(DG527=1,DN$7,0)</f>
        <v>Timber</v>
      </c>
      <c r="DO527">
        <v>0</v>
      </c>
      <c r="DP527">
        <v>0</v>
      </c>
      <c r="DQ527">
        <v>0</v>
      </c>
      <c r="DR527">
        <v>0</v>
      </c>
      <c r="DS527">
        <v>0</v>
      </c>
      <c r="DT527">
        <f>SUM(DO527:DP527)</f>
        <v>0</v>
      </c>
      <c r="DU527" s="143" t="str">
        <f>IF(DO527=1,"self-calculated DF",IF(DP527=1,"external DF used","explicit C balance"))</f>
        <v>explicit C balance</v>
      </c>
      <c r="DV527">
        <v>0</v>
      </c>
      <c r="DW527">
        <v>0</v>
      </c>
      <c r="DX527">
        <v>0</v>
      </c>
      <c r="DY527">
        <v>1</v>
      </c>
      <c r="DZ527">
        <v>0</v>
      </c>
      <c r="EA527" s="143">
        <v>0</v>
      </c>
      <c r="EB527">
        <v>0</v>
      </c>
      <c r="EC527">
        <v>1</v>
      </c>
      <c r="ED527">
        <v>0</v>
      </c>
      <c r="EE527">
        <v>0</v>
      </c>
      <c r="EF527">
        <v>0</v>
      </c>
      <c r="EG527">
        <v>0</v>
      </c>
      <c r="EH527">
        <v>0</v>
      </c>
      <c r="EI527" s="2">
        <v>0</v>
      </c>
      <c r="EK527" t="str">
        <f>IF(AND(AND(AND(OR($DX527=1,$DW527=1),OR($EC527=1,$EA527=1)),SUM($DV527:$DZ527,$EF527)&gt;=4),SUM($EA527:$EE527)&gt;=2),"Whole sector","")</f>
        <v/>
      </c>
      <c r="EL527" t="str">
        <f>IF(AND(AND(OR($DX527=1,$DW527=1),AND($EC527=0,$EA527=0)),SUM($DV527:$DZ527,$EF527)&gt;=4),"Ecosystem approach","")</f>
        <v/>
      </c>
      <c r="EM527" s="2" t="str">
        <f>IF(AND(AND(AND($DX527=0,$DW527=0),OR($EC527=1,$EA527=1)),SUM($EB527:$EE527)&gt;=2),"Technology approach","")</f>
        <v/>
      </c>
      <c r="EP527" t="str">
        <f>IF(ISNUMBER(BU527),IF(ABS(BU527-[4]QC_indicators!$B$2)&gt;3*[4]QC_indicators!$C$2,"C ratio",IF(ISNUMBER(BY527),IF(ABS(BY527-[4]QC_indicators!$B$1)&gt;3*[4]QC_indicators!$C$1,"DF","no"))),IF(ISNUMBER(BY527),IF(ABS(BY527-[4]QC_indicators!$B$1)&gt;3*[4]QC_indicators!$C$1,"DF","no")))</f>
        <v>no</v>
      </c>
      <c r="ER527" s="149" t="s">
        <v>349</v>
      </c>
      <c r="ET527" s="264" t="s">
        <v>3273</v>
      </c>
    </row>
    <row r="528" spans="1:151" ht="15" customHeight="1">
      <c r="A528" s="1" t="s">
        <v>398</v>
      </c>
      <c r="B528" t="s">
        <v>897</v>
      </c>
      <c r="C528" t="s">
        <v>898</v>
      </c>
      <c r="D528" t="s">
        <v>899</v>
      </c>
      <c r="E528" t="s">
        <v>900</v>
      </c>
      <c r="F528" t="s">
        <v>901</v>
      </c>
      <c r="G528" t="s">
        <v>404</v>
      </c>
      <c r="H528" t="s">
        <v>254</v>
      </c>
      <c r="I528">
        <v>2022</v>
      </c>
      <c r="J528">
        <v>0</v>
      </c>
      <c r="K528" t="s">
        <v>902</v>
      </c>
      <c r="M528" t="str">
        <f>LEFT($D528,FIND(",",$D528)-1)&amp;"_"&amp;I528&amp;L528</f>
        <v>Lei_2022</v>
      </c>
      <c r="N528" t="s">
        <v>222</v>
      </c>
      <c r="O528" s="161" t="s">
        <v>223</v>
      </c>
      <c r="Q528" s="264" t="s">
        <v>389</v>
      </c>
      <c r="R528" s="269" t="s">
        <v>1154</v>
      </c>
      <c r="S528" s="154" t="s">
        <v>257</v>
      </c>
      <c r="T528" s="294" t="s">
        <v>258</v>
      </c>
      <c r="U528" s="264" t="s">
        <v>259</v>
      </c>
      <c r="V528">
        <v>0</v>
      </c>
      <c r="W528">
        <v>0</v>
      </c>
      <c r="X528">
        <v>0</v>
      </c>
      <c r="Y528">
        <v>0</v>
      </c>
      <c r="Z528">
        <v>0</v>
      </c>
      <c r="AA528">
        <v>0</v>
      </c>
      <c r="AB528">
        <v>0</v>
      </c>
      <c r="AC528">
        <v>0</v>
      </c>
      <c r="AD528">
        <v>0</v>
      </c>
      <c r="AE528">
        <v>0</v>
      </c>
      <c r="AF528">
        <v>0</v>
      </c>
      <c r="AG528">
        <v>0</v>
      </c>
      <c r="AH528">
        <v>0</v>
      </c>
      <c r="AI528">
        <v>0</v>
      </c>
      <c r="AJ528">
        <v>0</v>
      </c>
      <c r="AK528">
        <v>1</v>
      </c>
      <c r="AL528">
        <v>0</v>
      </c>
      <c r="AM528">
        <v>0</v>
      </c>
      <c r="AN528">
        <v>0</v>
      </c>
      <c r="AO528">
        <v>0</v>
      </c>
      <c r="AP528">
        <v>0</v>
      </c>
      <c r="AQ528">
        <v>0</v>
      </c>
      <c r="AR528">
        <v>0</v>
      </c>
      <c r="AS528">
        <v>0</v>
      </c>
      <c r="AT528">
        <v>0</v>
      </c>
      <c r="AU528">
        <v>0</v>
      </c>
      <c r="AV528">
        <v>0</v>
      </c>
      <c r="AW528">
        <v>0</v>
      </c>
      <c r="AX528" s="141">
        <f>COUNTIF(V528:AW528,"&lt;&gt;0")</f>
        <v>1</v>
      </c>
      <c r="AY528" s="141">
        <f>COUNTIF(V528:AL528,"&lt;&gt;0")</f>
        <v>1</v>
      </c>
      <c r="AZ528">
        <f>COUNTIF(V528:AC528,"&lt;&gt;0")</f>
        <v>0</v>
      </c>
      <c r="BA528">
        <f>COUNTIF(AD528:AI528,"&lt;&gt;0")</f>
        <v>0</v>
      </c>
      <c r="BB528">
        <f>COUNTIF(AJ528:AL528,"&lt;&gt;0")</f>
        <v>1</v>
      </c>
      <c r="BC528">
        <f>COUNTIF(AS528:AW528,"&lt;&gt;0")</f>
        <v>0</v>
      </c>
      <c r="BD528">
        <f>COUNTIF(AM528:AR528,"&lt;&gt;0")</f>
        <v>0</v>
      </c>
      <c r="BE528" t="str" cm="1">
        <f t="array" ref="BE528">IF(AY528=1,INDEX($V$7:$AL$7,MATCH(TRUE,INDEX($V528:$AW528&lt;&gt;0,),0)),IF(AY528=0,INDEX($AM$7:$AW$7,MATCH(1,$AM528:$AW528,0)),IF(BF528="Multiple strategies","mixed drivers",IF(BF528="Supply chain","multiple supply","multiple silviculture"))))</f>
        <v>technologies/design switch</v>
      </c>
      <c r="BF528" s="2" t="str" cm="1">
        <f t="array" ref="BF528">IF(COUNTIF(AZ528:BB528,"&lt;&gt;0")=1,INDEX($V$4:$AW$4,MATCH(TRUE,INDEX($V528:$AW528&lt;&gt;0,),0)),IF(COUNTIF(AZ528:BB528,"&lt;&gt;0")=0,INDEX($AM$4:$AW$4,MATCH(1,$AM528:$AW528,0)),"Multiple strategies"))</f>
        <v>Technology</v>
      </c>
      <c r="BG528" s="1" t="s">
        <v>229</v>
      </c>
      <c r="BH528" s="264" t="s">
        <v>903</v>
      </c>
      <c r="BI528" s="264" t="s">
        <v>410</v>
      </c>
      <c r="BJ528" s="264" t="s">
        <v>904</v>
      </c>
      <c r="BK528">
        <v>0</v>
      </c>
      <c r="BL528">
        <f>(119193+8552)/1248</f>
        <v>102.35977564102564</v>
      </c>
      <c r="BN528">
        <f>BL528-BK528</f>
        <v>102.35977564102564</v>
      </c>
      <c r="BO528">
        <f>BN528</f>
        <v>102.35977564102564</v>
      </c>
      <c r="BP528" t="s">
        <v>395</v>
      </c>
      <c r="BR528" s="264" t="s">
        <v>262</v>
      </c>
      <c r="BS528">
        <v>488</v>
      </c>
      <c r="BT528">
        <v>280</v>
      </c>
      <c r="BV528">
        <f>BT528-BS528</f>
        <v>-208</v>
      </c>
      <c r="BX528">
        <f>BV528/1000</f>
        <v>-0.20799999999999999</v>
      </c>
      <c r="BY528">
        <f>IFERROR(BX528/BO528,"")</f>
        <v>-2.0320482210654037E-3</v>
      </c>
      <c r="BZ528">
        <v>0</v>
      </c>
      <c r="CA528">
        <v>0</v>
      </c>
      <c r="CB528">
        <v>0</v>
      </c>
      <c r="CC528">
        <v>0</v>
      </c>
      <c r="CD528">
        <v>0</v>
      </c>
      <c r="CE528">
        <v>0</v>
      </c>
      <c r="CF528">
        <v>0</v>
      </c>
      <c r="CG528">
        <v>0</v>
      </c>
      <c r="CH528">
        <v>0</v>
      </c>
      <c r="CI528">
        <v>0</v>
      </c>
      <c r="CJ528">
        <v>0</v>
      </c>
      <c r="CK528">
        <v>0</v>
      </c>
      <c r="CL528">
        <v>0</v>
      </c>
      <c r="CM528">
        <v>0</v>
      </c>
      <c r="CN528" t="str">
        <f>IF($BL528&lt;$BK528,"refNeedCorrection","refOK")</f>
        <v>refOK</v>
      </c>
      <c r="CO528">
        <f>IF($CN528="refOK",$BK528,$BL528)</f>
        <v>0</v>
      </c>
      <c r="CP528">
        <f>IF($CN528="refOK",$BL528,$BK528)</f>
        <v>102.35977564102564</v>
      </c>
      <c r="CQ528">
        <f>IF($CN528="refOK",$BO528,-$BO528)</f>
        <v>102.35977564102564</v>
      </c>
      <c r="CR528">
        <f>IF($CN528="refOK",$BS528,$BT528)*IF($BP528="Emissions positive",-1,1)</f>
        <v>-488</v>
      </c>
      <c r="CS528">
        <f>IF($CN528="refOK",$BT528,$BS528)*IF($BP528="Emissions positive",-1,1)</f>
        <v>-280</v>
      </c>
      <c r="CT528">
        <f>IF($CN528="refNeedCorrection",-BX528,BX528)*IF($BP528="Emissions positive",-1,1)</f>
        <v>0.20799999999999999</v>
      </c>
      <c r="CU528">
        <f>IFERROR(CT528/CQ528,"")</f>
        <v>2.0320482210654037E-3</v>
      </c>
      <c r="CV528" s="2">
        <f>IFERROR((CS528-CR528)/ABS(CR528),"")</f>
        <v>0.42622950819672129</v>
      </c>
      <c r="CW528" s="263" t="s">
        <v>263</v>
      </c>
      <c r="CX528" s="264" t="str">
        <f>IF(OR($CW528="prd",$CW528="std",$CW528="cit"),"loc",IF(OR($CW528="eur",$CW528="reg",$CW528="coy"),"reg",$CW528))</f>
        <v>loc</v>
      </c>
      <c r="CY528" s="264" t="s">
        <v>574</v>
      </c>
      <c r="DB528">
        <v>0</v>
      </c>
      <c r="DC528" t="str">
        <f>IF(DB528=0,"0",IF(AND(DB528&gt;=1,DB528&lt;=30),"1-30",IF(AND(DB528&gt;30,DB528&lt;=70),"31-70",IF(AND(DB528&gt;70,DB528&lt;=100),"71-100",IF(DB528&gt;100,"+100")))))</f>
        <v>0</v>
      </c>
      <c r="DD528">
        <v>0</v>
      </c>
      <c r="DE528">
        <v>0</v>
      </c>
      <c r="DF528">
        <v>0</v>
      </c>
      <c r="DG528">
        <v>1</v>
      </c>
      <c r="DH528">
        <v>0</v>
      </c>
      <c r="DI528">
        <f>SUM(DD528:DG528)</f>
        <v>1</v>
      </c>
      <c r="DJ528" t="str">
        <f>IF(DI528=1,INDEX($DD$7:$DG$7,MATCH(1,$DD528:$DG528,0)),"mixedProduct")</f>
        <v>TimberInput</v>
      </c>
      <c r="DK528">
        <f>IF(DD528=1,DK$7,0)</f>
        <v>0</v>
      </c>
      <c r="DL528">
        <f>IF(DE528=1,DL$7,0)</f>
        <v>0</v>
      </c>
      <c r="DM528">
        <f>IF(DF528=1,DM$7,0)</f>
        <v>0</v>
      </c>
      <c r="DN528" t="str">
        <f>IF(DG528=1,DN$7,0)</f>
        <v>Timber</v>
      </c>
      <c r="DO528">
        <v>0</v>
      </c>
      <c r="DP528">
        <v>0</v>
      </c>
      <c r="DQ528">
        <v>0</v>
      </c>
      <c r="DR528">
        <v>0</v>
      </c>
      <c r="DS528">
        <v>0</v>
      </c>
      <c r="DT528">
        <f>SUM(DO528:DP528)</f>
        <v>0</v>
      </c>
      <c r="DU528" s="143" t="str">
        <f>IF(DO528=1,"self-calculated DF",IF(DP528=1,"external DF used","explicit C balance"))</f>
        <v>explicit C balance</v>
      </c>
      <c r="DV528">
        <v>0</v>
      </c>
      <c r="DW528">
        <v>0</v>
      </c>
      <c r="DX528">
        <v>0</v>
      </c>
      <c r="DY528">
        <v>0</v>
      </c>
      <c r="DZ528">
        <v>1</v>
      </c>
      <c r="EA528">
        <v>1</v>
      </c>
      <c r="EB528">
        <v>1</v>
      </c>
      <c r="EC528" s="264">
        <v>1</v>
      </c>
      <c r="ED528" s="264">
        <v>1</v>
      </c>
      <c r="EE528" s="264">
        <v>1</v>
      </c>
      <c r="EF528" s="264">
        <v>0</v>
      </c>
      <c r="EG528" s="264">
        <v>0</v>
      </c>
      <c r="EH528" s="264">
        <v>0</v>
      </c>
      <c r="EI528" s="269">
        <v>0</v>
      </c>
      <c r="EK528" t="str">
        <f>IF(AND(AND(AND(OR($DX528=1,$DW528=1),OR($EC528=1,$EA528=1)),SUM($DV528:$DZ528,$EF528)&gt;=4),SUM($EA528:$EE528)&gt;=2),"Whole sector","")</f>
        <v/>
      </c>
      <c r="EL528" t="str">
        <f>IF(AND(AND(OR($DX528=1,$DW528=1),AND($EC528=0,$EA528=0)),SUM($DV528:$DZ528,$EF528)&gt;=4),"Ecosystem approach","")</f>
        <v/>
      </c>
      <c r="EM528" s="2" t="str">
        <f>IF(AND(AND(AND($DX528=0,$DW528=0),OR($EC528=1,$EA528=1)),SUM($EB528:$EE528)&gt;=2),"Technology approach","")</f>
        <v>Technology approach</v>
      </c>
      <c r="EP528" t="str">
        <f>IF(ISNUMBER(BU528),IF(ABS(BU528-[3]QC_indicators!$B$2)&gt;3*[3]QC_indicators!$C$2,"C ratio",IF(ISNUMBER(BY528),IF(ABS(BY528-[3]QC_indicators!$B$1)&gt;3*[3]QC_indicators!$C$1,"DF","no"))),IF(ISNUMBER(BY528),IF(ABS(BY528-[3]QC_indicators!$B$1)&gt;3*[3]QC_indicators!$C$1,"DF","no")))</f>
        <v>no</v>
      </c>
      <c r="ET528" s="264" t="s">
        <v>3407</v>
      </c>
    </row>
    <row r="529" spans="1:150" ht="15" customHeight="1">
      <c r="A529" s="174" t="s">
        <v>1286</v>
      </c>
      <c r="B529" s="141" t="s">
        <v>1287</v>
      </c>
      <c r="C529" s="141" t="s">
        <v>1288</v>
      </c>
      <c r="D529" s="141" t="s">
        <v>1289</v>
      </c>
      <c r="E529" s="141" t="s">
        <v>1290</v>
      </c>
      <c r="F529" s="141" t="s">
        <v>1291</v>
      </c>
      <c r="G529" s="141" t="s">
        <v>1292</v>
      </c>
      <c r="H529" s="141"/>
      <c r="I529" s="141">
        <v>2019</v>
      </c>
      <c r="J529" s="141"/>
      <c r="K529" s="141" t="s">
        <v>1293</v>
      </c>
      <c r="L529" s="141"/>
      <c r="M529" t="str">
        <f>LEFT($D529,FIND(",",$D529)-1)&amp;"_"&amp;I529&amp;L529</f>
        <v>Bosch_2019</v>
      </c>
      <c r="N529" t="s">
        <v>222</v>
      </c>
      <c r="O529" s="175" t="s">
        <v>225</v>
      </c>
      <c r="P529" s="141" t="s">
        <v>223</v>
      </c>
      <c r="Q529" s="264" t="s">
        <v>224</v>
      </c>
      <c r="R529" s="269" t="s">
        <v>1154</v>
      </c>
      <c r="S529" s="174" t="s">
        <v>1307</v>
      </c>
      <c r="T529" s="141" t="s">
        <v>1308</v>
      </c>
      <c r="U529" s="141" t="s">
        <v>1296</v>
      </c>
      <c r="V529" s="141">
        <v>0</v>
      </c>
      <c r="W529" s="141">
        <v>0</v>
      </c>
      <c r="X529" s="141">
        <v>1</v>
      </c>
      <c r="Y529" s="141">
        <v>0</v>
      </c>
      <c r="Z529" s="141">
        <v>0</v>
      </c>
      <c r="AA529" s="141">
        <v>0</v>
      </c>
      <c r="AB529" s="141">
        <v>0</v>
      </c>
      <c r="AC529" s="141">
        <v>0</v>
      </c>
      <c r="AD529" s="141">
        <v>0</v>
      </c>
      <c r="AE529" s="141">
        <v>0</v>
      </c>
      <c r="AF529" s="141">
        <v>0</v>
      </c>
      <c r="AG529" s="141">
        <v>0</v>
      </c>
      <c r="AH529" s="141">
        <v>0</v>
      </c>
      <c r="AI529" s="141">
        <v>0</v>
      </c>
      <c r="AJ529" s="141">
        <v>0</v>
      </c>
      <c r="AK529" s="141">
        <v>0</v>
      </c>
      <c r="AL529" s="141">
        <v>0</v>
      </c>
      <c r="AM529" s="141">
        <v>0</v>
      </c>
      <c r="AN529" s="141">
        <v>0</v>
      </c>
      <c r="AO529" s="141">
        <v>0</v>
      </c>
      <c r="AP529" s="141">
        <v>0</v>
      </c>
      <c r="AQ529" s="141">
        <v>0</v>
      </c>
      <c r="AR529" s="141">
        <v>0</v>
      </c>
      <c r="AS529" s="141">
        <v>0</v>
      </c>
      <c r="AT529" s="141">
        <v>0</v>
      </c>
      <c r="AU529" s="141">
        <v>0</v>
      </c>
      <c r="AV529" s="141">
        <v>0</v>
      </c>
      <c r="AW529" s="141">
        <v>0</v>
      </c>
      <c r="AX529" s="141">
        <f>COUNTIF(V529:AW529,"&lt;&gt;0")</f>
        <v>1</v>
      </c>
      <c r="AY529" s="141">
        <f>COUNTIF(V529:AL529,"&lt;&gt;0")</f>
        <v>1</v>
      </c>
      <c r="AZ529">
        <f>COUNTIF(V529:AC529,"&lt;&gt;0")</f>
        <v>1</v>
      </c>
      <c r="BA529">
        <f>COUNTIF(AD529:AI529,"&lt;&gt;0")</f>
        <v>0</v>
      </c>
      <c r="BB529">
        <f>COUNTIF(AJ529:AL529,"&lt;&gt;0")</f>
        <v>0</v>
      </c>
      <c r="BC529">
        <f>COUNTIF(AS529:AW529,"&lt;&gt;0")</f>
        <v>0</v>
      </c>
      <c r="BD529">
        <f>COUNTIF(AM529:AR529,"&lt;&gt;0")</f>
        <v>0</v>
      </c>
      <c r="BE529" t="str" cm="1">
        <f t="array" ref="BE529">IF(AY529=1,INDEX($V$7:$AL$7,MATCH(TRUE,INDEX($V529:$AW529&lt;&gt;0,),0)),IF(AY529=0,INDEX($AM$7:$AW$7,MATCH(1,$AM529:$AW529,0)),IF(BF529="Multiple strategies","mixed drivers",IF(BF529="Supply chain","multiple supply","multiple silviculture"))))</f>
        <v>rotation length</v>
      </c>
      <c r="BF529" s="2" t="str" cm="1">
        <f t="array" ref="BF529">IF(COUNTIF(AZ529:BB529,"&lt;&gt;0")=1,INDEX($V$4:$AW$4,MATCH(TRUE,INDEX($V529:$AW529&lt;&gt;0,),0)),IF(COUNTIF(AZ529:BB529,"&lt;&gt;0")=0,INDEX($AM$4:$AW$4,MATCH(1,$AM529:$AW529,0)),"Multiple strategies"))</f>
        <v>Silviculture for removals</v>
      </c>
      <c r="BG529" s="173" t="s">
        <v>321</v>
      </c>
      <c r="BH529" s="141" t="s">
        <v>1297</v>
      </c>
      <c r="BI529" s="141" t="s">
        <v>1298</v>
      </c>
      <c r="BJ529" s="163" t="s">
        <v>1299</v>
      </c>
      <c r="BK529" s="176">
        <v>2167</v>
      </c>
      <c r="BL529" s="163">
        <v>2405</v>
      </c>
      <c r="BM529" s="163">
        <f>BL529/BK529</f>
        <v>1.1098292570373789</v>
      </c>
      <c r="BN529">
        <f>BL529-BK529</f>
        <v>238</v>
      </c>
      <c r="BO529" s="158">
        <f>BN529*10^6</f>
        <v>238000000</v>
      </c>
      <c r="BP529" s="264" t="s">
        <v>395</v>
      </c>
      <c r="BQ529" s="264" t="s">
        <v>701</v>
      </c>
      <c r="BR529" s="151" t="s">
        <v>1300</v>
      </c>
      <c r="BS529" s="163"/>
      <c r="BT529" s="141"/>
      <c r="BU529" s="144"/>
      <c r="BV529" s="176">
        <v>-0.5</v>
      </c>
      <c r="BX529">
        <f>BV529*10^6</f>
        <v>-500000</v>
      </c>
      <c r="BY529">
        <f>IFERROR(BX529/BO529,"")</f>
        <v>-2.1008403361344537E-3</v>
      </c>
      <c r="BZ529" s="141">
        <v>0</v>
      </c>
      <c r="CA529" s="141">
        <v>0</v>
      </c>
      <c r="CB529" s="141">
        <v>0</v>
      </c>
      <c r="CC529" s="141">
        <v>0</v>
      </c>
      <c r="CD529" s="141">
        <v>0</v>
      </c>
      <c r="CE529" s="141">
        <v>0</v>
      </c>
      <c r="CF529" s="141">
        <v>0</v>
      </c>
      <c r="CG529" s="141">
        <v>0</v>
      </c>
      <c r="CH529" s="141">
        <v>0</v>
      </c>
      <c r="CI529" s="141">
        <v>0</v>
      </c>
      <c r="CJ529" s="141">
        <v>0</v>
      </c>
      <c r="CK529" s="141">
        <v>0</v>
      </c>
      <c r="CL529" s="141">
        <v>0</v>
      </c>
      <c r="CM529" s="141">
        <v>1</v>
      </c>
      <c r="CN529" t="str">
        <f>IF(BL529&lt;BK529,"refNeedCorrection","refOK")</f>
        <v>refOK</v>
      </c>
      <c r="CO529">
        <f>IF($CN529="refOK",$BK529,$BL529)</f>
        <v>2167</v>
      </c>
      <c r="CP529">
        <f>IF($CN529="refOK",$BL529,$BK529)</f>
        <v>2405</v>
      </c>
      <c r="CQ529">
        <f>IF($CN529="refOK",$BO529,-$BO529)</f>
        <v>238000000</v>
      </c>
      <c r="CR529">
        <f>IF($CN529="refOK",$BS529,$BT529)*IF($BP529="Emissions positive",-1,1)</f>
        <v>0</v>
      </c>
      <c r="CS529">
        <f>IF($CN529="refOK",$BT529,$BS529)*IF($BP529="Emissions positive",-1,1)</f>
        <v>0</v>
      </c>
      <c r="CT529">
        <f>IF($CN529="refNeedCorrection",-BX529,BX529)*IF($BP529="Emissions positive",-1,1)</f>
        <v>500000</v>
      </c>
      <c r="CU529">
        <f>IFERROR(CT529/CQ529,"")</f>
        <v>2.1008403361344537E-3</v>
      </c>
      <c r="CV529" s="2" t="str">
        <f>IFERROR((CS529-CR529)/ABS(CR529),"")</f>
        <v/>
      </c>
      <c r="CW529" s="174" t="s">
        <v>1203</v>
      </c>
      <c r="CX529" s="264" t="str">
        <f>IF(OR($CW529="prd",$CW529="std",$CW529="cit"),"loc",IF(OR($CW529="eur",$CW529="reg",$CW529="coy"),"reg",$CW529))</f>
        <v>reg</v>
      </c>
      <c r="CY529" s="141" t="s">
        <v>1301</v>
      </c>
      <c r="CZ529" s="141">
        <v>2016</v>
      </c>
      <c r="DA529" s="163">
        <v>2046</v>
      </c>
      <c r="DB529" s="163">
        <v>30</v>
      </c>
      <c r="DC529" t="str">
        <f>IF(DB529=0,"0",IF(AND(DB529&gt;=1,DB529&lt;=30),"1-30",IF(AND(DB529&gt;30,DB529&lt;=70),"31-70",IF(AND(DB529&gt;70,DB529&lt;=100),"71-100",IF(DB529&gt;100,"+100")))))</f>
        <v>1-30</v>
      </c>
      <c r="DD529" s="141">
        <v>1</v>
      </c>
      <c r="DE529" s="141">
        <v>1</v>
      </c>
      <c r="DF529" s="141">
        <v>0</v>
      </c>
      <c r="DG529" s="141">
        <v>1</v>
      </c>
      <c r="DI529">
        <f>SUM(DD529:DG529)</f>
        <v>3</v>
      </c>
      <c r="DJ529" t="str">
        <f>IF(DI529=1,INDEX($DD$7:$DG$7,MATCH(1,$DD529:$DG529,0)),"mixedProduct")</f>
        <v>mixedProduct</v>
      </c>
      <c r="DK529" t="str">
        <f>IF(DD529=1,DK$7,0)</f>
        <v>Upstream</v>
      </c>
      <c r="DL529" t="str">
        <f>IF(DE529=1,DL$7,0)</f>
        <v>Energy</v>
      </c>
      <c r="DM529">
        <f>IF(DF529=1,DM$7,0)</f>
        <v>0</v>
      </c>
      <c r="DN529" t="str">
        <f>IF(DG529=1,DN$7,0)</f>
        <v>Timber</v>
      </c>
      <c r="DO529" s="163">
        <v>0</v>
      </c>
      <c r="DP529" s="141">
        <v>1</v>
      </c>
      <c r="DQ529" s="163" t="s">
        <v>1305</v>
      </c>
      <c r="DR529" s="163" t="s">
        <v>1306</v>
      </c>
      <c r="DS529" s="163">
        <v>0</v>
      </c>
      <c r="DT529">
        <f>SUM(DO529:DP529)</f>
        <v>1</v>
      </c>
      <c r="DU529" s="143" t="str">
        <f>IF(DO529=1,"self-calculated DF",IF(DP529=1,"external DF used","explicit C balance"))</f>
        <v>external DF used</v>
      </c>
      <c r="DV529" s="163">
        <v>1</v>
      </c>
      <c r="DW529" s="141">
        <v>1</v>
      </c>
      <c r="DX529" s="163">
        <v>1</v>
      </c>
      <c r="DY529" s="163">
        <v>1</v>
      </c>
      <c r="DZ529" s="141">
        <v>1</v>
      </c>
      <c r="EA529" s="141">
        <v>1</v>
      </c>
      <c r="EB529" s="143">
        <v>0</v>
      </c>
      <c r="EC529" s="141">
        <v>0</v>
      </c>
      <c r="ED529" s="143">
        <v>0</v>
      </c>
      <c r="EE529" s="143">
        <v>0</v>
      </c>
      <c r="EF529" s="141">
        <v>1</v>
      </c>
      <c r="EG529" s="163">
        <v>0</v>
      </c>
      <c r="EH529" s="141">
        <v>0</v>
      </c>
      <c r="EI529" s="177">
        <v>0</v>
      </c>
      <c r="EK529" t="str">
        <f>IF(AND(AND(AND(OR($DX529=1,$DW529=1),OR($EC529=1,$EA529=1)),SUM($DV529:$DZ529,$EF529)&gt;=4),SUM($EA529:$EE529)&gt;=2),"Whole sector","")</f>
        <v/>
      </c>
      <c r="EL529" t="str">
        <f>IF(AND(AND(OR($DX529=1,$DW529=1),AND($EC529=0,$EA529=0)),SUM($DV529:$DZ529,$EF529)&gt;=4),"Ecosystem approach","")</f>
        <v/>
      </c>
      <c r="EM529" s="2" t="str">
        <f>IF(AND(AND(AND($DX529=0,$DW529=0),OR($EC529=1,$EA529=1)),SUM($EB529:$EE529)&gt;=2),"Technology approach","")</f>
        <v/>
      </c>
      <c r="EN529" s="141"/>
      <c r="EP529" t="str">
        <f>IF(ISNUMBER(BU529),IF(ABS(BU529-[3]QC_indicators!$B$2)&gt;3*[3]QC_indicators!$C$2,"C ratio",IF(ISNUMBER(BY529),IF(ABS(BY529-[3]QC_indicators!$B$1)&gt;3*[3]QC_indicators!$C$1,"DF","no"))),IF(ISNUMBER(BY529),IF(ABS(BY529-[3]QC_indicators!$B$1)&gt;3*[3]QC_indicators!$C$1,"DF","no")))</f>
        <v>no</v>
      </c>
      <c r="ER529" s="294" t="s">
        <v>1302</v>
      </c>
      <c r="ET529" s="264" t="s">
        <v>3407</v>
      </c>
    </row>
    <row r="530" spans="1:150" ht="15" customHeight="1">
      <c r="A530" s="1" t="s">
        <v>587</v>
      </c>
      <c r="B530" t="s">
        <v>1448</v>
      </c>
      <c r="C530" t="s">
        <v>1449</v>
      </c>
      <c r="D530" t="s">
        <v>1450</v>
      </c>
      <c r="E530" t="s">
        <v>1451</v>
      </c>
      <c r="F530" t="s">
        <v>1452</v>
      </c>
      <c r="G530" t="s">
        <v>593</v>
      </c>
      <c r="H530" t="s">
        <v>254</v>
      </c>
      <c r="I530">
        <v>2020</v>
      </c>
      <c r="J530">
        <v>12</v>
      </c>
      <c r="K530" t="s">
        <v>1453</v>
      </c>
      <c r="M530" t="str">
        <f>LEFT($D530,FIND(",",$D530)-1)&amp;"_"&amp;I530&amp;L530</f>
        <v>Elisa_2020</v>
      </c>
      <c r="N530" s="264" t="s">
        <v>222</v>
      </c>
      <c r="O530" s="171" t="s">
        <v>274</v>
      </c>
      <c r="P530" t="s">
        <v>223</v>
      </c>
      <c r="Q530" s="264" t="s">
        <v>389</v>
      </c>
      <c r="R530" s="269" t="s">
        <v>1154</v>
      </c>
      <c r="S530" s="154" t="s">
        <v>1454</v>
      </c>
      <c r="T530" s="294" t="s">
        <v>1455</v>
      </c>
      <c r="U530" s="143" t="s">
        <v>1513</v>
      </c>
      <c r="V530">
        <v>0</v>
      </c>
      <c r="W530">
        <v>0</v>
      </c>
      <c r="X530">
        <v>0</v>
      </c>
      <c r="Y530">
        <v>0</v>
      </c>
      <c r="Z530">
        <v>0</v>
      </c>
      <c r="AA530">
        <v>0</v>
      </c>
      <c r="AB530">
        <v>0</v>
      </c>
      <c r="AC530">
        <v>0</v>
      </c>
      <c r="AD530">
        <v>0</v>
      </c>
      <c r="AE530">
        <v>1</v>
      </c>
      <c r="AF530">
        <v>0</v>
      </c>
      <c r="AG530">
        <v>0</v>
      </c>
      <c r="AH530">
        <v>0</v>
      </c>
      <c r="AI530">
        <v>0</v>
      </c>
      <c r="AJ530">
        <v>0</v>
      </c>
      <c r="AK530">
        <v>1</v>
      </c>
      <c r="AL530">
        <v>0</v>
      </c>
      <c r="AM530">
        <v>0</v>
      </c>
      <c r="AN530">
        <v>0</v>
      </c>
      <c r="AO530">
        <v>0</v>
      </c>
      <c r="AP530">
        <v>0</v>
      </c>
      <c r="AQ530">
        <v>0</v>
      </c>
      <c r="AR530">
        <v>0</v>
      </c>
      <c r="AS530">
        <v>0</v>
      </c>
      <c r="AT530">
        <v>0</v>
      </c>
      <c r="AU530">
        <v>0</v>
      </c>
      <c r="AV530">
        <v>0</v>
      </c>
      <c r="AW530">
        <v>0</v>
      </c>
      <c r="AX530" s="141">
        <f>COUNTIF(V530:AW530,"&lt;&gt;0")</f>
        <v>2</v>
      </c>
      <c r="AY530" s="141">
        <f>COUNTIF(V530:AL530,"&lt;&gt;0")</f>
        <v>2</v>
      </c>
      <c r="AZ530">
        <f>COUNTIF(V530:AC530,"&lt;&gt;0")</f>
        <v>0</v>
      </c>
      <c r="BA530">
        <f>COUNTIF(AD530:AI530,"&lt;&gt;0")</f>
        <v>1</v>
      </c>
      <c r="BB530">
        <f>COUNTIF(AJ530:AL530,"&lt;&gt;0")</f>
        <v>1</v>
      </c>
      <c r="BC530">
        <f>COUNTIF(AS530:AW530,"&lt;&gt;0")</f>
        <v>0</v>
      </c>
      <c r="BD530">
        <f>COUNTIF(AM530:AR530,"&lt;&gt;0")</f>
        <v>0</v>
      </c>
      <c r="BE530" t="str" cm="1">
        <f t="array" ref="BE530">IF(AY530=1,INDEX($V$7:$AL$7,MATCH(TRUE,INDEX($V530:$AW530&lt;&gt;0,),0)),IF(AY530=0,INDEX($AM$7:$AW$7,MATCH(1,$AM530:$AW530,0)),IF(BF530="Multiple strategies","mixed drivers",IF(BF530="Supply chain","multiple supply","multiple silviculture"))))</f>
        <v>mixed drivers</v>
      </c>
      <c r="BF530" s="2" t="str" cm="1">
        <f t="array" ref="BF530">IF(COUNTIF(AZ530:BB530,"&lt;&gt;0")=1,INDEX($V$4:$AW$4,MATCH(TRUE,INDEX($V530:$AW530&lt;&gt;0,),0)),IF(COUNTIF(AZ530:BB530,"&lt;&gt;0")=0,INDEX($AM$4:$AW$4,MATCH(1,$AM530:$AW530,0)),"Multiple strategies"))</f>
        <v>Multiple strategies</v>
      </c>
      <c r="BG530" s="142" t="s">
        <v>321</v>
      </c>
      <c r="BH530" s="160" t="s">
        <v>1457</v>
      </c>
      <c r="BI530" s="160" t="s">
        <v>1458</v>
      </c>
      <c r="BJ530" s="143" t="s">
        <v>498</v>
      </c>
      <c r="BK530" s="143">
        <v>944</v>
      </c>
      <c r="BL530" s="143">
        <v>2500</v>
      </c>
      <c r="BM530">
        <f>IFERROR(BL530/BK530,"")</f>
        <v>2.6483050847457625</v>
      </c>
      <c r="BN530">
        <f>BL530-BK530</f>
        <v>1556</v>
      </c>
      <c r="BO530" s="159">
        <f>BN530</f>
        <v>1556</v>
      </c>
      <c r="BP530" s="155" t="s">
        <v>232</v>
      </c>
      <c r="BQ530" s="155" t="s">
        <v>1459</v>
      </c>
      <c r="BR530" s="155" t="s">
        <v>825</v>
      </c>
      <c r="BS530" s="143" t="s">
        <v>1460</v>
      </c>
      <c r="BT530" t="s">
        <v>1526</v>
      </c>
      <c r="BU530" s="144">
        <f>BT530/BS530</f>
        <v>0.42034063977982705</v>
      </c>
      <c r="BV530">
        <f>BT530-BS530</f>
        <v>4.0681174999999996</v>
      </c>
      <c r="BX530">
        <f>BV530</f>
        <v>4.0681174999999996</v>
      </c>
      <c r="BY530">
        <f>IFERROR(BX530/BO530,"")</f>
        <v>2.6144714010282776E-3</v>
      </c>
      <c r="BZ530">
        <v>0</v>
      </c>
      <c r="CA530">
        <v>0</v>
      </c>
      <c r="CB530">
        <v>0</v>
      </c>
      <c r="CC530">
        <v>0</v>
      </c>
      <c r="CD530">
        <v>0</v>
      </c>
      <c r="CE530">
        <v>0</v>
      </c>
      <c r="CF530">
        <v>0</v>
      </c>
      <c r="CG530">
        <v>0</v>
      </c>
      <c r="CH530">
        <v>0</v>
      </c>
      <c r="CI530">
        <v>0</v>
      </c>
      <c r="CJ530">
        <v>0</v>
      </c>
      <c r="CK530">
        <v>0</v>
      </c>
      <c r="CL530">
        <v>0</v>
      </c>
      <c r="CM530">
        <v>0</v>
      </c>
      <c r="CN530" t="str">
        <f>IF($BL530&lt;$BK530,"refNeedCorrection","refOK")</f>
        <v>refOK</v>
      </c>
      <c r="CO530">
        <f>IF($CN530="refOK",$BK530,$BL530)</f>
        <v>944</v>
      </c>
      <c r="CP530">
        <f>IF($CN530="refOK",$BL530,$BK530)</f>
        <v>2500</v>
      </c>
      <c r="CQ530">
        <f>IF($CN530="refOK",$BO530,-$BO530)</f>
        <v>1556</v>
      </c>
      <c r="CR530">
        <f>IF($CN530="refOK",$BS530,$BT530)*IF($BP530="Emissions positive",-1,1)</f>
        <v>-7.0181174999999998</v>
      </c>
      <c r="CS530">
        <f>IF($CN530="refOK",$BT530,$BS530)*IF($BP530="Emissions positive",-1,1)</f>
        <v>-2.95</v>
      </c>
      <c r="CT530">
        <f>IF($CN530="refNeedCorrection",-BX530,BX530)*IF($BP530="Emissions positive",-1,1)</f>
        <v>4.0681174999999996</v>
      </c>
      <c r="CU530">
        <f>IFERROR(CT530/CQ530,"")</f>
        <v>2.6144714010282776E-3</v>
      </c>
      <c r="CV530" s="2">
        <f>IFERROR((CS530-CR530)/ABS(CR530),"")</f>
        <v>0.57965936022017295</v>
      </c>
      <c r="CW530" s="263" t="s">
        <v>1462</v>
      </c>
      <c r="CX530" s="264" t="str">
        <f>IF(OR($CW530="prd",$CW530="std",$CW530="cit"),"loc",IF(OR($CW530="eur",$CW530="reg",$CW530="coy"),"reg",$CW530))</f>
        <v>reg</v>
      </c>
      <c r="CY530" s="270" t="s">
        <v>743</v>
      </c>
      <c r="DA530" s="143"/>
      <c r="DB530" s="143">
        <v>0</v>
      </c>
      <c r="DC530" t="str">
        <f>IF(DB530=0,"0",IF(AND(DB530&gt;=1,DB530&lt;=30),"1-30",IF(AND(DB530&gt;30,DB530&lt;=70),"31-70",IF(AND(DB530&gt;70,DB530&lt;=100),"71-100",IF(DB530&gt;100,"+100")))))</f>
        <v>0</v>
      </c>
      <c r="DD530">
        <v>0</v>
      </c>
      <c r="DE530">
        <v>1</v>
      </c>
      <c r="DF530">
        <v>0</v>
      </c>
      <c r="DG530">
        <v>0</v>
      </c>
      <c r="DH530">
        <v>0</v>
      </c>
      <c r="DI530">
        <f>SUM(DD530:DH530)</f>
        <v>1</v>
      </c>
      <c r="DJ530" t="str">
        <f>IF(DI530=1,INDEX($DD$7:$DG$7,MATCH(1,$DD530:$DG530,0)),"mixedProduct")</f>
        <v>EnergyInput</v>
      </c>
      <c r="DK530">
        <f>IF(DD530=1,DK$7,0)</f>
        <v>0</v>
      </c>
      <c r="DL530" t="str">
        <f>IF(DE530=1,DL$7,0)</f>
        <v>Energy</v>
      </c>
      <c r="DM530">
        <f>IF(DF530=1,DM$7,0)</f>
        <v>0</v>
      </c>
      <c r="DN530">
        <f>IF(DG530=1,DN$7,0)</f>
        <v>0</v>
      </c>
      <c r="DO530">
        <v>0</v>
      </c>
      <c r="DP530" s="143">
        <v>0</v>
      </c>
      <c r="DQ530" s="143">
        <v>0</v>
      </c>
      <c r="DR530">
        <v>0</v>
      </c>
      <c r="DS530" s="143">
        <v>0</v>
      </c>
      <c r="DT530">
        <f>SUM(DO530:DP530)</f>
        <v>0</v>
      </c>
      <c r="DU530" s="143" t="str">
        <f>IF(DO530=1,"self-calculated DF",IF(DP530=1,"external DF used","explicit C balance"))</f>
        <v>explicit C balance</v>
      </c>
      <c r="DV530" s="143">
        <v>0</v>
      </c>
      <c r="DW530" s="143">
        <v>0</v>
      </c>
      <c r="DX530" s="143">
        <v>0</v>
      </c>
      <c r="DY530" s="143">
        <v>0</v>
      </c>
      <c r="DZ530">
        <v>0</v>
      </c>
      <c r="EA530" s="143">
        <v>0</v>
      </c>
      <c r="EB530" s="143">
        <v>1</v>
      </c>
      <c r="EC530" s="143">
        <v>1</v>
      </c>
      <c r="ED530" s="143">
        <v>0</v>
      </c>
      <c r="EE530">
        <v>1</v>
      </c>
      <c r="EF530">
        <v>0</v>
      </c>
      <c r="EG530" s="143">
        <v>0</v>
      </c>
      <c r="EH530" s="143">
        <v>0</v>
      </c>
      <c r="EI530" s="2">
        <v>0</v>
      </c>
      <c r="EK530" t="str">
        <f>IF(AND(AND(AND(OR($DX530=1,$DW530=1),OR($EC530=1,$EA530=1)),SUM($DV530:$DZ530,$EF530)&gt;=4),SUM($EA530:$EE530)&gt;=2),"Whole sector","")</f>
        <v/>
      </c>
      <c r="EL530" t="str">
        <f>IF(AND(AND(OR($DX530=1,$DW530=1),AND($EC530=0,$EA530=0)),SUM($DV530:$DZ530,$EF530)&gt;=4),"Ecosystem approach","")</f>
        <v/>
      </c>
      <c r="EM530" s="2" t="str">
        <f>IF(AND(AND(AND($DX530=0,$DW530=0),OR($EC530=1,$EA530=1)),SUM($EB530:$EE530)&gt;=2),"Technology approach","")</f>
        <v>Technology approach</v>
      </c>
      <c r="EP530" t="str">
        <f>IF(ISNUMBER(BU530),IF(ABS(BU530-[3]QC_indicators!$B$2)&gt;3*[3]QC_indicators!$C$2,"C ratio",IF(ISNUMBER(BY530),IF(ABS(BY530-[3]QC_indicators!$B$1)&gt;3*[3]QC_indicators!$C$1,"DF","no"))),IF(ISNUMBER(BY530),IF(ABS(BY530-[3]QC_indicators!$B$1)&gt;3*[3]QC_indicators!$C$1,"DF","no")))</f>
        <v>no</v>
      </c>
      <c r="ER530" s="149"/>
      <c r="ET530" s="264" t="s">
        <v>3407</v>
      </c>
    </row>
    <row r="531" spans="1:150" ht="15" customHeight="1">
      <c r="A531" s="1" t="s">
        <v>587</v>
      </c>
      <c r="B531" t="s">
        <v>1448</v>
      </c>
      <c r="C531" t="s">
        <v>1449</v>
      </c>
      <c r="D531" t="s">
        <v>1450</v>
      </c>
      <c r="E531" t="s">
        <v>1451</v>
      </c>
      <c r="F531" t="s">
        <v>1452</v>
      </c>
      <c r="G531" t="s">
        <v>593</v>
      </c>
      <c r="H531" t="s">
        <v>254</v>
      </c>
      <c r="I531">
        <v>2020</v>
      </c>
      <c r="J531">
        <v>12</v>
      </c>
      <c r="K531" t="s">
        <v>1453</v>
      </c>
      <c r="M531" t="str">
        <f>LEFT($D531,FIND(",",$D531)-1)&amp;"_"&amp;I531&amp;L531</f>
        <v>Elisa_2020</v>
      </c>
      <c r="N531" s="264" t="s">
        <v>222</v>
      </c>
      <c r="O531" s="171" t="s">
        <v>274</v>
      </c>
      <c r="P531" t="s">
        <v>223</v>
      </c>
      <c r="Q531" s="264" t="s">
        <v>389</v>
      </c>
      <c r="R531" s="269" t="s">
        <v>1154</v>
      </c>
      <c r="S531" s="154" t="s">
        <v>1454</v>
      </c>
      <c r="T531" s="294" t="s">
        <v>1455</v>
      </c>
      <c r="U531" s="143" t="s">
        <v>1513</v>
      </c>
      <c r="V531">
        <v>0</v>
      </c>
      <c r="W531">
        <v>0</v>
      </c>
      <c r="X531">
        <v>0</v>
      </c>
      <c r="Y531">
        <v>0</v>
      </c>
      <c r="Z531">
        <v>0</v>
      </c>
      <c r="AA531">
        <v>0</v>
      </c>
      <c r="AB531">
        <v>0</v>
      </c>
      <c r="AC531">
        <v>0</v>
      </c>
      <c r="AD531">
        <v>0</v>
      </c>
      <c r="AE531">
        <v>1</v>
      </c>
      <c r="AF531">
        <v>0</v>
      </c>
      <c r="AG531">
        <v>0</v>
      </c>
      <c r="AH531">
        <v>0</v>
      </c>
      <c r="AI531">
        <v>0</v>
      </c>
      <c r="AJ531">
        <v>0</v>
      </c>
      <c r="AK531">
        <v>1</v>
      </c>
      <c r="AL531">
        <v>0</v>
      </c>
      <c r="AM531">
        <v>0</v>
      </c>
      <c r="AN531">
        <v>0</v>
      </c>
      <c r="AO531">
        <v>0</v>
      </c>
      <c r="AP531">
        <v>0</v>
      </c>
      <c r="AQ531">
        <v>0</v>
      </c>
      <c r="AR531">
        <v>0</v>
      </c>
      <c r="AS531">
        <v>0</v>
      </c>
      <c r="AT531">
        <v>0</v>
      </c>
      <c r="AU531">
        <v>0</v>
      </c>
      <c r="AV531">
        <v>0</v>
      </c>
      <c r="AW531">
        <v>0</v>
      </c>
      <c r="AX531" s="141">
        <f>COUNTIF(V531:AW531,"&lt;&gt;0")</f>
        <v>2</v>
      </c>
      <c r="AY531" s="141">
        <f>COUNTIF(V531:AL531,"&lt;&gt;0")</f>
        <v>2</v>
      </c>
      <c r="AZ531">
        <f>COUNTIF(V531:AC531,"&lt;&gt;0")</f>
        <v>0</v>
      </c>
      <c r="BA531">
        <f>COUNTIF(AD531:AI531,"&lt;&gt;0")</f>
        <v>1</v>
      </c>
      <c r="BB531">
        <f>COUNTIF(AJ531:AL531,"&lt;&gt;0")</f>
        <v>1</v>
      </c>
      <c r="BC531">
        <f>COUNTIF(AS531:AW531,"&lt;&gt;0")</f>
        <v>0</v>
      </c>
      <c r="BD531">
        <f>COUNTIF(AM531:AR531,"&lt;&gt;0")</f>
        <v>0</v>
      </c>
      <c r="BE531" t="str" cm="1">
        <f t="array" ref="BE531">IF(AY531=1,INDEX($V$7:$AL$7,MATCH(TRUE,INDEX($V531:$AW531&lt;&gt;0,),0)),IF(AY531=0,INDEX($AM$7:$AW$7,MATCH(1,$AM531:$AW531,0)),IF(BF531="Multiple strategies","mixed drivers",IF(BF531="Supply chain","multiple supply","multiple silviculture"))))</f>
        <v>mixed drivers</v>
      </c>
      <c r="BF531" s="2" t="str" cm="1">
        <f t="array" ref="BF531">IF(COUNTIF(AZ531:BB531,"&lt;&gt;0")=1,INDEX($V$4:$AW$4,MATCH(TRUE,INDEX($V531:$AW531&lt;&gt;0,),0)),IF(COUNTIF(AZ531:BB531,"&lt;&gt;0")=0,INDEX($AM$4:$AW$4,MATCH(1,$AM531:$AW531,0)),"Multiple strategies"))</f>
        <v>Multiple strategies</v>
      </c>
      <c r="BG531" s="142" t="s">
        <v>321</v>
      </c>
      <c r="BH531" s="160" t="s">
        <v>1457</v>
      </c>
      <c r="BI531" s="160" t="s">
        <v>1458</v>
      </c>
      <c r="BJ531" s="143" t="s">
        <v>498</v>
      </c>
      <c r="BK531" s="143">
        <v>944</v>
      </c>
      <c r="BL531" s="143">
        <v>2500</v>
      </c>
      <c r="BM531">
        <f>IFERROR(BL533/BK531,"")</f>
        <v>0.14936440677966101</v>
      </c>
      <c r="BN531">
        <f>BL531-BK531</f>
        <v>1556</v>
      </c>
      <c r="BO531" s="159">
        <f>BN531</f>
        <v>1556</v>
      </c>
      <c r="BP531" s="155" t="s">
        <v>232</v>
      </c>
      <c r="BQ531" s="155" t="s">
        <v>1459</v>
      </c>
      <c r="BR531" s="155" t="s">
        <v>825</v>
      </c>
      <c r="BS531" s="143" t="s">
        <v>1463</v>
      </c>
      <c r="BT531" t="s">
        <v>1527</v>
      </c>
      <c r="BU531" s="144">
        <f>BT531/BS531</f>
        <v>0.37783912438114253</v>
      </c>
      <c r="BV531">
        <f>BT531-BS531</f>
        <v>4.29953138888889</v>
      </c>
      <c r="BX531">
        <f>BV531</f>
        <v>4.29953138888889</v>
      </c>
      <c r="BY531">
        <f>IFERROR(BX531/BO531,"")</f>
        <v>2.7631949800057134E-3</v>
      </c>
      <c r="BZ531">
        <v>0</v>
      </c>
      <c r="CA531">
        <v>0</v>
      </c>
      <c r="CB531">
        <v>0</v>
      </c>
      <c r="CC531">
        <v>0</v>
      </c>
      <c r="CD531">
        <v>0</v>
      </c>
      <c r="CE531">
        <v>0</v>
      </c>
      <c r="CF531">
        <v>0</v>
      </c>
      <c r="CG531">
        <v>0</v>
      </c>
      <c r="CH531">
        <v>0</v>
      </c>
      <c r="CI531">
        <v>0</v>
      </c>
      <c r="CJ531">
        <v>0</v>
      </c>
      <c r="CK531">
        <v>0</v>
      </c>
      <c r="CL531">
        <v>0</v>
      </c>
      <c r="CM531">
        <v>0</v>
      </c>
      <c r="CN531" t="str">
        <f>IF($BL531&lt;$BK531,"refNeedCorrection","refOK")</f>
        <v>refOK</v>
      </c>
      <c r="CO531">
        <f>IF($CN531="refOK",$BK531,$BL531)</f>
        <v>944</v>
      </c>
      <c r="CP531">
        <f>IF($CN531="refOK",$BL531,$BK531)</f>
        <v>2500</v>
      </c>
      <c r="CQ531">
        <f>IF($CN531="refOK",$BO531,-$BO531)</f>
        <v>1556</v>
      </c>
      <c r="CR531">
        <f>IF($CN531="refOK",$BS531,$BT531)*IF($BP531="Emissions positive",-1,1)</f>
        <v>-6.9106424999999998</v>
      </c>
      <c r="CS531">
        <f>IF($CN531="refOK",$BT531,$BS531)*IF($BP531="Emissions positive",-1,1)</f>
        <v>-2.6111111111111098</v>
      </c>
      <c r="CT531">
        <f>IF($CN531="refNeedCorrection",-BX531,BX531)*IF($BP531="Emissions positive",-1,1)</f>
        <v>4.29953138888889</v>
      </c>
      <c r="CU531">
        <f>IFERROR(CT531/CQ531,"")</f>
        <v>2.7631949800057134E-3</v>
      </c>
      <c r="CV531" s="2">
        <f>IFERROR((CS531-CR531)/ABS(CR531),"")</f>
        <v>0.62216087561885747</v>
      </c>
      <c r="CW531" s="263" t="s">
        <v>1462</v>
      </c>
      <c r="CX531" s="264" t="str">
        <f>IF(OR($CW531="prd",$CW531="std",$CW531="cit"),"loc",IF(OR($CW531="eur",$CW531="reg",$CW531="coy"),"reg",$CW531))</f>
        <v>reg</v>
      </c>
      <c r="CY531" s="270" t="s">
        <v>743</v>
      </c>
      <c r="DA531" s="143"/>
      <c r="DB531" s="143">
        <v>0</v>
      </c>
      <c r="DC531" t="str">
        <f>IF(DB531=0,"0",IF(AND(DB531&gt;=1,DB531&lt;=30),"1-30",IF(AND(DB531&gt;30,DB531&lt;=70),"31-70",IF(AND(DB531&gt;70,DB531&lt;=100),"71-100",IF(DB531&gt;100,"+100")))))</f>
        <v>0</v>
      </c>
      <c r="DD531">
        <v>0</v>
      </c>
      <c r="DE531">
        <v>1</v>
      </c>
      <c r="DF531">
        <v>0</v>
      </c>
      <c r="DG531">
        <v>0</v>
      </c>
      <c r="DH531">
        <v>0</v>
      </c>
      <c r="DI531">
        <f>SUM(DD531:DH531)</f>
        <v>1</v>
      </c>
      <c r="DJ531" t="str">
        <f>IF(DI531=1,INDEX($DD$7:$DG$7,MATCH(1,$DD531:$DG531,0)),"mixedProduct")</f>
        <v>EnergyInput</v>
      </c>
      <c r="DK531">
        <f>IF(DD531=1,DK$7,0)</f>
        <v>0</v>
      </c>
      <c r="DL531" t="str">
        <f>IF(DE531=1,DL$7,0)</f>
        <v>Energy</v>
      </c>
      <c r="DM531">
        <f>IF(DF531=1,DM$7,0)</f>
        <v>0</v>
      </c>
      <c r="DN531">
        <f>IF(DG531=1,DN$7,0)</f>
        <v>0</v>
      </c>
      <c r="DO531">
        <v>0</v>
      </c>
      <c r="DP531" s="143">
        <v>0</v>
      </c>
      <c r="DQ531" s="143">
        <v>0</v>
      </c>
      <c r="DR531">
        <v>0</v>
      </c>
      <c r="DS531" s="143">
        <v>0</v>
      </c>
      <c r="DT531">
        <f>SUM(DO531:DP531)</f>
        <v>0</v>
      </c>
      <c r="DU531" s="143" t="str">
        <f>IF(DO531=1,"self-calculated DF",IF(DP531=1,"external DF used","explicit C balance"))</f>
        <v>explicit C balance</v>
      </c>
      <c r="DV531" s="143">
        <v>0</v>
      </c>
      <c r="DW531" s="143">
        <v>0</v>
      </c>
      <c r="DX531" s="143">
        <v>0</v>
      </c>
      <c r="DY531" s="143">
        <v>0</v>
      </c>
      <c r="DZ531">
        <v>0</v>
      </c>
      <c r="EA531" s="143">
        <v>0</v>
      </c>
      <c r="EB531" s="143">
        <v>0</v>
      </c>
      <c r="EC531" s="143">
        <v>1</v>
      </c>
      <c r="ED531" s="143">
        <v>0</v>
      </c>
      <c r="EE531">
        <v>1</v>
      </c>
      <c r="EF531">
        <v>0</v>
      </c>
      <c r="EG531" s="143">
        <v>0</v>
      </c>
      <c r="EH531" s="143">
        <v>0</v>
      </c>
      <c r="EI531" s="2">
        <v>0</v>
      </c>
      <c r="EK531" t="str">
        <f>IF(AND(AND(AND(OR($DX531=1,$DW531=1),OR($EC531=1,$EA531=1)),SUM($DV531:$DZ531,$EF531)&gt;=4),SUM($EA531:$EE531)&gt;=2),"Whole sector","")</f>
        <v/>
      </c>
      <c r="EL531" t="str">
        <f>IF(AND(AND(OR($DX531=1,$DW531=1),AND($EC531=0,$EA531=0)),SUM($DV531:$DZ531,$EF531)&gt;=4),"Ecosystem approach","")</f>
        <v/>
      </c>
      <c r="EM531" s="2" t="str">
        <f>IF(AND(AND(AND($DX531=0,$DW531=0),OR($EC531=1,$EA531=1)),SUM($EB531:$EE531)&gt;=2),"Technology approach","")</f>
        <v>Technology approach</v>
      </c>
      <c r="EP531" t="str">
        <f>IF(ISNUMBER(BU531),IF(ABS(BU531-[3]QC_indicators!$B$2)&gt;3*[3]QC_indicators!$C$2,"C ratio",IF(ISNUMBER(BY531),IF(ABS(BY531-[3]QC_indicators!$B$1)&gt;3*[3]QC_indicators!$C$1,"DF","no"))),IF(ISNUMBER(BY531),IF(ABS(BY531-[3]QC_indicators!$B$1)&gt;3*[3]QC_indicators!$C$1,"DF","no")))</f>
        <v>no</v>
      </c>
      <c r="ER531" s="149"/>
      <c r="ET531" s="264" t="s">
        <v>3407</v>
      </c>
    </row>
    <row r="532" spans="1:150" ht="15" customHeight="1">
      <c r="A532" s="1" t="s">
        <v>1102</v>
      </c>
      <c r="B532" t="s">
        <v>1103</v>
      </c>
      <c r="C532" t="s">
        <v>1104</v>
      </c>
      <c r="D532" t="s">
        <v>1105</v>
      </c>
      <c r="E532" t="s">
        <v>1106</v>
      </c>
      <c r="F532" t="s">
        <v>1107</v>
      </c>
      <c r="G532" t="s">
        <v>1108</v>
      </c>
      <c r="H532" t="s">
        <v>254</v>
      </c>
      <c r="I532">
        <v>2013</v>
      </c>
      <c r="J532">
        <v>11</v>
      </c>
      <c r="K532" t="s">
        <v>1109</v>
      </c>
      <c r="M532" t="str">
        <f>LEFT($D532,FIND(",",$D532)-1)&amp;"_"&amp;I532&amp;L532</f>
        <v>Routa_2013</v>
      </c>
      <c r="N532" t="s">
        <v>222</v>
      </c>
      <c r="O532" s="145" t="s">
        <v>341</v>
      </c>
      <c r="Q532" s="264" t="s">
        <v>256</v>
      </c>
      <c r="R532" s="269" t="s">
        <v>1154</v>
      </c>
      <c r="S532" s="1" t="s">
        <v>1121</v>
      </c>
      <c r="T532" t="s">
        <v>1111</v>
      </c>
      <c r="U532" t="e">
        <f>#REF!</f>
        <v>#REF!</v>
      </c>
      <c r="V532">
        <v>0</v>
      </c>
      <c r="W532">
        <v>0</v>
      </c>
      <c r="X532">
        <v>2</v>
      </c>
      <c r="Y532">
        <v>0</v>
      </c>
      <c r="Z532">
        <v>2</v>
      </c>
      <c r="AA532">
        <v>0</v>
      </c>
      <c r="AB532">
        <v>1</v>
      </c>
      <c r="AC532">
        <v>0</v>
      </c>
      <c r="AD532">
        <v>0</v>
      </c>
      <c r="AE532">
        <v>0</v>
      </c>
      <c r="AF532">
        <v>0</v>
      </c>
      <c r="AG532">
        <v>0</v>
      </c>
      <c r="AH532">
        <v>0</v>
      </c>
      <c r="AI532">
        <v>0</v>
      </c>
      <c r="AJ532">
        <v>2</v>
      </c>
      <c r="AK532">
        <v>0</v>
      </c>
      <c r="AL532">
        <v>2</v>
      </c>
      <c r="AM532">
        <v>0</v>
      </c>
      <c r="AN532">
        <v>0</v>
      </c>
      <c r="AO532">
        <v>0</v>
      </c>
      <c r="AP532">
        <v>0</v>
      </c>
      <c r="AQ532">
        <v>0</v>
      </c>
      <c r="AR532">
        <v>0</v>
      </c>
      <c r="AS532">
        <v>0</v>
      </c>
      <c r="AT532">
        <v>0</v>
      </c>
      <c r="AU532">
        <v>0</v>
      </c>
      <c r="AV532">
        <v>0</v>
      </c>
      <c r="AW532">
        <v>0</v>
      </c>
      <c r="AX532" s="141">
        <f>COUNTIF(V532:AW532,"&lt;&gt;0")</f>
        <v>5</v>
      </c>
      <c r="AY532" s="141">
        <f>COUNTIF(V532:AL532,"&lt;&gt;0")</f>
        <v>5</v>
      </c>
      <c r="AZ532">
        <f>COUNTIF(V532:AC532,"&lt;&gt;0")</f>
        <v>3</v>
      </c>
      <c r="BA532">
        <f>COUNTIF(AD532:AI532,"&lt;&gt;0")</f>
        <v>0</v>
      </c>
      <c r="BB532">
        <f>COUNTIF(AJ532:AL532,"&lt;&gt;0")</f>
        <v>2</v>
      </c>
      <c r="BC532">
        <f>COUNTIF(AS532:AW532,"&lt;&gt;0")</f>
        <v>0</v>
      </c>
      <c r="BD532">
        <f>COUNTIF(AM532:AR532,"&lt;&gt;0")</f>
        <v>0</v>
      </c>
      <c r="BE532" t="str" cm="1">
        <f t="array" ref="BE532">IF(AY532=1,INDEX($V$7:$AL$7,MATCH(TRUE,INDEX($V532:$AW532&lt;&gt;0,),0)),IF(AY532=0,INDEX($AM$7:$AW$7,MATCH(1,$AM532:$AW532,0)),IF(BF532="Multiple strategies","mixed drivers",IF(BF532="Supply chain","multiple supply","multiple silviculture"))))</f>
        <v>mixed drivers</v>
      </c>
      <c r="BF532" s="2" t="str" cm="1">
        <f t="array" ref="BF532">IF(COUNTIF(AZ532:BB532,"&lt;&gt;0")=1,INDEX($V$4:$AW$4,MATCH(TRUE,INDEX($V532:$AW532&lt;&gt;0,),0)),IF(COUNTIF(AZ532:BB532,"&lt;&gt;0")=0,INDEX($AM$4:$AW$4,MATCH(1,$AM532:$AW532,0)),"Multiple strategies"))</f>
        <v>Multiple strategies</v>
      </c>
      <c r="BG532" s="1" t="s">
        <v>321</v>
      </c>
      <c r="BH532" t="s">
        <v>1112</v>
      </c>
      <c r="BJ532" t="s">
        <v>1113</v>
      </c>
      <c r="BK532">
        <v>3.2</v>
      </c>
      <c r="BL532">
        <v>3.37</v>
      </c>
      <c r="BN532">
        <f>BL532-BK532</f>
        <v>0.16999999999999993</v>
      </c>
      <c r="BO532">
        <f>BN532</f>
        <v>0.16999999999999993</v>
      </c>
      <c r="BP532" s="264" t="s">
        <v>232</v>
      </c>
      <c r="BQ532" s="264"/>
      <c r="BR532" t="s">
        <v>1114</v>
      </c>
      <c r="BS532">
        <v>-2.5</v>
      </c>
      <c r="BT532">
        <v>-2</v>
      </c>
      <c r="BU532" s="144">
        <v>0.8</v>
      </c>
      <c r="BV532">
        <v>0.5</v>
      </c>
      <c r="BX532">
        <f>BV532/10^3</f>
        <v>5.0000000000000001E-4</v>
      </c>
      <c r="BY532">
        <f>IFERROR(BX532/BO532,"")</f>
        <v>2.9411764705882366E-3</v>
      </c>
      <c r="BZ532">
        <v>0</v>
      </c>
      <c r="CA532">
        <v>0</v>
      </c>
      <c r="CB532">
        <v>0</v>
      </c>
      <c r="CC532">
        <v>0</v>
      </c>
      <c r="CD532">
        <v>0</v>
      </c>
      <c r="CE532">
        <v>0</v>
      </c>
      <c r="CF532">
        <v>0</v>
      </c>
      <c r="CG532">
        <v>0</v>
      </c>
      <c r="CH532">
        <v>0</v>
      </c>
      <c r="CI532">
        <v>0</v>
      </c>
      <c r="CJ532">
        <v>0</v>
      </c>
      <c r="CK532">
        <v>0</v>
      </c>
      <c r="CL532">
        <v>0</v>
      </c>
      <c r="CM532">
        <v>0</v>
      </c>
      <c r="CN532" t="str">
        <f>IF($BL532&lt;$BK532,"refNeedCorrection","refOK")</f>
        <v>refOK</v>
      </c>
      <c r="CO532">
        <f>IF($CN532="refOK",$BK532,$BL532)</f>
        <v>3.2</v>
      </c>
      <c r="CP532">
        <f>IF($CN532="refOK",$BL532,$BK532)</f>
        <v>3.37</v>
      </c>
      <c r="CQ532">
        <f>IF($CN532="refOK",$BO532,-$BO532)</f>
        <v>0.16999999999999993</v>
      </c>
      <c r="CR532">
        <f>IF($CN532="refOK",$BS532,$BT532)*IF($BP532="Emissions positive",-1,1)</f>
        <v>-2.5</v>
      </c>
      <c r="CS532">
        <f>IF($CN532="refOK",$BT532,$BS532)*IF($BP532="Emissions positive",-1,1)</f>
        <v>-2</v>
      </c>
      <c r="CT532">
        <f>IF($CN532="refNeedCorrection",-BX532,BX532)*IF($BP532="Emissions positive",-1,1)</f>
        <v>5.0000000000000001E-4</v>
      </c>
      <c r="CU532">
        <f>IFERROR(CT532/CQ532,"")</f>
        <v>2.9411764705882366E-3</v>
      </c>
      <c r="CV532" s="2">
        <f>IFERROR((CS532-CR532)/ABS(CR532),"")</f>
        <v>0.2</v>
      </c>
      <c r="CW532" s="1" t="s">
        <v>234</v>
      </c>
      <c r="CX532" s="264" t="str">
        <f>IF(OR($CW532="prd",$CW532="std",$CW532="cit"),"loc",IF(OR($CW532="eur",$CW532="reg",$CW532="coy"),"reg",$CW532))</f>
        <v>loc</v>
      </c>
      <c r="CY532" t="s">
        <v>235</v>
      </c>
      <c r="CZ532">
        <v>2001</v>
      </c>
      <c r="DA532">
        <v>2100</v>
      </c>
      <c r="DB532">
        <v>100</v>
      </c>
      <c r="DC532" t="str">
        <f>IF(DB532=0,"0",IF(AND(DB532&gt;=1,DB532&lt;=30),"1-30",IF(AND(DB532&gt;30,DB532&lt;=70),"31-70",IF(AND(DB532&gt;70,DB532&lt;=100),"71-100",IF(DB532&gt;100,"+100")))))</f>
        <v>71-100</v>
      </c>
      <c r="DD532">
        <v>0</v>
      </c>
      <c r="DE532">
        <v>1</v>
      </c>
      <c r="DF532">
        <v>1</v>
      </c>
      <c r="DG532">
        <v>1</v>
      </c>
      <c r="DI532">
        <f>SUM(DD532:DG532)</f>
        <v>3</v>
      </c>
      <c r="DJ532" t="str">
        <f>IF(DI532=1,INDEX($DD$7:$DG$7,MATCH(1,$DD532:$DG532,0)),"mixedProduct")</f>
        <v>mixedProduct</v>
      </c>
      <c r="DK532">
        <f>IF(DD532=1,DK$7,0)</f>
        <v>0</v>
      </c>
      <c r="DL532" t="str">
        <f>IF(DE532=1,DL$7,0)</f>
        <v>Energy</v>
      </c>
      <c r="DM532" t="str">
        <f>IF(DF532=1,DM$7,0)</f>
        <v>Pulp/Paper</v>
      </c>
      <c r="DN532" t="str">
        <f>IF(DG532=1,DN$7,0)</f>
        <v>Timber</v>
      </c>
      <c r="DO532">
        <v>1</v>
      </c>
      <c r="DP532">
        <v>0</v>
      </c>
      <c r="DQ532">
        <v>0</v>
      </c>
      <c r="DR532">
        <v>0</v>
      </c>
      <c r="DS532">
        <v>0</v>
      </c>
      <c r="DT532">
        <f>SUM(DO532:DP532)</f>
        <v>1</v>
      </c>
      <c r="DU532" s="143" t="str">
        <f>IF(DO532=1,"self-calculated DF",IF(DP532=1,"external DF used","explicit C balance"))</f>
        <v>self-calculated DF</v>
      </c>
      <c r="DV532">
        <v>1</v>
      </c>
      <c r="DW532">
        <v>1</v>
      </c>
      <c r="DX532">
        <v>1</v>
      </c>
      <c r="DY532">
        <v>0</v>
      </c>
      <c r="DZ532">
        <v>0</v>
      </c>
      <c r="EA532" s="143">
        <v>0</v>
      </c>
      <c r="EB532">
        <v>1</v>
      </c>
      <c r="EC532">
        <v>1</v>
      </c>
      <c r="ED532">
        <v>0</v>
      </c>
      <c r="EE532">
        <v>0</v>
      </c>
      <c r="EF532">
        <v>1</v>
      </c>
      <c r="EG532">
        <v>1</v>
      </c>
      <c r="EH532">
        <v>0</v>
      </c>
      <c r="EI532" s="2">
        <v>0</v>
      </c>
      <c r="EK532" t="str">
        <f>IF(AND(AND(AND(OR($DX532=1,$DW532=1),OR($EC532=1,$EA532=1)),SUM($DV532:$DZ532,$EF532)&gt;=4),SUM($EA532:$EE532)&gt;=2),"Whole sector","")</f>
        <v>Whole sector</v>
      </c>
      <c r="EL532" t="str">
        <f>IF(AND(AND(OR($DX532=1,$DW532=1),AND($EC532=0,$EA532=0)),SUM($DV532:$DZ532,$EF532)&gt;=4),"Ecosystem approach","")</f>
        <v/>
      </c>
      <c r="EM532" s="2" t="str">
        <f>IF(AND(AND(AND($DX532=0,$DW532=0),OR($EC532=1,$EA532=1)),SUM($EB532:$EE532)&gt;=2),"Technology approach","")</f>
        <v/>
      </c>
      <c r="EP532" t="str">
        <f>IF(ISNUMBER(BU532),IF(ABS(BU532-[3]QC_indicators!$B$2)&gt;3*[3]QC_indicators!$C$2,"C ratio",IF(ISNUMBER(BY532),IF(ABS(BY532-[3]QC_indicators!$B$1)&gt;3*[3]QC_indicators!$C$1,"DF","no"))),IF(ISNUMBER(BY532),IF(ABS(BY532-[3]QC_indicators!$B$1)&gt;3*[3]QC_indicators!$C$1,"DF","no")))</f>
        <v>no</v>
      </c>
      <c r="ER532" s="294" t="s">
        <v>349</v>
      </c>
      <c r="ET532" s="264" t="s">
        <v>3407</v>
      </c>
    </row>
    <row r="533" spans="1:150" ht="15" customHeight="1">
      <c r="A533" s="1" t="s">
        <v>247</v>
      </c>
      <c r="B533" t="s">
        <v>641</v>
      </c>
      <c r="C533" t="s">
        <v>642</v>
      </c>
      <c r="D533" t="s">
        <v>643</v>
      </c>
      <c r="E533" t="s">
        <v>644</v>
      </c>
      <c r="F533" t="s">
        <v>645</v>
      </c>
      <c r="G533" t="s">
        <v>253</v>
      </c>
      <c r="H533" t="s">
        <v>254</v>
      </c>
      <c r="I533">
        <v>2014</v>
      </c>
      <c r="J533">
        <v>76</v>
      </c>
      <c r="K533" t="s">
        <v>646</v>
      </c>
      <c r="M533" t="str">
        <f>LEFT($D533,FIND(",",$D533)-1)&amp;"_"&amp;I533&amp;L533</f>
        <v>Dodoo_2014</v>
      </c>
      <c r="N533" t="s">
        <v>222</v>
      </c>
      <c r="O533" s="145" t="s">
        <v>223</v>
      </c>
      <c r="Q533" t="s">
        <v>256</v>
      </c>
      <c r="R533" s="255" t="s">
        <v>225</v>
      </c>
      <c r="S533" s="1" t="s">
        <v>647</v>
      </c>
      <c r="T533" t="s">
        <v>652</v>
      </c>
      <c r="U533" t="s">
        <v>654</v>
      </c>
      <c r="V533">
        <v>0</v>
      </c>
      <c r="W533">
        <v>0</v>
      </c>
      <c r="X533">
        <v>0</v>
      </c>
      <c r="Y533">
        <v>0</v>
      </c>
      <c r="Z533">
        <v>0</v>
      </c>
      <c r="AA533">
        <v>0</v>
      </c>
      <c r="AB533">
        <v>0</v>
      </c>
      <c r="AC533">
        <v>0</v>
      </c>
      <c r="AD533">
        <v>0</v>
      </c>
      <c r="AE533">
        <v>0</v>
      </c>
      <c r="AF533">
        <v>0</v>
      </c>
      <c r="AG533">
        <v>0</v>
      </c>
      <c r="AH533">
        <v>0</v>
      </c>
      <c r="AI533">
        <v>0</v>
      </c>
      <c r="AJ533">
        <v>0</v>
      </c>
      <c r="AK533">
        <v>1</v>
      </c>
      <c r="AL533">
        <v>0</v>
      </c>
      <c r="AM533">
        <v>0</v>
      </c>
      <c r="AN533">
        <v>0</v>
      </c>
      <c r="AO533">
        <v>0</v>
      </c>
      <c r="AP533">
        <v>0</v>
      </c>
      <c r="AQ533">
        <v>0</v>
      </c>
      <c r="AR533">
        <v>0</v>
      </c>
      <c r="AS533">
        <v>0</v>
      </c>
      <c r="AT533">
        <v>0</v>
      </c>
      <c r="AU533">
        <v>0</v>
      </c>
      <c r="AV533">
        <v>0</v>
      </c>
      <c r="AW533">
        <v>0</v>
      </c>
      <c r="AX533" s="141">
        <f>COUNTIF(V533:AW533,"&lt;&gt;0")</f>
        <v>1</v>
      </c>
      <c r="AY533" s="141">
        <f>COUNTIF(V533:AL533,"&lt;&gt;0")</f>
        <v>1</v>
      </c>
      <c r="AZ533">
        <f>COUNTIF(V533:AC533,"&lt;&gt;0")</f>
        <v>0</v>
      </c>
      <c r="BA533">
        <f>COUNTIF(AD533:AI533,"&lt;&gt;0")</f>
        <v>0</v>
      </c>
      <c r="BB533">
        <f>COUNTIF(AJ533:AL533,"&lt;&gt;0")</f>
        <v>1</v>
      </c>
      <c r="BC533">
        <f>COUNTIF(AS533:AW533,"&lt;&gt;0")</f>
        <v>0</v>
      </c>
      <c r="BD533">
        <f>COUNTIF(AM533:AR533,"&lt;&gt;0")</f>
        <v>0</v>
      </c>
      <c r="BE533" t="str">
        <f t="array" ref="BE533">IF(AY533=1,INDEX($V$7:$AL$7,MATCH(TRUE,INDEX($V533:$AW533&lt;&gt;0,),0)),IF(AY533=0,INDEX($AM$7:$AW$7,MATCH(1,$AM533:$AW533,0)),IF(BF533="Multiple strategies","mixed drivers",IF(BF533="Supply chain","multiple supply","multiple silviculture"))))</f>
        <v>technologies/design switch</v>
      </c>
      <c r="BF533" s="2" t="str" cm="1">
        <f t="array" ref="BF533">IF(COUNTIF(AZ533:BB533,"&lt;&gt;0")=1,INDEX($V$4:$AW$4,MATCH(TRUE,INDEX($V533:$AW533&lt;&gt;0,),0)),IF(COUNTIF(AZ533:BB533,"&lt;&gt;0")=0,INDEX($AM$4:$AW$4,MATCH(1,$AM533:$AW533,0)),"Multiple strategies"))</f>
        <v>Technology</v>
      </c>
      <c r="BG533" s="1" t="s">
        <v>229</v>
      </c>
      <c r="BH533" t="s">
        <v>650</v>
      </c>
      <c r="BI533" s="260" t="s">
        <v>3308</v>
      </c>
      <c r="BJ533" t="s">
        <v>651</v>
      </c>
      <c r="BK533" s="260">
        <f>55+21+10+5+5</f>
        <v>96</v>
      </c>
      <c r="BL533" s="260">
        <v>141</v>
      </c>
      <c r="BN533">
        <f>BL533-BK533</f>
        <v>45</v>
      </c>
      <c r="BO533">
        <f>BN533*t_to_m3</f>
        <v>91.83673469387756</v>
      </c>
      <c r="BP533" t="s">
        <v>232</v>
      </c>
      <c r="BQ533" s="260" t="s">
        <v>3311</v>
      </c>
      <c r="BR533" t="s">
        <v>262</v>
      </c>
      <c r="BS533">
        <v>257</v>
      </c>
      <c r="BT533">
        <v>541</v>
      </c>
      <c r="BU533" s="144">
        <v>2.1050583657587549</v>
      </c>
      <c r="BV533">
        <v>284</v>
      </c>
      <c r="BX533">
        <f>BV533/1000</f>
        <v>0.28399999999999997</v>
      </c>
      <c r="BY533">
        <f>IFERROR(BX533/BO533,"")</f>
        <v>3.0924444444444437E-3</v>
      </c>
      <c r="BZ533">
        <v>0</v>
      </c>
      <c r="CA533">
        <v>0</v>
      </c>
      <c r="CB533">
        <v>0</v>
      </c>
      <c r="CC533">
        <v>0</v>
      </c>
      <c r="CD533">
        <v>0</v>
      </c>
      <c r="CE533">
        <v>0</v>
      </c>
      <c r="CF533">
        <v>0</v>
      </c>
      <c r="CG533">
        <v>0</v>
      </c>
      <c r="CH533">
        <v>0</v>
      </c>
      <c r="CI533">
        <v>0</v>
      </c>
      <c r="CJ533">
        <v>0</v>
      </c>
      <c r="CK533">
        <v>0</v>
      </c>
      <c r="CL533">
        <v>0</v>
      </c>
      <c r="CM533">
        <v>0</v>
      </c>
      <c r="CN533" t="str">
        <f>IF($BL533&lt;$BK533,"refNeedCorrection","refOK")</f>
        <v>refOK</v>
      </c>
      <c r="CO533">
        <f>IF($CN533="refOK",$BK533,$BL533)</f>
        <v>96</v>
      </c>
      <c r="CP533">
        <f>IF($CN533="refOK",$BL533,$BK533)</f>
        <v>141</v>
      </c>
      <c r="CQ533">
        <f>IF($CN533="refOK",$BO533,-$BO533)</f>
        <v>91.83673469387756</v>
      </c>
      <c r="CR533">
        <f>IF($CN533="refOK",$BS533,$BT533)*IF($BP533="Emissions positive",-1,1)</f>
        <v>257</v>
      </c>
      <c r="CS533">
        <f>IF($CN533="refOK",$BT533,$BS533)*IF($BP533="Emissions positive",-1,1)</f>
        <v>541</v>
      </c>
      <c r="CT533">
        <f>IF($CN533="refNeedCorrection",-BX533,BX533)*IF($BP533="Emissions positive",-1,1)</f>
        <v>0.28399999999999997</v>
      </c>
      <c r="CU533">
        <f>IFERROR(CT533/CQ533,"")</f>
        <v>3.0924444444444437E-3</v>
      </c>
      <c r="CV533" s="2">
        <f>IFERROR((CS533-CR533)/ABS(CR533),"")</f>
        <v>1.1050583657587549</v>
      </c>
      <c r="CW533" s="1" t="s">
        <v>263</v>
      </c>
      <c r="CX533" t="str">
        <f>IF(OR($CW533="prd",$CW533="std",$CW533="cit"),"loc",IF(OR($CW533="eur",$CW533="reg",$CW533="coy"),"reg",$CW533))</f>
        <v>loc</v>
      </c>
      <c r="CY533" t="s">
        <v>444</v>
      </c>
      <c r="DB533">
        <v>50</v>
      </c>
      <c r="DC533" t="str">
        <f>IF(DB533=0,"0",IF(AND(DB533&gt;=1,DB533&lt;=30),"1-30",IF(AND(DB533&gt;30,DB533&lt;=70),"31-70",IF(AND(DB533&gt;70,DB533&lt;=100),"71-100",IF(DB533&gt;100,"+100")))))</f>
        <v>31-70</v>
      </c>
      <c r="DD533">
        <v>0</v>
      </c>
      <c r="DE533">
        <v>0</v>
      </c>
      <c r="DF533">
        <v>0</v>
      </c>
      <c r="DG533">
        <v>1</v>
      </c>
      <c r="DI533">
        <f>SUM(DD533:DG533)</f>
        <v>1</v>
      </c>
      <c r="DJ533" t="str">
        <f>IF(DI533=1,INDEX($DD$7:$DG$7,MATCH(1,$DD533:$DG533,0)),"mixedProduct")</f>
        <v>TimberInput</v>
      </c>
      <c r="DK533">
        <f>IF(DD533=1,DK$7,0)</f>
        <v>0</v>
      </c>
      <c r="DL533">
        <f>IF(DE533=1,DL$7,0)</f>
        <v>0</v>
      </c>
      <c r="DM533">
        <f>IF(DF533=1,DM$7,0)</f>
        <v>0</v>
      </c>
      <c r="DN533" t="str">
        <f>IF(DG533=1,DN$7,0)</f>
        <v>Timber</v>
      </c>
      <c r="DO533">
        <v>0</v>
      </c>
      <c r="DP533">
        <v>0</v>
      </c>
      <c r="DQ533">
        <v>0</v>
      </c>
      <c r="DR533">
        <v>0</v>
      </c>
      <c r="DS533">
        <v>0</v>
      </c>
      <c r="DT533">
        <f>SUM(DO533:DP533)</f>
        <v>0</v>
      </c>
      <c r="DU533" s="143" t="str">
        <f>IF(DO533=1,"self-calculated DF",IF(DP533=1,"external DF used","explicit C balance"))</f>
        <v>explicit C balance</v>
      </c>
      <c r="DV533">
        <v>0</v>
      </c>
      <c r="DW533">
        <v>0</v>
      </c>
      <c r="DX533">
        <v>0</v>
      </c>
      <c r="DY533">
        <v>1</v>
      </c>
      <c r="DZ533">
        <v>0</v>
      </c>
      <c r="EA533" s="264">
        <v>1</v>
      </c>
      <c r="EB533">
        <v>0</v>
      </c>
      <c r="EC533">
        <v>1</v>
      </c>
      <c r="ED533">
        <v>0</v>
      </c>
      <c r="EE533">
        <v>0</v>
      </c>
      <c r="EF533">
        <v>0</v>
      </c>
      <c r="EG533">
        <v>0</v>
      </c>
      <c r="EH533">
        <v>0</v>
      </c>
      <c r="EI533" s="2">
        <v>0</v>
      </c>
      <c r="EK533" t="str">
        <f>IF(AND(AND(AND(OR($DX533=1,$DW533=1),OR($EC533=1,$EA533=1)),SUM($DV533:$DZ533,$EF533)&gt;=4),SUM($EA533:$EE533)&gt;=2),"Whole sector","")</f>
        <v/>
      </c>
      <c r="EL533" t="str">
        <f>IF(AND(AND(OR($DX533=1,$DW533=1),AND($EC533=0,$EA533=0)),SUM($DV533:$DZ533,$EF533)&gt;=4),"Ecosystem approach","")</f>
        <v/>
      </c>
      <c r="EM533" s="2" t="str">
        <f>IF(AND(AND(AND($DX533=0,$DW533=0),OR($EC533=1,$EA533=1)),SUM($EB533:$EE533)&gt;=2),"Technology approach","")</f>
        <v/>
      </c>
      <c r="EP533" t="str">
        <f>IF(ISNUMBER(BU533),IF(ABS(BU533-[4]QC_indicators!$B$2)&gt;3*[4]QC_indicators!$C$2,"C ratio",IF(ISNUMBER(BY533),IF(ABS(BY533-[4]QC_indicators!$B$1)&gt;3*[4]QC_indicators!$C$1,"DF","no"))),IF(ISNUMBER(BY533),IF(ABS(BY533-[4]QC_indicators!$B$1)&gt;3*[4]QC_indicators!$C$1,"DF","no")))</f>
        <v>no</v>
      </c>
      <c r="ER533" s="149" t="s">
        <v>349</v>
      </c>
      <c r="ET533" s="264" t="s">
        <v>3273</v>
      </c>
    </row>
    <row r="534" spans="1:150" ht="15" customHeight="1">
      <c r="A534" s="1" t="s">
        <v>247</v>
      </c>
      <c r="B534" t="s">
        <v>641</v>
      </c>
      <c r="C534" t="s">
        <v>642</v>
      </c>
      <c r="D534" t="s">
        <v>643</v>
      </c>
      <c r="E534" t="s">
        <v>644</v>
      </c>
      <c r="F534" t="s">
        <v>645</v>
      </c>
      <c r="G534" t="s">
        <v>253</v>
      </c>
      <c r="H534" t="s">
        <v>254</v>
      </c>
      <c r="I534">
        <v>2014</v>
      </c>
      <c r="J534">
        <v>76</v>
      </c>
      <c r="K534" t="s">
        <v>646</v>
      </c>
      <c r="M534" t="str">
        <f>LEFT($D534,FIND(",",$D534)-1)&amp;"_"&amp;I534&amp;L534</f>
        <v>Dodoo_2014</v>
      </c>
      <c r="N534" t="s">
        <v>222</v>
      </c>
      <c r="O534" s="145" t="s">
        <v>223</v>
      </c>
      <c r="Q534" t="s">
        <v>256</v>
      </c>
      <c r="R534" s="255" t="s">
        <v>225</v>
      </c>
      <c r="S534" s="1" t="s">
        <v>647</v>
      </c>
      <c r="T534" t="s">
        <v>652</v>
      </c>
      <c r="U534" t="s">
        <v>653</v>
      </c>
      <c r="V534">
        <v>0</v>
      </c>
      <c r="W534">
        <v>0</v>
      </c>
      <c r="X534">
        <v>0</v>
      </c>
      <c r="Y534">
        <v>0</v>
      </c>
      <c r="Z534">
        <v>0</v>
      </c>
      <c r="AA534">
        <v>0</v>
      </c>
      <c r="AB534">
        <v>0</v>
      </c>
      <c r="AC534">
        <v>0</v>
      </c>
      <c r="AD534">
        <v>0</v>
      </c>
      <c r="AE534">
        <v>0</v>
      </c>
      <c r="AF534">
        <v>0</v>
      </c>
      <c r="AG534">
        <v>0</v>
      </c>
      <c r="AH534">
        <v>0</v>
      </c>
      <c r="AI534">
        <v>0</v>
      </c>
      <c r="AJ534">
        <v>0</v>
      </c>
      <c r="AK534">
        <v>1</v>
      </c>
      <c r="AL534">
        <v>0</v>
      </c>
      <c r="AM534">
        <v>0</v>
      </c>
      <c r="AN534">
        <v>0</v>
      </c>
      <c r="AO534">
        <v>0</v>
      </c>
      <c r="AP534">
        <v>0</v>
      </c>
      <c r="AQ534">
        <v>0</v>
      </c>
      <c r="AR534">
        <v>0</v>
      </c>
      <c r="AS534">
        <v>0</v>
      </c>
      <c r="AT534">
        <v>0</v>
      </c>
      <c r="AU534">
        <v>0</v>
      </c>
      <c r="AV534">
        <v>0</v>
      </c>
      <c r="AW534">
        <v>0</v>
      </c>
      <c r="AX534" s="141">
        <f>COUNTIF(V534:AW534,"&lt;&gt;0")</f>
        <v>1</v>
      </c>
      <c r="AY534" s="141">
        <f>COUNTIF(V534:AL534,"&lt;&gt;0")</f>
        <v>1</v>
      </c>
      <c r="AZ534">
        <f>COUNTIF(V534:AC534,"&lt;&gt;0")</f>
        <v>0</v>
      </c>
      <c r="BA534">
        <f>COUNTIF(AD534:AI534,"&lt;&gt;0")</f>
        <v>0</v>
      </c>
      <c r="BB534">
        <f>COUNTIF(AJ534:AL534,"&lt;&gt;0")</f>
        <v>1</v>
      </c>
      <c r="BC534">
        <f>COUNTIF(AS534:AW534,"&lt;&gt;0")</f>
        <v>0</v>
      </c>
      <c r="BD534">
        <f>COUNTIF(AM534:AR534,"&lt;&gt;0")</f>
        <v>0</v>
      </c>
      <c r="BE534" t="str">
        <f t="array" ref="BE534">IF(AY534=1,INDEX($V$7:$AL$7,MATCH(TRUE,INDEX($V534:$AW534&lt;&gt;0,),0)),IF(AY534=0,INDEX($AM$7:$AW$7,MATCH(1,$AM534:$AW534,0)),IF(BF534="Multiple strategies","mixed drivers",IF(BF534="Supply chain","multiple supply","multiple silviculture"))))</f>
        <v>technologies/design switch</v>
      </c>
      <c r="BF534" s="2" t="str" cm="1">
        <f t="array" ref="BF534">IF(COUNTIF(AZ534:BB534,"&lt;&gt;0")=1,INDEX($V$4:$AW$4,MATCH(TRUE,INDEX($V534:$AW534&lt;&gt;0,),0)),IF(COUNTIF(AZ534:BB534,"&lt;&gt;0")=0,INDEX($AM$4:$AW$4,MATCH(1,$AM534:$AW534,0)),"Multiple strategies"))</f>
        <v>Technology</v>
      </c>
      <c r="BG534" s="1" t="s">
        <v>229</v>
      </c>
      <c r="BH534" t="s">
        <v>650</v>
      </c>
      <c r="BI534" s="260" t="s">
        <v>3308</v>
      </c>
      <c r="BJ534" t="s">
        <v>651</v>
      </c>
      <c r="BK534" s="260">
        <f>55+21+10+5+5</f>
        <v>96</v>
      </c>
      <c r="BL534" s="260">
        <v>124</v>
      </c>
      <c r="BN534">
        <f>BL534-BK534</f>
        <v>28</v>
      </c>
      <c r="BO534">
        <f>BN534*t_to_m3</f>
        <v>57.142857142857146</v>
      </c>
      <c r="BP534" t="s">
        <v>232</v>
      </c>
      <c r="BQ534" s="260" t="s">
        <v>3311</v>
      </c>
      <c r="BR534" t="s">
        <v>262</v>
      </c>
      <c r="BS534">
        <v>257</v>
      </c>
      <c r="BT534">
        <v>446</v>
      </c>
      <c r="BU534" s="144">
        <v>1.7354085603112841</v>
      </c>
      <c r="BV534">
        <v>189</v>
      </c>
      <c r="BX534">
        <f>BV534/1000</f>
        <v>0.189</v>
      </c>
      <c r="BY534">
        <f>IFERROR(BX534/BO534,"")</f>
        <v>3.3074999999999997E-3</v>
      </c>
      <c r="BZ534">
        <v>0</v>
      </c>
      <c r="CA534">
        <v>0</v>
      </c>
      <c r="CB534">
        <v>0</v>
      </c>
      <c r="CC534">
        <v>0</v>
      </c>
      <c r="CD534">
        <v>0</v>
      </c>
      <c r="CE534">
        <v>0</v>
      </c>
      <c r="CF534">
        <v>0</v>
      </c>
      <c r="CG534">
        <v>0</v>
      </c>
      <c r="CH534">
        <v>0</v>
      </c>
      <c r="CI534">
        <v>0</v>
      </c>
      <c r="CJ534">
        <v>0</v>
      </c>
      <c r="CK534">
        <v>0</v>
      </c>
      <c r="CL534">
        <v>0</v>
      </c>
      <c r="CM534">
        <v>0</v>
      </c>
      <c r="CN534" t="str">
        <f>IF($BL534&lt;$BK534,"refNeedCorrection","refOK")</f>
        <v>refOK</v>
      </c>
      <c r="CO534">
        <f>IF($CN534="refOK",$BK534,$BL534)</f>
        <v>96</v>
      </c>
      <c r="CP534">
        <f>IF($CN534="refOK",$BL534,$BK534)</f>
        <v>124</v>
      </c>
      <c r="CQ534">
        <f>IF($CN534="refOK",$BO534,-$BO534)</f>
        <v>57.142857142857146</v>
      </c>
      <c r="CR534">
        <f>IF($CN534="refOK",$BS534,$BT534)*IF($BP534="Emissions positive",-1,1)</f>
        <v>257</v>
      </c>
      <c r="CS534">
        <f>IF($CN534="refOK",$BT534,$BS534)*IF($BP534="Emissions positive",-1,1)</f>
        <v>446</v>
      </c>
      <c r="CT534">
        <f>IF($CN534="refNeedCorrection",-BX534,BX534)*IF($BP534="Emissions positive",-1,1)</f>
        <v>0.189</v>
      </c>
      <c r="CU534">
        <f>IFERROR(CT534/CQ534,"")</f>
        <v>3.3074999999999997E-3</v>
      </c>
      <c r="CV534" s="2">
        <f>IFERROR((CS534-CR534)/ABS(CR534),"")</f>
        <v>0.7354085603112841</v>
      </c>
      <c r="CW534" s="1" t="s">
        <v>263</v>
      </c>
      <c r="CX534" t="str">
        <f>IF(OR($CW534="prd",$CW534="std",$CW534="cit"),"loc",IF(OR($CW534="eur",$CW534="reg",$CW534="coy"),"reg",$CW534))</f>
        <v>loc</v>
      </c>
      <c r="CY534" t="s">
        <v>444</v>
      </c>
      <c r="DB534">
        <v>50</v>
      </c>
      <c r="DC534" t="str">
        <f>IF(DB534=0,"0",IF(AND(DB534&gt;=1,DB534&lt;=30),"1-30",IF(AND(DB534&gt;30,DB534&lt;=70),"31-70",IF(AND(DB534&gt;70,DB534&lt;=100),"71-100",IF(DB534&gt;100,"+100")))))</f>
        <v>31-70</v>
      </c>
      <c r="DD534">
        <v>0</v>
      </c>
      <c r="DE534">
        <v>0</v>
      </c>
      <c r="DF534">
        <v>0</v>
      </c>
      <c r="DG534">
        <v>1</v>
      </c>
      <c r="DI534">
        <f>SUM(DD534:DG534)</f>
        <v>1</v>
      </c>
      <c r="DJ534" t="str">
        <f>IF(DI534=1,INDEX($DD$7:$DG$7,MATCH(1,$DD534:$DG534,0)),"mixedProduct")</f>
        <v>TimberInput</v>
      </c>
      <c r="DK534">
        <f>IF(DD534=1,DK$7,0)</f>
        <v>0</v>
      </c>
      <c r="DL534">
        <f>IF(DE534=1,DL$7,0)</f>
        <v>0</v>
      </c>
      <c r="DM534">
        <f>IF(DF534=1,DM$7,0)</f>
        <v>0</v>
      </c>
      <c r="DN534" t="str">
        <f>IF(DG534=1,DN$7,0)</f>
        <v>Timber</v>
      </c>
      <c r="DO534">
        <v>0</v>
      </c>
      <c r="DP534">
        <v>0</v>
      </c>
      <c r="DQ534">
        <v>0</v>
      </c>
      <c r="DR534">
        <v>0</v>
      </c>
      <c r="DS534">
        <v>0</v>
      </c>
      <c r="DT534">
        <f>SUM(DO534:DP534)</f>
        <v>0</v>
      </c>
      <c r="DU534" s="143" t="str">
        <f>IF(DO534=1,"self-calculated DF",IF(DP534=1,"external DF used","explicit C balance"))</f>
        <v>explicit C balance</v>
      </c>
      <c r="DV534">
        <v>0</v>
      </c>
      <c r="DW534">
        <v>0</v>
      </c>
      <c r="DX534">
        <v>0</v>
      </c>
      <c r="DY534">
        <v>1</v>
      </c>
      <c r="DZ534">
        <v>0</v>
      </c>
      <c r="EA534" s="264">
        <v>1</v>
      </c>
      <c r="EB534">
        <v>0</v>
      </c>
      <c r="EC534">
        <v>1</v>
      </c>
      <c r="ED534">
        <v>0</v>
      </c>
      <c r="EE534">
        <v>0</v>
      </c>
      <c r="EF534">
        <v>0</v>
      </c>
      <c r="EG534">
        <v>0</v>
      </c>
      <c r="EH534">
        <v>0</v>
      </c>
      <c r="EI534" s="2">
        <v>0</v>
      </c>
      <c r="EK534" t="str">
        <f>IF(AND(AND(AND(OR($DX534=1,$DW534=1),OR($EC534=1,$EA534=1)),SUM($DV534:$DZ534,$EF534)&gt;=4),SUM($EA534:$EE534)&gt;=2),"Whole sector","")</f>
        <v/>
      </c>
      <c r="EL534" t="str">
        <f>IF(AND(AND(OR($DX534=1,$DW534=1),AND($EC534=0,$EA534=0)),SUM($DV534:$DZ534,$EF534)&gt;=4),"Ecosystem approach","")</f>
        <v/>
      </c>
      <c r="EM534" s="2" t="str">
        <f>IF(AND(AND(AND($DX534=0,$DW534=0),OR($EC534=1,$EA534=1)),SUM($EB534:$EE534)&gt;=2),"Technology approach","")</f>
        <v/>
      </c>
      <c r="EP534" t="str">
        <f>IF(ISNUMBER(BU534),IF(ABS(BU534-[4]QC_indicators!$B$2)&gt;3*[4]QC_indicators!$C$2,"C ratio",IF(ISNUMBER(BY534),IF(ABS(BY534-[4]QC_indicators!$B$1)&gt;3*[4]QC_indicators!$C$1,"DF","no"))),IF(ISNUMBER(BY534),IF(ABS(BY534-[4]QC_indicators!$B$1)&gt;3*[4]QC_indicators!$C$1,"DF","no")))</f>
        <v>no</v>
      </c>
      <c r="ER534" s="149" t="s">
        <v>349</v>
      </c>
      <c r="ET534" s="264" t="s">
        <v>3273</v>
      </c>
    </row>
    <row r="535" spans="1:150" ht="15" customHeight="1">
      <c r="A535" s="1" t="s">
        <v>380</v>
      </c>
      <c r="B535" t="s">
        <v>1185</v>
      </c>
      <c r="C535" t="s">
        <v>1186</v>
      </c>
      <c r="D535" t="s">
        <v>1187</v>
      </c>
      <c r="E535" t="s">
        <v>1188</v>
      </c>
      <c r="F535" t="s">
        <v>1189</v>
      </c>
      <c r="G535" t="s">
        <v>386</v>
      </c>
      <c r="H535" t="s">
        <v>254</v>
      </c>
      <c r="I535">
        <v>2013</v>
      </c>
      <c r="J535">
        <v>44</v>
      </c>
      <c r="K535" t="s">
        <v>1190</v>
      </c>
      <c r="M535" t="str">
        <f>LEFT($D535,FIND(",",$D535)-1)&amp;"_"&amp;I535&amp;L535</f>
        <v>Ximenes_2013</v>
      </c>
      <c r="N535" t="s">
        <v>222</v>
      </c>
      <c r="O535" s="145" t="s">
        <v>1154</v>
      </c>
      <c r="Q535" t="s">
        <v>256</v>
      </c>
      <c r="R535" s="255" t="s">
        <v>225</v>
      </c>
      <c r="S535" s="1" t="s">
        <v>1191</v>
      </c>
      <c r="T535" t="s">
        <v>1192</v>
      </c>
      <c r="U535" t="s">
        <v>1193</v>
      </c>
      <c r="V535">
        <v>0</v>
      </c>
      <c r="W535">
        <v>0</v>
      </c>
      <c r="X535">
        <v>0</v>
      </c>
      <c r="Y535">
        <v>0</v>
      </c>
      <c r="Z535">
        <v>0</v>
      </c>
      <c r="AA535">
        <v>0</v>
      </c>
      <c r="AB535">
        <v>0</v>
      </c>
      <c r="AC535">
        <v>0</v>
      </c>
      <c r="AD535">
        <v>0</v>
      </c>
      <c r="AE535">
        <v>0</v>
      </c>
      <c r="AF535">
        <v>0</v>
      </c>
      <c r="AG535">
        <v>0</v>
      </c>
      <c r="AH535">
        <v>0</v>
      </c>
      <c r="AI535">
        <v>0</v>
      </c>
      <c r="AJ535">
        <v>0</v>
      </c>
      <c r="AK535">
        <v>1</v>
      </c>
      <c r="AL535">
        <v>0</v>
      </c>
      <c r="AM535">
        <v>0</v>
      </c>
      <c r="AN535">
        <v>0</v>
      </c>
      <c r="AO535">
        <v>0</v>
      </c>
      <c r="AP535">
        <v>0</v>
      </c>
      <c r="AQ535">
        <v>0</v>
      </c>
      <c r="AR535">
        <v>0</v>
      </c>
      <c r="AS535">
        <v>0</v>
      </c>
      <c r="AT535">
        <v>0</v>
      </c>
      <c r="AU535">
        <v>0</v>
      </c>
      <c r="AV535">
        <v>0</v>
      </c>
      <c r="AW535">
        <v>0</v>
      </c>
      <c r="AX535" s="141">
        <f>COUNTIF(V535:AW535,"&lt;&gt;0")</f>
        <v>1</v>
      </c>
      <c r="AY535" s="141">
        <f>COUNTIF(V535:AL535,"&lt;&gt;0")</f>
        <v>1</v>
      </c>
      <c r="AZ535">
        <f>COUNTIF(V535:AC535,"&lt;&gt;0")</f>
        <v>0</v>
      </c>
      <c r="BA535">
        <f>COUNTIF(AD535:AI535,"&lt;&gt;0")</f>
        <v>0</v>
      </c>
      <c r="BB535">
        <f>COUNTIF(AJ535:AL535,"&lt;&gt;0")</f>
        <v>1</v>
      </c>
      <c r="BC535">
        <f>COUNTIF(AS535:AW535,"&lt;&gt;0")</f>
        <v>0</v>
      </c>
      <c r="BD535">
        <f>COUNTIF(AM535:AR535,"&lt;&gt;0")</f>
        <v>0</v>
      </c>
      <c r="BE535" t="str">
        <f t="array" ref="BE535">IF(AY535=1,INDEX($V$7:$AL$7,MATCH(TRUE,INDEX($V535:$AW535&lt;&gt;0,),0)),IF(AY535=0,INDEX($AM$7:$AW$7,MATCH(1,$AM535:$AW535,0)),IF(BF535="Multiple strategies","mixed drivers",IF(BF535="Supply chain","multiple supply","multiple silviculture"))))</f>
        <v>technologies/design switch</v>
      </c>
      <c r="BF535" s="2" t="str" cm="1">
        <f t="array" ref="BF535">IF(COUNTIF(AZ535:BB535,"&lt;&gt;0")=1,INDEX($V$4:$AW$4,MATCH(TRUE,INDEX($V535:$AW535&lt;&gt;0,),0)),IF(COUNTIF(AZ535:BB535,"&lt;&gt;0")=0,INDEX($AM$4:$AW$4,MATCH(1,$AM535:$AW535,0)),"Multiple strategies"))</f>
        <v>Technology</v>
      </c>
      <c r="BG535" s="1" t="s">
        <v>229</v>
      </c>
      <c r="BH535" t="s">
        <v>1194</v>
      </c>
      <c r="BI535" s="260" t="s">
        <v>3403</v>
      </c>
      <c r="BJ535" s="264" t="s">
        <v>3404</v>
      </c>
      <c r="BK535" s="260">
        <f>7.325</f>
        <v>7.3250000000000002</v>
      </c>
      <c r="BL535" s="260">
        <v>14.244</v>
      </c>
      <c r="BM535" s="143">
        <f>BL535/BK535</f>
        <v>1.9445733788395905</v>
      </c>
      <c r="BN535">
        <f>BL535-BK535</f>
        <v>6.9189999999999996</v>
      </c>
      <c r="BO535">
        <f>+BN535/C_to_CO2*1000/0.245</f>
        <v>7695.0453205805479</v>
      </c>
      <c r="BP535" t="s">
        <v>232</v>
      </c>
      <c r="BQ535" s="260" t="s">
        <v>3405</v>
      </c>
      <c r="BR535" t="s">
        <v>1195</v>
      </c>
      <c r="BS535">
        <v>-59.593023255813996</v>
      </c>
      <c r="BT535">
        <v>-31.918604651162703</v>
      </c>
      <c r="BU535" s="144">
        <f>IFERROR(BT535/BS535,"")</f>
        <v>0.53560975609755912</v>
      </c>
      <c r="BV535" s="144">
        <f>BT535-BS535</f>
        <v>27.674418604651294</v>
      </c>
      <c r="BW535" s="144"/>
      <c r="BX535" s="144">
        <f>BV535</f>
        <v>27.674418604651294</v>
      </c>
      <c r="BY535">
        <f>IFERROR(BX535/BO535,"")</f>
        <v>3.5963944917433463E-3</v>
      </c>
      <c r="BZ535">
        <v>0</v>
      </c>
      <c r="CA535">
        <v>0</v>
      </c>
      <c r="CB535">
        <v>0</v>
      </c>
      <c r="CC535">
        <v>0</v>
      </c>
      <c r="CD535">
        <v>0</v>
      </c>
      <c r="CE535">
        <v>0</v>
      </c>
      <c r="CF535">
        <v>0</v>
      </c>
      <c r="CG535">
        <v>0</v>
      </c>
      <c r="CH535">
        <v>0</v>
      </c>
      <c r="CI535">
        <v>0</v>
      </c>
      <c r="CJ535">
        <v>0</v>
      </c>
      <c r="CK535">
        <v>0</v>
      </c>
      <c r="CL535">
        <v>0</v>
      </c>
      <c r="CM535">
        <v>0</v>
      </c>
      <c r="CN535" t="str">
        <f>IF($BL535&lt;$BK535,"refNeedCorrection","refOK")</f>
        <v>refOK</v>
      </c>
      <c r="CO535">
        <f>IF($CN535="refNeedCorrection",BL535,BK535)</f>
        <v>7.3250000000000002</v>
      </c>
      <c r="CP535">
        <f>IF($CN535="refNeedCorrection",BK535,BL535)</f>
        <v>14.244</v>
      </c>
      <c r="CQ535">
        <f>IF($CN535="refOK",$BO535,-$BO535)</f>
        <v>7695.0453205805479</v>
      </c>
      <c r="CR535">
        <f>IF($CN535="refOK",$BS535,$BT535)*IF($BP535="Emissions positive",-1,1)</f>
        <v>-59.593023255813996</v>
      </c>
      <c r="CS535">
        <f>IF($CN535="refOK",$BT535,$BS535)*IF($BP535="Emissions positive",-1,1)</f>
        <v>-31.918604651162703</v>
      </c>
      <c r="CT535">
        <f>IF($CN535="refNeedCorrection",-BX535,BX535)*IF($BP535="Emissions positive",-1,1)</f>
        <v>27.674418604651294</v>
      </c>
      <c r="CU535">
        <f>IFERROR(CT535/CQ535,"")</f>
        <v>3.5963944917433463E-3</v>
      </c>
      <c r="CV535" s="2">
        <f>IFERROR((CS535-CR535)/ABS(CR535),"")</f>
        <v>0.46439024390244088</v>
      </c>
      <c r="CW535" s="1" t="s">
        <v>263</v>
      </c>
      <c r="CX535" t="str">
        <f>IF(OR($CW535="prd",$CW535="std",$CW535="cit"),"loc",IF(OR($CW535="eur",$CW535="reg",$CW535="coy"),"reg",$CW535))</f>
        <v>loc</v>
      </c>
      <c r="CY535" t="s">
        <v>574</v>
      </c>
      <c r="DB535">
        <f>DA535-CZ535</f>
        <v>0</v>
      </c>
      <c r="DC535" t="str">
        <f>IF(DB535=0,"0",IF(AND(DB535&gt;=1,DB535&lt;=30),"1-30",IF(AND(DB535&gt;30,DB535&lt;=70),"31-70",IF(AND(DB535&gt;70,DB535&lt;=100),"71-100",IF(DB535&gt;100,"+100")))))</f>
        <v>0</v>
      </c>
      <c r="DD535">
        <v>0</v>
      </c>
      <c r="DE535">
        <v>0</v>
      </c>
      <c r="DF535">
        <v>0</v>
      </c>
      <c r="DG535">
        <v>1</v>
      </c>
      <c r="DH535">
        <v>0</v>
      </c>
      <c r="DI535">
        <f>SUM(DD535:DG535)</f>
        <v>1</v>
      </c>
      <c r="DJ535" t="str">
        <f>IF(DI535=1,INDEX($DD$7:$DG$7,MATCH(1,$DD535:$DG535,0)),"mixedProduct")</f>
        <v>TimberInput</v>
      </c>
      <c r="DK535">
        <f>IF(DD535=1,DK$7,0)</f>
        <v>0</v>
      </c>
      <c r="DL535">
        <f>IF(DE535=1,DL$7,0)</f>
        <v>0</v>
      </c>
      <c r="DM535">
        <f>IF(DF535=1,DM$7,0)</f>
        <v>0</v>
      </c>
      <c r="DN535" t="str">
        <f>IF(DG535=1,DN$7,0)</f>
        <v>Timber</v>
      </c>
      <c r="DO535">
        <v>0</v>
      </c>
      <c r="DP535">
        <v>0</v>
      </c>
      <c r="DQ535">
        <v>0</v>
      </c>
      <c r="DR535">
        <v>0</v>
      </c>
      <c r="DS535">
        <v>0</v>
      </c>
      <c r="DT535">
        <f>SUM(DO535:DP535)</f>
        <v>0</v>
      </c>
      <c r="DU535" s="143" t="str">
        <f>IF(DO535=1,"self-calculated DF",IF(DP535=1,"external DF used","explicit C balance"))</f>
        <v>explicit C balance</v>
      </c>
      <c r="DV535">
        <v>0</v>
      </c>
      <c r="DW535">
        <v>0</v>
      </c>
      <c r="DX535">
        <v>0</v>
      </c>
      <c r="DY535">
        <v>0</v>
      </c>
      <c r="DZ535">
        <v>0</v>
      </c>
      <c r="EA535" s="143">
        <v>0</v>
      </c>
      <c r="EB535">
        <v>1</v>
      </c>
      <c r="EC535">
        <v>1</v>
      </c>
      <c r="ED535">
        <v>1</v>
      </c>
      <c r="EE535">
        <v>1</v>
      </c>
      <c r="EF535">
        <v>0</v>
      </c>
      <c r="EG535">
        <v>0</v>
      </c>
      <c r="EH535">
        <v>0</v>
      </c>
      <c r="EI535" s="2">
        <v>0</v>
      </c>
      <c r="EK535" t="str">
        <f>IF(AND(AND(AND(OR($DX535=1,$DW535=1),OR($EC535=1,$EA535=1)),SUM($DV535:$DZ535,$EF535)&gt;=4),SUM($EA535:$EE535)&gt;=2),"Whole sector","")</f>
        <v/>
      </c>
      <c r="EL535" t="str">
        <f>IF(AND(AND(OR($DX535=1,$DW535=1),AND($EC535=0,$EA535=0)),SUM($DV535:$DZ535,$EF535)&gt;=4),"Ecosystem approach","")</f>
        <v/>
      </c>
      <c r="EM535" s="2" t="str">
        <f>IF(AND(AND(AND($DX535=0,$DW535=0),OR($EC535=1,$EA535=1)),SUM($EB535:$EE535)&gt;=2),"Technology approach","")</f>
        <v>Technology approach</v>
      </c>
      <c r="EN535" t="s">
        <v>1196</v>
      </c>
      <c r="EP535" t="str">
        <f>IF(ISNUMBER(BU535),IF(ABS(BU535-[4]QC_indicators!$B$2)&gt;3*[4]QC_indicators!$C$2,"C ratio",IF(ISNUMBER(BY535),IF(ABS(BY535-[4]QC_indicators!$B$1)&gt;3*[4]QC_indicators!$C$1,"DF","no"))),IF(ISNUMBER(BY535),IF(ABS(BY535-[4]QC_indicators!$B$1)&gt;3*[4]QC_indicators!$C$1,"DF","no")))</f>
        <v>no</v>
      </c>
      <c r="ET535" s="264" t="s">
        <v>3273</v>
      </c>
    </row>
    <row r="536" spans="1:150" ht="15" customHeight="1">
      <c r="A536" s="1" t="s">
        <v>247</v>
      </c>
      <c r="B536" t="s">
        <v>641</v>
      </c>
      <c r="C536" t="s">
        <v>642</v>
      </c>
      <c r="D536" t="s">
        <v>643</v>
      </c>
      <c r="E536" t="s">
        <v>644</v>
      </c>
      <c r="F536" t="s">
        <v>645</v>
      </c>
      <c r="G536" t="s">
        <v>253</v>
      </c>
      <c r="H536" t="s">
        <v>254</v>
      </c>
      <c r="I536">
        <v>2014</v>
      </c>
      <c r="J536">
        <v>76</v>
      </c>
      <c r="K536" t="s">
        <v>646</v>
      </c>
      <c r="M536" t="str">
        <f>LEFT($D536,FIND(",",$D536)-1)&amp;"_"&amp;I536&amp;L536</f>
        <v>Dodoo_2014</v>
      </c>
      <c r="N536" t="s">
        <v>222</v>
      </c>
      <c r="O536" s="145" t="s">
        <v>223</v>
      </c>
      <c r="Q536" t="s">
        <v>256</v>
      </c>
      <c r="R536" s="255" t="s">
        <v>225</v>
      </c>
      <c r="S536" s="1" t="s">
        <v>647</v>
      </c>
      <c r="T536" t="s">
        <v>648</v>
      </c>
      <c r="U536" t="s">
        <v>655</v>
      </c>
      <c r="V536">
        <v>0</v>
      </c>
      <c r="W536">
        <v>0</v>
      </c>
      <c r="X536">
        <v>0</v>
      </c>
      <c r="Y536">
        <v>0</v>
      </c>
      <c r="Z536">
        <v>0</v>
      </c>
      <c r="AA536">
        <v>0</v>
      </c>
      <c r="AB536">
        <v>0</v>
      </c>
      <c r="AC536">
        <v>0</v>
      </c>
      <c r="AD536">
        <v>0</v>
      </c>
      <c r="AE536">
        <v>0</v>
      </c>
      <c r="AF536">
        <v>0</v>
      </c>
      <c r="AG536">
        <v>0</v>
      </c>
      <c r="AH536">
        <v>0</v>
      </c>
      <c r="AI536">
        <v>0</v>
      </c>
      <c r="AJ536">
        <v>0</v>
      </c>
      <c r="AK536">
        <v>1</v>
      </c>
      <c r="AL536">
        <v>0</v>
      </c>
      <c r="AM536">
        <v>0</v>
      </c>
      <c r="AN536">
        <v>0</v>
      </c>
      <c r="AO536">
        <v>0</v>
      </c>
      <c r="AP536">
        <v>0</v>
      </c>
      <c r="AQ536">
        <v>0</v>
      </c>
      <c r="AR536">
        <v>0</v>
      </c>
      <c r="AS536">
        <v>0</v>
      </c>
      <c r="AT536">
        <v>0</v>
      </c>
      <c r="AU536">
        <v>0</v>
      </c>
      <c r="AV536">
        <v>0</v>
      </c>
      <c r="AW536">
        <v>0</v>
      </c>
      <c r="AX536" s="141">
        <f>COUNTIF(V536:AW536,"&lt;&gt;0")</f>
        <v>1</v>
      </c>
      <c r="AY536" s="141">
        <f>COUNTIF(V536:AL536,"&lt;&gt;0")</f>
        <v>1</v>
      </c>
      <c r="AZ536">
        <f>COUNTIF(V536:AC536,"&lt;&gt;0")</f>
        <v>0</v>
      </c>
      <c r="BA536">
        <f>COUNTIF(AD536:AI536,"&lt;&gt;0")</f>
        <v>0</v>
      </c>
      <c r="BB536">
        <f>COUNTIF(AJ536:AL536,"&lt;&gt;0")</f>
        <v>1</v>
      </c>
      <c r="BC536">
        <f>COUNTIF(AS536:AW536,"&lt;&gt;0")</f>
        <v>0</v>
      </c>
      <c r="BD536">
        <f>COUNTIF(AM536:AR536,"&lt;&gt;0")</f>
        <v>0</v>
      </c>
      <c r="BE536" t="str">
        <f t="array" ref="BE536">IF(AY536=1,INDEX($V$7:$AL$7,MATCH(TRUE,INDEX($V536:$AW536&lt;&gt;0,),0)),IF(AY536=0,INDEX($AM$7:$AW$7,MATCH(1,$AM536:$AW536,0)),IF(BF536="Multiple strategies","mixed drivers",IF(BF536="Supply chain","multiple supply","multiple silviculture"))))</f>
        <v>technologies/design switch</v>
      </c>
      <c r="BF536" s="2" t="str" cm="1">
        <f t="array" ref="BF536">IF(COUNTIF(AZ536:BB536,"&lt;&gt;0")=1,INDEX($V$4:$AW$4,MATCH(TRUE,INDEX($V536:$AW536&lt;&gt;0,),0)),IF(COUNTIF(AZ536:BB536,"&lt;&gt;0")=0,INDEX($AM$4:$AW$4,MATCH(1,$AM536:$AW536,0)),"Multiple strategies"))</f>
        <v>Technology</v>
      </c>
      <c r="BG536" s="1" t="s">
        <v>229</v>
      </c>
      <c r="BH536" t="s">
        <v>650</v>
      </c>
      <c r="BI536" s="260" t="s">
        <v>3308</v>
      </c>
      <c r="BJ536" t="s">
        <v>651</v>
      </c>
      <c r="BK536" s="260">
        <f>55+21+10+5+5</f>
        <v>96</v>
      </c>
      <c r="BL536" s="260">
        <v>129.6</v>
      </c>
      <c r="BN536">
        <f>BL536-BK536</f>
        <v>33.599999999999994</v>
      </c>
      <c r="BO536">
        <f>BN536*t_to_m3</f>
        <v>68.571428571428555</v>
      </c>
      <c r="BP536" t="s">
        <v>232</v>
      </c>
      <c r="BQ536" s="260" t="s">
        <v>3311</v>
      </c>
      <c r="BR536" t="s">
        <v>262</v>
      </c>
      <c r="BS536">
        <v>230</v>
      </c>
      <c r="BT536">
        <v>510</v>
      </c>
      <c r="BU536" s="144">
        <v>2.2173913043478262</v>
      </c>
      <c r="BV536">
        <v>280</v>
      </c>
      <c r="BX536">
        <f>BV536/1000</f>
        <v>0.28000000000000003</v>
      </c>
      <c r="BY536">
        <f>IFERROR(BX536/BO536,"")</f>
        <v>4.0833333333333346E-3</v>
      </c>
      <c r="BZ536">
        <v>0</v>
      </c>
      <c r="CA536">
        <v>0</v>
      </c>
      <c r="CB536">
        <v>0</v>
      </c>
      <c r="CC536">
        <v>0</v>
      </c>
      <c r="CD536">
        <v>0</v>
      </c>
      <c r="CE536">
        <v>0</v>
      </c>
      <c r="CF536">
        <v>0</v>
      </c>
      <c r="CG536">
        <v>0</v>
      </c>
      <c r="CH536">
        <v>0</v>
      </c>
      <c r="CI536">
        <v>0</v>
      </c>
      <c r="CJ536">
        <v>0</v>
      </c>
      <c r="CK536">
        <v>0</v>
      </c>
      <c r="CL536">
        <v>0</v>
      </c>
      <c r="CM536">
        <v>0</v>
      </c>
      <c r="CN536" t="str">
        <f>IF($BL536&lt;$BK536,"refNeedCorrection","refOK")</f>
        <v>refOK</v>
      </c>
      <c r="CO536">
        <f>IF($CN536="refOK",$BK536,$BL536)</f>
        <v>96</v>
      </c>
      <c r="CP536">
        <f>IF($CN536="refOK",$BL536,$BK536)</f>
        <v>129.6</v>
      </c>
      <c r="CQ536">
        <f>IF($CN536="refOK",$BO536,-$BO536)</f>
        <v>68.571428571428555</v>
      </c>
      <c r="CR536">
        <f>IF($CN536="refOK",$BS536,$BT536)*IF($BP536="Emissions positive",-1,1)</f>
        <v>230</v>
      </c>
      <c r="CS536">
        <f>IF($CN536="refOK",$BT536,$BS536)*IF($BP536="Emissions positive",-1,1)</f>
        <v>510</v>
      </c>
      <c r="CT536">
        <f>IF($CN536="refNeedCorrection",-BX536,BX536)*IF($BP536="Emissions positive",-1,1)</f>
        <v>0.28000000000000003</v>
      </c>
      <c r="CU536">
        <f>IFERROR(CT536/CQ536,"")</f>
        <v>4.0833333333333346E-3</v>
      </c>
      <c r="CV536" s="2">
        <f>IFERROR((CS536-CR536)/ABS(CR536),"")</f>
        <v>1.2173913043478262</v>
      </c>
      <c r="CW536" s="1" t="s">
        <v>263</v>
      </c>
      <c r="CX536" t="str">
        <f>IF(OR($CW536="prd",$CW536="std",$CW536="cit"),"loc",IF(OR($CW536="eur",$CW536="reg",$CW536="coy"),"reg",$CW536))</f>
        <v>loc</v>
      </c>
      <c r="CY536" t="s">
        <v>444</v>
      </c>
      <c r="DB536">
        <v>50</v>
      </c>
      <c r="DC536" t="str">
        <f>IF(DB536=0,"0",IF(AND(DB536&gt;=1,DB536&lt;=30),"1-30",IF(AND(DB536&gt;30,DB536&lt;=70),"31-70",IF(AND(DB536&gt;70,DB536&lt;=100),"71-100",IF(DB536&gt;100,"+100")))))</f>
        <v>31-70</v>
      </c>
      <c r="DD536">
        <v>0</v>
      </c>
      <c r="DE536">
        <v>0</v>
      </c>
      <c r="DF536">
        <v>0</v>
      </c>
      <c r="DG536">
        <v>1</v>
      </c>
      <c r="DI536">
        <f>SUM(DD536:DG536)</f>
        <v>1</v>
      </c>
      <c r="DJ536" t="str">
        <f>IF(DI536=1,INDEX($DD$7:$DG$7,MATCH(1,$DD536:$DG536,0)),"mixedProduct")</f>
        <v>TimberInput</v>
      </c>
      <c r="DK536">
        <f>IF(DD536=1,DK$7,0)</f>
        <v>0</v>
      </c>
      <c r="DL536">
        <f>IF(DE536=1,DL$7,0)</f>
        <v>0</v>
      </c>
      <c r="DM536">
        <f>IF(DF536=1,DM$7,0)</f>
        <v>0</v>
      </c>
      <c r="DN536" t="str">
        <f>IF(DG536=1,DN$7,0)</f>
        <v>Timber</v>
      </c>
      <c r="DO536">
        <v>0</v>
      </c>
      <c r="DP536">
        <v>0</v>
      </c>
      <c r="DQ536">
        <v>0</v>
      </c>
      <c r="DR536">
        <v>0</v>
      </c>
      <c r="DS536">
        <v>0</v>
      </c>
      <c r="DT536">
        <f>SUM(DO536:DP536)</f>
        <v>0</v>
      </c>
      <c r="DU536" s="143" t="str">
        <f>IF(DO536=1,"self-calculated DF",IF(DP536=1,"external DF used","explicit C balance"))</f>
        <v>explicit C balance</v>
      </c>
      <c r="DV536">
        <v>0</v>
      </c>
      <c r="DW536">
        <v>0</v>
      </c>
      <c r="DX536">
        <v>0</v>
      </c>
      <c r="DY536">
        <v>1</v>
      </c>
      <c r="DZ536">
        <v>0</v>
      </c>
      <c r="EA536" s="264">
        <v>1</v>
      </c>
      <c r="EB536">
        <v>0</v>
      </c>
      <c r="EC536">
        <v>1</v>
      </c>
      <c r="ED536">
        <v>0</v>
      </c>
      <c r="EE536">
        <v>0</v>
      </c>
      <c r="EF536">
        <v>0</v>
      </c>
      <c r="EG536">
        <v>0</v>
      </c>
      <c r="EH536">
        <v>0</v>
      </c>
      <c r="EI536" s="2">
        <v>0</v>
      </c>
      <c r="EK536" t="str">
        <f>IF(AND(AND(AND(OR($DX536=1,$DW536=1),OR($EC536=1,$EA536=1)),SUM($DV536:$DZ536,$EF536)&gt;=4),SUM($EA536:$EE536)&gt;=2),"Whole sector","")</f>
        <v/>
      </c>
      <c r="EL536" t="str">
        <f>IF(AND(AND(OR($DX536=1,$DW536=1),AND($EC536=0,$EA536=0)),SUM($DV536:$DZ536,$EF536)&gt;=4),"Ecosystem approach","")</f>
        <v/>
      </c>
      <c r="EM536" s="2" t="str">
        <f>IF(AND(AND(AND($DX536=0,$DW536=0),OR($EC536=1,$EA536=1)),SUM($EB536:$EE536)&gt;=2),"Technology approach","")</f>
        <v/>
      </c>
      <c r="EP536" t="str">
        <f>IF(ISNUMBER(BU536),IF(ABS(BU536-[4]QC_indicators!$B$2)&gt;3*[4]QC_indicators!$C$2,"C ratio",IF(ISNUMBER(BY536),IF(ABS(BY536-[4]QC_indicators!$B$1)&gt;3*[4]QC_indicators!$C$1,"DF","no"))),IF(ISNUMBER(BY536),IF(ABS(BY536-[4]QC_indicators!$B$1)&gt;3*[4]QC_indicators!$C$1,"DF","no")))</f>
        <v>no</v>
      </c>
      <c r="ER536" s="149" t="s">
        <v>349</v>
      </c>
      <c r="ET536" s="264" t="s">
        <v>3273</v>
      </c>
    </row>
    <row r="537" spans="1:150" ht="15" customHeight="1">
      <c r="A537" s="1" t="s">
        <v>247</v>
      </c>
      <c r="B537" t="s">
        <v>641</v>
      </c>
      <c r="C537" t="s">
        <v>642</v>
      </c>
      <c r="D537" t="s">
        <v>643</v>
      </c>
      <c r="E537" t="s">
        <v>644</v>
      </c>
      <c r="F537" t="s">
        <v>645</v>
      </c>
      <c r="G537" t="s">
        <v>253</v>
      </c>
      <c r="H537" t="s">
        <v>254</v>
      </c>
      <c r="I537">
        <v>2014</v>
      </c>
      <c r="J537">
        <v>76</v>
      </c>
      <c r="K537" t="s">
        <v>646</v>
      </c>
      <c r="M537" t="str">
        <f>LEFT($D537,FIND(",",$D537)-1)&amp;"_"&amp;I537&amp;L537</f>
        <v>Dodoo_2014</v>
      </c>
      <c r="N537" t="s">
        <v>222</v>
      </c>
      <c r="O537" s="145" t="s">
        <v>223</v>
      </c>
      <c r="Q537" t="s">
        <v>256</v>
      </c>
      <c r="R537" s="255" t="s">
        <v>225</v>
      </c>
      <c r="S537" s="1" t="s">
        <v>647</v>
      </c>
      <c r="T537" t="s">
        <v>648</v>
      </c>
      <c r="U537" t="s">
        <v>649</v>
      </c>
      <c r="V537">
        <v>0</v>
      </c>
      <c r="W537">
        <v>0</v>
      </c>
      <c r="X537">
        <v>0</v>
      </c>
      <c r="Y537">
        <v>0</v>
      </c>
      <c r="Z537">
        <v>0</v>
      </c>
      <c r="AA537">
        <v>0</v>
      </c>
      <c r="AB537">
        <v>0</v>
      </c>
      <c r="AC537">
        <v>0</v>
      </c>
      <c r="AD537">
        <v>0</v>
      </c>
      <c r="AE537">
        <v>0</v>
      </c>
      <c r="AF537">
        <v>0</v>
      </c>
      <c r="AG537">
        <v>0</v>
      </c>
      <c r="AH537">
        <v>0</v>
      </c>
      <c r="AI537">
        <v>0</v>
      </c>
      <c r="AJ537">
        <v>0</v>
      </c>
      <c r="AK537">
        <v>1</v>
      </c>
      <c r="AL537">
        <v>0</v>
      </c>
      <c r="AM537">
        <v>0</v>
      </c>
      <c r="AN537">
        <v>0</v>
      </c>
      <c r="AO537">
        <v>0</v>
      </c>
      <c r="AP537">
        <v>0</v>
      </c>
      <c r="AQ537">
        <v>0</v>
      </c>
      <c r="AR537">
        <v>0</v>
      </c>
      <c r="AS537">
        <v>0</v>
      </c>
      <c r="AT537">
        <v>0</v>
      </c>
      <c r="AU537">
        <v>0</v>
      </c>
      <c r="AV537">
        <v>0</v>
      </c>
      <c r="AW537">
        <v>0</v>
      </c>
      <c r="AX537" s="141">
        <f>COUNTIF(V537:AW537,"&lt;&gt;0")</f>
        <v>1</v>
      </c>
      <c r="AY537" s="141">
        <f>COUNTIF(V537:AL537,"&lt;&gt;0")</f>
        <v>1</v>
      </c>
      <c r="AZ537">
        <f>COUNTIF(V537:AC537,"&lt;&gt;0")</f>
        <v>0</v>
      </c>
      <c r="BA537">
        <f>COUNTIF(AD537:AI537,"&lt;&gt;0")</f>
        <v>0</v>
      </c>
      <c r="BB537">
        <f>COUNTIF(AJ537:AL537,"&lt;&gt;0")</f>
        <v>1</v>
      </c>
      <c r="BC537">
        <f>COUNTIF(AS537:AW537,"&lt;&gt;0")</f>
        <v>0</v>
      </c>
      <c r="BD537">
        <f>COUNTIF(AM537:AR537,"&lt;&gt;0")</f>
        <v>0</v>
      </c>
      <c r="BE537" t="str">
        <f t="array" ref="BE537">IF(AY537=1,INDEX($V$7:$AL$7,MATCH(TRUE,INDEX($V537:$AW537&lt;&gt;0,),0)),IF(AY537=0,INDEX($AM$7:$AW$7,MATCH(1,$AM537:$AW537,0)),IF(BF537="Multiple strategies","mixed drivers",IF(BF537="Supply chain","multiple supply","multiple silviculture"))))</f>
        <v>technologies/design switch</v>
      </c>
      <c r="BF537" s="2" t="str" cm="1">
        <f t="array" ref="BF537">IF(COUNTIF(AZ537:BB537,"&lt;&gt;0")=1,INDEX($V$4:$AW$4,MATCH(TRUE,INDEX($V537:$AW537&lt;&gt;0,),0)),IF(COUNTIF(AZ537:BB537,"&lt;&gt;0")=0,INDEX($AM$4:$AW$4,MATCH(1,$AM537:$AW537,0)),"Multiple strategies"))</f>
        <v>Technology</v>
      </c>
      <c r="BG537" s="1" t="s">
        <v>229</v>
      </c>
      <c r="BH537" t="s">
        <v>650</v>
      </c>
      <c r="BI537" s="260" t="s">
        <v>3308</v>
      </c>
      <c r="BJ537" t="s">
        <v>651</v>
      </c>
      <c r="BK537" s="260">
        <f>55+21+10+5+5</f>
        <v>96</v>
      </c>
      <c r="BL537" s="260">
        <v>120</v>
      </c>
      <c r="BN537">
        <f>BL537-BK537</f>
        <v>24</v>
      </c>
      <c r="BO537">
        <f>BN537*t_to_m3</f>
        <v>48.979591836734699</v>
      </c>
      <c r="BP537" t="s">
        <v>232</v>
      </c>
      <c r="BQ537" s="260" t="s">
        <v>3311</v>
      </c>
      <c r="BR537" t="s">
        <v>262</v>
      </c>
      <c r="BS537">
        <v>230</v>
      </c>
      <c r="BT537">
        <v>434</v>
      </c>
      <c r="BU537" s="144">
        <v>1.8869565217391304</v>
      </c>
      <c r="BV537">
        <v>204</v>
      </c>
      <c r="BX537">
        <f>BV537/1000</f>
        <v>0.20399999999999999</v>
      </c>
      <c r="BY537">
        <f>IFERROR(BX537/BO537,"")</f>
        <v>4.1649999999999994E-3</v>
      </c>
      <c r="BZ537">
        <v>0</v>
      </c>
      <c r="CA537">
        <v>0</v>
      </c>
      <c r="CB537">
        <v>0</v>
      </c>
      <c r="CC537">
        <v>0</v>
      </c>
      <c r="CD537">
        <v>0</v>
      </c>
      <c r="CE537">
        <v>0</v>
      </c>
      <c r="CF537">
        <v>0</v>
      </c>
      <c r="CG537">
        <v>0</v>
      </c>
      <c r="CH537">
        <v>0</v>
      </c>
      <c r="CI537">
        <v>0</v>
      </c>
      <c r="CJ537">
        <v>0</v>
      </c>
      <c r="CK537">
        <v>0</v>
      </c>
      <c r="CL537">
        <v>0</v>
      </c>
      <c r="CM537">
        <v>0</v>
      </c>
      <c r="CN537" t="str">
        <f>IF($BL537&lt;$BK537,"refNeedCorrection","refOK")</f>
        <v>refOK</v>
      </c>
      <c r="CO537">
        <f>IF($CN537="refOK",$BK537,$BL537)</f>
        <v>96</v>
      </c>
      <c r="CP537">
        <f>IF($CN537="refOK",$BL537,$BK537)</f>
        <v>120</v>
      </c>
      <c r="CQ537">
        <f>IF($CN537="refOK",$BO537,-$BO537)</f>
        <v>48.979591836734699</v>
      </c>
      <c r="CR537">
        <f>IF($CN537="refOK",$BS537,$BT537)*IF($BP537="Emissions positive",-1,1)</f>
        <v>230</v>
      </c>
      <c r="CS537">
        <f>IF($CN537="refOK",$BT537,$BS537)*IF($BP537="Emissions positive",-1,1)</f>
        <v>434</v>
      </c>
      <c r="CT537">
        <f>IF($CN537="refNeedCorrection",-BX537,BX537)*IF($BP537="Emissions positive",-1,1)</f>
        <v>0.20399999999999999</v>
      </c>
      <c r="CU537">
        <f>IFERROR(CT537/CQ537,"")</f>
        <v>4.1649999999999994E-3</v>
      </c>
      <c r="CV537" s="2">
        <f>IFERROR((CS537-CR537)/ABS(CR537),"")</f>
        <v>0.88695652173913042</v>
      </c>
      <c r="CW537" s="1" t="s">
        <v>263</v>
      </c>
      <c r="CX537" t="str">
        <f>IF(OR($CW537="prd",$CW537="std",$CW537="cit"),"loc",IF(OR($CW537="eur",$CW537="reg",$CW537="coy"),"reg",$CW537))</f>
        <v>loc</v>
      </c>
      <c r="CY537" t="s">
        <v>444</v>
      </c>
      <c r="DB537">
        <v>50</v>
      </c>
      <c r="DC537" t="str">
        <f>IF(DB537=0,"0",IF(AND(DB537&gt;=1,DB537&lt;=30),"1-30",IF(AND(DB537&gt;30,DB537&lt;=70),"31-70",IF(AND(DB537&gt;70,DB537&lt;=100),"71-100",IF(DB537&gt;100,"+100")))))</f>
        <v>31-70</v>
      </c>
      <c r="DD537">
        <v>0</v>
      </c>
      <c r="DE537">
        <v>0</v>
      </c>
      <c r="DF537">
        <v>0</v>
      </c>
      <c r="DG537">
        <v>1</v>
      </c>
      <c r="DI537">
        <f>SUM(DD537:DG537)</f>
        <v>1</v>
      </c>
      <c r="DJ537" t="str">
        <f>IF(DI537=1,INDEX($DD$7:$DG$7,MATCH(1,$DD537:$DG537,0)),"mixedProduct")</f>
        <v>TimberInput</v>
      </c>
      <c r="DK537">
        <f>IF(DD537=1,DK$7,0)</f>
        <v>0</v>
      </c>
      <c r="DL537">
        <f>IF(DE537=1,DL$7,0)</f>
        <v>0</v>
      </c>
      <c r="DM537">
        <f>IF(DF537=1,DM$7,0)</f>
        <v>0</v>
      </c>
      <c r="DN537" t="str">
        <f>IF(DG537=1,DN$7,0)</f>
        <v>Timber</v>
      </c>
      <c r="DO537">
        <v>0</v>
      </c>
      <c r="DP537">
        <v>0</v>
      </c>
      <c r="DQ537">
        <v>0</v>
      </c>
      <c r="DR537">
        <v>0</v>
      </c>
      <c r="DS537">
        <v>0</v>
      </c>
      <c r="DT537">
        <f>SUM(DO537:DP537)</f>
        <v>0</v>
      </c>
      <c r="DU537" s="143" t="str">
        <f>IF(DO537=1,"self-calculated DF",IF(DP537=1,"external DF used","explicit C balance"))</f>
        <v>explicit C balance</v>
      </c>
      <c r="DV537">
        <v>0</v>
      </c>
      <c r="DW537">
        <v>0</v>
      </c>
      <c r="DX537">
        <v>0</v>
      </c>
      <c r="DY537">
        <v>1</v>
      </c>
      <c r="DZ537">
        <v>0</v>
      </c>
      <c r="EA537" s="264">
        <v>1</v>
      </c>
      <c r="EB537">
        <v>0</v>
      </c>
      <c r="EC537">
        <v>1</v>
      </c>
      <c r="ED537">
        <v>0</v>
      </c>
      <c r="EE537">
        <v>0</v>
      </c>
      <c r="EF537">
        <v>0</v>
      </c>
      <c r="EG537">
        <v>0</v>
      </c>
      <c r="EH537">
        <v>0</v>
      </c>
      <c r="EI537" s="2">
        <v>0</v>
      </c>
      <c r="EK537" t="str">
        <f>IF(AND(AND(AND(OR($DX537=1,$DW537=1),OR($EC537=1,$EA537=1)),SUM($DV537:$DZ537,$EF537)&gt;=4),SUM($EA537:$EE537)&gt;=2),"Whole sector","")</f>
        <v/>
      </c>
      <c r="EL537" t="str">
        <f>IF(AND(AND(OR($DX537=1,$DW537=1),AND($EC537=0,$EA537=0)),SUM($DV537:$DZ537,$EF537)&gt;=4),"Ecosystem approach","")</f>
        <v/>
      </c>
      <c r="EM537" s="2" t="str">
        <f>IF(AND(AND(AND($DX537=0,$DW537=0),OR($EC537=1,$EA537=1)),SUM($EB537:$EE537)&gt;=2),"Technology approach","")</f>
        <v/>
      </c>
      <c r="EP537" t="str">
        <f>IF(ISNUMBER(BU537),IF(ABS(BU537-[4]QC_indicators!$B$2)&gt;3*[4]QC_indicators!$C$2,"C ratio",IF(ISNUMBER(BY537),IF(ABS(BY537-[4]QC_indicators!$B$1)&gt;3*[4]QC_indicators!$C$1,"DF","no"))),IF(ISNUMBER(BY537),IF(ABS(BY537-[4]QC_indicators!$B$1)&gt;3*[4]QC_indicators!$C$1,"DF","no")))</f>
        <v>no</v>
      </c>
      <c r="ER537" s="149" t="s">
        <v>349</v>
      </c>
      <c r="ET537" s="264" t="s">
        <v>3273</v>
      </c>
    </row>
    <row r="538" spans="1:150" ht="15" customHeight="1">
      <c r="A538" s="1" t="s">
        <v>587</v>
      </c>
      <c r="B538" t="s">
        <v>1448</v>
      </c>
      <c r="C538" t="s">
        <v>1449</v>
      </c>
      <c r="D538" t="s">
        <v>1450</v>
      </c>
      <c r="E538" t="s">
        <v>1451</v>
      </c>
      <c r="F538" t="s">
        <v>1452</v>
      </c>
      <c r="G538" t="s">
        <v>593</v>
      </c>
      <c r="H538" t="s">
        <v>254</v>
      </c>
      <c r="I538">
        <v>2020</v>
      </c>
      <c r="J538">
        <v>12</v>
      </c>
      <c r="K538" t="s">
        <v>1453</v>
      </c>
      <c r="M538" t="str">
        <f>LEFT($D538,FIND(",",$D538)-1)&amp;"_"&amp;I538&amp;L538</f>
        <v>Elisa_2020</v>
      </c>
      <c r="N538" s="264" t="s">
        <v>222</v>
      </c>
      <c r="O538" s="171" t="s">
        <v>274</v>
      </c>
      <c r="P538" t="s">
        <v>223</v>
      </c>
      <c r="Q538" s="264" t="s">
        <v>389</v>
      </c>
      <c r="R538" s="269" t="s">
        <v>1154</v>
      </c>
      <c r="S538" s="154" t="s">
        <v>1454</v>
      </c>
      <c r="T538" s="294" t="s">
        <v>1455</v>
      </c>
      <c r="U538" s="143" t="s">
        <v>1519</v>
      </c>
      <c r="V538">
        <v>0</v>
      </c>
      <c r="W538">
        <v>0</v>
      </c>
      <c r="X538">
        <v>0</v>
      </c>
      <c r="Y538">
        <v>0</v>
      </c>
      <c r="Z538">
        <v>0</v>
      </c>
      <c r="AA538">
        <v>0</v>
      </c>
      <c r="AB538">
        <v>0</v>
      </c>
      <c r="AC538">
        <v>0</v>
      </c>
      <c r="AD538">
        <v>0</v>
      </c>
      <c r="AE538">
        <v>1</v>
      </c>
      <c r="AF538">
        <v>0</v>
      </c>
      <c r="AG538">
        <v>0</v>
      </c>
      <c r="AH538">
        <v>0</v>
      </c>
      <c r="AI538">
        <v>0</v>
      </c>
      <c r="AJ538">
        <v>0</v>
      </c>
      <c r="AK538">
        <v>1</v>
      </c>
      <c r="AL538">
        <v>0</v>
      </c>
      <c r="AM538">
        <v>0</v>
      </c>
      <c r="AN538">
        <v>0</v>
      </c>
      <c r="AO538">
        <v>0</v>
      </c>
      <c r="AP538">
        <v>0</v>
      </c>
      <c r="AQ538">
        <v>0</v>
      </c>
      <c r="AR538">
        <v>0</v>
      </c>
      <c r="AS538">
        <v>0</v>
      </c>
      <c r="AT538">
        <v>0</v>
      </c>
      <c r="AU538">
        <v>0</v>
      </c>
      <c r="AV538">
        <v>0</v>
      </c>
      <c r="AW538">
        <v>0</v>
      </c>
      <c r="AX538" s="141">
        <f>COUNTIF(V538:AW538,"&lt;&gt;0")</f>
        <v>2</v>
      </c>
      <c r="AY538" s="141">
        <f>COUNTIF(V538:AL538,"&lt;&gt;0")</f>
        <v>2</v>
      </c>
      <c r="AZ538">
        <f>COUNTIF(V538:AC538,"&lt;&gt;0")</f>
        <v>0</v>
      </c>
      <c r="BA538">
        <f>COUNTIF(AD538:AI538,"&lt;&gt;0")</f>
        <v>1</v>
      </c>
      <c r="BB538">
        <f>COUNTIF(AJ538:AL538,"&lt;&gt;0")</f>
        <v>1</v>
      </c>
      <c r="BC538">
        <f>COUNTIF(AS538:AW538,"&lt;&gt;0")</f>
        <v>0</v>
      </c>
      <c r="BD538">
        <f>COUNTIF(AM538:AR538,"&lt;&gt;0")</f>
        <v>0</v>
      </c>
      <c r="BE538" t="str" cm="1">
        <f t="array" ref="BE538">IF(AY538=1,INDEX($V$7:$AL$7,MATCH(TRUE,INDEX($V538:$AW538&lt;&gt;0,),0)),IF(AY538=0,INDEX($AM$7:$AW$7,MATCH(1,$AM538:$AW538,0)),IF(BF538="Multiple strategies","mixed drivers",IF(BF538="Supply chain","multiple supply","multiple silviculture"))))</f>
        <v>mixed drivers</v>
      </c>
      <c r="BF538" s="2" t="str" cm="1">
        <f t="array" ref="BF538">IF(COUNTIF(AZ538:BB538,"&lt;&gt;0")=1,INDEX($V$4:$AW$4,MATCH(TRUE,INDEX($V538:$AW538&lt;&gt;0,),0)),IF(COUNTIF(AZ538:BB538,"&lt;&gt;0")=0,INDEX($AM$4:$AW$4,MATCH(1,$AM538:$AW538,0)),"Multiple strategies"))</f>
        <v>Multiple strategies</v>
      </c>
      <c r="BG538" s="142" t="s">
        <v>321</v>
      </c>
      <c r="BH538" s="160" t="s">
        <v>1457</v>
      </c>
      <c r="BI538" s="160" t="s">
        <v>1458</v>
      </c>
      <c r="BJ538" s="143" t="s">
        <v>498</v>
      </c>
      <c r="BK538" s="143">
        <v>944</v>
      </c>
      <c r="BL538" s="143">
        <v>2015</v>
      </c>
      <c r="BM538">
        <f>IFERROR(BL538/BK538,"")</f>
        <v>2.1345338983050848</v>
      </c>
      <c r="BN538">
        <f>BL538-BK538</f>
        <v>1071</v>
      </c>
      <c r="BO538" s="159">
        <f>BN538</f>
        <v>1071</v>
      </c>
      <c r="BP538" s="155" t="s">
        <v>232</v>
      </c>
      <c r="BQ538" s="155" t="s">
        <v>1459</v>
      </c>
      <c r="BR538" s="155" t="s">
        <v>825</v>
      </c>
      <c r="BS538" s="143" t="s">
        <v>1460</v>
      </c>
      <c r="BT538" t="s">
        <v>1528</v>
      </c>
      <c r="BU538" s="144">
        <f>BT538/BS538</f>
        <v>0.36404586652569865</v>
      </c>
      <c r="BV538">
        <f>BT538-BS538</f>
        <v>4.46320083333333</v>
      </c>
      <c r="BX538">
        <f>BV538</f>
        <v>4.46320083333333</v>
      </c>
      <c r="BY538">
        <f>IFERROR(BX538/BO538,"")</f>
        <v>4.1673210395269189E-3</v>
      </c>
      <c r="BZ538">
        <v>0</v>
      </c>
      <c r="CA538">
        <v>0</v>
      </c>
      <c r="CB538">
        <v>0</v>
      </c>
      <c r="CC538">
        <v>0</v>
      </c>
      <c r="CD538">
        <v>0</v>
      </c>
      <c r="CE538">
        <v>0</v>
      </c>
      <c r="CF538">
        <v>0</v>
      </c>
      <c r="CG538">
        <v>0</v>
      </c>
      <c r="CH538">
        <v>0</v>
      </c>
      <c r="CI538">
        <v>0</v>
      </c>
      <c r="CJ538">
        <v>0</v>
      </c>
      <c r="CK538">
        <v>0</v>
      </c>
      <c r="CL538">
        <v>0</v>
      </c>
      <c r="CM538">
        <v>0</v>
      </c>
      <c r="CN538" t="str">
        <f>IF($BL538&lt;$BK538,"refNeedCorrection","refOK")</f>
        <v>refOK</v>
      </c>
      <c r="CO538">
        <f>IF($CN538="refOK",$BK538,$BL538)</f>
        <v>944</v>
      </c>
      <c r="CP538">
        <f>IF($CN538="refOK",$BL538,$BK538)</f>
        <v>2015</v>
      </c>
      <c r="CQ538">
        <f>IF($CN538="refOK",$BO538,-$BO538)</f>
        <v>1071</v>
      </c>
      <c r="CR538">
        <f>IF($CN538="refOK",$BS538,$BT538)*IF($BP538="Emissions positive",-1,1)</f>
        <v>-7.0181174999999998</v>
      </c>
      <c r="CS538">
        <f>IF($CN538="refOK",$BT538,$BS538)*IF($BP538="Emissions positive",-1,1)</f>
        <v>-2.5549166666666698</v>
      </c>
      <c r="CT538">
        <f>IF($CN538="refNeedCorrection",-BX538,BX538)*IF($BP538="Emissions positive",-1,1)</f>
        <v>4.46320083333333</v>
      </c>
      <c r="CU538">
        <f>IFERROR(CT538/CQ538,"")</f>
        <v>4.1673210395269189E-3</v>
      </c>
      <c r="CV538" s="2">
        <f>IFERROR((CS538-CR538)/ABS(CR538),"")</f>
        <v>0.6359541334743013</v>
      </c>
      <c r="CW538" s="263" t="s">
        <v>1462</v>
      </c>
      <c r="CX538" s="264" t="str">
        <f>IF(OR($CW538="prd",$CW538="std",$CW538="cit"),"loc",IF(OR($CW538="eur",$CW538="reg",$CW538="coy"),"reg",$CW538))</f>
        <v>reg</v>
      </c>
      <c r="CY538" s="270" t="s">
        <v>743</v>
      </c>
      <c r="DA538" s="143"/>
      <c r="DB538" s="143">
        <v>0</v>
      </c>
      <c r="DC538" t="str">
        <f>IF(DB538=0,"0",IF(AND(DB538&gt;=1,DB538&lt;=30),"1-30",IF(AND(DB538&gt;30,DB538&lt;=70),"31-70",IF(AND(DB538&gt;70,DB538&lt;=100),"71-100",IF(DB538&gt;100,"+100")))))</f>
        <v>0</v>
      </c>
      <c r="DD538">
        <v>0</v>
      </c>
      <c r="DE538">
        <v>1</v>
      </c>
      <c r="DF538">
        <v>0</v>
      </c>
      <c r="DG538">
        <v>0</v>
      </c>
      <c r="DH538">
        <v>0</v>
      </c>
      <c r="DI538">
        <f>SUM(DD538:DH538)</f>
        <v>1</v>
      </c>
      <c r="DJ538" t="str">
        <f>IF(DI538=1,INDEX($DD$7:$DG$7,MATCH(1,$DD538:$DG538,0)),"mixedProduct")</f>
        <v>EnergyInput</v>
      </c>
      <c r="DK538">
        <f>IF(DD538=1,DK$7,0)</f>
        <v>0</v>
      </c>
      <c r="DL538" t="str">
        <f>IF(DE538=1,DL$7,0)</f>
        <v>Energy</v>
      </c>
      <c r="DM538">
        <f>IF(DF538=1,DM$7,0)</f>
        <v>0</v>
      </c>
      <c r="DN538">
        <f>IF(DG538=1,DN$7,0)</f>
        <v>0</v>
      </c>
      <c r="DO538">
        <v>0</v>
      </c>
      <c r="DP538" s="143">
        <v>0</v>
      </c>
      <c r="DQ538" s="143">
        <v>0</v>
      </c>
      <c r="DR538">
        <v>0</v>
      </c>
      <c r="DS538" s="143">
        <v>0</v>
      </c>
      <c r="DT538">
        <f>SUM(DO538:DP538)</f>
        <v>0</v>
      </c>
      <c r="DU538" s="143" t="str">
        <f>IF(DO538=1,"self-calculated DF",IF(DP538=1,"external DF used","explicit C balance"))</f>
        <v>explicit C balance</v>
      </c>
      <c r="DV538" s="143">
        <v>0</v>
      </c>
      <c r="DW538" s="143">
        <v>0</v>
      </c>
      <c r="DX538" s="143">
        <v>0</v>
      </c>
      <c r="DY538" s="143">
        <v>0</v>
      </c>
      <c r="DZ538">
        <v>0</v>
      </c>
      <c r="EA538" s="143">
        <v>0</v>
      </c>
      <c r="EB538" s="143">
        <v>1</v>
      </c>
      <c r="EC538" s="143">
        <v>1</v>
      </c>
      <c r="ED538" s="143">
        <v>0</v>
      </c>
      <c r="EE538">
        <v>1</v>
      </c>
      <c r="EF538">
        <v>0</v>
      </c>
      <c r="EG538" s="143">
        <v>0</v>
      </c>
      <c r="EH538" s="143">
        <v>0</v>
      </c>
      <c r="EI538" s="2">
        <v>0</v>
      </c>
      <c r="EK538" t="str">
        <f>IF(AND(AND(AND(OR($DX538=1,$DW538=1),OR($EC538=1,$EA538=1)),SUM($DV538:$DZ538,$EF538)&gt;=4),SUM($EA538:$EE538)&gt;=2),"Whole sector","")</f>
        <v/>
      </c>
      <c r="EL538" t="str">
        <f>IF(AND(AND(OR($DX538=1,$DW538=1),AND($EC538=0,$EA538=0)),SUM($DV538:$DZ538,$EF538)&gt;=4),"Ecosystem approach","")</f>
        <v/>
      </c>
      <c r="EM538" s="2" t="str">
        <f>IF(AND(AND(AND($DX538=0,$DW538=0),OR($EC538=1,$EA538=1)),SUM($EB538:$EE538)&gt;=2),"Technology approach","")</f>
        <v>Technology approach</v>
      </c>
      <c r="EP538" t="str">
        <f>IF(ISNUMBER(BU538),IF(ABS(BU538-[3]QC_indicators!$B$2)&gt;3*[3]QC_indicators!$C$2,"C ratio",IF(ISNUMBER(BY538),IF(ABS(BY538-[3]QC_indicators!$B$1)&gt;3*[3]QC_indicators!$C$1,"DF","no"))),IF(ISNUMBER(BY538),IF(ABS(BY538-[3]QC_indicators!$B$1)&gt;3*[3]QC_indicators!$C$1,"DF","no")))</f>
        <v>no</v>
      </c>
      <c r="ER538" s="149"/>
      <c r="ET538" s="264" t="s">
        <v>3407</v>
      </c>
    </row>
    <row r="539" spans="1:150" ht="15" customHeight="1">
      <c r="A539" s="1" t="s">
        <v>587</v>
      </c>
      <c r="B539" t="s">
        <v>1448</v>
      </c>
      <c r="C539" t="s">
        <v>1449</v>
      </c>
      <c r="D539" t="s">
        <v>1450</v>
      </c>
      <c r="E539" t="s">
        <v>1451</v>
      </c>
      <c r="F539" t="s">
        <v>1452</v>
      </c>
      <c r="G539" t="s">
        <v>593</v>
      </c>
      <c r="H539" t="s">
        <v>254</v>
      </c>
      <c r="I539">
        <v>2020</v>
      </c>
      <c r="J539">
        <v>12</v>
      </c>
      <c r="K539" t="s">
        <v>1453</v>
      </c>
      <c r="M539" t="str">
        <f>LEFT($D539,FIND(",",$D539)-1)&amp;"_"&amp;I539&amp;L539</f>
        <v>Elisa_2020</v>
      </c>
      <c r="N539" s="264" t="s">
        <v>222</v>
      </c>
      <c r="O539" s="171" t="s">
        <v>274</v>
      </c>
      <c r="P539" t="s">
        <v>223</v>
      </c>
      <c r="Q539" s="264" t="s">
        <v>389</v>
      </c>
      <c r="R539" s="269" t="s">
        <v>1154</v>
      </c>
      <c r="S539" s="154" t="s">
        <v>1454</v>
      </c>
      <c r="T539" s="294" t="s">
        <v>1455</v>
      </c>
      <c r="U539" s="143" t="s">
        <v>1519</v>
      </c>
      <c r="V539">
        <v>0</v>
      </c>
      <c r="W539">
        <v>0</v>
      </c>
      <c r="X539">
        <v>0</v>
      </c>
      <c r="Y539">
        <v>0</v>
      </c>
      <c r="Z539">
        <v>0</v>
      </c>
      <c r="AA539">
        <v>0</v>
      </c>
      <c r="AB539">
        <v>0</v>
      </c>
      <c r="AC539">
        <v>0</v>
      </c>
      <c r="AD539">
        <v>0</v>
      </c>
      <c r="AE539">
        <v>1</v>
      </c>
      <c r="AF539">
        <v>0</v>
      </c>
      <c r="AG539">
        <v>0</v>
      </c>
      <c r="AH539">
        <v>0</v>
      </c>
      <c r="AI539">
        <v>0</v>
      </c>
      <c r="AJ539">
        <v>0</v>
      </c>
      <c r="AK539">
        <v>1</v>
      </c>
      <c r="AL539">
        <v>0</v>
      </c>
      <c r="AM539">
        <v>0</v>
      </c>
      <c r="AN539">
        <v>0</v>
      </c>
      <c r="AO539">
        <v>0</v>
      </c>
      <c r="AP539">
        <v>0</v>
      </c>
      <c r="AQ539">
        <v>0</v>
      </c>
      <c r="AR539">
        <v>0</v>
      </c>
      <c r="AS539">
        <v>0</v>
      </c>
      <c r="AT539">
        <v>0</v>
      </c>
      <c r="AU539">
        <v>0</v>
      </c>
      <c r="AV539">
        <v>0</v>
      </c>
      <c r="AW539">
        <v>0</v>
      </c>
      <c r="AX539" s="141">
        <f>COUNTIF(V539:AW539,"&lt;&gt;0")</f>
        <v>2</v>
      </c>
      <c r="AY539" s="141">
        <f>COUNTIF(V539:AL539,"&lt;&gt;0")</f>
        <v>2</v>
      </c>
      <c r="AZ539">
        <f>COUNTIF(V539:AC539,"&lt;&gt;0")</f>
        <v>0</v>
      </c>
      <c r="BA539">
        <f>COUNTIF(AD539:AI539,"&lt;&gt;0")</f>
        <v>1</v>
      </c>
      <c r="BB539">
        <f>COUNTIF(AJ539:AL539,"&lt;&gt;0")</f>
        <v>1</v>
      </c>
      <c r="BC539">
        <f>COUNTIF(AS539:AW539,"&lt;&gt;0")</f>
        <v>0</v>
      </c>
      <c r="BD539">
        <f>COUNTIF(AM539:AR539,"&lt;&gt;0")</f>
        <v>0</v>
      </c>
      <c r="BE539" t="str" cm="1">
        <f t="array" ref="BE539">IF(AY539=1,INDEX($V$7:$AL$7,MATCH(TRUE,INDEX($V539:$AW539&lt;&gt;0,),0)),IF(AY539=0,INDEX($AM$7:$AW$7,MATCH(1,$AM539:$AW539,0)),IF(BF539="Multiple strategies","mixed drivers",IF(BF539="Supply chain","multiple supply","multiple silviculture"))))</f>
        <v>mixed drivers</v>
      </c>
      <c r="BF539" s="2" t="str" cm="1">
        <f t="array" ref="BF539">IF(COUNTIF(AZ539:BB539,"&lt;&gt;0")=1,INDEX($V$4:$AW$4,MATCH(TRUE,INDEX($V539:$AW539&lt;&gt;0,),0)),IF(COUNTIF(AZ539:BB539,"&lt;&gt;0")=0,INDEX($AM$4:$AW$4,MATCH(1,$AM539:$AW539,0)),"Multiple strategies"))</f>
        <v>Multiple strategies</v>
      </c>
      <c r="BG539" s="142" t="s">
        <v>321</v>
      </c>
      <c r="BH539" s="160" t="s">
        <v>1457</v>
      </c>
      <c r="BI539" s="160" t="s">
        <v>1458</v>
      </c>
      <c r="BJ539" s="143" t="s">
        <v>498</v>
      </c>
      <c r="BK539" s="143">
        <v>944</v>
      </c>
      <c r="BL539" s="143">
        <v>2015</v>
      </c>
      <c r="BM539">
        <f>IFERROR(BL541/BK539,"")</f>
        <v>2.026260593220339E-2</v>
      </c>
      <c r="BN539">
        <f>BL539-BK539</f>
        <v>1071</v>
      </c>
      <c r="BO539" s="159">
        <f>BN539</f>
        <v>1071</v>
      </c>
      <c r="BP539" s="155" t="s">
        <v>232</v>
      </c>
      <c r="BQ539" s="155" t="s">
        <v>1459</v>
      </c>
      <c r="BR539" s="155" t="s">
        <v>825</v>
      </c>
      <c r="BS539" s="143" t="s">
        <v>1463</v>
      </c>
      <c r="BT539" t="s">
        <v>1529</v>
      </c>
      <c r="BU539" s="144">
        <f>BT539/BS539</f>
        <v>0.33790474458617853</v>
      </c>
      <c r="BV539">
        <f>BT539-BS539</f>
        <v>4.5755036111111096</v>
      </c>
      <c r="BX539">
        <f>BV539</f>
        <v>4.5755036111111096</v>
      </c>
      <c r="BY539">
        <f>IFERROR(BX539/BO539,"")</f>
        <v>4.2721789086004758E-3</v>
      </c>
      <c r="BZ539">
        <v>0</v>
      </c>
      <c r="CA539">
        <v>0</v>
      </c>
      <c r="CB539">
        <v>0</v>
      </c>
      <c r="CC539">
        <v>0</v>
      </c>
      <c r="CD539">
        <v>0</v>
      </c>
      <c r="CE539">
        <v>0</v>
      </c>
      <c r="CF539">
        <v>0</v>
      </c>
      <c r="CG539">
        <v>0</v>
      </c>
      <c r="CH539">
        <v>0</v>
      </c>
      <c r="CI539">
        <v>0</v>
      </c>
      <c r="CJ539">
        <v>0</v>
      </c>
      <c r="CK539">
        <v>0</v>
      </c>
      <c r="CL539">
        <v>0</v>
      </c>
      <c r="CM539">
        <v>0</v>
      </c>
      <c r="CN539" t="str">
        <f>IF($BL539&lt;$BK539,"refNeedCorrection","refOK")</f>
        <v>refOK</v>
      </c>
      <c r="CO539">
        <f>IF($CN539="refOK",$BK539,$BL539)</f>
        <v>944</v>
      </c>
      <c r="CP539">
        <f>IF($CN539="refOK",$BL539,$BK539)</f>
        <v>2015</v>
      </c>
      <c r="CQ539">
        <f>IF($CN539="refOK",$BO539,-$BO539)</f>
        <v>1071</v>
      </c>
      <c r="CR539">
        <f>IF($CN539="refOK",$BS539,$BT539)*IF($BP539="Emissions positive",-1,1)</f>
        <v>-6.9106424999999998</v>
      </c>
      <c r="CS539">
        <f>IF($CN539="refOK",$BT539,$BS539)*IF($BP539="Emissions positive",-1,1)</f>
        <v>-2.3351388888888902</v>
      </c>
      <c r="CT539">
        <f>IF($CN539="refNeedCorrection",-BX539,BX539)*IF($BP539="Emissions positive",-1,1)</f>
        <v>4.5755036111111096</v>
      </c>
      <c r="CU539">
        <f>IFERROR(CT539/CQ539,"")</f>
        <v>4.2721789086004758E-3</v>
      </c>
      <c r="CV539" s="2">
        <f>IFERROR((CS539-CR539)/ABS(CR539),"")</f>
        <v>0.66209525541382142</v>
      </c>
      <c r="CW539" s="263" t="s">
        <v>1462</v>
      </c>
      <c r="CX539" s="264" t="str">
        <f>IF(OR($CW539="prd",$CW539="std",$CW539="cit"),"loc",IF(OR($CW539="eur",$CW539="reg",$CW539="coy"),"reg",$CW539))</f>
        <v>reg</v>
      </c>
      <c r="CY539" s="270" t="s">
        <v>743</v>
      </c>
      <c r="DA539" s="143"/>
      <c r="DB539" s="143">
        <v>0</v>
      </c>
      <c r="DC539" t="str">
        <f>IF(DB539=0,"0",IF(AND(DB539&gt;=1,DB539&lt;=30),"1-30",IF(AND(DB539&gt;30,DB539&lt;=70),"31-70",IF(AND(DB539&gt;70,DB539&lt;=100),"71-100",IF(DB539&gt;100,"+100")))))</f>
        <v>0</v>
      </c>
      <c r="DD539">
        <v>0</v>
      </c>
      <c r="DE539">
        <v>1</v>
      </c>
      <c r="DF539">
        <v>0</v>
      </c>
      <c r="DG539">
        <v>0</v>
      </c>
      <c r="DH539">
        <v>0</v>
      </c>
      <c r="DI539">
        <f>SUM(DD539:DH539)</f>
        <v>1</v>
      </c>
      <c r="DJ539" t="str">
        <f>IF(DI539=1,INDEX($DD$7:$DG$7,MATCH(1,$DD539:$DG539,0)),"mixedProduct")</f>
        <v>EnergyInput</v>
      </c>
      <c r="DK539">
        <f>IF(DD539=1,DK$7,0)</f>
        <v>0</v>
      </c>
      <c r="DL539" t="str">
        <f>IF(DE539=1,DL$7,0)</f>
        <v>Energy</v>
      </c>
      <c r="DM539">
        <f>IF(DF539=1,DM$7,0)</f>
        <v>0</v>
      </c>
      <c r="DN539">
        <f>IF(DG539=1,DN$7,0)</f>
        <v>0</v>
      </c>
      <c r="DO539">
        <v>0</v>
      </c>
      <c r="DP539" s="143">
        <v>0</v>
      </c>
      <c r="DQ539" s="143">
        <v>0</v>
      </c>
      <c r="DR539">
        <v>0</v>
      </c>
      <c r="DS539" s="143">
        <v>0</v>
      </c>
      <c r="DT539">
        <f>SUM(DO539:DP539)</f>
        <v>0</v>
      </c>
      <c r="DU539" s="143" t="str">
        <f>IF(DO539=1,"self-calculated DF",IF(DP539=1,"external DF used","explicit C balance"))</f>
        <v>explicit C balance</v>
      </c>
      <c r="DV539" s="143">
        <v>0</v>
      </c>
      <c r="DW539" s="143">
        <v>0</v>
      </c>
      <c r="DX539" s="143">
        <v>0</v>
      </c>
      <c r="DY539" s="143">
        <v>0</v>
      </c>
      <c r="DZ539">
        <v>0</v>
      </c>
      <c r="EA539" s="143">
        <v>0</v>
      </c>
      <c r="EB539" s="143">
        <v>0</v>
      </c>
      <c r="EC539" s="143">
        <v>1</v>
      </c>
      <c r="ED539" s="143">
        <v>0</v>
      </c>
      <c r="EE539">
        <v>1</v>
      </c>
      <c r="EF539">
        <v>0</v>
      </c>
      <c r="EG539" s="143">
        <v>0</v>
      </c>
      <c r="EH539" s="143">
        <v>0</v>
      </c>
      <c r="EI539" s="2">
        <v>0</v>
      </c>
      <c r="EK539" t="str">
        <f>IF(AND(AND(AND(OR($DX539=1,$DW539=1),OR($EC539=1,$EA539=1)),SUM($DV539:$DZ539,$EF539)&gt;=4),SUM($EA539:$EE539)&gt;=2),"Whole sector","")</f>
        <v/>
      </c>
      <c r="EL539" t="str">
        <f>IF(AND(AND(OR($DX539=1,$DW539=1),AND($EC539=0,$EA539=0)),SUM($DV539:$DZ539,$EF539)&gt;=4),"Ecosystem approach","")</f>
        <v/>
      </c>
      <c r="EM539" s="2" t="str">
        <f>IF(AND(AND(AND($DX539=0,$DW539=0),OR($EC539=1,$EA539=1)),SUM($EB539:$EE539)&gt;=2),"Technology approach","")</f>
        <v>Technology approach</v>
      </c>
      <c r="EP539" t="str">
        <f>IF(ISNUMBER(BU539),IF(ABS(BU539-[3]QC_indicators!$B$2)&gt;3*[3]QC_indicators!$C$2,"C ratio",IF(ISNUMBER(BY539),IF(ABS(BY539-[3]QC_indicators!$B$1)&gt;3*[3]QC_indicators!$C$1,"DF","no"))),IF(ISNUMBER(BY539),IF(ABS(BY539-[3]QC_indicators!$B$1)&gt;3*[3]QC_indicators!$C$1,"DF","no")))</f>
        <v>no</v>
      </c>
      <c r="ER539" s="149"/>
      <c r="ET539" s="264" t="s">
        <v>3407</v>
      </c>
    </row>
    <row r="540" spans="1:150" ht="15" customHeight="1">
      <c r="A540" s="1" t="s">
        <v>265</v>
      </c>
      <c r="B540" t="s">
        <v>1531</v>
      </c>
      <c r="C540" t="s">
        <v>1532</v>
      </c>
      <c r="D540" t="s">
        <v>1533</v>
      </c>
      <c r="E540" t="s">
        <v>1534</v>
      </c>
      <c r="F540" t="s">
        <v>1535</v>
      </c>
      <c r="G540" t="s">
        <v>271</v>
      </c>
      <c r="H540" t="s">
        <v>254</v>
      </c>
      <c r="I540">
        <v>2019</v>
      </c>
      <c r="J540">
        <v>26</v>
      </c>
      <c r="K540" t="s">
        <v>1536</v>
      </c>
      <c r="M540" t="str">
        <f>LEFT($D540,FIND(",",$D540)-1)&amp;"_"&amp;I540&amp;L540</f>
        <v>Faraca_2019</v>
      </c>
      <c r="N540" t="s">
        <v>222</v>
      </c>
      <c r="O540" s="145" t="s">
        <v>274</v>
      </c>
      <c r="P540" s="180" t="s">
        <v>223</v>
      </c>
      <c r="Q540" t="s">
        <v>256</v>
      </c>
      <c r="R540" s="262" t="s">
        <v>223</v>
      </c>
      <c r="S540" s="263" t="s">
        <v>3135</v>
      </c>
      <c r="T540" t="s">
        <v>1550</v>
      </c>
      <c r="U540" t="s">
        <v>1551</v>
      </c>
      <c r="V540">
        <v>0</v>
      </c>
      <c r="W540">
        <v>0</v>
      </c>
      <c r="X540">
        <v>0</v>
      </c>
      <c r="Y540">
        <v>0</v>
      </c>
      <c r="Z540">
        <v>0</v>
      </c>
      <c r="AA540">
        <v>0</v>
      </c>
      <c r="AB540">
        <v>0</v>
      </c>
      <c r="AC540">
        <v>0</v>
      </c>
      <c r="AD540">
        <v>0</v>
      </c>
      <c r="AE540">
        <v>0</v>
      </c>
      <c r="AF540">
        <v>0</v>
      </c>
      <c r="AG540">
        <v>1</v>
      </c>
      <c r="AH540">
        <v>0</v>
      </c>
      <c r="AI540">
        <v>0</v>
      </c>
      <c r="AJ540">
        <v>0</v>
      </c>
      <c r="AK540">
        <v>0</v>
      </c>
      <c r="AL540">
        <v>0</v>
      </c>
      <c r="AM540">
        <v>0</v>
      </c>
      <c r="AN540">
        <v>0</v>
      </c>
      <c r="AO540">
        <v>0</v>
      </c>
      <c r="AP540">
        <v>0</v>
      </c>
      <c r="AQ540">
        <v>0</v>
      </c>
      <c r="AR540">
        <v>0</v>
      </c>
      <c r="AS540">
        <v>0</v>
      </c>
      <c r="AT540">
        <v>0</v>
      </c>
      <c r="AU540">
        <v>0</v>
      </c>
      <c r="AV540">
        <v>0</v>
      </c>
      <c r="AW540">
        <v>0</v>
      </c>
      <c r="AX540" s="141">
        <f>COUNTIF(V540:AW540,"&lt;&gt;0")</f>
        <v>1</v>
      </c>
      <c r="AY540" s="141">
        <f>COUNTIF(V540:AL540,"&lt;&gt;0")</f>
        <v>1</v>
      </c>
      <c r="AZ540">
        <f>COUNTIF(V540:AC540,"&lt;&gt;0")</f>
        <v>0</v>
      </c>
      <c r="BA540">
        <f>COUNTIF(AD540:AI540,"&lt;&gt;0")</f>
        <v>1</v>
      </c>
      <c r="BB540">
        <f>COUNTIF(AJ540:AL540,"&lt;&gt;0")</f>
        <v>0</v>
      </c>
      <c r="BC540">
        <f>COUNTIF(AS540:AW540,"&lt;&gt;0")</f>
        <v>0</v>
      </c>
      <c r="BD540">
        <f>COUNTIF(AM540:AR540,"&lt;&gt;0")</f>
        <v>0</v>
      </c>
      <c r="BE540" t="str">
        <f t="array" ref="BE540">IF(AY540=1,INDEX($V$7:$AL$7,MATCH(TRUE,INDEX($V540:$AW540&lt;&gt;0,),0)),IF(AY540=0,INDEX($AM$7:$AW$7,MATCH(1,$AM540:$AW540,0)),IF(BF540="Multiple strategies","mixed drivers",IF(BF540="Supply chain","multiple supply","multiple silviculture"))))</f>
        <v>recycling</v>
      </c>
      <c r="BF540" s="2" t="str" cm="1">
        <f t="array" ref="BF540">IF(COUNTIF(AZ540:BB540,"&lt;&gt;0")=1,INDEX($V$4:$AW$4,MATCH(TRUE,INDEX($V540:$AW540&lt;&gt;0,),0)),IF(COUNTIF(AZ540:BB540,"&lt;&gt;0")=0,INDEX($AM$4:$AW$4,MATCH(1,$AM540:$AW540,0)),"Multiple strategies"))</f>
        <v>Supply chain</v>
      </c>
      <c r="BG540" s="1" t="s">
        <v>229</v>
      </c>
      <c r="BH540" t="s">
        <v>1548</v>
      </c>
      <c r="BI540" s="264" t="s">
        <v>3121</v>
      </c>
      <c r="BJ540" t="s">
        <v>345</v>
      </c>
      <c r="BK540">
        <v>478</v>
      </c>
      <c r="BL540">
        <f>478+409+223+122</f>
        <v>1232</v>
      </c>
      <c r="BM540">
        <v>2.5774058577405858</v>
      </c>
      <c r="BN540">
        <f>BL540-BK540</f>
        <v>754</v>
      </c>
      <c r="BO540">
        <f>BN540*kg_to_m3</f>
        <v>1.5387755102040819</v>
      </c>
      <c r="BP540" s="264" t="s">
        <v>395</v>
      </c>
      <c r="BQ540" t="s">
        <v>426</v>
      </c>
      <c r="BR540" t="s">
        <v>728</v>
      </c>
      <c r="BS540">
        <v>206.8</v>
      </c>
      <c r="BT540">
        <v>200</v>
      </c>
      <c r="BU540" s="144"/>
      <c r="BV540">
        <f>BT540-BS540</f>
        <v>-6.8000000000000114</v>
      </c>
      <c r="BX540">
        <f>BV540/1000</f>
        <v>-6.8000000000000118E-3</v>
      </c>
      <c r="BY540">
        <f>IFERROR(BX540/BO540,"")</f>
        <v>-4.4190981432360816E-3</v>
      </c>
      <c r="BZ540">
        <v>0</v>
      </c>
      <c r="CA540">
        <v>0</v>
      </c>
      <c r="CB540">
        <v>0</v>
      </c>
      <c r="CC540">
        <v>0</v>
      </c>
      <c r="CD540">
        <v>0</v>
      </c>
      <c r="CE540">
        <v>0</v>
      </c>
      <c r="CF540">
        <v>0</v>
      </c>
      <c r="CG540">
        <v>0</v>
      </c>
      <c r="CH540">
        <v>0</v>
      </c>
      <c r="CI540">
        <v>0</v>
      </c>
      <c r="CJ540">
        <v>0</v>
      </c>
      <c r="CK540">
        <v>0</v>
      </c>
      <c r="CL540">
        <v>0</v>
      </c>
      <c r="CM540">
        <v>0</v>
      </c>
      <c r="CN540" t="str">
        <f>IF($BL540&lt;$BK540,"refNeedCorrection","refOK")</f>
        <v>refOK</v>
      </c>
      <c r="CO540">
        <f>IF($CN540="refNeedCorrection",BL540,BK540)</f>
        <v>478</v>
      </c>
      <c r="CP540">
        <f>IF($CN540="refNeedCorrection",BK540,BL540)</f>
        <v>1232</v>
      </c>
      <c r="CQ540">
        <f>IF($CN540="refOK",$BO540,-$BO540)</f>
        <v>1.5387755102040819</v>
      </c>
      <c r="CR540">
        <f>IF($CN540="refOK",$BS540,$BT540)*IF($BP540="Emissions positive",-1,1)</f>
        <v>-206.8</v>
      </c>
      <c r="CS540">
        <f>IF($CN540="refOK",$BT540,$BS540)*IF($BP540="Emissions positive",-1,1)</f>
        <v>-200</v>
      </c>
      <c r="CT540">
        <f>IF($CN540="refNeedCorrection",-BX540,BX540)*IF($BP540="Emissions positive",-1,1)</f>
        <v>6.8000000000000118E-3</v>
      </c>
      <c r="CU540">
        <f>IFERROR(CT540/CQ540,"")</f>
        <v>4.4190981432360816E-3</v>
      </c>
      <c r="CV540" s="2">
        <f>IFERROR((CS540-CR540)/ABS(CR540),"")</f>
        <v>3.2882011605415915E-2</v>
      </c>
      <c r="CW540" s="1" t="s">
        <v>1199</v>
      </c>
      <c r="CX540" t="str">
        <f>IF(OR($CW540="prd",$CW540="std",$CW540="cit"),"loc",IF(OR($CW540="eur",$CW540="reg",$CW540="coy"),"reg",$CW540))</f>
        <v>reg</v>
      </c>
      <c r="CY540" t="s">
        <v>1540</v>
      </c>
      <c r="DB540">
        <v>100</v>
      </c>
      <c r="DC540" t="str">
        <f>IF(DB540=0,"0",IF(AND(DB540&gt;=1,DB540&lt;=30),"1-30",IF(AND(DB540&gt;30,DB540&lt;=70),"31-70",IF(AND(DB540&gt;70,DB540&lt;=100),"71-100",IF(DB540&gt;100,"+100")))))</f>
        <v>71-100</v>
      </c>
      <c r="DD540">
        <v>0</v>
      </c>
      <c r="DE540">
        <v>0</v>
      </c>
      <c r="DF540">
        <v>0</v>
      </c>
      <c r="DG540">
        <v>1</v>
      </c>
      <c r="DI540">
        <f>SUM(DD540:DG540)</f>
        <v>1</v>
      </c>
      <c r="DJ540" t="str">
        <f>IF(DI540=1,INDEX($DD$7:$DG$7,MATCH(1,$DD540:$DG540,0)),"mixedProduct")</f>
        <v>TimberInput</v>
      </c>
      <c r="DK540">
        <f>IF(DD540=1,DK$7,0)</f>
        <v>0</v>
      </c>
      <c r="DL540">
        <f>IF(DE540=1,DL$7,0)</f>
        <v>0</v>
      </c>
      <c r="DM540">
        <f>IF(DF540=1,DM$7,0)</f>
        <v>0</v>
      </c>
      <c r="DN540" t="str">
        <f>IF(DG540=1,DN$7,0)</f>
        <v>Timber</v>
      </c>
      <c r="DO540">
        <v>0</v>
      </c>
      <c r="DP540">
        <v>0</v>
      </c>
      <c r="DQ540">
        <v>0</v>
      </c>
      <c r="DR540">
        <v>0</v>
      </c>
      <c r="DS540">
        <v>0</v>
      </c>
      <c r="DT540">
        <f>SUM(DO540:DP540)</f>
        <v>0</v>
      </c>
      <c r="DU540" s="143" t="str">
        <f>IF(DO540=1,"self-calculated DF",IF(DP540=1,"external DF used","explicit C balance"))</f>
        <v>explicit C balance</v>
      </c>
      <c r="DV540">
        <v>0</v>
      </c>
      <c r="DW540">
        <v>0</v>
      </c>
      <c r="DX540">
        <v>0</v>
      </c>
      <c r="DY540">
        <v>0</v>
      </c>
      <c r="DZ540">
        <v>1</v>
      </c>
      <c r="EA540" s="143">
        <v>0</v>
      </c>
      <c r="EB540">
        <v>0</v>
      </c>
      <c r="EC540">
        <v>1</v>
      </c>
      <c r="ED540">
        <v>0</v>
      </c>
      <c r="EE540">
        <v>1</v>
      </c>
      <c r="EF540">
        <v>1</v>
      </c>
      <c r="EG540">
        <v>1</v>
      </c>
      <c r="EH540">
        <v>0</v>
      </c>
      <c r="EI540" s="2">
        <v>0</v>
      </c>
      <c r="EJ540" s="333"/>
      <c r="EK540" t="str">
        <f>IF(AND(AND(AND(OR($DX540=1,$DW540=1),OR($EC540=1,$EA540=1)),SUM($DV540:$DZ540,$EF540)&gt;=4),SUM($EA540:$EE540)&gt;=2),"Whole sector","")</f>
        <v/>
      </c>
      <c r="EL540" t="str">
        <f>IF(AND(AND(OR($DX540=1,$DW540=1),AND($EC540=0,$EA540=0)),SUM($DV540:$DZ540,$EF540)&gt;=4),"Ecosystem approach","")</f>
        <v/>
      </c>
      <c r="EM540" s="2" t="str">
        <f>IF(AND(AND(AND($DX540=0,$DW540=0),OR($EC540=1,$EA540=1)),SUM($EB540:$EE540)&gt;=2),"Technology approach","")</f>
        <v>Technology approach</v>
      </c>
      <c r="EP540" t="str">
        <f>IF(ISNUMBER(BU540),IF(ABS(BU540-[1]QC_indicators!$B$2)&gt;3*[1]QC_indicators!$C$2,"C ratio",IF(ISNUMBER(BY540),IF(ABS(BY540-[1]QC_indicators!$B$1)&gt;3*[1]QC_indicators!$C$1,"DF","no"))),IF(ISNUMBER(BY540),IF(ABS(BY540-[1]QC_indicators!$B$1)&gt;3*[1]QC_indicators!$C$1,"DF","no")))</f>
        <v>no</v>
      </c>
      <c r="ET540" s="264" t="s">
        <v>3273</v>
      </c>
    </row>
    <row r="541" spans="1:150" ht="15" customHeight="1">
      <c r="A541" s="1" t="s">
        <v>380</v>
      </c>
      <c r="B541" t="s">
        <v>1185</v>
      </c>
      <c r="C541" t="s">
        <v>1186</v>
      </c>
      <c r="D541" t="s">
        <v>1187</v>
      </c>
      <c r="E541" t="s">
        <v>1188</v>
      </c>
      <c r="F541" t="s">
        <v>1189</v>
      </c>
      <c r="G541" t="s">
        <v>386</v>
      </c>
      <c r="H541" t="s">
        <v>254</v>
      </c>
      <c r="I541">
        <v>2013</v>
      </c>
      <c r="J541">
        <v>44</v>
      </c>
      <c r="K541" t="s">
        <v>1190</v>
      </c>
      <c r="M541" t="str">
        <f>LEFT($D541,FIND(",",$D541)-1)&amp;"_"&amp;I541&amp;L541</f>
        <v>Ximenes_2013</v>
      </c>
      <c r="N541" t="s">
        <v>222</v>
      </c>
      <c r="O541" s="145" t="s">
        <v>1154</v>
      </c>
      <c r="Q541" t="s">
        <v>256</v>
      </c>
      <c r="R541" s="255" t="s">
        <v>225</v>
      </c>
      <c r="S541" s="1" t="s">
        <v>1191</v>
      </c>
      <c r="T541" t="s">
        <v>1192</v>
      </c>
      <c r="U541" t="s">
        <v>1193</v>
      </c>
      <c r="V541">
        <v>0</v>
      </c>
      <c r="W541">
        <v>0</v>
      </c>
      <c r="X541">
        <v>0</v>
      </c>
      <c r="Y541">
        <v>0</v>
      </c>
      <c r="Z541">
        <v>0</v>
      </c>
      <c r="AA541">
        <v>0</v>
      </c>
      <c r="AB541">
        <v>0</v>
      </c>
      <c r="AC541">
        <v>0</v>
      </c>
      <c r="AD541">
        <v>0</v>
      </c>
      <c r="AE541">
        <v>0</v>
      </c>
      <c r="AF541">
        <v>0</v>
      </c>
      <c r="AG541">
        <v>0</v>
      </c>
      <c r="AH541">
        <v>0</v>
      </c>
      <c r="AI541">
        <v>0</v>
      </c>
      <c r="AJ541">
        <v>0</v>
      </c>
      <c r="AK541">
        <v>1</v>
      </c>
      <c r="AL541">
        <v>0</v>
      </c>
      <c r="AM541">
        <v>0</v>
      </c>
      <c r="AN541">
        <v>0</v>
      </c>
      <c r="AO541">
        <v>0</v>
      </c>
      <c r="AP541">
        <v>0</v>
      </c>
      <c r="AQ541">
        <v>0</v>
      </c>
      <c r="AR541">
        <v>0</v>
      </c>
      <c r="AS541">
        <v>0</v>
      </c>
      <c r="AT541">
        <v>0</v>
      </c>
      <c r="AU541">
        <v>0</v>
      </c>
      <c r="AV541">
        <v>0</v>
      </c>
      <c r="AW541">
        <v>0</v>
      </c>
      <c r="AX541" s="141">
        <f>COUNTIF(V541:AW541,"&lt;&gt;0")</f>
        <v>1</v>
      </c>
      <c r="AY541" s="141">
        <f>COUNTIF(V541:AL541,"&lt;&gt;0")</f>
        <v>1</v>
      </c>
      <c r="AZ541">
        <f>COUNTIF(V541:AC541,"&lt;&gt;0")</f>
        <v>0</v>
      </c>
      <c r="BA541">
        <f>COUNTIF(AD541:AI541,"&lt;&gt;0")</f>
        <v>0</v>
      </c>
      <c r="BB541">
        <f>COUNTIF(AJ541:AL541,"&lt;&gt;0")</f>
        <v>1</v>
      </c>
      <c r="BC541">
        <f>COUNTIF(AS541:AW541,"&lt;&gt;0")</f>
        <v>0</v>
      </c>
      <c r="BD541">
        <f>COUNTIF(AM541:AR541,"&lt;&gt;0")</f>
        <v>0</v>
      </c>
      <c r="BE541" t="str">
        <f t="array" ref="BE541">IF(AY541=1,INDEX($V$7:$AL$7,MATCH(TRUE,INDEX($V541:$AW541&lt;&gt;0,),0)),IF(AY541=0,INDEX($AM$7:$AW$7,MATCH(1,$AM541:$AW541,0)),IF(BF541="Multiple strategies","mixed drivers",IF(BF541="Supply chain","multiple supply","multiple silviculture"))))</f>
        <v>technologies/design switch</v>
      </c>
      <c r="BF541" s="2" t="str" cm="1">
        <f t="array" ref="BF541">IF(COUNTIF(AZ541:BB541,"&lt;&gt;0")=1,INDEX($V$4:$AW$4,MATCH(TRUE,INDEX($V541:$AW541&lt;&gt;0,),0)),IF(COUNTIF(AZ541:BB541,"&lt;&gt;0")=0,INDEX($AM$4:$AW$4,MATCH(1,$AM541:$AW541,0)),"Multiple strategies"))</f>
        <v>Technology</v>
      </c>
      <c r="BG541" s="1" t="s">
        <v>229</v>
      </c>
      <c r="BH541" t="s">
        <v>1194</v>
      </c>
      <c r="BI541" s="260" t="s">
        <v>3403</v>
      </c>
      <c r="BJ541" s="264" t="s">
        <v>3404</v>
      </c>
      <c r="BK541" s="260">
        <v>12.616199999999999</v>
      </c>
      <c r="BL541" s="260">
        <v>19.1279</v>
      </c>
      <c r="BM541" s="143">
        <f>BL541/BK541</f>
        <v>1.5161379813255973</v>
      </c>
      <c r="BN541" s="227">
        <f>BL541-BK541</f>
        <v>6.5117000000000012</v>
      </c>
      <c r="BO541">
        <f>+BN541/C_to_CO2*1000/0.245</f>
        <v>7242.0619473947627</v>
      </c>
      <c r="BP541" t="s">
        <v>232</v>
      </c>
      <c r="BQ541" s="260" t="s">
        <v>3405</v>
      </c>
      <c r="BR541" t="s">
        <v>1195</v>
      </c>
      <c r="BS541">
        <v>-59.999999999999993</v>
      </c>
      <c r="BT541">
        <v>-26.6279069767441</v>
      </c>
      <c r="BU541" s="144">
        <f>IFERROR(BT541/BS541,"")</f>
        <v>0.44379844961240172</v>
      </c>
      <c r="BV541" s="144">
        <f>BT541-BS541</f>
        <v>33.372093023255893</v>
      </c>
      <c r="BW541" s="144"/>
      <c r="BX541" s="144">
        <f>BV541</f>
        <v>33.372093023255893</v>
      </c>
      <c r="BY541">
        <f>IFERROR(BX541/BO541,"")</f>
        <v>4.6080927318304793E-3</v>
      </c>
      <c r="BZ541">
        <v>0</v>
      </c>
      <c r="CA541">
        <v>0</v>
      </c>
      <c r="CB541">
        <v>0</v>
      </c>
      <c r="CC541">
        <v>0</v>
      </c>
      <c r="CD541">
        <v>0</v>
      </c>
      <c r="CE541">
        <v>0</v>
      </c>
      <c r="CF541">
        <v>0</v>
      </c>
      <c r="CG541">
        <v>0</v>
      </c>
      <c r="CH541">
        <v>0</v>
      </c>
      <c r="CI541">
        <v>0</v>
      </c>
      <c r="CJ541">
        <v>0</v>
      </c>
      <c r="CK541">
        <v>0</v>
      </c>
      <c r="CL541">
        <v>0</v>
      </c>
      <c r="CM541">
        <v>0</v>
      </c>
      <c r="CN541" t="str">
        <f>IF($BL541&lt;$BK541,"refNeedCorrection","refOK")</f>
        <v>refOK</v>
      </c>
      <c r="CO541">
        <f>IF($CN541="refNeedCorrection",BL541,BK541)</f>
        <v>12.616199999999999</v>
      </c>
      <c r="CP541">
        <f>IF($CN541="refNeedCorrection",BK541,BL541)</f>
        <v>19.1279</v>
      </c>
      <c r="CQ541">
        <f>IF($CN541="refOK",$BO541,-$BO541)</f>
        <v>7242.0619473947627</v>
      </c>
      <c r="CR541">
        <f>IF($CN541="refOK",$BS541,$BT541)*IF($BP541="Emissions positive",-1,1)</f>
        <v>-59.999999999999993</v>
      </c>
      <c r="CS541">
        <f>IF($CN541="refOK",$BT541,$BS541)*IF($BP541="Emissions positive",-1,1)</f>
        <v>-26.6279069767441</v>
      </c>
      <c r="CT541">
        <f>IF($CN541="refNeedCorrection",-BX541,BX541)*IF($BP541="Emissions positive",-1,1)</f>
        <v>33.372093023255893</v>
      </c>
      <c r="CU541">
        <f>IFERROR(CT541/CQ541,"")</f>
        <v>4.6080927318304793E-3</v>
      </c>
      <c r="CV541" s="2">
        <f>IFERROR((CS541-CR541)/ABS(CR541),"")</f>
        <v>0.55620155038759833</v>
      </c>
      <c r="CW541" s="1" t="s">
        <v>263</v>
      </c>
      <c r="CX541" t="str">
        <f>IF(OR($CW541="prd",$CW541="std",$CW541="cit"),"loc",IF(OR($CW541="eur",$CW541="reg",$CW541="coy"),"reg",$CW541))</f>
        <v>loc</v>
      </c>
      <c r="CY541" t="s">
        <v>574</v>
      </c>
      <c r="DB541">
        <f>DA541-CZ541</f>
        <v>0</v>
      </c>
      <c r="DC541" t="str">
        <f>IF(DB541=0,"0",IF(AND(DB541&gt;=1,DB541&lt;=30),"1-30",IF(AND(DB541&gt;30,DB541&lt;=70),"31-70",IF(AND(DB541&gt;70,DB541&lt;=100),"71-100",IF(DB541&gt;100,"+100")))))</f>
        <v>0</v>
      </c>
      <c r="DD541">
        <v>0</v>
      </c>
      <c r="DE541">
        <v>0</v>
      </c>
      <c r="DF541">
        <v>0</v>
      </c>
      <c r="DG541">
        <v>1</v>
      </c>
      <c r="DH541">
        <v>0</v>
      </c>
      <c r="DI541">
        <f>SUM(DD541:DG541)</f>
        <v>1</v>
      </c>
      <c r="DJ541" t="str">
        <f>IF(DI541=1,INDEX($DD$7:$DG$7,MATCH(1,$DD541:$DG541,0)),"mixedProduct")</f>
        <v>TimberInput</v>
      </c>
      <c r="DK541">
        <f>IF(DD541=1,DK$7,0)</f>
        <v>0</v>
      </c>
      <c r="DL541">
        <f>IF(DE541=1,DL$7,0)</f>
        <v>0</v>
      </c>
      <c r="DM541">
        <f>IF(DF541=1,DM$7,0)</f>
        <v>0</v>
      </c>
      <c r="DN541" t="str">
        <f>IF(DG541=1,DN$7,0)</f>
        <v>Timber</v>
      </c>
      <c r="DO541">
        <v>0</v>
      </c>
      <c r="DP541">
        <v>0</v>
      </c>
      <c r="DQ541">
        <v>0</v>
      </c>
      <c r="DR541">
        <v>0</v>
      </c>
      <c r="DS541">
        <v>0</v>
      </c>
      <c r="DT541">
        <f>SUM(DO541:DP541)</f>
        <v>0</v>
      </c>
      <c r="DU541" s="143" t="str">
        <f>IF(DO541=1,"self-calculated DF",IF(DP541=1,"external DF used","explicit C balance"))</f>
        <v>explicit C balance</v>
      </c>
      <c r="DV541">
        <v>0</v>
      </c>
      <c r="DW541">
        <v>0</v>
      </c>
      <c r="DX541">
        <v>0</v>
      </c>
      <c r="DY541">
        <v>0</v>
      </c>
      <c r="DZ541">
        <v>0</v>
      </c>
      <c r="EA541" s="143">
        <v>0</v>
      </c>
      <c r="EB541">
        <v>1</v>
      </c>
      <c r="EC541">
        <v>1</v>
      </c>
      <c r="ED541">
        <v>1</v>
      </c>
      <c r="EE541">
        <v>1</v>
      </c>
      <c r="EF541">
        <v>0</v>
      </c>
      <c r="EG541">
        <v>0</v>
      </c>
      <c r="EH541">
        <v>0</v>
      </c>
      <c r="EI541" s="2">
        <v>0</v>
      </c>
      <c r="EJ541" s="333"/>
      <c r="EK541" t="str">
        <f>IF(AND(AND(AND(OR($DX541=1,$DW541=1),OR($EC541=1,$EA541=1)),SUM($DV541:$DZ541,$EF541)&gt;=4),SUM($EA541:$EE541)&gt;=2),"Whole sector","")</f>
        <v/>
      </c>
      <c r="EL541" t="str">
        <f>IF(AND(AND(OR($DX541=1,$DW541=1),AND($EC541=0,$EA541=0)),SUM($DV541:$DZ541,$EF541)&gt;=4),"Ecosystem approach","")</f>
        <v/>
      </c>
      <c r="EM541" s="2" t="str">
        <f>IF(AND(AND(AND($DX541=0,$DW541=0),OR($EC541=1,$EA541=1)),SUM($EB541:$EE541)&gt;=2),"Technology approach","")</f>
        <v>Technology approach</v>
      </c>
      <c r="EN541" t="s">
        <v>1196</v>
      </c>
      <c r="EP541" t="str">
        <f>IF(ISNUMBER(BU541),IF(ABS(BU541-[4]QC_indicators!$B$2)&gt;3*[4]QC_indicators!$C$2,"C ratio",IF(ISNUMBER(BY541),IF(ABS(BY541-[4]QC_indicators!$B$1)&gt;3*[4]QC_indicators!$C$1,"DF","no"))),IF(ISNUMBER(BY541),IF(ABS(BY541-[4]QC_indicators!$B$1)&gt;3*[4]QC_indicators!$C$1,"DF","no")))</f>
        <v>no</v>
      </c>
      <c r="ET541" s="264" t="s">
        <v>3273</v>
      </c>
    </row>
    <row r="542" spans="1:150" ht="15" customHeight="1">
      <c r="A542" s="1" t="s">
        <v>1102</v>
      </c>
      <c r="B542" t="s">
        <v>1103</v>
      </c>
      <c r="C542" t="s">
        <v>1104</v>
      </c>
      <c r="D542" t="s">
        <v>1105</v>
      </c>
      <c r="E542" t="s">
        <v>1106</v>
      </c>
      <c r="F542" t="s">
        <v>1107</v>
      </c>
      <c r="G542" t="s">
        <v>1108</v>
      </c>
      <c r="H542" t="s">
        <v>254</v>
      </c>
      <c r="I542">
        <v>2013</v>
      </c>
      <c r="J542">
        <v>11</v>
      </c>
      <c r="K542" t="s">
        <v>1109</v>
      </c>
      <c r="M542" t="str">
        <f>LEFT($D542,FIND(",",$D542)-1)&amp;"_"&amp;I542&amp;L542</f>
        <v>Routa_2013</v>
      </c>
      <c r="N542" t="s">
        <v>222</v>
      </c>
      <c r="O542" s="145" t="s">
        <v>341</v>
      </c>
      <c r="Q542" s="264" t="s">
        <v>256</v>
      </c>
      <c r="R542" s="269" t="s">
        <v>1154</v>
      </c>
      <c r="S542" s="1" t="s">
        <v>1122</v>
      </c>
      <c r="T542" t="s">
        <v>1111</v>
      </c>
      <c r="U542" t="e">
        <f>#REF!</f>
        <v>#REF!</v>
      </c>
      <c r="V542">
        <v>0</v>
      </c>
      <c r="W542">
        <v>0</v>
      </c>
      <c r="X542">
        <v>2</v>
      </c>
      <c r="Y542">
        <v>0</v>
      </c>
      <c r="Z542">
        <v>2</v>
      </c>
      <c r="AA542">
        <v>0</v>
      </c>
      <c r="AB542">
        <v>1</v>
      </c>
      <c r="AC542">
        <v>0</v>
      </c>
      <c r="AD542">
        <v>0</v>
      </c>
      <c r="AE542">
        <v>0</v>
      </c>
      <c r="AF542">
        <v>0</v>
      </c>
      <c r="AG542">
        <v>0</v>
      </c>
      <c r="AH542">
        <v>0</v>
      </c>
      <c r="AI542">
        <v>0</v>
      </c>
      <c r="AJ542">
        <v>2</v>
      </c>
      <c r="AK542">
        <v>0</v>
      </c>
      <c r="AL542">
        <v>2</v>
      </c>
      <c r="AM542">
        <v>0</v>
      </c>
      <c r="AN542">
        <v>0</v>
      </c>
      <c r="AO542">
        <v>0</v>
      </c>
      <c r="AP542">
        <v>0</v>
      </c>
      <c r="AQ542">
        <v>0</v>
      </c>
      <c r="AR542">
        <v>0</v>
      </c>
      <c r="AS542">
        <v>0</v>
      </c>
      <c r="AT542">
        <v>0</v>
      </c>
      <c r="AU542">
        <v>0</v>
      </c>
      <c r="AV542">
        <v>0</v>
      </c>
      <c r="AW542">
        <v>0</v>
      </c>
      <c r="AX542" s="141">
        <f>COUNTIF(V542:AW542,"&lt;&gt;0")</f>
        <v>5</v>
      </c>
      <c r="AY542" s="141">
        <f>COUNTIF(V542:AL542,"&lt;&gt;0")</f>
        <v>5</v>
      </c>
      <c r="AZ542">
        <f>COUNTIF(V542:AC542,"&lt;&gt;0")</f>
        <v>3</v>
      </c>
      <c r="BA542">
        <f>COUNTIF(AD542:AI542,"&lt;&gt;0")</f>
        <v>0</v>
      </c>
      <c r="BB542">
        <f>COUNTIF(AJ542:AL542,"&lt;&gt;0")</f>
        <v>2</v>
      </c>
      <c r="BC542">
        <f>COUNTIF(AS542:AW542,"&lt;&gt;0")</f>
        <v>0</v>
      </c>
      <c r="BD542">
        <f>COUNTIF(AM542:AR542,"&lt;&gt;0")</f>
        <v>0</v>
      </c>
      <c r="BE542" t="str" cm="1">
        <f t="array" ref="BE542">IF(AY542=1,INDEX($V$7:$AL$7,MATCH(TRUE,INDEX($V542:$AW542&lt;&gt;0,),0)),IF(AY542=0,INDEX($AM$7:$AW$7,MATCH(1,$AM542:$AW542,0)),IF(BF542="Multiple strategies","mixed drivers",IF(BF542="Supply chain","multiple supply","multiple silviculture"))))</f>
        <v>mixed drivers</v>
      </c>
      <c r="BF542" s="2" t="str" cm="1">
        <f t="array" ref="BF542">IF(COUNTIF(AZ542:BB542,"&lt;&gt;0")=1,INDEX($V$4:$AW$4,MATCH(TRUE,INDEX($V542:$AW542&lt;&gt;0,),0)),IF(COUNTIF(AZ542:BB542,"&lt;&gt;0")=0,INDEX($AM$4:$AW$4,MATCH(1,$AM542:$AW542,0)),"Multiple strategies"))</f>
        <v>Multiple strategies</v>
      </c>
      <c r="BG542" s="1" t="s">
        <v>321</v>
      </c>
      <c r="BH542" t="s">
        <v>1112</v>
      </c>
      <c r="BJ542" t="s">
        <v>1113</v>
      </c>
      <c r="BK542">
        <v>3.2</v>
      </c>
      <c r="BL542">
        <v>3.5</v>
      </c>
      <c r="BN542">
        <f>BL542-BK542</f>
        <v>0.29999999999999982</v>
      </c>
      <c r="BO542">
        <f>BN542</f>
        <v>0.29999999999999982</v>
      </c>
      <c r="BP542" s="264" t="s">
        <v>232</v>
      </c>
      <c r="BQ542" s="264"/>
      <c r="BR542" t="s">
        <v>1114</v>
      </c>
      <c r="BS542">
        <v>-2.5</v>
      </c>
      <c r="BT542">
        <v>-0.3</v>
      </c>
      <c r="BU542" s="144">
        <v>0.12</v>
      </c>
      <c r="BV542">
        <v>2.2000000000000002</v>
      </c>
      <c r="BX542">
        <f>BV542/10^3</f>
        <v>2.2000000000000001E-3</v>
      </c>
      <c r="BY542">
        <f>IFERROR(BX542/BO542,"")</f>
        <v>7.3333333333333384E-3</v>
      </c>
      <c r="BZ542">
        <v>0</v>
      </c>
      <c r="CA542">
        <v>0</v>
      </c>
      <c r="CB542">
        <v>0</v>
      </c>
      <c r="CC542">
        <v>0</v>
      </c>
      <c r="CD542">
        <v>0</v>
      </c>
      <c r="CE542">
        <v>0</v>
      </c>
      <c r="CF542">
        <v>0</v>
      </c>
      <c r="CG542">
        <v>0</v>
      </c>
      <c r="CH542">
        <v>0</v>
      </c>
      <c r="CI542">
        <v>0</v>
      </c>
      <c r="CJ542">
        <v>0</v>
      </c>
      <c r="CK542">
        <v>0</v>
      </c>
      <c r="CL542">
        <v>0</v>
      </c>
      <c r="CM542">
        <v>0</v>
      </c>
      <c r="CN542" t="str">
        <f>IF($BL542&lt;$BK542,"refNeedCorrection","refOK")</f>
        <v>refOK</v>
      </c>
      <c r="CO542">
        <f>IF($CN542="refOK",$BK542,$BL542)</f>
        <v>3.2</v>
      </c>
      <c r="CP542">
        <f>IF($CN542="refOK",$BL542,$BK542)</f>
        <v>3.5</v>
      </c>
      <c r="CQ542">
        <f>IF($CN542="refOK",$BO542,-$BO542)</f>
        <v>0.29999999999999982</v>
      </c>
      <c r="CR542">
        <f>IF($CN542="refOK",$BS542,$BT542)*IF($BP542="Emissions positive",-1,1)</f>
        <v>-2.5</v>
      </c>
      <c r="CS542">
        <f>IF($CN542="refOK",$BT542,$BS542)*IF($BP542="Emissions positive",-1,1)</f>
        <v>-0.3</v>
      </c>
      <c r="CT542">
        <f>IF($CN542="refNeedCorrection",-BX542,BX542)*IF($BP542="Emissions positive",-1,1)</f>
        <v>2.2000000000000001E-3</v>
      </c>
      <c r="CU542">
        <f>IFERROR(CT542/CQ542,"")</f>
        <v>7.3333333333333384E-3</v>
      </c>
      <c r="CV542" s="2">
        <f>IFERROR((CS542-CR542)/ABS(CR542),"")</f>
        <v>0.88000000000000012</v>
      </c>
      <c r="CW542" s="1" t="s">
        <v>234</v>
      </c>
      <c r="CX542" s="264" t="str">
        <f>IF(OR($CW542="prd",$CW542="std",$CW542="cit"),"loc",IF(OR($CW542="eur",$CW542="reg",$CW542="coy"),"reg",$CW542))</f>
        <v>loc</v>
      </c>
      <c r="CY542" t="s">
        <v>235</v>
      </c>
      <c r="CZ542">
        <v>2001</v>
      </c>
      <c r="DA542">
        <v>2100</v>
      </c>
      <c r="DB542">
        <v>100</v>
      </c>
      <c r="DC542" t="str">
        <f>IF(DB542=0,"0",IF(AND(DB542&gt;=1,DB542&lt;=30),"1-30",IF(AND(DB542&gt;30,DB542&lt;=70),"31-70",IF(AND(DB542&gt;70,DB542&lt;=100),"71-100",IF(DB542&gt;100,"+100")))))</f>
        <v>71-100</v>
      </c>
      <c r="DD542">
        <v>0</v>
      </c>
      <c r="DE542">
        <v>1</v>
      </c>
      <c r="DF542">
        <v>1</v>
      </c>
      <c r="DG542">
        <v>1</v>
      </c>
      <c r="DI542">
        <f>SUM(DD542:DG542)</f>
        <v>3</v>
      </c>
      <c r="DJ542" t="str">
        <f>IF(DI542=1,INDEX($DD$7:$DG$7,MATCH(1,$DD542:$DG542,0)),"mixedProduct")</f>
        <v>mixedProduct</v>
      </c>
      <c r="DK542">
        <f>IF(DD542=1,DK$7,0)</f>
        <v>0</v>
      </c>
      <c r="DL542" t="str">
        <f>IF(DE542=1,DL$7,0)</f>
        <v>Energy</v>
      </c>
      <c r="DM542" t="str">
        <f>IF(DF542=1,DM$7,0)</f>
        <v>Pulp/Paper</v>
      </c>
      <c r="DN542" t="str">
        <f>IF(DG542=1,DN$7,0)</f>
        <v>Timber</v>
      </c>
      <c r="DO542">
        <v>1</v>
      </c>
      <c r="DP542">
        <v>0</v>
      </c>
      <c r="DQ542">
        <v>0</v>
      </c>
      <c r="DR542">
        <v>0</v>
      </c>
      <c r="DS542">
        <v>0</v>
      </c>
      <c r="DT542">
        <f>SUM(DO542:DP542)</f>
        <v>1</v>
      </c>
      <c r="DU542" s="143" t="str">
        <f>IF(DO542=1,"self-calculated DF",IF(DP542=1,"external DF used","explicit C balance"))</f>
        <v>self-calculated DF</v>
      </c>
      <c r="DV542">
        <v>1</v>
      </c>
      <c r="DW542">
        <v>1</v>
      </c>
      <c r="DX542">
        <v>1</v>
      </c>
      <c r="DY542">
        <v>0</v>
      </c>
      <c r="DZ542">
        <v>0</v>
      </c>
      <c r="EA542" s="143">
        <v>0</v>
      </c>
      <c r="EB542">
        <v>1</v>
      </c>
      <c r="EC542">
        <v>1</v>
      </c>
      <c r="ED542">
        <v>0</v>
      </c>
      <c r="EE542">
        <v>0</v>
      </c>
      <c r="EF542">
        <v>1</v>
      </c>
      <c r="EG542">
        <v>1</v>
      </c>
      <c r="EH542">
        <v>0</v>
      </c>
      <c r="EI542" s="2">
        <v>0</v>
      </c>
      <c r="EJ542" s="333"/>
      <c r="EK542" t="str">
        <f>IF(AND(AND(AND(OR($DX542=1,$DW542=1),OR($EC542=1,$EA542=1)),SUM($DV542:$DZ542,$EF542)&gt;=4),SUM($EA542:$EE542)&gt;=2),"Whole sector","")</f>
        <v>Whole sector</v>
      </c>
      <c r="EL542" t="str">
        <f>IF(AND(AND(OR($DX542=1,$DW542=1),AND($EC542=0,$EA542=0)),SUM($DV542:$DZ542,$EF542)&gt;=4),"Ecosystem approach","")</f>
        <v/>
      </c>
      <c r="EM542" s="2" t="str">
        <f>IF(AND(AND(AND($DX542=0,$DW542=0),OR($EC542=1,$EA542=1)),SUM($EB542:$EE542)&gt;=2),"Technology approach","")</f>
        <v/>
      </c>
      <c r="EP542" t="str">
        <f>IF(ISNUMBER(BU542),IF(ABS(BU542-[3]QC_indicators!$B$2)&gt;3*[3]QC_indicators!$C$2,"C ratio",IF(ISNUMBER(BY542),IF(ABS(BY542-[3]QC_indicators!$B$1)&gt;3*[3]QC_indicators!$C$1,"DF","no"))),IF(ISNUMBER(BY542),IF(ABS(BY542-[3]QC_indicators!$B$1)&gt;3*[3]QC_indicators!$C$1,"DF","no")))</f>
        <v>no</v>
      </c>
      <c r="ER542" s="294" t="s">
        <v>349</v>
      </c>
      <c r="ET542" s="264" t="s">
        <v>3407</v>
      </c>
    </row>
    <row r="543" spans="1:150" ht="15" customHeight="1">
      <c r="A543" s="1" t="s">
        <v>1102</v>
      </c>
      <c r="B543" t="s">
        <v>1103</v>
      </c>
      <c r="C543" t="s">
        <v>1104</v>
      </c>
      <c r="D543" t="s">
        <v>1105</v>
      </c>
      <c r="E543" t="s">
        <v>1106</v>
      </c>
      <c r="F543" t="s">
        <v>1107</v>
      </c>
      <c r="G543" t="s">
        <v>1108</v>
      </c>
      <c r="H543" t="s">
        <v>254</v>
      </c>
      <c r="I543">
        <v>2013</v>
      </c>
      <c r="J543">
        <v>11</v>
      </c>
      <c r="K543" t="s">
        <v>1109</v>
      </c>
      <c r="M543" t="str">
        <f>LEFT($D543,FIND(",",$D543)-1)&amp;"_"&amp;I543&amp;L543</f>
        <v>Routa_2013</v>
      </c>
      <c r="N543" t="s">
        <v>222</v>
      </c>
      <c r="O543" s="145" t="s">
        <v>341</v>
      </c>
      <c r="Q543" s="264" t="s">
        <v>256</v>
      </c>
      <c r="R543" s="269" t="s">
        <v>1154</v>
      </c>
      <c r="S543" s="1" t="s">
        <v>1123</v>
      </c>
      <c r="T543" t="s">
        <v>1111</v>
      </c>
      <c r="U543" t="e">
        <f>#REF!</f>
        <v>#REF!</v>
      </c>
      <c r="V543">
        <v>0</v>
      </c>
      <c r="W543">
        <v>0</v>
      </c>
      <c r="X543">
        <v>2</v>
      </c>
      <c r="Y543">
        <v>0</v>
      </c>
      <c r="Z543">
        <v>2</v>
      </c>
      <c r="AA543">
        <v>0</v>
      </c>
      <c r="AB543">
        <v>1</v>
      </c>
      <c r="AC543">
        <v>0</v>
      </c>
      <c r="AD543">
        <v>0</v>
      </c>
      <c r="AE543">
        <v>0</v>
      </c>
      <c r="AF543">
        <v>0</v>
      </c>
      <c r="AG543">
        <v>0</v>
      </c>
      <c r="AH543">
        <v>0</v>
      </c>
      <c r="AI543">
        <v>0</v>
      </c>
      <c r="AJ543">
        <v>2</v>
      </c>
      <c r="AK543">
        <v>0</v>
      </c>
      <c r="AL543">
        <v>2</v>
      </c>
      <c r="AM543">
        <v>0</v>
      </c>
      <c r="AN543">
        <v>0</v>
      </c>
      <c r="AO543">
        <v>0</v>
      </c>
      <c r="AP543">
        <v>0</v>
      </c>
      <c r="AQ543">
        <v>0</v>
      </c>
      <c r="AR543">
        <v>0</v>
      </c>
      <c r="AS543">
        <v>0</v>
      </c>
      <c r="AT543">
        <v>0</v>
      </c>
      <c r="AU543">
        <v>0</v>
      </c>
      <c r="AV543">
        <v>0</v>
      </c>
      <c r="AW543">
        <v>0</v>
      </c>
      <c r="AX543" s="141">
        <f>COUNTIF(V543:AW543,"&lt;&gt;0")</f>
        <v>5</v>
      </c>
      <c r="AY543" s="141">
        <f>COUNTIF(V543:AL543,"&lt;&gt;0")</f>
        <v>5</v>
      </c>
      <c r="AZ543">
        <f>COUNTIF(V543:AC543,"&lt;&gt;0")</f>
        <v>3</v>
      </c>
      <c r="BA543">
        <f>COUNTIF(AD543:AI543,"&lt;&gt;0")</f>
        <v>0</v>
      </c>
      <c r="BB543">
        <f>COUNTIF(AJ543:AL543,"&lt;&gt;0")</f>
        <v>2</v>
      </c>
      <c r="BC543">
        <f>COUNTIF(AS543:AW543,"&lt;&gt;0")</f>
        <v>0</v>
      </c>
      <c r="BD543">
        <f>COUNTIF(AM543:AR543,"&lt;&gt;0")</f>
        <v>0</v>
      </c>
      <c r="BE543" t="str" cm="1">
        <f t="array" ref="BE543">IF(AY543=1,INDEX($V$7:$AL$7,MATCH(TRUE,INDEX($V543:$AW543&lt;&gt;0,),0)),IF(AY543=0,INDEX($AM$7:$AW$7,MATCH(1,$AM543:$AW543,0)),IF(BF543="Multiple strategies","mixed drivers",IF(BF543="Supply chain","multiple supply","multiple silviculture"))))</f>
        <v>mixed drivers</v>
      </c>
      <c r="BF543" s="2" t="str" cm="1">
        <f t="array" ref="BF543">IF(COUNTIF(AZ543:BB543,"&lt;&gt;0")=1,INDEX($V$4:$AW$4,MATCH(TRUE,INDEX($V543:$AW543&lt;&gt;0,),0)),IF(COUNTIF(AZ543:BB543,"&lt;&gt;0")=0,INDEX($AM$4:$AW$4,MATCH(1,$AM543:$AW543,0)),"Multiple strategies"))</f>
        <v>Multiple strategies</v>
      </c>
      <c r="BG543" s="1" t="s">
        <v>321</v>
      </c>
      <c r="BH543" t="s">
        <v>1112</v>
      </c>
      <c r="BJ543" t="s">
        <v>1113</v>
      </c>
      <c r="BK543">
        <v>3.2</v>
      </c>
      <c r="BL543">
        <v>3.45</v>
      </c>
      <c r="BN543">
        <f>BL543-BK543</f>
        <v>0.25</v>
      </c>
      <c r="BO543">
        <f>BN543</f>
        <v>0.25</v>
      </c>
      <c r="BP543" s="264" t="s">
        <v>232</v>
      </c>
      <c r="BQ543" s="264"/>
      <c r="BR543" t="s">
        <v>1114</v>
      </c>
      <c r="BS543">
        <v>-2.5</v>
      </c>
      <c r="BT543">
        <v>-0.55000000000000004</v>
      </c>
      <c r="BU543" s="144">
        <v>0.22000000000000003</v>
      </c>
      <c r="BV543">
        <v>1.95</v>
      </c>
      <c r="BX543">
        <f>BV543/10^3</f>
        <v>1.9499999999999999E-3</v>
      </c>
      <c r="BY543">
        <f>IFERROR(BX543/BO543,"")</f>
        <v>7.7999999999999996E-3</v>
      </c>
      <c r="BZ543">
        <v>0</v>
      </c>
      <c r="CA543">
        <v>0</v>
      </c>
      <c r="CB543">
        <v>0</v>
      </c>
      <c r="CC543">
        <v>0</v>
      </c>
      <c r="CD543">
        <v>0</v>
      </c>
      <c r="CE543">
        <v>0</v>
      </c>
      <c r="CF543">
        <v>0</v>
      </c>
      <c r="CG543">
        <v>0</v>
      </c>
      <c r="CH543">
        <v>0</v>
      </c>
      <c r="CI543">
        <v>0</v>
      </c>
      <c r="CJ543">
        <v>0</v>
      </c>
      <c r="CK543">
        <v>0</v>
      </c>
      <c r="CL543">
        <v>0</v>
      </c>
      <c r="CM543">
        <v>0</v>
      </c>
      <c r="CN543" t="str">
        <f>IF($BL543&lt;$BK543,"refNeedCorrection","refOK")</f>
        <v>refOK</v>
      </c>
      <c r="CO543">
        <f>IF($CN543="refOK",$BK543,$BL543)</f>
        <v>3.2</v>
      </c>
      <c r="CP543">
        <f>IF($CN543="refOK",$BL543,$BK543)</f>
        <v>3.45</v>
      </c>
      <c r="CQ543">
        <f>IF($CN543="refOK",$BO543,-$BO543)</f>
        <v>0.25</v>
      </c>
      <c r="CR543">
        <f>IF($CN543="refOK",$BS543,$BT543)*IF($BP543="Emissions positive",-1,1)</f>
        <v>-2.5</v>
      </c>
      <c r="CS543">
        <f>IF($CN543="refOK",$BT543,$BS543)*IF($BP543="Emissions positive",-1,1)</f>
        <v>-0.55000000000000004</v>
      </c>
      <c r="CT543">
        <f>IF($CN543="refNeedCorrection",-BX543,BX543)*IF($BP543="Emissions positive",-1,1)</f>
        <v>1.9499999999999999E-3</v>
      </c>
      <c r="CU543">
        <f>IFERROR(CT543/CQ543,"")</f>
        <v>7.7999999999999996E-3</v>
      </c>
      <c r="CV543" s="2">
        <f>IFERROR((CS543-CR543)/ABS(CR543),"")</f>
        <v>0.78</v>
      </c>
      <c r="CW543" s="1" t="s">
        <v>234</v>
      </c>
      <c r="CX543" s="264" t="str">
        <f>IF(OR($CW543="prd",$CW543="std",$CW543="cit"),"loc",IF(OR($CW543="eur",$CW543="reg",$CW543="coy"),"reg",$CW543))</f>
        <v>loc</v>
      </c>
      <c r="CY543" t="s">
        <v>235</v>
      </c>
      <c r="CZ543">
        <v>2001</v>
      </c>
      <c r="DA543">
        <v>2100</v>
      </c>
      <c r="DB543">
        <v>100</v>
      </c>
      <c r="DC543" t="str">
        <f>IF(DB543=0,"0",IF(AND(DB543&gt;=1,DB543&lt;=30),"1-30",IF(AND(DB543&gt;30,DB543&lt;=70),"31-70",IF(AND(DB543&gt;70,DB543&lt;=100),"71-100",IF(DB543&gt;100,"+100")))))</f>
        <v>71-100</v>
      </c>
      <c r="DD543">
        <v>0</v>
      </c>
      <c r="DE543">
        <v>1</v>
      </c>
      <c r="DF543">
        <v>1</v>
      </c>
      <c r="DG543">
        <v>1</v>
      </c>
      <c r="DI543">
        <f>SUM(DD543:DG543)</f>
        <v>3</v>
      </c>
      <c r="DJ543" t="str">
        <f>IF(DI543=1,INDEX($DD$7:$DG$7,MATCH(1,$DD543:$DG543,0)),"mixedProduct")</f>
        <v>mixedProduct</v>
      </c>
      <c r="DK543">
        <f>IF(DD543=1,DK$7,0)</f>
        <v>0</v>
      </c>
      <c r="DL543" t="str">
        <f>IF(DE543=1,DL$7,0)</f>
        <v>Energy</v>
      </c>
      <c r="DM543" t="str">
        <f>IF(DF543=1,DM$7,0)</f>
        <v>Pulp/Paper</v>
      </c>
      <c r="DN543" t="str">
        <f>IF(DG543=1,DN$7,0)</f>
        <v>Timber</v>
      </c>
      <c r="DO543">
        <v>1</v>
      </c>
      <c r="DP543">
        <v>0</v>
      </c>
      <c r="DQ543">
        <v>0</v>
      </c>
      <c r="DR543">
        <v>0</v>
      </c>
      <c r="DS543">
        <v>0</v>
      </c>
      <c r="DT543">
        <f>SUM(DO543:DP543)</f>
        <v>1</v>
      </c>
      <c r="DU543" s="143" t="str">
        <f>IF(DO543=1,"self-calculated DF",IF(DP543=1,"external DF used","explicit C balance"))</f>
        <v>self-calculated DF</v>
      </c>
      <c r="DV543">
        <v>1</v>
      </c>
      <c r="DW543">
        <v>1</v>
      </c>
      <c r="DX543">
        <v>1</v>
      </c>
      <c r="DY543">
        <v>0</v>
      </c>
      <c r="DZ543">
        <v>0</v>
      </c>
      <c r="EA543" s="143">
        <v>0</v>
      </c>
      <c r="EB543">
        <v>1</v>
      </c>
      <c r="EC543">
        <v>1</v>
      </c>
      <c r="ED543">
        <v>0</v>
      </c>
      <c r="EE543">
        <v>0</v>
      </c>
      <c r="EF543">
        <v>1</v>
      </c>
      <c r="EG543">
        <v>1</v>
      </c>
      <c r="EH543">
        <v>0</v>
      </c>
      <c r="EI543" s="2">
        <v>0</v>
      </c>
      <c r="EJ543" s="333"/>
      <c r="EK543" t="str">
        <f>IF(AND(AND(AND(OR($DX543=1,$DW543=1),OR($EC543=1,$EA543=1)),SUM($DV543:$DZ543,$EF543)&gt;=4),SUM($EA543:$EE543)&gt;=2),"Whole sector","")</f>
        <v>Whole sector</v>
      </c>
      <c r="EL543" t="str">
        <f>IF(AND(AND(OR($DX543=1,$DW543=1),AND($EC543=0,$EA543=0)),SUM($DV543:$DZ543,$EF543)&gt;=4),"Ecosystem approach","")</f>
        <v/>
      </c>
      <c r="EM543" s="2" t="str">
        <f>IF(AND(AND(AND($DX543=0,$DW543=0),OR($EC543=1,$EA543=1)),SUM($EB543:$EE543)&gt;=2),"Technology approach","")</f>
        <v/>
      </c>
      <c r="EP543" t="str">
        <f>IF(ISNUMBER(BU543),IF(ABS(BU543-[3]QC_indicators!$B$2)&gt;3*[3]QC_indicators!$C$2,"C ratio",IF(ISNUMBER(BY543),IF(ABS(BY543-[3]QC_indicators!$B$1)&gt;3*[3]QC_indicators!$C$1,"DF","no"))),IF(ISNUMBER(BY543),IF(ABS(BY543-[3]QC_indicators!$B$1)&gt;3*[3]QC_indicators!$C$1,"DF","no")))</f>
        <v>no</v>
      </c>
      <c r="ER543" s="294" t="s">
        <v>349</v>
      </c>
      <c r="ET543" s="264" t="s">
        <v>3407</v>
      </c>
    </row>
    <row r="544" spans="1:150" ht="15" customHeight="1">
      <c r="A544" s="1" t="s">
        <v>1360</v>
      </c>
      <c r="B544" t="s">
        <v>2135</v>
      </c>
      <c r="C544" t="s">
        <v>2136</v>
      </c>
      <c r="D544" t="s">
        <v>2137</v>
      </c>
      <c r="E544" t="s">
        <v>2138</v>
      </c>
      <c r="F544" t="s">
        <v>2139</v>
      </c>
      <c r="G544" t="s">
        <v>1366</v>
      </c>
      <c r="H544" t="s">
        <v>254</v>
      </c>
      <c r="I544">
        <v>2012</v>
      </c>
      <c r="J544">
        <v>21</v>
      </c>
      <c r="K544" t="s">
        <v>2140</v>
      </c>
      <c r="L544" s="192"/>
      <c r="M544" t="str">
        <f>LEFT($D544,FIND(",",$D544)-1)&amp;"_"&amp;I544&amp;L544</f>
        <v>Pyorala_2012</v>
      </c>
      <c r="N544" t="s">
        <v>222</v>
      </c>
      <c r="O544" s="145" t="s">
        <v>341</v>
      </c>
      <c r="P544" s="193" t="s">
        <v>223</v>
      </c>
      <c r="Q544" s="264" t="s">
        <v>224</v>
      </c>
      <c r="R544" s="269" t="s">
        <v>1154</v>
      </c>
      <c r="S544" s="263" t="s">
        <v>2163</v>
      </c>
      <c r="T544" s="264" t="s">
        <v>2157</v>
      </c>
      <c r="U544" s="264" t="s">
        <v>2158</v>
      </c>
      <c r="V544">
        <v>0</v>
      </c>
      <c r="W544">
        <v>0</v>
      </c>
      <c r="X544">
        <v>0</v>
      </c>
      <c r="Y544">
        <v>0</v>
      </c>
      <c r="Z544">
        <v>0</v>
      </c>
      <c r="AA544">
        <v>0</v>
      </c>
      <c r="AB544">
        <v>0</v>
      </c>
      <c r="AC544">
        <v>1</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s="141">
        <f>COUNTIF(V544:AW544,"&lt;&gt;0")</f>
        <v>1</v>
      </c>
      <c r="AY544" s="141">
        <f>COUNTIF(V544:AL544,"&lt;&gt;0")</f>
        <v>1</v>
      </c>
      <c r="AZ544">
        <f>COUNTIF(V544:AC544,"&lt;&gt;0")</f>
        <v>1</v>
      </c>
      <c r="BA544">
        <f>COUNTIF(AD544:AI544,"&lt;&gt;0")</f>
        <v>0</v>
      </c>
      <c r="BB544">
        <f>COUNTIF(AJ544:AL544,"&lt;&gt;0")</f>
        <v>0</v>
      </c>
      <c r="BC544">
        <f>COUNTIF(AS544:AW544,"&lt;&gt;0")</f>
        <v>0</v>
      </c>
      <c r="BD544">
        <f>COUNTIF(AM544:AR544,"&lt;&gt;0")</f>
        <v>0</v>
      </c>
      <c r="BE544" t="str" cm="1">
        <f t="array" ref="BE544">IF(AY544=1,INDEX($V$7:$AL$7,MATCH(TRUE,INDEX($V544:$AW544&lt;&gt;0,),0)),IF(AY544=0,INDEX($AM$7:$AW$7,MATCH(1,$AM544:$AW544,0)),IF(BF544="Multiple strategies","mixed drivers",IF(BF544="Supply chain","multiple supply","multiple silviculture"))))</f>
        <v>site fertility</v>
      </c>
      <c r="BF544" s="2" t="str" cm="1">
        <f t="array" ref="BF544">IF(COUNTIF(AZ544:BB544,"&lt;&gt;0")=1,INDEX($V$4:$AW$4,MATCH(TRUE,INDEX($V544:$AW544&lt;&gt;0,),0)),IF(COUNTIF(AZ544:BB544,"&lt;&gt;0")=0,INDEX($AM$4:$AW$4,MATCH(1,$AM544:$AW544,0)),"Multiple strategies"))</f>
        <v>Silviculture for productivity</v>
      </c>
      <c r="BG544" s="194" t="s">
        <v>321</v>
      </c>
      <c r="BH544" s="264" t="s">
        <v>2144</v>
      </c>
      <c r="BI544" s="264" t="s">
        <v>2159</v>
      </c>
      <c r="BJ544" s="195" t="s">
        <v>700</v>
      </c>
      <c r="BK544">
        <v>6.5</v>
      </c>
      <c r="BL544">
        <v>8.4</v>
      </c>
      <c r="BN544">
        <f>BL544-BK544</f>
        <v>1.9000000000000004</v>
      </c>
      <c r="BO544">
        <f>BN544</f>
        <v>1.9000000000000004</v>
      </c>
      <c r="BP544" s="149" t="s">
        <v>395</v>
      </c>
      <c r="BQ544" s="264" t="s">
        <v>786</v>
      </c>
      <c r="BR544" s="294" t="s">
        <v>2145</v>
      </c>
      <c r="BS544">
        <f>-2.6/80</f>
        <v>-3.2500000000000001E-2</v>
      </c>
      <c r="BT544">
        <f>-3.8/80</f>
        <v>-4.7500000000000001E-2</v>
      </c>
      <c r="BU544" s="144"/>
      <c r="BV544">
        <f>BT544-BS544</f>
        <v>-1.4999999999999999E-2</v>
      </c>
      <c r="BX544">
        <f>BV544</f>
        <v>-1.4999999999999999E-2</v>
      </c>
      <c r="BY544">
        <f>IFERROR(BX544/BO544,"")</f>
        <v>-7.8947368421052617E-3</v>
      </c>
      <c r="BZ544">
        <v>0</v>
      </c>
      <c r="CA544">
        <v>0</v>
      </c>
      <c r="CB544">
        <v>0</v>
      </c>
      <c r="CC544">
        <v>0</v>
      </c>
      <c r="CD544">
        <v>0</v>
      </c>
      <c r="CE544">
        <v>0</v>
      </c>
      <c r="CF544">
        <v>0</v>
      </c>
      <c r="CG544">
        <v>0</v>
      </c>
      <c r="CH544">
        <v>0</v>
      </c>
      <c r="CI544">
        <v>0</v>
      </c>
      <c r="CJ544">
        <v>0</v>
      </c>
      <c r="CK544">
        <v>0</v>
      </c>
      <c r="CL544">
        <v>0</v>
      </c>
      <c r="CM544">
        <v>0</v>
      </c>
      <c r="CN544" t="str">
        <f>IF($BL544&lt;$BK544,"refNeedCorrection","refOK")</f>
        <v>refOK</v>
      </c>
      <c r="CO544">
        <f>IF($CN544="refOK",$BK544,$BL544)</f>
        <v>6.5</v>
      </c>
      <c r="CP544">
        <f>IF($CN544="refOK",$BL544,$BK544)</f>
        <v>8.4</v>
      </c>
      <c r="CQ544">
        <f>IF($CN544="refOK",$BO544,-$BO544)</f>
        <v>1.9000000000000004</v>
      </c>
      <c r="CR544">
        <f>IF($CN544="refOK",$BS544,$BT544)*IF($BP544="Emissions positive",-1,1)</f>
        <v>3.2500000000000001E-2</v>
      </c>
      <c r="CS544">
        <f>IF($CN544="refOK",$BT544,$BS544)*IF($BP544="Emissions positive",-1,1)</f>
        <v>4.7500000000000001E-2</v>
      </c>
      <c r="CT544">
        <f>IF($CN544="refNeedCorrection",-BX544,BX544)*IF($BP544="Emissions positive",-1,1)</f>
        <v>1.4999999999999999E-2</v>
      </c>
      <c r="CU544">
        <f>IFERROR(CT544/CQ544,"")</f>
        <v>7.8947368421052617E-3</v>
      </c>
      <c r="CV544" s="2">
        <f>IFERROR((CS544-CR544)/ABS(CR544),"")</f>
        <v>0.46153846153846151</v>
      </c>
      <c r="CW544" s="1" t="s">
        <v>1199</v>
      </c>
      <c r="CX544" s="264" t="str">
        <f>IF(OR($CW544="prd",$CW544="std",$CW544="cit"),"loc",IF(OR($CW544="eur",$CW544="reg",$CW544="coy"),"reg",$CW544))</f>
        <v>reg</v>
      </c>
      <c r="CY544" t="s">
        <v>235</v>
      </c>
      <c r="DB544">
        <v>80</v>
      </c>
      <c r="DC544" t="str">
        <f>IF(DB544=0,"0",IF(AND(DB544&gt;=1,DB544&lt;=30),"1-30",IF(AND(DB544&gt;30,DB544&lt;=70),"31-70",IF(AND(DB544&gt;70,DB544&lt;=100),"71-100",IF(DB544&gt;100,"+100")))))</f>
        <v>71-100</v>
      </c>
      <c r="DD544">
        <v>0</v>
      </c>
      <c r="DE544">
        <v>1</v>
      </c>
      <c r="DF544">
        <v>1</v>
      </c>
      <c r="DG544">
        <v>1</v>
      </c>
      <c r="DI544">
        <f>SUM(DD544:DG544)</f>
        <v>3</v>
      </c>
      <c r="DJ544" t="str">
        <f>IF(DI544=1,INDEX($DD$7:$DG$7,MATCH(1,$DD544:$DG544,0)),"mixedProduct")</f>
        <v>mixedProduct</v>
      </c>
      <c r="DK544">
        <f>IF(DD544=1,DK$7,0)</f>
        <v>0</v>
      </c>
      <c r="DL544" t="str">
        <f>IF(DE544=1,DL$7,0)</f>
        <v>Energy</v>
      </c>
      <c r="DM544" t="str">
        <f>IF(DF544=1,DM$7,0)</f>
        <v>Pulp/Paper</v>
      </c>
      <c r="DN544" t="str">
        <f>IF(DG544=1,DN$7,0)</f>
        <v>Timber</v>
      </c>
      <c r="DO544">
        <v>0</v>
      </c>
      <c r="DP544">
        <v>1</v>
      </c>
      <c r="DQ544" t="s">
        <v>2146</v>
      </c>
      <c r="DR544">
        <v>0</v>
      </c>
      <c r="DS544">
        <v>0</v>
      </c>
      <c r="DT544">
        <f>SUM(DO544:DP544)</f>
        <v>1</v>
      </c>
      <c r="DU544" s="143" t="str">
        <f>IF(DO544=1,"self-calculated DF",IF(DP544=1,"external DF used","explicit C balance"))</f>
        <v>external DF used</v>
      </c>
      <c r="DV544">
        <v>1</v>
      </c>
      <c r="DW544">
        <v>1</v>
      </c>
      <c r="DX544">
        <v>1</v>
      </c>
      <c r="DY544">
        <v>0</v>
      </c>
      <c r="DZ544">
        <v>0</v>
      </c>
      <c r="EA544" s="143">
        <v>0</v>
      </c>
      <c r="EB544">
        <v>1</v>
      </c>
      <c r="EC544">
        <v>1</v>
      </c>
      <c r="ED544">
        <v>0</v>
      </c>
      <c r="EE544">
        <v>0</v>
      </c>
      <c r="EF544">
        <v>1</v>
      </c>
      <c r="EG544">
        <v>0</v>
      </c>
      <c r="EH544">
        <v>0</v>
      </c>
      <c r="EI544" s="2">
        <v>0</v>
      </c>
      <c r="EJ544" s="333"/>
      <c r="EK544" t="str">
        <f>IF(AND(AND(AND(OR($DX544=1,$DW544=1),OR($EC544=1,$EA544=1)),SUM($DV544:$DZ544,$EF544)&gt;=4),SUM($EA544:$EE544)&gt;=2),"Whole sector","")</f>
        <v>Whole sector</v>
      </c>
      <c r="EL544" t="str">
        <f>IF(AND(AND(OR($DX544=1,$DW544=1),AND($EC544=0,$EA544=0)),SUM($DV544:$DZ544,$EF544)&gt;=4),"Ecosystem approach","")</f>
        <v/>
      </c>
      <c r="EM544" s="2" t="str">
        <f>IF(AND(AND(AND($DX544=0,$DW544=0),OR($EC544=1,$EA544=1)),SUM($EB544:$EE544)&gt;=2),"Technology approach","")</f>
        <v/>
      </c>
      <c r="EP544" t="str">
        <f>IF(ISNUMBER(BU544),IF(ABS(BU544-[3]QC_indicators!$B$2)&gt;3*[3]QC_indicators!$C$2,"C ratio",IF(ISNUMBER(BY544),IF(ABS(BY544-[3]QC_indicators!$B$1)&gt;3*[3]QC_indicators!$C$1,"DF","no"))),IF(ISNUMBER(BY544),IF(ABS(BY544-[3]QC_indicators!$B$1)&gt;3*[3]QC_indicators!$C$1,"DF","no")))</f>
        <v>no</v>
      </c>
      <c r="ET544" s="264" t="s">
        <v>3407</v>
      </c>
    </row>
    <row r="545" spans="1:151" ht="15" customHeight="1">
      <c r="A545" s="1" t="s">
        <v>1102</v>
      </c>
      <c r="B545" t="s">
        <v>1103</v>
      </c>
      <c r="C545" t="s">
        <v>1104</v>
      </c>
      <c r="D545" t="s">
        <v>1105</v>
      </c>
      <c r="E545" t="s">
        <v>1106</v>
      </c>
      <c r="F545" t="s">
        <v>1107</v>
      </c>
      <c r="G545" t="s">
        <v>1108</v>
      </c>
      <c r="H545" t="s">
        <v>254</v>
      </c>
      <c r="I545">
        <v>2013</v>
      </c>
      <c r="J545">
        <v>11</v>
      </c>
      <c r="K545" t="s">
        <v>1109</v>
      </c>
      <c r="M545" t="str">
        <f>LEFT($D545,FIND(",",$D545)-1)&amp;"_"&amp;I545&amp;L545</f>
        <v>Routa_2013</v>
      </c>
      <c r="N545" t="s">
        <v>222</v>
      </c>
      <c r="O545" s="145" t="s">
        <v>341</v>
      </c>
      <c r="Q545" s="264" t="s">
        <v>256</v>
      </c>
      <c r="R545" s="269" t="s">
        <v>1154</v>
      </c>
      <c r="S545" s="1" t="s">
        <v>1124</v>
      </c>
      <c r="T545" t="s">
        <v>1111</v>
      </c>
      <c r="U545" t="e">
        <f>#REF!</f>
        <v>#REF!</v>
      </c>
      <c r="V545">
        <v>0</v>
      </c>
      <c r="W545">
        <v>0</v>
      </c>
      <c r="X545">
        <v>2</v>
      </c>
      <c r="Y545">
        <v>0</v>
      </c>
      <c r="Z545">
        <v>2</v>
      </c>
      <c r="AA545">
        <v>0</v>
      </c>
      <c r="AB545">
        <v>1</v>
      </c>
      <c r="AC545">
        <v>0</v>
      </c>
      <c r="AD545">
        <v>0</v>
      </c>
      <c r="AE545">
        <v>0</v>
      </c>
      <c r="AF545">
        <v>0</v>
      </c>
      <c r="AG545">
        <v>0</v>
      </c>
      <c r="AH545">
        <v>0</v>
      </c>
      <c r="AI545">
        <v>0</v>
      </c>
      <c r="AJ545">
        <v>2</v>
      </c>
      <c r="AK545">
        <v>0</v>
      </c>
      <c r="AL545">
        <v>2</v>
      </c>
      <c r="AM545">
        <v>0</v>
      </c>
      <c r="AN545">
        <v>0</v>
      </c>
      <c r="AO545">
        <v>0</v>
      </c>
      <c r="AP545">
        <v>0</v>
      </c>
      <c r="AQ545">
        <v>0</v>
      </c>
      <c r="AR545">
        <v>0</v>
      </c>
      <c r="AS545">
        <v>0</v>
      </c>
      <c r="AT545">
        <v>0</v>
      </c>
      <c r="AU545">
        <v>0</v>
      </c>
      <c r="AV545">
        <v>0</v>
      </c>
      <c r="AW545">
        <v>0</v>
      </c>
      <c r="AX545" s="141">
        <f>COUNTIF(V545:AW545,"&lt;&gt;0")</f>
        <v>5</v>
      </c>
      <c r="AY545" s="141">
        <f>COUNTIF(V545:AL545,"&lt;&gt;0")</f>
        <v>5</v>
      </c>
      <c r="AZ545">
        <f>COUNTIF(V545:AC545,"&lt;&gt;0")</f>
        <v>3</v>
      </c>
      <c r="BA545">
        <f>COUNTIF(AD545:AI545,"&lt;&gt;0")</f>
        <v>0</v>
      </c>
      <c r="BB545">
        <f>COUNTIF(AJ545:AL545,"&lt;&gt;0")</f>
        <v>2</v>
      </c>
      <c r="BC545">
        <f>COUNTIF(AS545:AW545,"&lt;&gt;0")</f>
        <v>0</v>
      </c>
      <c r="BD545">
        <f>COUNTIF(AM545:AR545,"&lt;&gt;0")</f>
        <v>0</v>
      </c>
      <c r="BE545" t="str" cm="1">
        <f t="array" ref="BE545">IF(AY545=1,INDEX($V$7:$AL$7,MATCH(TRUE,INDEX($V545:$AW545&lt;&gt;0,),0)),IF(AY545=0,INDEX($AM$7:$AW$7,MATCH(1,$AM545:$AW545,0)),IF(BF545="Multiple strategies","mixed drivers",IF(BF545="Supply chain","multiple supply","multiple silviculture"))))</f>
        <v>mixed drivers</v>
      </c>
      <c r="BF545" s="2" t="str" cm="1">
        <f t="array" ref="BF545">IF(COUNTIF(AZ545:BB545,"&lt;&gt;0")=1,INDEX($V$4:$AW$4,MATCH(TRUE,INDEX($V545:$AW545&lt;&gt;0,),0)),IF(COUNTIF(AZ545:BB545,"&lt;&gt;0")=0,INDEX($AM$4:$AW$4,MATCH(1,$AM545:$AW545,0)),"Multiple strategies"))</f>
        <v>Multiple strategies</v>
      </c>
      <c r="BG545" s="1" t="s">
        <v>321</v>
      </c>
      <c r="BH545" t="s">
        <v>1112</v>
      </c>
      <c r="BJ545" t="s">
        <v>1113</v>
      </c>
      <c r="BK545">
        <v>3.2</v>
      </c>
      <c r="BL545">
        <v>3.45</v>
      </c>
      <c r="BN545">
        <f>BL545-BK545</f>
        <v>0.25</v>
      </c>
      <c r="BO545">
        <f>BN545</f>
        <v>0.25</v>
      </c>
      <c r="BP545" s="264" t="s">
        <v>232</v>
      </c>
      <c r="BQ545" s="264"/>
      <c r="BR545" t="s">
        <v>1114</v>
      </c>
      <c r="BS545">
        <v>-2.5</v>
      </c>
      <c r="BT545">
        <v>-0.4</v>
      </c>
      <c r="BU545" s="144">
        <v>0.16</v>
      </c>
      <c r="BV545">
        <v>2.1</v>
      </c>
      <c r="BX545">
        <f>BV545/10^3</f>
        <v>2.1000000000000003E-3</v>
      </c>
      <c r="BY545">
        <f>IFERROR(BX545/BO545,"")</f>
        <v>8.4000000000000012E-3</v>
      </c>
      <c r="BZ545">
        <v>0</v>
      </c>
      <c r="CA545">
        <v>0</v>
      </c>
      <c r="CB545">
        <v>0</v>
      </c>
      <c r="CC545">
        <v>0</v>
      </c>
      <c r="CD545">
        <v>0</v>
      </c>
      <c r="CE545">
        <v>0</v>
      </c>
      <c r="CF545">
        <v>0</v>
      </c>
      <c r="CG545">
        <v>0</v>
      </c>
      <c r="CH545">
        <v>0</v>
      </c>
      <c r="CI545">
        <v>0</v>
      </c>
      <c r="CJ545">
        <v>0</v>
      </c>
      <c r="CK545">
        <v>0</v>
      </c>
      <c r="CL545">
        <v>0</v>
      </c>
      <c r="CM545">
        <v>0</v>
      </c>
      <c r="CN545" t="str">
        <f>IF($BL545&lt;$BK545,"refNeedCorrection","refOK")</f>
        <v>refOK</v>
      </c>
      <c r="CO545">
        <f>IF($CN545="refOK",$BK545,$BL545)</f>
        <v>3.2</v>
      </c>
      <c r="CP545">
        <f>IF($CN545="refOK",$BL545,$BK545)</f>
        <v>3.45</v>
      </c>
      <c r="CQ545">
        <f>IF($CN545="refOK",$BO545,-$BO545)</f>
        <v>0.25</v>
      </c>
      <c r="CR545">
        <f>IF($CN545="refOK",$BS545,$BT545)*IF($BP545="Emissions positive",-1,1)</f>
        <v>-2.5</v>
      </c>
      <c r="CS545">
        <f>IF($CN545="refOK",$BT545,$BS545)*IF($BP545="Emissions positive",-1,1)</f>
        <v>-0.4</v>
      </c>
      <c r="CT545">
        <f>IF($CN545="refNeedCorrection",-BX545,BX545)*IF($BP545="Emissions positive",-1,1)</f>
        <v>2.1000000000000003E-3</v>
      </c>
      <c r="CU545">
        <f>IFERROR(CT545/CQ545,"")</f>
        <v>8.4000000000000012E-3</v>
      </c>
      <c r="CV545" s="2">
        <f>IFERROR((CS545-CR545)/ABS(CR545),"")</f>
        <v>0.84000000000000008</v>
      </c>
      <c r="CW545" s="1" t="s">
        <v>234</v>
      </c>
      <c r="CX545" s="264" t="str">
        <f>IF(OR($CW545="prd",$CW545="std",$CW545="cit"),"loc",IF(OR($CW545="eur",$CW545="reg",$CW545="coy"),"reg",$CW545))</f>
        <v>loc</v>
      </c>
      <c r="CY545" t="s">
        <v>235</v>
      </c>
      <c r="CZ545">
        <v>2001</v>
      </c>
      <c r="DA545">
        <v>2100</v>
      </c>
      <c r="DB545">
        <v>100</v>
      </c>
      <c r="DC545" t="str">
        <f>IF(DB545=0,"0",IF(AND(DB545&gt;=1,DB545&lt;=30),"1-30",IF(AND(DB545&gt;30,DB545&lt;=70),"31-70",IF(AND(DB545&gt;70,DB545&lt;=100),"71-100",IF(DB545&gt;100,"+100")))))</f>
        <v>71-100</v>
      </c>
      <c r="DD545">
        <v>0</v>
      </c>
      <c r="DE545">
        <v>1</v>
      </c>
      <c r="DF545">
        <v>1</v>
      </c>
      <c r="DG545">
        <v>1</v>
      </c>
      <c r="DI545">
        <f>SUM(DD545:DG545)</f>
        <v>3</v>
      </c>
      <c r="DJ545" t="str">
        <f>IF(DI545=1,INDEX($DD$7:$DG$7,MATCH(1,$DD545:$DG545,0)),"mixedProduct")</f>
        <v>mixedProduct</v>
      </c>
      <c r="DK545">
        <f>IF(DD545=1,DK$7,0)</f>
        <v>0</v>
      </c>
      <c r="DL545" t="str">
        <f>IF(DE545=1,DL$7,0)</f>
        <v>Energy</v>
      </c>
      <c r="DM545" t="str">
        <f>IF(DF545=1,DM$7,0)</f>
        <v>Pulp/Paper</v>
      </c>
      <c r="DN545" t="str">
        <f>IF(DG545=1,DN$7,0)</f>
        <v>Timber</v>
      </c>
      <c r="DO545">
        <v>1</v>
      </c>
      <c r="DP545">
        <v>0</v>
      </c>
      <c r="DQ545">
        <v>0</v>
      </c>
      <c r="DR545">
        <v>0</v>
      </c>
      <c r="DS545">
        <v>0</v>
      </c>
      <c r="DT545">
        <f>SUM(DO545:DP545)</f>
        <v>1</v>
      </c>
      <c r="DU545" s="143" t="str">
        <f>IF(DO545=1,"self-calculated DF",IF(DP545=1,"external DF used","explicit C balance"))</f>
        <v>self-calculated DF</v>
      </c>
      <c r="DV545">
        <v>1</v>
      </c>
      <c r="DW545">
        <v>1</v>
      </c>
      <c r="DX545">
        <v>1</v>
      </c>
      <c r="DY545">
        <v>0</v>
      </c>
      <c r="DZ545">
        <v>0</v>
      </c>
      <c r="EA545" s="143">
        <v>0</v>
      </c>
      <c r="EB545">
        <v>1</v>
      </c>
      <c r="EC545">
        <v>1</v>
      </c>
      <c r="ED545">
        <v>0</v>
      </c>
      <c r="EE545">
        <v>0</v>
      </c>
      <c r="EF545">
        <v>1</v>
      </c>
      <c r="EG545">
        <v>1</v>
      </c>
      <c r="EH545">
        <v>0</v>
      </c>
      <c r="EI545" s="2">
        <v>0</v>
      </c>
      <c r="EJ545" s="333"/>
      <c r="EK545" t="str">
        <f>IF(AND(AND(AND(OR($DX545=1,$DW545=1),OR($EC545=1,$EA545=1)),SUM($DV545:$DZ545,$EF545)&gt;=4),SUM($EA545:$EE545)&gt;=2),"Whole sector","")</f>
        <v>Whole sector</v>
      </c>
      <c r="EL545" t="str">
        <f>IF(AND(AND(OR($DX545=1,$DW545=1),AND($EC545=0,$EA545=0)),SUM($DV545:$DZ545,$EF545)&gt;=4),"Ecosystem approach","")</f>
        <v/>
      </c>
      <c r="EM545" s="2" t="str">
        <f>IF(AND(AND(AND($DX545=0,$DW545=0),OR($EC545=1,$EA545=1)),SUM($EB545:$EE545)&gt;=2),"Technology approach","")</f>
        <v/>
      </c>
      <c r="EP545" t="str">
        <f>IF(ISNUMBER(BU545),IF(ABS(BU545-[3]QC_indicators!$B$2)&gt;3*[3]QC_indicators!$C$2,"C ratio",IF(ISNUMBER(BY545),IF(ABS(BY545-[3]QC_indicators!$B$1)&gt;3*[3]QC_indicators!$C$1,"DF","no"))),IF(ISNUMBER(BY545),IF(ABS(BY545-[3]QC_indicators!$B$1)&gt;3*[3]QC_indicators!$C$1,"DF","no")))</f>
        <v>no</v>
      </c>
      <c r="ER545" s="294" t="s">
        <v>349</v>
      </c>
      <c r="ET545" s="264" t="s">
        <v>3407</v>
      </c>
    </row>
    <row r="546" spans="1:151" ht="15" customHeight="1">
      <c r="A546" s="1" t="s">
        <v>1360</v>
      </c>
      <c r="B546" t="s">
        <v>2135</v>
      </c>
      <c r="C546" t="s">
        <v>2136</v>
      </c>
      <c r="D546" t="s">
        <v>2137</v>
      </c>
      <c r="E546" t="s">
        <v>2138</v>
      </c>
      <c r="F546" t="s">
        <v>2139</v>
      </c>
      <c r="G546" t="s">
        <v>1366</v>
      </c>
      <c r="H546" t="s">
        <v>254</v>
      </c>
      <c r="I546">
        <v>2012</v>
      </c>
      <c r="J546">
        <v>21</v>
      </c>
      <c r="K546" t="s">
        <v>2140</v>
      </c>
      <c r="L546" s="192"/>
      <c r="M546" t="str">
        <f>LEFT($D546,FIND(",",$D546)-1)&amp;"_"&amp;I546&amp;L546</f>
        <v>Pyorala_2012</v>
      </c>
      <c r="N546" t="s">
        <v>222</v>
      </c>
      <c r="O546" s="145" t="s">
        <v>341</v>
      </c>
      <c r="P546" s="180" t="s">
        <v>223</v>
      </c>
      <c r="Q546" s="264" t="s">
        <v>256</v>
      </c>
      <c r="R546" s="269" t="s">
        <v>1154</v>
      </c>
      <c r="S546" s="263" t="s">
        <v>2155</v>
      </c>
      <c r="T546" s="264" t="s">
        <v>2143</v>
      </c>
      <c r="U546" s="264" t="s">
        <v>2152</v>
      </c>
      <c r="V546">
        <v>0</v>
      </c>
      <c r="W546">
        <v>0</v>
      </c>
      <c r="X546">
        <v>0</v>
      </c>
      <c r="Y546">
        <v>0</v>
      </c>
      <c r="Z546">
        <v>0</v>
      </c>
      <c r="AA546">
        <v>0</v>
      </c>
      <c r="AB546">
        <v>1</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s="141">
        <f>COUNTIF(V546:AW546,"&lt;&gt;0")</f>
        <v>1</v>
      </c>
      <c r="AY546" s="141">
        <f>COUNTIF(V546:AL546,"&lt;&gt;0")</f>
        <v>1</v>
      </c>
      <c r="AZ546">
        <f>COUNTIF(V546:AC546,"&lt;&gt;0")</f>
        <v>1</v>
      </c>
      <c r="BA546">
        <f>COUNTIF(AD546:AI546,"&lt;&gt;0")</f>
        <v>0</v>
      </c>
      <c r="BB546">
        <f>COUNTIF(AJ546:AL546,"&lt;&gt;0")</f>
        <v>0</v>
      </c>
      <c r="BC546">
        <f>COUNTIF(AS546:AW546,"&lt;&gt;0")</f>
        <v>0</v>
      </c>
      <c r="BD546">
        <f>COUNTIF(AM546:AR546,"&lt;&gt;0")</f>
        <v>0</v>
      </c>
      <c r="BE546" t="str" cm="1">
        <f t="array" ref="BE546">IF(AY546=1,INDEX($V$7:$AL$7,MATCH(TRUE,INDEX($V546:$AW546&lt;&gt;0,),0)),IF(AY546=0,INDEX($AM$7:$AW$7,MATCH(1,$AM546:$AW546,0)),IF(BF546="Multiple strategies","mixed drivers",IF(BF546="Supply chain","multiple supply","multiple silviculture"))))</f>
        <v>fertilisation</v>
      </c>
      <c r="BF546" s="2" t="str" cm="1">
        <f t="array" ref="BF546">IF(COUNTIF(AZ546:BB546,"&lt;&gt;0")=1,INDEX($V$4:$AW$4,MATCH(TRUE,INDEX($V546:$AW546&lt;&gt;0,),0)),IF(COUNTIF(AZ546:BB546,"&lt;&gt;0")=0,INDEX($AM$4:$AW$4,MATCH(1,$AM546:$AW546,0)),"Multiple strategies"))</f>
        <v>Silviculture for productivity</v>
      </c>
      <c r="BG546" s="178" t="s">
        <v>321</v>
      </c>
      <c r="BH546" s="264" t="s">
        <v>2144</v>
      </c>
      <c r="BI546" s="264" t="s">
        <v>701</v>
      </c>
      <c r="BJ546" s="160" t="s">
        <v>700</v>
      </c>
      <c r="BK546">
        <v>6.5</v>
      </c>
      <c r="BL546">
        <v>7</v>
      </c>
      <c r="BN546">
        <f>BL546-BK546</f>
        <v>0.5</v>
      </c>
      <c r="BO546">
        <f>BN546</f>
        <v>0.5</v>
      </c>
      <c r="BP546" s="155" t="s">
        <v>395</v>
      </c>
      <c r="BQ546" s="335" t="s">
        <v>786</v>
      </c>
      <c r="BR546" s="270" t="s">
        <v>2145</v>
      </c>
      <c r="BS546">
        <f>-2.6/80</f>
        <v>-3.2500000000000001E-2</v>
      </c>
      <c r="BT546">
        <f>-3/80</f>
        <v>-3.7499999999999999E-2</v>
      </c>
      <c r="BU546" s="144"/>
      <c r="BV546">
        <f>BT546-BS546</f>
        <v>-4.9999999999999975E-3</v>
      </c>
      <c r="BX546">
        <f>BV546</f>
        <v>-4.9999999999999975E-3</v>
      </c>
      <c r="BY546">
        <f>IFERROR(BX546/BO546,"")</f>
        <v>-9.999999999999995E-3</v>
      </c>
      <c r="BZ546">
        <v>0</v>
      </c>
      <c r="CA546">
        <v>0</v>
      </c>
      <c r="CB546">
        <v>0</v>
      </c>
      <c r="CC546">
        <v>0</v>
      </c>
      <c r="CD546">
        <v>0</v>
      </c>
      <c r="CE546">
        <v>0</v>
      </c>
      <c r="CF546">
        <v>0</v>
      </c>
      <c r="CG546">
        <v>0</v>
      </c>
      <c r="CH546">
        <v>0</v>
      </c>
      <c r="CI546">
        <v>0</v>
      </c>
      <c r="CJ546">
        <v>0</v>
      </c>
      <c r="CK546">
        <v>0</v>
      </c>
      <c r="CL546">
        <v>0</v>
      </c>
      <c r="CM546">
        <v>0</v>
      </c>
      <c r="CN546" t="str">
        <f>IF($BL546&lt;$BK546,"refNeedCorrection","refOK")</f>
        <v>refOK</v>
      </c>
      <c r="CO546">
        <f>IF($CN546="refOK",$BK546,$BL546)</f>
        <v>6.5</v>
      </c>
      <c r="CP546">
        <f>IF($CN546="refOK",$BL546,$BK546)</f>
        <v>7</v>
      </c>
      <c r="CQ546">
        <f>IF($CN546="refOK",$BO546,-$BO546)</f>
        <v>0.5</v>
      </c>
      <c r="CR546">
        <f>IF($CN546="refOK",$BS546,$BT546)*IF($BP546="Emissions positive",-1,1)</f>
        <v>3.2500000000000001E-2</v>
      </c>
      <c r="CS546">
        <f>IF($CN546="refOK",$BT546,$BS546)*IF($BP546="Emissions positive",-1,1)</f>
        <v>3.7499999999999999E-2</v>
      </c>
      <c r="CT546">
        <f>IF($CN546="refNeedCorrection",-BX546,BX546)*IF($BP546="Emissions positive",-1,1)</f>
        <v>4.9999999999999975E-3</v>
      </c>
      <c r="CU546">
        <f>IFERROR(CT546/CQ546,"")</f>
        <v>9.999999999999995E-3</v>
      </c>
      <c r="CV546" s="2">
        <f>IFERROR((CS546-CR546)/ABS(CR546),"")</f>
        <v>0.15384615384615377</v>
      </c>
      <c r="CW546" s="1" t="s">
        <v>1199</v>
      </c>
      <c r="CX546" s="264" t="str">
        <f>IF(OR($CW546="prd",$CW546="std",$CW546="cit"),"loc",IF(OR($CW546="eur",$CW546="reg",$CW546="coy"),"reg",$CW546))</f>
        <v>reg</v>
      </c>
      <c r="CY546" t="s">
        <v>235</v>
      </c>
      <c r="DB546">
        <v>80</v>
      </c>
      <c r="DC546" t="str">
        <f>IF(DB546=0,"0",IF(AND(DB546&gt;=1,DB546&lt;=30),"1-30",IF(AND(DB546&gt;30,DB546&lt;=70),"31-70",IF(AND(DB546&gt;70,DB546&lt;=100),"71-100",IF(DB546&gt;100,"+100")))))</f>
        <v>71-100</v>
      </c>
      <c r="DD546">
        <v>0</v>
      </c>
      <c r="DE546">
        <v>1</v>
      </c>
      <c r="DF546">
        <v>1</v>
      </c>
      <c r="DG546">
        <v>1</v>
      </c>
      <c r="DI546">
        <f>SUM(DD546:DG546)</f>
        <v>3</v>
      </c>
      <c r="DJ546" t="str">
        <f>IF(DI546=1,INDEX($DD$7:$DG$7,MATCH(1,$DD546:$DG546,0)),"mixedProduct")</f>
        <v>mixedProduct</v>
      </c>
      <c r="DK546">
        <f>IF(DD546=1,DK$7,0)</f>
        <v>0</v>
      </c>
      <c r="DL546" t="str">
        <f>IF(DE546=1,DL$7,0)</f>
        <v>Energy</v>
      </c>
      <c r="DM546" t="str">
        <f>IF(DF546=1,DM$7,0)</f>
        <v>Pulp/Paper</v>
      </c>
      <c r="DN546" t="str">
        <f>IF(DG546=1,DN$7,0)</f>
        <v>Timber</v>
      </c>
      <c r="DO546">
        <v>0</v>
      </c>
      <c r="DP546">
        <v>1</v>
      </c>
      <c r="DQ546" t="s">
        <v>2146</v>
      </c>
      <c r="DR546">
        <v>0</v>
      </c>
      <c r="DS546">
        <v>0</v>
      </c>
      <c r="DT546">
        <f>SUM(DO546:DP546)</f>
        <v>1</v>
      </c>
      <c r="DU546" s="143" t="str">
        <f>IF(DO546=1,"self-calculated DF",IF(DP546=1,"external DF used","explicit C balance"))</f>
        <v>external DF used</v>
      </c>
      <c r="DV546">
        <v>1</v>
      </c>
      <c r="DW546">
        <v>1</v>
      </c>
      <c r="DX546">
        <v>1</v>
      </c>
      <c r="DY546">
        <v>0</v>
      </c>
      <c r="DZ546">
        <v>0</v>
      </c>
      <c r="EA546" s="143">
        <v>0</v>
      </c>
      <c r="EB546">
        <v>1</v>
      </c>
      <c r="EC546">
        <v>1</v>
      </c>
      <c r="ED546">
        <v>0</v>
      </c>
      <c r="EE546">
        <v>0</v>
      </c>
      <c r="EF546">
        <v>1</v>
      </c>
      <c r="EG546">
        <v>0</v>
      </c>
      <c r="EH546">
        <v>0</v>
      </c>
      <c r="EI546" s="2">
        <v>0</v>
      </c>
      <c r="EJ546" s="333"/>
      <c r="EK546" t="str">
        <f>IF(AND(AND(AND(OR($DX546=1,$DW546=1),OR($EC546=1,$EA546=1)),SUM($DV546:$DZ546,$EF546)&gt;=4),SUM($EA546:$EE546)&gt;=2),"Whole sector","")</f>
        <v>Whole sector</v>
      </c>
      <c r="EL546" t="str">
        <f>IF(AND(AND(OR($DX546=1,$DW546=1),AND($EC546=0,$EA546=0)),SUM($DV546:$DZ546,$EF546)&gt;=4),"Ecosystem approach","")</f>
        <v/>
      </c>
      <c r="EM546" s="2" t="str">
        <f>IF(AND(AND(AND($DX546=0,$DW546=0),OR($EC546=1,$EA546=1)),SUM($EB546:$EE546)&gt;=2),"Technology approach","")</f>
        <v/>
      </c>
      <c r="EP546" t="str">
        <f>IF(ISNUMBER(BU546),IF(ABS(BU546-[3]QC_indicators!$B$2)&gt;3*[3]QC_indicators!$C$2,"C ratio",IF(ISNUMBER(BY546),IF(ABS(BY546-[3]QC_indicators!$B$1)&gt;3*[3]QC_indicators!$C$1,"DF","no"))),IF(ISNUMBER(BY546),IF(ABS(BY546-[3]QC_indicators!$B$1)&gt;3*[3]QC_indicators!$C$1,"DF","no")))</f>
        <v>no</v>
      </c>
      <c r="ET546" s="264" t="s">
        <v>3407</v>
      </c>
    </row>
    <row r="547" spans="1:151" ht="15" customHeight="1">
      <c r="A547" s="1" t="s">
        <v>1360</v>
      </c>
      <c r="B547" t="s">
        <v>2135</v>
      </c>
      <c r="C547" t="s">
        <v>2136</v>
      </c>
      <c r="D547" t="s">
        <v>2137</v>
      </c>
      <c r="E547" t="s">
        <v>2138</v>
      </c>
      <c r="F547" t="s">
        <v>2139</v>
      </c>
      <c r="G547" t="s">
        <v>1366</v>
      </c>
      <c r="H547" t="s">
        <v>254</v>
      </c>
      <c r="I547">
        <v>2012</v>
      </c>
      <c r="J547">
        <v>21</v>
      </c>
      <c r="K547" t="s">
        <v>2140</v>
      </c>
      <c r="L547" s="192"/>
      <c r="M547" t="str">
        <f>LEFT($D547,FIND(",",$D547)-1)&amp;"_"&amp;I547&amp;L547</f>
        <v>Pyorala_2012</v>
      </c>
      <c r="N547" t="s">
        <v>222</v>
      </c>
      <c r="O547" s="145" t="s">
        <v>341</v>
      </c>
      <c r="P547" s="193" t="s">
        <v>223</v>
      </c>
      <c r="Q547" s="264" t="s">
        <v>2162</v>
      </c>
      <c r="R547" s="269" t="s">
        <v>1154</v>
      </c>
      <c r="S547" s="263" t="s">
        <v>2156</v>
      </c>
      <c r="T547" s="264" t="s">
        <v>2157</v>
      </c>
      <c r="U547" s="264" t="s">
        <v>2158</v>
      </c>
      <c r="V547">
        <v>0</v>
      </c>
      <c r="W547">
        <v>0</v>
      </c>
      <c r="X547">
        <v>0</v>
      </c>
      <c r="Y547">
        <v>0</v>
      </c>
      <c r="Z547">
        <v>0</v>
      </c>
      <c r="AA547">
        <v>0</v>
      </c>
      <c r="AB547">
        <v>0</v>
      </c>
      <c r="AC547">
        <v>1</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s="141">
        <f>COUNTIF(V547:AW547,"&lt;&gt;0")</f>
        <v>1</v>
      </c>
      <c r="AY547" s="141">
        <f>COUNTIF(V547:AL547,"&lt;&gt;0")</f>
        <v>1</v>
      </c>
      <c r="AZ547">
        <f>COUNTIF(V547:AC547,"&lt;&gt;0")</f>
        <v>1</v>
      </c>
      <c r="BA547">
        <f>COUNTIF(AD547:AI547,"&lt;&gt;0")</f>
        <v>0</v>
      </c>
      <c r="BB547">
        <f>COUNTIF(AJ547:AL547,"&lt;&gt;0")</f>
        <v>0</v>
      </c>
      <c r="BC547">
        <f>COUNTIF(AS547:AW547,"&lt;&gt;0")</f>
        <v>0</v>
      </c>
      <c r="BD547">
        <f>COUNTIF(AM547:AR547,"&lt;&gt;0")</f>
        <v>0</v>
      </c>
      <c r="BE547" t="str" cm="1">
        <f t="array" ref="BE547">IF(AY547=1,INDEX($V$7:$AL$7,MATCH(TRUE,INDEX($V547:$AW547&lt;&gt;0,),0)),IF(AY547=0,INDEX($AM$7:$AW$7,MATCH(1,$AM547:$AW547,0)),IF(BF547="Multiple strategies","mixed drivers",IF(BF547="Supply chain","multiple supply","multiple silviculture"))))</f>
        <v>site fertility</v>
      </c>
      <c r="BF547" s="2" t="str" cm="1">
        <f t="array" ref="BF547">IF(COUNTIF(AZ547:BB547,"&lt;&gt;0")=1,INDEX($V$4:$AW$4,MATCH(TRUE,INDEX($V547:$AW547&lt;&gt;0,),0)),IF(COUNTIF(AZ547:BB547,"&lt;&gt;0")=0,INDEX($AM$4:$AW$4,MATCH(1,$AM547:$AW547,0)),"Multiple strategies"))</f>
        <v>Silviculture for productivity</v>
      </c>
      <c r="BG547" s="194" t="s">
        <v>321</v>
      </c>
      <c r="BH547" s="264" t="s">
        <v>2144</v>
      </c>
      <c r="BI547" s="264" t="s">
        <v>2159</v>
      </c>
      <c r="BJ547" s="195" t="s">
        <v>700</v>
      </c>
      <c r="BK547">
        <v>7.4</v>
      </c>
      <c r="BL547">
        <v>8.8000000000000007</v>
      </c>
      <c r="BN547">
        <f>BL547-BK547</f>
        <v>1.4000000000000004</v>
      </c>
      <c r="BO547">
        <f>BN547</f>
        <v>1.4000000000000004</v>
      </c>
      <c r="BP547" s="149" t="s">
        <v>395</v>
      </c>
      <c r="BQ547" s="335" t="s">
        <v>786</v>
      </c>
      <c r="BR547" s="294" t="s">
        <v>2145</v>
      </c>
      <c r="BS547">
        <f>-4/80</f>
        <v>-0.05</v>
      </c>
      <c r="BT547">
        <f>-5.2/80</f>
        <v>-6.5000000000000002E-2</v>
      </c>
      <c r="BU547" s="144"/>
      <c r="BV547">
        <f>BT547-BS547</f>
        <v>-1.4999999999999999E-2</v>
      </c>
      <c r="BX547">
        <f>BV547</f>
        <v>-1.4999999999999999E-2</v>
      </c>
      <c r="BY547">
        <f>IFERROR(BX547/BO547,"")</f>
        <v>-1.0714285714285711E-2</v>
      </c>
      <c r="BZ547">
        <v>0</v>
      </c>
      <c r="CA547">
        <v>0</v>
      </c>
      <c r="CB547">
        <v>0</v>
      </c>
      <c r="CC547">
        <v>0</v>
      </c>
      <c r="CD547">
        <v>0</v>
      </c>
      <c r="CE547">
        <v>0</v>
      </c>
      <c r="CF547">
        <v>0</v>
      </c>
      <c r="CG547">
        <v>0</v>
      </c>
      <c r="CH547">
        <v>0</v>
      </c>
      <c r="CI547">
        <v>0</v>
      </c>
      <c r="CJ547">
        <v>0</v>
      </c>
      <c r="CK547">
        <v>0</v>
      </c>
      <c r="CL547">
        <v>0</v>
      </c>
      <c r="CM547">
        <v>0</v>
      </c>
      <c r="CN547" t="str">
        <f>IF($BL547&lt;$BK547,"refNeedCorrection","refOK")</f>
        <v>refOK</v>
      </c>
      <c r="CO547">
        <f>IF($CN547="refOK",$BK547,$BL547)</f>
        <v>7.4</v>
      </c>
      <c r="CP547">
        <f>IF($CN547="refOK",$BL547,$BK547)</f>
        <v>8.8000000000000007</v>
      </c>
      <c r="CQ547">
        <f>IF($CN547="refOK",$BO547,-$BO547)</f>
        <v>1.4000000000000004</v>
      </c>
      <c r="CR547">
        <f>IF($CN547="refOK",$BS547,$BT547)*IF($BP547="Emissions positive",-1,1)</f>
        <v>0.05</v>
      </c>
      <c r="CS547">
        <f>IF($CN547="refOK",$BT547,$BS547)*IF($BP547="Emissions positive",-1,1)</f>
        <v>6.5000000000000002E-2</v>
      </c>
      <c r="CT547">
        <f>IF($CN547="refNeedCorrection",-BX547,BX547)*IF($BP547="Emissions positive",-1,1)</f>
        <v>1.4999999999999999E-2</v>
      </c>
      <c r="CU547">
        <f>IFERROR(CT547/CQ547,"")</f>
        <v>1.0714285714285711E-2</v>
      </c>
      <c r="CV547" s="2">
        <f>IFERROR((CS547-CR547)/ABS(CR547),"")</f>
        <v>0.3</v>
      </c>
      <c r="CW547" s="1" t="s">
        <v>1199</v>
      </c>
      <c r="CX547" s="264" t="str">
        <f>IF(OR($CW547="prd",$CW547="std",$CW547="cit"),"loc",IF(OR($CW547="eur",$CW547="reg",$CW547="coy"),"reg",$CW547))</f>
        <v>reg</v>
      </c>
      <c r="CY547" t="s">
        <v>235</v>
      </c>
      <c r="DB547">
        <v>80</v>
      </c>
      <c r="DC547" t="str">
        <f>IF(DB547=0,"0",IF(AND(DB547&gt;=1,DB547&lt;=30),"1-30",IF(AND(DB547&gt;30,DB547&lt;=70),"31-70",IF(AND(DB547&gt;70,DB547&lt;=100),"71-100",IF(DB547&gt;100,"+100")))))</f>
        <v>71-100</v>
      </c>
      <c r="DD547">
        <v>0</v>
      </c>
      <c r="DE547">
        <v>1</v>
      </c>
      <c r="DF547">
        <v>1</v>
      </c>
      <c r="DG547">
        <v>1</v>
      </c>
      <c r="DI547">
        <f>SUM(DD547:DG547)</f>
        <v>3</v>
      </c>
      <c r="DJ547" t="str">
        <f>IF(DI547=1,INDEX($DD$7:$DG$7,MATCH(1,$DD547:$DG547,0)),"mixedProduct")</f>
        <v>mixedProduct</v>
      </c>
      <c r="DK547">
        <f>IF(DD547=1,DK$7,0)</f>
        <v>0</v>
      </c>
      <c r="DL547" t="str">
        <f>IF(DE547=1,DL$7,0)</f>
        <v>Energy</v>
      </c>
      <c r="DM547" t="str">
        <f>IF(DF547=1,DM$7,0)</f>
        <v>Pulp/Paper</v>
      </c>
      <c r="DN547" t="str">
        <f>IF(DG547=1,DN$7,0)</f>
        <v>Timber</v>
      </c>
      <c r="DO547">
        <v>0</v>
      </c>
      <c r="DP547">
        <v>1</v>
      </c>
      <c r="DQ547" t="s">
        <v>2146</v>
      </c>
      <c r="DR547">
        <v>0</v>
      </c>
      <c r="DS547">
        <v>0</v>
      </c>
      <c r="DT547">
        <f>SUM(DO547:DP547)</f>
        <v>1</v>
      </c>
      <c r="DU547" s="143" t="str">
        <f>IF(DO547=1,"self-calculated DF",IF(DP547=1,"external DF used","explicit C balance"))</f>
        <v>external DF used</v>
      </c>
      <c r="DV547">
        <v>1</v>
      </c>
      <c r="DW547">
        <v>1</v>
      </c>
      <c r="DX547">
        <v>1</v>
      </c>
      <c r="DY547">
        <v>0</v>
      </c>
      <c r="DZ547">
        <v>0</v>
      </c>
      <c r="EA547" s="143">
        <v>0</v>
      </c>
      <c r="EB547">
        <v>1</v>
      </c>
      <c r="EC547">
        <v>1</v>
      </c>
      <c r="ED547">
        <v>0</v>
      </c>
      <c r="EE547">
        <v>0</v>
      </c>
      <c r="EF547">
        <v>1</v>
      </c>
      <c r="EG547">
        <v>0</v>
      </c>
      <c r="EH547">
        <v>0</v>
      </c>
      <c r="EI547" s="2">
        <v>0</v>
      </c>
      <c r="EJ547" s="333"/>
      <c r="EK547" t="str">
        <f>IF(AND(AND(AND(OR($DX547=1,$DW547=1),OR($EC547=1,$EA547=1)),SUM($DV547:$DZ547,$EF547)&gt;=4),SUM($EA547:$EE547)&gt;=2),"Whole sector","")</f>
        <v>Whole sector</v>
      </c>
      <c r="EL547" t="str">
        <f>IF(AND(AND(OR($DX547=1,$DW547=1),AND($EC547=0,$EA547=0)),SUM($DV547:$DZ547,$EF547)&gt;=4),"Ecosystem approach","")</f>
        <v/>
      </c>
      <c r="EM547" s="2" t="str">
        <f>IF(AND(AND(AND($DX547=0,$DW547=0),OR($EC547=1,$EA547=1)),SUM($EB547:$EE547)&gt;=2),"Technology approach","")</f>
        <v/>
      </c>
      <c r="EP547" t="str">
        <f>IF(ISNUMBER(BU547),IF(ABS(BU547-[3]QC_indicators!$B$2)&gt;3*[3]QC_indicators!$C$2,"C ratio",IF(ISNUMBER(BY547),IF(ABS(BY547-[3]QC_indicators!$B$1)&gt;3*[3]QC_indicators!$C$1,"DF","no"))),IF(ISNUMBER(BY547),IF(ABS(BY547-[3]QC_indicators!$B$1)&gt;3*[3]QC_indicators!$C$1,"DF","no")))</f>
        <v>no</v>
      </c>
      <c r="ET547" s="264" t="s">
        <v>3407</v>
      </c>
    </row>
    <row r="548" spans="1:151" ht="15" customHeight="1">
      <c r="A548" s="1" t="s">
        <v>1360</v>
      </c>
      <c r="B548" t="s">
        <v>2135</v>
      </c>
      <c r="C548" t="s">
        <v>2136</v>
      </c>
      <c r="D548" t="s">
        <v>2137</v>
      </c>
      <c r="E548" t="s">
        <v>2138</v>
      </c>
      <c r="F548" t="s">
        <v>2139</v>
      </c>
      <c r="G548" t="s">
        <v>1366</v>
      </c>
      <c r="H548" t="s">
        <v>254</v>
      </c>
      <c r="I548">
        <v>2012</v>
      </c>
      <c r="J548">
        <v>21</v>
      </c>
      <c r="K548" t="s">
        <v>2140</v>
      </c>
      <c r="L548" s="192"/>
      <c r="M548" t="str">
        <f>LEFT($D548,FIND(",",$D548)-1)&amp;"_"&amp;I548&amp;L548</f>
        <v>Pyorala_2012</v>
      </c>
      <c r="N548" t="s">
        <v>222</v>
      </c>
      <c r="O548" s="145" t="s">
        <v>341</v>
      </c>
      <c r="P548" s="180" t="s">
        <v>223</v>
      </c>
      <c r="Q548" s="264" t="s">
        <v>256</v>
      </c>
      <c r="R548" s="269" t="s">
        <v>1154</v>
      </c>
      <c r="S548" s="263" t="s">
        <v>2154</v>
      </c>
      <c r="T548" s="264" t="s">
        <v>2143</v>
      </c>
      <c r="U548" s="264" t="s">
        <v>2152</v>
      </c>
      <c r="V548">
        <v>0</v>
      </c>
      <c r="W548">
        <v>0</v>
      </c>
      <c r="X548">
        <v>0</v>
      </c>
      <c r="Y548">
        <v>0</v>
      </c>
      <c r="Z548">
        <v>0</v>
      </c>
      <c r="AA548">
        <v>0</v>
      </c>
      <c r="AB548">
        <v>1</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s="141">
        <f>COUNTIF(V548:AW548,"&lt;&gt;0")</f>
        <v>1</v>
      </c>
      <c r="AY548" s="141">
        <f>COUNTIF(V548:AL548,"&lt;&gt;0")</f>
        <v>1</v>
      </c>
      <c r="AZ548">
        <f>COUNTIF(V548:AC548,"&lt;&gt;0")</f>
        <v>1</v>
      </c>
      <c r="BA548">
        <f>COUNTIF(AD548:AI548,"&lt;&gt;0")</f>
        <v>0</v>
      </c>
      <c r="BB548">
        <f>COUNTIF(AJ548:AL548,"&lt;&gt;0")</f>
        <v>0</v>
      </c>
      <c r="BC548">
        <f>COUNTIF(AS548:AW548,"&lt;&gt;0")</f>
        <v>0</v>
      </c>
      <c r="BD548">
        <f>COUNTIF(AM548:AR548,"&lt;&gt;0")</f>
        <v>0</v>
      </c>
      <c r="BE548" t="str" cm="1">
        <f t="array" ref="BE548">IF(AY548=1,INDEX($V$7:$AL$7,MATCH(TRUE,INDEX($V548:$AW548&lt;&gt;0,),0)),IF(AY548=0,INDEX($AM$7:$AW$7,MATCH(1,$AM548:$AW548,0)),IF(BF548="Multiple strategies","mixed drivers",IF(BF548="Supply chain","multiple supply","multiple silviculture"))))</f>
        <v>fertilisation</v>
      </c>
      <c r="BF548" s="2" t="str" cm="1">
        <f t="array" ref="BF548">IF(COUNTIF(AZ548:BB548,"&lt;&gt;0")=1,INDEX($V$4:$AW$4,MATCH(TRUE,INDEX($V548:$AW548&lt;&gt;0,),0)),IF(COUNTIF(AZ548:BB548,"&lt;&gt;0")=0,INDEX($AM$4:$AW$4,MATCH(1,$AM548:$AW548,0)),"Multiple strategies"))</f>
        <v>Silviculture for productivity</v>
      </c>
      <c r="BG548" s="178" t="s">
        <v>321</v>
      </c>
      <c r="BH548" s="264" t="s">
        <v>2144</v>
      </c>
      <c r="BI548" s="264" t="s">
        <v>426</v>
      </c>
      <c r="BJ548" s="160" t="s">
        <v>700</v>
      </c>
      <c r="BK548">
        <v>7.8</v>
      </c>
      <c r="BL548">
        <v>10.6</v>
      </c>
      <c r="BN548">
        <f>BL548-BK548</f>
        <v>2.8</v>
      </c>
      <c r="BO548">
        <f>BN548</f>
        <v>2.8</v>
      </c>
      <c r="BP548" s="155" t="s">
        <v>395</v>
      </c>
      <c r="BQ548" s="264" t="s">
        <v>786</v>
      </c>
      <c r="BR548" s="270" t="s">
        <v>2145</v>
      </c>
      <c r="BS548">
        <f>-3.5/50</f>
        <v>-7.0000000000000007E-2</v>
      </c>
      <c r="BT548">
        <f>-5.1/50</f>
        <v>-0.10199999999999999</v>
      </c>
      <c r="BU548" s="144"/>
      <c r="BV548">
        <f>BT548-BS548</f>
        <v>-3.1999999999999987E-2</v>
      </c>
      <c r="BX548">
        <f>BV548</f>
        <v>-3.1999999999999987E-2</v>
      </c>
      <c r="BY548">
        <f>IFERROR(BX548/BO548,"")</f>
        <v>-1.1428571428571425E-2</v>
      </c>
      <c r="BZ548">
        <v>0</v>
      </c>
      <c r="CA548">
        <v>0</v>
      </c>
      <c r="CB548">
        <v>0</v>
      </c>
      <c r="CC548">
        <v>0</v>
      </c>
      <c r="CD548">
        <v>0</v>
      </c>
      <c r="CE548">
        <v>0</v>
      </c>
      <c r="CF548">
        <v>0</v>
      </c>
      <c r="CG548">
        <v>0</v>
      </c>
      <c r="CH548">
        <v>0</v>
      </c>
      <c r="CI548">
        <v>0</v>
      </c>
      <c r="CJ548">
        <v>0</v>
      </c>
      <c r="CK548">
        <v>0</v>
      </c>
      <c r="CL548">
        <v>0</v>
      </c>
      <c r="CM548">
        <v>0</v>
      </c>
      <c r="CN548" t="str">
        <f>IF($BL548&lt;$BK548,"refNeedCorrection","refOK")</f>
        <v>refOK</v>
      </c>
      <c r="CO548">
        <f>IF($CN548="refOK",$BK548,$BL548)</f>
        <v>7.8</v>
      </c>
      <c r="CP548">
        <f>IF($CN548="refOK",$BL548,$BK548)</f>
        <v>10.6</v>
      </c>
      <c r="CQ548">
        <f>IF($CN548="refOK",$BO548,-$BO548)</f>
        <v>2.8</v>
      </c>
      <c r="CR548">
        <f>IF($CN548="refOK",$BS548,$BT548)*IF($BP548="Emissions positive",-1,1)</f>
        <v>7.0000000000000007E-2</v>
      </c>
      <c r="CS548">
        <f>IF($CN548="refOK",$BT548,$BS548)*IF($BP548="Emissions positive",-1,1)</f>
        <v>0.10199999999999999</v>
      </c>
      <c r="CT548">
        <f>IF($CN548="refNeedCorrection",-BX548,BX548)*IF($BP548="Emissions positive",-1,1)</f>
        <v>3.1999999999999987E-2</v>
      </c>
      <c r="CU548">
        <f>IFERROR(CT548/CQ548,"")</f>
        <v>1.1428571428571425E-2</v>
      </c>
      <c r="CV548" s="2">
        <f>IFERROR((CS548-CR548)/ABS(CR548),"")</f>
        <v>0.45714285714285691</v>
      </c>
      <c r="CW548" s="1" t="s">
        <v>1199</v>
      </c>
      <c r="CX548" s="264" t="str">
        <f>IF(OR($CW548="prd",$CW548="std",$CW548="cit"),"loc",IF(OR($CW548="eur",$CW548="reg",$CW548="coy"),"reg",$CW548))</f>
        <v>reg</v>
      </c>
      <c r="CY548" t="s">
        <v>235</v>
      </c>
      <c r="DB548">
        <v>50</v>
      </c>
      <c r="DC548" t="str">
        <f>IF(DB548=0,"0",IF(AND(DB548&gt;=1,DB548&lt;=30),"1-30",IF(AND(DB548&gt;30,DB548&lt;=70),"31-70",IF(AND(DB548&gt;70,DB548&lt;=100),"71-100",IF(DB548&gt;100,"+100")))))</f>
        <v>31-70</v>
      </c>
      <c r="DD548">
        <v>0</v>
      </c>
      <c r="DE548">
        <v>1</v>
      </c>
      <c r="DF548">
        <v>1</v>
      </c>
      <c r="DG548">
        <v>1</v>
      </c>
      <c r="DI548">
        <f>SUM(DD548:DG548)</f>
        <v>3</v>
      </c>
      <c r="DJ548" t="str">
        <f>IF(DI548=1,INDEX($DD$7:$DG$7,MATCH(1,$DD548:$DG548,0)),"mixedProduct")</f>
        <v>mixedProduct</v>
      </c>
      <c r="DK548">
        <f>IF(DD548=1,DK$7,0)</f>
        <v>0</v>
      </c>
      <c r="DL548" t="str">
        <f>IF(DE548=1,DL$7,0)</f>
        <v>Energy</v>
      </c>
      <c r="DM548" t="str">
        <f>IF(DF548=1,DM$7,0)</f>
        <v>Pulp/Paper</v>
      </c>
      <c r="DN548" t="str">
        <f>IF(DG548=1,DN$7,0)</f>
        <v>Timber</v>
      </c>
      <c r="DO548">
        <v>0</v>
      </c>
      <c r="DP548">
        <v>1</v>
      </c>
      <c r="DQ548" t="s">
        <v>2146</v>
      </c>
      <c r="DR548">
        <v>0</v>
      </c>
      <c r="DS548">
        <v>0</v>
      </c>
      <c r="DT548">
        <f>SUM(DO548:DP548)</f>
        <v>1</v>
      </c>
      <c r="DU548" s="143" t="str">
        <f>IF(DO548=1,"self-calculated DF",IF(DP548=1,"external DF used","explicit C balance"))</f>
        <v>external DF used</v>
      </c>
      <c r="DV548">
        <v>1</v>
      </c>
      <c r="DW548">
        <v>1</v>
      </c>
      <c r="DX548">
        <v>1</v>
      </c>
      <c r="DY548">
        <v>0</v>
      </c>
      <c r="DZ548">
        <v>0</v>
      </c>
      <c r="EA548" s="143">
        <v>0</v>
      </c>
      <c r="EB548">
        <v>1</v>
      </c>
      <c r="EC548">
        <v>1</v>
      </c>
      <c r="ED548">
        <v>0</v>
      </c>
      <c r="EE548">
        <v>0</v>
      </c>
      <c r="EF548">
        <v>1</v>
      </c>
      <c r="EG548">
        <v>0</v>
      </c>
      <c r="EH548">
        <v>0</v>
      </c>
      <c r="EI548" s="2">
        <v>0</v>
      </c>
      <c r="EJ548" s="333"/>
      <c r="EK548" t="str">
        <f>IF(AND(AND(AND(OR($DX548=1,$DW548=1),OR($EC548=1,$EA548=1)),SUM($DV548:$DZ548,$EF548)&gt;=4),SUM($EA548:$EE548)&gt;=2),"Whole sector","")</f>
        <v>Whole sector</v>
      </c>
      <c r="EL548" t="str">
        <f>IF(AND(AND(OR($DX548=1,$DW548=1),AND($EC548=0,$EA548=0)),SUM($DV548:$DZ548,$EF548)&gt;=4),"Ecosystem approach","")</f>
        <v/>
      </c>
      <c r="EM548" s="2" t="str">
        <f>IF(AND(AND(AND($DX548=0,$DW548=0),OR($EC548=1,$EA548=1)),SUM($EB548:$EE548)&gt;=2),"Technology approach","")</f>
        <v/>
      </c>
      <c r="EP548" t="str">
        <f>IF(ISNUMBER(BU548),IF(ABS(BU548-[3]QC_indicators!$B$2)&gt;3*[3]QC_indicators!$C$2,"C ratio",IF(ISNUMBER(BY548),IF(ABS(BY548-[3]QC_indicators!$B$1)&gt;3*[3]QC_indicators!$C$1,"DF","no"))),IF(ISNUMBER(BY548),IF(ABS(BY548-[3]QC_indicators!$B$1)&gt;3*[3]QC_indicators!$C$1,"DF","no")))</f>
        <v>no</v>
      </c>
      <c r="ET548" s="264" t="s">
        <v>3407</v>
      </c>
    </row>
    <row r="549" spans="1:151" ht="15" customHeight="1">
      <c r="A549" s="1" t="s">
        <v>1360</v>
      </c>
      <c r="B549" t="s">
        <v>2135</v>
      </c>
      <c r="C549" t="s">
        <v>2136</v>
      </c>
      <c r="D549" t="s">
        <v>2137</v>
      </c>
      <c r="E549" t="s">
        <v>2138</v>
      </c>
      <c r="F549" t="s">
        <v>2139</v>
      </c>
      <c r="G549" t="s">
        <v>1366</v>
      </c>
      <c r="H549" t="s">
        <v>254</v>
      </c>
      <c r="I549">
        <v>2012</v>
      </c>
      <c r="J549">
        <v>21</v>
      </c>
      <c r="K549" t="s">
        <v>2140</v>
      </c>
      <c r="L549" s="192"/>
      <c r="M549" t="str">
        <f>LEFT($D549,FIND(",",$D549)-1)&amp;"_"&amp;I549&amp;L549</f>
        <v>Pyorala_2012</v>
      </c>
      <c r="N549" t="s">
        <v>222</v>
      </c>
      <c r="O549" s="145" t="s">
        <v>341</v>
      </c>
      <c r="P549" s="180" t="s">
        <v>223</v>
      </c>
      <c r="Q549" s="264" t="s">
        <v>256</v>
      </c>
      <c r="R549" s="269" t="s">
        <v>1154</v>
      </c>
      <c r="S549" s="263" t="s">
        <v>2151</v>
      </c>
      <c r="T549" s="264" t="s">
        <v>2143</v>
      </c>
      <c r="U549" s="264" t="s">
        <v>2152</v>
      </c>
      <c r="V549">
        <v>0</v>
      </c>
      <c r="W549">
        <v>0</v>
      </c>
      <c r="X549">
        <v>0</v>
      </c>
      <c r="Y549">
        <v>0</v>
      </c>
      <c r="Z549">
        <v>0</v>
      </c>
      <c r="AA549">
        <v>0</v>
      </c>
      <c r="AB549">
        <v>1</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s="141">
        <f>COUNTIF(V549:AW549,"&lt;&gt;0")</f>
        <v>1</v>
      </c>
      <c r="AY549" s="141">
        <f>COUNTIF(V549:AL549,"&lt;&gt;0")</f>
        <v>1</v>
      </c>
      <c r="AZ549">
        <f>COUNTIF(V549:AC549,"&lt;&gt;0")</f>
        <v>1</v>
      </c>
      <c r="BA549">
        <f>COUNTIF(AD549:AI549,"&lt;&gt;0")</f>
        <v>0</v>
      </c>
      <c r="BB549">
        <f>COUNTIF(AJ549:AL549,"&lt;&gt;0")</f>
        <v>0</v>
      </c>
      <c r="BC549">
        <f>COUNTIF(AS549:AW549,"&lt;&gt;0")</f>
        <v>0</v>
      </c>
      <c r="BD549">
        <f>COUNTIF(AM549:AR549,"&lt;&gt;0")</f>
        <v>0</v>
      </c>
      <c r="BE549" t="str" cm="1">
        <f t="array" ref="BE549">IF(AY549=1,INDEX($V$7:$AL$7,MATCH(TRUE,INDEX($V549:$AW549&lt;&gt;0,),0)),IF(AY549=0,INDEX($AM$7:$AW$7,MATCH(1,$AM549:$AW549,0)),IF(BF549="Multiple strategies","mixed drivers",IF(BF549="Supply chain","multiple supply","multiple silviculture"))))</f>
        <v>fertilisation</v>
      </c>
      <c r="BF549" s="2" t="str" cm="1">
        <f t="array" ref="BF549">IF(COUNTIF(AZ549:BB549,"&lt;&gt;0")=1,INDEX($V$4:$AW$4,MATCH(TRUE,INDEX($V549:$AW549&lt;&gt;0,),0)),IF(COUNTIF(AZ549:BB549,"&lt;&gt;0")=0,INDEX($AM$4:$AW$4,MATCH(1,$AM549:$AW549,0)),"Multiple strategies"))</f>
        <v>Silviculture for productivity</v>
      </c>
      <c r="BG549" s="178" t="s">
        <v>321</v>
      </c>
      <c r="BH549" s="264" t="s">
        <v>2144</v>
      </c>
      <c r="BI549" s="264" t="s">
        <v>426</v>
      </c>
      <c r="BJ549" s="160" t="s">
        <v>700</v>
      </c>
      <c r="BK549">
        <v>8.4</v>
      </c>
      <c r="BL549">
        <v>8.6999999999999993</v>
      </c>
      <c r="BN549">
        <f>BL549-BK549</f>
        <v>0.29999999999999893</v>
      </c>
      <c r="BO549">
        <f>BN549</f>
        <v>0.29999999999999893</v>
      </c>
      <c r="BP549" s="155" t="s">
        <v>395</v>
      </c>
      <c r="BQ549" s="335" t="s">
        <v>786</v>
      </c>
      <c r="BR549" s="270" t="s">
        <v>2145</v>
      </c>
      <c r="BS549">
        <f>-3.8/80</f>
        <v>-4.7500000000000001E-2</v>
      </c>
      <c r="BT549">
        <f>-4.1/80</f>
        <v>-5.1249999999999997E-2</v>
      </c>
      <c r="BU549" s="144"/>
      <c r="BV549">
        <f>BT549-BS549</f>
        <v>-3.7499999999999964E-3</v>
      </c>
      <c r="BX549">
        <f>BV549</f>
        <v>-3.7499999999999964E-3</v>
      </c>
      <c r="BY549">
        <f>IFERROR(BX549/BO549,"")</f>
        <v>-1.2500000000000032E-2</v>
      </c>
      <c r="BZ549">
        <v>0</v>
      </c>
      <c r="CA549">
        <v>0</v>
      </c>
      <c r="CB549">
        <v>0</v>
      </c>
      <c r="CC549">
        <v>0</v>
      </c>
      <c r="CD549">
        <v>0</v>
      </c>
      <c r="CE549">
        <v>0</v>
      </c>
      <c r="CF549">
        <v>0</v>
      </c>
      <c r="CG549">
        <v>0</v>
      </c>
      <c r="CH549">
        <v>0</v>
      </c>
      <c r="CI549">
        <v>0</v>
      </c>
      <c r="CJ549">
        <v>0</v>
      </c>
      <c r="CK549">
        <v>0</v>
      </c>
      <c r="CL549">
        <v>0</v>
      </c>
      <c r="CM549">
        <v>0</v>
      </c>
      <c r="CN549" t="str">
        <f>IF($BL549&lt;$BK549,"refNeedCorrection","refOK")</f>
        <v>refOK</v>
      </c>
      <c r="CO549">
        <f>IF($CN549="refOK",$BK549,$BL549)</f>
        <v>8.4</v>
      </c>
      <c r="CP549">
        <f>IF($CN549="refOK",$BL549,$BK549)</f>
        <v>8.6999999999999993</v>
      </c>
      <c r="CQ549">
        <f>IF($CN549="refOK",$BO549,-$BO549)</f>
        <v>0.29999999999999893</v>
      </c>
      <c r="CR549">
        <f>IF($CN549="refOK",$BS549,$BT549)*IF($BP549="Emissions positive",-1,1)</f>
        <v>4.7500000000000001E-2</v>
      </c>
      <c r="CS549">
        <f>IF($CN549="refOK",$BT549,$BS549)*IF($BP549="Emissions positive",-1,1)</f>
        <v>5.1249999999999997E-2</v>
      </c>
      <c r="CT549">
        <f>IF($CN549="refNeedCorrection",-BX549,BX549)*IF($BP549="Emissions positive",-1,1)</f>
        <v>3.7499999999999964E-3</v>
      </c>
      <c r="CU549">
        <f>IFERROR(CT549/CQ549,"")</f>
        <v>1.2500000000000032E-2</v>
      </c>
      <c r="CV549" s="2">
        <f>IFERROR((CS549-CR549)/ABS(CR549),"")</f>
        <v>7.8947368421052558E-2</v>
      </c>
      <c r="CW549" s="1" t="s">
        <v>1199</v>
      </c>
      <c r="CX549" s="264" t="str">
        <f>IF(OR($CW549="prd",$CW549="std",$CW549="cit"),"loc",IF(OR($CW549="eur",$CW549="reg",$CW549="coy"),"reg",$CW549))</f>
        <v>reg</v>
      </c>
      <c r="CY549" t="s">
        <v>235</v>
      </c>
      <c r="DB549">
        <v>80</v>
      </c>
      <c r="DC549" t="str">
        <f>IF(DB549=0,"0",IF(AND(DB549&gt;=1,DB549&lt;=30),"1-30",IF(AND(DB549&gt;30,DB549&lt;=70),"31-70",IF(AND(DB549&gt;70,DB549&lt;=100),"71-100",IF(DB549&gt;100,"+100")))))</f>
        <v>71-100</v>
      </c>
      <c r="DD549">
        <v>0</v>
      </c>
      <c r="DE549">
        <v>1</v>
      </c>
      <c r="DF549">
        <v>1</v>
      </c>
      <c r="DG549">
        <v>1</v>
      </c>
      <c r="DI549">
        <f>SUM(DD549:DG549)</f>
        <v>3</v>
      </c>
      <c r="DJ549" t="str">
        <f>IF(DI549=1,INDEX($DD$7:$DG$7,MATCH(1,$DD549:$DG549,0)),"mixedProduct")</f>
        <v>mixedProduct</v>
      </c>
      <c r="DK549">
        <f>IF(DD549=1,DK$7,0)</f>
        <v>0</v>
      </c>
      <c r="DL549" t="str">
        <f>IF(DE549=1,DL$7,0)</f>
        <v>Energy</v>
      </c>
      <c r="DM549" t="str">
        <f>IF(DF549=1,DM$7,0)</f>
        <v>Pulp/Paper</v>
      </c>
      <c r="DN549" t="str">
        <f>IF(DG549=1,DN$7,0)</f>
        <v>Timber</v>
      </c>
      <c r="DO549">
        <v>0</v>
      </c>
      <c r="DP549">
        <v>1</v>
      </c>
      <c r="DQ549" t="s">
        <v>2146</v>
      </c>
      <c r="DR549">
        <v>0</v>
      </c>
      <c r="DS549">
        <v>0</v>
      </c>
      <c r="DT549">
        <f>SUM(DO549:DP549)</f>
        <v>1</v>
      </c>
      <c r="DU549" s="143" t="str">
        <f>IF(DO549=1,"self-calculated DF",IF(DP549=1,"external DF used","explicit C balance"))</f>
        <v>external DF used</v>
      </c>
      <c r="DV549">
        <v>1</v>
      </c>
      <c r="DW549">
        <v>1</v>
      </c>
      <c r="DX549">
        <v>1</v>
      </c>
      <c r="DY549">
        <v>0</v>
      </c>
      <c r="DZ549">
        <v>0</v>
      </c>
      <c r="EA549" s="143">
        <v>0</v>
      </c>
      <c r="EB549">
        <v>1</v>
      </c>
      <c r="EC549">
        <v>1</v>
      </c>
      <c r="ED549">
        <v>0</v>
      </c>
      <c r="EE549">
        <v>0</v>
      </c>
      <c r="EF549">
        <v>1</v>
      </c>
      <c r="EG549">
        <v>0</v>
      </c>
      <c r="EH549">
        <v>0</v>
      </c>
      <c r="EI549" s="2">
        <v>0</v>
      </c>
      <c r="EJ549" s="333"/>
      <c r="EK549" t="str">
        <f>IF(AND(AND(AND(OR($DX549=1,$DW549=1),OR($EC549=1,$EA549=1)),SUM($DV549:$DZ549,$EF549)&gt;=4),SUM($EA549:$EE549)&gt;=2),"Whole sector","")</f>
        <v>Whole sector</v>
      </c>
      <c r="EL549" t="str">
        <f>IF(AND(AND(OR($DX549=1,$DW549=1),AND($EC549=0,$EA549=0)),SUM($DV549:$DZ549,$EF549)&gt;=4),"Ecosystem approach","")</f>
        <v/>
      </c>
      <c r="EM549" s="2" t="str">
        <f>IF(AND(AND(AND($DX549=0,$DW549=0),OR($EC549=1,$EA549=1)),SUM($EB549:$EE549)&gt;=2),"Technology approach","")</f>
        <v/>
      </c>
      <c r="EP549" t="str">
        <f>IF(ISNUMBER(BU549),IF(ABS(BU549-[3]QC_indicators!$B$2)&gt;3*[3]QC_indicators!$C$2,"C ratio",IF(ISNUMBER(BY549),IF(ABS(BY549-[3]QC_indicators!$B$1)&gt;3*[3]QC_indicators!$C$1,"DF","no"))),IF(ISNUMBER(BY549),IF(ABS(BY549-[3]QC_indicators!$B$1)&gt;3*[3]QC_indicators!$C$1,"DF","no")))</f>
        <v>no</v>
      </c>
      <c r="ET549" s="264" t="s">
        <v>3407</v>
      </c>
    </row>
    <row r="550" spans="1:151" ht="15" customHeight="1">
      <c r="A550" s="1" t="s">
        <v>1360</v>
      </c>
      <c r="B550" t="s">
        <v>2217</v>
      </c>
      <c r="C550" t="s">
        <v>2218</v>
      </c>
      <c r="D550" t="s">
        <v>2219</v>
      </c>
      <c r="E550" t="s">
        <v>2220</v>
      </c>
      <c r="F550" t="s">
        <v>2221</v>
      </c>
      <c r="G550" t="s">
        <v>1366</v>
      </c>
      <c r="H550" t="s">
        <v>254</v>
      </c>
      <c r="I550">
        <v>2009</v>
      </c>
      <c r="J550">
        <v>27</v>
      </c>
      <c r="K550" t="s">
        <v>2222</v>
      </c>
      <c r="M550" t="str">
        <f>LEFT($D550,FIND(",",$D550)-1)&amp;"_"&amp;I550&amp;L550</f>
        <v>Raymer_2009</v>
      </c>
      <c r="N550" t="s">
        <v>222</v>
      </c>
      <c r="O550" s="145" t="s">
        <v>341</v>
      </c>
      <c r="Q550" s="264" t="s">
        <v>256</v>
      </c>
      <c r="R550" s="269" t="s">
        <v>1154</v>
      </c>
      <c r="S550" s="1" t="s">
        <v>2223</v>
      </c>
      <c r="T550" t="s">
        <v>2224</v>
      </c>
      <c r="U550" t="s">
        <v>2225</v>
      </c>
      <c r="V550">
        <v>0</v>
      </c>
      <c r="W550">
        <v>0</v>
      </c>
      <c r="X550">
        <v>0</v>
      </c>
      <c r="Y550">
        <v>0</v>
      </c>
      <c r="Z550">
        <v>2</v>
      </c>
      <c r="AA550">
        <v>2</v>
      </c>
      <c r="AB550">
        <v>2</v>
      </c>
      <c r="AC550">
        <v>0</v>
      </c>
      <c r="AD550">
        <v>0</v>
      </c>
      <c r="AE550">
        <v>0</v>
      </c>
      <c r="AF550">
        <v>1</v>
      </c>
      <c r="AG550">
        <v>0</v>
      </c>
      <c r="AH550">
        <v>0</v>
      </c>
      <c r="AI550">
        <v>0</v>
      </c>
      <c r="AJ550">
        <v>2</v>
      </c>
      <c r="AK550">
        <v>0</v>
      </c>
      <c r="AL550">
        <v>0</v>
      </c>
      <c r="AM550">
        <v>0</v>
      </c>
      <c r="AN550">
        <v>0</v>
      </c>
      <c r="AO550">
        <v>0</v>
      </c>
      <c r="AP550">
        <v>0</v>
      </c>
      <c r="AQ550">
        <v>0</v>
      </c>
      <c r="AR550">
        <v>0</v>
      </c>
      <c r="AS550">
        <v>0</v>
      </c>
      <c r="AT550">
        <v>0</v>
      </c>
      <c r="AU550">
        <v>0</v>
      </c>
      <c r="AV550">
        <v>1</v>
      </c>
      <c r="AW550">
        <v>0</v>
      </c>
      <c r="AX550" s="141">
        <f>COUNTIF(V550:AW550,"&lt;&gt;0")</f>
        <v>6</v>
      </c>
      <c r="AY550" s="141">
        <f>COUNTIF(V550:AL550,"&lt;&gt;0")</f>
        <v>5</v>
      </c>
      <c r="AZ550">
        <f>COUNTIF(V550:AC550,"&lt;&gt;0")</f>
        <v>3</v>
      </c>
      <c r="BA550">
        <f>COUNTIF(AD550:AI550,"&lt;&gt;0")</f>
        <v>1</v>
      </c>
      <c r="BB550">
        <f>COUNTIF(AJ550:AL550,"&lt;&gt;0")</f>
        <v>1</v>
      </c>
      <c r="BC550">
        <f>COUNTIF(AS550:AW550,"&lt;&gt;0")</f>
        <v>1</v>
      </c>
      <c r="BD550">
        <f>COUNTIF(AM550:AR550,"&lt;&gt;0")</f>
        <v>0</v>
      </c>
      <c r="BE550" t="str" cm="1">
        <f t="array" ref="BE550">IF(AY550=1,INDEX($V$7:$AL$7,MATCH(TRUE,INDEX($V550:$AW550&lt;&gt;0,),0)),IF(AY550=0,INDEX($AM$7:$AW$7,MATCH(1,$AM550:$AW550,0)),IF(BF550="Multiple strategies","mixed drivers",IF(BF550="Supply chain","multiple supply","multiple silviculture"))))</f>
        <v>mixed drivers</v>
      </c>
      <c r="BF550" s="2" t="str" cm="1">
        <f t="array" ref="BF550">IF(COUNTIF(AZ550:BB550,"&lt;&gt;0")=1,INDEX($V$4:$AW$4,MATCH(TRUE,INDEX($V550:$AW550&lt;&gt;0,),0)),IF(COUNTIF(AZ550:BB550,"&lt;&gt;0")=0,INDEX($AM$4:$AW$4,MATCH(1,$AM550:$AW550,0)),"Multiple strategies"))</f>
        <v>Multiple strategies</v>
      </c>
      <c r="BG550" s="1" t="s">
        <v>321</v>
      </c>
      <c r="BH550" t="s">
        <v>2226</v>
      </c>
      <c r="BJ550" t="s">
        <v>2227</v>
      </c>
      <c r="BK550">
        <v>150</v>
      </c>
      <c r="BL550">
        <v>206</v>
      </c>
      <c r="BN550">
        <f>BL550-BK550</f>
        <v>56</v>
      </c>
      <c r="BO550" s="143">
        <f>BN550*10^6</f>
        <v>56000000</v>
      </c>
      <c r="BP550" t="s">
        <v>232</v>
      </c>
      <c r="BR550" t="s">
        <v>1140</v>
      </c>
      <c r="BS550">
        <v>1.5</v>
      </c>
      <c r="BT550">
        <v>2.2999999999999998</v>
      </c>
      <c r="BU550" s="144">
        <f>IFERROR(BT550/BS550,"")</f>
        <v>1.5333333333333332</v>
      </c>
      <c r="BV550">
        <f>BT550-BS550</f>
        <v>0.79999999999999982</v>
      </c>
      <c r="BX550">
        <f>BV550*10^6</f>
        <v>799999.99999999977</v>
      </c>
      <c r="BY550">
        <f>IFERROR(BX550/BO550,"")</f>
        <v>1.4285714285714282E-2</v>
      </c>
      <c r="BZ550">
        <v>0</v>
      </c>
      <c r="CA550">
        <v>0</v>
      </c>
      <c r="CB550">
        <v>0</v>
      </c>
      <c r="CC550">
        <v>0</v>
      </c>
      <c r="CD550">
        <v>0</v>
      </c>
      <c r="CE550">
        <v>0</v>
      </c>
      <c r="CF550">
        <v>0</v>
      </c>
      <c r="CG550">
        <v>0</v>
      </c>
      <c r="CH550">
        <v>0</v>
      </c>
      <c r="CI550">
        <v>0</v>
      </c>
      <c r="CJ550">
        <v>0</v>
      </c>
      <c r="CK550">
        <v>0</v>
      </c>
      <c r="CL550">
        <v>0</v>
      </c>
      <c r="CM550">
        <v>1</v>
      </c>
      <c r="CN550" t="str">
        <f>IF($BL550&lt;$BK550,"refNeedCorrection","refOK")</f>
        <v>refOK</v>
      </c>
      <c r="CO550">
        <f>IF($CN550="refOK",$BK550,$BL550)</f>
        <v>150</v>
      </c>
      <c r="CP550">
        <f>IF($CN550="refOK",$BL550,$BK550)</f>
        <v>206</v>
      </c>
      <c r="CQ550">
        <f>IF($CN550="refOK",$BO550,-$BO550)</f>
        <v>56000000</v>
      </c>
      <c r="CR550">
        <f>IF($CN550="refOK",$BS550,$BT550)*IF($BP550="Emissions positive",-1,1)</f>
        <v>1.5</v>
      </c>
      <c r="CS550">
        <f>IF($CN550="refOK",$BT550,$BS550)*IF($BP550="Emissions positive",-1,1)</f>
        <v>2.2999999999999998</v>
      </c>
      <c r="CT550">
        <f>IF($CN550="refNeedCorrection",-BX550,BX550)*IF($BP550="Emissions positive",-1,1)</f>
        <v>799999.99999999977</v>
      </c>
      <c r="CU550">
        <f>IFERROR(CT550/CQ550,"")</f>
        <v>1.4285714285714282E-2</v>
      </c>
      <c r="CV550" s="2">
        <f>IFERROR((CS550-CR550)/ABS(CR550),"")</f>
        <v>0.53333333333333321</v>
      </c>
      <c r="CW550" s="1" t="s">
        <v>1199</v>
      </c>
      <c r="CX550" s="264" t="str">
        <f>IF(OR($CW550="prd",$CW550="std",$CW550="cit"),"loc",IF(OR($CW550="eur",$CW550="reg",$CW550="coy"),"reg",$CW550))</f>
        <v>reg</v>
      </c>
      <c r="CY550" t="s">
        <v>264</v>
      </c>
      <c r="DB550">
        <v>120</v>
      </c>
      <c r="DC550" t="str">
        <f>IF(DB550=0,"0",IF(AND(DB550&gt;=1,DB550&lt;=30),"1-30",IF(AND(DB550&gt;30,DB550&lt;=70),"31-70",IF(AND(DB550&gt;70,DB550&lt;=100),"71-100",IF(DB550&gt;100,"+100")))))</f>
        <v>+100</v>
      </c>
      <c r="DD550">
        <v>0</v>
      </c>
      <c r="DE550">
        <v>1</v>
      </c>
      <c r="DF550">
        <v>1</v>
      </c>
      <c r="DG550">
        <v>1</v>
      </c>
      <c r="DI550">
        <f>SUM(DD550:DG550)</f>
        <v>3</v>
      </c>
      <c r="DJ550" t="str">
        <f>IF(DI550=1,INDEX($DD$7:$DG$7,MATCH(1,$DD550:$DG550,0)),"mixedProduct")</f>
        <v>mixedProduct</v>
      </c>
      <c r="DK550">
        <f>IF(DD550=1,DK$7,0)</f>
        <v>0</v>
      </c>
      <c r="DL550" t="str">
        <f>IF(DE550=1,DL$7,0)</f>
        <v>Energy</v>
      </c>
      <c r="DM550" t="str">
        <f>IF(DF550=1,DM$7,0)</f>
        <v>Pulp/Paper</v>
      </c>
      <c r="DN550" t="str">
        <f>IF(DG550=1,DN$7,0)</f>
        <v>Timber</v>
      </c>
      <c r="DO550">
        <v>1</v>
      </c>
      <c r="DP550">
        <v>0</v>
      </c>
      <c r="DQ550">
        <v>0</v>
      </c>
      <c r="DR550">
        <v>0</v>
      </c>
      <c r="DS550">
        <v>0</v>
      </c>
      <c r="DT550">
        <f>SUM(DO550:DP550)</f>
        <v>1</v>
      </c>
      <c r="DU550" s="143" t="str">
        <f>IF(DO550=1,"self-calculated DF",IF(DP550=1,"external DF used","explicit C balance"))</f>
        <v>self-calculated DF</v>
      </c>
      <c r="DV550">
        <v>1</v>
      </c>
      <c r="DW550">
        <v>1</v>
      </c>
      <c r="DX550">
        <v>1</v>
      </c>
      <c r="DY550">
        <v>1</v>
      </c>
      <c r="DZ550">
        <v>1</v>
      </c>
      <c r="EA550">
        <v>1</v>
      </c>
      <c r="EB550">
        <v>1</v>
      </c>
      <c r="EC550">
        <v>1</v>
      </c>
      <c r="ED550">
        <v>0</v>
      </c>
      <c r="EE550">
        <v>0</v>
      </c>
      <c r="EF550">
        <v>1</v>
      </c>
      <c r="EG550">
        <v>0</v>
      </c>
      <c r="EH550">
        <v>0</v>
      </c>
      <c r="EI550" s="2">
        <v>0</v>
      </c>
      <c r="EJ550" s="333"/>
      <c r="EK550" t="str">
        <f>IF(AND(AND(AND(OR($DX550=1,$DW550=1),OR($EC550=1,$EA550=1)),SUM($DV550:$DZ550,$EF550)&gt;=4),SUM($EA550:$EE550)&gt;=2),"Whole sector","")</f>
        <v>Whole sector</v>
      </c>
      <c r="EL550" t="str">
        <f>IF(AND(AND(OR($DX550=1,$DW550=1),AND($EC550=0,$EA550=0)),SUM($DV550:$DZ550,$EF550)&gt;=4),"Ecosystem approach","")</f>
        <v/>
      </c>
      <c r="EM550" s="2" t="str">
        <f>IF(AND(AND(AND($DX550=0,$DW550=0),OR($EC550=1,$EA550=1)),SUM($EB550:$EE550)&gt;=2),"Technology approach","")</f>
        <v/>
      </c>
      <c r="EP550" t="str">
        <f>IF(ISNUMBER(BU550),IF(ABS(BU550-[3]QC_indicators!$B$2)&gt;3*[3]QC_indicators!$C$2,"C ratio",IF(ISNUMBER(BY550),IF(ABS(BY550-[3]QC_indicators!$B$1)&gt;3*[3]QC_indicators!$C$1,"DF","no"))),IF(ISNUMBER(BY550),IF(ABS(BY550-[3]QC_indicators!$B$1)&gt;3*[3]QC_indicators!$C$1,"DF","no")))</f>
        <v>no</v>
      </c>
      <c r="ET550" s="264" t="s">
        <v>3407</v>
      </c>
    </row>
    <row r="551" spans="1:151" ht="18" customHeight="1">
      <c r="D551" t="s">
        <v>757</v>
      </c>
      <c r="E551" t="s">
        <v>758</v>
      </c>
      <c r="G551" t="s">
        <v>759</v>
      </c>
      <c r="I551">
        <v>2006</v>
      </c>
      <c r="K551" s="296" t="s">
        <v>760</v>
      </c>
      <c r="M551" t="str">
        <f>LEFT($D551,FIND(",",$D551)-1)&amp;"_"&amp;I551&amp;L551</f>
        <v>Gustavsson_2006</v>
      </c>
      <c r="N551" t="s">
        <v>222</v>
      </c>
      <c r="O551" t="s">
        <v>223</v>
      </c>
      <c r="Q551" s="264" t="s">
        <v>256</v>
      </c>
      <c r="R551" s="269" t="s">
        <v>1154</v>
      </c>
      <c r="S551" s="263" t="s">
        <v>766</v>
      </c>
      <c r="T551" t="s">
        <v>753</v>
      </c>
      <c r="U551" s="143" t="s">
        <v>754</v>
      </c>
      <c r="V551">
        <v>0</v>
      </c>
      <c r="W551">
        <v>0</v>
      </c>
      <c r="X551">
        <v>0</v>
      </c>
      <c r="Y551">
        <v>0</v>
      </c>
      <c r="Z551">
        <v>0</v>
      </c>
      <c r="AA551">
        <v>0</v>
      </c>
      <c r="AB551">
        <v>0</v>
      </c>
      <c r="AC551">
        <v>0</v>
      </c>
      <c r="AD551">
        <v>0</v>
      </c>
      <c r="AE551">
        <v>0</v>
      </c>
      <c r="AF551">
        <v>0</v>
      </c>
      <c r="AG551">
        <v>0</v>
      </c>
      <c r="AH551">
        <v>0</v>
      </c>
      <c r="AI551">
        <v>0</v>
      </c>
      <c r="AJ551">
        <v>0</v>
      </c>
      <c r="AK551">
        <v>1</v>
      </c>
      <c r="AL551">
        <v>0</v>
      </c>
      <c r="AM551">
        <v>0</v>
      </c>
      <c r="AN551">
        <v>0</v>
      </c>
      <c r="AO551">
        <v>0</v>
      </c>
      <c r="AP551">
        <v>0</v>
      </c>
      <c r="AQ551">
        <v>0</v>
      </c>
      <c r="AR551">
        <v>0</v>
      </c>
      <c r="AS551">
        <v>0</v>
      </c>
      <c r="AT551">
        <v>0</v>
      </c>
      <c r="AU551">
        <v>0</v>
      </c>
      <c r="AV551">
        <v>0</v>
      </c>
      <c r="AW551">
        <v>0</v>
      </c>
      <c r="AX551" s="141">
        <f>COUNTIF(V551:AW551,"&lt;&gt;0")</f>
        <v>1</v>
      </c>
      <c r="AY551" s="141">
        <f>COUNTIF(V551:AL551,"&lt;&gt;0")</f>
        <v>1</v>
      </c>
      <c r="AZ551">
        <f>COUNTIF(V551:AC551,"&lt;&gt;0")</f>
        <v>0</v>
      </c>
      <c r="BA551">
        <f>COUNTIF(AD551:AI551,"&lt;&gt;0")</f>
        <v>0</v>
      </c>
      <c r="BB551">
        <f>COUNTIF(AJ551:AL551,"&lt;&gt;0")</f>
        <v>1</v>
      </c>
      <c r="BC551">
        <f>COUNTIF(AS551:AW551,"&lt;&gt;0")</f>
        <v>0</v>
      </c>
      <c r="BD551">
        <f>COUNTIF(AM551:AR551,"&lt;&gt;0")</f>
        <v>0</v>
      </c>
      <c r="BE551" t="str" cm="1">
        <f t="array" ref="BE551">IF(AY551=1,INDEX($V$7:$AL$7,MATCH(TRUE,INDEX($V551:$AW551&lt;&gt;0,),0)),IF(AY551=0,INDEX($AM$7:$AW$7,MATCH(1,$AM551:$AW551,0)),IF(BF551="Multiple strategies","mixed drivers",IF(BF551="Supply chain","multiple supply","multiple silviculture"))))</f>
        <v>technologies/design switch</v>
      </c>
      <c r="BF551" s="2" t="str" cm="1">
        <f t="array" ref="BF551">IF(COUNTIF(AZ551:BB551,"&lt;&gt;0")=1,INDEX($V$4:$AW$4,MATCH(TRUE,INDEX($V551:$AW551&lt;&gt;0,),0)),IF(COUNTIF(AZ551:BB551,"&lt;&gt;0")=0,INDEX($AM$4:$AW$4,MATCH(1,$AM551:$AW551,0)),"Multiple strategies"))</f>
        <v>Technology</v>
      </c>
      <c r="BG551" s="142" t="s">
        <v>229</v>
      </c>
      <c r="BH551" t="s">
        <v>393</v>
      </c>
      <c r="BI551" s="264" t="s">
        <v>762</v>
      </c>
      <c r="BJ551" s="143" t="s">
        <v>763</v>
      </c>
      <c r="BK551">
        <v>32</v>
      </c>
      <c r="BL551" s="143">
        <v>145</v>
      </c>
      <c r="BM551" s="143"/>
      <c r="BN551">
        <f>BL551-BK551</f>
        <v>113</v>
      </c>
      <c r="BO551" s="143">
        <f>BN551*t_to_m3</f>
        <v>230.61224489795919</v>
      </c>
      <c r="BP551" s="264" t="s">
        <v>232</v>
      </c>
      <c r="BQ551" s="155" t="s">
        <v>764</v>
      </c>
      <c r="BR551" t="s">
        <v>442</v>
      </c>
      <c r="BS551" s="143">
        <f>-180.2+125.1</f>
        <v>-55.099999999999994</v>
      </c>
      <c r="BT551" s="151">
        <f>-136.7+82.5</f>
        <v>-54.199999999999989</v>
      </c>
      <c r="BV551">
        <f>BT551-BS551</f>
        <v>0.90000000000000568</v>
      </c>
      <c r="BX551">
        <f>BV551*C_to_CO2</f>
        <v>3.3030000000000208</v>
      </c>
      <c r="BY551">
        <f>IFERROR(BX551/BO551,"")</f>
        <v>1.4322743362831949E-2</v>
      </c>
      <c r="BZ551" s="143">
        <v>0</v>
      </c>
      <c r="CA551" s="143">
        <v>0</v>
      </c>
      <c r="CB551" s="143">
        <v>0</v>
      </c>
      <c r="CC551" s="143">
        <v>0</v>
      </c>
      <c r="CD551" s="143">
        <v>0</v>
      </c>
      <c r="CE551" s="143">
        <v>0</v>
      </c>
      <c r="CF551" s="143">
        <v>0</v>
      </c>
      <c r="CG551" s="143">
        <v>0</v>
      </c>
      <c r="CH551" s="143">
        <v>0</v>
      </c>
      <c r="CI551" s="143">
        <v>0</v>
      </c>
      <c r="CJ551" s="143">
        <v>0</v>
      </c>
      <c r="CK551" s="143">
        <v>0</v>
      </c>
      <c r="CL551" s="143">
        <v>0</v>
      </c>
      <c r="CM551">
        <v>0</v>
      </c>
      <c r="CN551" t="str">
        <f>IF($BL551&lt;$BK551,"refNeedCorrection","refOK")</f>
        <v>refOK</v>
      </c>
      <c r="CO551">
        <f>IF($CN551="refOK",$BK551,$BL551)</f>
        <v>32</v>
      </c>
      <c r="CP551">
        <f>IF($CN551="refOK",$BL551,$BK551)</f>
        <v>145</v>
      </c>
      <c r="CQ551">
        <f>IF($CN551="refOK",$BO551,-$BO551)</f>
        <v>230.61224489795919</v>
      </c>
      <c r="CR551">
        <f>IF($CN551="refOK",$BS551,$BT551)*IF($BP551="Emissions positive",-1,1)</f>
        <v>-55.099999999999994</v>
      </c>
      <c r="CS551">
        <f>IF($CN551="refOK",$BT551,$BS551)*IF($BP551="Emissions positive",-1,1)</f>
        <v>-54.199999999999989</v>
      </c>
      <c r="CT551">
        <f>IF($CN551="refNeedCorrection",-BX551,BX551)*IF($BP551="Emissions positive",-1,1)</f>
        <v>3.3030000000000208</v>
      </c>
      <c r="CU551">
        <f>IFERROR(CT551/CQ551,"")</f>
        <v>1.4322743362831949E-2</v>
      </c>
      <c r="CV551" s="2">
        <f>IFERROR((CS551-CR551)/ABS(CR551),"")</f>
        <v>1.6333938294010995E-2</v>
      </c>
      <c r="CW551" s="1" t="s">
        <v>263</v>
      </c>
      <c r="CX551" s="264" t="str">
        <f>IF(OR($CW551="prd",$CW551="std",$CW551="cit"),"loc",IF(OR($CW551="eur",$CW551="reg",$CW551="coy"),"reg",$CW551))</f>
        <v>loc</v>
      </c>
      <c r="CY551" t="s">
        <v>235</v>
      </c>
      <c r="DA551" s="143"/>
      <c r="DB551" s="143">
        <v>0</v>
      </c>
      <c r="DC551" t="str">
        <f>IF(DB551=0,"0",IF(AND(DB551&gt;=1,DB551&lt;=30),"1-30",IF(AND(DB551&gt;30,DB551&lt;=70),"31-70",IF(AND(DB551&gt;70,DB551&lt;=100),"71-100",IF(DB551&gt;100,"+100")))))</f>
        <v>0</v>
      </c>
      <c r="DD551">
        <v>0</v>
      </c>
      <c r="DE551">
        <v>0</v>
      </c>
      <c r="DF551">
        <v>0</v>
      </c>
      <c r="DG551">
        <v>1</v>
      </c>
      <c r="DI551">
        <f>SUM(DD551:DG551)</f>
        <v>1</v>
      </c>
      <c r="DJ551" t="str">
        <f>IF(DI551=1,INDEX($DD$7:$DG$7,MATCH(1,$DD551:$DG551,0)),"mixedProduct")</f>
        <v>TimberInput</v>
      </c>
      <c r="DK551">
        <f>IF(DD551=1,DK$7,0)</f>
        <v>0</v>
      </c>
      <c r="DL551">
        <f>IF(DE551=1,DL$7,0)</f>
        <v>0</v>
      </c>
      <c r="DM551">
        <f>IF(DF551=1,DM$7,0)</f>
        <v>0</v>
      </c>
      <c r="DN551" t="str">
        <f>IF(DG551=1,DN$7,0)</f>
        <v>Timber</v>
      </c>
      <c r="DO551">
        <v>1</v>
      </c>
      <c r="DP551" s="143">
        <v>0</v>
      </c>
      <c r="DQ551" s="143">
        <v>0</v>
      </c>
      <c r="DR551">
        <v>0</v>
      </c>
      <c r="DS551" s="143">
        <v>0</v>
      </c>
      <c r="DT551">
        <f>SUM(DO551:DP551)</f>
        <v>1</v>
      </c>
      <c r="DU551" s="143" t="str">
        <f>IF(DO551=1,"self-calculated DF",IF(DP551=1,"external DF used","explicit C balance"))</f>
        <v>self-calculated DF</v>
      </c>
      <c r="DV551" s="143">
        <v>0</v>
      </c>
      <c r="DW551" s="143">
        <v>0</v>
      </c>
      <c r="DX551" s="143">
        <v>0</v>
      </c>
      <c r="DY551" s="143">
        <v>1</v>
      </c>
      <c r="DZ551">
        <v>0</v>
      </c>
      <c r="EA551" s="143">
        <v>1</v>
      </c>
      <c r="EB551" s="143">
        <v>1</v>
      </c>
      <c r="EC551" s="143">
        <v>1</v>
      </c>
      <c r="ED551" s="143">
        <v>0</v>
      </c>
      <c r="EE551">
        <v>0</v>
      </c>
      <c r="EF551">
        <v>0</v>
      </c>
      <c r="EG551" s="143">
        <v>0</v>
      </c>
      <c r="EH551" s="143">
        <v>0</v>
      </c>
      <c r="EI551" s="2">
        <v>0</v>
      </c>
      <c r="EJ551" s="333"/>
      <c r="EK551" t="str">
        <f>IF(AND(AND(AND(OR($DX551=1,$DW551=1),OR($EC551=1,$EA551=1)),SUM($DV551:$DZ551,$EF551)&gt;=4),SUM($EA551:$EE551)&gt;=2),"Whole sector","")</f>
        <v/>
      </c>
      <c r="EL551" t="str">
        <f>IF(AND(AND(OR($DX551=1,$DW551=1),AND($EC551=0,$EA551=0)),SUM($DV551:$DZ551,$EF551)&gt;=4),"Ecosystem approach","")</f>
        <v/>
      </c>
      <c r="EM551" s="2" t="str">
        <f>IF(AND(AND(AND($DX551=0,$DW551=0),OR($EC551=1,$EA551=1)),SUM($EB551:$EE551)&gt;=2),"Technology approach","")</f>
        <v>Technology approach</v>
      </c>
      <c r="EP551" t="str">
        <f>IF(ISNUMBER(BU551),IF(ABS(BU551-[3]QC_indicators!$B$2)&gt;3*[3]QC_indicators!$C$2,"C ratio",IF(ISNUMBER(BY551),IF(ABS(BY551-[3]QC_indicators!$B$1)&gt;3*[3]QC_indicators!$C$1,"DF","no"))),IF(ISNUMBER(BY551),IF(ABS(BY551-[3]QC_indicators!$B$1)&gt;3*[3]QC_indicators!$C$1,"DF","no")))</f>
        <v>no</v>
      </c>
      <c r="ER551" s="294" t="s">
        <v>349</v>
      </c>
      <c r="ET551" s="264" t="s">
        <v>3407</v>
      </c>
    </row>
    <row r="552" spans="1:151" ht="15" customHeight="1">
      <c r="A552" s="1" t="s">
        <v>2114</v>
      </c>
      <c r="B552" t="s">
        <v>544</v>
      </c>
      <c r="C552" t="s">
        <v>2277</v>
      </c>
      <c r="D552" t="s">
        <v>2278</v>
      </c>
      <c r="E552" t="s">
        <v>2279</v>
      </c>
      <c r="F552" t="s">
        <v>2280</v>
      </c>
      <c r="G552" t="s">
        <v>2115</v>
      </c>
      <c r="H552" t="s">
        <v>254</v>
      </c>
      <c r="I552">
        <v>2014</v>
      </c>
      <c r="J552">
        <v>96</v>
      </c>
      <c r="K552" t="s">
        <v>2281</v>
      </c>
      <c r="M552" t="str">
        <f>LEFT($D552,FIND(",",$D552)-1)&amp;"_"&amp;I552&amp;L552</f>
        <v>Smyth_2014</v>
      </c>
      <c r="N552" t="s">
        <v>222</v>
      </c>
      <c r="O552" s="145" t="s">
        <v>341</v>
      </c>
      <c r="Q552" t="s">
        <v>256</v>
      </c>
      <c r="R552" s="262" t="s">
        <v>223</v>
      </c>
      <c r="S552" s="1" t="s">
        <v>2292</v>
      </c>
      <c r="T552" t="s">
        <v>1155</v>
      </c>
      <c r="U552" t="s">
        <v>2293</v>
      </c>
      <c r="V552">
        <v>0</v>
      </c>
      <c r="W552">
        <v>0</v>
      </c>
      <c r="X552">
        <v>0</v>
      </c>
      <c r="Y552">
        <v>1</v>
      </c>
      <c r="Z552">
        <v>0</v>
      </c>
      <c r="AA552">
        <v>0</v>
      </c>
      <c r="AB552">
        <v>0</v>
      </c>
      <c r="AC552">
        <v>0</v>
      </c>
      <c r="AD552">
        <v>0</v>
      </c>
      <c r="AE552">
        <v>0</v>
      </c>
      <c r="AF552">
        <v>0</v>
      </c>
      <c r="AG552">
        <v>0</v>
      </c>
      <c r="AH552">
        <v>0</v>
      </c>
      <c r="AI552">
        <v>0</v>
      </c>
      <c r="AJ552">
        <v>2</v>
      </c>
      <c r="AK552">
        <v>0</v>
      </c>
      <c r="AL552">
        <v>0</v>
      </c>
      <c r="AM552">
        <v>0</v>
      </c>
      <c r="AN552">
        <v>0</v>
      </c>
      <c r="AO552">
        <v>0</v>
      </c>
      <c r="AP552">
        <v>0</v>
      </c>
      <c r="AQ552">
        <v>0</v>
      </c>
      <c r="AR552">
        <v>0</v>
      </c>
      <c r="AS552">
        <v>0</v>
      </c>
      <c r="AT552">
        <v>0</v>
      </c>
      <c r="AU552">
        <v>0</v>
      </c>
      <c r="AV552">
        <v>0</v>
      </c>
      <c r="AW552">
        <v>0</v>
      </c>
      <c r="AX552" s="141">
        <f>COUNTIF(V552:AW552,"&lt;&gt;0")</f>
        <v>2</v>
      </c>
      <c r="AY552" s="141">
        <f>COUNTIF(V552:AL552,"&lt;&gt;0")</f>
        <v>2</v>
      </c>
      <c r="AZ552">
        <f>COUNTIF(V552:AC552,"&lt;&gt;0")</f>
        <v>1</v>
      </c>
      <c r="BA552">
        <f>COUNTIF(AD552:AI552,"&lt;&gt;0")</f>
        <v>0</v>
      </c>
      <c r="BB552">
        <f>COUNTIF(AJ552:AL552,"&lt;&gt;0")</f>
        <v>1</v>
      </c>
      <c r="BC552">
        <f>COUNTIF(AS552:AW552,"&lt;&gt;0")</f>
        <v>0</v>
      </c>
      <c r="BD552">
        <f>COUNTIF(AM552:AR552,"&lt;&gt;0")</f>
        <v>0</v>
      </c>
      <c r="BE552" t="str">
        <f t="array" ref="BE552">IF(AY552=1,INDEX($V$7:$AL$7,MATCH(TRUE,INDEX($V552:$AW552&lt;&gt;0,),0)),IF(AY552=0,INDEX($AM$7:$AW$7,MATCH(1,$AM552:$AW552,0)),IF(BF552="Multiple strategies","mixed drivers",IF(BF552="Supply chain","multiple supply","multiple silviculture"))))</f>
        <v>mixed drivers</v>
      </c>
      <c r="BF552" s="2" t="str" cm="1">
        <f t="array" ref="BF552">IF(COUNTIF(AZ552:BB552,"&lt;&gt;0")=1,INDEX($V$4:$AW$4,MATCH(TRUE,INDEX($V552:$AW552&lt;&gt;0,),0)),IF(COUNTIF(AZ552:BB552,"&lt;&gt;0")=0,INDEX($AM$4:$AW$4,MATCH(1,$AM552:$AW552,0)),"Multiple strategies"))</f>
        <v>Multiple strategies</v>
      </c>
      <c r="BG552" s="1" t="s">
        <v>321</v>
      </c>
      <c r="BH552" t="s">
        <v>2294</v>
      </c>
      <c r="BI552" s="264" t="s">
        <v>1036</v>
      </c>
      <c r="BJ552" t="s">
        <v>2288</v>
      </c>
      <c r="BK552">
        <v>0</v>
      </c>
      <c r="BL552">
        <v>9.9</v>
      </c>
      <c r="BN552">
        <f>BL552-BK552</f>
        <v>9.9</v>
      </c>
      <c r="BO552">
        <f>BN552*10^6*tC_to_m3</f>
        <v>42987407.729049072</v>
      </c>
      <c r="BP552" t="s">
        <v>232</v>
      </c>
      <c r="BQ552" s="267" t="s">
        <v>3243</v>
      </c>
      <c r="BR552" s="264" t="s">
        <v>3244</v>
      </c>
      <c r="BU552" s="144"/>
      <c r="BV552">
        <f>22.34/35</f>
        <v>0.63828571428571423</v>
      </c>
      <c r="BX552">
        <f>BV552*10^6</f>
        <v>638285.7142857142</v>
      </c>
      <c r="BY552">
        <f>IFERROR(BX552/BO552,"")</f>
        <v>1.4848202020202017E-2</v>
      </c>
      <c r="BZ552">
        <v>0</v>
      </c>
      <c r="CA552">
        <v>1</v>
      </c>
      <c r="CB552">
        <v>1</v>
      </c>
      <c r="CC552">
        <v>1</v>
      </c>
      <c r="CD552">
        <v>0</v>
      </c>
      <c r="CE552">
        <v>0</v>
      </c>
      <c r="CF552">
        <v>0</v>
      </c>
      <c r="CG552">
        <v>0</v>
      </c>
      <c r="CH552">
        <v>0</v>
      </c>
      <c r="CI552">
        <v>0</v>
      </c>
      <c r="CJ552">
        <v>0</v>
      </c>
      <c r="CK552">
        <v>0</v>
      </c>
      <c r="CL552">
        <v>0</v>
      </c>
      <c r="CM552">
        <v>0</v>
      </c>
      <c r="CN552" t="str">
        <f>IF($BL552&lt;$BK552,"refNeedCorrection","refOK")</f>
        <v>refOK</v>
      </c>
      <c r="CO552">
        <f>IF($CN552="refOK",$BK552,$BL552)</f>
        <v>0</v>
      </c>
      <c r="CP552">
        <f>IF($CN552="refOK",$BL552,$BK552)</f>
        <v>9.9</v>
      </c>
      <c r="CQ552">
        <f>IF($CN552="refOK",$BO552,-$BO552)</f>
        <v>42987407.729049072</v>
      </c>
      <c r="CR552">
        <f>IF($CN552="refOK",$BS552,$BT552)*IF($BP552="Emissions positive",-1,1)</f>
        <v>0</v>
      </c>
      <c r="CS552">
        <f>IF($CN552="refOK",$BT552,$BS552)*IF($BP552="Emissions positive",-1,1)</f>
        <v>0</v>
      </c>
      <c r="CT552">
        <f>IF($CN552="refNeedCorrection",-BX552,BX552)*IF($BP552="Emissions positive",-1,1)</f>
        <v>638285.7142857142</v>
      </c>
      <c r="CU552">
        <f>IFERROR(CT552/CQ552,"")</f>
        <v>1.4848202020202017E-2</v>
      </c>
      <c r="CV552" s="2" t="str">
        <f>IFERROR((CS552-CR552)/ABS(CR552),"")</f>
        <v/>
      </c>
      <c r="CW552" s="1" t="s">
        <v>1203</v>
      </c>
      <c r="CX552" t="str">
        <f>IF(OR($CW552="prd",$CW552="std",$CW552="cit"),"loc",IF(OR($CW552="eur",$CW552="reg",$CW552="coy"),"reg",$CW552))</f>
        <v>reg</v>
      </c>
      <c r="CY552" t="s">
        <v>540</v>
      </c>
      <c r="CZ552">
        <v>2015</v>
      </c>
      <c r="DA552">
        <v>2050</v>
      </c>
      <c r="DB552">
        <v>35</v>
      </c>
      <c r="DC552" t="str">
        <f>IF(DB552=0,"0",IF(AND(DB552&gt;=1,DB552&lt;=30),"1-30",IF(AND(DB552&gt;30,DB552&lt;=70),"31-70",IF(AND(DB552&gt;70,DB552&lt;=100),"71-100",IF(DB552&gt;100,"+100")))))</f>
        <v>31-70</v>
      </c>
      <c r="DD552">
        <v>0</v>
      </c>
      <c r="DE552">
        <v>1</v>
      </c>
      <c r="DF552">
        <v>1</v>
      </c>
      <c r="DG552">
        <v>1</v>
      </c>
      <c r="DI552">
        <f>SUM(DD552:DG552)</f>
        <v>3</v>
      </c>
      <c r="DJ552" t="str">
        <f>IF(DI552=1,INDEX($DD$7:$DG$7,MATCH(1,$DD552:$DG552,0)),"mixedProduct")</f>
        <v>mixedProduct</v>
      </c>
      <c r="DK552">
        <f>IF(DD552=1,DK$7,0)</f>
        <v>0</v>
      </c>
      <c r="DL552" t="str">
        <f>IF(DE552=1,DL$7,0)</f>
        <v>Energy</v>
      </c>
      <c r="DM552" t="str">
        <f>IF(DF552=1,DM$7,0)</f>
        <v>Pulp/Paper</v>
      </c>
      <c r="DN552" t="str">
        <f>IF(DG552=1,DN$7,0)</f>
        <v>Timber</v>
      </c>
      <c r="DO552">
        <v>0</v>
      </c>
      <c r="DP552">
        <v>0</v>
      </c>
      <c r="DR552">
        <v>0</v>
      </c>
      <c r="DS552">
        <v>0</v>
      </c>
      <c r="DT552">
        <f>SUM(DO552:DP552)</f>
        <v>0</v>
      </c>
      <c r="DU552" s="143" t="str">
        <f>IF(DO552=1,"self-calculated DF",IF(DP552=1,"external DF used","explicit C balance"))</f>
        <v>explicit C balance</v>
      </c>
      <c r="DV552">
        <v>1</v>
      </c>
      <c r="DW552">
        <v>1</v>
      </c>
      <c r="DX552">
        <v>1</v>
      </c>
      <c r="DY552">
        <v>1</v>
      </c>
      <c r="DZ552">
        <v>1</v>
      </c>
      <c r="EA552">
        <v>0</v>
      </c>
      <c r="EB552">
        <v>0</v>
      </c>
      <c r="EC552">
        <v>0</v>
      </c>
      <c r="ED552">
        <v>0</v>
      </c>
      <c r="EE552">
        <v>0</v>
      </c>
      <c r="EF552">
        <v>1</v>
      </c>
      <c r="EG552">
        <v>0</v>
      </c>
      <c r="EH552">
        <v>0</v>
      </c>
      <c r="EI552" s="2">
        <v>0</v>
      </c>
      <c r="EJ552" s="333"/>
      <c r="EK552" t="str">
        <f>IF(AND(AND(AND(OR($DX552=1,$DW552=1),OR($EC552=1,$EA552=1)),SUM($DV552:$DZ552,$EF552)&gt;=4),SUM($EA552:$EE552)&gt;=2),"Whole sector","")</f>
        <v/>
      </c>
      <c r="EL552" t="str">
        <f>IF(AND(AND(OR($DX552=1,$DW552=1),AND($EC552=0,$EA552=0)),SUM($DV552:$DZ552,$EF552)&gt;=4),"Ecosystem approach","")</f>
        <v>Ecosystem approach</v>
      </c>
      <c r="EM552" s="2" t="str">
        <f>IF(AND(AND(AND($DX552=0,$DW552=0),OR($EC552=1,$EA552=1)),SUM($EB552:$EE552)&gt;=2),"Technology approach","")</f>
        <v/>
      </c>
      <c r="EP552" t="str">
        <f>IF(ISNUMBER(BU552),IF(ABS(BU552-[1]QC_indicators!$B$2)&gt;3*[1]QC_indicators!$C$2,"C ratio",IF(ISNUMBER(BY552),IF(ABS(BY552-[1]QC_indicators!$B$1)&gt;3*[1]QC_indicators!$C$1,"DF","no"))),IF(ISNUMBER(BY552),IF(ABS(BY552-[1]QC_indicators!$B$1)&gt;3*[1]QC_indicators!$C$1,"DF","no")))</f>
        <v>no</v>
      </c>
      <c r="ET552" s="268" t="s">
        <v>3242</v>
      </c>
    </row>
    <row r="553" spans="1:151" ht="15" customHeight="1">
      <c r="A553" s="1" t="s">
        <v>1360</v>
      </c>
      <c r="B553" t="s">
        <v>2135</v>
      </c>
      <c r="C553" t="s">
        <v>2136</v>
      </c>
      <c r="D553" t="s">
        <v>2137</v>
      </c>
      <c r="E553" t="s">
        <v>2138</v>
      </c>
      <c r="F553" t="s">
        <v>2139</v>
      </c>
      <c r="G553" t="s">
        <v>1366</v>
      </c>
      <c r="H553" t="s">
        <v>254</v>
      </c>
      <c r="I553">
        <v>2012</v>
      </c>
      <c r="J553">
        <v>21</v>
      </c>
      <c r="K553" t="s">
        <v>2140</v>
      </c>
      <c r="L553" s="192"/>
      <c r="M553" t="str">
        <f>LEFT($D553,FIND(",",$D553)-1)&amp;"_"&amp;I553&amp;L553</f>
        <v>Pyorala_2012</v>
      </c>
      <c r="N553" t="s">
        <v>222</v>
      </c>
      <c r="O553" s="145" t="s">
        <v>341</v>
      </c>
      <c r="P553" s="180" t="s">
        <v>223</v>
      </c>
      <c r="Q553" s="264" t="s">
        <v>2160</v>
      </c>
      <c r="R553" s="269" t="s">
        <v>1154</v>
      </c>
      <c r="S553" s="263" t="s">
        <v>2161</v>
      </c>
      <c r="T553" s="264" t="s">
        <v>2157</v>
      </c>
      <c r="U553" s="264" t="s">
        <v>2158</v>
      </c>
      <c r="V553">
        <v>0</v>
      </c>
      <c r="W553">
        <v>0</v>
      </c>
      <c r="X553">
        <v>0</v>
      </c>
      <c r="Y553">
        <v>0</v>
      </c>
      <c r="Z553">
        <v>0</v>
      </c>
      <c r="AA553">
        <v>0</v>
      </c>
      <c r="AB553">
        <v>0</v>
      </c>
      <c r="AC553">
        <v>1</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s="141">
        <f>COUNTIF(V553:AW553,"&lt;&gt;0")</f>
        <v>1</v>
      </c>
      <c r="AY553" s="141">
        <f>COUNTIF(V553:AL553,"&lt;&gt;0")</f>
        <v>1</v>
      </c>
      <c r="AZ553">
        <f>COUNTIF(V553:AC553,"&lt;&gt;0")</f>
        <v>1</v>
      </c>
      <c r="BA553">
        <f>COUNTIF(AD553:AI553,"&lt;&gt;0")</f>
        <v>0</v>
      </c>
      <c r="BB553">
        <f>COUNTIF(AJ553:AL553,"&lt;&gt;0")</f>
        <v>0</v>
      </c>
      <c r="BC553">
        <f>COUNTIF(AS553:AW553,"&lt;&gt;0")</f>
        <v>0</v>
      </c>
      <c r="BD553">
        <f>COUNTIF(AM553:AR553,"&lt;&gt;0")</f>
        <v>0</v>
      </c>
      <c r="BE553" t="str" cm="1">
        <f t="array" ref="BE553">IF(AY553=1,INDEX($V$7:$AL$7,MATCH(TRUE,INDEX($V553:$AW553&lt;&gt;0,),0)),IF(AY553=0,INDEX($AM$7:$AW$7,MATCH(1,$AM553:$AW553,0)),IF(BF553="Multiple strategies","mixed drivers",IF(BF553="Supply chain","multiple supply","multiple silviculture"))))</f>
        <v>site fertility</v>
      </c>
      <c r="BF553" s="2" t="str" cm="1">
        <f t="array" ref="BF553">IF(COUNTIF(AZ553:BB553,"&lt;&gt;0")=1,INDEX($V$4:$AW$4,MATCH(TRUE,INDEX($V553:$AW553&lt;&gt;0,),0)),IF(COUNTIF(AZ553:BB553,"&lt;&gt;0")=0,INDEX($AM$4:$AW$4,MATCH(1,$AM553:$AW553,0)),"Multiple strategies"))</f>
        <v>Silviculture for productivity</v>
      </c>
      <c r="BG553" s="178" t="s">
        <v>321</v>
      </c>
      <c r="BH553" s="264" t="s">
        <v>2144</v>
      </c>
      <c r="BI553" s="264" t="s">
        <v>2159</v>
      </c>
      <c r="BJ553" s="160" t="s">
        <v>700</v>
      </c>
      <c r="BK553">
        <v>8.3000000000000007</v>
      </c>
      <c r="BL553">
        <v>9.1</v>
      </c>
      <c r="BN553">
        <f>BL553-BK553</f>
        <v>0.79999999999999893</v>
      </c>
      <c r="BO553">
        <f>BN553</f>
        <v>0.79999999999999893</v>
      </c>
      <c r="BP553" s="155" t="s">
        <v>395</v>
      </c>
      <c r="BQ553" s="264" t="s">
        <v>786</v>
      </c>
      <c r="BR553" s="270" t="s">
        <v>2145</v>
      </c>
      <c r="BS553">
        <f>-5.1/50</f>
        <v>-0.10199999999999999</v>
      </c>
      <c r="BT553">
        <f>-5.7/50</f>
        <v>-0.114</v>
      </c>
      <c r="BU553" s="144"/>
      <c r="BV553">
        <f>BT553-BS553</f>
        <v>-1.2000000000000011E-2</v>
      </c>
      <c r="BX553">
        <f>BV553</f>
        <v>-1.2000000000000011E-2</v>
      </c>
      <c r="BY553">
        <f>IFERROR(BX553/BO553,"")</f>
        <v>-1.5000000000000034E-2</v>
      </c>
      <c r="BZ553">
        <v>0</v>
      </c>
      <c r="CA553">
        <v>0</v>
      </c>
      <c r="CB553">
        <v>0</v>
      </c>
      <c r="CC553">
        <v>0</v>
      </c>
      <c r="CD553">
        <v>0</v>
      </c>
      <c r="CE553">
        <v>0</v>
      </c>
      <c r="CF553">
        <v>0</v>
      </c>
      <c r="CG553">
        <v>0</v>
      </c>
      <c r="CH553">
        <v>0</v>
      </c>
      <c r="CI553">
        <v>0</v>
      </c>
      <c r="CJ553">
        <v>0</v>
      </c>
      <c r="CK553">
        <v>0</v>
      </c>
      <c r="CL553">
        <v>0</v>
      </c>
      <c r="CM553">
        <v>0</v>
      </c>
      <c r="CN553" t="str">
        <f>IF($BL553&lt;$BK553,"refNeedCorrection","refOK")</f>
        <v>refOK</v>
      </c>
      <c r="CO553">
        <f>IF($CN553="refOK",$BK553,$BL553)</f>
        <v>8.3000000000000007</v>
      </c>
      <c r="CP553">
        <f>IF($CN553="refOK",$BL553,$BK553)</f>
        <v>9.1</v>
      </c>
      <c r="CQ553">
        <f>IF($CN553="refOK",$BO553,-$BO553)</f>
        <v>0.79999999999999893</v>
      </c>
      <c r="CR553">
        <f>IF($CN553="refOK",$BS553,$BT553)*IF($BP553="Emissions positive",-1,1)</f>
        <v>0.10199999999999999</v>
      </c>
      <c r="CS553">
        <f>IF($CN553="refOK",$BT553,$BS553)*IF($BP553="Emissions positive",-1,1)</f>
        <v>0.114</v>
      </c>
      <c r="CT553">
        <f>IF($CN553="refNeedCorrection",-BX553,BX553)*IF($BP553="Emissions positive",-1,1)</f>
        <v>1.2000000000000011E-2</v>
      </c>
      <c r="CU553">
        <f>IFERROR(CT553/CQ553,"")</f>
        <v>1.5000000000000034E-2</v>
      </c>
      <c r="CV553" s="2">
        <f>IFERROR((CS553-CR553)/ABS(CR553),"")</f>
        <v>0.11764705882352952</v>
      </c>
      <c r="CW553" s="1" t="s">
        <v>1199</v>
      </c>
      <c r="CX553" s="264" t="str">
        <f>IF(OR($CW553="prd",$CW553="std",$CW553="cit"),"loc",IF(OR($CW553="eur",$CW553="reg",$CW553="coy"),"reg",$CW553))</f>
        <v>reg</v>
      </c>
      <c r="CY553" t="s">
        <v>235</v>
      </c>
      <c r="DB553">
        <v>50</v>
      </c>
      <c r="DC553" t="str">
        <f>IF(DB553=0,"0",IF(AND(DB553&gt;=1,DB553&lt;=30),"1-30",IF(AND(DB553&gt;30,DB553&lt;=70),"31-70",IF(AND(DB553&gt;70,DB553&lt;=100),"71-100",IF(DB553&gt;100,"+100")))))</f>
        <v>31-70</v>
      </c>
      <c r="DD553">
        <v>0</v>
      </c>
      <c r="DE553">
        <v>1</v>
      </c>
      <c r="DF553">
        <v>1</v>
      </c>
      <c r="DG553">
        <v>1</v>
      </c>
      <c r="DI553">
        <f>SUM(DD553:DG553)</f>
        <v>3</v>
      </c>
      <c r="DJ553" t="str">
        <f>IF(DI553=1,INDEX($DD$7:$DG$7,MATCH(1,$DD553:$DG553,0)),"mixedProduct")</f>
        <v>mixedProduct</v>
      </c>
      <c r="DK553">
        <f>IF(DD553=1,DK$7,0)</f>
        <v>0</v>
      </c>
      <c r="DL553" t="str">
        <f>IF(DE553=1,DL$7,0)</f>
        <v>Energy</v>
      </c>
      <c r="DM553" t="str">
        <f>IF(DF553=1,DM$7,0)</f>
        <v>Pulp/Paper</v>
      </c>
      <c r="DN553" t="str">
        <f>IF(DG553=1,DN$7,0)</f>
        <v>Timber</v>
      </c>
      <c r="DO553">
        <v>0</v>
      </c>
      <c r="DP553">
        <v>1</v>
      </c>
      <c r="DQ553" t="s">
        <v>2146</v>
      </c>
      <c r="DR553">
        <v>0</v>
      </c>
      <c r="DS553">
        <v>0</v>
      </c>
      <c r="DT553">
        <f>SUM(DO553:DP553)</f>
        <v>1</v>
      </c>
      <c r="DU553" s="143" t="str">
        <f>IF(DO553=1,"self-calculated DF",IF(DP553=1,"external DF used","explicit C balance"))</f>
        <v>external DF used</v>
      </c>
      <c r="DV553">
        <v>1</v>
      </c>
      <c r="DW553">
        <v>1</v>
      </c>
      <c r="DX553">
        <v>1</v>
      </c>
      <c r="DY553">
        <v>0</v>
      </c>
      <c r="DZ553">
        <v>0</v>
      </c>
      <c r="EA553" s="143">
        <v>0</v>
      </c>
      <c r="EB553">
        <v>1</v>
      </c>
      <c r="EC553">
        <v>1</v>
      </c>
      <c r="ED553">
        <v>0</v>
      </c>
      <c r="EE553">
        <v>0</v>
      </c>
      <c r="EF553">
        <v>1</v>
      </c>
      <c r="EG553">
        <v>0</v>
      </c>
      <c r="EH553">
        <v>0</v>
      </c>
      <c r="EI553" s="2">
        <v>0</v>
      </c>
      <c r="EJ553" s="333"/>
      <c r="EK553" t="str">
        <f>IF(AND(AND(AND(OR($DX553=1,$DW553=1),OR($EC553=1,$EA553=1)),SUM($DV553:$DZ553,$EF553)&gt;=4),SUM($EA553:$EE553)&gt;=2),"Whole sector","")</f>
        <v>Whole sector</v>
      </c>
      <c r="EL553" t="str">
        <f>IF(AND(AND(OR($DX553=1,$DW553=1),AND($EC553=0,$EA553=0)),SUM($DV553:$DZ553,$EF553)&gt;=4),"Ecosystem approach","")</f>
        <v/>
      </c>
      <c r="EM553" s="2" t="str">
        <f>IF(AND(AND(AND($DX553=0,$DW553=0),OR($EC553=1,$EA553=1)),SUM($EB553:$EE553)&gt;=2),"Technology approach","")</f>
        <v/>
      </c>
      <c r="EP553" t="str">
        <f>IF(ISNUMBER(BU553),IF(ABS(BU553-[3]QC_indicators!$B$2)&gt;3*[3]QC_indicators!$C$2,"C ratio",IF(ISNUMBER(BY553),IF(ABS(BY553-[3]QC_indicators!$B$1)&gt;3*[3]QC_indicators!$C$1,"DF","no"))),IF(ISNUMBER(BY553),IF(ABS(BY553-[3]QC_indicators!$B$1)&gt;3*[3]QC_indicators!$C$1,"DF","no")))</f>
        <v>no</v>
      </c>
      <c r="ET553" s="264" t="s">
        <v>3407</v>
      </c>
    </row>
    <row r="554" spans="1:151" ht="15" customHeight="1">
      <c r="A554" s="1" t="s">
        <v>1360</v>
      </c>
      <c r="B554" t="s">
        <v>2217</v>
      </c>
      <c r="C554" t="s">
        <v>2218</v>
      </c>
      <c r="D554" t="s">
        <v>2219</v>
      </c>
      <c r="E554" t="s">
        <v>2220</v>
      </c>
      <c r="F554" t="s">
        <v>2221</v>
      </c>
      <c r="G554" t="s">
        <v>1366</v>
      </c>
      <c r="H554" t="s">
        <v>254</v>
      </c>
      <c r="I554">
        <v>2009</v>
      </c>
      <c r="J554">
        <v>27</v>
      </c>
      <c r="K554" t="s">
        <v>2222</v>
      </c>
      <c r="M554" t="str">
        <f>LEFT($D554,FIND(",",$D554)-1)&amp;"_"&amp;I554&amp;L554</f>
        <v>Raymer_2009</v>
      </c>
      <c r="N554" t="s">
        <v>222</v>
      </c>
      <c r="O554" s="145" t="s">
        <v>341</v>
      </c>
      <c r="Q554" s="264" t="s">
        <v>256</v>
      </c>
      <c r="R554" s="269" t="s">
        <v>1154</v>
      </c>
      <c r="S554" s="1" t="s">
        <v>2223</v>
      </c>
      <c r="T554" t="s">
        <v>2224</v>
      </c>
      <c r="U554" t="s">
        <v>2228</v>
      </c>
      <c r="V554">
        <v>0</v>
      </c>
      <c r="W554">
        <v>0</v>
      </c>
      <c r="X554">
        <v>0</v>
      </c>
      <c r="Y554">
        <v>0</v>
      </c>
      <c r="Z554">
        <v>2</v>
      </c>
      <c r="AA554">
        <v>2</v>
      </c>
      <c r="AB554">
        <v>2</v>
      </c>
      <c r="AC554">
        <v>0</v>
      </c>
      <c r="AD554">
        <v>0</v>
      </c>
      <c r="AE554">
        <v>0</v>
      </c>
      <c r="AF554">
        <v>1</v>
      </c>
      <c r="AG554">
        <v>0</v>
      </c>
      <c r="AH554">
        <v>0</v>
      </c>
      <c r="AI554">
        <v>0</v>
      </c>
      <c r="AJ554">
        <v>2</v>
      </c>
      <c r="AK554">
        <v>0</v>
      </c>
      <c r="AL554">
        <v>0</v>
      </c>
      <c r="AM554">
        <v>0</v>
      </c>
      <c r="AN554">
        <v>0</v>
      </c>
      <c r="AO554">
        <v>0</v>
      </c>
      <c r="AP554">
        <v>0</v>
      </c>
      <c r="AQ554">
        <v>0</v>
      </c>
      <c r="AR554">
        <v>0</v>
      </c>
      <c r="AS554">
        <v>0</v>
      </c>
      <c r="AT554">
        <v>0</v>
      </c>
      <c r="AU554">
        <v>0</v>
      </c>
      <c r="AV554">
        <v>1</v>
      </c>
      <c r="AW554">
        <v>0</v>
      </c>
      <c r="AX554" s="141">
        <f>COUNTIF(V554:AW554,"&lt;&gt;0")</f>
        <v>6</v>
      </c>
      <c r="AY554" s="141">
        <f>COUNTIF(V554:AL554,"&lt;&gt;0")</f>
        <v>5</v>
      </c>
      <c r="AZ554">
        <f>COUNTIF(V554:AC554,"&lt;&gt;0")</f>
        <v>3</v>
      </c>
      <c r="BA554">
        <f>COUNTIF(AD554:AI554,"&lt;&gt;0")</f>
        <v>1</v>
      </c>
      <c r="BB554">
        <f>COUNTIF(AJ554:AL554,"&lt;&gt;0")</f>
        <v>1</v>
      </c>
      <c r="BC554">
        <f>COUNTIF(AS554:AW554,"&lt;&gt;0")</f>
        <v>1</v>
      </c>
      <c r="BD554">
        <f>COUNTIF(AM554:AR554,"&lt;&gt;0")</f>
        <v>0</v>
      </c>
      <c r="BE554" t="str" cm="1">
        <f t="array" ref="BE554">IF(AY554=1,INDEX($V$7:$AL$7,MATCH(TRUE,INDEX($V554:$AW554&lt;&gt;0,),0)),IF(AY554=0,INDEX($AM$7:$AW$7,MATCH(1,$AM554:$AW554,0)),IF(BF554="Multiple strategies","mixed drivers",IF(BF554="Supply chain","multiple supply","multiple silviculture"))))</f>
        <v>mixed drivers</v>
      </c>
      <c r="BF554" s="2" t="str" cm="1">
        <f t="array" ref="BF554">IF(COUNTIF(AZ554:BB554,"&lt;&gt;0")=1,INDEX($V$4:$AW$4,MATCH(TRUE,INDEX($V554:$AW554&lt;&gt;0,),0)),IF(COUNTIF(AZ554:BB554,"&lt;&gt;0")=0,INDEX($AM$4:$AW$4,MATCH(1,$AM554:$AW554,0)),"Multiple strategies"))</f>
        <v>Multiple strategies</v>
      </c>
      <c r="BG554" s="1" t="s">
        <v>321</v>
      </c>
      <c r="BH554" t="s">
        <v>2226</v>
      </c>
      <c r="BJ554" t="s">
        <v>1355</v>
      </c>
      <c r="BK554">
        <v>150</v>
      </c>
      <c r="BL554">
        <v>207.6</v>
      </c>
      <c r="BN554">
        <f>BL554-BK554</f>
        <v>57.599999999999994</v>
      </c>
      <c r="BO554">
        <f>BN554*10^6</f>
        <v>57599999.999999993</v>
      </c>
      <c r="BP554" t="s">
        <v>232</v>
      </c>
      <c r="BR554" t="s">
        <v>1140</v>
      </c>
      <c r="BS554">
        <v>1.5</v>
      </c>
      <c r="BT554">
        <v>2.4</v>
      </c>
      <c r="BU554" s="144">
        <f>IFERROR(BT554/BS554,"")</f>
        <v>1.5999999999999999</v>
      </c>
      <c r="BV554">
        <f>BT554-BS554</f>
        <v>0.89999999999999991</v>
      </c>
      <c r="BX554">
        <f>BV554*10^6</f>
        <v>899999.99999999988</v>
      </c>
      <c r="BY554">
        <f>IFERROR(BX554/BO554,"")</f>
        <v>1.5625E-2</v>
      </c>
      <c r="BZ554">
        <v>0</v>
      </c>
      <c r="CA554">
        <v>0</v>
      </c>
      <c r="CB554">
        <v>0</v>
      </c>
      <c r="CC554">
        <v>0</v>
      </c>
      <c r="CD554">
        <v>0</v>
      </c>
      <c r="CE554">
        <v>0</v>
      </c>
      <c r="CF554">
        <v>0</v>
      </c>
      <c r="CG554">
        <v>0</v>
      </c>
      <c r="CH554">
        <v>0</v>
      </c>
      <c r="CI554">
        <v>0</v>
      </c>
      <c r="CJ554">
        <v>0</v>
      </c>
      <c r="CK554">
        <v>0</v>
      </c>
      <c r="CL554">
        <v>0</v>
      </c>
      <c r="CM554">
        <v>1</v>
      </c>
      <c r="CN554" t="str">
        <f>IF($BL554&lt;$BK554,"refNeedCorrection","refOK")</f>
        <v>refOK</v>
      </c>
      <c r="CO554">
        <f>IF($CN554="refOK",$BK554,$BL554)</f>
        <v>150</v>
      </c>
      <c r="CP554">
        <f>IF($CN554="refOK",$BL554,$BK554)</f>
        <v>207.6</v>
      </c>
      <c r="CQ554">
        <f>IF($CN554="refOK",$BO554,-$BO554)</f>
        <v>57599999.999999993</v>
      </c>
      <c r="CR554">
        <f>IF($CN554="refOK",$BS554,$BT554)*IF($BP554="Emissions positive",-1,1)</f>
        <v>1.5</v>
      </c>
      <c r="CS554">
        <f>IF($CN554="refOK",$BT554,$BS554)*IF($BP554="Emissions positive",-1,1)</f>
        <v>2.4</v>
      </c>
      <c r="CT554">
        <f>IF($CN554="refNeedCorrection",-BX554,BX554)*IF($BP554="Emissions positive",-1,1)</f>
        <v>899999.99999999988</v>
      </c>
      <c r="CU554">
        <f>IFERROR(CT554/CQ554,"")</f>
        <v>1.5625E-2</v>
      </c>
      <c r="CV554" s="2">
        <f>IFERROR((CS554-CR554)/ABS(CR554),"")</f>
        <v>0.6</v>
      </c>
      <c r="CW554" s="1" t="s">
        <v>1199</v>
      </c>
      <c r="CX554" s="264" t="str">
        <f>IF(OR($CW554="prd",$CW554="std",$CW554="cit"),"loc",IF(OR($CW554="eur",$CW554="reg",$CW554="coy"),"reg",$CW554))</f>
        <v>reg</v>
      </c>
      <c r="CY554" t="s">
        <v>264</v>
      </c>
      <c r="DB554">
        <v>120</v>
      </c>
      <c r="DC554" t="str">
        <f>IF(DB554=0,"0",IF(AND(DB554&gt;=1,DB554&lt;=30),"1-30",IF(AND(DB554&gt;30,DB554&lt;=70),"31-70",IF(AND(DB554&gt;70,DB554&lt;=100),"71-100",IF(DB554&gt;100,"+100")))))</f>
        <v>+100</v>
      </c>
      <c r="DD554">
        <v>0</v>
      </c>
      <c r="DE554">
        <v>1</v>
      </c>
      <c r="DF554">
        <v>1</v>
      </c>
      <c r="DG554">
        <v>1</v>
      </c>
      <c r="DI554">
        <f>SUM(DD554:DG554)</f>
        <v>3</v>
      </c>
      <c r="DJ554" t="str">
        <f>IF(DI554=1,INDEX($DD$7:$DG$7,MATCH(1,$DD554:$DG554,0)),"mixedProduct")</f>
        <v>mixedProduct</v>
      </c>
      <c r="DK554">
        <f>IF(DD554=1,DK$7,0)</f>
        <v>0</v>
      </c>
      <c r="DL554" t="str">
        <f>IF(DE554=1,DL$7,0)</f>
        <v>Energy</v>
      </c>
      <c r="DM554" t="str">
        <f>IF(DF554=1,DM$7,0)</f>
        <v>Pulp/Paper</v>
      </c>
      <c r="DN554" t="str">
        <f>IF(DG554=1,DN$7,0)</f>
        <v>Timber</v>
      </c>
      <c r="DO554">
        <v>1</v>
      </c>
      <c r="DP554">
        <v>0</v>
      </c>
      <c r="DQ554">
        <v>0</v>
      </c>
      <c r="DR554">
        <v>0</v>
      </c>
      <c r="DS554">
        <v>0</v>
      </c>
      <c r="DT554">
        <f>SUM(DO554:DP554)</f>
        <v>1</v>
      </c>
      <c r="DU554" s="143" t="str">
        <f>IF(DO554=1,"self-calculated DF",IF(DP554=1,"external DF used","explicit C balance"))</f>
        <v>self-calculated DF</v>
      </c>
      <c r="DV554">
        <v>1</v>
      </c>
      <c r="DW554">
        <v>1</v>
      </c>
      <c r="DX554">
        <v>1</v>
      </c>
      <c r="DY554">
        <v>1</v>
      </c>
      <c r="DZ554">
        <v>1</v>
      </c>
      <c r="EA554">
        <v>1</v>
      </c>
      <c r="EB554">
        <v>1</v>
      </c>
      <c r="EC554">
        <v>1</v>
      </c>
      <c r="ED554">
        <v>0</v>
      </c>
      <c r="EE554">
        <v>0</v>
      </c>
      <c r="EF554">
        <v>1</v>
      </c>
      <c r="EG554">
        <v>0</v>
      </c>
      <c r="EH554">
        <v>0</v>
      </c>
      <c r="EI554" s="2">
        <v>0</v>
      </c>
      <c r="EJ554" s="333"/>
      <c r="EK554" t="str">
        <f>IF(AND(AND(AND(OR($DX554=1,$DW554=1),OR($EC554=1,$EA554=1)),SUM($DV554:$DZ554,$EF554)&gt;=4),SUM($EA554:$EE554)&gt;=2),"Whole sector","")</f>
        <v>Whole sector</v>
      </c>
      <c r="EL554" t="str">
        <f>IF(AND(AND(OR($DX554=1,$DW554=1),AND($EC554=0,$EA554=0)),SUM($DV554:$DZ554,$EF554)&gt;=4),"Ecosystem approach","")</f>
        <v/>
      </c>
      <c r="EM554" s="2" t="str">
        <f>IF(AND(AND(AND($DX554=0,$DW554=0),OR($EC554=1,$EA554=1)),SUM($EB554:$EE554)&gt;=2),"Technology approach","")</f>
        <v/>
      </c>
      <c r="EP554" t="str">
        <f>IF(ISNUMBER(BU554),IF(ABS(BU554-[3]QC_indicators!$B$2)&gt;3*[3]QC_indicators!$C$2,"C ratio",IF(ISNUMBER(BY554),IF(ABS(BY554-[3]QC_indicators!$B$1)&gt;3*[3]QC_indicators!$C$1,"DF","no"))),IF(ISNUMBER(BY554),IF(ABS(BY554-[3]QC_indicators!$B$1)&gt;3*[3]QC_indicators!$C$1,"DF","no")))</f>
        <v>no</v>
      </c>
      <c r="ET554" s="264" t="s">
        <v>3407</v>
      </c>
    </row>
    <row r="555" spans="1:151" ht="15" customHeight="1">
      <c r="A555" s="1" t="s">
        <v>1102</v>
      </c>
      <c r="B555" t="s">
        <v>1103</v>
      </c>
      <c r="C555" t="s">
        <v>1104</v>
      </c>
      <c r="D555" t="s">
        <v>1105</v>
      </c>
      <c r="E555" t="s">
        <v>1106</v>
      </c>
      <c r="F555" t="s">
        <v>1107</v>
      </c>
      <c r="G555" t="s">
        <v>1108</v>
      </c>
      <c r="H555" t="s">
        <v>254</v>
      </c>
      <c r="I555">
        <v>2013</v>
      </c>
      <c r="J555">
        <v>11</v>
      </c>
      <c r="K555" t="s">
        <v>1109</v>
      </c>
      <c r="M555" t="str">
        <f>LEFT($D555,FIND(",",$D555)-1)&amp;"_"&amp;I555&amp;L555</f>
        <v>Routa_2013</v>
      </c>
      <c r="N555" t="s">
        <v>222</v>
      </c>
      <c r="O555" s="145" t="s">
        <v>341</v>
      </c>
      <c r="Q555" s="264" t="s">
        <v>256</v>
      </c>
      <c r="R555" s="269" t="s">
        <v>1154</v>
      </c>
      <c r="S555" s="1" t="s">
        <v>1125</v>
      </c>
      <c r="T555" t="s">
        <v>1111</v>
      </c>
      <c r="U555" t="e">
        <f>#REF!</f>
        <v>#REF!</v>
      </c>
      <c r="V555">
        <v>0</v>
      </c>
      <c r="W555">
        <v>0</v>
      </c>
      <c r="X555">
        <v>2</v>
      </c>
      <c r="Y555">
        <v>0</v>
      </c>
      <c r="Z555">
        <v>2</v>
      </c>
      <c r="AA555">
        <v>0</v>
      </c>
      <c r="AB555">
        <v>1</v>
      </c>
      <c r="AC555">
        <v>0</v>
      </c>
      <c r="AD555">
        <v>0</v>
      </c>
      <c r="AE555">
        <v>0</v>
      </c>
      <c r="AF555">
        <v>0</v>
      </c>
      <c r="AG555">
        <v>0</v>
      </c>
      <c r="AH555">
        <v>0</v>
      </c>
      <c r="AI555">
        <v>0</v>
      </c>
      <c r="AJ555">
        <v>2</v>
      </c>
      <c r="AK555">
        <v>0</v>
      </c>
      <c r="AL555">
        <v>2</v>
      </c>
      <c r="AM555">
        <v>0</v>
      </c>
      <c r="AN555">
        <v>0</v>
      </c>
      <c r="AO555">
        <v>0</v>
      </c>
      <c r="AP555">
        <v>0</v>
      </c>
      <c r="AQ555">
        <v>0</v>
      </c>
      <c r="AR555">
        <v>0</v>
      </c>
      <c r="AS555">
        <v>0</v>
      </c>
      <c r="AT555">
        <v>0</v>
      </c>
      <c r="AU555">
        <v>0</v>
      </c>
      <c r="AV555">
        <v>0</v>
      </c>
      <c r="AW555">
        <v>0</v>
      </c>
      <c r="AX555" s="141">
        <f>COUNTIF(V555:AW555,"&lt;&gt;0")</f>
        <v>5</v>
      </c>
      <c r="AY555" s="141">
        <f>COUNTIF(V555:AL555,"&lt;&gt;0")</f>
        <v>5</v>
      </c>
      <c r="AZ555">
        <f>COUNTIF(V555:AC555,"&lt;&gt;0")</f>
        <v>3</v>
      </c>
      <c r="BA555">
        <f>COUNTIF(AD555:AI555,"&lt;&gt;0")</f>
        <v>0</v>
      </c>
      <c r="BB555">
        <f>COUNTIF(AJ555:AL555,"&lt;&gt;0")</f>
        <v>2</v>
      </c>
      <c r="BC555">
        <f>COUNTIF(AS555:AW555,"&lt;&gt;0")</f>
        <v>0</v>
      </c>
      <c r="BD555">
        <f>COUNTIF(AM555:AR555,"&lt;&gt;0")</f>
        <v>0</v>
      </c>
      <c r="BE555" t="str" cm="1">
        <f t="array" ref="BE555">IF(AY555=1,INDEX($V$7:$AL$7,MATCH(TRUE,INDEX($V555:$AW555&lt;&gt;0,),0)),IF(AY555=0,INDEX($AM$7:$AW$7,MATCH(1,$AM555:$AW555,0)),IF(BF555="Multiple strategies","mixed drivers",IF(BF555="Supply chain","multiple supply","multiple silviculture"))))</f>
        <v>mixed drivers</v>
      </c>
      <c r="BF555" s="2" t="str" cm="1">
        <f t="array" ref="BF555">IF(COUNTIF(AZ555:BB555,"&lt;&gt;0")=1,INDEX($V$4:$AW$4,MATCH(TRUE,INDEX($V555:$AW555&lt;&gt;0,),0)),IF(COUNTIF(AZ555:BB555,"&lt;&gt;0")=0,INDEX($AM$4:$AW$4,MATCH(1,$AM555:$AW555,0)),"Multiple strategies"))</f>
        <v>Multiple strategies</v>
      </c>
      <c r="BG555" s="1" t="s">
        <v>321</v>
      </c>
      <c r="BH555" t="s">
        <v>1126</v>
      </c>
      <c r="BJ555" t="s">
        <v>1113</v>
      </c>
      <c r="BK555">
        <v>3.2</v>
      </c>
      <c r="BL555">
        <v>3.3</v>
      </c>
      <c r="BN555">
        <f>BL555-BK555</f>
        <v>9.9999999999999645E-2</v>
      </c>
      <c r="BO555">
        <f>BN555</f>
        <v>9.9999999999999645E-2</v>
      </c>
      <c r="BP555" s="264" t="s">
        <v>232</v>
      </c>
      <c r="BQ555" s="264"/>
      <c r="BR555" t="s">
        <v>1114</v>
      </c>
      <c r="BS555">
        <v>-2.5</v>
      </c>
      <c r="BT555">
        <v>-0.87</v>
      </c>
      <c r="BU555" s="144">
        <v>0.34799999999999998</v>
      </c>
      <c r="BV555">
        <v>1.63</v>
      </c>
      <c r="BX555">
        <f>BV555/10^3</f>
        <v>1.6299999999999999E-3</v>
      </c>
      <c r="BY555">
        <f>IFERROR(BX555/BO555,"")</f>
        <v>1.6300000000000057E-2</v>
      </c>
      <c r="BZ555">
        <v>0</v>
      </c>
      <c r="CA555">
        <v>0</v>
      </c>
      <c r="CB555">
        <v>0</v>
      </c>
      <c r="CC555">
        <v>0</v>
      </c>
      <c r="CD555">
        <v>0</v>
      </c>
      <c r="CE555">
        <v>0</v>
      </c>
      <c r="CF555">
        <v>0</v>
      </c>
      <c r="CG555">
        <v>0</v>
      </c>
      <c r="CH555">
        <v>0</v>
      </c>
      <c r="CI555">
        <v>0</v>
      </c>
      <c r="CJ555">
        <v>0</v>
      </c>
      <c r="CK555">
        <v>0</v>
      </c>
      <c r="CL555">
        <v>0</v>
      </c>
      <c r="CM555">
        <v>0</v>
      </c>
      <c r="CN555" t="str">
        <f>IF($BL555&lt;$BK555,"refNeedCorrection","refOK")</f>
        <v>refOK</v>
      </c>
      <c r="CO555">
        <f>IF($CN555="refOK",$BK555,$BL555)</f>
        <v>3.2</v>
      </c>
      <c r="CP555">
        <f>IF($CN555="refOK",$BL555,$BK555)</f>
        <v>3.3</v>
      </c>
      <c r="CQ555">
        <f>IF($CN555="refOK",$BO555,-$BO555)</f>
        <v>9.9999999999999645E-2</v>
      </c>
      <c r="CR555">
        <f>IF($CN555="refOK",$BS555,$BT555)*IF($BP555="Emissions positive",-1,1)</f>
        <v>-2.5</v>
      </c>
      <c r="CS555">
        <f>IF($CN555="refOK",$BT555,$BS555)*IF($BP555="Emissions positive",-1,1)</f>
        <v>-0.87</v>
      </c>
      <c r="CT555">
        <f>IF($CN555="refNeedCorrection",-BX555,BX555)*IF($BP555="Emissions positive",-1,1)</f>
        <v>1.6299999999999999E-3</v>
      </c>
      <c r="CU555">
        <f>IFERROR(CT555/CQ555,"")</f>
        <v>1.6300000000000057E-2</v>
      </c>
      <c r="CV555" s="2">
        <f>IFERROR((CS555-CR555)/ABS(CR555),"")</f>
        <v>0.65199999999999991</v>
      </c>
      <c r="CW555" s="1" t="s">
        <v>234</v>
      </c>
      <c r="CX555" s="264" t="str">
        <f>IF(OR($CW555="prd",$CW555="std",$CW555="cit"),"loc",IF(OR($CW555="eur",$CW555="reg",$CW555="coy"),"reg",$CW555))</f>
        <v>loc</v>
      </c>
      <c r="CY555" t="s">
        <v>235</v>
      </c>
      <c r="CZ555">
        <v>2001</v>
      </c>
      <c r="DA555">
        <v>2100</v>
      </c>
      <c r="DB555">
        <v>100</v>
      </c>
      <c r="DC555" t="str">
        <f>IF(DB555=0,"0",IF(AND(DB555&gt;=1,DB555&lt;=30),"1-30",IF(AND(DB555&gt;30,DB555&lt;=70),"31-70",IF(AND(DB555&gt;70,DB555&lt;=100),"71-100",IF(DB555&gt;100,"+100")))))</f>
        <v>71-100</v>
      </c>
      <c r="DD555">
        <v>0</v>
      </c>
      <c r="DE555">
        <v>1</v>
      </c>
      <c r="DF555">
        <v>1</v>
      </c>
      <c r="DG555">
        <v>1</v>
      </c>
      <c r="DI555">
        <f>SUM(DD555:DG555)</f>
        <v>3</v>
      </c>
      <c r="DJ555" t="str">
        <f>IF(DI555=1,INDEX($DD$7:$DG$7,MATCH(1,$DD555:$DG555,0)),"mixedProduct")</f>
        <v>mixedProduct</v>
      </c>
      <c r="DK555">
        <f>IF(DD555=1,DK$7,0)</f>
        <v>0</v>
      </c>
      <c r="DL555" t="str">
        <f>IF(DE555=1,DL$7,0)</f>
        <v>Energy</v>
      </c>
      <c r="DM555" t="str">
        <f>IF(DF555=1,DM$7,0)</f>
        <v>Pulp/Paper</v>
      </c>
      <c r="DN555" t="str">
        <f>IF(DG555=1,DN$7,0)</f>
        <v>Timber</v>
      </c>
      <c r="DO555">
        <v>1</v>
      </c>
      <c r="DP555">
        <v>0</v>
      </c>
      <c r="DQ555">
        <v>0</v>
      </c>
      <c r="DR555">
        <v>0</v>
      </c>
      <c r="DS555">
        <v>0</v>
      </c>
      <c r="DT555">
        <f>SUM(DO555:DP555)</f>
        <v>1</v>
      </c>
      <c r="DU555" s="143" t="str">
        <f>IF(DO555=1,"self-calculated DF",IF(DP555=1,"external DF used","explicit C balance"))</f>
        <v>self-calculated DF</v>
      </c>
      <c r="DV555">
        <v>1</v>
      </c>
      <c r="DW555">
        <v>1</v>
      </c>
      <c r="DX555">
        <v>1</v>
      </c>
      <c r="DY555">
        <v>0</v>
      </c>
      <c r="DZ555">
        <v>0</v>
      </c>
      <c r="EA555" s="143">
        <v>0</v>
      </c>
      <c r="EB555">
        <v>1</v>
      </c>
      <c r="EC555">
        <v>1</v>
      </c>
      <c r="ED555">
        <v>0</v>
      </c>
      <c r="EE555">
        <v>0</v>
      </c>
      <c r="EF555">
        <v>1</v>
      </c>
      <c r="EG555">
        <v>1</v>
      </c>
      <c r="EH555">
        <v>0</v>
      </c>
      <c r="EI555" s="2">
        <v>0</v>
      </c>
      <c r="EK555" t="str">
        <f>IF(AND(AND(AND(OR($DX555=1,$DW555=1),OR($EC555=1,$EA555=1)),SUM($DV555:$DZ555,$EF555)&gt;=4),SUM($EA555:$EE555)&gt;=2),"Whole sector","")</f>
        <v>Whole sector</v>
      </c>
      <c r="EL555" t="str">
        <f>IF(AND(AND(OR($DX555=1,$DW555=1),AND($EC555=0,$EA555=0)),SUM($DV555:$DZ555,$EF555)&gt;=4),"Ecosystem approach","")</f>
        <v/>
      </c>
      <c r="EM555" s="2" t="str">
        <f>IF(AND(AND(AND($DX555=0,$DW555=0),OR($EC555=1,$EA555=1)),SUM($EB555:$EE555)&gt;=2),"Technology approach","")</f>
        <v/>
      </c>
      <c r="EP555" t="str">
        <f>IF(ISNUMBER(BU555),IF(ABS(BU555-[3]QC_indicators!$B$2)&gt;3*[3]QC_indicators!$C$2,"C ratio",IF(ISNUMBER(BY555),IF(ABS(BY555-[3]QC_indicators!$B$1)&gt;3*[3]QC_indicators!$C$1,"DF","no"))),IF(ISNUMBER(BY555),IF(ABS(BY555-[3]QC_indicators!$B$1)&gt;3*[3]QC_indicators!$C$1,"DF","no")))</f>
        <v>no</v>
      </c>
      <c r="ER555" s="294" t="s">
        <v>349</v>
      </c>
      <c r="ET555" s="264" t="s">
        <v>3407</v>
      </c>
    </row>
    <row r="556" spans="1:151" ht="15" customHeight="1">
      <c r="D556" t="s">
        <v>963</v>
      </c>
      <c r="E556" t="s">
        <v>964</v>
      </c>
      <c r="G556" t="s">
        <v>965</v>
      </c>
      <c r="I556">
        <v>2002</v>
      </c>
      <c r="K556" s="295" t="s">
        <v>966</v>
      </c>
      <c r="M556" t="str">
        <f>LEFT($D556,FIND(",",$D556)-1)&amp;"_"&amp;I556&amp;L556</f>
        <v>Petersen_2002</v>
      </c>
      <c r="N556" t="s">
        <v>222</v>
      </c>
      <c r="O556" s="171" t="s">
        <v>513</v>
      </c>
      <c r="P556" s="141" t="s">
        <v>225</v>
      </c>
      <c r="Q556" s="264" t="s">
        <v>389</v>
      </c>
      <c r="R556" s="269" t="s">
        <v>1154</v>
      </c>
      <c r="S556" s="263" t="s">
        <v>967</v>
      </c>
      <c r="T556" s="264" t="s">
        <v>968</v>
      </c>
      <c r="U556" s="264" t="s">
        <v>969</v>
      </c>
      <c r="V556">
        <v>0</v>
      </c>
      <c r="W556">
        <v>0</v>
      </c>
      <c r="X556">
        <v>0</v>
      </c>
      <c r="Y556">
        <v>0</v>
      </c>
      <c r="Z556">
        <v>0</v>
      </c>
      <c r="AA556">
        <v>0</v>
      </c>
      <c r="AB556">
        <v>0</v>
      </c>
      <c r="AC556">
        <v>0</v>
      </c>
      <c r="AD556">
        <v>0</v>
      </c>
      <c r="AE556">
        <v>0</v>
      </c>
      <c r="AF556">
        <v>0</v>
      </c>
      <c r="AG556">
        <v>0</v>
      </c>
      <c r="AH556">
        <v>0</v>
      </c>
      <c r="AI556">
        <v>0</v>
      </c>
      <c r="AJ556">
        <v>1</v>
      </c>
      <c r="AK556">
        <v>0</v>
      </c>
      <c r="AL556">
        <v>0</v>
      </c>
      <c r="AM556">
        <v>0</v>
      </c>
      <c r="AN556">
        <v>0</v>
      </c>
      <c r="AO556">
        <v>0</v>
      </c>
      <c r="AP556">
        <v>0</v>
      </c>
      <c r="AQ556">
        <v>0</v>
      </c>
      <c r="AR556">
        <v>0</v>
      </c>
      <c r="AS556">
        <v>0</v>
      </c>
      <c r="AT556">
        <v>0</v>
      </c>
      <c r="AU556">
        <v>0</v>
      </c>
      <c r="AV556">
        <v>0</v>
      </c>
      <c r="AW556">
        <v>0</v>
      </c>
      <c r="AX556" s="141">
        <f>COUNTIF(V556:AW556,"&lt;&gt;0")</f>
        <v>1</v>
      </c>
      <c r="AY556" s="141">
        <f>COUNTIF(V556:AL556,"&lt;&gt;0")</f>
        <v>1</v>
      </c>
      <c r="AZ556">
        <f>COUNTIF(V556:AC556,"&lt;&gt;0")</f>
        <v>0</v>
      </c>
      <c r="BA556">
        <f>COUNTIF(AD556:AI556,"&lt;&gt;0")</f>
        <v>0</v>
      </c>
      <c r="BB556">
        <f>COUNTIF(AJ556:AL556,"&lt;&gt;0")</f>
        <v>1</v>
      </c>
      <c r="BC556">
        <f>COUNTIF(AS556:AW556,"&lt;&gt;0")</f>
        <v>0</v>
      </c>
      <c r="BD556">
        <f>COUNTIF(AM556:AR556,"&lt;&gt;0")</f>
        <v>0</v>
      </c>
      <c r="BE556" t="str" cm="1">
        <f t="array" ref="BE556">IF(AY556=1,INDEX($V$7:$AL$7,MATCH(TRUE,INDEX($V556:$AW556&lt;&gt;0,),0)),IF(AY556=0,INDEX($AM$7:$AW$7,MATCH(1,$AM556:$AW556,0)),IF(BF556="Multiple strategies","mixed drivers",IF(BF556="Supply chain","multiple supply","multiple silviculture"))))</f>
        <v>efficiency improvement</v>
      </c>
      <c r="BF556" s="2" t="str" cm="1">
        <f t="array" ref="BF556">IF(COUNTIF(AZ556:BB556,"&lt;&gt;0")=1,INDEX($V$4:$AW$4,MATCH(TRUE,INDEX($V556:$AW556&lt;&gt;0,),0)),IF(COUNTIF(AZ556:BB556,"&lt;&gt;0")=0,INDEX($AM$4:$AW$4,MATCH(1,$AM556:$AW556,0)),"Multiple strategies"))</f>
        <v>Technology</v>
      </c>
      <c r="BG556" s="142" t="s">
        <v>229</v>
      </c>
      <c r="BH556" t="s">
        <v>970</v>
      </c>
      <c r="BI556" t="s">
        <v>971</v>
      </c>
      <c r="BJ556" t="s">
        <v>498</v>
      </c>
      <c r="BK556">
        <v>1</v>
      </c>
      <c r="BL556">
        <v>1</v>
      </c>
      <c r="BM556">
        <f>IFERROR(BL556/BK556,"")</f>
        <v>1</v>
      </c>
      <c r="BN556">
        <f>BL556-BK556</f>
        <v>0</v>
      </c>
      <c r="BO556">
        <v>1</v>
      </c>
      <c r="BP556" t="s">
        <v>232</v>
      </c>
      <c r="BQ556" t="s">
        <v>972</v>
      </c>
      <c r="BR556" s="264" t="s">
        <v>973</v>
      </c>
      <c r="BS556">
        <v>0.312</v>
      </c>
      <c r="BT556">
        <v>0.32900000000000001</v>
      </c>
      <c r="BV556">
        <f>BT556-BS556</f>
        <v>1.7000000000000015E-2</v>
      </c>
      <c r="BX556">
        <f>BV556</f>
        <v>1.7000000000000015E-2</v>
      </c>
      <c r="BY556">
        <f>IFERROR(BX556/BO556,"")</f>
        <v>1.7000000000000015E-2</v>
      </c>
      <c r="BZ556">
        <v>0</v>
      </c>
      <c r="CA556">
        <v>0</v>
      </c>
      <c r="CB556">
        <v>0</v>
      </c>
      <c r="CC556">
        <v>0</v>
      </c>
      <c r="CD556">
        <v>0</v>
      </c>
      <c r="CE556">
        <v>0</v>
      </c>
      <c r="CF556">
        <v>0</v>
      </c>
      <c r="CG556">
        <v>0</v>
      </c>
      <c r="CH556">
        <v>0</v>
      </c>
      <c r="CI556">
        <v>0</v>
      </c>
      <c r="CJ556">
        <v>0</v>
      </c>
      <c r="CK556">
        <v>0</v>
      </c>
      <c r="CL556">
        <v>0</v>
      </c>
      <c r="CM556">
        <v>0</v>
      </c>
      <c r="CN556" t="str">
        <f>IF($BL556&lt;$BK556,"refNeedCorrection","refOK")</f>
        <v>refOK</v>
      </c>
      <c r="CO556">
        <f>IF($CN556="refOK",$BK556,$BL556)</f>
        <v>1</v>
      </c>
      <c r="CP556">
        <f>IF($CN556="refOK",$BL556,$BK556)</f>
        <v>1</v>
      </c>
      <c r="CQ556">
        <f>IF($CN556="refOK",$BO556,-$BO556)</f>
        <v>1</v>
      </c>
      <c r="CR556">
        <f>IF($CN556="refOK",$BS556,$BT556)*IF($BP556="Emissions positive",-1,1)</f>
        <v>0.312</v>
      </c>
      <c r="CS556">
        <f>IF($CN556="refOK",$BT556,$BS556)*IF($BP556="Emissions positive",-1,1)</f>
        <v>0.32900000000000001</v>
      </c>
      <c r="CT556">
        <f>IF($CN556="refNeedCorrection",-BX556,BX556)*IF($BP556="Emissions positive",-1,1)</f>
        <v>1.7000000000000015E-2</v>
      </c>
      <c r="CU556">
        <f>IFERROR(CT556/CQ556,"")</f>
        <v>1.7000000000000015E-2</v>
      </c>
      <c r="CV556" s="2">
        <f>IFERROR((CS556-CR556)/ABS(CR556),"")</f>
        <v>5.4487179487179536E-2</v>
      </c>
      <c r="CW556" s="1" t="s">
        <v>974</v>
      </c>
      <c r="CX556" s="264" t="str">
        <f>IF(OR($CW556="prd",$CW556="std",$CW556="cit"),"loc",IF(OR($CW556="eur",$CW556="reg",$CW556="coy"),"reg",$CW556))</f>
        <v>loc</v>
      </c>
      <c r="CY556" t="s">
        <v>264</v>
      </c>
      <c r="DB556">
        <v>50</v>
      </c>
      <c r="DC556" t="str">
        <f>IF(DB556=0,"0",IF(AND(DB556&gt;=1,DB556&lt;=30),"1-30",IF(AND(DB556&gt;30,DB556&lt;=70),"31-70",IF(AND(DB556&gt;70,DB556&lt;=100),"71-100",IF(DB556&gt;100,"+100")))))</f>
        <v>31-70</v>
      </c>
      <c r="DD556">
        <v>0</v>
      </c>
      <c r="DE556">
        <v>0</v>
      </c>
      <c r="DF556">
        <v>0</v>
      </c>
      <c r="DG556">
        <v>1</v>
      </c>
      <c r="DH556">
        <v>0</v>
      </c>
      <c r="DI556">
        <f>SUM(DD556:DG556)</f>
        <v>1</v>
      </c>
      <c r="DJ556" t="str">
        <f>IF(DI556=1,INDEX($DD$7:$DG$7,MATCH(1,$DD556:$DG556,0)),"mixedProduct")</f>
        <v>TimberInput</v>
      </c>
      <c r="DK556">
        <f>IF(DD556=1,DK$7,0)</f>
        <v>0</v>
      </c>
      <c r="DL556">
        <f>IF(DE556=1,DL$7,0)</f>
        <v>0</v>
      </c>
      <c r="DM556">
        <f>IF(DF556=1,DM$7,0)</f>
        <v>0</v>
      </c>
      <c r="DN556" t="str">
        <f>IF(DG556=1,DN$7,0)</f>
        <v>Timber</v>
      </c>
      <c r="DO556">
        <v>1</v>
      </c>
      <c r="DP556">
        <v>0</v>
      </c>
      <c r="DQ556">
        <v>0</v>
      </c>
      <c r="DR556">
        <v>0</v>
      </c>
      <c r="DS556">
        <v>0</v>
      </c>
      <c r="DT556">
        <f>SUM(DO556:DP556)</f>
        <v>1</v>
      </c>
      <c r="DU556" s="143" t="str">
        <f>IF(DO556=1,"self-calculated DF",IF(DP556=1,"external DF used","explicit C balance"))</f>
        <v>self-calculated DF</v>
      </c>
      <c r="DV556" s="143">
        <v>0</v>
      </c>
      <c r="DW556" s="143">
        <v>0</v>
      </c>
      <c r="DX556" s="143">
        <v>0</v>
      </c>
      <c r="DY556" s="143">
        <v>0</v>
      </c>
      <c r="DZ556">
        <v>0</v>
      </c>
      <c r="EA556" s="143">
        <v>1</v>
      </c>
      <c r="EB556" s="143">
        <v>0</v>
      </c>
      <c r="EC556" s="143">
        <v>1</v>
      </c>
      <c r="ED556" s="143">
        <v>0</v>
      </c>
      <c r="EE556">
        <v>1</v>
      </c>
      <c r="EF556">
        <v>0</v>
      </c>
      <c r="EG556" s="143">
        <v>0</v>
      </c>
      <c r="EH556" s="143">
        <v>0</v>
      </c>
      <c r="EI556" s="2">
        <v>0</v>
      </c>
      <c r="EK556" t="str">
        <f>IF(AND(AND(AND(OR($DX556=1,$DW556=1),OR($EC556=1,$EA556=1)),SUM($DV556:$DZ556,$EF556)&gt;=4),SUM($EA556:$EE556)&gt;=2),"Whole sector","")</f>
        <v/>
      </c>
      <c r="EL556" t="str">
        <f>IF(AND(AND(OR($DX556=1,$DW556=1),AND($EC556=0,$EA556=0)),SUM($DV556:$DZ556,$EF556)&gt;=4),"Ecosystem approach","")</f>
        <v/>
      </c>
      <c r="EM556" s="2" t="str">
        <f>IF(AND(AND(AND($DX556=0,$DW556=0),OR($EC556=1,$EA556=1)),SUM($EB556:$EE556)&gt;=2),"Technology approach","")</f>
        <v>Technology approach</v>
      </c>
      <c r="EN556" t="s">
        <v>975</v>
      </c>
      <c r="EP556" t="str">
        <f>IF(ISNUMBER(BU556),IF(ABS(BU556-[3]QC_indicators!$B$2)&gt;3*[3]QC_indicators!$C$2,"C ratio",IF(ISNUMBER(BY556),IF(ABS(BY556-[3]QC_indicators!$B$1)&gt;3*[3]QC_indicators!$C$1,"DF","no"))),IF(ISNUMBER(BY556),IF(ABS(BY556-[3]QC_indicators!$B$1)&gt;3*[3]QC_indicators!$C$1,"DF","no")))</f>
        <v>no</v>
      </c>
      <c r="ET556" s="264" t="s">
        <v>3407</v>
      </c>
    </row>
    <row r="557" spans="1:151" ht="15" customHeight="1">
      <c r="A557" s="1" t="s">
        <v>1360</v>
      </c>
      <c r="B557" t="s">
        <v>2135</v>
      </c>
      <c r="C557" t="s">
        <v>2136</v>
      </c>
      <c r="D557" t="s">
        <v>2137</v>
      </c>
      <c r="E557" t="s">
        <v>2138</v>
      </c>
      <c r="F557" t="s">
        <v>2139</v>
      </c>
      <c r="G557" t="s">
        <v>1366</v>
      </c>
      <c r="H557" t="s">
        <v>254</v>
      </c>
      <c r="I557">
        <v>2012</v>
      </c>
      <c r="J557">
        <v>21</v>
      </c>
      <c r="K557" t="s">
        <v>2140</v>
      </c>
      <c r="L557" s="192"/>
      <c r="M557" t="str">
        <f>LEFT($D557,FIND(",",$D557)-1)&amp;"_"&amp;I557&amp;L557</f>
        <v>Pyorala_2012</v>
      </c>
      <c r="N557" t="s">
        <v>222</v>
      </c>
      <c r="O557" s="145" t="s">
        <v>341</v>
      </c>
      <c r="P557" s="180" t="s">
        <v>223</v>
      </c>
      <c r="Q557" s="264" t="s">
        <v>256</v>
      </c>
      <c r="R557" s="269" t="s">
        <v>1154</v>
      </c>
      <c r="S557" s="263" t="s">
        <v>2153</v>
      </c>
      <c r="T557" s="264" t="s">
        <v>2143</v>
      </c>
      <c r="U557" s="264" t="s">
        <v>2152</v>
      </c>
      <c r="V557">
        <v>0</v>
      </c>
      <c r="W557">
        <v>0</v>
      </c>
      <c r="X557">
        <v>0</v>
      </c>
      <c r="Y557">
        <v>0</v>
      </c>
      <c r="Z557">
        <v>0</v>
      </c>
      <c r="AA557">
        <v>0</v>
      </c>
      <c r="AB557">
        <v>1</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s="141">
        <f>COUNTIF(V557:AW557,"&lt;&gt;0")</f>
        <v>1</v>
      </c>
      <c r="AY557" s="141">
        <f>COUNTIF(V557:AL557,"&lt;&gt;0")</f>
        <v>1</v>
      </c>
      <c r="AZ557">
        <f>COUNTIF(V557:AC557,"&lt;&gt;0")</f>
        <v>1</v>
      </c>
      <c r="BA557">
        <f>COUNTIF(AD557:AI557,"&lt;&gt;0")</f>
        <v>0</v>
      </c>
      <c r="BB557">
        <f>COUNTIF(AJ557:AL557,"&lt;&gt;0")</f>
        <v>0</v>
      </c>
      <c r="BC557">
        <f>COUNTIF(AS557:AW557,"&lt;&gt;0")</f>
        <v>0</v>
      </c>
      <c r="BD557">
        <f>COUNTIF(AM557:AR557,"&lt;&gt;0")</f>
        <v>0</v>
      </c>
      <c r="BE557" t="str" cm="1">
        <f t="array" ref="BE557">IF(AY557=1,INDEX($V$7:$AL$7,MATCH(TRUE,INDEX($V557:$AW557&lt;&gt;0,),0)),IF(AY557=0,INDEX($AM$7:$AW$7,MATCH(1,$AM557:$AW557,0)),IF(BF557="Multiple strategies","mixed drivers",IF(BF557="Supply chain","multiple supply","multiple silviculture"))))</f>
        <v>fertilisation</v>
      </c>
      <c r="BF557" s="2" t="str" cm="1">
        <f t="array" ref="BF557">IF(COUNTIF(AZ557:BB557,"&lt;&gt;0")=1,INDEX($V$4:$AW$4,MATCH(TRUE,INDEX($V557:$AW557&lt;&gt;0,),0)),IF(COUNTIF(AZ557:BB557,"&lt;&gt;0")=0,INDEX($AM$4:$AW$4,MATCH(1,$AM557:$AW557,0)),"Multiple strategies"))</f>
        <v>Silviculture for productivity</v>
      </c>
      <c r="BG557" s="178" t="s">
        <v>321</v>
      </c>
      <c r="BH557" s="264" t="s">
        <v>2144</v>
      </c>
      <c r="BI557" s="264" t="s">
        <v>701</v>
      </c>
      <c r="BJ557" s="160" t="s">
        <v>700</v>
      </c>
      <c r="BK557">
        <v>7.6</v>
      </c>
      <c r="BL557">
        <v>7.9</v>
      </c>
      <c r="BN557">
        <f>BL557-BK557</f>
        <v>0.30000000000000071</v>
      </c>
      <c r="BO557">
        <f>BN557</f>
        <v>0.30000000000000071</v>
      </c>
      <c r="BP557" s="155" t="s">
        <v>395</v>
      </c>
      <c r="BQ557" s="264" t="s">
        <v>786</v>
      </c>
      <c r="BR557" s="270" t="s">
        <v>2145</v>
      </c>
      <c r="BS557">
        <f>-4.1/50</f>
        <v>-8.199999999999999E-2</v>
      </c>
      <c r="BT557">
        <f>-4.4/50</f>
        <v>-8.8000000000000009E-2</v>
      </c>
      <c r="BU557" s="144"/>
      <c r="BV557">
        <f>BT557-BS557</f>
        <v>-6.0000000000000192E-3</v>
      </c>
      <c r="BX557">
        <f>BV557</f>
        <v>-6.0000000000000192E-3</v>
      </c>
      <c r="BY557">
        <f>IFERROR(BX557/BO557,"")</f>
        <v>-2.0000000000000018E-2</v>
      </c>
      <c r="BZ557">
        <v>0</v>
      </c>
      <c r="CA557">
        <v>0</v>
      </c>
      <c r="CB557">
        <v>0</v>
      </c>
      <c r="CC557">
        <v>0</v>
      </c>
      <c r="CD557">
        <v>0</v>
      </c>
      <c r="CE557">
        <v>0</v>
      </c>
      <c r="CF557">
        <v>0</v>
      </c>
      <c r="CG557">
        <v>0</v>
      </c>
      <c r="CH557">
        <v>0</v>
      </c>
      <c r="CI557">
        <v>0</v>
      </c>
      <c r="CJ557">
        <v>0</v>
      </c>
      <c r="CK557">
        <v>0</v>
      </c>
      <c r="CL557">
        <v>0</v>
      </c>
      <c r="CM557">
        <v>0</v>
      </c>
      <c r="CN557" t="str">
        <f>IF($BL557&lt;$BK557,"refNeedCorrection","refOK")</f>
        <v>refOK</v>
      </c>
      <c r="CO557">
        <f>IF($CN557="refOK",$BK557,$BL557)</f>
        <v>7.6</v>
      </c>
      <c r="CP557">
        <f>IF($CN557="refOK",$BL557,$BK557)</f>
        <v>7.9</v>
      </c>
      <c r="CQ557">
        <f>IF($CN557="refOK",$BO557,-$BO557)</f>
        <v>0.30000000000000071</v>
      </c>
      <c r="CR557">
        <f>IF($CN557="refOK",$BS557,$BT557)*IF($BP557="Emissions positive",-1,1)</f>
        <v>8.199999999999999E-2</v>
      </c>
      <c r="CS557">
        <f>IF($CN557="refOK",$BT557,$BS557)*IF($BP557="Emissions positive",-1,1)</f>
        <v>8.8000000000000009E-2</v>
      </c>
      <c r="CT557">
        <f>IF($CN557="refNeedCorrection",-BX557,BX557)*IF($BP557="Emissions positive",-1,1)</f>
        <v>6.0000000000000192E-3</v>
      </c>
      <c r="CU557">
        <f>IFERROR(CT557/CQ557,"")</f>
        <v>2.0000000000000018E-2</v>
      </c>
      <c r="CV557" s="2">
        <f>IFERROR((CS557-CR557)/ABS(CR557),"")</f>
        <v>7.3170731707317319E-2</v>
      </c>
      <c r="CW557" s="1" t="s">
        <v>1199</v>
      </c>
      <c r="CX557" s="264" t="str">
        <f>IF(OR($CW557="prd",$CW557="std",$CW557="cit"),"loc",IF(OR($CW557="eur",$CW557="reg",$CW557="coy"),"reg",$CW557))</f>
        <v>reg</v>
      </c>
      <c r="CY557" t="s">
        <v>235</v>
      </c>
      <c r="DB557">
        <v>50</v>
      </c>
      <c r="DC557" t="str">
        <f>IF(DB557=0,"0",IF(AND(DB557&gt;=1,DB557&lt;=30),"1-30",IF(AND(DB557&gt;30,DB557&lt;=70),"31-70",IF(AND(DB557&gt;70,DB557&lt;=100),"71-100",IF(DB557&gt;100,"+100")))))</f>
        <v>31-70</v>
      </c>
      <c r="DD557">
        <v>0</v>
      </c>
      <c r="DE557">
        <v>1</v>
      </c>
      <c r="DF557">
        <v>1</v>
      </c>
      <c r="DG557">
        <v>1</v>
      </c>
      <c r="DI557">
        <f>SUM(DD557:DG557)</f>
        <v>3</v>
      </c>
      <c r="DJ557" t="str">
        <f>IF(DI557=1,INDEX($DD$7:$DG$7,MATCH(1,$DD557:$DG557,0)),"mixedProduct")</f>
        <v>mixedProduct</v>
      </c>
      <c r="DK557">
        <f>IF(DD557=1,DK$7,0)</f>
        <v>0</v>
      </c>
      <c r="DL557" t="str">
        <f>IF(DE557=1,DL$7,0)</f>
        <v>Energy</v>
      </c>
      <c r="DM557" t="str">
        <f>IF(DF557=1,DM$7,0)</f>
        <v>Pulp/Paper</v>
      </c>
      <c r="DN557" t="str">
        <f>IF(DG557=1,DN$7,0)</f>
        <v>Timber</v>
      </c>
      <c r="DO557">
        <v>0</v>
      </c>
      <c r="DP557">
        <v>1</v>
      </c>
      <c r="DQ557" t="s">
        <v>2146</v>
      </c>
      <c r="DR557">
        <v>0</v>
      </c>
      <c r="DS557">
        <v>0</v>
      </c>
      <c r="DT557">
        <f>SUM(DO557:DP557)</f>
        <v>1</v>
      </c>
      <c r="DU557" s="143" t="str">
        <f>IF(DO557=1,"self-calculated DF",IF(DP557=1,"external DF used","explicit C balance"))</f>
        <v>external DF used</v>
      </c>
      <c r="DV557">
        <v>1</v>
      </c>
      <c r="DW557">
        <v>1</v>
      </c>
      <c r="DX557">
        <v>1</v>
      </c>
      <c r="DY557">
        <v>0</v>
      </c>
      <c r="DZ557">
        <v>0</v>
      </c>
      <c r="EA557" s="143">
        <v>0</v>
      </c>
      <c r="EB557">
        <v>1</v>
      </c>
      <c r="EC557">
        <v>1</v>
      </c>
      <c r="ED557">
        <v>0</v>
      </c>
      <c r="EE557">
        <v>0</v>
      </c>
      <c r="EF557">
        <v>1</v>
      </c>
      <c r="EG557">
        <v>0</v>
      </c>
      <c r="EH557">
        <v>0</v>
      </c>
      <c r="EI557" s="2">
        <v>0</v>
      </c>
      <c r="EK557" t="str">
        <f>IF(AND(AND(AND(OR($DX557=1,$DW557=1),OR($EC557=1,$EA557=1)),SUM($DV557:$DZ557,$EF557)&gt;=4),SUM($EA557:$EE557)&gt;=2),"Whole sector","")</f>
        <v>Whole sector</v>
      </c>
      <c r="EL557" t="str">
        <f>IF(AND(AND(OR($DX557=1,$DW557=1),AND($EC557=0,$EA557=0)),SUM($DV557:$DZ557,$EF557)&gt;=4),"Ecosystem approach","")</f>
        <v/>
      </c>
      <c r="EM557" s="2" t="str">
        <f>IF(AND(AND(AND($DX557=0,$DW557=0),OR($EC557=1,$EA557=1)),SUM($EB557:$EE557)&gt;=2),"Technology approach","")</f>
        <v/>
      </c>
      <c r="EP557" t="str">
        <f>IF(ISNUMBER(BU557),IF(ABS(BU557-[3]QC_indicators!$B$2)&gt;3*[3]QC_indicators!$C$2,"C ratio",IF(ISNUMBER(BY557),IF(ABS(BY557-[3]QC_indicators!$B$1)&gt;3*[3]QC_indicators!$C$1,"DF","no"))),IF(ISNUMBER(BY557),IF(ABS(BY557-[3]QC_indicators!$B$1)&gt;3*[3]QC_indicators!$C$1,"DF","no")))</f>
        <v>no</v>
      </c>
      <c r="ET557" s="264" t="s">
        <v>3407</v>
      </c>
    </row>
    <row r="558" spans="1:151" ht="15" customHeight="1">
      <c r="A558" s="1" t="s">
        <v>614</v>
      </c>
      <c r="B558" t="s">
        <v>1719</v>
      </c>
      <c r="C558" t="s">
        <v>1720</v>
      </c>
      <c r="D558" t="s">
        <v>1721</v>
      </c>
      <c r="E558" t="s">
        <v>1722</v>
      </c>
      <c r="F558" t="s">
        <v>1723</v>
      </c>
      <c r="G558" t="s">
        <v>620</v>
      </c>
      <c r="H558" t="s">
        <v>254</v>
      </c>
      <c r="I558">
        <v>2021</v>
      </c>
      <c r="J558">
        <v>2</v>
      </c>
      <c r="K558" t="s">
        <v>1724</v>
      </c>
      <c r="M558" t="str">
        <f>LEFT($D558,FIND(",",$D558)-1)&amp;"_"&amp;I558&amp;L558</f>
        <v>Hawkins_2021</v>
      </c>
      <c r="N558" t="s">
        <v>222</v>
      </c>
      <c r="O558" s="145" t="s">
        <v>513</v>
      </c>
      <c r="Q558" t="s">
        <v>256</v>
      </c>
      <c r="R558" s="2" t="s">
        <v>274</v>
      </c>
      <c r="S558" s="1" t="s">
        <v>1735</v>
      </c>
      <c r="T558" t="s">
        <v>1044</v>
      </c>
      <c r="U558" t="s">
        <v>1726</v>
      </c>
      <c r="V558">
        <v>0</v>
      </c>
      <c r="W558">
        <v>0</v>
      </c>
      <c r="X558">
        <v>0</v>
      </c>
      <c r="Y558">
        <v>0</v>
      </c>
      <c r="Z558">
        <v>0</v>
      </c>
      <c r="AA558">
        <v>0</v>
      </c>
      <c r="AB558">
        <v>0</v>
      </c>
      <c r="AC558">
        <v>0</v>
      </c>
      <c r="AD558">
        <v>0</v>
      </c>
      <c r="AE558">
        <v>0</v>
      </c>
      <c r="AF558">
        <v>0</v>
      </c>
      <c r="AG558">
        <v>0</v>
      </c>
      <c r="AH558">
        <v>0</v>
      </c>
      <c r="AI558">
        <v>0</v>
      </c>
      <c r="AJ558">
        <v>0</v>
      </c>
      <c r="AK558">
        <v>1</v>
      </c>
      <c r="AL558">
        <v>0</v>
      </c>
      <c r="AM558">
        <v>0</v>
      </c>
      <c r="AN558">
        <v>0</v>
      </c>
      <c r="AO558">
        <v>0</v>
      </c>
      <c r="AP558">
        <v>0</v>
      </c>
      <c r="AQ558">
        <v>0</v>
      </c>
      <c r="AR558">
        <v>0</v>
      </c>
      <c r="AS558">
        <v>0</v>
      </c>
      <c r="AT558">
        <v>0</v>
      </c>
      <c r="AU558">
        <v>0</v>
      </c>
      <c r="AV558">
        <v>0</v>
      </c>
      <c r="AW558">
        <v>0</v>
      </c>
      <c r="AX558" s="141">
        <f>COUNTIF(V558:AW558,"&lt;&gt;0")</f>
        <v>1</v>
      </c>
      <c r="AY558" s="141">
        <f>COUNTIF(V558:AL558,"&lt;&gt;0")</f>
        <v>1</v>
      </c>
      <c r="AZ558">
        <f>COUNTIF(V558:AC558,"&lt;&gt;0")</f>
        <v>0</v>
      </c>
      <c r="BA558">
        <f>COUNTIF(AD558:AI558,"&lt;&gt;0")</f>
        <v>0</v>
      </c>
      <c r="BB558">
        <f>COUNTIF(AJ558:AL558,"&lt;&gt;0")</f>
        <v>1</v>
      </c>
      <c r="BC558">
        <f>COUNTIF(AS558:AW558,"&lt;&gt;0")</f>
        <v>0</v>
      </c>
      <c r="BD558">
        <f>COUNTIF(AM558:AR558,"&lt;&gt;0")</f>
        <v>0</v>
      </c>
      <c r="BE558" t="str">
        <f t="array" ref="BE558">IF(AY558=1,INDEX($V$7:$AL$7,MATCH(TRUE,INDEX($V558:$AW558&lt;&gt;0,),0)),IF(AY558=0,INDEX($AM$7:$AW$7,MATCH(1,$AM558:$AW558,0)),IF(BF558="Multiple strategies","mixed drivers",IF(BF558="Supply chain","multiple supply","multiple silviculture"))))</f>
        <v>technologies/design switch</v>
      </c>
      <c r="BF558" s="2" t="str" cm="1">
        <f t="array" ref="BF558">IF(COUNTIF(AZ558:BB558,"&lt;&gt;0")=1,INDEX($V$4:$AW$4,MATCH(TRUE,INDEX($V558:$AW558&lt;&gt;0,),0)),IF(COUNTIF(AZ558:BB558,"&lt;&gt;0")=0,INDEX($AM$4:$AW$4,MATCH(1,$AM558:$AW558,0)),"Multiple strategies"))</f>
        <v>Technology</v>
      </c>
      <c r="BG558" s="1" t="s">
        <v>229</v>
      </c>
      <c r="BH558" t="s">
        <v>229</v>
      </c>
      <c r="BJ558" t="s">
        <v>756</v>
      </c>
      <c r="BK558">
        <v>0</v>
      </c>
      <c r="BL558">
        <v>1105.3</v>
      </c>
      <c r="BN558">
        <f>BL558-BK558</f>
        <v>1105.3</v>
      </c>
      <c r="BO558">
        <f>BN558*t_to_m3</f>
        <v>2255.7142857142858</v>
      </c>
      <c r="BP558" t="s">
        <v>232</v>
      </c>
      <c r="BQ558" s="264" t="s">
        <v>3261</v>
      </c>
      <c r="BR558" t="s">
        <v>728</v>
      </c>
      <c r="BS558" s="179">
        <v>-862000</v>
      </c>
      <c r="BT558" s="179">
        <v>-816000</v>
      </c>
      <c r="BU558" s="144">
        <f>IFERROR(BT558/BS558,"")</f>
        <v>0.94663573085846864</v>
      </c>
      <c r="BV558" s="179">
        <f>BT558-BS558</f>
        <v>46000</v>
      </c>
      <c r="BW558" s="179"/>
      <c r="BX558">
        <f>BV558/1000</f>
        <v>46</v>
      </c>
      <c r="BY558">
        <f>IFERROR(BX558/BO558,"")</f>
        <v>2.039265357821406E-2</v>
      </c>
      <c r="BZ558">
        <v>0</v>
      </c>
      <c r="CA558">
        <v>1</v>
      </c>
      <c r="CB558">
        <v>0</v>
      </c>
      <c r="CC558">
        <v>1</v>
      </c>
      <c r="CD558">
        <v>0</v>
      </c>
      <c r="CE558">
        <v>0</v>
      </c>
      <c r="CF558">
        <v>0</v>
      </c>
      <c r="CG558">
        <v>1</v>
      </c>
      <c r="CH558">
        <v>0</v>
      </c>
      <c r="CI558">
        <v>0</v>
      </c>
      <c r="CJ558">
        <v>0</v>
      </c>
      <c r="CK558">
        <v>0</v>
      </c>
      <c r="CL558">
        <v>0</v>
      </c>
      <c r="CM558">
        <v>0</v>
      </c>
      <c r="CN558" t="str">
        <f>IF($BL558&lt;$BK558,"refNeedCorrection","refOK")</f>
        <v>refOK</v>
      </c>
      <c r="CO558">
        <f>IF($CN558="refNeedCorrection",BL558,BK558)</f>
        <v>0</v>
      </c>
      <c r="CP558">
        <f>IF($CN558="refNeedCorrection",BK558,BL558)</f>
        <v>1105.3</v>
      </c>
      <c r="CQ558">
        <f>IF($CN558="refOK",$BO558,-$BO558)</f>
        <v>2255.7142857142858</v>
      </c>
      <c r="CR558" s="272">
        <f>IF($CN558="refOK",$BS558,$BT558)*IF($BP558="Emissions positive",-1,1)</f>
        <v>-862000</v>
      </c>
      <c r="CS558" s="272">
        <f>IF($CN558="refOK",$BT558,$BS558)*IF($BP558="Emissions positive",-1,1)</f>
        <v>-816000</v>
      </c>
      <c r="CT558">
        <f>IF($CN558="refNeedCorrection",-BX558,BX558)*IF($BP558="Emissions positive",-1,1)</f>
        <v>46</v>
      </c>
      <c r="CU558">
        <f>IFERROR(CT558/CQ558,"")</f>
        <v>2.039265357821406E-2</v>
      </c>
      <c r="CV558" s="2">
        <f>IFERROR((CS558-CR558)/ABS(CR558),"")</f>
        <v>5.336426914153132E-2</v>
      </c>
      <c r="CW558" s="1" t="s">
        <v>1203</v>
      </c>
      <c r="CX558" t="str">
        <f>IF(OR($CW558="prd",$CW558="std",$CW558="cit"),"loc",IF(OR($CW558="eur",$CW558="reg",$CW558="coy"),"reg",$CW558))</f>
        <v>reg</v>
      </c>
      <c r="CY558" s="309" t="s">
        <v>3423</v>
      </c>
      <c r="DB558">
        <v>100</v>
      </c>
      <c r="DC558" t="str">
        <f>IF(DB558=0,"0",IF(AND(DB558&gt;=1,DB558&lt;=30),"1-30",IF(AND(DB558&gt;30,DB558&lt;=70),"31-70",IF(AND(DB558&gt;70,DB558&lt;=100),"71-100",IF(DB558&gt;100,"+100")))))</f>
        <v>71-100</v>
      </c>
      <c r="DD558">
        <v>0</v>
      </c>
      <c r="DE558">
        <v>0</v>
      </c>
      <c r="DF558">
        <v>0</v>
      </c>
      <c r="DG558">
        <v>1</v>
      </c>
      <c r="DI558">
        <f>SUM(DD558:DG558)</f>
        <v>1</v>
      </c>
      <c r="DJ558" t="str">
        <f>IF(DI558=1,INDEX($DD$7:$DG$7,MATCH(1,$DD558:$DG558,0)),"mixedProduct")</f>
        <v>TimberInput</v>
      </c>
      <c r="DK558">
        <f>IF(DD558=1,DK$7,0)</f>
        <v>0</v>
      </c>
      <c r="DL558">
        <f>IF(DE558=1,DL$7,0)</f>
        <v>0</v>
      </c>
      <c r="DM558">
        <f>IF(DF558=1,DM$7,0)</f>
        <v>0</v>
      </c>
      <c r="DN558" t="str">
        <f>IF(DG558=1,DN$7,0)</f>
        <v>Timber</v>
      </c>
      <c r="DO558">
        <v>0</v>
      </c>
      <c r="DP558">
        <v>0</v>
      </c>
      <c r="DQ558">
        <v>0</v>
      </c>
      <c r="DR558">
        <v>0</v>
      </c>
      <c r="DS558">
        <v>0</v>
      </c>
      <c r="DT558">
        <f>SUM(DO558:DP558)</f>
        <v>0</v>
      </c>
      <c r="DU558" s="143" t="str">
        <f>IF(DO558=1,"self-calculated DF",IF(DP558=1,"external DF used","explicit C balance"))</f>
        <v>explicit C balance</v>
      </c>
      <c r="DV558">
        <v>0</v>
      </c>
      <c r="DW558">
        <v>0</v>
      </c>
      <c r="DX558">
        <v>0</v>
      </c>
      <c r="DY558">
        <v>1</v>
      </c>
      <c r="DZ558">
        <v>0</v>
      </c>
      <c r="EA558" s="143">
        <v>0</v>
      </c>
      <c r="EB558">
        <v>1</v>
      </c>
      <c r="EC558">
        <v>1</v>
      </c>
      <c r="ED558">
        <v>1</v>
      </c>
      <c r="EE558">
        <v>1</v>
      </c>
      <c r="EF558">
        <v>1</v>
      </c>
      <c r="EG558">
        <v>1</v>
      </c>
      <c r="EH558">
        <v>0</v>
      </c>
      <c r="EI558" s="2">
        <v>0</v>
      </c>
      <c r="EK558" t="str">
        <f>IF(AND(AND(AND(OR($DX558=1,$DW558=1),OR($EC558=1,$EA558=1)),SUM($DV558:$DZ558,$EF558)&gt;=4),SUM($EA558:$EE558)&gt;=2),"Whole sector","")</f>
        <v/>
      </c>
      <c r="EL558" t="str">
        <f>IF(AND(AND(OR($DX558=1,$DW558=1),AND($EC558=0,$EA558=0)),SUM($DV558:$DZ558,$EF558)&gt;=4),"Ecosystem approach","")</f>
        <v/>
      </c>
      <c r="EM558" s="2" t="str">
        <f>IF(AND(AND(AND($DX558=0,$DW558=0),OR($EC558=1,$EA558=1)),SUM($EB558:$EE558)&gt;=2),"Technology approach","")</f>
        <v>Technology approach</v>
      </c>
      <c r="EP558" t="str">
        <f>IF(ISNUMBER(BU558),IF(ABS(BU558-[2]QC_indicators!$B$2)&gt;3*[2]QC_indicators!$C$2,"C ratio",IF(ISNUMBER(BY558),IF(ABS(BY558-[2]QC_indicators!$B$1)&gt;3*[2]QC_indicators!$C$1,"DF","no"))),IF(ISNUMBER(BY558),IF(ABS(BY558-[2]QC_indicators!$B$1)&gt;3*[2]QC_indicators!$C$1,"DF","no")))</f>
        <v>no</v>
      </c>
      <c r="ET558" s="264" t="s">
        <v>3151</v>
      </c>
      <c r="EU558" s="264"/>
    </row>
    <row r="559" spans="1:151" ht="15" customHeight="1">
      <c r="A559" s="1" t="s">
        <v>599</v>
      </c>
      <c r="B559" t="s">
        <v>600</v>
      </c>
      <c r="C559" t="s">
        <v>601</v>
      </c>
      <c r="D559" t="s">
        <v>602</v>
      </c>
      <c r="E559" t="s">
        <v>603</v>
      </c>
      <c r="F559" t="s">
        <v>604</v>
      </c>
      <c r="G559" t="s">
        <v>605</v>
      </c>
      <c r="H559" t="s">
        <v>254</v>
      </c>
      <c r="I559">
        <v>2022</v>
      </c>
      <c r="J559">
        <v>15</v>
      </c>
      <c r="K559" t="s">
        <v>606</v>
      </c>
      <c r="M559" t="str">
        <f>LEFT($D559,FIND(",",$D559)-1)&amp;"_"&amp;I559&amp;L559</f>
        <v>Dani_2022</v>
      </c>
      <c r="N559" t="s">
        <v>222</v>
      </c>
      <c r="O559" s="145" t="s">
        <v>223</v>
      </c>
      <c r="Q559" t="s">
        <v>389</v>
      </c>
      <c r="R559" s="255" t="s">
        <v>225</v>
      </c>
      <c r="S559" s="1" t="s">
        <v>607</v>
      </c>
      <c r="T559" t="s">
        <v>608</v>
      </c>
      <c r="U559" t="s">
        <v>609</v>
      </c>
      <c r="V559">
        <v>0</v>
      </c>
      <c r="W559">
        <v>0</v>
      </c>
      <c r="X559">
        <v>0</v>
      </c>
      <c r="Y559">
        <v>0</v>
      </c>
      <c r="Z559">
        <v>0</v>
      </c>
      <c r="AA559">
        <v>0</v>
      </c>
      <c r="AB559">
        <v>0</v>
      </c>
      <c r="AC559">
        <v>0</v>
      </c>
      <c r="AD559">
        <v>0</v>
      </c>
      <c r="AE559">
        <v>0</v>
      </c>
      <c r="AF559">
        <v>0</v>
      </c>
      <c r="AG559">
        <v>0</v>
      </c>
      <c r="AH559">
        <v>0</v>
      </c>
      <c r="AI559">
        <v>0</v>
      </c>
      <c r="AJ559">
        <v>0</v>
      </c>
      <c r="AK559">
        <v>1</v>
      </c>
      <c r="AL559">
        <v>0</v>
      </c>
      <c r="AM559">
        <v>0</v>
      </c>
      <c r="AN559">
        <v>0</v>
      </c>
      <c r="AO559">
        <v>0</v>
      </c>
      <c r="AP559">
        <v>0</v>
      </c>
      <c r="AQ559">
        <v>0</v>
      </c>
      <c r="AR559">
        <v>0</v>
      </c>
      <c r="AS559">
        <v>0</v>
      </c>
      <c r="AT559">
        <v>0</v>
      </c>
      <c r="AU559">
        <v>0</v>
      </c>
      <c r="AV559">
        <v>0</v>
      </c>
      <c r="AW559">
        <v>0</v>
      </c>
      <c r="AX559" s="141">
        <f>COUNTIF(V559:AW559,"&lt;&gt;0")</f>
        <v>1</v>
      </c>
      <c r="AY559" s="141">
        <f>COUNTIF(V559:AL559,"&lt;&gt;0")</f>
        <v>1</v>
      </c>
      <c r="AZ559">
        <f>COUNTIF(V559:AC559,"&lt;&gt;0")</f>
        <v>0</v>
      </c>
      <c r="BA559">
        <f>COUNTIF(AD559:AI559,"&lt;&gt;0")</f>
        <v>0</v>
      </c>
      <c r="BB559">
        <f>COUNTIF(AJ559:AL559,"&lt;&gt;0")</f>
        <v>1</v>
      </c>
      <c r="BC559">
        <f>COUNTIF(AS559:AW559,"&lt;&gt;0")</f>
        <v>0</v>
      </c>
      <c r="BD559">
        <f>COUNTIF(AM559:AR559,"&lt;&gt;0")</f>
        <v>0</v>
      </c>
      <c r="BE559" t="str">
        <f t="array" ref="BE559">IF(AY559=1,INDEX($V$7:$AL$7,MATCH(TRUE,INDEX($V559:$AW559&lt;&gt;0,),0)),IF(AY559=0,INDEX($AM$7:$AW$7,MATCH(1,$AM559:$AW559,0)),IF(BF559="Multiple strategies","mixed drivers",IF(BF559="Supply chain","multiple supply","multiple silviculture"))))</f>
        <v>technologies/design switch</v>
      </c>
      <c r="BF559" s="2" t="str" cm="1">
        <f t="array" ref="BF559">IF(COUNTIF(AZ559:BB559,"&lt;&gt;0")=1,INDEX($V$4:$AW$4,MATCH(TRUE,INDEX($V559:$AW559&lt;&gt;0,),0)),IF(COUNTIF(AZ559:BB559,"&lt;&gt;0")=0,INDEX($AM$4:$AW$4,MATCH(1,$AM559:$AW559,0)),"Multiple strategies"))</f>
        <v>Technology</v>
      </c>
      <c r="BG559" s="1" t="s">
        <v>229</v>
      </c>
      <c r="BH559" t="s">
        <v>610</v>
      </c>
      <c r="BI559" t="s">
        <v>424</v>
      </c>
      <c r="BJ559" t="s">
        <v>498</v>
      </c>
      <c r="BK559">
        <f>0.041+0.652</f>
        <v>0.69300000000000006</v>
      </c>
      <c r="BL559">
        <f>0.298+2.905+0.284+3.758+0.808+6.645+2.786+0.678</f>
        <v>18.161999999999999</v>
      </c>
      <c r="BN559">
        <f>BL559-BK559</f>
        <v>17.468999999999998</v>
      </c>
      <c r="BO559">
        <f>BN559</f>
        <v>17.468999999999998</v>
      </c>
      <c r="BP559" t="s">
        <v>395</v>
      </c>
      <c r="BQ559" s="302" t="s">
        <v>3302</v>
      </c>
      <c r="BR559" t="s">
        <v>612</v>
      </c>
      <c r="BS559">
        <f>146*(4.66+0.31)</f>
        <v>725.62</v>
      </c>
      <c r="BT559">
        <f>107*(2.31+0.49)</f>
        <v>299.59999999999997</v>
      </c>
      <c r="BU559" s="144">
        <f>IFERROR(BT559/BS559,"")</f>
        <v>0.41288828863592508</v>
      </c>
      <c r="BV559">
        <f>BT559-BS559</f>
        <v>-426.02000000000004</v>
      </c>
      <c r="BX559">
        <f>BV559/1000</f>
        <v>-0.42602000000000007</v>
      </c>
      <c r="BY559">
        <f>IFERROR(BX559/BO559,"")</f>
        <v>-2.4387200183181645E-2</v>
      </c>
      <c r="BZ559">
        <v>0</v>
      </c>
      <c r="CA559">
        <v>0</v>
      </c>
      <c r="CB559">
        <v>0</v>
      </c>
      <c r="CC559">
        <v>0</v>
      </c>
      <c r="CD559">
        <v>0</v>
      </c>
      <c r="CE559">
        <v>0</v>
      </c>
      <c r="CF559">
        <v>0</v>
      </c>
      <c r="CG559">
        <v>0</v>
      </c>
      <c r="CH559">
        <v>0</v>
      </c>
      <c r="CI559">
        <v>0</v>
      </c>
      <c r="CJ559">
        <v>0</v>
      </c>
      <c r="CK559">
        <v>0</v>
      </c>
      <c r="CL559">
        <v>0</v>
      </c>
      <c r="CM559">
        <v>0</v>
      </c>
      <c r="CN559" t="str">
        <f>IF($BL559&lt;$BK559,"refNeedCorrection","refOK")</f>
        <v>refOK</v>
      </c>
      <c r="CO559"/>
      <c r="CP559"/>
      <c r="CQ559">
        <f>IF($CN559="refOK",$BO559,-$BO559)</f>
        <v>17.468999999999998</v>
      </c>
      <c r="CR559">
        <f>IF($CN559="refOK",$BS559,$BT559)*IF($BP559="Emissions positive",-1,1)</f>
        <v>-725.62</v>
      </c>
      <c r="CS559">
        <f>IF($CN559="refOK",$BT559,$BS559)*IF($BP559="Emissions positive",-1,1)</f>
        <v>-299.59999999999997</v>
      </c>
      <c r="CT559">
        <f>IF($CN559="refNeedCorrection",-BX559,BX559)*IF($BP559="Emissions positive",-1,1)</f>
        <v>0.42602000000000007</v>
      </c>
      <c r="CU559">
        <f>IFERROR(CT559/CQ559,"")</f>
        <v>2.4387200183181645E-2</v>
      </c>
      <c r="CV559" s="2">
        <f>IFERROR((CS559-CR559)/ABS(CR559),"")</f>
        <v>0.58711171136407492</v>
      </c>
      <c r="CW559" s="1" t="s">
        <v>263</v>
      </c>
      <c r="CX559" t="str">
        <f>IF(OR($CW559="prd",$CW559="std",$CW559="cit"),"loc",IF(OR($CW559="eur",$CW559="reg",$CW559="coy"),"reg",$CW559))</f>
        <v>loc</v>
      </c>
      <c r="CY559" t="s">
        <v>613</v>
      </c>
      <c r="DB559">
        <v>0</v>
      </c>
      <c r="DC559" t="str">
        <f>IF(DB559=0,"0",IF(AND(DB559&gt;=1,DB559&lt;=30),"1-30",IF(AND(DB559&gt;30,DB559&lt;=70),"31-70",IF(AND(DB559&gt;70,DB559&lt;=100),"71-100",IF(DB559&gt;100,"+100")))))</f>
        <v>0</v>
      </c>
      <c r="DD559">
        <v>0</v>
      </c>
      <c r="DE559">
        <v>0</v>
      </c>
      <c r="DF559">
        <v>0</v>
      </c>
      <c r="DG559">
        <v>1</v>
      </c>
      <c r="DH559">
        <v>0</v>
      </c>
      <c r="DI559">
        <f>SUM(DD559:DH559)</f>
        <v>1</v>
      </c>
      <c r="DJ559" t="str">
        <f>IF(DI559=1,INDEX($DD$7:$DG$7,MATCH(1,$DD559:$DG559,0)),"mixedProduct")</f>
        <v>TimberInput</v>
      </c>
      <c r="DK559">
        <f>IF(DD559=1,DK$7,0)</f>
        <v>0</v>
      </c>
      <c r="DL559">
        <f>IF(DE559=1,DL$7,0)</f>
        <v>0</v>
      </c>
      <c r="DM559">
        <f>IF(DF559=1,DM$7,0)</f>
        <v>0</v>
      </c>
      <c r="DN559" t="str">
        <f>IF(DG559=1,DN$7,0)</f>
        <v>Timber</v>
      </c>
      <c r="DO559">
        <v>0</v>
      </c>
      <c r="DP559">
        <v>0</v>
      </c>
      <c r="DQ559">
        <v>0</v>
      </c>
      <c r="DR559">
        <v>0</v>
      </c>
      <c r="DS559">
        <v>0</v>
      </c>
      <c r="DT559">
        <f>SUM(DO559:DP559)</f>
        <v>0</v>
      </c>
      <c r="DU559" t="str">
        <f>IF(DO559=1,"self-calculated DF",IF(DP559=1,"external DF used","explicit C balance"))</f>
        <v>explicit C balance</v>
      </c>
      <c r="DV559">
        <v>0</v>
      </c>
      <c r="DW559">
        <v>0</v>
      </c>
      <c r="DX559">
        <v>0</v>
      </c>
      <c r="DY559">
        <v>0</v>
      </c>
      <c r="DZ559">
        <v>0</v>
      </c>
      <c r="EA559" s="143">
        <v>0</v>
      </c>
      <c r="EB559">
        <v>1</v>
      </c>
      <c r="EC559">
        <v>1</v>
      </c>
      <c r="ED559">
        <v>0</v>
      </c>
      <c r="EE559">
        <v>0</v>
      </c>
      <c r="EF559">
        <v>0</v>
      </c>
      <c r="EG559">
        <v>0</v>
      </c>
      <c r="EH559">
        <v>0</v>
      </c>
      <c r="EI559" s="2">
        <v>0</v>
      </c>
      <c r="EK559" t="str">
        <f>IF(AND(AND(AND(OR($DX559=1,$DW559=1),OR($EC559=1,$EA559=1)),SUM($DV559:$DZ559,$EF559)&gt;=4),SUM($EA559:$EE559)&gt;=2),"Whole sector","")</f>
        <v/>
      </c>
      <c r="EL559" t="str">
        <f>IF(AND(AND(OR($DX559=1,$DW559=1),AND($EC559=0,$EA559=0)),SUM($DV559:$DZ559,$EF559)&gt;=4),"Ecosystem approach","")</f>
        <v/>
      </c>
      <c r="EM559" s="2" t="str">
        <f>IF(AND(AND(AND($DX559=0,$DW559=0),OR($EC559=1,$EA559=1)),SUM($EB559:$EE559)&gt;=2),"Technology approach","")</f>
        <v>Technology approach</v>
      </c>
      <c r="EP559" t="str">
        <f>IF(ISNUMBER(BU559),IF(ABS(BU559-[4]QC_indicators!$B$2)&gt;3*[4]QC_indicators!$C$2,"C ratio",IF(ISNUMBER(BY559),IF(ABS(BY559-[4]QC_indicators!$B$1)&gt;3*[4]QC_indicators!$C$1,"DF","no"))),IF(ISNUMBER(BY559),IF(ABS(BY559-[4]QC_indicators!$B$1)&gt;3*[4]QC_indicators!$C$1,"DF","no")))</f>
        <v>no</v>
      </c>
      <c r="ET559" s="264" t="s">
        <v>3273</v>
      </c>
    </row>
    <row r="560" spans="1:151" ht="15" customHeight="1">
      <c r="A560" s="1" t="s">
        <v>1808</v>
      </c>
      <c r="B560" t="s">
        <v>2475</v>
      </c>
      <c r="C560" t="s">
        <v>2476</v>
      </c>
      <c r="D560" t="s">
        <v>2477</v>
      </c>
      <c r="E560" t="s">
        <v>2478</v>
      </c>
      <c r="F560" t="s">
        <v>2479</v>
      </c>
      <c r="G560" t="s">
        <v>1814</v>
      </c>
      <c r="H560" t="s">
        <v>254</v>
      </c>
      <c r="I560">
        <v>2010</v>
      </c>
      <c r="J560">
        <v>100</v>
      </c>
      <c r="K560" t="s">
        <v>2480</v>
      </c>
      <c r="M560" t="str">
        <f>LEFT($D560,FIND(",",$D560)-1)&amp;"_"&amp;I560&amp;L560</f>
        <v>Werner_2010</v>
      </c>
      <c r="N560" t="s">
        <v>222</v>
      </c>
      <c r="O560" s="145" t="s">
        <v>1154</v>
      </c>
      <c r="Q560" t="s">
        <v>256</v>
      </c>
      <c r="R560" s="262" t="s">
        <v>223</v>
      </c>
      <c r="S560" s="1" t="s">
        <v>2481</v>
      </c>
      <c r="T560" t="s">
        <v>2482</v>
      </c>
      <c r="U560" t="s">
        <v>2486</v>
      </c>
      <c r="V560">
        <v>1</v>
      </c>
      <c r="W560">
        <v>0</v>
      </c>
      <c r="X560">
        <v>2</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s="141">
        <f>COUNTIF(V560:AW560,"&lt;&gt;0")</f>
        <v>2</v>
      </c>
      <c r="AY560" s="141">
        <f>COUNTIF(V560:AL560,"&lt;&gt;0")</f>
        <v>2</v>
      </c>
      <c r="AZ560">
        <f>COUNTIF(V560:AC560,"&lt;&gt;0")</f>
        <v>2</v>
      </c>
      <c r="BA560">
        <f>COUNTIF(AD560:AI560,"&lt;&gt;0")</f>
        <v>0</v>
      </c>
      <c r="BB560">
        <f>COUNTIF(AJ560:AL560,"&lt;&gt;0")</f>
        <v>0</v>
      </c>
      <c r="BC560">
        <f>COUNTIF(AS560:AW560,"&lt;&gt;0")</f>
        <v>0</v>
      </c>
      <c r="BD560">
        <f>COUNTIF(AM560:AR560,"&lt;&gt;0")</f>
        <v>0</v>
      </c>
      <c r="BE560" t="str">
        <f t="array" ref="BE560">IF(AY560=1,INDEX($V$7:$AL$7,MATCH(TRUE,INDEX($V560:$AW560&lt;&gt;0,),0)),IF(AY560=0,INDEX($AM$7:$AW$7,MATCH(1,$AM560:$AW560,0)),IF(BF560="Multiple strategies","mixed drivers",IF(BF560="Supply chain","multiple supply","multiple silviculture"))))</f>
        <v>multiple silviculture</v>
      </c>
      <c r="BF560" s="2" t="str" cm="1">
        <f t="array" ref="BF560">IF(COUNTIF(AZ560:BB560,"&lt;&gt;0")=1,INDEX($V$4:$AW$4,MATCH(TRUE,INDEX($V560:$AW560&lt;&gt;0,),0)),IF(COUNTIF(AZ560:BB560,"&lt;&gt;0")=0,INDEX($AM$4:$AW$4,MATCH(1,$AM560:$AW560,0)),"Multiple strategies"))</f>
        <v>Silviculture for removals</v>
      </c>
      <c r="BG560" s="1" t="s">
        <v>321</v>
      </c>
      <c r="BH560" t="s">
        <v>2453</v>
      </c>
      <c r="BI560" s="264" t="s">
        <v>3252</v>
      </c>
      <c r="BJ560" t="s">
        <v>1323</v>
      </c>
      <c r="BK560">
        <v>210</v>
      </c>
      <c r="BL560">
        <v>457.5</v>
      </c>
      <c r="BM560" s="143">
        <f>BL560/BK560</f>
        <v>2.1785714285714284</v>
      </c>
      <c r="BN560">
        <f>BL560-BK560</f>
        <v>247.5</v>
      </c>
      <c r="BO560">
        <f>BN560*1000000</f>
        <v>247500000</v>
      </c>
      <c r="BP560" t="s">
        <v>232</v>
      </c>
      <c r="BQ560" s="153" t="s">
        <v>3253</v>
      </c>
      <c r="BR560" t="s">
        <v>2325</v>
      </c>
      <c r="BS560">
        <v>644.05341103507203</v>
      </c>
      <c r="BT560">
        <v>650.17509623609897</v>
      </c>
      <c r="BU560" s="144">
        <f>IFERROR(BT560/BS560,"")</f>
        <v>1.0095049340569264</v>
      </c>
      <c r="BV560" s="144">
        <f>BT560-BS560</f>
        <v>6.1216852010269349</v>
      </c>
      <c r="BW560" s="144"/>
      <c r="BX560">
        <f>BV560*10^6</f>
        <v>6121685.2010269351</v>
      </c>
      <c r="BY560">
        <f>IFERROR(BX560/BO560,"")</f>
        <v>2.4734081620310849E-2</v>
      </c>
      <c r="BZ560">
        <v>0</v>
      </c>
      <c r="CA560">
        <v>0</v>
      </c>
      <c r="CB560">
        <v>0</v>
      </c>
      <c r="CC560">
        <v>0</v>
      </c>
      <c r="CD560">
        <v>0</v>
      </c>
      <c r="CE560">
        <v>0</v>
      </c>
      <c r="CF560">
        <v>0</v>
      </c>
      <c r="CG560">
        <v>0</v>
      </c>
      <c r="CH560">
        <v>0</v>
      </c>
      <c r="CI560">
        <v>0</v>
      </c>
      <c r="CJ560">
        <v>0</v>
      </c>
      <c r="CK560">
        <v>0</v>
      </c>
      <c r="CL560">
        <v>0</v>
      </c>
      <c r="CM560">
        <v>1</v>
      </c>
      <c r="CN560" t="str">
        <f>IF($BL560&lt;$BK560,"refNeedCorrection","refOK")</f>
        <v>refOK</v>
      </c>
      <c r="CO560">
        <f>IF($CN560="refNeedCorrection",BL560,BK560)</f>
        <v>210</v>
      </c>
      <c r="CP560">
        <f>IF($CN560="refNeedCorrection",BK560,BL560)</f>
        <v>457.5</v>
      </c>
      <c r="CQ560">
        <f>IF($CN560="refOK",$BO560,-$BO560)</f>
        <v>247500000</v>
      </c>
      <c r="CR560">
        <f>IF($CN560="refOK",$BS560,$BT560)*IF($BP560="Emissions positive",-1,1)</f>
        <v>644.05341103507203</v>
      </c>
      <c r="CS560">
        <f>IF($CN560="refOK",$BT560,$BS560)*IF($BP560="Emissions positive",-1,1)</f>
        <v>650.17509623609897</v>
      </c>
      <c r="CT560">
        <f>IF($CN560="refNeedCorrection",-BX560,BX560)*IF($BP560="Emissions positive",-1,1)</f>
        <v>6121685.2010269351</v>
      </c>
      <c r="CU560">
        <f>IFERROR(CT560/CQ560,"")</f>
        <v>2.4734081620310849E-2</v>
      </c>
      <c r="CV560" s="2">
        <f>IFERROR((CS560-CR560)/ABS(CR560),"")</f>
        <v>9.5049340569264961E-3</v>
      </c>
      <c r="CW560" s="1" t="s">
        <v>1203</v>
      </c>
      <c r="CX560" t="str">
        <f>IF(OR($CW560="prd",$CW560="std",$CW560="cit"),"loc",IF(OR($CW560="eur",$CW560="reg",$CW560="coy"),"reg",$CW560))</f>
        <v>reg</v>
      </c>
      <c r="CY560" t="s">
        <v>639</v>
      </c>
      <c r="CZ560">
        <v>2000</v>
      </c>
      <c r="DA560">
        <v>2060</v>
      </c>
      <c r="DB560">
        <f>DA560-CZ560</f>
        <v>60</v>
      </c>
      <c r="DC560" t="str">
        <f>IF(DB560=0,"0",IF(AND(DB560&gt;=1,DB560&lt;=30),"1-30",IF(AND(DB560&gt;30,DB560&lt;=70),"31-70",IF(AND(DB560&gt;70,DB560&lt;=100),"71-100",IF(DB560&gt;100,"+100")))))</f>
        <v>31-70</v>
      </c>
      <c r="DD560">
        <v>1</v>
      </c>
      <c r="DE560">
        <v>1</v>
      </c>
      <c r="DF560">
        <v>1</v>
      </c>
      <c r="DG560">
        <v>1</v>
      </c>
      <c r="DH560">
        <v>0</v>
      </c>
      <c r="DI560">
        <f>SUM(DD560:DG560)</f>
        <v>4</v>
      </c>
      <c r="DJ560" t="str">
        <f>IF(DI560=1,INDEX($DD$7:$DG$7,MATCH(1,$DD560:$DG560,0)),"mixedProduct")</f>
        <v>mixedProduct</v>
      </c>
      <c r="DK560" t="str">
        <f>IF(DD560=1,DK$7,0)</f>
        <v>Upstream</v>
      </c>
      <c r="DL560" t="str">
        <f>IF(DE560=1,DL$7,0)</f>
        <v>Energy</v>
      </c>
      <c r="DM560" t="str">
        <f>IF(DF560=1,DM$7,0)</f>
        <v>Pulp/Paper</v>
      </c>
      <c r="DN560" t="str">
        <f>IF(DG560=1,DN$7,0)</f>
        <v>Timber</v>
      </c>
      <c r="DO560">
        <v>0</v>
      </c>
      <c r="DP560">
        <v>1</v>
      </c>
      <c r="DQ560" t="s">
        <v>2483</v>
      </c>
      <c r="DR560" t="s">
        <v>2484</v>
      </c>
      <c r="DT560">
        <f>SUM(DO560:DP560)</f>
        <v>1</v>
      </c>
      <c r="DU560" s="143" t="str">
        <f>IF(DO560=1,"self-calculated DF",IF(DP560=1,"external DF used","explicit C balance"))</f>
        <v>external DF used</v>
      </c>
      <c r="DV560">
        <v>1</v>
      </c>
      <c r="DW560">
        <v>1</v>
      </c>
      <c r="DX560">
        <v>1</v>
      </c>
      <c r="DY560">
        <v>1</v>
      </c>
      <c r="DZ560">
        <v>1</v>
      </c>
      <c r="EA560" s="143">
        <v>1</v>
      </c>
      <c r="EB560">
        <v>1</v>
      </c>
      <c r="EC560">
        <v>1</v>
      </c>
      <c r="ED560">
        <v>0</v>
      </c>
      <c r="EE560">
        <v>0</v>
      </c>
      <c r="EF560">
        <v>1</v>
      </c>
      <c r="EG560">
        <v>0</v>
      </c>
      <c r="EH560">
        <v>0</v>
      </c>
      <c r="EI560" s="2">
        <v>0</v>
      </c>
      <c r="EK560" t="str">
        <f>IF(AND(AND(AND(OR($DX560=1,$DW560=1),OR($EC560=1,$EA560=1)),SUM($DV560:$DZ560,$EF560)&gt;=4),SUM($EA560:$EE560)&gt;=2),"Whole sector","")</f>
        <v>Whole sector</v>
      </c>
      <c r="EL560" t="str">
        <f>IF(AND(AND(OR($DX560=1,$DW560=1),AND($EC560=0,$EA560=0)),SUM($DV560:$DZ560,$EF560)&gt;=4),"Ecosystem approach","")</f>
        <v/>
      </c>
      <c r="EM560" s="2" t="str">
        <f>IF(AND(AND(AND($DX560=0,$DW560=0),OR($EC560=1,$EA560=1)),SUM($EB560:$EE560)&gt;=2),"Technology approach","")</f>
        <v/>
      </c>
      <c r="EN560" t="s">
        <v>2485</v>
      </c>
      <c r="EP560" t="str">
        <f>IF(ISNUMBER(BU560),IF(ABS(BU560-[1]QC_indicators!$B$2)&gt;3*[1]QC_indicators!$C$2,"C ratio",IF(ISNUMBER(BY560),IF(ABS(BY560-[1]QC_indicators!$B$1)&gt;3*[1]QC_indicators!$C$1,"DF","no"))),IF(ISNUMBER(BY560),IF(ABS(BY560-[1]QC_indicators!$B$1)&gt;3*[1]QC_indicators!$C$1,"DF","no")))</f>
        <v>no</v>
      </c>
      <c r="ET560" s="264" t="s">
        <v>3254</v>
      </c>
    </row>
    <row r="561" spans="1:150" ht="15" customHeight="1">
      <c r="A561" s="1" t="s">
        <v>1360</v>
      </c>
      <c r="B561" t="s">
        <v>2135</v>
      </c>
      <c r="C561" t="s">
        <v>2136</v>
      </c>
      <c r="D561" t="s">
        <v>2137</v>
      </c>
      <c r="E561" t="s">
        <v>2138</v>
      </c>
      <c r="F561" t="s">
        <v>2139</v>
      </c>
      <c r="G561" t="s">
        <v>1366</v>
      </c>
      <c r="H561" t="s">
        <v>254</v>
      </c>
      <c r="I561">
        <v>2012</v>
      </c>
      <c r="J561">
        <v>21</v>
      </c>
      <c r="K561" t="s">
        <v>2140</v>
      </c>
      <c r="L561" s="192"/>
      <c r="M561" t="str">
        <f>LEFT($D561,FIND(",",$D561)-1)&amp;"_"&amp;I561&amp;L561</f>
        <v>Pyorala_2012</v>
      </c>
      <c r="N561" t="s">
        <v>222</v>
      </c>
      <c r="O561" s="145" t="s">
        <v>341</v>
      </c>
      <c r="P561" s="180" t="s">
        <v>223</v>
      </c>
      <c r="Q561" s="264" t="s">
        <v>256</v>
      </c>
      <c r="R561" s="269" t="s">
        <v>1154</v>
      </c>
      <c r="S561" s="263" t="s">
        <v>2150</v>
      </c>
      <c r="T561" s="264" t="s">
        <v>2143</v>
      </c>
      <c r="U561" s="264" t="s">
        <v>2148</v>
      </c>
      <c r="V561">
        <v>0</v>
      </c>
      <c r="W561">
        <v>0</v>
      </c>
      <c r="X561">
        <v>0</v>
      </c>
      <c r="Y561">
        <v>1</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s="141">
        <f>COUNTIF(V561:AW561,"&lt;&gt;0")</f>
        <v>1</v>
      </c>
      <c r="AY561" s="141">
        <f>COUNTIF(V561:AL561,"&lt;&gt;0")</f>
        <v>1</v>
      </c>
      <c r="AZ561">
        <f>COUNTIF(V561:AC561,"&lt;&gt;0")</f>
        <v>1</v>
      </c>
      <c r="BA561">
        <f>COUNTIF(AD561:AI561,"&lt;&gt;0")</f>
        <v>0</v>
      </c>
      <c r="BB561">
        <f>COUNTIF(AJ561:AL561,"&lt;&gt;0")</f>
        <v>0</v>
      </c>
      <c r="BC561">
        <f>COUNTIF(AS561:AW561,"&lt;&gt;0")</f>
        <v>0</v>
      </c>
      <c r="BD561">
        <f>COUNTIF(AM561:AR561,"&lt;&gt;0")</f>
        <v>0</v>
      </c>
      <c r="BE561" t="str" cm="1">
        <f t="array" ref="BE561">IF(AY561=1,INDEX($V$7:$AL$7,MATCH(TRUE,INDEX($V561:$AW561&lt;&gt;0,),0)),IF(AY561=0,INDEX($AM$7:$AW$7,MATCH(1,$AM561:$AW561,0)),IF(BF561="Multiple strategies","mixed drivers",IF(BF561="Supply chain","multiple supply","multiple silviculture"))))</f>
        <v xml:space="preserve">cutting intensity </v>
      </c>
      <c r="BF561" s="2" t="str" cm="1">
        <f t="array" ref="BF561">IF(COUNTIF(AZ561:BB561,"&lt;&gt;0")=1,INDEX($V$4:$AW$4,MATCH(TRUE,INDEX($V561:$AW561&lt;&gt;0,),0)),IF(COUNTIF(AZ561:BB561,"&lt;&gt;0")=0,INDEX($AM$4:$AW$4,MATCH(1,$AM561:$AW561,0)),"Multiple strategies"))</f>
        <v>Silviculture for removals</v>
      </c>
      <c r="BG561" s="178" t="s">
        <v>321</v>
      </c>
      <c r="BH561" s="264" t="s">
        <v>2144</v>
      </c>
      <c r="BI561" s="264" t="s">
        <v>701</v>
      </c>
      <c r="BJ561" s="160" t="s">
        <v>700</v>
      </c>
      <c r="BK561">
        <v>6.5</v>
      </c>
      <c r="BL561">
        <v>6.8</v>
      </c>
      <c r="BN561">
        <f>BL561-BK561</f>
        <v>0.29999999999999982</v>
      </c>
      <c r="BO561">
        <f>BN561</f>
        <v>0.29999999999999982</v>
      </c>
      <c r="BP561" s="155" t="s">
        <v>395</v>
      </c>
      <c r="BQ561" s="335" t="s">
        <v>786</v>
      </c>
      <c r="BR561" s="270" t="s">
        <v>2145</v>
      </c>
      <c r="BS561">
        <f>-2.59/80</f>
        <v>-3.2375000000000001E-2</v>
      </c>
      <c r="BT561">
        <f>-3.28/80</f>
        <v>-4.0999999999999995E-2</v>
      </c>
      <c r="BU561" s="144"/>
      <c r="BV561">
        <f>BT561-BS561</f>
        <v>-8.6249999999999938E-3</v>
      </c>
      <c r="BX561">
        <f>BV561</f>
        <v>-8.6249999999999938E-3</v>
      </c>
      <c r="BY561">
        <f>IFERROR(BX561/BO561,"")</f>
        <v>-2.8749999999999998E-2</v>
      </c>
      <c r="BZ561">
        <v>0</v>
      </c>
      <c r="CA561">
        <v>0</v>
      </c>
      <c r="CB561">
        <v>0</v>
      </c>
      <c r="CC561">
        <v>0</v>
      </c>
      <c r="CD561">
        <v>0</v>
      </c>
      <c r="CE561">
        <v>0</v>
      </c>
      <c r="CF561">
        <v>0</v>
      </c>
      <c r="CG561">
        <v>0</v>
      </c>
      <c r="CH561">
        <v>0</v>
      </c>
      <c r="CI561">
        <v>0</v>
      </c>
      <c r="CJ561">
        <v>0</v>
      </c>
      <c r="CK561">
        <v>0</v>
      </c>
      <c r="CL561">
        <v>0</v>
      </c>
      <c r="CM561">
        <v>0</v>
      </c>
      <c r="CN561" t="str">
        <f>IF($BL561&lt;$BK561,"refNeedCorrection","refOK")</f>
        <v>refOK</v>
      </c>
      <c r="CO561">
        <f>IF($CN561="refOK",$BK561,$BL561)</f>
        <v>6.5</v>
      </c>
      <c r="CP561">
        <f>IF($CN561="refOK",$BL561,$BK561)</f>
        <v>6.8</v>
      </c>
      <c r="CQ561">
        <f>IF($CN561="refOK",$BO561,-$BO561)</f>
        <v>0.29999999999999982</v>
      </c>
      <c r="CR561">
        <f>IF($CN561="refOK",$BS561,$BT561)*IF($BP561="Emissions positive",-1,1)</f>
        <v>3.2375000000000001E-2</v>
      </c>
      <c r="CS561">
        <f>IF($CN561="refOK",$BT561,$BS561)*IF($BP561="Emissions positive",-1,1)</f>
        <v>4.0999999999999995E-2</v>
      </c>
      <c r="CT561">
        <f>IF($CN561="refNeedCorrection",-BX561,BX561)*IF($BP561="Emissions positive",-1,1)</f>
        <v>8.6249999999999938E-3</v>
      </c>
      <c r="CU561">
        <f>IFERROR(CT561/CQ561,"")</f>
        <v>2.8749999999999998E-2</v>
      </c>
      <c r="CV561" s="2">
        <f>IFERROR((CS561-CR561)/ABS(CR561),"")</f>
        <v>0.26640926640926621</v>
      </c>
      <c r="CW561" s="1" t="s">
        <v>1199</v>
      </c>
      <c r="CX561" s="264" t="str">
        <f>IF(OR($CW561="prd",$CW561="std",$CW561="cit"),"loc",IF(OR($CW561="eur",$CW561="reg",$CW561="coy"),"reg",$CW561))</f>
        <v>reg</v>
      </c>
      <c r="CY561" t="s">
        <v>235</v>
      </c>
      <c r="DB561">
        <v>80</v>
      </c>
      <c r="DC561" t="str">
        <f>IF(DB561=0,"0",IF(AND(DB561&gt;=1,DB561&lt;=30),"1-30",IF(AND(DB561&gt;30,DB561&lt;=70),"31-70",IF(AND(DB561&gt;70,DB561&lt;=100),"71-100",IF(DB561&gt;100,"+100")))))</f>
        <v>71-100</v>
      </c>
      <c r="DD561">
        <v>0</v>
      </c>
      <c r="DE561">
        <v>1</v>
      </c>
      <c r="DF561">
        <v>1</v>
      </c>
      <c r="DG561">
        <v>1</v>
      </c>
      <c r="DI561">
        <f>SUM(DD561:DG561)</f>
        <v>3</v>
      </c>
      <c r="DJ561" t="str">
        <f>IF(DI561=1,INDEX($DD$7:$DG$7,MATCH(1,$DD561:$DG561,0)),"mixedProduct")</f>
        <v>mixedProduct</v>
      </c>
      <c r="DK561">
        <f>IF(DD561=1,DK$7,0)</f>
        <v>0</v>
      </c>
      <c r="DL561" t="str">
        <f>IF(DE561=1,DL$7,0)</f>
        <v>Energy</v>
      </c>
      <c r="DM561" t="str">
        <f>IF(DF561=1,DM$7,0)</f>
        <v>Pulp/Paper</v>
      </c>
      <c r="DN561" t="str">
        <f>IF(DG561=1,DN$7,0)</f>
        <v>Timber</v>
      </c>
      <c r="DO561">
        <v>0</v>
      </c>
      <c r="DP561">
        <v>1</v>
      </c>
      <c r="DQ561" t="s">
        <v>2146</v>
      </c>
      <c r="DR561">
        <v>0</v>
      </c>
      <c r="DS561">
        <v>0</v>
      </c>
      <c r="DT561">
        <f>SUM(DO561:DP561)</f>
        <v>1</v>
      </c>
      <c r="DU561" s="143" t="str">
        <f>IF(DO561=1,"self-calculated DF",IF(DP561=1,"external DF used","explicit C balance"))</f>
        <v>external DF used</v>
      </c>
      <c r="DV561">
        <v>1</v>
      </c>
      <c r="DW561">
        <v>1</v>
      </c>
      <c r="DX561">
        <v>1</v>
      </c>
      <c r="DY561">
        <v>0</v>
      </c>
      <c r="DZ561">
        <v>0</v>
      </c>
      <c r="EA561" s="143">
        <v>0</v>
      </c>
      <c r="EB561">
        <v>1</v>
      </c>
      <c r="EC561">
        <v>1</v>
      </c>
      <c r="ED561">
        <v>0</v>
      </c>
      <c r="EE561">
        <v>0</v>
      </c>
      <c r="EF561">
        <v>1</v>
      </c>
      <c r="EG561">
        <v>0</v>
      </c>
      <c r="EH561">
        <v>0</v>
      </c>
      <c r="EI561" s="2">
        <v>0</v>
      </c>
      <c r="EK561" t="str">
        <f>IF(AND(AND(AND(OR($DX561=1,$DW561=1),OR($EC561=1,$EA561=1)),SUM($DV561:$DZ561,$EF561)&gt;=4),SUM($EA561:$EE561)&gt;=2),"Whole sector","")</f>
        <v>Whole sector</v>
      </c>
      <c r="EL561" t="str">
        <f>IF(AND(AND(OR($DX561=1,$DW561=1),AND($EC561=0,$EA561=0)),SUM($DV561:$DZ561,$EF561)&gt;=4),"Ecosystem approach","")</f>
        <v/>
      </c>
      <c r="EM561" s="2" t="str">
        <f>IF(AND(AND(AND($DX561=0,$DW561=0),OR($EC561=1,$EA561=1)),SUM($EB561:$EE561)&gt;=2),"Technology approach","")</f>
        <v/>
      </c>
      <c r="EP561" t="str">
        <f>IF(ISNUMBER(BU561),IF(ABS(BU561-[3]QC_indicators!$B$2)&gt;3*[3]QC_indicators!$C$2,"C ratio",IF(ISNUMBER(BY561),IF(ABS(BY561-[3]QC_indicators!$B$1)&gt;3*[3]QC_indicators!$C$1,"DF","no"))),IF(ISNUMBER(BY561),IF(ABS(BY561-[3]QC_indicators!$B$1)&gt;3*[3]QC_indicators!$C$1,"DF","no")))</f>
        <v>no</v>
      </c>
      <c r="ET561" s="264" t="s">
        <v>3407</v>
      </c>
    </row>
    <row r="562" spans="1:150" ht="15" customHeight="1">
      <c r="A562" s="1" t="s">
        <v>1360</v>
      </c>
      <c r="B562" t="s">
        <v>2135</v>
      </c>
      <c r="C562" t="s">
        <v>2136</v>
      </c>
      <c r="D562" t="s">
        <v>2137</v>
      </c>
      <c r="E562" t="s">
        <v>2138</v>
      </c>
      <c r="F562" t="s">
        <v>2139</v>
      </c>
      <c r="G562" t="s">
        <v>1366</v>
      </c>
      <c r="H562" t="s">
        <v>254</v>
      </c>
      <c r="I562">
        <v>2012</v>
      </c>
      <c r="J562">
        <v>21</v>
      </c>
      <c r="K562" t="s">
        <v>2140</v>
      </c>
      <c r="L562" s="192"/>
      <c r="M562" t="str">
        <f>LEFT($D562,FIND(",",$D562)-1)&amp;"_"&amp;I562&amp;L562</f>
        <v>Pyorala_2012</v>
      </c>
      <c r="N562" t="s">
        <v>222</v>
      </c>
      <c r="O562" s="145" t="s">
        <v>341</v>
      </c>
      <c r="P562" s="180" t="s">
        <v>223</v>
      </c>
      <c r="Q562" s="264" t="s">
        <v>256</v>
      </c>
      <c r="R562" s="269" t="s">
        <v>1154</v>
      </c>
      <c r="S562" s="263" t="s">
        <v>2155</v>
      </c>
      <c r="T562" s="264" t="s">
        <v>2143</v>
      </c>
      <c r="U562" s="264" t="s">
        <v>2152</v>
      </c>
      <c r="V562">
        <v>0</v>
      </c>
      <c r="W562">
        <v>0</v>
      </c>
      <c r="X562">
        <v>0</v>
      </c>
      <c r="Y562">
        <v>0</v>
      </c>
      <c r="Z562">
        <v>0</v>
      </c>
      <c r="AA562">
        <v>0</v>
      </c>
      <c r="AB562">
        <v>1</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s="141">
        <f>COUNTIF(V562:AW562,"&lt;&gt;0")</f>
        <v>1</v>
      </c>
      <c r="AY562" s="141">
        <f>COUNTIF(V562:AL562,"&lt;&gt;0")</f>
        <v>1</v>
      </c>
      <c r="AZ562">
        <f>COUNTIF(V562:AC562,"&lt;&gt;0")</f>
        <v>1</v>
      </c>
      <c r="BA562">
        <f>COUNTIF(AD562:AI562,"&lt;&gt;0")</f>
        <v>0</v>
      </c>
      <c r="BB562">
        <f>COUNTIF(AJ562:AL562,"&lt;&gt;0")</f>
        <v>0</v>
      </c>
      <c r="BC562">
        <f>COUNTIF(AS562:AW562,"&lt;&gt;0")</f>
        <v>0</v>
      </c>
      <c r="BD562">
        <f>COUNTIF(AM562:AR562,"&lt;&gt;0")</f>
        <v>0</v>
      </c>
      <c r="BE562" t="str" cm="1">
        <f t="array" ref="BE562">IF(AY562=1,INDEX($V$7:$AL$7,MATCH(TRUE,INDEX($V562:$AW562&lt;&gt;0,),0)),IF(AY562=0,INDEX($AM$7:$AW$7,MATCH(1,$AM562:$AW562,0)),IF(BF562="Multiple strategies","mixed drivers",IF(BF562="Supply chain","multiple supply","multiple silviculture"))))</f>
        <v>fertilisation</v>
      </c>
      <c r="BF562" s="2" t="str" cm="1">
        <f t="array" ref="BF562">IF(COUNTIF(AZ562:BB562,"&lt;&gt;0")=1,INDEX($V$4:$AW$4,MATCH(TRUE,INDEX($V562:$AW562&lt;&gt;0,),0)),IF(COUNTIF(AZ562:BB562,"&lt;&gt;0")=0,INDEX($AM$4:$AW$4,MATCH(1,$AM562:$AW562,0)),"Multiple strategies"))</f>
        <v>Silviculture for productivity</v>
      </c>
      <c r="BG562" s="178" t="s">
        <v>321</v>
      </c>
      <c r="BH562" s="264" t="s">
        <v>2144</v>
      </c>
      <c r="BI562" s="264" t="s">
        <v>701</v>
      </c>
      <c r="BJ562" s="160" t="s">
        <v>700</v>
      </c>
      <c r="BK562">
        <v>6.5</v>
      </c>
      <c r="BL562">
        <v>7</v>
      </c>
      <c r="BN562">
        <f>BL562-BK562</f>
        <v>0.5</v>
      </c>
      <c r="BO562">
        <f>BN562</f>
        <v>0.5</v>
      </c>
      <c r="BP562" s="155" t="s">
        <v>232</v>
      </c>
      <c r="BQ562" s="335" t="s">
        <v>786</v>
      </c>
      <c r="BR562" s="270" t="s">
        <v>2145</v>
      </c>
      <c r="BS562" s="264">
        <f>99.4/80</f>
        <v>1.2425000000000002</v>
      </c>
      <c r="BT562" s="264">
        <f>100.6/80</f>
        <v>1.2574999999999998</v>
      </c>
      <c r="BU562" s="144"/>
      <c r="BV562">
        <f>BT562-BS562</f>
        <v>1.499999999999968E-2</v>
      </c>
      <c r="BX562">
        <f>BV562</f>
        <v>1.499999999999968E-2</v>
      </c>
      <c r="BY562">
        <f>IFERROR(BX562/BO562,"")</f>
        <v>2.9999999999999361E-2</v>
      </c>
      <c r="BZ562">
        <v>0</v>
      </c>
      <c r="CA562">
        <v>0</v>
      </c>
      <c r="CB562">
        <v>0</v>
      </c>
      <c r="CC562">
        <v>0</v>
      </c>
      <c r="CD562">
        <v>0</v>
      </c>
      <c r="CE562">
        <v>0</v>
      </c>
      <c r="CF562">
        <v>0</v>
      </c>
      <c r="CG562">
        <v>0</v>
      </c>
      <c r="CH562">
        <v>0</v>
      </c>
      <c r="CI562">
        <v>0</v>
      </c>
      <c r="CJ562">
        <v>0</v>
      </c>
      <c r="CK562">
        <v>0</v>
      </c>
      <c r="CL562">
        <v>0</v>
      </c>
      <c r="CM562">
        <v>0</v>
      </c>
      <c r="CN562" t="str">
        <f>IF($BL562&lt;$BK562,"refNeedCorrection","refOK")</f>
        <v>refOK</v>
      </c>
      <c r="CO562">
        <f>IF($CN562="refOK",$BK562,$BL562)</f>
        <v>6.5</v>
      </c>
      <c r="CP562">
        <f>IF($CN562="refOK",$BL562,$BK562)</f>
        <v>7</v>
      </c>
      <c r="CQ562">
        <f>IF($CN562="refOK",$BO562,-$BO562)</f>
        <v>0.5</v>
      </c>
      <c r="CR562">
        <f>IF($CN562="refOK",$BS562,$BT562)*IF($BP562="Emissions positive",-1,1)</f>
        <v>1.2425000000000002</v>
      </c>
      <c r="CS562">
        <f>IF($CN562="refOK",$BT562,$BS562)*IF($BP562="Emissions positive",-1,1)</f>
        <v>1.2574999999999998</v>
      </c>
      <c r="CT562">
        <f>IF($CN562="refNeedCorrection",-BX562,BX562)*IF($BP562="Emissions positive",-1,1)</f>
        <v>1.499999999999968E-2</v>
      </c>
      <c r="CU562">
        <f>IFERROR(CT562/CQ562,"")</f>
        <v>2.9999999999999361E-2</v>
      </c>
      <c r="CV562" s="2">
        <f>IFERROR((CS562-CR562)/ABS(CR562),"")</f>
        <v>1.2072434607645616E-2</v>
      </c>
      <c r="CW562" s="1" t="s">
        <v>1199</v>
      </c>
      <c r="CX562" s="264" t="str">
        <f>IF(OR($CW562="prd",$CW562="std",$CW562="cit"),"loc",IF(OR($CW562="eur",$CW562="reg",$CW562="coy"),"reg",$CW562))</f>
        <v>reg</v>
      </c>
      <c r="CY562" t="s">
        <v>235</v>
      </c>
      <c r="DB562">
        <v>80</v>
      </c>
      <c r="DC562" t="str">
        <f>IF(DB562=0,"0",IF(AND(DB562&gt;=1,DB562&lt;=30),"1-30",IF(AND(DB562&gt;30,DB562&lt;=70),"31-70",IF(AND(DB562&gt;70,DB562&lt;=100),"71-100",IF(DB562&gt;100,"+100")))))</f>
        <v>71-100</v>
      </c>
      <c r="DD562">
        <v>0</v>
      </c>
      <c r="DE562">
        <v>1</v>
      </c>
      <c r="DF562">
        <v>1</v>
      </c>
      <c r="DG562">
        <v>1</v>
      </c>
      <c r="DI562">
        <f>SUM(DD562:DG562)</f>
        <v>3</v>
      </c>
      <c r="DJ562" t="str">
        <f>IF(DI562=1,INDEX($DD$7:$DG$7,MATCH(1,$DD562:$DG562,0)),"mixedProduct")</f>
        <v>mixedProduct</v>
      </c>
      <c r="DK562">
        <f>IF(DD562=1,DK$7,0)</f>
        <v>0</v>
      </c>
      <c r="DL562" t="str">
        <f>IF(DE562=1,DL$7,0)</f>
        <v>Energy</v>
      </c>
      <c r="DM562" t="str">
        <f>IF(DF562=1,DM$7,0)</f>
        <v>Pulp/Paper</v>
      </c>
      <c r="DN562" t="str">
        <f>IF(DG562=1,DN$7,0)</f>
        <v>Timber</v>
      </c>
      <c r="DO562">
        <v>0</v>
      </c>
      <c r="DP562">
        <v>1</v>
      </c>
      <c r="DQ562" t="s">
        <v>2146</v>
      </c>
      <c r="DR562">
        <v>0</v>
      </c>
      <c r="DS562">
        <v>0</v>
      </c>
      <c r="DT562">
        <f>SUM(DO562:DP562)</f>
        <v>1</v>
      </c>
      <c r="DU562" s="143" t="str">
        <f>IF(DO562=1,"self-calculated DF",IF(DP562=1,"external DF used","explicit C balance"))</f>
        <v>external DF used</v>
      </c>
      <c r="DV562">
        <v>1</v>
      </c>
      <c r="DW562">
        <v>1</v>
      </c>
      <c r="DX562">
        <v>1</v>
      </c>
      <c r="DY562">
        <v>0</v>
      </c>
      <c r="DZ562">
        <v>0</v>
      </c>
      <c r="EA562" s="143">
        <v>0</v>
      </c>
      <c r="EB562">
        <v>0</v>
      </c>
      <c r="EC562">
        <v>0</v>
      </c>
      <c r="ED562">
        <v>0</v>
      </c>
      <c r="EE562">
        <v>0</v>
      </c>
      <c r="EF562">
        <v>1</v>
      </c>
      <c r="EG562">
        <v>0</v>
      </c>
      <c r="EH562">
        <v>0</v>
      </c>
      <c r="EI562" s="2">
        <v>0</v>
      </c>
      <c r="EK562" t="str">
        <f>IF(AND(AND(AND(OR($DX562=1,$DW562=1),OR($EC562=1,$EA562=1)),SUM($DV562:$DZ562,$EF562)&gt;=4),SUM($EA562:$EE562)&gt;=2),"Whole sector","")</f>
        <v/>
      </c>
      <c r="EL562" t="str">
        <f>IF(AND(AND(OR($DX562=1,$DW562=1),AND($EC562=0,$EA562=0)),SUM($DV562:$DZ562,$EF562)&gt;=4),"Ecosystem approach","")</f>
        <v>Ecosystem approach</v>
      </c>
      <c r="EM562" s="2" t="str">
        <f>IF(AND(AND(AND($DX562=0,$DW562=0),OR($EC562=1,$EA562=1)),SUM($EB562:$EE562)&gt;=2),"Technology approach","")</f>
        <v/>
      </c>
      <c r="EP562" t="str">
        <f>IF(ISNUMBER(BU562),IF(ABS(BU562-[3]QC_indicators!$B$2)&gt;3*[3]QC_indicators!$C$2,"C ratio",IF(ISNUMBER(BY562),IF(ABS(BY562-[3]QC_indicators!$B$1)&gt;3*[3]QC_indicators!$C$1,"DF","no"))),IF(ISNUMBER(BY562),IF(ABS(BY562-[3]QC_indicators!$B$1)&gt;3*[3]QC_indicators!$C$1,"DF","no")))</f>
        <v>no</v>
      </c>
      <c r="ET562" s="264" t="s">
        <v>3407</v>
      </c>
    </row>
    <row r="563" spans="1:150" ht="16.5" customHeight="1">
      <c r="A563" s="1" t="s">
        <v>599</v>
      </c>
      <c r="B563" t="s">
        <v>600</v>
      </c>
      <c r="C563" t="s">
        <v>601</v>
      </c>
      <c r="D563" t="s">
        <v>602</v>
      </c>
      <c r="E563" t="s">
        <v>603</v>
      </c>
      <c r="F563" t="s">
        <v>604</v>
      </c>
      <c r="G563" t="s">
        <v>605</v>
      </c>
      <c r="H563" t="s">
        <v>254</v>
      </c>
      <c r="I563">
        <v>2022</v>
      </c>
      <c r="J563">
        <v>15</v>
      </c>
      <c r="K563" t="s">
        <v>606</v>
      </c>
      <c r="M563" t="str">
        <f>LEFT($D563,FIND(",",$D563)-1)&amp;"_"&amp;I563&amp;L563</f>
        <v>Dani_2022</v>
      </c>
      <c r="N563" t="s">
        <v>222</v>
      </c>
      <c r="O563" s="145" t="s">
        <v>223</v>
      </c>
      <c r="Q563" t="s">
        <v>389</v>
      </c>
      <c r="R563" s="255" t="s">
        <v>225</v>
      </c>
      <c r="S563" s="1" t="s">
        <v>607</v>
      </c>
      <c r="T563" t="s">
        <v>608</v>
      </c>
      <c r="U563" t="s">
        <v>609</v>
      </c>
      <c r="V563">
        <v>0</v>
      </c>
      <c r="W563">
        <v>0</v>
      </c>
      <c r="X563">
        <v>0</v>
      </c>
      <c r="Y563">
        <v>0</v>
      </c>
      <c r="Z563">
        <v>0</v>
      </c>
      <c r="AA563">
        <v>0</v>
      </c>
      <c r="AB563">
        <v>0</v>
      </c>
      <c r="AC563">
        <v>0</v>
      </c>
      <c r="AD563">
        <v>0</v>
      </c>
      <c r="AE563">
        <v>0</v>
      </c>
      <c r="AF563">
        <v>0</v>
      </c>
      <c r="AG563">
        <v>0</v>
      </c>
      <c r="AH563">
        <v>0</v>
      </c>
      <c r="AI563">
        <v>0</v>
      </c>
      <c r="AJ563">
        <v>0</v>
      </c>
      <c r="AK563">
        <v>1</v>
      </c>
      <c r="AL563">
        <v>0</v>
      </c>
      <c r="AM563">
        <v>0</v>
      </c>
      <c r="AN563">
        <v>0</v>
      </c>
      <c r="AO563">
        <v>0</v>
      </c>
      <c r="AP563">
        <v>0</v>
      </c>
      <c r="AQ563">
        <v>0</v>
      </c>
      <c r="AR563">
        <v>0</v>
      </c>
      <c r="AS563">
        <v>0</v>
      </c>
      <c r="AT563">
        <v>0</v>
      </c>
      <c r="AU563">
        <v>0</v>
      </c>
      <c r="AV563">
        <v>0</v>
      </c>
      <c r="AW563">
        <v>0</v>
      </c>
      <c r="AX563" s="141">
        <f>COUNTIF(V563:AW563,"&lt;&gt;0")</f>
        <v>1</v>
      </c>
      <c r="AY563" s="141">
        <f>COUNTIF(V563:AL563,"&lt;&gt;0")</f>
        <v>1</v>
      </c>
      <c r="AZ563">
        <f>COUNTIF(V563:AC563,"&lt;&gt;0")</f>
        <v>0</v>
      </c>
      <c r="BA563">
        <f>COUNTIF(AD563:AI563,"&lt;&gt;0")</f>
        <v>0</v>
      </c>
      <c r="BB563">
        <f>COUNTIF(AJ563:AL563,"&lt;&gt;0")</f>
        <v>1</v>
      </c>
      <c r="BC563">
        <f>COUNTIF(AS563:AW563,"&lt;&gt;0")</f>
        <v>0</v>
      </c>
      <c r="BD563">
        <f>COUNTIF(AM563:AR563,"&lt;&gt;0")</f>
        <v>0</v>
      </c>
      <c r="BE563" t="str">
        <f t="array" ref="BE563">IF(AY563=1,INDEX($V$7:$AL$7,MATCH(TRUE,INDEX($V563:$AW563&lt;&gt;0,),0)),IF(AY563=0,INDEX($AM$7:$AW$7,MATCH(1,$AM563:$AW563,0)),IF(BF563="Multiple strategies","mixed drivers",IF(BF563="Supply chain","multiple supply","multiple silviculture"))))</f>
        <v>technologies/design switch</v>
      </c>
      <c r="BF563" s="2" t="str" cm="1">
        <f t="array" ref="BF563">IF(COUNTIF(AZ563:BB563,"&lt;&gt;0")=1,INDEX($V$4:$AW$4,MATCH(TRUE,INDEX($V563:$AW563&lt;&gt;0,),0)),IF(COUNTIF(AZ563:BB563,"&lt;&gt;0")=0,INDEX($AM$4:$AW$4,MATCH(1,$AM563:$AW563,0)),"Multiple strategies"))</f>
        <v>Technology</v>
      </c>
      <c r="BG563" s="1" t="s">
        <v>229</v>
      </c>
      <c r="BH563" t="s">
        <v>610</v>
      </c>
      <c r="BI563" t="s">
        <v>424</v>
      </c>
      <c r="BJ563" t="s">
        <v>498</v>
      </c>
      <c r="BK563">
        <f>0.041+0.652</f>
        <v>0.69300000000000006</v>
      </c>
      <c r="BL563">
        <f>0.298+2.905+0.284+3.758+0.808+6.645+2.786+0.678</f>
        <v>18.161999999999999</v>
      </c>
      <c r="BN563">
        <f>BL563-BK563</f>
        <v>17.468999999999998</v>
      </c>
      <c r="BO563">
        <f>BN563</f>
        <v>17.468999999999998</v>
      </c>
      <c r="BP563" t="s">
        <v>395</v>
      </c>
      <c r="BQ563" s="302" t="s">
        <v>3301</v>
      </c>
      <c r="BR563" t="s">
        <v>612</v>
      </c>
      <c r="BS563">
        <f>(1.47+8.39+1.85)*146</f>
        <v>1709.66</v>
      </c>
      <c r="BT563">
        <f>107*(1.16+8.34+1.52)</f>
        <v>1179.1399999999999</v>
      </c>
      <c r="BU563" s="144">
        <f>IFERROR(BT563/BS563,"")</f>
        <v>0.68969268743492851</v>
      </c>
      <c r="BV563">
        <f>BT563-BS563</f>
        <v>-530.52000000000021</v>
      </c>
      <c r="BX563">
        <f>BV563/1000</f>
        <v>-0.53052000000000021</v>
      </c>
      <c r="BY563">
        <f>IFERROR(BX563/BO563,"")</f>
        <v>-3.0369225485145132E-2</v>
      </c>
      <c r="BZ563">
        <v>0</v>
      </c>
      <c r="CA563">
        <v>0</v>
      </c>
      <c r="CB563">
        <v>0</v>
      </c>
      <c r="CC563">
        <v>0</v>
      </c>
      <c r="CD563">
        <v>0</v>
      </c>
      <c r="CE563">
        <v>0</v>
      </c>
      <c r="CF563">
        <v>0</v>
      </c>
      <c r="CG563">
        <v>0</v>
      </c>
      <c r="CH563">
        <v>0</v>
      </c>
      <c r="CI563">
        <v>0</v>
      </c>
      <c r="CJ563">
        <v>0</v>
      </c>
      <c r="CK563">
        <v>0</v>
      </c>
      <c r="CL563">
        <v>0</v>
      </c>
      <c r="CM563">
        <v>0</v>
      </c>
      <c r="CN563" t="str">
        <f>IF($BL563&lt;$BK563,"refNeedCorrection","refOK")</f>
        <v>refOK</v>
      </c>
      <c r="CO563"/>
      <c r="CP563"/>
      <c r="CQ563">
        <f>IF($CN563="refOK",$BO563,-$BO563)</f>
        <v>17.468999999999998</v>
      </c>
      <c r="CR563">
        <f>IF($CN563="refOK",$BS563,$BT563)*IF($BP563="Emissions positive",-1,1)</f>
        <v>-1709.66</v>
      </c>
      <c r="CS563">
        <f>IF($CN563="refOK",$BT563,$BS563)*IF($BP563="Emissions positive",-1,1)</f>
        <v>-1179.1399999999999</v>
      </c>
      <c r="CT563">
        <f>IF($CN563="refNeedCorrection",-BX563,BX563)*IF($BP563="Emissions positive",-1,1)</f>
        <v>0.53052000000000021</v>
      </c>
      <c r="CU563">
        <f>IFERROR(CT563/CQ563,"")</f>
        <v>3.0369225485145132E-2</v>
      </c>
      <c r="CV563" s="2">
        <f>IFERROR((CS563-CR563)/ABS(CR563),"")</f>
        <v>0.31030731256507155</v>
      </c>
      <c r="CW563" s="1" t="s">
        <v>263</v>
      </c>
      <c r="CX563" t="str">
        <f>IF(OR($CW563="prd",$CW563="std",$CW563="cit"),"loc",IF(OR($CW563="eur",$CW563="reg",$CW563="coy"),"reg",$CW563))</f>
        <v>loc</v>
      </c>
      <c r="CY563" t="s">
        <v>613</v>
      </c>
      <c r="DB563">
        <v>0</v>
      </c>
      <c r="DC563" t="str">
        <f>IF(DB563=0,"0",IF(AND(DB563&gt;=1,DB563&lt;=30),"1-30",IF(AND(DB563&gt;30,DB563&lt;=70),"31-70",IF(AND(DB563&gt;70,DB563&lt;=100),"71-100",IF(DB563&gt;100,"+100")))))</f>
        <v>0</v>
      </c>
      <c r="DD563">
        <v>0</v>
      </c>
      <c r="DE563">
        <v>0</v>
      </c>
      <c r="DF563">
        <v>0</v>
      </c>
      <c r="DG563">
        <v>1</v>
      </c>
      <c r="DH563">
        <v>0</v>
      </c>
      <c r="DI563">
        <f>SUM(DD563:DH563)</f>
        <v>1</v>
      </c>
      <c r="DJ563" t="str">
        <f>IF(DI563=1,INDEX($DD$7:$DG$7,MATCH(1,$DD563:$DG563,0)),"mixedProduct")</f>
        <v>TimberInput</v>
      </c>
      <c r="DK563">
        <f>IF(DD563=1,DK$7,0)</f>
        <v>0</v>
      </c>
      <c r="DL563">
        <f>IF(DE563=1,DL$7,0)</f>
        <v>0</v>
      </c>
      <c r="DM563">
        <f>IF(DF563=1,DM$7,0)</f>
        <v>0</v>
      </c>
      <c r="DN563" t="str">
        <f>IF(DG563=1,DN$7,0)</f>
        <v>Timber</v>
      </c>
      <c r="DO563">
        <v>0</v>
      </c>
      <c r="DP563">
        <v>0</v>
      </c>
      <c r="DQ563">
        <v>0</v>
      </c>
      <c r="DR563">
        <v>0</v>
      </c>
      <c r="DS563">
        <v>0</v>
      </c>
      <c r="DT563">
        <f>SUM(DO563:DP563)</f>
        <v>0</v>
      </c>
      <c r="DU563" t="str">
        <f>IF(DO563=1,"self-calculated DF",IF(DP563=1,"external DF used","explicit C balance"))</f>
        <v>explicit C balance</v>
      </c>
      <c r="DV563">
        <v>0</v>
      </c>
      <c r="DW563">
        <v>0</v>
      </c>
      <c r="DX563">
        <v>0</v>
      </c>
      <c r="DY563">
        <v>0</v>
      </c>
      <c r="DZ563">
        <v>0</v>
      </c>
      <c r="EA563" s="143">
        <v>0</v>
      </c>
      <c r="EB563">
        <v>0</v>
      </c>
      <c r="EC563">
        <v>0</v>
      </c>
      <c r="ED563">
        <v>1</v>
      </c>
      <c r="EE563">
        <v>0</v>
      </c>
      <c r="EF563">
        <v>0</v>
      </c>
      <c r="EG563">
        <v>0</v>
      </c>
      <c r="EH563">
        <v>0</v>
      </c>
      <c r="EI563" s="2">
        <v>0</v>
      </c>
      <c r="EK563" t="str">
        <f>IF(AND(AND(AND(OR($DX563=1,$DW563=1),OR($EC563=1,$EA563=1)),SUM($DV563:$DZ563,$EF563)&gt;=4),SUM($EA563:$EE563)&gt;=2),"Whole sector","")</f>
        <v/>
      </c>
      <c r="EL563" t="str">
        <f>IF(AND(AND(OR($DX563=1,$DW563=1),AND($EC563=0,$EA563=0)),SUM($DV563:$DZ563,$EF563)&gt;=4),"Ecosystem approach","")</f>
        <v/>
      </c>
      <c r="EM563" s="2" t="str">
        <f>IF(AND(AND(AND($DX563=0,$DW563=0),OR($EC563=1,$EA563=1)),SUM($EB563:$EE563)&gt;=2),"Technology approach","")</f>
        <v/>
      </c>
      <c r="EP563" t="str">
        <f>IF(ISNUMBER(BU563),IF(ABS(BU563-[4]QC_indicators!$B$2)&gt;3*[4]QC_indicators!$C$2,"C ratio",IF(ISNUMBER(BY563),IF(ABS(BY563-[4]QC_indicators!$B$1)&gt;3*[4]QC_indicators!$C$1,"DF","no"))),IF(ISNUMBER(BY563),IF(ABS(BY563-[4]QC_indicators!$B$1)&gt;3*[4]QC_indicators!$C$1,"DF","no")))</f>
        <v>no</v>
      </c>
      <c r="ET563" s="264" t="s">
        <v>3273</v>
      </c>
    </row>
    <row r="564" spans="1:150" ht="14" customHeight="1">
      <c r="A564" s="1" t="s">
        <v>587</v>
      </c>
      <c r="B564" t="s">
        <v>1220</v>
      </c>
      <c r="C564" t="s">
        <v>1221</v>
      </c>
      <c r="D564" t="s">
        <v>1222</v>
      </c>
      <c r="E564" t="s">
        <v>1223</v>
      </c>
      <c r="F564" t="s">
        <v>1224</v>
      </c>
      <c r="G564" t="s">
        <v>593</v>
      </c>
      <c r="I564">
        <v>2018</v>
      </c>
      <c r="K564" t="s">
        <v>1225</v>
      </c>
      <c r="M564" t="str">
        <f>LEFT($D564,FIND(",",$D564)-1)&amp;"_"&amp;I564&amp;L564</f>
        <v>Bais-Moleman_2018</v>
      </c>
      <c r="N564" t="s">
        <v>222</v>
      </c>
      <c r="O564" s="140" t="s">
        <v>341</v>
      </c>
      <c r="Q564" t="s">
        <v>224</v>
      </c>
      <c r="R564" s="269" t="s">
        <v>274</v>
      </c>
      <c r="S564" s="1" t="s">
        <v>1226</v>
      </c>
      <c r="T564" t="s">
        <v>1201</v>
      </c>
      <c r="U564" t="s">
        <v>1232</v>
      </c>
      <c r="V564">
        <v>0</v>
      </c>
      <c r="W564">
        <v>0</v>
      </c>
      <c r="X564">
        <v>0</v>
      </c>
      <c r="Y564">
        <v>0</v>
      </c>
      <c r="Z564">
        <v>0</v>
      </c>
      <c r="AA564">
        <v>0</v>
      </c>
      <c r="AB564">
        <v>0</v>
      </c>
      <c r="AC564">
        <v>0</v>
      </c>
      <c r="AD564">
        <v>0</v>
      </c>
      <c r="AE564">
        <v>0</v>
      </c>
      <c r="AF564">
        <v>0</v>
      </c>
      <c r="AG564">
        <v>1</v>
      </c>
      <c r="AH564">
        <v>0</v>
      </c>
      <c r="AI564">
        <v>0</v>
      </c>
      <c r="AJ564">
        <v>0</v>
      </c>
      <c r="AK564">
        <v>0</v>
      </c>
      <c r="AL564">
        <v>0</v>
      </c>
      <c r="AM564">
        <v>0</v>
      </c>
      <c r="AN564">
        <v>0</v>
      </c>
      <c r="AO564">
        <v>0</v>
      </c>
      <c r="AP564">
        <v>0</v>
      </c>
      <c r="AQ564">
        <v>0</v>
      </c>
      <c r="AR564">
        <v>0</v>
      </c>
      <c r="AS564">
        <v>0</v>
      </c>
      <c r="AT564">
        <v>0</v>
      </c>
      <c r="AU564">
        <v>0</v>
      </c>
      <c r="AV564">
        <v>0</v>
      </c>
      <c r="AW564">
        <v>0</v>
      </c>
      <c r="AX564" s="141">
        <f>COUNTIF(V564:AW564,"&lt;&gt;0")</f>
        <v>1</v>
      </c>
      <c r="AY564" s="141">
        <f>COUNTIF(V564:AL564,"&lt;&gt;0")</f>
        <v>1</v>
      </c>
      <c r="AZ564">
        <f>COUNTIF(V564:AC564,"&lt;&gt;0")</f>
        <v>0</v>
      </c>
      <c r="BA564">
        <f>COUNTIF(AD564:AI564,"&lt;&gt;0")</f>
        <v>1</v>
      </c>
      <c r="BB564">
        <f>COUNTIF(AJ564:AL564,"&lt;&gt;0")</f>
        <v>0</v>
      </c>
      <c r="BC564">
        <f>COUNTIF(AS564:AW564,"&lt;&gt;0")</f>
        <v>0</v>
      </c>
      <c r="BD564">
        <f>COUNTIF(AM564:AR564,"&lt;&gt;0")</f>
        <v>0</v>
      </c>
      <c r="BE564" t="str">
        <f t="array" ref="BE564">IF(AY564=1,INDEX($V$7:$AL$7,MATCH(TRUE,INDEX($V564:$AW564&lt;&gt;0,),0)),IF(AY564=0,INDEX($AM$7:$AW$7,MATCH(1,$AM564:$AW564,0)),IF(BF564="Multiple strategies","mixed drivers",IF(BF564="Supply chain","multiple supply","multiple silviculture"))))</f>
        <v>recycling</v>
      </c>
      <c r="BF564" s="2" t="str" cm="1">
        <f t="array" ref="BF564">IF(COUNTIF(AZ564:BB564,"&lt;&gt;0")=1,INDEX($V$4:$AW$4,MATCH(TRUE,INDEX($V564:$AW564&lt;&gt;0,),0)),IF(COUNTIF(AZ564:BB564,"&lt;&gt;0")=0,INDEX($AM$4:$AW$4,MATCH(1,$AM564:$AW564,0)),"Multiple strategies"))</f>
        <v>Supply chain</v>
      </c>
      <c r="BG564" s="1" t="s">
        <v>229</v>
      </c>
      <c r="BH564" t="s">
        <v>1228</v>
      </c>
      <c r="BI564" t="s">
        <v>396</v>
      </c>
      <c r="BJ564" t="s">
        <v>1215</v>
      </c>
      <c r="BK564">
        <v>12</v>
      </c>
      <c r="BL564">
        <v>56</v>
      </c>
      <c r="BM564">
        <f>BL564/BK564</f>
        <v>4.666666666666667</v>
      </c>
      <c r="BN564">
        <f>BL564-BK564</f>
        <v>44</v>
      </c>
      <c r="BO564" s="143">
        <f>+BN564*10^6*tC_to_m3</f>
        <v>191055145.46244031</v>
      </c>
      <c r="BP564" t="s">
        <v>232</v>
      </c>
      <c r="BQ564" s="333" t="s">
        <v>1229</v>
      </c>
      <c r="BR564" t="s">
        <v>1230</v>
      </c>
      <c r="BS564" s="152"/>
      <c r="BU564" s="144" t="str">
        <f>IFERROR(BT564/BS564,"")</f>
        <v/>
      </c>
      <c r="BV564">
        <f>35-42+13</f>
        <v>6</v>
      </c>
      <c r="BX564">
        <f>BV564*10^6</f>
        <v>6000000</v>
      </c>
      <c r="BY564">
        <f>IFERROR(BX564/BO564,"")</f>
        <v>3.1404545454545449E-2</v>
      </c>
      <c r="BZ564">
        <v>0</v>
      </c>
      <c r="CA564">
        <v>0</v>
      </c>
      <c r="CB564">
        <v>0</v>
      </c>
      <c r="CC564">
        <v>0</v>
      </c>
      <c r="CD564">
        <v>0</v>
      </c>
      <c r="CE564">
        <v>0</v>
      </c>
      <c r="CF564">
        <v>0</v>
      </c>
      <c r="CG564">
        <v>0</v>
      </c>
      <c r="CH564">
        <v>0</v>
      </c>
      <c r="CI564">
        <v>0</v>
      </c>
      <c r="CJ564">
        <v>0</v>
      </c>
      <c r="CK564">
        <v>0</v>
      </c>
      <c r="CL564">
        <v>0</v>
      </c>
      <c r="CM564">
        <v>0</v>
      </c>
      <c r="CN564" t="str">
        <f>IF(BL564&lt;BK564,"refNeedCorrection","refOK")</f>
        <v>refOK</v>
      </c>
      <c r="CO564">
        <f>IF($CN564="refOK",$BK564,$BL564)</f>
        <v>12</v>
      </c>
      <c r="CP564">
        <f>IF($CN564="refOK",$BL564,$BK564)</f>
        <v>56</v>
      </c>
      <c r="CQ564">
        <f>IF($CN564="refOK",$BO564,-$BO564)</f>
        <v>191055145.46244031</v>
      </c>
      <c r="CR564">
        <f>IF($CN564="refOK",$BS564,$BT564)*IF($BP564="Emissions positive",-1,1)</f>
        <v>0</v>
      </c>
      <c r="CS564">
        <f>IF($CN564="refOK",$BT564,$BS564)*IF($BP564="Emissions positive",-1,1)</f>
        <v>0</v>
      </c>
      <c r="CT564">
        <f>IF($CN564="refNeedCorrection",-BX564,BX564)*IF($BP564="Emissions positive",-1,1)</f>
        <v>6000000</v>
      </c>
      <c r="CU564">
        <f>IFERROR(CT564/CQ564,"")</f>
        <v>3.1404545454545449E-2</v>
      </c>
      <c r="CV564" s="2" t="str">
        <f>IFERROR((CS564-CR564)/ABS(CR564),"")</f>
        <v/>
      </c>
      <c r="CW564" s="1" t="s">
        <v>1231</v>
      </c>
      <c r="CX564" t="str">
        <f>IF(OR($CW564="prd",$CW564="std",$CW564="cit"),"loc",IF(OR($CW564="eur",$CW564="reg",$CW564="coy"),"reg",$CW564))</f>
        <v>reg</v>
      </c>
      <c r="CY564" t="s">
        <v>743</v>
      </c>
      <c r="DB564">
        <v>100</v>
      </c>
      <c r="DC564" t="str">
        <f>IF(DB564=0,"0",IF(AND(DB564&gt;=1,DB564&lt;=30),"1-30",IF(AND(DB564&gt;30,DB564&lt;=70),"31-70",IF(AND(DB564&gt;70,DB564&lt;=100),"71-100",IF(DB564&gt;100,"+100")))))</f>
        <v>71-100</v>
      </c>
      <c r="DD564">
        <v>0</v>
      </c>
      <c r="DE564">
        <v>1</v>
      </c>
      <c r="DF564">
        <v>1</v>
      </c>
      <c r="DG564">
        <v>1</v>
      </c>
      <c r="DI564">
        <f>SUM(DD564:DG564)</f>
        <v>3</v>
      </c>
      <c r="DJ564" t="str">
        <f>IF(DI564=1,INDEX($DD$7:$DG$7,MATCH(1,$DD564:$DG564,0)),"mixedProduct")</f>
        <v>mixedProduct</v>
      </c>
      <c r="DK564">
        <f>IF(DD564=1,DK$7,0)</f>
        <v>0</v>
      </c>
      <c r="DL564" t="str">
        <f>IF(DE564=1,DL$7,0)</f>
        <v>Energy</v>
      </c>
      <c r="DM564" t="str">
        <f>IF(DF564=1,DM$7,0)</f>
        <v>Pulp/Paper</v>
      </c>
      <c r="DN564" t="str">
        <f>IF(DG564=1,DN$7,0)</f>
        <v>Timber</v>
      </c>
      <c r="DO564">
        <v>1</v>
      </c>
      <c r="DP564">
        <v>0</v>
      </c>
      <c r="DQ564">
        <v>0</v>
      </c>
      <c r="DR564">
        <v>0</v>
      </c>
      <c r="DS564">
        <v>0</v>
      </c>
      <c r="DT564">
        <f>SUM(DO564:DP564)</f>
        <v>1</v>
      </c>
      <c r="DU564" s="143" t="str">
        <f>IF(DO564=1,"self-calculated DF",IF(DP564=1,"external DF used","explicit C balance"))</f>
        <v>self-calculated DF</v>
      </c>
      <c r="DV564">
        <v>0</v>
      </c>
      <c r="DW564">
        <v>1</v>
      </c>
      <c r="DX564">
        <v>0</v>
      </c>
      <c r="DY564">
        <v>1</v>
      </c>
      <c r="DZ564">
        <v>1</v>
      </c>
      <c r="EA564" s="143">
        <v>1</v>
      </c>
      <c r="EB564">
        <v>1</v>
      </c>
      <c r="EC564">
        <v>1</v>
      </c>
      <c r="ED564">
        <v>1</v>
      </c>
      <c r="EE564">
        <v>1</v>
      </c>
      <c r="EF564">
        <v>0</v>
      </c>
      <c r="EG564">
        <v>1</v>
      </c>
      <c r="EH564">
        <v>0</v>
      </c>
      <c r="EI564" s="2">
        <v>0</v>
      </c>
      <c r="EK564" t="str">
        <f>IF(AND(AND(AND(OR($DX564=1,$DW564=1),OR($EC564=1,$EA564=1)),SUM($DV564:$DZ564,$EF564)&gt;=4),SUM($EA564:$EE564)&gt;=2),"Whole sector","")</f>
        <v/>
      </c>
      <c r="EL564" t="str">
        <f>IF(AND(AND(OR($DX564=1,$DW564=1),AND($EC564=0,$EA564=0)),SUM($DV564:$DZ564,$EF564)&gt;=4),"Ecosystem approach","")</f>
        <v/>
      </c>
      <c r="EM564" s="2" t="str">
        <f>IF(AND(AND(AND($DX564=0,$DW564=0),OR($EC564=1,$EA564=1)),SUM($EB564:$EE564)&gt;=2),"Technology approach","")</f>
        <v/>
      </c>
      <c r="EP564" t="str">
        <f>IF(ISNUMBER(BU564),IF(ABS(BU564-[2]QC_indicators!$B$2)&gt;3*[2]QC_indicators!$C$2,"C ratio",IF(ISNUMBER(BY564),IF(ABS(BY564-[2]QC_indicators!$B$1)&gt;3*[2]QC_indicators!$C$1,"DF","no"))),IF(ISNUMBER(BY564),IF(ABS(BY564-[2]QC_indicators!$B$1)&gt;3*[2]QC_indicators!$C$1,"DF","no")))</f>
        <v>no</v>
      </c>
      <c r="ER564" s="149" t="s">
        <v>349</v>
      </c>
      <c r="ET564" s="264" t="s">
        <v>3151</v>
      </c>
    </row>
    <row r="565" spans="1:150" ht="15" customHeight="1">
      <c r="A565" s="1" t="s">
        <v>1972</v>
      </c>
      <c r="B565" t="s">
        <v>2445</v>
      </c>
      <c r="C565" t="s">
        <v>2446</v>
      </c>
      <c r="D565" t="s">
        <v>2447</v>
      </c>
      <c r="E565" t="s">
        <v>2448</v>
      </c>
      <c r="F565" t="s">
        <v>2449</v>
      </c>
      <c r="G565" t="s">
        <v>1978</v>
      </c>
      <c r="H565" t="s">
        <v>254</v>
      </c>
      <c r="I565">
        <v>2018</v>
      </c>
      <c r="J565">
        <v>8</v>
      </c>
      <c r="K565" t="s">
        <v>2450</v>
      </c>
      <c r="M565" t="str">
        <f>LEFT($D565,FIND(",",$D565)-1)&amp;"_"&amp;I565&amp;L565</f>
        <v>Valade_2018</v>
      </c>
      <c r="N565" t="s">
        <v>222</v>
      </c>
      <c r="O565" s="145" t="s">
        <v>1154</v>
      </c>
      <c r="Q565" t="s">
        <v>256</v>
      </c>
      <c r="R565" s="255" t="s">
        <v>225</v>
      </c>
      <c r="S565" s="1" t="s">
        <v>2458</v>
      </c>
      <c r="T565" t="s">
        <v>2444</v>
      </c>
      <c r="U565" t="s">
        <v>2459</v>
      </c>
      <c r="V565">
        <v>0</v>
      </c>
      <c r="W565">
        <v>0</v>
      </c>
      <c r="X565">
        <v>1</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s="141">
        <f>COUNTIF(V565:AW565,"&lt;&gt;0")</f>
        <v>1</v>
      </c>
      <c r="AY565" s="141">
        <f>COUNTIF(V565:AL565,"&lt;&gt;0")</f>
        <v>1</v>
      </c>
      <c r="AZ565">
        <f>COUNTIF(V565:AC565,"&lt;&gt;0")</f>
        <v>1</v>
      </c>
      <c r="BA565">
        <f>COUNTIF(AD565:AI565,"&lt;&gt;0")</f>
        <v>0</v>
      </c>
      <c r="BB565">
        <f>COUNTIF(AJ565:AL565,"&lt;&gt;0")</f>
        <v>0</v>
      </c>
      <c r="BC565">
        <f>COUNTIF(AS565:AW565,"&lt;&gt;0")</f>
        <v>0</v>
      </c>
      <c r="BD565">
        <f>COUNTIF(AM565:AR565,"&lt;&gt;0")</f>
        <v>0</v>
      </c>
      <c r="BE565" t="str">
        <f t="array" ref="BE565">IF(AY565=1,INDEX($V$7:$AL$7,MATCH(TRUE,INDEX($V565:$AW565&lt;&gt;0,),0)),IF(AY565=0,INDEX($AM$7:$AW$7,MATCH(1,$AM565:$AW565,0)),IF(BF565="Multiple strategies","mixed drivers",IF(BF565="Supply chain","multiple supply","multiple silviculture"))))</f>
        <v>rotation length</v>
      </c>
      <c r="BF565" s="2" t="str" cm="1">
        <f t="array" ref="BF565">IF(COUNTIF(AZ565:BB565,"&lt;&gt;0")=1,INDEX($V$4:$AW$4,MATCH(TRUE,INDEX($V565:$AW565&lt;&gt;0,),0)),IF(COUNTIF(AZ565:BB565,"&lt;&gt;0")=0,INDEX($AM$4:$AW$4,MATCH(1,$AM565:$AW565,0)),"Multiple strategies"))</f>
        <v>Silviculture for removals</v>
      </c>
      <c r="BG565" s="1" t="s">
        <v>321</v>
      </c>
      <c r="BH565" t="s">
        <v>2453</v>
      </c>
      <c r="BI565" s="260" t="s">
        <v>3399</v>
      </c>
      <c r="BJ565" t="s">
        <v>1323</v>
      </c>
      <c r="BK565">
        <v>1168.5023099755704</v>
      </c>
      <c r="BL565">
        <v>1580.9377497587932</v>
      </c>
      <c r="BM565" s="143">
        <f>BL565/BK565</f>
        <v>1.3529607397967793</v>
      </c>
      <c r="BN565">
        <f>BL565-BK565</f>
        <v>412.43543978322282</v>
      </c>
      <c r="BO565">
        <f>BN565*10^6</f>
        <v>412435439.78322279</v>
      </c>
      <c r="BP565" t="s">
        <v>232</v>
      </c>
      <c r="BQ565" s="260" t="s">
        <v>3401</v>
      </c>
      <c r="BR565" t="s">
        <v>1359</v>
      </c>
      <c r="BS565">
        <v>391.990063159464</v>
      </c>
      <c r="BT565">
        <v>395.522996733436</v>
      </c>
      <c r="BU565" s="144">
        <f>IFERROR(BT565/BS565,"")</f>
        <v>1.0090128141144608</v>
      </c>
      <c r="BV565" s="144">
        <f>BT565-BS565</f>
        <v>3.5329335739720023</v>
      </c>
      <c r="BW565" s="144"/>
      <c r="BX565">
        <f>BV565*10^6*C_to_CO2</f>
        <v>12965866.216477247</v>
      </c>
      <c r="BY565">
        <f>IFERROR(BX565/BO565,"")</f>
        <v>3.1437323192430172E-2</v>
      </c>
      <c r="BZ565">
        <v>0</v>
      </c>
      <c r="CA565">
        <v>0</v>
      </c>
      <c r="CB565">
        <v>0</v>
      </c>
      <c r="CC565">
        <v>0</v>
      </c>
      <c r="CD565">
        <v>0</v>
      </c>
      <c r="CE565">
        <v>0</v>
      </c>
      <c r="CF565">
        <v>0</v>
      </c>
      <c r="CG565">
        <v>0</v>
      </c>
      <c r="CH565">
        <v>0</v>
      </c>
      <c r="CI565">
        <v>0</v>
      </c>
      <c r="CJ565">
        <v>0</v>
      </c>
      <c r="CK565">
        <v>0</v>
      </c>
      <c r="CL565">
        <v>0</v>
      </c>
      <c r="CM565">
        <v>0</v>
      </c>
      <c r="CN565" t="str">
        <f>IF($BL565&lt;$BK565,"refNeedCorrection","refOK")</f>
        <v>refOK</v>
      </c>
      <c r="CO565">
        <f>IF($CN565="refNeedCorrection",BL565,BK565)</f>
        <v>1168.5023099755704</v>
      </c>
      <c r="CP565">
        <f>IF($CN565="refNeedCorrection",BK565,BL565)</f>
        <v>1580.9377497587932</v>
      </c>
      <c r="CQ565">
        <f>IF($CN565="refOK",$BO565,-$BO565)</f>
        <v>412435439.78322279</v>
      </c>
      <c r="CR565">
        <f>IF($CN565="refOK",$BS565,$BT565)*IF($BP565="Emissions positive",-1,1)</f>
        <v>391.990063159464</v>
      </c>
      <c r="CS565">
        <f>IF($CN565="refOK",$BT565,$BS565)*IF($BP565="Emissions positive",-1,1)</f>
        <v>395.522996733436</v>
      </c>
      <c r="CT565">
        <f>IF($CN565="refNeedCorrection",-BX565,BX565)*IF($BP565="Emissions positive",-1,1)</f>
        <v>12965866.216477247</v>
      </c>
      <c r="CU565">
        <f>IFERROR(CT565/CQ565,"")</f>
        <v>3.1437323192430172E-2</v>
      </c>
      <c r="CV565" s="2">
        <f>IFERROR((CS565-CR565)/ABS(CR565),"")</f>
        <v>9.0128141144608116E-3</v>
      </c>
      <c r="CW565" s="1" t="s">
        <v>1203</v>
      </c>
      <c r="CX565" t="str">
        <f>IF(OR($CW565="prd",$CW565="std",$CW565="cit"),"loc",IF(OR($CW565="eur",$CW565="reg",$CW565="coy"),"reg",$CW565))</f>
        <v>reg</v>
      </c>
      <c r="CY565" t="s">
        <v>729</v>
      </c>
      <c r="CZ565">
        <v>2015</v>
      </c>
      <c r="DA565">
        <v>2040</v>
      </c>
      <c r="DB565">
        <f>DA565-CZ565</f>
        <v>25</v>
      </c>
      <c r="DC565" t="str">
        <f>IF(DB565=0,"0",IF(AND(DB565&gt;=1,DB565&lt;=30),"1-30",IF(AND(DB565&gt;30,DB565&lt;=70),"31-70",IF(AND(DB565&gt;70,DB565&lt;=100),"71-100",IF(DB565&gt;100,"+100")))))</f>
        <v>1-30</v>
      </c>
      <c r="DD565">
        <v>1</v>
      </c>
      <c r="DE565">
        <v>1</v>
      </c>
      <c r="DF565">
        <v>1</v>
      </c>
      <c r="DG565">
        <v>1</v>
      </c>
      <c r="DI565">
        <f>SUM(DD565:DG565)</f>
        <v>4</v>
      </c>
      <c r="DJ565" t="str">
        <f>IF(DI565=1,INDEX($DD$7:$DG$7,MATCH(1,$DD565:$DG565,0)),"mixedProduct")</f>
        <v>mixedProduct</v>
      </c>
      <c r="DK565" t="str">
        <f>IF(DD565=1,DK$7,0)</f>
        <v>Upstream</v>
      </c>
      <c r="DL565" t="str">
        <f>IF(DE565=1,DL$7,0)</f>
        <v>Energy</v>
      </c>
      <c r="DM565" t="str">
        <f>IF(DF565=1,DM$7,0)</f>
        <v>Pulp/Paper</v>
      </c>
      <c r="DN565" t="str">
        <f>IF(DG565=1,DN$7,0)</f>
        <v>Timber</v>
      </c>
      <c r="DO565">
        <v>0</v>
      </c>
      <c r="DP565">
        <v>1</v>
      </c>
      <c r="DQ565" t="s">
        <v>2460</v>
      </c>
      <c r="DR565" t="s">
        <v>2461</v>
      </c>
      <c r="DS565" t="s">
        <v>2461</v>
      </c>
      <c r="DT565">
        <f>SUM(DO565:DP565)</f>
        <v>1</v>
      </c>
      <c r="DU565" s="143" t="str">
        <f>IF(DO565=1,"self-calculated DF",IF(DP565=1,"external DF used","explicit C balance"))</f>
        <v>external DF used</v>
      </c>
      <c r="DV565">
        <v>0</v>
      </c>
      <c r="DW565">
        <v>1</v>
      </c>
      <c r="DX565">
        <v>1</v>
      </c>
      <c r="DY565">
        <v>1</v>
      </c>
      <c r="DZ565">
        <v>1</v>
      </c>
      <c r="EA565" s="143">
        <v>1</v>
      </c>
      <c r="EB565">
        <v>1</v>
      </c>
      <c r="EC565">
        <v>1</v>
      </c>
      <c r="ED565">
        <v>0</v>
      </c>
      <c r="EE565">
        <v>0</v>
      </c>
      <c r="EF565">
        <v>1</v>
      </c>
      <c r="EG565">
        <v>0</v>
      </c>
      <c r="EH565">
        <v>0</v>
      </c>
      <c r="EI565" s="2">
        <v>0</v>
      </c>
      <c r="EK565" t="str">
        <f>IF(AND(AND(AND(OR($DX565=1,$DW565=1),OR($EC565=1,$EA565=1)),SUM($DV565:$DZ565,$EF565)&gt;=4),SUM($EA565:$EE565)&gt;=2),"Whole sector","")</f>
        <v>Whole sector</v>
      </c>
      <c r="EL565" t="str">
        <f>IF(AND(AND(OR($DX565=1,$DW565=1),AND($EC565=0,$EA565=0)),SUM($DV565:$DZ565,$EF565)&gt;=4),"Ecosystem approach","")</f>
        <v/>
      </c>
      <c r="EM565" s="2" t="str">
        <f>IF(AND(AND(AND($DX565=0,$DW565=0),OR($EC565=1,$EA565=1)),SUM($EB565:$EE565)&gt;=2),"Technology approach","")</f>
        <v/>
      </c>
      <c r="EP565" t="str">
        <f>IF(ISNUMBER(BU565),IF(ABS(BU565-[4]QC_indicators!$B$2)&gt;3*[4]QC_indicators!$C$2,"C ratio",IF(ISNUMBER(BY565),IF(ABS(BY565-[4]QC_indicators!$B$1)&gt;3*[4]QC_indicators!$C$1,"DF","no"))),IF(ISNUMBER(BY565),IF(ABS(BY565-[4]QC_indicators!$B$1)&gt;3*[4]QC_indicators!$C$1,"DF","no")))</f>
        <v>no</v>
      </c>
      <c r="EQ565" t="s">
        <v>2378</v>
      </c>
      <c r="ET565" s="264" t="s">
        <v>3273</v>
      </c>
    </row>
    <row r="566" spans="1:150" ht="15" customHeight="1">
      <c r="A566" s="1" t="s">
        <v>1360</v>
      </c>
      <c r="B566" t="s">
        <v>2135</v>
      </c>
      <c r="C566" t="s">
        <v>2136</v>
      </c>
      <c r="D566" t="s">
        <v>2137</v>
      </c>
      <c r="E566" t="s">
        <v>2138</v>
      </c>
      <c r="F566" t="s">
        <v>2139</v>
      </c>
      <c r="G566" t="s">
        <v>1366</v>
      </c>
      <c r="H566" t="s">
        <v>254</v>
      </c>
      <c r="I566">
        <v>2012</v>
      </c>
      <c r="J566">
        <v>21</v>
      </c>
      <c r="K566" t="s">
        <v>2140</v>
      </c>
      <c r="L566" s="192"/>
      <c r="M566" t="str">
        <f>LEFT($D566,FIND(",",$D566)-1)&amp;"_"&amp;I566&amp;L566</f>
        <v>Pyorala_2012</v>
      </c>
      <c r="N566" t="s">
        <v>222</v>
      </c>
      <c r="O566" s="145" t="s">
        <v>341</v>
      </c>
      <c r="P566" s="180" t="s">
        <v>223</v>
      </c>
      <c r="Q566" s="264" t="s">
        <v>256</v>
      </c>
      <c r="R566" s="269" t="s">
        <v>1154</v>
      </c>
      <c r="S566" s="263" t="s">
        <v>2150</v>
      </c>
      <c r="T566" s="264" t="s">
        <v>2143</v>
      </c>
      <c r="U566" s="264" t="s">
        <v>2142</v>
      </c>
      <c r="V566">
        <v>0</v>
      </c>
      <c r="W566">
        <v>0</v>
      </c>
      <c r="X566">
        <v>0</v>
      </c>
      <c r="Y566">
        <v>1</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s="141">
        <f>COUNTIF(V566:AW566,"&lt;&gt;0")</f>
        <v>1</v>
      </c>
      <c r="AY566" s="141">
        <f>COUNTIF(V566:AL566,"&lt;&gt;0")</f>
        <v>1</v>
      </c>
      <c r="AZ566">
        <f>COUNTIF(V566:AC566,"&lt;&gt;0")</f>
        <v>1</v>
      </c>
      <c r="BA566">
        <f>COUNTIF(AD566:AI566,"&lt;&gt;0")</f>
        <v>0</v>
      </c>
      <c r="BB566">
        <f>COUNTIF(AJ566:AL566,"&lt;&gt;0")</f>
        <v>0</v>
      </c>
      <c r="BC566">
        <f>COUNTIF(AS566:AW566,"&lt;&gt;0")</f>
        <v>0</v>
      </c>
      <c r="BD566">
        <f>COUNTIF(AM566:AR566,"&lt;&gt;0")</f>
        <v>0</v>
      </c>
      <c r="BE566" t="str" cm="1">
        <f t="array" ref="BE566">IF(AY566=1,INDEX($V$7:$AL$7,MATCH(TRUE,INDEX($V566:$AW566&lt;&gt;0,),0)),IF(AY566=0,INDEX($AM$7:$AW$7,MATCH(1,$AM566:$AW566,0)),IF(BF566="Multiple strategies","mixed drivers",IF(BF566="Supply chain","multiple supply","multiple silviculture"))))</f>
        <v xml:space="preserve">cutting intensity </v>
      </c>
      <c r="BF566" s="2" t="str" cm="1">
        <f t="array" ref="BF566">IF(COUNTIF(AZ566:BB566,"&lt;&gt;0")=1,INDEX($V$4:$AW$4,MATCH(TRUE,INDEX($V566:$AW566&lt;&gt;0,),0)),IF(COUNTIF(AZ566:BB566,"&lt;&gt;0")=0,INDEX($AM$4:$AW$4,MATCH(1,$AM566:$AW566,0)),"Multiple strategies"))</f>
        <v>Silviculture for removals</v>
      </c>
      <c r="BG566" s="178" t="s">
        <v>321</v>
      </c>
      <c r="BH566" s="264" t="s">
        <v>2144</v>
      </c>
      <c r="BI566" s="264" t="s">
        <v>701</v>
      </c>
      <c r="BJ566" s="160" t="s">
        <v>700</v>
      </c>
      <c r="BK566">
        <v>6.5</v>
      </c>
      <c r="BL566">
        <v>6.7</v>
      </c>
      <c r="BN566">
        <f>BL566-BK566</f>
        <v>0.20000000000000018</v>
      </c>
      <c r="BO566">
        <f>BN566</f>
        <v>0.20000000000000018</v>
      </c>
      <c r="BP566" s="155" t="s">
        <v>395</v>
      </c>
      <c r="BQ566" s="335" t="s">
        <v>786</v>
      </c>
      <c r="BR566" s="270" t="s">
        <v>2145</v>
      </c>
      <c r="BS566">
        <f>-2.6/80</f>
        <v>-3.2500000000000001E-2</v>
      </c>
      <c r="BT566">
        <f>-3.2/80</f>
        <v>-0.04</v>
      </c>
      <c r="BU566" s="144"/>
      <c r="BV566">
        <f>BT566-BS566</f>
        <v>-7.4999999999999997E-3</v>
      </c>
      <c r="BX566">
        <f>BV566</f>
        <v>-7.4999999999999997E-3</v>
      </c>
      <c r="BY566">
        <f>IFERROR(BX566/BO566,"")</f>
        <v>-3.7499999999999964E-2</v>
      </c>
      <c r="BZ566">
        <v>0</v>
      </c>
      <c r="CA566">
        <v>0</v>
      </c>
      <c r="CB566">
        <v>0</v>
      </c>
      <c r="CC566">
        <v>0</v>
      </c>
      <c r="CD566">
        <v>0</v>
      </c>
      <c r="CE566">
        <v>0</v>
      </c>
      <c r="CF566">
        <v>0</v>
      </c>
      <c r="CG566">
        <v>0</v>
      </c>
      <c r="CH566">
        <v>0</v>
      </c>
      <c r="CI566">
        <v>0</v>
      </c>
      <c r="CJ566">
        <v>0</v>
      </c>
      <c r="CK566">
        <v>0</v>
      </c>
      <c r="CL566">
        <v>0</v>
      </c>
      <c r="CM566">
        <v>0</v>
      </c>
      <c r="CN566" t="str">
        <f>IF($BL566&lt;$BK566,"refNeedCorrection","refOK")</f>
        <v>refOK</v>
      </c>
      <c r="CO566">
        <f>IF($CN566="refOK",$BK566,$BL566)</f>
        <v>6.5</v>
      </c>
      <c r="CP566">
        <f>IF($CN566="refOK",$BL566,$BK566)</f>
        <v>6.7</v>
      </c>
      <c r="CQ566">
        <f>IF($CN566="refOK",$BO566,-$BO566)</f>
        <v>0.20000000000000018</v>
      </c>
      <c r="CR566">
        <f>IF($CN566="refOK",$BS566,$BT566)*IF($BP566="Emissions positive",-1,1)</f>
        <v>3.2500000000000001E-2</v>
      </c>
      <c r="CS566">
        <f>IF($CN566="refOK",$BT566,$BS566)*IF($BP566="Emissions positive",-1,1)</f>
        <v>0.04</v>
      </c>
      <c r="CT566">
        <f>IF($CN566="refNeedCorrection",-BX566,BX566)*IF($BP566="Emissions positive",-1,1)</f>
        <v>7.4999999999999997E-3</v>
      </c>
      <c r="CU566">
        <f>IFERROR(CT566/CQ566,"")</f>
        <v>3.7499999999999964E-2</v>
      </c>
      <c r="CV566" s="2">
        <f>IFERROR((CS566-CR566)/ABS(CR566),"")</f>
        <v>0.23076923076923075</v>
      </c>
      <c r="CW566" s="1" t="s">
        <v>1199</v>
      </c>
      <c r="CX566" s="264" t="str">
        <f>IF(OR($CW566="prd",$CW566="std",$CW566="cit"),"loc",IF(OR($CW566="eur",$CW566="reg",$CW566="coy"),"reg",$CW566))</f>
        <v>reg</v>
      </c>
      <c r="CY566" t="s">
        <v>235</v>
      </c>
      <c r="DB566">
        <v>80</v>
      </c>
      <c r="DC566" t="str">
        <f>IF(DB566=0,"0",IF(AND(DB566&gt;=1,DB566&lt;=30),"1-30",IF(AND(DB566&gt;30,DB566&lt;=70),"31-70",IF(AND(DB566&gt;70,DB566&lt;=100),"71-100",IF(DB566&gt;100,"+100")))))</f>
        <v>71-100</v>
      </c>
      <c r="DD566">
        <v>0</v>
      </c>
      <c r="DE566">
        <v>1</v>
      </c>
      <c r="DF566">
        <v>1</v>
      </c>
      <c r="DG566">
        <v>1</v>
      </c>
      <c r="DI566">
        <f>SUM(DD566:DG566)</f>
        <v>3</v>
      </c>
      <c r="DJ566" t="str">
        <f>IF(DI566=1,INDEX($DD$7:$DG$7,MATCH(1,$DD566:$DG566,0)),"mixedProduct")</f>
        <v>mixedProduct</v>
      </c>
      <c r="DK566">
        <f>IF(DD566=1,DK$7,0)</f>
        <v>0</v>
      </c>
      <c r="DL566" t="str">
        <f>IF(DE566=1,DL$7,0)</f>
        <v>Energy</v>
      </c>
      <c r="DM566" t="str">
        <f>IF(DF566=1,DM$7,0)</f>
        <v>Pulp/Paper</v>
      </c>
      <c r="DN566" t="str">
        <f>IF(DG566=1,DN$7,0)</f>
        <v>Timber</v>
      </c>
      <c r="DO566">
        <v>0</v>
      </c>
      <c r="DP566">
        <v>1</v>
      </c>
      <c r="DQ566" t="s">
        <v>2146</v>
      </c>
      <c r="DR566">
        <v>0</v>
      </c>
      <c r="DS566">
        <v>0</v>
      </c>
      <c r="DT566">
        <f>SUM(DO566:DP566)</f>
        <v>1</v>
      </c>
      <c r="DU566" s="143" t="str">
        <f>IF(DO566=1,"self-calculated DF",IF(DP566=1,"external DF used","explicit C balance"))</f>
        <v>external DF used</v>
      </c>
      <c r="DV566">
        <v>1</v>
      </c>
      <c r="DW566">
        <v>1</v>
      </c>
      <c r="DX566">
        <v>1</v>
      </c>
      <c r="DY566">
        <v>0</v>
      </c>
      <c r="DZ566">
        <v>0</v>
      </c>
      <c r="EA566" s="143">
        <v>0</v>
      </c>
      <c r="EB566">
        <v>1</v>
      </c>
      <c r="EC566">
        <v>1</v>
      </c>
      <c r="ED566">
        <v>0</v>
      </c>
      <c r="EE566">
        <v>0</v>
      </c>
      <c r="EF566">
        <v>1</v>
      </c>
      <c r="EG566">
        <v>0</v>
      </c>
      <c r="EH566">
        <v>0</v>
      </c>
      <c r="EI566" s="2">
        <v>0</v>
      </c>
      <c r="EK566" t="str">
        <f>IF(AND(AND(AND(OR($DX566=1,$DW566=1),OR($EC566=1,$EA566=1)),SUM($DV566:$DZ566,$EF566)&gt;=4),SUM($EA566:$EE566)&gt;=2),"Whole sector","")</f>
        <v>Whole sector</v>
      </c>
      <c r="EL566" t="str">
        <f>IF(AND(AND(OR($DX566=1,$DW566=1),AND($EC566=0,$EA566=0)),SUM($DV566:$DZ566,$EF566)&gt;=4),"Ecosystem approach","")</f>
        <v/>
      </c>
      <c r="EM566" s="2" t="str">
        <f>IF(AND(AND(AND($DX566=0,$DW566=0),OR($EC566=1,$EA566=1)),SUM($EB566:$EE566)&gt;=2),"Technology approach","")</f>
        <v/>
      </c>
      <c r="EP566" t="str">
        <f>IF(ISNUMBER(BU566),IF(ABS(BU566-[3]QC_indicators!$B$2)&gt;3*[3]QC_indicators!$C$2,"C ratio",IF(ISNUMBER(BY566),IF(ABS(BY566-[3]QC_indicators!$B$1)&gt;3*[3]QC_indicators!$C$1,"DF","no"))),IF(ISNUMBER(BY566),IF(ABS(BY566-[3]QC_indicators!$B$1)&gt;3*[3]QC_indicators!$C$1,"DF","no")))</f>
        <v>no</v>
      </c>
      <c r="ET566" s="264" t="s">
        <v>3407</v>
      </c>
    </row>
    <row r="567" spans="1:150" ht="15" customHeight="1">
      <c r="A567" s="1" t="s">
        <v>1360</v>
      </c>
      <c r="B567" t="s">
        <v>2135</v>
      </c>
      <c r="C567" t="s">
        <v>2136</v>
      </c>
      <c r="D567" t="s">
        <v>2137</v>
      </c>
      <c r="E567" t="s">
        <v>2138</v>
      </c>
      <c r="F567" t="s">
        <v>2139</v>
      </c>
      <c r="G567" t="s">
        <v>1366</v>
      </c>
      <c r="H567" t="s">
        <v>254</v>
      </c>
      <c r="I567">
        <v>2012</v>
      </c>
      <c r="J567">
        <v>21</v>
      </c>
      <c r="K567" t="s">
        <v>2140</v>
      </c>
      <c r="L567" s="192"/>
      <c r="M567" t="str">
        <f>LEFT($D567,FIND(",",$D567)-1)&amp;"_"&amp;I567&amp;L567</f>
        <v>Pyorala_2012</v>
      </c>
      <c r="N567" t="s">
        <v>222</v>
      </c>
      <c r="O567" s="145" t="s">
        <v>341</v>
      </c>
      <c r="P567" s="180" t="s">
        <v>223</v>
      </c>
      <c r="Q567" s="264" t="s">
        <v>256</v>
      </c>
      <c r="R567" s="269" t="s">
        <v>1154</v>
      </c>
      <c r="S567" s="263" t="s">
        <v>2149</v>
      </c>
      <c r="T567" s="264" t="s">
        <v>2143</v>
      </c>
      <c r="U567" s="264" t="s">
        <v>2142</v>
      </c>
      <c r="V567">
        <v>0</v>
      </c>
      <c r="W567">
        <v>0</v>
      </c>
      <c r="X567">
        <v>0</v>
      </c>
      <c r="Y567">
        <v>1</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s="141">
        <f>COUNTIF(V567:AW567,"&lt;&gt;0")</f>
        <v>1</v>
      </c>
      <c r="AY567" s="141">
        <f>COUNTIF(V567:AL567,"&lt;&gt;0")</f>
        <v>1</v>
      </c>
      <c r="AZ567">
        <f>COUNTIF(V567:AC567,"&lt;&gt;0")</f>
        <v>1</v>
      </c>
      <c r="BA567">
        <f>COUNTIF(AD567:AI567,"&lt;&gt;0")</f>
        <v>0</v>
      </c>
      <c r="BB567">
        <f>COUNTIF(AJ567:AL567,"&lt;&gt;0")</f>
        <v>0</v>
      </c>
      <c r="BC567">
        <f>COUNTIF(AS567:AW567,"&lt;&gt;0")</f>
        <v>0</v>
      </c>
      <c r="BD567">
        <f>COUNTIF(AM567:AR567,"&lt;&gt;0")</f>
        <v>0</v>
      </c>
      <c r="BE567" t="str" cm="1">
        <f t="array" ref="BE567">IF(AY567=1,INDEX($V$7:$AL$7,MATCH(TRUE,INDEX($V567:$AW567&lt;&gt;0,),0)),IF(AY567=0,INDEX($AM$7:$AW$7,MATCH(1,$AM567:$AW567,0)),IF(BF567="Multiple strategies","mixed drivers",IF(BF567="Supply chain","multiple supply","multiple silviculture"))))</f>
        <v xml:space="preserve">cutting intensity </v>
      </c>
      <c r="BF567" s="2" t="str" cm="1">
        <f t="array" ref="BF567">IF(COUNTIF(AZ567:BB567,"&lt;&gt;0")=1,INDEX($V$4:$AW$4,MATCH(TRUE,INDEX($V567:$AW567&lt;&gt;0,),0)),IF(COUNTIF(AZ567:BB567,"&lt;&gt;0")=0,INDEX($AM$4:$AW$4,MATCH(1,$AM567:$AW567,0)),"Multiple strategies"))</f>
        <v>Silviculture for removals</v>
      </c>
      <c r="BG567" s="178" t="s">
        <v>321</v>
      </c>
      <c r="BH567" s="264" t="s">
        <v>2144</v>
      </c>
      <c r="BI567" s="264" t="s">
        <v>426</v>
      </c>
      <c r="BJ567" s="160" t="s">
        <v>700</v>
      </c>
      <c r="BK567">
        <v>7.8</v>
      </c>
      <c r="BL567">
        <v>8.6999999999999993</v>
      </c>
      <c r="BN567">
        <f>BL567-BK567</f>
        <v>0.89999999999999947</v>
      </c>
      <c r="BO567">
        <f>BN567</f>
        <v>0.89999999999999947</v>
      </c>
      <c r="BP567" s="155" t="s">
        <v>395</v>
      </c>
      <c r="BQ567" s="264" t="s">
        <v>786</v>
      </c>
      <c r="BR567" s="270" t="s">
        <v>2145</v>
      </c>
      <c r="BS567">
        <f>-3.5/50</f>
        <v>-7.0000000000000007E-2</v>
      </c>
      <c r="BT567">
        <f>-5.2/50</f>
        <v>-0.10400000000000001</v>
      </c>
      <c r="BU567" s="144"/>
      <c r="BV567">
        <f>BT567-BS567</f>
        <v>-3.4000000000000002E-2</v>
      </c>
      <c r="BX567">
        <f>BV567</f>
        <v>-3.4000000000000002E-2</v>
      </c>
      <c r="BY567">
        <f>IFERROR(BX567/BO567,"")</f>
        <v>-3.7777777777777806E-2</v>
      </c>
      <c r="BZ567">
        <v>0</v>
      </c>
      <c r="CA567">
        <v>0</v>
      </c>
      <c r="CB567">
        <v>0</v>
      </c>
      <c r="CC567">
        <v>0</v>
      </c>
      <c r="CD567">
        <v>0</v>
      </c>
      <c r="CE567">
        <v>0</v>
      </c>
      <c r="CF567">
        <v>0</v>
      </c>
      <c r="CG567">
        <v>0</v>
      </c>
      <c r="CH567">
        <v>0</v>
      </c>
      <c r="CI567">
        <v>0</v>
      </c>
      <c r="CJ567">
        <v>0</v>
      </c>
      <c r="CK567">
        <v>0</v>
      </c>
      <c r="CL567">
        <v>0</v>
      </c>
      <c r="CM567">
        <v>0</v>
      </c>
      <c r="CN567" t="str">
        <f>IF($BL567&lt;$BK567,"refNeedCorrection","refOK")</f>
        <v>refOK</v>
      </c>
      <c r="CO567">
        <f>IF($CN567="refOK",$BK567,$BL567)</f>
        <v>7.8</v>
      </c>
      <c r="CP567">
        <f>IF($CN567="refOK",$BL567,$BK567)</f>
        <v>8.6999999999999993</v>
      </c>
      <c r="CQ567">
        <f>IF($CN567="refOK",$BO567,-$BO567)</f>
        <v>0.89999999999999947</v>
      </c>
      <c r="CR567">
        <f>IF($CN567="refOK",$BS567,$BT567)*IF($BP567="Emissions positive",-1,1)</f>
        <v>7.0000000000000007E-2</v>
      </c>
      <c r="CS567">
        <f>IF($CN567="refOK",$BT567,$BS567)*IF($BP567="Emissions positive",-1,1)</f>
        <v>0.10400000000000001</v>
      </c>
      <c r="CT567">
        <f>IF($CN567="refNeedCorrection",-BX567,BX567)*IF($BP567="Emissions positive",-1,1)</f>
        <v>3.4000000000000002E-2</v>
      </c>
      <c r="CU567">
        <f>IFERROR(CT567/CQ567,"")</f>
        <v>3.7777777777777806E-2</v>
      </c>
      <c r="CV567" s="2">
        <f>IFERROR((CS567-CR567)/ABS(CR567),"")</f>
        <v>0.48571428571428571</v>
      </c>
      <c r="CW567" s="1" t="s">
        <v>1199</v>
      </c>
      <c r="CX567" s="264" t="str">
        <f>IF(OR($CW567="prd",$CW567="std",$CW567="cit"),"loc",IF(OR($CW567="eur",$CW567="reg",$CW567="coy"),"reg",$CW567))</f>
        <v>reg</v>
      </c>
      <c r="CY567" t="s">
        <v>235</v>
      </c>
      <c r="DB567">
        <v>50</v>
      </c>
      <c r="DC567" t="str">
        <f>IF(DB567=0,"0",IF(AND(DB567&gt;=1,DB567&lt;=30),"1-30",IF(AND(DB567&gt;30,DB567&lt;=70),"31-70",IF(AND(DB567&gt;70,DB567&lt;=100),"71-100",IF(DB567&gt;100,"+100")))))</f>
        <v>31-70</v>
      </c>
      <c r="DD567">
        <v>0</v>
      </c>
      <c r="DE567">
        <v>1</v>
      </c>
      <c r="DF567">
        <v>1</v>
      </c>
      <c r="DG567">
        <v>1</v>
      </c>
      <c r="DI567">
        <f>SUM(DD567:DG567)</f>
        <v>3</v>
      </c>
      <c r="DJ567" t="str">
        <f>IF(DI567=1,INDEX($DD$7:$DG$7,MATCH(1,$DD567:$DG567,0)),"mixedProduct")</f>
        <v>mixedProduct</v>
      </c>
      <c r="DK567">
        <f>IF(DD567=1,DK$7,0)</f>
        <v>0</v>
      </c>
      <c r="DL567" t="str">
        <f>IF(DE567=1,DL$7,0)</f>
        <v>Energy</v>
      </c>
      <c r="DM567" t="str">
        <f>IF(DF567=1,DM$7,0)</f>
        <v>Pulp/Paper</v>
      </c>
      <c r="DN567" t="str">
        <f>IF(DG567=1,DN$7,0)</f>
        <v>Timber</v>
      </c>
      <c r="DO567">
        <v>0</v>
      </c>
      <c r="DP567">
        <v>1</v>
      </c>
      <c r="DQ567" t="s">
        <v>2146</v>
      </c>
      <c r="DR567">
        <v>0</v>
      </c>
      <c r="DS567">
        <v>0</v>
      </c>
      <c r="DT567">
        <f>SUM(DO567:DP567)</f>
        <v>1</v>
      </c>
      <c r="DU567" s="143" t="str">
        <f>IF(DO567=1,"self-calculated DF",IF(DP567=1,"external DF used","explicit C balance"))</f>
        <v>external DF used</v>
      </c>
      <c r="DV567">
        <v>1</v>
      </c>
      <c r="DW567">
        <v>1</v>
      </c>
      <c r="DX567">
        <v>1</v>
      </c>
      <c r="DY567">
        <v>0</v>
      </c>
      <c r="DZ567">
        <v>0</v>
      </c>
      <c r="EA567" s="143">
        <v>0</v>
      </c>
      <c r="EB567">
        <v>1</v>
      </c>
      <c r="EC567">
        <v>1</v>
      </c>
      <c r="ED567">
        <v>0</v>
      </c>
      <c r="EE567">
        <v>0</v>
      </c>
      <c r="EF567">
        <v>1</v>
      </c>
      <c r="EG567">
        <v>0</v>
      </c>
      <c r="EH567">
        <v>0</v>
      </c>
      <c r="EI567" s="2">
        <v>0</v>
      </c>
      <c r="EK567" t="str">
        <f>IF(AND(AND(AND(OR($DX567=1,$DW567=1),OR($EC567=1,$EA567=1)),SUM($DV567:$DZ567,$EF567)&gt;=4),SUM($EA567:$EE567)&gt;=2),"Whole sector","")</f>
        <v>Whole sector</v>
      </c>
      <c r="EL567" t="str">
        <f>IF(AND(AND(OR($DX567=1,$DW567=1),AND($EC567=0,$EA567=0)),SUM($DV567:$DZ567,$EF567)&gt;=4),"Ecosystem approach","")</f>
        <v/>
      </c>
      <c r="EM567" s="2" t="str">
        <f>IF(AND(AND(AND($DX567=0,$DW567=0),OR($EC567=1,$EA567=1)),SUM($EB567:$EE567)&gt;=2),"Technology approach","")</f>
        <v/>
      </c>
      <c r="EP567" t="str">
        <f>IF(ISNUMBER(BU567),IF(ABS(BU567-[3]QC_indicators!$B$2)&gt;3*[3]QC_indicators!$C$2,"C ratio",IF(ISNUMBER(BY567),IF(ABS(BY567-[3]QC_indicators!$B$1)&gt;3*[3]QC_indicators!$C$1,"DF","no"))),IF(ISNUMBER(BY567),IF(ABS(BY567-[3]QC_indicators!$B$1)&gt;3*[3]QC_indicators!$C$1,"DF","no")))</f>
        <v>no</v>
      </c>
      <c r="ET567" s="264" t="s">
        <v>3407</v>
      </c>
    </row>
    <row r="568" spans="1:150" ht="15" customHeight="1">
      <c r="A568" s="1" t="s">
        <v>430</v>
      </c>
      <c r="B568" t="s">
        <v>431</v>
      </c>
      <c r="C568" t="s">
        <v>432</v>
      </c>
      <c r="D568" t="s">
        <v>433</v>
      </c>
      <c r="E568" t="s">
        <v>434</v>
      </c>
      <c r="F568" t="s">
        <v>435</v>
      </c>
      <c r="G568" t="s">
        <v>436</v>
      </c>
      <c r="H568" t="s">
        <v>254</v>
      </c>
      <c r="I568">
        <v>2000</v>
      </c>
      <c r="J568">
        <v>174</v>
      </c>
      <c r="K568" t="s">
        <v>437</v>
      </c>
      <c r="M568" t="str">
        <f>LEFT($D568,FIND(",",$D568)-1)&amp;"_"&amp;I568&amp;L568</f>
        <v>Borjesson_2000</v>
      </c>
      <c r="N568" t="s">
        <v>222</v>
      </c>
      <c r="O568" s="145" t="s">
        <v>223</v>
      </c>
      <c r="Q568" t="s">
        <v>256</v>
      </c>
      <c r="R568" s="255" t="s">
        <v>225</v>
      </c>
      <c r="S568" s="1" t="s">
        <v>438</v>
      </c>
      <c r="T568" t="s">
        <v>439</v>
      </c>
      <c r="U568" t="s">
        <v>440</v>
      </c>
      <c r="V568">
        <v>0</v>
      </c>
      <c r="W568">
        <v>0</v>
      </c>
      <c r="X568">
        <v>0</v>
      </c>
      <c r="Y568">
        <v>0</v>
      </c>
      <c r="Z568">
        <v>0</v>
      </c>
      <c r="AA568">
        <v>0</v>
      </c>
      <c r="AB568">
        <v>0</v>
      </c>
      <c r="AC568">
        <v>0</v>
      </c>
      <c r="AD568">
        <v>0</v>
      </c>
      <c r="AE568">
        <v>0</v>
      </c>
      <c r="AF568">
        <v>0</v>
      </c>
      <c r="AG568">
        <v>0</v>
      </c>
      <c r="AH568">
        <v>0</v>
      </c>
      <c r="AI568">
        <v>0</v>
      </c>
      <c r="AJ568">
        <v>0</v>
      </c>
      <c r="AK568">
        <v>1</v>
      </c>
      <c r="AL568">
        <v>0</v>
      </c>
      <c r="AM568">
        <v>0</v>
      </c>
      <c r="AN568">
        <v>0</v>
      </c>
      <c r="AO568">
        <v>0</v>
      </c>
      <c r="AP568">
        <v>0</v>
      </c>
      <c r="AQ568">
        <v>0</v>
      </c>
      <c r="AR568">
        <v>0</v>
      </c>
      <c r="AS568">
        <v>0</v>
      </c>
      <c r="AT568">
        <v>0</v>
      </c>
      <c r="AU568">
        <v>0</v>
      </c>
      <c r="AV568">
        <v>0</v>
      </c>
      <c r="AW568">
        <v>0</v>
      </c>
      <c r="AX568" s="141">
        <f>COUNTIF(V568:AW568,"&lt;&gt;0")</f>
        <v>1</v>
      </c>
      <c r="AY568" s="141">
        <f>COUNTIF(V568:AL568,"&lt;&gt;0")</f>
        <v>1</v>
      </c>
      <c r="AZ568">
        <f>COUNTIF(V568:AC568,"&lt;&gt;0")</f>
        <v>0</v>
      </c>
      <c r="BA568">
        <f>COUNTIF(AD568:AI568,"&lt;&gt;0")</f>
        <v>0</v>
      </c>
      <c r="BB568">
        <f>COUNTIF(AJ568:AL568,"&lt;&gt;0")</f>
        <v>1</v>
      </c>
      <c r="BC568">
        <f>COUNTIF(AS568:AW568,"&lt;&gt;0")</f>
        <v>0</v>
      </c>
      <c r="BD568">
        <f>COUNTIF(AM568:AR568,"&lt;&gt;0")</f>
        <v>0</v>
      </c>
      <c r="BE568" t="str">
        <f t="array" ref="BE568">IF(AY568=1,INDEX($V$7:$AL$7,MATCH(TRUE,INDEX($V568:$AW568&lt;&gt;0,),0)),IF(AY568=0,INDEX($AM$7:$AW$7,MATCH(1,$AM568:$AW568,0)),IF(BF568="Multiple strategies","mixed drivers",IF(BF568="Supply chain","multiple supply","multiple silviculture"))))</f>
        <v>technologies/design switch</v>
      </c>
      <c r="BF568" s="2" t="str" cm="1">
        <f t="array" ref="BF568">IF(COUNTIF(AZ568:BB568,"&lt;&gt;0")=1,INDEX($V$4:$AW$4,MATCH(TRUE,INDEX($V568:$AW568&lt;&gt;0,),0)),IF(COUNTIF(AZ568:BB568,"&lt;&gt;0")=0,INDEX($AM$4:$AW$4,MATCH(1,$AM568:$AW568,0)),"Multiple strategies"))</f>
        <v>Technology</v>
      </c>
      <c r="BG568" s="142" t="s">
        <v>229</v>
      </c>
      <c r="BH568" t="s">
        <v>441</v>
      </c>
      <c r="BI568" s="264" t="s">
        <v>3274</v>
      </c>
      <c r="BJ568" s="143" t="s">
        <v>442</v>
      </c>
      <c r="BK568">
        <v>0</v>
      </c>
      <c r="BL568">
        <f>3*44</f>
        <v>132</v>
      </c>
      <c r="BM568" s="143" t="e">
        <f>BL568/BK568</f>
        <v>#DIV/0!</v>
      </c>
      <c r="BN568">
        <f>BL568-BK568</f>
        <v>132</v>
      </c>
      <c r="BO568">
        <f>BN568*tC_to_m3</f>
        <v>573.16543638732094</v>
      </c>
      <c r="BP568" t="s">
        <v>232</v>
      </c>
      <c r="BQ568" s="260" t="s">
        <v>813</v>
      </c>
      <c r="BR568" t="s">
        <v>443</v>
      </c>
      <c r="BS568" s="141">
        <v>25</v>
      </c>
      <c r="BT568" s="141">
        <v>31</v>
      </c>
      <c r="BU568" s="144">
        <f>IFERROR(BT568/BS568,"")</f>
        <v>1.24</v>
      </c>
      <c r="BV568">
        <f>BT568-BS568</f>
        <v>6</v>
      </c>
      <c r="BX568">
        <f>BV568*C_to_CO2</f>
        <v>22.02</v>
      </c>
      <c r="BY568">
        <f>IFERROR(BX568/BO568,"")</f>
        <v>3.8418227272727271E-2</v>
      </c>
      <c r="BZ568" s="143">
        <v>0</v>
      </c>
      <c r="CA568" s="143">
        <v>0</v>
      </c>
      <c r="CB568" s="143">
        <v>0</v>
      </c>
      <c r="CC568" s="143">
        <v>0</v>
      </c>
      <c r="CD568" s="143">
        <v>0</v>
      </c>
      <c r="CE568" s="143">
        <v>0</v>
      </c>
      <c r="CF568" s="143">
        <v>0</v>
      </c>
      <c r="CG568" s="143">
        <v>0</v>
      </c>
      <c r="CH568" s="143">
        <v>0</v>
      </c>
      <c r="CI568" s="143">
        <v>0</v>
      </c>
      <c r="CJ568" s="143">
        <v>0</v>
      </c>
      <c r="CK568" s="143">
        <v>0</v>
      </c>
      <c r="CL568" s="143">
        <v>0</v>
      </c>
      <c r="CM568">
        <v>0</v>
      </c>
      <c r="CN568" t="str">
        <f>IF($BL568&lt;$BK568,"refNeedCorrection","refOK")</f>
        <v>refOK</v>
      </c>
      <c r="CO568">
        <f>IF($CN568="refOK",$BK568,$BL568)</f>
        <v>0</v>
      </c>
      <c r="CP568">
        <f>IF($CN568="refOK",$BL568,$BK568)</f>
        <v>132</v>
      </c>
      <c r="CQ568">
        <f>IF($CN568="refOK",$BO568,-$BO568)</f>
        <v>573.16543638732094</v>
      </c>
      <c r="CR568">
        <f>IF($CN568="refOK",$BS568,$BT568)*IF($BP568="Emissions positive",-1,1)</f>
        <v>25</v>
      </c>
      <c r="CS568">
        <f>IF($CN568="refOK",$BT568,$BS568)*IF($BP568="Emissions positive",-1,1)</f>
        <v>31</v>
      </c>
      <c r="CT568">
        <f>IF($CN568="refNeedCorrection",-BX568,BX568)*IF($BP568="Emissions positive",-1,1)</f>
        <v>22.02</v>
      </c>
      <c r="CU568">
        <f>IFERROR(CT568/CQ568,"")</f>
        <v>3.8418227272727271E-2</v>
      </c>
      <c r="CV568" s="2">
        <f>IFERROR((CS568-CR568)/ABS(CR568),"")</f>
        <v>0.24</v>
      </c>
      <c r="CW568" s="1" t="s">
        <v>263</v>
      </c>
      <c r="CX568" t="str">
        <f>IF(OR($CW568="prd",$CW568="std",$CW568="cit"),"loc",IF(OR($CW568="eur",$CW568="reg",$CW568="coy"),"reg",$CW568))</f>
        <v>loc</v>
      </c>
      <c r="CY568" t="s">
        <v>444</v>
      </c>
      <c r="DB568">
        <v>300</v>
      </c>
      <c r="DC568" t="str">
        <f>IF(DB568=0,"0",IF(AND(DB568&gt;=1,DB568&lt;=30),"1-30",IF(AND(DB568&gt;30,DB568&lt;=70),"31-70",IF(AND(DB568&gt;70,DB568&lt;=100),"71-100",IF(DB568&gt;100,"+100")))))</f>
        <v>+100</v>
      </c>
      <c r="DD568">
        <v>0</v>
      </c>
      <c r="DE568">
        <v>0</v>
      </c>
      <c r="DF568">
        <v>0</v>
      </c>
      <c r="DG568">
        <v>1</v>
      </c>
      <c r="DI568">
        <f>SUM(DD568:DG568)</f>
        <v>1</v>
      </c>
      <c r="DJ568" t="str">
        <f>IF(DI568=1,INDEX($DD$7:$DG$7,MATCH(1,$DD568:$DG568,0)),"mixedProduct")</f>
        <v>TimberInput</v>
      </c>
      <c r="DK568">
        <f>IF(DD568=1,DK$7,0)</f>
        <v>0</v>
      </c>
      <c r="DL568">
        <f>IF(DE568=1,DL$7,0)</f>
        <v>0</v>
      </c>
      <c r="DM568">
        <f>IF(DF568=1,DM$7,0)</f>
        <v>0</v>
      </c>
      <c r="DN568" t="str">
        <f>IF(DG568=1,DN$7,0)</f>
        <v>Timber</v>
      </c>
      <c r="DO568">
        <v>1</v>
      </c>
      <c r="DP568" s="143">
        <v>0</v>
      </c>
      <c r="DQ568" s="143">
        <v>0</v>
      </c>
      <c r="DR568" s="143">
        <v>0</v>
      </c>
      <c r="DS568">
        <v>0</v>
      </c>
      <c r="DT568">
        <f>SUM(DO568:DP568)</f>
        <v>1</v>
      </c>
      <c r="DU568" s="143" t="str">
        <f>IF(DO568=1,"self-calculated DF",IF(DP568=1,"external DF used","explicit C balance"))</f>
        <v>self-calculated DF</v>
      </c>
      <c r="DV568">
        <v>0</v>
      </c>
      <c r="DW568" s="143">
        <v>0</v>
      </c>
      <c r="DX568" s="143">
        <v>1</v>
      </c>
      <c r="DY568" s="143">
        <v>1</v>
      </c>
      <c r="DZ568">
        <v>1</v>
      </c>
      <c r="EA568" s="143">
        <v>1</v>
      </c>
      <c r="EB568">
        <v>0</v>
      </c>
      <c r="EC568" s="143">
        <v>1</v>
      </c>
      <c r="ED568" s="143">
        <v>0</v>
      </c>
      <c r="EE568">
        <v>0</v>
      </c>
      <c r="EF568">
        <v>0</v>
      </c>
      <c r="EG568" s="143">
        <v>0</v>
      </c>
      <c r="EH568" s="143">
        <v>0</v>
      </c>
      <c r="EI568" s="2">
        <v>0</v>
      </c>
      <c r="EK568" t="str">
        <f>IF(AND(AND(AND(OR($DX568=1,$DW568=1),OR($EC568=1,$EA568=1)),SUM($DV568:$DZ568,$EF568)&gt;=4),SUM($EA568:$EE568)&gt;=2),"Whole sector","")</f>
        <v/>
      </c>
      <c r="EL568" t="str">
        <f>IF(AND(AND(OR($DX568=1,$DW568=1),AND($EC568=0,$EA568=0)),SUM($DV568:$DZ568,$EF568)&gt;=4),"Ecosystem approach","")</f>
        <v/>
      </c>
      <c r="EM568" s="2" t="str">
        <f>IF(AND(AND(AND($DX568=0,$DW568=0),OR($EC568=1,$EA568=1)),SUM($EB568:$EE568)&gt;=2),"Technology approach","")</f>
        <v/>
      </c>
      <c r="EN568" t="s">
        <v>445</v>
      </c>
      <c r="EP568" t="str">
        <f>IF(ISNUMBER(BU568),IF(ABS(BU568-[4]QC_indicators!$B$2)&gt;3*[4]QC_indicators!$C$2,"C ratio",IF(ISNUMBER(BY568),IF(ABS(BY568-[4]QC_indicators!$B$1)&gt;3*[4]QC_indicators!$C$1,"DF","no"))),IF(ISNUMBER(BY568),IF(ABS(BY568-[4]QC_indicators!$B$1)&gt;3*[4]QC_indicators!$C$1,"DF","no")))</f>
        <v>no</v>
      </c>
      <c r="ET568" s="264" t="s">
        <v>3273</v>
      </c>
    </row>
    <row r="569" spans="1:150" ht="15" customHeight="1">
      <c r="A569" s="1" t="s">
        <v>505</v>
      </c>
      <c r="B569" t="s">
        <v>506</v>
      </c>
      <c r="C569" t="s">
        <v>507</v>
      </c>
      <c r="D569" t="s">
        <v>508</v>
      </c>
      <c r="E569" t="s">
        <v>509</v>
      </c>
      <c r="F569" t="s">
        <v>510</v>
      </c>
      <c r="G569" t="s">
        <v>511</v>
      </c>
      <c r="H569" t="s">
        <v>254</v>
      </c>
      <c r="I569">
        <v>2021</v>
      </c>
      <c r="J569">
        <v>7</v>
      </c>
      <c r="K569" t="s">
        <v>512</v>
      </c>
      <c r="M569" t="str">
        <f>LEFT($D569,FIND(",",$D569)-1)&amp;"_"&amp;I569&amp;L569</f>
        <v>Caldas_2021</v>
      </c>
      <c r="N569" t="s">
        <v>222</v>
      </c>
      <c r="O569" s="145" t="s">
        <v>223</v>
      </c>
      <c r="P569" t="s">
        <v>513</v>
      </c>
      <c r="Q569" s="264" t="s">
        <v>256</v>
      </c>
      <c r="R569" s="269" t="s">
        <v>1154</v>
      </c>
      <c r="S569" s="1" t="s">
        <v>517</v>
      </c>
      <c r="T569" t="s">
        <v>526</v>
      </c>
      <c r="U569" t="s">
        <v>527</v>
      </c>
      <c r="V569">
        <v>0</v>
      </c>
      <c r="W569">
        <v>0</v>
      </c>
      <c r="X569">
        <v>0</v>
      </c>
      <c r="Y569">
        <v>0</v>
      </c>
      <c r="Z569">
        <v>0</v>
      </c>
      <c r="AA569">
        <v>0</v>
      </c>
      <c r="AB569">
        <v>0</v>
      </c>
      <c r="AC569">
        <v>0</v>
      </c>
      <c r="AD569">
        <v>0</v>
      </c>
      <c r="AE569">
        <v>0</v>
      </c>
      <c r="AF569">
        <v>0</v>
      </c>
      <c r="AG569">
        <v>0</v>
      </c>
      <c r="AH569">
        <v>0</v>
      </c>
      <c r="AI569">
        <v>0</v>
      </c>
      <c r="AJ569">
        <v>0</v>
      </c>
      <c r="AK569">
        <v>1</v>
      </c>
      <c r="AL569">
        <v>0</v>
      </c>
      <c r="AM569">
        <v>0</v>
      </c>
      <c r="AN569">
        <v>0</v>
      </c>
      <c r="AO569">
        <v>0</v>
      </c>
      <c r="AP569">
        <v>0</v>
      </c>
      <c r="AQ569">
        <v>0</v>
      </c>
      <c r="AR569">
        <v>0</v>
      </c>
      <c r="AS569">
        <v>0</v>
      </c>
      <c r="AT569">
        <v>0</v>
      </c>
      <c r="AU569">
        <v>0</v>
      </c>
      <c r="AV569">
        <v>0</v>
      </c>
      <c r="AW569">
        <v>0</v>
      </c>
      <c r="AX569" s="141">
        <f>COUNTIF(V569:AW569,"&lt;&gt;0")</f>
        <v>1</v>
      </c>
      <c r="AY569" s="141">
        <f>COUNTIF(V569:AL569,"&lt;&gt;0")</f>
        <v>1</v>
      </c>
      <c r="AZ569">
        <f>COUNTIF(V569:AC569,"&lt;&gt;0")</f>
        <v>0</v>
      </c>
      <c r="BA569">
        <f>COUNTIF(AD569:AI569,"&lt;&gt;0")</f>
        <v>0</v>
      </c>
      <c r="BB569">
        <f>COUNTIF(AJ569:AL569,"&lt;&gt;0")</f>
        <v>1</v>
      </c>
      <c r="BC569">
        <f>COUNTIF(AS569:AW569,"&lt;&gt;0")</f>
        <v>0</v>
      </c>
      <c r="BD569">
        <f>COUNTIF(AM569:AR569,"&lt;&gt;0")</f>
        <v>0</v>
      </c>
      <c r="BE569" t="str" cm="1">
        <f t="array" ref="BE569">IF(AY569=1,INDEX($V$7:$AL$7,MATCH(TRUE,INDEX($V569:$AW569&lt;&gt;0,),0)),IF(AY569=0,INDEX($AM$7:$AW$7,MATCH(1,$AM569:$AW569,0)),IF(BF569="Multiple strategies","mixed drivers",IF(BF569="Supply chain","multiple supply","multiple silviculture"))))</f>
        <v>technologies/design switch</v>
      </c>
      <c r="BF569" s="2" t="str" cm="1">
        <f t="array" ref="BF569">IF(COUNTIF(AZ569:BB569,"&lt;&gt;0")=1,INDEX($V$4:$AW$4,MATCH(TRUE,INDEX($V569:$AW569&lt;&gt;0,),0)),IF(COUNTIF(AZ569:BB569,"&lt;&gt;0")=0,INDEX($AM$4:$AW$4,MATCH(1,$AM569:$AW569,0)),"Multiple strategies"))</f>
        <v>Technology</v>
      </c>
      <c r="BG569" s="1" t="s">
        <v>229</v>
      </c>
      <c r="BH569" t="s">
        <v>517</v>
      </c>
      <c r="BJ569" t="s">
        <v>518</v>
      </c>
      <c r="BK569">
        <v>140</v>
      </c>
      <c r="BL569">
        <v>247</v>
      </c>
      <c r="BN569">
        <f>BL569-BK569</f>
        <v>107</v>
      </c>
      <c r="BO569">
        <f>BN569*kg_to_m3</f>
        <v>0.21836734693877552</v>
      </c>
      <c r="BP569" s="264" t="s">
        <v>232</v>
      </c>
      <c r="BQ569" s="264"/>
      <c r="BR569" t="s">
        <v>519</v>
      </c>
      <c r="BS569">
        <v>-544.67353951890004</v>
      </c>
      <c r="BT569">
        <v>-536.08247422680404</v>
      </c>
      <c r="BU569" s="144">
        <v>0.98422712933753986</v>
      </c>
      <c r="BV569">
        <v>8.5910652920960047</v>
      </c>
      <c r="BX569">
        <f>BV569/1000</f>
        <v>8.5910652920960055E-3</v>
      </c>
      <c r="BY569">
        <f>IFERROR(BX569/BO569,"")</f>
        <v>3.9342261618009744E-2</v>
      </c>
      <c r="BZ569" s="143">
        <v>0</v>
      </c>
      <c r="CA569" s="143">
        <v>0</v>
      </c>
      <c r="CB569" s="143">
        <v>0</v>
      </c>
      <c r="CC569" s="143">
        <v>0</v>
      </c>
      <c r="CD569" s="143">
        <v>0</v>
      </c>
      <c r="CE569" s="143">
        <v>0</v>
      </c>
      <c r="CF569" s="143">
        <v>0</v>
      </c>
      <c r="CG569" s="143">
        <v>0</v>
      </c>
      <c r="CH569" s="143">
        <v>0</v>
      </c>
      <c r="CI569" s="143">
        <v>0</v>
      </c>
      <c r="CJ569" s="143">
        <v>0</v>
      </c>
      <c r="CK569" s="143">
        <v>0</v>
      </c>
      <c r="CL569" s="143">
        <v>0</v>
      </c>
      <c r="CM569">
        <v>0</v>
      </c>
      <c r="CN569" t="str">
        <f>IF($BL569&lt;$BK569,"refNeedCorrection","refOK")</f>
        <v>refOK</v>
      </c>
      <c r="CO569">
        <f>IF($CN569="refOK",$BK569,$BL569)</f>
        <v>140</v>
      </c>
      <c r="CP569">
        <f>IF($CN569="refOK",$BL569,$BK569)</f>
        <v>247</v>
      </c>
      <c r="CQ569">
        <f>IF($CN569="refOK",$BO569,-$BO569)</f>
        <v>0.21836734693877552</v>
      </c>
      <c r="CR569">
        <f>IF($CN569="refOK",$BS569,$BT569)*IF($BP569="Emissions positive",-1,1)</f>
        <v>-544.67353951890004</v>
      </c>
      <c r="CS569">
        <f>IF($CN569="refOK",$BT569,$BS569)*IF($BP569="Emissions positive",-1,1)</f>
        <v>-536.08247422680404</v>
      </c>
      <c r="CT569">
        <f>IF($CN569="refNeedCorrection",-BX569,BX569)*IF($BP569="Emissions positive",-1,1)</f>
        <v>8.5910652920960055E-3</v>
      </c>
      <c r="CU569">
        <f>IFERROR(CT569/CQ569,"")</f>
        <v>3.9342261618009744E-2</v>
      </c>
      <c r="CV569" s="2">
        <f>IFERROR((CS569-CR569)/ABS(CR569),"")</f>
        <v>1.5772870662460182E-2</v>
      </c>
      <c r="CW569" s="1" t="s">
        <v>263</v>
      </c>
      <c r="CX569" s="264" t="str">
        <f>IF(OR($CW569="prd",$CW569="std",$CW569="cit"),"loc",IF(OR($CW569="eur",$CW569="reg",$CW569="coy"),"reg",$CW569))</f>
        <v>loc</v>
      </c>
      <c r="CY569" t="s">
        <v>520</v>
      </c>
      <c r="CZ569">
        <v>2014</v>
      </c>
      <c r="DA569">
        <v>2014</v>
      </c>
      <c r="DB569">
        <f>DA569-CZ569</f>
        <v>0</v>
      </c>
      <c r="DC569" t="str">
        <f>IF(DB569=0,"0",IF(AND(DB569&gt;=1,DB569&lt;=30),"1-30",IF(AND(DB569&gt;30,DB569&lt;=70),"31-70",IF(AND(DB569&gt;70,DB569&lt;=100),"71-100",IF(DB569&gt;100,"+100")))))</f>
        <v>0</v>
      </c>
      <c r="DD569">
        <v>0</v>
      </c>
      <c r="DE569">
        <v>0</v>
      </c>
      <c r="DF569">
        <v>0</v>
      </c>
      <c r="DG569">
        <v>1</v>
      </c>
      <c r="DI569">
        <f>SUM(DD569:DG569)</f>
        <v>1</v>
      </c>
      <c r="DJ569" t="str">
        <f>IF(DI569=1,INDEX($DD$7:$DG$7,MATCH(1,$DD569:$DG569,0)),"mixedProduct")</f>
        <v>TimberInput</v>
      </c>
      <c r="DK569">
        <f>IF(DD569=1,DK$7,0)</f>
        <v>0</v>
      </c>
      <c r="DL569">
        <f>IF(DE569=1,DL$7,0)</f>
        <v>0</v>
      </c>
      <c r="DM569">
        <f>IF(DF569=1,DM$7,0)</f>
        <v>0</v>
      </c>
      <c r="DN569" t="str">
        <f>IF(DG569=1,DN$7,0)</f>
        <v>Timber</v>
      </c>
      <c r="DO569">
        <v>0</v>
      </c>
      <c r="DP569" s="143">
        <v>0</v>
      </c>
      <c r="DQ569" s="143">
        <v>0</v>
      </c>
      <c r="DR569" s="143">
        <v>0</v>
      </c>
      <c r="DS569">
        <v>0</v>
      </c>
      <c r="DT569">
        <f>SUM(DO569:DP569)</f>
        <v>0</v>
      </c>
      <c r="DU569" s="143" t="str">
        <f>IF(DO569=1,"self-calculated DF",IF(DP569=1,"external DF used","explicit C balance"))</f>
        <v>explicit C balance</v>
      </c>
      <c r="DV569">
        <v>0</v>
      </c>
      <c r="DW569" s="143">
        <v>0</v>
      </c>
      <c r="DX569" s="143">
        <v>0</v>
      </c>
      <c r="DY569" s="143">
        <v>0</v>
      </c>
      <c r="DZ569">
        <v>0</v>
      </c>
      <c r="EA569" s="143">
        <v>1</v>
      </c>
      <c r="EB569">
        <v>0</v>
      </c>
      <c r="EC569" s="143">
        <v>1</v>
      </c>
      <c r="ED569" s="143">
        <v>0</v>
      </c>
      <c r="EE569">
        <v>0</v>
      </c>
      <c r="EF569">
        <v>0</v>
      </c>
      <c r="EG569" s="143">
        <v>0</v>
      </c>
      <c r="EH569" s="143">
        <v>0</v>
      </c>
      <c r="EI569" s="2">
        <v>0</v>
      </c>
      <c r="EK569" t="str">
        <f>IF(AND(AND(AND(OR($DX569=1,$DW569=1),OR($EC569=1,$EA569=1)),SUM($DV569:$DZ569,$EF569)&gt;=4),SUM($EA569:$EE569)&gt;=2),"Whole sector","")</f>
        <v/>
      </c>
      <c r="EL569" t="str">
        <f>IF(AND(AND(OR($DX569=1,$DW569=1),AND($EC569=0,$EA569=0)),SUM($DV569:$DZ569,$EF569)&gt;=4),"Ecosystem approach","")</f>
        <v/>
      </c>
      <c r="EM569" s="2" t="str">
        <f>IF(AND(AND(AND($DX569=0,$DW569=0),OR($EC569=1,$EA569=1)),SUM($EB569:$EE569)&gt;=2),"Technology approach","")</f>
        <v/>
      </c>
      <c r="EP569" t="str">
        <f>IF(ISNUMBER(BU569),IF(ABS(BU569-[3]QC_indicators!$B$2)&gt;3*[3]QC_indicators!$C$2,"C ratio",IF(ISNUMBER(BY569),IF(ABS(BY569-[3]QC_indicators!$B$1)&gt;3*[3]QC_indicators!$C$1,"DF","no"))),IF(ISNUMBER(BY569),IF(ABS(BY569-[3]QC_indicators!$B$1)&gt;3*[3]QC_indicators!$C$1,"DF","no")))</f>
        <v>no</v>
      </c>
      <c r="ER569" s="294" t="s">
        <v>349</v>
      </c>
      <c r="ET569" s="264" t="s">
        <v>3407</v>
      </c>
    </row>
    <row r="570" spans="1:150" ht="15" customHeight="1">
      <c r="A570" s="1" t="s">
        <v>265</v>
      </c>
      <c r="B570" t="s">
        <v>1531</v>
      </c>
      <c r="C570" t="s">
        <v>1532</v>
      </c>
      <c r="D570" t="s">
        <v>1533</v>
      </c>
      <c r="E570" t="s">
        <v>1534</v>
      </c>
      <c r="F570" t="s">
        <v>1535</v>
      </c>
      <c r="G570" t="s">
        <v>271</v>
      </c>
      <c r="H570" t="s">
        <v>254</v>
      </c>
      <c r="I570">
        <v>2019</v>
      </c>
      <c r="J570">
        <v>26</v>
      </c>
      <c r="K570" t="s">
        <v>1536</v>
      </c>
      <c r="M570" t="str">
        <f>LEFT($D570,FIND(",",$D570)-1)&amp;"_"&amp;I570&amp;L570</f>
        <v>Faraca_2019</v>
      </c>
      <c r="N570" t="s">
        <v>222</v>
      </c>
      <c r="O570" s="145" t="s">
        <v>274</v>
      </c>
      <c r="P570" s="180" t="s">
        <v>223</v>
      </c>
      <c r="Q570" t="s">
        <v>256</v>
      </c>
      <c r="R570" s="262" t="s">
        <v>223</v>
      </c>
      <c r="S570" s="263" t="s">
        <v>3138</v>
      </c>
      <c r="T570" t="s">
        <v>969</v>
      </c>
      <c r="U570" t="s">
        <v>1547</v>
      </c>
      <c r="V570">
        <v>0</v>
      </c>
      <c r="W570">
        <v>0</v>
      </c>
      <c r="X570">
        <v>0</v>
      </c>
      <c r="Y570">
        <v>0</v>
      </c>
      <c r="Z570">
        <v>0</v>
      </c>
      <c r="AA570">
        <v>0</v>
      </c>
      <c r="AB570">
        <v>0</v>
      </c>
      <c r="AC570">
        <v>0</v>
      </c>
      <c r="AD570">
        <v>0</v>
      </c>
      <c r="AE570">
        <v>0</v>
      </c>
      <c r="AF570">
        <v>0</v>
      </c>
      <c r="AG570">
        <v>1</v>
      </c>
      <c r="AH570">
        <v>0</v>
      </c>
      <c r="AI570">
        <v>0</v>
      </c>
      <c r="AJ570">
        <v>0</v>
      </c>
      <c r="AK570">
        <v>0</v>
      </c>
      <c r="AL570">
        <v>0</v>
      </c>
      <c r="AM570">
        <v>0</v>
      </c>
      <c r="AN570">
        <v>0</v>
      </c>
      <c r="AO570">
        <v>0</v>
      </c>
      <c r="AP570">
        <v>0</v>
      </c>
      <c r="AQ570">
        <v>0</v>
      </c>
      <c r="AR570">
        <v>0</v>
      </c>
      <c r="AS570">
        <v>0</v>
      </c>
      <c r="AT570">
        <v>0</v>
      </c>
      <c r="AU570">
        <v>0</v>
      </c>
      <c r="AV570">
        <v>0</v>
      </c>
      <c r="AW570">
        <v>0</v>
      </c>
      <c r="AX570" s="141">
        <f>COUNTIF(V570:AW570,"&lt;&gt;0")</f>
        <v>1</v>
      </c>
      <c r="AY570" s="141">
        <f>COUNTIF(V570:AL570,"&lt;&gt;0")</f>
        <v>1</v>
      </c>
      <c r="AZ570">
        <f>COUNTIF(V570:AC570,"&lt;&gt;0")</f>
        <v>0</v>
      </c>
      <c r="BA570">
        <f>COUNTIF(AD570:AI570,"&lt;&gt;0")</f>
        <v>1</v>
      </c>
      <c r="BB570">
        <f>COUNTIF(AJ570:AL570,"&lt;&gt;0")</f>
        <v>0</v>
      </c>
      <c r="BC570">
        <f>COUNTIF(AS570:AW570,"&lt;&gt;0")</f>
        <v>0</v>
      </c>
      <c r="BD570">
        <f>COUNTIF(AM570:AR570,"&lt;&gt;0")</f>
        <v>0</v>
      </c>
      <c r="BE570" t="str">
        <f t="array" ref="BE570">IF(AY570=1,INDEX($V$7:$AL$7,MATCH(TRUE,INDEX($V570:$AW570&lt;&gt;0,),0)),IF(AY570=0,INDEX($AM$7:$AW$7,MATCH(1,$AM570:$AW570,0)),IF(BF570="Multiple strategies","mixed drivers",IF(BF570="Supply chain","multiple supply","multiple silviculture"))))</f>
        <v>recycling</v>
      </c>
      <c r="BF570" s="2" t="str" cm="1">
        <f t="array" ref="BF570">IF(COUNTIF(AZ570:BB570,"&lt;&gt;0")=1,INDEX($V$4:$AW$4,MATCH(TRUE,INDEX($V570:$AW570&lt;&gt;0,),0)),IF(COUNTIF(AZ570:BB570,"&lt;&gt;0")=0,INDEX($AM$4:$AW$4,MATCH(1,$AM570:$AW570,0)),"Multiple strategies"))</f>
        <v>Supply chain</v>
      </c>
      <c r="BG570" s="1" t="s">
        <v>229</v>
      </c>
      <c r="BH570" t="s">
        <v>1548</v>
      </c>
      <c r="BI570" t="s">
        <v>1539</v>
      </c>
      <c r="BJ570" t="s">
        <v>345</v>
      </c>
      <c r="BK570">
        <v>636</v>
      </c>
      <c r="BL570">
        <f>638+378+212+115</f>
        <v>1343</v>
      </c>
      <c r="BM570">
        <v>2.108490566037736</v>
      </c>
      <c r="BN570">
        <f>BL570-BK570</f>
        <v>707</v>
      </c>
      <c r="BO570">
        <f>BN570*kg_to_m3</f>
        <v>1.4428571428571431</v>
      </c>
      <c r="BP570" s="264" t="s">
        <v>395</v>
      </c>
      <c r="BQ570" s="264" t="s">
        <v>426</v>
      </c>
      <c r="BR570" t="s">
        <v>728</v>
      </c>
      <c r="BS570">
        <v>-40.700000000000003</v>
      </c>
      <c r="BT570">
        <v>-98.3</v>
      </c>
      <c r="BU570" s="144">
        <v>1.5227272727272727</v>
      </c>
      <c r="BV570">
        <f>BT570-BS570</f>
        <v>-57.599999999999994</v>
      </c>
      <c r="BX570">
        <f>BV570/1000</f>
        <v>-5.7599999999999991E-2</v>
      </c>
      <c r="BY570">
        <f>IFERROR(BX570/BO570,"")</f>
        <v>-3.9920792079207908E-2</v>
      </c>
      <c r="BZ570">
        <v>0</v>
      </c>
      <c r="CA570">
        <v>0</v>
      </c>
      <c r="CB570">
        <v>0</v>
      </c>
      <c r="CC570">
        <v>0</v>
      </c>
      <c r="CD570">
        <v>0</v>
      </c>
      <c r="CE570">
        <v>0</v>
      </c>
      <c r="CF570">
        <v>0</v>
      </c>
      <c r="CG570">
        <v>0</v>
      </c>
      <c r="CH570">
        <v>0</v>
      </c>
      <c r="CI570">
        <v>0</v>
      </c>
      <c r="CJ570">
        <v>0</v>
      </c>
      <c r="CK570">
        <v>0</v>
      </c>
      <c r="CL570">
        <v>0</v>
      </c>
      <c r="CM570">
        <v>0</v>
      </c>
      <c r="CN570" t="str">
        <f>IF($BL570&lt;$BK570,"refNeedCorrection","refOK")</f>
        <v>refOK</v>
      </c>
      <c r="CO570">
        <f>IF($CN570="refNeedCorrection",BL570,BK570)</f>
        <v>636</v>
      </c>
      <c r="CP570">
        <f>IF($CN570="refNeedCorrection",BK570,BL570)</f>
        <v>1343</v>
      </c>
      <c r="CQ570">
        <f>IF($CN570="refOK",$BO570,-$BO570)</f>
        <v>1.4428571428571431</v>
      </c>
      <c r="CR570">
        <f>IF($CN570="refOK",$BS570,$BT570)*IF($BP570="Emissions positive",-1,1)</f>
        <v>40.700000000000003</v>
      </c>
      <c r="CS570">
        <f>IF($CN570="refOK",$BT570,$BS570)*IF($BP570="Emissions positive",-1,1)</f>
        <v>98.3</v>
      </c>
      <c r="CT570">
        <f>IF($CN570="refNeedCorrection",-BX570,BX570)*IF($BP570="Emissions positive",-1,1)</f>
        <v>5.7599999999999991E-2</v>
      </c>
      <c r="CU570">
        <f>IFERROR(CT570/CQ570,"")</f>
        <v>3.9920792079207908E-2</v>
      </c>
      <c r="CV570" s="2">
        <f>IFERROR((CS570-CR570)/ABS(CR570),"")</f>
        <v>1.4152334152334149</v>
      </c>
      <c r="CW570" s="1" t="s">
        <v>1199</v>
      </c>
      <c r="CX570" t="str">
        <f>IF(OR($CW570="prd",$CW570="std",$CW570="cit"),"loc",IF(OR($CW570="eur",$CW570="reg",$CW570="coy"),"reg",$CW570))</f>
        <v>reg</v>
      </c>
      <c r="CY570" t="s">
        <v>1540</v>
      </c>
      <c r="DB570">
        <v>100</v>
      </c>
      <c r="DC570" t="str">
        <f>IF(DB570=0,"0",IF(AND(DB570&gt;=1,DB570&lt;=30),"1-30",IF(AND(DB570&gt;30,DB570&lt;=70),"31-70",IF(AND(DB570&gt;70,DB570&lt;=100),"71-100",IF(DB570&gt;100,"+100")))))</f>
        <v>71-100</v>
      </c>
      <c r="DD570">
        <v>0</v>
      </c>
      <c r="DE570">
        <v>0</v>
      </c>
      <c r="DF570">
        <v>0</v>
      </c>
      <c r="DG570">
        <v>1</v>
      </c>
      <c r="DI570">
        <f>SUM(DD570:DG570)</f>
        <v>1</v>
      </c>
      <c r="DJ570" t="str">
        <f>IF(DI570=1,INDEX($DD$7:$DG$7,MATCH(1,$DD570:$DG570,0)),"mixedProduct")</f>
        <v>TimberInput</v>
      </c>
      <c r="DK570">
        <f>IF(DD570=1,DK$7,0)</f>
        <v>0</v>
      </c>
      <c r="DL570">
        <f>IF(DE570=1,DL$7,0)</f>
        <v>0</v>
      </c>
      <c r="DM570">
        <f>IF(DF570=1,DM$7,0)</f>
        <v>0</v>
      </c>
      <c r="DN570" t="str">
        <f>IF(DG570=1,DN$7,0)</f>
        <v>Timber</v>
      </c>
      <c r="DO570">
        <v>0</v>
      </c>
      <c r="DP570">
        <v>1</v>
      </c>
      <c r="DQ570">
        <v>0</v>
      </c>
      <c r="DR570">
        <v>0</v>
      </c>
      <c r="DS570" t="s">
        <v>1541</v>
      </c>
      <c r="DT570">
        <f>SUM(DO570:DP570)</f>
        <v>1</v>
      </c>
      <c r="DU570" s="143" t="str">
        <f>IF(DO570=1,"self-calculated DF",IF(DP570=1,"external DF used","explicit C balance"))</f>
        <v>external DF used</v>
      </c>
      <c r="DV570">
        <v>0</v>
      </c>
      <c r="DW570">
        <v>0</v>
      </c>
      <c r="DX570">
        <v>0</v>
      </c>
      <c r="DY570">
        <v>0</v>
      </c>
      <c r="DZ570">
        <v>1</v>
      </c>
      <c r="EA570" s="143">
        <v>1</v>
      </c>
      <c r="EB570">
        <v>0</v>
      </c>
      <c r="EC570">
        <v>1</v>
      </c>
      <c r="ED570">
        <v>0</v>
      </c>
      <c r="EE570">
        <v>1</v>
      </c>
      <c r="EF570">
        <v>1</v>
      </c>
      <c r="EG570">
        <v>1</v>
      </c>
      <c r="EH570">
        <v>0</v>
      </c>
      <c r="EI570" s="2">
        <v>0</v>
      </c>
      <c r="EK570" t="str">
        <f>IF(AND(AND(AND(OR($DX570=1,$DW570=1),OR($EC570=1,$EA570=1)),SUM($DV570:$DZ570,$EF570)&gt;=4),SUM($EA570:$EE570)&gt;=2),"Whole sector","")</f>
        <v/>
      </c>
      <c r="EL570" t="str">
        <f>IF(AND(AND(OR($DX570=1,$DW570=1),AND($EC570=0,$EA570=0)),SUM($DV570:$DZ570,$EF570)&gt;=4),"Ecosystem approach","")</f>
        <v/>
      </c>
      <c r="EM570" s="2" t="str">
        <f>IF(AND(AND(AND($DX570=0,$DW570=0),OR($EC570=1,$EA570=1)),SUM($EB570:$EE570)&gt;=2),"Technology approach","")</f>
        <v>Technology approach</v>
      </c>
      <c r="EP570" t="str">
        <f>IF(ISNUMBER(BU570),IF(ABS(BU570-[1]QC_indicators!$B$2)&gt;3*[1]QC_indicators!$C$2,"C ratio",IF(ISNUMBER(BY570),IF(ABS(BY570-[1]QC_indicators!$B$1)&gt;3*[1]QC_indicators!$C$1,"DF","no"))),IF(ISNUMBER(BY570),IF(ABS(BY570-[1]QC_indicators!$B$1)&gt;3*[1]QC_indicators!$C$1,"DF","no")))</f>
        <v>no</v>
      </c>
      <c r="ET570" s="264" t="s">
        <v>3273</v>
      </c>
    </row>
    <row r="571" spans="1:150" ht="15" customHeight="1">
      <c r="A571" s="1" t="s">
        <v>878</v>
      </c>
      <c r="B571" t="s">
        <v>1705</v>
      </c>
      <c r="C571" t="s">
        <v>544</v>
      </c>
      <c r="D571" t="s">
        <v>1706</v>
      </c>
      <c r="E571" t="s">
        <v>1707</v>
      </c>
      <c r="F571" t="s">
        <v>1708</v>
      </c>
      <c r="G571" t="s">
        <v>1184</v>
      </c>
      <c r="H571" t="s">
        <v>254</v>
      </c>
      <c r="I571">
        <v>2021</v>
      </c>
      <c r="J571">
        <v>8</v>
      </c>
      <c r="K571" t="s">
        <v>1709</v>
      </c>
      <c r="M571" t="str">
        <f>LEFT($D571,FIND(",",$D571)-1)&amp;"_"&amp;I571&amp;L571</f>
        <v>Hart_2021</v>
      </c>
      <c r="N571" s="264" t="s">
        <v>222</v>
      </c>
      <c r="O571" s="171" t="s">
        <v>225</v>
      </c>
      <c r="P571" t="s">
        <v>960</v>
      </c>
      <c r="Q571" s="264" t="s">
        <v>389</v>
      </c>
      <c r="R571" s="269" t="s">
        <v>1154</v>
      </c>
      <c r="S571" s="297" t="s">
        <v>1710</v>
      </c>
      <c r="T571" s="264" t="s">
        <v>1718</v>
      </c>
      <c r="U571" t="s">
        <v>1712</v>
      </c>
      <c r="V571">
        <v>0</v>
      </c>
      <c r="W571">
        <v>0</v>
      </c>
      <c r="X571">
        <v>0</v>
      </c>
      <c r="Y571">
        <v>0</v>
      </c>
      <c r="Z571">
        <v>0</v>
      </c>
      <c r="AA571">
        <v>0</v>
      </c>
      <c r="AB571">
        <v>0</v>
      </c>
      <c r="AC571">
        <v>0</v>
      </c>
      <c r="AD571">
        <v>0</v>
      </c>
      <c r="AE571">
        <v>0</v>
      </c>
      <c r="AF571">
        <v>0</v>
      </c>
      <c r="AG571">
        <v>0</v>
      </c>
      <c r="AH571">
        <v>0</v>
      </c>
      <c r="AI571">
        <v>0</v>
      </c>
      <c r="AJ571">
        <v>0</v>
      </c>
      <c r="AK571">
        <v>1</v>
      </c>
      <c r="AL571">
        <v>0</v>
      </c>
      <c r="AM571">
        <v>0</v>
      </c>
      <c r="AN571">
        <v>0</v>
      </c>
      <c r="AO571">
        <v>0</v>
      </c>
      <c r="AP571">
        <v>0</v>
      </c>
      <c r="AQ571">
        <v>0</v>
      </c>
      <c r="AR571">
        <v>0</v>
      </c>
      <c r="AS571">
        <v>0</v>
      </c>
      <c r="AT571">
        <v>0</v>
      </c>
      <c r="AU571">
        <v>0</v>
      </c>
      <c r="AV571">
        <v>0</v>
      </c>
      <c r="AW571">
        <v>0</v>
      </c>
      <c r="AX571" s="141">
        <f>COUNTIF(V571:AW571,"&lt;&gt;0")</f>
        <v>1</v>
      </c>
      <c r="AY571" s="141">
        <f>COUNTIF(V571:AL571,"&lt;&gt;0")</f>
        <v>1</v>
      </c>
      <c r="AZ571">
        <f>COUNTIF(V571:AC571,"&lt;&gt;0")</f>
        <v>0</v>
      </c>
      <c r="BA571">
        <f>COUNTIF(AD571:AI571,"&lt;&gt;0")</f>
        <v>0</v>
      </c>
      <c r="BB571">
        <f>COUNTIF(AJ571:AL571,"&lt;&gt;0")</f>
        <v>1</v>
      </c>
      <c r="BC571">
        <f>COUNTIF(AS571:AW571,"&lt;&gt;0")</f>
        <v>0</v>
      </c>
      <c r="BD571">
        <f>COUNTIF(AM571:AR571,"&lt;&gt;0")</f>
        <v>0</v>
      </c>
      <c r="BE571" t="str" cm="1">
        <f t="array" ref="BE571">IF(AY571=1,INDEX($V$7:$AL$7,MATCH(TRUE,INDEX($V571:$AW571&lt;&gt;0,),0)),IF(AY571=0,INDEX($AM$7:$AW$7,MATCH(1,$AM571:$AW571,0)),IF(BF571="Multiple strategies","mixed drivers",IF(BF571="Supply chain","multiple supply","multiple silviculture"))))</f>
        <v>technologies/design switch</v>
      </c>
      <c r="BF571" s="2" t="str" cm="1">
        <f t="array" ref="BF571">IF(COUNTIF(AZ571:BB571,"&lt;&gt;0")=1,INDEX($V$4:$AW$4,MATCH(TRUE,INDEX($V571:$AW571&lt;&gt;0,),0)),IF(COUNTIF(AZ571:BB571,"&lt;&gt;0")=0,INDEX($AM$4:$AW$4,MATCH(1,$AM571:$AW571,0)),"Multiple strategies"))</f>
        <v>Technology</v>
      </c>
      <c r="BG571" s="298" t="s">
        <v>229</v>
      </c>
      <c r="BH571" s="270" t="s">
        <v>1713</v>
      </c>
      <c r="BI571" s="270" t="s">
        <v>1714</v>
      </c>
      <c r="BJ571" s="270" t="s">
        <v>1715</v>
      </c>
      <c r="BK571">
        <v>0</v>
      </c>
      <c r="BL571">
        <v>0.35042108887694512</v>
      </c>
      <c r="BM571" t="s">
        <v>544</v>
      </c>
      <c r="BN571">
        <f>BL571-BK571</f>
        <v>0.35042108887694512</v>
      </c>
      <c r="BO571" s="264">
        <f>BN571*tC_to_m3</f>
        <v>1.5215852751929879</v>
      </c>
      <c r="BP571" s="155" t="s">
        <v>395</v>
      </c>
      <c r="BQ571" s="155" t="s">
        <v>1716</v>
      </c>
      <c r="BR571" s="264" t="s">
        <v>1717</v>
      </c>
      <c r="BS571">
        <v>187.41169182586319</v>
      </c>
      <c r="BT571">
        <v>119.35798727672741</v>
      </c>
      <c r="BU571" s="144">
        <v>0.6368758859913124</v>
      </c>
      <c r="BV571" s="152">
        <f>BT571-BS571</f>
        <v>-68.053704549135773</v>
      </c>
      <c r="BX571">
        <f>BV571/1000</f>
        <v>-6.8053704549135771E-2</v>
      </c>
      <c r="BY571">
        <f>IFERROR(BX571/BO571,"")</f>
        <v>-4.4725527815392588E-2</v>
      </c>
      <c r="BZ571">
        <v>0</v>
      </c>
      <c r="CA571">
        <v>0</v>
      </c>
      <c r="CB571">
        <v>0</v>
      </c>
      <c r="CC571">
        <v>0</v>
      </c>
      <c r="CD571">
        <v>0</v>
      </c>
      <c r="CE571">
        <v>0</v>
      </c>
      <c r="CF571">
        <v>0</v>
      </c>
      <c r="CG571">
        <v>0</v>
      </c>
      <c r="CH571">
        <v>0</v>
      </c>
      <c r="CI571">
        <v>0</v>
      </c>
      <c r="CJ571">
        <v>0</v>
      </c>
      <c r="CK571">
        <v>0</v>
      </c>
      <c r="CL571">
        <v>0</v>
      </c>
      <c r="CM571">
        <v>0</v>
      </c>
      <c r="CN571" t="str">
        <f>IF($BL571&lt;$BK571,"refNeedCorrection","refOK")</f>
        <v>refOK</v>
      </c>
      <c r="CO571">
        <f>IF($CN571="refOK",$BK571,$BL571)</f>
        <v>0</v>
      </c>
      <c r="CP571">
        <f>IF($CN571="refOK",$BL571,$BK571)</f>
        <v>0.35042108887694512</v>
      </c>
      <c r="CQ571">
        <f>IF($CN571="refOK",$BO571,-$BO571)</f>
        <v>1.5215852751929879</v>
      </c>
      <c r="CR571">
        <f>IF($CN571="refOK",$BS571,$BT571)*IF($BP571="Emissions positive",-1,1)</f>
        <v>-187.41169182586319</v>
      </c>
      <c r="CS571">
        <f>IF($CN571="refOK",$BT571,$BS571)*IF($BP571="Emissions positive",-1,1)</f>
        <v>-119.35798727672741</v>
      </c>
      <c r="CT571">
        <f>IF($CN571="refNeedCorrection",-BX571,BX571)*IF($BP571="Emissions positive",-1,1)</f>
        <v>6.8053704549135771E-2</v>
      </c>
      <c r="CU571">
        <f>IFERROR(CT571/CQ571,"")</f>
        <v>4.4725527815392588E-2</v>
      </c>
      <c r="CV571" s="2">
        <f>IFERROR((CS571-CR571)/ABS(CR571),"")</f>
        <v>0.3631241140086876</v>
      </c>
      <c r="CW571" s="263" t="s">
        <v>1203</v>
      </c>
      <c r="CX571" s="264" t="str">
        <f>IF(OR($CW571="prd",$CW571="std",$CW571="cit"),"loc",IF(OR($CW571="eur",$CW571="reg",$CW571="coy"),"reg",$CW571))</f>
        <v>reg</v>
      </c>
      <c r="CY571" s="309" t="s">
        <v>3423</v>
      </c>
      <c r="CZ571">
        <v>0</v>
      </c>
      <c r="DA571">
        <v>0</v>
      </c>
      <c r="DB571">
        <v>0</v>
      </c>
      <c r="DC571" t="str">
        <f>IF(DB571=0,"0",IF(AND(DB571&gt;=1,DB571&lt;=30),"1-30",IF(AND(DB571&gt;30,DB571&lt;=70),"31-70",IF(AND(DB571&gt;70,DB571&lt;=100),"71-100",IF(DB571&gt;100,"+100")))))</f>
        <v>0</v>
      </c>
      <c r="DD571">
        <v>0</v>
      </c>
      <c r="DE571">
        <v>0</v>
      </c>
      <c r="DF571">
        <v>0</v>
      </c>
      <c r="DG571">
        <v>1</v>
      </c>
      <c r="DH571">
        <v>0</v>
      </c>
      <c r="DI571">
        <v>1</v>
      </c>
      <c r="DJ571" t="str">
        <f>IF(DI571=1,INDEX($DD$7:$DG$7,MATCH(1,$DD571:$DG571,0)),"mixedProduct")</f>
        <v>TimberInput</v>
      </c>
      <c r="DK571">
        <f>IF(DD571=1,DK$7,0)</f>
        <v>0</v>
      </c>
      <c r="DL571">
        <f>IF(DE571=1,DL$7,0)</f>
        <v>0</v>
      </c>
      <c r="DM571">
        <f>IF(DF571=1,DM$7,0)</f>
        <v>0</v>
      </c>
      <c r="DN571" t="str">
        <f>IF(DG571=1,DN$7,0)</f>
        <v>Timber</v>
      </c>
      <c r="DO571">
        <v>0</v>
      </c>
      <c r="DP571">
        <v>0</v>
      </c>
      <c r="DQ571">
        <v>0</v>
      </c>
      <c r="DR571">
        <v>0</v>
      </c>
      <c r="DS571">
        <v>0</v>
      </c>
      <c r="DT571">
        <f>SUM(DO571:DP571)</f>
        <v>0</v>
      </c>
      <c r="DU571" s="143" t="s">
        <v>962</v>
      </c>
      <c r="DV571">
        <v>0</v>
      </c>
      <c r="DW571">
        <v>0</v>
      </c>
      <c r="DX571">
        <v>0</v>
      </c>
      <c r="DY571">
        <v>0</v>
      </c>
      <c r="DZ571">
        <v>0</v>
      </c>
      <c r="EA571" s="143">
        <v>0</v>
      </c>
      <c r="EB571">
        <v>0</v>
      </c>
      <c r="EC571">
        <v>1</v>
      </c>
      <c r="ED571">
        <v>1</v>
      </c>
      <c r="EE571">
        <v>1</v>
      </c>
      <c r="EF571">
        <v>0</v>
      </c>
      <c r="EG571">
        <v>0</v>
      </c>
      <c r="EH571">
        <v>0</v>
      </c>
      <c r="EI571" s="2">
        <v>0</v>
      </c>
      <c r="EK571" t="str">
        <f>IF(AND(AND(AND(OR($DX571=1,$DW571=1),OR($EC571=1,$EA571=1)),SUM($DV571:$DZ571,$EF571)&gt;=4),SUM($EA571:$EE571)&gt;=2),"Whole sector","")</f>
        <v/>
      </c>
      <c r="EL571" t="str">
        <f>IF(AND(AND(OR($DX571=1,$DW571=1),AND($EC571=0,$EA571=0)),SUM($DV571:$DZ571,$EF571)&gt;=4),"Ecosystem approach","")</f>
        <v/>
      </c>
      <c r="EM571" s="2" t="str">
        <f>IF(AND(AND(AND($DX571=0,$DW571=0),OR($EC571=1,$EA571=1)),SUM($EB571:$EE571)&gt;=2),"Technology approach","")</f>
        <v>Technology approach</v>
      </c>
      <c r="EP571" t="str">
        <f>IF(ISNUMBER(BU571),IF(ABS(BU571-[3]QC_indicators!$B$2)&gt;3*[3]QC_indicators!$C$2,"C ratio",IF(ISNUMBER(BY571),IF(ABS(BY571-[3]QC_indicators!$B$1)&gt;3*[3]QC_indicators!$C$1,"DF","no"))),IF(ISNUMBER(BY571),IF(ABS(BY571-[3]QC_indicators!$B$1)&gt;3*[3]QC_indicators!$C$1,"DF","no")))</f>
        <v>no</v>
      </c>
      <c r="ET571" s="264" t="s">
        <v>3407</v>
      </c>
    </row>
    <row r="572" spans="1:150" ht="15" customHeight="1">
      <c r="A572" s="1" t="s">
        <v>599</v>
      </c>
      <c r="B572" t="s">
        <v>600</v>
      </c>
      <c r="C572" t="s">
        <v>601</v>
      </c>
      <c r="D572" t="s">
        <v>602</v>
      </c>
      <c r="E572" t="s">
        <v>603</v>
      </c>
      <c r="F572" t="s">
        <v>604</v>
      </c>
      <c r="G572" t="s">
        <v>605</v>
      </c>
      <c r="H572" t="s">
        <v>254</v>
      </c>
      <c r="I572">
        <v>2022</v>
      </c>
      <c r="J572">
        <v>15</v>
      </c>
      <c r="K572" t="s">
        <v>606</v>
      </c>
      <c r="M572" t="str">
        <f>LEFT($D572,FIND(",",$D572)-1)&amp;"_"&amp;I572&amp;L572</f>
        <v>Dani_2022</v>
      </c>
      <c r="N572" t="s">
        <v>222</v>
      </c>
      <c r="O572" s="145" t="s">
        <v>223</v>
      </c>
      <c r="Q572" t="s">
        <v>389</v>
      </c>
      <c r="R572" s="255" t="s">
        <v>225</v>
      </c>
      <c r="S572" s="1" t="s">
        <v>607</v>
      </c>
      <c r="T572" t="s">
        <v>608</v>
      </c>
      <c r="U572" t="s">
        <v>609</v>
      </c>
      <c r="V572">
        <v>0</v>
      </c>
      <c r="W572">
        <v>0</v>
      </c>
      <c r="X572">
        <v>0</v>
      </c>
      <c r="Y572">
        <v>0</v>
      </c>
      <c r="Z572">
        <v>0</v>
      </c>
      <c r="AA572">
        <v>0</v>
      </c>
      <c r="AB572">
        <v>0</v>
      </c>
      <c r="AC572">
        <v>0</v>
      </c>
      <c r="AD572">
        <v>0</v>
      </c>
      <c r="AE572">
        <v>0</v>
      </c>
      <c r="AF572">
        <v>0</v>
      </c>
      <c r="AG572">
        <v>0</v>
      </c>
      <c r="AH572">
        <v>0</v>
      </c>
      <c r="AI572">
        <v>0</v>
      </c>
      <c r="AJ572">
        <v>0</v>
      </c>
      <c r="AK572">
        <v>1</v>
      </c>
      <c r="AL572">
        <v>0</v>
      </c>
      <c r="AM572">
        <v>0</v>
      </c>
      <c r="AN572">
        <v>0</v>
      </c>
      <c r="AO572">
        <v>0</v>
      </c>
      <c r="AP572">
        <v>0</v>
      </c>
      <c r="AQ572">
        <v>0</v>
      </c>
      <c r="AR572">
        <v>0</v>
      </c>
      <c r="AS572">
        <v>0</v>
      </c>
      <c r="AT572">
        <v>0</v>
      </c>
      <c r="AU572">
        <v>0</v>
      </c>
      <c r="AV572">
        <v>0</v>
      </c>
      <c r="AW572">
        <v>0</v>
      </c>
      <c r="AX572" s="141">
        <f>COUNTIF(V572:AW572,"&lt;&gt;0")</f>
        <v>1</v>
      </c>
      <c r="AY572" s="141">
        <f>COUNTIF(V572:AL572,"&lt;&gt;0")</f>
        <v>1</v>
      </c>
      <c r="AZ572">
        <f>COUNTIF(V572:AC572,"&lt;&gt;0")</f>
        <v>0</v>
      </c>
      <c r="BA572">
        <f>COUNTIF(AD572:AI572,"&lt;&gt;0")</f>
        <v>0</v>
      </c>
      <c r="BB572">
        <f>COUNTIF(AJ572:AL572,"&lt;&gt;0")</f>
        <v>1</v>
      </c>
      <c r="BC572">
        <f>COUNTIF(AS572:AW572,"&lt;&gt;0")</f>
        <v>0</v>
      </c>
      <c r="BD572">
        <f>COUNTIF(AM572:AR572,"&lt;&gt;0")</f>
        <v>0</v>
      </c>
      <c r="BE572" t="str">
        <f t="array" ref="BE572">IF(AY572=1,INDEX($V$7:$AL$7,MATCH(TRUE,INDEX($V572:$AW572&lt;&gt;0,),0)),IF(AY572=0,INDEX($AM$7:$AW$7,MATCH(1,$AM572:$AW572,0)),IF(BF572="Multiple strategies","mixed drivers",IF(BF572="Supply chain","multiple supply","multiple silviculture"))))</f>
        <v>technologies/design switch</v>
      </c>
      <c r="BF572" s="2" t="str" cm="1">
        <f t="array" ref="BF572">IF(COUNTIF(AZ572:BB572,"&lt;&gt;0")=1,INDEX($V$4:$AW$4,MATCH(TRUE,INDEX($V572:$AW572&lt;&gt;0,),0)),IF(COUNTIF(AZ572:BB572,"&lt;&gt;0")=0,INDEX($AM$4:$AW$4,MATCH(1,$AM572:$AW572,0)),"Multiple strategies"))</f>
        <v>Technology</v>
      </c>
      <c r="BG572" s="1" t="s">
        <v>229</v>
      </c>
      <c r="BH572" t="s">
        <v>610</v>
      </c>
      <c r="BI572" t="s">
        <v>424</v>
      </c>
      <c r="BJ572" t="s">
        <v>498</v>
      </c>
      <c r="BK572">
        <f>0.041+0.652</f>
        <v>0.69300000000000006</v>
      </c>
      <c r="BL572">
        <f>0.298+2.905+0.284+3.758+0.808+6.645+2.786+0.678</f>
        <v>18.161999999999999</v>
      </c>
      <c r="BN572">
        <f>BL572-BK572</f>
        <v>17.468999999999998</v>
      </c>
      <c r="BO572">
        <f>BN572</f>
        <v>17.468999999999998</v>
      </c>
      <c r="BP572" t="s">
        <v>395</v>
      </c>
      <c r="BQ572" s="302" t="s">
        <v>3300</v>
      </c>
      <c r="BR572" t="s">
        <v>612</v>
      </c>
      <c r="BS572">
        <f>146*(15.41)</f>
        <v>2249.86</v>
      </c>
      <c r="BT572">
        <f>107*13.72</f>
        <v>1468.04</v>
      </c>
      <c r="BU572" s="144">
        <f>IFERROR(BT572/BS572,"")</f>
        <v>0.65250282239783808</v>
      </c>
      <c r="BV572">
        <f>BT572-BS572</f>
        <v>-781.82000000000016</v>
      </c>
      <c r="BX572">
        <f>BV572/1000</f>
        <v>-0.78182000000000018</v>
      </c>
      <c r="BY572">
        <f>IFERROR(BX572/BO572,"")</f>
        <v>-4.4754708340488884E-2</v>
      </c>
      <c r="BZ572">
        <v>0</v>
      </c>
      <c r="CA572">
        <v>0</v>
      </c>
      <c r="CB572">
        <v>0</v>
      </c>
      <c r="CC572">
        <v>0</v>
      </c>
      <c r="CD572">
        <v>0</v>
      </c>
      <c r="CE572">
        <v>0</v>
      </c>
      <c r="CF572">
        <v>0</v>
      </c>
      <c r="CG572">
        <v>0</v>
      </c>
      <c r="CH572">
        <v>0</v>
      </c>
      <c r="CI572">
        <v>0</v>
      </c>
      <c r="CJ572">
        <v>0</v>
      </c>
      <c r="CK572">
        <v>0</v>
      </c>
      <c r="CL572">
        <v>0</v>
      </c>
      <c r="CM572">
        <v>0</v>
      </c>
      <c r="CN572" t="str">
        <f>IF($BL572&lt;$BK572,"refNeedCorrection","refOK")</f>
        <v>refOK</v>
      </c>
      <c r="CO572"/>
      <c r="CP572"/>
      <c r="CQ572">
        <f>IF($CN572="refOK",$BO572,-$BO572)</f>
        <v>17.468999999999998</v>
      </c>
      <c r="CR572">
        <f>IF($CN572="refOK",$BS572,$BT572)*IF($BP572="Emissions positive",-1,1)</f>
        <v>-2249.86</v>
      </c>
      <c r="CS572">
        <f>IF($CN572="refOK",$BT572,$BS572)*IF($BP572="Emissions positive",-1,1)</f>
        <v>-1468.04</v>
      </c>
      <c r="CT572">
        <f>IF($CN572="refNeedCorrection",-BX572,BX572)*IF($BP572="Emissions positive",-1,1)</f>
        <v>0.78182000000000018</v>
      </c>
      <c r="CU572">
        <f>IFERROR(CT572/CQ572,"")</f>
        <v>4.4754708340488884E-2</v>
      </c>
      <c r="CV572" s="2">
        <f>IFERROR((CS572-CR572)/ABS(CR572),"")</f>
        <v>0.34749717760216198</v>
      </c>
      <c r="CW572" s="1" t="s">
        <v>263</v>
      </c>
      <c r="CX572" t="str">
        <f>IF(OR($CW572="prd",$CW572="std",$CW572="cit"),"loc",IF(OR($CW572="eur",$CW572="reg",$CW572="coy"),"reg",$CW572))</f>
        <v>loc</v>
      </c>
      <c r="CY572" t="s">
        <v>613</v>
      </c>
      <c r="DB572">
        <v>0</v>
      </c>
      <c r="DC572" t="str">
        <f>IF(DB572=0,"0",IF(AND(DB572&gt;=1,DB572&lt;=30),"1-30",IF(AND(DB572&gt;30,DB572&lt;=70),"31-70",IF(AND(DB572&gt;70,DB572&lt;=100),"71-100",IF(DB572&gt;100,"+100")))))</f>
        <v>0</v>
      </c>
      <c r="DD572">
        <v>0</v>
      </c>
      <c r="DE572">
        <v>0</v>
      </c>
      <c r="DF572">
        <v>0</v>
      </c>
      <c r="DG572">
        <v>1</v>
      </c>
      <c r="DH572">
        <v>0</v>
      </c>
      <c r="DI572">
        <f>SUM(DD572:DH572)</f>
        <v>1</v>
      </c>
      <c r="DJ572" t="str">
        <f>IF(DI572=1,INDEX($DD$7:$DG$7,MATCH(1,$DD572:$DG572,0)),"mixedProduct")</f>
        <v>TimberInput</v>
      </c>
      <c r="DK572">
        <f>IF(DD572=1,DK$7,0)</f>
        <v>0</v>
      </c>
      <c r="DL572">
        <f>IF(DE572=1,DL$7,0)</f>
        <v>0</v>
      </c>
      <c r="DM572">
        <f>IF(DF572=1,DM$7,0)</f>
        <v>0</v>
      </c>
      <c r="DN572" t="str">
        <f>IF(DG572=1,DN$7,0)</f>
        <v>Timber</v>
      </c>
      <c r="DO572">
        <v>0</v>
      </c>
      <c r="DP572">
        <v>0</v>
      </c>
      <c r="DQ572">
        <v>0</v>
      </c>
      <c r="DR572">
        <v>0</v>
      </c>
      <c r="DS572">
        <v>0</v>
      </c>
      <c r="DT572">
        <f>SUM(DO572:DP572)</f>
        <v>0</v>
      </c>
      <c r="DU572" t="str">
        <f>IF(DO572=1,"self-calculated DF",IF(DP572=1,"external DF used","explicit C balance"))</f>
        <v>explicit C balance</v>
      </c>
      <c r="DV572">
        <v>0</v>
      </c>
      <c r="DW572">
        <v>0</v>
      </c>
      <c r="DX572">
        <v>0</v>
      </c>
      <c r="DY572">
        <v>0</v>
      </c>
      <c r="DZ572">
        <v>0</v>
      </c>
      <c r="EA572" s="264">
        <v>1</v>
      </c>
      <c r="EB572">
        <v>1</v>
      </c>
      <c r="EC572">
        <v>1</v>
      </c>
      <c r="ED572">
        <v>1</v>
      </c>
      <c r="EE572">
        <v>1</v>
      </c>
      <c r="EF572">
        <v>0</v>
      </c>
      <c r="EG572">
        <v>0</v>
      </c>
      <c r="EH572">
        <v>0</v>
      </c>
      <c r="EI572" s="2">
        <v>0</v>
      </c>
      <c r="EK572" t="str">
        <f>IF(AND(AND(AND(OR($DX572=1,$DW572=1),OR($EC572=1,$EA572=1)),SUM($DV572:$DZ572,$EF572)&gt;=4),SUM($EA572:$EE572)&gt;=2),"Whole sector","")</f>
        <v/>
      </c>
      <c r="EL572" t="str">
        <f>IF(AND(AND(OR($DX572=1,$DW572=1),AND($EC572=0,$EA572=0)),SUM($DV572:$DZ572,$EF572)&gt;=4),"Ecosystem approach","")</f>
        <v/>
      </c>
      <c r="EM572" s="2" t="str">
        <f>IF(AND(AND(AND($DX572=0,$DW572=0),OR($EC572=1,$EA572=1)),SUM($EB572:$EE572)&gt;=2),"Technology approach","")</f>
        <v>Technology approach</v>
      </c>
      <c r="EP572" t="str">
        <f>IF(ISNUMBER(BU572),IF(ABS(BU572-[4]QC_indicators!$B$2)&gt;3*[4]QC_indicators!$C$2,"C ratio",IF(ISNUMBER(BY572),IF(ABS(BY572-[4]QC_indicators!$B$1)&gt;3*[4]QC_indicators!$C$1,"DF","no"))),IF(ISNUMBER(BY572),IF(ABS(BY572-[4]QC_indicators!$B$1)&gt;3*[4]QC_indicators!$C$1,"DF","no")))</f>
        <v>no</v>
      </c>
      <c r="ET572" s="264" t="s">
        <v>3273</v>
      </c>
    </row>
    <row r="573" spans="1:150" ht="15" customHeight="1">
      <c r="D573" t="s">
        <v>963</v>
      </c>
      <c r="E573" t="s">
        <v>964</v>
      </c>
      <c r="G573" t="s">
        <v>965</v>
      </c>
      <c r="I573">
        <v>2002</v>
      </c>
      <c r="K573" s="295" t="s">
        <v>966</v>
      </c>
      <c r="M573" t="str">
        <f>LEFT($D573,FIND(",",$D573)-1)&amp;"_"&amp;I573&amp;L573</f>
        <v>Petersen_2002</v>
      </c>
      <c r="N573" t="s">
        <v>222</v>
      </c>
      <c r="O573" s="171" t="s">
        <v>513</v>
      </c>
      <c r="P573" s="141" t="s">
        <v>225</v>
      </c>
      <c r="Q573" s="264" t="s">
        <v>389</v>
      </c>
      <c r="R573" s="269" t="s">
        <v>1154</v>
      </c>
      <c r="S573" s="263" t="s">
        <v>967</v>
      </c>
      <c r="T573" s="264" t="s">
        <v>976</v>
      </c>
      <c r="U573" s="264" t="s">
        <v>969</v>
      </c>
      <c r="V573">
        <v>0</v>
      </c>
      <c r="W573">
        <v>0</v>
      </c>
      <c r="X573">
        <v>0</v>
      </c>
      <c r="Y573">
        <v>0</v>
      </c>
      <c r="Z573">
        <v>0</v>
      </c>
      <c r="AA573">
        <v>0</v>
      </c>
      <c r="AB573">
        <v>0</v>
      </c>
      <c r="AC573">
        <v>0</v>
      </c>
      <c r="AD573">
        <v>0</v>
      </c>
      <c r="AE573">
        <v>0</v>
      </c>
      <c r="AF573">
        <v>0</v>
      </c>
      <c r="AG573">
        <v>0</v>
      </c>
      <c r="AH573">
        <v>0</v>
      </c>
      <c r="AI573">
        <v>0</v>
      </c>
      <c r="AJ573">
        <v>1</v>
      </c>
      <c r="AK573">
        <v>0</v>
      </c>
      <c r="AL573">
        <v>0</v>
      </c>
      <c r="AM573">
        <v>0</v>
      </c>
      <c r="AN573">
        <v>0</v>
      </c>
      <c r="AO573">
        <v>0</v>
      </c>
      <c r="AP573">
        <v>0</v>
      </c>
      <c r="AQ573">
        <v>0</v>
      </c>
      <c r="AR573">
        <v>0</v>
      </c>
      <c r="AS573">
        <v>0</v>
      </c>
      <c r="AT573">
        <v>0</v>
      </c>
      <c r="AU573">
        <v>0</v>
      </c>
      <c r="AV573">
        <v>0</v>
      </c>
      <c r="AW573">
        <v>0</v>
      </c>
      <c r="AX573" s="141">
        <f>COUNTIF(V573:AW573,"&lt;&gt;0")</f>
        <v>1</v>
      </c>
      <c r="AY573" s="141">
        <f>COUNTIF(V573:AL573,"&lt;&gt;0")</f>
        <v>1</v>
      </c>
      <c r="AZ573">
        <f>COUNTIF(V573:AC573,"&lt;&gt;0")</f>
        <v>0</v>
      </c>
      <c r="BA573">
        <f>COUNTIF(AD573:AI573,"&lt;&gt;0")</f>
        <v>0</v>
      </c>
      <c r="BB573">
        <f>COUNTIF(AJ573:AL573,"&lt;&gt;0")</f>
        <v>1</v>
      </c>
      <c r="BC573">
        <f>COUNTIF(AS573:AW573,"&lt;&gt;0")</f>
        <v>0</v>
      </c>
      <c r="BD573">
        <f>COUNTIF(AM573:AR573,"&lt;&gt;0")</f>
        <v>0</v>
      </c>
      <c r="BE573" t="str" cm="1">
        <f t="array" ref="BE573">IF(AY573=1,INDEX($V$7:$AL$7,MATCH(TRUE,INDEX($V573:$AW573&lt;&gt;0,),0)),IF(AY573=0,INDEX($AM$7:$AW$7,MATCH(1,$AM573:$AW573,0)),IF(BF573="Multiple strategies","mixed drivers",IF(BF573="Supply chain","multiple supply","multiple silviculture"))))</f>
        <v>efficiency improvement</v>
      </c>
      <c r="BF573" s="2" t="str" cm="1">
        <f t="array" ref="BF573">IF(COUNTIF(AZ573:BB573,"&lt;&gt;0")=1,INDEX($V$4:$AW$4,MATCH(TRUE,INDEX($V573:$AW573&lt;&gt;0,),0)),IF(COUNTIF(AZ573:BB573,"&lt;&gt;0")=0,INDEX($AM$4:$AW$4,MATCH(1,$AM573:$AW573,0)),"Multiple strategies"))</f>
        <v>Technology</v>
      </c>
      <c r="BG573" s="142" t="s">
        <v>229</v>
      </c>
      <c r="BH573" t="s">
        <v>970</v>
      </c>
      <c r="BI573" t="s">
        <v>971</v>
      </c>
      <c r="BJ573" t="s">
        <v>498</v>
      </c>
      <c r="BK573">
        <v>1</v>
      </c>
      <c r="BL573">
        <v>1</v>
      </c>
      <c r="BM573">
        <f>IFERROR(BL573/BK573,"")</f>
        <v>1</v>
      </c>
      <c r="BN573">
        <f>BL573-BK573</f>
        <v>0</v>
      </c>
      <c r="BO573">
        <v>1</v>
      </c>
      <c r="BP573" t="s">
        <v>232</v>
      </c>
      <c r="BQ573" t="s">
        <v>972</v>
      </c>
      <c r="BR573" s="264" t="s">
        <v>973</v>
      </c>
      <c r="BS573">
        <v>0.28399999999999997</v>
      </c>
      <c r="BT573">
        <v>0.32900000000000001</v>
      </c>
      <c r="BV573">
        <f>BT573-BS573</f>
        <v>4.500000000000004E-2</v>
      </c>
      <c r="BX573">
        <f>BV573</f>
        <v>4.500000000000004E-2</v>
      </c>
      <c r="BY573">
        <f>IFERROR(BX573/BO573,"")</f>
        <v>4.500000000000004E-2</v>
      </c>
      <c r="BZ573">
        <v>0</v>
      </c>
      <c r="CA573">
        <v>0</v>
      </c>
      <c r="CB573">
        <v>0</v>
      </c>
      <c r="CC573">
        <v>0</v>
      </c>
      <c r="CD573">
        <v>0</v>
      </c>
      <c r="CE573">
        <v>0</v>
      </c>
      <c r="CF573">
        <v>0</v>
      </c>
      <c r="CG573">
        <v>0</v>
      </c>
      <c r="CH573">
        <v>0</v>
      </c>
      <c r="CI573">
        <v>0</v>
      </c>
      <c r="CJ573">
        <v>0</v>
      </c>
      <c r="CK573">
        <v>0</v>
      </c>
      <c r="CL573">
        <v>0</v>
      </c>
      <c r="CM573">
        <v>0</v>
      </c>
      <c r="CN573" t="str">
        <f>IF($BL573&lt;$BK573,"refNeedCorrection","refOK")</f>
        <v>refOK</v>
      </c>
      <c r="CO573">
        <f>IF($CN573="refOK",$BK573,$BL573)</f>
        <v>1</v>
      </c>
      <c r="CP573">
        <f>IF($CN573="refOK",$BL573,$BK573)</f>
        <v>1</v>
      </c>
      <c r="CQ573">
        <f>IF($CN573="refOK",$BO573,-$BO573)</f>
        <v>1</v>
      </c>
      <c r="CR573">
        <f>IF($CN573="refOK",$BS573,$BT573)*IF($BP573="Emissions positive",-1,1)</f>
        <v>0.28399999999999997</v>
      </c>
      <c r="CS573">
        <f>IF($CN573="refOK",$BT573,$BS573)*IF($BP573="Emissions positive",-1,1)</f>
        <v>0.32900000000000001</v>
      </c>
      <c r="CT573">
        <f>IF($CN573="refNeedCorrection",-BX573,BX573)*IF($BP573="Emissions positive",-1,1)</f>
        <v>4.500000000000004E-2</v>
      </c>
      <c r="CU573">
        <f>IFERROR(CT573/CQ573,"")</f>
        <v>4.500000000000004E-2</v>
      </c>
      <c r="CV573" s="2">
        <f>IFERROR((CS573-CR573)/ABS(CR573),"")</f>
        <v>0.15845070422535226</v>
      </c>
      <c r="CW573" s="1" t="s">
        <v>974</v>
      </c>
      <c r="CX573" s="264" t="str">
        <f>IF(OR($CW573="prd",$CW573="std",$CW573="cit"),"loc",IF(OR($CW573="eur",$CW573="reg",$CW573="coy"),"reg",$CW573))</f>
        <v>loc</v>
      </c>
      <c r="CY573" t="s">
        <v>264</v>
      </c>
      <c r="DB573">
        <v>50</v>
      </c>
      <c r="DC573" t="str">
        <f>IF(DB573=0,"0",IF(AND(DB573&gt;=1,DB573&lt;=30),"1-30",IF(AND(DB573&gt;30,DB573&lt;=70),"31-70",IF(AND(DB573&gt;70,DB573&lt;=100),"71-100",IF(DB573&gt;100,"+100")))))</f>
        <v>31-70</v>
      </c>
      <c r="DD573">
        <v>0</v>
      </c>
      <c r="DE573">
        <v>0</v>
      </c>
      <c r="DF573">
        <v>0</v>
      </c>
      <c r="DG573">
        <v>1</v>
      </c>
      <c r="DH573">
        <v>0</v>
      </c>
      <c r="DI573">
        <f>SUM(DD573:DG573)</f>
        <v>1</v>
      </c>
      <c r="DJ573" t="str">
        <f>IF(DI573=1,INDEX($DD$7:$DG$7,MATCH(1,$DD573:$DG573,0)),"mixedProduct")</f>
        <v>TimberInput</v>
      </c>
      <c r="DK573">
        <f>IF(DD573=1,DK$7,0)</f>
        <v>0</v>
      </c>
      <c r="DL573">
        <f>IF(DE573=1,DL$7,0)</f>
        <v>0</v>
      </c>
      <c r="DM573">
        <f>IF(DF573=1,DM$7,0)</f>
        <v>0</v>
      </c>
      <c r="DN573" t="str">
        <f>IF(DG573=1,DN$7,0)</f>
        <v>Timber</v>
      </c>
      <c r="DO573">
        <v>1</v>
      </c>
      <c r="DP573">
        <v>0</v>
      </c>
      <c r="DQ573">
        <v>0</v>
      </c>
      <c r="DR573">
        <v>0</v>
      </c>
      <c r="DS573">
        <v>0</v>
      </c>
      <c r="DT573">
        <f>SUM(DO573:DP573)</f>
        <v>1</v>
      </c>
      <c r="DU573" s="143" t="str">
        <f>IF(DO573=1,"self-calculated DF",IF(DP573=1,"external DF used","explicit C balance"))</f>
        <v>self-calculated DF</v>
      </c>
      <c r="DV573" s="143">
        <v>0</v>
      </c>
      <c r="DW573" s="143">
        <v>0</v>
      </c>
      <c r="DX573" s="143">
        <v>0</v>
      </c>
      <c r="DY573" s="143">
        <v>0</v>
      </c>
      <c r="DZ573">
        <v>0</v>
      </c>
      <c r="EA573" s="143">
        <v>1</v>
      </c>
      <c r="EB573" s="143">
        <v>0</v>
      </c>
      <c r="EC573" s="143">
        <v>1</v>
      </c>
      <c r="ED573" s="143">
        <v>0</v>
      </c>
      <c r="EE573">
        <v>1</v>
      </c>
      <c r="EF573">
        <v>0</v>
      </c>
      <c r="EG573" s="143">
        <v>0</v>
      </c>
      <c r="EH573" s="143">
        <v>0</v>
      </c>
      <c r="EI573" s="2">
        <v>0</v>
      </c>
      <c r="EK573" t="str">
        <f>IF(AND(AND(AND(OR($DX573=1,$DW573=1),OR($EC573=1,$EA573=1)),SUM($DV573:$DZ573,$EF573)&gt;=4),SUM($EA573:$EE573)&gt;=2),"Whole sector","")</f>
        <v/>
      </c>
      <c r="EL573" t="str">
        <f>IF(AND(AND(OR($DX573=1,$DW573=1),AND($EC573=0,$EA573=0)),SUM($DV573:$DZ573,$EF573)&gt;=4),"Ecosystem approach","")</f>
        <v/>
      </c>
      <c r="EM573" s="2" t="str">
        <f>IF(AND(AND(AND($DX573=0,$DW573=0),OR($EC573=1,$EA573=1)),SUM($EB573:$EE573)&gt;=2),"Technology approach","")</f>
        <v>Technology approach</v>
      </c>
      <c r="EN573" t="s">
        <v>977</v>
      </c>
      <c r="EP573" t="str">
        <f>IF(ISNUMBER(BU573),IF(ABS(BU573-[3]QC_indicators!$B$2)&gt;3*[3]QC_indicators!$C$2,"C ratio",IF(ISNUMBER(BY573),IF(ABS(BY573-[3]QC_indicators!$B$1)&gt;3*[3]QC_indicators!$C$1,"DF","no"))),IF(ISNUMBER(BY573),IF(ABS(BY573-[3]QC_indicators!$B$1)&gt;3*[3]QC_indicators!$C$1,"DF","no")))</f>
        <v>no</v>
      </c>
      <c r="ET573" s="264" t="s">
        <v>3407</v>
      </c>
    </row>
    <row r="574" spans="1:150" ht="15" customHeight="1">
      <c r="A574" s="1" t="s">
        <v>265</v>
      </c>
      <c r="B574" t="s">
        <v>266</v>
      </c>
      <c r="C574" t="s">
        <v>267</v>
      </c>
      <c r="D574" t="s">
        <v>268</v>
      </c>
      <c r="E574" t="s">
        <v>269</v>
      </c>
      <c r="F574" t="s">
        <v>270</v>
      </c>
      <c r="G574" t="s">
        <v>271</v>
      </c>
      <c r="H574" t="s">
        <v>254</v>
      </c>
      <c r="I574">
        <v>2022</v>
      </c>
      <c r="J574">
        <v>0</v>
      </c>
      <c r="K574" t="s">
        <v>272</v>
      </c>
      <c r="M574" t="str">
        <f>LEFT($D574,FIND(",",$D574)-1)&amp;"_"&amp;I574&amp;L574</f>
        <v>Aryapratama_2022</v>
      </c>
      <c r="N574" t="s">
        <v>222</v>
      </c>
      <c r="O574" s="145" t="s">
        <v>274</v>
      </c>
      <c r="Q574" t="s">
        <v>224</v>
      </c>
      <c r="R574" s="262" t="s">
        <v>223</v>
      </c>
      <c r="S574" s="263" t="s">
        <v>3105</v>
      </c>
      <c r="T574" t="s">
        <v>295</v>
      </c>
      <c r="U574" t="s">
        <v>289</v>
      </c>
      <c r="V574">
        <v>0</v>
      </c>
      <c r="W574">
        <v>0</v>
      </c>
      <c r="X574">
        <v>0</v>
      </c>
      <c r="Y574">
        <v>0</v>
      </c>
      <c r="Z574">
        <v>0</v>
      </c>
      <c r="AA574">
        <v>0</v>
      </c>
      <c r="AB574">
        <v>0</v>
      </c>
      <c r="AC574">
        <v>0</v>
      </c>
      <c r="AD574">
        <v>0</v>
      </c>
      <c r="AE574">
        <v>0</v>
      </c>
      <c r="AF574">
        <v>0</v>
      </c>
      <c r="AG574">
        <v>0</v>
      </c>
      <c r="AH574">
        <v>0</v>
      </c>
      <c r="AI574">
        <v>0</v>
      </c>
      <c r="AJ574">
        <v>0</v>
      </c>
      <c r="AK574">
        <v>1</v>
      </c>
      <c r="AL574">
        <v>0</v>
      </c>
      <c r="AM574">
        <v>0</v>
      </c>
      <c r="AN574">
        <v>0</v>
      </c>
      <c r="AO574">
        <v>0</v>
      </c>
      <c r="AP574">
        <v>0</v>
      </c>
      <c r="AQ574">
        <v>0</v>
      </c>
      <c r="AR574">
        <v>0</v>
      </c>
      <c r="AS574">
        <v>0</v>
      </c>
      <c r="AT574">
        <v>0</v>
      </c>
      <c r="AU574">
        <v>0</v>
      </c>
      <c r="AV574">
        <v>0</v>
      </c>
      <c r="AW574">
        <v>0</v>
      </c>
      <c r="AX574" s="141">
        <f>COUNTIF(V574:AW574,"&lt;&gt;0")</f>
        <v>1</v>
      </c>
      <c r="AY574" s="141">
        <f>COUNTIF(V574:AL574,"&lt;&gt;0")</f>
        <v>1</v>
      </c>
      <c r="AZ574">
        <f>COUNTIF(V574:AC574,"&lt;&gt;0")</f>
        <v>0</v>
      </c>
      <c r="BA574">
        <f>COUNTIF(AD574:AI574,"&lt;&gt;0")</f>
        <v>0</v>
      </c>
      <c r="BB574">
        <f>COUNTIF(AJ574:AL574,"&lt;&gt;0")</f>
        <v>1</v>
      </c>
      <c r="BC574">
        <f>COUNTIF(AS574:AW574,"&lt;&gt;0")</f>
        <v>0</v>
      </c>
      <c r="BD574">
        <f>COUNTIF(AM574:AR574,"&lt;&gt;0")</f>
        <v>0</v>
      </c>
      <c r="BE574" t="str">
        <f t="array" ref="BE574">IF(AY574=1,INDEX($V$7:$AL$7,MATCH(TRUE,INDEX($V574:$AW574&lt;&gt;0,),0)),IF(AY574=0,INDEX($AM$7:$AW$7,MATCH(1,$AM574:$AW574,0)),IF(BF574="Multiple strategies","mixed drivers",IF(BF574="Supply chain","multiple supply","multiple silviculture"))))</f>
        <v>technologies/design switch</v>
      </c>
      <c r="BF574" s="2" t="str" cm="1">
        <f t="array" ref="BF574">IF(COUNTIF(AZ574:BB574,"&lt;&gt;0")=1,INDEX($V$4:$AW$4,MATCH(TRUE,INDEX($V574:$AW574&lt;&gt;0,),0)),IF(COUNTIF(AZ574:BB574,"&lt;&gt;0")=0,INDEX($AM$4:$AW$4,MATCH(1,$AM574:$AW574,0)),"Multiple strategies"))</f>
        <v>Technology</v>
      </c>
      <c r="BG574" s="1" t="s">
        <v>229</v>
      </c>
      <c r="BH574" t="s">
        <v>277</v>
      </c>
      <c r="BI574" s="264" t="s">
        <v>3106</v>
      </c>
      <c r="BJ574" t="s">
        <v>278</v>
      </c>
      <c r="BK574">
        <v>0</v>
      </c>
      <c r="BL574">
        <v>757.78980054033161</v>
      </c>
      <c r="BN574">
        <f>BL574-BK574</f>
        <v>757.78980054033161</v>
      </c>
      <c r="BO574">
        <f>BN574*tC_to_m3</f>
        <v>3290.4463766406066</v>
      </c>
      <c r="BP574" t="s">
        <v>232</v>
      </c>
      <c r="BQ574" s="337" t="s">
        <v>3107</v>
      </c>
      <c r="BR574" t="s">
        <v>279</v>
      </c>
      <c r="BS574">
        <v>-1308.953389930055</v>
      </c>
      <c r="BT574">
        <v>-1160.011828609915</v>
      </c>
      <c r="BU574" s="144">
        <f>IFERROR(BT574/BS574,"")</f>
        <v>0.88621324298789683</v>
      </c>
      <c r="BV574">
        <f>BT574-BS574</f>
        <v>148.94156132013995</v>
      </c>
      <c r="BX574">
        <f>BV574</f>
        <v>148.94156132013995</v>
      </c>
      <c r="BY574">
        <f>IFERROR(BX574/BO574,"")</f>
        <v>4.5264849893163248E-2</v>
      </c>
      <c r="BZ574">
        <v>0</v>
      </c>
      <c r="CA574">
        <v>0</v>
      </c>
      <c r="CB574">
        <v>0</v>
      </c>
      <c r="CC574">
        <v>0</v>
      </c>
      <c r="CD574">
        <v>0</v>
      </c>
      <c r="CE574">
        <v>0</v>
      </c>
      <c r="CF574">
        <v>0</v>
      </c>
      <c r="CG574">
        <v>0</v>
      </c>
      <c r="CH574">
        <v>0</v>
      </c>
      <c r="CI574">
        <v>0</v>
      </c>
      <c r="CJ574">
        <v>0</v>
      </c>
      <c r="CK574">
        <v>0</v>
      </c>
      <c r="CL574">
        <v>0</v>
      </c>
      <c r="CM574">
        <v>0</v>
      </c>
      <c r="CN574" t="str">
        <f>IF($BL574&lt;$BK574,"refNeedCorrection","refOK")</f>
        <v>refOK</v>
      </c>
      <c r="CO574">
        <f>IF($CN574="refNeedCorrection",BL574,BK574)</f>
        <v>0</v>
      </c>
      <c r="CP574">
        <f>IF($CN574="refNeedCorrection",BK574,BL574)</f>
        <v>757.78980054033161</v>
      </c>
      <c r="CQ574">
        <f>IF($CN574="refOK",$BO574,-$BO574)</f>
        <v>3290.4463766406066</v>
      </c>
      <c r="CR574">
        <f>IF($CN574="refOK",$BS574,$BT574)*IF($BP574="Emissions positive",-1,1)</f>
        <v>-1308.953389930055</v>
      </c>
      <c r="CS574">
        <f>IF($CN574="refOK",$BT574,$BS574)*IF($BP574="Emissions positive",-1,1)</f>
        <v>-1160.011828609915</v>
      </c>
      <c r="CT574">
        <f>IF($CN574="refNeedCorrection",-BX574,BX574)*IF($BP574="Emissions positive",-1,1)</f>
        <v>148.94156132013995</v>
      </c>
      <c r="CU574">
        <f>IFERROR(CT574/CQ574,"")</f>
        <v>4.5264849893163248E-2</v>
      </c>
      <c r="CV574" s="2">
        <f>IFERROR((CS574-CR574)/ABS(CR574),"")</f>
        <v>0.11378675701210321</v>
      </c>
      <c r="CW574" s="1" t="s">
        <v>234</v>
      </c>
      <c r="CX574" t="str">
        <f>IF(OR($CW574="prd",$CW574="std",$CW574="cit"),"loc",IF(OR($CW574="eur",$CW574="reg",$CW574="coy"),"reg",$CW574))</f>
        <v>loc</v>
      </c>
      <c r="CY574" t="s">
        <v>280</v>
      </c>
      <c r="DB574">
        <v>200</v>
      </c>
      <c r="DC574" t="str">
        <f>IF(DB574=0,"0",IF(AND(DB574&gt;=1,DB574&lt;=30),"1-30",IF(AND(DB574&gt;30,DB574&lt;=70),"31-70",IF(AND(DB574&gt;70,DB574&lt;=100),"71-100",IF(DB574&gt;100,"+100")))))</f>
        <v>+100</v>
      </c>
      <c r="DD574">
        <v>0</v>
      </c>
      <c r="DE574">
        <v>0</v>
      </c>
      <c r="DF574">
        <v>0</v>
      </c>
      <c r="DG574">
        <v>1</v>
      </c>
      <c r="DI574">
        <f>SUM(DD574:DG574)</f>
        <v>1</v>
      </c>
      <c r="DJ574" t="str">
        <f>IF(DI574=1,INDEX($DD$7:$DG$7,MATCH(1,$DD574:$DG574,0)),"mixedProduct")</f>
        <v>TimberInput</v>
      </c>
      <c r="DK574">
        <f>IF(DD574=1,DK$7,0)</f>
        <v>0</v>
      </c>
      <c r="DL574">
        <f>IF(DE574=1,DL$7,0)</f>
        <v>0</v>
      </c>
      <c r="DM574">
        <f>IF(DF574=1,DM$7,0)</f>
        <v>0</v>
      </c>
      <c r="DN574" t="str">
        <f>IF(DG574=1,DN$7,0)</f>
        <v>Timber</v>
      </c>
      <c r="DO574">
        <v>0</v>
      </c>
      <c r="DP574">
        <v>1</v>
      </c>
      <c r="DQ574">
        <v>0</v>
      </c>
      <c r="DR574" t="s">
        <v>292</v>
      </c>
      <c r="DS574">
        <v>0</v>
      </c>
      <c r="DT574">
        <f>SUM(DO574:DP574)</f>
        <v>1</v>
      </c>
      <c r="DU574" s="143" t="str">
        <f>IF(DO574=1,"self-calculated DF",IF(DP574=1,"external DF used","explicit C balance"))</f>
        <v>external DF used</v>
      </c>
      <c r="DV574">
        <v>0</v>
      </c>
      <c r="DW574">
        <v>1</v>
      </c>
      <c r="DX574">
        <v>1</v>
      </c>
      <c r="DY574">
        <v>1</v>
      </c>
      <c r="DZ574">
        <v>1</v>
      </c>
      <c r="EA574" s="143">
        <v>0</v>
      </c>
      <c r="EB574">
        <v>1</v>
      </c>
      <c r="EC574">
        <v>1</v>
      </c>
      <c r="ED574">
        <v>0</v>
      </c>
      <c r="EE574">
        <v>1</v>
      </c>
      <c r="EF574">
        <v>1</v>
      </c>
      <c r="EG574">
        <v>1</v>
      </c>
      <c r="EH574">
        <v>0</v>
      </c>
      <c r="EI574" s="2">
        <v>0</v>
      </c>
      <c r="EK574" t="str">
        <f>IF(AND(AND(AND(OR($DX574=1,$DW574=1),OR($EC574=1,$EA574=1)),SUM($DV574:$DZ574,$EF574)&gt;=4),SUM($EA574:$EE574)&gt;=2),"Whole sector","")</f>
        <v>Whole sector</v>
      </c>
      <c r="EL574" t="str">
        <f>IF(AND(AND(OR($DX574=1,$DW574=1),AND($EC574=0,$EA574=0)),SUM($DV574:$DZ574,$EF574)&gt;=4),"Ecosystem approach","")</f>
        <v/>
      </c>
      <c r="EM574" s="2" t="str">
        <f>IF(AND(AND(AND($DX574=0,$DW574=0),OR($EC574=1,$EA574=1)),SUM($EB574:$EE574)&gt;=2),"Technology approach","")</f>
        <v/>
      </c>
      <c r="EP574" t="str">
        <f>IF(ISNUMBER(BU574),IF(ABS(BU574-[1]QC_indicators!$B$2)&gt;3*[1]QC_indicators!$C$2,"C ratio",IF(ISNUMBER(BY574),IF(ABS(BY574-[1]QC_indicators!$B$1)&gt;3*[1]QC_indicators!$C$1,"DF","no"))),IF(ISNUMBER(BY574),IF(ABS(BY574-[1]QC_indicators!$B$1)&gt;3*[1]QC_indicators!$C$1,"DF","no")))</f>
        <v>no</v>
      </c>
      <c r="EQ574" t="s">
        <v>286</v>
      </c>
      <c r="ER574" t="s">
        <v>296</v>
      </c>
      <c r="ET574" s="264" t="s">
        <v>3273</v>
      </c>
    </row>
    <row r="575" spans="1:150" ht="15" customHeight="1">
      <c r="A575" s="1" t="s">
        <v>265</v>
      </c>
      <c r="B575" t="s">
        <v>1531</v>
      </c>
      <c r="C575" t="s">
        <v>1532</v>
      </c>
      <c r="D575" t="s">
        <v>1533</v>
      </c>
      <c r="E575" t="s">
        <v>1534</v>
      </c>
      <c r="F575" t="s">
        <v>1535</v>
      </c>
      <c r="G575" t="s">
        <v>271</v>
      </c>
      <c r="H575" t="s">
        <v>254</v>
      </c>
      <c r="I575">
        <v>2019</v>
      </c>
      <c r="J575">
        <v>26</v>
      </c>
      <c r="K575" t="s">
        <v>1536</v>
      </c>
      <c r="M575" t="str">
        <f>LEFT($D575,FIND(",",$D575)-1)&amp;"_"&amp;I575&amp;L575</f>
        <v>Faraca_2019</v>
      </c>
      <c r="N575" t="s">
        <v>222</v>
      </c>
      <c r="O575" s="145" t="s">
        <v>274</v>
      </c>
      <c r="P575" s="180" t="s">
        <v>223</v>
      </c>
      <c r="Q575" t="s">
        <v>256</v>
      </c>
      <c r="R575" s="262" t="s">
        <v>223</v>
      </c>
      <c r="S575" s="263" t="s">
        <v>3136</v>
      </c>
      <c r="T575" t="s">
        <v>1538</v>
      </c>
      <c r="U575" t="s">
        <v>1549</v>
      </c>
      <c r="V575">
        <v>0</v>
      </c>
      <c r="W575">
        <v>0</v>
      </c>
      <c r="X575">
        <v>0</v>
      </c>
      <c r="Y575">
        <v>0</v>
      </c>
      <c r="Z575">
        <v>0</v>
      </c>
      <c r="AA575">
        <v>0</v>
      </c>
      <c r="AB575">
        <v>0</v>
      </c>
      <c r="AC575">
        <v>0</v>
      </c>
      <c r="AD575">
        <v>0</v>
      </c>
      <c r="AE575">
        <v>0</v>
      </c>
      <c r="AF575">
        <v>0</v>
      </c>
      <c r="AG575">
        <v>1</v>
      </c>
      <c r="AH575">
        <v>0</v>
      </c>
      <c r="AI575">
        <v>0</v>
      </c>
      <c r="AJ575">
        <v>0</v>
      </c>
      <c r="AK575">
        <v>0</v>
      </c>
      <c r="AL575">
        <v>0</v>
      </c>
      <c r="AM575">
        <v>0</v>
      </c>
      <c r="AN575">
        <v>0</v>
      </c>
      <c r="AO575">
        <v>0</v>
      </c>
      <c r="AP575">
        <v>0</v>
      </c>
      <c r="AQ575">
        <v>0</v>
      </c>
      <c r="AR575">
        <v>0</v>
      </c>
      <c r="AS575">
        <v>0</v>
      </c>
      <c r="AT575">
        <v>0</v>
      </c>
      <c r="AU575">
        <v>0</v>
      </c>
      <c r="AV575">
        <v>0</v>
      </c>
      <c r="AW575">
        <v>0</v>
      </c>
      <c r="AX575" s="141">
        <f>COUNTIF(V575:AW575,"&lt;&gt;0")</f>
        <v>1</v>
      </c>
      <c r="AY575" s="141">
        <f>COUNTIF(V575:AL575,"&lt;&gt;0")</f>
        <v>1</v>
      </c>
      <c r="AZ575">
        <f>COUNTIF(V575:AC575,"&lt;&gt;0")</f>
        <v>0</v>
      </c>
      <c r="BA575">
        <f>COUNTIF(AD575:AI575,"&lt;&gt;0")</f>
        <v>1</v>
      </c>
      <c r="BB575">
        <f>COUNTIF(AJ575:AL575,"&lt;&gt;0")</f>
        <v>0</v>
      </c>
      <c r="BC575">
        <f>COUNTIF(AS575:AW575,"&lt;&gt;0")</f>
        <v>0</v>
      </c>
      <c r="BD575">
        <f>COUNTIF(AM575:AR575,"&lt;&gt;0")</f>
        <v>0</v>
      </c>
      <c r="BE575" t="str">
        <f t="array" ref="BE575">IF(AY575=1,INDEX($V$7:$AL$7,MATCH(TRUE,INDEX($V575:$AW575&lt;&gt;0,),0)),IF(AY575=0,INDEX($AM$7:$AW$7,MATCH(1,$AM575:$AW575,0)),IF(BF575="Multiple strategies","mixed drivers",IF(BF575="Supply chain","multiple supply","multiple silviculture"))))</f>
        <v>recycling</v>
      </c>
      <c r="BF575" s="2" t="str" cm="1">
        <f t="array" ref="BF575">IF(COUNTIF(AZ575:BB575,"&lt;&gt;0")=1,INDEX($V$4:$AW$4,MATCH(TRUE,INDEX($V575:$AW575&lt;&gt;0,),0)),IF(COUNTIF(AZ575:BB575,"&lt;&gt;0")=0,INDEX($AM$4:$AW$4,MATCH(1,$AM575:$AW575,0)),"Multiple strategies"))</f>
        <v>Supply chain</v>
      </c>
      <c r="BG575" s="1" t="s">
        <v>229</v>
      </c>
      <c r="BH575" t="s">
        <v>1548</v>
      </c>
      <c r="BJ575" t="s">
        <v>345</v>
      </c>
      <c r="BK575">
        <v>922</v>
      </c>
      <c r="BL575">
        <f>922+519+281+121</f>
        <v>1843</v>
      </c>
      <c r="BM575">
        <v>1.9989154013015185</v>
      </c>
      <c r="BN575">
        <f>BL575-BK575</f>
        <v>921</v>
      </c>
      <c r="BO575">
        <f>BN575*kg_to_m3</f>
        <v>1.879591836734694</v>
      </c>
      <c r="BP575" s="264" t="s">
        <v>395</v>
      </c>
      <c r="BQ575" t="s">
        <v>426</v>
      </c>
      <c r="BR575" t="s">
        <v>728</v>
      </c>
      <c r="BS575">
        <v>33.9</v>
      </c>
      <c r="BT575">
        <v>-54.2</v>
      </c>
      <c r="BU575" s="144">
        <v>-0.52307692307692311</v>
      </c>
      <c r="BV575">
        <f>BT575-BS575</f>
        <v>-88.1</v>
      </c>
      <c r="BX575">
        <f>BV575/1000</f>
        <v>-8.8099999999999998E-2</v>
      </c>
      <c r="BY575">
        <f>IFERROR(BX575/BO575,"")</f>
        <v>-4.6871878393051028E-2</v>
      </c>
      <c r="BZ575">
        <v>0</v>
      </c>
      <c r="CA575">
        <v>0</v>
      </c>
      <c r="CB575">
        <v>0</v>
      </c>
      <c r="CC575">
        <v>0</v>
      </c>
      <c r="CD575">
        <v>0</v>
      </c>
      <c r="CE575">
        <v>0</v>
      </c>
      <c r="CF575">
        <v>0</v>
      </c>
      <c r="CG575">
        <v>0</v>
      </c>
      <c r="CH575">
        <v>0</v>
      </c>
      <c r="CI575">
        <v>0</v>
      </c>
      <c r="CJ575">
        <v>0</v>
      </c>
      <c r="CK575">
        <v>0</v>
      </c>
      <c r="CL575">
        <v>0</v>
      </c>
      <c r="CM575">
        <v>0</v>
      </c>
      <c r="CN575" t="str">
        <f>IF($BL575&lt;$BK575,"refNeedCorrection","refOK")</f>
        <v>refOK</v>
      </c>
      <c r="CO575">
        <f>IF($CN575="refNeedCorrection",BL575,BK575)</f>
        <v>922</v>
      </c>
      <c r="CP575">
        <f>IF($CN575="refNeedCorrection",BK575,BL575)</f>
        <v>1843</v>
      </c>
      <c r="CQ575">
        <f>IF($CN575="refOK",$BO575,-$BO575)</f>
        <v>1.879591836734694</v>
      </c>
      <c r="CR575">
        <f>IF($CN575="refOK",$BS575,$BT575)*IF($BP575="Emissions positive",-1,1)</f>
        <v>-33.9</v>
      </c>
      <c r="CS575">
        <f>IF($CN575="refOK",$BT575,$BS575)*IF($BP575="Emissions positive",-1,1)</f>
        <v>54.2</v>
      </c>
      <c r="CT575">
        <f>IF($CN575="refNeedCorrection",-BX575,BX575)*IF($BP575="Emissions positive",-1,1)</f>
        <v>8.8099999999999998E-2</v>
      </c>
      <c r="CU575">
        <f>IFERROR(CT575/CQ575,"")</f>
        <v>4.6871878393051028E-2</v>
      </c>
      <c r="CV575" s="2">
        <f>IFERROR((CS575-CR575)/ABS(CR575),"")</f>
        <v>2.5988200589970503</v>
      </c>
      <c r="CW575" s="1" t="s">
        <v>1199</v>
      </c>
      <c r="CX575" t="str">
        <f>IF(OR($CW575="prd",$CW575="std",$CW575="cit"),"loc",IF(OR($CW575="eur",$CW575="reg",$CW575="coy"),"reg",$CW575))</f>
        <v>reg</v>
      </c>
      <c r="CY575" t="s">
        <v>1540</v>
      </c>
      <c r="DB575">
        <v>100</v>
      </c>
      <c r="DC575" t="str">
        <f>IF(DB575=0,"0",IF(AND(DB575&gt;=1,DB575&lt;=30),"1-30",IF(AND(DB575&gt;30,DB575&lt;=70),"31-70",IF(AND(DB575&gt;70,DB575&lt;=100),"71-100",IF(DB575&gt;100,"+100")))))</f>
        <v>71-100</v>
      </c>
      <c r="DD575">
        <v>0</v>
      </c>
      <c r="DE575">
        <v>0</v>
      </c>
      <c r="DF575">
        <v>0</v>
      </c>
      <c r="DG575">
        <v>1</v>
      </c>
      <c r="DI575">
        <f>SUM(DD575:DG575)</f>
        <v>1</v>
      </c>
      <c r="DJ575" t="str">
        <f>IF(DI575=1,INDEX($DD$7:$DG$7,MATCH(1,$DD575:$DG575,0)),"mixedProduct")</f>
        <v>TimberInput</v>
      </c>
      <c r="DK575">
        <f>IF(DD575=1,DK$7,0)</f>
        <v>0</v>
      </c>
      <c r="DL575">
        <f>IF(DE575=1,DL$7,0)</f>
        <v>0</v>
      </c>
      <c r="DM575">
        <f>IF(DF575=1,DM$7,0)</f>
        <v>0</v>
      </c>
      <c r="DN575" t="str">
        <f>IF(DG575=1,DN$7,0)</f>
        <v>Timber</v>
      </c>
      <c r="DO575">
        <v>0</v>
      </c>
      <c r="DP575">
        <v>1</v>
      </c>
      <c r="DQ575">
        <v>0</v>
      </c>
      <c r="DR575">
        <v>0</v>
      </c>
      <c r="DS575" t="s">
        <v>1541</v>
      </c>
      <c r="DT575">
        <f>SUM(DO575:DP575)</f>
        <v>1</v>
      </c>
      <c r="DU575" s="143" t="str">
        <f>IF(DO575=1,"self-calculated DF",IF(DP575=1,"external DF used","explicit C balance"))</f>
        <v>external DF used</v>
      </c>
      <c r="DV575">
        <v>0</v>
      </c>
      <c r="DW575">
        <v>0</v>
      </c>
      <c r="DX575">
        <v>0</v>
      </c>
      <c r="DY575">
        <v>0</v>
      </c>
      <c r="DZ575">
        <v>1</v>
      </c>
      <c r="EA575" s="143">
        <v>1</v>
      </c>
      <c r="EB575">
        <v>0</v>
      </c>
      <c r="EC575">
        <v>1</v>
      </c>
      <c r="ED575">
        <v>0</v>
      </c>
      <c r="EE575">
        <v>1</v>
      </c>
      <c r="EF575">
        <v>1</v>
      </c>
      <c r="EG575">
        <v>1</v>
      </c>
      <c r="EH575">
        <v>0</v>
      </c>
      <c r="EI575" s="2">
        <v>0</v>
      </c>
      <c r="EK575" t="str">
        <f>IF(AND(AND(AND(OR($DX575=1,$DW575=1),OR($EC575=1,$EA575=1)),SUM($DV575:$DZ575,$EF575)&gt;=4),SUM($EA575:$EE575)&gt;=2),"Whole sector","")</f>
        <v/>
      </c>
      <c r="EL575" t="str">
        <f>IF(AND(AND(OR($DX575=1,$DW575=1),AND($EC575=0,$EA575=0)),SUM($DV575:$DZ575,$EF575)&gt;=4),"Ecosystem approach","")</f>
        <v/>
      </c>
      <c r="EM575" s="2" t="str">
        <f>IF(AND(AND(AND($DX575=0,$DW575=0),OR($EC575=1,$EA575=1)),SUM($EB575:$EE575)&gt;=2),"Technology approach","")</f>
        <v>Technology approach</v>
      </c>
      <c r="EP575" t="str">
        <f>IF(ISNUMBER(BU575),IF(ABS(BU575-[1]QC_indicators!$B$2)&gt;3*[1]QC_indicators!$C$2,"C ratio",IF(ISNUMBER(BY575),IF(ABS(BY575-[1]QC_indicators!$B$1)&gt;3*[1]QC_indicators!$C$1,"DF","no"))),IF(ISNUMBER(BY575),IF(ABS(BY575-[1]QC_indicators!$B$1)&gt;3*[1]QC_indicators!$C$1,"DF","no")))</f>
        <v>no</v>
      </c>
      <c r="ET575" s="264" t="s">
        <v>3273</v>
      </c>
    </row>
    <row r="576" spans="1:150" ht="15" customHeight="1">
      <c r="A576" s="1" t="s">
        <v>486</v>
      </c>
      <c r="B576" t="s">
        <v>487</v>
      </c>
      <c r="C576" t="s">
        <v>488</v>
      </c>
      <c r="D576" t="s">
        <v>489</v>
      </c>
      <c r="E576" t="s">
        <v>490</v>
      </c>
      <c r="F576" t="s">
        <v>491</v>
      </c>
      <c r="G576" t="s">
        <v>492</v>
      </c>
      <c r="H576" t="s">
        <v>254</v>
      </c>
      <c r="I576">
        <v>2019</v>
      </c>
      <c r="J576">
        <v>3</v>
      </c>
      <c r="K576" t="s">
        <v>493</v>
      </c>
      <c r="M576" t="str">
        <f>LEFT($D576,FIND(",",$D576)-1)&amp;"_"&amp;I576&amp;L576</f>
        <v>Butarbutar_2019</v>
      </c>
      <c r="N576" t="s">
        <v>222</v>
      </c>
      <c r="O576" s="145" t="s">
        <v>223</v>
      </c>
      <c r="Q576" s="264" t="s">
        <v>256</v>
      </c>
      <c r="R576" s="269" t="s">
        <v>1154</v>
      </c>
      <c r="S576" s="1" t="s">
        <v>500</v>
      </c>
      <c r="T576" t="s">
        <v>501</v>
      </c>
      <c r="U576" t="s">
        <v>503</v>
      </c>
      <c r="V576">
        <v>0</v>
      </c>
      <c r="W576">
        <v>0</v>
      </c>
      <c r="X576">
        <v>0</v>
      </c>
      <c r="Y576">
        <v>0</v>
      </c>
      <c r="Z576">
        <v>0</v>
      </c>
      <c r="AA576">
        <v>0</v>
      </c>
      <c r="AB576">
        <v>0</v>
      </c>
      <c r="AC576">
        <v>1</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s="141">
        <f>COUNTIF(V576:AW576,"&lt;&gt;0")</f>
        <v>1</v>
      </c>
      <c r="AY576" s="141">
        <f>COUNTIF(V576:AL576,"&lt;&gt;0")</f>
        <v>1</v>
      </c>
      <c r="AZ576">
        <f>COUNTIF(V576:AC576,"&lt;&gt;0")</f>
        <v>1</v>
      </c>
      <c r="BA576">
        <f>COUNTIF(AD576:AI576,"&lt;&gt;0")</f>
        <v>0</v>
      </c>
      <c r="BB576">
        <f>COUNTIF(AJ576:AL576,"&lt;&gt;0")</f>
        <v>0</v>
      </c>
      <c r="BC576">
        <f>COUNTIF(AS576:AW576,"&lt;&gt;0")</f>
        <v>0</v>
      </c>
      <c r="BD576">
        <f>COUNTIF(AM576:AR576,"&lt;&gt;0")</f>
        <v>0</v>
      </c>
      <c r="BE576" t="str" cm="1">
        <f t="array" ref="BE576">IF(AY576=1,INDEX($V$7:$AL$7,MATCH(TRUE,INDEX($V576:$AW576&lt;&gt;0,),0)),IF(AY576=0,INDEX($AM$7:$AW$7,MATCH(1,$AM576:$AW576,0)),IF(BF576="Multiple strategies","mixed drivers",IF(BF576="Supply chain","multiple supply","multiple silviculture"))))</f>
        <v>site fertility</v>
      </c>
      <c r="BF576" s="2" t="str" cm="1">
        <f t="array" ref="BF576">IF(COUNTIF(AZ576:BB576,"&lt;&gt;0")=1,INDEX($V$4:$AW$4,MATCH(TRUE,INDEX($V576:$AW576&lt;&gt;0,),0)),IF(COUNTIF(AZ576:BB576,"&lt;&gt;0")=0,INDEX($AM$4:$AW$4,MATCH(1,$AM576:$AW576,0)),"Multiple strategies"))</f>
        <v>Silviculture for productivity</v>
      </c>
      <c r="BG576" s="1" t="s">
        <v>321</v>
      </c>
      <c r="BH576" t="s">
        <v>497</v>
      </c>
      <c r="BJ576" t="s">
        <v>498</v>
      </c>
      <c r="BK576">
        <v>165.50800000000001</v>
      </c>
      <c r="BL576">
        <v>648.06500000000005</v>
      </c>
      <c r="BN576">
        <f>BL576-BK576</f>
        <v>482.55700000000002</v>
      </c>
      <c r="BO576">
        <f>BL576-BK576</f>
        <v>482.55700000000002</v>
      </c>
      <c r="BP576" s="264" t="s">
        <v>232</v>
      </c>
      <c r="BQ576" s="264"/>
      <c r="BR576" t="s">
        <v>278</v>
      </c>
      <c r="BS576">
        <v>-55.46</v>
      </c>
      <c r="BT576">
        <v>-48.93</v>
      </c>
      <c r="BU576" s="144">
        <v>0.88225748287053729</v>
      </c>
      <c r="BV576">
        <v>6.5300000000000011</v>
      </c>
      <c r="BX576">
        <f>BV576*C_to_CO2</f>
        <v>23.965100000000003</v>
      </c>
      <c r="BY576">
        <f>IFERROR(BX576/BO576,"")</f>
        <v>4.9662734143324005E-2</v>
      </c>
      <c r="BZ576" s="143">
        <v>0</v>
      </c>
      <c r="CA576" s="143">
        <v>0</v>
      </c>
      <c r="CB576" s="143">
        <v>0</v>
      </c>
      <c r="CC576" s="143">
        <v>0</v>
      </c>
      <c r="CD576" s="143">
        <v>0</v>
      </c>
      <c r="CE576" s="143">
        <v>0</v>
      </c>
      <c r="CF576" s="143">
        <v>0</v>
      </c>
      <c r="CG576" s="143">
        <v>0</v>
      </c>
      <c r="CH576" s="143">
        <v>0</v>
      </c>
      <c r="CI576" s="143">
        <v>0</v>
      </c>
      <c r="CJ576" s="143">
        <v>0</v>
      </c>
      <c r="CK576" s="143">
        <v>0</v>
      </c>
      <c r="CL576" s="143">
        <v>0</v>
      </c>
      <c r="CM576">
        <v>0</v>
      </c>
      <c r="CN576" t="str">
        <f>IF($BL576&lt;$BK576,"refNeedCorrection","refOK")</f>
        <v>refOK</v>
      </c>
      <c r="CO576">
        <f>IF($CN576="refNeedCorrection",BL576,BK576)</f>
        <v>165.50800000000001</v>
      </c>
      <c r="CP576">
        <f>IF($CN576="refNeedCorrection",BK576,BL576)</f>
        <v>648.06500000000005</v>
      </c>
      <c r="CQ576">
        <f>IF($CN576="refOK",$BO576,-$BO576)</f>
        <v>482.55700000000002</v>
      </c>
      <c r="CR576">
        <f>IF($CN576="refOK",$BS576,$BT576)*IF($BP576="Emissions positive",-1,1)</f>
        <v>-55.46</v>
      </c>
      <c r="CS576">
        <f>IF($CN576="refOK",$BT576,$BS576)*IF($BP576="Emissions positive",-1,1)</f>
        <v>-48.93</v>
      </c>
      <c r="CT576">
        <f>IF($CN576="refNeedCorrection",-BX576,BX576)*IF($BP576="Emissions positive",-1,1)</f>
        <v>23.965100000000003</v>
      </c>
      <c r="CU576">
        <f>IFERROR(CT576/CQ576,"")</f>
        <v>4.9662734143324005E-2</v>
      </c>
      <c r="CV576" s="2">
        <f>IFERROR((CS576-CR576)/ABS(CR576),"")</f>
        <v>0.1177425171294627</v>
      </c>
      <c r="CW576" s="1" t="s">
        <v>234</v>
      </c>
      <c r="CX576" s="264" t="str">
        <f>IF(OR($CW576="prd",$CW576="std",$CW576="cit"),"loc",IF(OR($CW576="eur",$CW576="reg",$CW576="coy"),"reg",$CW576))</f>
        <v>loc</v>
      </c>
      <c r="CY576" t="s">
        <v>280</v>
      </c>
      <c r="CZ576">
        <v>1985</v>
      </c>
      <c r="DA576">
        <v>2016</v>
      </c>
      <c r="DB576">
        <f>DA576-CZ576</f>
        <v>31</v>
      </c>
      <c r="DC576" t="str">
        <f>IF(DB576=0,"0",IF(AND(DB576&gt;=1,DB576&lt;=30),"1-30",IF(AND(DB576&gt;30,DB576&lt;=70),"31-70",IF(AND(DB576&gt;70,DB576&lt;=100),"71-100",IF(DB576&gt;100,"+100")))))</f>
        <v>31-70</v>
      </c>
      <c r="DD576">
        <v>1</v>
      </c>
      <c r="DE576">
        <v>0</v>
      </c>
      <c r="DF576">
        <v>0</v>
      </c>
      <c r="DG576">
        <v>0</v>
      </c>
      <c r="DI576">
        <f>SUM(DD576:DG576)</f>
        <v>1</v>
      </c>
      <c r="DJ576" t="str">
        <f>IF(DI576=1,INDEX($DD$7:$DG$7,MATCH(1,$DD576:$DG576,0)),"mixedProduct")</f>
        <v>UpstreamInput</v>
      </c>
      <c r="DK576" t="str">
        <f>IF(DD576=1,DK$7,0)</f>
        <v>Upstream</v>
      </c>
      <c r="DL576">
        <f>IF(DE576=1,DL$7,0)</f>
        <v>0</v>
      </c>
      <c r="DM576">
        <f>IF(DF576=1,DM$7,0)</f>
        <v>0</v>
      </c>
      <c r="DN576">
        <f>IF(DG576=1,DN$7,0)</f>
        <v>0</v>
      </c>
      <c r="DO576">
        <v>0</v>
      </c>
      <c r="DP576" s="143">
        <v>0</v>
      </c>
      <c r="DQ576" s="143">
        <v>0</v>
      </c>
      <c r="DR576" s="143">
        <v>0</v>
      </c>
      <c r="DS576">
        <v>0</v>
      </c>
      <c r="DT576">
        <f>SUM(DO576:DP576)</f>
        <v>0</v>
      </c>
      <c r="DU576" s="143" t="str">
        <f>IF(DO576=1,"self-calculated DF",IF(DP576=1,"external DF used","explicit C balance"))</f>
        <v>explicit C balance</v>
      </c>
      <c r="DV576">
        <v>1</v>
      </c>
      <c r="DW576" s="143">
        <v>1</v>
      </c>
      <c r="DX576" s="143">
        <v>1</v>
      </c>
      <c r="DY576" s="143">
        <v>0</v>
      </c>
      <c r="DZ576">
        <v>0</v>
      </c>
      <c r="EA576" s="141">
        <v>0</v>
      </c>
      <c r="EB576">
        <v>0</v>
      </c>
      <c r="EC576" s="143">
        <v>0</v>
      </c>
      <c r="ED576" s="143">
        <v>0</v>
      </c>
      <c r="EE576">
        <v>0</v>
      </c>
      <c r="EF576">
        <v>1</v>
      </c>
      <c r="EG576" s="143">
        <v>0</v>
      </c>
      <c r="EH576" s="143">
        <v>0</v>
      </c>
      <c r="EI576" s="2">
        <v>0</v>
      </c>
      <c r="EK576" t="str">
        <f>IF(AND(AND(AND(OR($DX576=1,$DW576=1),OR($EC576=1,$EA576=1)),SUM($DV576:$DZ576,$EF576)&gt;=4),SUM($EA576:$EE576)&gt;=2),"Whole sector","")</f>
        <v/>
      </c>
      <c r="EL576" t="str">
        <f>IF(AND(AND(OR($DX576=1,$DW576=1),AND($EC576=0,$EA576=0)),SUM($DV576:$DZ576,$EF576)&gt;=4),"Ecosystem approach","")</f>
        <v>Ecosystem approach</v>
      </c>
      <c r="EM576" s="2" t="str">
        <f>IF(AND(AND(AND($DX576=0,$DW576=0),OR($EC576=1,$EA576=1)),SUM($EB576:$EE576)&gt;=2),"Technology approach","")</f>
        <v/>
      </c>
      <c r="EP576" t="str">
        <f>IF(ISNUMBER(BU576),IF(ABS(BU576-[3]QC_indicators!$B$2)&gt;3*[3]QC_indicators!$C$2,"C ratio",IF(ISNUMBER(BY576),IF(ABS(BY576-[3]QC_indicators!$B$1)&gt;3*[3]QC_indicators!$C$1,"DF","no"))),IF(ISNUMBER(BY576),IF(ABS(BY576-[3]QC_indicators!$B$1)&gt;3*[3]QC_indicators!$C$1,"DF","no")))</f>
        <v>no</v>
      </c>
      <c r="ER576" s="294" t="s">
        <v>349</v>
      </c>
      <c r="ET576" s="264" t="s">
        <v>3407</v>
      </c>
    </row>
    <row r="577" spans="1:150" ht="15" customHeight="1">
      <c r="A577" s="1" t="s">
        <v>1360</v>
      </c>
      <c r="B577" t="s">
        <v>2135</v>
      </c>
      <c r="C577" t="s">
        <v>2136</v>
      </c>
      <c r="D577" t="s">
        <v>2137</v>
      </c>
      <c r="E577" t="s">
        <v>2138</v>
      </c>
      <c r="F577" t="s">
        <v>2139</v>
      </c>
      <c r="G577" t="s">
        <v>1366</v>
      </c>
      <c r="H577" t="s">
        <v>254</v>
      </c>
      <c r="I577">
        <v>2012</v>
      </c>
      <c r="J577">
        <v>21</v>
      </c>
      <c r="K577" t="s">
        <v>2140</v>
      </c>
      <c r="L577" s="192"/>
      <c r="M577" t="str">
        <f>LEFT($D577,FIND(",",$D577)-1)&amp;"_"&amp;I577&amp;L577</f>
        <v>Pyorala_2012</v>
      </c>
      <c r="N577" t="s">
        <v>222</v>
      </c>
      <c r="O577" s="145" t="s">
        <v>341</v>
      </c>
      <c r="P577" s="180" t="s">
        <v>223</v>
      </c>
      <c r="Q577" s="264" t="s">
        <v>256</v>
      </c>
      <c r="R577" s="269" t="s">
        <v>1154</v>
      </c>
      <c r="S577" s="263" t="s">
        <v>2149</v>
      </c>
      <c r="T577" s="264" t="s">
        <v>2143</v>
      </c>
      <c r="U577" s="264" t="s">
        <v>2148</v>
      </c>
      <c r="V577">
        <v>0</v>
      </c>
      <c r="W577">
        <v>0</v>
      </c>
      <c r="X577">
        <v>0</v>
      </c>
      <c r="Y577">
        <v>1</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s="141">
        <f>COUNTIF(V577:AW577,"&lt;&gt;0")</f>
        <v>1</v>
      </c>
      <c r="AY577" s="141">
        <f>COUNTIF(V577:AL577,"&lt;&gt;0")</f>
        <v>1</v>
      </c>
      <c r="AZ577">
        <f>COUNTIF(V577:AC577,"&lt;&gt;0")</f>
        <v>1</v>
      </c>
      <c r="BA577">
        <f>COUNTIF(AD577:AI577,"&lt;&gt;0")</f>
        <v>0</v>
      </c>
      <c r="BB577">
        <f>COUNTIF(AJ577:AL577,"&lt;&gt;0")</f>
        <v>0</v>
      </c>
      <c r="BC577">
        <f>COUNTIF(AS577:AW577,"&lt;&gt;0")</f>
        <v>0</v>
      </c>
      <c r="BD577">
        <f>COUNTIF(AM577:AR577,"&lt;&gt;0")</f>
        <v>0</v>
      </c>
      <c r="BE577" t="str" cm="1">
        <f t="array" ref="BE577">IF(AY577=1,INDEX($V$7:$AL$7,MATCH(TRUE,INDEX($V577:$AW577&lt;&gt;0,),0)),IF(AY577=0,INDEX($AM$7:$AW$7,MATCH(1,$AM577:$AW577,0)),IF(BF577="Multiple strategies","mixed drivers",IF(BF577="Supply chain","multiple supply","multiple silviculture"))))</f>
        <v xml:space="preserve">cutting intensity </v>
      </c>
      <c r="BF577" s="2" t="str" cm="1">
        <f t="array" ref="BF577">IF(COUNTIF(AZ577:BB577,"&lt;&gt;0")=1,INDEX($V$4:$AW$4,MATCH(TRUE,INDEX($V577:$AW577&lt;&gt;0,),0)),IF(COUNTIF(AZ577:BB577,"&lt;&gt;0")=0,INDEX($AM$4:$AW$4,MATCH(1,$AM577:$AW577,0)),"Multiple strategies"))</f>
        <v>Silviculture for removals</v>
      </c>
      <c r="BG577" s="178" t="s">
        <v>321</v>
      </c>
      <c r="BH577" s="264" t="s">
        <v>2144</v>
      </c>
      <c r="BI577" s="264" t="s">
        <v>701</v>
      </c>
      <c r="BJ577" s="160" t="s">
        <v>700</v>
      </c>
      <c r="BK577">
        <v>7.8</v>
      </c>
      <c r="BL577">
        <v>9</v>
      </c>
      <c r="BN577">
        <f>BL577-BK577</f>
        <v>1.2000000000000002</v>
      </c>
      <c r="BO577">
        <f>BN577</f>
        <v>1.2000000000000002</v>
      </c>
      <c r="BP577" s="155" t="s">
        <v>395</v>
      </c>
      <c r="BQ577" s="264" t="s">
        <v>786</v>
      </c>
      <c r="BR577" s="270" t="s">
        <v>2145</v>
      </c>
      <c r="BS577">
        <f>-3.5/50</f>
        <v>-7.0000000000000007E-2</v>
      </c>
      <c r="BT577">
        <f>-6.6/50</f>
        <v>-0.13200000000000001</v>
      </c>
      <c r="BU577" s="144"/>
      <c r="BV577">
        <f>BT577-BS577</f>
        <v>-6.2E-2</v>
      </c>
      <c r="BX577">
        <f>BV577</f>
        <v>-6.2E-2</v>
      </c>
      <c r="BY577">
        <f>IFERROR(BX577/BO577,"")</f>
        <v>-5.1666666666666659E-2</v>
      </c>
      <c r="BZ577">
        <v>0</v>
      </c>
      <c r="CA577">
        <v>0</v>
      </c>
      <c r="CB577">
        <v>0</v>
      </c>
      <c r="CC577">
        <v>0</v>
      </c>
      <c r="CD577">
        <v>0</v>
      </c>
      <c r="CE577">
        <v>0</v>
      </c>
      <c r="CF577">
        <v>0</v>
      </c>
      <c r="CG577">
        <v>0</v>
      </c>
      <c r="CH577">
        <v>0</v>
      </c>
      <c r="CI577">
        <v>0</v>
      </c>
      <c r="CJ577">
        <v>0</v>
      </c>
      <c r="CK577">
        <v>0</v>
      </c>
      <c r="CL577">
        <v>0</v>
      </c>
      <c r="CM577">
        <v>0</v>
      </c>
      <c r="CN577" t="str">
        <f>IF($BL577&lt;$BK577,"refNeedCorrection","refOK")</f>
        <v>refOK</v>
      </c>
      <c r="CO577">
        <f>IF($CN577="refOK",$BK577,$BL577)</f>
        <v>7.8</v>
      </c>
      <c r="CP577">
        <f>IF($CN577="refOK",$BL577,$BK577)</f>
        <v>9</v>
      </c>
      <c r="CQ577">
        <f>IF($CN577="refOK",$BO577,-$BO577)</f>
        <v>1.2000000000000002</v>
      </c>
      <c r="CR577">
        <f>IF($CN577="refOK",$BS577,$BT577)*IF($BP577="Emissions positive",-1,1)</f>
        <v>7.0000000000000007E-2</v>
      </c>
      <c r="CS577">
        <f>IF($CN577="refOK",$BT577,$BS577)*IF($BP577="Emissions positive",-1,1)</f>
        <v>0.13200000000000001</v>
      </c>
      <c r="CT577">
        <f>IF($CN577="refNeedCorrection",-BX577,BX577)*IF($BP577="Emissions positive",-1,1)</f>
        <v>6.2E-2</v>
      </c>
      <c r="CU577">
        <f>IFERROR(CT577/CQ577,"")</f>
        <v>5.1666666666666659E-2</v>
      </c>
      <c r="CV577" s="2">
        <f>IFERROR((CS577-CR577)/ABS(CR577),"")</f>
        <v>0.88571428571428568</v>
      </c>
      <c r="CW577" s="1" t="s">
        <v>1199</v>
      </c>
      <c r="CX577" s="264" t="str">
        <f>IF(OR($CW577="prd",$CW577="std",$CW577="cit"),"loc",IF(OR($CW577="eur",$CW577="reg",$CW577="coy"),"reg",$CW577))</f>
        <v>reg</v>
      </c>
      <c r="CY577" t="s">
        <v>235</v>
      </c>
      <c r="DB577">
        <v>50</v>
      </c>
      <c r="DC577" t="str">
        <f>IF(DB577=0,"0",IF(AND(DB577&gt;=1,DB577&lt;=30),"1-30",IF(AND(DB577&gt;30,DB577&lt;=70),"31-70",IF(AND(DB577&gt;70,DB577&lt;=100),"71-100",IF(DB577&gt;100,"+100")))))</f>
        <v>31-70</v>
      </c>
      <c r="DD577">
        <v>0</v>
      </c>
      <c r="DE577">
        <v>1</v>
      </c>
      <c r="DF577">
        <v>1</v>
      </c>
      <c r="DG577">
        <v>1</v>
      </c>
      <c r="DI577">
        <f>SUM(DD577:DG577)</f>
        <v>3</v>
      </c>
      <c r="DJ577" t="str">
        <f>IF(DI577=1,INDEX($DD$7:$DG$7,MATCH(1,$DD577:$DG577,0)),"mixedProduct")</f>
        <v>mixedProduct</v>
      </c>
      <c r="DK577">
        <f>IF(DD577=1,DK$7,0)</f>
        <v>0</v>
      </c>
      <c r="DL577" t="str">
        <f>IF(DE577=1,DL$7,0)</f>
        <v>Energy</v>
      </c>
      <c r="DM577" t="str">
        <f>IF(DF577=1,DM$7,0)</f>
        <v>Pulp/Paper</v>
      </c>
      <c r="DN577" t="str">
        <f>IF(DG577=1,DN$7,0)</f>
        <v>Timber</v>
      </c>
      <c r="DO577">
        <v>0</v>
      </c>
      <c r="DP577">
        <v>1</v>
      </c>
      <c r="DQ577" t="s">
        <v>2146</v>
      </c>
      <c r="DR577">
        <v>0</v>
      </c>
      <c r="DS577">
        <v>0</v>
      </c>
      <c r="DT577">
        <f>SUM(DO577:DP577)</f>
        <v>1</v>
      </c>
      <c r="DU577" s="143" t="str">
        <f>IF(DO577=1,"self-calculated DF",IF(DP577=1,"external DF used","explicit C balance"))</f>
        <v>external DF used</v>
      </c>
      <c r="DV577">
        <v>1</v>
      </c>
      <c r="DW577">
        <v>1</v>
      </c>
      <c r="DX577">
        <v>1</v>
      </c>
      <c r="DY577">
        <v>0</v>
      </c>
      <c r="DZ577">
        <v>0</v>
      </c>
      <c r="EA577" s="143">
        <v>0</v>
      </c>
      <c r="EB577">
        <v>1</v>
      </c>
      <c r="EC577">
        <v>1</v>
      </c>
      <c r="ED577">
        <v>0</v>
      </c>
      <c r="EE577">
        <v>0</v>
      </c>
      <c r="EF577">
        <v>1</v>
      </c>
      <c r="EG577">
        <v>0</v>
      </c>
      <c r="EH577">
        <v>0</v>
      </c>
      <c r="EI577" s="2">
        <v>0</v>
      </c>
      <c r="EK577" t="str">
        <f>IF(AND(AND(AND(OR($DX577=1,$DW577=1),OR($EC577=1,$EA577=1)),SUM($DV577:$DZ577,$EF577)&gt;=4),SUM($EA577:$EE577)&gt;=2),"Whole sector","")</f>
        <v>Whole sector</v>
      </c>
      <c r="EL577" t="str">
        <f>IF(AND(AND(OR($DX577=1,$DW577=1),AND($EC577=0,$EA577=0)),SUM($DV577:$DZ577,$EF577)&gt;=4),"Ecosystem approach","")</f>
        <v/>
      </c>
      <c r="EM577" s="2" t="str">
        <f>IF(AND(AND(AND($DX577=0,$DW577=0),OR($EC577=1,$EA577=1)),SUM($EB577:$EE577)&gt;=2),"Technology approach","")</f>
        <v/>
      </c>
      <c r="EP577" t="str">
        <f>IF(ISNUMBER(BU577),IF(ABS(BU577-[3]QC_indicators!$B$2)&gt;3*[3]QC_indicators!$C$2,"C ratio",IF(ISNUMBER(BY577),IF(ABS(BY577-[3]QC_indicators!$B$1)&gt;3*[3]QC_indicators!$C$1,"DF","no"))),IF(ISNUMBER(BY577),IF(ABS(BY577-[3]QC_indicators!$B$1)&gt;3*[3]QC_indicators!$C$1,"DF","no")))</f>
        <v>no</v>
      </c>
      <c r="ET577" s="264" t="s">
        <v>3407</v>
      </c>
    </row>
    <row r="578" spans="1:150" ht="15" customHeight="1">
      <c r="A578" s="1" t="s">
        <v>878</v>
      </c>
      <c r="B578" t="s">
        <v>1705</v>
      </c>
      <c r="C578" t="s">
        <v>544</v>
      </c>
      <c r="D578" t="s">
        <v>1706</v>
      </c>
      <c r="E578" s="264" t="s">
        <v>1707</v>
      </c>
      <c r="F578" t="s">
        <v>1708</v>
      </c>
      <c r="G578" t="s">
        <v>1184</v>
      </c>
      <c r="H578" t="s">
        <v>254</v>
      </c>
      <c r="I578">
        <v>2021</v>
      </c>
      <c r="J578">
        <v>8</v>
      </c>
      <c r="K578" t="s">
        <v>1709</v>
      </c>
      <c r="M578" t="str">
        <f>LEFT($D578,FIND(",",$D578)-1)&amp;"_"&amp;I578&amp;L578</f>
        <v>Hart_2021</v>
      </c>
      <c r="N578" s="264" t="s">
        <v>222</v>
      </c>
      <c r="O578" s="171" t="s">
        <v>225</v>
      </c>
      <c r="P578" t="s">
        <v>960</v>
      </c>
      <c r="Q578" s="264" t="s">
        <v>389</v>
      </c>
      <c r="R578" s="269" t="s">
        <v>1154</v>
      </c>
      <c r="S578" s="297" t="s">
        <v>1710</v>
      </c>
      <c r="T578" s="264" t="s">
        <v>1718</v>
      </c>
      <c r="U578" t="s">
        <v>1712</v>
      </c>
      <c r="V578">
        <v>0</v>
      </c>
      <c r="W578">
        <v>0</v>
      </c>
      <c r="X578">
        <v>0</v>
      </c>
      <c r="Y578">
        <v>0</v>
      </c>
      <c r="Z578">
        <v>0</v>
      </c>
      <c r="AA578">
        <v>0</v>
      </c>
      <c r="AB578">
        <v>0</v>
      </c>
      <c r="AC578">
        <v>0</v>
      </c>
      <c r="AD578">
        <v>0</v>
      </c>
      <c r="AE578">
        <v>0</v>
      </c>
      <c r="AF578">
        <v>0</v>
      </c>
      <c r="AG578">
        <v>0</v>
      </c>
      <c r="AH578">
        <v>0</v>
      </c>
      <c r="AI578">
        <v>0</v>
      </c>
      <c r="AJ578">
        <v>0</v>
      </c>
      <c r="AK578">
        <v>1</v>
      </c>
      <c r="AL578">
        <v>0</v>
      </c>
      <c r="AM578">
        <v>0</v>
      </c>
      <c r="AN578">
        <v>0</v>
      </c>
      <c r="AO578">
        <v>0</v>
      </c>
      <c r="AP578">
        <v>0</v>
      </c>
      <c r="AQ578">
        <v>0</v>
      </c>
      <c r="AR578">
        <v>0</v>
      </c>
      <c r="AS578">
        <v>0</v>
      </c>
      <c r="AT578">
        <v>0</v>
      </c>
      <c r="AU578">
        <v>0</v>
      </c>
      <c r="AV578">
        <v>0</v>
      </c>
      <c r="AW578">
        <v>0</v>
      </c>
      <c r="AX578" s="141">
        <f>COUNTIF(V578:AW578,"&lt;&gt;0")</f>
        <v>1</v>
      </c>
      <c r="AY578" s="141">
        <f>COUNTIF(V578:AL578,"&lt;&gt;0")</f>
        <v>1</v>
      </c>
      <c r="AZ578">
        <f>COUNTIF(V578:AC578,"&lt;&gt;0")</f>
        <v>0</v>
      </c>
      <c r="BA578">
        <f>COUNTIF(AD578:AI578,"&lt;&gt;0")</f>
        <v>0</v>
      </c>
      <c r="BB578">
        <f>COUNTIF(AJ578:AL578,"&lt;&gt;0")</f>
        <v>1</v>
      </c>
      <c r="BC578">
        <f>COUNTIF(AS578:AW578,"&lt;&gt;0")</f>
        <v>0</v>
      </c>
      <c r="BD578">
        <f>COUNTIF(AM578:AR578,"&lt;&gt;0")</f>
        <v>0</v>
      </c>
      <c r="BE578" t="str" cm="1">
        <f t="array" ref="BE578">IF(AY578=1,INDEX($V$7:$AL$7,MATCH(TRUE,INDEX($V578:$AW578&lt;&gt;0,),0)),IF(AY578=0,INDEX($AM$7:$AW$7,MATCH(1,$AM578:$AW578,0)),IF(BF578="Multiple strategies","mixed drivers",IF(BF578="Supply chain","multiple supply","multiple silviculture"))))</f>
        <v>technologies/design switch</v>
      </c>
      <c r="BF578" s="2" t="str" cm="1">
        <f t="array" ref="BF578">IF(COUNTIF(AZ578:BB578,"&lt;&gt;0")=1,INDEX($V$4:$AW$4,MATCH(TRUE,INDEX($V578:$AW578&lt;&gt;0,),0)),IF(COUNTIF(AZ578:BB578,"&lt;&gt;0")=0,INDEX($AM$4:$AW$4,MATCH(1,$AM578:$AW578,0)),"Multiple strategies"))</f>
        <v>Technology</v>
      </c>
      <c r="BG578" s="298" t="s">
        <v>229</v>
      </c>
      <c r="BH578" s="270" t="s">
        <v>1713</v>
      </c>
      <c r="BI578" s="270" t="s">
        <v>1714</v>
      </c>
      <c r="BJ578" s="270" t="s">
        <v>1715</v>
      </c>
      <c r="BK578">
        <v>0</v>
      </c>
      <c r="BL578">
        <v>0.35042108887694512</v>
      </c>
      <c r="BM578" t="s">
        <v>544</v>
      </c>
      <c r="BN578">
        <f>BL578-BK578</f>
        <v>0.35042108887694512</v>
      </c>
      <c r="BO578" s="264">
        <f>BN578*tC_to_m3</f>
        <v>1.5215852751929879</v>
      </c>
      <c r="BP578" s="155" t="s">
        <v>395</v>
      </c>
      <c r="BQ578" s="155" t="s">
        <v>1716</v>
      </c>
      <c r="BR578" s="264" t="s">
        <v>1717</v>
      </c>
      <c r="BS578">
        <v>163.80603424463476</v>
      </c>
      <c r="BT578">
        <v>80.733700144141935</v>
      </c>
      <c r="BU578" s="144">
        <v>0.4928615756826813</v>
      </c>
      <c r="BV578" s="152">
        <f>BT578-BS578</f>
        <v>-83.072334100492824</v>
      </c>
      <c r="BX578">
        <f>BV578/1000</f>
        <v>-8.307233410049282E-2</v>
      </c>
      <c r="BY578">
        <f>IFERROR(BX578/BO578,"")</f>
        <v>-5.4595910892970799E-2</v>
      </c>
      <c r="BZ578">
        <v>0</v>
      </c>
      <c r="CA578">
        <v>0</v>
      </c>
      <c r="CB578">
        <v>0</v>
      </c>
      <c r="CC578">
        <v>0</v>
      </c>
      <c r="CD578">
        <v>0</v>
      </c>
      <c r="CE578">
        <v>0</v>
      </c>
      <c r="CF578">
        <v>0</v>
      </c>
      <c r="CG578">
        <v>0</v>
      </c>
      <c r="CH578">
        <v>0</v>
      </c>
      <c r="CI578">
        <v>0</v>
      </c>
      <c r="CJ578">
        <v>0</v>
      </c>
      <c r="CK578">
        <v>0</v>
      </c>
      <c r="CL578">
        <v>0</v>
      </c>
      <c r="CM578">
        <v>0</v>
      </c>
      <c r="CN578" t="str">
        <f>IF($BL578&lt;$BK578,"refNeedCorrection","refOK")</f>
        <v>refOK</v>
      </c>
      <c r="CO578">
        <f>IF($CN578="refOK",$BK578,$BL578)</f>
        <v>0</v>
      </c>
      <c r="CP578">
        <f>IF($CN578="refOK",$BL578,$BK578)</f>
        <v>0.35042108887694512</v>
      </c>
      <c r="CQ578">
        <f>IF($CN578="refOK",$BO578,-$BO578)</f>
        <v>1.5215852751929879</v>
      </c>
      <c r="CR578">
        <f>IF($CN578="refOK",$BS578,$BT578)*IF($BP578="Emissions positive",-1,1)</f>
        <v>-163.80603424463476</v>
      </c>
      <c r="CS578">
        <f>IF($CN578="refOK",$BT578,$BS578)*IF($BP578="Emissions positive",-1,1)</f>
        <v>-80.733700144141935</v>
      </c>
      <c r="CT578">
        <f>IF($CN578="refNeedCorrection",-BX578,BX578)*IF($BP578="Emissions positive",-1,1)</f>
        <v>8.307233410049282E-2</v>
      </c>
      <c r="CU578">
        <f>IFERROR(CT578/CQ578,"")</f>
        <v>5.4595910892970799E-2</v>
      </c>
      <c r="CV578" s="2">
        <f>IFERROR((CS578-CR578)/ABS(CR578),"")</f>
        <v>0.5071384243173187</v>
      </c>
      <c r="CW578" s="263" t="s">
        <v>1203</v>
      </c>
      <c r="CX578" s="264" t="str">
        <f>IF(OR($CW578="prd",$CW578="std",$CW578="cit"),"loc",IF(OR($CW578="eur",$CW578="reg",$CW578="coy"),"reg",$CW578))</f>
        <v>reg</v>
      </c>
      <c r="CY578" s="309" t="s">
        <v>3423</v>
      </c>
      <c r="CZ578">
        <v>0</v>
      </c>
      <c r="DA578">
        <v>0</v>
      </c>
      <c r="DB578">
        <v>0</v>
      </c>
      <c r="DC578" t="str">
        <f>IF(DB578=0,"0",IF(AND(DB578&gt;=1,DB578&lt;=30),"1-30",IF(AND(DB578&gt;30,DB578&lt;=70),"31-70",IF(AND(DB578&gt;70,DB578&lt;=100),"71-100",IF(DB578&gt;100,"+100")))))</f>
        <v>0</v>
      </c>
      <c r="DD578">
        <v>0</v>
      </c>
      <c r="DE578">
        <v>0</v>
      </c>
      <c r="DF578">
        <v>0</v>
      </c>
      <c r="DG578">
        <v>1</v>
      </c>
      <c r="DH578">
        <v>0</v>
      </c>
      <c r="DI578">
        <v>1</v>
      </c>
      <c r="DJ578" t="str">
        <f>IF(DI578=1,INDEX($DD$7:$DG$7,MATCH(1,$DD578:$DG578,0)),"mixedProduct")</f>
        <v>TimberInput</v>
      </c>
      <c r="DK578">
        <f>IF(DD578=1,DK$7,0)</f>
        <v>0</v>
      </c>
      <c r="DL578">
        <f>IF(DE578=1,DL$7,0)</f>
        <v>0</v>
      </c>
      <c r="DM578">
        <f>IF(DF578=1,DM$7,0)</f>
        <v>0</v>
      </c>
      <c r="DN578" t="str">
        <f>IF(DG578=1,DN$7,0)</f>
        <v>Timber</v>
      </c>
      <c r="DO578">
        <v>0</v>
      </c>
      <c r="DP578">
        <v>0</v>
      </c>
      <c r="DQ578">
        <v>0</v>
      </c>
      <c r="DR578">
        <v>0</v>
      </c>
      <c r="DS578">
        <v>0</v>
      </c>
      <c r="DT578">
        <f>SUM(DO578:DP578)</f>
        <v>0</v>
      </c>
      <c r="DU578" s="143" t="s">
        <v>962</v>
      </c>
      <c r="DV578">
        <v>0</v>
      </c>
      <c r="DW578">
        <v>0</v>
      </c>
      <c r="DX578">
        <v>0</v>
      </c>
      <c r="DY578">
        <v>0</v>
      </c>
      <c r="DZ578">
        <v>0</v>
      </c>
      <c r="EA578" s="143">
        <v>0</v>
      </c>
      <c r="EB578">
        <v>0</v>
      </c>
      <c r="EC578">
        <v>1</v>
      </c>
      <c r="ED578">
        <v>1</v>
      </c>
      <c r="EE578">
        <v>0</v>
      </c>
      <c r="EF578">
        <v>0</v>
      </c>
      <c r="EG578">
        <v>0</v>
      </c>
      <c r="EH578">
        <v>0</v>
      </c>
      <c r="EI578" s="2">
        <v>0</v>
      </c>
      <c r="EK578" t="str">
        <f>IF(AND(AND(AND(OR($DX578=1,$DW578=1),OR($EC578=1,$EA578=1)),SUM($DV578:$DZ578,$EF578)&gt;=4),SUM($EA578:$EE578)&gt;=2),"Whole sector","")</f>
        <v/>
      </c>
      <c r="EL578" t="str">
        <f>IF(AND(AND(OR($DX578=1,$DW578=1),AND($EC578=0,$EA578=0)),SUM($DV578:$DZ578,$EF578)&gt;=4),"Ecosystem approach","")</f>
        <v/>
      </c>
      <c r="EM578" s="2" t="str">
        <f>IF(AND(AND(AND($DX578=0,$DW578=0),OR($EC578=1,$EA578=1)),SUM($EB578:$EE578)&gt;=2),"Technology approach","")</f>
        <v>Technology approach</v>
      </c>
      <c r="EP578" t="str">
        <f>IF(ISNUMBER(BU578),IF(ABS(BU578-[3]QC_indicators!$B$2)&gt;3*[3]QC_indicators!$C$2,"C ratio",IF(ISNUMBER(BY578),IF(ABS(BY578-[3]QC_indicators!$B$1)&gt;3*[3]QC_indicators!$C$1,"DF","no"))),IF(ISNUMBER(BY578),IF(ABS(BY578-[3]QC_indicators!$B$1)&gt;3*[3]QC_indicators!$C$1,"DF","no")))</f>
        <v>no</v>
      </c>
      <c r="ET578" s="264" t="s">
        <v>3407</v>
      </c>
    </row>
    <row r="579" spans="1:150" ht="15" customHeight="1">
      <c r="A579" s="1" t="s">
        <v>1138</v>
      </c>
      <c r="B579" t="s">
        <v>1578</v>
      </c>
      <c r="C579" t="s">
        <v>1579</v>
      </c>
      <c r="D579" t="s">
        <v>1580</v>
      </c>
      <c r="E579" t="s">
        <v>1581</v>
      </c>
      <c r="F579" t="s">
        <v>1582</v>
      </c>
      <c r="G579" t="s">
        <v>1139</v>
      </c>
      <c r="H579" t="s">
        <v>254</v>
      </c>
      <c r="I579">
        <v>2020</v>
      </c>
      <c r="J579">
        <v>4</v>
      </c>
      <c r="K579" t="s">
        <v>1583</v>
      </c>
      <c r="M579" t="str">
        <f>LEFT($D579,FIND(",",$D579)-1)&amp;"_"&amp;I579&amp;L579</f>
        <v>Ganguly_2020</v>
      </c>
      <c r="N579" t="s">
        <v>222</v>
      </c>
      <c r="O579" s="145" t="s">
        <v>274</v>
      </c>
      <c r="Q579" s="264" t="s">
        <v>256</v>
      </c>
      <c r="R579" s="269" t="s">
        <v>341</v>
      </c>
      <c r="S579" s="1" t="s">
        <v>1584</v>
      </c>
      <c r="T579" t="s">
        <v>1585</v>
      </c>
      <c r="U579" t="s">
        <v>1586</v>
      </c>
      <c r="V579">
        <v>0</v>
      </c>
      <c r="W579">
        <v>0</v>
      </c>
      <c r="X579">
        <v>0</v>
      </c>
      <c r="Y579">
        <v>0</v>
      </c>
      <c r="Z579">
        <v>0</v>
      </c>
      <c r="AA579">
        <v>0</v>
      </c>
      <c r="AB579">
        <v>0</v>
      </c>
      <c r="AC579">
        <v>0</v>
      </c>
      <c r="AD579">
        <v>0</v>
      </c>
      <c r="AE579">
        <v>1</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s="141">
        <f>COUNTIF(V579:AW579,"&lt;&gt;0")</f>
        <v>1</v>
      </c>
      <c r="AY579" s="141">
        <f>COUNTIF(V579:AL579,"&lt;&gt;0")</f>
        <v>1</v>
      </c>
      <c r="AZ579">
        <f>COUNTIF(V579:AC579,"&lt;&gt;0")</f>
        <v>0</v>
      </c>
      <c r="BA579">
        <f>COUNTIF(AD579:AI579,"&lt;&gt;0")</f>
        <v>1</v>
      </c>
      <c r="BB579">
        <f>COUNTIF(AJ579:AL579,"&lt;&gt;0")</f>
        <v>0</v>
      </c>
      <c r="BC579">
        <f>COUNTIF(AS579:AW579,"&lt;&gt;0")</f>
        <v>0</v>
      </c>
      <c r="BD579">
        <f>COUNTIF(AM579:AR579,"&lt;&gt;0")</f>
        <v>0</v>
      </c>
      <c r="BE579" t="str" cm="1">
        <f t="array" ref="BE579">IF(AY579=1,INDEX($V$7:$AL$7,MATCH(TRUE,INDEX($V579:$AW579&lt;&gt;0,),0)),IF(AY579=0,INDEX($AM$7:$AW$7,MATCH(1,$AM579:$AW579,0)),IF(BF579="Multiple strategies","mixed drivers",IF(BF579="Supply chain","multiple supply","multiple silviculture"))))</f>
        <v>location of industry</v>
      </c>
      <c r="BF579" s="2" t="str" cm="1">
        <f t="array" ref="BF579">IF(COUNTIF(AZ579:BB579,"&lt;&gt;0")=1,INDEX($V$4:$AW$4,MATCH(TRUE,INDEX($V579:$AW579&lt;&gt;0,),0)),IF(COUNTIF(AZ579:BB579,"&lt;&gt;0")=0,INDEX($AM$4:$AW$4,MATCH(1,$AM579:$AW579,0)),"Multiple strategies"))</f>
        <v>Supply chain</v>
      </c>
      <c r="BG579" s="1" t="s">
        <v>321</v>
      </c>
      <c r="BH579" t="s">
        <v>1587</v>
      </c>
      <c r="BI579" s="160" t="s">
        <v>1588</v>
      </c>
      <c r="BJ579" t="s">
        <v>1589</v>
      </c>
      <c r="BK579">
        <v>1329670</v>
      </c>
      <c r="BL579">
        <v>3760725</v>
      </c>
      <c r="BM579">
        <f>BL579/BK579</f>
        <v>2.8283145442102176</v>
      </c>
      <c r="BN579">
        <f>BL579-BK579</f>
        <v>2431055</v>
      </c>
      <c r="BO579">
        <f>BN579*t_to_m3</f>
        <v>4961336.7346938774</v>
      </c>
      <c r="BP579" t="s">
        <v>232</v>
      </c>
      <c r="BQ579" s="160" t="s">
        <v>1590</v>
      </c>
      <c r="BR579" t="s">
        <v>539</v>
      </c>
      <c r="BS579">
        <v>448669</v>
      </c>
      <c r="BT579">
        <v>736474</v>
      </c>
      <c r="BU579" s="144">
        <f>IFERROR(BT579/BS579,"")</f>
        <v>1.641463974555853</v>
      </c>
      <c r="BV579">
        <f>BT579-BS579</f>
        <v>287805</v>
      </c>
      <c r="BX579">
        <f>BV579</f>
        <v>287805</v>
      </c>
      <c r="BY579">
        <f>IFERROR(BX579/BO579,"")</f>
        <v>5.8009567862512365E-2</v>
      </c>
      <c r="BZ579">
        <v>0</v>
      </c>
      <c r="CA579">
        <v>0</v>
      </c>
      <c r="CB579">
        <v>0</v>
      </c>
      <c r="CC579">
        <v>0</v>
      </c>
      <c r="CD579">
        <v>0</v>
      </c>
      <c r="CE579">
        <v>0</v>
      </c>
      <c r="CF579">
        <v>0</v>
      </c>
      <c r="CG579">
        <v>0</v>
      </c>
      <c r="CH579">
        <v>0</v>
      </c>
      <c r="CI579">
        <v>0</v>
      </c>
      <c r="CJ579">
        <v>0</v>
      </c>
      <c r="CK579">
        <v>0</v>
      </c>
      <c r="CL579">
        <v>0</v>
      </c>
      <c r="CM579">
        <v>0</v>
      </c>
      <c r="CN579" t="str">
        <f>IF($BL579&lt;$BK579,"refNeedCorrection","refOK")</f>
        <v>refOK</v>
      </c>
      <c r="CO579">
        <f>IF($CN579="refNeedCorrection",BL579,BK579)</f>
        <v>1329670</v>
      </c>
      <c r="CP579">
        <f>IF($CN579="refNeedCorrection",BK579,BL579)</f>
        <v>3760725</v>
      </c>
      <c r="CQ579">
        <f>IF($CN579="refOK",$BO579,-$BO579)</f>
        <v>4961336.7346938774</v>
      </c>
      <c r="CR579">
        <f>IF($CN579="refOK",$BS579,$BT579)*IF($BP579="Emissions positive",-1,1)</f>
        <v>448669</v>
      </c>
      <c r="CS579">
        <f>IF($CN579="refOK",$BT579,$BS579)*IF($BP579="Emissions positive",-1,1)</f>
        <v>736474</v>
      </c>
      <c r="CT579">
        <f>IF($CN579="refNeedCorrection",-BX579,BX579)*IF($BP579="Emissions positive",-1,1)</f>
        <v>287805</v>
      </c>
      <c r="CU579">
        <f>IFERROR(CT579/CQ579,"")</f>
        <v>5.8009567862512365E-2</v>
      </c>
      <c r="CV579" s="2">
        <f>IFERROR((CS579-CR579)/ABS(CR579),"")</f>
        <v>0.64146397455585302</v>
      </c>
      <c r="CW579" s="1" t="s">
        <v>1199</v>
      </c>
      <c r="CX579" s="264" t="str">
        <f>IF(OR($CW579="prd",$CW579="std",$CW579="cit"),"loc",IF(OR($CW579="eur",$CW579="reg",$CW579="coy"),"reg",$CW579))</f>
        <v>reg</v>
      </c>
      <c r="CY579" t="s">
        <v>428</v>
      </c>
      <c r="DB579">
        <v>100</v>
      </c>
      <c r="DC579" t="str">
        <f>IF(DB579=0,"0",IF(AND(DB579&gt;=1,DB579&lt;=30),"1-30",IF(AND(DB579&gt;30,DB579&lt;=70),"31-70",IF(AND(DB579&gt;70,DB579&lt;=100),"71-100",IF(DB579&gt;100,"+100")))))</f>
        <v>71-100</v>
      </c>
      <c r="DD579">
        <v>0</v>
      </c>
      <c r="DE579">
        <v>0</v>
      </c>
      <c r="DF579">
        <v>1</v>
      </c>
      <c r="DG579">
        <v>1</v>
      </c>
      <c r="DI579">
        <f>SUM(DD579:DG579)</f>
        <v>2</v>
      </c>
      <c r="DJ579" t="str">
        <f>IF(DI579=1,INDEX($DD$7:$DG$7,MATCH(1,$DD579:$DG579,0)),"mixedProduct")</f>
        <v>mixedProduct</v>
      </c>
      <c r="DK579">
        <f>IF(DD579=1,DK$7,0)</f>
        <v>0</v>
      </c>
      <c r="DL579">
        <f>IF(DE579=1,DL$7,0)</f>
        <v>0</v>
      </c>
      <c r="DM579" t="str">
        <f>IF(DF579=1,DM$7,0)</f>
        <v>Pulp/Paper</v>
      </c>
      <c r="DN579" t="str">
        <f>IF(DG579=1,DN$7,0)</f>
        <v>Timber</v>
      </c>
      <c r="DO579">
        <v>0</v>
      </c>
      <c r="DP579">
        <v>0</v>
      </c>
      <c r="DQ579">
        <v>0</v>
      </c>
      <c r="DR579">
        <v>0</v>
      </c>
      <c r="DS579">
        <v>0</v>
      </c>
      <c r="DT579">
        <f>SUM(DO579:DP579)</f>
        <v>0</v>
      </c>
      <c r="DU579" s="143" t="str">
        <f>IF(DO579=1,"self-calculated DF",IF(DP579=1,"external DF used","explicit C balance"))</f>
        <v>explicit C balance</v>
      </c>
      <c r="DV579">
        <v>0</v>
      </c>
      <c r="DW579">
        <v>0</v>
      </c>
      <c r="DX579">
        <v>0</v>
      </c>
      <c r="DY579">
        <v>1</v>
      </c>
      <c r="DZ579">
        <v>0</v>
      </c>
      <c r="EA579" s="143">
        <v>0</v>
      </c>
      <c r="EB579">
        <v>1</v>
      </c>
      <c r="EC579">
        <v>1</v>
      </c>
      <c r="ED579">
        <v>0</v>
      </c>
      <c r="EE579">
        <v>0</v>
      </c>
      <c r="EF579">
        <v>0</v>
      </c>
      <c r="EG579">
        <v>1</v>
      </c>
      <c r="EH579">
        <v>0</v>
      </c>
      <c r="EI579" s="2">
        <v>0</v>
      </c>
      <c r="EK579" t="str">
        <f>IF(AND(AND(AND(OR($DX579=1,$DW579=1),OR($EC579=1,$EA579=1)),SUM($DV579:$DZ579,$EF579)&gt;=4),SUM($EA579:$EE579)&gt;=2),"Whole sector","")</f>
        <v/>
      </c>
      <c r="EL579" t="str">
        <f>IF(AND(AND(OR($DX579=1,$DW579=1),AND($EC579=0,$EA579=0)),SUM($DV579:$DZ579,$EF579)&gt;=4),"Ecosystem approach","")</f>
        <v/>
      </c>
      <c r="EM579" s="2" t="str">
        <f>IF(AND(AND(AND($DX579=0,$DW579=0),OR($EC579=1,$EA579=1)),SUM($EB579:$EE579)&gt;=2),"Technology approach","")</f>
        <v>Technology approach</v>
      </c>
      <c r="EP579" t="str">
        <f>IF(ISNUMBER(BU579),IF(ABS(BU579-[3]QC_indicators!$B$2)&gt;3*[3]QC_indicators!$C$2,"C ratio",IF(ISNUMBER(BY579),IF(ABS(BY579-[3]QC_indicators!$B$1)&gt;3*[3]QC_indicators!$C$1,"DF","no"))),IF(ISNUMBER(BY579),IF(ABS(BY579-[3]QC_indicators!$B$1)&gt;3*[3]QC_indicators!$C$1,"DF","no")))</f>
        <v>no</v>
      </c>
      <c r="ER579" t="s">
        <v>1591</v>
      </c>
      <c r="ET579" s="264" t="s">
        <v>3407</v>
      </c>
    </row>
    <row r="580" spans="1:150" ht="15" customHeight="1">
      <c r="A580" s="1" t="s">
        <v>1102</v>
      </c>
      <c r="B580" t="s">
        <v>2381</v>
      </c>
      <c r="C580" t="s">
        <v>2382</v>
      </c>
      <c r="D580" t="s">
        <v>2383</v>
      </c>
      <c r="E580" t="s">
        <v>2384</v>
      </c>
      <c r="F580" t="s">
        <v>2385</v>
      </c>
      <c r="G580" t="s">
        <v>1108</v>
      </c>
      <c r="H580" t="s">
        <v>254</v>
      </c>
      <c r="I580">
        <v>2016</v>
      </c>
      <c r="J580">
        <v>13</v>
      </c>
      <c r="K580" t="s">
        <v>2386</v>
      </c>
      <c r="M580" t="str">
        <f>LEFT($D580,FIND(",",$D580)-1)&amp;"_"&amp;I580&amp;L580</f>
        <v>Torssonen_2016</v>
      </c>
      <c r="N580" t="s">
        <v>222</v>
      </c>
      <c r="O580" s="145" t="s">
        <v>1154</v>
      </c>
      <c r="Q580" s="264" t="s">
        <v>256</v>
      </c>
      <c r="R580" s="269" t="s">
        <v>341</v>
      </c>
      <c r="S580" s="1" t="s">
        <v>2400</v>
      </c>
      <c r="T580" s="264" t="s">
        <v>2422</v>
      </c>
      <c r="U580" t="s">
        <v>2423</v>
      </c>
      <c r="V580">
        <v>0</v>
      </c>
      <c r="W580">
        <v>0</v>
      </c>
      <c r="X580">
        <v>0</v>
      </c>
      <c r="Y580">
        <v>0</v>
      </c>
      <c r="Z580">
        <v>0</v>
      </c>
      <c r="AA580">
        <v>0</v>
      </c>
      <c r="AB580">
        <v>0</v>
      </c>
      <c r="AC580">
        <v>0</v>
      </c>
      <c r="AD580">
        <v>0</v>
      </c>
      <c r="AE580">
        <v>0</v>
      </c>
      <c r="AF580">
        <v>0</v>
      </c>
      <c r="AG580">
        <v>0</v>
      </c>
      <c r="AH580">
        <v>0</v>
      </c>
      <c r="AI580">
        <v>0</v>
      </c>
      <c r="AJ580">
        <v>0</v>
      </c>
      <c r="AK580">
        <v>0</v>
      </c>
      <c r="AL580">
        <v>0</v>
      </c>
      <c r="AM580">
        <v>0</v>
      </c>
      <c r="AN580">
        <v>1</v>
      </c>
      <c r="AO580">
        <v>1</v>
      </c>
      <c r="AP580">
        <v>0</v>
      </c>
      <c r="AQ580">
        <v>0</v>
      </c>
      <c r="AR580">
        <v>0</v>
      </c>
      <c r="AS580">
        <v>0</v>
      </c>
      <c r="AT580">
        <v>0</v>
      </c>
      <c r="AU580">
        <v>0</v>
      </c>
      <c r="AV580">
        <v>0</v>
      </c>
      <c r="AW580">
        <v>0</v>
      </c>
      <c r="AX580" s="141">
        <f>COUNTIF(V580:AW580,"&lt;&gt;0")</f>
        <v>2</v>
      </c>
      <c r="AY580" s="141">
        <f>COUNTIF(V580:AL580,"&lt;&gt;0")</f>
        <v>0</v>
      </c>
      <c r="AZ580">
        <f>COUNTIF(V580:AC580,"&lt;&gt;0")</f>
        <v>0</v>
      </c>
      <c r="BA580">
        <f>COUNTIF(AD580:AI580,"&lt;&gt;0")</f>
        <v>0</v>
      </c>
      <c r="BB580">
        <f>COUNTIF(AJ580:AL580,"&lt;&gt;0")</f>
        <v>0</v>
      </c>
      <c r="BC580">
        <f>COUNTIF(AS580:AW580,"&lt;&gt;0")</f>
        <v>0</v>
      </c>
      <c r="BD580">
        <f>COUNTIF(AM580:AR580,"&lt;&gt;0")</f>
        <v>2</v>
      </c>
      <c r="BE580" t="str" cm="1">
        <f t="array" ref="BE580">IF(AY580=1,INDEX($V$7:$AL$7,MATCH(TRUE,INDEX($V580:$AW580&lt;&gt;0,),0)),IF(AY580=0,INDEX($AM$7:$AW$7,MATCH(1,$AM580:$AW580,0)),IF(BF580="Multiple strategies","mixed drivers",IF(BF580="Supply chain","multiple supply","multiple silviculture"))))</f>
        <v>Temperature</v>
      </c>
      <c r="BF580" s="2" t="str" cm="1">
        <f t="array" ref="BF580">IF(COUNTIF(AZ580:BB580,"&lt;&gt;0")=1,INDEX($V$4:$AW$4,MATCH(TRUE,INDEX($V580:$AW580&lt;&gt;0,),0)),IF(COUNTIF(AZ580:BB580,"&lt;&gt;0")=0,INDEX($AM$4:$AW$4,MATCH(1,$AM580:$AW580,0)),"Multiple strategies"))</f>
        <v>Environmental change</v>
      </c>
      <c r="BG580" s="1" t="s">
        <v>229</v>
      </c>
      <c r="BH580" s="306" t="s">
        <v>2144</v>
      </c>
      <c r="BI580" s="264" t="s">
        <v>2391</v>
      </c>
      <c r="BJ580" s="306" t="s">
        <v>1058</v>
      </c>
      <c r="BK580">
        <v>6.9183673350000001</v>
      </c>
      <c r="BL580">
        <v>7.0387754979999997</v>
      </c>
      <c r="BM580" s="143">
        <f>BL580/BK580</f>
        <v>1.0174041297851959</v>
      </c>
      <c r="BN580">
        <f>BL580-BK580</f>
        <v>0.12040816299999957</v>
      </c>
      <c r="BO580">
        <f>+BN580*t_to_m3</f>
        <v>0.2457309448979583</v>
      </c>
      <c r="BP580" s="306" t="s">
        <v>395</v>
      </c>
      <c r="BQ580" s="153" t="s">
        <v>3421</v>
      </c>
      <c r="BR580" s="264" t="s">
        <v>2393</v>
      </c>
      <c r="BS580">
        <v>-353.45454545454498</v>
      </c>
      <c r="BT580">
        <v>-354.90909090909099</v>
      </c>
      <c r="BU580" s="144"/>
      <c r="BV580" s="144">
        <f>BT580-BS580</f>
        <v>-1.4545454545460075</v>
      </c>
      <c r="BW580" s="144"/>
      <c r="BX580" s="144">
        <f>BV580*10^4/10^6</f>
        <v>-1.4545454545460074E-2</v>
      </c>
      <c r="BY580">
        <f>IFERROR(BX580/BO580,"")</f>
        <v>-5.919260413661042E-2</v>
      </c>
      <c r="BZ580">
        <v>0</v>
      </c>
      <c r="CA580">
        <v>0</v>
      </c>
      <c r="CB580">
        <v>0</v>
      </c>
      <c r="CC580">
        <v>0</v>
      </c>
      <c r="CD580">
        <v>0</v>
      </c>
      <c r="CE580">
        <v>0</v>
      </c>
      <c r="CF580">
        <v>0</v>
      </c>
      <c r="CG580">
        <v>0</v>
      </c>
      <c r="CH580">
        <v>0</v>
      </c>
      <c r="CI580">
        <v>0</v>
      </c>
      <c r="CJ580">
        <v>0</v>
      </c>
      <c r="CK580">
        <v>0</v>
      </c>
      <c r="CL580">
        <v>0</v>
      </c>
      <c r="CM580">
        <v>1</v>
      </c>
      <c r="CN580" t="str">
        <f>IF($BL580&lt;$BK580,"refNeedCorrection","refOK")</f>
        <v>refOK</v>
      </c>
      <c r="CO580">
        <f>IF($CN580="refOK",$BK580,$BL580)</f>
        <v>6.9183673350000001</v>
      </c>
      <c r="CP580">
        <f>IF($CN580="refOK",$BL580,$BK580)</f>
        <v>7.0387754979999997</v>
      </c>
      <c r="CQ580">
        <f>IF($CN580="refOK",$BO580,-$BO580)</f>
        <v>0.2457309448979583</v>
      </c>
      <c r="CR580">
        <f>IF($CN580="refOK",$BS580,$BT580)*IF($BP580="Emissions positive",-1,1)</f>
        <v>353.45454545454498</v>
      </c>
      <c r="CS580">
        <f>IF($CN580="refOK",$BT580,$BS580)*IF($BP580="Emissions positive",-1,1)</f>
        <v>354.90909090909099</v>
      </c>
      <c r="CT580">
        <f>IF($CN580="refNeedCorrection",-BX580,BX580)*IF($BP580="Emissions positive",-1,1)</f>
        <v>1.4545454545460074E-2</v>
      </c>
      <c r="CU580">
        <f>IFERROR(CT580/CQ580,"")</f>
        <v>5.919260413661042E-2</v>
      </c>
      <c r="CV580" s="2">
        <f>IFERROR((CS580-CR580)/ABS(CR580),"")</f>
        <v>4.1152263374501291E-3</v>
      </c>
      <c r="CW580" s="1" t="s">
        <v>1199</v>
      </c>
      <c r="CX580" s="264" t="str">
        <f>IF(OR($CW580="prd",$CW580="std",$CW580="cit"),"loc",IF(OR($CW580="eur",$CW580="reg",$CW580="coy"),"reg",$CW580))</f>
        <v>reg</v>
      </c>
      <c r="CY580" t="s">
        <v>235</v>
      </c>
      <c r="CZ580">
        <v>2020</v>
      </c>
      <c r="DA580">
        <v>2100</v>
      </c>
      <c r="DB580">
        <f>DA580-CZ580</f>
        <v>80</v>
      </c>
      <c r="DC580" t="str">
        <f>IF(DB580=0,"0",IF(AND(DB580&gt;=1,DB580&lt;=30),"1-30",IF(AND(DB580&gt;30,DB580&lt;=70),"31-70",IF(AND(DB580&gt;70,DB580&lt;=100),"71-100",IF(DB580&gt;100,"+100")))))</f>
        <v>71-100</v>
      </c>
      <c r="DD580">
        <v>0</v>
      </c>
      <c r="DE580">
        <v>1</v>
      </c>
      <c r="DF580">
        <v>0</v>
      </c>
      <c r="DG580">
        <v>1</v>
      </c>
      <c r="DI580">
        <f>SUM(DD580:DG580)</f>
        <v>2</v>
      </c>
      <c r="DJ580" t="str">
        <f>IF(DI580=1,INDEX($DD$7:$DG$7,MATCH(1,$DD580:$DG580,0)),"mixedProduct")</f>
        <v>mixedProduct</v>
      </c>
      <c r="DK580">
        <f>IF(DD580=1,DK$7,0)</f>
        <v>0</v>
      </c>
      <c r="DL580" t="str">
        <f>IF(DE580=1,DL$7,0)</f>
        <v>Energy</v>
      </c>
      <c r="DM580">
        <f>IF(DF580=1,DM$7,0)</f>
        <v>0</v>
      </c>
      <c r="DN580" t="str">
        <f>IF(DG580=1,DN$7,0)</f>
        <v>Timber</v>
      </c>
      <c r="DO580">
        <v>1</v>
      </c>
      <c r="DP580">
        <v>0</v>
      </c>
      <c r="DQ580">
        <v>0</v>
      </c>
      <c r="DR580">
        <v>0</v>
      </c>
      <c r="DS580">
        <v>0</v>
      </c>
      <c r="DT580">
        <f>SUM(DO580:DP580)</f>
        <v>1</v>
      </c>
      <c r="DU580" s="143" t="str">
        <f>IF(DO580=1,"self-calculated DF",IF(DP580=1,"external DF used","explicit C balance"))</f>
        <v>self-calculated DF</v>
      </c>
      <c r="DV580">
        <v>1</v>
      </c>
      <c r="DW580">
        <v>0</v>
      </c>
      <c r="DX580">
        <v>1</v>
      </c>
      <c r="DY580">
        <v>0</v>
      </c>
      <c r="DZ580">
        <v>0</v>
      </c>
      <c r="EA580" s="143">
        <v>0</v>
      </c>
      <c r="EB580">
        <v>0</v>
      </c>
      <c r="EC580">
        <v>0</v>
      </c>
      <c r="ED580">
        <v>0</v>
      </c>
      <c r="EE580">
        <v>0</v>
      </c>
      <c r="EF580">
        <v>1</v>
      </c>
      <c r="EG580">
        <v>0</v>
      </c>
      <c r="EH580">
        <v>0</v>
      </c>
      <c r="EI580" s="2">
        <v>0</v>
      </c>
      <c r="EK580" t="str">
        <f>IF(AND(AND(AND(OR($DX580=1,$DW580=1),OR($EC580=1,$EA580=1)),SUM($DV580:$DZ580,$EF580)&gt;=4),SUM($EA580:$EE580)&gt;=2),"Whole sector","")</f>
        <v/>
      </c>
      <c r="EL580" t="str">
        <f>IF(AND(AND(OR($DX580=1,$DW580=1),AND($EC580=0,$EA580=0)),SUM($DV580:$DZ580,$EF580)&gt;=4),"Ecosystem approach","")</f>
        <v/>
      </c>
      <c r="EM580" s="2" t="str">
        <f>IF(AND(AND(AND($DX580=0,$DW580=0),OR($EC580=1,$EA580=1)),SUM($EB580:$EE580)&gt;=2),"Technology approach","")</f>
        <v/>
      </c>
      <c r="EN580" t="s">
        <v>2403</v>
      </c>
      <c r="EP580" t="str">
        <f>IF(ISNUMBER(BU580),IF(ABS(BU580-[3]QC_indicators!$B$2)&gt;3*[3]QC_indicators!$C$2,"C ratio",IF(ISNUMBER(BY580),IF(ABS(BY580-[3]QC_indicators!$B$1)&gt;3*[3]QC_indicators!$C$1,"DF","no"))),IF(ISNUMBER(BY580),IF(ABS(BY580-[3]QC_indicators!$B$1)&gt;3*[3]QC_indicators!$C$1,"DF","no")))</f>
        <v>no</v>
      </c>
      <c r="ER580" s="264" t="s">
        <v>2394</v>
      </c>
      <c r="ET580" s="306" t="s">
        <v>3422</v>
      </c>
    </row>
    <row r="581" spans="1:150" ht="15" customHeight="1">
      <c r="A581" s="1" t="s">
        <v>878</v>
      </c>
      <c r="B581" t="s">
        <v>1705</v>
      </c>
      <c r="C581" t="s">
        <v>544</v>
      </c>
      <c r="D581" t="s">
        <v>1706</v>
      </c>
      <c r="E581" t="s">
        <v>1707</v>
      </c>
      <c r="F581" t="s">
        <v>1708</v>
      </c>
      <c r="G581" t="s">
        <v>1184</v>
      </c>
      <c r="H581" t="s">
        <v>254</v>
      </c>
      <c r="I581">
        <v>2021</v>
      </c>
      <c r="J581">
        <v>8</v>
      </c>
      <c r="K581" t="s">
        <v>1709</v>
      </c>
      <c r="M581" t="str">
        <f>LEFT($D581,FIND(",",$D581)-1)&amp;"_"&amp;I581&amp;L581</f>
        <v>Hart_2021</v>
      </c>
      <c r="N581" s="264" t="s">
        <v>222</v>
      </c>
      <c r="O581" s="171" t="s">
        <v>225</v>
      </c>
      <c r="P581" t="s">
        <v>960</v>
      </c>
      <c r="Q581" s="264" t="s">
        <v>389</v>
      </c>
      <c r="R581" s="269" t="s">
        <v>1154</v>
      </c>
      <c r="S581" s="297" t="s">
        <v>1710</v>
      </c>
      <c r="T581" s="264" t="s">
        <v>1718</v>
      </c>
      <c r="U581" t="s">
        <v>1712</v>
      </c>
      <c r="V581">
        <v>0</v>
      </c>
      <c r="W581">
        <v>0</v>
      </c>
      <c r="X581">
        <v>0</v>
      </c>
      <c r="Y581">
        <v>0</v>
      </c>
      <c r="Z581">
        <v>0</v>
      </c>
      <c r="AA581">
        <v>0</v>
      </c>
      <c r="AB581">
        <v>0</v>
      </c>
      <c r="AC581">
        <v>0</v>
      </c>
      <c r="AD581">
        <v>0</v>
      </c>
      <c r="AE581">
        <v>0</v>
      </c>
      <c r="AF581">
        <v>0</v>
      </c>
      <c r="AG581">
        <v>0</v>
      </c>
      <c r="AH581">
        <v>0</v>
      </c>
      <c r="AI581">
        <v>0</v>
      </c>
      <c r="AJ581">
        <v>0</v>
      </c>
      <c r="AK581">
        <v>1</v>
      </c>
      <c r="AL581">
        <v>0</v>
      </c>
      <c r="AM581">
        <v>0</v>
      </c>
      <c r="AN581">
        <v>0</v>
      </c>
      <c r="AO581">
        <v>0</v>
      </c>
      <c r="AP581">
        <v>0</v>
      </c>
      <c r="AQ581">
        <v>0</v>
      </c>
      <c r="AR581">
        <v>0</v>
      </c>
      <c r="AS581">
        <v>0</v>
      </c>
      <c r="AT581">
        <v>0</v>
      </c>
      <c r="AU581">
        <v>0</v>
      </c>
      <c r="AV581">
        <v>0</v>
      </c>
      <c r="AW581">
        <v>0</v>
      </c>
      <c r="AX581" s="141">
        <f>COUNTIF(V581:AW581,"&lt;&gt;0")</f>
        <v>1</v>
      </c>
      <c r="AY581" s="141">
        <f>COUNTIF(V581:AL581,"&lt;&gt;0")</f>
        <v>1</v>
      </c>
      <c r="AZ581">
        <f>COUNTIF(V581:AC581,"&lt;&gt;0")</f>
        <v>0</v>
      </c>
      <c r="BA581">
        <f>COUNTIF(AD581:AI581,"&lt;&gt;0")</f>
        <v>0</v>
      </c>
      <c r="BB581">
        <f>COUNTIF(AJ581:AL581,"&lt;&gt;0")</f>
        <v>1</v>
      </c>
      <c r="BC581">
        <f>COUNTIF(AS581:AW581,"&lt;&gt;0")</f>
        <v>0</v>
      </c>
      <c r="BD581">
        <f>COUNTIF(AM581:AR581,"&lt;&gt;0")</f>
        <v>0</v>
      </c>
      <c r="BE581" t="str" cm="1">
        <f t="array" ref="BE581">IF(AY581=1,INDEX($V$7:$AL$7,MATCH(TRUE,INDEX($V581:$AW581&lt;&gt;0,),0)),IF(AY581=0,INDEX($AM$7:$AW$7,MATCH(1,$AM581:$AW581,0)),IF(BF581="Multiple strategies","mixed drivers",IF(BF581="Supply chain","multiple supply","multiple silviculture"))))</f>
        <v>technologies/design switch</v>
      </c>
      <c r="BF581" s="2" t="str" cm="1">
        <f t="array" ref="BF581">IF(COUNTIF(AZ581:BB581,"&lt;&gt;0")=1,INDEX($V$4:$AW$4,MATCH(TRUE,INDEX($V581:$AW581&lt;&gt;0,),0)),IF(COUNTIF(AZ581:BB581,"&lt;&gt;0")=0,INDEX($AM$4:$AW$4,MATCH(1,$AM581:$AW581,0)),"Multiple strategies"))</f>
        <v>Technology</v>
      </c>
      <c r="BG581" s="298" t="s">
        <v>229</v>
      </c>
      <c r="BH581" s="270" t="s">
        <v>1713</v>
      </c>
      <c r="BI581" s="270" t="s">
        <v>1714</v>
      </c>
      <c r="BJ581" s="270" t="s">
        <v>1715</v>
      </c>
      <c r="BK581">
        <v>0</v>
      </c>
      <c r="BL581">
        <v>0.35042108887694512</v>
      </c>
      <c r="BM581" t="s">
        <v>544</v>
      </c>
      <c r="BN581">
        <f>BL581-BK581</f>
        <v>0.35042108887694512</v>
      </c>
      <c r="BO581" s="264">
        <f>BN581*tC_to_m3</f>
        <v>1.5215852751929879</v>
      </c>
      <c r="BP581" s="155" t="s">
        <v>395</v>
      </c>
      <c r="BQ581" s="155" t="s">
        <v>1716</v>
      </c>
      <c r="BR581" s="264" t="s">
        <v>1717</v>
      </c>
      <c r="BS581">
        <v>174.41509659927408</v>
      </c>
      <c r="BT581">
        <v>80.733700144141935</v>
      </c>
      <c r="BU581" s="144">
        <v>0.46288252403764657</v>
      </c>
      <c r="BV581" s="152">
        <f>BT581-BS581</f>
        <v>-93.681396455132145</v>
      </c>
      <c r="BX581">
        <f>BV581/1000</f>
        <v>-9.368139645513214E-2</v>
      </c>
      <c r="BY581">
        <f>IFERROR(BX581/BO581,"")</f>
        <v>-6.1568285381343617E-2</v>
      </c>
      <c r="BZ581">
        <v>0</v>
      </c>
      <c r="CA581">
        <v>0</v>
      </c>
      <c r="CB581">
        <v>0</v>
      </c>
      <c r="CC581">
        <v>0</v>
      </c>
      <c r="CD581">
        <v>0</v>
      </c>
      <c r="CE581">
        <v>0</v>
      </c>
      <c r="CF581">
        <v>0</v>
      </c>
      <c r="CG581">
        <v>0</v>
      </c>
      <c r="CH581">
        <v>0</v>
      </c>
      <c r="CI581">
        <v>0</v>
      </c>
      <c r="CJ581">
        <v>0</v>
      </c>
      <c r="CK581">
        <v>0</v>
      </c>
      <c r="CL581">
        <v>0</v>
      </c>
      <c r="CM581">
        <v>0</v>
      </c>
      <c r="CN581" t="str">
        <f>IF($BL581&lt;$BK581,"refNeedCorrection","refOK")</f>
        <v>refOK</v>
      </c>
      <c r="CO581">
        <f>IF($CN581="refOK",$BK581,$BL581)</f>
        <v>0</v>
      </c>
      <c r="CP581">
        <f>IF($CN581="refOK",$BL581,$BK581)</f>
        <v>0.35042108887694512</v>
      </c>
      <c r="CQ581">
        <f>IF($CN581="refOK",$BO581,-$BO581)</f>
        <v>1.5215852751929879</v>
      </c>
      <c r="CR581">
        <f>IF($CN581="refOK",$BS581,$BT581)*IF($BP581="Emissions positive",-1,1)</f>
        <v>-174.41509659927408</v>
      </c>
      <c r="CS581">
        <f>IF($CN581="refOK",$BT581,$BS581)*IF($BP581="Emissions positive",-1,1)</f>
        <v>-80.733700144141935</v>
      </c>
      <c r="CT581">
        <f>IF($CN581="refNeedCorrection",-BX581,BX581)*IF($BP581="Emissions positive",-1,1)</f>
        <v>9.368139645513214E-2</v>
      </c>
      <c r="CU581">
        <f>IFERROR(CT581/CQ581,"")</f>
        <v>6.1568285381343617E-2</v>
      </c>
      <c r="CV581" s="2">
        <f>IFERROR((CS581-CR581)/ABS(CR581),"")</f>
        <v>0.53711747596235337</v>
      </c>
      <c r="CW581" s="263" t="s">
        <v>1203</v>
      </c>
      <c r="CX581" s="264" t="str">
        <f>IF(OR($CW581="prd",$CW581="std",$CW581="cit"),"loc",IF(OR($CW581="eur",$CW581="reg",$CW581="coy"),"reg",$CW581))</f>
        <v>reg</v>
      </c>
      <c r="CY581" s="309" t="s">
        <v>3423</v>
      </c>
      <c r="CZ581">
        <v>0</v>
      </c>
      <c r="DA581">
        <v>0</v>
      </c>
      <c r="DB581">
        <v>0</v>
      </c>
      <c r="DC581" t="str">
        <f>IF(DB581=0,"0",IF(AND(DB581&gt;=1,DB581&lt;=30),"1-30",IF(AND(DB581&gt;30,DB581&lt;=70),"31-70",IF(AND(DB581&gt;70,DB581&lt;=100),"71-100",IF(DB581&gt;100,"+100")))))</f>
        <v>0</v>
      </c>
      <c r="DD581">
        <v>0</v>
      </c>
      <c r="DE581">
        <v>0</v>
      </c>
      <c r="DF581">
        <v>0</v>
      </c>
      <c r="DG581">
        <v>1</v>
      </c>
      <c r="DH581">
        <v>0</v>
      </c>
      <c r="DI581">
        <v>1</v>
      </c>
      <c r="DJ581" t="str">
        <f>IF(DI581=1,INDEX($DD$7:$DG$7,MATCH(1,$DD581:$DG581,0)),"mixedProduct")</f>
        <v>TimberInput</v>
      </c>
      <c r="DK581">
        <f>IF(DD581=1,DK$7,0)</f>
        <v>0</v>
      </c>
      <c r="DL581">
        <f>IF(DE581=1,DL$7,0)</f>
        <v>0</v>
      </c>
      <c r="DM581">
        <f>IF(DF581=1,DM$7,0)</f>
        <v>0</v>
      </c>
      <c r="DN581" t="str">
        <f>IF(DG581=1,DN$7,0)</f>
        <v>Timber</v>
      </c>
      <c r="DO581">
        <v>0</v>
      </c>
      <c r="DP581">
        <v>0</v>
      </c>
      <c r="DQ581">
        <v>0</v>
      </c>
      <c r="DR581">
        <v>0</v>
      </c>
      <c r="DS581">
        <v>0</v>
      </c>
      <c r="DT581">
        <f>SUM(DO581:DP581)</f>
        <v>0</v>
      </c>
      <c r="DU581" s="143" t="s">
        <v>962</v>
      </c>
      <c r="DV581">
        <v>0</v>
      </c>
      <c r="DW581">
        <v>0</v>
      </c>
      <c r="DX581">
        <v>0</v>
      </c>
      <c r="DY581">
        <v>0</v>
      </c>
      <c r="DZ581">
        <v>0</v>
      </c>
      <c r="EA581" s="143">
        <v>0</v>
      </c>
      <c r="EB581">
        <v>0</v>
      </c>
      <c r="EC581">
        <v>1</v>
      </c>
      <c r="ED581">
        <v>0</v>
      </c>
      <c r="EE581">
        <v>0</v>
      </c>
      <c r="EF581">
        <v>0</v>
      </c>
      <c r="EG581">
        <v>0</v>
      </c>
      <c r="EH581">
        <v>0</v>
      </c>
      <c r="EI581" s="2">
        <v>0</v>
      </c>
      <c r="EK581" t="str">
        <f>IF(AND(AND(AND(OR($DX581=1,$DW581=1),OR($EC581=1,$EA581=1)),SUM($DV581:$DZ581,$EF581)&gt;=4),SUM($EA581:$EE581)&gt;=2),"Whole sector","")</f>
        <v/>
      </c>
      <c r="EL581" t="str">
        <f>IF(AND(AND(OR($DX581=1,$DW581=1),AND($EC581=0,$EA581=0)),SUM($DV581:$DZ581,$EF581)&gt;=4),"Ecosystem approach","")</f>
        <v/>
      </c>
      <c r="EM581" s="2" t="str">
        <f>IF(AND(AND(AND($DX581=0,$DW581=0),OR($EC581=1,$EA581=1)),SUM($EB581:$EE581)&gt;=2),"Technology approach","")</f>
        <v/>
      </c>
      <c r="EP581" t="str">
        <f>IF(ISNUMBER(BU581),IF(ABS(BU581-[3]QC_indicators!$B$2)&gt;3*[3]QC_indicators!$C$2,"C ratio",IF(ISNUMBER(BY581),IF(ABS(BY581-[3]QC_indicators!$B$1)&gt;3*[3]QC_indicators!$C$1,"DF","no"))),IF(ISNUMBER(BY581),IF(ABS(BY581-[3]QC_indicators!$B$1)&gt;3*[3]QC_indicators!$C$1,"DF","no")))</f>
        <v>no</v>
      </c>
      <c r="ET581" s="264" t="s">
        <v>3407</v>
      </c>
    </row>
    <row r="582" spans="1:150" ht="15" customHeight="1">
      <c r="A582" s="1" t="s">
        <v>265</v>
      </c>
      <c r="B582" t="s">
        <v>1531</v>
      </c>
      <c r="C582" t="s">
        <v>1532</v>
      </c>
      <c r="D582" t="s">
        <v>1533</v>
      </c>
      <c r="E582" t="s">
        <v>1534</v>
      </c>
      <c r="F582" t="s">
        <v>1535</v>
      </c>
      <c r="G582" t="s">
        <v>271</v>
      </c>
      <c r="H582" t="s">
        <v>254</v>
      </c>
      <c r="I582">
        <v>2019</v>
      </c>
      <c r="J582">
        <v>26</v>
      </c>
      <c r="K582" t="s">
        <v>1536</v>
      </c>
      <c r="M582" t="str">
        <f>LEFT($D582,FIND(",",$D582)-1)&amp;"_"&amp;I582&amp;L582</f>
        <v>Faraca_2019</v>
      </c>
      <c r="N582" t="s">
        <v>222</v>
      </c>
      <c r="O582" s="145" t="s">
        <v>274</v>
      </c>
      <c r="P582" s="180" t="s">
        <v>223</v>
      </c>
      <c r="Q582" t="s">
        <v>256</v>
      </c>
      <c r="R582" s="262" t="s">
        <v>223</v>
      </c>
      <c r="S582" s="263" t="s">
        <v>3133</v>
      </c>
      <c r="T582" t="s">
        <v>1552</v>
      </c>
      <c r="U582" t="s">
        <v>1538</v>
      </c>
      <c r="V582">
        <v>0</v>
      </c>
      <c r="W582">
        <v>0</v>
      </c>
      <c r="X582">
        <v>0</v>
      </c>
      <c r="Y582">
        <v>0</v>
      </c>
      <c r="Z582">
        <v>0</v>
      </c>
      <c r="AA582">
        <v>0</v>
      </c>
      <c r="AB582">
        <v>0</v>
      </c>
      <c r="AC582">
        <v>0</v>
      </c>
      <c r="AD582">
        <v>0</v>
      </c>
      <c r="AE582">
        <v>0</v>
      </c>
      <c r="AF582">
        <v>1</v>
      </c>
      <c r="AG582">
        <v>0</v>
      </c>
      <c r="AH582">
        <v>0</v>
      </c>
      <c r="AI582">
        <v>0</v>
      </c>
      <c r="AJ582">
        <v>0</v>
      </c>
      <c r="AK582">
        <v>0</v>
      </c>
      <c r="AL582">
        <v>0</v>
      </c>
      <c r="AM582">
        <v>0</v>
      </c>
      <c r="AN582">
        <v>0</v>
      </c>
      <c r="AO582">
        <v>0</v>
      </c>
      <c r="AP582">
        <v>0</v>
      </c>
      <c r="AQ582">
        <v>0</v>
      </c>
      <c r="AR582">
        <v>0</v>
      </c>
      <c r="AS582">
        <v>0</v>
      </c>
      <c r="AT582">
        <v>0</v>
      </c>
      <c r="AU582">
        <v>0</v>
      </c>
      <c r="AV582">
        <v>0</v>
      </c>
      <c r="AW582">
        <v>0</v>
      </c>
      <c r="AX582" s="141">
        <f>COUNTIF(V582:AW582,"&lt;&gt;0")</f>
        <v>1</v>
      </c>
      <c r="AY582" s="141">
        <f>COUNTIF(V582:AL582,"&lt;&gt;0")</f>
        <v>1</v>
      </c>
      <c r="AZ582">
        <f>COUNTIF(V582:AC582,"&lt;&gt;0")</f>
        <v>0</v>
      </c>
      <c r="BA582">
        <f>COUNTIF(AD582:AI582,"&lt;&gt;0")</f>
        <v>1</v>
      </c>
      <c r="BB582">
        <f>COUNTIF(AJ582:AL582,"&lt;&gt;0")</f>
        <v>0</v>
      </c>
      <c r="BC582">
        <f>COUNTIF(AS582:AW582,"&lt;&gt;0")</f>
        <v>0</v>
      </c>
      <c r="BD582">
        <f>COUNTIF(AM582:AR582,"&lt;&gt;0")</f>
        <v>0</v>
      </c>
      <c r="BE582" t="str">
        <f t="array" ref="BE582">IF(AY582=1,INDEX($V$7:$AL$7,MATCH(TRUE,INDEX($V582:$AW582&lt;&gt;0,),0)),IF(AY582=0,INDEX($AM$7:$AW$7,MATCH(1,$AM582:$AW582,0)),IF(BF582="Multiple strategies","mixed drivers",IF(BF582="Supply chain","multiple supply","multiple silviculture"))))</f>
        <v>supply chain organization</v>
      </c>
      <c r="BF582" s="2" t="str" cm="1">
        <f t="array" ref="BF582">IF(COUNTIF(AZ582:BB582,"&lt;&gt;0")=1,INDEX($V$4:$AW$4,MATCH(TRUE,INDEX($V582:$AW582&lt;&gt;0,),0)),IF(COUNTIF(AZ582:BB582,"&lt;&gt;0")=0,INDEX($AM$4:$AW$4,MATCH(1,$AM582:$AW582,0)),"Multiple strategies"))</f>
        <v>Supply chain</v>
      </c>
      <c r="BG582" s="1" t="s">
        <v>229</v>
      </c>
      <c r="BH582" t="s">
        <v>1548</v>
      </c>
      <c r="BI582" s="264" t="s">
        <v>3121</v>
      </c>
      <c r="BJ582" t="s">
        <v>345</v>
      </c>
      <c r="BK582">
        <v>562</v>
      </c>
      <c r="BL582">
        <v>922</v>
      </c>
      <c r="BM582">
        <v>1.6405693950177935</v>
      </c>
      <c r="BN582">
        <f>BL582-BK582</f>
        <v>360</v>
      </c>
      <c r="BO582">
        <f>BN582*kg_to_m3</f>
        <v>0.73469387755102045</v>
      </c>
      <c r="BP582" s="264" t="s">
        <v>395</v>
      </c>
      <c r="BQ582" t="s">
        <v>426</v>
      </c>
      <c r="BR582" t="s">
        <v>728</v>
      </c>
      <c r="BS582">
        <v>84.7</v>
      </c>
      <c r="BT582">
        <v>33.9</v>
      </c>
      <c r="BU582" s="144">
        <v>-9.5652173913043481E-2</v>
      </c>
      <c r="BV582">
        <f>BT582-BS582</f>
        <v>-50.800000000000004</v>
      </c>
      <c r="BX582">
        <f>BV582/1000</f>
        <v>-5.0800000000000005E-2</v>
      </c>
      <c r="BY582">
        <f>IFERROR(BX582/BO582,"")</f>
        <v>-6.9144444444444453E-2</v>
      </c>
      <c r="BZ582">
        <v>0</v>
      </c>
      <c r="CA582">
        <v>0</v>
      </c>
      <c r="CB582">
        <v>0</v>
      </c>
      <c r="CC582">
        <v>0</v>
      </c>
      <c r="CD582">
        <v>0</v>
      </c>
      <c r="CE582">
        <v>0</v>
      </c>
      <c r="CF582">
        <v>0</v>
      </c>
      <c r="CG582">
        <v>0</v>
      </c>
      <c r="CH582">
        <v>0</v>
      </c>
      <c r="CI582">
        <v>0</v>
      </c>
      <c r="CJ582">
        <v>0</v>
      </c>
      <c r="CK582">
        <v>0</v>
      </c>
      <c r="CL582">
        <v>0</v>
      </c>
      <c r="CM582">
        <v>0</v>
      </c>
      <c r="CN582" t="str">
        <f>IF($BL582&lt;$BK582,"refNeedCorrection","refOK")</f>
        <v>refOK</v>
      </c>
      <c r="CO582">
        <f>IF($CN582="refNeedCorrection",BL582,BK582)</f>
        <v>562</v>
      </c>
      <c r="CP582">
        <f>IF($CN582="refNeedCorrection",BK582,BL582)</f>
        <v>922</v>
      </c>
      <c r="CQ582">
        <f>IF($CN582="refOK",$BO582,-$BO582)</f>
        <v>0.73469387755102045</v>
      </c>
      <c r="CR582">
        <f>IF($CN582="refOK",$BS582,$BT582)*IF($BP582="Emissions positive",-1,1)</f>
        <v>-84.7</v>
      </c>
      <c r="CS582">
        <f>IF($CN582="refOK",$BT582,$BS582)*IF($BP582="Emissions positive",-1,1)</f>
        <v>-33.9</v>
      </c>
      <c r="CT582">
        <f>IF($CN582="refNeedCorrection",-BX582,BX582)*IF($BP582="Emissions positive",-1,1)</f>
        <v>5.0800000000000005E-2</v>
      </c>
      <c r="CU582">
        <f>IFERROR(CT582/CQ582,"")</f>
        <v>6.9144444444444453E-2</v>
      </c>
      <c r="CV582" s="2">
        <f>IFERROR((CS582-CR582)/ABS(CR582),"")</f>
        <v>0.59976387249114527</v>
      </c>
      <c r="CW582" s="1" t="s">
        <v>1199</v>
      </c>
      <c r="CX582" t="str">
        <f>IF(OR($CW582="prd",$CW582="std",$CW582="cit"),"loc",IF(OR($CW582="eur",$CW582="reg",$CW582="coy"),"reg",$CW582))</f>
        <v>reg</v>
      </c>
      <c r="CY582" t="s">
        <v>1540</v>
      </c>
      <c r="DB582">
        <v>100</v>
      </c>
      <c r="DC582" t="str">
        <f>IF(DB582=0,"0",IF(AND(DB582&gt;=1,DB582&lt;=30),"1-30",IF(AND(DB582&gt;30,DB582&lt;=70),"31-70",IF(AND(DB582&gt;70,DB582&lt;=100),"71-100",IF(DB582&gt;100,"+100")))))</f>
        <v>71-100</v>
      </c>
      <c r="DD582">
        <v>0</v>
      </c>
      <c r="DE582">
        <v>0</v>
      </c>
      <c r="DF582">
        <v>0</v>
      </c>
      <c r="DG582">
        <v>1</v>
      </c>
      <c r="DI582">
        <f>SUM(DD582:DG582)</f>
        <v>1</v>
      </c>
      <c r="DJ582" t="str">
        <f>IF(DI582=1,INDEX($DD$7:$DG$7,MATCH(1,$DD582:$DG582,0)),"mixedProduct")</f>
        <v>TimberInput</v>
      </c>
      <c r="DK582">
        <f>IF(DD582=1,DK$7,0)</f>
        <v>0</v>
      </c>
      <c r="DL582">
        <f>IF(DE582=1,DL$7,0)</f>
        <v>0</v>
      </c>
      <c r="DM582">
        <f>IF(DF582=1,DM$7,0)</f>
        <v>0</v>
      </c>
      <c r="DN582" t="str">
        <f>IF(DG582=1,DN$7,0)</f>
        <v>Timber</v>
      </c>
      <c r="DO582">
        <v>0</v>
      </c>
      <c r="DP582">
        <v>1</v>
      </c>
      <c r="DQ582">
        <v>0</v>
      </c>
      <c r="DR582">
        <v>0</v>
      </c>
      <c r="DS582" t="s">
        <v>1541</v>
      </c>
      <c r="DT582">
        <f>SUM(DO582:DP582)</f>
        <v>1</v>
      </c>
      <c r="DU582" s="143" t="str">
        <f>IF(DO582=1,"self-calculated DF",IF(DP582=1,"external DF used","explicit C balance"))</f>
        <v>external DF used</v>
      </c>
      <c r="DV582">
        <v>0</v>
      </c>
      <c r="DW582">
        <v>0</v>
      </c>
      <c r="DX582">
        <v>0</v>
      </c>
      <c r="DY582">
        <v>0</v>
      </c>
      <c r="DZ582">
        <v>1</v>
      </c>
      <c r="EA582" s="143">
        <v>1</v>
      </c>
      <c r="EB582">
        <v>0</v>
      </c>
      <c r="EC582">
        <v>1</v>
      </c>
      <c r="ED582">
        <v>0</v>
      </c>
      <c r="EE582">
        <v>1</v>
      </c>
      <c r="EF582">
        <v>1</v>
      </c>
      <c r="EG582">
        <v>1</v>
      </c>
      <c r="EH582">
        <v>0</v>
      </c>
      <c r="EI582" s="2">
        <v>0</v>
      </c>
      <c r="EK582" t="str">
        <f>IF(AND(AND(AND(OR($DX582=1,$DW582=1),OR($EC582=1,$EA582=1)),SUM($DV582:$DZ582,$EF582)&gt;=4),SUM($EA582:$EE582)&gt;=2),"Whole sector","")</f>
        <v/>
      </c>
      <c r="EL582" t="str">
        <f>IF(AND(AND(OR($DX582=1,$DW582=1),AND($EC582=0,$EA582=0)),SUM($DV582:$DZ582,$EF582)&gt;=4),"Ecosystem approach","")</f>
        <v/>
      </c>
      <c r="EM582" s="2" t="str">
        <f>IF(AND(AND(AND($DX582=0,$DW582=0),OR($EC582=1,$EA582=1)),SUM($EB582:$EE582)&gt;=2),"Technology approach","")</f>
        <v>Technology approach</v>
      </c>
      <c r="EP582" t="str">
        <f>IF(ISNUMBER(BU582),IF(ABS(BU582-[1]QC_indicators!$B$2)&gt;3*[1]QC_indicators!$C$2,"C ratio",IF(ISNUMBER(BY582),IF(ABS(BY582-[1]QC_indicators!$B$1)&gt;3*[1]QC_indicators!$C$1,"DF","no"))),IF(ISNUMBER(BY582),IF(ABS(BY582-[1]QC_indicators!$B$1)&gt;3*[1]QC_indicators!$C$1,"DF","no")))</f>
        <v>no</v>
      </c>
      <c r="ET582" s="264" t="s">
        <v>3273</v>
      </c>
    </row>
    <row r="583" spans="1:150" ht="15" customHeight="1">
      <c r="A583" s="1" t="s">
        <v>1168</v>
      </c>
      <c r="B583" t="s">
        <v>1169</v>
      </c>
      <c r="C583" t="s">
        <v>1170</v>
      </c>
      <c r="D583" t="s">
        <v>1171</v>
      </c>
      <c r="E583" t="s">
        <v>1172</v>
      </c>
      <c r="F583" t="s">
        <v>1173</v>
      </c>
      <c r="G583" t="s">
        <v>1174</v>
      </c>
      <c r="H583" t="s">
        <v>254</v>
      </c>
      <c r="I583">
        <v>2010</v>
      </c>
      <c r="J583">
        <v>51</v>
      </c>
      <c r="K583" t="s">
        <v>1175</v>
      </c>
      <c r="M583" t="str">
        <f>LEFT($D583,FIND(",",$D583)-1)&amp;"_"&amp;I583&amp;L583</f>
        <v>Vukotic_2010</v>
      </c>
      <c r="N583" t="s">
        <v>222</v>
      </c>
      <c r="O583" s="145" t="s">
        <v>1154</v>
      </c>
      <c r="Q583" t="s">
        <v>256</v>
      </c>
      <c r="R583" s="269" t="s">
        <v>274</v>
      </c>
      <c r="S583" s="1" t="s">
        <v>1176</v>
      </c>
      <c r="T583" t="s">
        <v>1177</v>
      </c>
      <c r="U583" t="s">
        <v>1178</v>
      </c>
      <c r="V583">
        <v>0</v>
      </c>
      <c r="W583">
        <v>0</v>
      </c>
      <c r="X583">
        <v>0</v>
      </c>
      <c r="Y583">
        <v>0</v>
      </c>
      <c r="Z583">
        <v>0</v>
      </c>
      <c r="AA583">
        <v>0</v>
      </c>
      <c r="AB583">
        <v>0</v>
      </c>
      <c r="AC583">
        <v>0</v>
      </c>
      <c r="AD583">
        <v>0</v>
      </c>
      <c r="AE583">
        <v>2</v>
      </c>
      <c r="AF583">
        <v>0</v>
      </c>
      <c r="AG583">
        <v>0</v>
      </c>
      <c r="AH583">
        <v>0</v>
      </c>
      <c r="AI583">
        <v>0</v>
      </c>
      <c r="AJ583">
        <v>0</v>
      </c>
      <c r="AK583">
        <v>1</v>
      </c>
      <c r="AL583">
        <v>0</v>
      </c>
      <c r="AM583">
        <v>0</v>
      </c>
      <c r="AN583">
        <v>0</v>
      </c>
      <c r="AO583">
        <v>0</v>
      </c>
      <c r="AP583">
        <v>0</v>
      </c>
      <c r="AQ583">
        <v>0</v>
      </c>
      <c r="AR583">
        <v>0</v>
      </c>
      <c r="AS583">
        <v>0</v>
      </c>
      <c r="AT583">
        <v>0</v>
      </c>
      <c r="AU583">
        <v>0</v>
      </c>
      <c r="AV583">
        <v>0</v>
      </c>
      <c r="AW583">
        <v>0</v>
      </c>
      <c r="AX583" s="141">
        <f>COUNTIF(V583:AW583,"&lt;&gt;0")</f>
        <v>2</v>
      </c>
      <c r="AY583" s="141">
        <f>COUNTIF(V583:AL583,"&lt;&gt;0")</f>
        <v>2</v>
      </c>
      <c r="AZ583">
        <f>COUNTIF(V583:AC583,"&lt;&gt;0")</f>
        <v>0</v>
      </c>
      <c r="BA583">
        <f>COUNTIF(AD583:AI583,"&lt;&gt;0")</f>
        <v>1</v>
      </c>
      <c r="BB583">
        <f>COUNTIF(AJ583:AL583,"&lt;&gt;0")</f>
        <v>1</v>
      </c>
      <c r="BC583">
        <f>COUNTIF(AS583:AW583,"&lt;&gt;0")</f>
        <v>0</v>
      </c>
      <c r="BD583">
        <f>COUNTIF(AM583:AR583,"&lt;&gt;0")</f>
        <v>0</v>
      </c>
      <c r="BE583" t="str">
        <f t="array" ref="BE583">IF(AY583=1,INDEX($V$7:$AL$7,MATCH(TRUE,INDEX($V583:$AW583&lt;&gt;0,),0)),IF(AY583=0,INDEX($AM$7:$AW$7,MATCH(1,$AM583:$AW583,0)),IF(BF583="Multiple strategies","mixed drivers",IF(BF583="Supply chain","multiple supply","multiple silviculture"))))</f>
        <v>mixed drivers</v>
      </c>
      <c r="BF583" s="2" t="str" cm="1">
        <f t="array" ref="BF583">IF(COUNTIF(AZ583:BB583,"&lt;&gt;0")=1,INDEX($V$4:$AW$4,MATCH(TRUE,INDEX($V583:$AW583&lt;&gt;0,),0)),IF(COUNTIF(AZ583:BB583,"&lt;&gt;0")=0,INDEX($AM$4:$AW$4,MATCH(1,$AM583:$AW583,0)),"Multiple strategies"))</f>
        <v>Multiple strategies</v>
      </c>
      <c r="BG583" s="1" t="s">
        <v>229</v>
      </c>
      <c r="BH583" t="s">
        <v>1179</v>
      </c>
      <c r="BJ583" t="s">
        <v>1180</v>
      </c>
      <c r="BK583">
        <v>0</v>
      </c>
      <c r="BL583">
        <v>0.27407407407407408</v>
      </c>
      <c r="BM583" s="143" t="e">
        <f>BL583/BK583</f>
        <v>#DIV/0!</v>
      </c>
      <c r="BN583">
        <f>BL583-BK583</f>
        <v>0.27407407407407408</v>
      </c>
      <c r="BO583">
        <f>BN583*t_to_m3</f>
        <v>0.55933484504913078</v>
      </c>
      <c r="BP583" t="s">
        <v>232</v>
      </c>
      <c r="BR583" t="s">
        <v>1181</v>
      </c>
      <c r="BS583">
        <v>53.97</v>
      </c>
      <c r="BT583">
        <v>93.36</v>
      </c>
      <c r="BU583" s="144">
        <f>IFERROR(BT583/BS583,"")</f>
        <v>1.7298499166203447</v>
      </c>
      <c r="BV583" s="144">
        <f>BT583-BS583</f>
        <v>39.39</v>
      </c>
      <c r="BW583" s="144"/>
      <c r="BX583" s="144">
        <f>BV583*0.001</f>
        <v>3.9390000000000001E-2</v>
      </c>
      <c r="BY583">
        <f>IFERROR(BX583/BO583,"")</f>
        <v>7.0422932432432431E-2</v>
      </c>
      <c r="BZ583">
        <v>0</v>
      </c>
      <c r="CA583">
        <v>0</v>
      </c>
      <c r="CB583">
        <v>0</v>
      </c>
      <c r="CC583">
        <v>0</v>
      </c>
      <c r="CD583">
        <v>0</v>
      </c>
      <c r="CE583">
        <v>0</v>
      </c>
      <c r="CF583">
        <v>0</v>
      </c>
      <c r="CG583">
        <v>0</v>
      </c>
      <c r="CH583">
        <v>0</v>
      </c>
      <c r="CI583">
        <v>0</v>
      </c>
      <c r="CJ583">
        <v>0</v>
      </c>
      <c r="CK583">
        <v>0</v>
      </c>
      <c r="CL583">
        <v>0</v>
      </c>
      <c r="CM583">
        <v>0</v>
      </c>
      <c r="CN583" t="str">
        <f>IF($BL583&lt;$BK583,"refNeedCorrection","refOK")</f>
        <v>refOK</v>
      </c>
      <c r="CO583">
        <f>IF($CN583="refOK",$BK583,$BL583)</f>
        <v>0</v>
      </c>
      <c r="CP583">
        <f>IF($CN583="refOK",$BL583,$BK583)</f>
        <v>0.27407407407407408</v>
      </c>
      <c r="CQ583">
        <f>IF($CN583="refOK",$BO583,-$BO583)</f>
        <v>0.55933484504913078</v>
      </c>
      <c r="CR583">
        <f>IF($CN583="refOK",$BS583,$BT583)*IF($BP583="Emissions positive",-1,1)</f>
        <v>53.97</v>
      </c>
      <c r="CS583">
        <f>IF($CN583="refOK",$BT583,$BS583)*IF($BP583="Emissions positive",-1,1)</f>
        <v>93.36</v>
      </c>
      <c r="CT583">
        <f>IF($CN583="refNeedCorrection",-BX583,BX583)*IF($BP583="Emissions positive",-1,1)</f>
        <v>3.9390000000000001E-2</v>
      </c>
      <c r="CU583">
        <f>IFERROR(CT583/CQ583,"")</f>
        <v>7.0422932432432431E-2</v>
      </c>
      <c r="CV583" s="2">
        <f>IFERROR((CS583-CR583)/ABS(CR583),"")</f>
        <v>0.72984991662034471</v>
      </c>
      <c r="CW583" s="1" t="s">
        <v>263</v>
      </c>
      <c r="CX583" t="str">
        <f>IF(OR($CW583="prd",$CW583="std",$CW583="cit"),"loc",IF(OR($CW583="eur",$CW583="reg",$CW583="coy"),"reg",$CW583))</f>
        <v>loc</v>
      </c>
      <c r="CY583" s="309" t="s">
        <v>3423</v>
      </c>
      <c r="DB583">
        <v>60</v>
      </c>
      <c r="DC583" t="str">
        <f>IF(DB583=0,"0",IF(AND(DB583&gt;=1,DB583&lt;=30),"1-30",IF(AND(DB583&gt;30,DB583&lt;=70),"31-70",IF(AND(DB583&gt;70,DB583&lt;=100),"71-100",IF(DB583&gt;100,"+100")))))</f>
        <v>31-70</v>
      </c>
      <c r="DD583">
        <v>0</v>
      </c>
      <c r="DE583">
        <v>0</v>
      </c>
      <c r="DF583">
        <v>0</v>
      </c>
      <c r="DG583">
        <v>1</v>
      </c>
      <c r="DI583">
        <f>SUM(DD583:DG583)</f>
        <v>1</v>
      </c>
      <c r="DJ583" t="str">
        <f>IF(DI583=1,INDEX($DD$7:$DG$7,MATCH(1,$DD583:$DG583,0)),"mixedProduct")</f>
        <v>TimberInput</v>
      </c>
      <c r="DK583">
        <f>IF(DD583=1,DK$7,0)</f>
        <v>0</v>
      </c>
      <c r="DL583">
        <f>IF(DE583=1,DL$7,0)</f>
        <v>0</v>
      </c>
      <c r="DM583">
        <f>IF(DF583=1,DM$7,0)</f>
        <v>0</v>
      </c>
      <c r="DN583" t="str">
        <f>IF(DG583=1,DN$7,0)</f>
        <v>Timber</v>
      </c>
      <c r="DO583">
        <v>1</v>
      </c>
      <c r="DP583">
        <v>0</v>
      </c>
      <c r="DQ583">
        <v>0</v>
      </c>
      <c r="DR583">
        <v>0</v>
      </c>
      <c r="DS583">
        <v>0</v>
      </c>
      <c r="DT583">
        <f>SUM(DO583:DP583)</f>
        <v>1</v>
      </c>
      <c r="DU583" s="143" t="str">
        <f>IF(DO583=1,"self-calculated DF",IF(DP583=1,"external DF used","explicit C balance"))</f>
        <v>self-calculated DF</v>
      </c>
      <c r="DV583">
        <v>0</v>
      </c>
      <c r="DW583">
        <v>0</v>
      </c>
      <c r="DX583">
        <v>0</v>
      </c>
      <c r="DY583">
        <v>0</v>
      </c>
      <c r="DZ583">
        <v>0</v>
      </c>
      <c r="EA583" s="143">
        <v>1</v>
      </c>
      <c r="EB583">
        <v>0</v>
      </c>
      <c r="EC583">
        <v>0</v>
      </c>
      <c r="ED583">
        <v>0</v>
      </c>
      <c r="EE583">
        <v>1</v>
      </c>
      <c r="EF583">
        <v>0</v>
      </c>
      <c r="EG583">
        <v>0</v>
      </c>
      <c r="EH583">
        <v>0</v>
      </c>
      <c r="EI583" s="2">
        <v>0</v>
      </c>
      <c r="EK583" t="str">
        <f>IF(AND(AND(AND(OR($DX583=1,$DW583=1),OR($EC583=1,$EA583=1)),SUM($DV583:$DZ583,$EF583)&gt;=4),SUM($EA583:$EE583)&gt;=2),"Whole sector","")</f>
        <v/>
      </c>
      <c r="EL583" t="str">
        <f>IF(AND(AND(OR($DX583=1,$DW583=1),AND($EC583=0,$EA583=0)),SUM($DV583:$DZ583,$EF583)&gt;=4),"Ecosystem approach","")</f>
        <v/>
      </c>
      <c r="EM583" s="2" t="str">
        <f>IF(AND(AND(AND($DX583=0,$DW583=0),OR($EC583=1,$EA583=1)),SUM($EB583:$EE583)&gt;=2),"Technology approach","")</f>
        <v/>
      </c>
      <c r="EP583" t="str">
        <f>IF(ISNUMBER(BU583),IF(ABS(BU583-[2]QC_indicators!$B$2)&gt;3*[2]QC_indicators!$C$2,"C ratio",IF(ISNUMBER(BY583),IF(ABS(BY583-[2]QC_indicators!$B$1)&gt;3*[2]QC_indicators!$C$1,"DF","no"))),IF(ISNUMBER(BY583),IF(ABS(BY583-[2]QC_indicators!$B$1)&gt;3*[2]QC_indicators!$C$1,"DF","no")))</f>
        <v>no</v>
      </c>
      <c r="ET583" s="264" t="s">
        <v>3263</v>
      </c>
    </row>
    <row r="584" spans="1:150" ht="15" customHeight="1">
      <c r="A584" s="1" t="s">
        <v>1168</v>
      </c>
      <c r="B584" t="s">
        <v>1169</v>
      </c>
      <c r="C584" t="s">
        <v>1170</v>
      </c>
      <c r="D584" t="s">
        <v>1171</v>
      </c>
      <c r="E584" t="s">
        <v>1172</v>
      </c>
      <c r="F584" t="s">
        <v>1173</v>
      </c>
      <c r="G584" t="s">
        <v>1174</v>
      </c>
      <c r="H584" t="s">
        <v>254</v>
      </c>
      <c r="I584">
        <v>2010</v>
      </c>
      <c r="J584">
        <v>51</v>
      </c>
      <c r="K584" t="s">
        <v>1175</v>
      </c>
      <c r="M584" t="str">
        <f>LEFT($D584,FIND(",",$D584)-1)&amp;"_"&amp;I584&amp;L584</f>
        <v>Vukotic_2010</v>
      </c>
      <c r="N584" t="s">
        <v>222</v>
      </c>
      <c r="O584" s="145" t="s">
        <v>1154</v>
      </c>
      <c r="Q584" t="s">
        <v>256</v>
      </c>
      <c r="R584" s="269" t="s">
        <v>274</v>
      </c>
      <c r="S584" s="1" t="s">
        <v>1176</v>
      </c>
      <c r="T584" t="s">
        <v>1177</v>
      </c>
      <c r="U584" t="s">
        <v>1182</v>
      </c>
      <c r="V584">
        <v>0</v>
      </c>
      <c r="W584">
        <v>0</v>
      </c>
      <c r="X584">
        <v>0</v>
      </c>
      <c r="Y584">
        <v>0</v>
      </c>
      <c r="Z584">
        <v>0</v>
      </c>
      <c r="AA584">
        <v>0</v>
      </c>
      <c r="AB584">
        <v>0</v>
      </c>
      <c r="AC584">
        <v>0</v>
      </c>
      <c r="AD584">
        <v>0</v>
      </c>
      <c r="AE584">
        <v>0</v>
      </c>
      <c r="AF584">
        <v>0</v>
      </c>
      <c r="AG584">
        <v>0</v>
      </c>
      <c r="AH584">
        <v>0</v>
      </c>
      <c r="AI584">
        <v>0</v>
      </c>
      <c r="AJ584">
        <v>0</v>
      </c>
      <c r="AK584">
        <v>1</v>
      </c>
      <c r="AL584">
        <v>0</v>
      </c>
      <c r="AM584">
        <v>0</v>
      </c>
      <c r="AN584">
        <v>0</v>
      </c>
      <c r="AO584">
        <v>0</v>
      </c>
      <c r="AP584">
        <v>0</v>
      </c>
      <c r="AQ584">
        <v>0</v>
      </c>
      <c r="AR584">
        <v>0</v>
      </c>
      <c r="AS584">
        <v>0</v>
      </c>
      <c r="AT584">
        <v>0</v>
      </c>
      <c r="AU584">
        <v>0</v>
      </c>
      <c r="AV584">
        <v>0</v>
      </c>
      <c r="AW584">
        <v>0</v>
      </c>
      <c r="AX584" s="141">
        <f>COUNTIF(V584:AW584,"&lt;&gt;0")</f>
        <v>1</v>
      </c>
      <c r="AY584" s="141">
        <f>COUNTIF(V584:AL584,"&lt;&gt;0")</f>
        <v>1</v>
      </c>
      <c r="AZ584">
        <f>COUNTIF(V584:AC584,"&lt;&gt;0")</f>
        <v>0</v>
      </c>
      <c r="BA584">
        <f>COUNTIF(AD584:AI584,"&lt;&gt;0")</f>
        <v>0</v>
      </c>
      <c r="BB584">
        <f>COUNTIF(AJ584:AL584,"&lt;&gt;0")</f>
        <v>1</v>
      </c>
      <c r="BC584">
        <f>COUNTIF(AS584:AW584,"&lt;&gt;0")</f>
        <v>0</v>
      </c>
      <c r="BD584">
        <f>COUNTIF(AM584:AR584,"&lt;&gt;0")</f>
        <v>0</v>
      </c>
      <c r="BE584" t="str">
        <f t="array" ref="BE584">IF(AY584=1,INDEX($V$7:$AL$7,MATCH(TRUE,INDEX($V584:$AW584&lt;&gt;0,),0)),IF(AY584=0,INDEX($AM$7:$AW$7,MATCH(1,$AM584:$AW584,0)),IF(BF584="Multiple strategies","mixed drivers",IF(BF584="Supply chain","multiple supply","multiple silviculture"))))</f>
        <v>technologies/design switch</v>
      </c>
      <c r="BF584" s="2" t="str" cm="1">
        <f t="array" ref="BF584">IF(COUNTIF(AZ584:BB584,"&lt;&gt;0")=1,INDEX($V$4:$AW$4,MATCH(TRUE,INDEX($V584:$AW584&lt;&gt;0,),0)),IF(COUNTIF(AZ584:BB584,"&lt;&gt;0")=0,INDEX($AM$4:$AW$4,MATCH(1,$AM584:$AW584,0)),"Multiple strategies"))</f>
        <v>Technology</v>
      </c>
      <c r="BG584" s="1" t="s">
        <v>229</v>
      </c>
      <c r="BH584" t="s">
        <v>1179</v>
      </c>
      <c r="BJ584" t="s">
        <v>1180</v>
      </c>
      <c r="BK584">
        <v>0</v>
      </c>
      <c r="BL584">
        <v>0.27407407407407408</v>
      </c>
      <c r="BM584" s="143" t="e">
        <f>BL584/BK584</f>
        <v>#DIV/0!</v>
      </c>
      <c r="BN584">
        <f>BL584-BK584</f>
        <v>0.27407407407407408</v>
      </c>
      <c r="BO584">
        <f>BN584*t_to_m3</f>
        <v>0.55933484504913078</v>
      </c>
      <c r="BP584" t="s">
        <v>232</v>
      </c>
      <c r="BR584" t="s">
        <v>1181</v>
      </c>
      <c r="BS584">
        <v>53.97</v>
      </c>
      <c r="BT584">
        <v>93.36</v>
      </c>
      <c r="BU584" s="144">
        <f>IFERROR(BT584/BS584,"")</f>
        <v>1.7298499166203447</v>
      </c>
      <c r="BV584" s="144">
        <f>BT584-BS584</f>
        <v>39.39</v>
      </c>
      <c r="BW584" s="144"/>
      <c r="BX584" s="144">
        <f>BV584*0.001</f>
        <v>3.9390000000000001E-2</v>
      </c>
      <c r="BY584">
        <f>IFERROR(BX584/BO584,"")</f>
        <v>7.0422932432432431E-2</v>
      </c>
      <c r="BZ584">
        <v>0</v>
      </c>
      <c r="CA584">
        <v>0</v>
      </c>
      <c r="CB584">
        <v>0</v>
      </c>
      <c r="CC584">
        <v>0</v>
      </c>
      <c r="CD584">
        <v>0</v>
      </c>
      <c r="CE584">
        <v>0</v>
      </c>
      <c r="CF584">
        <v>0</v>
      </c>
      <c r="CG584">
        <v>0</v>
      </c>
      <c r="CH584">
        <v>0</v>
      </c>
      <c r="CI584">
        <v>0</v>
      </c>
      <c r="CJ584">
        <v>0</v>
      </c>
      <c r="CK584">
        <v>0</v>
      </c>
      <c r="CL584">
        <v>0</v>
      </c>
      <c r="CM584">
        <v>0</v>
      </c>
      <c r="CN584" t="str">
        <f>IF($BL584&lt;$BK584,"refNeedCorrection","refOK")</f>
        <v>refOK</v>
      </c>
      <c r="CO584">
        <f>IF($CN584="refOK",$BK584,$BL584)</f>
        <v>0</v>
      </c>
      <c r="CP584">
        <f>IF($CN584="refOK",$BL584,$BK584)</f>
        <v>0.27407407407407408</v>
      </c>
      <c r="CQ584">
        <f>IF($CN584="refOK",$BO584,-$BO584)</f>
        <v>0.55933484504913078</v>
      </c>
      <c r="CR584">
        <f>IF($CN584="refOK",$BS584,$BT584)*IF($BP584="Emissions positive",-1,1)</f>
        <v>53.97</v>
      </c>
      <c r="CS584">
        <f>IF($CN584="refOK",$BT584,$BS584)*IF($BP584="Emissions positive",-1,1)</f>
        <v>93.36</v>
      </c>
      <c r="CT584">
        <f>IF($CN584="refNeedCorrection",-BX584,BX584)*IF($BP584="Emissions positive",-1,1)</f>
        <v>3.9390000000000001E-2</v>
      </c>
      <c r="CU584">
        <f>IFERROR(CT584/CQ584,"")</f>
        <v>7.0422932432432431E-2</v>
      </c>
      <c r="CV584" s="2">
        <f>IFERROR((CS584-CR584)/ABS(CR584),"")</f>
        <v>0.72984991662034471</v>
      </c>
      <c r="CW584" s="1" t="s">
        <v>263</v>
      </c>
      <c r="CX584" t="str">
        <f>IF(OR($CW584="prd",$CW584="std",$CW584="cit"),"loc",IF(OR($CW584="eur",$CW584="reg",$CW584="coy"),"reg",$CW584))</f>
        <v>loc</v>
      </c>
      <c r="CY584" s="309" t="s">
        <v>3423</v>
      </c>
      <c r="DB584">
        <v>60</v>
      </c>
      <c r="DC584" t="str">
        <f>IF(DB584=0,"0",IF(AND(DB584&gt;=1,DB584&lt;=30),"1-30",IF(AND(DB584&gt;30,DB584&lt;=70),"31-70",IF(AND(DB584&gt;70,DB584&lt;=100),"71-100",IF(DB584&gt;100,"+100")))))</f>
        <v>31-70</v>
      </c>
      <c r="DD584">
        <v>0</v>
      </c>
      <c r="DE584">
        <v>0</v>
      </c>
      <c r="DF584">
        <v>0</v>
      </c>
      <c r="DG584">
        <v>1</v>
      </c>
      <c r="DI584">
        <f>SUM(DD584:DG584)</f>
        <v>1</v>
      </c>
      <c r="DJ584" t="str">
        <f>IF(DI584=1,INDEX($DD$7:$DG$7,MATCH(1,$DD584:$DG584,0)),"mixedProduct")</f>
        <v>TimberInput</v>
      </c>
      <c r="DK584">
        <f>IF(DD584=1,DK$7,0)</f>
        <v>0</v>
      </c>
      <c r="DL584">
        <f>IF(DE584=1,DL$7,0)</f>
        <v>0</v>
      </c>
      <c r="DM584">
        <f>IF(DF584=1,DM$7,0)</f>
        <v>0</v>
      </c>
      <c r="DN584" t="str">
        <f>IF(DG584=1,DN$7,0)</f>
        <v>Timber</v>
      </c>
      <c r="DO584">
        <v>1</v>
      </c>
      <c r="DP584">
        <v>0</v>
      </c>
      <c r="DQ584">
        <v>0</v>
      </c>
      <c r="DR584">
        <v>0</v>
      </c>
      <c r="DS584">
        <v>0</v>
      </c>
      <c r="DT584">
        <f>SUM(DO584:DP584)</f>
        <v>1</v>
      </c>
      <c r="DU584" s="143" t="str">
        <f>IF(DO584=1,"self-calculated DF",IF(DP584=1,"external DF used","explicit C balance"))</f>
        <v>self-calculated DF</v>
      </c>
      <c r="DV584">
        <v>0</v>
      </c>
      <c r="DW584">
        <v>0</v>
      </c>
      <c r="DX584">
        <v>0</v>
      </c>
      <c r="DY584">
        <v>0</v>
      </c>
      <c r="DZ584">
        <v>0</v>
      </c>
      <c r="EA584" s="143">
        <v>1</v>
      </c>
      <c r="EB584">
        <v>0</v>
      </c>
      <c r="EC584">
        <v>0</v>
      </c>
      <c r="ED584">
        <v>0</v>
      </c>
      <c r="EE584">
        <v>1</v>
      </c>
      <c r="EF584">
        <v>0</v>
      </c>
      <c r="EG584">
        <v>0</v>
      </c>
      <c r="EH584">
        <v>0</v>
      </c>
      <c r="EI584" s="2">
        <v>0</v>
      </c>
      <c r="EK584" t="str">
        <f>IF(AND(AND(AND(OR($DX584=1,$DW584=1),OR($EC584=1,$EA584=1)),SUM($DV584:$DZ584,$EF584)&gt;=4),SUM($EA584:$EE584)&gt;=2),"Whole sector","")</f>
        <v/>
      </c>
      <c r="EL584" t="str">
        <f>IF(AND(AND(OR($DX584=1,$DW584=1),AND($EC584=0,$EA584=0)),SUM($DV584:$DZ584,$EF584)&gt;=4),"Ecosystem approach","")</f>
        <v/>
      </c>
      <c r="EM584" s="2" t="str">
        <f>IF(AND(AND(AND($DX584=0,$DW584=0),OR($EC584=1,$EA584=1)),SUM($EB584:$EE584)&gt;=2),"Technology approach","")</f>
        <v/>
      </c>
      <c r="EP584" t="str">
        <f>IF(ISNUMBER(BU584),IF(ABS(BU584-[2]QC_indicators!$B$2)&gt;3*[2]QC_indicators!$C$2,"C ratio",IF(ISNUMBER(BY584),IF(ABS(BY584-[2]QC_indicators!$B$1)&gt;3*[2]QC_indicators!$C$1,"DF","no"))),IF(ISNUMBER(BY584),IF(ABS(BY584-[2]QC_indicators!$B$1)&gt;3*[2]QC_indicators!$C$1,"DF","no")))</f>
        <v>no</v>
      </c>
      <c r="ET584" s="264" t="s">
        <v>3263</v>
      </c>
    </row>
    <row r="585" spans="1:150" ht="15" customHeight="1">
      <c r="A585" s="1" t="s">
        <v>1360</v>
      </c>
      <c r="B585" t="s">
        <v>2135</v>
      </c>
      <c r="C585" t="s">
        <v>2136</v>
      </c>
      <c r="D585" t="s">
        <v>2137</v>
      </c>
      <c r="E585" t="s">
        <v>2138</v>
      </c>
      <c r="F585" t="s">
        <v>2139</v>
      </c>
      <c r="G585" t="s">
        <v>1366</v>
      </c>
      <c r="H585" t="s">
        <v>254</v>
      </c>
      <c r="I585">
        <v>2012</v>
      </c>
      <c r="J585">
        <v>21</v>
      </c>
      <c r="K585" t="s">
        <v>2140</v>
      </c>
      <c r="L585" s="192"/>
      <c r="M585" t="str">
        <f>LEFT($D585,FIND(",",$D585)-1)&amp;"_"&amp;I585&amp;L585</f>
        <v>Pyorala_2012</v>
      </c>
      <c r="N585" t="s">
        <v>222</v>
      </c>
      <c r="O585" s="145" t="s">
        <v>341</v>
      </c>
      <c r="P585" s="193" t="s">
        <v>223</v>
      </c>
      <c r="Q585" s="264" t="s">
        <v>224</v>
      </c>
      <c r="R585" s="269" t="s">
        <v>1154</v>
      </c>
      <c r="S585" s="263" t="s">
        <v>2156</v>
      </c>
      <c r="T585" s="264" t="s">
        <v>2157</v>
      </c>
      <c r="U585" s="264" t="s">
        <v>2158</v>
      </c>
      <c r="V585">
        <v>0</v>
      </c>
      <c r="W585">
        <v>0</v>
      </c>
      <c r="X585">
        <v>0</v>
      </c>
      <c r="Y585">
        <v>0</v>
      </c>
      <c r="Z585">
        <v>0</v>
      </c>
      <c r="AA585">
        <v>0</v>
      </c>
      <c r="AB585">
        <v>0</v>
      </c>
      <c r="AC585">
        <v>1</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s="141">
        <f>COUNTIF(V585:AW585,"&lt;&gt;0")</f>
        <v>1</v>
      </c>
      <c r="AY585" s="141">
        <f>COUNTIF(V585:AL585,"&lt;&gt;0")</f>
        <v>1</v>
      </c>
      <c r="AZ585">
        <f>COUNTIF(V585:AC585,"&lt;&gt;0")</f>
        <v>1</v>
      </c>
      <c r="BA585">
        <f>COUNTIF(AD585:AI585,"&lt;&gt;0")</f>
        <v>0</v>
      </c>
      <c r="BB585">
        <f>COUNTIF(AJ585:AL585,"&lt;&gt;0")</f>
        <v>0</v>
      </c>
      <c r="BC585">
        <f>COUNTIF(AS585:AW585,"&lt;&gt;0")</f>
        <v>0</v>
      </c>
      <c r="BD585">
        <f>COUNTIF(AM585:AR585,"&lt;&gt;0")</f>
        <v>0</v>
      </c>
      <c r="BE585" t="str" cm="1">
        <f t="array" ref="BE585">IF(AY585=1,INDEX($V$7:$AL$7,MATCH(TRUE,INDEX($V585:$AW585&lt;&gt;0,),0)),IF(AY585=0,INDEX($AM$7:$AW$7,MATCH(1,$AM585:$AW585,0)),IF(BF585="Multiple strategies","mixed drivers",IF(BF585="Supply chain","multiple supply","multiple silviculture"))))</f>
        <v>site fertility</v>
      </c>
      <c r="BF585" s="2" t="str" cm="1">
        <f t="array" ref="BF585">IF(COUNTIF(AZ585:BB585,"&lt;&gt;0")=1,INDEX($V$4:$AW$4,MATCH(TRUE,INDEX($V585:$AW585&lt;&gt;0,),0)),IF(COUNTIF(AZ585:BB585,"&lt;&gt;0")=0,INDEX($AM$4:$AW$4,MATCH(1,$AM585:$AW585,0)),"Multiple strategies"))</f>
        <v>Silviculture for productivity</v>
      </c>
      <c r="BG585" s="194" t="s">
        <v>321</v>
      </c>
      <c r="BH585" s="264" t="s">
        <v>2144</v>
      </c>
      <c r="BI585" s="264" t="s">
        <v>2159</v>
      </c>
      <c r="BJ585" s="195" t="s">
        <v>700</v>
      </c>
      <c r="BK585">
        <v>7.4</v>
      </c>
      <c r="BL585">
        <v>8.8000000000000007</v>
      </c>
      <c r="BN585">
        <f>BL585-BK585</f>
        <v>1.4000000000000004</v>
      </c>
      <c r="BO585">
        <f>BN585</f>
        <v>1.4000000000000004</v>
      </c>
      <c r="BP585" s="149" t="s">
        <v>395</v>
      </c>
      <c r="BQ585" s="335" t="s">
        <v>783</v>
      </c>
      <c r="BR585" s="149" t="s">
        <v>279</v>
      </c>
      <c r="BS585">
        <v>0.9</v>
      </c>
      <c r="BT585">
        <v>0.8</v>
      </c>
      <c r="BU585" s="144"/>
      <c r="BV585">
        <f>BT585-BS585</f>
        <v>-9.9999999999999978E-2</v>
      </c>
      <c r="BX585">
        <f>BV585</f>
        <v>-9.9999999999999978E-2</v>
      </c>
      <c r="BY585">
        <f>IFERROR(BX585/BO585,"")</f>
        <v>-7.1428571428571397E-2</v>
      </c>
      <c r="BZ585">
        <v>0</v>
      </c>
      <c r="CA585">
        <v>0</v>
      </c>
      <c r="CB585">
        <v>0</v>
      </c>
      <c r="CC585">
        <v>0</v>
      </c>
      <c r="CD585">
        <v>0</v>
      </c>
      <c r="CE585">
        <v>0</v>
      </c>
      <c r="CF585">
        <v>0</v>
      </c>
      <c r="CG585">
        <v>0</v>
      </c>
      <c r="CH585">
        <v>0</v>
      </c>
      <c r="CI585">
        <v>0</v>
      </c>
      <c r="CJ585">
        <v>0</v>
      </c>
      <c r="CK585">
        <v>0</v>
      </c>
      <c r="CL585">
        <v>0</v>
      </c>
      <c r="CM585">
        <v>0</v>
      </c>
      <c r="CN585" t="str">
        <f>IF($BL585&lt;$BK585,"refNeedCorrection","refOK")</f>
        <v>refOK</v>
      </c>
      <c r="CO585">
        <f>IF($CN585="refOK",$BK585,$BL585)</f>
        <v>7.4</v>
      </c>
      <c r="CP585">
        <f>IF($CN585="refOK",$BL585,$BK585)</f>
        <v>8.8000000000000007</v>
      </c>
      <c r="CQ585">
        <f>IF($CN585="refOK",$BO585,-$BO585)</f>
        <v>1.4000000000000004</v>
      </c>
      <c r="CR585">
        <f>IF($CN585="refOK",$BS585,$BT585)*IF($BP585="Emissions positive",-1,1)</f>
        <v>-0.9</v>
      </c>
      <c r="CS585">
        <f>IF($CN585="refOK",$BT585,$BS585)*IF($BP585="Emissions positive",-1,1)</f>
        <v>-0.8</v>
      </c>
      <c r="CT585">
        <f>IF($CN585="refNeedCorrection",-BX585,BX585)*IF($BP585="Emissions positive",-1,1)</f>
        <v>9.9999999999999978E-2</v>
      </c>
      <c r="CU585">
        <f>IFERROR(CT585/CQ585,"")</f>
        <v>7.1428571428571397E-2</v>
      </c>
      <c r="CV585" s="2">
        <f>IFERROR((CS585-CR585)/ABS(CR585),"")</f>
        <v>0.11111111111111108</v>
      </c>
      <c r="CW585" s="1" t="s">
        <v>1199</v>
      </c>
      <c r="CX585" s="264" t="str">
        <f>IF(OR($CW585="prd",$CW585="std",$CW585="cit"),"loc",IF(OR($CW585="eur",$CW585="reg",$CW585="coy"),"reg",$CW585))</f>
        <v>reg</v>
      </c>
      <c r="CY585" t="s">
        <v>235</v>
      </c>
      <c r="DB585">
        <v>80</v>
      </c>
      <c r="DC585" t="str">
        <f>IF(DB585=0,"0",IF(AND(DB585&gt;=1,DB585&lt;=30),"1-30",IF(AND(DB585&gt;30,DB585&lt;=70),"31-70",IF(AND(DB585&gt;70,DB585&lt;=100),"71-100",IF(DB585&gt;100,"+100")))))</f>
        <v>71-100</v>
      </c>
      <c r="DD585">
        <v>0</v>
      </c>
      <c r="DE585">
        <v>1</v>
      </c>
      <c r="DF585">
        <v>1</v>
      </c>
      <c r="DG585">
        <v>1</v>
      </c>
      <c r="DI585">
        <f>SUM(DD585:DG585)</f>
        <v>3</v>
      </c>
      <c r="DJ585" t="str">
        <f>IF(DI585=1,INDEX($DD$7:$DG$7,MATCH(1,$DD585:$DG585,0)),"mixedProduct")</f>
        <v>mixedProduct</v>
      </c>
      <c r="DK585">
        <f>IF(DD585=1,DK$7,0)</f>
        <v>0</v>
      </c>
      <c r="DL585" t="str">
        <f>IF(DE585=1,DL$7,0)</f>
        <v>Energy</v>
      </c>
      <c r="DM585" t="str">
        <f>IF(DF585=1,DM$7,0)</f>
        <v>Pulp/Paper</v>
      </c>
      <c r="DN585" t="str">
        <f>IF(DG585=1,DN$7,0)</f>
        <v>Timber</v>
      </c>
      <c r="DO585">
        <v>0</v>
      </c>
      <c r="DP585">
        <v>1</v>
      </c>
      <c r="DQ585" t="s">
        <v>2146</v>
      </c>
      <c r="DR585">
        <v>0</v>
      </c>
      <c r="DS585">
        <v>0</v>
      </c>
      <c r="DT585">
        <f>SUM(DO585:DP585)</f>
        <v>1</v>
      </c>
      <c r="DU585" s="143" t="str">
        <f>IF(DO585=1,"self-calculated DF",IF(DP585=1,"external DF used","explicit C balance"))</f>
        <v>external DF used</v>
      </c>
      <c r="DV585">
        <v>1</v>
      </c>
      <c r="DW585">
        <v>1</v>
      </c>
      <c r="DX585">
        <v>1</v>
      </c>
      <c r="DY585">
        <v>0</v>
      </c>
      <c r="DZ585">
        <v>1</v>
      </c>
      <c r="EA585">
        <v>0</v>
      </c>
      <c r="EB585">
        <v>1</v>
      </c>
      <c r="EC585">
        <v>1</v>
      </c>
      <c r="ED585">
        <v>0</v>
      </c>
      <c r="EE585">
        <v>0</v>
      </c>
      <c r="EF585">
        <v>1</v>
      </c>
      <c r="EG585">
        <v>0</v>
      </c>
      <c r="EH585">
        <v>0</v>
      </c>
      <c r="EI585" s="2">
        <v>0</v>
      </c>
      <c r="EK585" t="str">
        <f>IF(AND(AND(AND(OR($DX585=1,$DW585=1),OR($EC585=1,$EA585=1)),SUM($DV585:$DZ585,$EF585)&gt;=4),SUM($EA585:$EE585)&gt;=2),"Whole sector","")</f>
        <v>Whole sector</v>
      </c>
      <c r="EL585" t="str">
        <f>IF(AND(AND(OR($DX585=1,$DW585=1),AND($EC585=0,$EA585=0)),SUM($DV585:$DZ585,$EF585)&gt;=4),"Ecosystem approach","")</f>
        <v/>
      </c>
      <c r="EM585" s="2" t="str">
        <f>IF(AND(AND(AND($DX585=0,$DW585=0),OR($EC585=1,$EA585=1)),SUM($EB585:$EE585)&gt;=2),"Technology approach","")</f>
        <v/>
      </c>
      <c r="EP585" t="str">
        <f>IF(ISNUMBER(BU585),IF(ABS(BU585-[3]QC_indicators!$B$2)&gt;3*[3]QC_indicators!$C$2,"C ratio",IF(ISNUMBER(BY585),IF(ABS(BY585-[3]QC_indicators!$B$1)&gt;3*[3]QC_indicators!$C$1,"DF","no"))),IF(ISNUMBER(BY585),IF(ABS(BY585-[3]QC_indicators!$B$1)&gt;3*[3]QC_indicators!$C$1,"DF","no")))</f>
        <v>no</v>
      </c>
      <c r="ET585" s="264" t="s">
        <v>3407</v>
      </c>
    </row>
    <row r="586" spans="1:150" ht="15" customHeight="1">
      <c r="A586" s="1" t="s">
        <v>878</v>
      </c>
      <c r="B586" t="s">
        <v>1705</v>
      </c>
      <c r="C586" t="s">
        <v>544</v>
      </c>
      <c r="D586" t="s">
        <v>1706</v>
      </c>
      <c r="E586" t="s">
        <v>1707</v>
      </c>
      <c r="F586" t="s">
        <v>1708</v>
      </c>
      <c r="G586" t="s">
        <v>1184</v>
      </c>
      <c r="H586" t="s">
        <v>254</v>
      </c>
      <c r="I586">
        <v>2021</v>
      </c>
      <c r="J586">
        <v>8</v>
      </c>
      <c r="K586" t="s">
        <v>1709</v>
      </c>
      <c r="M586" t="str">
        <f>LEFT($D586,FIND(",",$D586)-1)&amp;"_"&amp;I586&amp;L586</f>
        <v>Hart_2021</v>
      </c>
      <c r="N586" s="264" t="s">
        <v>222</v>
      </c>
      <c r="O586" s="171" t="s">
        <v>225</v>
      </c>
      <c r="P586" t="s">
        <v>960</v>
      </c>
      <c r="Q586" s="264" t="s">
        <v>389</v>
      </c>
      <c r="R586" s="269" t="s">
        <v>1154</v>
      </c>
      <c r="S586" s="297" t="s">
        <v>1710</v>
      </c>
      <c r="T586" t="s">
        <v>1711</v>
      </c>
      <c r="U586" t="s">
        <v>1712</v>
      </c>
      <c r="V586">
        <v>0</v>
      </c>
      <c r="W586">
        <v>0</v>
      </c>
      <c r="X586">
        <v>0</v>
      </c>
      <c r="Y586">
        <v>0</v>
      </c>
      <c r="Z586">
        <v>0</v>
      </c>
      <c r="AA586">
        <v>0</v>
      </c>
      <c r="AB586">
        <v>0</v>
      </c>
      <c r="AC586">
        <v>0</v>
      </c>
      <c r="AD586">
        <v>0</v>
      </c>
      <c r="AE586">
        <v>0</v>
      </c>
      <c r="AF586">
        <v>0</v>
      </c>
      <c r="AG586">
        <v>0</v>
      </c>
      <c r="AH586">
        <v>0</v>
      </c>
      <c r="AI586">
        <v>0</v>
      </c>
      <c r="AJ586">
        <v>0</v>
      </c>
      <c r="AK586">
        <v>1</v>
      </c>
      <c r="AL586">
        <v>0</v>
      </c>
      <c r="AM586">
        <v>0</v>
      </c>
      <c r="AN586">
        <v>0</v>
      </c>
      <c r="AO586">
        <v>0</v>
      </c>
      <c r="AP586">
        <v>0</v>
      </c>
      <c r="AQ586">
        <v>0</v>
      </c>
      <c r="AR586">
        <v>0</v>
      </c>
      <c r="AS586">
        <v>0</v>
      </c>
      <c r="AT586">
        <v>0</v>
      </c>
      <c r="AU586">
        <v>0</v>
      </c>
      <c r="AV586">
        <v>0</v>
      </c>
      <c r="AW586">
        <v>0</v>
      </c>
      <c r="AX586" s="141">
        <f>COUNTIF(V586:AW586,"&lt;&gt;0")</f>
        <v>1</v>
      </c>
      <c r="AY586" s="141">
        <f>COUNTIF(V586:AL586,"&lt;&gt;0")</f>
        <v>1</v>
      </c>
      <c r="AZ586">
        <f>COUNTIF(V586:AC586,"&lt;&gt;0")</f>
        <v>0</v>
      </c>
      <c r="BA586">
        <f>COUNTIF(AD586:AI586,"&lt;&gt;0")</f>
        <v>0</v>
      </c>
      <c r="BB586">
        <f>COUNTIF(AJ586:AL586,"&lt;&gt;0")</f>
        <v>1</v>
      </c>
      <c r="BC586">
        <f>COUNTIF(AS586:AW586,"&lt;&gt;0")</f>
        <v>0</v>
      </c>
      <c r="BD586">
        <f>COUNTIF(AM586:AR586,"&lt;&gt;0")</f>
        <v>0</v>
      </c>
      <c r="BE586" t="str" cm="1">
        <f t="array" ref="BE586">IF(AY586=1,INDEX($V$7:$AL$7,MATCH(TRUE,INDEX($V586:$AW586&lt;&gt;0,),0)),IF(AY586=0,INDEX($AM$7:$AW$7,MATCH(1,$AM586:$AW586,0)),IF(BF586="Multiple strategies","mixed drivers",IF(BF586="Supply chain","multiple supply","multiple silviculture"))))</f>
        <v>technologies/design switch</v>
      </c>
      <c r="BF586" s="2" t="str" cm="1">
        <f t="array" ref="BF586">IF(COUNTIF(AZ586:BB586,"&lt;&gt;0")=1,INDEX($V$4:$AW$4,MATCH(TRUE,INDEX($V586:$AW586&lt;&gt;0,),0)),IF(COUNTIF(AZ586:BB586,"&lt;&gt;0")=0,INDEX($AM$4:$AW$4,MATCH(1,$AM586:$AW586,0)),"Multiple strategies"))</f>
        <v>Technology</v>
      </c>
      <c r="BG586" s="298" t="s">
        <v>229</v>
      </c>
      <c r="BH586" s="270" t="s">
        <v>1713</v>
      </c>
      <c r="BI586" s="270" t="s">
        <v>1714</v>
      </c>
      <c r="BJ586" s="270" t="s">
        <v>1715</v>
      </c>
      <c r="BK586">
        <v>0</v>
      </c>
      <c r="BL586">
        <v>0.35042108887694512</v>
      </c>
      <c r="BM586" t="s">
        <v>544</v>
      </c>
      <c r="BN586">
        <f>BL586-BK586</f>
        <v>0.35042108887694512</v>
      </c>
      <c r="BO586" s="264">
        <f>BN586*tC_to_m3</f>
        <v>1.5215852751929879</v>
      </c>
      <c r="BP586" s="155" t="s">
        <v>395</v>
      </c>
      <c r="BQ586" s="155" t="s">
        <v>1716</v>
      </c>
      <c r="BR586" s="264" t="s">
        <v>1717</v>
      </c>
      <c r="BS586">
        <v>234.55431683971065</v>
      </c>
      <c r="BT586">
        <v>119.35798727672741</v>
      </c>
      <c r="BU586" s="144">
        <v>0.50887141573392602</v>
      </c>
      <c r="BV586" s="152">
        <f>BT586-BS586</f>
        <v>-115.19632956298324</v>
      </c>
      <c r="BX586">
        <f>BV586/1000</f>
        <v>-0.11519632956298324</v>
      </c>
      <c r="BY586">
        <f>IFERROR(BX586/BO586,"")</f>
        <v>-7.5708099599197623E-2</v>
      </c>
      <c r="BZ586">
        <v>0</v>
      </c>
      <c r="CA586">
        <v>0</v>
      </c>
      <c r="CB586">
        <v>0</v>
      </c>
      <c r="CC586">
        <v>0</v>
      </c>
      <c r="CD586">
        <v>0</v>
      </c>
      <c r="CE586">
        <v>0</v>
      </c>
      <c r="CF586">
        <v>0</v>
      </c>
      <c r="CG586">
        <v>0</v>
      </c>
      <c r="CH586">
        <v>0</v>
      </c>
      <c r="CI586">
        <v>0</v>
      </c>
      <c r="CJ586">
        <v>0</v>
      </c>
      <c r="CK586">
        <v>0</v>
      </c>
      <c r="CL586">
        <v>0</v>
      </c>
      <c r="CM586">
        <v>0</v>
      </c>
      <c r="CN586" t="str">
        <f>IF($BL586&lt;$BK586,"refNeedCorrection","refOK")</f>
        <v>refOK</v>
      </c>
      <c r="CO586">
        <f>IF($CN586="refOK",$BK586,$BL586)</f>
        <v>0</v>
      </c>
      <c r="CP586">
        <f>IF($CN586="refOK",$BL586,$BK586)</f>
        <v>0.35042108887694512</v>
      </c>
      <c r="CQ586">
        <f>IF($CN586="refOK",$BO586,-$BO586)</f>
        <v>1.5215852751929879</v>
      </c>
      <c r="CR586">
        <f>IF($CN586="refOK",$BS586,$BT586)*IF($BP586="Emissions positive",-1,1)</f>
        <v>-234.55431683971065</v>
      </c>
      <c r="CS586">
        <f>IF($CN586="refOK",$BT586,$BS586)*IF($BP586="Emissions positive",-1,1)</f>
        <v>-119.35798727672741</v>
      </c>
      <c r="CT586">
        <f>IF($CN586="refNeedCorrection",-BX586,BX586)*IF($BP586="Emissions positive",-1,1)</f>
        <v>0.11519632956298324</v>
      </c>
      <c r="CU586">
        <f>IFERROR(CT586/CQ586,"")</f>
        <v>7.5708099599197623E-2</v>
      </c>
      <c r="CV586" s="2">
        <f>IFERROR((CS586-CR586)/ABS(CR586),"")</f>
        <v>0.49112858426607392</v>
      </c>
      <c r="CW586" s="263" t="s">
        <v>1203</v>
      </c>
      <c r="CX586" s="264" t="str">
        <f>IF(OR($CW586="prd",$CW586="std",$CW586="cit"),"loc",IF(OR($CW586="eur",$CW586="reg",$CW586="coy"),"reg",$CW586))</f>
        <v>reg</v>
      </c>
      <c r="CY586" s="309" t="s">
        <v>3423</v>
      </c>
      <c r="CZ586">
        <v>0</v>
      </c>
      <c r="DA586">
        <v>0</v>
      </c>
      <c r="DB586">
        <v>0</v>
      </c>
      <c r="DC586" t="str">
        <f>IF(DB586=0,"0",IF(AND(DB586&gt;=1,DB586&lt;=30),"1-30",IF(AND(DB586&gt;30,DB586&lt;=70),"31-70",IF(AND(DB586&gt;70,DB586&lt;=100),"71-100",IF(DB586&gt;100,"+100")))))</f>
        <v>0</v>
      </c>
      <c r="DD586">
        <v>0</v>
      </c>
      <c r="DE586">
        <v>0</v>
      </c>
      <c r="DF586">
        <v>0</v>
      </c>
      <c r="DG586">
        <v>1</v>
      </c>
      <c r="DH586">
        <v>0</v>
      </c>
      <c r="DI586">
        <v>1</v>
      </c>
      <c r="DJ586" t="str">
        <f>IF(DI586=1,INDEX($DD$7:$DG$7,MATCH(1,$DD586:$DG586,0)),"mixedProduct")</f>
        <v>TimberInput</v>
      </c>
      <c r="DK586">
        <f>IF(DD586=1,DK$7,0)</f>
        <v>0</v>
      </c>
      <c r="DL586">
        <f>IF(DE586=1,DL$7,0)</f>
        <v>0</v>
      </c>
      <c r="DM586">
        <f>IF(DF586=1,DM$7,0)</f>
        <v>0</v>
      </c>
      <c r="DN586" t="str">
        <f>IF(DG586=1,DN$7,0)</f>
        <v>Timber</v>
      </c>
      <c r="DO586">
        <v>0</v>
      </c>
      <c r="DP586">
        <v>0</v>
      </c>
      <c r="DQ586">
        <v>0</v>
      </c>
      <c r="DR586">
        <v>0</v>
      </c>
      <c r="DS586">
        <v>0</v>
      </c>
      <c r="DT586">
        <f>SUM(DO586:DP586)</f>
        <v>0</v>
      </c>
      <c r="DU586" s="143" t="s">
        <v>962</v>
      </c>
      <c r="DV586">
        <v>0</v>
      </c>
      <c r="DW586">
        <v>0</v>
      </c>
      <c r="DX586">
        <v>0</v>
      </c>
      <c r="DY586">
        <v>0</v>
      </c>
      <c r="DZ586">
        <v>0</v>
      </c>
      <c r="EA586" s="143">
        <v>0</v>
      </c>
      <c r="EB586">
        <v>0</v>
      </c>
      <c r="EC586">
        <v>1</v>
      </c>
      <c r="ED586">
        <v>1</v>
      </c>
      <c r="EE586">
        <v>1</v>
      </c>
      <c r="EF586">
        <v>0</v>
      </c>
      <c r="EG586">
        <v>0</v>
      </c>
      <c r="EH586">
        <v>0</v>
      </c>
      <c r="EI586" s="2">
        <v>0</v>
      </c>
      <c r="EK586" t="str">
        <f>IF(AND(AND(AND(OR($DX586=1,$DW586=1),OR($EC586=1,$EA586=1)),SUM($DV586:$DZ586,$EF586)&gt;=4),SUM($EA586:$EE586)&gt;=2),"Whole sector","")</f>
        <v/>
      </c>
      <c r="EL586" t="str">
        <f>IF(AND(AND(OR($DX586=1,$DW586=1),AND($EC586=0,$EA586=0)),SUM($DV586:$DZ586,$EF586)&gt;=4),"Ecosystem approach","")</f>
        <v/>
      </c>
      <c r="EM586" s="2" t="str">
        <f>IF(AND(AND(AND($DX586=0,$DW586=0),OR($EC586=1,$EA586=1)),SUM($EB586:$EE586)&gt;=2),"Technology approach","")</f>
        <v>Technology approach</v>
      </c>
      <c r="EP586" t="str">
        <f>IF(ISNUMBER(BU586),IF(ABS(BU586-[3]QC_indicators!$B$2)&gt;3*[3]QC_indicators!$C$2,"C ratio",IF(ISNUMBER(BY586),IF(ABS(BY586-[3]QC_indicators!$B$1)&gt;3*[3]QC_indicators!$C$1,"DF","no"))),IF(ISNUMBER(BY586),IF(ABS(BY586-[3]QC_indicators!$B$1)&gt;3*[3]QC_indicators!$C$1,"DF","no")))</f>
        <v>no</v>
      </c>
      <c r="ET586" s="264" t="s">
        <v>3407</v>
      </c>
    </row>
    <row r="587" spans="1:150" ht="15" customHeight="1">
      <c r="A587" s="1" t="s">
        <v>1102</v>
      </c>
      <c r="B587" t="s">
        <v>2381</v>
      </c>
      <c r="C587" t="s">
        <v>2382</v>
      </c>
      <c r="D587" t="s">
        <v>2383</v>
      </c>
      <c r="E587" t="s">
        <v>2384</v>
      </c>
      <c r="F587" t="s">
        <v>2385</v>
      </c>
      <c r="G587" t="s">
        <v>1108</v>
      </c>
      <c r="H587" t="s">
        <v>254</v>
      </c>
      <c r="I587">
        <v>2016</v>
      </c>
      <c r="J587">
        <v>13</v>
      </c>
      <c r="K587" t="s">
        <v>2386</v>
      </c>
      <c r="M587" t="str">
        <f>LEFT($D587,FIND(",",$D587)-1)&amp;"_"&amp;I587&amp;L587</f>
        <v>Torssonen_2016</v>
      </c>
      <c r="N587" t="s">
        <v>222</v>
      </c>
      <c r="O587" s="145" t="s">
        <v>1154</v>
      </c>
      <c r="Q587" s="264" t="s">
        <v>256</v>
      </c>
      <c r="R587" s="269" t="s">
        <v>341</v>
      </c>
      <c r="S587" s="1" t="s">
        <v>2400</v>
      </c>
      <c r="T587" s="264" t="s">
        <v>2428</v>
      </c>
      <c r="U587" t="s">
        <v>2429</v>
      </c>
      <c r="V587">
        <v>0</v>
      </c>
      <c r="W587">
        <v>0</v>
      </c>
      <c r="X587">
        <v>0</v>
      </c>
      <c r="Y587">
        <v>0</v>
      </c>
      <c r="Z587">
        <v>0</v>
      </c>
      <c r="AA587">
        <v>0</v>
      </c>
      <c r="AB587">
        <v>0</v>
      </c>
      <c r="AC587">
        <v>0</v>
      </c>
      <c r="AD587">
        <v>0</v>
      </c>
      <c r="AE587">
        <v>0</v>
      </c>
      <c r="AF587">
        <v>0</v>
      </c>
      <c r="AG587">
        <v>0</v>
      </c>
      <c r="AH587">
        <v>0</v>
      </c>
      <c r="AI587">
        <v>0</v>
      </c>
      <c r="AJ587">
        <v>0</v>
      </c>
      <c r="AK587">
        <v>0</v>
      </c>
      <c r="AL587">
        <v>0</v>
      </c>
      <c r="AM587">
        <v>0</v>
      </c>
      <c r="AN587">
        <v>1</v>
      </c>
      <c r="AO587">
        <v>1</v>
      </c>
      <c r="AP587">
        <v>0</v>
      </c>
      <c r="AQ587">
        <v>0</v>
      </c>
      <c r="AR587">
        <v>0</v>
      </c>
      <c r="AS587">
        <v>0</v>
      </c>
      <c r="AT587">
        <v>0</v>
      </c>
      <c r="AU587">
        <v>0</v>
      </c>
      <c r="AV587">
        <v>0</v>
      </c>
      <c r="AW587">
        <v>0</v>
      </c>
      <c r="AX587" s="141">
        <f>COUNTIF(V587:AW587,"&lt;&gt;0")</f>
        <v>2</v>
      </c>
      <c r="AY587" s="141">
        <f>COUNTIF(V587:AL587,"&lt;&gt;0")</f>
        <v>0</v>
      </c>
      <c r="AZ587">
        <f>COUNTIF(V587:AC587,"&lt;&gt;0")</f>
        <v>0</v>
      </c>
      <c r="BA587">
        <f>COUNTIF(AD587:AI587,"&lt;&gt;0")</f>
        <v>0</v>
      </c>
      <c r="BB587">
        <f>COUNTIF(AJ587:AL587,"&lt;&gt;0")</f>
        <v>0</v>
      </c>
      <c r="BC587">
        <f>COUNTIF(AS587:AW587,"&lt;&gt;0")</f>
        <v>0</v>
      </c>
      <c r="BD587">
        <f>COUNTIF(AM587:AR587,"&lt;&gt;0")</f>
        <v>2</v>
      </c>
      <c r="BE587" t="str" cm="1">
        <f t="array" ref="BE587">IF(AY587=1,INDEX($V$7:$AL$7,MATCH(TRUE,INDEX($V587:$AW587&lt;&gt;0,),0)),IF(AY587=0,INDEX($AM$7:$AW$7,MATCH(1,$AM587:$AW587,0)),IF(BF587="Multiple strategies","mixed drivers",IF(BF587="Supply chain","multiple supply","multiple silviculture"))))</f>
        <v>Temperature</v>
      </c>
      <c r="BF587" s="2" t="str" cm="1">
        <f t="array" ref="BF587">IF(COUNTIF(AZ587:BB587,"&lt;&gt;0")=1,INDEX($V$4:$AW$4,MATCH(TRUE,INDEX($V587:$AW587&lt;&gt;0,),0)),IF(COUNTIF(AZ587:BB587,"&lt;&gt;0")=0,INDEX($AM$4:$AW$4,MATCH(1,$AM587:$AW587,0)),"Multiple strategies"))</f>
        <v>Environmental change</v>
      </c>
      <c r="BG587" s="1" t="s">
        <v>229</v>
      </c>
      <c r="BH587" s="306" t="s">
        <v>2144</v>
      </c>
      <c r="BI587" s="264" t="s">
        <v>2391</v>
      </c>
      <c r="BJ587" s="306" t="s">
        <v>1058</v>
      </c>
      <c r="BK587">
        <v>8.3265305820000002</v>
      </c>
      <c r="BL587">
        <v>8.5877550710000001</v>
      </c>
      <c r="BM587" s="143">
        <f>BL587/BK587</f>
        <v>1.0313725490379757</v>
      </c>
      <c r="BN587">
        <f>BL587-BK587</f>
        <v>0.26122448899999995</v>
      </c>
      <c r="BO587">
        <f>+BN587*t_to_m3</f>
        <v>0.53311120204081619</v>
      </c>
      <c r="BP587" s="306" t="s">
        <v>395</v>
      </c>
      <c r="BQ587" s="153" t="s">
        <v>3421</v>
      </c>
      <c r="BR587" s="264" t="s">
        <v>2393</v>
      </c>
      <c r="BS587">
        <v>-478.54545454545399</v>
      </c>
      <c r="BT587">
        <v>-482.90909090909099</v>
      </c>
      <c r="BU587" s="144"/>
      <c r="BV587" s="144">
        <f>BT587-BS587</f>
        <v>-4.3636363636369992</v>
      </c>
      <c r="BW587" s="144"/>
      <c r="BX587" s="144">
        <f>BV587*10^4/10^6</f>
        <v>-4.3636363636369989E-2</v>
      </c>
      <c r="BY587">
        <f>IFERROR(BX587/BO587,"")</f>
        <v>-8.1852272976678311E-2</v>
      </c>
      <c r="BZ587">
        <v>0</v>
      </c>
      <c r="CA587">
        <v>0</v>
      </c>
      <c r="CB587">
        <v>0</v>
      </c>
      <c r="CC587">
        <v>0</v>
      </c>
      <c r="CD587">
        <v>0</v>
      </c>
      <c r="CE587">
        <v>0</v>
      </c>
      <c r="CF587">
        <v>0</v>
      </c>
      <c r="CG587">
        <v>0</v>
      </c>
      <c r="CH587">
        <v>0</v>
      </c>
      <c r="CI587">
        <v>0</v>
      </c>
      <c r="CJ587">
        <v>0</v>
      </c>
      <c r="CK587">
        <v>0</v>
      </c>
      <c r="CL587">
        <v>0</v>
      </c>
      <c r="CM587">
        <v>1</v>
      </c>
      <c r="CN587" t="str">
        <f>IF($BL587&lt;$BK587,"refNeedCorrection","refOK")</f>
        <v>refOK</v>
      </c>
      <c r="CO587">
        <f>IF($CN587="refOK",$BK587,$BL587)</f>
        <v>8.3265305820000002</v>
      </c>
      <c r="CP587">
        <f>IF($CN587="refOK",$BL587,$BK587)</f>
        <v>8.5877550710000001</v>
      </c>
      <c r="CQ587">
        <f>IF($CN587="refOK",$BO587,-$BO587)</f>
        <v>0.53311120204081619</v>
      </c>
      <c r="CR587">
        <f>IF($CN587="refOK",$BS587,$BT587)*IF($BP587="Emissions positive",-1,1)</f>
        <v>478.54545454545399</v>
      </c>
      <c r="CS587">
        <f>IF($CN587="refOK",$BT587,$BS587)*IF($BP587="Emissions positive",-1,1)</f>
        <v>482.90909090909099</v>
      </c>
      <c r="CT587">
        <f>IF($CN587="refNeedCorrection",-BX587,BX587)*IF($BP587="Emissions positive",-1,1)</f>
        <v>4.3636363636369989E-2</v>
      </c>
      <c r="CU587">
        <f>IFERROR(CT587/CQ587,"")</f>
        <v>8.1852272976678311E-2</v>
      </c>
      <c r="CV587" s="2">
        <f>IFERROR((CS587-CR587)/ABS(CR587),"")</f>
        <v>9.1185410334359892E-3</v>
      </c>
      <c r="CW587" s="1" t="s">
        <v>1199</v>
      </c>
      <c r="CX587" s="264" t="str">
        <f>IF(OR($CW587="prd",$CW587="std",$CW587="cit"),"loc",IF(OR($CW587="eur",$CW587="reg",$CW587="coy"),"reg",$CW587))</f>
        <v>reg</v>
      </c>
      <c r="CY587" t="s">
        <v>235</v>
      </c>
      <c r="CZ587">
        <v>2020</v>
      </c>
      <c r="DA587">
        <v>2100</v>
      </c>
      <c r="DB587">
        <f>DA587-CZ587</f>
        <v>80</v>
      </c>
      <c r="DC587" t="str">
        <f>IF(DB587=0,"0",IF(AND(DB587&gt;=1,DB587&lt;=30),"1-30",IF(AND(DB587&gt;30,DB587&lt;=70),"31-70",IF(AND(DB587&gt;70,DB587&lt;=100),"71-100",IF(DB587&gt;100,"+100")))))</f>
        <v>71-100</v>
      </c>
      <c r="DD587">
        <v>0</v>
      </c>
      <c r="DE587">
        <v>1</v>
      </c>
      <c r="DF587">
        <v>0</v>
      </c>
      <c r="DG587">
        <v>1</v>
      </c>
      <c r="DI587">
        <f>SUM(DD587:DG587)</f>
        <v>2</v>
      </c>
      <c r="DJ587" t="str">
        <f>IF(DI587=1,INDEX($DD$7:$DG$7,MATCH(1,$DD587:$DG587,0)),"mixedProduct")</f>
        <v>mixedProduct</v>
      </c>
      <c r="DK587">
        <f>IF(DD587=1,DK$7,0)</f>
        <v>0</v>
      </c>
      <c r="DL587" t="str">
        <f>IF(DE587=1,DL$7,0)</f>
        <v>Energy</v>
      </c>
      <c r="DM587">
        <f>IF(DF587=1,DM$7,0)</f>
        <v>0</v>
      </c>
      <c r="DN587" t="str">
        <f>IF(DG587=1,DN$7,0)</f>
        <v>Timber</v>
      </c>
      <c r="DO587">
        <v>1</v>
      </c>
      <c r="DP587">
        <v>0</v>
      </c>
      <c r="DQ587">
        <v>0</v>
      </c>
      <c r="DR587">
        <v>0</v>
      </c>
      <c r="DS587">
        <v>0</v>
      </c>
      <c r="DT587">
        <f>SUM(DO587:DP587)</f>
        <v>1</v>
      </c>
      <c r="DU587" s="143" t="str">
        <f>IF(DO587=1,"self-calculated DF",IF(DP587=1,"external DF used","explicit C balance"))</f>
        <v>self-calculated DF</v>
      </c>
      <c r="DV587">
        <v>1</v>
      </c>
      <c r="DW587">
        <v>0</v>
      </c>
      <c r="DX587">
        <v>1</v>
      </c>
      <c r="DY587">
        <v>0</v>
      </c>
      <c r="DZ587">
        <v>0</v>
      </c>
      <c r="EA587" s="143">
        <v>0</v>
      </c>
      <c r="EB587">
        <v>0</v>
      </c>
      <c r="EC587">
        <v>0</v>
      </c>
      <c r="ED587">
        <v>0</v>
      </c>
      <c r="EE587">
        <v>0</v>
      </c>
      <c r="EF587">
        <v>1</v>
      </c>
      <c r="EG587">
        <v>0</v>
      </c>
      <c r="EH587">
        <v>0</v>
      </c>
      <c r="EI587" s="2">
        <v>0</v>
      </c>
      <c r="EK587" t="str">
        <f>IF(AND(AND(AND(OR($DX587=1,$DW587=1),OR($EC587=1,$EA587=1)),SUM($DV587:$DZ587,$EF587)&gt;=4),SUM($EA587:$EE587)&gt;=2),"Whole sector","")</f>
        <v/>
      </c>
      <c r="EL587" t="str">
        <f>IF(AND(AND(OR($DX587=1,$DW587=1),AND($EC587=0,$EA587=0)),SUM($DV587:$DZ587,$EF587)&gt;=4),"Ecosystem approach","")</f>
        <v/>
      </c>
      <c r="EM587" s="2" t="str">
        <f>IF(AND(AND(AND($DX587=0,$DW587=0),OR($EC587=1,$EA587=1)),SUM($EB587:$EE587)&gt;=2),"Technology approach","")</f>
        <v/>
      </c>
      <c r="EN587" t="s">
        <v>2403</v>
      </c>
      <c r="EP587" t="str">
        <f>IF(ISNUMBER(BU587),IF(ABS(BU587-[3]QC_indicators!$B$2)&gt;3*[3]QC_indicators!$C$2,"C ratio",IF(ISNUMBER(BY587),IF(ABS(BY587-[3]QC_indicators!$B$1)&gt;3*[3]QC_indicators!$C$1,"DF","no"))),IF(ISNUMBER(BY587),IF(ABS(BY587-[3]QC_indicators!$B$1)&gt;3*[3]QC_indicators!$C$1,"DF","no")))</f>
        <v>no</v>
      </c>
      <c r="ER587" s="264" t="s">
        <v>2394</v>
      </c>
      <c r="ET587" s="306" t="s">
        <v>3422</v>
      </c>
    </row>
    <row r="588" spans="1:150" ht="15" customHeight="1">
      <c r="A588" s="1" t="s">
        <v>430</v>
      </c>
      <c r="B588" t="s">
        <v>431</v>
      </c>
      <c r="C588" t="s">
        <v>432</v>
      </c>
      <c r="D588" t="s">
        <v>433</v>
      </c>
      <c r="E588" t="s">
        <v>434</v>
      </c>
      <c r="F588" t="s">
        <v>435</v>
      </c>
      <c r="G588" t="s">
        <v>436</v>
      </c>
      <c r="H588" t="s">
        <v>254</v>
      </c>
      <c r="I588">
        <v>2000</v>
      </c>
      <c r="J588">
        <v>174</v>
      </c>
      <c r="K588" t="s">
        <v>437</v>
      </c>
      <c r="M588" t="str">
        <f>LEFT($D588,FIND(",",$D588)-1)&amp;"_"&amp;I588&amp;L588</f>
        <v>Borjesson_2000</v>
      </c>
      <c r="N588" t="s">
        <v>222</v>
      </c>
      <c r="O588" s="145" t="s">
        <v>223</v>
      </c>
      <c r="Q588" t="s">
        <v>256</v>
      </c>
      <c r="R588" s="255" t="s">
        <v>225</v>
      </c>
      <c r="S588" s="1" t="s">
        <v>438</v>
      </c>
      <c r="T588" t="s">
        <v>446</v>
      </c>
      <c r="U588" t="s">
        <v>440</v>
      </c>
      <c r="V588">
        <v>0</v>
      </c>
      <c r="W588">
        <v>0</v>
      </c>
      <c r="X588">
        <v>0</v>
      </c>
      <c r="Y588">
        <v>0</v>
      </c>
      <c r="Z588">
        <v>0</v>
      </c>
      <c r="AA588">
        <v>0</v>
      </c>
      <c r="AB588">
        <v>0</v>
      </c>
      <c r="AC588">
        <v>0</v>
      </c>
      <c r="AD588">
        <v>0</v>
      </c>
      <c r="AE588">
        <v>0</v>
      </c>
      <c r="AF588">
        <v>0</v>
      </c>
      <c r="AG588">
        <v>0</v>
      </c>
      <c r="AH588">
        <v>0</v>
      </c>
      <c r="AI588">
        <v>0</v>
      </c>
      <c r="AJ588">
        <v>0</v>
      </c>
      <c r="AK588">
        <v>1</v>
      </c>
      <c r="AL588">
        <v>0</v>
      </c>
      <c r="AM588">
        <v>0</v>
      </c>
      <c r="AN588">
        <v>0</v>
      </c>
      <c r="AO588">
        <v>0</v>
      </c>
      <c r="AP588">
        <v>0</v>
      </c>
      <c r="AQ588">
        <v>0</v>
      </c>
      <c r="AR588">
        <v>0</v>
      </c>
      <c r="AS588">
        <v>0</v>
      </c>
      <c r="AT588">
        <v>0</v>
      </c>
      <c r="AU588">
        <v>0</v>
      </c>
      <c r="AV588">
        <v>0</v>
      </c>
      <c r="AW588">
        <v>0</v>
      </c>
      <c r="AX588" s="141">
        <f>COUNTIF(V588:AW588,"&lt;&gt;0")</f>
        <v>1</v>
      </c>
      <c r="AY588" s="141">
        <f>COUNTIF(V588:AL588,"&lt;&gt;0")</f>
        <v>1</v>
      </c>
      <c r="AZ588">
        <f>COUNTIF(V588:AC588,"&lt;&gt;0")</f>
        <v>0</v>
      </c>
      <c r="BA588">
        <f>COUNTIF(AD588:AI588,"&lt;&gt;0")</f>
        <v>0</v>
      </c>
      <c r="BB588">
        <f>COUNTIF(AJ588:AL588,"&lt;&gt;0")</f>
        <v>1</v>
      </c>
      <c r="BC588">
        <f>COUNTIF(AS588:AW588,"&lt;&gt;0")</f>
        <v>0</v>
      </c>
      <c r="BD588">
        <f>COUNTIF(AM588:AR588,"&lt;&gt;0")</f>
        <v>0</v>
      </c>
      <c r="BE588" t="str">
        <f t="array" ref="BE588">IF(AY588=1,INDEX($V$7:$AL$7,MATCH(TRUE,INDEX($V588:$AW588&lt;&gt;0,),0)),IF(AY588=0,INDEX($AM$7:$AW$7,MATCH(1,$AM588:$AW588,0)),IF(BF588="Multiple strategies","mixed drivers",IF(BF588="Supply chain","multiple supply","multiple silviculture"))))</f>
        <v>technologies/design switch</v>
      </c>
      <c r="BF588" s="2" t="str" cm="1">
        <f t="array" ref="BF588">IF(COUNTIF(AZ588:BB588,"&lt;&gt;0")=1,INDEX($V$4:$AW$4,MATCH(TRUE,INDEX($V588:$AW588&lt;&gt;0,),0)),IF(COUNTIF(AZ588:BB588,"&lt;&gt;0")=0,INDEX($AM$4:$AW$4,MATCH(1,$AM588:$AW588,0)),"Multiple strategies"))</f>
        <v>Technology</v>
      </c>
      <c r="BG588" s="142" t="s">
        <v>229</v>
      </c>
      <c r="BH588" t="s">
        <v>441</v>
      </c>
      <c r="BI588" s="264" t="s">
        <v>3274</v>
      </c>
      <c r="BJ588" s="143" t="s">
        <v>442</v>
      </c>
      <c r="BK588">
        <v>0</v>
      </c>
      <c r="BL588">
        <f>3*44</f>
        <v>132</v>
      </c>
      <c r="BM588" s="143" t="e">
        <f>BL588/BK588</f>
        <v>#DIV/0!</v>
      </c>
      <c r="BN588">
        <f>BL588-BK588</f>
        <v>132</v>
      </c>
      <c r="BO588">
        <f>BN588*tC_to_m3</f>
        <v>573.16543638732094</v>
      </c>
      <c r="BP588" t="s">
        <v>232</v>
      </c>
      <c r="BQ588" s="260" t="s">
        <v>813</v>
      </c>
      <c r="BR588" t="s">
        <v>443</v>
      </c>
      <c r="BS588" s="141">
        <v>18</v>
      </c>
      <c r="BT588" s="141">
        <v>31</v>
      </c>
      <c r="BU588" s="144">
        <f>IFERROR(BT588/BS588,"")</f>
        <v>1.7222222222222223</v>
      </c>
      <c r="BV588">
        <f>BT588-BS588</f>
        <v>13</v>
      </c>
      <c r="BX588">
        <f>BV588*C_to_CO2</f>
        <v>47.71</v>
      </c>
      <c r="BY588">
        <f>IFERROR(BX588/BO588,"")</f>
        <v>8.3239492424242417E-2</v>
      </c>
      <c r="BZ588" s="143">
        <v>0</v>
      </c>
      <c r="CA588" s="143">
        <v>0</v>
      </c>
      <c r="CB588" s="143">
        <v>0</v>
      </c>
      <c r="CC588" s="143">
        <v>0</v>
      </c>
      <c r="CD588" s="143">
        <v>0</v>
      </c>
      <c r="CE588" s="143">
        <v>0</v>
      </c>
      <c r="CF588" s="143">
        <v>0</v>
      </c>
      <c r="CG588" s="143">
        <v>0</v>
      </c>
      <c r="CH588" s="143">
        <v>0</v>
      </c>
      <c r="CI588" s="143">
        <v>0</v>
      </c>
      <c r="CJ588" s="143">
        <v>0</v>
      </c>
      <c r="CK588" s="143">
        <v>0</v>
      </c>
      <c r="CL588" s="143">
        <v>0</v>
      </c>
      <c r="CM588">
        <v>0</v>
      </c>
      <c r="CN588" t="str">
        <f>IF($BL588&lt;$BK588,"refNeedCorrection","refOK")</f>
        <v>refOK</v>
      </c>
      <c r="CO588">
        <f>IF($CN588="refOK",$BK588,$BL588)</f>
        <v>0</v>
      </c>
      <c r="CP588">
        <f>IF($CN588="refOK",$BL588,$BK588)</f>
        <v>132</v>
      </c>
      <c r="CQ588">
        <f>IF($CN588="refOK",$BO588,-$BO588)</f>
        <v>573.16543638732094</v>
      </c>
      <c r="CR588">
        <f>IF($CN588="refOK",$BS588,$BT588)*IF($BP588="Emissions positive",-1,1)</f>
        <v>18</v>
      </c>
      <c r="CS588">
        <f>IF($CN588="refOK",$BT588,$BS588)*IF($BP588="Emissions positive",-1,1)</f>
        <v>31</v>
      </c>
      <c r="CT588">
        <f>IF($CN588="refNeedCorrection",-BX588,BX588)*IF($BP588="Emissions positive",-1,1)</f>
        <v>47.71</v>
      </c>
      <c r="CU588">
        <f>IFERROR(CT588/CQ588,"")</f>
        <v>8.3239492424242417E-2</v>
      </c>
      <c r="CV588" s="2">
        <f>IFERROR((CS588-CR588)/ABS(CR588),"")</f>
        <v>0.72222222222222221</v>
      </c>
      <c r="CW588" s="1" t="s">
        <v>263</v>
      </c>
      <c r="CX588" t="str">
        <f>IF(OR($CW588="prd",$CW588="std",$CW588="cit"),"loc",IF(OR($CW588="eur",$CW588="reg",$CW588="coy"),"reg",$CW588))</f>
        <v>loc</v>
      </c>
      <c r="CY588" t="s">
        <v>444</v>
      </c>
      <c r="DB588">
        <v>300</v>
      </c>
      <c r="DC588" t="str">
        <f>IF(DB588=0,"0",IF(AND(DB588&gt;=1,DB588&lt;=30),"1-30",IF(AND(DB588&gt;30,DB588&lt;=70),"31-70",IF(AND(DB588&gt;70,DB588&lt;=100),"71-100",IF(DB588&gt;100,"+100")))))</f>
        <v>+100</v>
      </c>
      <c r="DD588">
        <v>0</v>
      </c>
      <c r="DE588">
        <v>0</v>
      </c>
      <c r="DF588">
        <v>0</v>
      </c>
      <c r="DG588">
        <v>1</v>
      </c>
      <c r="DI588">
        <f>SUM(DD588:DG588)</f>
        <v>1</v>
      </c>
      <c r="DJ588" t="str">
        <f>IF(DI588=1,INDEX($DD$7:$DG$7,MATCH(1,$DD588:$DG588,0)),"mixedProduct")</f>
        <v>TimberInput</v>
      </c>
      <c r="DK588">
        <f>IF(DD588=1,DK$7,0)</f>
        <v>0</v>
      </c>
      <c r="DL588">
        <f>IF(DE588=1,DL$7,0)</f>
        <v>0</v>
      </c>
      <c r="DM588">
        <f>IF(DF588=1,DM$7,0)</f>
        <v>0</v>
      </c>
      <c r="DN588" t="str">
        <f>IF(DG588=1,DN$7,0)</f>
        <v>Timber</v>
      </c>
      <c r="DO588">
        <v>1</v>
      </c>
      <c r="DP588" s="143">
        <v>0</v>
      </c>
      <c r="DQ588" s="143">
        <v>0</v>
      </c>
      <c r="DR588" s="143">
        <v>0</v>
      </c>
      <c r="DS588">
        <v>0</v>
      </c>
      <c r="DT588">
        <f>SUM(DO588:DP588)</f>
        <v>1</v>
      </c>
      <c r="DU588" s="143" t="str">
        <f>IF(DO588=1,"self-calculated DF",IF(DP588=1,"external DF used","explicit C balance"))</f>
        <v>self-calculated DF</v>
      </c>
      <c r="DV588">
        <v>0</v>
      </c>
      <c r="DW588" s="143">
        <v>0</v>
      </c>
      <c r="DX588" s="143">
        <v>1</v>
      </c>
      <c r="DY588" s="143">
        <v>1</v>
      </c>
      <c r="DZ588">
        <v>1</v>
      </c>
      <c r="EA588" s="143">
        <v>1</v>
      </c>
      <c r="EB588">
        <v>0</v>
      </c>
      <c r="EC588" s="143">
        <v>1</v>
      </c>
      <c r="ED588" s="143">
        <v>0</v>
      </c>
      <c r="EE588">
        <v>0</v>
      </c>
      <c r="EF588">
        <v>0</v>
      </c>
      <c r="EG588" s="143">
        <v>0</v>
      </c>
      <c r="EH588" s="143">
        <v>0</v>
      </c>
      <c r="EI588" s="2">
        <v>0</v>
      </c>
      <c r="EK588" t="str">
        <f>IF(AND(AND(AND(OR($DX588=1,$DW588=1),OR($EC588=1,$EA588=1)),SUM($DV588:$DZ588,$EF588)&gt;=4),SUM($EA588:$EE588)&gt;=2),"Whole sector","")</f>
        <v/>
      </c>
      <c r="EL588" t="str">
        <f>IF(AND(AND(OR($DX588=1,$DW588=1),AND($EC588=0,$EA588=0)),SUM($DV588:$DZ588,$EF588)&gt;=4),"Ecosystem approach","")</f>
        <v/>
      </c>
      <c r="EM588" s="2" t="str">
        <f>IF(AND(AND(AND($DX588=0,$DW588=0),OR($EC588=1,$EA588=1)),SUM($EB588:$EE588)&gt;=2),"Technology approach","")</f>
        <v/>
      </c>
      <c r="EN588" t="s">
        <v>445</v>
      </c>
      <c r="EP588" t="str">
        <f>IF(ISNUMBER(BU588),IF(ABS(BU588-[4]QC_indicators!$B$2)&gt;3*[4]QC_indicators!$C$2,"C ratio",IF(ISNUMBER(BY588),IF(ABS(BY588-[4]QC_indicators!$B$1)&gt;3*[4]QC_indicators!$C$1,"DF","no"))),IF(ISNUMBER(BY588),IF(ABS(BY588-[4]QC_indicators!$B$1)&gt;3*[4]QC_indicators!$C$1,"DF","no")))</f>
        <v>no</v>
      </c>
      <c r="ET588" s="264" t="s">
        <v>3273</v>
      </c>
    </row>
    <row r="589" spans="1:150" ht="15" customHeight="1">
      <c r="A589" s="1" t="s">
        <v>1233</v>
      </c>
      <c r="B589" t="s">
        <v>1234</v>
      </c>
      <c r="C589" t="s">
        <v>1235</v>
      </c>
      <c r="D589" t="s">
        <v>336</v>
      </c>
      <c r="E589" t="s">
        <v>1236</v>
      </c>
      <c r="F589" t="s">
        <v>1237</v>
      </c>
      <c r="G589" t="s">
        <v>1238</v>
      </c>
      <c r="I589">
        <v>2018</v>
      </c>
      <c r="K589" t="s">
        <v>1239</v>
      </c>
      <c r="M589" t="str">
        <f>LEFT($D589,FIND(",",$D589)-1)&amp;"_"&amp;I589&amp;L589</f>
        <v>Balasbaneh_2018</v>
      </c>
      <c r="N589" t="s">
        <v>222</v>
      </c>
      <c r="O589" s="140" t="s">
        <v>513</v>
      </c>
      <c r="Q589" t="s">
        <v>224</v>
      </c>
      <c r="R589" s="262" t="s">
        <v>223</v>
      </c>
      <c r="S589" s="263" t="s">
        <v>1240</v>
      </c>
      <c r="T589" s="264" t="s">
        <v>3113</v>
      </c>
      <c r="U589" s="264" t="s">
        <v>3111</v>
      </c>
      <c r="V589">
        <v>0</v>
      </c>
      <c r="W589">
        <v>0</v>
      </c>
      <c r="X589">
        <v>0</v>
      </c>
      <c r="Y589">
        <v>0</v>
      </c>
      <c r="Z589">
        <v>0</v>
      </c>
      <c r="AA589">
        <v>0</v>
      </c>
      <c r="AB589">
        <v>0</v>
      </c>
      <c r="AC589">
        <v>0</v>
      </c>
      <c r="AD589">
        <v>0</v>
      </c>
      <c r="AE589">
        <v>0</v>
      </c>
      <c r="AF589">
        <v>0</v>
      </c>
      <c r="AG589">
        <v>0</v>
      </c>
      <c r="AH589">
        <v>0</v>
      </c>
      <c r="AI589">
        <v>0</v>
      </c>
      <c r="AJ589">
        <v>0</v>
      </c>
      <c r="AK589">
        <v>1</v>
      </c>
      <c r="AL589">
        <v>0</v>
      </c>
      <c r="AM589">
        <v>0</v>
      </c>
      <c r="AN589">
        <v>0</v>
      </c>
      <c r="AO589">
        <v>0</v>
      </c>
      <c r="AP589">
        <v>0</v>
      </c>
      <c r="AQ589">
        <v>0</v>
      </c>
      <c r="AR589">
        <v>0</v>
      </c>
      <c r="AS589">
        <v>0</v>
      </c>
      <c r="AT589">
        <v>0</v>
      </c>
      <c r="AU589">
        <v>0</v>
      </c>
      <c r="AV589">
        <v>0</v>
      </c>
      <c r="AW589">
        <v>0</v>
      </c>
      <c r="AX589" s="141">
        <f>COUNTIF(V589:AW589,"&lt;&gt;0")</f>
        <v>1</v>
      </c>
      <c r="AY589" s="141">
        <f>COUNTIF(V589:AL589,"&lt;&gt;0")</f>
        <v>1</v>
      </c>
      <c r="AZ589">
        <f>COUNTIF(V589:AC589,"&lt;&gt;0")</f>
        <v>0</v>
      </c>
      <c r="BA589">
        <f>COUNTIF(AD589:AI589,"&lt;&gt;0")</f>
        <v>0</v>
      </c>
      <c r="BB589">
        <f>COUNTIF(AJ589:AL589,"&lt;&gt;0")</f>
        <v>1</v>
      </c>
      <c r="BC589">
        <f>COUNTIF(AS589:AW589,"&lt;&gt;0")</f>
        <v>0</v>
      </c>
      <c r="BD589">
        <f>COUNTIF(AM589:AR589,"&lt;&gt;0")</f>
        <v>0</v>
      </c>
      <c r="BE589" t="str">
        <f t="array" ref="BE589">IF(AY589=1,INDEX($V$7:$AL$7,MATCH(TRUE,INDEX($V589:$AW589&lt;&gt;0,),0)),IF(AY589=0,INDEX($AM$7:$AW$7,MATCH(1,$AM589:$AW589,0)),IF(BF589="Multiple strategies","mixed drivers",IF(BF589="Supply chain","multiple supply","multiple silviculture"))))</f>
        <v>technologies/design switch</v>
      </c>
      <c r="BF589" s="2" t="str" cm="1">
        <f t="array" ref="BF589">IF(COUNTIF(AZ589:BB589,"&lt;&gt;0")=1,INDEX($V$4:$AW$4,MATCH(TRUE,INDEX($V589:$AW589&lt;&gt;0,),0)),IF(COUNTIF(AZ589:BB589,"&lt;&gt;0")=0,INDEX($AM$4:$AW$4,MATCH(1,$AM589:$AW589,0)),"Multiple strategies"))</f>
        <v>Technology</v>
      </c>
      <c r="BG589" s="1" t="s">
        <v>229</v>
      </c>
      <c r="BH589" t="s">
        <v>229</v>
      </c>
      <c r="BJ589" t="s">
        <v>345</v>
      </c>
      <c r="BK589">
        <v>0</v>
      </c>
      <c r="BL589">
        <v>15468</v>
      </c>
      <c r="BM589" s="143"/>
      <c r="BN589">
        <f>BL589-BK589</f>
        <v>15468</v>
      </c>
      <c r="BO589" s="143">
        <f>BN589*kg_to_m3</f>
        <v>31.567346938775515</v>
      </c>
      <c r="BP589" t="s">
        <v>232</v>
      </c>
      <c r="BQ589" s="337" t="s">
        <v>1057</v>
      </c>
      <c r="BR589" t="s">
        <v>397</v>
      </c>
      <c r="BS589">
        <v>-7910</v>
      </c>
      <c r="BT589">
        <v>-5130</v>
      </c>
      <c r="BU589" s="144">
        <v>0.64854614412136535</v>
      </c>
      <c r="BV589">
        <v>2780</v>
      </c>
      <c r="BX589">
        <f>BV589/1000</f>
        <v>2.78</v>
      </c>
      <c r="BY589">
        <f>IFERROR(BX589/BO589,"")</f>
        <v>8.8065683992759228E-2</v>
      </c>
      <c r="BZ589">
        <v>0</v>
      </c>
      <c r="CA589">
        <v>0</v>
      </c>
      <c r="CB589">
        <v>0</v>
      </c>
      <c r="CC589">
        <v>0</v>
      </c>
      <c r="CD589">
        <v>0</v>
      </c>
      <c r="CE589">
        <v>0</v>
      </c>
      <c r="CF589">
        <v>0</v>
      </c>
      <c r="CG589">
        <v>0</v>
      </c>
      <c r="CH589">
        <v>0</v>
      </c>
      <c r="CI589">
        <v>0</v>
      </c>
      <c r="CJ589">
        <v>0</v>
      </c>
      <c r="CK589">
        <v>0</v>
      </c>
      <c r="CL589">
        <v>0</v>
      </c>
      <c r="CM589">
        <v>0</v>
      </c>
      <c r="CN589" t="str">
        <f>IF($BL589&lt;$BK589,"refNeedCorrection","refOK")</f>
        <v>refOK</v>
      </c>
      <c r="CO589">
        <f>IF($CN589="refNeedCorrection",BL589,BK589)</f>
        <v>0</v>
      </c>
      <c r="CP589">
        <f>IF($CN589="refNeedCorrection",BK589,BL589)</f>
        <v>15468</v>
      </c>
      <c r="CQ589">
        <f>IF($CN589="refOK",$BO589,-$BO589)</f>
        <v>31.567346938775515</v>
      </c>
      <c r="CR589">
        <f>IF($CN589="refOK",$BS589,$BT589)*IF($BP589="Emissions positive",-1,1)</f>
        <v>-7910</v>
      </c>
      <c r="CS589">
        <f>IF($CN589="refOK",$BT589,$BS589)*IF($BP589="Emissions positive",-1,1)</f>
        <v>-5130</v>
      </c>
      <c r="CT589">
        <f>IF($CN589="refNeedCorrection",-BX589,BX589)*IF($BP589="Emissions positive",-1,1)</f>
        <v>2.78</v>
      </c>
      <c r="CU589">
        <f>IFERROR(CT589/CQ589,"")</f>
        <v>8.8065683992759228E-2</v>
      </c>
      <c r="CV589" s="2">
        <f>IFERROR((CS589-CR589)/ABS(CR589),"")</f>
        <v>0.35145385587863465</v>
      </c>
      <c r="CW589" s="1" t="s">
        <v>1203</v>
      </c>
      <c r="CX589" t="str">
        <f>IF(OR($CW589="prd",$CW589="std",$CW589="cit"),"loc",IF(OR($CW589="eur",$CW589="reg",$CW589="coy"),"reg",$CW589))</f>
        <v>reg</v>
      </c>
      <c r="CY589" t="s">
        <v>348</v>
      </c>
      <c r="CZ589">
        <v>2014</v>
      </c>
      <c r="DA589">
        <v>2514</v>
      </c>
      <c r="DB589">
        <v>500</v>
      </c>
      <c r="DC589" t="str">
        <f>IF(DB589=0,"0",IF(AND(DB589&gt;=1,DB589&lt;=30),"1-30",IF(AND(DB589&gt;30,DB589&lt;=70),"31-70",IF(AND(DB589&gt;70,DB589&lt;=100),"71-100",IF(DB589&gt;100,"+100")))))</f>
        <v>+100</v>
      </c>
      <c r="DD589">
        <v>0</v>
      </c>
      <c r="DE589">
        <v>0</v>
      </c>
      <c r="DF589">
        <v>0</v>
      </c>
      <c r="DG589">
        <v>1</v>
      </c>
      <c r="DI589">
        <f>SUM(DD589:DG589)</f>
        <v>1</v>
      </c>
      <c r="DJ589" t="str">
        <f>IF(DI589=1,INDEX($DD$7:$DG$7,MATCH(1,$DD589:$DG589,0)),"mixedProduct")</f>
        <v>TimberInput</v>
      </c>
      <c r="DK589">
        <f>IF(DD589=1,DK$7,0)</f>
        <v>0</v>
      </c>
      <c r="DL589">
        <f>IF(DE589=1,DL$7,0)</f>
        <v>0</v>
      </c>
      <c r="DM589">
        <f>IF(DF589=1,DM$7,0)</f>
        <v>0</v>
      </c>
      <c r="DN589" t="str">
        <f>IF(DG589=1,DN$7,0)</f>
        <v>Timber</v>
      </c>
      <c r="DO589">
        <v>0</v>
      </c>
      <c r="DP589">
        <v>0</v>
      </c>
      <c r="DQ589">
        <v>0</v>
      </c>
      <c r="DR589">
        <v>0</v>
      </c>
      <c r="DS589">
        <v>0</v>
      </c>
      <c r="DT589">
        <f>SUM(DO589:DP589)</f>
        <v>0</v>
      </c>
      <c r="DU589" s="143" t="str">
        <f>IF(DO589=1,"self-calculated DF",IF(DP589=1,"external DF used","explicit C balance"))</f>
        <v>explicit C balance</v>
      </c>
      <c r="DV589">
        <v>0</v>
      </c>
      <c r="DW589">
        <v>0</v>
      </c>
      <c r="DX589">
        <v>0</v>
      </c>
      <c r="DY589">
        <v>0</v>
      </c>
      <c r="DZ589">
        <v>0</v>
      </c>
      <c r="EA589" s="143">
        <v>1</v>
      </c>
      <c r="EB589">
        <v>0</v>
      </c>
      <c r="EC589">
        <v>1</v>
      </c>
      <c r="ED589">
        <v>1</v>
      </c>
      <c r="EE589">
        <v>1</v>
      </c>
      <c r="EF589">
        <v>0</v>
      </c>
      <c r="EG589">
        <v>0</v>
      </c>
      <c r="EH589">
        <v>0</v>
      </c>
      <c r="EI589" s="2">
        <v>0</v>
      </c>
      <c r="EK589" t="str">
        <f>IF(AND(AND(AND(OR($DX589=1,$DW589=1),OR($EC589=1,$EA589=1)),SUM($DV589:$DZ589,$EF589)&gt;=4),SUM($EA589:$EE589)&gt;=2),"Whole sector","")</f>
        <v/>
      </c>
      <c r="EL589" t="str">
        <f>IF(AND(AND(OR($DX589=1,$DW589=1),AND($EC589=0,$EA589=0)),SUM($DV589:$DZ589,$EF589)&gt;=4),"Ecosystem approach","")</f>
        <v/>
      </c>
      <c r="EM589" s="2" t="str">
        <f>IF(AND(AND(AND($DX589=0,$DW589=0),OR($EC589=1,$EA589=1)),SUM($EB589:$EE589)&gt;=2),"Technology approach","")</f>
        <v>Technology approach</v>
      </c>
      <c r="EP589" t="str">
        <f>IF(ISNUMBER(BU589),IF(ABS(BU589-[1]QC_indicators!$B$2)&gt;3*[1]QC_indicators!$C$2,"C ratio",IF(ISNUMBER(BY589),IF(ABS(BY589-[1]QC_indicators!$B$1)&gt;3*[1]QC_indicators!$C$1,"DF","no"))),IF(ISNUMBER(BY589),IF(ABS(BY589-[1]QC_indicators!$B$1)&gt;3*[1]QC_indicators!$C$1,"DF","no")))</f>
        <v>no</v>
      </c>
      <c r="ER589" s="149" t="s">
        <v>349</v>
      </c>
      <c r="ET589" s="264" t="s">
        <v>3273</v>
      </c>
    </row>
    <row r="590" spans="1:150" ht="15" customHeight="1">
      <c r="A590" s="1" t="s">
        <v>1360</v>
      </c>
      <c r="B590" t="s">
        <v>1361</v>
      </c>
      <c r="C590" t="s">
        <v>1362</v>
      </c>
      <c r="D590" t="s">
        <v>1363</v>
      </c>
      <c r="E590" t="s">
        <v>1364</v>
      </c>
      <c r="F590" t="s">
        <v>1365</v>
      </c>
      <c r="G590" t="s">
        <v>1366</v>
      </c>
      <c r="H590" t="s">
        <v>254</v>
      </c>
      <c r="I590">
        <v>2012</v>
      </c>
      <c r="J590">
        <v>27</v>
      </c>
      <c r="K590" t="s">
        <v>1367</v>
      </c>
      <c r="M590" t="str">
        <f>LEFT($D590,FIND(",",$D590)-1)&amp;"_"&amp;I590&amp;L590</f>
        <v>Colombo_2012</v>
      </c>
      <c r="N590" t="s">
        <v>222</v>
      </c>
      <c r="O590" s="145" t="s">
        <v>223</v>
      </c>
      <c r="Q590" t="s">
        <v>256</v>
      </c>
      <c r="R590" s="269" t="s">
        <v>274</v>
      </c>
      <c r="S590" s="1" t="s">
        <v>1368</v>
      </c>
      <c r="T590" t="s">
        <v>1369</v>
      </c>
      <c r="U590" t="s">
        <v>1370</v>
      </c>
      <c r="V590">
        <v>1</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s="141">
        <f>COUNTIF(V590:AW590,"&lt;&gt;0")</f>
        <v>1</v>
      </c>
      <c r="AY590" s="141">
        <f>COUNTIF(V590:AL590,"&lt;&gt;0")</f>
        <v>1</v>
      </c>
      <c r="AZ590">
        <f>COUNTIF(V590:AC590,"&lt;&gt;0")</f>
        <v>1</v>
      </c>
      <c r="BA590">
        <f>COUNTIF(AD590:AI590,"&lt;&gt;0")</f>
        <v>0</v>
      </c>
      <c r="BB590">
        <f>COUNTIF(AJ590:AL590,"&lt;&gt;0")</f>
        <v>0</v>
      </c>
      <c r="BC590">
        <f>COUNTIF(AS590:AW590,"&lt;&gt;0")</f>
        <v>0</v>
      </c>
      <c r="BD590">
        <f>COUNTIF(AM590:AR590,"&lt;&gt;0")</f>
        <v>0</v>
      </c>
      <c r="BE590" t="str">
        <f t="array" ref="BE590">IF(AY590=1,INDEX($V$7:$AL$7,MATCH(TRUE,INDEX($V590:$AW590&lt;&gt;0,),0)),IF(AY590=0,INDEX($AM$7:$AW$7,MATCH(1,$AM590:$AW590,0)),IF(BF590="Multiple strategies","mixed drivers",IF(BF590="Supply chain","multiple supply","multiple silviculture"))))</f>
        <v>area subject to harvest</v>
      </c>
      <c r="BF590" s="2" t="str" cm="1">
        <f t="array" ref="BF590">IF(COUNTIF(AZ590:BB590,"&lt;&gt;0")=1,INDEX($V$4:$AW$4,MATCH(TRUE,INDEX($V590:$AW590&lt;&gt;0,),0)),IF(COUNTIF(AZ590:BB590,"&lt;&gt;0")=0,INDEX($AM$4:$AW$4,MATCH(1,$AM590:$AW590,0)),"Multiple strategies"))</f>
        <v>Silviculture for removals</v>
      </c>
      <c r="BG590" s="1" t="s">
        <v>229</v>
      </c>
      <c r="BH590" t="s">
        <v>1371</v>
      </c>
      <c r="BI590" s="264" t="s">
        <v>3176</v>
      </c>
      <c r="BJ590" t="s">
        <v>1372</v>
      </c>
      <c r="BK590">
        <v>0</v>
      </c>
      <c r="BL590">
        <v>38</v>
      </c>
      <c r="BN590">
        <f>BL590-BK590</f>
        <v>38</v>
      </c>
      <c r="BO590">
        <f>BN590*10^6*tC_to_m3</f>
        <v>165002171.08119845</v>
      </c>
      <c r="BP590" s="143" t="s">
        <v>232</v>
      </c>
      <c r="BQ590" s="143" t="s">
        <v>689</v>
      </c>
      <c r="BR590" t="s">
        <v>1372</v>
      </c>
      <c r="BS590">
        <v>590.28571428571399</v>
      </c>
      <c r="BT590">
        <v>594.28571428571399</v>
      </c>
      <c r="BU590" s="144">
        <f>IFERROR(BT590/BS590,"")</f>
        <v>1.0067763794772506</v>
      </c>
      <c r="BV590">
        <f>BT590-BS590</f>
        <v>4</v>
      </c>
      <c r="BX590">
        <f>BV590*10^6*C_to_CO2</f>
        <v>14680000</v>
      </c>
      <c r="BY590">
        <f>IFERROR(BX590/BO590,"")</f>
        <v>8.896852631578947E-2</v>
      </c>
      <c r="BZ590">
        <v>0</v>
      </c>
      <c r="CA590">
        <v>0</v>
      </c>
      <c r="CB590">
        <v>0</v>
      </c>
      <c r="CC590">
        <v>0</v>
      </c>
      <c r="CD590">
        <v>0</v>
      </c>
      <c r="CE590">
        <v>0</v>
      </c>
      <c r="CF590">
        <v>0</v>
      </c>
      <c r="CG590">
        <v>0</v>
      </c>
      <c r="CH590">
        <v>0</v>
      </c>
      <c r="CI590">
        <v>0</v>
      </c>
      <c r="CJ590">
        <v>0</v>
      </c>
      <c r="CK590">
        <v>0</v>
      </c>
      <c r="CL590">
        <v>0</v>
      </c>
      <c r="CM590">
        <v>0</v>
      </c>
      <c r="CN590" t="str">
        <f>IF($BL590&lt;$BK590,"refNeedCorrection","refOK")</f>
        <v>refOK</v>
      </c>
      <c r="CO590">
        <f>IF($CN590="refOK",$BK590,$BL590)</f>
        <v>0</v>
      </c>
      <c r="CP590">
        <f>IF($CN590="refOK",$BL590,$BK590)</f>
        <v>38</v>
      </c>
      <c r="CQ590">
        <f>IF($CN590="refOK",$BO590,-$BO590)</f>
        <v>165002171.08119845</v>
      </c>
      <c r="CR590">
        <f>IF($CN590="refOK",$BS590,$BT590)*IF($BP590="Emissions positive",-1,1)</f>
        <v>590.28571428571399</v>
      </c>
      <c r="CS590">
        <f>IF($CN590="refOK",$BT590,$BS590)*IF($BP590="Emissions positive",-1,1)</f>
        <v>594.28571428571399</v>
      </c>
      <c r="CT590">
        <f>IF($CN590="refNeedCorrection",-BX590,BX590)*IF($BP590="Emissions positive",-1,1)</f>
        <v>14680000</v>
      </c>
      <c r="CU590">
        <f>IFERROR(CT590/CQ590,"")</f>
        <v>8.896852631578947E-2</v>
      </c>
      <c r="CV590" s="2">
        <f>IFERROR((CS590-CR590)/ABS(CR590),"")</f>
        <v>6.7763794772507293E-3</v>
      </c>
      <c r="CW590" s="1" t="s">
        <v>1199</v>
      </c>
      <c r="CX590" t="str">
        <f>IF(OR($CW590="prd",$CW590="std",$CW590="cit"),"loc",IF(OR($CW590="eur",$CW590="reg",$CW590="coy"),"reg",$CW590))</f>
        <v>reg</v>
      </c>
      <c r="CY590" t="s">
        <v>540</v>
      </c>
      <c r="CZ590">
        <v>2010</v>
      </c>
      <c r="DA590">
        <v>2110</v>
      </c>
      <c r="DB590">
        <f>DA590-CZ590</f>
        <v>100</v>
      </c>
      <c r="DC590" t="str">
        <f>IF(DB590=0,"0",IF(AND(DB590&gt;=1,DB590&lt;=30),"1-30",IF(AND(DB590&gt;30,DB590&lt;=70),"31-70",IF(AND(DB590&gt;70,DB590&lt;=100),"71-100",IF(DB590&gt;100,"+100")))))</f>
        <v>71-100</v>
      </c>
      <c r="DD590">
        <v>0</v>
      </c>
      <c r="DE590">
        <v>1</v>
      </c>
      <c r="DF590">
        <v>1</v>
      </c>
      <c r="DG590">
        <v>1</v>
      </c>
      <c r="DI590">
        <f>SUM(DD590:DG590)</f>
        <v>3</v>
      </c>
      <c r="DJ590" t="str">
        <f>IF(DI590=1,INDEX($DD$7:$DG$7,MATCH(1,$DD590:$DG590,0)),"mixedProduct")</f>
        <v>mixedProduct</v>
      </c>
      <c r="DK590">
        <f>IF(DD590=1,DK$7,0)</f>
        <v>0</v>
      </c>
      <c r="DL590" t="str">
        <f>IF(DE590=1,DL$7,0)</f>
        <v>Energy</v>
      </c>
      <c r="DM590" t="str">
        <f>IF(DF590=1,DM$7,0)</f>
        <v>Pulp/Paper</v>
      </c>
      <c r="DN590" t="str">
        <f>IF(DG590=1,DN$7,0)</f>
        <v>Timber</v>
      </c>
      <c r="DO590">
        <v>0</v>
      </c>
      <c r="DP590">
        <v>0</v>
      </c>
      <c r="DQ590">
        <v>0</v>
      </c>
      <c r="DR590">
        <v>0</v>
      </c>
      <c r="DS590">
        <v>0</v>
      </c>
      <c r="DT590">
        <f>SUM(DO590:DP590)</f>
        <v>0</v>
      </c>
      <c r="DU590" s="143" t="str">
        <f>IF(DO590=1,"self-calculated DF",IF(DP590=1,"external DF used","explicit C balance"))</f>
        <v>explicit C balance</v>
      </c>
      <c r="DV590">
        <v>1</v>
      </c>
      <c r="DW590">
        <v>1</v>
      </c>
      <c r="DX590">
        <v>1</v>
      </c>
      <c r="DY590">
        <v>1</v>
      </c>
      <c r="DZ590">
        <v>0</v>
      </c>
      <c r="EA590" s="143">
        <v>0</v>
      </c>
      <c r="EB590">
        <v>0</v>
      </c>
      <c r="EC590">
        <v>0</v>
      </c>
      <c r="ED590">
        <v>0</v>
      </c>
      <c r="EE590">
        <v>0</v>
      </c>
      <c r="EF590">
        <v>1</v>
      </c>
      <c r="EG590">
        <v>0</v>
      </c>
      <c r="EH590">
        <v>0</v>
      </c>
      <c r="EI590" s="2">
        <v>0</v>
      </c>
      <c r="EK590" t="str">
        <f>IF(AND(AND(AND(OR($DX590=1,$DW590=1),OR($EC590=1,$EA590=1)),SUM($DV590:$DZ590,$EF590)&gt;=4),SUM($EA590:$EE590)&gt;=2),"Whole sector","")</f>
        <v/>
      </c>
      <c r="EL590" t="str">
        <f>IF(AND(AND(OR($DX590=1,$DW590=1),AND($EC590=0,$EA590=0)),SUM($DV590:$DZ590,$EF590)&gt;=4),"Ecosystem approach","")</f>
        <v>Ecosystem approach</v>
      </c>
      <c r="EM590" s="2" t="str">
        <f>IF(AND(AND(AND($DX590=0,$DW590=0),OR($EC590=1,$EA590=1)),SUM($EB590:$EE590)&gt;=2),"Technology approach","")</f>
        <v/>
      </c>
      <c r="EP590" t="str">
        <f>IF(ISNUMBER(BU590),IF(ABS(BU590-[2]QC_indicators!$B$2)&gt;3*[2]QC_indicators!$C$2,"C ratio",IF(ISNUMBER(BY590),IF(ABS(BY590-[2]QC_indicators!$B$1)&gt;3*[2]QC_indicators!$C$1,"DF","no"))),IF(ISNUMBER(BY590),IF(ABS(BY590-[2]QC_indicators!$B$1)&gt;3*[2]QC_indicators!$C$1,"DF","no")))</f>
        <v>no</v>
      </c>
      <c r="ER590" t="s">
        <v>1373</v>
      </c>
      <c r="ET590" s="264" t="s">
        <v>3264</v>
      </c>
    </row>
    <row r="591" spans="1:150" ht="15" customHeight="1">
      <c r="A591" s="1" t="s">
        <v>1233</v>
      </c>
      <c r="B591" t="s">
        <v>1234</v>
      </c>
      <c r="C591" t="s">
        <v>1235</v>
      </c>
      <c r="D591" t="s">
        <v>336</v>
      </c>
      <c r="E591" t="s">
        <v>1236</v>
      </c>
      <c r="F591" t="s">
        <v>1237</v>
      </c>
      <c r="G591" t="s">
        <v>1238</v>
      </c>
      <c r="I591">
        <v>2018</v>
      </c>
      <c r="K591" t="s">
        <v>1239</v>
      </c>
      <c r="M591" t="str">
        <f>LEFT($D591,FIND(",",$D591)-1)&amp;"_"&amp;I591&amp;L591</f>
        <v>Balasbaneh_2018</v>
      </c>
      <c r="N591" t="s">
        <v>222</v>
      </c>
      <c r="O591" s="140" t="s">
        <v>513</v>
      </c>
      <c r="Q591" t="s">
        <v>224</v>
      </c>
      <c r="R591" s="262" t="s">
        <v>223</v>
      </c>
      <c r="S591" s="1" t="s">
        <v>1241</v>
      </c>
      <c r="T591" s="264" t="s">
        <v>3113</v>
      </c>
      <c r="U591" s="264" t="s">
        <v>3111</v>
      </c>
      <c r="V591">
        <v>0</v>
      </c>
      <c r="W591">
        <v>0</v>
      </c>
      <c r="X591">
        <v>0</v>
      </c>
      <c r="Y591">
        <v>0</v>
      </c>
      <c r="Z591">
        <v>0</v>
      </c>
      <c r="AA591">
        <v>0</v>
      </c>
      <c r="AB591">
        <v>0</v>
      </c>
      <c r="AC591">
        <v>0</v>
      </c>
      <c r="AD591">
        <v>0</v>
      </c>
      <c r="AE591">
        <v>0</v>
      </c>
      <c r="AF591">
        <v>0</v>
      </c>
      <c r="AG591">
        <v>0</v>
      </c>
      <c r="AH591">
        <v>0</v>
      </c>
      <c r="AI591">
        <v>0</v>
      </c>
      <c r="AJ591">
        <v>0</v>
      </c>
      <c r="AK591">
        <v>1</v>
      </c>
      <c r="AL591">
        <v>0</v>
      </c>
      <c r="AM591">
        <v>0</v>
      </c>
      <c r="AN591">
        <v>0</v>
      </c>
      <c r="AO591">
        <v>0</v>
      </c>
      <c r="AP591">
        <v>0</v>
      </c>
      <c r="AQ591">
        <v>0</v>
      </c>
      <c r="AR591">
        <v>0</v>
      </c>
      <c r="AS591">
        <v>0</v>
      </c>
      <c r="AT591">
        <v>0</v>
      </c>
      <c r="AU591">
        <v>0</v>
      </c>
      <c r="AV591">
        <v>0</v>
      </c>
      <c r="AW591">
        <v>0</v>
      </c>
      <c r="AX591" s="141">
        <f>COUNTIF(V591:AW591,"&lt;&gt;0")</f>
        <v>1</v>
      </c>
      <c r="AY591" s="141">
        <f>COUNTIF(V591:AL591,"&lt;&gt;0")</f>
        <v>1</v>
      </c>
      <c r="AZ591">
        <f>COUNTIF(V591:AC591,"&lt;&gt;0")</f>
        <v>0</v>
      </c>
      <c r="BA591">
        <f>COUNTIF(AD591:AI591,"&lt;&gt;0")</f>
        <v>0</v>
      </c>
      <c r="BB591">
        <f>COUNTIF(AJ591:AL591,"&lt;&gt;0")</f>
        <v>1</v>
      </c>
      <c r="BC591">
        <f>COUNTIF(AS591:AW591,"&lt;&gt;0")</f>
        <v>0</v>
      </c>
      <c r="BD591">
        <f>COUNTIF(AM591:AR591,"&lt;&gt;0")</f>
        <v>0</v>
      </c>
      <c r="BE591" t="str">
        <f t="array" ref="BE591">IF(AY591=1,INDEX($V$7:$AL$7,MATCH(TRUE,INDEX($V591:$AW591&lt;&gt;0,),0)),IF(AY591=0,INDEX($AM$7:$AW$7,MATCH(1,$AM591:$AW591,0)),IF(BF591="Multiple strategies","mixed drivers",IF(BF591="Supply chain","multiple supply","multiple silviculture"))))</f>
        <v>technologies/design switch</v>
      </c>
      <c r="BF591" s="2" t="str" cm="1">
        <f t="array" ref="BF591">IF(COUNTIF(AZ591:BB591,"&lt;&gt;0")=1,INDEX($V$4:$AW$4,MATCH(TRUE,INDEX($V591:$AW591&lt;&gt;0,),0)),IF(COUNTIF(AZ591:BB591,"&lt;&gt;0")=0,INDEX($AM$4:$AW$4,MATCH(1,$AM591:$AW591,0)),"Multiple strategies"))</f>
        <v>Technology</v>
      </c>
      <c r="BG591" s="1" t="s">
        <v>229</v>
      </c>
      <c r="BH591" t="s">
        <v>229</v>
      </c>
      <c r="BJ591" t="s">
        <v>345</v>
      </c>
      <c r="BK591">
        <v>0</v>
      </c>
      <c r="BL591">
        <v>15468</v>
      </c>
      <c r="BM591" s="143"/>
      <c r="BN591">
        <f>BL591-BK591</f>
        <v>15468</v>
      </c>
      <c r="BO591" s="143">
        <f>BN591*kg_to_m3</f>
        <v>31.567346938775515</v>
      </c>
      <c r="BP591" t="s">
        <v>232</v>
      </c>
      <c r="BQ591" s="337" t="s">
        <v>1057</v>
      </c>
      <c r="BR591" t="s">
        <v>397</v>
      </c>
      <c r="BS591">
        <v>-8200</v>
      </c>
      <c r="BT591">
        <v>-5370</v>
      </c>
      <c r="BU591" s="144">
        <v>0.65487804878048783</v>
      </c>
      <c r="BV591">
        <v>2830</v>
      </c>
      <c r="BX591">
        <f>BV591/1000</f>
        <v>2.83</v>
      </c>
      <c r="BY591">
        <f>IFERROR(BX591/BO591,"")</f>
        <v>8.964959917248512E-2</v>
      </c>
      <c r="BZ591">
        <v>0</v>
      </c>
      <c r="CA591">
        <v>0</v>
      </c>
      <c r="CB591">
        <v>0</v>
      </c>
      <c r="CC591">
        <v>0</v>
      </c>
      <c r="CD591">
        <v>0</v>
      </c>
      <c r="CE591">
        <v>0</v>
      </c>
      <c r="CF591">
        <v>0</v>
      </c>
      <c r="CG591">
        <v>0</v>
      </c>
      <c r="CH591">
        <v>0</v>
      </c>
      <c r="CI591">
        <v>0</v>
      </c>
      <c r="CJ591">
        <v>0</v>
      </c>
      <c r="CK591">
        <v>0</v>
      </c>
      <c r="CL591">
        <v>0</v>
      </c>
      <c r="CM591">
        <v>0</v>
      </c>
      <c r="CN591" t="str">
        <f>IF($BL591&lt;$BK591,"refNeedCorrection","refOK")</f>
        <v>refOK</v>
      </c>
      <c r="CO591">
        <f>IF($CN591="refNeedCorrection",BL591,BK591)</f>
        <v>0</v>
      </c>
      <c r="CP591">
        <f>IF($CN591="refNeedCorrection",BK591,BL591)</f>
        <v>15468</v>
      </c>
      <c r="CQ591">
        <f>IF($CN591="refOK",$BO591,-$BO591)</f>
        <v>31.567346938775515</v>
      </c>
      <c r="CR591">
        <f>IF($CN591="refOK",$BS591,$BT591)*IF($BP591="Emissions positive",-1,1)</f>
        <v>-8200</v>
      </c>
      <c r="CS591">
        <f>IF($CN591="refOK",$BT591,$BS591)*IF($BP591="Emissions positive",-1,1)</f>
        <v>-5370</v>
      </c>
      <c r="CT591">
        <f>IF($CN591="refNeedCorrection",-BX591,BX591)*IF($BP591="Emissions positive",-1,1)</f>
        <v>2.83</v>
      </c>
      <c r="CU591">
        <f>IFERROR(CT591/CQ591,"")</f>
        <v>8.964959917248512E-2</v>
      </c>
      <c r="CV591" s="2">
        <f>IFERROR((CS591-CR591)/ABS(CR591),"")</f>
        <v>0.34512195121951217</v>
      </c>
      <c r="CW591" s="1" t="s">
        <v>1203</v>
      </c>
      <c r="CX591" t="str">
        <f>IF(OR($CW591="prd",$CW591="std",$CW591="cit"),"loc",IF(OR($CW591="eur",$CW591="reg",$CW591="coy"),"reg",$CW591))</f>
        <v>reg</v>
      </c>
      <c r="CY591" t="s">
        <v>348</v>
      </c>
      <c r="CZ591">
        <v>2014</v>
      </c>
      <c r="DA591">
        <v>2114</v>
      </c>
      <c r="DB591">
        <v>100</v>
      </c>
      <c r="DC591" t="str">
        <f>IF(DB591=0,"0",IF(AND(DB591&gt;=1,DB591&lt;=30),"1-30",IF(AND(DB591&gt;30,DB591&lt;=70),"31-70",IF(AND(DB591&gt;70,DB591&lt;=100),"71-100",IF(DB591&gt;100,"+100")))))</f>
        <v>71-100</v>
      </c>
      <c r="DD591">
        <v>0</v>
      </c>
      <c r="DE591">
        <v>0</v>
      </c>
      <c r="DF591">
        <v>0</v>
      </c>
      <c r="DG591">
        <v>1</v>
      </c>
      <c r="DI591">
        <f>SUM(DD591:DG591)</f>
        <v>1</v>
      </c>
      <c r="DJ591" t="str">
        <f>IF(DI591=1,INDEX($DD$7:$DG$7,MATCH(1,$DD591:$DG591,0)),"mixedProduct")</f>
        <v>TimberInput</v>
      </c>
      <c r="DK591">
        <f>IF(DD591=1,DK$7,0)</f>
        <v>0</v>
      </c>
      <c r="DL591">
        <f>IF(DE591=1,DL$7,0)</f>
        <v>0</v>
      </c>
      <c r="DM591">
        <f>IF(DF591=1,DM$7,0)</f>
        <v>0</v>
      </c>
      <c r="DN591" t="str">
        <f>IF(DG591=1,DN$7,0)</f>
        <v>Timber</v>
      </c>
      <c r="DO591">
        <v>0</v>
      </c>
      <c r="DP591">
        <v>0</v>
      </c>
      <c r="DQ591">
        <v>0</v>
      </c>
      <c r="DR591">
        <v>0</v>
      </c>
      <c r="DS591">
        <v>0</v>
      </c>
      <c r="DT591">
        <f>SUM(DO591:DP591)</f>
        <v>0</v>
      </c>
      <c r="DU591" s="143" t="str">
        <f>IF(DO591=1,"self-calculated DF",IF(DP591=1,"external DF used","explicit C balance"))</f>
        <v>explicit C balance</v>
      </c>
      <c r="DV591">
        <v>0</v>
      </c>
      <c r="DW591">
        <v>0</v>
      </c>
      <c r="DX591">
        <v>0</v>
      </c>
      <c r="DY591">
        <v>0</v>
      </c>
      <c r="DZ591">
        <v>0</v>
      </c>
      <c r="EA591" s="143">
        <v>1</v>
      </c>
      <c r="EB591">
        <v>0</v>
      </c>
      <c r="EC591">
        <v>1</v>
      </c>
      <c r="ED591">
        <v>1</v>
      </c>
      <c r="EE591">
        <v>1</v>
      </c>
      <c r="EF591">
        <v>0</v>
      </c>
      <c r="EG591">
        <v>0</v>
      </c>
      <c r="EH591">
        <v>0</v>
      </c>
      <c r="EI591" s="2">
        <v>0</v>
      </c>
      <c r="EK591" t="str">
        <f>IF(AND(AND(AND(OR($DX591=1,$DW591=1),OR($EC591=1,$EA591=1)),SUM($DV591:$DZ591,$EF591)&gt;=4),SUM($EA591:$EE591)&gt;=2),"Whole sector","")</f>
        <v/>
      </c>
      <c r="EL591" t="str">
        <f>IF(AND(AND(OR($DX591=1,$DW591=1),AND($EC591=0,$EA591=0)),SUM($DV591:$DZ591,$EF591)&gt;=4),"Ecosystem approach","")</f>
        <v/>
      </c>
      <c r="EM591" s="2" t="str">
        <f>IF(AND(AND(AND($DX591=0,$DW591=0),OR($EC591=1,$EA591=1)),SUM($EB591:$EE591)&gt;=2),"Technology approach","")</f>
        <v>Technology approach</v>
      </c>
      <c r="EP591" t="str">
        <f>IF(ISNUMBER(BU591),IF(ABS(BU591-[1]QC_indicators!$B$2)&gt;3*[1]QC_indicators!$C$2,"C ratio",IF(ISNUMBER(BY591),IF(ABS(BY591-[1]QC_indicators!$B$1)&gt;3*[1]QC_indicators!$C$1,"DF","no"))),IF(ISNUMBER(BY591),IF(ABS(BY591-[1]QC_indicators!$B$1)&gt;3*[1]QC_indicators!$C$1,"DF","no")))</f>
        <v>no</v>
      </c>
      <c r="ER591" s="149" t="s">
        <v>349</v>
      </c>
      <c r="ET591" s="264" t="s">
        <v>3273</v>
      </c>
    </row>
    <row r="592" spans="1:150" ht="15" customHeight="1">
      <c r="A592" s="1" t="s">
        <v>1360</v>
      </c>
      <c r="B592" t="s">
        <v>2135</v>
      </c>
      <c r="C592" t="s">
        <v>2136</v>
      </c>
      <c r="D592" t="s">
        <v>2137</v>
      </c>
      <c r="E592" t="s">
        <v>2138</v>
      </c>
      <c r="F592" t="s">
        <v>2139</v>
      </c>
      <c r="G592" t="s">
        <v>1366</v>
      </c>
      <c r="H592" t="s">
        <v>254</v>
      </c>
      <c r="I592">
        <v>2012</v>
      </c>
      <c r="J592">
        <v>21</v>
      </c>
      <c r="K592" t="s">
        <v>2140</v>
      </c>
      <c r="L592" s="192"/>
      <c r="M592" t="str">
        <f>LEFT($D592,FIND(",",$D592)-1)&amp;"_"&amp;I592&amp;L592</f>
        <v>Pyorala_2012</v>
      </c>
      <c r="N592" t="s">
        <v>222</v>
      </c>
      <c r="O592" s="145" t="s">
        <v>341</v>
      </c>
      <c r="P592" s="180" t="s">
        <v>223</v>
      </c>
      <c r="Q592" s="264" t="s">
        <v>256</v>
      </c>
      <c r="R592" s="269" t="s">
        <v>1154</v>
      </c>
      <c r="S592" s="263" t="s">
        <v>2147</v>
      </c>
      <c r="T592" s="264" t="s">
        <v>2143</v>
      </c>
      <c r="U592" s="264" t="s">
        <v>2148</v>
      </c>
      <c r="V592">
        <v>0</v>
      </c>
      <c r="W592">
        <v>0</v>
      </c>
      <c r="X592">
        <v>0</v>
      </c>
      <c r="Y592">
        <v>1</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s="141">
        <f>COUNTIF(V592:AW592,"&lt;&gt;0")</f>
        <v>1</v>
      </c>
      <c r="AY592" s="141">
        <f>COUNTIF(V592:AL592,"&lt;&gt;0")</f>
        <v>1</v>
      </c>
      <c r="AZ592">
        <f>COUNTIF(V592:AC592,"&lt;&gt;0")</f>
        <v>1</v>
      </c>
      <c r="BA592">
        <f>COUNTIF(AD592:AI592,"&lt;&gt;0")</f>
        <v>0</v>
      </c>
      <c r="BB592">
        <f>COUNTIF(AJ592:AL592,"&lt;&gt;0")</f>
        <v>0</v>
      </c>
      <c r="BC592">
        <f>COUNTIF(AS592:AW592,"&lt;&gt;0")</f>
        <v>0</v>
      </c>
      <c r="BD592">
        <f>COUNTIF(AM592:AR592,"&lt;&gt;0")</f>
        <v>0</v>
      </c>
      <c r="BE592" t="str" cm="1">
        <f t="array" ref="BE592">IF(AY592=1,INDEX($V$7:$AL$7,MATCH(TRUE,INDEX($V592:$AW592&lt;&gt;0,),0)),IF(AY592=0,INDEX($AM$7:$AW$7,MATCH(1,$AM592:$AW592,0)),IF(BF592="Multiple strategies","mixed drivers",IF(BF592="Supply chain","multiple supply","multiple silviculture"))))</f>
        <v xml:space="preserve">cutting intensity </v>
      </c>
      <c r="BF592" s="2" t="str" cm="1">
        <f t="array" ref="BF592">IF(COUNTIF(AZ592:BB592,"&lt;&gt;0")=1,INDEX($V$4:$AW$4,MATCH(TRUE,INDEX($V592:$AW592&lt;&gt;0,),0)),IF(COUNTIF(AZ592:BB592,"&lt;&gt;0")=0,INDEX($AM$4:$AW$4,MATCH(1,$AM592:$AW592,0)),"Multiple strategies"))</f>
        <v>Silviculture for removals</v>
      </c>
      <c r="BG592" s="178" t="s">
        <v>321</v>
      </c>
      <c r="BH592" s="264" t="s">
        <v>2144</v>
      </c>
      <c r="BI592" s="264" t="s">
        <v>701</v>
      </c>
      <c r="BJ592" s="160" t="s">
        <v>700</v>
      </c>
      <c r="BK592">
        <v>7.6</v>
      </c>
      <c r="BL592">
        <v>7.9</v>
      </c>
      <c r="BN592">
        <f>BL592-BK592</f>
        <v>0.30000000000000071</v>
      </c>
      <c r="BO592">
        <f>BN592</f>
        <v>0.30000000000000071</v>
      </c>
      <c r="BP592" s="155" t="s">
        <v>395</v>
      </c>
      <c r="BQ592" s="264" t="s">
        <v>786</v>
      </c>
      <c r="BR592" s="270" t="s">
        <v>2145</v>
      </c>
      <c r="BS592">
        <f>-4.1/50</f>
        <v>-8.199999999999999E-2</v>
      </c>
      <c r="BT592">
        <f>-5.46/50</f>
        <v>-0.10920000000000001</v>
      </c>
      <c r="BU592" s="144"/>
      <c r="BV592">
        <f>BT592-BS592</f>
        <v>-2.7200000000000016E-2</v>
      </c>
      <c r="BX592">
        <f>BV592</f>
        <v>-2.7200000000000016E-2</v>
      </c>
      <c r="BY592">
        <f>IFERROR(BX592/BO592,"")</f>
        <v>-9.0666666666666507E-2</v>
      </c>
      <c r="BZ592">
        <v>0</v>
      </c>
      <c r="CA592">
        <v>0</v>
      </c>
      <c r="CB592">
        <v>0</v>
      </c>
      <c r="CC592">
        <v>0</v>
      </c>
      <c r="CD592">
        <v>0</v>
      </c>
      <c r="CE592">
        <v>0</v>
      </c>
      <c r="CF592">
        <v>0</v>
      </c>
      <c r="CG592">
        <v>0</v>
      </c>
      <c r="CH592">
        <v>0</v>
      </c>
      <c r="CI592">
        <v>0</v>
      </c>
      <c r="CJ592">
        <v>0</v>
      </c>
      <c r="CK592">
        <v>0</v>
      </c>
      <c r="CL592">
        <v>0</v>
      </c>
      <c r="CM592">
        <v>0</v>
      </c>
      <c r="CN592" t="str">
        <f>IF($BL592&lt;$BK592,"refNeedCorrection","refOK")</f>
        <v>refOK</v>
      </c>
      <c r="CO592">
        <f>IF($CN592="refOK",$BK592,$BL592)</f>
        <v>7.6</v>
      </c>
      <c r="CP592">
        <f>IF($CN592="refOK",$BL592,$BK592)</f>
        <v>7.9</v>
      </c>
      <c r="CQ592">
        <f>IF($CN592="refOK",$BO592,-$BO592)</f>
        <v>0.30000000000000071</v>
      </c>
      <c r="CR592">
        <f>IF($CN592="refOK",$BS592,$BT592)*IF($BP592="Emissions positive",-1,1)</f>
        <v>8.199999999999999E-2</v>
      </c>
      <c r="CS592">
        <f>IF($CN592="refOK",$BT592,$BS592)*IF($BP592="Emissions positive",-1,1)</f>
        <v>0.10920000000000001</v>
      </c>
      <c r="CT592">
        <f>IF($CN592="refNeedCorrection",-BX592,BX592)*IF($BP592="Emissions positive",-1,1)</f>
        <v>2.7200000000000016E-2</v>
      </c>
      <c r="CU592">
        <f>IFERROR(CT592/CQ592,"")</f>
        <v>9.0666666666666507E-2</v>
      </c>
      <c r="CV592" s="2">
        <f>IFERROR((CS592-CR592)/ABS(CR592),"")</f>
        <v>0.33170731707317097</v>
      </c>
      <c r="CW592" s="1" t="s">
        <v>1199</v>
      </c>
      <c r="CX592" s="264" t="str">
        <f>IF(OR($CW592="prd",$CW592="std",$CW592="cit"),"loc",IF(OR($CW592="eur",$CW592="reg",$CW592="coy"),"reg",$CW592))</f>
        <v>reg</v>
      </c>
      <c r="CY592" t="s">
        <v>235</v>
      </c>
      <c r="DB592">
        <v>50</v>
      </c>
      <c r="DC592" t="str">
        <f>IF(DB592=0,"0",IF(AND(DB592&gt;=1,DB592&lt;=30),"1-30",IF(AND(DB592&gt;30,DB592&lt;=70),"31-70",IF(AND(DB592&gt;70,DB592&lt;=100),"71-100",IF(DB592&gt;100,"+100")))))</f>
        <v>31-70</v>
      </c>
      <c r="DD592">
        <v>0</v>
      </c>
      <c r="DE592">
        <v>1</v>
      </c>
      <c r="DF592">
        <v>1</v>
      </c>
      <c r="DG592">
        <v>1</v>
      </c>
      <c r="DI592">
        <f>SUM(DD592:DG592)</f>
        <v>3</v>
      </c>
      <c r="DJ592" t="str">
        <f>IF(DI592=1,INDEX($DD$7:$DG$7,MATCH(1,$DD592:$DG592,0)),"mixedProduct")</f>
        <v>mixedProduct</v>
      </c>
      <c r="DK592">
        <f>IF(DD592=1,DK$7,0)</f>
        <v>0</v>
      </c>
      <c r="DL592" t="str">
        <f>IF(DE592=1,DL$7,0)</f>
        <v>Energy</v>
      </c>
      <c r="DM592" t="str">
        <f>IF(DF592=1,DM$7,0)</f>
        <v>Pulp/Paper</v>
      </c>
      <c r="DN592" t="str">
        <f>IF(DG592=1,DN$7,0)</f>
        <v>Timber</v>
      </c>
      <c r="DO592">
        <v>0</v>
      </c>
      <c r="DP592">
        <v>1</v>
      </c>
      <c r="DQ592" t="s">
        <v>2146</v>
      </c>
      <c r="DR592">
        <v>0</v>
      </c>
      <c r="DS592">
        <v>0</v>
      </c>
      <c r="DT592">
        <f>SUM(DO592:DP592)</f>
        <v>1</v>
      </c>
      <c r="DU592" s="143" t="str">
        <f>IF(DO592=1,"self-calculated DF",IF(DP592=1,"external DF used","explicit C balance"))</f>
        <v>external DF used</v>
      </c>
      <c r="DV592">
        <v>1</v>
      </c>
      <c r="DW592">
        <v>1</v>
      </c>
      <c r="DX592">
        <v>1</v>
      </c>
      <c r="DY592">
        <v>0</v>
      </c>
      <c r="DZ592">
        <v>0</v>
      </c>
      <c r="EA592" s="143">
        <v>0</v>
      </c>
      <c r="EB592">
        <v>1</v>
      </c>
      <c r="EC592">
        <v>1</v>
      </c>
      <c r="ED592">
        <v>0</v>
      </c>
      <c r="EE592">
        <v>0</v>
      </c>
      <c r="EF592">
        <v>1</v>
      </c>
      <c r="EG592">
        <v>0</v>
      </c>
      <c r="EH592">
        <v>0</v>
      </c>
      <c r="EI592" s="2">
        <v>0</v>
      </c>
      <c r="EK592" t="str">
        <f>IF(AND(AND(AND(OR($DX592=1,$DW592=1),OR($EC592=1,$EA592=1)),SUM($DV592:$DZ592,$EF592)&gt;=4),SUM($EA592:$EE592)&gt;=2),"Whole sector","")</f>
        <v>Whole sector</v>
      </c>
      <c r="EL592" t="str">
        <f>IF(AND(AND(OR($DX592=1,$DW592=1),AND($EC592=0,$EA592=0)),SUM($DV592:$DZ592,$EF592)&gt;=4),"Ecosystem approach","")</f>
        <v/>
      </c>
      <c r="EM592" s="2" t="str">
        <f>IF(AND(AND(AND($DX592=0,$DW592=0),OR($EC592=1,$EA592=1)),SUM($EB592:$EE592)&gt;=2),"Technology approach","")</f>
        <v/>
      </c>
      <c r="EP592" t="str">
        <f>IF(ISNUMBER(BU592),IF(ABS(BU592-[3]QC_indicators!$B$2)&gt;3*[3]QC_indicators!$C$2,"C ratio",IF(ISNUMBER(BY592),IF(ABS(BY592-[3]QC_indicators!$B$1)&gt;3*[3]QC_indicators!$C$1,"DF","no"))),IF(ISNUMBER(BY592),IF(ABS(BY592-[3]QC_indicators!$B$1)&gt;3*[3]QC_indicators!$C$1,"DF","no")))</f>
        <v>no</v>
      </c>
      <c r="ET592" s="264" t="s">
        <v>3407</v>
      </c>
    </row>
    <row r="593" spans="1:150" ht="15" customHeight="1">
      <c r="A593" s="1" t="s">
        <v>1102</v>
      </c>
      <c r="B593" t="s">
        <v>2381</v>
      </c>
      <c r="C593" t="s">
        <v>2382</v>
      </c>
      <c r="D593" t="s">
        <v>2383</v>
      </c>
      <c r="E593" t="s">
        <v>2384</v>
      </c>
      <c r="F593" t="s">
        <v>2385</v>
      </c>
      <c r="G593" t="s">
        <v>1108</v>
      </c>
      <c r="H593" t="s">
        <v>254</v>
      </c>
      <c r="I593">
        <v>2016</v>
      </c>
      <c r="J593">
        <v>13</v>
      </c>
      <c r="K593" t="s">
        <v>2386</v>
      </c>
      <c r="M593" t="str">
        <f>LEFT($D593,FIND(",",$D593)-1)&amp;"_"&amp;I593&amp;L593</f>
        <v>Torssonen_2016</v>
      </c>
      <c r="N593" t="s">
        <v>222</v>
      </c>
      <c r="O593" s="145" t="s">
        <v>1154</v>
      </c>
      <c r="Q593" s="264" t="s">
        <v>256</v>
      </c>
      <c r="R593" s="269" t="s">
        <v>341</v>
      </c>
      <c r="S593" s="1" t="s">
        <v>2400</v>
      </c>
      <c r="T593" s="264" t="s">
        <v>2406</v>
      </c>
      <c r="U593" t="s">
        <v>2407</v>
      </c>
      <c r="V593">
        <v>0</v>
      </c>
      <c r="W593">
        <v>0</v>
      </c>
      <c r="X593">
        <v>0</v>
      </c>
      <c r="Y593">
        <v>0</v>
      </c>
      <c r="Z593">
        <v>0</v>
      </c>
      <c r="AA593">
        <v>0</v>
      </c>
      <c r="AB593">
        <v>0</v>
      </c>
      <c r="AC593">
        <v>0</v>
      </c>
      <c r="AD593">
        <v>0</v>
      </c>
      <c r="AE593">
        <v>0</v>
      </c>
      <c r="AF593">
        <v>0</v>
      </c>
      <c r="AG593">
        <v>0</v>
      </c>
      <c r="AH593">
        <v>0</v>
      </c>
      <c r="AI593">
        <v>0</v>
      </c>
      <c r="AJ593">
        <v>0</v>
      </c>
      <c r="AK593">
        <v>0</v>
      </c>
      <c r="AL593">
        <v>0</v>
      </c>
      <c r="AM593">
        <v>0</v>
      </c>
      <c r="AN593">
        <v>1</v>
      </c>
      <c r="AO593">
        <v>1</v>
      </c>
      <c r="AP593">
        <v>0</v>
      </c>
      <c r="AQ593">
        <v>0</v>
      </c>
      <c r="AR593">
        <v>0</v>
      </c>
      <c r="AS593">
        <v>0</v>
      </c>
      <c r="AT593">
        <v>0</v>
      </c>
      <c r="AU593">
        <v>0</v>
      </c>
      <c r="AV593">
        <v>0</v>
      </c>
      <c r="AW593">
        <v>0</v>
      </c>
      <c r="AX593" s="141">
        <f>COUNTIF(V593:AW593,"&lt;&gt;0")</f>
        <v>2</v>
      </c>
      <c r="AY593" s="141">
        <f>COUNTIF(V593:AL593,"&lt;&gt;0")</f>
        <v>0</v>
      </c>
      <c r="AZ593">
        <f>COUNTIF(V593:AC593,"&lt;&gt;0")</f>
        <v>0</v>
      </c>
      <c r="BA593">
        <f>COUNTIF(AD593:AI593,"&lt;&gt;0")</f>
        <v>0</v>
      </c>
      <c r="BB593">
        <f>COUNTIF(AJ593:AL593,"&lt;&gt;0")</f>
        <v>0</v>
      </c>
      <c r="BC593">
        <f>COUNTIF(AS593:AW593,"&lt;&gt;0")</f>
        <v>0</v>
      </c>
      <c r="BD593">
        <f>COUNTIF(AM593:AR593,"&lt;&gt;0")</f>
        <v>2</v>
      </c>
      <c r="BE593" t="str" cm="1">
        <f t="array" ref="BE593">IF(AY593=1,INDEX($V$7:$AL$7,MATCH(TRUE,INDEX($V593:$AW593&lt;&gt;0,),0)),IF(AY593=0,INDEX($AM$7:$AW$7,MATCH(1,$AM593:$AW593,0)),IF(BF593="Multiple strategies","mixed drivers",IF(BF593="Supply chain","multiple supply","multiple silviculture"))))</f>
        <v>Temperature</v>
      </c>
      <c r="BF593" s="2" t="str" cm="1">
        <f t="array" ref="BF593">IF(COUNTIF(AZ593:BB593,"&lt;&gt;0")=1,INDEX($V$4:$AW$4,MATCH(TRUE,INDEX($V593:$AW593&lt;&gt;0,),0)),IF(COUNTIF(AZ593:BB593,"&lt;&gt;0")=0,INDEX($AM$4:$AW$4,MATCH(1,$AM593:$AW593,0)),"Multiple strategies"))</f>
        <v>Environmental change</v>
      </c>
      <c r="BG593" s="1" t="s">
        <v>229</v>
      </c>
      <c r="BH593" s="306" t="s">
        <v>2144</v>
      </c>
      <c r="BI593" s="264" t="s">
        <v>2391</v>
      </c>
      <c r="BJ593" s="306" t="s">
        <v>1058</v>
      </c>
      <c r="BK593">
        <v>6.697959172</v>
      </c>
      <c r="BL593">
        <v>7.0183673349999998</v>
      </c>
      <c r="BM593" s="143">
        <f>BL593/BK593</f>
        <v>1.047836684991964</v>
      </c>
      <c r="BN593">
        <f>BL593-BK593</f>
        <v>0.32040816299999975</v>
      </c>
      <c r="BO593">
        <f>BN593</f>
        <v>0.32040816299999975</v>
      </c>
      <c r="BP593" s="306" t="s">
        <v>395</v>
      </c>
      <c r="BQ593" s="153" t="s">
        <v>3421</v>
      </c>
      <c r="BR593" s="264" t="s">
        <v>2393</v>
      </c>
      <c r="BS593">
        <v>-334.54545454545399</v>
      </c>
      <c r="BT593">
        <v>-337.45454545454498</v>
      </c>
      <c r="BU593" s="144"/>
      <c r="BV593" s="144">
        <f>BT593-BS593</f>
        <v>-2.9090909090909918</v>
      </c>
      <c r="BW593" s="144"/>
      <c r="BX593" s="144">
        <f>BV593*10^4/10^6</f>
        <v>-2.9090909090909917E-2</v>
      </c>
      <c r="BY593">
        <f>IFERROR(BX593/BO593,"")</f>
        <v>-9.0793283225152843E-2</v>
      </c>
      <c r="BZ593">
        <v>0</v>
      </c>
      <c r="CA593">
        <v>0</v>
      </c>
      <c r="CB593">
        <v>0</v>
      </c>
      <c r="CC593">
        <v>0</v>
      </c>
      <c r="CD593">
        <v>0</v>
      </c>
      <c r="CE593">
        <v>0</v>
      </c>
      <c r="CF593">
        <v>0</v>
      </c>
      <c r="CG593">
        <v>0</v>
      </c>
      <c r="CH593">
        <v>0</v>
      </c>
      <c r="CI593">
        <v>0</v>
      </c>
      <c r="CJ593">
        <v>0</v>
      </c>
      <c r="CK593">
        <v>0</v>
      </c>
      <c r="CL593">
        <v>0</v>
      </c>
      <c r="CM593">
        <v>1</v>
      </c>
      <c r="CN593" t="str">
        <f>IF($BL593&lt;$BK593,"refNeedCorrection","refOK")</f>
        <v>refOK</v>
      </c>
      <c r="CO593">
        <f>IF($CN593="refOK",$BK593,$BL593)</f>
        <v>6.697959172</v>
      </c>
      <c r="CP593">
        <f>IF($CN593="refOK",$BL593,$BK593)</f>
        <v>7.0183673349999998</v>
      </c>
      <c r="CQ593">
        <f>IF($CN593="refOK",$BO593,-$BO593)</f>
        <v>0.32040816299999975</v>
      </c>
      <c r="CR593">
        <f>IF($CN593="refOK",$BS593,$BT593)*IF($BP593="Emissions positive",-1,1)</f>
        <v>334.54545454545399</v>
      </c>
      <c r="CS593">
        <f>IF($CN593="refOK",$BT593,$BS593)*IF($BP593="Emissions positive",-1,1)</f>
        <v>337.45454545454498</v>
      </c>
      <c r="CT593">
        <f>IF($CN593="refNeedCorrection",-BX593,BX593)*IF($BP593="Emissions positive",-1,1)</f>
        <v>2.9090909090909917E-2</v>
      </c>
      <c r="CU593">
        <f>IFERROR(CT593/CQ593,"")</f>
        <v>9.0793283225152843E-2</v>
      </c>
      <c r="CV593" s="2">
        <f>IFERROR((CS593-CR593)/ABS(CR593),"")</f>
        <v>8.6956521739133055E-3</v>
      </c>
      <c r="CW593" s="1" t="s">
        <v>1199</v>
      </c>
      <c r="CX593" s="264" t="str">
        <f>IF(OR($CW593="prd",$CW593="std",$CW593="cit"),"loc",IF(OR($CW593="eur",$CW593="reg",$CW593="coy"),"reg",$CW593))</f>
        <v>reg</v>
      </c>
      <c r="CY593" t="s">
        <v>235</v>
      </c>
      <c r="CZ593">
        <v>2020</v>
      </c>
      <c r="DA593">
        <v>2100</v>
      </c>
      <c r="DB593">
        <f>DA593-CZ593</f>
        <v>80</v>
      </c>
      <c r="DC593" t="str">
        <f>IF(DB593=0,"0",IF(AND(DB593&gt;=1,DB593&lt;=30),"1-30",IF(AND(DB593&gt;30,DB593&lt;=70),"31-70",IF(AND(DB593&gt;70,DB593&lt;=100),"71-100",IF(DB593&gt;100,"+100")))))</f>
        <v>71-100</v>
      </c>
      <c r="DD593">
        <v>0</v>
      </c>
      <c r="DE593">
        <v>1</v>
      </c>
      <c r="DF593">
        <v>0</v>
      </c>
      <c r="DG593">
        <v>1</v>
      </c>
      <c r="DI593">
        <f>SUM(DD593:DG593)</f>
        <v>2</v>
      </c>
      <c r="DJ593" t="str">
        <f>IF(DI593=1,INDEX($DD$7:$DG$7,MATCH(1,$DD593:$DG593,0)),"mixedProduct")</f>
        <v>mixedProduct</v>
      </c>
      <c r="DK593">
        <f>IF(DD593=1,DK$7,0)</f>
        <v>0</v>
      </c>
      <c r="DL593" t="str">
        <f>IF(DE593=1,DL$7,0)</f>
        <v>Energy</v>
      </c>
      <c r="DM593">
        <f>IF(DF593=1,DM$7,0)</f>
        <v>0</v>
      </c>
      <c r="DN593" t="str">
        <f>IF(DG593=1,DN$7,0)</f>
        <v>Timber</v>
      </c>
      <c r="DO593">
        <v>1</v>
      </c>
      <c r="DP593">
        <v>0</v>
      </c>
      <c r="DQ593">
        <v>0</v>
      </c>
      <c r="DR593">
        <v>0</v>
      </c>
      <c r="DS593">
        <v>0</v>
      </c>
      <c r="DT593">
        <f>SUM(DO593:DP593)</f>
        <v>1</v>
      </c>
      <c r="DU593" s="143" t="str">
        <f>IF(DO593=1,"self-calculated DF",IF(DP593=1,"external DF used","explicit C balance"))</f>
        <v>self-calculated DF</v>
      </c>
      <c r="DV593">
        <v>1</v>
      </c>
      <c r="DW593">
        <v>0</v>
      </c>
      <c r="DX593">
        <v>1</v>
      </c>
      <c r="DY593">
        <v>0</v>
      </c>
      <c r="DZ593">
        <v>0</v>
      </c>
      <c r="EA593" s="143">
        <v>0</v>
      </c>
      <c r="EB593">
        <v>0</v>
      </c>
      <c r="EC593">
        <v>0</v>
      </c>
      <c r="ED593">
        <v>0</v>
      </c>
      <c r="EE593">
        <v>0</v>
      </c>
      <c r="EF593">
        <v>1</v>
      </c>
      <c r="EG593">
        <v>0</v>
      </c>
      <c r="EH593">
        <v>0</v>
      </c>
      <c r="EI593" s="2">
        <v>0</v>
      </c>
      <c r="EK593" t="str">
        <f>IF(AND(AND(AND(OR($DX593=1,$DW593=1),OR($EC593=1,$EA593=1)),SUM($DV593:$DZ593,$EF593)&gt;=4),SUM($EA593:$EE593)&gt;=2),"Whole sector","")</f>
        <v/>
      </c>
      <c r="EL593" t="str">
        <f>IF(AND(AND(OR($DX593=1,$DW593=1),AND($EC593=0,$EA593=0)),SUM($DV593:$DZ593,$EF593)&gt;=4),"Ecosystem approach","")</f>
        <v/>
      </c>
      <c r="EM593" s="2" t="str">
        <f>IF(AND(AND(AND($DX593=0,$DW593=0),OR($EC593=1,$EA593=1)),SUM($EB593:$EE593)&gt;=2),"Technology approach","")</f>
        <v/>
      </c>
      <c r="EN593" t="s">
        <v>2403</v>
      </c>
      <c r="EP593" t="str">
        <f>IF(ISNUMBER(BU593),IF(ABS(BU593-[3]QC_indicators!$B$2)&gt;3*[3]QC_indicators!$C$2,"C ratio",IF(ISNUMBER(BY593),IF(ABS(BY593-[3]QC_indicators!$B$1)&gt;3*[3]QC_indicators!$C$1,"DF","no"))),IF(ISNUMBER(BY593),IF(ABS(BY593-[3]QC_indicators!$B$1)&gt;3*[3]QC_indicators!$C$1,"DF","no")))</f>
        <v>no</v>
      </c>
      <c r="ER593" s="264" t="s">
        <v>2394</v>
      </c>
      <c r="ET593" s="306" t="s">
        <v>3422</v>
      </c>
    </row>
    <row r="594" spans="1:150" ht="15" customHeight="1">
      <c r="A594" s="1" t="s">
        <v>1168</v>
      </c>
      <c r="B594" t="s">
        <v>1169</v>
      </c>
      <c r="C594" t="s">
        <v>1170</v>
      </c>
      <c r="D594" t="s">
        <v>1171</v>
      </c>
      <c r="E594" t="s">
        <v>1172</v>
      </c>
      <c r="F594" t="s">
        <v>1173</v>
      </c>
      <c r="G594" t="s">
        <v>1174</v>
      </c>
      <c r="H594" t="s">
        <v>254</v>
      </c>
      <c r="I594">
        <v>2010</v>
      </c>
      <c r="J594">
        <v>51</v>
      </c>
      <c r="K594" t="s">
        <v>1175</v>
      </c>
      <c r="M594" t="str">
        <f>LEFT($D594,FIND(",",$D594)-1)&amp;"_"&amp;I594&amp;L594</f>
        <v>Vukotic_2010</v>
      </c>
      <c r="N594" t="s">
        <v>222</v>
      </c>
      <c r="O594" s="145" t="s">
        <v>1154</v>
      </c>
      <c r="Q594" t="s">
        <v>256</v>
      </c>
      <c r="R594" s="269" t="s">
        <v>274</v>
      </c>
      <c r="S594" s="1" t="s">
        <v>1176</v>
      </c>
      <c r="T594" t="s">
        <v>1177</v>
      </c>
      <c r="U594" t="s">
        <v>1182</v>
      </c>
      <c r="V594">
        <v>0</v>
      </c>
      <c r="W594">
        <v>0</v>
      </c>
      <c r="X594">
        <v>0</v>
      </c>
      <c r="Y594">
        <v>0</v>
      </c>
      <c r="Z594">
        <v>0</v>
      </c>
      <c r="AA594">
        <v>0</v>
      </c>
      <c r="AB594">
        <v>0</v>
      </c>
      <c r="AC594">
        <v>0</v>
      </c>
      <c r="AD594">
        <v>0</v>
      </c>
      <c r="AE594">
        <v>0</v>
      </c>
      <c r="AF594">
        <v>0</v>
      </c>
      <c r="AG594">
        <v>0</v>
      </c>
      <c r="AH594">
        <v>0</v>
      </c>
      <c r="AI594">
        <v>0</v>
      </c>
      <c r="AJ594">
        <v>0</v>
      </c>
      <c r="AK594">
        <v>1</v>
      </c>
      <c r="AL594">
        <v>0</v>
      </c>
      <c r="AM594">
        <v>0</v>
      </c>
      <c r="AN594">
        <v>0</v>
      </c>
      <c r="AO594">
        <v>0</v>
      </c>
      <c r="AP594">
        <v>0</v>
      </c>
      <c r="AQ594">
        <v>0</v>
      </c>
      <c r="AR594">
        <v>0</v>
      </c>
      <c r="AS594">
        <v>0</v>
      </c>
      <c r="AT594">
        <v>0</v>
      </c>
      <c r="AU594">
        <v>0</v>
      </c>
      <c r="AV594">
        <v>0</v>
      </c>
      <c r="AW594">
        <v>0</v>
      </c>
      <c r="AX594" s="141">
        <f>COUNTIF(V594:AW594,"&lt;&gt;0")</f>
        <v>1</v>
      </c>
      <c r="AY594" s="141">
        <f>COUNTIF(V594:AL594,"&lt;&gt;0")</f>
        <v>1</v>
      </c>
      <c r="AZ594">
        <f>COUNTIF(V594:AC594,"&lt;&gt;0")</f>
        <v>0</v>
      </c>
      <c r="BA594">
        <f>COUNTIF(AD594:AI594,"&lt;&gt;0")</f>
        <v>0</v>
      </c>
      <c r="BB594">
        <f>COUNTIF(AJ594:AL594,"&lt;&gt;0")</f>
        <v>1</v>
      </c>
      <c r="BC594">
        <f>COUNTIF(AS594:AW594,"&lt;&gt;0")</f>
        <v>0</v>
      </c>
      <c r="BD594">
        <f>COUNTIF(AM594:AR594,"&lt;&gt;0")</f>
        <v>0</v>
      </c>
      <c r="BE594" t="str">
        <f t="array" ref="BE594">IF(AY594=1,INDEX($V$7:$AL$7,MATCH(TRUE,INDEX($V594:$AW594&lt;&gt;0,),0)),IF(AY594=0,INDEX($AM$7:$AW$7,MATCH(1,$AM594:$AW594,0)),IF(BF594="Multiple strategies","mixed drivers",IF(BF594="Supply chain","multiple supply","multiple silviculture"))))</f>
        <v>technologies/design switch</v>
      </c>
      <c r="BF594" s="2" t="str" cm="1">
        <f t="array" ref="BF594">IF(COUNTIF(AZ594:BB594,"&lt;&gt;0")=1,INDEX($V$4:$AW$4,MATCH(TRUE,INDEX($V594:$AW594&lt;&gt;0,),0)),IF(COUNTIF(AZ594:BB594,"&lt;&gt;0")=0,INDEX($AM$4:$AW$4,MATCH(1,$AM594:$AW594,0)),"Multiple strategies"))</f>
        <v>Technology</v>
      </c>
      <c r="BG594" s="1" t="s">
        <v>229</v>
      </c>
      <c r="BH594" t="s">
        <v>1179</v>
      </c>
      <c r="BJ594" t="s">
        <v>1180</v>
      </c>
      <c r="BK594">
        <v>0</v>
      </c>
      <c r="BL594">
        <v>0.27407407407407408</v>
      </c>
      <c r="BM594" s="143" t="e">
        <f>BL594/BK594</f>
        <v>#DIV/0!</v>
      </c>
      <c r="BN594">
        <f>BL594-BK594</f>
        <v>0.27407407407407408</v>
      </c>
      <c r="BO594">
        <f>BN594*t_to_m3</f>
        <v>0.55933484504913078</v>
      </c>
      <c r="BP594" t="s">
        <v>232</v>
      </c>
      <c r="BR594" t="s">
        <v>1181</v>
      </c>
      <c r="BS594">
        <v>-272.77999999999997</v>
      </c>
      <c r="BT594">
        <v>-221.89</v>
      </c>
      <c r="BU594" s="144">
        <f>IFERROR(BT594/BS594,"")</f>
        <v>0.81343940171566831</v>
      </c>
      <c r="BV594" s="144">
        <f>BT594-BS594</f>
        <v>50.889999999999986</v>
      </c>
      <c r="BW594" s="144"/>
      <c r="BX594" s="144">
        <f>BV594*0.001</f>
        <v>5.0889999999999991E-2</v>
      </c>
      <c r="BY594">
        <f>IFERROR(BX594/BO594,"")</f>
        <v>9.0983067567567549E-2</v>
      </c>
      <c r="BZ594">
        <v>0</v>
      </c>
      <c r="CA594">
        <v>0</v>
      </c>
      <c r="CB594">
        <v>0</v>
      </c>
      <c r="CC594">
        <v>0</v>
      </c>
      <c r="CD594">
        <v>0</v>
      </c>
      <c r="CE594">
        <v>0</v>
      </c>
      <c r="CF594">
        <v>0</v>
      </c>
      <c r="CG594">
        <v>0</v>
      </c>
      <c r="CH594">
        <v>0</v>
      </c>
      <c r="CI594">
        <v>0</v>
      </c>
      <c r="CJ594">
        <v>0</v>
      </c>
      <c r="CK594">
        <v>0</v>
      </c>
      <c r="CL594">
        <v>0</v>
      </c>
      <c r="CM594">
        <v>0</v>
      </c>
      <c r="CN594" t="str">
        <f>IF($BL594&lt;$BK594,"refNeedCorrection","refOK")</f>
        <v>refOK</v>
      </c>
      <c r="CO594">
        <f>IF($CN594="refOK",$BK594,$BL594)</f>
        <v>0</v>
      </c>
      <c r="CP594">
        <f>IF($CN594="refOK",$BL594,$BK594)</f>
        <v>0.27407407407407408</v>
      </c>
      <c r="CQ594">
        <f>IF($CN594="refOK",$BO594,-$BO594)</f>
        <v>0.55933484504913078</v>
      </c>
      <c r="CR594">
        <f>IF($CN594="refOK",$BS594,$BT594)*IF($BP594="Emissions positive",-1,1)</f>
        <v>-272.77999999999997</v>
      </c>
      <c r="CS594">
        <f>IF($CN594="refOK",$BT594,$BS594)*IF($BP594="Emissions positive",-1,1)</f>
        <v>-221.89</v>
      </c>
      <c r="CT594">
        <f>IF($CN594="refNeedCorrection",-BX594,BX594)*IF($BP594="Emissions positive",-1,1)</f>
        <v>5.0889999999999991E-2</v>
      </c>
      <c r="CU594">
        <f>IFERROR(CT594/CQ594,"")</f>
        <v>9.0983067567567549E-2</v>
      </c>
      <c r="CV594" s="2">
        <f>IFERROR((CS594-CR594)/ABS(CR594),"")</f>
        <v>0.18656059828433166</v>
      </c>
      <c r="CW594" s="1" t="s">
        <v>263</v>
      </c>
      <c r="CX594" t="str">
        <f>IF(OR($CW594="prd",$CW594="std",$CW594="cit"),"loc",IF(OR($CW594="eur",$CW594="reg",$CW594="coy"),"reg",$CW594))</f>
        <v>loc</v>
      </c>
      <c r="CY594" s="309" t="s">
        <v>3423</v>
      </c>
      <c r="DB594">
        <v>60</v>
      </c>
      <c r="DC594" t="str">
        <f>IF(DB594=0,"0",IF(AND(DB594&gt;=1,DB594&lt;=30),"1-30",IF(AND(DB594&gt;30,DB594&lt;=70),"31-70",IF(AND(DB594&gt;70,DB594&lt;=100),"71-100",IF(DB594&gt;100,"+100")))))</f>
        <v>31-70</v>
      </c>
      <c r="DD594">
        <v>0</v>
      </c>
      <c r="DE594">
        <v>0</v>
      </c>
      <c r="DF594">
        <v>0</v>
      </c>
      <c r="DG594">
        <v>1</v>
      </c>
      <c r="DI594">
        <f>SUM(DD594:DG594)</f>
        <v>1</v>
      </c>
      <c r="DJ594" t="str">
        <f>IF(DI594=1,INDEX($DD$7:$DG$7,MATCH(1,$DD594:$DG594,0)),"mixedProduct")</f>
        <v>TimberInput</v>
      </c>
      <c r="DK594">
        <f>IF(DD594=1,DK$7,0)</f>
        <v>0</v>
      </c>
      <c r="DL594">
        <f>IF(DE594=1,DL$7,0)</f>
        <v>0</v>
      </c>
      <c r="DM594">
        <f>IF(DF594=1,DM$7,0)</f>
        <v>0</v>
      </c>
      <c r="DN594" t="str">
        <f>IF(DG594=1,DN$7,0)</f>
        <v>Timber</v>
      </c>
      <c r="DO594">
        <v>1</v>
      </c>
      <c r="DP594">
        <v>0</v>
      </c>
      <c r="DQ594">
        <v>0</v>
      </c>
      <c r="DR594">
        <v>0</v>
      </c>
      <c r="DS594">
        <v>0</v>
      </c>
      <c r="DT594">
        <f>SUM(DO594:DP594)</f>
        <v>1</v>
      </c>
      <c r="DU594" s="143" t="str">
        <f>IF(DO594=1,"self-calculated DF",IF(DP594=1,"external DF used","explicit C balance"))</f>
        <v>self-calculated DF</v>
      </c>
      <c r="DV594">
        <v>0</v>
      </c>
      <c r="DW594">
        <v>0</v>
      </c>
      <c r="DX594">
        <v>0</v>
      </c>
      <c r="DY594">
        <v>0</v>
      </c>
      <c r="DZ594">
        <v>0</v>
      </c>
      <c r="EA594" s="143">
        <v>0</v>
      </c>
      <c r="EB594">
        <v>0</v>
      </c>
      <c r="EC594">
        <v>1</v>
      </c>
      <c r="ED594">
        <v>1</v>
      </c>
      <c r="EE594">
        <v>0</v>
      </c>
      <c r="EF594">
        <v>0</v>
      </c>
      <c r="EG594">
        <v>0</v>
      </c>
      <c r="EH594">
        <v>0</v>
      </c>
      <c r="EI594" s="2">
        <v>0</v>
      </c>
      <c r="EK594" t="str">
        <f>IF(AND(AND(AND(OR($DX594=1,$DW594=1),OR($EC594=1,$EA594=1)),SUM($DV594:$DZ594,$EF594)&gt;=4),SUM($EA594:$EE594)&gt;=2),"Whole sector","")</f>
        <v/>
      </c>
      <c r="EL594" t="str">
        <f>IF(AND(AND(OR($DX594=1,$DW594=1),AND($EC594=0,$EA594=0)),SUM($DV594:$DZ594,$EF594)&gt;=4),"Ecosystem approach","")</f>
        <v/>
      </c>
      <c r="EM594" s="2" t="str">
        <f>IF(AND(AND(AND($DX594=0,$DW594=0),OR($EC594=1,$EA594=1)),SUM($EB594:$EE594)&gt;=2),"Technology approach","")</f>
        <v>Technology approach</v>
      </c>
      <c r="EP594" t="str">
        <f>IF(ISNUMBER(BU594),IF(ABS(BU594-[2]QC_indicators!$B$2)&gt;3*[2]QC_indicators!$C$2,"C ratio",IF(ISNUMBER(BY594),IF(ABS(BY594-[2]QC_indicators!$B$1)&gt;3*[2]QC_indicators!$C$1,"DF","no"))),IF(ISNUMBER(BY594),IF(ABS(BY594-[2]QC_indicators!$B$1)&gt;3*[2]QC_indicators!$C$1,"DF","no")))</f>
        <v>no</v>
      </c>
      <c r="ET594" s="264" t="s">
        <v>3263</v>
      </c>
    </row>
    <row r="595" spans="1:150" ht="15" customHeight="1">
      <c r="A595" s="1" t="s">
        <v>1138</v>
      </c>
      <c r="B595" t="s">
        <v>1578</v>
      </c>
      <c r="C595" t="s">
        <v>1579</v>
      </c>
      <c r="D595" t="s">
        <v>1580</v>
      </c>
      <c r="E595" t="s">
        <v>1581</v>
      </c>
      <c r="F595" t="s">
        <v>1582</v>
      </c>
      <c r="G595" t="s">
        <v>1139</v>
      </c>
      <c r="H595" t="s">
        <v>254</v>
      </c>
      <c r="I595">
        <v>2020</v>
      </c>
      <c r="J595">
        <v>4</v>
      </c>
      <c r="K595" t="s">
        <v>1583</v>
      </c>
      <c r="M595" t="str">
        <f>LEFT($D595,FIND(",",$D595)-1)&amp;"_"&amp;I595&amp;L595</f>
        <v>Ganguly_2020</v>
      </c>
      <c r="N595" t="s">
        <v>222</v>
      </c>
      <c r="O595" s="145" t="s">
        <v>274</v>
      </c>
      <c r="Q595" s="264" t="s">
        <v>256</v>
      </c>
      <c r="R595" s="269" t="s">
        <v>341</v>
      </c>
      <c r="S595" s="1" t="s">
        <v>1584</v>
      </c>
      <c r="T595" t="s">
        <v>1592</v>
      </c>
      <c r="U595" t="s">
        <v>1586</v>
      </c>
      <c r="V595">
        <v>0</v>
      </c>
      <c r="W595">
        <v>0</v>
      </c>
      <c r="X595">
        <v>0</v>
      </c>
      <c r="Y595">
        <v>0</v>
      </c>
      <c r="Z595">
        <v>0</v>
      </c>
      <c r="AA595">
        <v>0</v>
      </c>
      <c r="AB595">
        <v>0</v>
      </c>
      <c r="AC595">
        <v>0</v>
      </c>
      <c r="AD595">
        <v>0</v>
      </c>
      <c r="AE595">
        <v>1</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s="141">
        <f>COUNTIF(V595:AW595,"&lt;&gt;0")</f>
        <v>1</v>
      </c>
      <c r="AY595" s="141">
        <f>COUNTIF(V595:AL595,"&lt;&gt;0")</f>
        <v>1</v>
      </c>
      <c r="AZ595">
        <f>COUNTIF(V595:AC595,"&lt;&gt;0")</f>
        <v>0</v>
      </c>
      <c r="BA595">
        <f>COUNTIF(AD595:AI595,"&lt;&gt;0")</f>
        <v>1</v>
      </c>
      <c r="BB595">
        <f>COUNTIF(AJ595:AL595,"&lt;&gt;0")</f>
        <v>0</v>
      </c>
      <c r="BC595">
        <f>COUNTIF(AS595:AW595,"&lt;&gt;0")</f>
        <v>0</v>
      </c>
      <c r="BD595">
        <f>COUNTIF(AM595:AR595,"&lt;&gt;0")</f>
        <v>0</v>
      </c>
      <c r="BE595" t="str" cm="1">
        <f t="array" ref="BE595">IF(AY595=1,INDEX($V$7:$AL$7,MATCH(TRUE,INDEX($V595:$AW595&lt;&gt;0,),0)),IF(AY595=0,INDEX($AM$7:$AW$7,MATCH(1,$AM595:$AW595,0)),IF(BF595="Multiple strategies","mixed drivers",IF(BF595="Supply chain","multiple supply","multiple silviculture"))))</f>
        <v>location of industry</v>
      </c>
      <c r="BF595" s="2" t="str" cm="1">
        <f t="array" ref="BF595">IF(COUNTIF(AZ595:BB595,"&lt;&gt;0")=1,INDEX($V$4:$AW$4,MATCH(TRUE,INDEX($V595:$AW595&lt;&gt;0,),0)),IF(COUNTIF(AZ595:BB595,"&lt;&gt;0")=0,INDEX($AM$4:$AW$4,MATCH(1,$AM595:$AW595,0)),"Multiple strategies"))</f>
        <v>Supply chain</v>
      </c>
      <c r="BG595" s="1" t="s">
        <v>321</v>
      </c>
      <c r="BH595" t="s">
        <v>1587</v>
      </c>
      <c r="BI595" s="160" t="s">
        <v>1588</v>
      </c>
      <c r="BJ595" t="s">
        <v>1589</v>
      </c>
      <c r="BK595">
        <v>779369</v>
      </c>
      <c r="BL595">
        <v>3760725</v>
      </c>
      <c r="BM595">
        <f>BL595/BK595</f>
        <v>4.8253458887895206</v>
      </c>
      <c r="BN595">
        <f>BL595-BK595</f>
        <v>2981356</v>
      </c>
      <c r="BO595">
        <f>BN595*t_to_m3</f>
        <v>6084400</v>
      </c>
      <c r="BP595" t="s">
        <v>232</v>
      </c>
      <c r="BQ595" s="160" t="s">
        <v>1590</v>
      </c>
      <c r="BR595" t="s">
        <v>539</v>
      </c>
      <c r="BS595">
        <v>173114</v>
      </c>
      <c r="BT595">
        <v>736474</v>
      </c>
      <c r="BU595" s="144">
        <f>IFERROR(BT595/BS595,"")</f>
        <v>4.2542717515625545</v>
      </c>
      <c r="BV595">
        <f>BT595-BS595</f>
        <v>563360</v>
      </c>
      <c r="BX595">
        <f>BV595</f>
        <v>563360</v>
      </c>
      <c r="BY595">
        <f>IFERROR(BX595/BO595,"")</f>
        <v>9.2590888173032668E-2</v>
      </c>
      <c r="BZ595">
        <v>0</v>
      </c>
      <c r="CA595">
        <v>0</v>
      </c>
      <c r="CB595">
        <v>0</v>
      </c>
      <c r="CC595">
        <v>0</v>
      </c>
      <c r="CD595">
        <v>0</v>
      </c>
      <c r="CE595">
        <v>0</v>
      </c>
      <c r="CF595">
        <v>0</v>
      </c>
      <c r="CG595">
        <v>0</v>
      </c>
      <c r="CH595">
        <v>0</v>
      </c>
      <c r="CI595">
        <v>0</v>
      </c>
      <c r="CJ595">
        <v>0</v>
      </c>
      <c r="CK595">
        <v>0</v>
      </c>
      <c r="CL595">
        <v>0</v>
      </c>
      <c r="CM595">
        <v>0</v>
      </c>
      <c r="CN595" t="str">
        <f>IF($BL595&lt;$BK595,"refNeedCorrection","refOK")</f>
        <v>refOK</v>
      </c>
      <c r="CO595">
        <f>IF($CN595="refNeedCorrection",BL595,BK595)</f>
        <v>779369</v>
      </c>
      <c r="CP595">
        <f>IF($CN595="refNeedCorrection",BK595,BL595)</f>
        <v>3760725</v>
      </c>
      <c r="CQ595">
        <f>IF($CN595="refOK",$BO595,-$BO595)</f>
        <v>6084400</v>
      </c>
      <c r="CR595">
        <f>IF($CN595="refOK",$BS595,$BT595)*IF($BP595="Emissions positive",-1,1)</f>
        <v>173114</v>
      </c>
      <c r="CS595">
        <f>IF($CN595="refOK",$BT595,$BS595)*IF($BP595="Emissions positive",-1,1)</f>
        <v>736474</v>
      </c>
      <c r="CT595">
        <f>IF($CN595="refNeedCorrection",-BX595,BX595)*IF($BP595="Emissions positive",-1,1)</f>
        <v>563360</v>
      </c>
      <c r="CU595">
        <f>IFERROR(CT595/CQ595,"")</f>
        <v>9.2590888173032668E-2</v>
      </c>
      <c r="CV595" s="2">
        <f>IFERROR((CS595-CR595)/ABS(CR595),"")</f>
        <v>3.2542717515625541</v>
      </c>
      <c r="CW595" s="1" t="s">
        <v>1199</v>
      </c>
      <c r="CX595" s="264" t="str">
        <f>IF(OR($CW595="prd",$CW595="std",$CW595="cit"),"loc",IF(OR($CW595="eur",$CW595="reg",$CW595="coy"),"reg",$CW595))</f>
        <v>reg</v>
      </c>
      <c r="CY595" t="s">
        <v>428</v>
      </c>
      <c r="DB595">
        <v>100</v>
      </c>
      <c r="DC595" t="str">
        <f>IF(DB595=0,"0",IF(AND(DB595&gt;=1,DB595&lt;=30),"1-30",IF(AND(DB595&gt;30,DB595&lt;=70),"31-70",IF(AND(DB595&gt;70,DB595&lt;=100),"71-100",IF(DB595&gt;100,"+100")))))</f>
        <v>71-100</v>
      </c>
      <c r="DD595">
        <v>0</v>
      </c>
      <c r="DE595">
        <v>0</v>
      </c>
      <c r="DF595">
        <v>1</v>
      </c>
      <c r="DG595">
        <v>1</v>
      </c>
      <c r="DI595">
        <f>SUM(DD595:DG595)</f>
        <v>2</v>
      </c>
      <c r="DJ595" t="str">
        <f>IF(DI595=1,INDEX($DD$7:$DG$7,MATCH(1,$DD595:$DG595,0)),"mixedProduct")</f>
        <v>mixedProduct</v>
      </c>
      <c r="DK595">
        <f>IF(DD595=1,DK$7,0)</f>
        <v>0</v>
      </c>
      <c r="DL595">
        <f>IF(DE595=1,DL$7,0)</f>
        <v>0</v>
      </c>
      <c r="DM595" t="str">
        <f>IF(DF595=1,DM$7,0)</f>
        <v>Pulp/Paper</v>
      </c>
      <c r="DN595" t="str">
        <f>IF(DG595=1,DN$7,0)</f>
        <v>Timber</v>
      </c>
      <c r="DO595">
        <v>0</v>
      </c>
      <c r="DP595">
        <v>0</v>
      </c>
      <c r="DQ595">
        <v>0</v>
      </c>
      <c r="DR595">
        <v>0</v>
      </c>
      <c r="DS595">
        <v>0</v>
      </c>
      <c r="DT595">
        <f>SUM(DO595:DP595)</f>
        <v>0</v>
      </c>
      <c r="DU595" s="143" t="str">
        <f>IF(DO595=1,"self-calculated DF",IF(DP595=1,"external DF used","explicit C balance"))</f>
        <v>explicit C balance</v>
      </c>
      <c r="DV595">
        <v>0</v>
      </c>
      <c r="DW595">
        <v>0</v>
      </c>
      <c r="DX595">
        <v>0</v>
      </c>
      <c r="DY595">
        <v>1</v>
      </c>
      <c r="DZ595">
        <v>0</v>
      </c>
      <c r="EA595" s="143">
        <v>0</v>
      </c>
      <c r="EB595">
        <v>1</v>
      </c>
      <c r="EC595">
        <v>1</v>
      </c>
      <c r="ED595">
        <v>0</v>
      </c>
      <c r="EE595">
        <v>0</v>
      </c>
      <c r="EF595">
        <v>0</v>
      </c>
      <c r="EG595">
        <v>1</v>
      </c>
      <c r="EH595">
        <v>0</v>
      </c>
      <c r="EI595" s="2">
        <v>0</v>
      </c>
      <c r="EK595" t="str">
        <f>IF(AND(AND(AND(OR($DX595=1,$DW595=1),OR($EC595=1,$EA595=1)),SUM($DV595:$DZ595,$EF595)&gt;=4),SUM($EA595:$EE595)&gt;=2),"Whole sector","")</f>
        <v/>
      </c>
      <c r="EL595" t="str">
        <f>IF(AND(AND(OR($DX595=1,$DW595=1),AND($EC595=0,$EA595=0)),SUM($DV595:$DZ595,$EF595)&gt;=4),"Ecosystem approach","")</f>
        <v/>
      </c>
      <c r="EM595" s="2" t="str">
        <f>IF(AND(AND(AND($DX595=0,$DW595=0),OR($EC595=1,$EA595=1)),SUM($EB595:$EE595)&gt;=2),"Technology approach","")</f>
        <v>Technology approach</v>
      </c>
      <c r="EP595" t="str">
        <f>IF(ISNUMBER(BU595),IF(ABS(BU595-[3]QC_indicators!$B$2)&gt;3*[3]QC_indicators!$C$2,"C ratio",IF(ISNUMBER(BY595),IF(ABS(BY595-[3]QC_indicators!$B$1)&gt;3*[3]QC_indicators!$C$1,"DF","no"))),IF(ISNUMBER(BY595),IF(ABS(BY595-[3]QC_indicators!$B$1)&gt;3*[3]QC_indicators!$C$1,"DF","no")))</f>
        <v>no</v>
      </c>
      <c r="EQ595" t="s">
        <v>1164</v>
      </c>
      <c r="ER595" t="s">
        <v>1591</v>
      </c>
      <c r="ET595" s="264" t="s">
        <v>3407</v>
      </c>
    </row>
    <row r="596" spans="1:150" ht="15" customHeight="1">
      <c r="A596" s="1" t="s">
        <v>1233</v>
      </c>
      <c r="B596" t="s">
        <v>1234</v>
      </c>
      <c r="C596" t="s">
        <v>1235</v>
      </c>
      <c r="D596" t="s">
        <v>336</v>
      </c>
      <c r="E596" t="s">
        <v>1236</v>
      </c>
      <c r="F596" t="s">
        <v>1237</v>
      </c>
      <c r="G596" t="s">
        <v>1238</v>
      </c>
      <c r="I596">
        <v>2018</v>
      </c>
      <c r="K596" t="s">
        <v>1239</v>
      </c>
      <c r="M596" t="str">
        <f>LEFT($D596,FIND(",",$D596)-1)&amp;"_"&amp;I596&amp;L596</f>
        <v>Balasbaneh_2018</v>
      </c>
      <c r="N596" t="s">
        <v>222</v>
      </c>
      <c r="O596" s="140" t="s">
        <v>513</v>
      </c>
      <c r="Q596" t="s">
        <v>224</v>
      </c>
      <c r="R596" s="262" t="s">
        <v>223</v>
      </c>
      <c r="S596" s="1" t="s">
        <v>1242</v>
      </c>
      <c r="T596" s="264" t="s">
        <v>3113</v>
      </c>
      <c r="U596" s="264" t="s">
        <v>3111</v>
      </c>
      <c r="V596">
        <v>0</v>
      </c>
      <c r="W596">
        <v>0</v>
      </c>
      <c r="X596">
        <v>0</v>
      </c>
      <c r="Y596">
        <v>0</v>
      </c>
      <c r="Z596">
        <v>0</v>
      </c>
      <c r="AA596">
        <v>0</v>
      </c>
      <c r="AB596">
        <v>0</v>
      </c>
      <c r="AC596">
        <v>0</v>
      </c>
      <c r="AD596">
        <v>0</v>
      </c>
      <c r="AE596">
        <v>0</v>
      </c>
      <c r="AF596">
        <v>0</v>
      </c>
      <c r="AG596">
        <v>0</v>
      </c>
      <c r="AH596">
        <v>0</v>
      </c>
      <c r="AI596">
        <v>0</v>
      </c>
      <c r="AJ596">
        <v>0</v>
      </c>
      <c r="AK596">
        <v>1</v>
      </c>
      <c r="AL596">
        <v>0</v>
      </c>
      <c r="AM596">
        <v>0</v>
      </c>
      <c r="AN596">
        <v>0</v>
      </c>
      <c r="AO596">
        <v>0</v>
      </c>
      <c r="AP596">
        <v>0</v>
      </c>
      <c r="AQ596">
        <v>0</v>
      </c>
      <c r="AR596">
        <v>0</v>
      </c>
      <c r="AS596">
        <v>0</v>
      </c>
      <c r="AT596">
        <v>0</v>
      </c>
      <c r="AU596">
        <v>0</v>
      </c>
      <c r="AV596">
        <v>0</v>
      </c>
      <c r="AW596">
        <v>0</v>
      </c>
      <c r="AX596" s="141">
        <f>COUNTIF(V596:AW596,"&lt;&gt;0")</f>
        <v>1</v>
      </c>
      <c r="AY596" s="141">
        <f>COUNTIF(V596:AL596,"&lt;&gt;0")</f>
        <v>1</v>
      </c>
      <c r="AZ596">
        <f>COUNTIF(V596:AC596,"&lt;&gt;0")</f>
        <v>0</v>
      </c>
      <c r="BA596">
        <f>COUNTIF(AD596:AI596,"&lt;&gt;0")</f>
        <v>0</v>
      </c>
      <c r="BB596">
        <f>COUNTIF(AJ596:AL596,"&lt;&gt;0")</f>
        <v>1</v>
      </c>
      <c r="BC596">
        <f>COUNTIF(AS596:AW596,"&lt;&gt;0")</f>
        <v>0</v>
      </c>
      <c r="BD596">
        <f>COUNTIF(AM596:AR596,"&lt;&gt;0")</f>
        <v>0</v>
      </c>
      <c r="BE596" t="str">
        <f t="array" ref="BE596">IF(AY596=1,INDEX($V$7:$AL$7,MATCH(TRUE,INDEX($V596:$AW596&lt;&gt;0,),0)),IF(AY596=0,INDEX($AM$7:$AW$7,MATCH(1,$AM596:$AW596,0)),IF(BF596="Multiple strategies","mixed drivers",IF(BF596="Supply chain","multiple supply","multiple silviculture"))))</f>
        <v>technologies/design switch</v>
      </c>
      <c r="BF596" s="2" t="str" cm="1">
        <f t="array" ref="BF596">IF(COUNTIF(AZ596:BB596,"&lt;&gt;0")=1,INDEX($V$4:$AW$4,MATCH(TRUE,INDEX($V596:$AW596&lt;&gt;0,),0)),IF(COUNTIF(AZ596:BB596,"&lt;&gt;0")=0,INDEX($AM$4:$AW$4,MATCH(1,$AM596:$AW596,0)),"Multiple strategies"))</f>
        <v>Technology</v>
      </c>
      <c r="BG596" s="1" t="s">
        <v>229</v>
      </c>
      <c r="BH596" t="s">
        <v>229</v>
      </c>
      <c r="BJ596" t="s">
        <v>345</v>
      </c>
      <c r="BK596">
        <v>0</v>
      </c>
      <c r="BL596">
        <v>15468</v>
      </c>
      <c r="BM596" s="143"/>
      <c r="BN596">
        <f>BL596-BK596</f>
        <v>15468</v>
      </c>
      <c r="BO596" s="143">
        <f>BN596*kg_to_m3</f>
        <v>31.567346938775515</v>
      </c>
      <c r="BP596" t="s">
        <v>232</v>
      </c>
      <c r="BQ596" s="337" t="s">
        <v>1057</v>
      </c>
      <c r="BR596" t="s">
        <v>397</v>
      </c>
      <c r="BS596">
        <v>-8790</v>
      </c>
      <c r="BT596">
        <v>-5840</v>
      </c>
      <c r="BU596" s="144">
        <v>0.664391353811149</v>
      </c>
      <c r="BV596">
        <v>2950</v>
      </c>
      <c r="BX596">
        <f>BV596/1000</f>
        <v>2.95</v>
      </c>
      <c r="BY596">
        <f>IFERROR(BX596/BO596,"")</f>
        <v>9.3450995603827247E-2</v>
      </c>
      <c r="BZ596">
        <v>0</v>
      </c>
      <c r="CA596">
        <v>0</v>
      </c>
      <c r="CB596">
        <v>0</v>
      </c>
      <c r="CC596">
        <v>0</v>
      </c>
      <c r="CD596">
        <v>0</v>
      </c>
      <c r="CE596">
        <v>0</v>
      </c>
      <c r="CF596">
        <v>0</v>
      </c>
      <c r="CG596">
        <v>0</v>
      </c>
      <c r="CH596">
        <v>0</v>
      </c>
      <c r="CI596">
        <v>0</v>
      </c>
      <c r="CJ596">
        <v>0</v>
      </c>
      <c r="CK596">
        <v>0</v>
      </c>
      <c r="CL596">
        <v>0</v>
      </c>
      <c r="CM596">
        <v>0</v>
      </c>
      <c r="CN596" t="str">
        <f>IF($BL596&lt;$BK596,"refNeedCorrection","refOK")</f>
        <v>refOK</v>
      </c>
      <c r="CO596">
        <f>IF($CN596="refNeedCorrection",BL596,BK596)</f>
        <v>0</v>
      </c>
      <c r="CP596">
        <f>IF($CN596="refNeedCorrection",BK596,BL596)</f>
        <v>15468</v>
      </c>
      <c r="CQ596">
        <f>IF($CN596="refOK",$BO596,-$BO596)</f>
        <v>31.567346938775515</v>
      </c>
      <c r="CR596">
        <f>IF($CN596="refOK",$BS596,$BT596)*IF($BP596="Emissions positive",-1,1)</f>
        <v>-8790</v>
      </c>
      <c r="CS596">
        <f>IF($CN596="refOK",$BT596,$BS596)*IF($BP596="Emissions positive",-1,1)</f>
        <v>-5840</v>
      </c>
      <c r="CT596">
        <f>IF($CN596="refNeedCorrection",-BX596,BX596)*IF($BP596="Emissions positive",-1,1)</f>
        <v>2.95</v>
      </c>
      <c r="CU596">
        <f>IFERROR(CT596/CQ596,"")</f>
        <v>9.3450995603827247E-2</v>
      </c>
      <c r="CV596" s="2">
        <f>IFERROR((CS596-CR596)/ABS(CR596),"")</f>
        <v>0.33560864618885095</v>
      </c>
      <c r="CW596" s="1" t="s">
        <v>1203</v>
      </c>
      <c r="CX596" t="str">
        <f>IF(OR($CW596="prd",$CW596="std",$CW596="cit"),"loc",IF(OR($CW596="eur",$CW596="reg",$CW596="coy"),"reg",$CW596))</f>
        <v>reg</v>
      </c>
      <c r="CY596" t="s">
        <v>348</v>
      </c>
      <c r="CZ596">
        <v>2014</v>
      </c>
      <c r="DA596">
        <v>2034</v>
      </c>
      <c r="DB596">
        <v>20</v>
      </c>
      <c r="DC596" t="str">
        <f>IF(DB596=0,"0",IF(AND(DB596&gt;=1,DB596&lt;=30),"1-30",IF(AND(DB596&gt;30,DB596&lt;=70),"31-70",IF(AND(DB596&gt;70,DB596&lt;=100),"71-100",IF(DB596&gt;100,"+100")))))</f>
        <v>1-30</v>
      </c>
      <c r="DD596">
        <v>0</v>
      </c>
      <c r="DE596">
        <v>0</v>
      </c>
      <c r="DF596">
        <v>0</v>
      </c>
      <c r="DG596">
        <v>1</v>
      </c>
      <c r="DI596">
        <f>SUM(DD596:DG596)</f>
        <v>1</v>
      </c>
      <c r="DJ596" t="str">
        <f>IF(DI596=1,INDEX($DD$7:$DG$7,MATCH(1,$DD596:$DG596,0)),"mixedProduct")</f>
        <v>TimberInput</v>
      </c>
      <c r="DK596">
        <f>IF(DD596=1,DK$7,0)</f>
        <v>0</v>
      </c>
      <c r="DL596">
        <f>IF(DE596=1,DL$7,0)</f>
        <v>0</v>
      </c>
      <c r="DM596">
        <f>IF(DF596=1,DM$7,0)</f>
        <v>0</v>
      </c>
      <c r="DN596" t="str">
        <f>IF(DG596=1,DN$7,0)</f>
        <v>Timber</v>
      </c>
      <c r="DO596">
        <v>0</v>
      </c>
      <c r="DP596">
        <v>0</v>
      </c>
      <c r="DQ596">
        <v>0</v>
      </c>
      <c r="DR596">
        <v>0</v>
      </c>
      <c r="DS596">
        <v>0</v>
      </c>
      <c r="DT596">
        <f>SUM(DO596:DP596)</f>
        <v>0</v>
      </c>
      <c r="DU596" s="143" t="str">
        <f>IF(DO596=1,"self-calculated DF",IF(DP596=1,"external DF used","explicit C balance"))</f>
        <v>explicit C balance</v>
      </c>
      <c r="DV596">
        <v>0</v>
      </c>
      <c r="DW596">
        <v>0</v>
      </c>
      <c r="DX596">
        <v>0</v>
      </c>
      <c r="DY596">
        <v>0</v>
      </c>
      <c r="DZ596">
        <v>0</v>
      </c>
      <c r="EA596" s="143">
        <v>1</v>
      </c>
      <c r="EB596">
        <v>0</v>
      </c>
      <c r="EC596">
        <v>1</v>
      </c>
      <c r="ED596">
        <v>1</v>
      </c>
      <c r="EE596">
        <v>1</v>
      </c>
      <c r="EF596">
        <v>0</v>
      </c>
      <c r="EG596">
        <v>0</v>
      </c>
      <c r="EH596">
        <v>0</v>
      </c>
      <c r="EI596" s="2">
        <v>0</v>
      </c>
      <c r="EK596" t="str">
        <f>IF(AND(AND(AND(OR($DX596=1,$DW596=1),OR($EC596=1,$EA596=1)),SUM($DV596:$DZ596,$EF596)&gt;=4),SUM($EA596:$EE596)&gt;=2),"Whole sector","")</f>
        <v/>
      </c>
      <c r="EL596" t="str">
        <f>IF(AND(AND(OR($DX596=1,$DW596=1),AND($EC596=0,$EA596=0)),SUM($DV596:$DZ596,$EF596)&gt;=4),"Ecosystem approach","")</f>
        <v/>
      </c>
      <c r="EM596" s="2" t="str">
        <f>IF(AND(AND(AND($DX596=0,$DW596=0),OR($EC596=1,$EA596=1)),SUM($EB596:$EE596)&gt;=2),"Technology approach","")</f>
        <v>Technology approach</v>
      </c>
      <c r="EP596" t="str">
        <f>IF(ISNUMBER(BU596),IF(ABS(BU596-[1]QC_indicators!$B$2)&gt;3*[1]QC_indicators!$C$2,"C ratio",IF(ISNUMBER(BY596),IF(ABS(BY596-[1]QC_indicators!$B$1)&gt;3*[1]QC_indicators!$C$1,"DF","no"))),IF(ISNUMBER(BY596),IF(ABS(BY596-[1]QC_indicators!$B$1)&gt;3*[1]QC_indicators!$C$1,"DF","no")))</f>
        <v>no</v>
      </c>
      <c r="ER596" s="149" t="s">
        <v>349</v>
      </c>
      <c r="ET596" s="264" t="s">
        <v>3273</v>
      </c>
    </row>
    <row r="597" spans="1:150" ht="15" customHeight="1">
      <c r="A597" s="1" t="s">
        <v>878</v>
      </c>
      <c r="B597" t="s">
        <v>1705</v>
      </c>
      <c r="C597" t="s">
        <v>544</v>
      </c>
      <c r="D597" t="s">
        <v>1706</v>
      </c>
      <c r="E597" t="s">
        <v>1707</v>
      </c>
      <c r="F597" t="s">
        <v>1708</v>
      </c>
      <c r="G597" t="s">
        <v>1184</v>
      </c>
      <c r="H597" t="s">
        <v>254</v>
      </c>
      <c r="I597">
        <v>2021</v>
      </c>
      <c r="J597">
        <v>8</v>
      </c>
      <c r="K597" t="s">
        <v>1709</v>
      </c>
      <c r="M597" t="str">
        <f>LEFT($D597,FIND(",",$D597)-1)&amp;"_"&amp;I597&amp;L597</f>
        <v>Hart_2021</v>
      </c>
      <c r="N597" s="264" t="s">
        <v>222</v>
      </c>
      <c r="O597" s="171" t="s">
        <v>225</v>
      </c>
      <c r="P597" t="s">
        <v>960</v>
      </c>
      <c r="Q597" s="264" t="s">
        <v>389</v>
      </c>
      <c r="R597" s="269" t="s">
        <v>1154</v>
      </c>
      <c r="S597" s="297" t="s">
        <v>1710</v>
      </c>
      <c r="T597" t="s">
        <v>1711</v>
      </c>
      <c r="U597" t="s">
        <v>1712</v>
      </c>
      <c r="V597">
        <v>0</v>
      </c>
      <c r="W597">
        <v>0</v>
      </c>
      <c r="X597">
        <v>0</v>
      </c>
      <c r="Y597">
        <v>0</v>
      </c>
      <c r="Z597">
        <v>0</v>
      </c>
      <c r="AA597">
        <v>0</v>
      </c>
      <c r="AB597">
        <v>0</v>
      </c>
      <c r="AC597">
        <v>0</v>
      </c>
      <c r="AD597">
        <v>0</v>
      </c>
      <c r="AE597">
        <v>0</v>
      </c>
      <c r="AF597">
        <v>0</v>
      </c>
      <c r="AG597">
        <v>0</v>
      </c>
      <c r="AH597">
        <v>0</v>
      </c>
      <c r="AI597">
        <v>0</v>
      </c>
      <c r="AJ597">
        <v>0</v>
      </c>
      <c r="AK597">
        <v>1</v>
      </c>
      <c r="AL597">
        <v>0</v>
      </c>
      <c r="AM597">
        <v>0</v>
      </c>
      <c r="AN597">
        <v>0</v>
      </c>
      <c r="AO597">
        <v>0</v>
      </c>
      <c r="AP597">
        <v>0</v>
      </c>
      <c r="AQ597">
        <v>0</v>
      </c>
      <c r="AR597">
        <v>0</v>
      </c>
      <c r="AS597">
        <v>0</v>
      </c>
      <c r="AT597">
        <v>0</v>
      </c>
      <c r="AU597">
        <v>0</v>
      </c>
      <c r="AV597">
        <v>0</v>
      </c>
      <c r="AW597">
        <v>0</v>
      </c>
      <c r="AX597" s="141">
        <f>COUNTIF(V597:AW597,"&lt;&gt;0")</f>
        <v>1</v>
      </c>
      <c r="AY597" s="141">
        <f>COUNTIF(V597:AL597,"&lt;&gt;0")</f>
        <v>1</v>
      </c>
      <c r="AZ597">
        <f>COUNTIF(V597:AC597,"&lt;&gt;0")</f>
        <v>0</v>
      </c>
      <c r="BA597">
        <f>COUNTIF(AD597:AI597,"&lt;&gt;0")</f>
        <v>0</v>
      </c>
      <c r="BB597">
        <f>COUNTIF(AJ597:AL597,"&lt;&gt;0")</f>
        <v>1</v>
      </c>
      <c r="BC597">
        <f>COUNTIF(AS597:AW597,"&lt;&gt;0")</f>
        <v>0</v>
      </c>
      <c r="BD597">
        <f>COUNTIF(AM597:AR597,"&lt;&gt;0")</f>
        <v>0</v>
      </c>
      <c r="BE597" t="str" cm="1">
        <f t="array" ref="BE597">IF(AY597=1,INDEX($V$7:$AL$7,MATCH(TRUE,INDEX($V597:$AW597&lt;&gt;0,),0)),IF(AY597=0,INDEX($AM$7:$AW$7,MATCH(1,$AM597:$AW597,0)),IF(BF597="Multiple strategies","mixed drivers",IF(BF597="Supply chain","multiple supply","multiple silviculture"))))</f>
        <v>technologies/design switch</v>
      </c>
      <c r="BF597" s="2" t="str" cm="1">
        <f t="array" ref="BF597">IF(COUNTIF(AZ597:BB597,"&lt;&gt;0")=1,INDEX($V$4:$AW$4,MATCH(TRUE,INDEX($V597:$AW597&lt;&gt;0,),0)),IF(COUNTIF(AZ597:BB597,"&lt;&gt;0")=0,INDEX($AM$4:$AW$4,MATCH(1,$AM597:$AW597,0)),"Multiple strategies"))</f>
        <v>Technology</v>
      </c>
      <c r="BG597" s="298" t="s">
        <v>229</v>
      </c>
      <c r="BH597" s="270" t="s">
        <v>1713</v>
      </c>
      <c r="BI597" s="270" t="s">
        <v>1714</v>
      </c>
      <c r="BJ597" s="270" t="s">
        <v>1715</v>
      </c>
      <c r="BK597">
        <v>0</v>
      </c>
      <c r="BL597">
        <v>0.35042108887694512</v>
      </c>
      <c r="BM597" t="s">
        <v>544</v>
      </c>
      <c r="BN597">
        <f>BL597-BK597</f>
        <v>0.35042108887694512</v>
      </c>
      <c r="BO597" s="264">
        <f>BN597*tC_to_m3</f>
        <v>1.5215852751929879</v>
      </c>
      <c r="BP597" s="155" t="s">
        <v>395</v>
      </c>
      <c r="BQ597" s="155" t="s">
        <v>1716</v>
      </c>
      <c r="BR597" s="264" t="s">
        <v>1717</v>
      </c>
      <c r="BS597">
        <v>222.9409446307707</v>
      </c>
      <c r="BT597">
        <v>80.733700144141935</v>
      </c>
      <c r="BU597" s="144">
        <v>0.36213043000177064</v>
      </c>
      <c r="BV597" s="152">
        <f>BT597-BS597</f>
        <v>-142.20724448662878</v>
      </c>
      <c r="BX597">
        <f>BV597/1000</f>
        <v>-0.14220724448662878</v>
      </c>
      <c r="BY597">
        <f>IFERROR(BX597/BO597,"")</f>
        <v>-9.345992420213986E-2</v>
      </c>
      <c r="BZ597">
        <v>0</v>
      </c>
      <c r="CA597">
        <v>0</v>
      </c>
      <c r="CB597">
        <v>0</v>
      </c>
      <c r="CC597">
        <v>0</v>
      </c>
      <c r="CD597">
        <v>0</v>
      </c>
      <c r="CE597">
        <v>0</v>
      </c>
      <c r="CF597">
        <v>0</v>
      </c>
      <c r="CG597">
        <v>0</v>
      </c>
      <c r="CH597">
        <v>0</v>
      </c>
      <c r="CI597">
        <v>0</v>
      </c>
      <c r="CJ597">
        <v>0</v>
      </c>
      <c r="CK597">
        <v>0</v>
      </c>
      <c r="CL597">
        <v>0</v>
      </c>
      <c r="CM597">
        <v>0</v>
      </c>
      <c r="CN597" t="str">
        <f>IF($BL597&lt;$BK597,"refNeedCorrection","refOK")</f>
        <v>refOK</v>
      </c>
      <c r="CO597">
        <f>IF($CN597="refOK",$BK597,$BL597)</f>
        <v>0</v>
      </c>
      <c r="CP597">
        <f>IF($CN597="refOK",$BL597,$BK597)</f>
        <v>0.35042108887694512</v>
      </c>
      <c r="CQ597">
        <f>IF($CN597="refOK",$BO597,-$BO597)</f>
        <v>1.5215852751929879</v>
      </c>
      <c r="CR597">
        <f>IF($CN597="refOK",$BS597,$BT597)*IF($BP597="Emissions positive",-1,1)</f>
        <v>-222.9409446307707</v>
      </c>
      <c r="CS597">
        <f>IF($CN597="refOK",$BT597,$BS597)*IF($BP597="Emissions positive",-1,1)</f>
        <v>-80.733700144141935</v>
      </c>
      <c r="CT597">
        <f>IF($CN597="refNeedCorrection",-BX597,BX597)*IF($BP597="Emissions positive",-1,1)</f>
        <v>0.14220724448662878</v>
      </c>
      <c r="CU597">
        <f>IFERROR(CT597/CQ597,"")</f>
        <v>9.345992420213986E-2</v>
      </c>
      <c r="CV597" s="2">
        <f>IFERROR((CS597-CR597)/ABS(CR597),"")</f>
        <v>0.63786956999822941</v>
      </c>
      <c r="CW597" s="263" t="s">
        <v>1203</v>
      </c>
      <c r="CX597" s="264" t="str">
        <f>IF(OR($CW597="prd",$CW597="std",$CW597="cit"),"loc",IF(OR($CW597="eur",$CW597="reg",$CW597="coy"),"reg",$CW597))</f>
        <v>reg</v>
      </c>
      <c r="CY597" s="309" t="s">
        <v>3423</v>
      </c>
      <c r="CZ597">
        <v>0</v>
      </c>
      <c r="DA597">
        <v>0</v>
      </c>
      <c r="DB597">
        <v>0</v>
      </c>
      <c r="DC597" t="str">
        <f>IF(DB597=0,"0",IF(AND(DB597&gt;=1,DB597&lt;=30),"1-30",IF(AND(DB597&gt;30,DB597&lt;=70),"31-70",IF(AND(DB597&gt;70,DB597&lt;=100),"71-100",IF(DB597&gt;100,"+100")))))</f>
        <v>0</v>
      </c>
      <c r="DD597">
        <v>0</v>
      </c>
      <c r="DE597">
        <v>0</v>
      </c>
      <c r="DF597">
        <v>0</v>
      </c>
      <c r="DG597">
        <v>1</v>
      </c>
      <c r="DH597">
        <v>0</v>
      </c>
      <c r="DI597">
        <v>1</v>
      </c>
      <c r="DJ597" t="str">
        <f>IF(DI597=1,INDEX($DD$7:$DG$7,MATCH(1,$DD597:$DG597,0)),"mixedProduct")</f>
        <v>TimberInput</v>
      </c>
      <c r="DK597">
        <f>IF(DD597=1,DK$7,0)</f>
        <v>0</v>
      </c>
      <c r="DL597">
        <f>IF(DE597=1,DL$7,0)</f>
        <v>0</v>
      </c>
      <c r="DM597">
        <f>IF(DF597=1,DM$7,0)</f>
        <v>0</v>
      </c>
      <c r="DN597" t="str">
        <f>IF(DG597=1,DN$7,0)</f>
        <v>Timber</v>
      </c>
      <c r="DO597">
        <v>0</v>
      </c>
      <c r="DP597">
        <v>0</v>
      </c>
      <c r="DQ597">
        <v>0</v>
      </c>
      <c r="DR597">
        <v>0</v>
      </c>
      <c r="DS597">
        <v>0</v>
      </c>
      <c r="DT597">
        <f>SUM(DO597:DP597)</f>
        <v>0</v>
      </c>
      <c r="DU597" s="143" t="s">
        <v>962</v>
      </c>
      <c r="DV597">
        <v>0</v>
      </c>
      <c r="DW597">
        <v>0</v>
      </c>
      <c r="DX597">
        <v>0</v>
      </c>
      <c r="DY597">
        <v>0</v>
      </c>
      <c r="DZ597">
        <v>0</v>
      </c>
      <c r="EA597" s="143">
        <v>0</v>
      </c>
      <c r="EB597">
        <v>0</v>
      </c>
      <c r="EC597">
        <v>1</v>
      </c>
      <c r="ED597">
        <v>1</v>
      </c>
      <c r="EE597">
        <v>0</v>
      </c>
      <c r="EF597">
        <v>0</v>
      </c>
      <c r="EG597">
        <v>0</v>
      </c>
      <c r="EH597">
        <v>0</v>
      </c>
      <c r="EI597" s="2">
        <v>0</v>
      </c>
      <c r="EK597" t="str">
        <f>IF(AND(AND(AND(OR($DX597=1,$DW597=1),OR($EC597=1,$EA597=1)),SUM($DV597:$DZ597,$EF597)&gt;=4),SUM($EA597:$EE597)&gt;=2),"Whole sector","")</f>
        <v/>
      </c>
      <c r="EL597" t="str">
        <f>IF(AND(AND(OR($DX597=1,$DW597=1),AND($EC597=0,$EA597=0)),SUM($DV597:$DZ597,$EF597)&gt;=4),"Ecosystem approach","")</f>
        <v/>
      </c>
      <c r="EM597" s="2" t="str">
        <f>IF(AND(AND(AND($DX597=0,$DW597=0),OR($EC597=1,$EA597=1)),SUM($EB597:$EE597)&gt;=2),"Technology approach","")</f>
        <v>Technology approach</v>
      </c>
      <c r="EP597" t="str">
        <f>IF(ISNUMBER(BU597),IF(ABS(BU597-[3]QC_indicators!$B$2)&gt;3*[3]QC_indicators!$C$2,"C ratio",IF(ISNUMBER(BY597),IF(ABS(BY597-[3]QC_indicators!$B$1)&gt;3*[3]QC_indicators!$C$1,"DF","no"))),IF(ISNUMBER(BY597),IF(ABS(BY597-[3]QC_indicators!$B$1)&gt;3*[3]QC_indicators!$C$1,"DF","no")))</f>
        <v>no</v>
      </c>
      <c r="ET597" s="264" t="s">
        <v>3407</v>
      </c>
    </row>
    <row r="598" spans="1:150" ht="15" customHeight="1">
      <c r="A598" s="1" t="s">
        <v>1636</v>
      </c>
      <c r="B598" t="s">
        <v>1637</v>
      </c>
      <c r="C598" t="s">
        <v>1638</v>
      </c>
      <c r="D598" t="s">
        <v>1639</v>
      </c>
      <c r="E598" t="s">
        <v>1640</v>
      </c>
      <c r="F598" t="s">
        <v>1641</v>
      </c>
      <c r="G598" t="s">
        <v>1642</v>
      </c>
      <c r="H598" t="s">
        <v>254</v>
      </c>
      <c r="I598">
        <v>2022</v>
      </c>
      <c r="J598">
        <v>0</v>
      </c>
      <c r="K598" t="s">
        <v>1643</v>
      </c>
      <c r="M598" t="str">
        <f>LEFT($D598,FIND(",",$D598)-1)&amp;"_"&amp;I598&amp;L598</f>
        <v>Gregor_2022</v>
      </c>
      <c r="N598" t="s">
        <v>222</v>
      </c>
      <c r="O598" s="161" t="s">
        <v>223</v>
      </c>
      <c r="Q598" s="264" t="s">
        <v>389</v>
      </c>
      <c r="R598" s="269" t="s">
        <v>1154</v>
      </c>
      <c r="S598" s="154" t="s">
        <v>1644</v>
      </c>
      <c r="T598" s="294" t="s">
        <v>1655</v>
      </c>
      <c r="U598" s="264" t="s">
        <v>1656</v>
      </c>
      <c r="V598">
        <v>0</v>
      </c>
      <c r="W598">
        <v>0</v>
      </c>
      <c r="X598">
        <v>0</v>
      </c>
      <c r="Y598">
        <v>0</v>
      </c>
      <c r="Z598">
        <v>0</v>
      </c>
      <c r="AA598">
        <v>0</v>
      </c>
      <c r="AB598">
        <v>0</v>
      </c>
      <c r="AC598">
        <v>0</v>
      </c>
      <c r="AD598">
        <v>0</v>
      </c>
      <c r="AE598">
        <v>0</v>
      </c>
      <c r="AF598">
        <v>0</v>
      </c>
      <c r="AG598">
        <v>0</v>
      </c>
      <c r="AH598">
        <v>0</v>
      </c>
      <c r="AI598">
        <v>0</v>
      </c>
      <c r="AJ598">
        <v>0</v>
      </c>
      <c r="AK598">
        <v>0</v>
      </c>
      <c r="AL598">
        <v>0</v>
      </c>
      <c r="AM598">
        <v>0</v>
      </c>
      <c r="AN598">
        <v>1</v>
      </c>
      <c r="AO598">
        <v>2</v>
      </c>
      <c r="AP598">
        <v>2</v>
      </c>
      <c r="AQ598">
        <v>2</v>
      </c>
      <c r="AR598">
        <v>0</v>
      </c>
      <c r="AS598">
        <v>0</v>
      </c>
      <c r="AT598">
        <v>0</v>
      </c>
      <c r="AU598">
        <v>0</v>
      </c>
      <c r="AV598">
        <v>0</v>
      </c>
      <c r="AW598">
        <v>0</v>
      </c>
      <c r="AX598" s="141">
        <f>COUNTIF(V598:AW598,"&lt;&gt;0")</f>
        <v>4</v>
      </c>
      <c r="AY598">
        <f>COUNTIF(V598:AL598,"&lt;&gt;0")</f>
        <v>0</v>
      </c>
      <c r="AZ598">
        <f>COUNTIF(V598:AC598,"&lt;&gt;0")</f>
        <v>0</v>
      </c>
      <c r="BA598">
        <f>COUNTIF(AD598:AI598,"&lt;&gt;0")</f>
        <v>0</v>
      </c>
      <c r="BB598">
        <f>COUNTIF(AJ598:AL598,"&lt;&gt;0")</f>
        <v>0</v>
      </c>
      <c r="BC598">
        <f>COUNTIF(AS598:AW598,"&lt;&gt;0")</f>
        <v>0</v>
      </c>
      <c r="BD598">
        <f>COUNTIF(AM598:AR598,"&lt;&gt;0")</f>
        <v>4</v>
      </c>
      <c r="BE598" t="str" cm="1">
        <f t="array" ref="BE598">IF(AY598=1,INDEX($V$7:$AL$7,MATCH(TRUE,INDEX($V598:$AW598&lt;&gt;0,),0)),IF(AY598=0,INDEX($AM$7:$AW$7,MATCH(1,$AM598:$AW598,0)),IF(BF598="Multiple strategies","mixed drivers",IF(BF598="Supply chain","multiple supply","multiple silviculture"))))</f>
        <v>Temperature</v>
      </c>
      <c r="BF598" s="2" t="str" cm="1">
        <f t="array" ref="BF598">IF(COUNTIF(AZ598:BB598,"&lt;&gt;0")=1,INDEX($V$4:$AW$4,MATCH(TRUE,INDEX($V598:$AW598&lt;&gt;0,),0)),IF(COUNTIF(AZ598:BB598,"&lt;&gt;0")=0,INDEX($AM$4:$AW$4,MATCH(1,$AM598:$AW598,0)),"Multiple strategies"))</f>
        <v>Environmental change</v>
      </c>
      <c r="BG598" s="1" t="s">
        <v>321</v>
      </c>
      <c r="BH598" s="264" t="s">
        <v>1647</v>
      </c>
      <c r="BI598" s="264" t="s">
        <v>1657</v>
      </c>
      <c r="BJ598" s="264" t="s">
        <v>1648</v>
      </c>
      <c r="BK598">
        <f>2.84*(2115-2020)</f>
        <v>269.8</v>
      </c>
      <c r="BL598">
        <f>3.25*(2115-2020)</f>
        <v>308.75</v>
      </c>
      <c r="BN598">
        <f>BL598-BK598</f>
        <v>38.949999999999989</v>
      </c>
      <c r="BO598">
        <f>BL598-BK598</f>
        <v>38.949999999999989</v>
      </c>
      <c r="BP598" s="264" t="s">
        <v>232</v>
      </c>
      <c r="BQ598" s="264" t="s">
        <v>1652</v>
      </c>
      <c r="BR598" s="264" t="s">
        <v>1650</v>
      </c>
      <c r="BS598" s="264">
        <f>9.8*10000</f>
        <v>98000</v>
      </c>
      <c r="BT598" s="264">
        <f>9.9*10000</f>
        <v>99000</v>
      </c>
      <c r="BV598">
        <f>BT598-BS598</f>
        <v>1000</v>
      </c>
      <c r="BX598">
        <f>BV598/1000*C_to_CO2</f>
        <v>3.67</v>
      </c>
      <c r="BY598">
        <f>IFERROR(BX598/BO598,"")</f>
        <v>9.4223363286264461E-2</v>
      </c>
      <c r="BZ598">
        <v>0</v>
      </c>
      <c r="CA598">
        <v>0</v>
      </c>
      <c r="CB598">
        <v>0</v>
      </c>
      <c r="CC598">
        <v>0</v>
      </c>
      <c r="CD598">
        <v>0</v>
      </c>
      <c r="CE598">
        <v>0</v>
      </c>
      <c r="CF598">
        <v>0</v>
      </c>
      <c r="CG598">
        <v>0</v>
      </c>
      <c r="CH598">
        <v>0</v>
      </c>
      <c r="CI598">
        <v>0</v>
      </c>
      <c r="CJ598">
        <v>0</v>
      </c>
      <c r="CK598">
        <v>0</v>
      </c>
      <c r="CL598">
        <v>0</v>
      </c>
      <c r="CM598">
        <v>0</v>
      </c>
      <c r="CN598" t="str">
        <f>IF($BL598&lt;$BK598,"refNeedCorrection","refOK")</f>
        <v>refOK</v>
      </c>
      <c r="CO598">
        <f>IF($CN598="refOK",$BK598,$BL598)</f>
        <v>269.8</v>
      </c>
      <c r="CP598">
        <f>IF($CN598="refOK",$BL598,$BK598)</f>
        <v>308.75</v>
      </c>
      <c r="CQ598">
        <f>IF($CN598="refOK",$BO598,-$BO598)</f>
        <v>38.949999999999989</v>
      </c>
      <c r="CR598">
        <f>IF($CN598="refOK",$BS598,$BT598)*IF($BP598="Emissions positive",-1,1)</f>
        <v>98000</v>
      </c>
      <c r="CS598">
        <f>IF($CN598="refOK",$BT598,$BS598)*IF($BP598="Emissions positive",-1,1)</f>
        <v>99000</v>
      </c>
      <c r="CT598">
        <f>IF($CN598="refNeedCorrection",-BX598,BX598)*IF($BP598="Emissions positive",-1,1)</f>
        <v>3.67</v>
      </c>
      <c r="CU598">
        <f>IFERROR(CT598/CQ598,"")</f>
        <v>9.4223363286264461E-2</v>
      </c>
      <c r="CV598" s="2">
        <f>IFERROR((CS598-CR598)/ABS(CR598),"")</f>
        <v>1.020408163265306E-2</v>
      </c>
      <c r="CW598" s="162" t="s">
        <v>1462</v>
      </c>
      <c r="CX598" s="264" t="str">
        <f>IF(OR($CW598="prd",$CW598="std",$CW598="cit"),"loc",IF(OR($CW598="eur",$CW598="reg",$CW598="coy"),"reg",$CW598))</f>
        <v>reg</v>
      </c>
      <c r="CY598" s="155" t="s">
        <v>743</v>
      </c>
      <c r="CZ598">
        <v>2010</v>
      </c>
      <c r="DA598">
        <v>2115</v>
      </c>
      <c r="DB598">
        <f>DA598-CZ598</f>
        <v>105</v>
      </c>
      <c r="DC598" t="str">
        <f>IF(DB598=0,"0",IF(AND(DB598&gt;=1,DB598&lt;=30),"1-30",IF(AND(DB598&gt;30,DB598&lt;=70),"31-70",IF(AND(DB598&gt;70,DB598&lt;=100),"71-100",IF(DB598&gt;100,"+100")))))</f>
        <v>+100</v>
      </c>
      <c r="DD598">
        <v>0</v>
      </c>
      <c r="DE598">
        <v>1</v>
      </c>
      <c r="DF598">
        <v>1</v>
      </c>
      <c r="DG598">
        <v>1</v>
      </c>
      <c r="DH598">
        <v>0</v>
      </c>
      <c r="DI598">
        <f>SUM(DD598:DG598)</f>
        <v>3</v>
      </c>
      <c r="DJ598" t="str">
        <f>IF(DI598=1,INDEX($DD$7:$DG$7,MATCH(1,$DD598:$DG598,0)),"mixedProduct")</f>
        <v>mixedProduct</v>
      </c>
      <c r="DK598">
        <f>IF(DD598=1,DK$7,0)</f>
        <v>0</v>
      </c>
      <c r="DL598" t="str">
        <f>IF(DE598=1,DL$7,0)</f>
        <v>Energy</v>
      </c>
      <c r="DM598" t="str">
        <f>IF(DF598=1,DM$7,0)</f>
        <v>Pulp/Paper</v>
      </c>
      <c r="DN598" t="str">
        <f>IF(DG598=1,DN$7,0)</f>
        <v>Timber</v>
      </c>
      <c r="DO598">
        <v>0</v>
      </c>
      <c r="DP598">
        <v>1</v>
      </c>
      <c r="DQ598" s="264" t="s">
        <v>1651</v>
      </c>
      <c r="DR598" s="264" t="s">
        <v>1651</v>
      </c>
      <c r="DS598" s="264" t="s">
        <v>1651</v>
      </c>
      <c r="DT598">
        <f>SUM(DO598:DP598)</f>
        <v>1</v>
      </c>
      <c r="DU598" s="143" t="str">
        <f>IF(DO598=1,"self-calculated DF",IF(DP598=1,"external DF used","explicit C balance"))</f>
        <v>external DF used</v>
      </c>
      <c r="DV598">
        <v>1</v>
      </c>
      <c r="DW598">
        <v>1</v>
      </c>
      <c r="DX598">
        <v>1</v>
      </c>
      <c r="DY598">
        <v>1</v>
      </c>
      <c r="DZ598">
        <v>0</v>
      </c>
      <c r="EA598">
        <v>0</v>
      </c>
      <c r="EB598">
        <v>0</v>
      </c>
      <c r="EC598">
        <v>0</v>
      </c>
      <c r="ED598">
        <v>0</v>
      </c>
      <c r="EE598">
        <v>0</v>
      </c>
      <c r="EF598">
        <v>1</v>
      </c>
      <c r="EG598">
        <v>0</v>
      </c>
      <c r="EH598">
        <v>1</v>
      </c>
      <c r="EI598" s="2">
        <v>0</v>
      </c>
      <c r="EK598" t="str">
        <f>IF(AND(AND(AND(OR($DX598=1,$DW598=1),OR($EC598=1,$EA598=1)),SUM($DV598:$DZ598,$EF598)&gt;=4),SUM($EA598:$EE598)&gt;=2),"Whole sector","")</f>
        <v/>
      </c>
      <c r="EL598" t="str">
        <f>IF(AND(AND(OR($DX598=1,$DW598=1),AND($EC598=0,$EA598=0)),SUM($DV598:$DZ598,$EF598)&gt;=4),"Ecosystem approach","")</f>
        <v>Ecosystem approach</v>
      </c>
      <c r="EM598" s="2" t="str">
        <f>IF(AND(AND(AND($DX598=0,$DW598=0),OR($EC598=1,$EA598=1)),SUM($EB598:$EE598)&gt;=2),"Technology approach","")</f>
        <v/>
      </c>
      <c r="EP598" t="str">
        <f>IF(ISNUMBER(BU598),IF(ABS(BU598-[3]QC_indicators!$B$2)&gt;3*[3]QC_indicators!$C$2,"C ratio",IF(ISNUMBER(BY598),IF(ABS(BY598-[3]QC_indicators!$B$1)&gt;3*[3]QC_indicators!$C$1,"DF","no"))),IF(ISNUMBER(BY598),IF(ABS(BY598-[3]QC_indicators!$B$1)&gt;3*[3]QC_indicators!$C$1,"DF","no")))</f>
        <v>no</v>
      </c>
      <c r="ET598" s="264" t="s">
        <v>3407</v>
      </c>
    </row>
    <row r="599" spans="1:150" ht="15" customHeight="1">
      <c r="A599" s="1" t="s">
        <v>1360</v>
      </c>
      <c r="B599" t="s">
        <v>2135</v>
      </c>
      <c r="C599" t="s">
        <v>2136</v>
      </c>
      <c r="D599" t="s">
        <v>2137</v>
      </c>
      <c r="E599" t="s">
        <v>2138</v>
      </c>
      <c r="F599" t="s">
        <v>2139</v>
      </c>
      <c r="G599" t="s">
        <v>1366</v>
      </c>
      <c r="H599" t="s">
        <v>254</v>
      </c>
      <c r="I599">
        <v>2012</v>
      </c>
      <c r="J599">
        <v>21</v>
      </c>
      <c r="K599" t="s">
        <v>2140</v>
      </c>
      <c r="L599" s="192"/>
      <c r="M599" t="str">
        <f>LEFT($D599,FIND(",",$D599)-1)&amp;"_"&amp;I599&amp;L599</f>
        <v>Pyorala_2012</v>
      </c>
      <c r="N599" t="s">
        <v>222</v>
      </c>
      <c r="O599" s="145" t="s">
        <v>341</v>
      </c>
      <c r="P599" s="180" t="s">
        <v>223</v>
      </c>
      <c r="Q599" s="264" t="s">
        <v>256</v>
      </c>
      <c r="R599" s="269" t="s">
        <v>1154</v>
      </c>
      <c r="S599" s="263" t="s">
        <v>2163</v>
      </c>
      <c r="T599" s="264" t="s">
        <v>2157</v>
      </c>
      <c r="U599" s="264" t="s">
        <v>2158</v>
      </c>
      <c r="V599">
        <v>0</v>
      </c>
      <c r="W599">
        <v>0</v>
      </c>
      <c r="X599">
        <v>0</v>
      </c>
      <c r="Y599">
        <v>0</v>
      </c>
      <c r="Z599">
        <v>0</v>
      </c>
      <c r="AA599">
        <v>0</v>
      </c>
      <c r="AB599">
        <v>0</v>
      </c>
      <c r="AC599">
        <v>1</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s="141">
        <f>COUNTIF(V599:AW599,"&lt;&gt;0")</f>
        <v>1</v>
      </c>
      <c r="AY599" s="141">
        <f>COUNTIF(V599:AL599,"&lt;&gt;0")</f>
        <v>1</v>
      </c>
      <c r="AZ599">
        <f>COUNTIF(V599:AC599,"&lt;&gt;0")</f>
        <v>1</v>
      </c>
      <c r="BA599">
        <f>COUNTIF(AD599:AI599,"&lt;&gt;0")</f>
        <v>0</v>
      </c>
      <c r="BB599">
        <f>COUNTIF(AJ599:AL599,"&lt;&gt;0")</f>
        <v>0</v>
      </c>
      <c r="BC599">
        <f>COUNTIF(AS599:AW599,"&lt;&gt;0")</f>
        <v>0</v>
      </c>
      <c r="BD599">
        <f>COUNTIF(AM599:AR599,"&lt;&gt;0")</f>
        <v>0</v>
      </c>
      <c r="BE599" t="str" cm="1">
        <f t="array" ref="BE599">IF(AY599=1,INDEX($V$7:$AL$7,MATCH(TRUE,INDEX($V599:$AW599&lt;&gt;0,),0)),IF(AY599=0,INDEX($AM$7:$AW$7,MATCH(1,$AM599:$AW599,0)),IF(BF599="Multiple strategies","mixed drivers",IF(BF599="Supply chain","multiple supply","multiple silviculture"))))</f>
        <v>site fertility</v>
      </c>
      <c r="BF599" s="2" t="str" cm="1">
        <f t="array" ref="BF599">IF(COUNTIF(AZ599:BB599,"&lt;&gt;0")=1,INDEX($V$4:$AW$4,MATCH(TRUE,INDEX($V599:$AW599&lt;&gt;0,),0)),IF(COUNTIF(AZ599:BB599,"&lt;&gt;0")=0,INDEX($AM$4:$AW$4,MATCH(1,$AM599:$AW599,0)),"Multiple strategies"))</f>
        <v>Silviculture for productivity</v>
      </c>
      <c r="BG599" s="178" t="s">
        <v>321</v>
      </c>
      <c r="BH599" s="264" t="s">
        <v>2144</v>
      </c>
      <c r="BI599" s="264" t="s">
        <v>2159</v>
      </c>
      <c r="BJ599" s="160" t="s">
        <v>700</v>
      </c>
      <c r="BK599">
        <v>6.5</v>
      </c>
      <c r="BL599">
        <v>8.4</v>
      </c>
      <c r="BN599">
        <f>BL599-BK599</f>
        <v>1.9000000000000004</v>
      </c>
      <c r="BO599">
        <f>BN599</f>
        <v>1.9000000000000004</v>
      </c>
      <c r="BP599" s="155" t="s">
        <v>232</v>
      </c>
      <c r="BQ599" s="335" t="s">
        <v>786</v>
      </c>
      <c r="BR599" s="270" t="s">
        <v>2145</v>
      </c>
      <c r="BS599" s="264">
        <f>99.4/80</f>
        <v>1.2425000000000002</v>
      </c>
      <c r="BT599" s="264">
        <f>113.9/80</f>
        <v>1.4237500000000001</v>
      </c>
      <c r="BU599" s="144"/>
      <c r="BV599">
        <f>BT599-BS599</f>
        <v>0.18124999999999991</v>
      </c>
      <c r="BX599">
        <f>BV599</f>
        <v>0.18124999999999991</v>
      </c>
      <c r="BY599">
        <f>IFERROR(BX599/BO599,"")</f>
        <v>9.5394736842105199E-2</v>
      </c>
      <c r="BZ599">
        <v>0</v>
      </c>
      <c r="CA599">
        <v>0</v>
      </c>
      <c r="CB599">
        <v>0</v>
      </c>
      <c r="CC599">
        <v>0</v>
      </c>
      <c r="CD599">
        <v>0</v>
      </c>
      <c r="CE599">
        <v>0</v>
      </c>
      <c r="CF599">
        <v>0</v>
      </c>
      <c r="CG599">
        <v>0</v>
      </c>
      <c r="CH599">
        <v>0</v>
      </c>
      <c r="CI599">
        <v>0</v>
      </c>
      <c r="CJ599">
        <v>0</v>
      </c>
      <c r="CK599">
        <v>0</v>
      </c>
      <c r="CL599">
        <v>0</v>
      </c>
      <c r="CM599">
        <v>0</v>
      </c>
      <c r="CN599" t="str">
        <f>IF($BL599&lt;$BK599,"refNeedCorrection","refOK")</f>
        <v>refOK</v>
      </c>
      <c r="CO599">
        <f>IF($CN599="refOK",$BK599,$BL599)</f>
        <v>6.5</v>
      </c>
      <c r="CP599">
        <f>IF($CN599="refOK",$BL599,$BK599)</f>
        <v>8.4</v>
      </c>
      <c r="CQ599">
        <f>IF($CN599="refOK",$BO599,-$BO599)</f>
        <v>1.9000000000000004</v>
      </c>
      <c r="CR599">
        <f>IF($CN599="refOK",$BS599,$BT599)*IF($BP599="Emissions positive",-1,1)</f>
        <v>1.2425000000000002</v>
      </c>
      <c r="CS599">
        <f>IF($CN599="refOK",$BT599,$BS599)*IF($BP599="Emissions positive",-1,1)</f>
        <v>1.4237500000000001</v>
      </c>
      <c r="CT599">
        <f>IF($CN599="refNeedCorrection",-BX599,BX599)*IF($BP599="Emissions positive",-1,1)</f>
        <v>0.18124999999999991</v>
      </c>
      <c r="CU599">
        <f>IFERROR(CT599/CQ599,"")</f>
        <v>9.5394736842105199E-2</v>
      </c>
      <c r="CV599" s="2">
        <f>IFERROR((CS599-CR599)/ABS(CR599),"")</f>
        <v>0.14587525150905423</v>
      </c>
      <c r="CW599" s="1" t="s">
        <v>1199</v>
      </c>
      <c r="CX599" s="264" t="str">
        <f>IF(OR($CW599="prd",$CW599="std",$CW599="cit"),"loc",IF(OR($CW599="eur",$CW599="reg",$CW599="coy"),"reg",$CW599))</f>
        <v>reg</v>
      </c>
      <c r="CY599" t="s">
        <v>235</v>
      </c>
      <c r="DB599">
        <v>80</v>
      </c>
      <c r="DC599" t="str">
        <f>IF(DB599=0,"0",IF(AND(DB599&gt;=1,DB599&lt;=30),"1-30",IF(AND(DB599&gt;30,DB599&lt;=70),"31-70",IF(AND(DB599&gt;70,DB599&lt;=100),"71-100",IF(DB599&gt;100,"+100")))))</f>
        <v>71-100</v>
      </c>
      <c r="DD599">
        <v>0</v>
      </c>
      <c r="DE599">
        <v>1</v>
      </c>
      <c r="DF599">
        <v>1</v>
      </c>
      <c r="DG599">
        <v>1</v>
      </c>
      <c r="DI599">
        <f>SUM(DD599:DG599)</f>
        <v>3</v>
      </c>
      <c r="DJ599" t="str">
        <f>IF(DI599=1,INDEX($DD$7:$DG$7,MATCH(1,$DD599:$DG599,0)),"mixedProduct")</f>
        <v>mixedProduct</v>
      </c>
      <c r="DK599">
        <f>IF(DD599=1,DK$7,0)</f>
        <v>0</v>
      </c>
      <c r="DL599" t="str">
        <f>IF(DE599=1,DL$7,0)</f>
        <v>Energy</v>
      </c>
      <c r="DM599" t="str">
        <f>IF(DF599=1,DM$7,0)</f>
        <v>Pulp/Paper</v>
      </c>
      <c r="DN599" t="str">
        <f>IF(DG599=1,DN$7,0)</f>
        <v>Timber</v>
      </c>
      <c r="DO599">
        <v>0</v>
      </c>
      <c r="DP599">
        <v>1</v>
      </c>
      <c r="DQ599" t="s">
        <v>2146</v>
      </c>
      <c r="DR599">
        <v>0</v>
      </c>
      <c r="DS599">
        <v>0</v>
      </c>
      <c r="DT599">
        <f>SUM(DO599:DP599)</f>
        <v>1</v>
      </c>
      <c r="DU599" s="143" t="str">
        <f>IF(DO599=1,"self-calculated DF",IF(DP599=1,"external DF used","explicit C balance"))</f>
        <v>external DF used</v>
      </c>
      <c r="DV599">
        <v>1</v>
      </c>
      <c r="DW599">
        <v>1</v>
      </c>
      <c r="DX599">
        <v>1</v>
      </c>
      <c r="DY599">
        <v>0</v>
      </c>
      <c r="DZ599">
        <v>0</v>
      </c>
      <c r="EA599" s="143">
        <v>0</v>
      </c>
      <c r="EB599">
        <v>0</v>
      </c>
      <c r="EC599">
        <v>0</v>
      </c>
      <c r="ED599">
        <v>0</v>
      </c>
      <c r="EE599">
        <v>0</v>
      </c>
      <c r="EF599">
        <v>1</v>
      </c>
      <c r="EG599">
        <v>0</v>
      </c>
      <c r="EH599">
        <v>0</v>
      </c>
      <c r="EI599" s="2">
        <v>0</v>
      </c>
      <c r="EK599" t="str">
        <f>IF(AND(AND(AND(OR($DX599=1,$DW599=1),OR($EC599=1,$EA599=1)),SUM($DV599:$DZ599,$EF599)&gt;=4),SUM($EA599:$EE599)&gt;=2),"Whole sector","")</f>
        <v/>
      </c>
      <c r="EL599" t="str">
        <f>IF(AND(AND(OR($DX599=1,$DW599=1),AND($EC599=0,$EA599=0)),SUM($DV599:$DZ599,$EF599)&gt;=4),"Ecosystem approach","")</f>
        <v>Ecosystem approach</v>
      </c>
      <c r="EM599" s="2" t="str">
        <f>IF(AND(AND(AND($DX599=0,$DW599=0),OR($EC599=1,$EA599=1)),SUM($EB599:$EE599)&gt;=2),"Technology approach","")</f>
        <v/>
      </c>
      <c r="EP599" t="str">
        <f>IF(ISNUMBER(BU599),IF(ABS(BU599-[3]QC_indicators!$B$2)&gt;3*[3]QC_indicators!$C$2,"C ratio",IF(ISNUMBER(BY599),IF(ABS(BY599-[3]QC_indicators!$B$1)&gt;3*[3]QC_indicators!$C$1,"DF","no"))),IF(ISNUMBER(BY599),IF(ABS(BY599-[3]QC_indicators!$B$1)&gt;3*[3]QC_indicators!$C$1,"DF","no")))</f>
        <v>no</v>
      </c>
      <c r="ET599" s="264" t="s">
        <v>3407</v>
      </c>
    </row>
    <row r="600" spans="1:150" ht="15" customHeight="1">
      <c r="A600" s="1" t="s">
        <v>878</v>
      </c>
      <c r="B600" t="s">
        <v>1705</v>
      </c>
      <c r="C600" t="s">
        <v>544</v>
      </c>
      <c r="D600" t="s">
        <v>1706</v>
      </c>
      <c r="E600" t="s">
        <v>1707</v>
      </c>
      <c r="F600" t="s">
        <v>1708</v>
      </c>
      <c r="G600" t="s">
        <v>1184</v>
      </c>
      <c r="H600" t="s">
        <v>254</v>
      </c>
      <c r="I600">
        <v>2021</v>
      </c>
      <c r="J600">
        <v>8</v>
      </c>
      <c r="K600" t="s">
        <v>1709</v>
      </c>
      <c r="M600" t="str">
        <f>LEFT($D600,FIND(",",$D600)-1)&amp;"_"&amp;I600&amp;L600</f>
        <v>Hart_2021</v>
      </c>
      <c r="N600" s="264" t="s">
        <v>222</v>
      </c>
      <c r="O600" s="171" t="s">
        <v>225</v>
      </c>
      <c r="P600" t="s">
        <v>960</v>
      </c>
      <c r="Q600" s="264" t="s">
        <v>389</v>
      </c>
      <c r="R600" s="269" t="s">
        <v>1154</v>
      </c>
      <c r="S600" s="297" t="s">
        <v>1710</v>
      </c>
      <c r="T600" t="s">
        <v>1711</v>
      </c>
      <c r="U600" t="s">
        <v>1712</v>
      </c>
      <c r="V600">
        <v>0</v>
      </c>
      <c r="W600">
        <v>0</v>
      </c>
      <c r="X600">
        <v>0</v>
      </c>
      <c r="Y600">
        <v>0</v>
      </c>
      <c r="Z600">
        <v>0</v>
      </c>
      <c r="AA600">
        <v>0</v>
      </c>
      <c r="AB600">
        <v>0</v>
      </c>
      <c r="AC600">
        <v>0</v>
      </c>
      <c r="AD600">
        <v>0</v>
      </c>
      <c r="AE600">
        <v>0</v>
      </c>
      <c r="AF600">
        <v>0</v>
      </c>
      <c r="AG600">
        <v>0</v>
      </c>
      <c r="AH600">
        <v>0</v>
      </c>
      <c r="AI600">
        <v>0</v>
      </c>
      <c r="AJ600">
        <v>0</v>
      </c>
      <c r="AK600">
        <v>1</v>
      </c>
      <c r="AL600">
        <v>0</v>
      </c>
      <c r="AM600">
        <v>0</v>
      </c>
      <c r="AN600">
        <v>0</v>
      </c>
      <c r="AO600">
        <v>0</v>
      </c>
      <c r="AP600">
        <v>0</v>
      </c>
      <c r="AQ600">
        <v>0</v>
      </c>
      <c r="AR600">
        <v>0</v>
      </c>
      <c r="AS600">
        <v>0</v>
      </c>
      <c r="AT600">
        <v>0</v>
      </c>
      <c r="AU600">
        <v>0</v>
      </c>
      <c r="AV600">
        <v>0</v>
      </c>
      <c r="AW600">
        <v>0</v>
      </c>
      <c r="AX600" s="141">
        <f>COUNTIF(V600:AW600,"&lt;&gt;0")</f>
        <v>1</v>
      </c>
      <c r="AY600" s="141">
        <f>COUNTIF(V600:AL600,"&lt;&gt;0")</f>
        <v>1</v>
      </c>
      <c r="AZ600">
        <f>COUNTIF(V600:AC600,"&lt;&gt;0")</f>
        <v>0</v>
      </c>
      <c r="BA600">
        <f>COUNTIF(AD600:AI600,"&lt;&gt;0")</f>
        <v>0</v>
      </c>
      <c r="BB600">
        <f>COUNTIF(AJ600:AL600,"&lt;&gt;0")</f>
        <v>1</v>
      </c>
      <c r="BC600">
        <f>COUNTIF(AS600:AW600,"&lt;&gt;0")</f>
        <v>0</v>
      </c>
      <c r="BD600">
        <f>COUNTIF(AM600:AR600,"&lt;&gt;0")</f>
        <v>0</v>
      </c>
      <c r="BE600" t="str" cm="1">
        <f t="array" ref="BE600">IF(AY600=1,INDEX($V$7:$AL$7,MATCH(TRUE,INDEX($V600:$AW600&lt;&gt;0,),0)),IF(AY600=0,INDEX($AM$7:$AW$7,MATCH(1,$AM600:$AW600,0)),IF(BF600="Multiple strategies","mixed drivers",IF(BF600="Supply chain","multiple supply","multiple silviculture"))))</f>
        <v>technologies/design switch</v>
      </c>
      <c r="BF600" s="2" t="str" cm="1">
        <f t="array" ref="BF600">IF(COUNTIF(AZ600:BB600,"&lt;&gt;0")=1,INDEX($V$4:$AW$4,MATCH(TRUE,INDEX($V600:$AW600&lt;&gt;0,),0)),IF(COUNTIF(AZ600:BB600,"&lt;&gt;0")=0,INDEX($AM$4:$AW$4,MATCH(1,$AM600:$AW600,0)),"Multiple strategies"))</f>
        <v>Technology</v>
      </c>
      <c r="BG600" s="298" t="s">
        <v>229</v>
      </c>
      <c r="BH600" s="270" t="s">
        <v>1713</v>
      </c>
      <c r="BI600" s="270" t="s">
        <v>1714</v>
      </c>
      <c r="BJ600" s="270" t="s">
        <v>1715</v>
      </c>
      <c r="BK600">
        <v>0</v>
      </c>
      <c r="BL600">
        <v>0.35042108887694512</v>
      </c>
      <c r="BM600" t="s">
        <v>544</v>
      </c>
      <c r="BN600">
        <f>BL600-BK600</f>
        <v>0.35042108887694512</v>
      </c>
      <c r="BO600" s="264">
        <f>BN600*tC_to_m3</f>
        <v>1.5215852751929879</v>
      </c>
      <c r="BP600" s="155" t="s">
        <v>395</v>
      </c>
      <c r="BQ600" s="155" t="s">
        <v>1716</v>
      </c>
      <c r="BR600" s="264" t="s">
        <v>1717</v>
      </c>
      <c r="BS600">
        <v>226.40900983112437</v>
      </c>
      <c r="BT600">
        <v>80.733700144141935</v>
      </c>
      <c r="BU600" s="144">
        <v>0.35658342485734196</v>
      </c>
      <c r="BV600" s="152">
        <f>BT600-BS600</f>
        <v>-145.67530968698242</v>
      </c>
      <c r="BX600">
        <f>BV600/1000</f>
        <v>-0.14567530968698242</v>
      </c>
      <c r="BY600">
        <f>IFERROR(BX600/BO600,"")</f>
        <v>-9.5739168919406051E-2</v>
      </c>
      <c r="BZ600">
        <v>0</v>
      </c>
      <c r="CA600">
        <v>0</v>
      </c>
      <c r="CB600">
        <v>0</v>
      </c>
      <c r="CC600">
        <v>0</v>
      </c>
      <c r="CD600">
        <v>0</v>
      </c>
      <c r="CE600">
        <v>0</v>
      </c>
      <c r="CF600">
        <v>0</v>
      </c>
      <c r="CG600">
        <v>0</v>
      </c>
      <c r="CH600">
        <v>0</v>
      </c>
      <c r="CI600">
        <v>0</v>
      </c>
      <c r="CJ600">
        <v>0</v>
      </c>
      <c r="CK600">
        <v>0</v>
      </c>
      <c r="CL600">
        <v>0</v>
      </c>
      <c r="CM600">
        <v>0</v>
      </c>
      <c r="CN600" t="str">
        <f>IF($BL600&lt;$BK600,"refNeedCorrection","refOK")</f>
        <v>refOK</v>
      </c>
      <c r="CO600">
        <f>IF($CN600="refOK",$BK600,$BL600)</f>
        <v>0</v>
      </c>
      <c r="CP600">
        <f>IF($CN600="refOK",$BL600,$BK600)</f>
        <v>0.35042108887694512</v>
      </c>
      <c r="CQ600">
        <f>IF($CN600="refOK",$BO600,-$BO600)</f>
        <v>1.5215852751929879</v>
      </c>
      <c r="CR600">
        <f>IF($CN600="refOK",$BS600,$BT600)*IF($BP600="Emissions positive",-1,1)</f>
        <v>-226.40900983112437</v>
      </c>
      <c r="CS600">
        <f>IF($CN600="refOK",$BT600,$BS600)*IF($BP600="Emissions positive",-1,1)</f>
        <v>-80.733700144141935</v>
      </c>
      <c r="CT600">
        <f>IF($CN600="refNeedCorrection",-BX600,BX600)*IF($BP600="Emissions positive",-1,1)</f>
        <v>0.14567530968698242</v>
      </c>
      <c r="CU600">
        <f>IFERROR(CT600/CQ600,"")</f>
        <v>9.5739168919406051E-2</v>
      </c>
      <c r="CV600" s="2">
        <f>IFERROR((CS600-CR600)/ABS(CR600),"")</f>
        <v>0.64341657514265793</v>
      </c>
      <c r="CW600" s="263" t="s">
        <v>1203</v>
      </c>
      <c r="CX600" s="264" t="str">
        <f>IF(OR($CW600="prd",$CW600="std",$CW600="cit"),"loc",IF(OR($CW600="eur",$CW600="reg",$CW600="coy"),"reg",$CW600))</f>
        <v>reg</v>
      </c>
      <c r="CY600" s="309" t="s">
        <v>3423</v>
      </c>
      <c r="CZ600">
        <v>0</v>
      </c>
      <c r="DA600">
        <v>0</v>
      </c>
      <c r="DB600">
        <v>0</v>
      </c>
      <c r="DC600" t="str">
        <f>IF(DB600=0,"0",IF(AND(DB600&gt;=1,DB600&lt;=30),"1-30",IF(AND(DB600&gt;30,DB600&lt;=70),"31-70",IF(AND(DB600&gt;70,DB600&lt;=100),"71-100",IF(DB600&gt;100,"+100")))))</f>
        <v>0</v>
      </c>
      <c r="DD600">
        <v>0</v>
      </c>
      <c r="DE600">
        <v>0</v>
      </c>
      <c r="DF600">
        <v>0</v>
      </c>
      <c r="DG600">
        <v>1</v>
      </c>
      <c r="DH600">
        <v>0</v>
      </c>
      <c r="DI600">
        <v>1</v>
      </c>
      <c r="DJ600" t="str">
        <f>IF(DI600=1,INDEX($DD$7:$DG$7,MATCH(1,$DD600:$DG600,0)),"mixedProduct")</f>
        <v>TimberInput</v>
      </c>
      <c r="DK600">
        <f>IF(DD600=1,DK$7,0)</f>
        <v>0</v>
      </c>
      <c r="DL600">
        <f>IF(DE600=1,DL$7,0)</f>
        <v>0</v>
      </c>
      <c r="DM600">
        <f>IF(DF600=1,DM$7,0)</f>
        <v>0</v>
      </c>
      <c r="DN600" t="str">
        <f>IF(DG600=1,DN$7,0)</f>
        <v>Timber</v>
      </c>
      <c r="DO600">
        <v>0</v>
      </c>
      <c r="DP600">
        <v>0</v>
      </c>
      <c r="DQ600">
        <v>0</v>
      </c>
      <c r="DR600">
        <v>0</v>
      </c>
      <c r="DS600">
        <v>0</v>
      </c>
      <c r="DT600">
        <f>SUM(DO600:DP600)</f>
        <v>0</v>
      </c>
      <c r="DU600" s="143" t="s">
        <v>962</v>
      </c>
      <c r="DV600">
        <v>0</v>
      </c>
      <c r="DW600">
        <v>0</v>
      </c>
      <c r="DX600">
        <v>0</v>
      </c>
      <c r="DY600">
        <v>0</v>
      </c>
      <c r="DZ600">
        <v>0</v>
      </c>
      <c r="EA600" s="143">
        <v>0</v>
      </c>
      <c r="EB600">
        <v>0</v>
      </c>
      <c r="EC600">
        <v>1</v>
      </c>
      <c r="ED600">
        <v>0</v>
      </c>
      <c r="EE600">
        <v>0</v>
      </c>
      <c r="EF600">
        <v>0</v>
      </c>
      <c r="EG600">
        <v>0</v>
      </c>
      <c r="EH600">
        <v>0</v>
      </c>
      <c r="EI600" s="2">
        <v>0</v>
      </c>
      <c r="EK600" t="str">
        <f>IF(AND(AND(AND(OR($DX600=1,$DW600=1),OR($EC600=1,$EA600=1)),SUM($DV600:$DZ600,$EF600)&gt;=4),SUM($EA600:$EE600)&gt;=2),"Whole sector","")</f>
        <v/>
      </c>
      <c r="EL600" t="str">
        <f>IF(AND(AND(OR($DX600=1,$DW600=1),AND($EC600=0,$EA600=0)),SUM($DV600:$DZ600,$EF600)&gt;=4),"Ecosystem approach","")</f>
        <v/>
      </c>
      <c r="EM600" s="2" t="str">
        <f>IF(AND(AND(AND($DX600=0,$DW600=0),OR($EC600=1,$EA600=1)),SUM($EB600:$EE600)&gt;=2),"Technology approach","")</f>
        <v/>
      </c>
      <c r="EP600" t="str">
        <f>IF(ISNUMBER(BU600),IF(ABS(BU600-[3]QC_indicators!$B$2)&gt;3*[3]QC_indicators!$C$2,"C ratio",IF(ISNUMBER(BY600),IF(ABS(BY600-[3]QC_indicators!$B$1)&gt;3*[3]QC_indicators!$C$1,"DF","no"))),IF(ISNUMBER(BY600),IF(ABS(BY600-[3]QC_indicators!$B$1)&gt;3*[3]QC_indicators!$C$1,"DF","no")))</f>
        <v>no</v>
      </c>
      <c r="ET600" s="264" t="s">
        <v>3407</v>
      </c>
    </row>
    <row r="601" spans="1:150" ht="15" customHeight="1">
      <c r="A601" s="1" t="s">
        <v>562</v>
      </c>
      <c r="B601" t="s">
        <v>544</v>
      </c>
      <c r="C601" t="s">
        <v>1593</v>
      </c>
      <c r="D601" t="s">
        <v>1594</v>
      </c>
      <c r="E601" t="s">
        <v>1595</v>
      </c>
      <c r="F601" t="s">
        <v>1596</v>
      </c>
      <c r="G601" t="s">
        <v>567</v>
      </c>
      <c r="H601" t="s">
        <v>254</v>
      </c>
      <c r="I601">
        <v>2019</v>
      </c>
      <c r="J601">
        <v>15</v>
      </c>
      <c r="K601" t="s">
        <v>1597</v>
      </c>
      <c r="M601" t="str">
        <f>LEFT($D601,FIND(",",$D601)-1)&amp;"_"&amp;I601&amp;L601</f>
        <v>Geng_2019</v>
      </c>
      <c r="N601" t="s">
        <v>222</v>
      </c>
      <c r="O601" s="181" t="s">
        <v>225</v>
      </c>
      <c r="Q601" s="264" t="s">
        <v>256</v>
      </c>
      <c r="R601" s="269" t="s">
        <v>1154</v>
      </c>
      <c r="S601" s="1" t="s">
        <v>1598</v>
      </c>
      <c r="T601" t="s">
        <v>1605</v>
      </c>
      <c r="V601">
        <v>0</v>
      </c>
      <c r="W601">
        <v>0</v>
      </c>
      <c r="X601">
        <v>0</v>
      </c>
      <c r="Y601">
        <v>0</v>
      </c>
      <c r="Z601">
        <v>0</v>
      </c>
      <c r="AA601">
        <v>0</v>
      </c>
      <c r="AB601">
        <v>0</v>
      </c>
      <c r="AC601">
        <v>0</v>
      </c>
      <c r="AD601">
        <v>0</v>
      </c>
      <c r="AE601">
        <v>0</v>
      </c>
      <c r="AF601">
        <v>0</v>
      </c>
      <c r="AG601">
        <v>0</v>
      </c>
      <c r="AH601">
        <v>0</v>
      </c>
      <c r="AI601">
        <v>0</v>
      </c>
      <c r="AJ601">
        <v>0</v>
      </c>
      <c r="AK601">
        <v>1</v>
      </c>
      <c r="AL601">
        <v>0</v>
      </c>
      <c r="AM601">
        <v>0</v>
      </c>
      <c r="AN601">
        <v>0</v>
      </c>
      <c r="AO601">
        <v>0</v>
      </c>
      <c r="AP601">
        <v>0</v>
      </c>
      <c r="AQ601">
        <v>0</v>
      </c>
      <c r="AR601">
        <v>0</v>
      </c>
      <c r="AS601">
        <v>0</v>
      </c>
      <c r="AT601">
        <v>0</v>
      </c>
      <c r="AU601">
        <v>0</v>
      </c>
      <c r="AV601">
        <v>0</v>
      </c>
      <c r="AW601">
        <v>0</v>
      </c>
      <c r="AX601" s="141">
        <f>COUNTIF(V601:AW601,"&lt;&gt;0")</f>
        <v>1</v>
      </c>
      <c r="AY601" s="141">
        <f>COUNTIF(V601:AL601,"&lt;&gt;0")</f>
        <v>1</v>
      </c>
      <c r="AZ601">
        <f>COUNTIF(V601:AC601,"&lt;&gt;0")</f>
        <v>0</v>
      </c>
      <c r="BA601">
        <f>COUNTIF(AD601:AI601,"&lt;&gt;0")</f>
        <v>0</v>
      </c>
      <c r="BB601">
        <f>COUNTIF(AJ601:AL601,"&lt;&gt;0")</f>
        <v>1</v>
      </c>
      <c r="BC601">
        <f>COUNTIF(AS601:AW601,"&lt;&gt;0")</f>
        <v>0</v>
      </c>
      <c r="BD601">
        <f>COUNTIF(AM601:AR601,"&lt;&gt;0")</f>
        <v>0</v>
      </c>
      <c r="BE601" t="str" cm="1">
        <f t="array" ref="BE601">IF(AY601=1,INDEX($V$7:$AL$7,MATCH(TRUE,INDEX($V601:$AW601&lt;&gt;0,),0)),IF(AY601=0,INDEX($AM$7:$AW$7,MATCH(1,$AM601:$AW601,0)),IF(BF601="Multiple strategies","mixed drivers",IF(BF601="Supply chain","multiple supply","multiple silviculture"))))</f>
        <v>technologies/design switch</v>
      </c>
      <c r="BF601" s="2" t="str" cm="1">
        <f t="array" ref="BF601">IF(COUNTIF(AZ601:BB601,"&lt;&gt;0")=1,INDEX($V$4:$AW$4,MATCH(TRUE,INDEX($V601:$AW601&lt;&gt;0,),0)),IF(COUNTIF(AZ601:BB601,"&lt;&gt;0")=0,INDEX($AM$4:$AW$4,MATCH(1,$AM601:$AW601,0)),"Multiple strategies"))</f>
        <v>Technology</v>
      </c>
      <c r="BG601" s="1" t="s">
        <v>229</v>
      </c>
      <c r="BH601" t="s">
        <v>1600</v>
      </c>
      <c r="BJ601" t="s">
        <v>1601</v>
      </c>
      <c r="BK601">
        <v>30.52</v>
      </c>
      <c r="BL601">
        <v>81.7</v>
      </c>
      <c r="BM601">
        <f>BL601/BK601</f>
        <v>2.6769331585845348</v>
      </c>
      <c r="BN601">
        <f>BL601-BK601</f>
        <v>51.180000000000007</v>
      </c>
      <c r="BO601">
        <f>BN601*kg_to_m3</f>
        <v>0.10444897959183676</v>
      </c>
      <c r="BP601" t="s">
        <v>232</v>
      </c>
      <c r="BR601" t="s">
        <v>1602</v>
      </c>
      <c r="BU601" s="144" t="str">
        <f>IFERROR(BT601/BS601,"")</f>
        <v/>
      </c>
      <c r="BV601">
        <v>10.02</v>
      </c>
      <c r="BX601">
        <f>BV601/1000</f>
        <v>1.0019999999999999E-2</v>
      </c>
      <c r="BY601">
        <f>IFERROR(BX601/BO601,"")</f>
        <v>9.5932004689331746E-2</v>
      </c>
      <c r="BZ601">
        <v>0</v>
      </c>
      <c r="CA601">
        <v>0</v>
      </c>
      <c r="CB601">
        <v>0</v>
      </c>
      <c r="CC601">
        <v>0</v>
      </c>
      <c r="CD601">
        <v>0</v>
      </c>
      <c r="CE601">
        <v>0</v>
      </c>
      <c r="CF601">
        <v>0</v>
      </c>
      <c r="CG601">
        <v>0</v>
      </c>
      <c r="CH601">
        <v>0</v>
      </c>
      <c r="CI601">
        <v>0</v>
      </c>
      <c r="CJ601">
        <v>0</v>
      </c>
      <c r="CK601">
        <v>0</v>
      </c>
      <c r="CL601">
        <v>0</v>
      </c>
      <c r="CM601">
        <v>0</v>
      </c>
      <c r="CN601" t="str">
        <f>IF(BL601&lt;BK601,"refNeedCorrection","refOK")</f>
        <v>refOK</v>
      </c>
      <c r="CO601">
        <f>IF($CN601="refOK",$BK601,$BL601)</f>
        <v>30.52</v>
      </c>
      <c r="CP601">
        <f>IF($CN601="refOK",$BL601,$BK601)</f>
        <v>81.7</v>
      </c>
      <c r="CQ601">
        <f>IF($CN601="refOK",$BO601,-$BO601)</f>
        <v>0.10444897959183676</v>
      </c>
      <c r="CR601">
        <f>IF($CN601="refOK",$BS601,$BT601)*IF($BP601="Emissions positive",-1,1)</f>
        <v>0</v>
      </c>
      <c r="CS601">
        <f>IF($CN601="refOK",$BT601,$BS601)*IF($BP601="Emissions positive",-1,1)</f>
        <v>0</v>
      </c>
      <c r="CT601">
        <f>IF($CN601="refNeedCorrection",-BX601,BX601)*IF($BP601="Emissions positive",-1,1)</f>
        <v>1.0019999999999999E-2</v>
      </c>
      <c r="CU601">
        <f>IFERROR(CT601/CQ601,"")</f>
        <v>9.5932004689331746E-2</v>
      </c>
      <c r="CV601" s="2" t="str">
        <f>IFERROR((CS601-CR601)/ABS(CR601),"")</f>
        <v/>
      </c>
      <c r="CW601" s="1" t="s">
        <v>1203</v>
      </c>
      <c r="CX601" s="264" t="str">
        <f>IF(OR($CW601="prd",$CW601="std",$CW601="cit"),"loc",IF(OR($CW601="eur",$CW601="reg",$CW601="coy"),"reg",$CW601))</f>
        <v>reg</v>
      </c>
      <c r="CY601" t="s">
        <v>690</v>
      </c>
      <c r="CZ601">
        <v>2019</v>
      </c>
      <c r="DB601">
        <v>0</v>
      </c>
      <c r="DC601" t="str">
        <f>IF(DB601=0,"0",IF(AND(DB601&gt;=1,DB601&lt;=30),"1-30",IF(AND(DB601&gt;30,DB601&lt;=70),"31-70",IF(AND(DB601&gt;70,DB601&lt;=100),"71-100",IF(DB601&gt;100,"+100")))))</f>
        <v>0</v>
      </c>
      <c r="DD601">
        <v>0</v>
      </c>
      <c r="DE601">
        <v>0</v>
      </c>
      <c r="DF601">
        <v>0</v>
      </c>
      <c r="DG601">
        <v>1</v>
      </c>
      <c r="DI601">
        <f>SUM(DD601:DG601)</f>
        <v>1</v>
      </c>
      <c r="DJ601" t="str">
        <f>IF(DI601=1,INDEX($DD$7:$DG$7,MATCH(1,$DD601:$DG601,0)),"mixedProduct")</f>
        <v>TimberInput</v>
      </c>
      <c r="DK601">
        <f>IF(DD601=1,DK$7,0)</f>
        <v>0</v>
      </c>
      <c r="DL601">
        <f>IF(DE601=1,DL$7,0)</f>
        <v>0</v>
      </c>
      <c r="DM601">
        <f>IF(DF601=1,DM$7,0)</f>
        <v>0</v>
      </c>
      <c r="DN601" t="str">
        <f>IF(DG601=1,DN$7,0)</f>
        <v>Timber</v>
      </c>
      <c r="DO601">
        <v>1</v>
      </c>
      <c r="DP601">
        <v>0</v>
      </c>
      <c r="DQ601">
        <v>0</v>
      </c>
      <c r="DR601">
        <v>0</v>
      </c>
      <c r="DS601">
        <v>0</v>
      </c>
      <c r="DT601">
        <f>SUM(DO601:DP601)</f>
        <v>1</v>
      </c>
      <c r="DU601" s="143" t="str">
        <f>IF(DO601=1,"self-calculated DF",IF(DP601=1,"external DF used","explicit C balance"))</f>
        <v>self-calculated DF</v>
      </c>
      <c r="DV601">
        <v>0</v>
      </c>
      <c r="DW601">
        <v>0</v>
      </c>
      <c r="DX601">
        <v>0</v>
      </c>
      <c r="DY601">
        <v>0</v>
      </c>
      <c r="DZ601">
        <v>0</v>
      </c>
      <c r="EA601" s="143">
        <v>1</v>
      </c>
      <c r="EB601">
        <v>0</v>
      </c>
      <c r="EC601">
        <v>1</v>
      </c>
      <c r="ED601">
        <v>0</v>
      </c>
      <c r="EE601">
        <v>0</v>
      </c>
      <c r="EF601">
        <v>0</v>
      </c>
      <c r="EG601">
        <v>0</v>
      </c>
      <c r="EH601">
        <v>0</v>
      </c>
      <c r="EI601" s="2">
        <v>0</v>
      </c>
      <c r="EK601" t="str">
        <f>IF(AND(AND(AND(OR($DX601=1,$DW601=1),OR($EC601=1,$EA601=1)),SUM($DV601:$DZ601,$EF601)&gt;=4),SUM($EA601:$EE601)&gt;=2),"Whole sector","")</f>
        <v/>
      </c>
      <c r="EL601" t="str">
        <f>IF(AND(AND(OR($DX601=1,$DW601=1),AND($EC601=0,$EA601=0)),SUM($DV601:$DZ601,$EF601)&gt;=4),"Ecosystem approach","")</f>
        <v/>
      </c>
      <c r="EM601" s="2" t="str">
        <f>IF(AND(AND(AND($DX601=0,$DW601=0),OR($EC601=1,$EA601=1)),SUM($EB601:$EE601)&gt;=2),"Technology approach","")</f>
        <v/>
      </c>
      <c r="EN601" t="s">
        <v>1603</v>
      </c>
      <c r="EP601" t="str">
        <f>IF(ISNUMBER(BU601),IF(ABS(BU601-[3]QC_indicators!$B$2)&gt;3*[3]QC_indicators!$C$2,"C ratio",IF(ISNUMBER(BY601),IF(ABS(BY601-[3]QC_indicators!$B$1)&gt;3*[3]QC_indicators!$C$1,"DF","no"))),IF(ISNUMBER(BY601),IF(ABS(BY601-[3]QC_indicators!$B$1)&gt;3*[3]QC_indicators!$C$1,"DF","no")))</f>
        <v>no</v>
      </c>
      <c r="ER601" t="s">
        <v>1604</v>
      </c>
      <c r="ET601" s="264" t="s">
        <v>3407</v>
      </c>
    </row>
    <row r="602" spans="1:150" ht="15" customHeight="1">
      <c r="D602" t="s">
        <v>963</v>
      </c>
      <c r="E602" t="s">
        <v>1007</v>
      </c>
      <c r="G602" t="s">
        <v>1008</v>
      </c>
      <c r="I602">
        <v>2004</v>
      </c>
      <c r="K602" t="s">
        <v>1009</v>
      </c>
      <c r="M602" t="str">
        <f>LEFT($D602,FIND(",",$D602)-1)&amp;"_"&amp;I602&amp;L602</f>
        <v>Petersen_2004</v>
      </c>
      <c r="N602" t="s">
        <v>222</v>
      </c>
      <c r="O602" s="171" t="s">
        <v>513</v>
      </c>
      <c r="P602" s="141" t="s">
        <v>225</v>
      </c>
      <c r="Q602" t="s">
        <v>389</v>
      </c>
      <c r="R602" s="262" t="s">
        <v>223</v>
      </c>
      <c r="S602" s="1" t="s">
        <v>1014</v>
      </c>
      <c r="T602" t="s">
        <v>1015</v>
      </c>
      <c r="U602" t="s">
        <v>1016</v>
      </c>
      <c r="V602">
        <v>0</v>
      </c>
      <c r="W602">
        <v>0</v>
      </c>
      <c r="X602">
        <v>0</v>
      </c>
      <c r="Y602">
        <v>0</v>
      </c>
      <c r="Z602">
        <v>0</v>
      </c>
      <c r="AA602">
        <v>0</v>
      </c>
      <c r="AB602">
        <v>0</v>
      </c>
      <c r="AC602">
        <v>0</v>
      </c>
      <c r="AD602">
        <v>0</v>
      </c>
      <c r="AE602">
        <v>0</v>
      </c>
      <c r="AF602">
        <v>0</v>
      </c>
      <c r="AG602">
        <v>0</v>
      </c>
      <c r="AH602">
        <v>0</v>
      </c>
      <c r="AI602">
        <v>0</v>
      </c>
      <c r="AJ602">
        <v>0</v>
      </c>
      <c r="AK602">
        <v>1</v>
      </c>
      <c r="AL602">
        <v>0</v>
      </c>
      <c r="AM602">
        <v>0</v>
      </c>
      <c r="AN602">
        <v>0</v>
      </c>
      <c r="AO602">
        <v>0</v>
      </c>
      <c r="AP602">
        <v>0</v>
      </c>
      <c r="AQ602">
        <v>0</v>
      </c>
      <c r="AR602">
        <v>0</v>
      </c>
      <c r="AS602">
        <v>0</v>
      </c>
      <c r="AT602">
        <v>0</v>
      </c>
      <c r="AU602">
        <v>0</v>
      </c>
      <c r="AV602">
        <v>0</v>
      </c>
      <c r="AW602">
        <v>0</v>
      </c>
      <c r="AX602" s="141">
        <f>COUNTIF(V602:AW602,"&lt;&gt;0")</f>
        <v>1</v>
      </c>
      <c r="AY602" s="141">
        <f>COUNTIF(V602:AL602,"&lt;&gt;0")</f>
        <v>1</v>
      </c>
      <c r="AZ602">
        <f>COUNTIF(V602:AC602,"&lt;&gt;0")</f>
        <v>0</v>
      </c>
      <c r="BA602">
        <f>COUNTIF(AD602:AI602,"&lt;&gt;0")</f>
        <v>0</v>
      </c>
      <c r="BB602">
        <f>COUNTIF(AJ602:AL602,"&lt;&gt;0")</f>
        <v>1</v>
      </c>
      <c r="BC602">
        <f>COUNTIF(AS602:AW602,"&lt;&gt;0")</f>
        <v>0</v>
      </c>
      <c r="BD602">
        <f>COUNTIF(AM602:AR602,"&lt;&gt;0")</f>
        <v>0</v>
      </c>
      <c r="BE602" t="str">
        <f t="array" ref="BE602">IF(AY602=1,INDEX($V$7:$AL$7,MATCH(TRUE,INDEX($V602:$AW602&lt;&gt;0,),0)),IF(AY602=0,INDEX($AM$7:$AW$7,MATCH(1,$AM602:$AW602,0)),IF(BF602="Multiple strategies","mixed drivers",IF(BF602="Supply chain","multiple supply","multiple silviculture"))))</f>
        <v>technologies/design switch</v>
      </c>
      <c r="BF602" s="2" t="str" cm="1">
        <f t="array" ref="BF602">IF(COUNTIF(AZ602:BB602,"&lt;&gt;0")=1,INDEX($V$4:$AW$4,MATCH(TRUE,INDEX($V602:$AW602&lt;&gt;0,),0)),IF(COUNTIF(AZ602:BB602,"&lt;&gt;0")=0,INDEX($AM$4:$AW$4,MATCH(1,$AM602:$AW602,0)),"Multiple strategies"))</f>
        <v>Technology</v>
      </c>
      <c r="BG602" s="142" t="s">
        <v>229</v>
      </c>
      <c r="BH602" t="s">
        <v>970</v>
      </c>
      <c r="BI602" t="s">
        <v>1012</v>
      </c>
      <c r="BJ602" t="s">
        <v>498</v>
      </c>
      <c r="BK602">
        <v>0</v>
      </c>
      <c r="BL602" s="143">
        <v>1</v>
      </c>
      <c r="BM602" t="str">
        <f>IFERROR(BL602/BK602,"")</f>
        <v/>
      </c>
      <c r="BN602">
        <f>BL602-BK602</f>
        <v>1</v>
      </c>
      <c r="BO602" s="159">
        <v>1</v>
      </c>
      <c r="BP602" t="s">
        <v>232</v>
      </c>
      <c r="BQ602" t="s">
        <v>1013</v>
      </c>
      <c r="BR602" t="s">
        <v>1002</v>
      </c>
      <c r="BU602" s="144"/>
      <c r="BV602">
        <v>0.1</v>
      </c>
      <c r="BX602">
        <f>BV602</f>
        <v>0.1</v>
      </c>
      <c r="BY602">
        <f>IFERROR(BX602/BO602,"")</f>
        <v>0.1</v>
      </c>
      <c r="BZ602">
        <v>0</v>
      </c>
      <c r="CA602">
        <v>0</v>
      </c>
      <c r="CB602">
        <v>0</v>
      </c>
      <c r="CC602">
        <v>0</v>
      </c>
      <c r="CD602">
        <v>0</v>
      </c>
      <c r="CE602">
        <v>0</v>
      </c>
      <c r="CF602">
        <v>0</v>
      </c>
      <c r="CG602">
        <v>0</v>
      </c>
      <c r="CH602">
        <v>0</v>
      </c>
      <c r="CI602">
        <v>0</v>
      </c>
      <c r="CJ602">
        <v>0</v>
      </c>
      <c r="CK602">
        <v>0</v>
      </c>
      <c r="CL602">
        <v>0</v>
      </c>
      <c r="CM602">
        <v>0</v>
      </c>
      <c r="CN602" t="str">
        <f>IF($BL602&lt;$BK602,"refNeedCorrection","refOK")</f>
        <v>refOK</v>
      </c>
      <c r="CO602">
        <f>IF($CN602="refOK",$BK602,$BL602)</f>
        <v>0</v>
      </c>
      <c r="CP602">
        <f>IF($CN602="refOK",$BL602,$BK602)</f>
        <v>1</v>
      </c>
      <c r="CQ602">
        <f>IF($CN602="refOK",$BO602,-$BO602)</f>
        <v>1</v>
      </c>
      <c r="CR602">
        <f>IF($CN602="refOK",$BS602,$BT602)*IF($BP602="Emissions positive",-1,1)</f>
        <v>0</v>
      </c>
      <c r="CS602">
        <f>IF($CN602="refOK",$BT602,$BS602)*IF($BP602="Emissions positive",-1,1)</f>
        <v>0</v>
      </c>
      <c r="CT602">
        <f>IF($CN602="refNeedCorrection",-BX602,BX602)*IF($BP602="Emissions positive",-1,1)</f>
        <v>0.1</v>
      </c>
      <c r="CU602">
        <f>IFERROR(CT602/CQ602,"")</f>
        <v>0.1</v>
      </c>
      <c r="CV602" s="2" t="str">
        <f>IFERROR((CS602-CR602)/ABS(CR602),"")</f>
        <v/>
      </c>
      <c r="CW602" s="1" t="s">
        <v>263</v>
      </c>
      <c r="CX602" t="str">
        <f>IF(OR($CW602="prd",$CW602="std",$CW602="cit"),"loc",IF(OR($CW602="eur",$CW602="reg",$CW602="coy"),"reg",$CW602))</f>
        <v>loc</v>
      </c>
      <c r="CY602" t="s">
        <v>264</v>
      </c>
      <c r="DA602" s="143"/>
      <c r="DB602" s="143">
        <v>45</v>
      </c>
      <c r="DC602" t="str">
        <f>IF(DB602=0,"0",IF(AND(DB602&gt;=1,DB602&lt;=30),"1-30",IF(AND(DB602&gt;30,DB602&lt;=70),"31-70",IF(AND(DB602&gt;70,DB602&lt;=100),"71-100",IF(DB602&gt;100,"+100")))))</f>
        <v>31-70</v>
      </c>
      <c r="DD602">
        <v>0</v>
      </c>
      <c r="DE602">
        <v>0</v>
      </c>
      <c r="DF602">
        <v>0</v>
      </c>
      <c r="DG602">
        <v>1</v>
      </c>
      <c r="DH602">
        <v>0</v>
      </c>
      <c r="DI602">
        <f>SUM(DD602:DG602)</f>
        <v>1</v>
      </c>
      <c r="DJ602" t="str">
        <f>IF(DI602=1,INDEX($DD$7:$DG$7,MATCH(1,$DD602:$DG602,0)),"mixedProduct")</f>
        <v>TimberInput</v>
      </c>
      <c r="DK602">
        <f>IF(DD602=1,DK$7,0)</f>
        <v>0</v>
      </c>
      <c r="DL602">
        <f>IF(DE602=1,DL$7,0)</f>
        <v>0</v>
      </c>
      <c r="DM602">
        <f>IF(DF602=1,DM$7,0)</f>
        <v>0</v>
      </c>
      <c r="DN602" t="str">
        <f>IF(DG602=1,DN$7,0)</f>
        <v>Timber</v>
      </c>
      <c r="DO602">
        <v>1</v>
      </c>
      <c r="DP602">
        <v>0</v>
      </c>
      <c r="DQ602">
        <v>0</v>
      </c>
      <c r="DR602">
        <v>0</v>
      </c>
      <c r="DS602">
        <v>0</v>
      </c>
      <c r="DT602">
        <f>SUM(DO602:DP602)</f>
        <v>1</v>
      </c>
      <c r="DU602" s="143" t="str">
        <f>IF(DO602=1,"self-calculated DF",IF(DP602=1,"external DF used","explicit C balance"))</f>
        <v>self-calculated DF</v>
      </c>
      <c r="DV602" s="143">
        <v>0</v>
      </c>
      <c r="DW602" s="143">
        <v>0</v>
      </c>
      <c r="DX602" s="143">
        <v>0</v>
      </c>
      <c r="DY602" s="143">
        <v>0</v>
      </c>
      <c r="DZ602">
        <v>0</v>
      </c>
      <c r="EA602" s="143">
        <v>0</v>
      </c>
      <c r="EB602" s="143">
        <v>0</v>
      </c>
      <c r="EC602" s="143">
        <v>1</v>
      </c>
      <c r="ED602" s="143">
        <v>0</v>
      </c>
      <c r="EE602">
        <v>0</v>
      </c>
      <c r="EF602">
        <v>0</v>
      </c>
      <c r="EG602" s="143">
        <v>0</v>
      </c>
      <c r="EH602" s="143">
        <v>0</v>
      </c>
      <c r="EI602" s="2">
        <v>0</v>
      </c>
      <c r="EK602" t="str">
        <f>IF(AND(AND(AND(OR($DX602=1,$DW602=1),OR($EC602=1,$EA602=1)),SUM($DV602:$DZ602,$EF602)&gt;=4),SUM($EA602:$EE602)&gt;=2),"Whole sector","")</f>
        <v/>
      </c>
      <c r="EL602" t="str">
        <f>IF(AND(AND(OR($DX602=1,$DW602=1),AND($EC602=0,$EA602=0)),SUM($DV602:$DZ602,$EF602)&gt;=4),"Ecosystem approach","")</f>
        <v/>
      </c>
      <c r="EM602" s="2" t="str">
        <f>IF(AND(AND(AND($DX602=0,$DW602=0),OR($EC602=1,$EA602=1)),SUM($EB602:$EE602)&gt;=2),"Technology approach","")</f>
        <v/>
      </c>
      <c r="EP602" t="str">
        <f>IF(ISNUMBER(BU602),IF(ABS(BU602-[1]QC_indicators!$B$2)&gt;3*[1]QC_indicators!$C$2,"C ratio",IF(ISNUMBER(BY602),IF(ABS(BY602-[1]QC_indicators!$B$1)&gt;3*[1]QC_indicators!$C$1,"DF","no"))),IF(ISNUMBER(BY602),IF(ABS(BY602-[1]QC_indicators!$B$1)&gt;3*[1]QC_indicators!$C$1,"DF","no")))</f>
        <v>no</v>
      </c>
      <c r="ER602" t="s">
        <v>995</v>
      </c>
      <c r="ET602" s="264" t="s">
        <v>3212</v>
      </c>
    </row>
    <row r="603" spans="1:150" ht="15" customHeight="1">
      <c r="A603" s="1" t="s">
        <v>614</v>
      </c>
      <c r="B603" t="s">
        <v>630</v>
      </c>
      <c r="C603" t="s">
        <v>631</v>
      </c>
      <c r="D603" t="s">
        <v>632</v>
      </c>
      <c r="E603" s="264" t="s">
        <v>633</v>
      </c>
      <c r="F603" t="s">
        <v>634</v>
      </c>
      <c r="G603" t="s">
        <v>620</v>
      </c>
      <c r="H603" t="s">
        <v>254</v>
      </c>
      <c r="I603">
        <v>2022</v>
      </c>
      <c r="J603">
        <v>1</v>
      </c>
      <c r="K603" t="s">
        <v>635</v>
      </c>
      <c r="M603" t="str">
        <f>LEFT($D603,FIND(",",$D603)-1)&amp;"_"&amp;I603&amp;L603</f>
        <v>Devenes_2022</v>
      </c>
      <c r="N603" t="s">
        <v>222</v>
      </c>
      <c r="O603" s="145" t="s">
        <v>223</v>
      </c>
      <c r="Q603" t="s">
        <v>389</v>
      </c>
      <c r="R603" s="255" t="s">
        <v>225</v>
      </c>
      <c r="S603" s="1" t="s">
        <v>636</v>
      </c>
      <c r="T603" t="s">
        <v>637</v>
      </c>
      <c r="U603" t="s">
        <v>624</v>
      </c>
      <c r="V603">
        <v>0</v>
      </c>
      <c r="W603">
        <v>0</v>
      </c>
      <c r="X603">
        <v>0</v>
      </c>
      <c r="Y603">
        <v>0</v>
      </c>
      <c r="Z603">
        <v>0</v>
      </c>
      <c r="AA603">
        <v>0</v>
      </c>
      <c r="AB603">
        <v>0</v>
      </c>
      <c r="AC603">
        <v>0</v>
      </c>
      <c r="AD603">
        <v>0</v>
      </c>
      <c r="AE603">
        <v>0</v>
      </c>
      <c r="AF603">
        <v>0</v>
      </c>
      <c r="AG603">
        <v>0</v>
      </c>
      <c r="AH603">
        <v>0</v>
      </c>
      <c r="AI603">
        <v>0</v>
      </c>
      <c r="AJ603">
        <v>0</v>
      </c>
      <c r="AK603">
        <v>1</v>
      </c>
      <c r="AL603">
        <v>0</v>
      </c>
      <c r="AM603">
        <v>0</v>
      </c>
      <c r="AN603">
        <v>0</v>
      </c>
      <c r="AO603">
        <v>0</v>
      </c>
      <c r="AP603">
        <v>0</v>
      </c>
      <c r="AQ603">
        <v>0</v>
      </c>
      <c r="AR603">
        <v>0</v>
      </c>
      <c r="AS603">
        <v>0</v>
      </c>
      <c r="AT603">
        <v>0</v>
      </c>
      <c r="AU603">
        <v>0</v>
      </c>
      <c r="AV603">
        <v>0</v>
      </c>
      <c r="AW603">
        <v>0</v>
      </c>
      <c r="AX603" s="141">
        <f>COUNTIF(V603:AW603,"&lt;&gt;0")</f>
        <v>1</v>
      </c>
      <c r="AY603" s="141">
        <f>COUNTIF(V603:AL603,"&lt;&gt;0")</f>
        <v>1</v>
      </c>
      <c r="AZ603">
        <f>COUNTIF(V603:AC603,"&lt;&gt;0")</f>
        <v>0</v>
      </c>
      <c r="BA603">
        <f>COUNTIF(AD603:AI603,"&lt;&gt;0")</f>
        <v>0</v>
      </c>
      <c r="BB603">
        <f>COUNTIF(AJ603:AL603,"&lt;&gt;0")</f>
        <v>1</v>
      </c>
      <c r="BC603">
        <f>COUNTIF(AS603:AW603,"&lt;&gt;0")</f>
        <v>0</v>
      </c>
      <c r="BD603">
        <f>COUNTIF(AM603:AR603,"&lt;&gt;0")</f>
        <v>0</v>
      </c>
      <c r="BE603" t="str">
        <f t="array" ref="BE603">IF(AY603=1,INDEX($V$7:$AL$7,MATCH(TRUE,INDEX($V603:$AW603&lt;&gt;0,),0)),IF(AY603=0,INDEX($AM$7:$AW$7,MATCH(1,$AM603:$AW603,0)),IF(BF603="Multiple strategies","mixed drivers",IF(BF603="Supply chain","multiple supply","multiple silviculture"))))</f>
        <v>technologies/design switch</v>
      </c>
      <c r="BF603" s="2" t="str" cm="1">
        <f t="array" ref="BF603">IF(COUNTIF(AZ603:BB603,"&lt;&gt;0")=1,INDEX($V$4:$AW$4,MATCH(TRUE,INDEX($V603:$AW603&lt;&gt;0,),0)),IF(COUNTIF(AZ603:BB603,"&lt;&gt;0")=0,INDEX($AM$4:$AW$4,MATCH(1,$AM603:$AW603,0)),"Multiple strategies"))</f>
        <v>Technology</v>
      </c>
      <c r="BG603" s="1" t="s">
        <v>229</v>
      </c>
      <c r="BH603" t="s">
        <v>638</v>
      </c>
      <c r="BI603" s="264" t="s">
        <v>3305</v>
      </c>
      <c r="BJ603" s="264" t="s">
        <v>345</v>
      </c>
      <c r="BK603">
        <f>179+195+12</f>
        <v>386</v>
      </c>
      <c r="BL603">
        <f>268+139+104</f>
        <v>511</v>
      </c>
      <c r="BN603">
        <f>BL603-BK603</f>
        <v>125</v>
      </c>
      <c r="BO603" s="260">
        <f>BN603*t_to_m3/1000</f>
        <v>0.25510204081632654</v>
      </c>
      <c r="BP603" t="s">
        <v>395</v>
      </c>
      <c r="BQ603" s="260" t="s">
        <v>3306</v>
      </c>
      <c r="BR603" t="s">
        <v>397</v>
      </c>
      <c r="BS603">
        <v>301.89999999999998</v>
      </c>
      <c r="BT603">
        <v>275.89999999999998</v>
      </c>
      <c r="BU603" s="144">
        <f>IFERROR(BT603/BS603,"")</f>
        <v>0.91387876780390853</v>
      </c>
      <c r="BV603">
        <f>BT603-BS603</f>
        <v>-26</v>
      </c>
      <c r="BX603">
        <f>BV603/1000</f>
        <v>-2.5999999999999999E-2</v>
      </c>
      <c r="BY603">
        <f>IFERROR(BX603/BO603,"")</f>
        <v>-0.10192</v>
      </c>
      <c r="BZ603">
        <v>0</v>
      </c>
      <c r="CA603">
        <v>0</v>
      </c>
      <c r="CB603">
        <v>0</v>
      </c>
      <c r="CC603">
        <v>0</v>
      </c>
      <c r="CD603">
        <v>0</v>
      </c>
      <c r="CE603">
        <v>0</v>
      </c>
      <c r="CF603">
        <v>0</v>
      </c>
      <c r="CG603">
        <v>0</v>
      </c>
      <c r="CH603">
        <v>0</v>
      </c>
      <c r="CI603">
        <v>0</v>
      </c>
      <c r="CJ603">
        <v>0</v>
      </c>
      <c r="CK603">
        <v>0</v>
      </c>
      <c r="CL603">
        <v>0</v>
      </c>
      <c r="CM603">
        <v>0</v>
      </c>
      <c r="CN603" t="str">
        <f>IF($BL603&lt;$BK603,"refNeedCorrection","refOK")</f>
        <v>refOK</v>
      </c>
      <c r="CO603"/>
      <c r="CP603"/>
      <c r="CQ603">
        <f>IF($CN603="refOK",$BO603,-$BO603)</f>
        <v>0.25510204081632654</v>
      </c>
      <c r="CR603">
        <f>IF($CN603="refOK",$BS603,$BT603)*IF($BP603="Emissions positive",-1,1)</f>
        <v>-301.89999999999998</v>
      </c>
      <c r="CS603">
        <f>IF($CN603="refOK",$BT603,$BS603)*IF($BP603="Emissions positive",-1,1)</f>
        <v>-275.89999999999998</v>
      </c>
      <c r="CT603">
        <f>IF($CN603="refNeedCorrection",-BX603,BX603)*IF($BP603="Emissions positive",-1,1)</f>
        <v>2.5999999999999999E-2</v>
      </c>
      <c r="CU603">
        <f>IFERROR(CT603/CQ603,"")</f>
        <v>0.10192</v>
      </c>
      <c r="CV603" s="2">
        <f>IFERROR((CS603-CR603)/ABS(CR603),"")</f>
        <v>8.6121232196091427E-2</v>
      </c>
      <c r="CW603" s="1" t="s">
        <v>263</v>
      </c>
      <c r="CX603" t="str">
        <f>IF(OR($CW603="prd",$CW603="std",$CW603="cit"),"loc",IF(OR($CW603="eur",$CW603="reg",$CW603="coy"),"reg",$CW603))</f>
        <v>loc</v>
      </c>
      <c r="CY603" t="s">
        <v>639</v>
      </c>
      <c r="DB603">
        <v>0</v>
      </c>
      <c r="DC603" t="str">
        <f>IF(DB603=0,"0",IF(AND(DB603&gt;=1,DB603&lt;=30),"1-30",IF(AND(DB603&gt;30,DB603&lt;=70),"31-70",IF(AND(DB603&gt;70,DB603&lt;=100),"71-100",IF(DB603&gt;100,"+100")))))</f>
        <v>0</v>
      </c>
      <c r="DD603">
        <v>0</v>
      </c>
      <c r="DE603">
        <v>0</v>
      </c>
      <c r="DF603">
        <v>0</v>
      </c>
      <c r="DG603">
        <v>1</v>
      </c>
      <c r="DH603">
        <v>0</v>
      </c>
      <c r="DI603">
        <f>SUM(DD603:DH603)</f>
        <v>1</v>
      </c>
      <c r="DJ603" t="str">
        <f>IF(DI603=1,INDEX($DD$7:$DG$7,MATCH(1,$DD603:$DG603,0)),"mixedProduct")</f>
        <v>TimberInput</v>
      </c>
      <c r="DK603">
        <f>IF(DD603=1,DK$7,0)</f>
        <v>0</v>
      </c>
      <c r="DL603">
        <f>IF(DE603=1,DL$7,0)</f>
        <v>0</v>
      </c>
      <c r="DM603">
        <f>IF(DF603=1,DM$7,0)</f>
        <v>0</v>
      </c>
      <c r="DN603" t="str">
        <f>IF(DG603=1,DN$7,0)</f>
        <v>Timber</v>
      </c>
      <c r="DO603">
        <v>0</v>
      </c>
      <c r="DP603">
        <v>0</v>
      </c>
      <c r="DQ603">
        <v>0</v>
      </c>
      <c r="DR603">
        <v>0</v>
      </c>
      <c r="DS603">
        <v>0</v>
      </c>
      <c r="DT603">
        <f>SUM(DO603:DP603)</f>
        <v>0</v>
      </c>
      <c r="DU603" t="str">
        <f>IF(DO603=1,"self-calculated DF",IF(DP603=1,"external DF used","explicit C balance"))</f>
        <v>explicit C balance</v>
      </c>
      <c r="DV603">
        <v>0</v>
      </c>
      <c r="DW603">
        <v>0</v>
      </c>
      <c r="DX603">
        <v>0</v>
      </c>
      <c r="DY603">
        <v>0</v>
      </c>
      <c r="DZ603">
        <v>0</v>
      </c>
      <c r="EA603" s="143">
        <v>0</v>
      </c>
      <c r="EB603">
        <v>0</v>
      </c>
      <c r="EC603">
        <v>1</v>
      </c>
      <c r="ED603">
        <v>0</v>
      </c>
      <c r="EE603">
        <v>0</v>
      </c>
      <c r="EF603">
        <v>0</v>
      </c>
      <c r="EG603">
        <v>0</v>
      </c>
      <c r="EH603">
        <v>0</v>
      </c>
      <c r="EI603" s="2">
        <v>0</v>
      </c>
      <c r="EK603" t="str">
        <f>IF(AND(AND(AND(OR($DX603=1,$DW603=1),OR($EC603=1,$EA603=1)),SUM($DV603:$DZ603,$EF603)&gt;=4),SUM($EA603:$EE603)&gt;=2),"Whole sector","")</f>
        <v/>
      </c>
      <c r="EL603" t="str">
        <f>IF(AND(AND(OR($DX603=1,$DW603=1),AND($EC603=0,$EA603=0)),SUM($DV603:$DZ603,$EF603)&gt;=4),"Ecosystem approach","")</f>
        <v/>
      </c>
      <c r="EM603" s="2" t="str">
        <f>IF(AND(AND(AND($DX603=0,$DW603=0),OR($EC603=1,$EA603=1)),SUM($EB603:$EE603)&gt;=2),"Technology approach","")</f>
        <v/>
      </c>
      <c r="EP603" t="str">
        <f>IF(ISNUMBER(BU603),IF(ABS(BU603-[4]QC_indicators!$B$2)&gt;3*[4]QC_indicators!$C$2,"C ratio",IF(ISNUMBER(BY603),IF(ABS(BY603-[4]QC_indicators!$B$1)&gt;3*[4]QC_indicators!$C$1,"DF","no"))),IF(ISNUMBER(BY603),IF(ABS(BY603-[4]QC_indicators!$B$1)&gt;3*[4]QC_indicators!$C$1,"DF","no")))</f>
        <v>no</v>
      </c>
      <c r="ET603" s="264" t="s">
        <v>3273</v>
      </c>
    </row>
    <row r="604" spans="1:150" ht="15" customHeight="1">
      <c r="A604" s="1" t="s">
        <v>333</v>
      </c>
      <c r="B604" t="s">
        <v>334</v>
      </c>
      <c r="C604" t="s">
        <v>335</v>
      </c>
      <c r="D604" t="s">
        <v>336</v>
      </c>
      <c r="E604" t="s">
        <v>337</v>
      </c>
      <c r="F604" t="s">
        <v>338</v>
      </c>
      <c r="G604" t="s">
        <v>339</v>
      </c>
      <c r="I604">
        <v>2017</v>
      </c>
      <c r="K604" t="s">
        <v>340</v>
      </c>
      <c r="M604" t="str">
        <f>LEFT($D604,FIND(",",$D604)-1)&amp;"_"&amp;I604&amp;L604</f>
        <v>Balasbaneh_2017</v>
      </c>
      <c r="N604" t="s">
        <v>222</v>
      </c>
      <c r="O604" s="140" t="s">
        <v>341</v>
      </c>
      <c r="Q604" t="s">
        <v>224</v>
      </c>
      <c r="R604" s="262" t="s">
        <v>223</v>
      </c>
      <c r="S604" s="1" t="s">
        <v>342</v>
      </c>
      <c r="T604" t="s">
        <v>343</v>
      </c>
      <c r="U604" t="s">
        <v>344</v>
      </c>
      <c r="V604">
        <v>0</v>
      </c>
      <c r="W604">
        <v>0</v>
      </c>
      <c r="X604">
        <v>0</v>
      </c>
      <c r="Y604">
        <v>0</v>
      </c>
      <c r="Z604">
        <v>0</v>
      </c>
      <c r="AA604">
        <v>0</v>
      </c>
      <c r="AB604">
        <v>0</v>
      </c>
      <c r="AC604">
        <v>0</v>
      </c>
      <c r="AD604">
        <v>0</v>
      </c>
      <c r="AE604">
        <v>0</v>
      </c>
      <c r="AF604">
        <v>0</v>
      </c>
      <c r="AG604">
        <v>0</v>
      </c>
      <c r="AH604">
        <v>0</v>
      </c>
      <c r="AI604">
        <v>0</v>
      </c>
      <c r="AJ604">
        <v>0</v>
      </c>
      <c r="AK604">
        <v>1</v>
      </c>
      <c r="AL604">
        <v>0</v>
      </c>
      <c r="AM604">
        <v>0</v>
      </c>
      <c r="AN604">
        <v>0</v>
      </c>
      <c r="AO604">
        <v>0</v>
      </c>
      <c r="AP604">
        <v>0</v>
      </c>
      <c r="AQ604">
        <v>0</v>
      </c>
      <c r="AR604">
        <v>0</v>
      </c>
      <c r="AS604">
        <v>0</v>
      </c>
      <c r="AT604">
        <v>0</v>
      </c>
      <c r="AU604">
        <v>0</v>
      </c>
      <c r="AV604">
        <v>0</v>
      </c>
      <c r="AW604">
        <v>0</v>
      </c>
      <c r="AX604" s="141">
        <f>COUNTIF(V604:AW604,"&lt;&gt;0")</f>
        <v>1</v>
      </c>
      <c r="AY604" s="141">
        <f>COUNTIF(V604:AL604,"&lt;&gt;0")</f>
        <v>1</v>
      </c>
      <c r="AZ604">
        <f>COUNTIF(V604:AC604,"&lt;&gt;0")</f>
        <v>0</v>
      </c>
      <c r="BA604">
        <f>COUNTIF(AD604:AI604,"&lt;&gt;0")</f>
        <v>0</v>
      </c>
      <c r="BB604">
        <f>COUNTIF(AJ604:AL604,"&lt;&gt;0")</f>
        <v>1</v>
      </c>
      <c r="BC604">
        <f>COUNTIF(AS604:AW604,"&lt;&gt;0")</f>
        <v>0</v>
      </c>
      <c r="BD604">
        <f>COUNTIF(AM604:AR604,"&lt;&gt;0")</f>
        <v>0</v>
      </c>
      <c r="BE604" t="str">
        <f t="array" ref="BE604">IF(AY604=1,INDEX($V$7:$AL$7,MATCH(TRUE,INDEX($V604:$AW604&lt;&gt;0,),0)),IF(AY604=0,INDEX($AM$7:$AW$7,MATCH(1,$AM604:$AW604,0)),IF(BF604="Multiple strategies","mixed drivers",IF(BF604="Supply chain","multiple supply","multiple silviculture"))))</f>
        <v>technologies/design switch</v>
      </c>
      <c r="BF604" s="2" t="str" cm="1">
        <f t="array" ref="BF604">IF(COUNTIF(AZ604:BB604,"&lt;&gt;0")=1,INDEX($V$4:$AW$4,MATCH(TRUE,INDEX($V604:$AW604&lt;&gt;0,),0)),IF(COUNTIF(AZ604:BB604,"&lt;&gt;0")=0,INDEX($AM$4:$AW$4,MATCH(1,$AM604:$AW604,0)),"Multiple strategies"))</f>
        <v>Technology</v>
      </c>
      <c r="BG604" s="1" t="s">
        <v>229</v>
      </c>
      <c r="BH604" t="s">
        <v>229</v>
      </c>
      <c r="BI604" s="264" t="s">
        <v>410</v>
      </c>
      <c r="BJ604" t="s">
        <v>345</v>
      </c>
      <c r="BK604">
        <v>0</v>
      </c>
      <c r="BL604">
        <v>23500</v>
      </c>
      <c r="BM604" s="143"/>
      <c r="BN604">
        <f>BL604-BK604</f>
        <v>23500</v>
      </c>
      <c r="BO604" s="143">
        <f>BN604*kg_to_m3</f>
        <v>47.95918367346939</v>
      </c>
      <c r="BP604" t="s">
        <v>232</v>
      </c>
      <c r="BQ604" s="335" t="s">
        <v>396</v>
      </c>
      <c r="BR604" t="s">
        <v>346</v>
      </c>
      <c r="BS604">
        <v>-11200</v>
      </c>
      <c r="BT604">
        <v>-5870</v>
      </c>
      <c r="BU604" s="144">
        <v>0.52410714285714288</v>
      </c>
      <c r="BV604">
        <f>BT604-BS604</f>
        <v>5330</v>
      </c>
      <c r="BX604">
        <f>BV604/1000</f>
        <v>5.33</v>
      </c>
      <c r="BY604">
        <f>IFERROR(BX604/BO604,"")</f>
        <v>0.11113617021276595</v>
      </c>
      <c r="BZ604">
        <v>0</v>
      </c>
      <c r="CA604">
        <v>0</v>
      </c>
      <c r="CB604">
        <v>0</v>
      </c>
      <c r="CC604">
        <v>0</v>
      </c>
      <c r="CD604">
        <v>0</v>
      </c>
      <c r="CE604">
        <v>0</v>
      </c>
      <c r="CF604">
        <v>0</v>
      </c>
      <c r="CG604">
        <v>0</v>
      </c>
      <c r="CH604">
        <v>0</v>
      </c>
      <c r="CI604">
        <v>0</v>
      </c>
      <c r="CJ604">
        <v>0</v>
      </c>
      <c r="CK604">
        <v>0</v>
      </c>
      <c r="CL604">
        <v>0</v>
      </c>
      <c r="CM604">
        <v>0</v>
      </c>
      <c r="CN604" t="str">
        <f>IF($BL604&lt;$BK604,"refNeedCorrection","refOK")</f>
        <v>refOK</v>
      </c>
      <c r="CO604">
        <f>IF($CN604="refNeedCorrection",BL604,BK604)</f>
        <v>0</v>
      </c>
      <c r="CP604">
        <f>IF($CN604="refNeedCorrection",BK604,BL604)</f>
        <v>23500</v>
      </c>
      <c r="CQ604">
        <f>IF($CN604="refOK",$BO604,-$BO604)</f>
        <v>47.95918367346939</v>
      </c>
      <c r="CR604">
        <f>IF($CN604="refOK",$BS604,$BT604)*IF($BP604="Emissions positive",-1,1)</f>
        <v>-11200</v>
      </c>
      <c r="CS604">
        <f>IF($CN604="refOK",$BT604,$BS604)*IF($BP604="Emissions positive",-1,1)</f>
        <v>-5870</v>
      </c>
      <c r="CT604">
        <f>IF($CN604="refNeedCorrection",-BX604,BX604)*IF($BP604="Emissions positive",-1,1)</f>
        <v>5.33</v>
      </c>
      <c r="CU604">
        <f>IFERROR(CT604/CQ604,"")</f>
        <v>0.11113617021276595</v>
      </c>
      <c r="CV604" s="2">
        <f>IFERROR((CS604-CR604)/ABS(CR604),"")</f>
        <v>0.47589285714285712</v>
      </c>
      <c r="CW604" s="1" t="s">
        <v>347</v>
      </c>
      <c r="CX604" t="str">
        <f>IF(OR($CW604="prd",$CW604="std",$CW604="cit"),"loc",IF(OR($CW604="eur",$CW604="reg",$CW604="coy"),"reg",$CW604))</f>
        <v>loc</v>
      </c>
      <c r="CY604" t="s">
        <v>348</v>
      </c>
      <c r="CZ604">
        <v>2014</v>
      </c>
      <c r="DA604">
        <v>2034</v>
      </c>
      <c r="DB604">
        <v>20</v>
      </c>
      <c r="DC604" t="str">
        <f>IF(DB604=0,"0",IF(AND(DB604&gt;=1,DB604&lt;=30),"1-30",IF(AND(DB604&gt;30,DB604&lt;=70),"31-70",IF(AND(DB604&gt;70,DB604&lt;=100),"71-100",IF(DB604&gt;100,"+100")))))</f>
        <v>1-30</v>
      </c>
      <c r="DD604">
        <v>0</v>
      </c>
      <c r="DE604">
        <v>0</v>
      </c>
      <c r="DF604">
        <v>0</v>
      </c>
      <c r="DG604">
        <v>1</v>
      </c>
      <c r="DI604">
        <f>SUM(DD604:DG604)</f>
        <v>1</v>
      </c>
      <c r="DJ604" t="str">
        <f>IF(DI604=1,INDEX($DD$7:$DG$7,MATCH(1,$DD604:$DG604,0)),"mixedProduct")</f>
        <v>TimberInput</v>
      </c>
      <c r="DK604">
        <f>IF(DD604=1,DK$7,0)</f>
        <v>0</v>
      </c>
      <c r="DL604">
        <f>IF(DE604=1,DL$7,0)</f>
        <v>0</v>
      </c>
      <c r="DM604">
        <f>IF(DF604=1,DM$7,0)</f>
        <v>0</v>
      </c>
      <c r="DN604" t="str">
        <f>IF(DG604=1,DN$7,0)</f>
        <v>Timber</v>
      </c>
      <c r="DO604">
        <v>0</v>
      </c>
      <c r="DP604">
        <v>0</v>
      </c>
      <c r="DQ604">
        <v>0</v>
      </c>
      <c r="DR604">
        <v>0</v>
      </c>
      <c r="DS604">
        <v>0</v>
      </c>
      <c r="DT604">
        <f>SUM(DO604:DP604)</f>
        <v>0</v>
      </c>
      <c r="DU604" s="143" t="str">
        <f>IF(DO604=1,"self-calculated DF",IF(DP604=1,"external DF used","explicit C balance"))</f>
        <v>explicit C balance</v>
      </c>
      <c r="DV604">
        <v>0</v>
      </c>
      <c r="DW604">
        <v>0</v>
      </c>
      <c r="DX604">
        <v>0</v>
      </c>
      <c r="DY604">
        <v>1</v>
      </c>
      <c r="DZ604">
        <v>0</v>
      </c>
      <c r="EA604" s="143">
        <v>1</v>
      </c>
      <c r="EB604">
        <v>0</v>
      </c>
      <c r="EC604">
        <v>1</v>
      </c>
      <c r="ED604">
        <v>1</v>
      </c>
      <c r="EE604">
        <v>1</v>
      </c>
      <c r="EF604">
        <v>0</v>
      </c>
      <c r="EG604">
        <v>0</v>
      </c>
      <c r="EH604">
        <v>0</v>
      </c>
      <c r="EI604" s="2">
        <v>0</v>
      </c>
      <c r="EK604" t="str">
        <f>IF(AND(AND(AND(OR($DX604=1,$DW604=1),OR($EC604=1,$EA604=1)),SUM($DV604:$DZ604,$EF604)&gt;=4),SUM($EA604:$EE604)&gt;=2),"Whole sector","")</f>
        <v/>
      </c>
      <c r="EL604" t="str">
        <f>IF(AND(AND(OR($DX604=1,$DW604=1),AND($EC604=0,$EA604=0)),SUM($DV604:$DZ604,$EF604)&gt;=4),"Ecosystem approach","")</f>
        <v/>
      </c>
      <c r="EM604" s="2" t="str">
        <f>IF(AND(AND(AND($DX604=0,$DW604=0),OR($EC604=1,$EA604=1)),SUM($EB604:$EE604)&gt;=2),"Technology approach","")</f>
        <v>Technology approach</v>
      </c>
      <c r="EP604" t="str">
        <f>IF(ISNUMBER(BU604),IF(ABS(BU604-[1]QC_indicators!$B$2)&gt;3*[1]QC_indicators!$C$2,"C ratio",IF(ISNUMBER(BY604),IF(ABS(BY604-[1]QC_indicators!$B$1)&gt;3*[1]QC_indicators!$C$1,"DF","no"))),IF(ISNUMBER(BY604),IF(ABS(BY604-[1]QC_indicators!$B$1)&gt;3*[1]QC_indicators!$C$1,"DF","no")))</f>
        <v>no</v>
      </c>
      <c r="ER604" s="149" t="s">
        <v>349</v>
      </c>
      <c r="ET604" s="264" t="s">
        <v>3273</v>
      </c>
    </row>
    <row r="605" spans="1:150" ht="15" customHeight="1">
      <c r="A605" s="1" t="s">
        <v>1233</v>
      </c>
      <c r="B605" t="s">
        <v>1234</v>
      </c>
      <c r="C605" t="s">
        <v>1235</v>
      </c>
      <c r="D605" t="s">
        <v>336</v>
      </c>
      <c r="E605" t="s">
        <v>1236</v>
      </c>
      <c r="F605" t="s">
        <v>1237</v>
      </c>
      <c r="G605" t="s">
        <v>1238</v>
      </c>
      <c r="I605">
        <v>2018</v>
      </c>
      <c r="K605" t="s">
        <v>1239</v>
      </c>
      <c r="M605" t="str">
        <f>LEFT($D605,FIND(",",$D605)-1)&amp;"_"&amp;I605&amp;L605</f>
        <v>Balasbaneh_2018</v>
      </c>
      <c r="N605" t="s">
        <v>222</v>
      </c>
      <c r="O605" s="140" t="s">
        <v>513</v>
      </c>
      <c r="Q605" t="s">
        <v>224</v>
      </c>
      <c r="R605" s="262" t="s">
        <v>223</v>
      </c>
      <c r="S605" s="1" t="s">
        <v>1243</v>
      </c>
      <c r="T605" s="264" t="s">
        <v>3114</v>
      </c>
      <c r="U605" s="264" t="s">
        <v>3111</v>
      </c>
      <c r="V605">
        <v>0</v>
      </c>
      <c r="W605">
        <v>0</v>
      </c>
      <c r="X605">
        <v>0</v>
      </c>
      <c r="Y605">
        <v>0</v>
      </c>
      <c r="Z605">
        <v>0</v>
      </c>
      <c r="AA605">
        <v>0</v>
      </c>
      <c r="AB605">
        <v>0</v>
      </c>
      <c r="AC605">
        <v>0</v>
      </c>
      <c r="AD605">
        <v>0</v>
      </c>
      <c r="AE605">
        <v>0</v>
      </c>
      <c r="AF605">
        <v>0</v>
      </c>
      <c r="AG605">
        <v>0</v>
      </c>
      <c r="AH605">
        <v>0</v>
      </c>
      <c r="AI605">
        <v>0</v>
      </c>
      <c r="AJ605">
        <v>0</v>
      </c>
      <c r="AK605">
        <v>1</v>
      </c>
      <c r="AL605">
        <v>0</v>
      </c>
      <c r="AM605">
        <v>0</v>
      </c>
      <c r="AN605">
        <v>0</v>
      </c>
      <c r="AO605">
        <v>0</v>
      </c>
      <c r="AP605">
        <v>0</v>
      </c>
      <c r="AQ605">
        <v>0</v>
      </c>
      <c r="AR605">
        <v>0</v>
      </c>
      <c r="AS605">
        <v>0</v>
      </c>
      <c r="AT605">
        <v>0</v>
      </c>
      <c r="AU605">
        <v>0</v>
      </c>
      <c r="AV605">
        <v>0</v>
      </c>
      <c r="AW605">
        <v>0</v>
      </c>
      <c r="AX605" s="141">
        <f>COUNTIF(V605:AW605,"&lt;&gt;0")</f>
        <v>1</v>
      </c>
      <c r="AY605" s="141">
        <f>COUNTIF(V605:AL605,"&lt;&gt;0")</f>
        <v>1</v>
      </c>
      <c r="AZ605">
        <f>COUNTIF(V605:AC605,"&lt;&gt;0")</f>
        <v>0</v>
      </c>
      <c r="BA605">
        <f>COUNTIF(AD605:AI605,"&lt;&gt;0")</f>
        <v>0</v>
      </c>
      <c r="BB605">
        <f>COUNTIF(AJ605:AL605,"&lt;&gt;0")</f>
        <v>1</v>
      </c>
      <c r="BC605">
        <f>COUNTIF(AS605:AW605,"&lt;&gt;0")</f>
        <v>0</v>
      </c>
      <c r="BD605">
        <f>COUNTIF(AM605:AR605,"&lt;&gt;0")</f>
        <v>0</v>
      </c>
      <c r="BE605" t="str">
        <f t="array" ref="BE605">IF(AY605=1,INDEX($V$7:$AL$7,MATCH(TRUE,INDEX($V605:$AW605&lt;&gt;0,),0)),IF(AY605=0,INDEX($AM$7:$AW$7,MATCH(1,$AM605:$AW605,0)),IF(BF605="Multiple strategies","mixed drivers",IF(BF605="Supply chain","multiple supply","multiple silviculture"))))</f>
        <v>technologies/design switch</v>
      </c>
      <c r="BF605" s="2" t="str" cm="1">
        <f t="array" ref="BF605">IF(COUNTIF(AZ605:BB605,"&lt;&gt;0")=1,INDEX($V$4:$AW$4,MATCH(TRUE,INDEX($V605:$AW605&lt;&gt;0,),0)),IF(COUNTIF(AZ605:BB605,"&lt;&gt;0")=0,INDEX($AM$4:$AW$4,MATCH(1,$AM605:$AW605,0)),"Multiple strategies"))</f>
        <v>Technology</v>
      </c>
      <c r="BG605" s="1" t="s">
        <v>229</v>
      </c>
      <c r="BH605" t="s">
        <v>229</v>
      </c>
      <c r="BJ605" t="s">
        <v>345</v>
      </c>
      <c r="BK605">
        <v>0</v>
      </c>
      <c r="BL605">
        <v>15468</v>
      </c>
      <c r="BM605" s="143"/>
      <c r="BN605">
        <f>BL605-BK605</f>
        <v>15468</v>
      </c>
      <c r="BO605" s="143">
        <f>BN605*kg_to_m3</f>
        <v>31.567346938775515</v>
      </c>
      <c r="BP605" t="s">
        <v>232</v>
      </c>
      <c r="BQ605" s="337" t="s">
        <v>1057</v>
      </c>
      <c r="BR605" t="s">
        <v>397</v>
      </c>
      <c r="BS605">
        <v>-8660</v>
      </c>
      <c r="BT605">
        <v>-5130</v>
      </c>
      <c r="BU605" s="144">
        <v>0.59237875288683606</v>
      </c>
      <c r="BV605">
        <v>3530</v>
      </c>
      <c r="BX605">
        <f>BV605/1000</f>
        <v>3.53</v>
      </c>
      <c r="BY605">
        <f>IFERROR(BX605/BO605,"")</f>
        <v>0.11182441168864751</v>
      </c>
      <c r="BZ605">
        <v>0</v>
      </c>
      <c r="CA605">
        <v>0</v>
      </c>
      <c r="CB605">
        <v>0</v>
      </c>
      <c r="CC605">
        <v>0</v>
      </c>
      <c r="CD605">
        <v>0</v>
      </c>
      <c r="CE605">
        <v>0</v>
      </c>
      <c r="CF605">
        <v>0</v>
      </c>
      <c r="CG605">
        <v>0</v>
      </c>
      <c r="CH605">
        <v>0</v>
      </c>
      <c r="CI605">
        <v>0</v>
      </c>
      <c r="CJ605">
        <v>0</v>
      </c>
      <c r="CK605">
        <v>0</v>
      </c>
      <c r="CL605">
        <v>0</v>
      </c>
      <c r="CM605">
        <v>0</v>
      </c>
      <c r="CN605" t="str">
        <f>IF($BL605&lt;$BK605,"refNeedCorrection","refOK")</f>
        <v>refOK</v>
      </c>
      <c r="CO605">
        <f>IF($CN605="refNeedCorrection",BL605,BK605)</f>
        <v>0</v>
      </c>
      <c r="CP605">
        <f>IF($CN605="refNeedCorrection",BK605,BL605)</f>
        <v>15468</v>
      </c>
      <c r="CQ605">
        <f>IF($CN605="refOK",$BO605,-$BO605)</f>
        <v>31.567346938775515</v>
      </c>
      <c r="CR605">
        <f>IF($CN605="refOK",$BS605,$BT605)*IF($BP605="Emissions positive",-1,1)</f>
        <v>-8660</v>
      </c>
      <c r="CS605">
        <f>IF($CN605="refOK",$BT605,$BS605)*IF($BP605="Emissions positive",-1,1)</f>
        <v>-5130</v>
      </c>
      <c r="CT605">
        <f>IF($CN605="refNeedCorrection",-BX605,BX605)*IF($BP605="Emissions positive",-1,1)</f>
        <v>3.53</v>
      </c>
      <c r="CU605">
        <f>IFERROR(CT605/CQ605,"")</f>
        <v>0.11182441168864751</v>
      </c>
      <c r="CV605" s="2">
        <f>IFERROR((CS605-CR605)/ABS(CR605),"")</f>
        <v>0.407621247113164</v>
      </c>
      <c r="CW605" s="1" t="s">
        <v>1203</v>
      </c>
      <c r="CX605" t="str">
        <f>IF(OR($CW605="prd",$CW605="std",$CW605="cit"),"loc",IF(OR($CW605="eur",$CW605="reg",$CW605="coy"),"reg",$CW605))</f>
        <v>reg</v>
      </c>
      <c r="CY605" t="s">
        <v>348</v>
      </c>
      <c r="CZ605">
        <v>2014</v>
      </c>
      <c r="DA605">
        <v>2514</v>
      </c>
      <c r="DB605">
        <v>500</v>
      </c>
      <c r="DC605" t="str">
        <f>IF(DB605=0,"0",IF(AND(DB605&gt;=1,DB605&lt;=30),"1-30",IF(AND(DB605&gt;30,DB605&lt;=70),"31-70",IF(AND(DB605&gt;70,DB605&lt;=100),"71-100",IF(DB605&gt;100,"+100")))))</f>
        <v>+100</v>
      </c>
      <c r="DD605">
        <v>0</v>
      </c>
      <c r="DE605">
        <v>0</v>
      </c>
      <c r="DF605">
        <v>0</v>
      </c>
      <c r="DG605">
        <v>1</v>
      </c>
      <c r="DI605">
        <f>SUM(DD605:DG605)</f>
        <v>1</v>
      </c>
      <c r="DJ605" t="str">
        <f>IF(DI605=1,INDEX($DD$7:$DG$7,MATCH(1,$DD605:$DG605,0)),"mixedProduct")</f>
        <v>TimberInput</v>
      </c>
      <c r="DK605">
        <f>IF(DD605=1,DK$7,0)</f>
        <v>0</v>
      </c>
      <c r="DL605">
        <f>IF(DE605=1,DL$7,0)</f>
        <v>0</v>
      </c>
      <c r="DM605">
        <f>IF(DF605=1,DM$7,0)</f>
        <v>0</v>
      </c>
      <c r="DN605" t="str">
        <f>IF(DG605=1,DN$7,0)</f>
        <v>Timber</v>
      </c>
      <c r="DO605">
        <v>0</v>
      </c>
      <c r="DP605">
        <v>0</v>
      </c>
      <c r="DQ605">
        <v>0</v>
      </c>
      <c r="DR605">
        <v>0</v>
      </c>
      <c r="DS605">
        <v>0</v>
      </c>
      <c r="DT605">
        <f>SUM(DO605:DP605)</f>
        <v>0</v>
      </c>
      <c r="DU605" s="143" t="str">
        <f>IF(DO605=1,"self-calculated DF",IF(DP605=1,"external DF used","explicit C balance"))</f>
        <v>explicit C balance</v>
      </c>
      <c r="DV605">
        <v>0</v>
      </c>
      <c r="DW605">
        <v>0</v>
      </c>
      <c r="DX605">
        <v>0</v>
      </c>
      <c r="DY605">
        <v>0</v>
      </c>
      <c r="DZ605">
        <v>0</v>
      </c>
      <c r="EA605" s="143">
        <v>1</v>
      </c>
      <c r="EB605">
        <v>0</v>
      </c>
      <c r="EC605">
        <v>1</v>
      </c>
      <c r="ED605">
        <v>1</v>
      </c>
      <c r="EE605">
        <v>1</v>
      </c>
      <c r="EF605">
        <v>0</v>
      </c>
      <c r="EG605">
        <v>0</v>
      </c>
      <c r="EH605">
        <v>0</v>
      </c>
      <c r="EI605" s="2">
        <v>0</v>
      </c>
      <c r="EK605" t="str">
        <f>IF(AND(AND(AND(OR($DX605=1,$DW605=1),OR($EC605=1,$EA605=1)),SUM($DV605:$DZ605,$EF605)&gt;=4),SUM($EA605:$EE605)&gt;=2),"Whole sector","")</f>
        <v/>
      </c>
      <c r="EL605" t="str">
        <f>IF(AND(AND(OR($DX605=1,$DW605=1),AND($EC605=0,$EA605=0)),SUM($DV605:$DZ605,$EF605)&gt;=4),"Ecosystem approach","")</f>
        <v/>
      </c>
      <c r="EM605" s="2" t="str">
        <f>IF(AND(AND(AND($DX605=0,$DW605=0),OR($EC605=1,$EA605=1)),SUM($EB605:$EE605)&gt;=2),"Technology approach","")</f>
        <v>Technology approach</v>
      </c>
      <c r="EP605" t="str">
        <f>IF(ISNUMBER(BU605),IF(ABS(BU605-[1]QC_indicators!$B$2)&gt;3*[1]QC_indicators!$C$2,"C ratio",IF(ISNUMBER(BY605),IF(ABS(BY605-[1]QC_indicators!$B$1)&gt;3*[1]QC_indicators!$C$1,"DF","no"))),IF(ISNUMBER(BY605),IF(ABS(BY605-[1]QC_indicators!$B$1)&gt;3*[1]QC_indicators!$C$1,"DF","no")))</f>
        <v>no</v>
      </c>
      <c r="ER605" s="149" t="s">
        <v>349</v>
      </c>
      <c r="ET605" s="264" t="s">
        <v>3273</v>
      </c>
    </row>
    <row r="606" spans="1:150" ht="15" customHeight="1">
      <c r="A606" s="1" t="s">
        <v>265</v>
      </c>
      <c r="B606" t="s">
        <v>1531</v>
      </c>
      <c r="C606" t="s">
        <v>1532</v>
      </c>
      <c r="D606" t="s">
        <v>1533</v>
      </c>
      <c r="E606" t="s">
        <v>1534</v>
      </c>
      <c r="F606" t="s">
        <v>1535</v>
      </c>
      <c r="G606" t="s">
        <v>271</v>
      </c>
      <c r="H606" t="s">
        <v>254</v>
      </c>
      <c r="I606">
        <v>2019</v>
      </c>
      <c r="J606">
        <v>26</v>
      </c>
      <c r="K606" t="s">
        <v>1536</v>
      </c>
      <c r="M606" t="str">
        <f>LEFT($D606,FIND(",",$D606)-1)&amp;"_"&amp;I606&amp;L606</f>
        <v>Faraca_2019</v>
      </c>
      <c r="N606" t="s">
        <v>222</v>
      </c>
      <c r="O606" s="145" t="s">
        <v>274</v>
      </c>
      <c r="P606" s="180" t="s">
        <v>223</v>
      </c>
      <c r="Q606" t="s">
        <v>256</v>
      </c>
      <c r="R606" s="262" t="s">
        <v>223</v>
      </c>
      <c r="S606" s="1" t="s">
        <v>1546</v>
      </c>
      <c r="T606" t="s">
        <v>1538</v>
      </c>
      <c r="U606" t="s">
        <v>1549</v>
      </c>
      <c r="V606">
        <v>0</v>
      </c>
      <c r="W606">
        <v>0</v>
      </c>
      <c r="X606">
        <v>0</v>
      </c>
      <c r="Y606">
        <v>0</v>
      </c>
      <c r="Z606">
        <v>0</v>
      </c>
      <c r="AA606">
        <v>0</v>
      </c>
      <c r="AB606">
        <v>0</v>
      </c>
      <c r="AC606">
        <v>0</v>
      </c>
      <c r="AD606">
        <v>0</v>
      </c>
      <c r="AE606">
        <v>0</v>
      </c>
      <c r="AF606">
        <v>0</v>
      </c>
      <c r="AG606">
        <v>1</v>
      </c>
      <c r="AH606">
        <v>0</v>
      </c>
      <c r="AI606">
        <v>0</v>
      </c>
      <c r="AJ606">
        <v>0</v>
      </c>
      <c r="AK606">
        <v>0</v>
      </c>
      <c r="AL606">
        <v>0</v>
      </c>
      <c r="AM606">
        <v>0</v>
      </c>
      <c r="AN606">
        <v>0</v>
      </c>
      <c r="AO606">
        <v>0</v>
      </c>
      <c r="AP606">
        <v>0</v>
      </c>
      <c r="AQ606">
        <v>0</v>
      </c>
      <c r="AR606">
        <v>0</v>
      </c>
      <c r="AS606">
        <v>0</v>
      </c>
      <c r="AT606">
        <v>0</v>
      </c>
      <c r="AU606">
        <v>0</v>
      </c>
      <c r="AV606">
        <v>0</v>
      </c>
      <c r="AW606">
        <v>0</v>
      </c>
      <c r="AX606" s="141">
        <f>COUNTIF(V606:AW606,"&lt;&gt;0")</f>
        <v>1</v>
      </c>
      <c r="AY606" s="141">
        <f>COUNTIF(V606:AL606,"&lt;&gt;0")</f>
        <v>1</v>
      </c>
      <c r="AZ606">
        <f>COUNTIF(V606:AC606,"&lt;&gt;0")</f>
        <v>0</v>
      </c>
      <c r="BA606">
        <f>COUNTIF(AD606:AI606,"&lt;&gt;0")</f>
        <v>1</v>
      </c>
      <c r="BB606">
        <f>COUNTIF(AJ606:AL606,"&lt;&gt;0")</f>
        <v>0</v>
      </c>
      <c r="BC606">
        <f>COUNTIF(AS606:AW606,"&lt;&gt;0")</f>
        <v>0</v>
      </c>
      <c r="BD606">
        <f>COUNTIF(AM606:AR606,"&lt;&gt;0")</f>
        <v>0</v>
      </c>
      <c r="BE606" t="str">
        <f t="array" ref="BE606">IF(AY606=1,INDEX($V$7:$AL$7,MATCH(TRUE,INDEX($V606:$AW606&lt;&gt;0,),0)),IF(AY606=0,INDEX($AM$7:$AW$7,MATCH(1,$AM606:$AW606,0)),IF(BF606="Multiple strategies","mixed drivers",IF(BF606="Supply chain","multiple supply","multiple silviculture"))))</f>
        <v>recycling</v>
      </c>
      <c r="BF606" s="2" t="str" cm="1">
        <f t="array" ref="BF606">IF(COUNTIF(AZ606:BB606,"&lt;&gt;0")=1,INDEX($V$4:$AW$4,MATCH(TRUE,INDEX($V606:$AW606&lt;&gt;0,),0)),IF(COUNTIF(AZ606:BB606,"&lt;&gt;0")=0,INDEX($AM$4:$AW$4,MATCH(1,$AM606:$AW606,0)),"Multiple strategies"))</f>
        <v>Supply chain</v>
      </c>
      <c r="BG606" s="1" t="s">
        <v>229</v>
      </c>
      <c r="BH606" t="s">
        <v>1548</v>
      </c>
      <c r="BJ606" t="s">
        <v>345</v>
      </c>
      <c r="BK606">
        <v>922</v>
      </c>
      <c r="BL606">
        <f>922+519+281+121</f>
        <v>1843</v>
      </c>
      <c r="BM606">
        <v>1.9989154013015185</v>
      </c>
      <c r="BN606">
        <f>BL606-BK606</f>
        <v>921</v>
      </c>
      <c r="BO606">
        <f>BN606*kg_to_m3</f>
        <v>1.879591836734694</v>
      </c>
      <c r="BP606" s="264" t="s">
        <v>395</v>
      </c>
      <c r="BR606" t="s">
        <v>728</v>
      </c>
      <c r="BS606">
        <v>-462.1</v>
      </c>
      <c r="BT606">
        <v>-675.9</v>
      </c>
      <c r="BU606" s="144">
        <v>-0.52307692307692311</v>
      </c>
      <c r="BV606">
        <f>BT606-BS606</f>
        <v>-213.79999999999995</v>
      </c>
      <c r="BX606">
        <f>BV606/1000</f>
        <v>-0.21379999999999996</v>
      </c>
      <c r="BY606">
        <f>IFERROR(BX606/BO606,"")</f>
        <v>-0.11374809989142234</v>
      </c>
      <c r="BZ606">
        <v>0</v>
      </c>
      <c r="CA606">
        <v>0</v>
      </c>
      <c r="CB606">
        <v>0</v>
      </c>
      <c r="CC606">
        <v>0</v>
      </c>
      <c r="CD606">
        <v>0</v>
      </c>
      <c r="CE606">
        <v>0</v>
      </c>
      <c r="CF606">
        <v>0</v>
      </c>
      <c r="CG606">
        <v>0</v>
      </c>
      <c r="CH606">
        <v>0</v>
      </c>
      <c r="CI606">
        <v>0</v>
      </c>
      <c r="CJ606">
        <v>0</v>
      </c>
      <c r="CK606">
        <v>0</v>
      </c>
      <c r="CL606">
        <v>0</v>
      </c>
      <c r="CM606">
        <v>0</v>
      </c>
      <c r="CN606" t="str">
        <f>IF($BL606&lt;$BK606,"refNeedCorrection","refOK")</f>
        <v>refOK</v>
      </c>
      <c r="CO606">
        <f>IF($CN606="refNeedCorrection",BL606,BK606)</f>
        <v>922</v>
      </c>
      <c r="CP606">
        <f>IF($CN606="refNeedCorrection",BK606,BL606)</f>
        <v>1843</v>
      </c>
      <c r="CQ606">
        <f>IF($CN606="refOK",$BO606,-$BO606)</f>
        <v>1.879591836734694</v>
      </c>
      <c r="CR606">
        <f>IF($CN606="refOK",$BS606,$BT606)*IF($BP606="Emissions positive",-1,1)</f>
        <v>462.1</v>
      </c>
      <c r="CS606">
        <f>IF($CN606="refOK",$BT606,$BS606)*IF($BP606="Emissions positive",-1,1)</f>
        <v>675.9</v>
      </c>
      <c r="CT606">
        <f>IF($CN606="refNeedCorrection",-BX606,BX606)*IF($BP606="Emissions positive",-1,1)</f>
        <v>0.21379999999999996</v>
      </c>
      <c r="CU606">
        <f>IFERROR(CT606/CQ606,"")</f>
        <v>0.11374809989142234</v>
      </c>
      <c r="CV606" s="2">
        <f>IFERROR((CS606-CR606)/ABS(CR606),"")</f>
        <v>0.46267041765851535</v>
      </c>
      <c r="CW606" s="1" t="s">
        <v>1199</v>
      </c>
      <c r="CX606" t="str">
        <f>IF(OR($CW606="prd",$CW606="std",$CW606="cit"),"loc",IF(OR($CW606="eur",$CW606="reg",$CW606="coy"),"reg",$CW606))</f>
        <v>reg</v>
      </c>
      <c r="CY606" t="s">
        <v>1540</v>
      </c>
      <c r="DB606">
        <v>500</v>
      </c>
      <c r="DC606" t="str">
        <f>IF(DB606=0,"0",IF(AND(DB606&gt;=1,DB606&lt;=30),"1-30",IF(AND(DB606&gt;30,DB606&lt;=70),"31-70",IF(AND(DB606&gt;70,DB606&lt;=100),"71-100",IF(DB606&gt;100,"+100")))))</f>
        <v>+100</v>
      </c>
      <c r="DD606">
        <v>0</v>
      </c>
      <c r="DE606">
        <v>0</v>
      </c>
      <c r="DF606">
        <v>0</v>
      </c>
      <c r="DG606">
        <v>1</v>
      </c>
      <c r="DI606">
        <f>SUM(DD606:DG606)</f>
        <v>1</v>
      </c>
      <c r="DJ606" t="str">
        <f>IF(DI606=1,INDEX($DD$7:$DG$7,MATCH(1,$DD606:$DG606,0)),"mixedProduct")</f>
        <v>TimberInput</v>
      </c>
      <c r="DK606">
        <f>IF(DD606=1,DK$7,0)</f>
        <v>0</v>
      </c>
      <c r="DL606">
        <f>IF(DE606=1,DL$7,0)</f>
        <v>0</v>
      </c>
      <c r="DM606">
        <f>IF(DF606=1,DM$7,0)</f>
        <v>0</v>
      </c>
      <c r="DN606" t="str">
        <f>IF(DG606=1,DN$7,0)</f>
        <v>Timber</v>
      </c>
      <c r="DO606">
        <v>0</v>
      </c>
      <c r="DP606">
        <v>1</v>
      </c>
      <c r="DQ606">
        <v>0</v>
      </c>
      <c r="DR606">
        <v>0</v>
      </c>
      <c r="DS606" t="s">
        <v>1541</v>
      </c>
      <c r="DT606">
        <f>SUM(DO606:DP606)</f>
        <v>1</v>
      </c>
      <c r="DU606" s="143" t="str">
        <f>IF(DO606=1,"self-calculated DF",IF(DP606=1,"external DF used","explicit C balance"))</f>
        <v>external DF used</v>
      </c>
      <c r="DV606">
        <v>0</v>
      </c>
      <c r="DW606">
        <v>0</v>
      </c>
      <c r="DX606">
        <v>0</v>
      </c>
      <c r="DY606">
        <v>0</v>
      </c>
      <c r="DZ606">
        <v>1</v>
      </c>
      <c r="EA606" s="143">
        <v>1</v>
      </c>
      <c r="EB606">
        <v>0</v>
      </c>
      <c r="EC606">
        <v>1</v>
      </c>
      <c r="ED606">
        <v>0</v>
      </c>
      <c r="EE606">
        <v>1</v>
      </c>
      <c r="EF606">
        <v>1</v>
      </c>
      <c r="EG606">
        <v>1</v>
      </c>
      <c r="EH606">
        <v>1</v>
      </c>
      <c r="EI606" s="2">
        <v>0</v>
      </c>
      <c r="EK606" t="str">
        <f>IF(AND(AND(AND(OR($DX606=1,$DW606=1),OR($EC606=1,$EA606=1)),SUM($DV606:$DZ606,$EF606)&gt;=4),SUM($EA606:$EE606)&gt;=2),"Whole sector","")</f>
        <v/>
      </c>
      <c r="EL606" t="str">
        <f>IF(AND(AND(OR($DX606=1,$DW606=1),AND($EC606=0,$EA606=0)),SUM($DV606:$DZ606,$EF606)&gt;=4),"Ecosystem approach","")</f>
        <v/>
      </c>
      <c r="EM606" s="2" t="str">
        <f>IF(AND(AND(AND($DX606=0,$DW606=0),OR($EC606=1,$EA606=1)),SUM($EB606:$EE606)&gt;=2),"Technology approach","")</f>
        <v>Technology approach</v>
      </c>
      <c r="EP606" t="str">
        <f>IF(ISNUMBER(BU606),IF(ABS(BU606-[1]QC_indicators!$B$2)&gt;3*[1]QC_indicators!$C$2,"C ratio",IF(ISNUMBER(BY606),IF(ABS(BY606-[1]QC_indicators!$B$1)&gt;3*[1]QC_indicators!$C$1,"DF","no"))),IF(ISNUMBER(BY606),IF(ABS(BY606-[1]QC_indicators!$B$1)&gt;3*[1]QC_indicators!$C$1,"DF","no")))</f>
        <v>no</v>
      </c>
      <c r="ET606" s="264" t="s">
        <v>3273</v>
      </c>
    </row>
    <row r="607" spans="1:150" ht="15" customHeight="1">
      <c r="A607" s="1" t="s">
        <v>333</v>
      </c>
      <c r="B607" t="s">
        <v>334</v>
      </c>
      <c r="C607" t="s">
        <v>335</v>
      </c>
      <c r="D607" t="s">
        <v>336</v>
      </c>
      <c r="E607" t="s">
        <v>337</v>
      </c>
      <c r="F607" t="s">
        <v>338</v>
      </c>
      <c r="G607" t="s">
        <v>339</v>
      </c>
      <c r="I607">
        <v>2017</v>
      </c>
      <c r="K607" t="s">
        <v>340</v>
      </c>
      <c r="M607" t="str">
        <f>LEFT($D607,FIND(",",$D607)-1)&amp;"_"&amp;I607&amp;L607</f>
        <v>Balasbaneh_2017</v>
      </c>
      <c r="N607" t="s">
        <v>222</v>
      </c>
      <c r="O607" s="140" t="s">
        <v>341</v>
      </c>
      <c r="Q607" t="s">
        <v>224</v>
      </c>
      <c r="R607" s="262" t="s">
        <v>223</v>
      </c>
      <c r="S607" s="1" t="s">
        <v>350</v>
      </c>
      <c r="T607" t="s">
        <v>343</v>
      </c>
      <c r="U607" t="s">
        <v>351</v>
      </c>
      <c r="V607">
        <v>0</v>
      </c>
      <c r="W607">
        <v>0</v>
      </c>
      <c r="X607">
        <v>0</v>
      </c>
      <c r="Y607">
        <v>0</v>
      </c>
      <c r="Z607">
        <v>0</v>
      </c>
      <c r="AA607">
        <v>0</v>
      </c>
      <c r="AB607">
        <v>0</v>
      </c>
      <c r="AC607">
        <v>0</v>
      </c>
      <c r="AD607">
        <v>0</v>
      </c>
      <c r="AE607">
        <v>0</v>
      </c>
      <c r="AF607">
        <v>0</v>
      </c>
      <c r="AG607">
        <v>0</v>
      </c>
      <c r="AH607">
        <v>0</v>
      </c>
      <c r="AI607">
        <v>0</v>
      </c>
      <c r="AJ607">
        <v>0</v>
      </c>
      <c r="AK607">
        <v>1</v>
      </c>
      <c r="AL607">
        <v>0</v>
      </c>
      <c r="AM607">
        <v>0</v>
      </c>
      <c r="AN607">
        <v>0</v>
      </c>
      <c r="AO607">
        <v>0</v>
      </c>
      <c r="AP607">
        <v>0</v>
      </c>
      <c r="AQ607">
        <v>0</v>
      </c>
      <c r="AR607">
        <v>0</v>
      </c>
      <c r="AS607">
        <v>0</v>
      </c>
      <c r="AT607">
        <v>0</v>
      </c>
      <c r="AU607">
        <v>0</v>
      </c>
      <c r="AV607">
        <v>0</v>
      </c>
      <c r="AW607">
        <v>0</v>
      </c>
      <c r="AX607" s="141">
        <f>COUNTIF(V607:AW607,"&lt;&gt;0")</f>
        <v>1</v>
      </c>
      <c r="AY607" s="141">
        <f>COUNTIF(V607:AL607,"&lt;&gt;0")</f>
        <v>1</v>
      </c>
      <c r="AZ607">
        <f>COUNTIF(V607:AC607,"&lt;&gt;0")</f>
        <v>0</v>
      </c>
      <c r="BA607">
        <f>COUNTIF(AD607:AI607,"&lt;&gt;0")</f>
        <v>0</v>
      </c>
      <c r="BB607">
        <f>COUNTIF(AJ607:AL607,"&lt;&gt;0")</f>
        <v>1</v>
      </c>
      <c r="BC607">
        <f>COUNTIF(AS607:AW607,"&lt;&gt;0")</f>
        <v>0</v>
      </c>
      <c r="BD607">
        <f>COUNTIF(AM607:AR607,"&lt;&gt;0")</f>
        <v>0</v>
      </c>
      <c r="BE607" t="str">
        <f t="array" ref="BE607">IF(AY607=1,INDEX($V$7:$AL$7,MATCH(TRUE,INDEX($V607:$AW607&lt;&gt;0,),0)),IF(AY607=0,INDEX($AM$7:$AW$7,MATCH(1,$AM607:$AW607,0)),IF(BF607="Multiple strategies","mixed drivers",IF(BF607="Supply chain","multiple supply","multiple silviculture"))))</f>
        <v>technologies/design switch</v>
      </c>
      <c r="BF607" s="2" t="str" cm="1">
        <f t="array" ref="BF607">IF(COUNTIF(AZ607:BB607,"&lt;&gt;0")=1,INDEX($V$4:$AW$4,MATCH(TRUE,INDEX($V607:$AW607&lt;&gt;0,),0)),IF(COUNTIF(AZ607:BB607,"&lt;&gt;0")=0,INDEX($AM$4:$AW$4,MATCH(1,$AM607:$AW607,0)),"Multiple strategies"))</f>
        <v>Technology</v>
      </c>
      <c r="BG607" s="1" t="s">
        <v>229</v>
      </c>
      <c r="BH607" t="s">
        <v>229</v>
      </c>
      <c r="BI607" s="264" t="s">
        <v>410</v>
      </c>
      <c r="BJ607" t="s">
        <v>345</v>
      </c>
      <c r="BK607">
        <v>0</v>
      </c>
      <c r="BL607">
        <v>23500</v>
      </c>
      <c r="BM607" s="143"/>
      <c r="BN607">
        <f>BL607-BK607</f>
        <v>23500</v>
      </c>
      <c r="BO607" s="143">
        <f>BN607*kg_to_m3</f>
        <v>47.95918367346939</v>
      </c>
      <c r="BP607" t="s">
        <v>232</v>
      </c>
      <c r="BQ607" s="335" t="s">
        <v>396</v>
      </c>
      <c r="BR607" t="s">
        <v>346</v>
      </c>
      <c r="BS607">
        <v>-11200</v>
      </c>
      <c r="BT607">
        <v>-5650</v>
      </c>
      <c r="BU607" s="144">
        <v>0.5044642857142857</v>
      </c>
      <c r="BV607">
        <f>BT607-BS607</f>
        <v>5550</v>
      </c>
      <c r="BX607">
        <f>BV607/1000</f>
        <v>5.55</v>
      </c>
      <c r="BY607">
        <f>IFERROR(BX607/BO607,"")</f>
        <v>0.11572340425531914</v>
      </c>
      <c r="BZ607">
        <v>0</v>
      </c>
      <c r="CA607">
        <v>0</v>
      </c>
      <c r="CB607">
        <v>0</v>
      </c>
      <c r="CC607">
        <v>0</v>
      </c>
      <c r="CD607">
        <v>0</v>
      </c>
      <c r="CE607">
        <v>0</v>
      </c>
      <c r="CF607">
        <v>0</v>
      </c>
      <c r="CG607">
        <v>0</v>
      </c>
      <c r="CH607">
        <v>0</v>
      </c>
      <c r="CI607">
        <v>0</v>
      </c>
      <c r="CJ607">
        <v>0</v>
      </c>
      <c r="CK607">
        <v>0</v>
      </c>
      <c r="CL607">
        <v>0</v>
      </c>
      <c r="CM607">
        <v>0</v>
      </c>
      <c r="CN607" t="str">
        <f>IF($BL607&lt;$BK607,"refNeedCorrection","refOK")</f>
        <v>refOK</v>
      </c>
      <c r="CO607">
        <f>IF($CN607="refNeedCorrection",BL607,BK607)</f>
        <v>0</v>
      </c>
      <c r="CP607">
        <f>IF($CN607="refNeedCorrection",BK607,BL607)</f>
        <v>23500</v>
      </c>
      <c r="CQ607">
        <f>IF($CN607="refOK",$BO607,-$BO607)</f>
        <v>47.95918367346939</v>
      </c>
      <c r="CR607">
        <f>IF($CN607="refOK",$BS607,$BT607)*IF($BP607="Emissions positive",-1,1)</f>
        <v>-11200</v>
      </c>
      <c r="CS607">
        <f>IF($CN607="refOK",$BT607,$BS607)*IF($BP607="Emissions positive",-1,1)</f>
        <v>-5650</v>
      </c>
      <c r="CT607">
        <f>IF($CN607="refNeedCorrection",-BX607,BX607)*IF($BP607="Emissions positive",-1,1)</f>
        <v>5.55</v>
      </c>
      <c r="CU607">
        <f>IFERROR(CT607/CQ607,"")</f>
        <v>0.11572340425531914</v>
      </c>
      <c r="CV607" s="2">
        <f>IFERROR((CS607-CR607)/ABS(CR607),"")</f>
        <v>0.4955357142857143</v>
      </c>
      <c r="CW607" s="1" t="s">
        <v>347</v>
      </c>
      <c r="CX607" t="str">
        <f>IF(OR($CW607="prd",$CW607="std",$CW607="cit"),"loc",IF(OR($CW607="eur",$CW607="reg",$CW607="coy"),"reg",$CW607))</f>
        <v>loc</v>
      </c>
      <c r="CY607" t="s">
        <v>348</v>
      </c>
      <c r="CZ607">
        <v>2014</v>
      </c>
      <c r="DA607">
        <v>2114</v>
      </c>
      <c r="DB607">
        <v>100</v>
      </c>
      <c r="DC607" t="str">
        <f>IF(DB607=0,"0",IF(AND(DB607&gt;=1,DB607&lt;=30),"1-30",IF(AND(DB607&gt;30,DB607&lt;=70),"31-70",IF(AND(DB607&gt;70,DB607&lt;=100),"71-100",IF(DB607&gt;100,"+100")))))</f>
        <v>71-100</v>
      </c>
      <c r="DD607">
        <v>0</v>
      </c>
      <c r="DE607">
        <v>0</v>
      </c>
      <c r="DF607">
        <v>0</v>
      </c>
      <c r="DG607">
        <v>1</v>
      </c>
      <c r="DI607">
        <f>SUM(DD607:DG607)</f>
        <v>1</v>
      </c>
      <c r="DJ607" t="str">
        <f>IF(DI607=1,INDEX($DD$7:$DG$7,MATCH(1,$DD607:$DG607,0)),"mixedProduct")</f>
        <v>TimberInput</v>
      </c>
      <c r="DK607">
        <f>IF(DD607=1,DK$7,0)</f>
        <v>0</v>
      </c>
      <c r="DL607">
        <f>IF(DE607=1,DL$7,0)</f>
        <v>0</v>
      </c>
      <c r="DM607">
        <f>IF(DF607=1,DM$7,0)</f>
        <v>0</v>
      </c>
      <c r="DN607" t="str">
        <f>IF(DG607=1,DN$7,0)</f>
        <v>Timber</v>
      </c>
      <c r="DO607">
        <v>0</v>
      </c>
      <c r="DP607">
        <v>0</v>
      </c>
      <c r="DQ607">
        <v>0</v>
      </c>
      <c r="DR607">
        <v>0</v>
      </c>
      <c r="DS607">
        <v>0</v>
      </c>
      <c r="DT607">
        <f>SUM(DO607:DP607)</f>
        <v>0</v>
      </c>
      <c r="DU607" s="143" t="str">
        <f>IF(DO607=1,"self-calculated DF",IF(DP607=1,"external DF used","explicit C balance"))</f>
        <v>explicit C balance</v>
      </c>
      <c r="DV607">
        <v>0</v>
      </c>
      <c r="DW607">
        <v>0</v>
      </c>
      <c r="DX607">
        <v>0</v>
      </c>
      <c r="DY607">
        <v>1</v>
      </c>
      <c r="DZ607">
        <v>0</v>
      </c>
      <c r="EA607" s="143">
        <v>1</v>
      </c>
      <c r="EB607">
        <v>0</v>
      </c>
      <c r="EC607">
        <v>1</v>
      </c>
      <c r="ED607">
        <v>1</v>
      </c>
      <c r="EE607">
        <v>1</v>
      </c>
      <c r="EF607">
        <v>0</v>
      </c>
      <c r="EG607">
        <v>0</v>
      </c>
      <c r="EH607">
        <v>0</v>
      </c>
      <c r="EI607" s="2">
        <v>0</v>
      </c>
      <c r="EK607" t="str">
        <f>IF(AND(AND(AND(OR($DX607=1,$DW607=1),OR($EC607=1,$EA607=1)),SUM($DV607:$DZ607,$EF607)&gt;=4),SUM($EA607:$EE607)&gt;=2),"Whole sector","")</f>
        <v/>
      </c>
      <c r="EL607" t="str">
        <f>IF(AND(AND(OR($DX607=1,$DW607=1),AND($EC607=0,$EA607=0)),SUM($DV607:$DZ607,$EF607)&gt;=4),"Ecosystem approach","")</f>
        <v/>
      </c>
      <c r="EM607" s="2" t="str">
        <f>IF(AND(AND(AND($DX607=0,$DW607=0),OR($EC607=1,$EA607=1)),SUM($EB607:$EE607)&gt;=2),"Technology approach","")</f>
        <v>Technology approach</v>
      </c>
      <c r="EP607" t="str">
        <f>IF(ISNUMBER(BU607),IF(ABS(BU607-[1]QC_indicators!$B$2)&gt;3*[1]QC_indicators!$C$2,"C ratio",IF(ISNUMBER(BY607),IF(ABS(BY607-[1]QC_indicators!$B$1)&gt;3*[1]QC_indicators!$C$1,"DF","no"))),IF(ISNUMBER(BY607),IF(ABS(BY607-[1]QC_indicators!$B$1)&gt;3*[1]QC_indicators!$C$1,"DF","no")))</f>
        <v>no</v>
      </c>
      <c r="ER607" s="149" t="s">
        <v>349</v>
      </c>
      <c r="ET607" s="264" t="s">
        <v>3273</v>
      </c>
    </row>
    <row r="608" spans="1:150" ht="15" customHeight="1">
      <c r="A608" s="1" t="s">
        <v>1233</v>
      </c>
      <c r="B608" t="s">
        <v>1234</v>
      </c>
      <c r="C608" t="s">
        <v>1235</v>
      </c>
      <c r="D608" t="s">
        <v>336</v>
      </c>
      <c r="E608" t="s">
        <v>1236</v>
      </c>
      <c r="F608" t="s">
        <v>1237</v>
      </c>
      <c r="G608" t="s">
        <v>1238</v>
      </c>
      <c r="I608">
        <v>2018</v>
      </c>
      <c r="K608" t="s">
        <v>1239</v>
      </c>
      <c r="M608" t="str">
        <f>LEFT($D608,FIND(",",$D608)-1)&amp;"_"&amp;I608&amp;L608</f>
        <v>Balasbaneh_2018</v>
      </c>
      <c r="N608" t="s">
        <v>222</v>
      </c>
      <c r="O608" s="140" t="s">
        <v>513</v>
      </c>
      <c r="Q608" t="s">
        <v>224</v>
      </c>
      <c r="R608" s="262" t="s">
        <v>223</v>
      </c>
      <c r="S608" s="1" t="s">
        <v>1244</v>
      </c>
      <c r="T608" s="264" t="s">
        <v>3114</v>
      </c>
      <c r="U608" s="264" t="s">
        <v>3111</v>
      </c>
      <c r="V608">
        <v>0</v>
      </c>
      <c r="W608">
        <v>0</v>
      </c>
      <c r="X608">
        <v>0</v>
      </c>
      <c r="Y608">
        <v>0</v>
      </c>
      <c r="Z608">
        <v>0</v>
      </c>
      <c r="AA608">
        <v>0</v>
      </c>
      <c r="AB608">
        <v>0</v>
      </c>
      <c r="AC608">
        <v>0</v>
      </c>
      <c r="AD608">
        <v>0</v>
      </c>
      <c r="AE608">
        <v>0</v>
      </c>
      <c r="AF608">
        <v>0</v>
      </c>
      <c r="AG608">
        <v>0</v>
      </c>
      <c r="AH608">
        <v>0</v>
      </c>
      <c r="AI608">
        <v>0</v>
      </c>
      <c r="AJ608">
        <v>0</v>
      </c>
      <c r="AK608">
        <v>1</v>
      </c>
      <c r="AL608">
        <v>0</v>
      </c>
      <c r="AM608">
        <v>0</v>
      </c>
      <c r="AN608">
        <v>0</v>
      </c>
      <c r="AO608">
        <v>0</v>
      </c>
      <c r="AP608">
        <v>0</v>
      </c>
      <c r="AQ608">
        <v>0</v>
      </c>
      <c r="AR608">
        <v>0</v>
      </c>
      <c r="AS608">
        <v>0</v>
      </c>
      <c r="AT608">
        <v>0</v>
      </c>
      <c r="AU608">
        <v>0</v>
      </c>
      <c r="AV608">
        <v>0</v>
      </c>
      <c r="AW608">
        <v>0</v>
      </c>
      <c r="AX608" s="141">
        <f>COUNTIF(V608:AW608,"&lt;&gt;0")</f>
        <v>1</v>
      </c>
      <c r="AY608" s="141">
        <f>COUNTIF(V608:AL608,"&lt;&gt;0")</f>
        <v>1</v>
      </c>
      <c r="AZ608">
        <f>COUNTIF(V608:AC608,"&lt;&gt;0")</f>
        <v>0</v>
      </c>
      <c r="BA608">
        <f>COUNTIF(AD608:AI608,"&lt;&gt;0")</f>
        <v>0</v>
      </c>
      <c r="BB608">
        <f>COUNTIF(AJ608:AL608,"&lt;&gt;0")</f>
        <v>1</v>
      </c>
      <c r="BC608">
        <f>COUNTIF(AS608:AW608,"&lt;&gt;0")</f>
        <v>0</v>
      </c>
      <c r="BD608">
        <f>COUNTIF(AM608:AR608,"&lt;&gt;0")</f>
        <v>0</v>
      </c>
      <c r="BE608" t="str">
        <f t="array" ref="BE608">IF(AY608=1,INDEX($V$7:$AL$7,MATCH(TRUE,INDEX($V608:$AW608&lt;&gt;0,),0)),IF(AY608=0,INDEX($AM$7:$AW$7,MATCH(1,$AM608:$AW608,0)),IF(BF608="Multiple strategies","mixed drivers",IF(BF608="Supply chain","multiple supply","multiple silviculture"))))</f>
        <v>technologies/design switch</v>
      </c>
      <c r="BF608" s="2" t="str" cm="1">
        <f t="array" ref="BF608">IF(COUNTIF(AZ608:BB608,"&lt;&gt;0")=1,INDEX($V$4:$AW$4,MATCH(TRUE,INDEX($V608:$AW608&lt;&gt;0,),0)),IF(COUNTIF(AZ608:BB608,"&lt;&gt;0")=0,INDEX($AM$4:$AW$4,MATCH(1,$AM608:$AW608,0)),"Multiple strategies"))</f>
        <v>Technology</v>
      </c>
      <c r="BG608" s="1" t="s">
        <v>229</v>
      </c>
      <c r="BH608" t="s">
        <v>229</v>
      </c>
      <c r="BJ608" t="s">
        <v>345</v>
      </c>
      <c r="BK608">
        <v>0</v>
      </c>
      <c r="BL608">
        <v>15468</v>
      </c>
      <c r="BM608" s="143"/>
      <c r="BN608">
        <f>BL608-BK608</f>
        <v>15468</v>
      </c>
      <c r="BO608" s="143">
        <f>BN608*kg_to_m3</f>
        <v>31.567346938775515</v>
      </c>
      <c r="BP608" t="s">
        <v>232</v>
      </c>
      <c r="BQ608" s="337" t="s">
        <v>1057</v>
      </c>
      <c r="BR608" t="s">
        <v>397</v>
      </c>
      <c r="BS608">
        <v>-9120</v>
      </c>
      <c r="BT608">
        <v>-5370</v>
      </c>
      <c r="BU608" s="144">
        <v>0.58881578947368418</v>
      </c>
      <c r="BV608">
        <v>3750</v>
      </c>
      <c r="BX608">
        <f>BV608/1000</f>
        <v>3.75</v>
      </c>
      <c r="BY608">
        <f>IFERROR(BX608/BO608,"")</f>
        <v>0.11879363847944141</v>
      </c>
      <c r="BZ608">
        <v>0</v>
      </c>
      <c r="CA608">
        <v>0</v>
      </c>
      <c r="CB608">
        <v>0</v>
      </c>
      <c r="CC608">
        <v>0</v>
      </c>
      <c r="CD608">
        <v>0</v>
      </c>
      <c r="CE608">
        <v>0</v>
      </c>
      <c r="CF608">
        <v>0</v>
      </c>
      <c r="CG608">
        <v>0</v>
      </c>
      <c r="CH608">
        <v>0</v>
      </c>
      <c r="CI608">
        <v>0</v>
      </c>
      <c r="CJ608">
        <v>0</v>
      </c>
      <c r="CK608">
        <v>0</v>
      </c>
      <c r="CL608">
        <v>0</v>
      </c>
      <c r="CM608">
        <v>0</v>
      </c>
      <c r="CN608" t="str">
        <f>IF($BL608&lt;$BK608,"refNeedCorrection","refOK")</f>
        <v>refOK</v>
      </c>
      <c r="CO608">
        <f>IF($CN608="refNeedCorrection",BL608,BK608)</f>
        <v>0</v>
      </c>
      <c r="CP608">
        <f>IF($CN608="refNeedCorrection",BK608,BL608)</f>
        <v>15468</v>
      </c>
      <c r="CQ608">
        <f>IF($CN608="refOK",$BO608,-$BO608)</f>
        <v>31.567346938775515</v>
      </c>
      <c r="CR608">
        <f>IF($CN608="refOK",$BS608,$BT608)*IF($BP608="Emissions positive",-1,1)</f>
        <v>-9120</v>
      </c>
      <c r="CS608">
        <f>IF($CN608="refOK",$BT608,$BS608)*IF($BP608="Emissions positive",-1,1)</f>
        <v>-5370</v>
      </c>
      <c r="CT608">
        <f>IF($CN608="refNeedCorrection",-BX608,BX608)*IF($BP608="Emissions positive",-1,1)</f>
        <v>3.75</v>
      </c>
      <c r="CU608">
        <f>IFERROR(CT608/CQ608,"")</f>
        <v>0.11879363847944141</v>
      </c>
      <c r="CV608" s="2">
        <f>IFERROR((CS608-CR608)/ABS(CR608),"")</f>
        <v>0.41118421052631576</v>
      </c>
      <c r="CW608" s="1" t="s">
        <v>1203</v>
      </c>
      <c r="CX608" t="str">
        <f>IF(OR($CW608="prd",$CW608="std",$CW608="cit"),"loc",IF(OR($CW608="eur",$CW608="reg",$CW608="coy"),"reg",$CW608))</f>
        <v>reg</v>
      </c>
      <c r="CY608" t="s">
        <v>348</v>
      </c>
      <c r="CZ608">
        <v>2014</v>
      </c>
      <c r="DA608">
        <v>2114</v>
      </c>
      <c r="DB608">
        <v>100</v>
      </c>
      <c r="DC608" t="str">
        <f>IF(DB608=0,"0",IF(AND(DB608&gt;=1,DB608&lt;=30),"1-30",IF(AND(DB608&gt;30,DB608&lt;=70),"31-70",IF(AND(DB608&gt;70,DB608&lt;=100),"71-100",IF(DB608&gt;100,"+100")))))</f>
        <v>71-100</v>
      </c>
      <c r="DD608">
        <v>0</v>
      </c>
      <c r="DE608">
        <v>0</v>
      </c>
      <c r="DF608">
        <v>0</v>
      </c>
      <c r="DG608">
        <v>1</v>
      </c>
      <c r="DI608">
        <f>SUM(DD608:DG608)</f>
        <v>1</v>
      </c>
      <c r="DJ608" t="str">
        <f>IF(DI608=1,INDEX($DD$7:$DG$7,MATCH(1,$DD608:$DG608,0)),"mixedProduct")</f>
        <v>TimberInput</v>
      </c>
      <c r="DK608">
        <f>IF(DD608=1,DK$7,0)</f>
        <v>0</v>
      </c>
      <c r="DL608">
        <f>IF(DE608=1,DL$7,0)</f>
        <v>0</v>
      </c>
      <c r="DM608">
        <f>IF(DF608=1,DM$7,0)</f>
        <v>0</v>
      </c>
      <c r="DN608" t="str">
        <f>IF(DG608=1,DN$7,0)</f>
        <v>Timber</v>
      </c>
      <c r="DO608">
        <v>0</v>
      </c>
      <c r="DP608">
        <v>0</v>
      </c>
      <c r="DQ608">
        <v>0</v>
      </c>
      <c r="DR608">
        <v>0</v>
      </c>
      <c r="DS608">
        <v>0</v>
      </c>
      <c r="DT608">
        <f>SUM(DO608:DP608)</f>
        <v>0</v>
      </c>
      <c r="DU608" s="143" t="str">
        <f>IF(DO608=1,"self-calculated DF",IF(DP608=1,"external DF used","explicit C balance"))</f>
        <v>explicit C balance</v>
      </c>
      <c r="DV608">
        <v>0</v>
      </c>
      <c r="DW608">
        <v>0</v>
      </c>
      <c r="DX608">
        <v>0</v>
      </c>
      <c r="DY608">
        <v>0</v>
      </c>
      <c r="DZ608">
        <v>0</v>
      </c>
      <c r="EA608" s="143">
        <v>1</v>
      </c>
      <c r="EB608">
        <v>0</v>
      </c>
      <c r="EC608">
        <v>1</v>
      </c>
      <c r="ED608">
        <v>1</v>
      </c>
      <c r="EE608">
        <v>1</v>
      </c>
      <c r="EF608">
        <v>0</v>
      </c>
      <c r="EG608">
        <v>0</v>
      </c>
      <c r="EH608">
        <v>0</v>
      </c>
      <c r="EI608" s="2">
        <v>0</v>
      </c>
      <c r="EK608" t="str">
        <f>IF(AND(AND(AND(OR($DX608=1,$DW608=1),OR($EC608=1,$EA608=1)),SUM($DV608:$DZ608,$EF608)&gt;=4),SUM($EA608:$EE608)&gt;=2),"Whole sector","")</f>
        <v/>
      </c>
      <c r="EL608" t="str">
        <f>IF(AND(AND(OR($DX608=1,$DW608=1),AND($EC608=0,$EA608=0)),SUM($DV608:$DZ608,$EF608)&gt;=4),"Ecosystem approach","")</f>
        <v/>
      </c>
      <c r="EM608" s="2" t="str">
        <f>IF(AND(AND(AND($DX608=0,$DW608=0),OR($EC608=1,$EA608=1)),SUM($EB608:$EE608)&gt;=2),"Technology approach","")</f>
        <v>Technology approach</v>
      </c>
      <c r="EP608" t="str">
        <f>IF(ISNUMBER(BU608),IF(ABS(BU608-[1]QC_indicators!$B$2)&gt;3*[1]QC_indicators!$C$2,"C ratio",IF(ISNUMBER(BY608),IF(ABS(BY608-[1]QC_indicators!$B$1)&gt;3*[1]QC_indicators!$C$1,"DF","no"))),IF(ISNUMBER(BY608),IF(ABS(BY608-[1]QC_indicators!$B$1)&gt;3*[1]QC_indicators!$C$1,"DF","no")))</f>
        <v>no</v>
      </c>
      <c r="ER608" s="149" t="s">
        <v>349</v>
      </c>
      <c r="ET608" s="264" t="s">
        <v>3273</v>
      </c>
    </row>
    <row r="609" spans="1:151" ht="15" customHeight="1">
      <c r="A609" s="1" t="s">
        <v>333</v>
      </c>
      <c r="B609" t="s">
        <v>334</v>
      </c>
      <c r="C609" t="s">
        <v>335</v>
      </c>
      <c r="D609" t="s">
        <v>336</v>
      </c>
      <c r="E609" t="s">
        <v>337</v>
      </c>
      <c r="F609" t="s">
        <v>338</v>
      </c>
      <c r="G609" t="s">
        <v>339</v>
      </c>
      <c r="I609">
        <v>2017</v>
      </c>
      <c r="K609" t="s">
        <v>340</v>
      </c>
      <c r="M609" t="str">
        <f>LEFT($D609,FIND(",",$D609)-1)&amp;"_"&amp;I609&amp;L609</f>
        <v>Balasbaneh_2017</v>
      </c>
      <c r="N609" t="s">
        <v>222</v>
      </c>
      <c r="O609" s="140" t="s">
        <v>341</v>
      </c>
      <c r="Q609" t="s">
        <v>224</v>
      </c>
      <c r="R609" s="262" t="s">
        <v>223</v>
      </c>
      <c r="S609" s="1" t="s">
        <v>352</v>
      </c>
      <c r="T609" t="s">
        <v>343</v>
      </c>
      <c r="U609" t="s">
        <v>344</v>
      </c>
      <c r="V609">
        <v>0</v>
      </c>
      <c r="W609">
        <v>0</v>
      </c>
      <c r="X609">
        <v>0</v>
      </c>
      <c r="Y609">
        <v>0</v>
      </c>
      <c r="Z609">
        <v>0</v>
      </c>
      <c r="AA609">
        <v>0</v>
      </c>
      <c r="AB609">
        <v>0</v>
      </c>
      <c r="AC609">
        <v>0</v>
      </c>
      <c r="AD609">
        <v>0</v>
      </c>
      <c r="AE609">
        <v>0</v>
      </c>
      <c r="AF609">
        <v>0</v>
      </c>
      <c r="AG609">
        <v>0</v>
      </c>
      <c r="AH609">
        <v>0</v>
      </c>
      <c r="AI609">
        <v>0</v>
      </c>
      <c r="AJ609">
        <v>0</v>
      </c>
      <c r="AK609">
        <v>1</v>
      </c>
      <c r="AL609">
        <v>0</v>
      </c>
      <c r="AM609">
        <v>0</v>
      </c>
      <c r="AN609">
        <v>0</v>
      </c>
      <c r="AO609">
        <v>0</v>
      </c>
      <c r="AP609">
        <v>0</v>
      </c>
      <c r="AQ609">
        <v>0</v>
      </c>
      <c r="AR609">
        <v>0</v>
      </c>
      <c r="AS609">
        <v>0</v>
      </c>
      <c r="AT609">
        <v>0</v>
      </c>
      <c r="AU609">
        <v>0</v>
      </c>
      <c r="AV609">
        <v>0</v>
      </c>
      <c r="AW609">
        <v>0</v>
      </c>
      <c r="AX609" s="141">
        <f>COUNTIF(V609:AW609,"&lt;&gt;0")</f>
        <v>1</v>
      </c>
      <c r="AY609" s="141">
        <f>COUNTIF(V609:AL609,"&lt;&gt;0")</f>
        <v>1</v>
      </c>
      <c r="AZ609">
        <f>COUNTIF(V609:AC609,"&lt;&gt;0")</f>
        <v>0</v>
      </c>
      <c r="BA609">
        <f>COUNTIF(AD609:AI609,"&lt;&gt;0")</f>
        <v>0</v>
      </c>
      <c r="BB609">
        <f>COUNTIF(AJ609:AL609,"&lt;&gt;0")</f>
        <v>1</v>
      </c>
      <c r="BC609">
        <f>COUNTIF(AS609:AW609,"&lt;&gt;0")</f>
        <v>0</v>
      </c>
      <c r="BD609">
        <f>COUNTIF(AM609:AR609,"&lt;&gt;0")</f>
        <v>0</v>
      </c>
      <c r="BE609" t="str">
        <f t="array" ref="BE609">IF(AY609=1,INDEX($V$7:$AL$7,MATCH(TRUE,INDEX($V609:$AW609&lt;&gt;0,),0)),IF(AY609=0,INDEX($AM$7:$AW$7,MATCH(1,$AM609:$AW609,0)),IF(BF609="Multiple strategies","mixed drivers",IF(BF609="Supply chain","multiple supply","multiple silviculture"))))</f>
        <v>technologies/design switch</v>
      </c>
      <c r="BF609" s="2" t="str" cm="1">
        <f t="array" ref="BF609">IF(COUNTIF(AZ609:BB609,"&lt;&gt;0")=1,INDEX($V$4:$AW$4,MATCH(TRUE,INDEX($V609:$AW609&lt;&gt;0,),0)),IF(COUNTIF(AZ609:BB609,"&lt;&gt;0")=0,INDEX($AM$4:$AW$4,MATCH(1,$AM609:$AW609,0)),"Multiple strategies"))</f>
        <v>Technology</v>
      </c>
      <c r="BG609" s="1" t="s">
        <v>229</v>
      </c>
      <c r="BH609" t="s">
        <v>229</v>
      </c>
      <c r="BI609" s="264" t="s">
        <v>410</v>
      </c>
      <c r="BJ609" t="s">
        <v>345</v>
      </c>
      <c r="BK609">
        <v>0</v>
      </c>
      <c r="BL609">
        <v>23500</v>
      </c>
      <c r="BM609" s="143"/>
      <c r="BN609">
        <f>BL609-BK609</f>
        <v>23500</v>
      </c>
      <c r="BO609" s="143">
        <f>BN609*kg_to_m3</f>
        <v>47.95918367346939</v>
      </c>
      <c r="BP609" t="s">
        <v>232</v>
      </c>
      <c r="BQ609" s="264" t="s">
        <v>396</v>
      </c>
      <c r="BR609" t="s">
        <v>346</v>
      </c>
      <c r="BS609">
        <v>-12100</v>
      </c>
      <c r="BT609">
        <v>-6250</v>
      </c>
      <c r="BU609" s="144">
        <v>0.51652892561983466</v>
      </c>
      <c r="BV609">
        <f>BT609-BS609</f>
        <v>5850</v>
      </c>
      <c r="BX609">
        <f>BV609/1000</f>
        <v>5.85</v>
      </c>
      <c r="BY609">
        <f>IFERROR(BX609/BO609,"")</f>
        <v>0.12197872340425531</v>
      </c>
      <c r="BZ609">
        <v>0</v>
      </c>
      <c r="CA609">
        <v>0</v>
      </c>
      <c r="CB609">
        <v>0</v>
      </c>
      <c r="CC609">
        <v>0</v>
      </c>
      <c r="CD609">
        <v>0</v>
      </c>
      <c r="CE609">
        <v>0</v>
      </c>
      <c r="CF609">
        <v>0</v>
      </c>
      <c r="CG609">
        <v>0</v>
      </c>
      <c r="CH609">
        <v>0</v>
      </c>
      <c r="CI609">
        <v>0</v>
      </c>
      <c r="CJ609">
        <v>0</v>
      </c>
      <c r="CK609">
        <v>0</v>
      </c>
      <c r="CL609">
        <v>0</v>
      </c>
      <c r="CM609">
        <v>0</v>
      </c>
      <c r="CN609" t="str">
        <f>IF($BL609&lt;$BK609,"refNeedCorrection","refOK")</f>
        <v>refOK</v>
      </c>
      <c r="CO609">
        <f>IF($CN609="refNeedCorrection",BL609,BK609)</f>
        <v>0</v>
      </c>
      <c r="CP609">
        <f>IF($CN609="refNeedCorrection",BK609,BL609)</f>
        <v>23500</v>
      </c>
      <c r="CQ609">
        <f>IF($CN609="refOK",$BO609,-$BO609)</f>
        <v>47.95918367346939</v>
      </c>
      <c r="CR609">
        <f>IF($CN609="refOK",$BS609,$BT609)*IF($BP609="Emissions positive",-1,1)</f>
        <v>-12100</v>
      </c>
      <c r="CS609">
        <f>IF($CN609="refOK",$BT609,$BS609)*IF($BP609="Emissions positive",-1,1)</f>
        <v>-6250</v>
      </c>
      <c r="CT609">
        <f>IF($CN609="refNeedCorrection",-BX609,BX609)*IF($BP609="Emissions positive",-1,1)</f>
        <v>5.85</v>
      </c>
      <c r="CU609">
        <f>IFERROR(CT609/CQ609,"")</f>
        <v>0.12197872340425531</v>
      </c>
      <c r="CV609" s="2">
        <f>IFERROR((CS609-CR609)/ABS(CR609),"")</f>
        <v>0.48347107438016529</v>
      </c>
      <c r="CW609" s="1" t="s">
        <v>347</v>
      </c>
      <c r="CX609" t="str">
        <f>IF(OR($CW609="prd",$CW609="std",$CW609="cit"),"loc",IF(OR($CW609="eur",$CW609="reg",$CW609="coy"),"reg",$CW609))</f>
        <v>loc</v>
      </c>
      <c r="CY609" t="s">
        <v>348</v>
      </c>
      <c r="CZ609">
        <v>2014</v>
      </c>
      <c r="DA609">
        <v>2034</v>
      </c>
      <c r="DB609">
        <v>20</v>
      </c>
      <c r="DC609" t="str">
        <f>IF(DB609=0,"0",IF(AND(DB609&gt;=1,DB609&lt;=30),"1-30",IF(AND(DB609&gt;30,DB609&lt;=70),"31-70",IF(AND(DB609&gt;70,DB609&lt;=100),"71-100",IF(DB609&gt;100,"+100")))))</f>
        <v>1-30</v>
      </c>
      <c r="DD609">
        <v>0</v>
      </c>
      <c r="DE609">
        <v>0</v>
      </c>
      <c r="DF609">
        <v>0</v>
      </c>
      <c r="DG609">
        <v>1</v>
      </c>
      <c r="DI609">
        <f>SUM(DD609:DG609)</f>
        <v>1</v>
      </c>
      <c r="DJ609" t="str">
        <f>IF(DI609=1,INDEX($DD$7:$DG$7,MATCH(1,$DD609:$DG609,0)),"mixedProduct")</f>
        <v>TimberInput</v>
      </c>
      <c r="DK609">
        <f>IF(DD609=1,DK$7,0)</f>
        <v>0</v>
      </c>
      <c r="DL609">
        <f>IF(DE609=1,DL$7,0)</f>
        <v>0</v>
      </c>
      <c r="DM609">
        <f>IF(DF609=1,DM$7,0)</f>
        <v>0</v>
      </c>
      <c r="DN609" t="str">
        <f>IF(DG609=1,DN$7,0)</f>
        <v>Timber</v>
      </c>
      <c r="DO609">
        <v>0</v>
      </c>
      <c r="DP609">
        <v>0</v>
      </c>
      <c r="DQ609">
        <v>0</v>
      </c>
      <c r="DR609">
        <v>0</v>
      </c>
      <c r="DS609">
        <v>0</v>
      </c>
      <c r="DT609">
        <f>SUM(DO609:DP609)</f>
        <v>0</v>
      </c>
      <c r="DU609" s="143" t="str">
        <f>IF(DO609=1,"self-calculated DF",IF(DP609=1,"external DF used","explicit C balance"))</f>
        <v>explicit C balance</v>
      </c>
      <c r="DV609">
        <v>0</v>
      </c>
      <c r="DW609">
        <v>0</v>
      </c>
      <c r="DX609">
        <v>0</v>
      </c>
      <c r="DY609">
        <v>1</v>
      </c>
      <c r="DZ609">
        <v>0</v>
      </c>
      <c r="EA609" s="143">
        <v>1</v>
      </c>
      <c r="EB609">
        <v>0</v>
      </c>
      <c r="EC609">
        <v>1</v>
      </c>
      <c r="ED609">
        <v>1</v>
      </c>
      <c r="EE609">
        <v>1</v>
      </c>
      <c r="EF609">
        <v>0</v>
      </c>
      <c r="EG609">
        <v>0</v>
      </c>
      <c r="EH609">
        <v>0</v>
      </c>
      <c r="EI609" s="2">
        <v>0</v>
      </c>
      <c r="EK609" t="str">
        <f>IF(AND(AND(AND(OR($DX609=1,$DW609=1),OR($EC609=1,$EA609=1)),SUM($DV609:$DZ609,$EF609)&gt;=4),SUM($EA609:$EE609)&gt;=2),"Whole sector","")</f>
        <v/>
      </c>
      <c r="EL609" t="str">
        <f>IF(AND(AND(OR($DX609=1,$DW609=1),AND($EC609=0,$EA609=0)),SUM($DV609:$DZ609,$EF609)&gt;=4),"Ecosystem approach","")</f>
        <v/>
      </c>
      <c r="EM609" s="2" t="str">
        <f>IF(AND(AND(AND($DX609=0,$DW609=0),OR($EC609=1,$EA609=1)),SUM($EB609:$EE609)&gt;=2),"Technology approach","")</f>
        <v>Technology approach</v>
      </c>
      <c r="EP609" t="str">
        <f>IF(ISNUMBER(BU609),IF(ABS(BU609-[1]QC_indicators!$B$2)&gt;3*[1]QC_indicators!$C$2,"C ratio",IF(ISNUMBER(BY609),IF(ABS(BY609-[1]QC_indicators!$B$1)&gt;3*[1]QC_indicators!$C$1,"DF","no"))),IF(ISNUMBER(BY609),IF(ABS(BY609-[1]QC_indicators!$B$1)&gt;3*[1]QC_indicators!$C$1,"DF","no")))</f>
        <v>no</v>
      </c>
      <c r="ER609" s="149" t="s">
        <v>349</v>
      </c>
      <c r="ET609" s="264" t="s">
        <v>3273</v>
      </c>
    </row>
    <row r="610" spans="1:151" ht="15" customHeight="1">
      <c r="A610" s="1" t="s">
        <v>333</v>
      </c>
      <c r="B610" t="s">
        <v>334</v>
      </c>
      <c r="C610" t="s">
        <v>335</v>
      </c>
      <c r="D610" t="s">
        <v>336</v>
      </c>
      <c r="E610" t="s">
        <v>337</v>
      </c>
      <c r="F610" t="s">
        <v>338</v>
      </c>
      <c r="G610" t="s">
        <v>339</v>
      </c>
      <c r="I610">
        <v>2017</v>
      </c>
      <c r="K610" t="s">
        <v>340</v>
      </c>
      <c r="M610" t="str">
        <f>LEFT($D610,FIND(",",$D610)-1)&amp;"_"&amp;I610&amp;L610</f>
        <v>Balasbaneh_2017</v>
      </c>
      <c r="N610" t="s">
        <v>222</v>
      </c>
      <c r="O610" s="140" t="s">
        <v>341</v>
      </c>
      <c r="Q610" t="s">
        <v>224</v>
      </c>
      <c r="R610" s="262" t="s">
        <v>223</v>
      </c>
      <c r="S610" s="1" t="s">
        <v>353</v>
      </c>
      <c r="T610" t="s">
        <v>343</v>
      </c>
      <c r="U610" t="s">
        <v>344</v>
      </c>
      <c r="V610">
        <v>0</v>
      </c>
      <c r="W610">
        <v>0</v>
      </c>
      <c r="X610">
        <v>0</v>
      </c>
      <c r="Y610">
        <v>0</v>
      </c>
      <c r="Z610">
        <v>0</v>
      </c>
      <c r="AA610">
        <v>0</v>
      </c>
      <c r="AB610">
        <v>0</v>
      </c>
      <c r="AC610">
        <v>0</v>
      </c>
      <c r="AD610">
        <v>0</v>
      </c>
      <c r="AE610">
        <v>0</v>
      </c>
      <c r="AF610">
        <v>0</v>
      </c>
      <c r="AG610">
        <v>0</v>
      </c>
      <c r="AH610">
        <v>0</v>
      </c>
      <c r="AI610">
        <v>0</v>
      </c>
      <c r="AJ610">
        <v>0</v>
      </c>
      <c r="AK610">
        <v>1</v>
      </c>
      <c r="AL610">
        <v>0</v>
      </c>
      <c r="AM610">
        <v>0</v>
      </c>
      <c r="AN610">
        <v>0</v>
      </c>
      <c r="AO610">
        <v>0</v>
      </c>
      <c r="AP610">
        <v>0</v>
      </c>
      <c r="AQ610">
        <v>0</v>
      </c>
      <c r="AR610">
        <v>0</v>
      </c>
      <c r="AS610">
        <v>0</v>
      </c>
      <c r="AT610">
        <v>0</v>
      </c>
      <c r="AU610">
        <v>0</v>
      </c>
      <c r="AV610">
        <v>0</v>
      </c>
      <c r="AW610">
        <v>0</v>
      </c>
      <c r="AX610" s="141">
        <f>COUNTIF(V610:AW610,"&lt;&gt;0")</f>
        <v>1</v>
      </c>
      <c r="AY610" s="141">
        <f>COUNTIF(V610:AL610,"&lt;&gt;0")</f>
        <v>1</v>
      </c>
      <c r="AZ610">
        <f>COUNTIF(V610:AC610,"&lt;&gt;0")</f>
        <v>0</v>
      </c>
      <c r="BA610">
        <f>COUNTIF(AD610:AI610,"&lt;&gt;0")</f>
        <v>0</v>
      </c>
      <c r="BB610">
        <f>COUNTIF(AJ610:AL610,"&lt;&gt;0")</f>
        <v>1</v>
      </c>
      <c r="BC610">
        <f>COUNTIF(AS610:AW610,"&lt;&gt;0")</f>
        <v>0</v>
      </c>
      <c r="BD610">
        <f>COUNTIF(AM610:AR610,"&lt;&gt;0")</f>
        <v>0</v>
      </c>
      <c r="BE610" t="str">
        <f t="array" ref="BE610">IF(AY610=1,INDEX($V$7:$AL$7,MATCH(TRUE,INDEX($V610:$AW610&lt;&gt;0,),0)),IF(AY610=0,INDEX($AM$7:$AW$7,MATCH(1,$AM610:$AW610,0)),IF(BF610="Multiple strategies","mixed drivers",IF(BF610="Supply chain","multiple supply","multiple silviculture"))))</f>
        <v>technologies/design switch</v>
      </c>
      <c r="BF610" s="2" t="str" cm="1">
        <f t="array" ref="BF610">IF(COUNTIF(AZ610:BB610,"&lt;&gt;0")=1,INDEX($V$4:$AW$4,MATCH(TRUE,INDEX($V610:$AW610&lt;&gt;0,),0)),IF(COUNTIF(AZ610:BB610,"&lt;&gt;0")=0,INDEX($AM$4:$AW$4,MATCH(1,$AM610:$AW610,0)),"Multiple strategies"))</f>
        <v>Technology</v>
      </c>
      <c r="BG610" s="1" t="s">
        <v>229</v>
      </c>
      <c r="BH610" t="s">
        <v>229</v>
      </c>
      <c r="BI610" s="264" t="s">
        <v>410</v>
      </c>
      <c r="BJ610" t="s">
        <v>345</v>
      </c>
      <c r="BK610">
        <v>0</v>
      </c>
      <c r="BL610">
        <v>23500</v>
      </c>
      <c r="BM610" s="143"/>
      <c r="BN610">
        <f>BL610-BK610</f>
        <v>23500</v>
      </c>
      <c r="BO610" s="143">
        <f>BN610*kg_to_m3</f>
        <v>47.95918367346939</v>
      </c>
      <c r="BP610" t="s">
        <v>232</v>
      </c>
      <c r="BQ610" s="335" t="s">
        <v>396</v>
      </c>
      <c r="BR610" t="s">
        <v>346</v>
      </c>
      <c r="BS610">
        <v>-11900</v>
      </c>
      <c r="BT610">
        <v>-6020</v>
      </c>
      <c r="BU610" s="144">
        <v>0.50588235294117645</v>
      </c>
      <c r="BV610">
        <f>BT610-BS610</f>
        <v>5880</v>
      </c>
      <c r="BX610">
        <f>BV610/1000</f>
        <v>5.88</v>
      </c>
      <c r="BY610">
        <f>IFERROR(BX610/BO610,"")</f>
        <v>0.12260425531914892</v>
      </c>
      <c r="BZ610">
        <v>0</v>
      </c>
      <c r="CA610">
        <v>0</v>
      </c>
      <c r="CB610">
        <v>0</v>
      </c>
      <c r="CC610">
        <v>0</v>
      </c>
      <c r="CD610">
        <v>0</v>
      </c>
      <c r="CE610">
        <v>0</v>
      </c>
      <c r="CF610">
        <v>0</v>
      </c>
      <c r="CG610">
        <v>0</v>
      </c>
      <c r="CH610">
        <v>0</v>
      </c>
      <c r="CI610">
        <v>0</v>
      </c>
      <c r="CJ610">
        <v>0</v>
      </c>
      <c r="CK610">
        <v>0</v>
      </c>
      <c r="CL610">
        <v>0</v>
      </c>
      <c r="CM610">
        <v>0</v>
      </c>
      <c r="CN610" t="str">
        <f>IF($BL610&lt;$BK610,"refNeedCorrection","refOK")</f>
        <v>refOK</v>
      </c>
      <c r="CO610">
        <f>IF($CN610="refNeedCorrection",BL610,BK610)</f>
        <v>0</v>
      </c>
      <c r="CP610">
        <f>IF($CN610="refNeedCorrection",BK610,BL610)</f>
        <v>23500</v>
      </c>
      <c r="CQ610">
        <f>IF($CN610="refOK",$BO610,-$BO610)</f>
        <v>47.95918367346939</v>
      </c>
      <c r="CR610">
        <f>IF($CN610="refOK",$BS610,$BT610)*IF($BP610="Emissions positive",-1,1)</f>
        <v>-11900</v>
      </c>
      <c r="CS610">
        <f>IF($CN610="refOK",$BT610,$BS610)*IF($BP610="Emissions positive",-1,1)</f>
        <v>-6020</v>
      </c>
      <c r="CT610">
        <f>IF($CN610="refNeedCorrection",-BX610,BX610)*IF($BP610="Emissions positive",-1,1)</f>
        <v>5.88</v>
      </c>
      <c r="CU610">
        <f>IFERROR(CT610/CQ610,"")</f>
        <v>0.12260425531914892</v>
      </c>
      <c r="CV610" s="2">
        <f>IFERROR((CS610-CR610)/ABS(CR610),"")</f>
        <v>0.49411764705882355</v>
      </c>
      <c r="CW610" s="1" t="s">
        <v>347</v>
      </c>
      <c r="CX610" t="str">
        <f>IF(OR($CW610="prd",$CW610="std",$CW610="cit"),"loc",IF(OR($CW610="eur",$CW610="reg",$CW610="coy"),"reg",$CW610))</f>
        <v>loc</v>
      </c>
      <c r="CY610" t="s">
        <v>348</v>
      </c>
      <c r="CZ610">
        <v>2014</v>
      </c>
      <c r="DA610">
        <v>2034</v>
      </c>
      <c r="DB610">
        <v>20</v>
      </c>
      <c r="DC610" t="str">
        <f>IF(DB610=0,"0",IF(AND(DB610&gt;=1,DB610&lt;=30),"1-30",IF(AND(DB610&gt;30,DB610&lt;=70),"31-70",IF(AND(DB610&gt;70,DB610&lt;=100),"71-100",IF(DB610&gt;100,"+100")))))</f>
        <v>1-30</v>
      </c>
      <c r="DD610">
        <v>0</v>
      </c>
      <c r="DE610">
        <v>0</v>
      </c>
      <c r="DF610">
        <v>0</v>
      </c>
      <c r="DG610">
        <v>1</v>
      </c>
      <c r="DI610">
        <f>SUM(DD610:DG610)</f>
        <v>1</v>
      </c>
      <c r="DJ610" t="str">
        <f>IF(DI610=1,INDEX($DD$7:$DG$7,MATCH(1,$DD610:$DG610,0)),"mixedProduct")</f>
        <v>TimberInput</v>
      </c>
      <c r="DK610">
        <f>IF(DD610=1,DK$7,0)</f>
        <v>0</v>
      </c>
      <c r="DL610">
        <f>IF(DE610=1,DL$7,0)</f>
        <v>0</v>
      </c>
      <c r="DM610">
        <f>IF(DF610=1,DM$7,0)</f>
        <v>0</v>
      </c>
      <c r="DN610" t="str">
        <f>IF(DG610=1,DN$7,0)</f>
        <v>Timber</v>
      </c>
      <c r="DO610">
        <v>0</v>
      </c>
      <c r="DP610">
        <v>0</v>
      </c>
      <c r="DQ610">
        <v>0</v>
      </c>
      <c r="DR610">
        <v>0</v>
      </c>
      <c r="DS610">
        <v>0</v>
      </c>
      <c r="DT610">
        <f>SUM(DO610:DP610)</f>
        <v>0</v>
      </c>
      <c r="DU610" s="143" t="str">
        <f>IF(DO610=1,"self-calculated DF",IF(DP610=1,"external DF used","explicit C balance"))</f>
        <v>explicit C balance</v>
      </c>
      <c r="DV610">
        <v>0</v>
      </c>
      <c r="DW610">
        <v>0</v>
      </c>
      <c r="DX610">
        <v>0</v>
      </c>
      <c r="DY610">
        <v>1</v>
      </c>
      <c r="DZ610">
        <v>0</v>
      </c>
      <c r="EA610" s="143">
        <v>1</v>
      </c>
      <c r="EB610">
        <v>0</v>
      </c>
      <c r="EC610">
        <v>1</v>
      </c>
      <c r="ED610">
        <v>1</v>
      </c>
      <c r="EE610">
        <v>1</v>
      </c>
      <c r="EF610">
        <v>0</v>
      </c>
      <c r="EG610">
        <v>0</v>
      </c>
      <c r="EH610">
        <v>0</v>
      </c>
      <c r="EI610" s="2">
        <v>0</v>
      </c>
      <c r="EK610" t="str">
        <f>IF(AND(AND(AND(OR($DX610=1,$DW610=1),OR($EC610=1,$EA610=1)),SUM($DV610:$DZ610,$EF610)&gt;=4),SUM($EA610:$EE610)&gt;=2),"Whole sector","")</f>
        <v/>
      </c>
      <c r="EL610" t="str">
        <f>IF(AND(AND(OR($DX610=1,$DW610=1),AND($EC610=0,$EA610=0)),SUM($DV610:$DZ610,$EF610)&gt;=4),"Ecosystem approach","")</f>
        <v/>
      </c>
      <c r="EM610" s="2" t="str">
        <f>IF(AND(AND(AND($DX610=0,$DW610=0),OR($EC610=1,$EA610=1)),SUM($EB610:$EE610)&gt;=2),"Technology approach","")</f>
        <v>Technology approach</v>
      </c>
      <c r="EP610" t="str">
        <f>IF(ISNUMBER(BU610),IF(ABS(BU610-[1]QC_indicators!$B$2)&gt;3*[1]QC_indicators!$C$2,"C ratio",IF(ISNUMBER(BY610),IF(ABS(BY610-[1]QC_indicators!$B$1)&gt;3*[1]QC_indicators!$C$1,"DF","no"))),IF(ISNUMBER(BY610),IF(ABS(BY610-[1]QC_indicators!$B$1)&gt;3*[1]QC_indicators!$C$1,"DF","no")))</f>
        <v>no</v>
      </c>
      <c r="ER610" s="149" t="s">
        <v>349</v>
      </c>
      <c r="ET610" s="264" t="s">
        <v>3273</v>
      </c>
    </row>
    <row r="611" spans="1:151" ht="15" customHeight="1">
      <c r="A611" s="1" t="s">
        <v>1102</v>
      </c>
      <c r="B611" t="s">
        <v>2381</v>
      </c>
      <c r="C611" t="s">
        <v>2382</v>
      </c>
      <c r="D611" t="s">
        <v>2383</v>
      </c>
      <c r="E611" t="s">
        <v>2384</v>
      </c>
      <c r="F611" t="s">
        <v>2385</v>
      </c>
      <c r="G611" t="s">
        <v>1108</v>
      </c>
      <c r="H611" t="s">
        <v>254</v>
      </c>
      <c r="I611">
        <v>2016</v>
      </c>
      <c r="J611">
        <v>13</v>
      </c>
      <c r="K611" t="s">
        <v>2386</v>
      </c>
      <c r="M611" t="str">
        <f>LEFT($D611,FIND(",",$D611)-1)&amp;"_"&amp;I611&amp;L611</f>
        <v>Torssonen_2016</v>
      </c>
      <c r="N611" t="s">
        <v>222</v>
      </c>
      <c r="O611" s="145" t="s">
        <v>1154</v>
      </c>
      <c r="Q611" s="264" t="s">
        <v>256</v>
      </c>
      <c r="R611" s="269" t="s">
        <v>341</v>
      </c>
      <c r="S611" s="1" t="s">
        <v>2400</v>
      </c>
      <c r="T611" s="264" t="s">
        <v>2425</v>
      </c>
      <c r="U611" t="s">
        <v>2426</v>
      </c>
      <c r="V611">
        <v>0</v>
      </c>
      <c r="W611">
        <v>0</v>
      </c>
      <c r="X611">
        <v>0</v>
      </c>
      <c r="Y611">
        <v>0</v>
      </c>
      <c r="Z611">
        <v>0</v>
      </c>
      <c r="AA611">
        <v>0</v>
      </c>
      <c r="AB611">
        <v>0</v>
      </c>
      <c r="AC611">
        <v>0</v>
      </c>
      <c r="AD611">
        <v>0</v>
      </c>
      <c r="AE611">
        <v>0</v>
      </c>
      <c r="AF611">
        <v>0</v>
      </c>
      <c r="AG611">
        <v>0</v>
      </c>
      <c r="AH611">
        <v>0</v>
      </c>
      <c r="AI611">
        <v>0</v>
      </c>
      <c r="AJ611">
        <v>0</v>
      </c>
      <c r="AK611">
        <v>0</v>
      </c>
      <c r="AL611">
        <v>0</v>
      </c>
      <c r="AM611">
        <v>0</v>
      </c>
      <c r="AN611">
        <v>1</v>
      </c>
      <c r="AO611">
        <v>1</v>
      </c>
      <c r="AP611">
        <v>0</v>
      </c>
      <c r="AQ611">
        <v>0</v>
      </c>
      <c r="AR611">
        <v>0</v>
      </c>
      <c r="AS611">
        <v>0</v>
      </c>
      <c r="AT611">
        <v>0</v>
      </c>
      <c r="AU611">
        <v>0</v>
      </c>
      <c r="AV611">
        <v>0</v>
      </c>
      <c r="AW611">
        <v>0</v>
      </c>
      <c r="AX611" s="141">
        <f>COUNTIF(V611:AW611,"&lt;&gt;0")</f>
        <v>2</v>
      </c>
      <c r="AY611" s="141">
        <f>COUNTIF(V611:AL611,"&lt;&gt;0")</f>
        <v>0</v>
      </c>
      <c r="AZ611">
        <f>COUNTIF(V611:AC611,"&lt;&gt;0")</f>
        <v>0</v>
      </c>
      <c r="BA611">
        <f>COUNTIF(AD611:AI611,"&lt;&gt;0")</f>
        <v>0</v>
      </c>
      <c r="BB611">
        <f>COUNTIF(AJ611:AL611,"&lt;&gt;0")</f>
        <v>0</v>
      </c>
      <c r="BC611">
        <f>COUNTIF(AS611:AW611,"&lt;&gt;0")</f>
        <v>0</v>
      </c>
      <c r="BD611">
        <f>COUNTIF(AM611:AR611,"&lt;&gt;0")</f>
        <v>2</v>
      </c>
      <c r="BE611" t="str" cm="1">
        <f t="array" ref="BE611">IF(AY611=1,INDEX($V$7:$AL$7,MATCH(TRUE,INDEX($V611:$AW611&lt;&gt;0,),0)),IF(AY611=0,INDEX($AM$7:$AW$7,MATCH(1,$AM611:$AW611,0)),IF(BF611="Multiple strategies","mixed drivers",IF(BF611="Supply chain","multiple supply","multiple silviculture"))))</f>
        <v>Temperature</v>
      </c>
      <c r="BF611" s="2" t="str" cm="1">
        <f t="array" ref="BF611">IF(COUNTIF(AZ611:BB611,"&lt;&gt;0")=1,INDEX($V$4:$AW$4,MATCH(TRUE,INDEX($V611:$AW611&lt;&gt;0,),0)),IF(COUNTIF(AZ611:BB611,"&lt;&gt;0")=0,INDEX($AM$4:$AW$4,MATCH(1,$AM611:$AW611,0)),"Multiple strategies"))</f>
        <v>Environmental change</v>
      </c>
      <c r="BG611" s="1" t="s">
        <v>229</v>
      </c>
      <c r="BH611" s="306" t="s">
        <v>2144</v>
      </c>
      <c r="BI611" s="264" t="s">
        <v>2391</v>
      </c>
      <c r="BJ611" s="306" t="s">
        <v>1058</v>
      </c>
      <c r="BK611">
        <v>8.0775509959999994</v>
      </c>
      <c r="BL611">
        <v>8.3591836480000001</v>
      </c>
      <c r="BM611" s="143">
        <f>BL611/BK611</f>
        <v>1.0348660939608385</v>
      </c>
      <c r="BN611">
        <f>BL611-BK611</f>
        <v>0.28163265200000076</v>
      </c>
      <c r="BO611">
        <f>+BN611*t_to_m3</f>
        <v>0.57476051428571584</v>
      </c>
      <c r="BP611" s="306" t="s">
        <v>395</v>
      </c>
      <c r="BQ611" s="153" t="s">
        <v>3421</v>
      </c>
      <c r="BR611" s="264" t="s">
        <v>2393</v>
      </c>
      <c r="BS611">
        <v>-421.81818181818102</v>
      </c>
      <c r="BT611">
        <v>-429.09090909090901</v>
      </c>
      <c r="BU611" s="144"/>
      <c r="BV611" s="144">
        <f>BT611-BS611</f>
        <v>-7.272727272727991</v>
      </c>
      <c r="BW611" s="144"/>
      <c r="BX611" s="144">
        <f>BV611*10^4/10^6</f>
        <v>-7.2727272727279912E-2</v>
      </c>
      <c r="BY611">
        <f>IFERROR(BX611/BO611,"")</f>
        <v>-0.12653491483781171</v>
      </c>
      <c r="BZ611">
        <v>0</v>
      </c>
      <c r="CA611">
        <v>0</v>
      </c>
      <c r="CB611">
        <v>0</v>
      </c>
      <c r="CC611">
        <v>0</v>
      </c>
      <c r="CD611">
        <v>0</v>
      </c>
      <c r="CE611">
        <v>0</v>
      </c>
      <c r="CF611">
        <v>0</v>
      </c>
      <c r="CG611">
        <v>0</v>
      </c>
      <c r="CH611">
        <v>0</v>
      </c>
      <c r="CI611">
        <v>0</v>
      </c>
      <c r="CJ611">
        <v>0</v>
      </c>
      <c r="CK611">
        <v>0</v>
      </c>
      <c r="CL611">
        <v>0</v>
      </c>
      <c r="CM611">
        <v>1</v>
      </c>
      <c r="CN611" t="str">
        <f>IF($BL611&lt;$BK611,"refNeedCorrection","refOK")</f>
        <v>refOK</v>
      </c>
      <c r="CO611">
        <f>IF($CN611="refOK",$BK611,$BL611)</f>
        <v>8.0775509959999994</v>
      </c>
      <c r="CP611">
        <f>IF($CN611="refOK",$BL611,$BK611)</f>
        <v>8.3591836480000001</v>
      </c>
      <c r="CQ611">
        <f>IF($CN611="refOK",$BO611,-$BO611)</f>
        <v>0.57476051428571584</v>
      </c>
      <c r="CR611">
        <f>IF($CN611="refOK",$BS611,$BT611)*IF($BP611="Emissions positive",-1,1)</f>
        <v>421.81818181818102</v>
      </c>
      <c r="CS611">
        <f>IF($CN611="refOK",$BT611,$BS611)*IF($BP611="Emissions positive",-1,1)</f>
        <v>429.09090909090901</v>
      </c>
      <c r="CT611">
        <f>IF($CN611="refNeedCorrection",-BX611,BX611)*IF($BP611="Emissions positive",-1,1)</f>
        <v>7.2727272727279912E-2</v>
      </c>
      <c r="CU611">
        <f>IFERROR(CT611/CQ611,"")</f>
        <v>0.12653491483781171</v>
      </c>
      <c r="CV611" s="2">
        <f>IFERROR((CS611-CR611)/ABS(CR611),"")</f>
        <v>1.7241379310346562E-2</v>
      </c>
      <c r="CW611" s="1" t="s">
        <v>1199</v>
      </c>
      <c r="CX611" s="264" t="str">
        <f>IF(OR($CW611="prd",$CW611="std",$CW611="cit"),"loc",IF(OR($CW611="eur",$CW611="reg",$CW611="coy"),"reg",$CW611))</f>
        <v>reg</v>
      </c>
      <c r="CY611" t="s">
        <v>235</v>
      </c>
      <c r="CZ611">
        <v>2020</v>
      </c>
      <c r="DA611">
        <v>2100</v>
      </c>
      <c r="DB611">
        <f>DA611-CZ611</f>
        <v>80</v>
      </c>
      <c r="DC611" t="str">
        <f>IF(DB611=0,"0",IF(AND(DB611&gt;=1,DB611&lt;=30),"1-30",IF(AND(DB611&gt;30,DB611&lt;=70),"31-70",IF(AND(DB611&gt;70,DB611&lt;=100),"71-100",IF(DB611&gt;100,"+100")))))</f>
        <v>71-100</v>
      </c>
      <c r="DD611">
        <v>0</v>
      </c>
      <c r="DE611">
        <v>1</v>
      </c>
      <c r="DF611">
        <v>0</v>
      </c>
      <c r="DG611">
        <v>1</v>
      </c>
      <c r="DI611">
        <f>SUM(DD611:DG611)</f>
        <v>2</v>
      </c>
      <c r="DJ611" t="str">
        <f>IF(DI611=1,INDEX($DD$7:$DG$7,MATCH(1,$DD611:$DG611,0)),"mixedProduct")</f>
        <v>mixedProduct</v>
      </c>
      <c r="DK611">
        <f>IF(DD611=1,DK$7,0)</f>
        <v>0</v>
      </c>
      <c r="DL611" t="str">
        <f>IF(DE611=1,DL$7,0)</f>
        <v>Energy</v>
      </c>
      <c r="DM611">
        <f>IF(DF611=1,DM$7,0)</f>
        <v>0</v>
      </c>
      <c r="DN611" t="str">
        <f>IF(DG611=1,DN$7,0)</f>
        <v>Timber</v>
      </c>
      <c r="DO611">
        <v>1</v>
      </c>
      <c r="DP611">
        <v>0</v>
      </c>
      <c r="DQ611">
        <v>0</v>
      </c>
      <c r="DR611">
        <v>0</v>
      </c>
      <c r="DS611">
        <v>0</v>
      </c>
      <c r="DT611">
        <f>SUM(DO611:DP611)</f>
        <v>1</v>
      </c>
      <c r="DU611" s="143" t="str">
        <f>IF(DO611=1,"self-calculated DF",IF(DP611=1,"external DF used","explicit C balance"))</f>
        <v>self-calculated DF</v>
      </c>
      <c r="DV611">
        <v>1</v>
      </c>
      <c r="DW611">
        <v>0</v>
      </c>
      <c r="DX611">
        <v>1</v>
      </c>
      <c r="DY611">
        <v>0</v>
      </c>
      <c r="DZ611">
        <v>0</v>
      </c>
      <c r="EA611" s="143">
        <v>0</v>
      </c>
      <c r="EB611">
        <v>0</v>
      </c>
      <c r="EC611">
        <v>0</v>
      </c>
      <c r="ED611">
        <v>0</v>
      </c>
      <c r="EE611">
        <v>0</v>
      </c>
      <c r="EF611">
        <v>1</v>
      </c>
      <c r="EG611">
        <v>0</v>
      </c>
      <c r="EH611">
        <v>0</v>
      </c>
      <c r="EI611" s="2">
        <v>0</v>
      </c>
      <c r="EK611" t="str">
        <f>IF(AND(AND(AND(OR($DX611=1,$DW611=1),OR($EC611=1,$EA611=1)),SUM($DV611:$DZ611,$EF611)&gt;=4),SUM($EA611:$EE611)&gt;=2),"Whole sector","")</f>
        <v/>
      </c>
      <c r="EL611" t="str">
        <f>IF(AND(AND(OR($DX611=1,$DW611=1),AND($EC611=0,$EA611=0)),SUM($DV611:$DZ611,$EF611)&gt;=4),"Ecosystem approach","")</f>
        <v/>
      </c>
      <c r="EM611" s="2" t="str">
        <f>IF(AND(AND(AND($DX611=0,$DW611=0),OR($EC611=1,$EA611=1)),SUM($EB611:$EE611)&gt;=2),"Technology approach","")</f>
        <v/>
      </c>
      <c r="EN611" t="s">
        <v>2403</v>
      </c>
      <c r="EP611" t="str">
        <f>IF(ISNUMBER(BU611),IF(ABS(BU611-[3]QC_indicators!$B$2)&gt;3*[3]QC_indicators!$C$2,"C ratio",IF(ISNUMBER(BY611),IF(ABS(BY611-[3]QC_indicators!$B$1)&gt;3*[3]QC_indicators!$C$1,"DF","no"))),IF(ISNUMBER(BY611),IF(ABS(BY611-[3]QC_indicators!$B$1)&gt;3*[3]QC_indicators!$C$1,"DF","no")))</f>
        <v>no</v>
      </c>
      <c r="ER611" s="264" t="s">
        <v>2394</v>
      </c>
      <c r="ET611" s="306" t="s">
        <v>3422</v>
      </c>
    </row>
    <row r="612" spans="1:151" ht="15" customHeight="1">
      <c r="A612" s="1" t="s">
        <v>1233</v>
      </c>
      <c r="B612" t="s">
        <v>1234</v>
      </c>
      <c r="C612" t="s">
        <v>1235</v>
      </c>
      <c r="D612" t="s">
        <v>336</v>
      </c>
      <c r="E612" t="s">
        <v>1236</v>
      </c>
      <c r="F612" t="s">
        <v>1237</v>
      </c>
      <c r="G612" t="s">
        <v>1238</v>
      </c>
      <c r="I612">
        <v>2018</v>
      </c>
      <c r="K612" t="s">
        <v>1239</v>
      </c>
      <c r="M612" t="str">
        <f>LEFT($D612,FIND(",",$D612)-1)&amp;"_"&amp;I612&amp;L612</f>
        <v>Balasbaneh_2018</v>
      </c>
      <c r="N612" t="s">
        <v>222</v>
      </c>
      <c r="O612" s="140" t="s">
        <v>513</v>
      </c>
      <c r="Q612" t="s">
        <v>224</v>
      </c>
      <c r="R612" s="262" t="s">
        <v>223</v>
      </c>
      <c r="S612" s="1" t="s">
        <v>1245</v>
      </c>
      <c r="T612" s="264" t="s">
        <v>3114</v>
      </c>
      <c r="U612" s="264" t="s">
        <v>3111</v>
      </c>
      <c r="V612">
        <v>0</v>
      </c>
      <c r="W612">
        <v>0</v>
      </c>
      <c r="X612">
        <v>0</v>
      </c>
      <c r="Y612">
        <v>0</v>
      </c>
      <c r="Z612">
        <v>0</v>
      </c>
      <c r="AA612">
        <v>0</v>
      </c>
      <c r="AB612">
        <v>0</v>
      </c>
      <c r="AC612">
        <v>0</v>
      </c>
      <c r="AD612">
        <v>0</v>
      </c>
      <c r="AE612">
        <v>0</v>
      </c>
      <c r="AF612">
        <v>0</v>
      </c>
      <c r="AG612">
        <v>0</v>
      </c>
      <c r="AH612">
        <v>0</v>
      </c>
      <c r="AI612">
        <v>0</v>
      </c>
      <c r="AJ612">
        <v>0</v>
      </c>
      <c r="AK612">
        <v>1</v>
      </c>
      <c r="AL612">
        <v>0</v>
      </c>
      <c r="AM612">
        <v>0</v>
      </c>
      <c r="AN612">
        <v>0</v>
      </c>
      <c r="AO612">
        <v>0</v>
      </c>
      <c r="AP612">
        <v>0</v>
      </c>
      <c r="AQ612">
        <v>0</v>
      </c>
      <c r="AR612">
        <v>0</v>
      </c>
      <c r="AS612">
        <v>0</v>
      </c>
      <c r="AT612">
        <v>0</v>
      </c>
      <c r="AU612">
        <v>0</v>
      </c>
      <c r="AV612">
        <v>0</v>
      </c>
      <c r="AW612">
        <v>0</v>
      </c>
      <c r="AX612" s="141">
        <f>COUNTIF(V612:AW612,"&lt;&gt;0")</f>
        <v>1</v>
      </c>
      <c r="AY612" s="141">
        <f>COUNTIF(V612:AL612,"&lt;&gt;0")</f>
        <v>1</v>
      </c>
      <c r="AZ612">
        <f>COUNTIF(V612:AC612,"&lt;&gt;0")</f>
        <v>0</v>
      </c>
      <c r="BA612">
        <f>COUNTIF(AD612:AI612,"&lt;&gt;0")</f>
        <v>0</v>
      </c>
      <c r="BB612">
        <f>COUNTIF(AJ612:AL612,"&lt;&gt;0")</f>
        <v>1</v>
      </c>
      <c r="BC612">
        <f>COUNTIF(AS612:AW612,"&lt;&gt;0")</f>
        <v>0</v>
      </c>
      <c r="BD612">
        <f>COUNTIF(AM612:AR612,"&lt;&gt;0")</f>
        <v>0</v>
      </c>
      <c r="BE612" t="str">
        <f t="array" ref="BE612">IF(AY612=1,INDEX($V$7:$AL$7,MATCH(TRUE,INDEX($V612:$AW612&lt;&gt;0,),0)),IF(AY612=0,INDEX($AM$7:$AW$7,MATCH(1,$AM612:$AW612,0)),IF(BF612="Multiple strategies","mixed drivers",IF(BF612="Supply chain","multiple supply","multiple silviculture"))))</f>
        <v>technologies/design switch</v>
      </c>
      <c r="BF612" s="2" t="str" cm="1">
        <f t="array" ref="BF612">IF(COUNTIF(AZ612:BB612,"&lt;&gt;0")=1,INDEX($V$4:$AW$4,MATCH(TRUE,INDEX($V612:$AW612&lt;&gt;0,),0)),IF(COUNTIF(AZ612:BB612,"&lt;&gt;0")=0,INDEX($AM$4:$AW$4,MATCH(1,$AM612:$AW612,0)),"Multiple strategies"))</f>
        <v>Technology</v>
      </c>
      <c r="BG612" s="1" t="s">
        <v>229</v>
      </c>
      <c r="BH612" t="s">
        <v>229</v>
      </c>
      <c r="BJ612" t="s">
        <v>345</v>
      </c>
      <c r="BK612">
        <v>0</v>
      </c>
      <c r="BL612">
        <v>15468</v>
      </c>
      <c r="BM612" s="143"/>
      <c r="BN612">
        <f>BL612-BK612</f>
        <v>15468</v>
      </c>
      <c r="BO612" s="143">
        <f>BN612*kg_to_m3</f>
        <v>31.567346938775515</v>
      </c>
      <c r="BP612" t="s">
        <v>232</v>
      </c>
      <c r="BQ612" s="337" t="s">
        <v>1057</v>
      </c>
      <c r="BR612" t="s">
        <v>397</v>
      </c>
      <c r="BS612">
        <v>-9840</v>
      </c>
      <c r="BT612">
        <v>-5840</v>
      </c>
      <c r="BU612" s="144">
        <v>0.5934959349593496</v>
      </c>
      <c r="BV612">
        <v>4000</v>
      </c>
      <c r="BX612">
        <f>BV612/1000</f>
        <v>4</v>
      </c>
      <c r="BY612">
        <f>IFERROR(BX612/BO612,"")</f>
        <v>0.12671321437807084</v>
      </c>
      <c r="BZ612">
        <v>0</v>
      </c>
      <c r="CA612">
        <v>0</v>
      </c>
      <c r="CB612">
        <v>0</v>
      </c>
      <c r="CC612">
        <v>0</v>
      </c>
      <c r="CD612">
        <v>0</v>
      </c>
      <c r="CE612">
        <v>0</v>
      </c>
      <c r="CF612">
        <v>0</v>
      </c>
      <c r="CG612">
        <v>0</v>
      </c>
      <c r="CH612">
        <v>0</v>
      </c>
      <c r="CI612">
        <v>0</v>
      </c>
      <c r="CJ612">
        <v>0</v>
      </c>
      <c r="CK612">
        <v>0</v>
      </c>
      <c r="CL612">
        <v>0</v>
      </c>
      <c r="CM612">
        <v>0</v>
      </c>
      <c r="CN612" t="str">
        <f>IF($BL612&lt;$BK612,"refNeedCorrection","refOK")</f>
        <v>refOK</v>
      </c>
      <c r="CO612">
        <f>IF($CN612="refNeedCorrection",BL612,BK612)</f>
        <v>0</v>
      </c>
      <c r="CP612">
        <f>IF($CN612="refNeedCorrection",BK612,BL612)</f>
        <v>15468</v>
      </c>
      <c r="CQ612">
        <f>IF($CN612="refOK",$BO612,-$BO612)</f>
        <v>31.567346938775515</v>
      </c>
      <c r="CR612">
        <f>IF($CN612="refOK",$BS612,$BT612)*IF($BP612="Emissions positive",-1,1)</f>
        <v>-9840</v>
      </c>
      <c r="CS612">
        <f>IF($CN612="refOK",$BT612,$BS612)*IF($BP612="Emissions positive",-1,1)</f>
        <v>-5840</v>
      </c>
      <c r="CT612">
        <f>IF($CN612="refNeedCorrection",-BX612,BX612)*IF($BP612="Emissions positive",-1,1)</f>
        <v>4</v>
      </c>
      <c r="CU612">
        <f>IFERROR(CT612/CQ612,"")</f>
        <v>0.12671321437807084</v>
      </c>
      <c r="CV612" s="2">
        <f>IFERROR((CS612-CR612)/ABS(CR612),"")</f>
        <v>0.4065040650406504</v>
      </c>
      <c r="CW612" s="1" t="s">
        <v>1203</v>
      </c>
      <c r="CX612" t="str">
        <f>IF(OR($CW612="prd",$CW612="std",$CW612="cit"),"loc",IF(OR($CW612="eur",$CW612="reg",$CW612="coy"),"reg",$CW612))</f>
        <v>reg</v>
      </c>
      <c r="CY612" t="s">
        <v>348</v>
      </c>
      <c r="CZ612">
        <v>2014</v>
      </c>
      <c r="DA612">
        <v>2034</v>
      </c>
      <c r="DB612">
        <v>20</v>
      </c>
      <c r="DC612" t="str">
        <f>IF(DB612=0,"0",IF(AND(DB612&gt;=1,DB612&lt;=30),"1-30",IF(AND(DB612&gt;30,DB612&lt;=70),"31-70",IF(AND(DB612&gt;70,DB612&lt;=100),"71-100",IF(DB612&gt;100,"+100")))))</f>
        <v>1-30</v>
      </c>
      <c r="DD612">
        <v>0</v>
      </c>
      <c r="DE612">
        <v>0</v>
      </c>
      <c r="DF612">
        <v>0</v>
      </c>
      <c r="DG612">
        <v>1</v>
      </c>
      <c r="DI612">
        <f>SUM(DD612:DG612)</f>
        <v>1</v>
      </c>
      <c r="DJ612" t="str">
        <f>IF(DI612=1,INDEX($DD$7:$DG$7,MATCH(1,$DD612:$DG612,0)),"mixedProduct")</f>
        <v>TimberInput</v>
      </c>
      <c r="DK612">
        <f>IF(DD612=1,DK$7,0)</f>
        <v>0</v>
      </c>
      <c r="DL612">
        <f>IF(DE612=1,DL$7,0)</f>
        <v>0</v>
      </c>
      <c r="DM612">
        <f>IF(DF612=1,DM$7,0)</f>
        <v>0</v>
      </c>
      <c r="DN612" t="str">
        <f>IF(DG612=1,DN$7,0)</f>
        <v>Timber</v>
      </c>
      <c r="DO612">
        <v>0</v>
      </c>
      <c r="DP612">
        <v>0</v>
      </c>
      <c r="DQ612">
        <v>0</v>
      </c>
      <c r="DR612">
        <v>0</v>
      </c>
      <c r="DS612">
        <v>0</v>
      </c>
      <c r="DT612">
        <f>SUM(DO612:DP612)</f>
        <v>0</v>
      </c>
      <c r="DU612" s="143" t="str">
        <f>IF(DO612=1,"self-calculated DF",IF(DP612=1,"external DF used","explicit C balance"))</f>
        <v>explicit C balance</v>
      </c>
      <c r="DV612">
        <v>0</v>
      </c>
      <c r="DW612">
        <v>0</v>
      </c>
      <c r="DX612">
        <v>0</v>
      </c>
      <c r="DY612">
        <v>0</v>
      </c>
      <c r="DZ612">
        <v>0</v>
      </c>
      <c r="EA612" s="143">
        <v>1</v>
      </c>
      <c r="EB612">
        <v>0</v>
      </c>
      <c r="EC612">
        <v>1</v>
      </c>
      <c r="ED612">
        <v>1</v>
      </c>
      <c r="EE612">
        <v>1</v>
      </c>
      <c r="EF612">
        <v>0</v>
      </c>
      <c r="EG612">
        <v>0</v>
      </c>
      <c r="EH612">
        <v>0</v>
      </c>
      <c r="EI612" s="2">
        <v>0</v>
      </c>
      <c r="EK612" t="str">
        <f>IF(AND(AND(AND(OR($DX612=1,$DW612=1),OR($EC612=1,$EA612=1)),SUM($DV612:$DZ612,$EF612)&gt;=4),SUM($EA612:$EE612)&gt;=2),"Whole sector","")</f>
        <v/>
      </c>
      <c r="EL612" t="str">
        <f>IF(AND(AND(OR($DX612=1,$DW612=1),AND($EC612=0,$EA612=0)),SUM($DV612:$DZ612,$EF612)&gt;=4),"Ecosystem approach","")</f>
        <v/>
      </c>
      <c r="EM612" s="2" t="str">
        <f>IF(AND(AND(AND($DX612=0,$DW612=0),OR($EC612=1,$EA612=1)),SUM($EB612:$EE612)&gt;=2),"Technology approach","")</f>
        <v>Technology approach</v>
      </c>
      <c r="EP612" t="str">
        <f>IF(ISNUMBER(BU612),IF(ABS(BU612-[1]QC_indicators!$B$2)&gt;3*[1]QC_indicators!$C$2,"C ratio",IF(ISNUMBER(BY612),IF(ABS(BY612-[1]QC_indicators!$B$1)&gt;3*[1]QC_indicators!$C$1,"DF","no"))),IF(ISNUMBER(BY612),IF(ABS(BY612-[1]QC_indicators!$B$1)&gt;3*[1]QC_indicators!$C$1,"DF","no")))</f>
        <v>no</v>
      </c>
      <c r="ER612" s="149" t="s">
        <v>349</v>
      </c>
      <c r="ET612" s="264" t="s">
        <v>3273</v>
      </c>
    </row>
    <row r="613" spans="1:151" ht="15" customHeight="1">
      <c r="A613" s="1" t="s">
        <v>333</v>
      </c>
      <c r="B613" t="s">
        <v>334</v>
      </c>
      <c r="C613" t="s">
        <v>335</v>
      </c>
      <c r="D613" t="s">
        <v>336</v>
      </c>
      <c r="E613" t="s">
        <v>337</v>
      </c>
      <c r="F613" t="s">
        <v>338</v>
      </c>
      <c r="G613" t="s">
        <v>339</v>
      </c>
      <c r="I613">
        <v>2017</v>
      </c>
      <c r="K613" t="s">
        <v>340</v>
      </c>
      <c r="M613" t="str">
        <f>LEFT($D613,FIND(",",$D613)-1)&amp;"_"&amp;I613&amp;L613</f>
        <v>Balasbaneh_2017</v>
      </c>
      <c r="N613" t="s">
        <v>222</v>
      </c>
      <c r="O613" s="140" t="s">
        <v>341</v>
      </c>
      <c r="Q613" t="s">
        <v>224</v>
      </c>
      <c r="R613" s="262" t="s">
        <v>223</v>
      </c>
      <c r="S613" s="1" t="s">
        <v>354</v>
      </c>
      <c r="T613" t="s">
        <v>343</v>
      </c>
      <c r="U613" t="s">
        <v>351</v>
      </c>
      <c r="V613">
        <v>0</v>
      </c>
      <c r="W613">
        <v>0</v>
      </c>
      <c r="X613">
        <v>0</v>
      </c>
      <c r="Y613">
        <v>0</v>
      </c>
      <c r="Z613">
        <v>0</v>
      </c>
      <c r="AA613">
        <v>0</v>
      </c>
      <c r="AB613">
        <v>0</v>
      </c>
      <c r="AC613">
        <v>0</v>
      </c>
      <c r="AD613">
        <v>0</v>
      </c>
      <c r="AE613">
        <v>0</v>
      </c>
      <c r="AF613">
        <v>0</v>
      </c>
      <c r="AG613">
        <v>0</v>
      </c>
      <c r="AH613">
        <v>0</v>
      </c>
      <c r="AI613">
        <v>0</v>
      </c>
      <c r="AJ613">
        <v>0</v>
      </c>
      <c r="AK613">
        <v>1</v>
      </c>
      <c r="AL613">
        <v>0</v>
      </c>
      <c r="AM613">
        <v>0</v>
      </c>
      <c r="AN613">
        <v>0</v>
      </c>
      <c r="AO613">
        <v>0</v>
      </c>
      <c r="AP613">
        <v>0</v>
      </c>
      <c r="AQ613">
        <v>0</v>
      </c>
      <c r="AR613">
        <v>0</v>
      </c>
      <c r="AS613">
        <v>0</v>
      </c>
      <c r="AT613">
        <v>0</v>
      </c>
      <c r="AU613">
        <v>0</v>
      </c>
      <c r="AV613">
        <v>0</v>
      </c>
      <c r="AW613">
        <v>0</v>
      </c>
      <c r="AX613" s="141">
        <f>COUNTIF(V613:AW613,"&lt;&gt;0")</f>
        <v>1</v>
      </c>
      <c r="AY613" s="141">
        <f>COUNTIF(V613:AL613,"&lt;&gt;0")</f>
        <v>1</v>
      </c>
      <c r="AZ613">
        <f>COUNTIF(V613:AC613,"&lt;&gt;0")</f>
        <v>0</v>
      </c>
      <c r="BA613">
        <f>COUNTIF(AD613:AI613,"&lt;&gt;0")</f>
        <v>0</v>
      </c>
      <c r="BB613">
        <f>COUNTIF(AJ613:AL613,"&lt;&gt;0")</f>
        <v>1</v>
      </c>
      <c r="BC613">
        <f>COUNTIF(AS613:AW613,"&lt;&gt;0")</f>
        <v>0</v>
      </c>
      <c r="BD613">
        <f>COUNTIF(AM613:AR613,"&lt;&gt;0")</f>
        <v>0</v>
      </c>
      <c r="BE613" t="str">
        <f t="array" ref="BE613">IF(AY613=1,INDEX($V$7:$AL$7,MATCH(TRUE,INDEX($V613:$AW613&lt;&gt;0,),0)),IF(AY613=0,INDEX($AM$7:$AW$7,MATCH(1,$AM613:$AW613,0)),IF(BF613="Multiple strategies","mixed drivers",IF(BF613="Supply chain","multiple supply","multiple silviculture"))))</f>
        <v>technologies/design switch</v>
      </c>
      <c r="BF613" s="2" t="str" cm="1">
        <f t="array" ref="BF613">IF(COUNTIF(AZ613:BB613,"&lt;&gt;0")=1,INDEX($V$4:$AW$4,MATCH(TRUE,INDEX($V613:$AW613&lt;&gt;0,),0)),IF(COUNTIF(AZ613:BB613,"&lt;&gt;0")=0,INDEX($AM$4:$AW$4,MATCH(1,$AM613:$AW613,0)),"Multiple strategies"))</f>
        <v>Technology</v>
      </c>
      <c r="BG613" s="1" t="s">
        <v>229</v>
      </c>
      <c r="BH613" t="s">
        <v>229</v>
      </c>
      <c r="BI613" s="264" t="s">
        <v>410</v>
      </c>
      <c r="BJ613" t="s">
        <v>345</v>
      </c>
      <c r="BK613">
        <v>0</v>
      </c>
      <c r="BL613">
        <v>23500</v>
      </c>
      <c r="BM613" s="143"/>
      <c r="BN613">
        <f>BL613-BK613</f>
        <v>23500</v>
      </c>
      <c r="BO613" s="143">
        <f>BN613*kg_to_m3</f>
        <v>47.95918367346939</v>
      </c>
      <c r="BP613" t="s">
        <v>232</v>
      </c>
      <c r="BQ613" s="335" t="s">
        <v>396</v>
      </c>
      <c r="BR613" t="s">
        <v>346</v>
      </c>
      <c r="BS613">
        <v>-11900</v>
      </c>
      <c r="BT613">
        <v>-5800</v>
      </c>
      <c r="BU613" s="144">
        <v>0.48739495798319327</v>
      </c>
      <c r="BV613">
        <f>BT613-BS613</f>
        <v>6100</v>
      </c>
      <c r="BX613">
        <f>BV613/1000</f>
        <v>6.1</v>
      </c>
      <c r="BY613">
        <f>IFERROR(BX613/BO613,"")</f>
        <v>0.1271914893617021</v>
      </c>
      <c r="BZ613">
        <v>0</v>
      </c>
      <c r="CA613">
        <v>0</v>
      </c>
      <c r="CB613">
        <v>0</v>
      </c>
      <c r="CC613">
        <v>0</v>
      </c>
      <c r="CD613">
        <v>0</v>
      </c>
      <c r="CE613">
        <v>0</v>
      </c>
      <c r="CF613">
        <v>0</v>
      </c>
      <c r="CG613">
        <v>0</v>
      </c>
      <c r="CH613">
        <v>0</v>
      </c>
      <c r="CI613">
        <v>0</v>
      </c>
      <c r="CJ613">
        <v>0</v>
      </c>
      <c r="CK613">
        <v>0</v>
      </c>
      <c r="CL613">
        <v>0</v>
      </c>
      <c r="CM613">
        <v>0</v>
      </c>
      <c r="CN613" t="str">
        <f>IF($BL613&lt;$BK613,"refNeedCorrection","refOK")</f>
        <v>refOK</v>
      </c>
      <c r="CO613">
        <f>IF($CN613="refNeedCorrection",BL613,BK613)</f>
        <v>0</v>
      </c>
      <c r="CP613">
        <f>IF($CN613="refNeedCorrection",BK613,BL613)</f>
        <v>23500</v>
      </c>
      <c r="CQ613">
        <f>IF($CN613="refOK",$BO613,-$BO613)</f>
        <v>47.95918367346939</v>
      </c>
      <c r="CR613">
        <f>IF($CN613="refOK",$BS613,$BT613)*IF($BP613="Emissions positive",-1,1)</f>
        <v>-11900</v>
      </c>
      <c r="CS613">
        <f>IF($CN613="refOK",$BT613,$BS613)*IF($BP613="Emissions positive",-1,1)</f>
        <v>-5800</v>
      </c>
      <c r="CT613">
        <f>IF($CN613="refNeedCorrection",-BX613,BX613)*IF($BP613="Emissions positive",-1,1)</f>
        <v>6.1</v>
      </c>
      <c r="CU613">
        <f>IFERROR(CT613/CQ613,"")</f>
        <v>0.1271914893617021</v>
      </c>
      <c r="CV613" s="2">
        <f>IFERROR((CS613-CR613)/ABS(CR613),"")</f>
        <v>0.51260504201680668</v>
      </c>
      <c r="CW613" s="1" t="s">
        <v>347</v>
      </c>
      <c r="CX613" t="str">
        <f>IF(OR($CW613="prd",$CW613="std",$CW613="cit"),"loc",IF(OR($CW613="eur",$CW613="reg",$CW613="coy"),"reg",$CW613))</f>
        <v>loc</v>
      </c>
      <c r="CY613" t="s">
        <v>348</v>
      </c>
      <c r="CZ613">
        <v>2014</v>
      </c>
      <c r="DA613">
        <v>2114</v>
      </c>
      <c r="DB613">
        <v>100</v>
      </c>
      <c r="DC613" t="str">
        <f>IF(DB613=0,"0",IF(AND(DB613&gt;=1,DB613&lt;=30),"1-30",IF(AND(DB613&gt;30,DB613&lt;=70),"31-70",IF(AND(DB613&gt;70,DB613&lt;=100),"71-100",IF(DB613&gt;100,"+100")))))</f>
        <v>71-100</v>
      </c>
      <c r="DD613">
        <v>0</v>
      </c>
      <c r="DE613">
        <v>0</v>
      </c>
      <c r="DF613">
        <v>0</v>
      </c>
      <c r="DG613">
        <v>1</v>
      </c>
      <c r="DI613">
        <f>SUM(DD613:DG613)</f>
        <v>1</v>
      </c>
      <c r="DJ613" t="str">
        <f>IF(DI613=1,INDEX($DD$7:$DG$7,MATCH(1,$DD613:$DG613,0)),"mixedProduct")</f>
        <v>TimberInput</v>
      </c>
      <c r="DK613">
        <f>IF(DD613=1,DK$7,0)</f>
        <v>0</v>
      </c>
      <c r="DL613">
        <f>IF(DE613=1,DL$7,0)</f>
        <v>0</v>
      </c>
      <c r="DM613">
        <f>IF(DF613=1,DM$7,0)</f>
        <v>0</v>
      </c>
      <c r="DN613" t="str">
        <f>IF(DG613=1,DN$7,0)</f>
        <v>Timber</v>
      </c>
      <c r="DO613">
        <v>0</v>
      </c>
      <c r="DP613">
        <v>0</v>
      </c>
      <c r="DQ613">
        <v>0</v>
      </c>
      <c r="DR613">
        <v>0</v>
      </c>
      <c r="DS613">
        <v>0</v>
      </c>
      <c r="DT613">
        <f>SUM(DO613:DP613)</f>
        <v>0</v>
      </c>
      <c r="DU613" s="143" t="str">
        <f>IF(DO613=1,"self-calculated DF",IF(DP613=1,"external DF used","explicit C balance"))</f>
        <v>explicit C balance</v>
      </c>
      <c r="DV613">
        <v>0</v>
      </c>
      <c r="DW613">
        <v>0</v>
      </c>
      <c r="DX613">
        <v>0</v>
      </c>
      <c r="DY613">
        <v>1</v>
      </c>
      <c r="DZ613">
        <v>0</v>
      </c>
      <c r="EA613" s="143">
        <v>1</v>
      </c>
      <c r="EB613">
        <v>0</v>
      </c>
      <c r="EC613">
        <v>1</v>
      </c>
      <c r="ED613">
        <v>1</v>
      </c>
      <c r="EE613">
        <v>1</v>
      </c>
      <c r="EF613">
        <v>0</v>
      </c>
      <c r="EG613">
        <v>0</v>
      </c>
      <c r="EH613">
        <v>0</v>
      </c>
      <c r="EI613" s="2">
        <v>0</v>
      </c>
      <c r="EK613" t="str">
        <f>IF(AND(AND(AND(OR($DX613=1,$DW613=1),OR($EC613=1,$EA613=1)),SUM($DV613:$DZ613,$EF613)&gt;=4),SUM($EA613:$EE613)&gt;=2),"Whole sector","")</f>
        <v/>
      </c>
      <c r="EL613" t="str">
        <f>IF(AND(AND(OR($DX613=1,$DW613=1),AND($EC613=0,$EA613=0)),SUM($DV613:$DZ613,$EF613)&gt;=4),"Ecosystem approach","")</f>
        <v/>
      </c>
      <c r="EM613" s="2" t="str">
        <f>IF(AND(AND(AND($DX613=0,$DW613=0),OR($EC613=1,$EA613=1)),SUM($EB613:$EE613)&gt;=2),"Technology approach","")</f>
        <v>Technology approach</v>
      </c>
      <c r="EP613" t="str">
        <f>IF(ISNUMBER(BU613),IF(ABS(BU613-[1]QC_indicators!$B$2)&gt;3*[1]QC_indicators!$C$2,"C ratio",IF(ISNUMBER(BY613),IF(ABS(BY613-[1]QC_indicators!$B$1)&gt;3*[1]QC_indicators!$C$1,"DF","no"))),IF(ISNUMBER(BY613),IF(ABS(BY613-[1]QC_indicators!$B$1)&gt;3*[1]QC_indicators!$C$1,"DF","no")))</f>
        <v>no</v>
      </c>
      <c r="ER613" s="149" t="s">
        <v>349</v>
      </c>
      <c r="ET613" s="264" t="s">
        <v>3273</v>
      </c>
    </row>
    <row r="614" spans="1:151" ht="15" customHeight="1">
      <c r="A614" s="1" t="s">
        <v>1168</v>
      </c>
      <c r="B614" t="s">
        <v>1169</v>
      </c>
      <c r="C614" t="s">
        <v>1170</v>
      </c>
      <c r="D614" t="s">
        <v>1171</v>
      </c>
      <c r="E614" t="s">
        <v>1172</v>
      </c>
      <c r="F614" t="s">
        <v>1173</v>
      </c>
      <c r="G614" t="s">
        <v>1174</v>
      </c>
      <c r="H614" t="s">
        <v>254</v>
      </c>
      <c r="I614">
        <v>2010</v>
      </c>
      <c r="J614">
        <v>51</v>
      </c>
      <c r="K614" t="s">
        <v>1175</v>
      </c>
      <c r="M614" t="str">
        <f>LEFT($D614,FIND(",",$D614)-1)&amp;"_"&amp;I614&amp;L614</f>
        <v>Vukotic_2010</v>
      </c>
      <c r="N614" t="s">
        <v>222</v>
      </c>
      <c r="O614" s="145" t="s">
        <v>1154</v>
      </c>
      <c r="Q614" t="s">
        <v>256</v>
      </c>
      <c r="R614" s="269" t="s">
        <v>274</v>
      </c>
      <c r="S614" s="1" t="s">
        <v>1176</v>
      </c>
      <c r="T614" t="s">
        <v>1177</v>
      </c>
      <c r="U614" t="s">
        <v>1178</v>
      </c>
      <c r="V614">
        <v>0</v>
      </c>
      <c r="W614">
        <v>0</v>
      </c>
      <c r="X614">
        <v>0</v>
      </c>
      <c r="Y614">
        <v>0</v>
      </c>
      <c r="Z614">
        <v>0</v>
      </c>
      <c r="AA614">
        <v>0</v>
      </c>
      <c r="AB614">
        <v>0</v>
      </c>
      <c r="AC614">
        <v>0</v>
      </c>
      <c r="AD614">
        <v>0</v>
      </c>
      <c r="AE614">
        <v>2</v>
      </c>
      <c r="AF614">
        <v>0</v>
      </c>
      <c r="AG614">
        <v>0</v>
      </c>
      <c r="AH614">
        <v>0</v>
      </c>
      <c r="AI614">
        <v>0</v>
      </c>
      <c r="AJ614">
        <v>0</v>
      </c>
      <c r="AK614">
        <v>1</v>
      </c>
      <c r="AL614">
        <v>0</v>
      </c>
      <c r="AM614">
        <v>0</v>
      </c>
      <c r="AN614">
        <v>0</v>
      </c>
      <c r="AO614">
        <v>0</v>
      </c>
      <c r="AP614">
        <v>0</v>
      </c>
      <c r="AQ614">
        <v>0</v>
      </c>
      <c r="AR614">
        <v>0</v>
      </c>
      <c r="AS614">
        <v>0</v>
      </c>
      <c r="AT614">
        <v>0</v>
      </c>
      <c r="AU614">
        <v>0</v>
      </c>
      <c r="AV614">
        <v>0</v>
      </c>
      <c r="AW614">
        <v>0</v>
      </c>
      <c r="AX614" s="141">
        <f>COUNTIF(V614:AW614,"&lt;&gt;0")</f>
        <v>2</v>
      </c>
      <c r="AY614" s="141">
        <f>COUNTIF(V614:AL614,"&lt;&gt;0")</f>
        <v>2</v>
      </c>
      <c r="AZ614">
        <f>COUNTIF(V614:AC614,"&lt;&gt;0")</f>
        <v>0</v>
      </c>
      <c r="BA614">
        <f>COUNTIF(AD614:AI614,"&lt;&gt;0")</f>
        <v>1</v>
      </c>
      <c r="BB614">
        <f>COUNTIF(AJ614:AL614,"&lt;&gt;0")</f>
        <v>1</v>
      </c>
      <c r="BC614">
        <f>COUNTIF(AS614:AW614,"&lt;&gt;0")</f>
        <v>0</v>
      </c>
      <c r="BD614">
        <f>COUNTIF(AM614:AR614,"&lt;&gt;0")</f>
        <v>0</v>
      </c>
      <c r="BE614" t="str">
        <f t="array" ref="BE614">IF(AY614=1,INDEX($V$7:$AL$7,MATCH(TRUE,INDEX($V614:$AW614&lt;&gt;0,),0)),IF(AY614=0,INDEX($AM$7:$AW$7,MATCH(1,$AM614:$AW614,0)),IF(BF614="Multiple strategies","mixed drivers",IF(BF614="Supply chain","multiple supply","multiple silviculture"))))</f>
        <v>mixed drivers</v>
      </c>
      <c r="BF614" s="2" t="str" cm="1">
        <f t="array" ref="BF614">IF(COUNTIF(AZ614:BB614,"&lt;&gt;0")=1,INDEX($V$4:$AW$4,MATCH(TRUE,INDEX($V614:$AW614&lt;&gt;0,),0)),IF(COUNTIF(AZ614:BB614,"&lt;&gt;0")=0,INDEX($AM$4:$AW$4,MATCH(1,$AM614:$AW614,0)),"Multiple strategies"))</f>
        <v>Multiple strategies</v>
      </c>
      <c r="BG614" s="1" t="s">
        <v>229</v>
      </c>
      <c r="BH614" t="s">
        <v>1179</v>
      </c>
      <c r="BJ614" t="s">
        <v>1180</v>
      </c>
      <c r="BK614">
        <v>0</v>
      </c>
      <c r="BL614">
        <v>0.27407407407407408</v>
      </c>
      <c r="BM614" s="143" t="e">
        <f>BL614/BK614</f>
        <v>#DIV/0!</v>
      </c>
      <c r="BN614">
        <f>BL614-BK614</f>
        <v>0.27407407407407408</v>
      </c>
      <c r="BO614">
        <f>BN614*t_to_m3</f>
        <v>0.55933484504913078</v>
      </c>
      <c r="BP614" t="s">
        <v>232</v>
      </c>
      <c r="BR614" t="s">
        <v>1181</v>
      </c>
      <c r="BS614">
        <v>-272.77999999999997</v>
      </c>
      <c r="BT614">
        <v>-200.19</v>
      </c>
      <c r="BU614" s="144">
        <f>IFERROR(BT614/BS614,"")</f>
        <v>0.73388811496444029</v>
      </c>
      <c r="BV614" s="144">
        <f>BT614-BS614</f>
        <v>72.589999999999975</v>
      </c>
      <c r="BW614" s="144"/>
      <c r="BX614" s="144">
        <f>BV614*0.001</f>
        <v>7.2589999999999974E-2</v>
      </c>
      <c r="BY614">
        <f>IFERROR(BX614/BO614,"")</f>
        <v>0.12977914864864859</v>
      </c>
      <c r="BZ614">
        <v>0</v>
      </c>
      <c r="CA614">
        <v>0</v>
      </c>
      <c r="CB614">
        <v>0</v>
      </c>
      <c r="CC614">
        <v>0</v>
      </c>
      <c r="CD614">
        <v>0</v>
      </c>
      <c r="CE614">
        <v>0</v>
      </c>
      <c r="CF614">
        <v>0</v>
      </c>
      <c r="CG614">
        <v>0</v>
      </c>
      <c r="CH614">
        <v>0</v>
      </c>
      <c r="CI614">
        <v>0</v>
      </c>
      <c r="CJ614">
        <v>0</v>
      </c>
      <c r="CK614">
        <v>0</v>
      </c>
      <c r="CL614">
        <v>0</v>
      </c>
      <c r="CM614">
        <v>0</v>
      </c>
      <c r="CN614" t="str">
        <f>IF($BL614&lt;$BK614,"refNeedCorrection","refOK")</f>
        <v>refOK</v>
      </c>
      <c r="CO614">
        <f>IF($CN614="refOK",$BK614,$BL614)</f>
        <v>0</v>
      </c>
      <c r="CP614">
        <f>IF($CN614="refOK",$BL614,$BK614)</f>
        <v>0.27407407407407408</v>
      </c>
      <c r="CQ614">
        <f>IF($CN614="refOK",$BO614,-$BO614)</f>
        <v>0.55933484504913078</v>
      </c>
      <c r="CR614">
        <f>IF($CN614="refOK",$BS614,$BT614)*IF($BP614="Emissions positive",-1,1)</f>
        <v>-272.77999999999997</v>
      </c>
      <c r="CS614">
        <f>IF($CN614="refOK",$BT614,$BS614)*IF($BP614="Emissions positive",-1,1)</f>
        <v>-200.19</v>
      </c>
      <c r="CT614">
        <f>IF($CN614="refNeedCorrection",-BX614,BX614)*IF($BP614="Emissions positive",-1,1)</f>
        <v>7.2589999999999974E-2</v>
      </c>
      <c r="CU614">
        <f>IFERROR(CT614/CQ614,"")</f>
        <v>0.12977914864864859</v>
      </c>
      <c r="CV614" s="2">
        <f>IFERROR((CS614-CR614)/ABS(CR614),"")</f>
        <v>0.26611188503555971</v>
      </c>
      <c r="CW614" s="1" t="s">
        <v>263</v>
      </c>
      <c r="CX614" t="str">
        <f>IF(OR($CW614="prd",$CW614="std",$CW614="cit"),"loc",IF(OR($CW614="eur",$CW614="reg",$CW614="coy"),"reg",$CW614))</f>
        <v>loc</v>
      </c>
      <c r="CY614" s="309" t="s">
        <v>3423</v>
      </c>
      <c r="DB614">
        <v>60</v>
      </c>
      <c r="DC614" t="str">
        <f>IF(DB614=0,"0",IF(AND(DB614&gt;=1,DB614&lt;=30),"1-30",IF(AND(DB614&gt;30,DB614&lt;=70),"31-70",IF(AND(DB614&gt;70,DB614&lt;=100),"71-100",IF(DB614&gt;100,"+100")))))</f>
        <v>31-70</v>
      </c>
      <c r="DD614">
        <v>0</v>
      </c>
      <c r="DE614">
        <v>0</v>
      </c>
      <c r="DF614">
        <v>0</v>
      </c>
      <c r="DG614">
        <v>1</v>
      </c>
      <c r="DI614">
        <f>SUM(DD614:DG614)</f>
        <v>1</v>
      </c>
      <c r="DJ614" t="str">
        <f>IF(DI614=1,INDEX($DD$7:$DG$7,MATCH(1,$DD614:$DG614,0)),"mixedProduct")</f>
        <v>TimberInput</v>
      </c>
      <c r="DK614">
        <f>IF(DD614=1,DK$7,0)</f>
        <v>0</v>
      </c>
      <c r="DL614">
        <f>IF(DE614=1,DL$7,0)</f>
        <v>0</v>
      </c>
      <c r="DM614">
        <f>IF(DF614=1,DM$7,0)</f>
        <v>0</v>
      </c>
      <c r="DN614" t="str">
        <f>IF(DG614=1,DN$7,0)</f>
        <v>Timber</v>
      </c>
      <c r="DO614">
        <v>1</v>
      </c>
      <c r="DP614">
        <v>0</v>
      </c>
      <c r="DQ614">
        <v>0</v>
      </c>
      <c r="DR614">
        <v>0</v>
      </c>
      <c r="DS614">
        <v>0</v>
      </c>
      <c r="DT614">
        <f>SUM(DO614:DP614)</f>
        <v>1</v>
      </c>
      <c r="DU614" s="143" t="str">
        <f>IF(DO614=1,"self-calculated DF",IF(DP614=1,"external DF used","explicit C balance"))</f>
        <v>self-calculated DF</v>
      </c>
      <c r="DV614">
        <v>0</v>
      </c>
      <c r="DW614">
        <v>0</v>
      </c>
      <c r="DX614">
        <v>0</v>
      </c>
      <c r="DY614">
        <v>0</v>
      </c>
      <c r="DZ614">
        <v>0</v>
      </c>
      <c r="EA614" s="143">
        <v>0</v>
      </c>
      <c r="EB614">
        <v>0</v>
      </c>
      <c r="EC614">
        <v>1</v>
      </c>
      <c r="ED614">
        <v>1</v>
      </c>
      <c r="EE614">
        <v>0</v>
      </c>
      <c r="EF614">
        <v>0</v>
      </c>
      <c r="EG614">
        <v>0</v>
      </c>
      <c r="EH614">
        <v>0</v>
      </c>
      <c r="EI614" s="2">
        <v>0</v>
      </c>
      <c r="EK614" t="str">
        <f>IF(AND(AND(AND(OR($DX614=1,$DW614=1),OR($EC614=1,$EA614=1)),SUM($DV614:$DZ614,$EF614)&gt;=4),SUM($EA614:$EE614)&gt;=2),"Whole sector","")</f>
        <v/>
      </c>
      <c r="EL614" t="str">
        <f>IF(AND(AND(OR($DX614=1,$DW614=1),AND($EC614=0,$EA614=0)),SUM($DV614:$DZ614,$EF614)&gt;=4),"Ecosystem approach","")</f>
        <v/>
      </c>
      <c r="EM614" s="2" t="str">
        <f>IF(AND(AND(AND($DX614=0,$DW614=0),OR($EC614=1,$EA614=1)),SUM($EB614:$EE614)&gt;=2),"Technology approach","")</f>
        <v>Technology approach</v>
      </c>
      <c r="EP614" t="str">
        <f>IF(ISNUMBER(BU614),IF(ABS(BU614-[2]QC_indicators!$B$2)&gt;3*[2]QC_indicators!$C$2,"C ratio",IF(ISNUMBER(BY614),IF(ABS(BY614-[2]QC_indicators!$B$1)&gt;3*[2]QC_indicators!$C$1,"DF","no"))),IF(ISNUMBER(BY614),IF(ABS(BY614-[2]QC_indicators!$B$1)&gt;3*[2]QC_indicators!$C$1,"DF","no")))</f>
        <v>no</v>
      </c>
      <c r="ET614" s="264" t="s">
        <v>3263</v>
      </c>
    </row>
    <row r="615" spans="1:151" ht="15" customHeight="1">
      <c r="A615" s="1" t="s">
        <v>333</v>
      </c>
      <c r="B615" t="s">
        <v>334</v>
      </c>
      <c r="C615" t="s">
        <v>335</v>
      </c>
      <c r="D615" t="s">
        <v>336</v>
      </c>
      <c r="E615" t="s">
        <v>337</v>
      </c>
      <c r="F615" t="s">
        <v>338</v>
      </c>
      <c r="G615" t="s">
        <v>339</v>
      </c>
      <c r="I615">
        <v>2017</v>
      </c>
      <c r="K615" t="s">
        <v>340</v>
      </c>
      <c r="M615" t="str">
        <f>LEFT($D615,FIND(",",$D615)-1)&amp;"_"&amp;I615&amp;L615</f>
        <v>Balasbaneh_2017</v>
      </c>
      <c r="N615" t="s">
        <v>222</v>
      </c>
      <c r="O615" s="140" t="s">
        <v>341</v>
      </c>
      <c r="Q615" t="s">
        <v>224</v>
      </c>
      <c r="R615" s="262" t="s">
        <v>223</v>
      </c>
      <c r="S615" s="1" t="s">
        <v>355</v>
      </c>
      <c r="T615" t="s">
        <v>343</v>
      </c>
      <c r="U615" t="s">
        <v>351</v>
      </c>
      <c r="V615">
        <v>0</v>
      </c>
      <c r="W615">
        <v>0</v>
      </c>
      <c r="X615">
        <v>0</v>
      </c>
      <c r="Y615">
        <v>0</v>
      </c>
      <c r="Z615">
        <v>0</v>
      </c>
      <c r="AA615">
        <v>0</v>
      </c>
      <c r="AB615">
        <v>0</v>
      </c>
      <c r="AC615">
        <v>0</v>
      </c>
      <c r="AD615">
        <v>0</v>
      </c>
      <c r="AE615">
        <v>0</v>
      </c>
      <c r="AF615">
        <v>0</v>
      </c>
      <c r="AG615">
        <v>0</v>
      </c>
      <c r="AH615">
        <v>0</v>
      </c>
      <c r="AI615">
        <v>0</v>
      </c>
      <c r="AJ615">
        <v>0</v>
      </c>
      <c r="AK615">
        <v>1</v>
      </c>
      <c r="AL615">
        <v>0</v>
      </c>
      <c r="AM615">
        <v>0</v>
      </c>
      <c r="AN615">
        <v>0</v>
      </c>
      <c r="AO615">
        <v>0</v>
      </c>
      <c r="AP615">
        <v>0</v>
      </c>
      <c r="AQ615">
        <v>0</v>
      </c>
      <c r="AR615">
        <v>0</v>
      </c>
      <c r="AS615">
        <v>0</v>
      </c>
      <c r="AT615">
        <v>0</v>
      </c>
      <c r="AU615">
        <v>0</v>
      </c>
      <c r="AV615">
        <v>0</v>
      </c>
      <c r="AW615">
        <v>0</v>
      </c>
      <c r="AX615" s="141">
        <f>COUNTIF(V615:AW615,"&lt;&gt;0")</f>
        <v>1</v>
      </c>
      <c r="AY615" s="141">
        <f>COUNTIF(V615:AL615,"&lt;&gt;0")</f>
        <v>1</v>
      </c>
      <c r="AZ615">
        <f>COUNTIF(V615:AC615,"&lt;&gt;0")</f>
        <v>0</v>
      </c>
      <c r="BA615">
        <f>COUNTIF(AD615:AI615,"&lt;&gt;0")</f>
        <v>0</v>
      </c>
      <c r="BB615">
        <f>COUNTIF(AJ615:AL615,"&lt;&gt;0")</f>
        <v>1</v>
      </c>
      <c r="BC615">
        <f>COUNTIF(AS615:AW615,"&lt;&gt;0")</f>
        <v>0</v>
      </c>
      <c r="BD615">
        <f>COUNTIF(AM615:AR615,"&lt;&gt;0")</f>
        <v>0</v>
      </c>
      <c r="BE615" t="str">
        <f t="array" ref="BE615">IF(AY615=1,INDEX($V$7:$AL$7,MATCH(TRUE,INDEX($V615:$AW615&lt;&gt;0,),0)),IF(AY615=0,INDEX($AM$7:$AW$7,MATCH(1,$AM615:$AW615,0)),IF(BF615="Multiple strategies","mixed drivers",IF(BF615="Supply chain","multiple supply","multiple silviculture"))))</f>
        <v>technologies/design switch</v>
      </c>
      <c r="BF615" s="2" t="str" cm="1">
        <f t="array" ref="BF615">IF(COUNTIF(AZ615:BB615,"&lt;&gt;0")=1,INDEX($V$4:$AW$4,MATCH(TRUE,INDEX($V615:$AW615&lt;&gt;0,),0)),IF(COUNTIF(AZ615:BB615,"&lt;&gt;0")=0,INDEX($AM$4:$AW$4,MATCH(1,$AM615:$AW615,0)),"Multiple strategies"))</f>
        <v>Technology</v>
      </c>
      <c r="BG615" s="1" t="s">
        <v>229</v>
      </c>
      <c r="BH615" t="s">
        <v>229</v>
      </c>
      <c r="BI615" s="264" t="s">
        <v>410</v>
      </c>
      <c r="BJ615" t="s">
        <v>345</v>
      </c>
      <c r="BK615">
        <v>0</v>
      </c>
      <c r="BL615">
        <v>23500</v>
      </c>
      <c r="BM615" s="143"/>
      <c r="BN615">
        <f>BL615-BK615</f>
        <v>23500</v>
      </c>
      <c r="BO615" s="143">
        <f>BN615*kg_to_m3</f>
        <v>47.95918367346939</v>
      </c>
      <c r="BP615" t="s">
        <v>232</v>
      </c>
      <c r="BQ615" s="335" t="s">
        <v>396</v>
      </c>
      <c r="BR615" t="s">
        <v>346</v>
      </c>
      <c r="BS615">
        <v>-12100</v>
      </c>
      <c r="BT615">
        <v>-5830</v>
      </c>
      <c r="BU615" s="144">
        <v>0.48181818181818181</v>
      </c>
      <c r="BV615">
        <f>BT615-BS615</f>
        <v>6270</v>
      </c>
      <c r="BX615">
        <f>BV615/1000</f>
        <v>6.27</v>
      </c>
      <c r="BY615">
        <f>IFERROR(BX615/BO615,"")</f>
        <v>0.13073617021276596</v>
      </c>
      <c r="BZ615">
        <v>0</v>
      </c>
      <c r="CA615">
        <v>0</v>
      </c>
      <c r="CB615">
        <v>0</v>
      </c>
      <c r="CC615">
        <v>0</v>
      </c>
      <c r="CD615">
        <v>0</v>
      </c>
      <c r="CE615">
        <v>0</v>
      </c>
      <c r="CF615">
        <v>0</v>
      </c>
      <c r="CG615">
        <v>0</v>
      </c>
      <c r="CH615">
        <v>0</v>
      </c>
      <c r="CI615">
        <v>0</v>
      </c>
      <c r="CJ615">
        <v>0</v>
      </c>
      <c r="CK615">
        <v>0</v>
      </c>
      <c r="CL615">
        <v>0</v>
      </c>
      <c r="CM615">
        <v>0</v>
      </c>
      <c r="CN615" t="str">
        <f>IF($BL615&lt;$BK615,"refNeedCorrection","refOK")</f>
        <v>refOK</v>
      </c>
      <c r="CO615">
        <f>IF($CN615="refNeedCorrection",BL615,BK615)</f>
        <v>0</v>
      </c>
      <c r="CP615">
        <f>IF($CN615="refNeedCorrection",BK615,BL615)</f>
        <v>23500</v>
      </c>
      <c r="CQ615">
        <f>IF($CN615="refOK",$BO615,-$BO615)</f>
        <v>47.95918367346939</v>
      </c>
      <c r="CR615">
        <f>IF($CN615="refOK",$BS615,$BT615)*IF($BP615="Emissions positive",-1,1)</f>
        <v>-12100</v>
      </c>
      <c r="CS615">
        <f>IF($CN615="refOK",$BT615,$BS615)*IF($BP615="Emissions positive",-1,1)</f>
        <v>-5830</v>
      </c>
      <c r="CT615">
        <f>IF($CN615="refNeedCorrection",-BX615,BX615)*IF($BP615="Emissions positive",-1,1)</f>
        <v>6.27</v>
      </c>
      <c r="CU615">
        <f>IFERROR(CT615/CQ615,"")</f>
        <v>0.13073617021276596</v>
      </c>
      <c r="CV615" s="2">
        <f>IFERROR((CS615-CR615)/ABS(CR615),"")</f>
        <v>0.51818181818181819</v>
      </c>
      <c r="CW615" s="1" t="s">
        <v>347</v>
      </c>
      <c r="CX615" t="str">
        <f>IF(OR($CW615="prd",$CW615="std",$CW615="cit"),"loc",IF(OR($CW615="eur",$CW615="reg",$CW615="coy"),"reg",$CW615))</f>
        <v>loc</v>
      </c>
      <c r="CY615" t="s">
        <v>348</v>
      </c>
      <c r="CZ615">
        <v>2014</v>
      </c>
      <c r="DA615">
        <v>2114</v>
      </c>
      <c r="DB615">
        <v>100</v>
      </c>
      <c r="DC615" t="str">
        <f>IF(DB615=0,"0",IF(AND(DB615&gt;=1,DB615&lt;=30),"1-30",IF(AND(DB615&gt;30,DB615&lt;=70),"31-70",IF(AND(DB615&gt;70,DB615&lt;=100),"71-100",IF(DB615&gt;100,"+100")))))</f>
        <v>71-100</v>
      </c>
      <c r="DD615">
        <v>0</v>
      </c>
      <c r="DE615">
        <v>0</v>
      </c>
      <c r="DF615">
        <v>0</v>
      </c>
      <c r="DG615">
        <v>1</v>
      </c>
      <c r="DI615">
        <f>SUM(DD615:DG615)</f>
        <v>1</v>
      </c>
      <c r="DJ615" t="str">
        <f>IF(DI615=1,INDEX($DD$7:$DG$7,MATCH(1,$DD615:$DG615,0)),"mixedProduct")</f>
        <v>TimberInput</v>
      </c>
      <c r="DK615">
        <f>IF(DD615=1,DK$7,0)</f>
        <v>0</v>
      </c>
      <c r="DL615">
        <f>IF(DE615=1,DL$7,0)</f>
        <v>0</v>
      </c>
      <c r="DM615">
        <f>IF(DF615=1,DM$7,0)</f>
        <v>0</v>
      </c>
      <c r="DN615" t="str">
        <f>IF(DG615=1,DN$7,0)</f>
        <v>Timber</v>
      </c>
      <c r="DO615">
        <v>0</v>
      </c>
      <c r="DP615">
        <v>0</v>
      </c>
      <c r="DQ615">
        <v>0</v>
      </c>
      <c r="DR615">
        <v>0</v>
      </c>
      <c r="DS615">
        <v>0</v>
      </c>
      <c r="DT615">
        <f>SUM(DO615:DP615)</f>
        <v>0</v>
      </c>
      <c r="DU615" s="143" t="str">
        <f>IF(DO615=1,"self-calculated DF",IF(DP615=1,"external DF used","explicit C balance"))</f>
        <v>explicit C balance</v>
      </c>
      <c r="DV615">
        <v>0</v>
      </c>
      <c r="DW615">
        <v>0</v>
      </c>
      <c r="DX615">
        <v>0</v>
      </c>
      <c r="DY615">
        <v>1</v>
      </c>
      <c r="DZ615">
        <v>0</v>
      </c>
      <c r="EA615" s="143">
        <v>1</v>
      </c>
      <c r="EB615">
        <v>0</v>
      </c>
      <c r="EC615">
        <v>1</v>
      </c>
      <c r="ED615">
        <v>1</v>
      </c>
      <c r="EE615">
        <v>1</v>
      </c>
      <c r="EF615">
        <v>0</v>
      </c>
      <c r="EG615">
        <v>0</v>
      </c>
      <c r="EH615">
        <v>0</v>
      </c>
      <c r="EI615" s="2">
        <v>0</v>
      </c>
      <c r="EK615" t="str">
        <f>IF(AND(AND(AND(OR($DX615=1,$DW615=1),OR($EC615=1,$EA615=1)),SUM($DV615:$DZ615,$EF615)&gt;=4),SUM($EA615:$EE615)&gt;=2),"Whole sector","")</f>
        <v/>
      </c>
      <c r="EL615" t="str">
        <f>IF(AND(AND(OR($DX615=1,$DW615=1),AND($EC615=0,$EA615=0)),SUM($DV615:$DZ615,$EF615)&gt;=4),"Ecosystem approach","")</f>
        <v/>
      </c>
      <c r="EM615" s="2" t="str">
        <f>IF(AND(AND(AND($DX615=0,$DW615=0),OR($EC615=1,$EA615=1)),SUM($EB615:$EE615)&gt;=2),"Technology approach","")</f>
        <v>Technology approach</v>
      </c>
      <c r="EP615" t="str">
        <f>IF(ISNUMBER(BU615),IF(ABS(BU615-[1]QC_indicators!$B$2)&gt;3*[1]QC_indicators!$C$2,"C ratio",IF(ISNUMBER(BY615),IF(ABS(BY615-[1]QC_indicators!$B$1)&gt;3*[1]QC_indicators!$C$1,"DF","no"))),IF(ISNUMBER(BY615),IF(ABS(BY615-[1]QC_indicators!$B$1)&gt;3*[1]QC_indicators!$C$1,"DF","no")))</f>
        <v>no</v>
      </c>
      <c r="ER615" s="149" t="s">
        <v>349</v>
      </c>
      <c r="ET615" s="264" t="s">
        <v>3273</v>
      </c>
    </row>
    <row r="616" spans="1:151" ht="15" customHeight="1">
      <c r="A616" s="1" t="s">
        <v>333</v>
      </c>
      <c r="B616" t="s">
        <v>1081</v>
      </c>
      <c r="C616" t="s">
        <v>1082</v>
      </c>
      <c r="D616" t="s">
        <v>1083</v>
      </c>
      <c r="E616" t="s">
        <v>1084</v>
      </c>
      <c r="F616" t="s">
        <v>1085</v>
      </c>
      <c r="G616" t="s">
        <v>339</v>
      </c>
      <c r="H616" t="s">
        <v>254</v>
      </c>
      <c r="I616">
        <v>2022</v>
      </c>
      <c r="J616">
        <v>3</v>
      </c>
      <c r="K616" t="s">
        <v>1086</v>
      </c>
      <c r="M616" t="str">
        <f>LEFT($D616,FIND(",",$D616)-1)&amp;"_"&amp;I616&amp;L616</f>
        <v>Robati_2022</v>
      </c>
      <c r="N616" t="s">
        <v>222</v>
      </c>
      <c r="O616" s="264" t="s">
        <v>223</v>
      </c>
      <c r="Q616" s="264" t="s">
        <v>389</v>
      </c>
      <c r="R616" s="269" t="s">
        <v>1154</v>
      </c>
      <c r="S616" s="263" t="s">
        <v>1097</v>
      </c>
      <c r="T616" s="264" t="s">
        <v>1096</v>
      </c>
      <c r="U616" s="264" t="s">
        <v>1089</v>
      </c>
      <c r="V616">
        <v>0</v>
      </c>
      <c r="W616">
        <v>0</v>
      </c>
      <c r="X616">
        <v>0</v>
      </c>
      <c r="Y616">
        <v>0</v>
      </c>
      <c r="Z616">
        <v>0</v>
      </c>
      <c r="AA616">
        <v>0</v>
      </c>
      <c r="AB616">
        <v>0</v>
      </c>
      <c r="AC616">
        <v>0</v>
      </c>
      <c r="AD616">
        <v>0</v>
      </c>
      <c r="AE616">
        <v>0</v>
      </c>
      <c r="AF616">
        <v>0</v>
      </c>
      <c r="AG616">
        <v>0</v>
      </c>
      <c r="AH616">
        <v>0</v>
      </c>
      <c r="AI616">
        <v>0</v>
      </c>
      <c r="AJ616">
        <v>0</v>
      </c>
      <c r="AK616">
        <v>1</v>
      </c>
      <c r="AL616">
        <v>0</v>
      </c>
      <c r="AM616">
        <v>0</v>
      </c>
      <c r="AN616">
        <v>0</v>
      </c>
      <c r="AO616">
        <v>0</v>
      </c>
      <c r="AP616">
        <v>0</v>
      </c>
      <c r="AQ616">
        <v>0</v>
      </c>
      <c r="AR616">
        <v>0</v>
      </c>
      <c r="AS616">
        <v>0</v>
      </c>
      <c r="AT616">
        <v>0</v>
      </c>
      <c r="AU616">
        <v>0</v>
      </c>
      <c r="AV616">
        <v>0</v>
      </c>
      <c r="AW616">
        <v>0</v>
      </c>
      <c r="AX616" s="141">
        <f>COUNTIF(V616:AW616,"&lt;&gt;0")</f>
        <v>1</v>
      </c>
      <c r="AY616" s="141">
        <f>COUNTIF(V616:AL616,"&lt;&gt;0")</f>
        <v>1</v>
      </c>
      <c r="AZ616">
        <f>COUNTIF(V616:AC616,"&lt;&gt;0")</f>
        <v>0</v>
      </c>
      <c r="BA616">
        <f>COUNTIF(AD616:AI616,"&lt;&gt;0")</f>
        <v>0</v>
      </c>
      <c r="BB616">
        <f>COUNTIF(AJ616:AL616,"&lt;&gt;0")</f>
        <v>1</v>
      </c>
      <c r="BC616">
        <f>COUNTIF(AS616:AW616,"&lt;&gt;0")</f>
        <v>0</v>
      </c>
      <c r="BD616">
        <f>COUNTIF(AM616:AR616,"&lt;&gt;0")</f>
        <v>0</v>
      </c>
      <c r="BE616" t="str" cm="1">
        <f t="array" ref="BE616">IF(AY616=1,INDEX($V$7:$AL$7,MATCH(TRUE,INDEX($V616:$AW616&lt;&gt;0,),0)),IF(AY616=0,INDEX($AM$7:$AW$7,MATCH(1,$AM616:$AW616,0)),IF(BF616="Multiple strategies","mixed drivers",IF(BF616="Supply chain","multiple supply","multiple silviculture"))))</f>
        <v>technologies/design switch</v>
      </c>
      <c r="BF616" s="2" t="str" cm="1">
        <f t="array" ref="BF616">IF(COUNTIF(AZ616:BB616,"&lt;&gt;0")=1,INDEX($V$4:$AW$4,MATCH(TRUE,INDEX($V616:$AW616&lt;&gt;0,),0)),IF(COUNTIF(AZ616:BB616,"&lt;&gt;0")=0,INDEX($AM$4:$AW$4,MATCH(1,$AM616:$AW616,0)),"Multiple strategies"))</f>
        <v>Technology</v>
      </c>
      <c r="BG616" s="1" t="s">
        <v>229</v>
      </c>
      <c r="BH616" s="264" t="s">
        <v>1090</v>
      </c>
      <c r="BI616" s="264" t="s">
        <v>716</v>
      </c>
      <c r="BJ616" s="264" t="s">
        <v>1091</v>
      </c>
      <c r="BK616">
        <f>(6.17+4901.94+10375.04)/43229</f>
        <v>0.35353929075389212</v>
      </c>
      <c r="BL616">
        <f>(6.17+4901.94+10375.04+8069.52+1195.9)/43229</f>
        <v>0.56787272432857583</v>
      </c>
      <c r="BN616">
        <f>BL616-BK616</f>
        <v>0.21433343357468371</v>
      </c>
      <c r="BO616">
        <f>BL616-BK616</f>
        <v>0.21433343357468371</v>
      </c>
      <c r="BP616" s="264" t="s">
        <v>395</v>
      </c>
      <c r="BQ616" s="264" t="s">
        <v>785</v>
      </c>
      <c r="BR616" s="264" t="s">
        <v>1092</v>
      </c>
      <c r="BS616">
        <f>379</f>
        <v>379</v>
      </c>
      <c r="BT616">
        <f>350.8</f>
        <v>350.8</v>
      </c>
      <c r="BU616" s="144">
        <f>IFERROR(BT616/BS616,"")</f>
        <v>0.92559366754617423</v>
      </c>
      <c r="BV616">
        <f>BT616-BS616</f>
        <v>-28.199999999999989</v>
      </c>
      <c r="BX616">
        <f>BV616/1000</f>
        <v>-2.8199999999999989E-2</v>
      </c>
      <c r="BY616">
        <f>IFERROR(BX616/BO616,"")</f>
        <v>-0.13157070051870279</v>
      </c>
      <c r="BZ616">
        <v>0</v>
      </c>
      <c r="CA616">
        <v>0</v>
      </c>
      <c r="CB616">
        <v>0</v>
      </c>
      <c r="CC616">
        <v>0</v>
      </c>
      <c r="CD616">
        <v>0</v>
      </c>
      <c r="CE616">
        <v>0</v>
      </c>
      <c r="CF616">
        <v>0</v>
      </c>
      <c r="CG616">
        <v>0</v>
      </c>
      <c r="CH616">
        <v>0</v>
      </c>
      <c r="CI616">
        <v>0</v>
      </c>
      <c r="CJ616">
        <v>0</v>
      </c>
      <c r="CK616">
        <v>0</v>
      </c>
      <c r="CL616">
        <v>0</v>
      </c>
      <c r="CM616">
        <v>0</v>
      </c>
      <c r="CN616" t="str">
        <f>IF($BL616&lt;$BK616,"refNeedCorrection","refOK")</f>
        <v>refOK</v>
      </c>
      <c r="CO616">
        <f>IF($CN616="refOK",$BK616,$BL616)</f>
        <v>0.35353929075389212</v>
      </c>
      <c r="CP616">
        <f>IF($CN616="refOK",$BL616,$BK616)</f>
        <v>0.56787272432857583</v>
      </c>
      <c r="CQ616">
        <f>IF($CN616="refOK",$BO616,-$BO616)</f>
        <v>0.21433343357468371</v>
      </c>
      <c r="CR616">
        <f>IF($CN616="refOK",$BS616,$BT616)*IF($BP616="Emissions positive",-1,1)</f>
        <v>-379</v>
      </c>
      <c r="CS616">
        <f>IF($CN616="refOK",$BT616,$BS616)*IF($BP616="Emissions positive",-1,1)</f>
        <v>-350.8</v>
      </c>
      <c r="CT616">
        <f>IF($CN616="refNeedCorrection",-BX616,BX616)*IF($BP616="Emissions positive",-1,1)</f>
        <v>2.8199999999999989E-2</v>
      </c>
      <c r="CU616">
        <f>IFERROR(CT616/CQ616,"")</f>
        <v>0.13157070051870279</v>
      </c>
      <c r="CV616" s="2">
        <f>IFERROR((CS616-CR616)/ABS(CR616),"")</f>
        <v>7.440633245382583E-2</v>
      </c>
      <c r="CW616" s="263" t="s">
        <v>263</v>
      </c>
      <c r="CX616" s="264" t="str">
        <f>IF(OR($CW616="prd",$CW616="std",$CW616="cit"),"loc",IF(OR($CW616="eur",$CW616="reg",$CW616="coy"),"reg",$CW616))</f>
        <v>loc</v>
      </c>
      <c r="CY616" s="264" t="s">
        <v>574</v>
      </c>
      <c r="DB616">
        <v>0</v>
      </c>
      <c r="DC616" t="str">
        <f>IF(DB616=0,"0",IF(AND(DB616&gt;=1,DB616&lt;=30),"1-30",IF(AND(DB616&gt;30,DB616&lt;=70),"31-70",IF(AND(DB616&gt;70,DB616&lt;=100),"71-100",IF(DB616&gt;100,"+100")))))</f>
        <v>0</v>
      </c>
      <c r="DD616">
        <v>0</v>
      </c>
      <c r="DE616">
        <v>0</v>
      </c>
      <c r="DF616">
        <v>0</v>
      </c>
      <c r="DG616">
        <v>1</v>
      </c>
      <c r="DH616">
        <v>0</v>
      </c>
      <c r="DI616">
        <f>SUM(DD616:DG616)</f>
        <v>1</v>
      </c>
      <c r="DJ616" t="str">
        <f>IF(DI616=1,INDEX($DD$7:$DG$7,MATCH(1,$DD616:$DG616,0)),"mixedProduct")</f>
        <v>TimberInput</v>
      </c>
      <c r="DK616">
        <f>IF(DD616=1,DK$7,0)</f>
        <v>0</v>
      </c>
      <c r="DL616">
        <f>IF(DE616=1,DL$7,0)</f>
        <v>0</v>
      </c>
      <c r="DM616">
        <f>IF(DF616=1,DM$7,0)</f>
        <v>0</v>
      </c>
      <c r="DN616" t="str">
        <f>IF(DG616=1,DN$7,0)</f>
        <v>Timber</v>
      </c>
      <c r="DO616">
        <v>0</v>
      </c>
      <c r="DP616">
        <v>0</v>
      </c>
      <c r="DQ616">
        <v>0</v>
      </c>
      <c r="DR616">
        <v>0</v>
      </c>
      <c r="DS616">
        <v>0</v>
      </c>
      <c r="DT616">
        <f>SUM(DO616:DP616)</f>
        <v>0</v>
      </c>
      <c r="DU616" s="143" t="str">
        <f>IF(DO616=1,"self-calculated DF",IF(DP616=1,"external DF used","explicit C balance"))</f>
        <v>explicit C balance</v>
      </c>
      <c r="DV616">
        <v>0</v>
      </c>
      <c r="DW616">
        <v>0</v>
      </c>
      <c r="DX616">
        <v>0</v>
      </c>
      <c r="DY616">
        <v>0</v>
      </c>
      <c r="DZ616">
        <v>0</v>
      </c>
      <c r="EA616">
        <v>0</v>
      </c>
      <c r="EB616">
        <v>0</v>
      </c>
      <c r="EC616">
        <v>1</v>
      </c>
      <c r="ED616">
        <v>0</v>
      </c>
      <c r="EE616">
        <v>0</v>
      </c>
      <c r="EF616">
        <v>0</v>
      </c>
      <c r="EG616">
        <v>0</v>
      </c>
      <c r="EH616">
        <v>0</v>
      </c>
      <c r="EI616" s="2">
        <v>0</v>
      </c>
      <c r="EK616" t="str">
        <f>IF(AND(AND(AND(OR($DX616=1,$DW616=1),OR($EC616=1,$EA616=1)),SUM($DV616:$DZ616,$EF616)&gt;=4),SUM($EA616:$EE616)&gt;=2),"Whole sector","")</f>
        <v/>
      </c>
      <c r="EL616" t="str">
        <f>IF(AND(AND(OR($DX616=1,$DW616=1),AND($EC616=0,$EA616=0)),SUM($DV616:$DZ616,$EF616)&gt;=4),"Ecosystem approach","")</f>
        <v/>
      </c>
      <c r="EM616" s="2" t="str">
        <f>IF(AND(AND(AND($DX616=0,$DW616=0),OR($EC616=1,$EA616=1)),SUM($EB616:$EE616)&gt;=2),"Technology approach","")</f>
        <v/>
      </c>
      <c r="EP616" t="str">
        <f>IF(ISNUMBER(BU616),IF(ABS(BU616-[3]QC_indicators!$B$2)&gt;3*[3]QC_indicators!$C$2,"C ratio",IF(ISNUMBER(BY616),IF(ABS(BY616-[3]QC_indicators!$B$1)&gt;3*[3]QC_indicators!$C$1,"DF","no"))),IF(ISNUMBER(BY616),IF(ABS(BY616-[3]QC_indicators!$B$1)&gt;3*[3]QC_indicators!$C$1,"DF","no")))</f>
        <v>no</v>
      </c>
      <c r="ET616" s="264" t="s">
        <v>3407</v>
      </c>
    </row>
    <row r="617" spans="1:151" ht="15" customHeight="1">
      <c r="D617" t="s">
        <v>1661</v>
      </c>
      <c r="E617" t="s">
        <v>1662</v>
      </c>
      <c r="G617" t="s">
        <v>1663</v>
      </c>
      <c r="I617">
        <v>2007</v>
      </c>
      <c r="K617" t="s">
        <v>1664</v>
      </c>
      <c r="M617" t="str">
        <f>LEFT($D617,FIND(",",$D617)-1)&amp;"_"&amp;I617&amp;L617</f>
        <v>Gustavsson_2007</v>
      </c>
      <c r="N617" t="s">
        <v>222</v>
      </c>
      <c r="O617" t="s">
        <v>223</v>
      </c>
      <c r="Q617" t="s">
        <v>256</v>
      </c>
      <c r="R617" s="269" t="s">
        <v>274</v>
      </c>
      <c r="S617" s="1" t="s">
        <v>1665</v>
      </c>
      <c r="T617" t="s">
        <v>1670</v>
      </c>
      <c r="U617" s="143" t="s">
        <v>1671</v>
      </c>
      <c r="V617">
        <v>0</v>
      </c>
      <c r="W617">
        <v>0</v>
      </c>
      <c r="X617">
        <v>0</v>
      </c>
      <c r="Y617">
        <v>0</v>
      </c>
      <c r="Z617">
        <v>0</v>
      </c>
      <c r="AA617">
        <v>0</v>
      </c>
      <c r="AB617">
        <v>0</v>
      </c>
      <c r="AC617">
        <v>0</v>
      </c>
      <c r="AD617">
        <v>0</v>
      </c>
      <c r="AE617">
        <v>0</v>
      </c>
      <c r="AF617">
        <v>0</v>
      </c>
      <c r="AG617">
        <v>0</v>
      </c>
      <c r="AH617">
        <v>0</v>
      </c>
      <c r="AI617">
        <v>0</v>
      </c>
      <c r="AJ617">
        <v>0</v>
      </c>
      <c r="AK617">
        <v>1</v>
      </c>
      <c r="AL617">
        <v>0</v>
      </c>
      <c r="AM617">
        <v>0</v>
      </c>
      <c r="AN617">
        <v>0</v>
      </c>
      <c r="AO617">
        <v>0</v>
      </c>
      <c r="AP617">
        <v>0</v>
      </c>
      <c r="AQ617">
        <v>0</v>
      </c>
      <c r="AR617">
        <v>0</v>
      </c>
      <c r="AS617">
        <v>0</v>
      </c>
      <c r="AT617">
        <v>0</v>
      </c>
      <c r="AU617">
        <v>0</v>
      </c>
      <c r="AV617">
        <v>0</v>
      </c>
      <c r="AW617">
        <v>0</v>
      </c>
      <c r="AX617" s="141">
        <f>COUNTIF(V617:AW617,"&lt;&gt;0")</f>
        <v>1</v>
      </c>
      <c r="AY617" s="141">
        <f>COUNTIF(V617:AL617,"&lt;&gt;0")</f>
        <v>1</v>
      </c>
      <c r="AZ617">
        <f>COUNTIF(V617:AC617,"&lt;&gt;0")</f>
        <v>0</v>
      </c>
      <c r="BA617">
        <f>COUNTIF(AD617:AI617,"&lt;&gt;0")</f>
        <v>0</v>
      </c>
      <c r="BB617">
        <f>COUNTIF(AJ617:AL617,"&lt;&gt;0")</f>
        <v>1</v>
      </c>
      <c r="BC617">
        <f>COUNTIF(AS617:AW617,"&lt;&gt;0")</f>
        <v>0</v>
      </c>
      <c r="BD617">
        <f>COUNTIF(AM617:AR617,"&lt;&gt;0")</f>
        <v>0</v>
      </c>
      <c r="BE617" t="str">
        <f t="array" ref="BE617">IF(AY617=1,INDEX($V$7:$AL$7,MATCH(TRUE,INDEX($V617:$AW617&lt;&gt;0,),0)),IF(AY617=0,INDEX($AM$7:$AW$7,MATCH(1,$AM617:$AW617,0)),IF(BF617="Multiple strategies","mixed drivers",IF(BF617="Supply chain","multiple supply","multiple silviculture"))))</f>
        <v>technologies/design switch</v>
      </c>
      <c r="BF617" s="2" t="str" cm="1">
        <f t="array" ref="BF617">IF(COUNTIF(AZ617:BB617,"&lt;&gt;0")=1,INDEX($V$4:$AW$4,MATCH(TRUE,INDEX($V617:$AW617&lt;&gt;0,),0)),IF(COUNTIF(AZ617:BB617,"&lt;&gt;0")=0,INDEX($AM$4:$AW$4,MATCH(1,$AM617:$AW617,0)),"Multiple strategies"))</f>
        <v>Technology</v>
      </c>
      <c r="BG617" s="142" t="s">
        <v>229</v>
      </c>
      <c r="BH617" t="s">
        <v>1667</v>
      </c>
      <c r="BI617" s="264" t="s">
        <v>1057</v>
      </c>
      <c r="BJ617" s="143" t="s">
        <v>3265</v>
      </c>
      <c r="BK617">
        <v>0</v>
      </c>
      <c r="BL617" s="143">
        <v>169.5</v>
      </c>
      <c r="BM617" s="143"/>
      <c r="BN617">
        <f>BL617-BK617</f>
        <v>169.5</v>
      </c>
      <c r="BO617" s="143">
        <f>1000*BL617/15.3/400</f>
        <v>27.696078431372548</v>
      </c>
      <c r="BP617" t="s">
        <v>232</v>
      </c>
      <c r="BR617" t="s">
        <v>938</v>
      </c>
      <c r="BS617" s="143">
        <v>-1</v>
      </c>
      <c r="BT617" s="151">
        <v>0</v>
      </c>
      <c r="BU617">
        <v>0</v>
      </c>
      <c r="BV617">
        <v>1</v>
      </c>
      <c r="BX617">
        <f>BV617*C_to_CO2</f>
        <v>3.67</v>
      </c>
      <c r="BY617">
        <f>IFERROR(BX617/BO617,"")</f>
        <v>0.13250973451327433</v>
      </c>
      <c r="BZ617" s="143">
        <v>0</v>
      </c>
      <c r="CA617" s="143">
        <v>0</v>
      </c>
      <c r="CB617" s="143">
        <v>0</v>
      </c>
      <c r="CC617" s="143">
        <v>0</v>
      </c>
      <c r="CD617" s="143">
        <v>0</v>
      </c>
      <c r="CE617" s="143">
        <v>0</v>
      </c>
      <c r="CF617" s="143">
        <v>0</v>
      </c>
      <c r="CG617" s="143">
        <v>0</v>
      </c>
      <c r="CH617" s="143">
        <v>0</v>
      </c>
      <c r="CI617" s="143">
        <v>0</v>
      </c>
      <c r="CJ617" s="143">
        <v>0</v>
      </c>
      <c r="CK617" s="143">
        <v>0</v>
      </c>
      <c r="CL617" s="143">
        <v>0</v>
      </c>
      <c r="CM617">
        <v>1</v>
      </c>
      <c r="CN617" t="str">
        <f>IF($BL617&lt;$BK617,"refNeedCorrection","refOK")</f>
        <v>refOK</v>
      </c>
      <c r="CO617">
        <f>IF($CN617="refOK",$BK617,$BL617)</f>
        <v>0</v>
      </c>
      <c r="CP617">
        <f>IF($CN617="refOK",$BL617,$BK617)</f>
        <v>169.5</v>
      </c>
      <c r="CQ617">
        <f>IF($CN617="refOK",$BO617,-$BO617)</f>
        <v>27.696078431372548</v>
      </c>
      <c r="CR617">
        <f>IF($CN617="refOK",$BS617,$BT617)*IF($BP617="Emissions positive",-1,1)</f>
        <v>-1</v>
      </c>
      <c r="CS617">
        <f>IF($CN617="refOK",$BT617,$BS617)*IF($BP617="Emissions positive",-1,1)</f>
        <v>0</v>
      </c>
      <c r="CT617">
        <f>IF($CN617="refNeedCorrection",-BX617,BX617)*IF($BP617="Emissions positive",-1,1)</f>
        <v>3.67</v>
      </c>
      <c r="CU617">
        <f>IFERROR(CT617/CQ617,"")</f>
        <v>0.13250973451327433</v>
      </c>
      <c r="CV617" s="2">
        <f>IFERROR((CS617-CR617)/ABS(CR617),"")</f>
        <v>1</v>
      </c>
      <c r="CW617" s="1" t="s">
        <v>1203</v>
      </c>
      <c r="CX617" t="str">
        <f>IF(OR($CW617="prd",$CW617="std",$CW617="cit"),"loc",IF(OR($CW617="eur",$CW617="reg",$CW617="coy"),"reg",$CW617))</f>
        <v>reg</v>
      </c>
      <c r="CY617" t="s">
        <v>444</v>
      </c>
      <c r="DA617" s="143"/>
      <c r="DB617" s="143">
        <v>0</v>
      </c>
      <c r="DC617" t="str">
        <f>IF(DB617=0,"0",IF(AND(DB617&gt;=1,DB617&lt;=30),"1-30",IF(AND(DB617&gt;30,DB617&lt;=70),"31-70",IF(AND(DB617&gt;70,DB617&lt;=100),"71-100",IF(DB617&gt;100,"+100")))))</f>
        <v>0</v>
      </c>
      <c r="DD617">
        <v>0</v>
      </c>
      <c r="DE617">
        <v>1</v>
      </c>
      <c r="DF617">
        <v>0</v>
      </c>
      <c r="DG617">
        <v>0</v>
      </c>
      <c r="DI617">
        <f>SUM(DD617:DG617)</f>
        <v>1</v>
      </c>
      <c r="DJ617" t="str">
        <f>IF(DI617=1,INDEX($DD$7:$DG$7,MATCH(1,$DD617:$DG617,0)),"mixedProduct")</f>
        <v>EnergyInput</v>
      </c>
      <c r="DK617">
        <f>IF(DD617=1,DK$7,0)</f>
        <v>0</v>
      </c>
      <c r="DL617" t="str">
        <f>IF(DE617=1,DL$7,0)</f>
        <v>Energy</v>
      </c>
      <c r="DM617">
        <f>IF(DF617=1,DM$7,0)</f>
        <v>0</v>
      </c>
      <c r="DN617">
        <f>IF(DG617=1,DN$7,0)</f>
        <v>0</v>
      </c>
      <c r="DO617">
        <v>0</v>
      </c>
      <c r="DP617" s="143">
        <v>0</v>
      </c>
      <c r="DQ617" s="143">
        <v>0</v>
      </c>
      <c r="DR617">
        <v>0</v>
      </c>
      <c r="DS617" s="143">
        <v>0</v>
      </c>
      <c r="DT617">
        <f>SUM(DO617:DP617)</f>
        <v>0</v>
      </c>
      <c r="DU617" s="143" t="str">
        <f>IF(DO617=1,"self-calculated DF",IF(DP617=1,"external DF used","explicit C balance"))</f>
        <v>explicit C balance</v>
      </c>
      <c r="DV617" s="143">
        <v>0</v>
      </c>
      <c r="DW617" s="143">
        <v>0</v>
      </c>
      <c r="DX617" s="143">
        <v>0</v>
      </c>
      <c r="DY617" s="143">
        <v>0</v>
      </c>
      <c r="DZ617">
        <v>0</v>
      </c>
      <c r="EA617" s="143">
        <v>0</v>
      </c>
      <c r="EB617" s="143">
        <v>0</v>
      </c>
      <c r="EC617" s="143">
        <v>1</v>
      </c>
      <c r="ED617" s="143">
        <v>0</v>
      </c>
      <c r="EE617">
        <v>0</v>
      </c>
      <c r="EF617">
        <v>0</v>
      </c>
      <c r="EG617" s="143">
        <v>0</v>
      </c>
      <c r="EH617" s="143">
        <v>0</v>
      </c>
      <c r="EI617" s="2">
        <v>0</v>
      </c>
      <c r="EK617" t="str">
        <f>IF(AND(AND(AND(OR($DX617=1,$DW617=1),OR($EC617=1,$EA617=1)),SUM($DV617:$DZ617,$EF617)&gt;=4),SUM($EA617:$EE617)&gt;=2),"Whole sector","")</f>
        <v/>
      </c>
      <c r="EL617" t="str">
        <f>IF(AND(AND(OR($DX617=1,$DW617=1),AND($EC617=0,$EA617=0)),SUM($DV617:$DZ617,$EF617)&gt;=4),"Ecosystem approach","")</f>
        <v/>
      </c>
      <c r="EM617" s="2" t="str">
        <f>IF(AND(AND(AND($DX617=0,$DW617=0),OR($EC617=1,$EA617=1)),SUM($EB617:$EE617)&gt;=2),"Technology approach","")</f>
        <v/>
      </c>
      <c r="EP617" t="str">
        <f>IF(ISNUMBER(BU617),IF(ABS(BU617-[2]QC_indicators!$B$2)&gt;3*[2]QC_indicators!$C$2,"C ratio",IF(ISNUMBER(BY617),IF(ABS(BY617-[2]QC_indicators!$B$1)&gt;3*[2]QC_indicators!$C$1,"DF","no"))),IF(ISNUMBER(BY617),IF(ABS(BY617-[2]QC_indicators!$B$1)&gt;3*[2]QC_indicators!$C$1,"DF","no")))</f>
        <v>no</v>
      </c>
      <c r="ER617" s="149" t="s">
        <v>349</v>
      </c>
      <c r="ET617" s="264" t="s">
        <v>3266</v>
      </c>
    </row>
    <row r="618" spans="1:151" ht="15" customHeight="1">
      <c r="A618" s="1" t="s">
        <v>1360</v>
      </c>
      <c r="B618" t="s">
        <v>2135</v>
      </c>
      <c r="C618" t="s">
        <v>2136</v>
      </c>
      <c r="D618" t="s">
        <v>2137</v>
      </c>
      <c r="E618" t="s">
        <v>2138</v>
      </c>
      <c r="F618" t="s">
        <v>2139</v>
      </c>
      <c r="G618" t="s">
        <v>1366</v>
      </c>
      <c r="H618" t="s">
        <v>254</v>
      </c>
      <c r="I618">
        <v>2012</v>
      </c>
      <c r="J618">
        <v>21</v>
      </c>
      <c r="K618" t="s">
        <v>2140</v>
      </c>
      <c r="L618" s="192"/>
      <c r="M618" t="str">
        <f>LEFT($D618,FIND(",",$D618)-1)&amp;"_"&amp;I618&amp;L618</f>
        <v>Pyorala_2012</v>
      </c>
      <c r="N618" t="s">
        <v>222</v>
      </c>
      <c r="O618" s="145" t="s">
        <v>341</v>
      </c>
      <c r="P618" s="180" t="s">
        <v>223</v>
      </c>
      <c r="Q618" s="264" t="s">
        <v>256</v>
      </c>
      <c r="R618" s="269" t="s">
        <v>1154</v>
      </c>
      <c r="S618" s="263" t="s">
        <v>2151</v>
      </c>
      <c r="T618" s="264" t="s">
        <v>2143</v>
      </c>
      <c r="U618" s="264" t="s">
        <v>2152</v>
      </c>
      <c r="V618">
        <v>0</v>
      </c>
      <c r="W618">
        <v>0</v>
      </c>
      <c r="X618">
        <v>0</v>
      </c>
      <c r="Y618">
        <v>0</v>
      </c>
      <c r="Z618">
        <v>0</v>
      </c>
      <c r="AA618">
        <v>0</v>
      </c>
      <c r="AB618">
        <v>1</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s="141">
        <f>COUNTIF(V618:AW618,"&lt;&gt;0")</f>
        <v>1</v>
      </c>
      <c r="AY618" s="141">
        <f>COUNTIF(V618:AL618,"&lt;&gt;0")</f>
        <v>1</v>
      </c>
      <c r="AZ618">
        <f>COUNTIF(V618:AC618,"&lt;&gt;0")</f>
        <v>1</v>
      </c>
      <c r="BA618">
        <f>COUNTIF(AD618:AI618,"&lt;&gt;0")</f>
        <v>0</v>
      </c>
      <c r="BB618">
        <f>COUNTIF(AJ618:AL618,"&lt;&gt;0")</f>
        <v>0</v>
      </c>
      <c r="BC618">
        <f>COUNTIF(AS618:AW618,"&lt;&gt;0")</f>
        <v>0</v>
      </c>
      <c r="BD618">
        <f>COUNTIF(AM618:AR618,"&lt;&gt;0")</f>
        <v>0</v>
      </c>
      <c r="BE618" t="str" cm="1">
        <f t="array" ref="BE618">IF(AY618=1,INDEX($V$7:$AL$7,MATCH(TRUE,INDEX($V618:$AW618&lt;&gt;0,),0)),IF(AY618=0,INDEX($AM$7:$AW$7,MATCH(1,$AM618:$AW618,0)),IF(BF618="Multiple strategies","mixed drivers",IF(BF618="Supply chain","multiple supply","multiple silviculture"))))</f>
        <v>fertilisation</v>
      </c>
      <c r="BF618" s="2" t="str" cm="1">
        <f t="array" ref="BF618">IF(COUNTIF(AZ618:BB618,"&lt;&gt;0")=1,INDEX($V$4:$AW$4,MATCH(TRUE,INDEX($V618:$AW618&lt;&gt;0,),0)),IF(COUNTIF(AZ618:BB618,"&lt;&gt;0")=0,INDEX($AM$4:$AW$4,MATCH(1,$AM618:$AW618,0)),"Multiple strategies"))</f>
        <v>Silviculture for productivity</v>
      </c>
      <c r="BG618" s="178" t="s">
        <v>321</v>
      </c>
      <c r="BH618" s="264" t="s">
        <v>2144</v>
      </c>
      <c r="BI618" s="264" t="s">
        <v>426</v>
      </c>
      <c r="BJ618" s="160" t="s">
        <v>700</v>
      </c>
      <c r="BK618">
        <v>8.4</v>
      </c>
      <c r="BL618">
        <v>8.6999999999999993</v>
      </c>
      <c r="BN618">
        <f>BL618-BK618</f>
        <v>0.29999999999999893</v>
      </c>
      <c r="BO618">
        <f>BN618</f>
        <v>0.29999999999999893</v>
      </c>
      <c r="BP618" s="155" t="s">
        <v>232</v>
      </c>
      <c r="BQ618" s="335" t="s">
        <v>786</v>
      </c>
      <c r="BR618" s="270" t="s">
        <v>2145</v>
      </c>
      <c r="BS618" s="264">
        <f>113.9/80</f>
        <v>1.4237500000000001</v>
      </c>
      <c r="BT618" s="264">
        <f>117.1/80</f>
        <v>1.4637499999999999</v>
      </c>
      <c r="BU618" s="144"/>
      <c r="BV618">
        <f>BT618-BS618</f>
        <v>3.9999999999999813E-2</v>
      </c>
      <c r="BX618">
        <f>BV618</f>
        <v>3.9999999999999813E-2</v>
      </c>
      <c r="BY618">
        <f>IFERROR(BX618/BO618,"")</f>
        <v>0.13333333333333319</v>
      </c>
      <c r="BZ618">
        <v>0</v>
      </c>
      <c r="CA618">
        <v>0</v>
      </c>
      <c r="CB618">
        <v>0</v>
      </c>
      <c r="CC618">
        <v>0</v>
      </c>
      <c r="CD618">
        <v>0</v>
      </c>
      <c r="CE618">
        <v>0</v>
      </c>
      <c r="CF618">
        <v>0</v>
      </c>
      <c r="CG618">
        <v>0</v>
      </c>
      <c r="CH618">
        <v>0</v>
      </c>
      <c r="CI618">
        <v>0</v>
      </c>
      <c r="CJ618">
        <v>0</v>
      </c>
      <c r="CK618">
        <v>0</v>
      </c>
      <c r="CL618">
        <v>0</v>
      </c>
      <c r="CM618">
        <v>0</v>
      </c>
      <c r="CN618" t="str">
        <f>IF($BL618&lt;$BK618,"refNeedCorrection","refOK")</f>
        <v>refOK</v>
      </c>
      <c r="CO618">
        <f>IF($CN618="refOK",$BK618,$BL618)</f>
        <v>8.4</v>
      </c>
      <c r="CP618">
        <f>IF($CN618="refOK",$BL618,$BK618)</f>
        <v>8.6999999999999993</v>
      </c>
      <c r="CQ618">
        <f>IF($CN618="refOK",$BO618,-$BO618)</f>
        <v>0.29999999999999893</v>
      </c>
      <c r="CR618">
        <f>IF($CN618="refOK",$BS618,$BT618)*IF($BP618="Emissions positive",-1,1)</f>
        <v>1.4237500000000001</v>
      </c>
      <c r="CS618">
        <f>IF($CN618="refOK",$BT618,$BS618)*IF($BP618="Emissions positive",-1,1)</f>
        <v>1.4637499999999999</v>
      </c>
      <c r="CT618">
        <f>IF($CN618="refNeedCorrection",-BX618,BX618)*IF($BP618="Emissions positive",-1,1)</f>
        <v>3.9999999999999813E-2</v>
      </c>
      <c r="CU618">
        <f>IFERROR(CT618/CQ618,"")</f>
        <v>0.13333333333333319</v>
      </c>
      <c r="CV618" s="2">
        <f>IFERROR((CS618-CR618)/ABS(CR618),"")</f>
        <v>2.8094820017559131E-2</v>
      </c>
      <c r="CW618" s="1" t="s">
        <v>1199</v>
      </c>
      <c r="CX618" s="264" t="str">
        <f>IF(OR($CW618="prd",$CW618="std",$CW618="cit"),"loc",IF(OR($CW618="eur",$CW618="reg",$CW618="coy"),"reg",$CW618))</f>
        <v>reg</v>
      </c>
      <c r="CY618" t="s">
        <v>235</v>
      </c>
      <c r="DB618">
        <v>80</v>
      </c>
      <c r="DC618" t="str">
        <f>IF(DB618=0,"0",IF(AND(DB618&gt;=1,DB618&lt;=30),"1-30",IF(AND(DB618&gt;30,DB618&lt;=70),"31-70",IF(AND(DB618&gt;70,DB618&lt;=100),"71-100",IF(DB618&gt;100,"+100")))))</f>
        <v>71-100</v>
      </c>
      <c r="DD618">
        <v>0</v>
      </c>
      <c r="DE618">
        <v>1</v>
      </c>
      <c r="DF618">
        <v>1</v>
      </c>
      <c r="DG618">
        <v>1</v>
      </c>
      <c r="DI618">
        <f>SUM(DD618:DG618)</f>
        <v>3</v>
      </c>
      <c r="DJ618" t="str">
        <f>IF(DI618=1,INDEX($DD$7:$DG$7,MATCH(1,$DD618:$DG618,0)),"mixedProduct")</f>
        <v>mixedProduct</v>
      </c>
      <c r="DK618">
        <f>IF(DD618=1,DK$7,0)</f>
        <v>0</v>
      </c>
      <c r="DL618" t="str">
        <f>IF(DE618=1,DL$7,0)</f>
        <v>Energy</v>
      </c>
      <c r="DM618" t="str">
        <f>IF(DF618=1,DM$7,0)</f>
        <v>Pulp/Paper</v>
      </c>
      <c r="DN618" t="str">
        <f>IF(DG618=1,DN$7,0)</f>
        <v>Timber</v>
      </c>
      <c r="DO618">
        <v>0</v>
      </c>
      <c r="DP618">
        <v>1</v>
      </c>
      <c r="DQ618" t="s">
        <v>2146</v>
      </c>
      <c r="DR618">
        <v>0</v>
      </c>
      <c r="DS618">
        <v>0</v>
      </c>
      <c r="DT618">
        <f>SUM(DO618:DP618)</f>
        <v>1</v>
      </c>
      <c r="DU618" s="143" t="str">
        <f>IF(DO618=1,"self-calculated DF",IF(DP618=1,"external DF used","explicit C balance"))</f>
        <v>external DF used</v>
      </c>
      <c r="DV618">
        <v>1</v>
      </c>
      <c r="DW618">
        <v>1</v>
      </c>
      <c r="DX618">
        <v>1</v>
      </c>
      <c r="DY618">
        <v>0</v>
      </c>
      <c r="DZ618">
        <v>0</v>
      </c>
      <c r="EA618" s="143">
        <v>0</v>
      </c>
      <c r="EB618">
        <v>0</v>
      </c>
      <c r="EC618">
        <v>0</v>
      </c>
      <c r="ED618">
        <v>0</v>
      </c>
      <c r="EE618">
        <v>0</v>
      </c>
      <c r="EF618">
        <v>1</v>
      </c>
      <c r="EG618">
        <v>0</v>
      </c>
      <c r="EH618">
        <v>0</v>
      </c>
      <c r="EI618" s="2">
        <v>0</v>
      </c>
      <c r="EK618" t="str">
        <f>IF(AND(AND(AND(OR($DX618=1,$DW618=1),OR($EC618=1,$EA618=1)),SUM($DV618:$DZ618,$EF618)&gt;=4),SUM($EA618:$EE618)&gt;=2),"Whole sector","")</f>
        <v/>
      </c>
      <c r="EL618" t="str">
        <f>IF(AND(AND(OR($DX618=1,$DW618=1),AND($EC618=0,$EA618=0)),SUM($DV618:$DZ618,$EF618)&gt;=4),"Ecosystem approach","")</f>
        <v>Ecosystem approach</v>
      </c>
      <c r="EM618" s="2" t="str">
        <f>IF(AND(AND(AND($DX618=0,$DW618=0),OR($EC618=1,$EA618=1)),SUM($EB618:$EE618)&gt;=2),"Technology approach","")</f>
        <v/>
      </c>
      <c r="EP618" t="str">
        <f>IF(ISNUMBER(BU618),IF(ABS(BU618-[3]QC_indicators!$B$2)&gt;3*[3]QC_indicators!$C$2,"C ratio",IF(ISNUMBER(BY618),IF(ABS(BY618-[3]QC_indicators!$B$1)&gt;3*[3]QC_indicators!$C$1,"DF","no"))),IF(ISNUMBER(BY618),IF(ABS(BY618-[3]QC_indicators!$B$1)&gt;3*[3]QC_indicators!$C$1,"DF","no")))</f>
        <v>no</v>
      </c>
      <c r="ET618" s="264" t="s">
        <v>3407</v>
      </c>
    </row>
    <row r="619" spans="1:151" ht="15" customHeight="1">
      <c r="A619" s="1" t="s">
        <v>614</v>
      </c>
      <c r="B619" t="s">
        <v>1719</v>
      </c>
      <c r="C619" t="s">
        <v>1720</v>
      </c>
      <c r="D619" t="s">
        <v>1721</v>
      </c>
      <c r="E619" t="s">
        <v>1722</v>
      </c>
      <c r="F619" t="s">
        <v>1723</v>
      </c>
      <c r="G619" t="s">
        <v>620</v>
      </c>
      <c r="H619" t="s">
        <v>254</v>
      </c>
      <c r="I619">
        <v>2021</v>
      </c>
      <c r="J619">
        <v>2</v>
      </c>
      <c r="K619" t="s">
        <v>1724</v>
      </c>
      <c r="M619" t="str">
        <f>LEFT($D619,FIND(",",$D619)-1)&amp;"_"&amp;I619&amp;L619</f>
        <v>Hawkins_2021</v>
      </c>
      <c r="N619" t="s">
        <v>222</v>
      </c>
      <c r="O619" s="145" t="s">
        <v>513</v>
      </c>
      <c r="Q619" t="s">
        <v>256</v>
      </c>
      <c r="R619" s="2" t="s">
        <v>274</v>
      </c>
      <c r="S619" s="1" t="s">
        <v>1736</v>
      </c>
      <c r="T619" t="s">
        <v>665</v>
      </c>
      <c r="U619" t="s">
        <v>1726</v>
      </c>
      <c r="V619">
        <v>0</v>
      </c>
      <c r="W619">
        <v>0</v>
      </c>
      <c r="X619">
        <v>0</v>
      </c>
      <c r="Y619">
        <v>0</v>
      </c>
      <c r="Z619">
        <v>0</v>
      </c>
      <c r="AA619">
        <v>0</v>
      </c>
      <c r="AB619">
        <v>0</v>
      </c>
      <c r="AC619">
        <v>0</v>
      </c>
      <c r="AD619">
        <v>0</v>
      </c>
      <c r="AE619">
        <v>0</v>
      </c>
      <c r="AF619">
        <v>0</v>
      </c>
      <c r="AG619">
        <v>0</v>
      </c>
      <c r="AH619">
        <v>0</v>
      </c>
      <c r="AI619">
        <v>0</v>
      </c>
      <c r="AJ619">
        <v>0</v>
      </c>
      <c r="AK619">
        <v>1</v>
      </c>
      <c r="AL619">
        <v>0</v>
      </c>
      <c r="AM619">
        <v>0</v>
      </c>
      <c r="AN619">
        <v>0</v>
      </c>
      <c r="AO619">
        <v>0</v>
      </c>
      <c r="AP619">
        <v>0</v>
      </c>
      <c r="AQ619">
        <v>0</v>
      </c>
      <c r="AR619">
        <v>0</v>
      </c>
      <c r="AS619">
        <v>0</v>
      </c>
      <c r="AT619">
        <v>0</v>
      </c>
      <c r="AU619">
        <v>0</v>
      </c>
      <c r="AV619">
        <v>0</v>
      </c>
      <c r="AW619">
        <v>0</v>
      </c>
      <c r="AX619" s="141">
        <f>COUNTIF(V619:AW619,"&lt;&gt;0")</f>
        <v>1</v>
      </c>
      <c r="AY619" s="141">
        <f>COUNTIF(V619:AL619,"&lt;&gt;0")</f>
        <v>1</v>
      </c>
      <c r="AZ619">
        <f>COUNTIF(V619:AC619,"&lt;&gt;0")</f>
        <v>0</v>
      </c>
      <c r="BA619">
        <f>COUNTIF(AD619:AI619,"&lt;&gt;0")</f>
        <v>0</v>
      </c>
      <c r="BB619">
        <f>COUNTIF(AJ619:AL619,"&lt;&gt;0")</f>
        <v>1</v>
      </c>
      <c r="BC619">
        <f>COUNTIF(AS619:AW619,"&lt;&gt;0")</f>
        <v>0</v>
      </c>
      <c r="BD619">
        <f>COUNTIF(AM619:AR619,"&lt;&gt;0")</f>
        <v>0</v>
      </c>
      <c r="BE619" t="str">
        <f t="array" ref="BE619">IF(AY619=1,INDEX($V$7:$AL$7,MATCH(TRUE,INDEX($V619:$AW619&lt;&gt;0,),0)),IF(AY619=0,INDEX($AM$7:$AW$7,MATCH(1,$AM619:$AW619,0)),IF(BF619="Multiple strategies","mixed drivers",IF(BF619="Supply chain","multiple supply","multiple silviculture"))))</f>
        <v>technologies/design switch</v>
      </c>
      <c r="BF619" s="2" t="str" cm="1">
        <f t="array" ref="BF619">IF(COUNTIF(AZ619:BB619,"&lt;&gt;0")=1,INDEX($V$4:$AW$4,MATCH(TRUE,INDEX($V619:$AW619&lt;&gt;0,),0)),IF(COUNTIF(AZ619:BB619,"&lt;&gt;0")=0,INDEX($AM$4:$AW$4,MATCH(1,$AM619:$AW619,0)),"Multiple strategies"))</f>
        <v>Technology</v>
      </c>
      <c r="BG619" s="1" t="s">
        <v>229</v>
      </c>
      <c r="BH619" t="s">
        <v>229</v>
      </c>
      <c r="BJ619" t="s">
        <v>756</v>
      </c>
      <c r="BK619">
        <v>0</v>
      </c>
      <c r="BL619">
        <v>1105.3</v>
      </c>
      <c r="BN619">
        <f>BL619-BK619</f>
        <v>1105.3</v>
      </c>
      <c r="BO619">
        <f>BN619*t_to_m3</f>
        <v>2255.7142857142858</v>
      </c>
      <c r="BP619" t="s">
        <v>232</v>
      </c>
      <c r="BQ619" s="264" t="s">
        <v>3261</v>
      </c>
      <c r="BR619" t="s">
        <v>728</v>
      </c>
      <c r="BS619" s="179">
        <v>-1120000</v>
      </c>
      <c r="BT619" s="179">
        <v>-816000</v>
      </c>
      <c r="BU619" s="144">
        <f>IFERROR(BT619/BS619,"")</f>
        <v>0.72857142857142854</v>
      </c>
      <c r="BV619" s="179">
        <f>BT619-BS619</f>
        <v>304000</v>
      </c>
      <c r="BW619" s="179"/>
      <c r="BX619">
        <f>BV619/1000</f>
        <v>304</v>
      </c>
      <c r="BY619">
        <f>IFERROR(BX619/BO619,"")</f>
        <v>0.13476884103863204</v>
      </c>
      <c r="BZ619">
        <v>0</v>
      </c>
      <c r="CA619">
        <v>1</v>
      </c>
      <c r="CB619">
        <v>0</v>
      </c>
      <c r="CC619">
        <v>1</v>
      </c>
      <c r="CD619">
        <v>0</v>
      </c>
      <c r="CE619">
        <v>0</v>
      </c>
      <c r="CF619">
        <v>0</v>
      </c>
      <c r="CG619">
        <v>1</v>
      </c>
      <c r="CH619">
        <v>0</v>
      </c>
      <c r="CI619">
        <v>0</v>
      </c>
      <c r="CJ619">
        <v>0</v>
      </c>
      <c r="CK619">
        <v>0</v>
      </c>
      <c r="CL619">
        <v>0</v>
      </c>
      <c r="CM619">
        <v>0</v>
      </c>
      <c r="CN619" t="str">
        <f>IF($BL619&lt;$BK619,"refNeedCorrection","refOK")</f>
        <v>refOK</v>
      </c>
      <c r="CO619">
        <f>IF($CN619="refNeedCorrection",BL619,BK619)</f>
        <v>0</v>
      </c>
      <c r="CP619">
        <f>IF($CN619="refNeedCorrection",BK619,BL619)</f>
        <v>1105.3</v>
      </c>
      <c r="CQ619">
        <f>IF($CN619="refOK",$BO619,-$BO619)</f>
        <v>2255.7142857142858</v>
      </c>
      <c r="CR619" s="272">
        <f>IF($CN619="refOK",$BS619,$BT619)*IF($BP619="Emissions positive",-1,1)</f>
        <v>-1120000</v>
      </c>
      <c r="CS619" s="272">
        <f>IF($CN619="refOK",$BT619,$BS619)*IF($BP619="Emissions positive",-1,1)</f>
        <v>-816000</v>
      </c>
      <c r="CT619">
        <f>IF($CN619="refNeedCorrection",-BX619,BX619)*IF($BP619="Emissions positive",-1,1)</f>
        <v>304</v>
      </c>
      <c r="CU619">
        <f>IFERROR(CT619/CQ619,"")</f>
        <v>0.13476884103863204</v>
      </c>
      <c r="CV619" s="2">
        <f>IFERROR((CS619-CR619)/ABS(CR619),"")</f>
        <v>0.27142857142857141</v>
      </c>
      <c r="CW619" s="1" t="s">
        <v>1203</v>
      </c>
      <c r="CX619" t="str">
        <f>IF(OR($CW619="prd",$CW619="std",$CW619="cit"),"loc",IF(OR($CW619="eur",$CW619="reg",$CW619="coy"),"reg",$CW619))</f>
        <v>reg</v>
      </c>
      <c r="CY619" s="309" t="s">
        <v>3423</v>
      </c>
      <c r="DB619">
        <v>100</v>
      </c>
      <c r="DC619" t="str">
        <f>IF(DB619=0,"0",IF(AND(DB619&gt;=1,DB619&lt;=30),"1-30",IF(AND(DB619&gt;30,DB619&lt;=70),"31-70",IF(AND(DB619&gt;70,DB619&lt;=100),"71-100",IF(DB619&gt;100,"+100")))))</f>
        <v>71-100</v>
      </c>
      <c r="DD619">
        <v>0</v>
      </c>
      <c r="DE619">
        <v>0</v>
      </c>
      <c r="DF619">
        <v>0</v>
      </c>
      <c r="DG619">
        <v>1</v>
      </c>
      <c r="DI619">
        <f>SUM(DD619:DG619)</f>
        <v>1</v>
      </c>
      <c r="DJ619" t="str">
        <f>IF(DI619=1,INDEX($DD$7:$DG$7,MATCH(1,$DD619:$DG619,0)),"mixedProduct")</f>
        <v>TimberInput</v>
      </c>
      <c r="DK619">
        <f>IF(DD619=1,DK$7,0)</f>
        <v>0</v>
      </c>
      <c r="DL619">
        <f>IF(DE619=1,DL$7,0)</f>
        <v>0</v>
      </c>
      <c r="DM619">
        <f>IF(DF619=1,DM$7,0)</f>
        <v>0</v>
      </c>
      <c r="DN619" t="str">
        <f>IF(DG619=1,DN$7,0)</f>
        <v>Timber</v>
      </c>
      <c r="DO619">
        <v>0</v>
      </c>
      <c r="DP619">
        <v>0</v>
      </c>
      <c r="DQ619">
        <v>0</v>
      </c>
      <c r="DR619">
        <v>0</v>
      </c>
      <c r="DS619">
        <v>0</v>
      </c>
      <c r="DT619">
        <f>SUM(DO619:DP619)</f>
        <v>0</v>
      </c>
      <c r="DU619" s="143" t="str">
        <f>IF(DO619=1,"self-calculated DF",IF(DP619=1,"external DF used","explicit C balance"))</f>
        <v>explicit C balance</v>
      </c>
      <c r="DV619">
        <v>0</v>
      </c>
      <c r="DW619">
        <v>0</v>
      </c>
      <c r="DX619">
        <v>0</v>
      </c>
      <c r="DY619">
        <v>1</v>
      </c>
      <c r="DZ619">
        <v>0</v>
      </c>
      <c r="EA619" s="143">
        <v>0</v>
      </c>
      <c r="EB619">
        <v>1</v>
      </c>
      <c r="EC619">
        <v>1</v>
      </c>
      <c r="ED619">
        <v>1</v>
      </c>
      <c r="EE619">
        <v>1</v>
      </c>
      <c r="EF619">
        <v>1</v>
      </c>
      <c r="EG619">
        <v>1</v>
      </c>
      <c r="EH619">
        <v>0</v>
      </c>
      <c r="EI619" s="2">
        <v>0</v>
      </c>
      <c r="EK619" t="str">
        <f>IF(AND(AND(AND(OR($DX619=1,$DW619=1),OR($EC619=1,$EA619=1)),SUM($DV619:$DZ619,$EF619)&gt;=4),SUM($EA619:$EE619)&gt;=2),"Whole sector","")</f>
        <v/>
      </c>
      <c r="EL619" t="str">
        <f>IF(AND(AND(OR($DX619=1,$DW619=1),AND($EC619=0,$EA619=0)),SUM($DV619:$DZ619,$EF619)&gt;=4),"Ecosystem approach","")</f>
        <v/>
      </c>
      <c r="EM619" s="2" t="str">
        <f>IF(AND(AND(AND($DX619=0,$DW619=0),OR($EC619=1,$EA619=1)),SUM($EB619:$EE619)&gt;=2),"Technology approach","")</f>
        <v>Technology approach</v>
      </c>
      <c r="EP619" t="str">
        <f>IF(ISNUMBER(BU619),IF(ABS(BU619-[2]QC_indicators!$B$2)&gt;3*[2]QC_indicators!$C$2,"C ratio",IF(ISNUMBER(BY619),IF(ABS(BY619-[2]QC_indicators!$B$1)&gt;3*[2]QC_indicators!$C$1,"DF","no"))),IF(ISNUMBER(BY619),IF(ABS(BY619-[2]QC_indicators!$B$1)&gt;3*[2]QC_indicators!$C$1,"DF","no")))</f>
        <v>no</v>
      </c>
      <c r="ET619" s="264" t="s">
        <v>3151</v>
      </c>
      <c r="EU619" s="264"/>
    </row>
    <row r="620" spans="1:151" ht="15" customHeight="1">
      <c r="A620" s="1" t="s">
        <v>265</v>
      </c>
      <c r="B620" t="s">
        <v>1531</v>
      </c>
      <c r="C620" t="s">
        <v>1532</v>
      </c>
      <c r="D620" t="s">
        <v>1533</v>
      </c>
      <c r="E620" t="s">
        <v>1534</v>
      </c>
      <c r="F620" t="s">
        <v>1535</v>
      </c>
      <c r="G620" t="s">
        <v>271</v>
      </c>
      <c r="H620" t="s">
        <v>254</v>
      </c>
      <c r="I620">
        <v>2019</v>
      </c>
      <c r="J620">
        <v>26</v>
      </c>
      <c r="K620" t="s">
        <v>1536</v>
      </c>
      <c r="M620" t="str">
        <f>LEFT($D620,FIND(",",$D620)-1)&amp;"_"&amp;I620&amp;L620</f>
        <v>Faraca_2019</v>
      </c>
      <c r="N620" t="s">
        <v>222</v>
      </c>
      <c r="O620" s="145" t="s">
        <v>274</v>
      </c>
      <c r="P620" s="180" t="s">
        <v>223</v>
      </c>
      <c r="Q620" t="s">
        <v>256</v>
      </c>
      <c r="R620" s="262" t="s">
        <v>223</v>
      </c>
      <c r="S620" s="263" t="s">
        <v>3136</v>
      </c>
      <c r="T620" t="s">
        <v>1550</v>
      </c>
      <c r="U620" t="s">
        <v>1551</v>
      </c>
      <c r="V620">
        <v>0</v>
      </c>
      <c r="W620">
        <v>0</v>
      </c>
      <c r="X620">
        <v>0</v>
      </c>
      <c r="Y620">
        <v>0</v>
      </c>
      <c r="Z620">
        <v>0</v>
      </c>
      <c r="AA620">
        <v>0</v>
      </c>
      <c r="AB620">
        <v>0</v>
      </c>
      <c r="AC620">
        <v>0</v>
      </c>
      <c r="AD620">
        <v>0</v>
      </c>
      <c r="AE620">
        <v>0</v>
      </c>
      <c r="AF620">
        <v>0</v>
      </c>
      <c r="AG620">
        <v>1</v>
      </c>
      <c r="AH620">
        <v>0</v>
      </c>
      <c r="AI620">
        <v>0</v>
      </c>
      <c r="AJ620">
        <v>0</v>
      </c>
      <c r="AK620">
        <v>0</v>
      </c>
      <c r="AL620">
        <v>0</v>
      </c>
      <c r="AM620">
        <v>0</v>
      </c>
      <c r="AN620">
        <v>0</v>
      </c>
      <c r="AO620">
        <v>0</v>
      </c>
      <c r="AP620">
        <v>0</v>
      </c>
      <c r="AQ620">
        <v>0</v>
      </c>
      <c r="AR620">
        <v>0</v>
      </c>
      <c r="AS620">
        <v>0</v>
      </c>
      <c r="AT620">
        <v>0</v>
      </c>
      <c r="AU620">
        <v>0</v>
      </c>
      <c r="AV620">
        <v>0</v>
      </c>
      <c r="AW620">
        <v>0</v>
      </c>
      <c r="AX620" s="141">
        <f>COUNTIF(V620:AW620,"&lt;&gt;0")</f>
        <v>1</v>
      </c>
      <c r="AY620" s="141">
        <f>COUNTIF(V620:AL620,"&lt;&gt;0")</f>
        <v>1</v>
      </c>
      <c r="AZ620">
        <f>COUNTIF(V620:AC620,"&lt;&gt;0")</f>
        <v>0</v>
      </c>
      <c r="BA620">
        <f>COUNTIF(AD620:AI620,"&lt;&gt;0")</f>
        <v>1</v>
      </c>
      <c r="BB620">
        <f>COUNTIF(AJ620:AL620,"&lt;&gt;0")</f>
        <v>0</v>
      </c>
      <c r="BC620">
        <f>COUNTIF(AS620:AW620,"&lt;&gt;0")</f>
        <v>0</v>
      </c>
      <c r="BD620">
        <f>COUNTIF(AM620:AR620,"&lt;&gt;0")</f>
        <v>0</v>
      </c>
      <c r="BE620" t="str">
        <f t="array" ref="BE620">IF(AY620=1,INDEX($V$7:$AL$7,MATCH(TRUE,INDEX($V620:$AW620&lt;&gt;0,),0)),IF(AY620=0,INDEX($AM$7:$AW$7,MATCH(1,$AM620:$AW620,0)),IF(BF620="Multiple strategies","mixed drivers",IF(BF620="Supply chain","multiple supply","multiple silviculture"))))</f>
        <v>recycling</v>
      </c>
      <c r="BF620" s="2" t="str" cm="1">
        <f t="array" ref="BF620">IF(COUNTIF(AZ620:BB620,"&lt;&gt;0")=1,INDEX($V$4:$AW$4,MATCH(TRUE,INDEX($V620:$AW620&lt;&gt;0,),0)),IF(COUNTIF(AZ620:BB620,"&lt;&gt;0")=0,INDEX($AM$4:$AW$4,MATCH(1,$AM620:$AW620,0)),"Multiple strategies"))</f>
        <v>Supply chain</v>
      </c>
      <c r="BG620" s="1" t="s">
        <v>229</v>
      </c>
      <c r="BH620" t="s">
        <v>1548</v>
      </c>
      <c r="BI620" s="264" t="s">
        <v>3121</v>
      </c>
      <c r="BJ620" t="s">
        <v>345</v>
      </c>
      <c r="BK620">
        <v>478</v>
      </c>
      <c r="BL620">
        <f>478+409+223+122</f>
        <v>1232</v>
      </c>
      <c r="BM620">
        <v>2.5774058577405858</v>
      </c>
      <c r="BN620">
        <f>BL620-BK620</f>
        <v>754</v>
      </c>
      <c r="BO620">
        <f>BN620*kg_to_m3</f>
        <v>1.5387755102040819</v>
      </c>
      <c r="BP620" s="264" t="s">
        <v>395</v>
      </c>
      <c r="BQ620" t="s">
        <v>426</v>
      </c>
      <c r="BR620" t="s">
        <v>728</v>
      </c>
      <c r="BS620">
        <v>-355.9</v>
      </c>
      <c r="BT620">
        <v>-572.9</v>
      </c>
      <c r="BU620" s="144">
        <v>1.6646341463414633</v>
      </c>
      <c r="BV620">
        <f>BT620-BS620</f>
        <v>-217</v>
      </c>
      <c r="BX620">
        <f>BV620/1000</f>
        <v>-0.217</v>
      </c>
      <c r="BY620">
        <f>IFERROR(BX620/BO620,"")</f>
        <v>-0.14102122015915117</v>
      </c>
      <c r="BZ620">
        <v>0</v>
      </c>
      <c r="CA620">
        <v>0</v>
      </c>
      <c r="CB620">
        <v>0</v>
      </c>
      <c r="CC620">
        <v>0</v>
      </c>
      <c r="CD620">
        <v>0</v>
      </c>
      <c r="CE620">
        <v>0</v>
      </c>
      <c r="CF620">
        <v>0</v>
      </c>
      <c r="CG620">
        <v>0</v>
      </c>
      <c r="CH620">
        <v>0</v>
      </c>
      <c r="CI620">
        <v>0</v>
      </c>
      <c r="CJ620">
        <v>0</v>
      </c>
      <c r="CK620">
        <v>0</v>
      </c>
      <c r="CL620">
        <v>0</v>
      </c>
      <c r="CM620">
        <v>0</v>
      </c>
      <c r="CN620" t="str">
        <f>IF($BL620&lt;$BK620,"refNeedCorrection","refOK")</f>
        <v>refOK</v>
      </c>
      <c r="CO620">
        <f>IF($CN620="refNeedCorrection",BL620,BK620)</f>
        <v>478</v>
      </c>
      <c r="CP620">
        <f>IF($CN620="refNeedCorrection",BK620,BL620)</f>
        <v>1232</v>
      </c>
      <c r="CQ620">
        <f>IF($CN620="refOK",$BO620,-$BO620)</f>
        <v>1.5387755102040819</v>
      </c>
      <c r="CR620">
        <f>IF($CN620="refOK",$BS620,$BT620)*IF($BP620="Emissions positive",-1,1)</f>
        <v>355.9</v>
      </c>
      <c r="CS620">
        <f>IF($CN620="refOK",$BT620,$BS620)*IF($BP620="Emissions positive",-1,1)</f>
        <v>572.9</v>
      </c>
      <c r="CT620">
        <f>IF($CN620="refNeedCorrection",-BX620,BX620)*IF($BP620="Emissions positive",-1,1)</f>
        <v>0.217</v>
      </c>
      <c r="CU620">
        <f>IFERROR(CT620/CQ620,"")</f>
        <v>0.14102122015915117</v>
      </c>
      <c r="CV620" s="2">
        <f>IFERROR((CS620-CR620)/ABS(CR620),"")</f>
        <v>0.60972183197527396</v>
      </c>
      <c r="CW620" s="1" t="s">
        <v>1199</v>
      </c>
      <c r="CX620" t="str">
        <f>IF(OR($CW620="prd",$CW620="std",$CW620="cit"),"loc",IF(OR($CW620="eur",$CW620="reg",$CW620="coy"),"reg",$CW620))</f>
        <v>reg</v>
      </c>
      <c r="CY620" t="s">
        <v>1540</v>
      </c>
      <c r="DB620">
        <v>100</v>
      </c>
      <c r="DC620" t="str">
        <f>IF(DB620=0,"0",IF(AND(DB620&gt;=1,DB620&lt;=30),"1-30",IF(AND(DB620&gt;30,DB620&lt;=70),"31-70",IF(AND(DB620&gt;70,DB620&lt;=100),"71-100",IF(DB620&gt;100,"+100")))))</f>
        <v>71-100</v>
      </c>
      <c r="DD620">
        <v>0</v>
      </c>
      <c r="DE620">
        <v>0</v>
      </c>
      <c r="DF620">
        <v>0</v>
      </c>
      <c r="DG620">
        <v>1</v>
      </c>
      <c r="DI620">
        <f>SUM(DD620:DG620)</f>
        <v>1</v>
      </c>
      <c r="DJ620" t="str">
        <f>IF(DI620=1,INDEX($DD$7:$DG$7,MATCH(1,$DD620:$DG620,0)),"mixedProduct")</f>
        <v>TimberInput</v>
      </c>
      <c r="DK620">
        <f>IF(DD620=1,DK$7,0)</f>
        <v>0</v>
      </c>
      <c r="DL620">
        <f>IF(DE620=1,DL$7,0)</f>
        <v>0</v>
      </c>
      <c r="DM620">
        <f>IF(DF620=1,DM$7,0)</f>
        <v>0</v>
      </c>
      <c r="DN620" t="str">
        <f>IF(DG620=1,DN$7,0)</f>
        <v>Timber</v>
      </c>
      <c r="DO620">
        <v>0</v>
      </c>
      <c r="DP620">
        <v>1</v>
      </c>
      <c r="DQ620">
        <v>0</v>
      </c>
      <c r="DR620">
        <v>0</v>
      </c>
      <c r="DS620" t="s">
        <v>1541</v>
      </c>
      <c r="DT620">
        <f>SUM(DO620:DP620)</f>
        <v>1</v>
      </c>
      <c r="DU620" s="143" t="str">
        <f>IF(DO620=1,"self-calculated DF",IF(DP620=1,"external DF used","explicit C balance"))</f>
        <v>external DF used</v>
      </c>
      <c r="DV620">
        <v>0</v>
      </c>
      <c r="DW620">
        <v>0</v>
      </c>
      <c r="DX620">
        <v>0</v>
      </c>
      <c r="DY620">
        <v>0</v>
      </c>
      <c r="DZ620">
        <v>1</v>
      </c>
      <c r="EA620" s="143">
        <v>1</v>
      </c>
      <c r="EB620">
        <v>0</v>
      </c>
      <c r="EC620">
        <v>1</v>
      </c>
      <c r="ED620">
        <v>0</v>
      </c>
      <c r="EE620">
        <v>1</v>
      </c>
      <c r="EF620">
        <v>1</v>
      </c>
      <c r="EG620">
        <v>1</v>
      </c>
      <c r="EH620">
        <v>0</v>
      </c>
      <c r="EI620" s="2">
        <v>0</v>
      </c>
      <c r="EK620" t="str">
        <f>IF(AND(AND(AND(OR($DX620=1,$DW620=1),OR($EC620=1,$EA620=1)),SUM($DV620:$DZ620,$EF620)&gt;=4),SUM($EA620:$EE620)&gt;=2),"Whole sector","")</f>
        <v/>
      </c>
      <c r="EL620" t="str">
        <f>IF(AND(AND(OR($DX620=1,$DW620=1),AND($EC620=0,$EA620=0)),SUM($DV620:$DZ620,$EF620)&gt;=4),"Ecosystem approach","")</f>
        <v/>
      </c>
      <c r="EM620" s="2" t="str">
        <f>IF(AND(AND(AND($DX620=0,$DW620=0),OR($EC620=1,$EA620=1)),SUM($EB620:$EE620)&gt;=2),"Technology approach","")</f>
        <v>Technology approach</v>
      </c>
      <c r="EP620" t="str">
        <f>IF(ISNUMBER(BU620),IF(ABS(BU620-[1]QC_indicators!$B$2)&gt;3*[1]QC_indicators!$C$2,"C ratio",IF(ISNUMBER(BY620),IF(ABS(BY620-[1]QC_indicators!$B$1)&gt;3*[1]QC_indicators!$C$1,"DF","no"))),IF(ISNUMBER(BY620),IF(ABS(BY620-[1]QC_indicators!$B$1)&gt;3*[1]QC_indicators!$C$1,"DF","no")))</f>
        <v>no</v>
      </c>
      <c r="ET620" s="264" t="s">
        <v>3273</v>
      </c>
    </row>
    <row r="621" spans="1:151" ht="15" customHeight="1">
      <c r="A621" s="1" t="s">
        <v>587</v>
      </c>
      <c r="B621" t="s">
        <v>2360</v>
      </c>
      <c r="C621" t="s">
        <v>2361</v>
      </c>
      <c r="D621" t="s">
        <v>2362</v>
      </c>
      <c r="E621" t="s">
        <v>2363</v>
      </c>
      <c r="F621" t="s">
        <v>2364</v>
      </c>
      <c r="G621" t="s">
        <v>593</v>
      </c>
      <c r="H621" t="s">
        <v>254</v>
      </c>
      <c r="I621">
        <v>2016</v>
      </c>
      <c r="J621">
        <v>32</v>
      </c>
      <c r="K621" t="s">
        <v>2365</v>
      </c>
      <c r="M621" t="str">
        <f>LEFT($D621,FIND(",",$D621)-1)&amp;"_"&amp;I621&amp;L621</f>
        <v>Taskhiri_2016</v>
      </c>
      <c r="N621" t="s">
        <v>222</v>
      </c>
      <c r="O621" s="145" t="s">
        <v>1154</v>
      </c>
      <c r="Q621" t="s">
        <v>256</v>
      </c>
      <c r="R621" s="255" t="s">
        <v>223</v>
      </c>
      <c r="S621" s="1" t="s">
        <v>2366</v>
      </c>
      <c r="T621" t="s">
        <v>1308</v>
      </c>
      <c r="U621" s="264" t="s">
        <v>3098</v>
      </c>
      <c r="V621">
        <v>0</v>
      </c>
      <c r="W621">
        <v>0</v>
      </c>
      <c r="X621">
        <v>0</v>
      </c>
      <c r="Y621">
        <v>0</v>
      </c>
      <c r="Z621">
        <v>0</v>
      </c>
      <c r="AA621">
        <v>0</v>
      </c>
      <c r="AB621">
        <v>0</v>
      </c>
      <c r="AC621">
        <v>0</v>
      </c>
      <c r="AD621">
        <v>0</v>
      </c>
      <c r="AE621">
        <v>0</v>
      </c>
      <c r="AF621">
        <v>0</v>
      </c>
      <c r="AG621">
        <v>1</v>
      </c>
      <c r="AH621">
        <v>0</v>
      </c>
      <c r="AI621">
        <v>0</v>
      </c>
      <c r="AJ621">
        <v>0</v>
      </c>
      <c r="AK621">
        <v>0</v>
      </c>
      <c r="AL621">
        <v>0</v>
      </c>
      <c r="AM621">
        <v>0</v>
      </c>
      <c r="AN621">
        <v>0</v>
      </c>
      <c r="AO621">
        <v>0</v>
      </c>
      <c r="AP621">
        <v>0</v>
      </c>
      <c r="AQ621">
        <v>0</v>
      </c>
      <c r="AR621">
        <v>0</v>
      </c>
      <c r="AS621">
        <v>0</v>
      </c>
      <c r="AT621">
        <v>0</v>
      </c>
      <c r="AU621">
        <v>0</v>
      </c>
      <c r="AV621">
        <v>0</v>
      </c>
      <c r="AW621">
        <v>0</v>
      </c>
      <c r="AX621" s="141">
        <f>COUNTIF(V621:AW621,"&lt;&gt;0")</f>
        <v>1</v>
      </c>
      <c r="AY621" s="141">
        <f>COUNTIF(V621:AL621,"&lt;&gt;0")</f>
        <v>1</v>
      </c>
      <c r="AZ621">
        <f>COUNTIF(V621:AC621,"&lt;&gt;0")</f>
        <v>0</v>
      </c>
      <c r="BA621">
        <f>COUNTIF(AD621:AI621,"&lt;&gt;0")</f>
        <v>1</v>
      </c>
      <c r="BB621">
        <f>COUNTIF(AJ621:AL621,"&lt;&gt;0")</f>
        <v>0</v>
      </c>
      <c r="BC621">
        <f>COUNTIF(AS621:AW621,"&lt;&gt;0")</f>
        <v>0</v>
      </c>
      <c r="BD621">
        <f>COUNTIF(AM621:AR621,"&lt;&gt;0")</f>
        <v>0</v>
      </c>
      <c r="BE621" t="str">
        <f t="array" ref="BE621">IF(AY621=1,INDEX($V$7:$AL$7,MATCH(TRUE,INDEX($V621:$AW621&lt;&gt;0,),0)),IF(AY621=0,INDEX($AM$7:$AW$7,MATCH(1,$AM621:$AW621,0)),IF(BF621="Multiple strategies","mixed drivers",IF(BF621="Supply chain","multiple supply","multiple silviculture"))))</f>
        <v>recycling</v>
      </c>
      <c r="BF621" s="2" t="str" cm="1">
        <f t="array" ref="BF621">IF(COUNTIF(AZ621:BB621,"&lt;&gt;0")=1,INDEX($V$4:$AW$4,MATCH(TRUE,INDEX($V621:$AW621&lt;&gt;0,),0)),IF(COUNTIF(AZ621:BB621,"&lt;&gt;0")=0,INDEX($AM$4:$AW$4,MATCH(1,$AM621:$AW621,0)),"Multiple strategies"))</f>
        <v>Supply chain</v>
      </c>
      <c r="BG621" s="1" t="s">
        <v>229</v>
      </c>
      <c r="BH621" t="s">
        <v>2367</v>
      </c>
      <c r="BI621" s="264" t="s">
        <v>3099</v>
      </c>
      <c r="BJ621" t="s">
        <v>1323</v>
      </c>
      <c r="BK621">
        <v>0</v>
      </c>
      <c r="BL621">
        <v>0.05</v>
      </c>
      <c r="BM621" s="143" t="e">
        <f>BL621/BK621</f>
        <v>#DIV/0!</v>
      </c>
      <c r="BN621">
        <f>BL621-BK621</f>
        <v>0.05</v>
      </c>
      <c r="BO621">
        <f>BN621*10^6</f>
        <v>50000</v>
      </c>
      <c r="BP621" t="s">
        <v>232</v>
      </c>
      <c r="BQ621" s="267" t="s">
        <v>783</v>
      </c>
      <c r="BR621" t="s">
        <v>1195</v>
      </c>
      <c r="BS621" s="198">
        <v>-27686.567164179</v>
      </c>
      <c r="BT621" s="198">
        <v>-20298.507462686499</v>
      </c>
      <c r="BU621" s="144">
        <f>IFERROR(BT621/BS621,"")</f>
        <v>0.73315363881401652</v>
      </c>
      <c r="BV621" s="144">
        <f>BT621-BS621</f>
        <v>7388.0597014925006</v>
      </c>
      <c r="BW621" s="144"/>
      <c r="BX621" s="144">
        <f>BV621</f>
        <v>7388.0597014925006</v>
      </c>
      <c r="BY621">
        <f>IFERROR(BX621/BO621,"")</f>
        <v>0.14776119402985002</v>
      </c>
      <c r="BZ621">
        <v>0</v>
      </c>
      <c r="CA621">
        <v>0</v>
      </c>
      <c r="CB621">
        <v>0</v>
      </c>
      <c r="CC621">
        <v>0</v>
      </c>
      <c r="CD621">
        <v>0</v>
      </c>
      <c r="CE621">
        <v>0</v>
      </c>
      <c r="CF621">
        <v>0</v>
      </c>
      <c r="CG621">
        <v>0</v>
      </c>
      <c r="CH621">
        <v>0</v>
      </c>
      <c r="CI621">
        <v>0</v>
      </c>
      <c r="CJ621">
        <v>0</v>
      </c>
      <c r="CK621">
        <v>0</v>
      </c>
      <c r="CL621">
        <v>0</v>
      </c>
      <c r="CM621">
        <v>1</v>
      </c>
      <c r="CN621" t="str">
        <f>IF($BL621&lt;$BK621,"refNeedCorrection","refOK")</f>
        <v>refOK</v>
      </c>
      <c r="CO621">
        <f>IF($CN621="refOK",$BK621,$BL621)</f>
        <v>0</v>
      </c>
      <c r="CP621">
        <f>IF($CN621="refOK",$BL621,$BK621)</f>
        <v>0.05</v>
      </c>
      <c r="CQ621">
        <f>IF($CN621="refOK",$BO621,-$BO621)</f>
        <v>50000</v>
      </c>
      <c r="CR621">
        <f>IF($CN621="refOK",$BS621,$BT621)*IF($BP621="Emissions positive",-1,1)</f>
        <v>-27686.567164179</v>
      </c>
      <c r="CS621">
        <f>IF($CN621="refOK",$BT621,$BS621)*IF($BP621="Emissions positive",-1,1)</f>
        <v>-20298.507462686499</v>
      </c>
      <c r="CT621">
        <f>IF($CN621="refNeedCorrection",-BX621,BX621)*IF($BP621="Emissions positive",-1,1)</f>
        <v>7388.0597014925006</v>
      </c>
      <c r="CU621">
        <f>IFERROR(CT621/CQ621,"")</f>
        <v>0.14776119402985002</v>
      </c>
      <c r="CV621" s="2">
        <f>IFERROR((CS621-CR621)/ABS(CR621),"")</f>
        <v>0.26684636118598354</v>
      </c>
      <c r="CW621" s="1" t="s">
        <v>1199</v>
      </c>
      <c r="CX621" t="str">
        <f>IF(OR($CW621="prd",$CW621="std",$CW621="cit"),"loc",IF(OR($CW621="eur",$CW621="reg",$CW621="coy"),"reg",$CW621))</f>
        <v>reg</v>
      </c>
      <c r="CY621" t="s">
        <v>1301</v>
      </c>
      <c r="DB621">
        <v>0</v>
      </c>
      <c r="DC621" t="str">
        <f>IF(DB621=0,"0",IF(AND(DB621&gt;=1,DB621&lt;=30),"1-30",IF(AND(DB621&gt;30,DB621&lt;=70),"31-70",IF(AND(DB621&gt;70,DB621&lt;=100),"71-100",IF(DB621&gt;100,"+100")))))</f>
        <v>0</v>
      </c>
      <c r="DD621">
        <v>0</v>
      </c>
      <c r="DE621">
        <v>0</v>
      </c>
      <c r="DF621">
        <v>1</v>
      </c>
      <c r="DG621">
        <v>0</v>
      </c>
      <c r="DI621">
        <f>SUM(DD621:DG621)</f>
        <v>1</v>
      </c>
      <c r="DJ621" t="str">
        <f>IF(DI621=1,INDEX($DD$7:$DG$7,MATCH(1,$DD621:$DG621,0)),"mixedProduct")</f>
        <v>PulpPaperInput</v>
      </c>
      <c r="DK621">
        <f>IF(DD621=1,DK$7,0)</f>
        <v>0</v>
      </c>
      <c r="DL621">
        <f>IF(DE621=1,DL$7,0)</f>
        <v>0</v>
      </c>
      <c r="DM621" t="str">
        <f>IF(DF621=1,DM$7,0)</f>
        <v>Pulp/Paper</v>
      </c>
      <c r="DN621">
        <f>IF(DG621=1,DN$7,0)</f>
        <v>0</v>
      </c>
      <c r="DO621">
        <v>0</v>
      </c>
      <c r="DP621">
        <v>0</v>
      </c>
      <c r="DQ621">
        <v>0</v>
      </c>
      <c r="DR621">
        <v>0</v>
      </c>
      <c r="DS621">
        <v>0</v>
      </c>
      <c r="DT621">
        <f>SUM(DO621:DP621)</f>
        <v>0</v>
      </c>
      <c r="DU621" s="143" t="str">
        <f>IF(DO621=1,"self-calculated DF",IF(DP621=1,"external DF used","explicit C balance"))</f>
        <v>explicit C balance</v>
      </c>
      <c r="DV621">
        <v>0</v>
      </c>
      <c r="DW621">
        <v>0</v>
      </c>
      <c r="DX621">
        <v>0</v>
      </c>
      <c r="DY621">
        <v>0</v>
      </c>
      <c r="DZ621">
        <v>0</v>
      </c>
      <c r="EA621" s="143">
        <v>0</v>
      </c>
      <c r="EB621">
        <v>0</v>
      </c>
      <c r="EC621">
        <v>1</v>
      </c>
      <c r="ED621">
        <v>0</v>
      </c>
      <c r="EE621">
        <v>0</v>
      </c>
      <c r="EF621">
        <v>0</v>
      </c>
      <c r="EG621">
        <v>0</v>
      </c>
      <c r="EH621">
        <v>0</v>
      </c>
      <c r="EI621" s="2">
        <v>0</v>
      </c>
      <c r="EK621" t="str">
        <f>IF(AND(AND(AND(OR($DX621=1,$DW621=1),OR($EC621=1,$EA621=1)),SUM($DV621:$DZ621,$EF621)&gt;=4),SUM($EA621:$EE621)&gt;=2),"Whole sector","")</f>
        <v/>
      </c>
      <c r="EL621" t="str">
        <f>IF(AND(AND(OR($DX621=1,$DW621=1),AND($EC621=0,$EA621=0)),SUM($DV621:$DZ621,$EF621)&gt;=4),"Ecosystem approach","")</f>
        <v/>
      </c>
      <c r="EM621" s="2" t="str">
        <f>IF(AND(AND(AND($DX621=0,$DW621=0),OR($EC621=1,$EA621=1)),SUM($EB621:$EE621)&gt;=2),"Technology approach","")</f>
        <v/>
      </c>
      <c r="EP621" t="str">
        <f>IF(ISNUMBER(BU621),IF(ABS(BU621-[1]QC_indicators!$B$2)&gt;3*[1]QC_indicators!$C$2,"C ratio",IF(ISNUMBER(BY621),IF(ABS(BY621-[1]QC_indicators!$B$1)&gt;3*[1]QC_indicators!$C$1,"DF","no"))),IF(ISNUMBER(BY621),IF(ABS(BY621-[1]QC_indicators!$B$1)&gt;3*[1]QC_indicators!$C$1,"DF","no")))</f>
        <v>no</v>
      </c>
      <c r="ET621" s="264" t="s">
        <v>3100</v>
      </c>
    </row>
    <row r="622" spans="1:151" ht="15" customHeight="1">
      <c r="D622" t="s">
        <v>2052</v>
      </c>
      <c r="E622" t="s">
        <v>2053</v>
      </c>
      <c r="G622" t="s">
        <v>2054</v>
      </c>
      <c r="I622">
        <v>2018</v>
      </c>
      <c r="K622" s="150" t="s">
        <v>2055</v>
      </c>
      <c r="M622" t="str">
        <f>LEFT($D622,FIND(",",$D622)-1)&amp;"_"&amp;I622&amp;L622</f>
        <v>Olguin_2018</v>
      </c>
      <c r="N622" t="s">
        <v>222</v>
      </c>
      <c r="O622" s="157" t="s">
        <v>274</v>
      </c>
      <c r="P622" t="s">
        <v>513</v>
      </c>
      <c r="Q622" t="s">
        <v>389</v>
      </c>
      <c r="R622" s="262" t="s">
        <v>223</v>
      </c>
      <c r="S622" s="263" t="s">
        <v>3196</v>
      </c>
      <c r="T622" t="s">
        <v>2056</v>
      </c>
      <c r="U622" t="s">
        <v>2057</v>
      </c>
      <c r="V622">
        <v>0</v>
      </c>
      <c r="W622">
        <v>0</v>
      </c>
      <c r="X622">
        <v>0</v>
      </c>
      <c r="Y622">
        <v>0</v>
      </c>
      <c r="Z622">
        <v>0</v>
      </c>
      <c r="AA622">
        <v>0</v>
      </c>
      <c r="AB622">
        <v>0</v>
      </c>
      <c r="AC622">
        <v>1</v>
      </c>
      <c r="AD622">
        <v>0</v>
      </c>
      <c r="AE622">
        <v>0</v>
      </c>
      <c r="AF622">
        <v>1</v>
      </c>
      <c r="AG622">
        <v>0</v>
      </c>
      <c r="AH622">
        <v>0</v>
      </c>
      <c r="AI622">
        <v>0</v>
      </c>
      <c r="AJ622">
        <v>0</v>
      </c>
      <c r="AK622">
        <v>0</v>
      </c>
      <c r="AL622">
        <v>0</v>
      </c>
      <c r="AM622">
        <v>0</v>
      </c>
      <c r="AN622">
        <v>0</v>
      </c>
      <c r="AO622">
        <v>0</v>
      </c>
      <c r="AP622">
        <v>0</v>
      </c>
      <c r="AQ622">
        <v>0</v>
      </c>
      <c r="AR622">
        <v>0</v>
      </c>
      <c r="AS622">
        <v>0</v>
      </c>
      <c r="AT622">
        <v>0</v>
      </c>
      <c r="AU622">
        <v>0</v>
      </c>
      <c r="AV622">
        <v>0</v>
      </c>
      <c r="AW622">
        <v>0</v>
      </c>
      <c r="AX622" s="141">
        <f>COUNTIF(V622:AW622,"&lt;&gt;0")</f>
        <v>2</v>
      </c>
      <c r="AY622" s="141">
        <f>COUNTIF(V622:AL622,"&lt;&gt;0")</f>
        <v>2</v>
      </c>
      <c r="AZ622">
        <f>COUNTIF(V622:AC622,"&lt;&gt;0")</f>
        <v>1</v>
      </c>
      <c r="BA622">
        <f>COUNTIF(AD622:AI622,"&lt;&gt;0")</f>
        <v>1</v>
      </c>
      <c r="BB622">
        <f>COUNTIF(AJ622:AL622,"&lt;&gt;0")</f>
        <v>0</v>
      </c>
      <c r="BC622">
        <f>COUNTIF(AS622:AW622,"&lt;&gt;0")</f>
        <v>0</v>
      </c>
      <c r="BD622">
        <f>COUNTIF(AM622:AR622,"&lt;&gt;0")</f>
        <v>0</v>
      </c>
      <c r="BE622" t="str">
        <f t="array" ref="BE622">IF(AY622=1,INDEX($V$7:$AL$7,MATCH(TRUE,INDEX($V622:$AW622&lt;&gt;0,),0)),IF(AY622=0,INDEX($AM$7:$AW$7,MATCH(1,$AM622:$AW622,0)),IF(BF622="Multiple strategies","mixed drivers",IF(BF622="Supply chain","multiple supply","multiple silviculture"))))</f>
        <v>mixed drivers</v>
      </c>
      <c r="BF622" s="2" t="str" cm="1">
        <f t="array" ref="BF622">IF(COUNTIF(AZ622:BB622,"&lt;&gt;0")=1,INDEX($V$4:$AW$4,MATCH(TRUE,INDEX($V622:$AW622&lt;&gt;0,),0)),IF(COUNTIF(AZ622:BB622,"&lt;&gt;0")=0,INDEX($AM$4:$AW$4,MATCH(1,$AM622:$AW622,0)),"Multiple strategies"))</f>
        <v>Multiple strategies</v>
      </c>
      <c r="BG622" s="1" t="s">
        <v>321</v>
      </c>
      <c r="BI622" s="264" t="s">
        <v>1036</v>
      </c>
      <c r="BJ622" t="s">
        <v>2058</v>
      </c>
      <c r="BK622">
        <v>0</v>
      </c>
      <c r="BL622">
        <v>218025</v>
      </c>
      <c r="BM622" t="str">
        <f>IFERROR(BL622/BK622,"")</f>
        <v/>
      </c>
      <c r="BN622">
        <f>BL622-BK622</f>
        <v>218025</v>
      </c>
      <c r="BO622">
        <f>BN622*tC_to_m3</f>
        <v>946699.95657837612</v>
      </c>
      <c r="BP622" t="s">
        <v>232</v>
      </c>
      <c r="BQ622" t="s">
        <v>424</v>
      </c>
      <c r="BR622" t="s">
        <v>2063</v>
      </c>
      <c r="BU622" s="144"/>
      <c r="BV622">
        <v>0.14000000000000001</v>
      </c>
      <c r="BX622">
        <f>BV622*10^6</f>
        <v>140000</v>
      </c>
      <c r="BY622">
        <f>IFERROR(BX622/BO622,"")</f>
        <v>0.14788212360967778</v>
      </c>
      <c r="BZ622">
        <v>0</v>
      </c>
      <c r="CA622">
        <v>0</v>
      </c>
      <c r="CB622">
        <v>0</v>
      </c>
      <c r="CC622">
        <v>0</v>
      </c>
      <c r="CD622">
        <v>0</v>
      </c>
      <c r="CE622">
        <v>0</v>
      </c>
      <c r="CF622">
        <v>0</v>
      </c>
      <c r="CG622">
        <v>0</v>
      </c>
      <c r="CH622">
        <v>0</v>
      </c>
      <c r="CI622">
        <v>0</v>
      </c>
      <c r="CJ622">
        <v>0</v>
      </c>
      <c r="CK622">
        <v>0</v>
      </c>
      <c r="CL622">
        <v>0</v>
      </c>
      <c r="CM622">
        <v>0</v>
      </c>
      <c r="CN622" t="str">
        <f>IF($BL622&lt;$BK622,"refNeedCorrection","refOK")</f>
        <v>refOK</v>
      </c>
      <c r="CO622">
        <f>IF($CN622="refOK",$BK622,$BL622)</f>
        <v>0</v>
      </c>
      <c r="CP622">
        <f>IF($CN622="refOK",$BL622,$BK622)</f>
        <v>218025</v>
      </c>
      <c r="CQ622">
        <f>IF($CN622="refOK",$BO622,-$BO622)</f>
        <v>946699.95657837612</v>
      </c>
      <c r="CR622">
        <f>IF($CN622="refOK",$BS622,$BT622)*IF($BP622="Emissions positive",-1,1)</f>
        <v>0</v>
      </c>
      <c r="CS622">
        <f>IF($CN622="refOK",$BT622,$BS622)*IF($BP622="Emissions positive",-1,1)</f>
        <v>0</v>
      </c>
      <c r="CT622">
        <f>IF($CN622="refNeedCorrection",-BX622,BX622)*IF($BP622="Emissions positive",-1,1)</f>
        <v>140000</v>
      </c>
      <c r="CU622">
        <f>IFERROR(CT622/CQ622,"")</f>
        <v>0.14788212360967778</v>
      </c>
      <c r="CV622" s="2" t="str">
        <f>IFERROR((CS622-CR622)/ABS(CR622),"")</f>
        <v/>
      </c>
      <c r="CW622" s="1" t="s">
        <v>2036</v>
      </c>
      <c r="CX622" t="str">
        <f>IF(OR($CW622="prd",$CW622="std",$CW622="cit"),"loc",IF(OR($CW622="eur",$CW622="reg",$CW622="coy"),"reg",$CW622))</f>
        <v>reg</v>
      </c>
      <c r="CY622" t="s">
        <v>2060</v>
      </c>
      <c r="CZ622">
        <v>2021</v>
      </c>
      <c r="DA622">
        <v>2030</v>
      </c>
      <c r="DB622">
        <f>DA622-CZ622</f>
        <v>9</v>
      </c>
      <c r="DC622" t="str">
        <f>IF(DB622=0,"0",IF(AND(DB622&gt;=1,DB622&lt;=30),"1-30",IF(AND(DB622&gt;30,DB622&lt;=70),"31-70",IF(AND(DB622&gt;70,DB622&lt;=100),"71-100",IF(DB622&gt;100,"+100")))))</f>
        <v>1-30</v>
      </c>
      <c r="DD622">
        <v>0</v>
      </c>
      <c r="DE622">
        <v>0</v>
      </c>
      <c r="DF622">
        <v>0</v>
      </c>
      <c r="DG622">
        <v>1</v>
      </c>
      <c r="DH622">
        <v>0</v>
      </c>
      <c r="DI622">
        <f>SUM(DD622:DG622)</f>
        <v>1</v>
      </c>
      <c r="DJ622" t="str">
        <f>IF(DI622=1,INDEX($DD$7:$DG$7,MATCH(1,$DD622:$DG622,0)),"mixedProduct")</f>
        <v>TimberInput</v>
      </c>
      <c r="DK622">
        <f>IF(DD622=1,DK$7,0)</f>
        <v>0</v>
      </c>
      <c r="DL622">
        <f>IF(DE622=1,DL$7,0)</f>
        <v>0</v>
      </c>
      <c r="DM622">
        <f>IF(DF622=1,DM$7,0)</f>
        <v>0</v>
      </c>
      <c r="DN622" t="str">
        <f>IF(DG622=1,DN$7,0)</f>
        <v>Timber</v>
      </c>
      <c r="DP622">
        <v>1</v>
      </c>
      <c r="DS622" s="184" t="s">
        <v>2061</v>
      </c>
      <c r="DT622"/>
      <c r="DU622" s="143" t="str">
        <f>IF(DO622=1,"self-calculated DF",IF(DP622=1,"external DF used","explicit C balance"))</f>
        <v>external DF used</v>
      </c>
      <c r="DV622">
        <v>1</v>
      </c>
      <c r="DW622">
        <v>1</v>
      </c>
      <c r="DX622">
        <v>1</v>
      </c>
      <c r="DY622">
        <v>1</v>
      </c>
      <c r="DZ622">
        <v>1</v>
      </c>
      <c r="EA622">
        <v>1</v>
      </c>
      <c r="EB622">
        <v>0</v>
      </c>
      <c r="EC622">
        <v>0</v>
      </c>
      <c r="ED622">
        <v>0</v>
      </c>
      <c r="EE622">
        <v>0</v>
      </c>
      <c r="EF622">
        <v>1</v>
      </c>
      <c r="EG622">
        <v>0</v>
      </c>
      <c r="EH622">
        <v>1</v>
      </c>
      <c r="EI622" s="2">
        <v>0</v>
      </c>
      <c r="EK622" t="str">
        <f>IF(AND(AND(AND(OR($DX622=1,$DW622=1),OR($EC622=1,$EA622=1)),SUM($DV622:$DZ622,$EF622)&gt;=4),SUM($EA622:$EE622)&gt;=2),"Whole sector","")</f>
        <v/>
      </c>
      <c r="EL622" t="str">
        <f>IF(AND(AND(OR($DX622=1,$DW622=1),AND($EC622=0,$EA622=0)),SUM($DV622:$DZ622,$EF622)&gt;=4),"Ecosystem approach","")</f>
        <v/>
      </c>
      <c r="EM622" s="2" t="str">
        <f>IF(AND(AND(AND($DX622=0,$DW622=0),OR($EC622=1,$EA622=1)),SUM($EB622:$EE622)&gt;=2),"Technology approach","")</f>
        <v/>
      </c>
      <c r="EP622" t="str">
        <f>IF(ISNUMBER(BU622),IF(ABS(BU622-[1]QC_indicators!$B$2)&gt;3*[1]QC_indicators!$C$2,"C ratio",IF(ISNUMBER(BY622),IF(ABS(BY622-[1]QC_indicators!$B$1)&gt;3*[1]QC_indicators!$C$1,"DF","no"))),IF(ISNUMBER(BY622),IF(ABS(BY622-[1]QC_indicators!$B$1)&gt;3*[1]QC_indicators!$C$1,"DF","no")))</f>
        <v>no</v>
      </c>
      <c r="ET622" s="264" t="s">
        <v>3273</v>
      </c>
    </row>
    <row r="623" spans="1:151" ht="15" customHeight="1">
      <c r="A623" s="1" t="s">
        <v>1233</v>
      </c>
      <c r="B623" t="s">
        <v>1234</v>
      </c>
      <c r="C623" t="s">
        <v>1235</v>
      </c>
      <c r="D623" t="s">
        <v>336</v>
      </c>
      <c r="E623" t="s">
        <v>1236</v>
      </c>
      <c r="F623" t="s">
        <v>1237</v>
      </c>
      <c r="G623" t="s">
        <v>1238</v>
      </c>
      <c r="I623">
        <v>2018</v>
      </c>
      <c r="K623" t="s">
        <v>1239</v>
      </c>
      <c r="M623" t="str">
        <f>LEFT($D623,FIND(",",$D623)-1)&amp;"_"&amp;I623&amp;L623</f>
        <v>Balasbaneh_2018</v>
      </c>
      <c r="N623" t="s">
        <v>222</v>
      </c>
      <c r="O623" s="140" t="s">
        <v>513</v>
      </c>
      <c r="Q623" t="s">
        <v>224</v>
      </c>
      <c r="R623" s="262" t="s">
        <v>223</v>
      </c>
      <c r="S623" s="1" t="s">
        <v>1246</v>
      </c>
      <c r="T623" s="264" t="s">
        <v>3113</v>
      </c>
      <c r="U623" s="264" t="s">
        <v>3116</v>
      </c>
      <c r="V623">
        <v>0</v>
      </c>
      <c r="W623">
        <v>0</v>
      </c>
      <c r="X623">
        <v>0</v>
      </c>
      <c r="Y623">
        <v>0</v>
      </c>
      <c r="Z623">
        <v>0</v>
      </c>
      <c r="AA623">
        <v>0</v>
      </c>
      <c r="AB623">
        <v>0</v>
      </c>
      <c r="AC623">
        <v>0</v>
      </c>
      <c r="AD623">
        <v>0</v>
      </c>
      <c r="AE623">
        <v>0</v>
      </c>
      <c r="AF623">
        <v>0</v>
      </c>
      <c r="AG623">
        <v>0</v>
      </c>
      <c r="AH623">
        <v>0</v>
      </c>
      <c r="AI623">
        <v>0</v>
      </c>
      <c r="AJ623">
        <v>0</v>
      </c>
      <c r="AK623">
        <v>1</v>
      </c>
      <c r="AL623">
        <v>0</v>
      </c>
      <c r="AM623">
        <v>0</v>
      </c>
      <c r="AN623">
        <v>0</v>
      </c>
      <c r="AO623">
        <v>0</v>
      </c>
      <c r="AP623">
        <v>0</v>
      </c>
      <c r="AQ623">
        <v>0</v>
      </c>
      <c r="AR623">
        <v>0</v>
      </c>
      <c r="AS623">
        <v>0</v>
      </c>
      <c r="AT623">
        <v>0</v>
      </c>
      <c r="AU623">
        <v>0</v>
      </c>
      <c r="AV623">
        <v>0</v>
      </c>
      <c r="AW623">
        <v>0</v>
      </c>
      <c r="AX623" s="141">
        <f>COUNTIF(V623:AW623,"&lt;&gt;0")</f>
        <v>1</v>
      </c>
      <c r="AY623" s="141">
        <f>COUNTIF(V623:AL623,"&lt;&gt;0")</f>
        <v>1</v>
      </c>
      <c r="AZ623">
        <f>COUNTIF(V623:AC623,"&lt;&gt;0")</f>
        <v>0</v>
      </c>
      <c r="BA623">
        <f>COUNTIF(AD623:AI623,"&lt;&gt;0")</f>
        <v>0</v>
      </c>
      <c r="BB623">
        <f>COUNTIF(AJ623:AL623,"&lt;&gt;0")</f>
        <v>1</v>
      </c>
      <c r="BC623">
        <f>COUNTIF(AS623:AW623,"&lt;&gt;0")</f>
        <v>0</v>
      </c>
      <c r="BD623">
        <f>COUNTIF(AM623:AR623,"&lt;&gt;0")</f>
        <v>0</v>
      </c>
      <c r="BE623" t="str">
        <f t="array" ref="BE623">IF(AY623=1,INDEX($V$7:$AL$7,MATCH(TRUE,INDEX($V623:$AW623&lt;&gt;0,),0)),IF(AY623=0,INDEX($AM$7:$AW$7,MATCH(1,$AM623:$AW623,0)),IF(BF623="Multiple strategies","mixed drivers",IF(BF623="Supply chain","multiple supply","multiple silviculture"))))</f>
        <v>technologies/design switch</v>
      </c>
      <c r="BF623" s="2" t="str" cm="1">
        <f t="array" ref="BF623">IF(COUNTIF(AZ623:BB623,"&lt;&gt;0")=1,INDEX($V$4:$AW$4,MATCH(TRUE,INDEX($V623:$AW623&lt;&gt;0,),0)),IF(COUNTIF(AZ623:BB623,"&lt;&gt;0")=0,INDEX($AM$4:$AW$4,MATCH(1,$AM623:$AW623,0)),"Multiple strategies"))</f>
        <v>Technology</v>
      </c>
      <c r="BG623" s="1" t="s">
        <v>229</v>
      </c>
      <c r="BH623" t="s">
        <v>229</v>
      </c>
      <c r="BJ623" t="s">
        <v>345</v>
      </c>
      <c r="BK623">
        <v>0</v>
      </c>
      <c r="BL623">
        <v>23436</v>
      </c>
      <c r="BM623" s="143"/>
      <c r="BN623">
        <f>BL623-BK623</f>
        <v>23436</v>
      </c>
      <c r="BO623" s="143">
        <f>BN623*kg_to_m3</f>
        <v>47.828571428571436</v>
      </c>
      <c r="BP623" t="s">
        <v>232</v>
      </c>
      <c r="BQ623" s="337" t="s">
        <v>1057</v>
      </c>
      <c r="BR623" t="s">
        <v>397</v>
      </c>
      <c r="BS623">
        <v>-7910</v>
      </c>
      <c r="BT623">
        <v>-693</v>
      </c>
      <c r="BU623" s="144">
        <v>8.7610619469026554E-2</v>
      </c>
      <c r="BV623">
        <v>7217</v>
      </c>
      <c r="BX623">
        <f>BV623/1000</f>
        <v>7.2169999999999996</v>
      </c>
      <c r="BY623">
        <f>IFERROR(BX623/BO623,"")</f>
        <v>0.15089307048984466</v>
      </c>
      <c r="BZ623">
        <v>0</v>
      </c>
      <c r="CA623">
        <v>0</v>
      </c>
      <c r="CB623">
        <v>0</v>
      </c>
      <c r="CC623">
        <v>0</v>
      </c>
      <c r="CD623">
        <v>0</v>
      </c>
      <c r="CE623">
        <v>0</v>
      </c>
      <c r="CF623">
        <v>0</v>
      </c>
      <c r="CG623">
        <v>0</v>
      </c>
      <c r="CH623">
        <v>0</v>
      </c>
      <c r="CI623">
        <v>0</v>
      </c>
      <c r="CJ623">
        <v>0</v>
      </c>
      <c r="CK623">
        <v>0</v>
      </c>
      <c r="CL623">
        <v>0</v>
      </c>
      <c r="CM623">
        <v>0</v>
      </c>
      <c r="CN623" t="str">
        <f>IF($BL623&lt;$BK623,"refNeedCorrection","refOK")</f>
        <v>refOK</v>
      </c>
      <c r="CO623">
        <f>IF($CN623="refNeedCorrection",BL623,BK623)</f>
        <v>0</v>
      </c>
      <c r="CP623">
        <f>IF($CN623="refNeedCorrection",BK623,BL623)</f>
        <v>23436</v>
      </c>
      <c r="CQ623">
        <f>IF($CN623="refOK",$BO623,-$BO623)</f>
        <v>47.828571428571436</v>
      </c>
      <c r="CR623">
        <f>IF($CN623="refOK",$BS623,$BT623)*IF($BP623="Emissions positive",-1,1)</f>
        <v>-7910</v>
      </c>
      <c r="CS623">
        <f>IF($CN623="refOK",$BT623,$BS623)*IF($BP623="Emissions positive",-1,1)</f>
        <v>-693</v>
      </c>
      <c r="CT623">
        <f>IF($CN623="refNeedCorrection",-BX623,BX623)*IF($BP623="Emissions positive",-1,1)</f>
        <v>7.2169999999999996</v>
      </c>
      <c r="CU623">
        <f>IFERROR(CT623/CQ623,"")</f>
        <v>0.15089307048984466</v>
      </c>
      <c r="CV623" s="2">
        <f>IFERROR((CS623-CR623)/ABS(CR623),"")</f>
        <v>0.9123893805309734</v>
      </c>
      <c r="CW623" s="1" t="s">
        <v>1203</v>
      </c>
      <c r="CX623" t="str">
        <f>IF(OR($CW623="prd",$CW623="std",$CW623="cit"),"loc",IF(OR($CW623="eur",$CW623="reg",$CW623="coy"),"reg",$CW623))</f>
        <v>reg</v>
      </c>
      <c r="CY623" t="s">
        <v>348</v>
      </c>
      <c r="CZ623">
        <v>2014</v>
      </c>
      <c r="DA623">
        <v>2514</v>
      </c>
      <c r="DB623">
        <v>500</v>
      </c>
      <c r="DC623" t="str">
        <f>IF(DB623=0,"0",IF(AND(DB623&gt;=1,DB623&lt;=30),"1-30",IF(AND(DB623&gt;30,DB623&lt;=70),"31-70",IF(AND(DB623&gt;70,DB623&lt;=100),"71-100",IF(DB623&gt;100,"+100")))))</f>
        <v>+100</v>
      </c>
      <c r="DD623">
        <v>0</v>
      </c>
      <c r="DE623">
        <v>0</v>
      </c>
      <c r="DF623">
        <v>0</v>
      </c>
      <c r="DG623">
        <v>1</v>
      </c>
      <c r="DI623">
        <f>SUM(DD623:DG623)</f>
        <v>1</v>
      </c>
      <c r="DJ623" t="str">
        <f>IF(DI623=1,INDEX($DD$7:$DG$7,MATCH(1,$DD623:$DG623,0)),"mixedProduct")</f>
        <v>TimberInput</v>
      </c>
      <c r="DK623">
        <f>IF(DD623=1,DK$7,0)</f>
        <v>0</v>
      </c>
      <c r="DL623">
        <f>IF(DE623=1,DL$7,0)</f>
        <v>0</v>
      </c>
      <c r="DM623">
        <f>IF(DF623=1,DM$7,0)</f>
        <v>0</v>
      </c>
      <c r="DN623" t="str">
        <f>IF(DG623=1,DN$7,0)</f>
        <v>Timber</v>
      </c>
      <c r="DO623">
        <v>0</v>
      </c>
      <c r="DP623">
        <v>0</v>
      </c>
      <c r="DQ623">
        <v>0</v>
      </c>
      <c r="DR623">
        <v>0</v>
      </c>
      <c r="DS623">
        <v>0</v>
      </c>
      <c r="DT623">
        <f>SUM(DO623:DP623)</f>
        <v>0</v>
      </c>
      <c r="DU623" s="143" t="str">
        <f>IF(DO623=1,"self-calculated DF",IF(DP623=1,"external DF used","explicit C balance"))</f>
        <v>explicit C balance</v>
      </c>
      <c r="DV623">
        <v>0</v>
      </c>
      <c r="DW623">
        <v>0</v>
      </c>
      <c r="DX623">
        <v>0</v>
      </c>
      <c r="DY623">
        <v>0</v>
      </c>
      <c r="DZ623">
        <v>0</v>
      </c>
      <c r="EA623" s="143">
        <v>1</v>
      </c>
      <c r="EB623">
        <v>0</v>
      </c>
      <c r="EC623">
        <v>1</v>
      </c>
      <c r="ED623">
        <v>1</v>
      </c>
      <c r="EE623">
        <v>1</v>
      </c>
      <c r="EF623">
        <v>0</v>
      </c>
      <c r="EG623">
        <v>0</v>
      </c>
      <c r="EH623">
        <v>0</v>
      </c>
      <c r="EI623" s="2">
        <v>0</v>
      </c>
      <c r="EK623" t="str">
        <f>IF(AND(AND(AND(OR($DX623=1,$DW623=1),OR($EC623=1,$EA623=1)),SUM($DV623:$DZ623,$EF623)&gt;=4),SUM($EA623:$EE623)&gt;=2),"Whole sector","")</f>
        <v/>
      </c>
      <c r="EL623" t="str">
        <f>IF(AND(AND(OR($DX623=1,$DW623=1),AND($EC623=0,$EA623=0)),SUM($DV623:$DZ623,$EF623)&gt;=4),"Ecosystem approach","")</f>
        <v/>
      </c>
      <c r="EM623" s="2" t="str">
        <f>IF(AND(AND(AND($DX623=0,$DW623=0),OR($EC623=1,$EA623=1)),SUM($EB623:$EE623)&gt;=2),"Technology approach","")</f>
        <v>Technology approach</v>
      </c>
      <c r="EP623" t="str">
        <f>IF(ISNUMBER(BU623),IF(ABS(BU623-[1]QC_indicators!$B$2)&gt;3*[1]QC_indicators!$C$2,"C ratio",IF(ISNUMBER(BY623),IF(ABS(BY623-[1]QC_indicators!$B$1)&gt;3*[1]QC_indicators!$C$1,"DF","no"))),IF(ISNUMBER(BY623),IF(ABS(BY623-[1]QC_indicators!$B$1)&gt;3*[1]QC_indicators!$C$1,"DF","no")))</f>
        <v>no</v>
      </c>
      <c r="ER623" s="149" t="s">
        <v>349</v>
      </c>
      <c r="ET623" s="264" t="s">
        <v>3273</v>
      </c>
    </row>
    <row r="624" spans="1:151" ht="15" customHeight="1">
      <c r="A624" s="1" t="s">
        <v>1891</v>
      </c>
      <c r="B624" t="s">
        <v>1892</v>
      </c>
      <c r="D624" t="s">
        <v>1893</v>
      </c>
      <c r="E624" t="s">
        <v>1894</v>
      </c>
      <c r="F624" t="s">
        <v>1895</v>
      </c>
      <c r="G624" t="s">
        <v>1896</v>
      </c>
      <c r="H624" t="s">
        <v>254</v>
      </c>
      <c r="I624">
        <v>2009</v>
      </c>
      <c r="J624">
        <v>31</v>
      </c>
      <c r="K624" t="s">
        <v>1897</v>
      </c>
      <c r="M624" t="str">
        <f>LEFT($D624,FIND(",",$D624)-1)&amp;"_"&amp;I624&amp;L624</f>
        <v>Liu_2009</v>
      </c>
      <c r="N624" t="s">
        <v>222</v>
      </c>
      <c r="O624" s="145" t="s">
        <v>225</v>
      </c>
      <c r="Q624" t="s">
        <v>256</v>
      </c>
      <c r="R624" s="262" t="s">
        <v>223</v>
      </c>
      <c r="S624" s="1" t="s">
        <v>1322</v>
      </c>
      <c r="T624" s="143" t="s">
        <v>1898</v>
      </c>
      <c r="U624" s="143" t="s">
        <v>1899</v>
      </c>
      <c r="V624">
        <v>1</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s="141">
        <f>COUNTIF(V624:AW624,"&lt;&gt;0")</f>
        <v>1</v>
      </c>
      <c r="AY624" s="141">
        <f>COUNTIF(V624:AL624,"&lt;&gt;0")</f>
        <v>1</v>
      </c>
      <c r="AZ624">
        <f>COUNTIF(V624:AC624,"&lt;&gt;0")</f>
        <v>1</v>
      </c>
      <c r="BA624">
        <f>COUNTIF(AD624:AI624,"&lt;&gt;0")</f>
        <v>0</v>
      </c>
      <c r="BB624">
        <f>COUNTIF(AJ624:AL624,"&lt;&gt;0")</f>
        <v>0</v>
      </c>
      <c r="BC624">
        <f>COUNTIF(AS624:AW624,"&lt;&gt;0")</f>
        <v>0</v>
      </c>
      <c r="BD624">
        <f>COUNTIF(AM624:AR624,"&lt;&gt;0")</f>
        <v>0</v>
      </c>
      <c r="BE624" t="str">
        <f t="array" ref="BE624">IF(AY624=1,INDEX($V$7:$AL$7,MATCH(TRUE,INDEX($V624:$AW624&lt;&gt;0,),0)),IF(AY624=0,INDEX($AM$7:$AW$7,MATCH(1,$AM624:$AW624,0)),IF(BF624="Multiple strategies","mixed drivers",IF(BF624="Supply chain","multiple supply","multiple silviculture"))))</f>
        <v>area subject to harvest</v>
      </c>
      <c r="BF624" s="2" t="str" cm="1">
        <f t="array" ref="BF624">IF(COUNTIF(AZ624:BB624,"&lt;&gt;0")=1,INDEX($V$4:$AW$4,MATCH(TRUE,INDEX($V624:$AW624&lt;&gt;0,),0)),IF(COUNTIF(AZ624:BB624,"&lt;&gt;0")=0,INDEX($AM$4:$AW$4,MATCH(1,$AM624:$AW624,0)),"Multiple strategies"))</f>
        <v>Silviculture for removals</v>
      </c>
      <c r="BG624" s="142" t="s">
        <v>321</v>
      </c>
      <c r="BH624" s="264" t="s">
        <v>3157</v>
      </c>
      <c r="BI624" s="264" t="s">
        <v>3158</v>
      </c>
      <c r="BJ624" s="143" t="s">
        <v>1355</v>
      </c>
      <c r="BK624">
        <v>0</v>
      </c>
      <c r="BL624" s="143">
        <f>4.8*10+3.3*390</f>
        <v>1335</v>
      </c>
      <c r="BM624" s="163"/>
      <c r="BN624">
        <f>BL624-BK624</f>
        <v>1335</v>
      </c>
      <c r="BO624">
        <f>BN624*10^6</f>
        <v>1335000000</v>
      </c>
      <c r="BP624" t="s">
        <v>232</v>
      </c>
      <c r="BQ624" s="310" t="s">
        <v>783</v>
      </c>
      <c r="BR624" t="s">
        <v>1900</v>
      </c>
      <c r="BS624" s="143">
        <v>505</v>
      </c>
      <c r="BT624">
        <f>560</f>
        <v>560</v>
      </c>
      <c r="BU624" s="144">
        <f>IFERROR(BT624/BS624,"")</f>
        <v>1.108910891089109</v>
      </c>
      <c r="BV624">
        <f>BT624-BS624</f>
        <v>55</v>
      </c>
      <c r="BX624">
        <f>BV624*10^6*C_to_CO2</f>
        <v>201850000</v>
      </c>
      <c r="BY624">
        <f>IFERROR(BX624/BO624,"")</f>
        <v>0.15119850187265918</v>
      </c>
      <c r="BZ624">
        <v>0</v>
      </c>
      <c r="CA624">
        <v>0</v>
      </c>
      <c r="CB624">
        <v>0</v>
      </c>
      <c r="CC624">
        <v>0</v>
      </c>
      <c r="CD624">
        <v>0</v>
      </c>
      <c r="CE624">
        <v>0</v>
      </c>
      <c r="CF624">
        <v>0</v>
      </c>
      <c r="CG624">
        <v>0</v>
      </c>
      <c r="CH624">
        <v>0</v>
      </c>
      <c r="CI624">
        <v>0</v>
      </c>
      <c r="CJ624">
        <v>0</v>
      </c>
      <c r="CK624">
        <v>0</v>
      </c>
      <c r="CL624">
        <v>0</v>
      </c>
      <c r="CM624">
        <v>0</v>
      </c>
      <c r="CN624" t="str">
        <f>IF($BL624&lt;$BK624,"refNeedCorrection","refOK")</f>
        <v>refOK</v>
      </c>
      <c r="CO624">
        <f>IF($CN624="refOK",$BK624,$BL624)</f>
        <v>0</v>
      </c>
      <c r="CP624">
        <f>IF($CN624="refOK",$BL624,$BK624)</f>
        <v>1335</v>
      </c>
      <c r="CQ624">
        <f>IF($CN624="refOK",$BO624,-$BO624)</f>
        <v>1335000000</v>
      </c>
      <c r="CR624">
        <f>IF($CN624="refOK",$BS624,$BT624)*IF($BP624="Emissions positive",-1,1)</f>
        <v>505</v>
      </c>
      <c r="CS624">
        <f>IF($CN624="refOK",$BT624,$BS624)*IF($BP624="Emissions positive",-1,1)</f>
        <v>560</v>
      </c>
      <c r="CT624">
        <f>IF($CN624="refNeedCorrection",-BX624,BX624)*IF($BP624="Emissions positive",-1,1)</f>
        <v>201850000</v>
      </c>
      <c r="CU624">
        <f>IFERROR(CT624/CQ624,"")</f>
        <v>0.15119850187265918</v>
      </c>
      <c r="CV624" s="2">
        <f>IFERROR((CS624-CR624)/ABS(CR624),"")</f>
        <v>0.10891089108910891</v>
      </c>
      <c r="CW624" s="1" t="s">
        <v>1199</v>
      </c>
      <c r="CX624" t="str">
        <f>IF(OR($CW624="prd",$CW624="std",$CW624="cit"),"loc",IF(OR($CW624="eur",$CW624="reg",$CW624="coy"),"reg",$CW624))</f>
        <v>reg</v>
      </c>
      <c r="CY624" t="s">
        <v>540</v>
      </c>
      <c r="DA624" s="143"/>
      <c r="DB624" s="143">
        <v>400</v>
      </c>
      <c r="DC624" t="str">
        <f>IF(DB624=0,"0",IF(AND(DB624&gt;=1,DB624&lt;=30),"1-30",IF(AND(DB624&gt;30,DB624&lt;=70),"31-70",IF(AND(DB624&gt;70,DB624&lt;=100),"71-100",IF(DB624&gt;100,"+100")))))</f>
        <v>+100</v>
      </c>
      <c r="DD624">
        <v>0</v>
      </c>
      <c r="DE624">
        <v>0</v>
      </c>
      <c r="DF624">
        <v>0</v>
      </c>
      <c r="DG624">
        <v>1</v>
      </c>
      <c r="DI624">
        <f>SUM(DD624:DG624)</f>
        <v>1</v>
      </c>
      <c r="DJ624" t="str">
        <f>IF(DI624=1,INDEX($DD$7:$DG$7,MATCH(1,$DD624:$DG624,0)),"mixedProduct")</f>
        <v>TimberInput</v>
      </c>
      <c r="DK624">
        <f>IF(DD624=1,DK$7,0)</f>
        <v>0</v>
      </c>
      <c r="DL624">
        <f>IF(DE624=1,DL$7,0)</f>
        <v>0</v>
      </c>
      <c r="DM624">
        <f>IF(DF624=1,DM$7,0)</f>
        <v>0</v>
      </c>
      <c r="DN624" t="str">
        <f>IF(DG624=1,DN$7,0)</f>
        <v>Timber</v>
      </c>
      <c r="DO624">
        <v>0</v>
      </c>
      <c r="DP624" s="143">
        <v>0</v>
      </c>
      <c r="DQ624" s="143">
        <v>0</v>
      </c>
      <c r="DR624">
        <v>0</v>
      </c>
      <c r="DS624" s="143">
        <v>0</v>
      </c>
      <c r="DT624">
        <f>SUM(DO624:DP624)</f>
        <v>0</v>
      </c>
      <c r="DU624" s="143" t="str">
        <f>IF(DO624=1,"self-calculated DF",IF(DP624=1,"external DF used","explicit C balance"))</f>
        <v>explicit C balance</v>
      </c>
      <c r="DV624" s="143">
        <v>1</v>
      </c>
      <c r="DW624" s="143">
        <v>0</v>
      </c>
      <c r="DX624" s="143">
        <v>1</v>
      </c>
      <c r="DY624" s="143">
        <v>1</v>
      </c>
      <c r="DZ624">
        <v>1</v>
      </c>
      <c r="EA624" s="143">
        <v>0</v>
      </c>
      <c r="EB624" s="143">
        <v>0</v>
      </c>
      <c r="EC624" s="143">
        <v>0</v>
      </c>
      <c r="ED624" s="143">
        <v>0</v>
      </c>
      <c r="EE624">
        <v>0</v>
      </c>
      <c r="EF624">
        <v>1</v>
      </c>
      <c r="EG624" s="143">
        <v>0</v>
      </c>
      <c r="EH624">
        <v>0</v>
      </c>
      <c r="EI624" s="2">
        <v>0</v>
      </c>
      <c r="EJ624" s="263" t="s">
        <v>3160</v>
      </c>
      <c r="EK624" t="str">
        <f>IF(AND(AND(AND(OR($DX624=1,$DW624=1),OR($EC624=1,$EA624=1)),SUM($DV624:$DZ624,$EF624)&gt;=4),SUM($EA624:$EE624)&gt;=2),"Whole sector","")</f>
        <v/>
      </c>
      <c r="EL624" t="str">
        <f>IF(AND(AND(OR($DX624=1,$DW624=1),AND($EC624=0,$EA624=0)),SUM($DV624:$DZ624,$EF624)&gt;=4),"Ecosystem approach","")</f>
        <v>Ecosystem approach</v>
      </c>
      <c r="EM624" s="2" t="str">
        <f>IF(AND(AND(AND($DX624=0,$DW624=0),OR($EC624=1,$EA624=1)),SUM($EB624:$EE624)&gt;=2),"Technology approach","")</f>
        <v/>
      </c>
      <c r="EP624" t="str">
        <f>IF(ISNUMBER(BU624),IF(ABS(BU624-[1]QC_indicators!$B$2)&gt;3*[1]QC_indicators!$C$2,"C ratio",IF(ISNUMBER(BY624),IF(ABS(BY624-[1]QC_indicators!$B$1)&gt;3*[1]QC_indicators!$C$1,"DF","no"))),IF(ISNUMBER(BY624),IF(ABS(BY624-[1]QC_indicators!$B$1)&gt;3*[1]QC_indicators!$C$1,"DF","no")))</f>
        <v>no</v>
      </c>
      <c r="ET624" s="264" t="s">
        <v>3161</v>
      </c>
    </row>
    <row r="625" spans="1:150" ht="15" customHeight="1">
      <c r="A625" s="1" t="s">
        <v>1102</v>
      </c>
      <c r="B625" t="s">
        <v>2381</v>
      </c>
      <c r="C625" t="s">
        <v>2382</v>
      </c>
      <c r="D625" t="s">
        <v>2383</v>
      </c>
      <c r="E625" t="s">
        <v>2384</v>
      </c>
      <c r="F625" t="s">
        <v>2385</v>
      </c>
      <c r="G625" t="s">
        <v>1108</v>
      </c>
      <c r="H625" t="s">
        <v>254</v>
      </c>
      <c r="I625">
        <v>2016</v>
      </c>
      <c r="J625">
        <v>13</v>
      </c>
      <c r="K625" t="s">
        <v>2386</v>
      </c>
      <c r="M625" t="str">
        <f>LEFT($D625,FIND(",",$D625)-1)&amp;"_"&amp;I625&amp;L625</f>
        <v>Torssonen_2016</v>
      </c>
      <c r="N625" t="s">
        <v>222</v>
      </c>
      <c r="O625" s="145" t="s">
        <v>1154</v>
      </c>
      <c r="Q625" s="264" t="s">
        <v>256</v>
      </c>
      <c r="R625" s="269" t="s">
        <v>341</v>
      </c>
      <c r="S625" s="1" t="s">
        <v>2404</v>
      </c>
      <c r="T625" s="264" t="s">
        <v>2425</v>
      </c>
      <c r="U625" t="s">
        <v>2427</v>
      </c>
      <c r="V625">
        <v>0</v>
      </c>
      <c r="W625">
        <v>0</v>
      </c>
      <c r="X625">
        <v>0</v>
      </c>
      <c r="Y625">
        <v>0</v>
      </c>
      <c r="Z625">
        <v>0</v>
      </c>
      <c r="AA625">
        <v>0</v>
      </c>
      <c r="AB625">
        <v>0</v>
      </c>
      <c r="AC625">
        <v>0</v>
      </c>
      <c r="AD625">
        <v>0</v>
      </c>
      <c r="AE625">
        <v>0</v>
      </c>
      <c r="AF625">
        <v>0</v>
      </c>
      <c r="AG625">
        <v>0</v>
      </c>
      <c r="AH625">
        <v>0</v>
      </c>
      <c r="AI625">
        <v>0</v>
      </c>
      <c r="AJ625">
        <v>0</v>
      </c>
      <c r="AK625">
        <v>0</v>
      </c>
      <c r="AL625">
        <v>0</v>
      </c>
      <c r="AM625">
        <v>0</v>
      </c>
      <c r="AN625">
        <v>1</v>
      </c>
      <c r="AO625">
        <v>1</v>
      </c>
      <c r="AP625">
        <v>0</v>
      </c>
      <c r="AQ625">
        <v>0</v>
      </c>
      <c r="AR625">
        <v>0</v>
      </c>
      <c r="AS625">
        <v>0</v>
      </c>
      <c r="AT625">
        <v>0</v>
      </c>
      <c r="AU625">
        <v>0</v>
      </c>
      <c r="AV625">
        <v>0</v>
      </c>
      <c r="AW625">
        <v>0</v>
      </c>
      <c r="AX625" s="141">
        <f>COUNTIF(V625:AW625,"&lt;&gt;0")</f>
        <v>2</v>
      </c>
      <c r="AY625" s="141">
        <f>COUNTIF(V625:AL625,"&lt;&gt;0")</f>
        <v>0</v>
      </c>
      <c r="AZ625">
        <f>COUNTIF(V625:AC625,"&lt;&gt;0")</f>
        <v>0</v>
      </c>
      <c r="BA625">
        <f>COUNTIF(AD625:AI625,"&lt;&gt;0")</f>
        <v>0</v>
      </c>
      <c r="BB625">
        <f>COUNTIF(AJ625:AL625,"&lt;&gt;0")</f>
        <v>0</v>
      </c>
      <c r="BC625">
        <f>COUNTIF(AS625:AW625,"&lt;&gt;0")</f>
        <v>0</v>
      </c>
      <c r="BD625">
        <f>COUNTIF(AM625:AR625,"&lt;&gt;0")</f>
        <v>2</v>
      </c>
      <c r="BE625" t="str" cm="1">
        <f t="array" ref="BE625">IF(AY625=1,INDEX($V$7:$AL$7,MATCH(TRUE,INDEX($V625:$AW625&lt;&gt;0,),0)),IF(AY625=0,INDEX($AM$7:$AW$7,MATCH(1,$AM625:$AW625,0)),IF(BF625="Multiple strategies","mixed drivers",IF(BF625="Supply chain","multiple supply","multiple silviculture"))))</f>
        <v>Temperature</v>
      </c>
      <c r="BF625" s="2" t="str" cm="1">
        <f t="array" ref="BF625">IF(COUNTIF(AZ625:BB625,"&lt;&gt;0")=1,INDEX($V$4:$AW$4,MATCH(TRUE,INDEX($V625:$AW625&lt;&gt;0,),0)),IF(COUNTIF(AZ625:BB625,"&lt;&gt;0")=0,INDEX($AM$4:$AW$4,MATCH(1,$AM625:$AW625,0)),"Multiple strategies"))</f>
        <v>Environmental change</v>
      </c>
      <c r="BG625" s="1" t="s">
        <v>229</v>
      </c>
      <c r="BH625" s="306" t="s">
        <v>2144</v>
      </c>
      <c r="BI625" s="264" t="s">
        <v>2391</v>
      </c>
      <c r="BJ625" s="306" t="s">
        <v>1058</v>
      </c>
      <c r="BK625">
        <v>8.0775509959999994</v>
      </c>
      <c r="BL625">
        <v>8.3591836480000001</v>
      </c>
      <c r="BM625" s="143">
        <f>BL625/BK625</f>
        <v>1.0348660939608385</v>
      </c>
      <c r="BN625">
        <f>BL625-BK625</f>
        <v>0.28163265200000076</v>
      </c>
      <c r="BO625">
        <f>+BN625*t_to_m3</f>
        <v>0.57476051428571584</v>
      </c>
      <c r="BP625" s="306" t="s">
        <v>395</v>
      </c>
      <c r="BQ625" s="153" t="s">
        <v>3421</v>
      </c>
      <c r="BR625" s="264" t="s">
        <v>2393</v>
      </c>
      <c r="BS625">
        <v>-421.81818181818102</v>
      </c>
      <c r="BT625">
        <v>-430.54545454545399</v>
      </c>
      <c r="BU625" s="144"/>
      <c r="BV625" s="144">
        <f>BT625-BS625</f>
        <v>-8.7272727272729753</v>
      </c>
      <c r="BW625" s="144"/>
      <c r="BX625" s="144">
        <f>BV625*10^4/10^6</f>
        <v>-8.727272727272975E-2</v>
      </c>
      <c r="BY625">
        <f>IFERROR(BX625/BO625,"")</f>
        <v>-0.15184189780536336</v>
      </c>
      <c r="BZ625">
        <v>0</v>
      </c>
      <c r="CA625">
        <v>0</v>
      </c>
      <c r="CB625">
        <v>0</v>
      </c>
      <c r="CC625">
        <v>0</v>
      </c>
      <c r="CD625">
        <v>0</v>
      </c>
      <c r="CE625">
        <v>0</v>
      </c>
      <c r="CF625">
        <v>0</v>
      </c>
      <c r="CG625">
        <v>0</v>
      </c>
      <c r="CH625">
        <v>0</v>
      </c>
      <c r="CI625">
        <v>0</v>
      </c>
      <c r="CJ625">
        <v>0</v>
      </c>
      <c r="CK625">
        <v>0</v>
      </c>
      <c r="CL625">
        <v>0</v>
      </c>
      <c r="CM625">
        <v>1</v>
      </c>
      <c r="CN625" t="str">
        <f>IF($BL625&lt;$BK625,"refNeedCorrection","refOK")</f>
        <v>refOK</v>
      </c>
      <c r="CO625">
        <f>IF($CN625="refOK",$BK625,$BL625)</f>
        <v>8.0775509959999994</v>
      </c>
      <c r="CP625">
        <f>IF($CN625="refOK",$BL625,$BK625)</f>
        <v>8.3591836480000001</v>
      </c>
      <c r="CQ625">
        <f>IF($CN625="refOK",$BO625,-$BO625)</f>
        <v>0.57476051428571584</v>
      </c>
      <c r="CR625">
        <f>IF($CN625="refOK",$BS625,$BT625)*IF($BP625="Emissions positive",-1,1)</f>
        <v>421.81818181818102</v>
      </c>
      <c r="CS625">
        <f>IF($CN625="refOK",$BT625,$BS625)*IF($BP625="Emissions positive",-1,1)</f>
        <v>430.54545454545399</v>
      </c>
      <c r="CT625">
        <f>IF($CN625="refNeedCorrection",-BX625,BX625)*IF($BP625="Emissions positive",-1,1)</f>
        <v>8.727272727272975E-2</v>
      </c>
      <c r="CU625">
        <f>IFERROR(CT625/CQ625,"")</f>
        <v>0.15184189780536336</v>
      </c>
      <c r="CV625" s="2">
        <f>IFERROR((CS625-CR625)/ABS(CR625),"")</f>
        <v>2.0689655172414421E-2</v>
      </c>
      <c r="CW625" s="1" t="s">
        <v>1199</v>
      </c>
      <c r="CX625" s="264" t="str">
        <f>IF(OR($CW625="prd",$CW625="std",$CW625="cit"),"loc",IF(OR($CW625="eur",$CW625="reg",$CW625="coy"),"reg",$CW625))</f>
        <v>reg</v>
      </c>
      <c r="CY625" t="s">
        <v>235</v>
      </c>
      <c r="CZ625">
        <v>2020</v>
      </c>
      <c r="DA625">
        <v>2100</v>
      </c>
      <c r="DB625">
        <f>DA625-CZ625</f>
        <v>80</v>
      </c>
      <c r="DC625" t="str">
        <f>IF(DB625=0,"0",IF(AND(DB625&gt;=1,DB625&lt;=30),"1-30",IF(AND(DB625&gt;30,DB625&lt;=70),"31-70",IF(AND(DB625&gt;70,DB625&lt;=100),"71-100",IF(DB625&gt;100,"+100")))))</f>
        <v>71-100</v>
      </c>
      <c r="DD625">
        <v>0</v>
      </c>
      <c r="DE625">
        <v>1</v>
      </c>
      <c r="DF625">
        <v>0</v>
      </c>
      <c r="DG625">
        <v>1</v>
      </c>
      <c r="DI625">
        <f>SUM(DD625:DG625)</f>
        <v>2</v>
      </c>
      <c r="DJ625" t="str">
        <f>IF(DI625=1,INDEX($DD$7:$DG$7,MATCH(1,$DD625:$DG625,0)),"mixedProduct")</f>
        <v>mixedProduct</v>
      </c>
      <c r="DK625">
        <f>IF(DD625=1,DK$7,0)</f>
        <v>0</v>
      </c>
      <c r="DL625" t="str">
        <f>IF(DE625=1,DL$7,0)</f>
        <v>Energy</v>
      </c>
      <c r="DM625">
        <f>IF(DF625=1,DM$7,0)</f>
        <v>0</v>
      </c>
      <c r="DN625" t="str">
        <f>IF(DG625=1,DN$7,0)</f>
        <v>Timber</v>
      </c>
      <c r="DO625">
        <v>1</v>
      </c>
      <c r="DP625">
        <v>0</v>
      </c>
      <c r="DQ625">
        <v>0</v>
      </c>
      <c r="DR625">
        <v>0</v>
      </c>
      <c r="DS625">
        <v>0</v>
      </c>
      <c r="DT625">
        <f>SUM(DO625:DP625)</f>
        <v>1</v>
      </c>
      <c r="DU625" s="143" t="str">
        <f>IF(DO625=1,"self-calculated DF",IF(DP625=1,"external DF used","explicit C balance"))</f>
        <v>self-calculated DF</v>
      </c>
      <c r="DV625">
        <v>1</v>
      </c>
      <c r="DW625">
        <v>0</v>
      </c>
      <c r="DX625">
        <v>1</v>
      </c>
      <c r="DY625">
        <v>0</v>
      </c>
      <c r="DZ625">
        <v>0</v>
      </c>
      <c r="EA625" s="143">
        <v>0</v>
      </c>
      <c r="EB625">
        <v>0</v>
      </c>
      <c r="EC625">
        <v>0</v>
      </c>
      <c r="ED625">
        <v>0</v>
      </c>
      <c r="EE625">
        <v>0</v>
      </c>
      <c r="EF625">
        <v>1</v>
      </c>
      <c r="EG625">
        <v>0</v>
      </c>
      <c r="EH625">
        <v>0</v>
      </c>
      <c r="EI625" s="2">
        <v>0</v>
      </c>
      <c r="EK625" t="str">
        <f>IF(AND(AND(AND(OR($DX625=1,$DW625=1),OR($EC625=1,$EA625=1)),SUM($DV625:$DZ625,$EF625)&gt;=4),SUM($EA625:$EE625)&gt;=2),"Whole sector","")</f>
        <v/>
      </c>
      <c r="EL625" t="str">
        <f>IF(AND(AND(OR($DX625=1,$DW625=1),AND($EC625=0,$EA625=0)),SUM($DV625:$DZ625,$EF625)&gt;=4),"Ecosystem approach","")</f>
        <v/>
      </c>
      <c r="EM625" s="2" t="str">
        <f>IF(AND(AND(AND($DX625=0,$DW625=0),OR($EC625=1,$EA625=1)),SUM($EB625:$EE625)&gt;=2),"Technology approach","")</f>
        <v/>
      </c>
      <c r="EN625" t="s">
        <v>2403</v>
      </c>
      <c r="EP625" t="str">
        <f>IF(ISNUMBER(BU625),IF(ABS(BU625-[3]QC_indicators!$B$2)&gt;3*[3]QC_indicators!$C$2,"C ratio",IF(ISNUMBER(BY625),IF(ABS(BY625-[3]QC_indicators!$B$1)&gt;3*[3]QC_indicators!$C$1,"DF","no"))),IF(ISNUMBER(BY625),IF(ABS(BY625-[3]QC_indicators!$B$1)&gt;3*[3]QC_indicators!$C$1,"DF","no")))</f>
        <v>no</v>
      </c>
      <c r="ER625" s="264" t="s">
        <v>2394</v>
      </c>
      <c r="ET625" s="306" t="s">
        <v>3422</v>
      </c>
    </row>
    <row r="626" spans="1:150" ht="15" customHeight="1">
      <c r="A626" s="1" t="s">
        <v>333</v>
      </c>
      <c r="B626" t="s">
        <v>334</v>
      </c>
      <c r="C626" t="s">
        <v>335</v>
      </c>
      <c r="D626" t="s">
        <v>336</v>
      </c>
      <c r="E626" t="s">
        <v>337</v>
      </c>
      <c r="F626" t="s">
        <v>338</v>
      </c>
      <c r="G626" t="s">
        <v>339</v>
      </c>
      <c r="I626">
        <v>2017</v>
      </c>
      <c r="K626" t="s">
        <v>340</v>
      </c>
      <c r="M626" t="str">
        <f>LEFT($D626,FIND(",",$D626)-1)&amp;"_"&amp;I626&amp;L626</f>
        <v>Balasbaneh_2017</v>
      </c>
      <c r="N626" t="s">
        <v>222</v>
      </c>
      <c r="O626" s="140" t="s">
        <v>341</v>
      </c>
      <c r="Q626" t="s">
        <v>224</v>
      </c>
      <c r="R626" s="262" t="s">
        <v>223</v>
      </c>
      <c r="S626" s="1" t="s">
        <v>356</v>
      </c>
      <c r="T626" t="s">
        <v>343</v>
      </c>
      <c r="U626" t="s">
        <v>357</v>
      </c>
      <c r="V626">
        <v>0</v>
      </c>
      <c r="W626">
        <v>0</v>
      </c>
      <c r="X626">
        <v>0</v>
      </c>
      <c r="Y626">
        <v>0</v>
      </c>
      <c r="Z626">
        <v>0</v>
      </c>
      <c r="AA626">
        <v>0</v>
      </c>
      <c r="AB626">
        <v>0</v>
      </c>
      <c r="AC626">
        <v>0</v>
      </c>
      <c r="AD626">
        <v>0</v>
      </c>
      <c r="AE626">
        <v>0</v>
      </c>
      <c r="AF626">
        <v>0</v>
      </c>
      <c r="AG626">
        <v>0</v>
      </c>
      <c r="AH626">
        <v>0</v>
      </c>
      <c r="AI626">
        <v>0</v>
      </c>
      <c r="AJ626">
        <v>0</v>
      </c>
      <c r="AK626">
        <v>1</v>
      </c>
      <c r="AL626">
        <v>0</v>
      </c>
      <c r="AM626">
        <v>0</v>
      </c>
      <c r="AN626">
        <v>0</v>
      </c>
      <c r="AO626">
        <v>0</v>
      </c>
      <c r="AP626">
        <v>0</v>
      </c>
      <c r="AQ626">
        <v>0</v>
      </c>
      <c r="AR626">
        <v>0</v>
      </c>
      <c r="AS626">
        <v>0</v>
      </c>
      <c r="AT626">
        <v>0</v>
      </c>
      <c r="AU626">
        <v>0</v>
      </c>
      <c r="AV626">
        <v>0</v>
      </c>
      <c r="AW626">
        <v>0</v>
      </c>
      <c r="AX626" s="141">
        <f>COUNTIF(V626:AW626,"&lt;&gt;0")</f>
        <v>1</v>
      </c>
      <c r="AY626" s="141">
        <f>COUNTIF(V626:AL626,"&lt;&gt;0")</f>
        <v>1</v>
      </c>
      <c r="AZ626">
        <f>COUNTIF(V626:AC626,"&lt;&gt;0")</f>
        <v>0</v>
      </c>
      <c r="BA626">
        <f>COUNTIF(AD626:AI626,"&lt;&gt;0")</f>
        <v>0</v>
      </c>
      <c r="BB626">
        <f>COUNTIF(AJ626:AL626,"&lt;&gt;0")</f>
        <v>1</v>
      </c>
      <c r="BC626">
        <f>COUNTIF(AS626:AW626,"&lt;&gt;0")</f>
        <v>0</v>
      </c>
      <c r="BD626">
        <f>COUNTIF(AM626:AR626,"&lt;&gt;0")</f>
        <v>0</v>
      </c>
      <c r="BE626" t="str">
        <f t="array" ref="BE626">IF(AY626=1,INDEX($V$7:$AL$7,MATCH(TRUE,INDEX($V626:$AW626&lt;&gt;0,),0)),IF(AY626=0,INDEX($AM$7:$AW$7,MATCH(1,$AM626:$AW626,0)),IF(BF626="Multiple strategies","mixed drivers",IF(BF626="Supply chain","multiple supply","multiple silviculture"))))</f>
        <v>technologies/design switch</v>
      </c>
      <c r="BF626" s="2" t="str" cm="1">
        <f t="array" ref="BF626">IF(COUNTIF(AZ626:BB626,"&lt;&gt;0")=1,INDEX($V$4:$AW$4,MATCH(TRUE,INDEX($V626:$AW626&lt;&gt;0,),0)),IF(COUNTIF(AZ626:BB626,"&lt;&gt;0")=0,INDEX($AM$4:$AW$4,MATCH(1,$AM626:$AW626,0)),"Multiple strategies"))</f>
        <v>Technology</v>
      </c>
      <c r="BG626" s="1" t="s">
        <v>229</v>
      </c>
      <c r="BH626" t="s">
        <v>229</v>
      </c>
      <c r="BI626" s="264" t="s">
        <v>410</v>
      </c>
      <c r="BJ626" t="s">
        <v>345</v>
      </c>
      <c r="BK626">
        <v>0</v>
      </c>
      <c r="BL626">
        <v>29276</v>
      </c>
      <c r="BM626" s="143"/>
      <c r="BN626">
        <f>BL626-BK626</f>
        <v>29276</v>
      </c>
      <c r="BO626" s="143">
        <f>BN626*kg_to_m3</f>
        <v>59.746938775510209</v>
      </c>
      <c r="BP626" t="s">
        <v>232</v>
      </c>
      <c r="BQ626" s="335" t="s">
        <v>396</v>
      </c>
      <c r="BR626" t="s">
        <v>346</v>
      </c>
      <c r="BS626">
        <v>-11200</v>
      </c>
      <c r="BT626">
        <v>-2010</v>
      </c>
      <c r="BU626" s="144">
        <v>0.17946428571428572</v>
      </c>
      <c r="BV626">
        <f>BT626-BS626</f>
        <v>9190</v>
      </c>
      <c r="BX626">
        <f>BV626/1000</f>
        <v>9.19</v>
      </c>
      <c r="BY626">
        <f>IFERROR(BX626/BO626,"")</f>
        <v>0.15381541194152204</v>
      </c>
      <c r="BZ626">
        <v>0</v>
      </c>
      <c r="CA626">
        <v>0</v>
      </c>
      <c r="CB626">
        <v>0</v>
      </c>
      <c r="CC626">
        <v>0</v>
      </c>
      <c r="CD626">
        <v>0</v>
      </c>
      <c r="CE626">
        <v>0</v>
      </c>
      <c r="CF626">
        <v>0</v>
      </c>
      <c r="CG626">
        <v>0</v>
      </c>
      <c r="CH626">
        <v>0</v>
      </c>
      <c r="CI626">
        <v>0</v>
      </c>
      <c r="CJ626">
        <v>0</v>
      </c>
      <c r="CK626">
        <v>0</v>
      </c>
      <c r="CL626">
        <v>0</v>
      </c>
      <c r="CM626">
        <v>0</v>
      </c>
      <c r="CN626" t="str">
        <f>IF($BL626&lt;$BK626,"refNeedCorrection","refOK")</f>
        <v>refOK</v>
      </c>
      <c r="CO626">
        <f>IF($CN626="refNeedCorrection",BL626,BK626)</f>
        <v>0</v>
      </c>
      <c r="CP626">
        <f>IF($CN626="refNeedCorrection",BK626,BL626)</f>
        <v>29276</v>
      </c>
      <c r="CQ626">
        <f>IF($CN626="refOK",$BO626,-$BO626)</f>
        <v>59.746938775510209</v>
      </c>
      <c r="CR626">
        <f>IF($CN626="refOK",$BS626,$BT626)*IF($BP626="Emissions positive",-1,1)</f>
        <v>-11200</v>
      </c>
      <c r="CS626">
        <f>IF($CN626="refOK",$BT626,$BS626)*IF($BP626="Emissions positive",-1,1)</f>
        <v>-2010</v>
      </c>
      <c r="CT626">
        <f>IF($CN626="refNeedCorrection",-BX626,BX626)*IF($BP626="Emissions positive",-1,1)</f>
        <v>9.19</v>
      </c>
      <c r="CU626">
        <f>IFERROR(CT626/CQ626,"")</f>
        <v>0.15381541194152204</v>
      </c>
      <c r="CV626" s="2">
        <f>IFERROR((CS626-CR626)/ABS(CR626),"")</f>
        <v>0.82053571428571426</v>
      </c>
      <c r="CW626" s="1" t="s">
        <v>347</v>
      </c>
      <c r="CX626" t="str">
        <f>IF(OR($CW626="prd",$CW626="std",$CW626="cit"),"loc",IF(OR($CW626="eur",$CW626="reg",$CW626="coy"),"reg",$CW626))</f>
        <v>loc</v>
      </c>
      <c r="CY626" t="s">
        <v>348</v>
      </c>
      <c r="CZ626">
        <v>2014</v>
      </c>
      <c r="DA626">
        <v>2514</v>
      </c>
      <c r="DB626">
        <v>500</v>
      </c>
      <c r="DC626" t="str">
        <f>IF(DB626=0,"0",IF(AND(DB626&gt;=1,DB626&lt;=30),"1-30",IF(AND(DB626&gt;30,DB626&lt;=70),"31-70",IF(AND(DB626&gt;70,DB626&lt;=100),"71-100",IF(DB626&gt;100,"+100")))))</f>
        <v>+100</v>
      </c>
      <c r="DD626">
        <v>0</v>
      </c>
      <c r="DE626">
        <v>0</v>
      </c>
      <c r="DF626">
        <v>0</v>
      </c>
      <c r="DG626">
        <v>1</v>
      </c>
      <c r="DI626">
        <f>SUM(DD626:DG626)</f>
        <v>1</v>
      </c>
      <c r="DJ626" t="str">
        <f>IF(DI626=1,INDEX($DD$7:$DG$7,MATCH(1,$DD626:$DG626,0)),"mixedProduct")</f>
        <v>TimberInput</v>
      </c>
      <c r="DK626">
        <f>IF(DD626=1,DK$7,0)</f>
        <v>0</v>
      </c>
      <c r="DL626">
        <f>IF(DE626=1,DL$7,0)</f>
        <v>0</v>
      </c>
      <c r="DM626">
        <f>IF(DF626=1,DM$7,0)</f>
        <v>0</v>
      </c>
      <c r="DN626" t="str">
        <f>IF(DG626=1,DN$7,0)</f>
        <v>Timber</v>
      </c>
      <c r="DO626">
        <v>0</v>
      </c>
      <c r="DP626">
        <v>0</v>
      </c>
      <c r="DQ626">
        <v>0</v>
      </c>
      <c r="DR626">
        <v>0</v>
      </c>
      <c r="DS626">
        <v>0</v>
      </c>
      <c r="DT626">
        <f>SUM(DO626:DP626)</f>
        <v>0</v>
      </c>
      <c r="DU626" s="143" t="str">
        <f>IF(DO626=1,"self-calculated DF",IF(DP626=1,"external DF used","explicit C balance"))</f>
        <v>explicit C balance</v>
      </c>
      <c r="DV626">
        <v>0</v>
      </c>
      <c r="DW626">
        <v>0</v>
      </c>
      <c r="DX626">
        <v>0</v>
      </c>
      <c r="DY626">
        <v>1</v>
      </c>
      <c r="DZ626">
        <v>0</v>
      </c>
      <c r="EA626" s="143">
        <v>1</v>
      </c>
      <c r="EB626">
        <v>0</v>
      </c>
      <c r="EC626">
        <v>1</v>
      </c>
      <c r="ED626">
        <v>1</v>
      </c>
      <c r="EE626">
        <v>1</v>
      </c>
      <c r="EF626">
        <v>0</v>
      </c>
      <c r="EG626">
        <v>0</v>
      </c>
      <c r="EH626">
        <v>0</v>
      </c>
      <c r="EI626" s="2">
        <v>0</v>
      </c>
      <c r="EK626" t="str">
        <f>IF(AND(AND(AND(OR($DX626=1,$DW626=1),OR($EC626=1,$EA626=1)),SUM($DV626:$DZ626,$EF626)&gt;=4),SUM($EA626:$EE626)&gt;=2),"Whole sector","")</f>
        <v/>
      </c>
      <c r="EL626" t="str">
        <f>IF(AND(AND(OR($DX626=1,$DW626=1),AND($EC626=0,$EA626=0)),SUM($DV626:$DZ626,$EF626)&gt;=4),"Ecosystem approach","")</f>
        <v/>
      </c>
      <c r="EM626" s="2" t="str">
        <f>IF(AND(AND(AND($DX626=0,$DW626=0),OR($EC626=1,$EA626=1)),SUM($EB626:$EE626)&gt;=2),"Technology approach","")</f>
        <v>Technology approach</v>
      </c>
      <c r="EP626" t="str">
        <f>IF(ISNUMBER(BU626),IF(ABS(BU626-[1]QC_indicators!$B$2)&gt;3*[1]QC_indicators!$C$2,"C ratio",IF(ISNUMBER(BY626),IF(ABS(BY626-[1]QC_indicators!$B$1)&gt;3*[1]QC_indicators!$C$1,"DF","no"))),IF(ISNUMBER(BY626),IF(ABS(BY626-[1]QC_indicators!$B$1)&gt;3*[1]QC_indicators!$C$1,"DF","no")))</f>
        <v>no</v>
      </c>
      <c r="ER626" s="149" t="s">
        <v>349</v>
      </c>
      <c r="ET626" s="264" t="s">
        <v>3273</v>
      </c>
    </row>
    <row r="627" spans="1:150" ht="15" customHeight="1">
      <c r="A627" s="1" t="s">
        <v>1233</v>
      </c>
      <c r="B627" t="s">
        <v>1234</v>
      </c>
      <c r="C627" t="s">
        <v>1235</v>
      </c>
      <c r="D627" t="s">
        <v>336</v>
      </c>
      <c r="E627" t="s">
        <v>1236</v>
      </c>
      <c r="F627" t="s">
        <v>1237</v>
      </c>
      <c r="G627" t="s">
        <v>1238</v>
      </c>
      <c r="I627">
        <v>2018</v>
      </c>
      <c r="K627" t="s">
        <v>1239</v>
      </c>
      <c r="M627" t="str">
        <f>LEFT($D627,FIND(",",$D627)-1)&amp;"_"&amp;I627&amp;L627</f>
        <v>Balasbaneh_2018</v>
      </c>
      <c r="N627" t="s">
        <v>222</v>
      </c>
      <c r="O627" s="140" t="s">
        <v>513</v>
      </c>
      <c r="Q627" t="s">
        <v>224</v>
      </c>
      <c r="R627" s="262" t="s">
        <v>223</v>
      </c>
      <c r="S627" s="1" t="s">
        <v>1247</v>
      </c>
      <c r="T627" s="264" t="s">
        <v>3113</v>
      </c>
      <c r="U627" s="264" t="s">
        <v>3116</v>
      </c>
      <c r="V627">
        <v>0</v>
      </c>
      <c r="W627">
        <v>0</v>
      </c>
      <c r="X627">
        <v>0</v>
      </c>
      <c r="Y627">
        <v>0</v>
      </c>
      <c r="Z627">
        <v>0</v>
      </c>
      <c r="AA627">
        <v>0</v>
      </c>
      <c r="AB627">
        <v>0</v>
      </c>
      <c r="AC627">
        <v>0</v>
      </c>
      <c r="AD627">
        <v>0</v>
      </c>
      <c r="AE627">
        <v>0</v>
      </c>
      <c r="AF627">
        <v>0</v>
      </c>
      <c r="AG627">
        <v>0</v>
      </c>
      <c r="AH627">
        <v>0</v>
      </c>
      <c r="AI627">
        <v>0</v>
      </c>
      <c r="AJ627">
        <v>0</v>
      </c>
      <c r="AK627">
        <v>1</v>
      </c>
      <c r="AL627">
        <v>0</v>
      </c>
      <c r="AM627">
        <v>0</v>
      </c>
      <c r="AN627">
        <v>0</v>
      </c>
      <c r="AO627">
        <v>0</v>
      </c>
      <c r="AP627">
        <v>0</v>
      </c>
      <c r="AQ627">
        <v>0</v>
      </c>
      <c r="AR627">
        <v>0</v>
      </c>
      <c r="AS627">
        <v>0</v>
      </c>
      <c r="AT627">
        <v>0</v>
      </c>
      <c r="AU627">
        <v>0</v>
      </c>
      <c r="AV627">
        <v>0</v>
      </c>
      <c r="AW627">
        <v>0</v>
      </c>
      <c r="AX627" s="141">
        <f>COUNTIF(V627:AW627,"&lt;&gt;0")</f>
        <v>1</v>
      </c>
      <c r="AY627" s="141">
        <f>COUNTIF(V627:AL627,"&lt;&gt;0")</f>
        <v>1</v>
      </c>
      <c r="AZ627">
        <f>COUNTIF(V627:AC627,"&lt;&gt;0")</f>
        <v>0</v>
      </c>
      <c r="BA627">
        <f>COUNTIF(AD627:AI627,"&lt;&gt;0")</f>
        <v>0</v>
      </c>
      <c r="BB627">
        <f>COUNTIF(AJ627:AL627,"&lt;&gt;0")</f>
        <v>1</v>
      </c>
      <c r="BC627">
        <f>COUNTIF(AS627:AW627,"&lt;&gt;0")</f>
        <v>0</v>
      </c>
      <c r="BD627">
        <f>COUNTIF(AM627:AR627,"&lt;&gt;0")</f>
        <v>0</v>
      </c>
      <c r="BE627" t="str">
        <f t="array" ref="BE627">IF(AY627=1,INDEX($V$7:$AL$7,MATCH(TRUE,INDEX($V627:$AW627&lt;&gt;0,),0)),IF(AY627=0,INDEX($AM$7:$AW$7,MATCH(1,$AM627:$AW627,0)),IF(BF627="Multiple strategies","mixed drivers",IF(BF627="Supply chain","multiple supply","multiple silviculture"))))</f>
        <v>technologies/design switch</v>
      </c>
      <c r="BF627" s="2" t="str" cm="1">
        <f t="array" ref="BF627">IF(COUNTIF(AZ627:BB627,"&lt;&gt;0")=1,INDEX($V$4:$AW$4,MATCH(TRUE,INDEX($V627:$AW627&lt;&gt;0,),0)),IF(COUNTIF(AZ627:BB627,"&lt;&gt;0")=0,INDEX($AM$4:$AW$4,MATCH(1,$AM627:$AW627,0)),"Multiple strategies"))</f>
        <v>Technology</v>
      </c>
      <c r="BG627" s="1" t="s">
        <v>229</v>
      </c>
      <c r="BH627" t="s">
        <v>229</v>
      </c>
      <c r="BJ627" t="s">
        <v>345</v>
      </c>
      <c r="BK627">
        <v>0</v>
      </c>
      <c r="BL627">
        <v>23436</v>
      </c>
      <c r="BM627" s="143"/>
      <c r="BN627">
        <f>BL627-BK627</f>
        <v>23436</v>
      </c>
      <c r="BO627" s="143">
        <f>BN627*kg_to_m3</f>
        <v>47.828571428571436</v>
      </c>
      <c r="BP627" t="s">
        <v>232</v>
      </c>
      <c r="BQ627" s="337" t="s">
        <v>1057</v>
      </c>
      <c r="BR627" t="s">
        <v>397</v>
      </c>
      <c r="BS627">
        <v>-8200</v>
      </c>
      <c r="BT627">
        <v>-702</v>
      </c>
      <c r="BU627" s="144">
        <v>8.5609756097560982E-2</v>
      </c>
      <c r="BV627">
        <v>7498</v>
      </c>
      <c r="BX627">
        <f>BV627/1000</f>
        <v>7.4980000000000002</v>
      </c>
      <c r="BY627">
        <f>IFERROR(BX627/BO627,"")</f>
        <v>0.15676821983273595</v>
      </c>
      <c r="BZ627">
        <v>0</v>
      </c>
      <c r="CA627">
        <v>0</v>
      </c>
      <c r="CB627">
        <v>0</v>
      </c>
      <c r="CC627">
        <v>0</v>
      </c>
      <c r="CD627">
        <v>0</v>
      </c>
      <c r="CE627">
        <v>0</v>
      </c>
      <c r="CF627">
        <v>0</v>
      </c>
      <c r="CG627">
        <v>0</v>
      </c>
      <c r="CH627">
        <v>0</v>
      </c>
      <c r="CI627">
        <v>0</v>
      </c>
      <c r="CJ627">
        <v>0</v>
      </c>
      <c r="CK627">
        <v>0</v>
      </c>
      <c r="CL627">
        <v>0</v>
      </c>
      <c r="CM627">
        <v>0</v>
      </c>
      <c r="CN627" t="str">
        <f>IF($BL627&lt;$BK627,"refNeedCorrection","refOK")</f>
        <v>refOK</v>
      </c>
      <c r="CO627">
        <f>IF($CN627="refNeedCorrection",BL627,BK627)</f>
        <v>0</v>
      </c>
      <c r="CP627">
        <f>IF($CN627="refNeedCorrection",BK627,BL627)</f>
        <v>23436</v>
      </c>
      <c r="CQ627">
        <f>IF($CN627="refOK",$BO627,-$BO627)</f>
        <v>47.828571428571436</v>
      </c>
      <c r="CR627">
        <f>IF($CN627="refOK",$BS627,$BT627)*IF($BP627="Emissions positive",-1,1)</f>
        <v>-8200</v>
      </c>
      <c r="CS627">
        <f>IF($CN627="refOK",$BT627,$BS627)*IF($BP627="Emissions positive",-1,1)</f>
        <v>-702</v>
      </c>
      <c r="CT627">
        <f>IF($CN627="refNeedCorrection",-BX627,BX627)*IF($BP627="Emissions positive",-1,1)</f>
        <v>7.4980000000000002</v>
      </c>
      <c r="CU627">
        <f>IFERROR(CT627/CQ627,"")</f>
        <v>0.15676821983273595</v>
      </c>
      <c r="CV627" s="2">
        <f>IFERROR((CS627-CR627)/ABS(CR627),"")</f>
        <v>0.91439024390243906</v>
      </c>
      <c r="CW627" s="1" t="s">
        <v>1203</v>
      </c>
      <c r="CX627" t="str">
        <f>IF(OR($CW627="prd",$CW627="std",$CW627="cit"),"loc",IF(OR($CW627="eur",$CW627="reg",$CW627="coy"),"reg",$CW627))</f>
        <v>reg</v>
      </c>
      <c r="CY627" t="s">
        <v>348</v>
      </c>
      <c r="CZ627">
        <v>2014</v>
      </c>
      <c r="DA627">
        <v>2114</v>
      </c>
      <c r="DB627">
        <v>100</v>
      </c>
      <c r="DC627" t="str">
        <f>IF(DB627=0,"0",IF(AND(DB627&gt;=1,DB627&lt;=30),"1-30",IF(AND(DB627&gt;30,DB627&lt;=70),"31-70",IF(AND(DB627&gt;70,DB627&lt;=100),"71-100",IF(DB627&gt;100,"+100")))))</f>
        <v>71-100</v>
      </c>
      <c r="DD627">
        <v>0</v>
      </c>
      <c r="DE627">
        <v>0</v>
      </c>
      <c r="DF627">
        <v>0</v>
      </c>
      <c r="DG627">
        <v>1</v>
      </c>
      <c r="DI627">
        <f>SUM(DD627:DG627)</f>
        <v>1</v>
      </c>
      <c r="DJ627" t="str">
        <f>IF(DI627=1,INDEX($DD$7:$DG$7,MATCH(1,$DD627:$DG627,0)),"mixedProduct")</f>
        <v>TimberInput</v>
      </c>
      <c r="DK627">
        <f>IF(DD627=1,DK$7,0)</f>
        <v>0</v>
      </c>
      <c r="DL627">
        <f>IF(DE627=1,DL$7,0)</f>
        <v>0</v>
      </c>
      <c r="DM627">
        <f>IF(DF627=1,DM$7,0)</f>
        <v>0</v>
      </c>
      <c r="DN627" t="str">
        <f>IF(DG627=1,DN$7,0)</f>
        <v>Timber</v>
      </c>
      <c r="DO627">
        <v>0</v>
      </c>
      <c r="DP627">
        <v>0</v>
      </c>
      <c r="DQ627">
        <v>0</v>
      </c>
      <c r="DR627">
        <v>0</v>
      </c>
      <c r="DS627">
        <v>0</v>
      </c>
      <c r="DT627">
        <f>SUM(DO627:DP627)</f>
        <v>0</v>
      </c>
      <c r="DU627" s="143" t="str">
        <f>IF(DO627=1,"self-calculated DF",IF(DP627=1,"external DF used","explicit C balance"))</f>
        <v>explicit C balance</v>
      </c>
      <c r="DV627">
        <v>0</v>
      </c>
      <c r="DW627">
        <v>0</v>
      </c>
      <c r="DX627">
        <v>0</v>
      </c>
      <c r="DY627">
        <v>0</v>
      </c>
      <c r="DZ627">
        <v>0</v>
      </c>
      <c r="EA627" s="143">
        <v>1</v>
      </c>
      <c r="EB627">
        <v>0</v>
      </c>
      <c r="EC627">
        <v>1</v>
      </c>
      <c r="ED627">
        <v>1</v>
      </c>
      <c r="EE627">
        <v>1</v>
      </c>
      <c r="EF627">
        <v>0</v>
      </c>
      <c r="EG627">
        <v>0</v>
      </c>
      <c r="EH627">
        <v>0</v>
      </c>
      <c r="EI627" s="2">
        <v>0</v>
      </c>
      <c r="EK627" t="str">
        <f>IF(AND(AND(AND(OR($DX627=1,$DW627=1),OR($EC627=1,$EA627=1)),SUM($DV627:$DZ627,$EF627)&gt;=4),SUM($EA627:$EE627)&gt;=2),"Whole sector","")</f>
        <v/>
      </c>
      <c r="EL627" t="str">
        <f>IF(AND(AND(OR($DX627=1,$DW627=1),AND($EC627=0,$EA627=0)),SUM($DV627:$DZ627,$EF627)&gt;=4),"Ecosystem approach","")</f>
        <v/>
      </c>
      <c r="EM627" s="2" t="str">
        <f>IF(AND(AND(AND($DX627=0,$DW627=0),OR($EC627=1,$EA627=1)),SUM($EB627:$EE627)&gt;=2),"Technology approach","")</f>
        <v>Technology approach</v>
      </c>
      <c r="EP627" t="str">
        <f>IF(ISNUMBER(BU627),IF(ABS(BU627-[1]QC_indicators!$B$2)&gt;3*[1]QC_indicators!$C$2,"C ratio",IF(ISNUMBER(BY627),IF(ABS(BY627-[1]QC_indicators!$B$1)&gt;3*[1]QC_indicators!$C$1,"DF","no"))),IF(ISNUMBER(BY627),IF(ABS(BY627-[1]QC_indicators!$B$1)&gt;3*[1]QC_indicators!$C$1,"DF","no")))</f>
        <v>no</v>
      </c>
      <c r="ER627" s="149" t="s">
        <v>349</v>
      </c>
      <c r="ET627" s="264" t="s">
        <v>3273</v>
      </c>
    </row>
    <row r="628" spans="1:150" ht="15" customHeight="1">
      <c r="A628" s="1" t="s">
        <v>265</v>
      </c>
      <c r="B628" t="s">
        <v>1531</v>
      </c>
      <c r="C628" t="s">
        <v>1532</v>
      </c>
      <c r="D628" t="s">
        <v>1533</v>
      </c>
      <c r="E628" t="s">
        <v>1534</v>
      </c>
      <c r="F628" t="s">
        <v>1535</v>
      </c>
      <c r="G628" t="s">
        <v>271</v>
      </c>
      <c r="H628" t="s">
        <v>254</v>
      </c>
      <c r="I628">
        <v>2019</v>
      </c>
      <c r="J628">
        <v>26</v>
      </c>
      <c r="K628" t="s">
        <v>1536</v>
      </c>
      <c r="M628" t="str">
        <f>LEFT($D628,FIND(",",$D628)-1)&amp;"_"&amp;I628&amp;L628</f>
        <v>Faraca_2019</v>
      </c>
      <c r="N628" t="s">
        <v>222</v>
      </c>
      <c r="O628" s="145" t="s">
        <v>274</v>
      </c>
      <c r="P628" s="180" t="s">
        <v>223</v>
      </c>
      <c r="Q628" t="s">
        <v>256</v>
      </c>
      <c r="R628" s="262" t="s">
        <v>223</v>
      </c>
      <c r="S628" s="1" t="s">
        <v>1546</v>
      </c>
      <c r="T628" t="s">
        <v>1550</v>
      </c>
      <c r="U628" t="s">
        <v>1551</v>
      </c>
      <c r="V628">
        <v>0</v>
      </c>
      <c r="W628">
        <v>0</v>
      </c>
      <c r="X628">
        <v>0</v>
      </c>
      <c r="Y628">
        <v>0</v>
      </c>
      <c r="Z628">
        <v>0</v>
      </c>
      <c r="AA628">
        <v>0</v>
      </c>
      <c r="AB628">
        <v>0</v>
      </c>
      <c r="AC628">
        <v>0</v>
      </c>
      <c r="AD628">
        <v>0</v>
      </c>
      <c r="AE628">
        <v>0</v>
      </c>
      <c r="AF628">
        <v>0</v>
      </c>
      <c r="AG628">
        <v>1</v>
      </c>
      <c r="AH628">
        <v>0</v>
      </c>
      <c r="AI628">
        <v>0</v>
      </c>
      <c r="AJ628">
        <v>0</v>
      </c>
      <c r="AK628">
        <v>0</v>
      </c>
      <c r="AL628">
        <v>0</v>
      </c>
      <c r="AM628">
        <v>0</v>
      </c>
      <c r="AN628">
        <v>0</v>
      </c>
      <c r="AO628">
        <v>0</v>
      </c>
      <c r="AP628">
        <v>0</v>
      </c>
      <c r="AQ628">
        <v>0</v>
      </c>
      <c r="AR628">
        <v>0</v>
      </c>
      <c r="AS628">
        <v>0</v>
      </c>
      <c r="AT628">
        <v>0</v>
      </c>
      <c r="AU628">
        <v>0</v>
      </c>
      <c r="AV628">
        <v>0</v>
      </c>
      <c r="AW628">
        <v>0</v>
      </c>
      <c r="AX628" s="141">
        <f>COUNTIF(V628:AW628,"&lt;&gt;0")</f>
        <v>1</v>
      </c>
      <c r="AY628" s="141">
        <f>COUNTIF(V628:AL628,"&lt;&gt;0")</f>
        <v>1</v>
      </c>
      <c r="AZ628">
        <f>COUNTIF(V628:AC628,"&lt;&gt;0")</f>
        <v>0</v>
      </c>
      <c r="BA628">
        <f>COUNTIF(AD628:AI628,"&lt;&gt;0")</f>
        <v>1</v>
      </c>
      <c r="BB628">
        <f>COUNTIF(AJ628:AL628,"&lt;&gt;0")</f>
        <v>0</v>
      </c>
      <c r="BC628">
        <f>COUNTIF(AS628:AW628,"&lt;&gt;0")</f>
        <v>0</v>
      </c>
      <c r="BD628">
        <f>COUNTIF(AM628:AR628,"&lt;&gt;0")</f>
        <v>0</v>
      </c>
      <c r="BE628" t="str">
        <f t="array" ref="BE628">IF(AY628=1,INDEX($V$7:$AL$7,MATCH(TRUE,INDEX($V628:$AW628&lt;&gt;0,),0)),IF(AY628=0,INDEX($AM$7:$AW$7,MATCH(1,$AM628:$AW628,0)),IF(BF628="Multiple strategies","mixed drivers",IF(BF628="Supply chain","multiple supply","multiple silviculture"))))</f>
        <v>recycling</v>
      </c>
      <c r="BF628" s="2" t="str" cm="1">
        <f t="array" ref="BF628">IF(COUNTIF(AZ628:BB628,"&lt;&gt;0")=1,INDEX($V$4:$AW$4,MATCH(TRUE,INDEX($V628:$AW628&lt;&gt;0,),0)),IF(COUNTIF(AZ628:BB628,"&lt;&gt;0")=0,INDEX($AM$4:$AW$4,MATCH(1,$AM628:$AW628,0)),"Multiple strategies"))</f>
        <v>Supply chain</v>
      </c>
      <c r="BG628" s="1" t="s">
        <v>229</v>
      </c>
      <c r="BH628" t="s">
        <v>1548</v>
      </c>
      <c r="BI628" s="264" t="s">
        <v>3121</v>
      </c>
      <c r="BJ628" t="s">
        <v>345</v>
      </c>
      <c r="BK628">
        <v>478</v>
      </c>
      <c r="BL628">
        <f>478+409+223+122</f>
        <v>1232</v>
      </c>
      <c r="BM628">
        <v>2.5774058577405858</v>
      </c>
      <c r="BN628">
        <f>BL628-BK628</f>
        <v>754</v>
      </c>
      <c r="BO628">
        <f>BN628*kg_to_m3</f>
        <v>1.5387755102040819</v>
      </c>
      <c r="BP628" s="264" t="s">
        <v>395</v>
      </c>
      <c r="BR628" t="s">
        <v>728</v>
      </c>
      <c r="BS628">
        <v>-520.70000000000005</v>
      </c>
      <c r="BT628">
        <v>-762.1</v>
      </c>
      <c r="BU628" s="144">
        <v>1.6646341463414633</v>
      </c>
      <c r="BV628">
        <f>BT628-BS628</f>
        <v>-241.39999999999998</v>
      </c>
      <c r="BX628">
        <f>BV628/1000</f>
        <v>-0.24139999999999998</v>
      </c>
      <c r="BY628">
        <f>IFERROR(BX628/BO628,"")</f>
        <v>-0.1568779840848806</v>
      </c>
      <c r="BZ628">
        <v>0</v>
      </c>
      <c r="CA628">
        <v>0</v>
      </c>
      <c r="CB628">
        <v>0</v>
      </c>
      <c r="CC628">
        <v>0</v>
      </c>
      <c r="CD628">
        <v>0</v>
      </c>
      <c r="CE628">
        <v>0</v>
      </c>
      <c r="CF628">
        <v>0</v>
      </c>
      <c r="CG628">
        <v>0</v>
      </c>
      <c r="CH628">
        <v>0</v>
      </c>
      <c r="CI628">
        <v>0</v>
      </c>
      <c r="CJ628">
        <v>0</v>
      </c>
      <c r="CK628">
        <v>0</v>
      </c>
      <c r="CL628">
        <v>0</v>
      </c>
      <c r="CM628">
        <v>0</v>
      </c>
      <c r="CN628" t="str">
        <f>IF($BL628&lt;$BK628,"refNeedCorrection","refOK")</f>
        <v>refOK</v>
      </c>
      <c r="CO628">
        <f>IF($CN628="refNeedCorrection",BL628,BK628)</f>
        <v>478</v>
      </c>
      <c r="CP628">
        <f>IF($CN628="refNeedCorrection",BK628,BL628)</f>
        <v>1232</v>
      </c>
      <c r="CQ628">
        <f>IF($CN628="refOK",$BO628,-$BO628)</f>
        <v>1.5387755102040819</v>
      </c>
      <c r="CR628">
        <f>IF($CN628="refOK",$BS628,$BT628)*IF($BP628="Emissions positive",-1,1)</f>
        <v>520.70000000000005</v>
      </c>
      <c r="CS628">
        <f>IF($CN628="refOK",$BT628,$BS628)*IF($BP628="Emissions positive",-1,1)</f>
        <v>762.1</v>
      </c>
      <c r="CT628">
        <f>IF($CN628="refNeedCorrection",-BX628,BX628)*IF($BP628="Emissions positive",-1,1)</f>
        <v>0.24139999999999998</v>
      </c>
      <c r="CU628">
        <f>IFERROR(CT628/CQ628,"")</f>
        <v>0.1568779840848806</v>
      </c>
      <c r="CV628" s="2">
        <f>IFERROR((CS628-CR628)/ABS(CR628),"")</f>
        <v>0.46360668331092753</v>
      </c>
      <c r="CW628" s="1" t="s">
        <v>1199</v>
      </c>
      <c r="CX628" t="str">
        <f>IF(OR($CW628="prd",$CW628="std",$CW628="cit"),"loc",IF(OR($CW628="eur",$CW628="reg",$CW628="coy"),"reg",$CW628))</f>
        <v>reg</v>
      </c>
      <c r="CY628" t="s">
        <v>1540</v>
      </c>
      <c r="DB628">
        <v>500</v>
      </c>
      <c r="DC628" t="str">
        <f>IF(DB628=0,"0",IF(AND(DB628&gt;=1,DB628&lt;=30),"1-30",IF(AND(DB628&gt;30,DB628&lt;=70),"31-70",IF(AND(DB628&gt;70,DB628&lt;=100),"71-100",IF(DB628&gt;100,"+100")))))</f>
        <v>+100</v>
      </c>
      <c r="DD628">
        <v>0</v>
      </c>
      <c r="DE628">
        <v>0</v>
      </c>
      <c r="DF628">
        <v>0</v>
      </c>
      <c r="DG628">
        <v>1</v>
      </c>
      <c r="DI628">
        <f>SUM(DD628:DG628)</f>
        <v>1</v>
      </c>
      <c r="DJ628" t="str">
        <f>IF(DI628=1,INDEX($DD$7:$DG$7,MATCH(1,$DD628:$DG628,0)),"mixedProduct")</f>
        <v>TimberInput</v>
      </c>
      <c r="DK628">
        <f>IF(DD628=1,DK$7,0)</f>
        <v>0</v>
      </c>
      <c r="DL628">
        <f>IF(DE628=1,DL$7,0)</f>
        <v>0</v>
      </c>
      <c r="DM628">
        <f>IF(DF628=1,DM$7,0)</f>
        <v>0</v>
      </c>
      <c r="DN628" t="str">
        <f>IF(DG628=1,DN$7,0)</f>
        <v>Timber</v>
      </c>
      <c r="DO628">
        <v>0</v>
      </c>
      <c r="DP628">
        <v>1</v>
      </c>
      <c r="DQ628">
        <v>0</v>
      </c>
      <c r="DR628">
        <v>0</v>
      </c>
      <c r="DS628" t="s">
        <v>1541</v>
      </c>
      <c r="DT628">
        <f>SUM(DO628:DP628)</f>
        <v>1</v>
      </c>
      <c r="DU628" s="143" t="str">
        <f>IF(DO628=1,"self-calculated DF",IF(DP628=1,"external DF used","explicit C balance"))</f>
        <v>external DF used</v>
      </c>
      <c r="DV628">
        <v>0</v>
      </c>
      <c r="DW628">
        <v>0</v>
      </c>
      <c r="DX628">
        <v>0</v>
      </c>
      <c r="DY628">
        <v>0</v>
      </c>
      <c r="DZ628">
        <v>1</v>
      </c>
      <c r="EA628" s="143">
        <v>1</v>
      </c>
      <c r="EB628">
        <v>0</v>
      </c>
      <c r="EC628">
        <v>1</v>
      </c>
      <c r="ED628">
        <v>0</v>
      </c>
      <c r="EE628">
        <v>1</v>
      </c>
      <c r="EF628">
        <v>1</v>
      </c>
      <c r="EG628">
        <v>1</v>
      </c>
      <c r="EH628">
        <v>1</v>
      </c>
      <c r="EI628" s="2">
        <v>0</v>
      </c>
      <c r="EK628" t="str">
        <f>IF(AND(AND(AND(OR($DX628=1,$DW628=1),OR($EC628=1,$EA628=1)),SUM($DV628:$DZ628,$EF628)&gt;=4),SUM($EA628:$EE628)&gt;=2),"Whole sector","")</f>
        <v/>
      </c>
      <c r="EL628" t="str">
        <f>IF(AND(AND(OR($DX628=1,$DW628=1),AND($EC628=0,$EA628=0)),SUM($DV628:$DZ628,$EF628)&gt;=4),"Ecosystem approach","")</f>
        <v/>
      </c>
      <c r="EM628" s="2" t="str">
        <f>IF(AND(AND(AND($DX628=0,$DW628=0),OR($EC628=1,$EA628=1)),SUM($EB628:$EE628)&gt;=2),"Technology approach","")</f>
        <v>Technology approach</v>
      </c>
      <c r="EP628" t="str">
        <f>IF(ISNUMBER(BU628),IF(ABS(BU628-[1]QC_indicators!$B$2)&gt;3*[1]QC_indicators!$C$2,"C ratio",IF(ISNUMBER(BY628),IF(ABS(BY628-[1]QC_indicators!$B$1)&gt;3*[1]QC_indicators!$C$1,"DF","no"))),IF(ISNUMBER(BY628),IF(ABS(BY628-[1]QC_indicators!$B$1)&gt;3*[1]QC_indicators!$C$1,"DF","no")))</f>
        <v>no</v>
      </c>
      <c r="ET628" s="264" t="s">
        <v>3273</v>
      </c>
    </row>
    <row r="629" spans="1:150" ht="15" customHeight="1">
      <c r="A629" s="1" t="s">
        <v>430</v>
      </c>
      <c r="B629" t="s">
        <v>431</v>
      </c>
      <c r="C629" t="s">
        <v>432</v>
      </c>
      <c r="D629" t="s">
        <v>433</v>
      </c>
      <c r="E629" t="s">
        <v>434</v>
      </c>
      <c r="F629" t="s">
        <v>435</v>
      </c>
      <c r="G629" t="s">
        <v>436</v>
      </c>
      <c r="H629" t="s">
        <v>254</v>
      </c>
      <c r="I629">
        <v>2000</v>
      </c>
      <c r="J629">
        <v>174</v>
      </c>
      <c r="K629" t="s">
        <v>437</v>
      </c>
      <c r="M629" t="str">
        <f>LEFT($D629,FIND(",",$D629)-1)&amp;"_"&amp;I629&amp;L629</f>
        <v>Borjesson_2000</v>
      </c>
      <c r="N629" t="s">
        <v>222</v>
      </c>
      <c r="O629" s="145" t="s">
        <v>223</v>
      </c>
      <c r="Q629" t="s">
        <v>256</v>
      </c>
      <c r="R629" s="255" t="s">
        <v>225</v>
      </c>
      <c r="S629" s="1" t="s">
        <v>438</v>
      </c>
      <c r="T629" t="s">
        <v>447</v>
      </c>
      <c r="U629" t="s">
        <v>440</v>
      </c>
      <c r="V629">
        <v>0</v>
      </c>
      <c r="W629">
        <v>0</v>
      </c>
      <c r="X629">
        <v>0</v>
      </c>
      <c r="Y629">
        <v>0</v>
      </c>
      <c r="Z629">
        <v>0</v>
      </c>
      <c r="AA629">
        <v>0</v>
      </c>
      <c r="AB629">
        <v>0</v>
      </c>
      <c r="AC629">
        <v>0</v>
      </c>
      <c r="AD629">
        <v>0</v>
      </c>
      <c r="AE629">
        <v>0</v>
      </c>
      <c r="AF629">
        <v>0</v>
      </c>
      <c r="AG629">
        <v>0</v>
      </c>
      <c r="AH629">
        <v>0</v>
      </c>
      <c r="AI629">
        <v>0</v>
      </c>
      <c r="AJ629">
        <v>0</v>
      </c>
      <c r="AK629">
        <v>1</v>
      </c>
      <c r="AL629">
        <v>0</v>
      </c>
      <c r="AM629">
        <v>0</v>
      </c>
      <c r="AN629">
        <v>0</v>
      </c>
      <c r="AO629">
        <v>0</v>
      </c>
      <c r="AP629">
        <v>0</v>
      </c>
      <c r="AQ629">
        <v>0</v>
      </c>
      <c r="AR629">
        <v>0</v>
      </c>
      <c r="AS629">
        <v>0</v>
      </c>
      <c r="AT629">
        <v>0</v>
      </c>
      <c r="AU629">
        <v>0</v>
      </c>
      <c r="AV629">
        <v>0</v>
      </c>
      <c r="AW629">
        <v>0</v>
      </c>
      <c r="AX629" s="141">
        <f>COUNTIF(V629:AW629,"&lt;&gt;0")</f>
        <v>1</v>
      </c>
      <c r="AY629" s="141">
        <f>COUNTIF(V629:AL629,"&lt;&gt;0")</f>
        <v>1</v>
      </c>
      <c r="AZ629">
        <f>COUNTIF(V629:AC629,"&lt;&gt;0")</f>
        <v>0</v>
      </c>
      <c r="BA629">
        <f>COUNTIF(AD629:AI629,"&lt;&gt;0")</f>
        <v>0</v>
      </c>
      <c r="BB629">
        <f>COUNTIF(AJ629:AL629,"&lt;&gt;0")</f>
        <v>1</v>
      </c>
      <c r="BC629">
        <f>COUNTIF(AS629:AW629,"&lt;&gt;0")</f>
        <v>0</v>
      </c>
      <c r="BD629">
        <f>COUNTIF(AM629:AR629,"&lt;&gt;0")</f>
        <v>0</v>
      </c>
      <c r="BE629" t="str">
        <f t="array" ref="BE629">IF(AY629=1,INDEX($V$7:$AL$7,MATCH(TRUE,INDEX($V629:$AW629&lt;&gt;0,),0)),IF(AY629=0,INDEX($AM$7:$AW$7,MATCH(1,$AM629:$AW629,0)),IF(BF629="Multiple strategies","mixed drivers",IF(BF629="Supply chain","multiple supply","multiple silviculture"))))</f>
        <v>technologies/design switch</v>
      </c>
      <c r="BF629" s="2" t="str" cm="1">
        <f t="array" ref="BF629">IF(COUNTIF(AZ629:BB629,"&lt;&gt;0")=1,INDEX($V$4:$AW$4,MATCH(TRUE,INDEX($V629:$AW629&lt;&gt;0,),0)),IF(COUNTIF(AZ629:BB629,"&lt;&gt;0")=0,INDEX($AM$4:$AW$4,MATCH(1,$AM629:$AW629,0)),"Multiple strategies"))</f>
        <v>Technology</v>
      </c>
      <c r="BG629" s="142" t="s">
        <v>229</v>
      </c>
      <c r="BH629" t="s">
        <v>441</v>
      </c>
      <c r="BI629" s="264" t="s">
        <v>3274</v>
      </c>
      <c r="BJ629" s="143" t="s">
        <v>442</v>
      </c>
      <c r="BK629">
        <v>0</v>
      </c>
      <c r="BL629">
        <f>3*44</f>
        <v>132</v>
      </c>
      <c r="BM629" s="143" t="e">
        <f>BL629/BK629</f>
        <v>#DIV/0!</v>
      </c>
      <c r="BN629">
        <f>BL629-BK629</f>
        <v>132</v>
      </c>
      <c r="BO629">
        <f>BN629*tC_to_m3</f>
        <v>573.16543638732094</v>
      </c>
      <c r="BP629" t="s">
        <v>232</v>
      </c>
      <c r="BQ629" s="260" t="s">
        <v>813</v>
      </c>
      <c r="BR629" t="s">
        <v>443</v>
      </c>
      <c r="BS629" s="141">
        <v>6</v>
      </c>
      <c r="BT629" s="141">
        <v>31</v>
      </c>
      <c r="BU629" s="144">
        <f>IFERROR(BT629/BS629,"")</f>
        <v>5.166666666666667</v>
      </c>
      <c r="BV629">
        <f>BT629-BS629</f>
        <v>25</v>
      </c>
      <c r="BX629">
        <f>BV629*C_to_CO2</f>
        <v>91.75</v>
      </c>
      <c r="BY629">
        <f>IFERROR(BX629/BO629,"")</f>
        <v>0.16007594696969696</v>
      </c>
      <c r="BZ629" s="143">
        <v>0</v>
      </c>
      <c r="CA629" s="143">
        <v>0</v>
      </c>
      <c r="CB629" s="143">
        <v>0</v>
      </c>
      <c r="CC629" s="143">
        <v>0</v>
      </c>
      <c r="CD629" s="143">
        <v>0</v>
      </c>
      <c r="CE629" s="143">
        <v>0</v>
      </c>
      <c r="CF629" s="143">
        <v>0</v>
      </c>
      <c r="CG629" s="143">
        <v>0</v>
      </c>
      <c r="CH629" s="143">
        <v>0</v>
      </c>
      <c r="CI629" s="143">
        <v>0</v>
      </c>
      <c r="CJ629" s="143">
        <v>0</v>
      </c>
      <c r="CK629" s="143">
        <v>0</v>
      </c>
      <c r="CL629" s="143">
        <v>0</v>
      </c>
      <c r="CM629">
        <v>0</v>
      </c>
      <c r="CN629" t="str">
        <f>IF($BL629&lt;$BK629,"refNeedCorrection","refOK")</f>
        <v>refOK</v>
      </c>
      <c r="CO629">
        <f>IF($CN629="refOK",$BK629,$BL629)</f>
        <v>0</v>
      </c>
      <c r="CP629">
        <f>IF($CN629="refOK",$BL629,$BK629)</f>
        <v>132</v>
      </c>
      <c r="CQ629">
        <f>IF($CN629="refOK",$BO629,-$BO629)</f>
        <v>573.16543638732094</v>
      </c>
      <c r="CR629">
        <f>IF($CN629="refOK",$BS629,$BT629)*IF($BP629="Emissions positive",-1,1)</f>
        <v>6</v>
      </c>
      <c r="CS629">
        <f>IF($CN629="refOK",$BT629,$BS629)*IF($BP629="Emissions positive",-1,1)</f>
        <v>31</v>
      </c>
      <c r="CT629">
        <f>IF($CN629="refNeedCorrection",-BX629,BX629)*IF($BP629="Emissions positive",-1,1)</f>
        <v>91.75</v>
      </c>
      <c r="CU629">
        <f>IFERROR(CT629/CQ629,"")</f>
        <v>0.16007594696969696</v>
      </c>
      <c r="CV629" s="2">
        <f>IFERROR((CS629-CR629)/ABS(CR629),"")</f>
        <v>4.166666666666667</v>
      </c>
      <c r="CW629" s="1" t="s">
        <v>263</v>
      </c>
      <c r="CX629" t="str">
        <f>IF(OR($CW629="prd",$CW629="std",$CW629="cit"),"loc",IF(OR($CW629="eur",$CW629="reg",$CW629="coy"),"reg",$CW629))</f>
        <v>loc</v>
      </c>
      <c r="CY629" t="s">
        <v>444</v>
      </c>
      <c r="DB629">
        <v>300</v>
      </c>
      <c r="DC629" t="str">
        <f>IF(DB629=0,"0",IF(AND(DB629&gt;=1,DB629&lt;=30),"1-30",IF(AND(DB629&gt;30,DB629&lt;=70),"31-70",IF(AND(DB629&gt;70,DB629&lt;=100),"71-100",IF(DB629&gt;100,"+100")))))</f>
        <v>+100</v>
      </c>
      <c r="DD629">
        <v>0</v>
      </c>
      <c r="DE629">
        <v>0</v>
      </c>
      <c r="DF629">
        <v>0</v>
      </c>
      <c r="DG629">
        <v>1</v>
      </c>
      <c r="DI629">
        <f>SUM(DD629:DG629)</f>
        <v>1</v>
      </c>
      <c r="DJ629" t="str">
        <f>IF(DI629=1,INDEX($DD$7:$DG$7,MATCH(1,$DD629:$DG629,0)),"mixedProduct")</f>
        <v>TimberInput</v>
      </c>
      <c r="DK629">
        <f>IF(DD629=1,DK$7,0)</f>
        <v>0</v>
      </c>
      <c r="DL629">
        <f>IF(DE629=1,DL$7,0)</f>
        <v>0</v>
      </c>
      <c r="DM629">
        <f>IF(DF629=1,DM$7,0)</f>
        <v>0</v>
      </c>
      <c r="DN629" t="str">
        <f>IF(DG629=1,DN$7,0)</f>
        <v>Timber</v>
      </c>
      <c r="DO629">
        <v>1</v>
      </c>
      <c r="DP629" s="143">
        <v>0</v>
      </c>
      <c r="DQ629" s="143">
        <v>0</v>
      </c>
      <c r="DR629" s="143">
        <v>0</v>
      </c>
      <c r="DS629">
        <v>0</v>
      </c>
      <c r="DT629">
        <f>SUM(DO629:DP629)</f>
        <v>1</v>
      </c>
      <c r="DU629" s="143" t="str">
        <f>IF(DO629=1,"self-calculated DF",IF(DP629=1,"external DF used","explicit C balance"))</f>
        <v>self-calculated DF</v>
      </c>
      <c r="DV629">
        <v>0</v>
      </c>
      <c r="DW629" s="143">
        <v>0</v>
      </c>
      <c r="DX629" s="143">
        <v>1</v>
      </c>
      <c r="DY629" s="143">
        <v>1</v>
      </c>
      <c r="DZ629">
        <v>1</v>
      </c>
      <c r="EA629" s="143">
        <v>1</v>
      </c>
      <c r="EB629">
        <v>0</v>
      </c>
      <c r="EC629" s="143">
        <v>1</v>
      </c>
      <c r="ED629" s="143">
        <v>0</v>
      </c>
      <c r="EE629">
        <v>0</v>
      </c>
      <c r="EF629">
        <v>0</v>
      </c>
      <c r="EG629" s="143">
        <v>0</v>
      </c>
      <c r="EH629" s="143">
        <v>0</v>
      </c>
      <c r="EI629" s="2">
        <v>0</v>
      </c>
      <c r="EK629" t="str">
        <f>IF(AND(AND(AND(OR($DX629=1,$DW629=1),OR($EC629=1,$EA629=1)),SUM($DV629:$DZ629,$EF629)&gt;=4),SUM($EA629:$EE629)&gt;=2),"Whole sector","")</f>
        <v/>
      </c>
      <c r="EL629" t="str">
        <f>IF(AND(AND(OR($DX629=1,$DW629=1),AND($EC629=0,$EA629=0)),SUM($DV629:$DZ629,$EF629)&gt;=4),"Ecosystem approach","")</f>
        <v/>
      </c>
      <c r="EM629" s="2" t="str">
        <f>IF(AND(AND(AND($DX629=0,$DW629=0),OR($EC629=1,$EA629=1)),SUM($EB629:$EE629)&gt;=2),"Technology approach","")</f>
        <v/>
      </c>
      <c r="EN629" t="s">
        <v>445</v>
      </c>
      <c r="EP629" t="str">
        <f>IF(ISNUMBER(BU629),IF(ABS(BU629-[4]QC_indicators!$B$2)&gt;3*[4]QC_indicators!$C$2,"C ratio",IF(ISNUMBER(BY629),IF(ABS(BY629-[4]QC_indicators!$B$1)&gt;3*[4]QC_indicators!$C$1,"DF","no"))),IF(ISNUMBER(BY629),IF(ABS(BY629-[4]QC_indicators!$B$1)&gt;3*[4]QC_indicators!$C$1,"DF","no")))</f>
        <v>no</v>
      </c>
      <c r="ET629" s="264" t="s">
        <v>3273</v>
      </c>
    </row>
    <row r="630" spans="1:150" ht="15" customHeight="1">
      <c r="A630" s="1" t="s">
        <v>265</v>
      </c>
      <c r="B630" t="s">
        <v>1531</v>
      </c>
      <c r="C630" t="s">
        <v>1532</v>
      </c>
      <c r="D630" t="s">
        <v>1533</v>
      </c>
      <c r="E630" t="s">
        <v>1534</v>
      </c>
      <c r="F630" t="s">
        <v>1535</v>
      </c>
      <c r="G630" t="s">
        <v>271</v>
      </c>
      <c r="H630" t="s">
        <v>254</v>
      </c>
      <c r="I630">
        <v>2019</v>
      </c>
      <c r="J630">
        <v>26</v>
      </c>
      <c r="K630" t="s">
        <v>1536</v>
      </c>
      <c r="M630" t="str">
        <f>LEFT($D630,FIND(",",$D630)-1)&amp;"_"&amp;I630&amp;L630</f>
        <v>Faraca_2019</v>
      </c>
      <c r="N630" t="s">
        <v>222</v>
      </c>
      <c r="O630" s="145" t="s">
        <v>274</v>
      </c>
      <c r="P630" s="180" t="s">
        <v>223</v>
      </c>
      <c r="Q630" t="s">
        <v>256</v>
      </c>
      <c r="R630" s="262" t="s">
        <v>223</v>
      </c>
      <c r="S630" s="1" t="s">
        <v>1546</v>
      </c>
      <c r="T630" t="s">
        <v>969</v>
      </c>
      <c r="U630" t="s">
        <v>1547</v>
      </c>
      <c r="V630">
        <v>0</v>
      </c>
      <c r="W630">
        <v>0</v>
      </c>
      <c r="X630">
        <v>0</v>
      </c>
      <c r="Y630">
        <v>0</v>
      </c>
      <c r="Z630">
        <v>0</v>
      </c>
      <c r="AA630">
        <v>0</v>
      </c>
      <c r="AB630">
        <v>0</v>
      </c>
      <c r="AC630">
        <v>0</v>
      </c>
      <c r="AD630">
        <v>0</v>
      </c>
      <c r="AE630">
        <v>0</v>
      </c>
      <c r="AF630">
        <v>0</v>
      </c>
      <c r="AG630">
        <v>1</v>
      </c>
      <c r="AH630">
        <v>0</v>
      </c>
      <c r="AI630">
        <v>0</v>
      </c>
      <c r="AJ630">
        <v>0</v>
      </c>
      <c r="AK630">
        <v>0</v>
      </c>
      <c r="AL630">
        <v>0</v>
      </c>
      <c r="AM630">
        <v>0</v>
      </c>
      <c r="AN630">
        <v>0</v>
      </c>
      <c r="AO630">
        <v>0</v>
      </c>
      <c r="AP630">
        <v>0</v>
      </c>
      <c r="AQ630">
        <v>0</v>
      </c>
      <c r="AR630">
        <v>0</v>
      </c>
      <c r="AS630">
        <v>0</v>
      </c>
      <c r="AT630">
        <v>0</v>
      </c>
      <c r="AU630">
        <v>0</v>
      </c>
      <c r="AV630">
        <v>0</v>
      </c>
      <c r="AW630">
        <v>0</v>
      </c>
      <c r="AX630" s="141">
        <f>COUNTIF(V630:AW630,"&lt;&gt;0")</f>
        <v>1</v>
      </c>
      <c r="AY630" s="141">
        <f>COUNTIF(V630:AL630,"&lt;&gt;0")</f>
        <v>1</v>
      </c>
      <c r="AZ630">
        <f>COUNTIF(V630:AC630,"&lt;&gt;0")</f>
        <v>0</v>
      </c>
      <c r="BA630">
        <f>COUNTIF(AD630:AI630,"&lt;&gt;0")</f>
        <v>1</v>
      </c>
      <c r="BB630">
        <f>COUNTIF(AJ630:AL630,"&lt;&gt;0")</f>
        <v>0</v>
      </c>
      <c r="BC630">
        <f>COUNTIF(AS630:AW630,"&lt;&gt;0")</f>
        <v>0</v>
      </c>
      <c r="BD630">
        <f>COUNTIF(AM630:AR630,"&lt;&gt;0")</f>
        <v>0</v>
      </c>
      <c r="BE630" t="str">
        <f t="array" ref="BE630">IF(AY630=1,INDEX($V$7:$AL$7,MATCH(TRUE,INDEX($V630:$AW630&lt;&gt;0,),0)),IF(AY630=0,INDEX($AM$7:$AW$7,MATCH(1,$AM630:$AW630,0)),IF(BF630="Multiple strategies","mixed drivers",IF(BF630="Supply chain","multiple supply","multiple silviculture"))))</f>
        <v>recycling</v>
      </c>
      <c r="BF630" s="2" t="str" cm="1">
        <f t="array" ref="BF630">IF(COUNTIF(AZ630:BB630,"&lt;&gt;0")=1,INDEX($V$4:$AW$4,MATCH(TRUE,INDEX($V630:$AW630&lt;&gt;0,),0)),IF(COUNTIF(AZ630:BB630,"&lt;&gt;0")=0,INDEX($AM$4:$AW$4,MATCH(1,$AM630:$AW630,0)),"Multiple strategies"))</f>
        <v>Supply chain</v>
      </c>
      <c r="BG630" s="1" t="s">
        <v>229</v>
      </c>
      <c r="BH630" t="s">
        <v>1548</v>
      </c>
      <c r="BI630" s="264" t="s">
        <v>3121</v>
      </c>
      <c r="BJ630" t="s">
        <v>345</v>
      </c>
      <c r="BK630">
        <v>636</v>
      </c>
      <c r="BL630">
        <f>638+378+212+115</f>
        <v>1343</v>
      </c>
      <c r="BM630">
        <v>2.108490566037736</v>
      </c>
      <c r="BN630">
        <f>BL630-BK630</f>
        <v>707</v>
      </c>
      <c r="BO630">
        <f>BN630*kg_to_m3</f>
        <v>1.4428571428571431</v>
      </c>
      <c r="BP630" s="264" t="s">
        <v>395</v>
      </c>
      <c r="BR630" t="s">
        <v>728</v>
      </c>
      <c r="BS630">
        <v>-548.29999999999995</v>
      </c>
      <c r="BT630">
        <v>-779.3</v>
      </c>
      <c r="BU630" s="144">
        <v>1.5227272727272727</v>
      </c>
      <c r="BV630">
        <f>BT630-BS630</f>
        <v>-231</v>
      </c>
      <c r="BX630">
        <f>BV630/1000</f>
        <v>-0.23100000000000001</v>
      </c>
      <c r="BY630">
        <f>IFERROR(BX630/BO630,"")</f>
        <v>-0.16009900990099007</v>
      </c>
      <c r="BZ630">
        <v>0</v>
      </c>
      <c r="CA630">
        <v>0</v>
      </c>
      <c r="CB630">
        <v>0</v>
      </c>
      <c r="CC630">
        <v>0</v>
      </c>
      <c r="CD630">
        <v>0</v>
      </c>
      <c r="CE630">
        <v>0</v>
      </c>
      <c r="CF630">
        <v>0</v>
      </c>
      <c r="CG630">
        <v>0</v>
      </c>
      <c r="CH630">
        <v>0</v>
      </c>
      <c r="CI630">
        <v>0</v>
      </c>
      <c r="CJ630">
        <v>0</v>
      </c>
      <c r="CK630">
        <v>0</v>
      </c>
      <c r="CL630">
        <v>0</v>
      </c>
      <c r="CM630">
        <v>0</v>
      </c>
      <c r="CN630" t="str">
        <f>IF($BL630&lt;$BK630,"refNeedCorrection","refOK")</f>
        <v>refOK</v>
      </c>
      <c r="CO630">
        <f>IF($CN630="refNeedCorrection",BL630,BK630)</f>
        <v>636</v>
      </c>
      <c r="CP630">
        <f>IF($CN630="refNeedCorrection",BK630,BL630)</f>
        <v>1343</v>
      </c>
      <c r="CQ630">
        <f>IF($CN630="refOK",$BO630,-$BO630)</f>
        <v>1.4428571428571431</v>
      </c>
      <c r="CR630">
        <f>IF($CN630="refOK",$BS630,$BT630)*IF($BP630="Emissions positive",-1,1)</f>
        <v>548.29999999999995</v>
      </c>
      <c r="CS630">
        <f>IF($CN630="refOK",$BT630,$BS630)*IF($BP630="Emissions positive",-1,1)</f>
        <v>779.3</v>
      </c>
      <c r="CT630">
        <f>IF($CN630="refNeedCorrection",-BX630,BX630)*IF($BP630="Emissions positive",-1,1)</f>
        <v>0.23100000000000001</v>
      </c>
      <c r="CU630">
        <f>IFERROR(CT630/CQ630,"")</f>
        <v>0.16009900990099007</v>
      </c>
      <c r="CV630" s="2">
        <f>IFERROR((CS630-CR630)/ABS(CR630),"")</f>
        <v>0.42130220682108338</v>
      </c>
      <c r="CW630" s="1" t="s">
        <v>1199</v>
      </c>
      <c r="CX630" t="str">
        <f>IF(OR($CW630="prd",$CW630="std",$CW630="cit"),"loc",IF(OR($CW630="eur",$CW630="reg",$CW630="coy"),"reg",$CW630))</f>
        <v>reg</v>
      </c>
      <c r="CY630" t="s">
        <v>1540</v>
      </c>
      <c r="DB630">
        <v>100</v>
      </c>
      <c r="DC630" t="str">
        <f>IF(DB630=0,"0",IF(AND(DB630&gt;=1,DB630&lt;=30),"1-30",IF(AND(DB630&gt;30,DB630&lt;=70),"31-70",IF(AND(DB630&gt;70,DB630&lt;=100),"71-100",IF(DB630&gt;100,"+100")))))</f>
        <v>71-100</v>
      </c>
      <c r="DD630">
        <v>0</v>
      </c>
      <c r="DE630">
        <v>0</v>
      </c>
      <c r="DF630">
        <v>0</v>
      </c>
      <c r="DG630">
        <v>1</v>
      </c>
      <c r="DI630">
        <f>SUM(DD630:DG630)</f>
        <v>1</v>
      </c>
      <c r="DJ630" t="str">
        <f>IF(DI630=1,INDEX($DD$7:$DG$7,MATCH(1,$DD630:$DG630,0)),"mixedProduct")</f>
        <v>TimberInput</v>
      </c>
      <c r="DK630">
        <f>IF(DD630=1,DK$7,0)</f>
        <v>0</v>
      </c>
      <c r="DL630">
        <f>IF(DE630=1,DL$7,0)</f>
        <v>0</v>
      </c>
      <c r="DM630">
        <f>IF(DF630=1,DM$7,0)</f>
        <v>0</v>
      </c>
      <c r="DN630" t="str">
        <f>IF(DG630=1,DN$7,0)</f>
        <v>Timber</v>
      </c>
      <c r="DO630">
        <v>0</v>
      </c>
      <c r="DP630">
        <v>1</v>
      </c>
      <c r="DQ630">
        <v>0</v>
      </c>
      <c r="DR630">
        <v>0</v>
      </c>
      <c r="DS630" t="s">
        <v>1541</v>
      </c>
      <c r="DT630">
        <f>SUM(DO630:DP630)</f>
        <v>1</v>
      </c>
      <c r="DU630" s="143" t="str">
        <f>IF(DO630=1,"self-calculated DF",IF(DP630=1,"external DF used","explicit C balance"))</f>
        <v>external DF used</v>
      </c>
      <c r="DV630">
        <v>0</v>
      </c>
      <c r="DW630">
        <v>0</v>
      </c>
      <c r="DX630">
        <v>0</v>
      </c>
      <c r="DY630">
        <v>0</v>
      </c>
      <c r="DZ630">
        <v>1</v>
      </c>
      <c r="EA630" s="143">
        <v>1</v>
      </c>
      <c r="EB630">
        <v>0</v>
      </c>
      <c r="EC630">
        <v>1</v>
      </c>
      <c r="ED630">
        <v>0</v>
      </c>
      <c r="EE630">
        <v>1</v>
      </c>
      <c r="EF630">
        <v>1</v>
      </c>
      <c r="EG630">
        <v>1</v>
      </c>
      <c r="EH630">
        <v>1</v>
      </c>
      <c r="EI630" s="2">
        <v>0</v>
      </c>
      <c r="EK630" t="str">
        <f>IF(AND(AND(AND(OR($DX630=1,$DW630=1),OR($EC630=1,$EA630=1)),SUM($DV630:$DZ630,$EF630)&gt;=4),SUM($EA630:$EE630)&gt;=2),"Whole sector","")</f>
        <v/>
      </c>
      <c r="EL630" t="str">
        <f>IF(AND(AND(OR($DX630=1,$DW630=1),AND($EC630=0,$EA630=0)),SUM($DV630:$DZ630,$EF630)&gt;=4),"Ecosystem approach","")</f>
        <v/>
      </c>
      <c r="EM630" s="2" t="str">
        <f>IF(AND(AND(AND($DX630=0,$DW630=0),OR($EC630=1,$EA630=1)),SUM($EB630:$EE630)&gt;=2),"Technology approach","")</f>
        <v>Technology approach</v>
      </c>
      <c r="EP630" t="str">
        <f>IF(ISNUMBER(BU630),IF(ABS(BU630-[1]QC_indicators!$B$2)&gt;3*[1]QC_indicators!$C$2,"C ratio",IF(ISNUMBER(BY630),IF(ABS(BY630-[1]QC_indicators!$B$1)&gt;3*[1]QC_indicators!$C$1,"DF","no"))),IF(ISNUMBER(BY630),IF(ABS(BY630-[1]QC_indicators!$B$1)&gt;3*[1]QC_indicators!$C$1,"DF","no")))</f>
        <v>no</v>
      </c>
      <c r="ET630" s="264" t="s">
        <v>3273</v>
      </c>
    </row>
    <row r="631" spans="1:150" ht="15" customHeight="1">
      <c r="A631" s="1" t="s">
        <v>333</v>
      </c>
      <c r="B631" t="s">
        <v>945</v>
      </c>
      <c r="C631" t="s">
        <v>946</v>
      </c>
      <c r="D631" t="s">
        <v>947</v>
      </c>
      <c r="E631" t="s">
        <v>948</v>
      </c>
      <c r="F631" t="s">
        <v>949</v>
      </c>
      <c r="G631" t="s">
        <v>339</v>
      </c>
      <c r="H631" t="s">
        <v>254</v>
      </c>
      <c r="I631">
        <v>2021</v>
      </c>
      <c r="J631">
        <v>0</v>
      </c>
      <c r="K631" t="s">
        <v>950</v>
      </c>
      <c r="M631" t="str">
        <f>LEFT($D631,FIND(",",$D631)-1)&amp;"_"&amp;I631&amp;L631</f>
        <v>Morris_2021</v>
      </c>
      <c r="N631" t="s">
        <v>222</v>
      </c>
      <c r="O631" t="s">
        <v>223</v>
      </c>
      <c r="Q631" t="s">
        <v>256</v>
      </c>
      <c r="R631" s="255" t="s">
        <v>225</v>
      </c>
      <c r="S631" s="1" t="s">
        <v>956</v>
      </c>
      <c r="T631" t="s">
        <v>795</v>
      </c>
      <c r="U631" t="s">
        <v>957</v>
      </c>
      <c r="V631">
        <v>0</v>
      </c>
      <c r="W631">
        <v>0</v>
      </c>
      <c r="X631">
        <v>0</v>
      </c>
      <c r="Y631">
        <v>0</v>
      </c>
      <c r="Z631">
        <v>0</v>
      </c>
      <c r="AA631">
        <v>0</v>
      </c>
      <c r="AB631">
        <v>0</v>
      </c>
      <c r="AC631">
        <v>0</v>
      </c>
      <c r="AD631">
        <v>0</v>
      </c>
      <c r="AE631">
        <v>0</v>
      </c>
      <c r="AF631">
        <v>0</v>
      </c>
      <c r="AG631">
        <v>0</v>
      </c>
      <c r="AH631">
        <v>0</v>
      </c>
      <c r="AI631">
        <v>0</v>
      </c>
      <c r="AJ631">
        <v>0</v>
      </c>
      <c r="AK631">
        <v>1</v>
      </c>
      <c r="AL631">
        <v>0</v>
      </c>
      <c r="AM631">
        <v>0</v>
      </c>
      <c r="AN631">
        <v>0</v>
      </c>
      <c r="AO631">
        <v>0</v>
      </c>
      <c r="AP631">
        <v>0</v>
      </c>
      <c r="AQ631">
        <v>0</v>
      </c>
      <c r="AR631">
        <v>0</v>
      </c>
      <c r="AS631">
        <v>0</v>
      </c>
      <c r="AT631">
        <v>0</v>
      </c>
      <c r="AU631">
        <v>0</v>
      </c>
      <c r="AV631">
        <v>0</v>
      </c>
      <c r="AW631">
        <v>0</v>
      </c>
      <c r="AX631" s="141">
        <f>COUNTIF(V631:AW631,"&lt;&gt;0")</f>
        <v>1</v>
      </c>
      <c r="AY631" s="141">
        <f>COUNTIF(V631:AL631,"&lt;&gt;0")</f>
        <v>1</v>
      </c>
      <c r="AZ631">
        <f>COUNTIF(V631:AC631,"&lt;&gt;0")</f>
        <v>0</v>
      </c>
      <c r="BA631">
        <f>COUNTIF(AD631:AI631,"&lt;&gt;0")</f>
        <v>0</v>
      </c>
      <c r="BB631">
        <f>COUNTIF(AJ631:AL631,"&lt;&gt;0")</f>
        <v>1</v>
      </c>
      <c r="BC631">
        <f>COUNTIF(AS631:AW631,"&lt;&gt;0")</f>
        <v>0</v>
      </c>
      <c r="BD631">
        <f>COUNTIF(AM631:AR631,"&lt;&gt;0")</f>
        <v>0</v>
      </c>
      <c r="BE631" t="str">
        <f t="array" ref="BE631">IF(AY631=1,INDEX($V$7:$AL$7,MATCH(TRUE,INDEX($V631:$AW631&lt;&gt;0,),0)),IF(AY631=0,INDEX($AM$7:$AW$7,MATCH(1,$AM631:$AW631,0)),IF(BF631="Multiple strategies","mixed drivers",IF(BF631="Supply chain","multiple supply","multiple silviculture"))))</f>
        <v>technologies/design switch</v>
      </c>
      <c r="BF631" s="2" t="str" cm="1">
        <f t="array" ref="BF631">IF(COUNTIF(AZ631:BB631,"&lt;&gt;0")=1,INDEX($V$4:$AW$4,MATCH(TRUE,INDEX($V631:$AW631&lt;&gt;0,),0)),IF(COUNTIF(AZ631:BB631,"&lt;&gt;0")=0,INDEX($AM$4:$AW$4,MATCH(1,$AM631:$AW631,0)),"Multiple strategies"))</f>
        <v>Technology</v>
      </c>
      <c r="BG631" s="1" t="s">
        <v>229</v>
      </c>
      <c r="BH631" t="s">
        <v>954</v>
      </c>
      <c r="BI631" s="260" t="s">
        <v>3373</v>
      </c>
      <c r="BJ631" t="s">
        <v>345</v>
      </c>
      <c r="BK631">
        <v>0</v>
      </c>
      <c r="BL631">
        <v>116.6</v>
      </c>
      <c r="BN631">
        <f>BL631-BK631</f>
        <v>116.6</v>
      </c>
      <c r="BO631">
        <f>BN631*kg_to_m3</f>
        <v>0.23795918367346941</v>
      </c>
      <c r="BP631" t="s">
        <v>232</v>
      </c>
      <c r="BQ631" s="260" t="s">
        <v>3378</v>
      </c>
      <c r="BR631" t="s">
        <v>955</v>
      </c>
      <c r="BS631">
        <v>-141.19999999999999</v>
      </c>
      <c r="BT631">
        <v>-103.1</v>
      </c>
      <c r="BU631" s="144">
        <f>IFERROR(BT631/BS631,"")</f>
        <v>0.73016997167138808</v>
      </c>
      <c r="BV631">
        <f>BT631-BS631</f>
        <v>38.099999999999994</v>
      </c>
      <c r="BX631">
        <f>BV631/1000</f>
        <v>3.8099999999999995E-2</v>
      </c>
      <c r="BY631">
        <f>IFERROR(BX631/BO631,"")</f>
        <v>0.16011149228130356</v>
      </c>
      <c r="BZ631">
        <v>1</v>
      </c>
      <c r="CA631">
        <v>0</v>
      </c>
      <c r="CB631">
        <v>0</v>
      </c>
      <c r="CC631">
        <v>0</v>
      </c>
      <c r="CD631">
        <v>0</v>
      </c>
      <c r="CE631">
        <v>1</v>
      </c>
      <c r="CF631">
        <v>0</v>
      </c>
      <c r="CG631">
        <v>1</v>
      </c>
      <c r="CH631">
        <v>0</v>
      </c>
      <c r="CI631">
        <v>0</v>
      </c>
      <c r="CJ631">
        <v>0</v>
      </c>
      <c r="CK631">
        <v>0</v>
      </c>
      <c r="CL631">
        <v>0</v>
      </c>
      <c r="CM631">
        <v>0</v>
      </c>
      <c r="CN631" t="str">
        <f>IF($BL631&lt;$BK631,"refNeedCorrection","refOK")</f>
        <v>refOK</v>
      </c>
      <c r="CO631">
        <f>IF($CN631="refOK",$BK631,$BL631)</f>
        <v>0</v>
      </c>
      <c r="CP631">
        <f>IF($CN631="refOK",$BL631,$BK631)</f>
        <v>116.6</v>
      </c>
      <c r="CQ631">
        <f>IF($CN631="refOK",$BO631,-$BO631)</f>
        <v>0.23795918367346941</v>
      </c>
      <c r="CR631">
        <f>IF($CN631="refOK",$BS631,$BT631)*IF($BP631="Emissions positive",-1,1)</f>
        <v>-141.19999999999999</v>
      </c>
      <c r="CS631">
        <f>IF($CN631="refOK",$BT631,$BS631)*IF($BP631="Emissions positive",-1,1)</f>
        <v>-103.1</v>
      </c>
      <c r="CT631">
        <f>IF($CN631="refNeedCorrection",-BX631,BX631)*IF($BP631="Emissions positive",-1,1)</f>
        <v>3.8099999999999995E-2</v>
      </c>
      <c r="CU631">
        <f>IFERROR(CT631/CQ631,"")</f>
        <v>0.16011149228130356</v>
      </c>
      <c r="CV631" s="2">
        <f>IFERROR((CS631-CR631)/ABS(CR631),"")</f>
        <v>0.26983002832861186</v>
      </c>
      <c r="CW631" s="1" t="s">
        <v>263</v>
      </c>
      <c r="CX631" t="str">
        <f>IF(OR($CW631="prd",$CW631="std",$CW631="cit"),"loc",IF(OR($CW631="eur",$CW631="reg",$CW631="coy"),"reg",$CW631))</f>
        <v>loc</v>
      </c>
      <c r="CY631" s="309" t="s">
        <v>3423</v>
      </c>
      <c r="DB631">
        <v>0</v>
      </c>
      <c r="DC631" t="str">
        <f>IF(DB631=0,"0",IF(AND(DB631&gt;=1,DB631&lt;=30),"1-30",IF(AND(DB631&gt;30,DB631&lt;=70),"31-70",IF(AND(DB631&gt;70,DB631&lt;=100),"71-100",IF(DB631&gt;100,"+100")))))</f>
        <v>0</v>
      </c>
      <c r="DD631">
        <v>0</v>
      </c>
      <c r="DE631">
        <v>0</v>
      </c>
      <c r="DF631">
        <v>0</v>
      </c>
      <c r="DG631">
        <v>1</v>
      </c>
      <c r="DI631">
        <f>SUM(DD631:DG631)</f>
        <v>1</v>
      </c>
      <c r="DJ631" t="str">
        <f>IF(DI631=1,INDEX($DD$7:$DG$7,MATCH(1,$DD631:$DG631,0)),"mixedProduct")</f>
        <v>TimberInput</v>
      </c>
      <c r="DK631">
        <f>IF(DD631=1,DK$7,0)</f>
        <v>0</v>
      </c>
      <c r="DL631">
        <f>IF(DE631=1,DL$7,0)</f>
        <v>0</v>
      </c>
      <c r="DM631">
        <f>IF(DF631=1,DM$7,0)</f>
        <v>0</v>
      </c>
      <c r="DN631" t="str">
        <f>IF(DG631=1,DN$7,0)</f>
        <v>Timber</v>
      </c>
      <c r="DO631">
        <v>0</v>
      </c>
      <c r="DP631">
        <v>1</v>
      </c>
      <c r="DQ631">
        <v>0</v>
      </c>
      <c r="DR631">
        <v>0</v>
      </c>
      <c r="DS631">
        <v>0</v>
      </c>
      <c r="DT631">
        <f>SUM(DO631:DP631)</f>
        <v>1</v>
      </c>
      <c r="DU631" s="143" t="str">
        <f>IF(DO631=1,"self-calculated DF",IF(DP631=1,"external DF used","explicit C balance"))</f>
        <v>external DF used</v>
      </c>
      <c r="DV631">
        <v>0</v>
      </c>
      <c r="DW631">
        <v>0</v>
      </c>
      <c r="DX631">
        <v>0</v>
      </c>
      <c r="DY631">
        <v>1</v>
      </c>
      <c r="DZ631">
        <v>0</v>
      </c>
      <c r="EA631" s="143">
        <v>1</v>
      </c>
      <c r="EB631">
        <v>1</v>
      </c>
      <c r="EC631">
        <v>1</v>
      </c>
      <c r="ED631">
        <v>0</v>
      </c>
      <c r="EE631">
        <v>1</v>
      </c>
      <c r="EF631">
        <v>0</v>
      </c>
      <c r="EG631">
        <v>0</v>
      </c>
      <c r="EH631">
        <v>0</v>
      </c>
      <c r="EI631" s="2">
        <v>0</v>
      </c>
      <c r="EK631" t="str">
        <f>IF(AND(AND(AND(OR($DX631=1,$DW631=1),OR($EC631=1,$EA631=1)),SUM($DV631:$DZ631,$EF631)&gt;=4),SUM($EA631:$EE631)&gt;=2),"Whole sector","")</f>
        <v/>
      </c>
      <c r="EL631" t="str">
        <f>IF(AND(AND(OR($DX631=1,$DW631=1),AND($EC631=0,$EA631=0)),SUM($DV631:$DZ631,$EF631)&gt;=4),"Ecosystem approach","")</f>
        <v/>
      </c>
      <c r="EM631" s="2" t="str">
        <f>IF(AND(AND(AND($DX631=0,$DW631=0),OR($EC631=1,$EA631=1)),SUM($EB631:$EE631)&gt;=2),"Technology approach","")</f>
        <v>Technology approach</v>
      </c>
      <c r="EP631" t="str">
        <f>IF(ISNUMBER(BU631),IF(ABS(BU631-[4]QC_indicators!$B$2)&gt;3*[4]QC_indicators!$C$2,"C ratio",IF(ISNUMBER(BY631),IF(ABS(BY631-[4]QC_indicators!$B$1)&gt;3*[4]QC_indicators!$C$1,"DF","no"))),IF(ISNUMBER(BY631),IF(ABS(BY631-[4]QC_indicators!$B$1)&gt;3*[4]QC_indicators!$C$1,"DF","no")))</f>
        <v>no</v>
      </c>
      <c r="ER631" t="s">
        <v>958</v>
      </c>
      <c r="ET631" s="264" t="s">
        <v>3273</v>
      </c>
    </row>
    <row r="632" spans="1:150" ht="15" customHeight="1">
      <c r="A632" s="1" t="s">
        <v>1168</v>
      </c>
      <c r="B632" t="s">
        <v>1169</v>
      </c>
      <c r="C632" t="s">
        <v>1170</v>
      </c>
      <c r="D632" t="s">
        <v>1171</v>
      </c>
      <c r="E632" t="s">
        <v>1172</v>
      </c>
      <c r="F632" t="s">
        <v>1173</v>
      </c>
      <c r="G632" t="s">
        <v>1174</v>
      </c>
      <c r="H632" t="s">
        <v>254</v>
      </c>
      <c r="I632">
        <v>2010</v>
      </c>
      <c r="J632">
        <v>51</v>
      </c>
      <c r="K632" t="s">
        <v>1175</v>
      </c>
      <c r="M632" t="str">
        <f>LEFT($D632,FIND(",",$D632)-1)&amp;"_"&amp;I632&amp;L632</f>
        <v>Vukotic_2010</v>
      </c>
      <c r="N632" t="s">
        <v>222</v>
      </c>
      <c r="O632" s="145" t="s">
        <v>1154</v>
      </c>
      <c r="Q632" t="s">
        <v>256</v>
      </c>
      <c r="R632" s="269" t="s">
        <v>274</v>
      </c>
      <c r="S632" s="1" t="s">
        <v>1176</v>
      </c>
      <c r="T632" t="s">
        <v>1177</v>
      </c>
      <c r="U632" t="s">
        <v>1182</v>
      </c>
      <c r="V632">
        <v>0</v>
      </c>
      <c r="W632">
        <v>0</v>
      </c>
      <c r="X632">
        <v>0</v>
      </c>
      <c r="Y632">
        <v>0</v>
      </c>
      <c r="Z632">
        <v>0</v>
      </c>
      <c r="AA632">
        <v>0</v>
      </c>
      <c r="AB632">
        <v>0</v>
      </c>
      <c r="AC632">
        <v>0</v>
      </c>
      <c r="AD632">
        <v>0</v>
      </c>
      <c r="AE632">
        <v>0</v>
      </c>
      <c r="AF632">
        <v>0</v>
      </c>
      <c r="AG632">
        <v>0</v>
      </c>
      <c r="AH632">
        <v>0</v>
      </c>
      <c r="AI632">
        <v>0</v>
      </c>
      <c r="AJ632">
        <v>0</v>
      </c>
      <c r="AK632">
        <v>1</v>
      </c>
      <c r="AL632">
        <v>0</v>
      </c>
      <c r="AM632">
        <v>0</v>
      </c>
      <c r="AN632">
        <v>0</v>
      </c>
      <c r="AO632">
        <v>0</v>
      </c>
      <c r="AP632">
        <v>0</v>
      </c>
      <c r="AQ632">
        <v>0</v>
      </c>
      <c r="AR632">
        <v>0</v>
      </c>
      <c r="AS632">
        <v>0</v>
      </c>
      <c r="AT632">
        <v>0</v>
      </c>
      <c r="AU632">
        <v>0</v>
      </c>
      <c r="AV632">
        <v>0</v>
      </c>
      <c r="AW632">
        <v>0</v>
      </c>
      <c r="AX632" s="141">
        <f>COUNTIF(V632:AW632,"&lt;&gt;0")</f>
        <v>1</v>
      </c>
      <c r="AY632" s="141">
        <f>COUNTIF(V632:AL632,"&lt;&gt;0")</f>
        <v>1</v>
      </c>
      <c r="AZ632">
        <f>COUNTIF(V632:AC632,"&lt;&gt;0")</f>
        <v>0</v>
      </c>
      <c r="BA632">
        <f>COUNTIF(AD632:AI632,"&lt;&gt;0")</f>
        <v>0</v>
      </c>
      <c r="BB632">
        <f>COUNTIF(AJ632:AL632,"&lt;&gt;0")</f>
        <v>1</v>
      </c>
      <c r="BC632">
        <f>COUNTIF(AS632:AW632,"&lt;&gt;0")</f>
        <v>0</v>
      </c>
      <c r="BD632">
        <f>COUNTIF(AM632:AR632,"&lt;&gt;0")</f>
        <v>0</v>
      </c>
      <c r="BE632" t="str">
        <f t="array" ref="BE632">IF(AY632=1,INDEX($V$7:$AL$7,MATCH(TRUE,INDEX($V632:$AW632&lt;&gt;0,),0)),IF(AY632=0,INDEX($AM$7:$AW$7,MATCH(1,$AM632:$AW632,0)),IF(BF632="Multiple strategies","mixed drivers",IF(BF632="Supply chain","multiple supply","multiple silviculture"))))</f>
        <v>technologies/design switch</v>
      </c>
      <c r="BF632" s="2" t="str" cm="1">
        <f t="array" ref="BF632">IF(COUNTIF(AZ632:BB632,"&lt;&gt;0")=1,INDEX($V$4:$AW$4,MATCH(TRUE,INDEX($V632:$AW632&lt;&gt;0,),0)),IF(COUNTIF(AZ632:BB632,"&lt;&gt;0")=0,INDEX($AM$4:$AW$4,MATCH(1,$AM632:$AW632,0)),"Multiple strategies"))</f>
        <v>Technology</v>
      </c>
      <c r="BG632" s="1" t="s">
        <v>229</v>
      </c>
      <c r="BH632" t="s">
        <v>1179</v>
      </c>
      <c r="BJ632" t="s">
        <v>1180</v>
      </c>
      <c r="BK632">
        <v>0</v>
      </c>
      <c r="BL632">
        <v>0.27407407407407408</v>
      </c>
      <c r="BM632" s="143" t="e">
        <f>BL632/BK632</f>
        <v>#DIV/0!</v>
      </c>
      <c r="BN632">
        <f>BL632-BK632</f>
        <v>0.27407407407407408</v>
      </c>
      <c r="BO632">
        <f>BN632*t_to_m3</f>
        <v>0.55933484504913078</v>
      </c>
      <c r="BP632" t="s">
        <v>232</v>
      </c>
      <c r="BR632" t="s">
        <v>1181</v>
      </c>
      <c r="BS632">
        <v>-218.80999999999995</v>
      </c>
      <c r="BT632">
        <v>-128.52999999999997</v>
      </c>
      <c r="BU632" s="144">
        <f>IFERROR(BT632/BS632,"")</f>
        <v>0.58740459759608799</v>
      </c>
      <c r="BV632" s="144">
        <f>BT632-BS632</f>
        <v>90.279999999999973</v>
      </c>
      <c r="BW632" s="144"/>
      <c r="BX632" s="144">
        <f>BV632*0.001</f>
        <v>9.0279999999999971E-2</v>
      </c>
      <c r="BY632">
        <f>IFERROR(BX632/BO632,"")</f>
        <v>0.16140599999999994</v>
      </c>
      <c r="BZ632">
        <v>0</v>
      </c>
      <c r="CA632">
        <v>0</v>
      </c>
      <c r="CB632">
        <v>0</v>
      </c>
      <c r="CC632">
        <v>0</v>
      </c>
      <c r="CD632">
        <v>0</v>
      </c>
      <c r="CE632">
        <v>0</v>
      </c>
      <c r="CF632">
        <v>0</v>
      </c>
      <c r="CG632">
        <v>0</v>
      </c>
      <c r="CH632">
        <v>0</v>
      </c>
      <c r="CI632">
        <v>0</v>
      </c>
      <c r="CJ632">
        <v>0</v>
      </c>
      <c r="CK632">
        <v>0</v>
      </c>
      <c r="CL632">
        <v>0</v>
      </c>
      <c r="CM632">
        <v>0</v>
      </c>
      <c r="CN632" t="str">
        <f>IF($BL632&lt;$BK632,"refNeedCorrection","refOK")</f>
        <v>refOK</v>
      </c>
      <c r="CO632">
        <f>IF($CN632="refOK",$BK632,$BL632)</f>
        <v>0</v>
      </c>
      <c r="CP632">
        <f>IF($CN632="refOK",$BL632,$BK632)</f>
        <v>0.27407407407407408</v>
      </c>
      <c r="CQ632">
        <f>IF($CN632="refOK",$BO632,-$BO632)</f>
        <v>0.55933484504913078</v>
      </c>
      <c r="CR632">
        <f>IF($CN632="refOK",$BS632,$BT632)*IF($BP632="Emissions positive",-1,1)</f>
        <v>-218.80999999999995</v>
      </c>
      <c r="CS632">
        <f>IF($CN632="refOK",$BT632,$BS632)*IF($BP632="Emissions positive",-1,1)</f>
        <v>-128.52999999999997</v>
      </c>
      <c r="CT632">
        <f>IF($CN632="refNeedCorrection",-BX632,BX632)*IF($BP632="Emissions positive",-1,1)</f>
        <v>9.0279999999999971E-2</v>
      </c>
      <c r="CU632">
        <f>IFERROR(CT632/CQ632,"")</f>
        <v>0.16140599999999994</v>
      </c>
      <c r="CV632" s="2">
        <f>IFERROR((CS632-CR632)/ABS(CR632),"")</f>
        <v>0.41259540240391207</v>
      </c>
      <c r="CW632" s="1" t="s">
        <v>263</v>
      </c>
      <c r="CX632" t="str">
        <f>IF(OR($CW632="prd",$CW632="std",$CW632="cit"),"loc",IF(OR($CW632="eur",$CW632="reg",$CW632="coy"),"reg",$CW632))</f>
        <v>loc</v>
      </c>
      <c r="CY632" s="309" t="s">
        <v>3423</v>
      </c>
      <c r="DB632">
        <v>60</v>
      </c>
      <c r="DC632" t="str">
        <f>IF(DB632=0,"0",IF(AND(DB632&gt;=1,DB632&lt;=30),"1-30",IF(AND(DB632&gt;30,DB632&lt;=70),"31-70",IF(AND(DB632&gt;70,DB632&lt;=100),"71-100",IF(DB632&gt;100,"+100")))))</f>
        <v>31-70</v>
      </c>
      <c r="DD632">
        <v>0</v>
      </c>
      <c r="DE632">
        <v>0</v>
      </c>
      <c r="DF632">
        <v>0</v>
      </c>
      <c r="DG632">
        <v>1</v>
      </c>
      <c r="DI632">
        <f>SUM(DD632:DG632)</f>
        <v>1</v>
      </c>
      <c r="DJ632" t="str">
        <f>IF(DI632=1,INDEX($DD$7:$DG$7,MATCH(1,$DD632:$DG632,0)),"mixedProduct")</f>
        <v>TimberInput</v>
      </c>
      <c r="DK632">
        <f>IF(DD632=1,DK$7,0)</f>
        <v>0</v>
      </c>
      <c r="DL632">
        <f>IF(DE632=1,DL$7,0)</f>
        <v>0</v>
      </c>
      <c r="DM632">
        <f>IF(DF632=1,DM$7,0)</f>
        <v>0</v>
      </c>
      <c r="DN632" t="str">
        <f>IF(DG632=1,DN$7,0)</f>
        <v>Timber</v>
      </c>
      <c r="DO632">
        <v>1</v>
      </c>
      <c r="DP632">
        <v>0</v>
      </c>
      <c r="DQ632">
        <v>0</v>
      </c>
      <c r="DR632">
        <v>0</v>
      </c>
      <c r="DS632">
        <v>0</v>
      </c>
      <c r="DT632">
        <f>SUM(DO632:DP632)</f>
        <v>1</v>
      </c>
      <c r="DU632" s="143" t="str">
        <f>IF(DO632=1,"self-calculated DF",IF(DP632=1,"external DF used","explicit C balance"))</f>
        <v>self-calculated DF</v>
      </c>
      <c r="DV632">
        <v>0</v>
      </c>
      <c r="DW632">
        <v>0</v>
      </c>
      <c r="DX632">
        <v>0</v>
      </c>
      <c r="DY632">
        <v>0</v>
      </c>
      <c r="DZ632">
        <v>0</v>
      </c>
      <c r="EA632" s="143">
        <v>1</v>
      </c>
      <c r="EB632">
        <v>0</v>
      </c>
      <c r="EC632">
        <v>1</v>
      </c>
      <c r="ED632">
        <v>1</v>
      </c>
      <c r="EE632">
        <v>1</v>
      </c>
      <c r="EF632">
        <v>0</v>
      </c>
      <c r="EG632">
        <v>0</v>
      </c>
      <c r="EH632">
        <v>0</v>
      </c>
      <c r="EI632" s="2">
        <v>0</v>
      </c>
      <c r="EK632" t="str">
        <f>IF(AND(AND(AND(OR($DX632=1,$DW632=1),OR($EC632=1,$EA632=1)),SUM($DV632:$DZ632,$EF632)&gt;=4),SUM($EA632:$EE632)&gt;=2),"Whole sector","")</f>
        <v/>
      </c>
      <c r="EL632" t="str">
        <f>IF(AND(AND(OR($DX632=1,$DW632=1),AND($EC632=0,$EA632=0)),SUM($DV632:$DZ632,$EF632)&gt;=4),"Ecosystem approach","")</f>
        <v/>
      </c>
      <c r="EM632" s="2" t="str">
        <f>IF(AND(AND(AND($DX632=0,$DW632=0),OR($EC632=1,$EA632=1)),SUM($EB632:$EE632)&gt;=2),"Technology approach","")</f>
        <v>Technology approach</v>
      </c>
      <c r="EP632" t="str">
        <f>IF(ISNUMBER(BU632),IF(ABS(BU632-[2]QC_indicators!$B$2)&gt;3*[2]QC_indicators!$C$2,"C ratio",IF(ISNUMBER(BY632),IF(ABS(BY632-[2]QC_indicators!$B$1)&gt;3*[2]QC_indicators!$C$1,"DF","no"))),IF(ISNUMBER(BY632),IF(ABS(BY632-[2]QC_indicators!$B$1)&gt;3*[2]QC_indicators!$C$1,"DF","no")))</f>
        <v>no</v>
      </c>
      <c r="ET632" s="264" t="s">
        <v>3263</v>
      </c>
    </row>
    <row r="633" spans="1:150" ht="15" customHeight="1">
      <c r="A633" s="1" t="s">
        <v>398</v>
      </c>
      <c r="B633" t="s">
        <v>681</v>
      </c>
      <c r="C633" t="s">
        <v>682</v>
      </c>
      <c r="D633" t="s">
        <v>683</v>
      </c>
      <c r="E633" t="s">
        <v>684</v>
      </c>
      <c r="F633" t="s">
        <v>685</v>
      </c>
      <c r="G633" t="s">
        <v>404</v>
      </c>
      <c r="H633" t="s">
        <v>254</v>
      </c>
      <c r="I633">
        <v>2022</v>
      </c>
      <c r="J633">
        <v>1</v>
      </c>
      <c r="K633" t="s">
        <v>686</v>
      </c>
      <c r="M633" t="str">
        <f>LEFT($D633,FIND(",",$D633)-1)&amp;"_"&amp;I633&amp;L633</f>
        <v>Duan_2022</v>
      </c>
      <c r="N633" t="s">
        <v>222</v>
      </c>
      <c r="O633" s="145" t="s">
        <v>223</v>
      </c>
      <c r="Q633" t="s">
        <v>389</v>
      </c>
      <c r="R633" s="283" t="s">
        <v>225</v>
      </c>
      <c r="S633" s="1" t="s">
        <v>607</v>
      </c>
      <c r="T633" s="151" t="s">
        <v>810</v>
      </c>
      <c r="U633" t="s">
        <v>259</v>
      </c>
      <c r="V633">
        <v>0</v>
      </c>
      <c r="W633">
        <v>0</v>
      </c>
      <c r="X633">
        <v>0</v>
      </c>
      <c r="Y633">
        <v>0</v>
      </c>
      <c r="Z633">
        <v>0</v>
      </c>
      <c r="AA633">
        <v>0</v>
      </c>
      <c r="AB633">
        <v>0</v>
      </c>
      <c r="AC633">
        <v>0</v>
      </c>
      <c r="AD633">
        <v>0</v>
      </c>
      <c r="AE633">
        <v>0</v>
      </c>
      <c r="AF633">
        <v>0</v>
      </c>
      <c r="AG633">
        <v>0</v>
      </c>
      <c r="AH633">
        <v>0</v>
      </c>
      <c r="AI633">
        <v>0</v>
      </c>
      <c r="AJ633">
        <v>0</v>
      </c>
      <c r="AK633">
        <v>1</v>
      </c>
      <c r="AL633">
        <v>0</v>
      </c>
      <c r="AM633">
        <v>0</v>
      </c>
      <c r="AN633">
        <v>0</v>
      </c>
      <c r="AO633">
        <v>0</v>
      </c>
      <c r="AP633">
        <v>0</v>
      </c>
      <c r="AQ633">
        <v>0</v>
      </c>
      <c r="AR633">
        <v>0</v>
      </c>
      <c r="AS633">
        <v>0</v>
      </c>
      <c r="AT633">
        <v>0</v>
      </c>
      <c r="AU633">
        <v>0</v>
      </c>
      <c r="AV633">
        <v>0</v>
      </c>
      <c r="AW633">
        <v>0</v>
      </c>
      <c r="AX633" s="141">
        <f>COUNTIF(V633:AW633,"&lt;&gt;0")</f>
        <v>1</v>
      </c>
      <c r="AY633" s="141">
        <f>COUNTIF(V633:AL633,"&lt;&gt;0")</f>
        <v>1</v>
      </c>
      <c r="AZ633">
        <f>COUNTIF(V633:AC633,"&lt;&gt;0")</f>
        <v>0</v>
      </c>
      <c r="BA633">
        <f>COUNTIF(AD633:AI633,"&lt;&gt;0")</f>
        <v>0</v>
      </c>
      <c r="BB633">
        <f>COUNTIF(AJ633:AL633,"&lt;&gt;0")</f>
        <v>1</v>
      </c>
      <c r="BC633">
        <f>COUNTIF(AS633:AW633,"&lt;&gt;0")</f>
        <v>0</v>
      </c>
      <c r="BD633">
        <f>COUNTIF(AM633:AR633,"&lt;&gt;0")</f>
        <v>0</v>
      </c>
      <c r="BE633" t="str">
        <f t="array" ref="BE633">IF(AY633=1,INDEX($V$7:$AL$7,MATCH(TRUE,INDEX($V633:$AW633&lt;&gt;0,),0)),IF(AY633=0,INDEX($AM$7:$AW$7,MATCH(1,$AM633:$AW633,0)),IF(BF633="Multiple strategies","mixed drivers",IF(BF633="Supply chain","multiple supply","multiple silviculture"))))</f>
        <v>technologies/design switch</v>
      </c>
      <c r="BF633" s="2" t="str" cm="1">
        <f t="array" ref="BF633">IF(COUNTIF(AZ633:BB633,"&lt;&gt;0")=1,INDEX($V$4:$AW$4,MATCH(TRUE,INDEX($V633:$AW633&lt;&gt;0,),0)),IF(COUNTIF(AZ633:BB633,"&lt;&gt;0")=0,INDEX($AM$4:$AW$4,MATCH(1,$AM633:$AW633,0)),"Multiple strategies"))</f>
        <v>Technology</v>
      </c>
      <c r="BG633" s="1" t="s">
        <v>229</v>
      </c>
      <c r="BH633" t="s">
        <v>687</v>
      </c>
      <c r="BI633" s="141" t="s">
        <v>688</v>
      </c>
      <c r="BJ633" t="s">
        <v>651</v>
      </c>
      <c r="BK633">
        <f>25.35</f>
        <v>25.35</v>
      </c>
      <c r="BL633">
        <f>25.35+3.2+500.73</f>
        <v>529.28</v>
      </c>
      <c r="BN633">
        <f>BL633-BK633</f>
        <v>503.92999999999995</v>
      </c>
      <c r="BO633">
        <f>BN633*t_to_m3</f>
        <v>1028.4285714285713</v>
      </c>
      <c r="BP633" t="s">
        <v>395</v>
      </c>
      <c r="BQ633" t="s">
        <v>3077</v>
      </c>
      <c r="BR633" t="s">
        <v>262</v>
      </c>
      <c r="BS633">
        <f>-101.91*2347</f>
        <v>-239182.77</v>
      </c>
      <c r="BT633">
        <f>-173.12*2347</f>
        <v>-406312.64</v>
      </c>
      <c r="BU633" s="144">
        <f>IFERROR(BT633/BS633,"")</f>
        <v>1.6987538023746445</v>
      </c>
      <c r="BV633">
        <f>BT633-BS633</f>
        <v>-167129.87000000002</v>
      </c>
      <c r="BX633">
        <f>BV633/1000</f>
        <v>-167.12987000000001</v>
      </c>
      <c r="BY633">
        <f>IFERROR(BX633/BO633,"")</f>
        <v>-0.16250994443672734</v>
      </c>
      <c r="BZ633">
        <v>0</v>
      </c>
      <c r="CA633">
        <v>0</v>
      </c>
      <c r="CB633">
        <v>0</v>
      </c>
      <c r="CC633">
        <v>0</v>
      </c>
      <c r="CD633">
        <v>0</v>
      </c>
      <c r="CE633">
        <v>0</v>
      </c>
      <c r="CF633">
        <v>0</v>
      </c>
      <c r="CG633">
        <v>0</v>
      </c>
      <c r="CH633">
        <v>0</v>
      </c>
      <c r="CI633">
        <v>0</v>
      </c>
      <c r="CJ633">
        <v>0</v>
      </c>
      <c r="CK633">
        <v>0</v>
      </c>
      <c r="CL633">
        <v>0</v>
      </c>
      <c r="CM633">
        <v>0</v>
      </c>
      <c r="CN633" t="str">
        <f>IF($BL633&lt;$BK633,"refNeedCorrection","refOK")</f>
        <v>refOK</v>
      </c>
      <c r="CO633"/>
      <c r="CP633"/>
      <c r="CQ633">
        <f>IF($CN633="refOK",$BO633,-$BO633)</f>
        <v>1028.4285714285713</v>
      </c>
      <c r="CR633">
        <f>IF($CN633="refOK",$BS633,$BT633)*IF($BP633="Emissions positive",-1,1)</f>
        <v>239182.77</v>
      </c>
      <c r="CS633">
        <f>IF($CN633="refOK",$BT633,$BS633)*IF($BP633="Emissions positive",-1,1)</f>
        <v>406312.64</v>
      </c>
      <c r="CT633">
        <f>IF($CN633="refNeedCorrection",-BX633,BX633)*IF($BP633="Emissions positive",-1,1)</f>
        <v>167.12987000000001</v>
      </c>
      <c r="CU633">
        <f>IFERROR(CT633/CQ633,"")</f>
        <v>0.16250994443672734</v>
      </c>
      <c r="CV633" s="2">
        <f>IFERROR((CS633-CR633)/ABS(CR633),"")</f>
        <v>0.69875380237464446</v>
      </c>
      <c r="CW633" s="1" t="s">
        <v>263</v>
      </c>
      <c r="CX633" t="str">
        <f>IF(OR($CW633="prd",$CW633="std",$CW633="cit"),"loc",IF(OR($CW633="eur",$CW633="reg",$CW633="coy"),"reg",$CW633))</f>
        <v>loc</v>
      </c>
      <c r="CY633" t="s">
        <v>690</v>
      </c>
      <c r="DB633">
        <v>0</v>
      </c>
      <c r="DC633" t="str">
        <f>IF(DB633=0,"0",IF(AND(DB633&gt;=1,DB633&lt;=30),"1-30",IF(AND(DB633&gt;30,DB633&lt;=70),"31-70",IF(AND(DB633&gt;70,DB633&lt;=100),"71-100",IF(DB633&gt;100,"+100")))))</f>
        <v>0</v>
      </c>
      <c r="DD633">
        <v>0</v>
      </c>
      <c r="DE633">
        <v>0</v>
      </c>
      <c r="DF633">
        <v>0</v>
      </c>
      <c r="DG633">
        <v>1</v>
      </c>
      <c r="DH633">
        <v>0</v>
      </c>
      <c r="DI633">
        <f>SUM(DD633:DH633)</f>
        <v>1</v>
      </c>
      <c r="DJ633" t="str">
        <f>IF(DI633=1,INDEX($DD$7:$DG$7,MATCH(1,$DD633:$DG633,0)),"mixedProduct")</f>
        <v>TimberInput</v>
      </c>
      <c r="DK633">
        <f>IF(DD633=1,DK$7,0)</f>
        <v>0</v>
      </c>
      <c r="DL633">
        <f>IF(DE633=1,DL$7,0)</f>
        <v>0</v>
      </c>
      <c r="DM633">
        <f>IF(DF633=1,DM$7,0)</f>
        <v>0</v>
      </c>
      <c r="DN633" t="str">
        <f>IF(DG633=1,DN$7,0)</f>
        <v>Timber</v>
      </c>
      <c r="DO633">
        <v>0</v>
      </c>
      <c r="DP633">
        <v>0</v>
      </c>
      <c r="DQ633">
        <v>0</v>
      </c>
      <c r="DR633">
        <v>0</v>
      </c>
      <c r="DS633">
        <v>0</v>
      </c>
      <c r="DT633">
        <f>SUM(DO633:DP633)</f>
        <v>0</v>
      </c>
      <c r="DU633" t="str">
        <f>IF(DO633=1,"self-calculated DF",IF(DP633=1,"external DF used","explicit C balance"))</f>
        <v>explicit C balance</v>
      </c>
      <c r="DV633">
        <v>0</v>
      </c>
      <c r="DW633">
        <v>0</v>
      </c>
      <c r="DX633">
        <v>0</v>
      </c>
      <c r="DY633">
        <v>0</v>
      </c>
      <c r="DZ633">
        <v>0</v>
      </c>
      <c r="EA633" s="143">
        <v>1</v>
      </c>
      <c r="EB633">
        <v>0</v>
      </c>
      <c r="EC633">
        <v>0</v>
      </c>
      <c r="ED633">
        <v>0</v>
      </c>
      <c r="EE633">
        <v>1</v>
      </c>
      <c r="EF633">
        <v>0</v>
      </c>
      <c r="EG633">
        <v>0</v>
      </c>
      <c r="EH633">
        <v>0</v>
      </c>
      <c r="EI633" s="2">
        <v>0</v>
      </c>
      <c r="EK633" t="str">
        <f>IF(AND(AND(AND(OR($DX633=1,$DW633=1),OR($EC633=1,$EA633=1)),SUM($DV633:$DZ633,$EF633)&gt;=4),SUM($EA633:$EE633)&gt;=2),"Whole sector","")</f>
        <v/>
      </c>
      <c r="EL633" t="str">
        <f>IF(AND(AND(OR($DX633=1,$DW633=1),AND($EC633=0,$EA633=0)),SUM($DV633:$DZ633,$EF633)&gt;=4),"Ecosystem approach","")</f>
        <v/>
      </c>
      <c r="EM633" s="2" t="str">
        <f>IF(AND(AND(AND($DX633=0,$DW633=0),OR($EC633=1,$EA633=1)),SUM($EB633:$EE633)&gt;=2),"Technology approach","")</f>
        <v/>
      </c>
      <c r="EP633" t="str">
        <f>IF(ISNUMBER(BU633),IF(ABS(BU633-[4]QC_indicators!$B$2)&gt;3*[4]QC_indicators!$C$2,"C ratio",IF(ISNUMBER(BY633),IF(ABS(BY633-[4]QC_indicators!$B$1)&gt;3*[4]QC_indicators!$C$1,"DF","no"))),IF(ISNUMBER(BY633),IF(ABS(BY633-[4]QC_indicators!$B$1)&gt;3*[4]QC_indicators!$C$1,"DF","no")))</f>
        <v>no</v>
      </c>
      <c r="ET633" t="s">
        <v>3273</v>
      </c>
    </row>
    <row r="634" spans="1:150" ht="15" customHeight="1">
      <c r="A634" s="1" t="s">
        <v>333</v>
      </c>
      <c r="B634" t="s">
        <v>334</v>
      </c>
      <c r="C634" t="s">
        <v>335</v>
      </c>
      <c r="D634" t="s">
        <v>336</v>
      </c>
      <c r="E634" t="s">
        <v>337</v>
      </c>
      <c r="F634" t="s">
        <v>338</v>
      </c>
      <c r="G634" t="s">
        <v>339</v>
      </c>
      <c r="I634">
        <v>2017</v>
      </c>
      <c r="K634" t="s">
        <v>340</v>
      </c>
      <c r="M634" t="str">
        <f>LEFT($D634,FIND(",",$D634)-1)&amp;"_"&amp;I634&amp;L634</f>
        <v>Balasbaneh_2017</v>
      </c>
      <c r="N634" t="s">
        <v>222</v>
      </c>
      <c r="O634" s="140" t="s">
        <v>341</v>
      </c>
      <c r="Q634" t="s">
        <v>224</v>
      </c>
      <c r="R634" s="262" t="s">
        <v>223</v>
      </c>
      <c r="S634" s="1" t="s">
        <v>358</v>
      </c>
      <c r="T634" t="s">
        <v>343</v>
      </c>
      <c r="U634" t="s">
        <v>357</v>
      </c>
      <c r="V634">
        <v>0</v>
      </c>
      <c r="W634">
        <v>0</v>
      </c>
      <c r="X634">
        <v>0</v>
      </c>
      <c r="Y634">
        <v>0</v>
      </c>
      <c r="Z634">
        <v>0</v>
      </c>
      <c r="AA634">
        <v>0</v>
      </c>
      <c r="AB634">
        <v>0</v>
      </c>
      <c r="AC634">
        <v>0</v>
      </c>
      <c r="AD634">
        <v>0</v>
      </c>
      <c r="AE634">
        <v>0</v>
      </c>
      <c r="AF634">
        <v>0</v>
      </c>
      <c r="AG634">
        <v>0</v>
      </c>
      <c r="AH634">
        <v>0</v>
      </c>
      <c r="AI634">
        <v>0</v>
      </c>
      <c r="AJ634">
        <v>0</v>
      </c>
      <c r="AK634">
        <v>1</v>
      </c>
      <c r="AL634">
        <v>0</v>
      </c>
      <c r="AM634">
        <v>0</v>
      </c>
      <c r="AN634">
        <v>0</v>
      </c>
      <c r="AO634">
        <v>0</v>
      </c>
      <c r="AP634">
        <v>0</v>
      </c>
      <c r="AQ634">
        <v>0</v>
      </c>
      <c r="AR634">
        <v>0</v>
      </c>
      <c r="AS634">
        <v>0</v>
      </c>
      <c r="AT634">
        <v>0</v>
      </c>
      <c r="AU634">
        <v>0</v>
      </c>
      <c r="AV634">
        <v>0</v>
      </c>
      <c r="AW634">
        <v>0</v>
      </c>
      <c r="AX634" s="141">
        <f>COUNTIF(V634:AW634,"&lt;&gt;0")</f>
        <v>1</v>
      </c>
      <c r="AY634" s="141">
        <f>COUNTIF(V634:AL634,"&lt;&gt;0")</f>
        <v>1</v>
      </c>
      <c r="AZ634">
        <f>COUNTIF(V634:AC634,"&lt;&gt;0")</f>
        <v>0</v>
      </c>
      <c r="BA634">
        <f>COUNTIF(AD634:AI634,"&lt;&gt;0")</f>
        <v>0</v>
      </c>
      <c r="BB634">
        <f>COUNTIF(AJ634:AL634,"&lt;&gt;0")</f>
        <v>1</v>
      </c>
      <c r="BC634">
        <f>COUNTIF(AS634:AW634,"&lt;&gt;0")</f>
        <v>0</v>
      </c>
      <c r="BD634">
        <f>COUNTIF(AM634:AR634,"&lt;&gt;0")</f>
        <v>0</v>
      </c>
      <c r="BE634" t="str">
        <f t="array" ref="BE634">IF(AY634=1,INDEX($V$7:$AL$7,MATCH(TRUE,INDEX($V634:$AW634&lt;&gt;0,),0)),IF(AY634=0,INDEX($AM$7:$AW$7,MATCH(1,$AM634:$AW634,0)),IF(BF634="Multiple strategies","mixed drivers",IF(BF634="Supply chain","multiple supply","multiple silviculture"))))</f>
        <v>technologies/design switch</v>
      </c>
      <c r="BF634" s="2" t="str" cm="1">
        <f t="array" ref="BF634">IF(COUNTIF(AZ634:BB634,"&lt;&gt;0")=1,INDEX($V$4:$AW$4,MATCH(TRUE,INDEX($V634:$AW634&lt;&gt;0,),0)),IF(COUNTIF(AZ634:BB634,"&lt;&gt;0")=0,INDEX($AM$4:$AW$4,MATCH(1,$AM634:$AW634,0)),"Multiple strategies"))</f>
        <v>Technology</v>
      </c>
      <c r="BG634" s="1" t="s">
        <v>229</v>
      </c>
      <c r="BH634" t="s">
        <v>229</v>
      </c>
      <c r="BI634" s="264" t="s">
        <v>410</v>
      </c>
      <c r="BJ634" t="s">
        <v>345</v>
      </c>
      <c r="BK634">
        <v>0</v>
      </c>
      <c r="BL634">
        <v>29276</v>
      </c>
      <c r="BM634" s="143"/>
      <c r="BN634">
        <f>BL634-BK634</f>
        <v>29276</v>
      </c>
      <c r="BO634" s="143">
        <f>BN634*kg_to_m3</f>
        <v>59.746938775510209</v>
      </c>
      <c r="BP634" t="s">
        <v>232</v>
      </c>
      <c r="BQ634" s="335" t="s">
        <v>396</v>
      </c>
      <c r="BR634" t="s">
        <v>346</v>
      </c>
      <c r="BS634">
        <v>-11900</v>
      </c>
      <c r="BT634">
        <v>-2040</v>
      </c>
      <c r="BU634" s="144">
        <v>0.17142857142857143</v>
      </c>
      <c r="BV634">
        <f>BT634-BS634</f>
        <v>9860</v>
      </c>
      <c r="BX634">
        <f>BV634/1000</f>
        <v>9.86</v>
      </c>
      <c r="BY634">
        <f>IFERROR(BX634/BO634,"")</f>
        <v>0.16502937559775924</v>
      </c>
      <c r="BZ634">
        <v>0</v>
      </c>
      <c r="CA634">
        <v>0</v>
      </c>
      <c r="CB634">
        <v>0</v>
      </c>
      <c r="CC634">
        <v>0</v>
      </c>
      <c r="CD634">
        <v>0</v>
      </c>
      <c r="CE634">
        <v>0</v>
      </c>
      <c r="CF634">
        <v>0</v>
      </c>
      <c r="CG634">
        <v>0</v>
      </c>
      <c r="CH634">
        <v>0</v>
      </c>
      <c r="CI634">
        <v>0</v>
      </c>
      <c r="CJ634">
        <v>0</v>
      </c>
      <c r="CK634">
        <v>0</v>
      </c>
      <c r="CL634">
        <v>0</v>
      </c>
      <c r="CM634">
        <v>0</v>
      </c>
      <c r="CN634" t="str">
        <f>IF($BL634&lt;$BK634,"refNeedCorrection","refOK")</f>
        <v>refOK</v>
      </c>
      <c r="CO634">
        <f>IF($CN634="refNeedCorrection",BL634,BK634)</f>
        <v>0</v>
      </c>
      <c r="CP634">
        <f>IF($CN634="refNeedCorrection",BK634,BL634)</f>
        <v>29276</v>
      </c>
      <c r="CQ634">
        <f>IF($CN634="refOK",$BO634,-$BO634)</f>
        <v>59.746938775510209</v>
      </c>
      <c r="CR634">
        <f>IF($CN634="refOK",$BS634,$BT634)*IF($BP634="Emissions positive",-1,1)</f>
        <v>-11900</v>
      </c>
      <c r="CS634">
        <f>IF($CN634="refOK",$BT634,$BS634)*IF($BP634="Emissions positive",-1,1)</f>
        <v>-2040</v>
      </c>
      <c r="CT634">
        <f>IF($CN634="refNeedCorrection",-BX634,BX634)*IF($BP634="Emissions positive",-1,1)</f>
        <v>9.86</v>
      </c>
      <c r="CU634">
        <f>IFERROR(CT634/CQ634,"")</f>
        <v>0.16502937559775924</v>
      </c>
      <c r="CV634" s="2">
        <f>IFERROR((CS634-CR634)/ABS(CR634),"")</f>
        <v>0.82857142857142863</v>
      </c>
      <c r="CW634" s="1" t="s">
        <v>347</v>
      </c>
      <c r="CX634" t="str">
        <f>IF(OR($CW634="prd",$CW634="std",$CW634="cit"),"loc",IF(OR($CW634="eur",$CW634="reg",$CW634="coy"),"reg",$CW634))</f>
        <v>loc</v>
      </c>
      <c r="CY634" t="s">
        <v>348</v>
      </c>
      <c r="CZ634">
        <v>2014</v>
      </c>
      <c r="DA634">
        <v>2514</v>
      </c>
      <c r="DB634">
        <v>500</v>
      </c>
      <c r="DC634" t="str">
        <f>IF(DB634=0,"0",IF(AND(DB634&gt;=1,DB634&lt;=30),"1-30",IF(AND(DB634&gt;30,DB634&lt;=70),"31-70",IF(AND(DB634&gt;70,DB634&lt;=100),"71-100",IF(DB634&gt;100,"+100")))))</f>
        <v>+100</v>
      </c>
      <c r="DD634">
        <v>0</v>
      </c>
      <c r="DE634">
        <v>0</v>
      </c>
      <c r="DF634">
        <v>0</v>
      </c>
      <c r="DG634">
        <v>1</v>
      </c>
      <c r="DI634">
        <f>SUM(DD634:DG634)</f>
        <v>1</v>
      </c>
      <c r="DJ634" t="str">
        <f>IF(DI634=1,INDEX($DD$7:$DG$7,MATCH(1,$DD634:$DG634,0)),"mixedProduct")</f>
        <v>TimberInput</v>
      </c>
      <c r="DK634">
        <f>IF(DD634=1,DK$7,0)</f>
        <v>0</v>
      </c>
      <c r="DL634">
        <f>IF(DE634=1,DL$7,0)</f>
        <v>0</v>
      </c>
      <c r="DM634">
        <f>IF(DF634=1,DM$7,0)</f>
        <v>0</v>
      </c>
      <c r="DN634" t="str">
        <f>IF(DG634=1,DN$7,0)</f>
        <v>Timber</v>
      </c>
      <c r="DO634">
        <v>0</v>
      </c>
      <c r="DP634">
        <v>0</v>
      </c>
      <c r="DQ634">
        <v>0</v>
      </c>
      <c r="DR634">
        <v>0</v>
      </c>
      <c r="DS634">
        <v>0</v>
      </c>
      <c r="DT634">
        <f>SUM(DO634:DP634)</f>
        <v>0</v>
      </c>
      <c r="DU634" s="143" t="str">
        <f>IF(DO634=1,"self-calculated DF",IF(DP634=1,"external DF used","explicit C balance"))</f>
        <v>explicit C balance</v>
      </c>
      <c r="DV634">
        <v>0</v>
      </c>
      <c r="DW634">
        <v>0</v>
      </c>
      <c r="DX634">
        <v>0</v>
      </c>
      <c r="DY634">
        <v>1</v>
      </c>
      <c r="DZ634">
        <v>0</v>
      </c>
      <c r="EA634" s="143">
        <v>1</v>
      </c>
      <c r="EB634">
        <v>0</v>
      </c>
      <c r="EC634">
        <v>1</v>
      </c>
      <c r="ED634">
        <v>1</v>
      </c>
      <c r="EE634">
        <v>1</v>
      </c>
      <c r="EF634">
        <v>0</v>
      </c>
      <c r="EG634">
        <v>0</v>
      </c>
      <c r="EH634">
        <v>0</v>
      </c>
      <c r="EI634" s="2">
        <v>0</v>
      </c>
      <c r="EK634" t="str">
        <f>IF(AND(AND(AND(OR($DX634=1,$DW634=1),OR($EC634=1,$EA634=1)),SUM($DV634:$DZ634,$EF634)&gt;=4),SUM($EA634:$EE634)&gt;=2),"Whole sector","")</f>
        <v/>
      </c>
      <c r="EL634" t="str">
        <f>IF(AND(AND(OR($DX634=1,$DW634=1),AND($EC634=0,$EA634=0)),SUM($DV634:$DZ634,$EF634)&gt;=4),"Ecosystem approach","")</f>
        <v/>
      </c>
      <c r="EM634" s="2" t="str">
        <f>IF(AND(AND(AND($DX634=0,$DW634=0),OR($EC634=1,$EA634=1)),SUM($EB634:$EE634)&gt;=2),"Technology approach","")</f>
        <v>Technology approach</v>
      </c>
      <c r="EP634" t="str">
        <f>IF(ISNUMBER(BU634),IF(ABS(BU634-[1]QC_indicators!$B$2)&gt;3*[1]QC_indicators!$C$2,"C ratio",IF(ISNUMBER(BY634),IF(ABS(BY634-[1]QC_indicators!$B$1)&gt;3*[1]QC_indicators!$C$1,"DF","no"))),IF(ISNUMBER(BY634),IF(ABS(BY634-[1]QC_indicators!$B$1)&gt;3*[1]QC_indicators!$C$1,"DF","no")))</f>
        <v>no</v>
      </c>
      <c r="ER634" s="149" t="s">
        <v>349</v>
      </c>
      <c r="ET634" s="264" t="s">
        <v>3273</v>
      </c>
    </row>
    <row r="635" spans="1:150" ht="17">
      <c r="A635" s="1" t="s">
        <v>1233</v>
      </c>
      <c r="B635" t="s">
        <v>1234</v>
      </c>
      <c r="C635" t="s">
        <v>1235</v>
      </c>
      <c r="D635" t="s">
        <v>336</v>
      </c>
      <c r="E635" t="s">
        <v>1236</v>
      </c>
      <c r="F635" t="s">
        <v>1237</v>
      </c>
      <c r="G635" t="s">
        <v>1238</v>
      </c>
      <c r="I635">
        <v>2018</v>
      </c>
      <c r="K635" t="s">
        <v>1239</v>
      </c>
      <c r="M635" t="str">
        <f>LEFT($D635,FIND(",",$D635)-1)&amp;"_"&amp;I635&amp;L635</f>
        <v>Balasbaneh_2018</v>
      </c>
      <c r="N635" t="s">
        <v>222</v>
      </c>
      <c r="O635" s="140" t="s">
        <v>513</v>
      </c>
      <c r="Q635" t="s">
        <v>224</v>
      </c>
      <c r="R635" s="262" t="s">
        <v>223</v>
      </c>
      <c r="S635" s="1" t="s">
        <v>1248</v>
      </c>
      <c r="T635" s="264" t="s">
        <v>3114</v>
      </c>
      <c r="U635" s="264" t="s">
        <v>3116</v>
      </c>
      <c r="V635">
        <v>0</v>
      </c>
      <c r="W635">
        <v>0</v>
      </c>
      <c r="X635">
        <v>0</v>
      </c>
      <c r="Y635">
        <v>0</v>
      </c>
      <c r="Z635">
        <v>0</v>
      </c>
      <c r="AA635">
        <v>0</v>
      </c>
      <c r="AB635">
        <v>0</v>
      </c>
      <c r="AC635">
        <v>0</v>
      </c>
      <c r="AD635">
        <v>0</v>
      </c>
      <c r="AE635">
        <v>0</v>
      </c>
      <c r="AF635">
        <v>0</v>
      </c>
      <c r="AG635">
        <v>0</v>
      </c>
      <c r="AH635">
        <v>0</v>
      </c>
      <c r="AI635">
        <v>0</v>
      </c>
      <c r="AJ635">
        <v>0</v>
      </c>
      <c r="AK635">
        <v>1</v>
      </c>
      <c r="AL635">
        <v>0</v>
      </c>
      <c r="AM635">
        <v>0</v>
      </c>
      <c r="AN635">
        <v>0</v>
      </c>
      <c r="AO635">
        <v>0</v>
      </c>
      <c r="AP635">
        <v>0</v>
      </c>
      <c r="AQ635">
        <v>0</v>
      </c>
      <c r="AR635">
        <v>0</v>
      </c>
      <c r="AS635">
        <v>0</v>
      </c>
      <c r="AT635">
        <v>0</v>
      </c>
      <c r="AU635">
        <v>0</v>
      </c>
      <c r="AV635">
        <v>0</v>
      </c>
      <c r="AW635">
        <v>0</v>
      </c>
      <c r="AX635" s="141">
        <f>COUNTIF(V635:AW635,"&lt;&gt;0")</f>
        <v>1</v>
      </c>
      <c r="AY635" s="141">
        <f>COUNTIF(V635:AL635,"&lt;&gt;0")</f>
        <v>1</v>
      </c>
      <c r="AZ635">
        <f>COUNTIF(V635:AC635,"&lt;&gt;0")</f>
        <v>0</v>
      </c>
      <c r="BA635">
        <f>COUNTIF(AD635:AI635,"&lt;&gt;0")</f>
        <v>0</v>
      </c>
      <c r="BB635">
        <f>COUNTIF(AJ635:AL635,"&lt;&gt;0")</f>
        <v>1</v>
      </c>
      <c r="BC635">
        <f>COUNTIF(AS635:AW635,"&lt;&gt;0")</f>
        <v>0</v>
      </c>
      <c r="BD635">
        <f>COUNTIF(AM635:AR635,"&lt;&gt;0")</f>
        <v>0</v>
      </c>
      <c r="BE635" t="str">
        <f t="array" ref="BE635">IF(AY635=1,INDEX($V$7:$AL$7,MATCH(TRUE,INDEX($V635:$AW635&lt;&gt;0,),0)),IF(AY635=0,INDEX($AM$7:$AW$7,MATCH(1,$AM635:$AW635,0)),IF(BF635="Multiple strategies","mixed drivers",IF(BF635="Supply chain","multiple supply","multiple silviculture"))))</f>
        <v>technologies/design switch</v>
      </c>
      <c r="BF635" s="2" t="str" cm="1">
        <f t="array" ref="BF635">IF(COUNTIF(AZ635:BB635,"&lt;&gt;0")=1,INDEX($V$4:$AW$4,MATCH(TRUE,INDEX($V635:$AW635&lt;&gt;0,),0)),IF(COUNTIF(AZ635:BB635,"&lt;&gt;0")=0,INDEX($AM$4:$AW$4,MATCH(1,$AM635:$AW635,0)),"Multiple strategies"))</f>
        <v>Technology</v>
      </c>
      <c r="BG635" s="1" t="s">
        <v>229</v>
      </c>
      <c r="BH635" t="s">
        <v>229</v>
      </c>
      <c r="BJ635" t="s">
        <v>345</v>
      </c>
      <c r="BK635">
        <v>0</v>
      </c>
      <c r="BL635">
        <v>23436</v>
      </c>
      <c r="BM635" s="143"/>
      <c r="BN635">
        <f>BL635-BK635</f>
        <v>23436</v>
      </c>
      <c r="BO635" s="143">
        <f>BN635*kg_to_m3</f>
        <v>47.828571428571436</v>
      </c>
      <c r="BP635" t="s">
        <v>232</v>
      </c>
      <c r="BQ635" s="337" t="s">
        <v>1057</v>
      </c>
      <c r="BR635" t="s">
        <v>397</v>
      </c>
      <c r="BS635">
        <v>-8660</v>
      </c>
      <c r="BT635">
        <v>-693</v>
      </c>
      <c r="BU635" s="144">
        <v>8.0023094688221705E-2</v>
      </c>
      <c r="BV635">
        <v>7967</v>
      </c>
      <c r="BX635">
        <f>BV635/1000</f>
        <v>7.9669999999999996</v>
      </c>
      <c r="BY635">
        <f>IFERROR(BX635/BO635,"")</f>
        <v>0.16657407407407404</v>
      </c>
      <c r="BZ635">
        <v>0</v>
      </c>
      <c r="CA635">
        <v>0</v>
      </c>
      <c r="CB635">
        <v>0</v>
      </c>
      <c r="CC635">
        <v>0</v>
      </c>
      <c r="CD635">
        <v>0</v>
      </c>
      <c r="CE635">
        <v>0</v>
      </c>
      <c r="CF635">
        <v>0</v>
      </c>
      <c r="CG635">
        <v>0</v>
      </c>
      <c r="CH635">
        <v>0</v>
      </c>
      <c r="CI635">
        <v>0</v>
      </c>
      <c r="CJ635">
        <v>0</v>
      </c>
      <c r="CK635">
        <v>0</v>
      </c>
      <c r="CL635">
        <v>0</v>
      </c>
      <c r="CM635">
        <v>0</v>
      </c>
      <c r="CN635" t="str">
        <f>IF($BL635&lt;$BK635,"refNeedCorrection","refOK")</f>
        <v>refOK</v>
      </c>
      <c r="CO635">
        <f>IF($CN635="refNeedCorrection",BL635,BK635)</f>
        <v>0</v>
      </c>
      <c r="CP635">
        <f>IF($CN635="refNeedCorrection",BK635,BL635)</f>
        <v>23436</v>
      </c>
      <c r="CQ635">
        <f>IF($CN635="refOK",$BO635,-$BO635)</f>
        <v>47.828571428571436</v>
      </c>
      <c r="CR635">
        <f>IF($CN635="refOK",$BS635,$BT635)*IF($BP635="Emissions positive",-1,1)</f>
        <v>-8660</v>
      </c>
      <c r="CS635">
        <f>IF($CN635="refOK",$BT635,$BS635)*IF($BP635="Emissions positive",-1,1)</f>
        <v>-693</v>
      </c>
      <c r="CT635">
        <f>IF($CN635="refNeedCorrection",-BX635,BX635)*IF($BP635="Emissions positive",-1,1)</f>
        <v>7.9669999999999996</v>
      </c>
      <c r="CU635">
        <f>IFERROR(CT635/CQ635,"")</f>
        <v>0.16657407407407404</v>
      </c>
      <c r="CV635" s="2">
        <f>IFERROR((CS635-CR635)/ABS(CR635),"")</f>
        <v>0.91997690531177834</v>
      </c>
      <c r="CW635" s="1" t="s">
        <v>1203</v>
      </c>
      <c r="CX635" t="str">
        <f>IF(OR($CW635="prd",$CW635="std",$CW635="cit"),"loc",IF(OR($CW635="eur",$CW635="reg",$CW635="coy"),"reg",$CW635))</f>
        <v>reg</v>
      </c>
      <c r="CY635" t="s">
        <v>348</v>
      </c>
      <c r="CZ635">
        <v>2014</v>
      </c>
      <c r="DA635">
        <v>2514</v>
      </c>
      <c r="DB635">
        <v>500</v>
      </c>
      <c r="DC635" t="str">
        <f>IF(DB635=0,"0",IF(AND(DB635&gt;=1,DB635&lt;=30),"1-30",IF(AND(DB635&gt;30,DB635&lt;=70),"31-70",IF(AND(DB635&gt;70,DB635&lt;=100),"71-100",IF(DB635&gt;100,"+100")))))</f>
        <v>+100</v>
      </c>
      <c r="DD635">
        <v>0</v>
      </c>
      <c r="DE635">
        <v>0</v>
      </c>
      <c r="DF635">
        <v>0</v>
      </c>
      <c r="DG635">
        <v>1</v>
      </c>
      <c r="DI635">
        <f>SUM(DD635:DG635)</f>
        <v>1</v>
      </c>
      <c r="DJ635" t="str">
        <f>IF(DI635=1,INDEX($DD$7:$DG$7,MATCH(1,$DD635:$DG635,0)),"mixedProduct")</f>
        <v>TimberInput</v>
      </c>
      <c r="DK635">
        <f>IF(DD635=1,DK$7,0)</f>
        <v>0</v>
      </c>
      <c r="DL635">
        <f>IF(DE635=1,DL$7,0)</f>
        <v>0</v>
      </c>
      <c r="DM635">
        <f>IF(DF635=1,DM$7,0)</f>
        <v>0</v>
      </c>
      <c r="DN635" t="str">
        <f>IF(DG635=1,DN$7,0)</f>
        <v>Timber</v>
      </c>
      <c r="DO635">
        <v>0</v>
      </c>
      <c r="DP635">
        <v>0</v>
      </c>
      <c r="DQ635">
        <v>0</v>
      </c>
      <c r="DR635">
        <v>0</v>
      </c>
      <c r="DS635">
        <v>0</v>
      </c>
      <c r="DT635">
        <f>SUM(DO635:DP635)</f>
        <v>0</v>
      </c>
      <c r="DU635" s="143" t="str">
        <f>IF(DO635=1,"self-calculated DF",IF(DP635=1,"external DF used","explicit C balance"))</f>
        <v>explicit C balance</v>
      </c>
      <c r="DV635">
        <v>0</v>
      </c>
      <c r="DW635">
        <v>0</v>
      </c>
      <c r="DX635">
        <v>0</v>
      </c>
      <c r="DY635">
        <v>0</v>
      </c>
      <c r="DZ635">
        <v>0</v>
      </c>
      <c r="EA635" s="143">
        <v>1</v>
      </c>
      <c r="EB635">
        <v>0</v>
      </c>
      <c r="EC635">
        <v>1</v>
      </c>
      <c r="ED635">
        <v>1</v>
      </c>
      <c r="EE635">
        <v>1</v>
      </c>
      <c r="EF635">
        <v>0</v>
      </c>
      <c r="EG635">
        <v>0</v>
      </c>
      <c r="EH635">
        <v>0</v>
      </c>
      <c r="EI635" s="2">
        <v>0</v>
      </c>
      <c r="EK635" t="str">
        <f>IF(AND(AND(AND(OR($DX635=1,$DW635=1),OR($EC635=1,$EA635=1)),SUM($DV635:$DZ635,$EF635)&gt;=4),SUM($EA635:$EE635)&gt;=2),"Whole sector","")</f>
        <v/>
      </c>
      <c r="EL635" t="str">
        <f>IF(AND(AND(OR($DX635=1,$DW635=1),AND($EC635=0,$EA635=0)),SUM($DV635:$DZ635,$EF635)&gt;=4),"Ecosystem approach","")</f>
        <v/>
      </c>
      <c r="EM635" s="2" t="str">
        <f>IF(AND(AND(AND($DX635=0,$DW635=0),OR($EC635=1,$EA635=1)),SUM($EB635:$EE635)&gt;=2),"Technology approach","")</f>
        <v>Technology approach</v>
      </c>
      <c r="EP635" t="str">
        <f>IF(ISNUMBER(BU635),IF(ABS(BU635-[1]QC_indicators!$B$2)&gt;3*[1]QC_indicators!$C$2,"C ratio",IF(ISNUMBER(BY635),IF(ABS(BY635-[1]QC_indicators!$B$1)&gt;3*[1]QC_indicators!$C$1,"DF","no"))),IF(ISNUMBER(BY635),IF(ABS(BY635-[1]QC_indicators!$B$1)&gt;3*[1]QC_indicators!$C$1,"DF","no")))</f>
        <v>no</v>
      </c>
      <c r="ER635" s="149" t="s">
        <v>349</v>
      </c>
      <c r="ET635" s="264" t="s">
        <v>3273</v>
      </c>
    </row>
    <row r="636" spans="1:150" ht="15" customHeight="1">
      <c r="A636" s="1" t="s">
        <v>587</v>
      </c>
      <c r="B636" t="s">
        <v>2360</v>
      </c>
      <c r="C636" t="s">
        <v>2361</v>
      </c>
      <c r="D636" t="s">
        <v>2362</v>
      </c>
      <c r="E636" t="s">
        <v>2363</v>
      </c>
      <c r="F636" t="s">
        <v>2364</v>
      </c>
      <c r="G636" t="s">
        <v>593</v>
      </c>
      <c r="H636" t="s">
        <v>254</v>
      </c>
      <c r="I636">
        <v>2016</v>
      </c>
      <c r="J636">
        <v>32</v>
      </c>
      <c r="K636" t="s">
        <v>2365</v>
      </c>
      <c r="M636" t="str">
        <f>LEFT($D636,FIND(",",$D636)-1)&amp;"_"&amp;I636&amp;L636</f>
        <v>Taskhiri_2016</v>
      </c>
      <c r="N636" t="s">
        <v>222</v>
      </c>
      <c r="O636" s="145" t="s">
        <v>1154</v>
      </c>
      <c r="Q636" t="s">
        <v>256</v>
      </c>
      <c r="R636" s="255" t="s">
        <v>223</v>
      </c>
      <c r="S636" s="1" t="s">
        <v>2366</v>
      </c>
      <c r="T636" t="s">
        <v>1308</v>
      </c>
      <c r="U636" s="264" t="s">
        <v>3101</v>
      </c>
      <c r="V636">
        <v>0</v>
      </c>
      <c r="W636">
        <v>0</v>
      </c>
      <c r="X636">
        <v>0</v>
      </c>
      <c r="Y636">
        <v>0</v>
      </c>
      <c r="Z636">
        <v>0</v>
      </c>
      <c r="AA636">
        <v>0</v>
      </c>
      <c r="AB636">
        <v>0</v>
      </c>
      <c r="AC636">
        <v>0</v>
      </c>
      <c r="AD636">
        <v>0</v>
      </c>
      <c r="AE636">
        <v>0</v>
      </c>
      <c r="AF636">
        <v>0</v>
      </c>
      <c r="AG636">
        <v>1</v>
      </c>
      <c r="AH636">
        <v>0</v>
      </c>
      <c r="AI636">
        <v>0</v>
      </c>
      <c r="AJ636">
        <v>0</v>
      </c>
      <c r="AK636">
        <v>0</v>
      </c>
      <c r="AL636">
        <v>0</v>
      </c>
      <c r="AM636">
        <v>0</v>
      </c>
      <c r="AN636">
        <v>0</v>
      </c>
      <c r="AO636">
        <v>0</v>
      </c>
      <c r="AP636">
        <v>0</v>
      </c>
      <c r="AQ636">
        <v>0</v>
      </c>
      <c r="AR636">
        <v>0</v>
      </c>
      <c r="AS636">
        <v>0</v>
      </c>
      <c r="AT636">
        <v>0</v>
      </c>
      <c r="AU636">
        <v>0</v>
      </c>
      <c r="AV636">
        <v>0</v>
      </c>
      <c r="AW636">
        <v>0</v>
      </c>
      <c r="AX636" s="141">
        <f>COUNTIF(V636:AW636,"&lt;&gt;0")</f>
        <v>1</v>
      </c>
      <c r="AY636" s="141">
        <f>COUNTIF(V636:AL636,"&lt;&gt;0")</f>
        <v>1</v>
      </c>
      <c r="AZ636">
        <f>COUNTIF(V636:AC636,"&lt;&gt;0")</f>
        <v>0</v>
      </c>
      <c r="BA636">
        <f>COUNTIF(AD636:AI636,"&lt;&gt;0")</f>
        <v>1</v>
      </c>
      <c r="BB636">
        <f>COUNTIF(AJ636:AL636,"&lt;&gt;0")</f>
        <v>0</v>
      </c>
      <c r="BC636">
        <f>COUNTIF(AS636:AW636,"&lt;&gt;0")</f>
        <v>0</v>
      </c>
      <c r="BD636">
        <f>COUNTIF(AM636:AR636,"&lt;&gt;0")</f>
        <v>0</v>
      </c>
      <c r="BE636" t="str">
        <f t="array" ref="BE636">IF(AY636=1,INDEX($V$7:$AL$7,MATCH(TRUE,INDEX($V636:$AW636&lt;&gt;0,),0)),IF(AY636=0,INDEX($AM$7:$AW$7,MATCH(1,$AM636:$AW636,0)),IF(BF636="Multiple strategies","mixed drivers",IF(BF636="Supply chain","multiple supply","multiple silviculture"))))</f>
        <v>recycling</v>
      </c>
      <c r="BF636" s="2" t="str" cm="1">
        <f t="array" ref="BF636">IF(COUNTIF(AZ636:BB636,"&lt;&gt;0")=1,INDEX($V$4:$AW$4,MATCH(TRUE,INDEX($V636:$AW636&lt;&gt;0,),0)),IF(COUNTIF(AZ636:BB636,"&lt;&gt;0")=0,INDEX($AM$4:$AW$4,MATCH(1,$AM636:$AW636,0)),"Multiple strategies"))</f>
        <v>Supply chain</v>
      </c>
      <c r="BG636" s="1" t="s">
        <v>229</v>
      </c>
      <c r="BH636" t="s">
        <v>2367</v>
      </c>
      <c r="BI636" s="264" t="s">
        <v>3099</v>
      </c>
      <c r="BJ636" t="s">
        <v>1323</v>
      </c>
      <c r="BK636">
        <v>0</v>
      </c>
      <c r="BL636">
        <v>0.05</v>
      </c>
      <c r="BM636" s="143" t="e">
        <f>BL636/BK636</f>
        <v>#DIV/0!</v>
      </c>
      <c r="BN636">
        <f>BL636-BK636</f>
        <v>0.05</v>
      </c>
      <c r="BO636">
        <f>BN636*10^6</f>
        <v>50000</v>
      </c>
      <c r="BP636" t="s">
        <v>232</v>
      </c>
      <c r="BQ636" s="267" t="s">
        <v>783</v>
      </c>
      <c r="BR636" t="s">
        <v>1195</v>
      </c>
      <c r="BS636" s="198">
        <v>-32092.528180728899</v>
      </c>
      <c r="BT636" s="198">
        <v>-23743.471028233002</v>
      </c>
      <c r="BU636" s="144">
        <f>IFERROR(BT636/BS636,"")</f>
        <v>0.73984420593235201</v>
      </c>
      <c r="BV636" s="144">
        <f>BT636-BS636</f>
        <v>8349.0571524958978</v>
      </c>
      <c r="BW636" s="144"/>
      <c r="BX636" s="144">
        <f>BV636</f>
        <v>8349.0571524958978</v>
      </c>
      <c r="BY636">
        <f>IFERROR(BX636/BO636,"")</f>
        <v>0.16698114304991796</v>
      </c>
      <c r="BZ636">
        <v>0</v>
      </c>
      <c r="CA636">
        <v>0</v>
      </c>
      <c r="CB636">
        <v>0</v>
      </c>
      <c r="CC636">
        <v>0</v>
      </c>
      <c r="CD636">
        <v>0</v>
      </c>
      <c r="CE636">
        <v>0</v>
      </c>
      <c r="CF636">
        <v>0</v>
      </c>
      <c r="CG636">
        <v>0</v>
      </c>
      <c r="CH636">
        <v>0</v>
      </c>
      <c r="CI636">
        <v>0</v>
      </c>
      <c r="CJ636">
        <v>0</v>
      </c>
      <c r="CK636">
        <v>0</v>
      </c>
      <c r="CL636">
        <v>0</v>
      </c>
      <c r="CM636">
        <v>1</v>
      </c>
      <c r="CN636" t="str">
        <f>IF($BL636&lt;$BK636,"refNeedCorrection","refOK")</f>
        <v>refOK</v>
      </c>
      <c r="CO636">
        <f>IF($CN636="refOK",$BK636,$BL636)</f>
        <v>0</v>
      </c>
      <c r="CP636">
        <f>IF($CN636="refOK",$BL636,$BK636)</f>
        <v>0.05</v>
      </c>
      <c r="CQ636">
        <f>IF($CN636="refOK",$BO636,-$BO636)</f>
        <v>50000</v>
      </c>
      <c r="CR636">
        <f>IF($CN636="refOK",$BS636,$BT636)*IF($BP636="Emissions positive",-1,1)</f>
        <v>-32092.528180728899</v>
      </c>
      <c r="CS636">
        <f>IF($CN636="refOK",$BT636,$BS636)*IF($BP636="Emissions positive",-1,1)</f>
        <v>-23743.471028233002</v>
      </c>
      <c r="CT636">
        <f>IF($CN636="refNeedCorrection",-BX636,BX636)*IF($BP636="Emissions positive",-1,1)</f>
        <v>8349.0571524958978</v>
      </c>
      <c r="CU636">
        <f>IFERROR(CT636/CQ636,"")</f>
        <v>0.16698114304991796</v>
      </c>
      <c r="CV636" s="2">
        <f>IFERROR((CS636-CR636)/ABS(CR636),"")</f>
        <v>0.26015579406764799</v>
      </c>
      <c r="CW636" s="1" t="s">
        <v>1199</v>
      </c>
      <c r="CX636" t="str">
        <f>IF(OR($CW636="prd",$CW636="std",$CW636="cit"),"loc",IF(OR($CW636="eur",$CW636="reg",$CW636="coy"),"reg",$CW636))</f>
        <v>reg</v>
      </c>
      <c r="CY636" t="s">
        <v>1301</v>
      </c>
      <c r="DB636">
        <v>0</v>
      </c>
      <c r="DC636" t="str">
        <f>IF(DB636=0,"0",IF(AND(DB636&gt;=1,DB636&lt;=30),"1-30",IF(AND(DB636&gt;30,DB636&lt;=70),"31-70",IF(AND(DB636&gt;70,DB636&lt;=100),"71-100",IF(DB636&gt;100,"+100")))))</f>
        <v>0</v>
      </c>
      <c r="DD636">
        <v>0</v>
      </c>
      <c r="DE636">
        <v>0</v>
      </c>
      <c r="DF636">
        <v>1</v>
      </c>
      <c r="DG636">
        <v>0</v>
      </c>
      <c r="DI636">
        <f>SUM(DD636:DG636)</f>
        <v>1</v>
      </c>
      <c r="DJ636" t="str">
        <f>IF(DI636=1,INDEX($DD$7:$DG$7,MATCH(1,$DD636:$DG636,0)),"mixedProduct")</f>
        <v>PulpPaperInput</v>
      </c>
      <c r="DK636">
        <f>IF(DD636=1,DK$7,0)</f>
        <v>0</v>
      </c>
      <c r="DL636">
        <f>IF(DE636=1,DL$7,0)</f>
        <v>0</v>
      </c>
      <c r="DM636" t="str">
        <f>IF(DF636=1,DM$7,0)</f>
        <v>Pulp/Paper</v>
      </c>
      <c r="DN636">
        <f>IF(DG636=1,DN$7,0)</f>
        <v>0</v>
      </c>
      <c r="DO636">
        <v>0</v>
      </c>
      <c r="DP636">
        <v>0</v>
      </c>
      <c r="DQ636">
        <v>0</v>
      </c>
      <c r="DR636">
        <v>0</v>
      </c>
      <c r="DS636">
        <v>0</v>
      </c>
      <c r="DT636">
        <f>SUM(DO636:DP636)</f>
        <v>0</v>
      </c>
      <c r="DU636" s="143" t="str">
        <f>IF(DO636=1,"self-calculated DF",IF(DP636=1,"external DF used","explicit C balance"))</f>
        <v>explicit C balance</v>
      </c>
      <c r="DV636">
        <v>0</v>
      </c>
      <c r="DW636">
        <v>0</v>
      </c>
      <c r="DX636">
        <v>0</v>
      </c>
      <c r="DY636">
        <v>0</v>
      </c>
      <c r="DZ636">
        <v>0</v>
      </c>
      <c r="EA636" s="143">
        <v>0</v>
      </c>
      <c r="EB636">
        <v>1</v>
      </c>
      <c r="EC636">
        <v>1</v>
      </c>
      <c r="ED636">
        <v>0</v>
      </c>
      <c r="EE636">
        <v>0</v>
      </c>
      <c r="EF636">
        <v>0</v>
      </c>
      <c r="EG636">
        <v>0</v>
      </c>
      <c r="EH636">
        <v>0</v>
      </c>
      <c r="EI636" s="2">
        <v>0</v>
      </c>
      <c r="EK636" t="str">
        <f>IF(AND(AND(AND(OR($DX636=1,$DW636=1),OR($EC636=1,$EA636=1)),SUM($DV636:$DZ636,$EF636)&gt;=4),SUM($EA636:$EE636)&gt;=2),"Whole sector","")</f>
        <v/>
      </c>
      <c r="EL636" t="str">
        <f>IF(AND(AND(OR($DX636=1,$DW636=1),AND($EC636=0,$EA636=0)),SUM($DV636:$DZ636,$EF636)&gt;=4),"Ecosystem approach","")</f>
        <v/>
      </c>
      <c r="EM636" s="2" t="str">
        <f>IF(AND(AND(AND($DX636=0,$DW636=0),OR($EC636=1,$EA636=1)),SUM($EB636:$EE636)&gt;=2),"Technology approach","")</f>
        <v>Technology approach</v>
      </c>
      <c r="EP636" t="str">
        <f>IF(ISNUMBER(BU636),IF(ABS(BU636-[1]QC_indicators!$B$2)&gt;3*[1]QC_indicators!$C$2,"C ratio",IF(ISNUMBER(BY636),IF(ABS(BY636-[1]QC_indicators!$B$1)&gt;3*[1]QC_indicators!$C$1,"DF","no"))),IF(ISNUMBER(BY636),IF(ABS(BY636-[1]QC_indicators!$B$1)&gt;3*[1]QC_indicators!$C$1,"DF","no")))</f>
        <v>no</v>
      </c>
      <c r="ET636" s="264" t="s">
        <v>3151</v>
      </c>
    </row>
    <row r="637" spans="1:150" ht="15" customHeight="1">
      <c r="A637" s="1" t="s">
        <v>1102</v>
      </c>
      <c r="B637" t="s">
        <v>2381</v>
      </c>
      <c r="C637" t="s">
        <v>2382</v>
      </c>
      <c r="D637" t="s">
        <v>2383</v>
      </c>
      <c r="E637" t="s">
        <v>2384</v>
      </c>
      <c r="F637" t="s">
        <v>2385</v>
      </c>
      <c r="G637" t="s">
        <v>1108</v>
      </c>
      <c r="H637" t="s">
        <v>254</v>
      </c>
      <c r="I637">
        <v>2016</v>
      </c>
      <c r="J637">
        <v>13</v>
      </c>
      <c r="K637" t="s">
        <v>2386</v>
      </c>
      <c r="M637" t="str">
        <f>LEFT($D637,FIND(",",$D637)-1)&amp;"_"&amp;I637&amp;L637</f>
        <v>Torssonen_2016</v>
      </c>
      <c r="N637" t="s">
        <v>222</v>
      </c>
      <c r="O637" s="145" t="s">
        <v>1154</v>
      </c>
      <c r="Q637" s="264" t="s">
        <v>256</v>
      </c>
      <c r="R637" s="269" t="s">
        <v>341</v>
      </c>
      <c r="S637" s="1" t="s">
        <v>2400</v>
      </c>
      <c r="T637" s="264" t="s">
        <v>2409</v>
      </c>
      <c r="U637" t="s">
        <v>2410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1</v>
      </c>
      <c r="AO637">
        <v>1</v>
      </c>
      <c r="AP637">
        <v>0</v>
      </c>
      <c r="AQ637">
        <v>0</v>
      </c>
      <c r="AR637">
        <v>0</v>
      </c>
      <c r="AS637">
        <v>0</v>
      </c>
      <c r="AT637">
        <v>0</v>
      </c>
      <c r="AU637">
        <v>0</v>
      </c>
      <c r="AV637">
        <v>0</v>
      </c>
      <c r="AW637">
        <v>0</v>
      </c>
      <c r="AX637" s="141">
        <f>COUNTIF(V637:AW637,"&lt;&gt;0")</f>
        <v>2</v>
      </c>
      <c r="AY637" s="141">
        <f>COUNTIF(V637:AL637,"&lt;&gt;0")</f>
        <v>0</v>
      </c>
      <c r="AZ637">
        <f>COUNTIF(V637:AC637,"&lt;&gt;0")</f>
        <v>0</v>
      </c>
      <c r="BA637">
        <f>COUNTIF(AD637:AI637,"&lt;&gt;0")</f>
        <v>0</v>
      </c>
      <c r="BB637">
        <f>COUNTIF(AJ637:AL637,"&lt;&gt;0")</f>
        <v>0</v>
      </c>
      <c r="BC637">
        <f>COUNTIF(AS637:AW637,"&lt;&gt;0")</f>
        <v>0</v>
      </c>
      <c r="BD637">
        <f>COUNTIF(AM637:AR637,"&lt;&gt;0")</f>
        <v>2</v>
      </c>
      <c r="BE637" t="str" cm="1">
        <f t="array" ref="BE637">IF(AY637=1,INDEX($V$7:$AL$7,MATCH(TRUE,INDEX($V637:$AW637&lt;&gt;0,),0)),IF(AY637=0,INDEX($AM$7:$AW$7,MATCH(1,$AM637:$AW637,0)),IF(BF637="Multiple strategies","mixed drivers",IF(BF637="Supply chain","multiple supply","multiple silviculture"))))</f>
        <v>Temperature</v>
      </c>
      <c r="BF637" s="2" t="str" cm="1">
        <f t="array" ref="BF637">IF(COUNTIF(AZ637:BB637,"&lt;&gt;0")=1,INDEX($V$4:$AW$4,MATCH(TRUE,INDEX($V637:$AW637&lt;&gt;0,),0)),IF(COUNTIF(AZ637:BB637,"&lt;&gt;0")=0,INDEX($AM$4:$AW$4,MATCH(1,$AM637:$AW637,0)),"Multiple strategies"))</f>
        <v>Environmental change</v>
      </c>
      <c r="BG637" s="1" t="s">
        <v>229</v>
      </c>
      <c r="BH637" s="306" t="s">
        <v>2144</v>
      </c>
      <c r="BI637" s="264" t="s">
        <v>2391</v>
      </c>
      <c r="BJ637" s="306" t="s">
        <v>1058</v>
      </c>
      <c r="BK637">
        <v>7.9367346699999999</v>
      </c>
      <c r="BL637">
        <v>8.1979591589999998</v>
      </c>
      <c r="BM637" s="143">
        <f>BL637/BK637</f>
        <v>1.032913345331727</v>
      </c>
      <c r="BN637">
        <f>BL637-BK637</f>
        <v>0.26122448899999995</v>
      </c>
      <c r="BO637">
        <f>BN637</f>
        <v>0.26122448899999995</v>
      </c>
      <c r="BP637" s="306" t="s">
        <v>395</v>
      </c>
      <c r="BQ637" s="153" t="s">
        <v>3421</v>
      </c>
      <c r="BR637" s="264" t="s">
        <v>2393</v>
      </c>
      <c r="BS637">
        <v>-402.90909090909099</v>
      </c>
      <c r="BT637">
        <v>-407.27272727272702</v>
      </c>
      <c r="BU637" s="144"/>
      <c r="BV637" s="144">
        <f>BT637-BS637</f>
        <v>-4.3636363636360329</v>
      </c>
      <c r="BW637" s="144"/>
      <c r="BX637" s="144">
        <f>BV637*10^4/10^6</f>
        <v>-4.363636363636033E-2</v>
      </c>
      <c r="BY637">
        <f>IFERROR(BX637/BO637,"")</f>
        <v>-0.16704545505440854</v>
      </c>
      <c r="BZ637">
        <v>0</v>
      </c>
      <c r="CA637">
        <v>0</v>
      </c>
      <c r="CB637">
        <v>0</v>
      </c>
      <c r="CC637">
        <v>0</v>
      </c>
      <c r="CD637">
        <v>0</v>
      </c>
      <c r="CE637">
        <v>0</v>
      </c>
      <c r="CF637">
        <v>0</v>
      </c>
      <c r="CG637">
        <v>0</v>
      </c>
      <c r="CH637">
        <v>0</v>
      </c>
      <c r="CI637">
        <v>0</v>
      </c>
      <c r="CJ637">
        <v>0</v>
      </c>
      <c r="CK637">
        <v>0</v>
      </c>
      <c r="CL637">
        <v>0</v>
      </c>
      <c r="CM637">
        <v>1</v>
      </c>
      <c r="CN637" t="str">
        <f>IF($BL637&lt;$BK637,"refNeedCorrection","refOK")</f>
        <v>refOK</v>
      </c>
      <c r="CO637">
        <f>IF($CN637="refOK",$BK637,$BL637)</f>
        <v>7.9367346699999999</v>
      </c>
      <c r="CP637">
        <f>IF($CN637="refOK",$BL637,$BK637)</f>
        <v>8.1979591589999998</v>
      </c>
      <c r="CQ637">
        <f>IF($CN637="refOK",$BO637,-$BO637)</f>
        <v>0.26122448899999995</v>
      </c>
      <c r="CR637">
        <f>IF($CN637="refOK",$BS637,$BT637)*IF($BP637="Emissions positive",-1,1)</f>
        <v>402.90909090909099</v>
      </c>
      <c r="CS637">
        <f>IF($CN637="refOK",$BT637,$BS637)*IF($BP637="Emissions positive",-1,1)</f>
        <v>407.27272727272702</v>
      </c>
      <c r="CT637">
        <f>IF($CN637="refNeedCorrection",-BX637,BX637)*IF($BP637="Emissions positive",-1,1)</f>
        <v>4.363636363636033E-2</v>
      </c>
      <c r="CU637">
        <f>IFERROR(CT637/CQ637,"")</f>
        <v>0.16704545505440854</v>
      </c>
      <c r="CV637" s="2">
        <f>IFERROR((CS637-CR637)/ABS(CR637),"")</f>
        <v>1.083032490974647E-2</v>
      </c>
      <c r="CW637" s="1" t="s">
        <v>1199</v>
      </c>
      <c r="CX637" s="264" t="str">
        <f>IF(OR($CW637="prd",$CW637="std",$CW637="cit"),"loc",IF(OR($CW637="eur",$CW637="reg",$CW637="coy"),"reg",$CW637))</f>
        <v>reg</v>
      </c>
      <c r="CY637" t="s">
        <v>235</v>
      </c>
      <c r="CZ637">
        <v>2020</v>
      </c>
      <c r="DA637">
        <v>2100</v>
      </c>
      <c r="DB637">
        <f>DA637-CZ637</f>
        <v>80</v>
      </c>
      <c r="DC637" t="str">
        <f>IF(DB637=0,"0",IF(AND(DB637&gt;=1,DB637&lt;=30),"1-30",IF(AND(DB637&gt;30,DB637&lt;=70),"31-70",IF(AND(DB637&gt;70,DB637&lt;=100),"71-100",IF(DB637&gt;100,"+100")))))</f>
        <v>71-100</v>
      </c>
      <c r="DD637">
        <v>0</v>
      </c>
      <c r="DE637">
        <v>1</v>
      </c>
      <c r="DF637">
        <v>0</v>
      </c>
      <c r="DG637">
        <v>1</v>
      </c>
      <c r="DI637">
        <f>SUM(DD637:DG637)</f>
        <v>2</v>
      </c>
      <c r="DJ637" t="str">
        <f>IF(DI637=1,INDEX($DD$7:$DG$7,MATCH(1,$DD637:$DG637,0)),"mixedProduct")</f>
        <v>mixedProduct</v>
      </c>
      <c r="DK637">
        <f>IF(DD637=1,DK$7,0)</f>
        <v>0</v>
      </c>
      <c r="DL637" t="str">
        <f>IF(DE637=1,DL$7,0)</f>
        <v>Energy</v>
      </c>
      <c r="DM637">
        <f>IF(DF637=1,DM$7,0)</f>
        <v>0</v>
      </c>
      <c r="DN637" t="str">
        <f>IF(DG637=1,DN$7,0)</f>
        <v>Timber</v>
      </c>
      <c r="DO637">
        <v>1</v>
      </c>
      <c r="DP637">
        <v>0</v>
      </c>
      <c r="DQ637">
        <v>0</v>
      </c>
      <c r="DR637">
        <v>0</v>
      </c>
      <c r="DS637">
        <v>0</v>
      </c>
      <c r="DT637">
        <f>SUM(DO637:DP637)</f>
        <v>1</v>
      </c>
      <c r="DU637" s="143" t="str">
        <f>IF(DO637=1,"self-calculated DF",IF(DP637=1,"external DF used","explicit C balance"))</f>
        <v>self-calculated DF</v>
      </c>
      <c r="DV637">
        <v>1</v>
      </c>
      <c r="DW637">
        <v>0</v>
      </c>
      <c r="DX637">
        <v>1</v>
      </c>
      <c r="DY637">
        <v>0</v>
      </c>
      <c r="DZ637">
        <v>0</v>
      </c>
      <c r="EA637" s="143">
        <v>0</v>
      </c>
      <c r="EB637">
        <v>0</v>
      </c>
      <c r="EC637">
        <v>0</v>
      </c>
      <c r="ED637">
        <v>0</v>
      </c>
      <c r="EE637">
        <v>0</v>
      </c>
      <c r="EF637">
        <v>1</v>
      </c>
      <c r="EG637">
        <v>0</v>
      </c>
      <c r="EH637">
        <v>0</v>
      </c>
      <c r="EI637" s="2">
        <v>0</v>
      </c>
      <c r="EK637" t="str">
        <f>IF(AND(AND(AND(OR($DX637=1,$DW637=1),OR($EC637=1,$EA637=1)),SUM($DV637:$DZ637,$EF637)&gt;=4),SUM($EA637:$EE637)&gt;=2),"Whole sector","")</f>
        <v/>
      </c>
      <c r="EL637" t="str">
        <f>IF(AND(AND(OR($DX637=1,$DW637=1),AND($EC637=0,$EA637=0)),SUM($DV637:$DZ637,$EF637)&gt;=4),"Ecosystem approach","")</f>
        <v/>
      </c>
      <c r="EM637" s="2" t="str">
        <f>IF(AND(AND(AND($DX637=0,$DW637=0),OR($EC637=1,$EA637=1)),SUM($EB637:$EE637)&gt;=2),"Technology approach","")</f>
        <v/>
      </c>
      <c r="EN637" t="s">
        <v>2403</v>
      </c>
      <c r="EP637" t="str">
        <f>IF(ISNUMBER(BU637),IF(ABS(BU637-[3]QC_indicators!$B$2)&gt;3*[3]QC_indicators!$C$2,"C ratio",IF(ISNUMBER(BY637),IF(ABS(BY637-[3]QC_indicators!$B$1)&gt;3*[3]QC_indicators!$C$1,"DF","no"))),IF(ISNUMBER(BY637),IF(ABS(BY637-[3]QC_indicators!$B$1)&gt;3*[3]QC_indicators!$C$1,"DF","no")))</f>
        <v>no</v>
      </c>
      <c r="ER637" s="264" t="s">
        <v>2394</v>
      </c>
      <c r="ET637" s="306" t="s">
        <v>3422</v>
      </c>
    </row>
    <row r="638" spans="1:150" ht="15" customHeight="1">
      <c r="A638" s="1" t="s">
        <v>333</v>
      </c>
      <c r="B638" t="s">
        <v>334</v>
      </c>
      <c r="C638" t="s">
        <v>335</v>
      </c>
      <c r="D638" t="s">
        <v>336</v>
      </c>
      <c r="E638" t="s">
        <v>337</v>
      </c>
      <c r="F638" t="s">
        <v>338</v>
      </c>
      <c r="G638" t="s">
        <v>339</v>
      </c>
      <c r="I638">
        <v>2017</v>
      </c>
      <c r="K638" t="s">
        <v>340</v>
      </c>
      <c r="M638" t="str">
        <f>LEFT($D638,FIND(",",$D638)-1)&amp;"_"&amp;I638&amp;L638</f>
        <v>Balasbaneh_2017</v>
      </c>
      <c r="N638" t="s">
        <v>222</v>
      </c>
      <c r="O638" s="140" t="s">
        <v>341</v>
      </c>
      <c r="Q638" t="s">
        <v>224</v>
      </c>
      <c r="R638" s="262" t="s">
        <v>223</v>
      </c>
      <c r="S638" s="1" t="s">
        <v>359</v>
      </c>
      <c r="T638" t="s">
        <v>343</v>
      </c>
      <c r="U638" t="s">
        <v>357</v>
      </c>
      <c r="V638">
        <v>0</v>
      </c>
      <c r="W638">
        <v>0</v>
      </c>
      <c r="X638">
        <v>0</v>
      </c>
      <c r="Y638">
        <v>0</v>
      </c>
      <c r="Z638">
        <v>0</v>
      </c>
      <c r="AA638">
        <v>0</v>
      </c>
      <c r="AB638">
        <v>0</v>
      </c>
      <c r="AC638">
        <v>0</v>
      </c>
      <c r="AD638">
        <v>0</v>
      </c>
      <c r="AE638">
        <v>0</v>
      </c>
      <c r="AF638">
        <v>0</v>
      </c>
      <c r="AG638">
        <v>0</v>
      </c>
      <c r="AH638">
        <v>0</v>
      </c>
      <c r="AI638">
        <v>0</v>
      </c>
      <c r="AJ638">
        <v>0</v>
      </c>
      <c r="AK638">
        <v>1</v>
      </c>
      <c r="AL638">
        <v>0</v>
      </c>
      <c r="AM638">
        <v>0</v>
      </c>
      <c r="AN638">
        <v>0</v>
      </c>
      <c r="AO638">
        <v>0</v>
      </c>
      <c r="AP638">
        <v>0</v>
      </c>
      <c r="AQ638">
        <v>0</v>
      </c>
      <c r="AR638">
        <v>0</v>
      </c>
      <c r="AS638">
        <v>0</v>
      </c>
      <c r="AT638">
        <v>0</v>
      </c>
      <c r="AU638">
        <v>0</v>
      </c>
      <c r="AV638">
        <v>0</v>
      </c>
      <c r="AW638">
        <v>0</v>
      </c>
      <c r="AX638" s="141">
        <f>COUNTIF(V638:AW638,"&lt;&gt;0")</f>
        <v>1</v>
      </c>
      <c r="AY638" s="141">
        <f>COUNTIF(V638:AL638,"&lt;&gt;0")</f>
        <v>1</v>
      </c>
      <c r="AZ638">
        <f>COUNTIF(V638:AC638,"&lt;&gt;0")</f>
        <v>0</v>
      </c>
      <c r="BA638">
        <f>COUNTIF(AD638:AI638,"&lt;&gt;0")</f>
        <v>0</v>
      </c>
      <c r="BB638">
        <f>COUNTIF(AJ638:AL638,"&lt;&gt;0")</f>
        <v>1</v>
      </c>
      <c r="BC638">
        <f>COUNTIF(AS638:AW638,"&lt;&gt;0")</f>
        <v>0</v>
      </c>
      <c r="BD638">
        <f>COUNTIF(AM638:AR638,"&lt;&gt;0")</f>
        <v>0</v>
      </c>
      <c r="BE638" t="str">
        <f t="array" ref="BE638">IF(AY638=1,INDEX($V$7:$AL$7,MATCH(TRUE,INDEX($V638:$AW638&lt;&gt;0,),0)),IF(AY638=0,INDEX($AM$7:$AW$7,MATCH(1,$AM638:$AW638,0)),IF(BF638="Multiple strategies","mixed drivers",IF(BF638="Supply chain","multiple supply","multiple silviculture"))))</f>
        <v>technologies/design switch</v>
      </c>
      <c r="BF638" s="2" t="str" cm="1">
        <f t="array" ref="BF638">IF(COUNTIF(AZ638:BB638,"&lt;&gt;0")=1,INDEX($V$4:$AW$4,MATCH(TRUE,INDEX($V638:$AW638&lt;&gt;0,),0)),IF(COUNTIF(AZ638:BB638,"&lt;&gt;0")=0,INDEX($AM$4:$AW$4,MATCH(1,$AM638:$AW638,0)),"Multiple strategies"))</f>
        <v>Technology</v>
      </c>
      <c r="BG638" s="1" t="s">
        <v>229</v>
      </c>
      <c r="BH638" t="s">
        <v>229</v>
      </c>
      <c r="BI638" s="264" t="s">
        <v>410</v>
      </c>
      <c r="BJ638" t="s">
        <v>345</v>
      </c>
      <c r="BK638">
        <v>0</v>
      </c>
      <c r="BL638">
        <v>29276</v>
      </c>
      <c r="BM638" s="143"/>
      <c r="BN638">
        <f>BL638-BK638</f>
        <v>29276</v>
      </c>
      <c r="BO638" s="143">
        <f>BN638*kg_to_m3</f>
        <v>59.746938775510209</v>
      </c>
      <c r="BP638" t="s">
        <v>232</v>
      </c>
      <c r="BQ638" s="335" t="s">
        <v>396</v>
      </c>
      <c r="BR638" t="s">
        <v>346</v>
      </c>
      <c r="BS638">
        <v>-12100</v>
      </c>
      <c r="BT638">
        <v>-2080</v>
      </c>
      <c r="BU638" s="144">
        <v>0.17190082644628099</v>
      </c>
      <c r="BV638">
        <f>BT638-BS638</f>
        <v>10020</v>
      </c>
      <c r="BX638">
        <f>BV638/1000</f>
        <v>10.02</v>
      </c>
      <c r="BY638">
        <f>IFERROR(BX638/BO638,"")</f>
        <v>0.16770733706790544</v>
      </c>
      <c r="BZ638">
        <v>0</v>
      </c>
      <c r="CA638">
        <v>0</v>
      </c>
      <c r="CB638">
        <v>0</v>
      </c>
      <c r="CC638">
        <v>0</v>
      </c>
      <c r="CD638">
        <v>0</v>
      </c>
      <c r="CE638">
        <v>0</v>
      </c>
      <c r="CF638">
        <v>0</v>
      </c>
      <c r="CG638">
        <v>0</v>
      </c>
      <c r="CH638">
        <v>0</v>
      </c>
      <c r="CI638">
        <v>0</v>
      </c>
      <c r="CJ638">
        <v>0</v>
      </c>
      <c r="CK638">
        <v>0</v>
      </c>
      <c r="CL638">
        <v>0</v>
      </c>
      <c r="CM638">
        <v>0</v>
      </c>
      <c r="CN638" t="str">
        <f>IF($BL638&lt;$BK638,"refNeedCorrection","refOK")</f>
        <v>refOK</v>
      </c>
      <c r="CO638">
        <f>IF($CN638="refNeedCorrection",BL638,BK638)</f>
        <v>0</v>
      </c>
      <c r="CP638">
        <f>IF($CN638="refNeedCorrection",BK638,BL638)</f>
        <v>29276</v>
      </c>
      <c r="CQ638">
        <f>IF($CN638="refOK",$BO638,-$BO638)</f>
        <v>59.746938775510209</v>
      </c>
      <c r="CR638">
        <f>IF($CN638="refOK",$BS638,$BT638)*IF($BP638="Emissions positive",-1,1)</f>
        <v>-12100</v>
      </c>
      <c r="CS638">
        <f>IF($CN638="refOK",$BT638,$BS638)*IF($BP638="Emissions positive",-1,1)</f>
        <v>-2080</v>
      </c>
      <c r="CT638">
        <f>IF($CN638="refNeedCorrection",-BX638,BX638)*IF($BP638="Emissions positive",-1,1)</f>
        <v>10.02</v>
      </c>
      <c r="CU638">
        <f>IFERROR(CT638/CQ638,"")</f>
        <v>0.16770733706790544</v>
      </c>
      <c r="CV638" s="2">
        <f>IFERROR((CS638-CR638)/ABS(CR638),"")</f>
        <v>0.82809917355371898</v>
      </c>
      <c r="CW638" s="1" t="s">
        <v>347</v>
      </c>
      <c r="CX638" t="str">
        <f>IF(OR($CW638="prd",$CW638="std",$CW638="cit"),"loc",IF(OR($CW638="eur",$CW638="reg",$CW638="coy"),"reg",$CW638))</f>
        <v>loc</v>
      </c>
      <c r="CY638" t="s">
        <v>348</v>
      </c>
      <c r="CZ638">
        <v>2014</v>
      </c>
      <c r="DA638">
        <v>2514</v>
      </c>
      <c r="DB638">
        <v>500</v>
      </c>
      <c r="DC638" t="str">
        <f>IF(DB638=0,"0",IF(AND(DB638&gt;=1,DB638&lt;=30),"1-30",IF(AND(DB638&gt;30,DB638&lt;=70),"31-70",IF(AND(DB638&gt;70,DB638&lt;=100),"71-100",IF(DB638&gt;100,"+100")))))</f>
        <v>+100</v>
      </c>
      <c r="DD638">
        <v>0</v>
      </c>
      <c r="DE638">
        <v>0</v>
      </c>
      <c r="DF638">
        <v>0</v>
      </c>
      <c r="DG638">
        <v>1</v>
      </c>
      <c r="DI638">
        <f>SUM(DD638:DG638)</f>
        <v>1</v>
      </c>
      <c r="DJ638" t="str">
        <f>IF(DI638=1,INDEX($DD$7:$DG$7,MATCH(1,$DD638:$DG638,0)),"mixedProduct")</f>
        <v>TimberInput</v>
      </c>
      <c r="DK638">
        <f>IF(DD638=1,DK$7,0)</f>
        <v>0</v>
      </c>
      <c r="DL638">
        <f>IF(DE638=1,DL$7,0)</f>
        <v>0</v>
      </c>
      <c r="DM638">
        <f>IF(DF638=1,DM$7,0)</f>
        <v>0</v>
      </c>
      <c r="DN638" t="str">
        <f>IF(DG638=1,DN$7,0)</f>
        <v>Timber</v>
      </c>
      <c r="DO638">
        <v>0</v>
      </c>
      <c r="DP638">
        <v>0</v>
      </c>
      <c r="DQ638">
        <v>0</v>
      </c>
      <c r="DR638">
        <v>0</v>
      </c>
      <c r="DS638">
        <v>0</v>
      </c>
      <c r="DT638">
        <f>SUM(DO638:DP638)</f>
        <v>0</v>
      </c>
      <c r="DU638" s="143" t="str">
        <f>IF(DO638=1,"self-calculated DF",IF(DP638=1,"external DF used","explicit C balance"))</f>
        <v>explicit C balance</v>
      </c>
      <c r="DV638">
        <v>0</v>
      </c>
      <c r="DW638">
        <v>0</v>
      </c>
      <c r="DX638">
        <v>0</v>
      </c>
      <c r="DY638">
        <v>1</v>
      </c>
      <c r="DZ638">
        <v>0</v>
      </c>
      <c r="EA638" s="143">
        <v>1</v>
      </c>
      <c r="EB638">
        <v>0</v>
      </c>
      <c r="EC638">
        <v>1</v>
      </c>
      <c r="ED638">
        <v>1</v>
      </c>
      <c r="EE638">
        <v>1</v>
      </c>
      <c r="EF638">
        <v>0</v>
      </c>
      <c r="EG638">
        <v>0</v>
      </c>
      <c r="EH638">
        <v>0</v>
      </c>
      <c r="EI638" s="2">
        <v>0</v>
      </c>
      <c r="EK638" t="str">
        <f>IF(AND(AND(AND(OR($DX638=1,$DW638=1),OR($EC638=1,$EA638=1)),SUM($DV638:$DZ638,$EF638)&gt;=4),SUM($EA638:$EE638)&gt;=2),"Whole sector","")</f>
        <v/>
      </c>
      <c r="EL638" t="str">
        <f>IF(AND(AND(OR($DX638=1,$DW638=1),AND($EC638=0,$EA638=0)),SUM($DV638:$DZ638,$EF638)&gt;=4),"Ecosystem approach","")</f>
        <v/>
      </c>
      <c r="EM638" s="2" t="str">
        <f>IF(AND(AND(AND($DX638=0,$DW638=0),OR($EC638=1,$EA638=1)),SUM($EB638:$EE638)&gt;=2),"Technology approach","")</f>
        <v>Technology approach</v>
      </c>
      <c r="EP638" t="str">
        <f>IF(ISNUMBER(BU638),IF(ABS(BU638-[1]QC_indicators!$B$2)&gt;3*[1]QC_indicators!$C$2,"C ratio",IF(ISNUMBER(BY638),IF(ABS(BY638-[1]QC_indicators!$B$1)&gt;3*[1]QC_indicators!$C$1,"DF","no"))),IF(ISNUMBER(BY638),IF(ABS(BY638-[1]QC_indicators!$B$1)&gt;3*[1]QC_indicators!$C$1,"DF","no")))</f>
        <v>no</v>
      </c>
      <c r="ER638" s="149" t="s">
        <v>349</v>
      </c>
      <c r="ET638" s="264" t="s">
        <v>3273</v>
      </c>
    </row>
    <row r="639" spans="1:150" ht="15" customHeight="1">
      <c r="A639" s="1" t="s">
        <v>1233</v>
      </c>
      <c r="B639" t="s">
        <v>1234</v>
      </c>
      <c r="C639" t="s">
        <v>1235</v>
      </c>
      <c r="D639" t="s">
        <v>336</v>
      </c>
      <c r="E639" t="s">
        <v>1236</v>
      </c>
      <c r="F639" t="s">
        <v>1237</v>
      </c>
      <c r="G639" t="s">
        <v>1238</v>
      </c>
      <c r="I639">
        <v>2018</v>
      </c>
      <c r="K639" t="s">
        <v>1239</v>
      </c>
      <c r="M639" t="str">
        <f>LEFT($D639,FIND(",",$D639)-1)&amp;"_"&amp;I639&amp;L639</f>
        <v>Balasbaneh_2018</v>
      </c>
      <c r="N639" t="s">
        <v>222</v>
      </c>
      <c r="O639" s="140" t="s">
        <v>513</v>
      </c>
      <c r="Q639" t="s">
        <v>224</v>
      </c>
      <c r="R639" s="262" t="s">
        <v>223</v>
      </c>
      <c r="S639" s="1" t="s">
        <v>1249</v>
      </c>
      <c r="T639" s="264" t="s">
        <v>3113</v>
      </c>
      <c r="U639" s="264" t="s">
        <v>3116</v>
      </c>
      <c r="V639">
        <v>0</v>
      </c>
      <c r="W639">
        <v>0</v>
      </c>
      <c r="X639">
        <v>0</v>
      </c>
      <c r="Y639">
        <v>0</v>
      </c>
      <c r="Z639">
        <v>0</v>
      </c>
      <c r="AA639">
        <v>0</v>
      </c>
      <c r="AB639">
        <v>0</v>
      </c>
      <c r="AC639">
        <v>0</v>
      </c>
      <c r="AD639">
        <v>0</v>
      </c>
      <c r="AE639">
        <v>0</v>
      </c>
      <c r="AF639">
        <v>0</v>
      </c>
      <c r="AG639">
        <v>0</v>
      </c>
      <c r="AH639">
        <v>0</v>
      </c>
      <c r="AI639">
        <v>0</v>
      </c>
      <c r="AJ639">
        <v>0</v>
      </c>
      <c r="AK639">
        <v>1</v>
      </c>
      <c r="AL639">
        <v>0</v>
      </c>
      <c r="AM639">
        <v>0</v>
      </c>
      <c r="AN639">
        <v>0</v>
      </c>
      <c r="AO639">
        <v>0</v>
      </c>
      <c r="AP639">
        <v>0</v>
      </c>
      <c r="AQ639">
        <v>0</v>
      </c>
      <c r="AR639">
        <v>0</v>
      </c>
      <c r="AS639">
        <v>0</v>
      </c>
      <c r="AT639">
        <v>0</v>
      </c>
      <c r="AU639">
        <v>0</v>
      </c>
      <c r="AV639">
        <v>0</v>
      </c>
      <c r="AW639">
        <v>0</v>
      </c>
      <c r="AX639" s="141">
        <f>COUNTIF(V639:AW639,"&lt;&gt;0")</f>
        <v>1</v>
      </c>
      <c r="AY639" s="141">
        <f>COUNTIF(V639:AL639,"&lt;&gt;0")</f>
        <v>1</v>
      </c>
      <c r="AZ639">
        <f>COUNTIF(V639:AC639,"&lt;&gt;0")</f>
        <v>0</v>
      </c>
      <c r="BA639">
        <f>COUNTIF(AD639:AI639,"&lt;&gt;0")</f>
        <v>0</v>
      </c>
      <c r="BB639">
        <f>COUNTIF(AJ639:AL639,"&lt;&gt;0")</f>
        <v>1</v>
      </c>
      <c r="BC639">
        <f>COUNTIF(AS639:AW639,"&lt;&gt;0")</f>
        <v>0</v>
      </c>
      <c r="BD639">
        <f>COUNTIF(AM639:AR639,"&lt;&gt;0")</f>
        <v>0</v>
      </c>
      <c r="BE639" t="str">
        <f t="array" ref="BE639">IF(AY639=1,INDEX($V$7:$AL$7,MATCH(TRUE,INDEX($V639:$AW639&lt;&gt;0,),0)),IF(AY639=0,INDEX($AM$7:$AW$7,MATCH(1,$AM639:$AW639,0)),IF(BF639="Multiple strategies","mixed drivers",IF(BF639="Supply chain","multiple supply","multiple silviculture"))))</f>
        <v>technologies/design switch</v>
      </c>
      <c r="BF639" s="2" t="str" cm="1">
        <f t="array" ref="BF639">IF(COUNTIF(AZ639:BB639,"&lt;&gt;0")=1,INDEX($V$4:$AW$4,MATCH(TRUE,INDEX($V639:$AW639&lt;&gt;0,),0)),IF(COUNTIF(AZ639:BB639,"&lt;&gt;0")=0,INDEX($AM$4:$AW$4,MATCH(1,$AM639:$AW639,0)),"Multiple strategies"))</f>
        <v>Technology</v>
      </c>
      <c r="BG639" s="1" t="s">
        <v>229</v>
      </c>
      <c r="BH639" t="s">
        <v>229</v>
      </c>
      <c r="BJ639" t="s">
        <v>345</v>
      </c>
      <c r="BK639">
        <v>0</v>
      </c>
      <c r="BL639">
        <v>23436</v>
      </c>
      <c r="BM639" s="143"/>
      <c r="BN639">
        <f>BL639-BK639</f>
        <v>23436</v>
      </c>
      <c r="BO639" s="143">
        <f>BN639*kg_to_m3</f>
        <v>47.828571428571436</v>
      </c>
      <c r="BP639" t="s">
        <v>232</v>
      </c>
      <c r="BQ639" s="337" t="s">
        <v>1057</v>
      </c>
      <c r="BR639" t="s">
        <v>397</v>
      </c>
      <c r="BS639">
        <v>-8790</v>
      </c>
      <c r="BT639">
        <v>-711</v>
      </c>
      <c r="BU639" s="144">
        <v>8.088737201365187E-2</v>
      </c>
      <c r="BV639">
        <v>8079</v>
      </c>
      <c r="BX639">
        <f>BV639/1000</f>
        <v>8.0790000000000006</v>
      </c>
      <c r="BY639">
        <f>IFERROR(BX639/BO639,"")</f>
        <v>0.16891577060931898</v>
      </c>
      <c r="BZ639">
        <v>0</v>
      </c>
      <c r="CA639">
        <v>0</v>
      </c>
      <c r="CB639">
        <v>0</v>
      </c>
      <c r="CC639">
        <v>0</v>
      </c>
      <c r="CD639">
        <v>0</v>
      </c>
      <c r="CE639">
        <v>0</v>
      </c>
      <c r="CF639">
        <v>0</v>
      </c>
      <c r="CG639">
        <v>0</v>
      </c>
      <c r="CH639">
        <v>0</v>
      </c>
      <c r="CI639">
        <v>0</v>
      </c>
      <c r="CJ639">
        <v>0</v>
      </c>
      <c r="CK639">
        <v>0</v>
      </c>
      <c r="CL639">
        <v>0</v>
      </c>
      <c r="CM639">
        <v>0</v>
      </c>
      <c r="CN639" t="str">
        <f>IF($BL639&lt;$BK639,"refNeedCorrection","refOK")</f>
        <v>refOK</v>
      </c>
      <c r="CO639">
        <f>IF($CN639="refNeedCorrection",BL639,BK639)</f>
        <v>0</v>
      </c>
      <c r="CP639">
        <f>IF($CN639="refNeedCorrection",BK639,BL639)</f>
        <v>23436</v>
      </c>
      <c r="CQ639">
        <f>IF($CN639="refOK",$BO639,-$BO639)</f>
        <v>47.828571428571436</v>
      </c>
      <c r="CR639">
        <f>IF($CN639="refOK",$BS639,$BT639)*IF($BP639="Emissions positive",-1,1)</f>
        <v>-8790</v>
      </c>
      <c r="CS639">
        <f>IF($CN639="refOK",$BT639,$BS639)*IF($BP639="Emissions positive",-1,1)</f>
        <v>-711</v>
      </c>
      <c r="CT639">
        <f>IF($CN639="refNeedCorrection",-BX639,BX639)*IF($BP639="Emissions positive",-1,1)</f>
        <v>8.0790000000000006</v>
      </c>
      <c r="CU639">
        <f>IFERROR(CT639/CQ639,"")</f>
        <v>0.16891577060931898</v>
      </c>
      <c r="CV639" s="2">
        <f>IFERROR((CS639-CR639)/ABS(CR639),"")</f>
        <v>0.91911262798634807</v>
      </c>
      <c r="CW639" s="1" t="s">
        <v>1203</v>
      </c>
      <c r="CX639" t="str">
        <f>IF(OR($CW639="prd",$CW639="std",$CW639="cit"),"loc",IF(OR($CW639="eur",$CW639="reg",$CW639="coy"),"reg",$CW639))</f>
        <v>reg</v>
      </c>
      <c r="CY639" t="s">
        <v>348</v>
      </c>
      <c r="CZ639">
        <v>2014</v>
      </c>
      <c r="DA639">
        <v>2034</v>
      </c>
      <c r="DB639">
        <v>20</v>
      </c>
      <c r="DC639" t="str">
        <f>IF(DB639=0,"0",IF(AND(DB639&gt;=1,DB639&lt;=30),"1-30",IF(AND(DB639&gt;30,DB639&lt;=70),"31-70",IF(AND(DB639&gt;70,DB639&lt;=100),"71-100",IF(DB639&gt;100,"+100")))))</f>
        <v>1-30</v>
      </c>
      <c r="DD639">
        <v>0</v>
      </c>
      <c r="DE639">
        <v>0</v>
      </c>
      <c r="DF639">
        <v>0</v>
      </c>
      <c r="DG639">
        <v>1</v>
      </c>
      <c r="DI639">
        <f>SUM(DD639:DG639)</f>
        <v>1</v>
      </c>
      <c r="DJ639" t="str">
        <f>IF(DI639=1,INDEX($DD$7:$DG$7,MATCH(1,$DD639:$DG639,0)),"mixedProduct")</f>
        <v>TimberInput</v>
      </c>
      <c r="DK639">
        <f>IF(DD639=1,DK$7,0)</f>
        <v>0</v>
      </c>
      <c r="DL639">
        <f>IF(DE639=1,DL$7,0)</f>
        <v>0</v>
      </c>
      <c r="DM639">
        <f>IF(DF639=1,DM$7,0)</f>
        <v>0</v>
      </c>
      <c r="DN639" t="str">
        <f>IF(DG639=1,DN$7,0)</f>
        <v>Timber</v>
      </c>
      <c r="DO639">
        <v>0</v>
      </c>
      <c r="DP639">
        <v>0</v>
      </c>
      <c r="DQ639">
        <v>0</v>
      </c>
      <c r="DR639">
        <v>0</v>
      </c>
      <c r="DS639">
        <v>0</v>
      </c>
      <c r="DT639">
        <f>SUM(DO639:DP639)</f>
        <v>0</v>
      </c>
      <c r="DU639" s="143" t="str">
        <f>IF(DO639=1,"self-calculated DF",IF(DP639=1,"external DF used","explicit C balance"))</f>
        <v>explicit C balance</v>
      </c>
      <c r="DV639">
        <v>0</v>
      </c>
      <c r="DW639">
        <v>0</v>
      </c>
      <c r="DX639">
        <v>0</v>
      </c>
      <c r="DY639">
        <v>0</v>
      </c>
      <c r="DZ639">
        <v>0</v>
      </c>
      <c r="EA639" s="143">
        <v>1</v>
      </c>
      <c r="EB639">
        <v>0</v>
      </c>
      <c r="EC639">
        <v>1</v>
      </c>
      <c r="ED639">
        <v>1</v>
      </c>
      <c r="EE639">
        <v>1</v>
      </c>
      <c r="EF639">
        <v>0</v>
      </c>
      <c r="EG639">
        <v>0</v>
      </c>
      <c r="EH639">
        <v>0</v>
      </c>
      <c r="EI639" s="2">
        <v>0</v>
      </c>
      <c r="EK639" t="str">
        <f>IF(AND(AND(AND(OR($DX639=1,$DW639=1),OR($EC639=1,$EA639=1)),SUM($DV639:$DZ639,$EF639)&gt;=4),SUM($EA639:$EE639)&gt;=2),"Whole sector","")</f>
        <v/>
      </c>
      <c r="EL639" t="str">
        <f>IF(AND(AND(OR($DX639=1,$DW639=1),AND($EC639=0,$EA639=0)),SUM($DV639:$DZ639,$EF639)&gt;=4),"Ecosystem approach","")</f>
        <v/>
      </c>
      <c r="EM639" s="2" t="str">
        <f>IF(AND(AND(AND($DX639=0,$DW639=0),OR($EC639=1,$EA639=1)),SUM($EB639:$EE639)&gt;=2),"Technology approach","")</f>
        <v>Technology approach</v>
      </c>
      <c r="EP639" t="str">
        <f>IF(ISNUMBER(BU639),IF(ABS(BU639-[1]QC_indicators!$B$2)&gt;3*[1]QC_indicators!$C$2,"C ratio",IF(ISNUMBER(BY639),IF(ABS(BY639-[1]QC_indicators!$B$1)&gt;3*[1]QC_indicators!$C$1,"DF","no"))),IF(ISNUMBER(BY639),IF(ABS(BY639-[1]QC_indicators!$B$1)&gt;3*[1]QC_indicators!$C$1,"DF","no")))</f>
        <v>no</v>
      </c>
      <c r="ER639" s="149" t="s">
        <v>349</v>
      </c>
      <c r="ET639" s="264" t="s">
        <v>3273</v>
      </c>
    </row>
    <row r="640" spans="1:150" ht="15" customHeight="1">
      <c r="A640" s="1" t="s">
        <v>430</v>
      </c>
      <c r="B640" t="s">
        <v>431</v>
      </c>
      <c r="C640" t="s">
        <v>432</v>
      </c>
      <c r="D640" t="s">
        <v>433</v>
      </c>
      <c r="E640" t="s">
        <v>434</v>
      </c>
      <c r="F640" t="s">
        <v>435</v>
      </c>
      <c r="G640" t="s">
        <v>436</v>
      </c>
      <c r="H640" t="s">
        <v>254</v>
      </c>
      <c r="I640">
        <v>2000</v>
      </c>
      <c r="J640">
        <v>174</v>
      </c>
      <c r="K640" t="s">
        <v>437</v>
      </c>
      <c r="M640" t="str">
        <f>LEFT($D640,FIND(",",$D640)-1)&amp;"_"&amp;I640&amp;L640</f>
        <v>Borjesson_2000</v>
      </c>
      <c r="N640" t="s">
        <v>222</v>
      </c>
      <c r="O640" s="145" t="s">
        <v>223</v>
      </c>
      <c r="Q640" t="s">
        <v>256</v>
      </c>
      <c r="R640" s="255" t="s">
        <v>225</v>
      </c>
      <c r="S640" s="1" t="s">
        <v>475</v>
      </c>
      <c r="T640" t="s">
        <v>480</v>
      </c>
      <c r="U640" t="s">
        <v>481</v>
      </c>
      <c r="V640">
        <v>0</v>
      </c>
      <c r="W640">
        <v>0</v>
      </c>
      <c r="X640">
        <v>0</v>
      </c>
      <c r="Y640">
        <v>0</v>
      </c>
      <c r="Z640">
        <v>0</v>
      </c>
      <c r="AA640">
        <v>0</v>
      </c>
      <c r="AB640">
        <v>0</v>
      </c>
      <c r="AC640">
        <v>0</v>
      </c>
      <c r="AD640">
        <v>0</v>
      </c>
      <c r="AE640">
        <v>0</v>
      </c>
      <c r="AF640">
        <v>0</v>
      </c>
      <c r="AG640">
        <v>0</v>
      </c>
      <c r="AH640">
        <v>0</v>
      </c>
      <c r="AI640">
        <v>0</v>
      </c>
      <c r="AJ640">
        <v>0</v>
      </c>
      <c r="AK640">
        <v>1</v>
      </c>
      <c r="AL640">
        <v>0</v>
      </c>
      <c r="AM640">
        <v>0</v>
      </c>
      <c r="AN640">
        <v>0</v>
      </c>
      <c r="AO640">
        <v>0</v>
      </c>
      <c r="AP640">
        <v>0</v>
      </c>
      <c r="AQ640">
        <v>0</v>
      </c>
      <c r="AR640">
        <v>0</v>
      </c>
      <c r="AS640">
        <v>0</v>
      </c>
      <c r="AT640">
        <v>0</v>
      </c>
      <c r="AU640">
        <v>0</v>
      </c>
      <c r="AV640">
        <v>0</v>
      </c>
      <c r="AW640">
        <v>0</v>
      </c>
      <c r="AX640" s="141">
        <f>COUNTIF(V640:AW640,"&lt;&gt;0")</f>
        <v>1</v>
      </c>
      <c r="AY640" s="141">
        <f>COUNTIF(V640:AL640,"&lt;&gt;0")</f>
        <v>1</v>
      </c>
      <c r="AZ640">
        <f>COUNTIF(V640:AC640,"&lt;&gt;0")</f>
        <v>0</v>
      </c>
      <c r="BA640">
        <f>COUNTIF(AD640:AI640,"&lt;&gt;0")</f>
        <v>0</v>
      </c>
      <c r="BB640">
        <f>COUNTIF(AJ640:AL640,"&lt;&gt;0")</f>
        <v>1</v>
      </c>
      <c r="BC640">
        <f>COUNTIF(AS640:AW640,"&lt;&gt;0")</f>
        <v>0</v>
      </c>
      <c r="BD640">
        <f>COUNTIF(AM640:AR640,"&lt;&gt;0")</f>
        <v>0</v>
      </c>
      <c r="BE640" t="str">
        <f t="array" ref="BE640">IF(AY640=1,INDEX($V$7:$AL$7,MATCH(TRUE,INDEX($V640:$AW640&lt;&gt;0,),0)),IF(AY640=0,INDEX($AM$7:$AW$7,MATCH(1,$AM640:$AW640,0)),IF(BF640="Multiple strategies","mixed drivers",IF(BF640="Supply chain","multiple supply","multiple silviculture"))))</f>
        <v>technologies/design switch</v>
      </c>
      <c r="BF640" s="2" t="str" cm="1">
        <f t="array" ref="BF640">IF(COUNTIF(AZ640:BB640,"&lt;&gt;0")=1,INDEX($V$4:$AW$4,MATCH(TRUE,INDEX($V640:$AW640&lt;&gt;0,),0)),IF(COUNTIF(AZ640:BB640,"&lt;&gt;0")=0,INDEX($AM$4:$AW$4,MATCH(1,$AM640:$AW640,0)),"Multiple strategies"))</f>
        <v>Technology</v>
      </c>
      <c r="BG640" s="142" t="s">
        <v>321</v>
      </c>
      <c r="BH640" t="s">
        <v>478</v>
      </c>
      <c r="BI640" s="264" t="s">
        <v>3276</v>
      </c>
      <c r="BJ640" t="s">
        <v>442</v>
      </c>
      <c r="BK640">
        <v>0</v>
      </c>
      <c r="BL640">
        <v>45</v>
      </c>
      <c r="BM640" s="143"/>
      <c r="BN640">
        <f>BL640-BK640</f>
        <v>45</v>
      </c>
      <c r="BO640">
        <f>BN640*tC_to_m3</f>
        <v>195.39730785931394</v>
      </c>
      <c r="BP640" t="s">
        <v>232</v>
      </c>
      <c r="BQ640" s="260" t="s">
        <v>813</v>
      </c>
      <c r="BR640" t="s">
        <v>443</v>
      </c>
      <c r="BS640" s="141">
        <v>3</v>
      </c>
      <c r="BT640" s="141">
        <v>12</v>
      </c>
      <c r="BU640" s="144">
        <f>IFERROR(BT640/BS640,"")</f>
        <v>4</v>
      </c>
      <c r="BV640">
        <f>BT640-BS640</f>
        <v>9</v>
      </c>
      <c r="BX640">
        <f>BV640*C_to_CO2</f>
        <v>33.03</v>
      </c>
      <c r="BY640">
        <f>IFERROR(BX640/BO640,"")</f>
        <v>0.1690402</v>
      </c>
      <c r="BZ640" s="143">
        <v>0</v>
      </c>
      <c r="CA640" s="143">
        <v>0</v>
      </c>
      <c r="CB640" s="143">
        <v>0</v>
      </c>
      <c r="CC640" s="143">
        <v>0</v>
      </c>
      <c r="CD640" s="143">
        <v>0</v>
      </c>
      <c r="CE640" s="143">
        <v>0</v>
      </c>
      <c r="CF640" s="143">
        <v>0</v>
      </c>
      <c r="CG640" s="143">
        <v>0</v>
      </c>
      <c r="CH640" s="143">
        <v>0</v>
      </c>
      <c r="CI640" s="143">
        <v>0</v>
      </c>
      <c r="CJ640" s="143">
        <v>0</v>
      </c>
      <c r="CK640" s="143">
        <v>0</v>
      </c>
      <c r="CL640" s="143">
        <v>0</v>
      </c>
      <c r="CM640">
        <v>0</v>
      </c>
      <c r="CN640" t="str">
        <f>IF($BL640&lt;$BK640,"refNeedCorrection","refOK")</f>
        <v>refOK</v>
      </c>
      <c r="CO640">
        <f>IF($CN640="refOK",$BK640,$BL640)</f>
        <v>0</v>
      </c>
      <c r="CP640">
        <f>IF($CN640="refOK",$BL640,$BK640)</f>
        <v>45</v>
      </c>
      <c r="CQ640">
        <f>IF($CN640="refOK",$BO640,-$BO640)</f>
        <v>195.39730785931394</v>
      </c>
      <c r="CR640">
        <f>IF($CN640="refOK",$BS640,$BT640)*IF($BP640="Emissions positive",-1,1)</f>
        <v>3</v>
      </c>
      <c r="CS640">
        <f>IF($CN640="refOK",$BT640,$BS640)*IF($BP640="Emissions positive",-1,1)</f>
        <v>12</v>
      </c>
      <c r="CT640">
        <f>IF($CN640="refNeedCorrection",-BX640,BX640)*IF($BP640="Emissions positive",-1,1)</f>
        <v>33.03</v>
      </c>
      <c r="CU640">
        <f>IFERROR(CT640/CQ640,"")</f>
        <v>0.1690402</v>
      </c>
      <c r="CV640" s="2">
        <f>IFERROR((CS640-CR640)/ABS(CR640),"")</f>
        <v>3</v>
      </c>
      <c r="CW640" s="1" t="s">
        <v>263</v>
      </c>
      <c r="CX640" t="str">
        <f>IF(OR($CW640="prd",$CW640="std",$CW640="cit"),"loc",IF(OR($CW640="eur",$CW640="reg",$CW640="coy"),"reg",$CW640))</f>
        <v>loc</v>
      </c>
      <c r="CY640" t="s">
        <v>444</v>
      </c>
      <c r="DB640">
        <v>300</v>
      </c>
      <c r="DC640" t="str">
        <f>IF(DB640=0,"0",IF(AND(DB640&gt;=1,DB640&lt;=30),"1-30",IF(AND(DB640&gt;30,DB640&lt;=70),"31-70",IF(AND(DB640&gt;70,DB640&lt;=100),"71-100",IF(DB640&gt;100,"+100")))))</f>
        <v>+100</v>
      </c>
      <c r="DD640">
        <v>0</v>
      </c>
      <c r="DE640">
        <v>1</v>
      </c>
      <c r="DF640">
        <v>0</v>
      </c>
      <c r="DG640">
        <v>0</v>
      </c>
      <c r="DI640">
        <f>SUM(DD640:DG640)</f>
        <v>1</v>
      </c>
      <c r="DJ640" t="str">
        <f>IF(DI640=1,INDEX($DD$7:$DG$7,MATCH(1,$DD640:$DG640,0)),"mixedProduct")</f>
        <v>EnergyInput</v>
      </c>
      <c r="DK640">
        <f>IF(DD640=1,DK$7,0)</f>
        <v>0</v>
      </c>
      <c r="DL640" t="str">
        <f>IF(DE640=1,DL$7,0)</f>
        <v>Energy</v>
      </c>
      <c r="DM640">
        <f>IF(DF640=1,DM$7,0)</f>
        <v>0</v>
      </c>
      <c r="DN640">
        <f>IF(DG640=1,DN$7,0)</f>
        <v>0</v>
      </c>
      <c r="DO640">
        <v>1</v>
      </c>
      <c r="DP640" s="143">
        <v>0</v>
      </c>
      <c r="DQ640" s="143">
        <v>0</v>
      </c>
      <c r="DR640" s="143">
        <v>0</v>
      </c>
      <c r="DS640">
        <v>0</v>
      </c>
      <c r="DT640">
        <f>SUM(DO640:DP640)</f>
        <v>1</v>
      </c>
      <c r="DU640" s="143" t="str">
        <f>IF(DO640=1,"self-calculated DF",IF(DP640=1,"external DF used","explicit C balance"))</f>
        <v>self-calculated DF</v>
      </c>
      <c r="DV640">
        <v>0</v>
      </c>
      <c r="DW640" s="143">
        <v>0</v>
      </c>
      <c r="DX640" s="143">
        <v>1</v>
      </c>
      <c r="DY640" s="143">
        <v>1</v>
      </c>
      <c r="DZ640">
        <v>1</v>
      </c>
      <c r="EA640" s="143">
        <v>1</v>
      </c>
      <c r="EB640">
        <v>0</v>
      </c>
      <c r="EC640" s="143">
        <v>1</v>
      </c>
      <c r="ED640" s="143">
        <v>0</v>
      </c>
      <c r="EE640">
        <v>0</v>
      </c>
      <c r="EF640">
        <v>0</v>
      </c>
      <c r="EG640" s="143">
        <v>0</v>
      </c>
      <c r="EH640" s="143">
        <v>0</v>
      </c>
      <c r="EI640" s="2">
        <v>0</v>
      </c>
      <c r="EK640" t="str">
        <f>IF(AND(AND(AND(OR($DX640=1,$DW640=1),OR($EC640=1,$EA640=1)),SUM($DV640:$DZ640,$EF640)&gt;=4),SUM($EA640:$EE640)&gt;=2),"Whole sector","")</f>
        <v/>
      </c>
      <c r="EL640" t="str">
        <f>IF(AND(AND(OR($DX640=1,$DW640=1),AND($EC640=0,$EA640=0)),SUM($DV640:$DZ640,$EF640)&gt;=4),"Ecosystem approach","")</f>
        <v/>
      </c>
      <c r="EM640" s="2" t="str">
        <f>IF(AND(AND(AND($DX640=0,$DW640=0),OR($EC640=1,$EA640=1)),SUM($EB640:$EE640)&gt;=2),"Technology approach","")</f>
        <v/>
      </c>
      <c r="EP640" t="str">
        <f>IF(ISNUMBER(BU640),IF(ABS(BU640-[4]QC_indicators!$B$2)&gt;3*[4]QC_indicators!$C$2,"C ratio",IF(ISNUMBER(BY640),IF(ABS(BY640-[4]QC_indicators!$B$1)&gt;3*[4]QC_indicators!$C$1,"DF","no"))),IF(ISNUMBER(BY640),IF(ABS(BY640-[4]QC_indicators!$B$1)&gt;3*[4]QC_indicators!$C$1,"DF","no")))</f>
        <v>no</v>
      </c>
      <c r="ER640" t="s">
        <v>479</v>
      </c>
      <c r="ET640" s="264" t="s">
        <v>3273</v>
      </c>
    </row>
    <row r="641" spans="1:150" ht="15" customHeight="1">
      <c r="A641" s="1" t="s">
        <v>1102</v>
      </c>
      <c r="B641" t="s">
        <v>2307</v>
      </c>
      <c r="C641" t="s">
        <v>2308</v>
      </c>
      <c r="D641" t="s">
        <v>2309</v>
      </c>
      <c r="E641" s="264" t="s">
        <v>2310</v>
      </c>
      <c r="F641" t="s">
        <v>2311</v>
      </c>
      <c r="G641" t="s">
        <v>1108</v>
      </c>
      <c r="H641" t="s">
        <v>254</v>
      </c>
      <c r="I641">
        <v>2017</v>
      </c>
      <c r="J641">
        <v>28</v>
      </c>
      <c r="K641" t="s">
        <v>2312</v>
      </c>
      <c r="M641" t="str">
        <f>LEFT($D641,FIND(",",$D641)-1)&amp;"_"&amp;I641&amp;L641</f>
        <v>Smyth_2017</v>
      </c>
      <c r="N641" t="s">
        <v>222</v>
      </c>
      <c r="O641" s="145" t="s">
        <v>341</v>
      </c>
      <c r="Q641" t="s">
        <v>256</v>
      </c>
      <c r="R641" s="262" t="s">
        <v>223</v>
      </c>
      <c r="S641" s="1" t="s">
        <v>2313</v>
      </c>
      <c r="T641" t="s">
        <v>1155</v>
      </c>
      <c r="U641" t="s">
        <v>2168</v>
      </c>
      <c r="V641">
        <v>0</v>
      </c>
      <c r="W641">
        <v>0</v>
      </c>
      <c r="X641">
        <v>0</v>
      </c>
      <c r="Y641">
        <v>1</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s="141">
        <f>COUNTIF(V641:AW641,"&lt;&gt;0")</f>
        <v>1</v>
      </c>
      <c r="AY641" s="141">
        <f>COUNTIF(V641:AL641,"&lt;&gt;0")</f>
        <v>1</v>
      </c>
      <c r="AZ641">
        <f>COUNTIF(V641:AC641,"&lt;&gt;0")</f>
        <v>1</v>
      </c>
      <c r="BA641">
        <f>COUNTIF(AD641:AI641,"&lt;&gt;0")</f>
        <v>0</v>
      </c>
      <c r="BB641">
        <f>COUNTIF(AJ641:AL641,"&lt;&gt;0")</f>
        <v>0</v>
      </c>
      <c r="BC641">
        <f>COUNTIF(AS641:AW641,"&lt;&gt;0")</f>
        <v>0</v>
      </c>
      <c r="BD641">
        <f>COUNTIF(AM641:AR641,"&lt;&gt;0")</f>
        <v>0</v>
      </c>
      <c r="BE641" t="str">
        <f t="array" ref="BE641">IF(AY641=1,INDEX($V$7:$AL$7,MATCH(TRUE,INDEX($V641:$AW641&lt;&gt;0,),0)),IF(AY641=0,INDEX($AM$7:$AW$7,MATCH(1,$AM641:$AW641,0)),IF(BF641="Multiple strategies","mixed drivers",IF(BF641="Supply chain","multiple supply","multiple silviculture"))))</f>
        <v xml:space="preserve">cutting intensity </v>
      </c>
      <c r="BF641" s="2" t="str" cm="1">
        <f t="array" ref="BF641">IF(COUNTIF(AZ641:BB641,"&lt;&gt;0")=1,INDEX($V$4:$AW$4,MATCH(TRUE,INDEX($V641:$AW641&lt;&gt;0,),0)),IF(COUNTIF(AZ641:BB641,"&lt;&gt;0")=0,INDEX($AM$4:$AW$4,MATCH(1,$AM641:$AW641,0)),"Multiple strategies"))</f>
        <v>Silviculture for removals</v>
      </c>
      <c r="BG641" s="174" t="s">
        <v>321</v>
      </c>
      <c r="BH641" t="s">
        <v>2314</v>
      </c>
      <c r="BI641" s="264" t="s">
        <v>3245</v>
      </c>
      <c r="BJ641" t="s">
        <v>2288</v>
      </c>
      <c r="BK641">
        <f>1*33</f>
        <v>33</v>
      </c>
      <c r="BL641">
        <f>11.9*33</f>
        <v>392.7</v>
      </c>
      <c r="BN641">
        <f>BL641-BK641</f>
        <v>359.7</v>
      </c>
      <c r="BO641">
        <f>BN641*10^6*tC_to_m3</f>
        <v>1561875814.1554496</v>
      </c>
      <c r="BP641" t="s">
        <v>232</v>
      </c>
      <c r="BQ641" s="153" t="s">
        <v>3246</v>
      </c>
      <c r="BR641" t="s">
        <v>1140</v>
      </c>
      <c r="BS641">
        <f>-11.5*33</f>
        <v>-379.5</v>
      </c>
      <c r="BT641">
        <f>-3.4*33</f>
        <v>-112.2</v>
      </c>
      <c r="BU641" s="144">
        <f>IFERROR(BT641/BS641,"")</f>
        <v>0.29565217391304349</v>
      </c>
      <c r="BV641">
        <f>BT641-BS641</f>
        <v>267.3</v>
      </c>
      <c r="BX641">
        <f>BV641*10^6</f>
        <v>267300000</v>
      </c>
      <c r="BY641">
        <f>IFERROR(BX641/BO641,"")</f>
        <v>0.17114036697247703</v>
      </c>
      <c r="BZ641">
        <v>0</v>
      </c>
      <c r="CA641">
        <v>1</v>
      </c>
      <c r="CB641">
        <v>1</v>
      </c>
      <c r="CC641">
        <v>1</v>
      </c>
      <c r="CD641">
        <v>0</v>
      </c>
      <c r="CE641">
        <v>0</v>
      </c>
      <c r="CF641">
        <v>0</v>
      </c>
      <c r="CG641">
        <v>0</v>
      </c>
      <c r="CH641">
        <v>0</v>
      </c>
      <c r="CI641">
        <v>0</v>
      </c>
      <c r="CJ641">
        <v>0</v>
      </c>
      <c r="CK641">
        <v>0</v>
      </c>
      <c r="CL641">
        <v>0</v>
      </c>
      <c r="CM641">
        <v>0</v>
      </c>
      <c r="CN641" t="str">
        <f>IF($BL641&lt;$BK641,"refNeedCorrection","refOK")</f>
        <v>refOK</v>
      </c>
      <c r="CO641">
        <f>IF($CN641="refOK",$BK641,$BL641)</f>
        <v>33</v>
      </c>
      <c r="CP641">
        <f>IF($CN641="refOK",$BL641,$BK641)</f>
        <v>392.7</v>
      </c>
      <c r="CQ641">
        <f>IF($CN641="refOK",$BO641,-$BO641)</f>
        <v>1561875814.1554496</v>
      </c>
      <c r="CR641">
        <f>IF($CN641="refOK",$BS641,$BT641)*IF($BP641="Emissions positive",-1,1)</f>
        <v>-379.5</v>
      </c>
      <c r="CS641">
        <f>IF($CN641="refOK",$BT641,$BS641)*IF($BP641="Emissions positive",-1,1)</f>
        <v>-112.2</v>
      </c>
      <c r="CT641">
        <f>IF($CN641="refNeedCorrection",-BX641,BX641)*IF($BP641="Emissions positive",-1,1)</f>
        <v>267300000</v>
      </c>
      <c r="CU641">
        <f>IFERROR(CT641/CQ641,"")</f>
        <v>0.17114036697247703</v>
      </c>
      <c r="CV641" s="2">
        <f>IFERROR((CS641-CR641)/ABS(CR641),"")</f>
        <v>0.70434782608695656</v>
      </c>
      <c r="CW641" s="1" t="s">
        <v>1203</v>
      </c>
      <c r="CX641" t="str">
        <f>IF(OR($CW641="prd",$CW641="std",$CW641="cit"),"loc",IF(OR($CW641="eur",$CW641="reg",$CW641="coy"),"reg",$CW641))</f>
        <v>reg</v>
      </c>
      <c r="CY641" t="s">
        <v>540</v>
      </c>
      <c r="CZ641">
        <v>2017</v>
      </c>
      <c r="DA641">
        <v>2050</v>
      </c>
      <c r="DB641">
        <v>33</v>
      </c>
      <c r="DC641" t="str">
        <f>IF(DB641=0,"0",IF(AND(DB641&gt;=1,DB641&lt;=30),"1-30",IF(AND(DB641&gt;30,DB641&lt;=70),"31-70",IF(AND(DB641&gt;70,DB641&lt;=100),"71-100",IF(DB641&gt;100,"+100")))))</f>
        <v>31-70</v>
      </c>
      <c r="DD641">
        <v>0</v>
      </c>
      <c r="DE641">
        <v>1</v>
      </c>
      <c r="DF641">
        <v>1</v>
      </c>
      <c r="DG641">
        <v>1</v>
      </c>
      <c r="DI641">
        <f>SUM(DD641:DG641)</f>
        <v>3</v>
      </c>
      <c r="DJ641" t="str">
        <f>IF(DI641=1,INDEX($DD$7:$DG$7,MATCH(1,$DD641:$DG641,0)),"mixedProduct")</f>
        <v>mixedProduct</v>
      </c>
      <c r="DK641">
        <f>IF(DD641=1,DK$7,0)</f>
        <v>0</v>
      </c>
      <c r="DL641" t="str">
        <f>IF(DE641=1,DL$7,0)</f>
        <v>Energy</v>
      </c>
      <c r="DM641" t="str">
        <f>IF(DF641=1,DM$7,0)</f>
        <v>Pulp/Paper</v>
      </c>
      <c r="DN641" t="str">
        <f>IF(DG641=1,DN$7,0)</f>
        <v>Timber</v>
      </c>
      <c r="DO641">
        <v>1</v>
      </c>
      <c r="DP641">
        <v>1</v>
      </c>
      <c r="DQ641" t="s">
        <v>2315</v>
      </c>
      <c r="DR641">
        <v>0</v>
      </c>
      <c r="DS641">
        <v>0</v>
      </c>
      <c r="DT641">
        <f>SUM(DO641:DP641)</f>
        <v>2</v>
      </c>
      <c r="DU641" s="143" t="str">
        <f>IF(DO641=1,"self-calculated DF",IF(DP641=1,"external DF used","explicit C balance"))</f>
        <v>self-calculated DF</v>
      </c>
      <c r="DV641">
        <v>1</v>
      </c>
      <c r="DW641">
        <v>1</v>
      </c>
      <c r="DX641">
        <v>1</v>
      </c>
      <c r="DY641">
        <v>1</v>
      </c>
      <c r="DZ641">
        <v>1</v>
      </c>
      <c r="EA641">
        <v>1</v>
      </c>
      <c r="EB641">
        <v>0</v>
      </c>
      <c r="EC641">
        <v>0</v>
      </c>
      <c r="ED641">
        <v>0</v>
      </c>
      <c r="EE641">
        <v>0</v>
      </c>
      <c r="EF641">
        <v>1</v>
      </c>
      <c r="EG641">
        <v>0</v>
      </c>
      <c r="EH641">
        <v>0</v>
      </c>
      <c r="EI641" s="2">
        <v>0</v>
      </c>
      <c r="EK641" t="str">
        <f>IF(AND(AND(AND(OR($DX641=1,$DW641=1),OR($EC641=1,$EA641=1)),SUM($DV641:$DZ641,$EF641)&gt;=4),SUM($EA641:$EE641)&gt;=2),"Whole sector","")</f>
        <v/>
      </c>
      <c r="EL641" t="str">
        <f>IF(AND(AND(OR($DX641=1,$DW641=1),AND($EC641=0,$EA641=0)),SUM($DV641:$DZ641,$EF641)&gt;=4),"Ecosystem approach","")</f>
        <v/>
      </c>
      <c r="EM641" s="2" t="str">
        <f>IF(AND(AND(AND($DX641=0,$DW641=0),OR($EC641=1,$EA641=1)),SUM($EB641:$EE641)&gt;=2),"Technology approach","")</f>
        <v/>
      </c>
      <c r="EP641" t="str">
        <f>IF(ISNUMBER(BU641),IF(ABS(BU641-[1]QC_indicators!$B$2)&gt;3*[1]QC_indicators!$C$2,"C ratio",IF(ISNUMBER(BY641),IF(ABS(BY641-[1]QC_indicators!$B$1)&gt;3*[1]QC_indicators!$C$1,"DF","no"))),IF(ISNUMBER(BY641),IF(ABS(BY641-[1]QC_indicators!$B$1)&gt;3*[1]QC_indicators!$C$1,"DF","no")))</f>
        <v>no</v>
      </c>
      <c r="ET641" s="264" t="s">
        <v>3247</v>
      </c>
    </row>
    <row r="642" spans="1:150" ht="15" customHeight="1">
      <c r="A642" s="1" t="s">
        <v>430</v>
      </c>
      <c r="B642" t="s">
        <v>431</v>
      </c>
      <c r="C642" t="s">
        <v>432</v>
      </c>
      <c r="D642" t="s">
        <v>433</v>
      </c>
      <c r="E642" t="s">
        <v>434</v>
      </c>
      <c r="F642" t="s">
        <v>435</v>
      </c>
      <c r="G642" t="s">
        <v>436</v>
      </c>
      <c r="H642" t="s">
        <v>254</v>
      </c>
      <c r="I642">
        <v>2000</v>
      </c>
      <c r="J642">
        <v>174</v>
      </c>
      <c r="K642" t="s">
        <v>437</v>
      </c>
      <c r="M642" t="str">
        <f>LEFT($D642,FIND(",",$D642)-1)&amp;"_"&amp;I642&amp;L642</f>
        <v>Borjesson_2000</v>
      </c>
      <c r="N642" t="s">
        <v>222</v>
      </c>
      <c r="O642" s="145" t="s">
        <v>223</v>
      </c>
      <c r="Q642" t="s">
        <v>256</v>
      </c>
      <c r="R642" s="255" t="s">
        <v>225</v>
      </c>
      <c r="S642" s="1" t="s">
        <v>475</v>
      </c>
      <c r="T642" t="s">
        <v>476</v>
      </c>
      <c r="U642" t="s">
        <v>477</v>
      </c>
      <c r="V642">
        <v>0</v>
      </c>
      <c r="W642">
        <v>0</v>
      </c>
      <c r="X642">
        <v>0</v>
      </c>
      <c r="Y642">
        <v>0</v>
      </c>
      <c r="Z642">
        <v>0</v>
      </c>
      <c r="AA642">
        <v>0</v>
      </c>
      <c r="AB642">
        <v>0</v>
      </c>
      <c r="AC642">
        <v>0</v>
      </c>
      <c r="AD642">
        <v>0</v>
      </c>
      <c r="AE642">
        <v>0</v>
      </c>
      <c r="AF642">
        <v>0</v>
      </c>
      <c r="AG642">
        <v>0</v>
      </c>
      <c r="AH642">
        <v>0</v>
      </c>
      <c r="AI642">
        <v>0</v>
      </c>
      <c r="AJ642">
        <v>0</v>
      </c>
      <c r="AK642">
        <v>1</v>
      </c>
      <c r="AL642">
        <v>0</v>
      </c>
      <c r="AM642">
        <v>0</v>
      </c>
      <c r="AN642">
        <v>0</v>
      </c>
      <c r="AO642">
        <v>0</v>
      </c>
      <c r="AP642">
        <v>0</v>
      </c>
      <c r="AQ642">
        <v>0</v>
      </c>
      <c r="AR642">
        <v>0</v>
      </c>
      <c r="AS642">
        <v>0</v>
      </c>
      <c r="AT642">
        <v>0</v>
      </c>
      <c r="AU642">
        <v>0</v>
      </c>
      <c r="AV642">
        <v>0</v>
      </c>
      <c r="AW642">
        <v>0</v>
      </c>
      <c r="AX642" s="141">
        <f>COUNTIF(V642:AW642,"&lt;&gt;0")</f>
        <v>1</v>
      </c>
      <c r="AY642" s="141">
        <f>COUNTIF(V642:AL642,"&lt;&gt;0")</f>
        <v>1</v>
      </c>
      <c r="AZ642">
        <f>COUNTIF(V642:AC642,"&lt;&gt;0")</f>
        <v>0</v>
      </c>
      <c r="BA642">
        <f>COUNTIF(AD642:AI642,"&lt;&gt;0")</f>
        <v>0</v>
      </c>
      <c r="BB642">
        <f>COUNTIF(AJ642:AL642,"&lt;&gt;0")</f>
        <v>1</v>
      </c>
      <c r="BC642">
        <f>COUNTIF(AS642:AW642,"&lt;&gt;0")</f>
        <v>0</v>
      </c>
      <c r="BD642">
        <f>COUNTIF(AM642:AR642,"&lt;&gt;0")</f>
        <v>0</v>
      </c>
      <c r="BE642" t="str">
        <f t="array" ref="BE642">IF(AY642=1,INDEX($V$7:$AL$7,MATCH(TRUE,INDEX($V642:$AW642&lt;&gt;0,),0)),IF(AY642=0,INDEX($AM$7:$AW$7,MATCH(1,$AM642:$AW642,0)),IF(BF642="Multiple strategies","mixed drivers",IF(BF642="Supply chain","multiple supply","multiple silviculture"))))</f>
        <v>technologies/design switch</v>
      </c>
      <c r="BF642" s="2" t="str" cm="1">
        <f t="array" ref="BF642">IF(COUNTIF(AZ642:BB642,"&lt;&gt;0")=1,INDEX($V$4:$AW$4,MATCH(TRUE,INDEX($V642:$AW642&lt;&gt;0,),0)),IF(COUNTIF(AZ642:BB642,"&lt;&gt;0")=0,INDEX($AM$4:$AW$4,MATCH(1,$AM642:$AW642,0)),"Multiple strategies"))</f>
        <v>Technology</v>
      </c>
      <c r="BG642" s="142" t="s">
        <v>321</v>
      </c>
      <c r="BH642" t="s">
        <v>478</v>
      </c>
      <c r="BI642" s="264" t="s">
        <v>3275</v>
      </c>
      <c r="BJ642" t="s">
        <v>442</v>
      </c>
      <c r="BK642">
        <v>0</v>
      </c>
      <c r="BL642">
        <v>54</v>
      </c>
      <c r="BM642" s="143"/>
      <c r="BN642">
        <f>BL642-BK642</f>
        <v>54</v>
      </c>
      <c r="BO642">
        <f>BN642*tC_to_m3</f>
        <v>234.47676943117673</v>
      </c>
      <c r="BP642" t="s">
        <v>232</v>
      </c>
      <c r="BQ642" s="260" t="s">
        <v>813</v>
      </c>
      <c r="BR642" t="s">
        <v>443</v>
      </c>
      <c r="BS642" s="141">
        <v>6</v>
      </c>
      <c r="BT642" s="141">
        <v>17</v>
      </c>
      <c r="BU642" s="144">
        <f>IFERROR(BT642/BS642,"")</f>
        <v>2.8333333333333335</v>
      </c>
      <c r="BV642">
        <f>BT642-BS642</f>
        <v>11</v>
      </c>
      <c r="BX642">
        <f>BV642*C_to_CO2</f>
        <v>40.369999999999997</v>
      </c>
      <c r="BY642">
        <f>IFERROR(BX642/BO642,"")</f>
        <v>0.17217057407407405</v>
      </c>
      <c r="BZ642" s="143">
        <v>0</v>
      </c>
      <c r="CA642" s="143">
        <v>0</v>
      </c>
      <c r="CB642" s="143">
        <v>0</v>
      </c>
      <c r="CC642" s="143">
        <v>0</v>
      </c>
      <c r="CD642" s="143">
        <v>0</v>
      </c>
      <c r="CE642" s="143">
        <v>0</v>
      </c>
      <c r="CF642" s="143">
        <v>0</v>
      </c>
      <c r="CG642" s="143">
        <v>0</v>
      </c>
      <c r="CH642" s="143">
        <v>0</v>
      </c>
      <c r="CI642" s="143">
        <v>0</v>
      </c>
      <c r="CJ642" s="143">
        <v>0</v>
      </c>
      <c r="CK642" s="143">
        <v>0</v>
      </c>
      <c r="CL642" s="143">
        <v>0</v>
      </c>
      <c r="CM642">
        <v>0</v>
      </c>
      <c r="CN642" t="str">
        <f>IF($BL642&lt;$BK642,"refNeedCorrection","refOK")</f>
        <v>refOK</v>
      </c>
      <c r="CO642">
        <f>IF($CN642="refOK",$BK642,$BL642)</f>
        <v>0</v>
      </c>
      <c r="CP642">
        <f>IF($CN642="refOK",$BL642,$BK642)</f>
        <v>54</v>
      </c>
      <c r="CQ642">
        <f>IF($CN642="refOK",$BO642,-$BO642)</f>
        <v>234.47676943117673</v>
      </c>
      <c r="CR642">
        <f>IF($CN642="refOK",$BS642,$BT642)*IF($BP642="Emissions positive",-1,1)</f>
        <v>6</v>
      </c>
      <c r="CS642">
        <f>IF($CN642="refOK",$BT642,$BS642)*IF($BP642="Emissions positive",-1,1)</f>
        <v>17</v>
      </c>
      <c r="CT642">
        <f>IF($CN642="refNeedCorrection",-BX642,BX642)*IF($BP642="Emissions positive",-1,1)</f>
        <v>40.369999999999997</v>
      </c>
      <c r="CU642">
        <f>IFERROR(CT642/CQ642,"")</f>
        <v>0.17217057407407405</v>
      </c>
      <c r="CV642" s="2">
        <f>IFERROR((CS642-CR642)/ABS(CR642),"")</f>
        <v>1.8333333333333333</v>
      </c>
      <c r="CW642" s="1" t="s">
        <v>263</v>
      </c>
      <c r="CX642" t="str">
        <f>IF(OR($CW642="prd",$CW642="std",$CW642="cit"),"loc",IF(OR($CW642="eur",$CW642="reg",$CW642="coy"),"reg",$CW642))</f>
        <v>loc</v>
      </c>
      <c r="CY642" t="s">
        <v>444</v>
      </c>
      <c r="DB642">
        <v>300</v>
      </c>
      <c r="DC642" t="str">
        <f>IF(DB642=0,"0",IF(AND(DB642&gt;=1,DB642&lt;=30),"1-30",IF(AND(DB642&gt;30,DB642&lt;=70),"31-70",IF(AND(DB642&gt;70,DB642&lt;=100),"71-100",IF(DB642&gt;100,"+100")))))</f>
        <v>+100</v>
      </c>
      <c r="DD642">
        <v>0</v>
      </c>
      <c r="DE642">
        <v>1</v>
      </c>
      <c r="DF642">
        <v>0</v>
      </c>
      <c r="DG642">
        <v>0</v>
      </c>
      <c r="DI642">
        <f>SUM(DD642:DG642)</f>
        <v>1</v>
      </c>
      <c r="DJ642" t="str">
        <f>IF(DI642=1,INDEX($DD$7:$DG$7,MATCH(1,$DD642:$DG642,0)),"mixedProduct")</f>
        <v>EnergyInput</v>
      </c>
      <c r="DK642">
        <f>IF(DD642=1,DK$7,0)</f>
        <v>0</v>
      </c>
      <c r="DL642" t="str">
        <f>IF(DE642=1,DL$7,0)</f>
        <v>Energy</v>
      </c>
      <c r="DM642">
        <f>IF(DF642=1,DM$7,0)</f>
        <v>0</v>
      </c>
      <c r="DN642">
        <f>IF(DG642=1,DN$7,0)</f>
        <v>0</v>
      </c>
      <c r="DO642">
        <v>1</v>
      </c>
      <c r="DP642" s="143">
        <v>0</v>
      </c>
      <c r="DQ642" s="143">
        <v>0</v>
      </c>
      <c r="DR642" s="143">
        <v>0</v>
      </c>
      <c r="DS642">
        <v>0</v>
      </c>
      <c r="DT642">
        <f>SUM(DO642:DP642)</f>
        <v>1</v>
      </c>
      <c r="DU642" s="143" t="str">
        <f>IF(DO642=1,"self-calculated DF",IF(DP642=1,"external DF used","explicit C balance"))</f>
        <v>self-calculated DF</v>
      </c>
      <c r="DV642">
        <v>0</v>
      </c>
      <c r="DW642" s="143">
        <v>0</v>
      </c>
      <c r="DX642" s="143">
        <v>1</v>
      </c>
      <c r="DY642" s="143">
        <v>1</v>
      </c>
      <c r="DZ642">
        <v>1</v>
      </c>
      <c r="EA642" s="143">
        <v>1</v>
      </c>
      <c r="EB642">
        <v>0</v>
      </c>
      <c r="EC642" s="143">
        <v>1</v>
      </c>
      <c r="ED642" s="143">
        <v>0</v>
      </c>
      <c r="EE642">
        <v>0</v>
      </c>
      <c r="EF642">
        <v>0</v>
      </c>
      <c r="EG642" s="143">
        <v>0</v>
      </c>
      <c r="EH642" s="143">
        <v>0</v>
      </c>
      <c r="EI642" s="2">
        <v>0</v>
      </c>
      <c r="EK642" t="str">
        <f>IF(AND(AND(AND(OR($DX642=1,$DW642=1),OR($EC642=1,$EA642=1)),SUM($DV642:$DZ642,$EF642)&gt;=4),SUM($EA642:$EE642)&gt;=2),"Whole sector","")</f>
        <v/>
      </c>
      <c r="EL642" t="str">
        <f>IF(AND(AND(OR($DX642=1,$DW642=1),AND($EC642=0,$EA642=0)),SUM($DV642:$DZ642,$EF642)&gt;=4),"Ecosystem approach","")</f>
        <v/>
      </c>
      <c r="EM642" s="2" t="str">
        <f>IF(AND(AND(AND($DX642=0,$DW642=0),OR($EC642=1,$EA642=1)),SUM($EB642:$EE642)&gt;=2),"Technology approach","")</f>
        <v/>
      </c>
      <c r="EP642" t="str">
        <f>IF(ISNUMBER(BU642),IF(ABS(BU642-[4]QC_indicators!$B$2)&gt;3*[4]QC_indicators!$C$2,"C ratio",IF(ISNUMBER(BY642),IF(ABS(BY642-[4]QC_indicators!$B$1)&gt;3*[4]QC_indicators!$C$1,"DF","no"))),IF(ISNUMBER(BY642),IF(ABS(BY642-[4]QC_indicators!$B$1)&gt;3*[4]QC_indicators!$C$1,"DF","no")))</f>
        <v>no</v>
      </c>
      <c r="ER642" t="s">
        <v>479</v>
      </c>
      <c r="ET642" s="264" t="s">
        <v>3273</v>
      </c>
    </row>
    <row r="643" spans="1:150" ht="15" customHeight="1">
      <c r="A643" s="1" t="s">
        <v>1270</v>
      </c>
      <c r="B643" t="s">
        <v>1271</v>
      </c>
      <c r="C643" t="s">
        <v>1272</v>
      </c>
      <c r="D643" t="s">
        <v>1273</v>
      </c>
      <c r="E643" t="s">
        <v>1274</v>
      </c>
      <c r="F643" t="s">
        <v>1275</v>
      </c>
      <c r="G643" t="s">
        <v>1276</v>
      </c>
      <c r="I643">
        <v>2019</v>
      </c>
      <c r="K643" t="s">
        <v>1277</v>
      </c>
      <c r="M643" t="str">
        <f>LEFT($D643,FIND(",",$D643)-1)&amp;"_"&amp;I643&amp;L643</f>
        <v>Baskent_2019</v>
      </c>
      <c r="N643" t="s">
        <v>222</v>
      </c>
      <c r="O643" s="140" t="s">
        <v>513</v>
      </c>
      <c r="Q643" t="s">
        <v>224</v>
      </c>
      <c r="R643" s="269" t="s">
        <v>274</v>
      </c>
      <c r="S643" s="1" t="s">
        <v>1278</v>
      </c>
      <c r="T643" t="s">
        <v>1111</v>
      </c>
      <c r="U643" s="143" t="s">
        <v>1285</v>
      </c>
      <c r="V643" s="143">
        <v>0</v>
      </c>
      <c r="W643" s="143">
        <v>0</v>
      </c>
      <c r="X643" s="143">
        <v>0</v>
      </c>
      <c r="Y643" s="143">
        <v>1</v>
      </c>
      <c r="Z643" s="143">
        <v>2</v>
      </c>
      <c r="AA643" s="143">
        <v>0</v>
      </c>
      <c r="AB643" s="143">
        <v>0</v>
      </c>
      <c r="AC643" s="143">
        <v>0</v>
      </c>
      <c r="AD643">
        <v>0</v>
      </c>
      <c r="AE643">
        <v>0</v>
      </c>
      <c r="AF643">
        <v>2</v>
      </c>
      <c r="AG643">
        <v>0</v>
      </c>
      <c r="AH643">
        <v>0</v>
      </c>
      <c r="AI643">
        <v>0</v>
      </c>
      <c r="AJ643">
        <v>2</v>
      </c>
      <c r="AK643">
        <v>0</v>
      </c>
      <c r="AL643">
        <v>0</v>
      </c>
      <c r="AM643">
        <v>0</v>
      </c>
      <c r="AN643">
        <v>2</v>
      </c>
      <c r="AO643">
        <v>2</v>
      </c>
      <c r="AP643">
        <v>0</v>
      </c>
      <c r="AQ643">
        <v>0</v>
      </c>
      <c r="AR643">
        <v>0</v>
      </c>
      <c r="AS643">
        <v>2</v>
      </c>
      <c r="AT643">
        <v>0</v>
      </c>
      <c r="AU643">
        <v>0</v>
      </c>
      <c r="AV643">
        <v>0</v>
      </c>
      <c r="AW643">
        <v>2</v>
      </c>
      <c r="AX643" s="141">
        <f>COUNTIF(V643:AW643,"&lt;&gt;0")</f>
        <v>8</v>
      </c>
      <c r="AY643" s="141">
        <f>COUNTIF(V643:AL643,"&lt;&gt;0")</f>
        <v>4</v>
      </c>
      <c r="AZ643">
        <f>COUNTIF(V643:AC643,"&lt;&gt;0")</f>
        <v>2</v>
      </c>
      <c r="BA643">
        <f>COUNTIF(AD643:AI643,"&lt;&gt;0")</f>
        <v>1</v>
      </c>
      <c r="BB643">
        <f>COUNTIF(AJ643:AL643,"&lt;&gt;0")</f>
        <v>1</v>
      </c>
      <c r="BC643">
        <f>COUNTIF(AS643:AW643,"&lt;&gt;0")</f>
        <v>2</v>
      </c>
      <c r="BD643">
        <f>COUNTIF(AM643:AR643,"&lt;&gt;0")</f>
        <v>2</v>
      </c>
      <c r="BE643" t="str">
        <f t="array" ref="BE643">IF(AY643=1,INDEX($V$7:$AL$7,MATCH(TRUE,INDEX($V643:$AW643&lt;&gt;0,),0)),IF(AY643=0,INDEX($AM$7:$AW$7,MATCH(1,$AM643:$AW643,0)),IF(BF643="Multiple strategies","mixed drivers",IF(BF643="Supply chain","multiple supply","multiple silviculture"))))</f>
        <v>mixed drivers</v>
      </c>
      <c r="BF643" s="2" t="str" cm="1">
        <f t="array" ref="BF643">IF(COUNTIF(AZ643:BB643,"&lt;&gt;0")=1,INDEX($V$4:$AW$4,MATCH(TRUE,INDEX($V643:$AW643&lt;&gt;0,),0)),IF(COUNTIF(AZ643:BB643,"&lt;&gt;0")=0,INDEX($AM$4:$AW$4,MATCH(1,$AM643:$AW643,0)),"Multiple strategies"))</f>
        <v>Multiple strategies</v>
      </c>
      <c r="BG643" s="1" t="s">
        <v>321</v>
      </c>
      <c r="BH643" t="s">
        <v>1280</v>
      </c>
      <c r="BJ643" s="143" t="s">
        <v>278</v>
      </c>
      <c r="BK643">
        <v>10.270935960591125</v>
      </c>
      <c r="BL643">
        <v>11.20689655172413</v>
      </c>
      <c r="BM643" s="143">
        <f>BL643/BK643</f>
        <v>1.091127098321343</v>
      </c>
      <c r="BN643">
        <f>BL643-BK643</f>
        <v>0.93596059113300534</v>
      </c>
      <c r="BO643" s="143">
        <f>BN643*tC_to_m3</f>
        <v>4.0640928837733625</v>
      </c>
      <c r="BP643" t="s">
        <v>232</v>
      </c>
      <c r="BQ643" s="333" t="s">
        <v>787</v>
      </c>
      <c r="BR643" s="143" t="s">
        <v>278</v>
      </c>
      <c r="BS643">
        <v>33.994657876790122</v>
      </c>
      <c r="BT643">
        <v>34.185894521482062</v>
      </c>
      <c r="BU643" s="144">
        <f>IFERROR(BT643/BS643,"")</f>
        <v>1.0056254910811298</v>
      </c>
      <c r="BV643">
        <f>BT643-BS643</f>
        <v>0.19123664469194068</v>
      </c>
      <c r="BX643">
        <f>BV643*C_to_CO2</f>
        <v>0.70183848601942234</v>
      </c>
      <c r="BY643">
        <f>IFERROR(BX643/BO643,"")</f>
        <v>0.1726925309265547</v>
      </c>
      <c r="BZ643" s="143">
        <v>0</v>
      </c>
      <c r="CA643" s="143">
        <v>0</v>
      </c>
      <c r="CB643" s="143">
        <v>0</v>
      </c>
      <c r="CC643" s="143">
        <v>0</v>
      </c>
      <c r="CD643" s="143">
        <v>0</v>
      </c>
      <c r="CE643" s="143">
        <v>0</v>
      </c>
      <c r="CF643" s="143">
        <v>0</v>
      </c>
      <c r="CG643" s="143">
        <v>1</v>
      </c>
      <c r="CH643" s="143">
        <v>0</v>
      </c>
      <c r="CI643" s="143">
        <v>1</v>
      </c>
      <c r="CJ643" s="143">
        <v>1</v>
      </c>
      <c r="CK643" s="143">
        <v>0</v>
      </c>
      <c r="CL643" s="143">
        <v>1</v>
      </c>
      <c r="CM643" s="143">
        <v>0</v>
      </c>
      <c r="CN643" t="str">
        <f>IF($BL643&lt;$BK643,"refNeedCorrection","refOK")</f>
        <v>refOK</v>
      </c>
      <c r="CO643">
        <f>IF($CN643="refOK",$BK643,$BL643)</f>
        <v>10.270935960591125</v>
      </c>
      <c r="CP643">
        <f>IF($CN643="refOK",$BL643,$BK643)</f>
        <v>11.20689655172413</v>
      </c>
      <c r="CQ643">
        <f>IF($CN643="refOK",$BO643,-$BO643)</f>
        <v>4.0640928837733625</v>
      </c>
      <c r="CR643">
        <f>IF($CN643="refOK",$BS643,$BT643)*IF($BP643="Emissions positive",-1,1)</f>
        <v>33.994657876790122</v>
      </c>
      <c r="CS643">
        <f>IF($CN643="refOK",$BT643,$BS643)*IF($BP643="Emissions positive",-1,1)</f>
        <v>34.185894521482062</v>
      </c>
      <c r="CT643">
        <f>IF($CN643="refNeedCorrection",-BX643,BX643)*IF($BP643="Emissions positive",-1,1)</f>
        <v>0.70183848601942234</v>
      </c>
      <c r="CU643">
        <f>IFERROR(CT643/CQ643,"")</f>
        <v>0.1726925309265547</v>
      </c>
      <c r="CV643" s="2">
        <f>IFERROR((CS643-CR643)/ABS(CR643),"")</f>
        <v>5.6254910811297694E-3</v>
      </c>
      <c r="CW643" s="1" t="s">
        <v>1199</v>
      </c>
      <c r="CX643" t="str">
        <f>IF(OR($CW643="prd",$CW643="std",$CW643="cit"),"loc",IF(OR($CW643="eur",$CW643="reg",$CW643="coy"),"reg",$CW643))</f>
        <v>reg</v>
      </c>
      <c r="CY643" t="s">
        <v>1281</v>
      </c>
      <c r="CZ643">
        <v>2010</v>
      </c>
      <c r="DA643" s="143">
        <v>2060</v>
      </c>
      <c r="DB643" s="143">
        <f>DA643-CZ643</f>
        <v>50</v>
      </c>
      <c r="DC643" t="str">
        <f>IF(DB643=0,"0",IF(AND(DB643&gt;=1,DB643&lt;=30),"1-30",IF(AND(DB643&gt;30,DB643&lt;=70),"31-70",IF(AND(DB643&gt;70,DB643&lt;=100),"71-100",IF(DB643&gt;100,"+100")))))</f>
        <v>31-70</v>
      </c>
      <c r="DD643">
        <v>1</v>
      </c>
      <c r="DE643">
        <v>1</v>
      </c>
      <c r="DF643">
        <v>1</v>
      </c>
      <c r="DG643">
        <v>1</v>
      </c>
      <c r="DI643">
        <f>SUM(DD643:DG643)</f>
        <v>4</v>
      </c>
      <c r="DJ643" t="str">
        <f>IF(DI643=1,INDEX($DD$7:$DG$7,MATCH(1,$DD643:$DG643,0)),"mixedProduct")</f>
        <v>mixedProduct</v>
      </c>
      <c r="DK643" t="str">
        <f>IF(DD643=1,DK$7,0)</f>
        <v>Upstream</v>
      </c>
      <c r="DL643" t="str">
        <f>IF(DE643=1,DL$7,0)</f>
        <v>Energy</v>
      </c>
      <c r="DM643" t="str">
        <f>IF(DF643=1,DM$7,0)</f>
        <v>Pulp/Paper</v>
      </c>
      <c r="DN643" t="str">
        <f>IF(DG643=1,DN$7,0)</f>
        <v>Timber</v>
      </c>
      <c r="DO643" s="143">
        <v>1</v>
      </c>
      <c r="DP643">
        <v>0</v>
      </c>
      <c r="DQ643" s="143">
        <v>0</v>
      </c>
      <c r="DR643" s="143">
        <v>0</v>
      </c>
      <c r="DS643" s="143" t="s">
        <v>1282</v>
      </c>
      <c r="DT643">
        <f>SUM(DO643:DP643)</f>
        <v>1</v>
      </c>
      <c r="DU643" s="143" t="str">
        <f>IF(DO643=1,"self-calculated DF",IF(DP643=1,"external DF used","explicit C balance"))</f>
        <v>self-calculated DF</v>
      </c>
      <c r="DV643" s="143">
        <v>0</v>
      </c>
      <c r="DW643">
        <v>1</v>
      </c>
      <c r="DX643" s="143">
        <v>1</v>
      </c>
      <c r="DY643" s="143">
        <v>1</v>
      </c>
      <c r="DZ643">
        <v>1</v>
      </c>
      <c r="EA643">
        <v>0</v>
      </c>
      <c r="EB643" s="143">
        <v>0</v>
      </c>
      <c r="EC643">
        <v>0</v>
      </c>
      <c r="ED643" s="143">
        <v>0</v>
      </c>
      <c r="EE643">
        <v>0</v>
      </c>
      <c r="EF643">
        <v>1</v>
      </c>
      <c r="EG643" s="143">
        <v>0</v>
      </c>
      <c r="EH643">
        <v>0</v>
      </c>
      <c r="EI643" s="2">
        <v>0</v>
      </c>
      <c r="EK643" t="str">
        <f>IF(AND(AND(AND(OR($DX643=1,$DW643=1),OR($EC643=1,$EA643=1)),SUM($DV643:$DZ643,$EF643)&gt;=4),SUM($EA643:$EE643)&gt;=2),"Whole sector","")</f>
        <v/>
      </c>
      <c r="EL643" t="str">
        <f>IF(AND(AND(OR($DX643=1,$DW643=1),AND($EC643=0,$EA643=0)),SUM($DV643:$DZ643,$EF643)&gt;=4),"Ecosystem approach","")</f>
        <v>Ecosystem approach</v>
      </c>
      <c r="EM643" s="2" t="str">
        <f>IF(AND(AND(AND($DX643=0,$DW643=0),OR($EC643=1,$EA643=1)),SUM($EB643:$EE643)&gt;=2),"Technology approach","")</f>
        <v/>
      </c>
      <c r="EN643" t="s">
        <v>1283</v>
      </c>
      <c r="EP643" t="str">
        <f>IF(ISNUMBER(BU643),IF(ABS(BU643-[2]QC_indicators!$B$2)&gt;3*[2]QC_indicators!$C$2,"C ratio",IF(ISNUMBER(BY643),IF(ABS(BY643-[2]QC_indicators!$B$1)&gt;3*[2]QC_indicators!$C$1,"DF","no"))),IF(ISNUMBER(BY643),IF(ABS(BY643-[2]QC_indicators!$B$1)&gt;3*[2]QC_indicators!$C$1,"DF","no")))</f>
        <v>no</v>
      </c>
      <c r="EQ643" t="s">
        <v>286</v>
      </c>
      <c r="ER643" t="s">
        <v>1284</v>
      </c>
      <c r="ET643" s="264" t="s">
        <v>3273</v>
      </c>
    </row>
    <row r="644" spans="1:150" ht="15" customHeight="1">
      <c r="A644" s="1" t="s">
        <v>1233</v>
      </c>
      <c r="B644" t="s">
        <v>1234</v>
      </c>
      <c r="C644" t="s">
        <v>1235</v>
      </c>
      <c r="D644" t="s">
        <v>336</v>
      </c>
      <c r="E644" t="s">
        <v>1236</v>
      </c>
      <c r="F644" t="s">
        <v>1237</v>
      </c>
      <c r="G644" t="s">
        <v>1238</v>
      </c>
      <c r="I644">
        <v>2018</v>
      </c>
      <c r="K644" t="s">
        <v>1239</v>
      </c>
      <c r="M644" t="str">
        <f>LEFT($D644,FIND(",",$D644)-1)&amp;"_"&amp;I644&amp;L644</f>
        <v>Balasbaneh_2018</v>
      </c>
      <c r="N644" t="s">
        <v>222</v>
      </c>
      <c r="O644" s="140" t="s">
        <v>513</v>
      </c>
      <c r="Q644" t="s">
        <v>224</v>
      </c>
      <c r="R644" s="262" t="s">
        <v>223</v>
      </c>
      <c r="S644" s="1" t="s">
        <v>1250</v>
      </c>
      <c r="T644" s="264" t="s">
        <v>3114</v>
      </c>
      <c r="U644" s="264" t="s">
        <v>3116</v>
      </c>
      <c r="V644">
        <v>0</v>
      </c>
      <c r="W644">
        <v>0</v>
      </c>
      <c r="X644">
        <v>0</v>
      </c>
      <c r="Y644">
        <v>0</v>
      </c>
      <c r="Z644">
        <v>0</v>
      </c>
      <c r="AA644">
        <v>0</v>
      </c>
      <c r="AB644">
        <v>0</v>
      </c>
      <c r="AC644">
        <v>0</v>
      </c>
      <c r="AD644">
        <v>0</v>
      </c>
      <c r="AE644">
        <v>0</v>
      </c>
      <c r="AF644">
        <v>0</v>
      </c>
      <c r="AG644">
        <v>0</v>
      </c>
      <c r="AH644">
        <v>0</v>
      </c>
      <c r="AI644">
        <v>0</v>
      </c>
      <c r="AJ644">
        <v>0</v>
      </c>
      <c r="AK644">
        <v>1</v>
      </c>
      <c r="AL644">
        <v>0</v>
      </c>
      <c r="AM644">
        <v>0</v>
      </c>
      <c r="AN644">
        <v>0</v>
      </c>
      <c r="AO644">
        <v>0</v>
      </c>
      <c r="AP644">
        <v>0</v>
      </c>
      <c r="AQ644">
        <v>0</v>
      </c>
      <c r="AR644">
        <v>0</v>
      </c>
      <c r="AS644">
        <v>0</v>
      </c>
      <c r="AT644">
        <v>0</v>
      </c>
      <c r="AU644">
        <v>0</v>
      </c>
      <c r="AV644">
        <v>0</v>
      </c>
      <c r="AW644">
        <v>0</v>
      </c>
      <c r="AX644" s="141">
        <f>COUNTIF(V644:AW644,"&lt;&gt;0")</f>
        <v>1</v>
      </c>
      <c r="AY644" s="141">
        <f>COUNTIF(V644:AL644,"&lt;&gt;0")</f>
        <v>1</v>
      </c>
      <c r="AZ644">
        <f>COUNTIF(V644:AC644,"&lt;&gt;0")</f>
        <v>0</v>
      </c>
      <c r="BA644">
        <f>COUNTIF(AD644:AI644,"&lt;&gt;0")</f>
        <v>0</v>
      </c>
      <c r="BB644">
        <f>COUNTIF(AJ644:AL644,"&lt;&gt;0")</f>
        <v>1</v>
      </c>
      <c r="BC644">
        <f>COUNTIF(AS644:AW644,"&lt;&gt;0")</f>
        <v>0</v>
      </c>
      <c r="BD644">
        <f>COUNTIF(AM644:AR644,"&lt;&gt;0")</f>
        <v>0</v>
      </c>
      <c r="BE644" t="str">
        <f t="array" ref="BE644">IF(AY644=1,INDEX($V$7:$AL$7,MATCH(TRUE,INDEX($V644:$AW644&lt;&gt;0,),0)),IF(AY644=0,INDEX($AM$7:$AW$7,MATCH(1,$AM644:$AW644,0)),IF(BF644="Multiple strategies","mixed drivers",IF(BF644="Supply chain","multiple supply","multiple silviculture"))))</f>
        <v>technologies/design switch</v>
      </c>
      <c r="BF644" s="2" t="str" cm="1">
        <f t="array" ref="BF644">IF(COUNTIF(AZ644:BB644,"&lt;&gt;0")=1,INDEX($V$4:$AW$4,MATCH(TRUE,INDEX($V644:$AW644&lt;&gt;0,),0)),IF(COUNTIF(AZ644:BB644,"&lt;&gt;0")=0,INDEX($AM$4:$AW$4,MATCH(1,$AM644:$AW644,0)),"Multiple strategies"))</f>
        <v>Technology</v>
      </c>
      <c r="BG644" s="1" t="s">
        <v>229</v>
      </c>
      <c r="BH644" t="s">
        <v>229</v>
      </c>
      <c r="BJ644" t="s">
        <v>345</v>
      </c>
      <c r="BK644">
        <v>0</v>
      </c>
      <c r="BL644">
        <v>23436</v>
      </c>
      <c r="BM644" s="143"/>
      <c r="BN644">
        <f>BL644-BK644</f>
        <v>23436</v>
      </c>
      <c r="BO644" s="143">
        <f>BN644*kg_to_m3</f>
        <v>47.828571428571436</v>
      </c>
      <c r="BP644" t="s">
        <v>232</v>
      </c>
      <c r="BQ644" s="337" t="s">
        <v>1057</v>
      </c>
      <c r="BR644" t="s">
        <v>397</v>
      </c>
      <c r="BS644">
        <v>-9120</v>
      </c>
      <c r="BT644">
        <v>-702</v>
      </c>
      <c r="BU644" s="144">
        <v>7.6973684210526319E-2</v>
      </c>
      <c r="BV644">
        <v>8418</v>
      </c>
      <c r="BX644">
        <f>BV644/1000</f>
        <v>8.4179999999999993</v>
      </c>
      <c r="BY644">
        <f>IFERROR(BX644/BO644,"")</f>
        <v>0.17600358422939064</v>
      </c>
      <c r="BZ644">
        <v>0</v>
      </c>
      <c r="CA644">
        <v>0</v>
      </c>
      <c r="CB644">
        <v>0</v>
      </c>
      <c r="CC644">
        <v>0</v>
      </c>
      <c r="CD644">
        <v>0</v>
      </c>
      <c r="CE644">
        <v>0</v>
      </c>
      <c r="CF644">
        <v>0</v>
      </c>
      <c r="CG644">
        <v>0</v>
      </c>
      <c r="CH644">
        <v>0</v>
      </c>
      <c r="CI644">
        <v>0</v>
      </c>
      <c r="CJ644">
        <v>0</v>
      </c>
      <c r="CK644">
        <v>0</v>
      </c>
      <c r="CL644">
        <v>0</v>
      </c>
      <c r="CM644">
        <v>0</v>
      </c>
      <c r="CN644" t="str">
        <f>IF($BL644&lt;$BK644,"refNeedCorrection","refOK")</f>
        <v>refOK</v>
      </c>
      <c r="CO644">
        <f>IF($CN644="refNeedCorrection",BL644,BK644)</f>
        <v>0</v>
      </c>
      <c r="CP644">
        <f>IF($CN644="refNeedCorrection",BK644,BL644)</f>
        <v>23436</v>
      </c>
      <c r="CQ644">
        <f>IF($CN644="refOK",$BO644,-$BO644)</f>
        <v>47.828571428571436</v>
      </c>
      <c r="CR644">
        <f>IF($CN644="refOK",$BS644,$BT644)*IF($BP644="Emissions positive",-1,1)</f>
        <v>-9120</v>
      </c>
      <c r="CS644">
        <f>IF($CN644="refOK",$BT644,$BS644)*IF($BP644="Emissions positive",-1,1)</f>
        <v>-702</v>
      </c>
      <c r="CT644">
        <f>IF($CN644="refNeedCorrection",-BX644,BX644)*IF($BP644="Emissions positive",-1,1)</f>
        <v>8.4179999999999993</v>
      </c>
      <c r="CU644">
        <f>IFERROR(CT644/CQ644,"")</f>
        <v>0.17600358422939064</v>
      </c>
      <c r="CV644" s="2">
        <f>IFERROR((CS644-CR644)/ABS(CR644),"")</f>
        <v>0.92302631578947369</v>
      </c>
      <c r="CW644" s="1" t="s">
        <v>1203</v>
      </c>
      <c r="CX644" t="str">
        <f>IF(OR($CW644="prd",$CW644="std",$CW644="cit"),"loc",IF(OR($CW644="eur",$CW644="reg",$CW644="coy"),"reg",$CW644))</f>
        <v>reg</v>
      </c>
      <c r="CY644" t="s">
        <v>348</v>
      </c>
      <c r="CZ644">
        <v>2014</v>
      </c>
      <c r="DA644">
        <v>2114</v>
      </c>
      <c r="DB644">
        <v>100</v>
      </c>
      <c r="DC644" t="str">
        <f>IF(DB644=0,"0",IF(AND(DB644&gt;=1,DB644&lt;=30),"1-30",IF(AND(DB644&gt;30,DB644&lt;=70),"31-70",IF(AND(DB644&gt;70,DB644&lt;=100),"71-100",IF(DB644&gt;100,"+100")))))</f>
        <v>71-100</v>
      </c>
      <c r="DD644">
        <v>0</v>
      </c>
      <c r="DE644">
        <v>0</v>
      </c>
      <c r="DF644">
        <v>0</v>
      </c>
      <c r="DG644">
        <v>1</v>
      </c>
      <c r="DI644">
        <f>SUM(DD644:DG644)</f>
        <v>1</v>
      </c>
      <c r="DJ644" t="str">
        <f>IF(DI644=1,INDEX($DD$7:$DG$7,MATCH(1,$DD644:$DG644,0)),"mixedProduct")</f>
        <v>TimberInput</v>
      </c>
      <c r="DK644">
        <f>IF(DD644=1,DK$7,0)</f>
        <v>0</v>
      </c>
      <c r="DL644">
        <f>IF(DE644=1,DL$7,0)</f>
        <v>0</v>
      </c>
      <c r="DM644">
        <f>IF(DF644=1,DM$7,0)</f>
        <v>0</v>
      </c>
      <c r="DN644" t="str">
        <f>IF(DG644=1,DN$7,0)</f>
        <v>Timber</v>
      </c>
      <c r="DO644">
        <v>0</v>
      </c>
      <c r="DP644">
        <v>0</v>
      </c>
      <c r="DQ644">
        <v>0</v>
      </c>
      <c r="DR644">
        <v>0</v>
      </c>
      <c r="DS644">
        <v>0</v>
      </c>
      <c r="DT644">
        <f>SUM(DO644:DP644)</f>
        <v>0</v>
      </c>
      <c r="DU644" s="143" t="str">
        <f>IF(DO644=1,"self-calculated DF",IF(DP644=1,"external DF used","explicit C balance"))</f>
        <v>explicit C balance</v>
      </c>
      <c r="DV644">
        <v>0</v>
      </c>
      <c r="DW644">
        <v>0</v>
      </c>
      <c r="DX644">
        <v>0</v>
      </c>
      <c r="DY644">
        <v>0</v>
      </c>
      <c r="DZ644">
        <v>0</v>
      </c>
      <c r="EA644" s="143">
        <v>1</v>
      </c>
      <c r="EB644">
        <v>0</v>
      </c>
      <c r="EC644">
        <v>1</v>
      </c>
      <c r="ED644">
        <v>1</v>
      </c>
      <c r="EE644">
        <v>1</v>
      </c>
      <c r="EF644">
        <v>0</v>
      </c>
      <c r="EG644">
        <v>0</v>
      </c>
      <c r="EH644">
        <v>0</v>
      </c>
      <c r="EI644" s="2">
        <v>0</v>
      </c>
      <c r="EK644" t="str">
        <f>IF(AND(AND(AND(OR($DX644=1,$DW644=1),OR($EC644=1,$EA644=1)),SUM($DV644:$DZ644,$EF644)&gt;=4),SUM($EA644:$EE644)&gt;=2),"Whole sector","")</f>
        <v/>
      </c>
      <c r="EL644" t="str">
        <f>IF(AND(AND(OR($DX644=1,$DW644=1),AND($EC644=0,$EA644=0)),SUM($DV644:$DZ644,$EF644)&gt;=4),"Ecosystem approach","")</f>
        <v/>
      </c>
      <c r="EM644" s="2" t="str">
        <f>IF(AND(AND(AND($DX644=0,$DW644=0),OR($EC644=1,$EA644=1)),SUM($EB644:$EE644)&gt;=2),"Technology approach","")</f>
        <v>Technology approach</v>
      </c>
      <c r="EP644" t="str">
        <f>IF(ISNUMBER(BU644),IF(ABS(BU644-[1]QC_indicators!$B$2)&gt;3*[1]QC_indicators!$C$2,"C ratio",IF(ISNUMBER(BY644),IF(ABS(BY644-[1]QC_indicators!$B$1)&gt;3*[1]QC_indicators!$C$1,"DF","no"))),IF(ISNUMBER(BY644),IF(ABS(BY644-[1]QC_indicators!$B$1)&gt;3*[1]QC_indicators!$C$1,"DF","no")))</f>
        <v>no</v>
      </c>
      <c r="ER644" s="149" t="s">
        <v>349</v>
      </c>
      <c r="ET644" s="264" t="s">
        <v>3273</v>
      </c>
    </row>
    <row r="645" spans="1:150" ht="15" customHeight="1">
      <c r="A645" s="1" t="s">
        <v>430</v>
      </c>
      <c r="B645" t="s">
        <v>431</v>
      </c>
      <c r="C645" t="s">
        <v>432</v>
      </c>
      <c r="D645" t="s">
        <v>433</v>
      </c>
      <c r="E645" t="s">
        <v>434</v>
      </c>
      <c r="F645" t="s">
        <v>435</v>
      </c>
      <c r="G645" t="s">
        <v>436</v>
      </c>
      <c r="H645" t="s">
        <v>254</v>
      </c>
      <c r="I645">
        <v>2000</v>
      </c>
      <c r="J645">
        <v>174</v>
      </c>
      <c r="K645" t="s">
        <v>437</v>
      </c>
      <c r="M645" t="str">
        <f>LEFT($D645,FIND(",",$D645)-1)&amp;"_"&amp;I645&amp;L645</f>
        <v>Borjesson_2000</v>
      </c>
      <c r="N645" t="s">
        <v>222</v>
      </c>
      <c r="O645" s="145" t="s">
        <v>223</v>
      </c>
      <c r="Q645" t="s">
        <v>256</v>
      </c>
      <c r="R645" s="255" t="s">
        <v>225</v>
      </c>
      <c r="S645" s="1" t="s">
        <v>438</v>
      </c>
      <c r="T645" t="s">
        <v>439</v>
      </c>
      <c r="U645" t="s">
        <v>448</v>
      </c>
      <c r="V645">
        <v>0</v>
      </c>
      <c r="W645">
        <v>0</v>
      </c>
      <c r="X645">
        <v>0</v>
      </c>
      <c r="Y645">
        <v>0</v>
      </c>
      <c r="Z645">
        <v>0</v>
      </c>
      <c r="AA645">
        <v>0</v>
      </c>
      <c r="AB645">
        <v>0</v>
      </c>
      <c r="AC645">
        <v>0</v>
      </c>
      <c r="AD645">
        <v>0</v>
      </c>
      <c r="AE645">
        <v>0</v>
      </c>
      <c r="AF645">
        <v>0</v>
      </c>
      <c r="AG645">
        <v>0</v>
      </c>
      <c r="AH645">
        <v>0</v>
      </c>
      <c r="AI645">
        <v>0</v>
      </c>
      <c r="AJ645">
        <v>0</v>
      </c>
      <c r="AK645">
        <v>1</v>
      </c>
      <c r="AL645">
        <v>0</v>
      </c>
      <c r="AM645">
        <v>0</v>
      </c>
      <c r="AN645">
        <v>0</v>
      </c>
      <c r="AO645">
        <v>0</v>
      </c>
      <c r="AP645">
        <v>0</v>
      </c>
      <c r="AQ645">
        <v>0</v>
      </c>
      <c r="AR645">
        <v>0</v>
      </c>
      <c r="AS645">
        <v>0</v>
      </c>
      <c r="AT645">
        <v>0</v>
      </c>
      <c r="AU645">
        <v>0</v>
      </c>
      <c r="AV645">
        <v>0</v>
      </c>
      <c r="AW645">
        <v>0</v>
      </c>
      <c r="AX645" s="141">
        <f>COUNTIF(V645:AW645,"&lt;&gt;0")</f>
        <v>1</v>
      </c>
      <c r="AY645" s="141">
        <f>COUNTIF(V645:AL645,"&lt;&gt;0")</f>
        <v>1</v>
      </c>
      <c r="AZ645">
        <f>COUNTIF(V645:AC645,"&lt;&gt;0")</f>
        <v>0</v>
      </c>
      <c r="BA645">
        <f>COUNTIF(AD645:AI645,"&lt;&gt;0")</f>
        <v>0</v>
      </c>
      <c r="BB645">
        <f>COUNTIF(AJ645:AL645,"&lt;&gt;0")</f>
        <v>1</v>
      </c>
      <c r="BC645">
        <f>COUNTIF(AS645:AW645,"&lt;&gt;0")</f>
        <v>0</v>
      </c>
      <c r="BD645">
        <f>COUNTIF(AM645:AR645,"&lt;&gt;0")</f>
        <v>0</v>
      </c>
      <c r="BE645" t="str">
        <f t="array" ref="BE645">IF(AY645=1,INDEX($V$7:$AL$7,MATCH(TRUE,INDEX($V645:$AW645&lt;&gt;0,),0)),IF(AY645=0,INDEX($AM$7:$AW$7,MATCH(1,$AM645:$AW645,0)),IF(BF645="Multiple strategies","mixed drivers",IF(BF645="Supply chain","multiple supply","multiple silviculture"))))</f>
        <v>technologies/design switch</v>
      </c>
      <c r="BF645" s="2" t="str" cm="1">
        <f t="array" ref="BF645">IF(COUNTIF(AZ645:BB645,"&lt;&gt;0")=1,INDEX($V$4:$AW$4,MATCH(TRUE,INDEX($V645:$AW645&lt;&gt;0,),0)),IF(COUNTIF(AZ645:BB645,"&lt;&gt;0")=0,INDEX($AM$4:$AW$4,MATCH(1,$AM645:$AW645,0)),"Multiple strategies"))</f>
        <v>Technology</v>
      </c>
      <c r="BG645" s="142" t="s">
        <v>229</v>
      </c>
      <c r="BH645" t="s">
        <v>441</v>
      </c>
      <c r="BI645" s="264" t="s">
        <v>3274</v>
      </c>
      <c r="BJ645" s="143" t="s">
        <v>442</v>
      </c>
      <c r="BK645">
        <v>0</v>
      </c>
      <c r="BL645">
        <f>3*44</f>
        <v>132</v>
      </c>
      <c r="BM645" s="143" t="e">
        <f>BL645/BK645</f>
        <v>#DIV/0!</v>
      </c>
      <c r="BN645">
        <f>BL645-BK645</f>
        <v>132</v>
      </c>
      <c r="BO645">
        <f>BN645*tC_to_m3</f>
        <v>573.16543638732094</v>
      </c>
      <c r="BP645" t="s">
        <v>232</v>
      </c>
      <c r="BQ645" s="260" t="s">
        <v>813</v>
      </c>
      <c r="BR645" t="s">
        <v>443</v>
      </c>
      <c r="BS645" s="141">
        <v>25</v>
      </c>
      <c r="BT645" s="141">
        <v>53</v>
      </c>
      <c r="BU645" s="144">
        <f>IFERROR(BT645/BS645,"")</f>
        <v>2.12</v>
      </c>
      <c r="BV645">
        <f>BT645-BS645</f>
        <v>28</v>
      </c>
      <c r="BX645">
        <f>BV645*C_to_CO2</f>
        <v>102.75999999999999</v>
      </c>
      <c r="BY645">
        <f>IFERROR(BX645/BO645,"")</f>
        <v>0.17928506060606059</v>
      </c>
      <c r="BZ645" s="143">
        <v>0</v>
      </c>
      <c r="CA645" s="143">
        <v>0</v>
      </c>
      <c r="CB645" s="143">
        <v>0</v>
      </c>
      <c r="CC645" s="143">
        <v>0</v>
      </c>
      <c r="CD645" s="143">
        <v>0</v>
      </c>
      <c r="CE645" s="143">
        <v>0</v>
      </c>
      <c r="CF645" s="143">
        <v>0</v>
      </c>
      <c r="CG645" s="143">
        <v>0</v>
      </c>
      <c r="CH645" s="143">
        <v>0</v>
      </c>
      <c r="CI645" s="143">
        <v>0</v>
      </c>
      <c r="CJ645" s="143">
        <v>0</v>
      </c>
      <c r="CK645" s="143">
        <v>0</v>
      </c>
      <c r="CL645" s="143">
        <v>0</v>
      </c>
      <c r="CM645">
        <v>0</v>
      </c>
      <c r="CN645" t="str">
        <f>IF($BL645&lt;$BK645,"refNeedCorrection","refOK")</f>
        <v>refOK</v>
      </c>
      <c r="CO645">
        <f>IF($CN645="refOK",$BK645,$BL645)</f>
        <v>0</v>
      </c>
      <c r="CP645">
        <f>IF($CN645="refOK",$BL645,$BK645)</f>
        <v>132</v>
      </c>
      <c r="CQ645">
        <f>IF($CN645="refOK",$BO645,-$BO645)</f>
        <v>573.16543638732094</v>
      </c>
      <c r="CR645">
        <f>IF($CN645="refOK",$BS645,$BT645)*IF($BP645="Emissions positive",-1,1)</f>
        <v>25</v>
      </c>
      <c r="CS645">
        <f>IF($CN645="refOK",$BT645,$BS645)*IF($BP645="Emissions positive",-1,1)</f>
        <v>53</v>
      </c>
      <c r="CT645">
        <f>IF($CN645="refNeedCorrection",-BX645,BX645)*IF($BP645="Emissions positive",-1,1)</f>
        <v>102.75999999999999</v>
      </c>
      <c r="CU645">
        <f>IFERROR(CT645/CQ645,"")</f>
        <v>0.17928506060606059</v>
      </c>
      <c r="CV645" s="2">
        <f>IFERROR((CS645-CR645)/ABS(CR645),"")</f>
        <v>1.1200000000000001</v>
      </c>
      <c r="CW645" s="1" t="s">
        <v>263</v>
      </c>
      <c r="CX645" t="str">
        <f>IF(OR($CW645="prd",$CW645="std",$CW645="cit"),"loc",IF(OR($CW645="eur",$CW645="reg",$CW645="coy"),"reg",$CW645))</f>
        <v>loc</v>
      </c>
      <c r="CY645" t="s">
        <v>444</v>
      </c>
      <c r="DB645">
        <v>300</v>
      </c>
      <c r="DC645" t="str">
        <f>IF(DB645=0,"0",IF(AND(DB645&gt;=1,DB645&lt;=30),"1-30",IF(AND(DB645&gt;30,DB645&lt;=70),"31-70",IF(AND(DB645&gt;70,DB645&lt;=100),"71-100",IF(DB645&gt;100,"+100")))))</f>
        <v>+100</v>
      </c>
      <c r="DD645">
        <v>0</v>
      </c>
      <c r="DE645">
        <v>0</v>
      </c>
      <c r="DF645">
        <v>0</v>
      </c>
      <c r="DG645">
        <v>1</v>
      </c>
      <c r="DI645">
        <f>SUM(DD645:DG645)</f>
        <v>1</v>
      </c>
      <c r="DJ645" t="str">
        <f>IF(DI645=1,INDEX($DD$7:$DG$7,MATCH(1,$DD645:$DG645,0)),"mixedProduct")</f>
        <v>TimberInput</v>
      </c>
      <c r="DK645">
        <f>IF(DD645=1,DK$7,0)</f>
        <v>0</v>
      </c>
      <c r="DL645">
        <f>IF(DE645=1,DL$7,0)</f>
        <v>0</v>
      </c>
      <c r="DM645">
        <f>IF(DF645=1,DM$7,0)</f>
        <v>0</v>
      </c>
      <c r="DN645" t="str">
        <f>IF(DG645=1,DN$7,0)</f>
        <v>Timber</v>
      </c>
      <c r="DO645">
        <v>1</v>
      </c>
      <c r="DP645" s="143">
        <v>0</v>
      </c>
      <c r="DQ645" s="143">
        <v>0</v>
      </c>
      <c r="DR645" s="143">
        <v>0</v>
      </c>
      <c r="DS645">
        <v>0</v>
      </c>
      <c r="DT645">
        <f>SUM(DO645:DP645)</f>
        <v>1</v>
      </c>
      <c r="DU645" s="143" t="str">
        <f>IF(DO645=1,"self-calculated DF",IF(DP645=1,"external DF used","explicit C balance"))</f>
        <v>self-calculated DF</v>
      </c>
      <c r="DV645">
        <v>0</v>
      </c>
      <c r="DW645" s="143">
        <v>0</v>
      </c>
      <c r="DX645" s="143">
        <v>1</v>
      </c>
      <c r="DY645" s="143">
        <v>1</v>
      </c>
      <c r="DZ645">
        <v>1</v>
      </c>
      <c r="EA645" s="143">
        <v>1</v>
      </c>
      <c r="EB645">
        <v>0</v>
      </c>
      <c r="EC645" s="143">
        <v>1</v>
      </c>
      <c r="ED645" s="143">
        <v>0</v>
      </c>
      <c r="EE645">
        <v>0</v>
      </c>
      <c r="EF645">
        <v>0</v>
      </c>
      <c r="EG645" s="143">
        <v>0</v>
      </c>
      <c r="EH645" s="143">
        <v>0</v>
      </c>
      <c r="EI645" s="2">
        <v>0</v>
      </c>
      <c r="EK645" t="str">
        <f>IF(AND(AND(AND(OR($DX645=1,$DW645=1),OR($EC645=1,$EA645=1)),SUM($DV645:$DZ645,$EF645)&gt;=4),SUM($EA645:$EE645)&gt;=2),"Whole sector","")</f>
        <v/>
      </c>
      <c r="EL645" t="str">
        <f>IF(AND(AND(OR($DX645=1,$DW645=1),AND($EC645=0,$EA645=0)),SUM($DV645:$DZ645,$EF645)&gt;=4),"Ecosystem approach","")</f>
        <v/>
      </c>
      <c r="EM645" s="2" t="str">
        <f>IF(AND(AND(AND($DX645=0,$DW645=0),OR($EC645=1,$EA645=1)),SUM($EB645:$EE645)&gt;=2),"Technology approach","")</f>
        <v/>
      </c>
      <c r="EN645" t="s">
        <v>445</v>
      </c>
      <c r="EP645" t="str">
        <f>IF(ISNUMBER(BU645),IF(ABS(BU645-[4]QC_indicators!$B$2)&gt;3*[4]QC_indicators!$C$2,"C ratio",IF(ISNUMBER(BY645),IF(ABS(BY645-[4]QC_indicators!$B$1)&gt;3*[4]QC_indicators!$C$1,"DF","no"))),IF(ISNUMBER(BY645),IF(ABS(BY645-[4]QC_indicators!$B$1)&gt;3*[4]QC_indicators!$C$1,"DF","no")))</f>
        <v>no</v>
      </c>
      <c r="ET645" s="264" t="s">
        <v>3273</v>
      </c>
    </row>
    <row r="646" spans="1:150" ht="15" customHeight="1">
      <c r="A646" s="1" t="s">
        <v>430</v>
      </c>
      <c r="B646" t="s">
        <v>431</v>
      </c>
      <c r="C646" t="s">
        <v>432</v>
      </c>
      <c r="D646" t="s">
        <v>433</v>
      </c>
      <c r="E646" t="s">
        <v>434</v>
      </c>
      <c r="F646" t="s">
        <v>435</v>
      </c>
      <c r="G646" t="s">
        <v>436</v>
      </c>
      <c r="H646" t="s">
        <v>254</v>
      </c>
      <c r="I646">
        <v>2000</v>
      </c>
      <c r="J646">
        <v>174</v>
      </c>
      <c r="K646" t="s">
        <v>437</v>
      </c>
      <c r="M646" t="str">
        <f>LEFT($D646,FIND(",",$D646)-1)&amp;"_"&amp;I646&amp;L646</f>
        <v>Borjesson_2000</v>
      </c>
      <c r="N646" t="s">
        <v>222</v>
      </c>
      <c r="O646" s="145" t="s">
        <v>223</v>
      </c>
      <c r="Q646" t="s">
        <v>256</v>
      </c>
      <c r="R646" s="255" t="s">
        <v>225</v>
      </c>
      <c r="S646" s="1" t="s">
        <v>438</v>
      </c>
      <c r="T646" t="s">
        <v>449</v>
      </c>
      <c r="U646" t="s">
        <v>440</v>
      </c>
      <c r="V646">
        <v>0</v>
      </c>
      <c r="W646">
        <v>0</v>
      </c>
      <c r="X646">
        <v>0</v>
      </c>
      <c r="Y646">
        <v>0</v>
      </c>
      <c r="Z646">
        <v>0</v>
      </c>
      <c r="AA646">
        <v>0</v>
      </c>
      <c r="AB646">
        <v>0</v>
      </c>
      <c r="AC646">
        <v>0</v>
      </c>
      <c r="AD646">
        <v>0</v>
      </c>
      <c r="AE646">
        <v>0</v>
      </c>
      <c r="AF646">
        <v>0</v>
      </c>
      <c r="AG646">
        <v>0</v>
      </c>
      <c r="AH646">
        <v>0</v>
      </c>
      <c r="AI646">
        <v>0</v>
      </c>
      <c r="AJ646">
        <v>0</v>
      </c>
      <c r="AK646">
        <v>1</v>
      </c>
      <c r="AL646">
        <v>0</v>
      </c>
      <c r="AM646">
        <v>0</v>
      </c>
      <c r="AN646">
        <v>0</v>
      </c>
      <c r="AO646">
        <v>0</v>
      </c>
      <c r="AP646">
        <v>0</v>
      </c>
      <c r="AQ646">
        <v>0</v>
      </c>
      <c r="AR646">
        <v>0</v>
      </c>
      <c r="AS646">
        <v>0</v>
      </c>
      <c r="AT646">
        <v>0</v>
      </c>
      <c r="AU646">
        <v>0</v>
      </c>
      <c r="AV646">
        <v>0</v>
      </c>
      <c r="AW646">
        <v>0</v>
      </c>
      <c r="AX646" s="141">
        <f>COUNTIF(V646:AW646,"&lt;&gt;0")</f>
        <v>1</v>
      </c>
      <c r="AY646" s="141">
        <f>COUNTIF(V646:AL646,"&lt;&gt;0")</f>
        <v>1</v>
      </c>
      <c r="AZ646">
        <f>COUNTIF(V646:AC646,"&lt;&gt;0")</f>
        <v>0</v>
      </c>
      <c r="BA646">
        <f>COUNTIF(AD646:AI646,"&lt;&gt;0")</f>
        <v>0</v>
      </c>
      <c r="BB646">
        <f>COUNTIF(AJ646:AL646,"&lt;&gt;0")</f>
        <v>1</v>
      </c>
      <c r="BC646">
        <f>COUNTIF(AS646:AW646,"&lt;&gt;0")</f>
        <v>0</v>
      </c>
      <c r="BD646">
        <f>COUNTIF(AM646:AR646,"&lt;&gt;0")</f>
        <v>0</v>
      </c>
      <c r="BE646" t="str">
        <f t="array" ref="BE646">IF(AY646=1,INDEX($V$7:$AL$7,MATCH(TRUE,INDEX($V646:$AW646&lt;&gt;0,),0)),IF(AY646=0,INDEX($AM$7:$AW$7,MATCH(1,$AM646:$AW646,0)),IF(BF646="Multiple strategies","mixed drivers",IF(BF646="Supply chain","multiple supply","multiple silviculture"))))</f>
        <v>technologies/design switch</v>
      </c>
      <c r="BF646" s="2" t="str" cm="1">
        <f t="array" ref="BF646">IF(COUNTIF(AZ646:BB646,"&lt;&gt;0")=1,INDEX($V$4:$AW$4,MATCH(TRUE,INDEX($V646:$AW646&lt;&gt;0,),0)),IF(COUNTIF(AZ646:BB646,"&lt;&gt;0")=0,INDEX($AM$4:$AW$4,MATCH(1,$AM646:$AW646,0)),"Multiple strategies"))</f>
        <v>Technology</v>
      </c>
      <c r="BG646" s="142" t="s">
        <v>229</v>
      </c>
      <c r="BH646" t="s">
        <v>441</v>
      </c>
      <c r="BI646" s="264" t="s">
        <v>3274</v>
      </c>
      <c r="BJ646" s="143" t="s">
        <v>442</v>
      </c>
      <c r="BK646">
        <v>0</v>
      </c>
      <c r="BL646">
        <f>3*44</f>
        <v>132</v>
      </c>
      <c r="BM646" s="143" t="e">
        <f>BL646/BK646</f>
        <v>#DIV/0!</v>
      </c>
      <c r="BN646">
        <f>BL646-BK646</f>
        <v>132</v>
      </c>
      <c r="BO646">
        <f>BN646*tC_to_m3</f>
        <v>573.16543638732094</v>
      </c>
      <c r="BP646" t="s">
        <v>232</v>
      </c>
      <c r="BQ646" s="260" t="s">
        <v>813</v>
      </c>
      <c r="BR646" t="s">
        <v>443</v>
      </c>
      <c r="BS646" s="141">
        <v>3</v>
      </c>
      <c r="BT646" s="141">
        <v>31</v>
      </c>
      <c r="BU646" s="144">
        <f>IFERROR(BT646/BS646,"")</f>
        <v>10.333333333333334</v>
      </c>
      <c r="BV646">
        <f>BT646-BS646</f>
        <v>28</v>
      </c>
      <c r="BX646">
        <f>BV646*C_to_CO2</f>
        <v>102.75999999999999</v>
      </c>
      <c r="BY646">
        <f>IFERROR(BX646/BO646,"")</f>
        <v>0.17928506060606059</v>
      </c>
      <c r="BZ646" s="143">
        <v>0</v>
      </c>
      <c r="CA646" s="143">
        <v>0</v>
      </c>
      <c r="CB646" s="143">
        <v>0</v>
      </c>
      <c r="CC646" s="143">
        <v>0</v>
      </c>
      <c r="CD646" s="143">
        <v>0</v>
      </c>
      <c r="CE646" s="143">
        <v>0</v>
      </c>
      <c r="CF646" s="143">
        <v>0</v>
      </c>
      <c r="CG646" s="143">
        <v>0</v>
      </c>
      <c r="CH646" s="143">
        <v>0</v>
      </c>
      <c r="CI646" s="143">
        <v>0</v>
      </c>
      <c r="CJ646" s="143">
        <v>0</v>
      </c>
      <c r="CK646" s="143">
        <v>0</v>
      </c>
      <c r="CL646" s="143">
        <v>0</v>
      </c>
      <c r="CM646">
        <v>0</v>
      </c>
      <c r="CN646" t="str">
        <f>IF($BL646&lt;$BK646,"refNeedCorrection","refOK")</f>
        <v>refOK</v>
      </c>
      <c r="CO646">
        <f>IF($CN646="refOK",$BK646,$BL646)</f>
        <v>0</v>
      </c>
      <c r="CP646">
        <f>IF($CN646="refOK",$BL646,$BK646)</f>
        <v>132</v>
      </c>
      <c r="CQ646">
        <f>IF($CN646="refOK",$BO646,-$BO646)</f>
        <v>573.16543638732094</v>
      </c>
      <c r="CR646">
        <f>IF($CN646="refOK",$BS646,$BT646)*IF($BP646="Emissions positive",-1,1)</f>
        <v>3</v>
      </c>
      <c r="CS646">
        <f>IF($CN646="refOK",$BT646,$BS646)*IF($BP646="Emissions positive",-1,1)</f>
        <v>31</v>
      </c>
      <c r="CT646">
        <f>IF($CN646="refNeedCorrection",-BX646,BX646)*IF($BP646="Emissions positive",-1,1)</f>
        <v>102.75999999999999</v>
      </c>
      <c r="CU646">
        <f>IFERROR(CT646/CQ646,"")</f>
        <v>0.17928506060606059</v>
      </c>
      <c r="CV646" s="2">
        <f>IFERROR((CS646-CR646)/ABS(CR646),"")</f>
        <v>9.3333333333333339</v>
      </c>
      <c r="CW646" s="1" t="s">
        <v>263</v>
      </c>
      <c r="CX646" t="str">
        <f>IF(OR($CW646="prd",$CW646="std",$CW646="cit"),"loc",IF(OR($CW646="eur",$CW646="reg",$CW646="coy"),"reg",$CW646))</f>
        <v>loc</v>
      </c>
      <c r="CY646" t="s">
        <v>444</v>
      </c>
      <c r="DB646">
        <v>300</v>
      </c>
      <c r="DC646" t="str">
        <f>IF(DB646=0,"0",IF(AND(DB646&gt;=1,DB646&lt;=30),"1-30",IF(AND(DB646&gt;30,DB646&lt;=70),"31-70",IF(AND(DB646&gt;70,DB646&lt;=100),"71-100",IF(DB646&gt;100,"+100")))))</f>
        <v>+100</v>
      </c>
      <c r="DD646">
        <v>0</v>
      </c>
      <c r="DE646">
        <v>0</v>
      </c>
      <c r="DF646">
        <v>0</v>
      </c>
      <c r="DG646">
        <v>1</v>
      </c>
      <c r="DI646">
        <f>SUM(DD646:DG646)</f>
        <v>1</v>
      </c>
      <c r="DJ646" t="str">
        <f>IF(DI646=1,INDEX($DD$7:$DG$7,MATCH(1,$DD646:$DG646,0)),"mixedProduct")</f>
        <v>TimberInput</v>
      </c>
      <c r="DK646">
        <f>IF(DD646=1,DK$7,0)</f>
        <v>0</v>
      </c>
      <c r="DL646">
        <f>IF(DE646=1,DL$7,0)</f>
        <v>0</v>
      </c>
      <c r="DM646">
        <f>IF(DF646=1,DM$7,0)</f>
        <v>0</v>
      </c>
      <c r="DN646" t="str">
        <f>IF(DG646=1,DN$7,0)</f>
        <v>Timber</v>
      </c>
      <c r="DO646">
        <v>1</v>
      </c>
      <c r="DP646" s="143">
        <v>0</v>
      </c>
      <c r="DQ646" s="143">
        <v>0</v>
      </c>
      <c r="DR646" s="143">
        <v>0</v>
      </c>
      <c r="DS646">
        <v>0</v>
      </c>
      <c r="DT646">
        <f>SUM(DO646:DP646)</f>
        <v>1</v>
      </c>
      <c r="DU646" s="143" t="str">
        <f>IF(DO646=1,"self-calculated DF",IF(DP646=1,"external DF used","explicit C balance"))</f>
        <v>self-calculated DF</v>
      </c>
      <c r="DV646">
        <v>0</v>
      </c>
      <c r="DW646" s="143">
        <v>0</v>
      </c>
      <c r="DX646" s="143">
        <v>1</v>
      </c>
      <c r="DY646" s="143">
        <v>1</v>
      </c>
      <c r="DZ646">
        <v>1</v>
      </c>
      <c r="EA646" s="143">
        <v>1</v>
      </c>
      <c r="EB646">
        <v>0</v>
      </c>
      <c r="EC646" s="143">
        <v>1</v>
      </c>
      <c r="ED646" s="143">
        <v>0</v>
      </c>
      <c r="EE646">
        <v>0</v>
      </c>
      <c r="EF646">
        <v>0</v>
      </c>
      <c r="EG646" s="143">
        <v>0</v>
      </c>
      <c r="EH646" s="143">
        <v>0</v>
      </c>
      <c r="EI646" s="2">
        <v>0</v>
      </c>
      <c r="EK646" t="str">
        <f>IF(AND(AND(AND(OR($DX646=1,$DW646=1),OR($EC646=1,$EA646=1)),SUM($DV646:$DZ646,$EF646)&gt;=4),SUM($EA646:$EE646)&gt;=2),"Whole sector","")</f>
        <v/>
      </c>
      <c r="EL646" t="str">
        <f>IF(AND(AND(OR($DX646=1,$DW646=1),AND($EC646=0,$EA646=0)),SUM($DV646:$DZ646,$EF646)&gt;=4),"Ecosystem approach","")</f>
        <v/>
      </c>
      <c r="EM646" s="2" t="str">
        <f>IF(AND(AND(AND($DX646=0,$DW646=0),OR($EC646=1,$EA646=1)),SUM($EB646:$EE646)&gt;=2),"Technology approach","")</f>
        <v/>
      </c>
      <c r="EN646" t="s">
        <v>445</v>
      </c>
      <c r="EP646" t="str">
        <f>IF(ISNUMBER(BU646),IF(ABS(BU646-[4]QC_indicators!$B$2)&gt;3*[4]QC_indicators!$C$2,"C ratio",IF(ISNUMBER(BY646),IF(ABS(BY646-[4]QC_indicators!$B$1)&gt;3*[4]QC_indicators!$C$1,"DF","no"))),IF(ISNUMBER(BY646),IF(ABS(BY646-[4]QC_indicators!$B$1)&gt;3*[4]QC_indicators!$C$1,"DF","no")))</f>
        <v>no</v>
      </c>
      <c r="ET646" s="264" t="s">
        <v>3273</v>
      </c>
    </row>
    <row r="647" spans="1:150" ht="15" customHeight="1">
      <c r="A647" s="1" t="s">
        <v>1360</v>
      </c>
      <c r="B647" t="s">
        <v>2135</v>
      </c>
      <c r="C647" t="s">
        <v>2136</v>
      </c>
      <c r="D647" t="s">
        <v>2137</v>
      </c>
      <c r="E647" t="s">
        <v>2138</v>
      </c>
      <c r="F647" t="s">
        <v>2139</v>
      </c>
      <c r="G647" t="s">
        <v>1366</v>
      </c>
      <c r="H647" t="s">
        <v>254</v>
      </c>
      <c r="I647">
        <v>2012</v>
      </c>
      <c r="J647">
        <v>21</v>
      </c>
      <c r="K647" t="s">
        <v>2140</v>
      </c>
      <c r="L647" s="192"/>
      <c r="M647" t="str">
        <f>LEFT($D647,FIND(",",$D647)-1)&amp;"_"&amp;I647&amp;L647</f>
        <v>Pyorala_2012</v>
      </c>
      <c r="N647" t="s">
        <v>222</v>
      </c>
      <c r="O647" s="145" t="s">
        <v>341</v>
      </c>
      <c r="P647" s="180" t="s">
        <v>223</v>
      </c>
      <c r="Q647" s="264" t="s">
        <v>256</v>
      </c>
      <c r="R647" s="269" t="s">
        <v>1154</v>
      </c>
      <c r="S647" s="263" t="s">
        <v>2154</v>
      </c>
      <c r="T647" s="264" t="s">
        <v>2143</v>
      </c>
      <c r="U647" s="264" t="s">
        <v>2152</v>
      </c>
      <c r="V647">
        <v>0</v>
      </c>
      <c r="W647">
        <v>0</v>
      </c>
      <c r="X647">
        <v>0</v>
      </c>
      <c r="Y647">
        <v>0</v>
      </c>
      <c r="Z647">
        <v>0</v>
      </c>
      <c r="AA647">
        <v>0</v>
      </c>
      <c r="AB647">
        <v>1</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s="141">
        <f>COUNTIF(V647:AW647,"&lt;&gt;0")</f>
        <v>1</v>
      </c>
      <c r="AY647" s="141">
        <f>COUNTIF(V647:AL647,"&lt;&gt;0")</f>
        <v>1</v>
      </c>
      <c r="AZ647">
        <f>COUNTIF(V647:AC647,"&lt;&gt;0")</f>
        <v>1</v>
      </c>
      <c r="BA647">
        <f>COUNTIF(AD647:AI647,"&lt;&gt;0")</f>
        <v>0</v>
      </c>
      <c r="BB647">
        <f>COUNTIF(AJ647:AL647,"&lt;&gt;0")</f>
        <v>0</v>
      </c>
      <c r="BC647">
        <f>COUNTIF(AS647:AW647,"&lt;&gt;0")</f>
        <v>0</v>
      </c>
      <c r="BD647">
        <f>COUNTIF(AM647:AR647,"&lt;&gt;0")</f>
        <v>0</v>
      </c>
      <c r="BE647" t="str" cm="1">
        <f t="array" ref="BE647">IF(AY647=1,INDEX($V$7:$AL$7,MATCH(TRUE,INDEX($V647:$AW647&lt;&gt;0,),0)),IF(AY647=0,INDEX($AM$7:$AW$7,MATCH(1,$AM647:$AW647,0)),IF(BF647="Multiple strategies","mixed drivers",IF(BF647="Supply chain","multiple supply","multiple silviculture"))))</f>
        <v>fertilisation</v>
      </c>
      <c r="BF647" s="2" t="str" cm="1">
        <f t="array" ref="BF647">IF(COUNTIF(AZ647:BB647,"&lt;&gt;0")=1,INDEX($V$4:$AW$4,MATCH(TRUE,INDEX($V647:$AW647&lt;&gt;0,),0)),IF(COUNTIF(AZ647:BB647,"&lt;&gt;0")=0,INDEX($AM$4:$AW$4,MATCH(1,$AM647:$AW647,0)),"Multiple strategies"))</f>
        <v>Silviculture for productivity</v>
      </c>
      <c r="BG647" s="178" t="s">
        <v>321</v>
      </c>
      <c r="BH647" s="264" t="s">
        <v>2144</v>
      </c>
      <c r="BI647" s="264" t="s">
        <v>426</v>
      </c>
      <c r="BJ647" s="160" t="s">
        <v>700</v>
      </c>
      <c r="BK647">
        <v>7.8</v>
      </c>
      <c r="BL647">
        <v>10.6</v>
      </c>
      <c r="BN647">
        <f>BL647-BK647</f>
        <v>2.8</v>
      </c>
      <c r="BO647">
        <f>BN647</f>
        <v>2.8</v>
      </c>
      <c r="BP647" s="155" t="s">
        <v>232</v>
      </c>
      <c r="BQ647" s="335" t="s">
        <v>786</v>
      </c>
      <c r="BR647" s="270" t="s">
        <v>2145</v>
      </c>
      <c r="BS647" s="264">
        <f>155.5/50</f>
        <v>3.11</v>
      </c>
      <c r="BT647" s="264">
        <f>180.7/50</f>
        <v>3.6139999999999999</v>
      </c>
      <c r="BU647" s="144"/>
      <c r="BV647">
        <f>BT647-BS647</f>
        <v>0.504</v>
      </c>
      <c r="BX647">
        <f>BV647</f>
        <v>0.504</v>
      </c>
      <c r="BY647">
        <f>IFERROR(BX647/BO647,"")</f>
        <v>0.18000000000000002</v>
      </c>
      <c r="BZ647">
        <v>0</v>
      </c>
      <c r="CA647">
        <v>0</v>
      </c>
      <c r="CB647">
        <v>0</v>
      </c>
      <c r="CC647">
        <v>0</v>
      </c>
      <c r="CD647">
        <v>0</v>
      </c>
      <c r="CE647">
        <v>0</v>
      </c>
      <c r="CF647">
        <v>0</v>
      </c>
      <c r="CG647">
        <v>0</v>
      </c>
      <c r="CH647">
        <v>0</v>
      </c>
      <c r="CI647">
        <v>0</v>
      </c>
      <c r="CJ647">
        <v>0</v>
      </c>
      <c r="CK647">
        <v>0</v>
      </c>
      <c r="CL647">
        <v>0</v>
      </c>
      <c r="CM647">
        <v>0</v>
      </c>
      <c r="CN647" t="str">
        <f>IF($BL647&lt;$BK647,"refNeedCorrection","refOK")</f>
        <v>refOK</v>
      </c>
      <c r="CO647">
        <f>IF($CN647="refOK",$BK647,$BL647)</f>
        <v>7.8</v>
      </c>
      <c r="CP647">
        <f>IF($CN647="refOK",$BL647,$BK647)</f>
        <v>10.6</v>
      </c>
      <c r="CQ647">
        <f>IF($CN647="refOK",$BO647,-$BO647)</f>
        <v>2.8</v>
      </c>
      <c r="CR647">
        <f>IF($CN647="refOK",$BS647,$BT647)*IF($BP647="Emissions positive",-1,1)</f>
        <v>3.11</v>
      </c>
      <c r="CS647">
        <f>IF($CN647="refOK",$BT647,$BS647)*IF($BP647="Emissions positive",-1,1)</f>
        <v>3.6139999999999999</v>
      </c>
      <c r="CT647">
        <f>IF($CN647="refNeedCorrection",-BX647,BX647)*IF($BP647="Emissions positive",-1,1)</f>
        <v>0.504</v>
      </c>
      <c r="CU647">
        <f>IFERROR(CT647/CQ647,"")</f>
        <v>0.18000000000000002</v>
      </c>
      <c r="CV647" s="2">
        <f>IFERROR((CS647-CR647)/ABS(CR647),"")</f>
        <v>0.16205787781350484</v>
      </c>
      <c r="CW647" s="1" t="s">
        <v>1199</v>
      </c>
      <c r="CX647" s="264" t="str">
        <f>IF(OR($CW647="prd",$CW647="std",$CW647="cit"),"loc",IF(OR($CW647="eur",$CW647="reg",$CW647="coy"),"reg",$CW647))</f>
        <v>reg</v>
      </c>
      <c r="CY647" t="s">
        <v>235</v>
      </c>
      <c r="DB647">
        <v>50</v>
      </c>
      <c r="DC647" t="str">
        <f>IF(DB647=0,"0",IF(AND(DB647&gt;=1,DB647&lt;=30),"1-30",IF(AND(DB647&gt;30,DB647&lt;=70),"31-70",IF(AND(DB647&gt;70,DB647&lt;=100),"71-100",IF(DB647&gt;100,"+100")))))</f>
        <v>31-70</v>
      </c>
      <c r="DD647">
        <v>0</v>
      </c>
      <c r="DE647">
        <v>1</v>
      </c>
      <c r="DF647">
        <v>1</v>
      </c>
      <c r="DG647">
        <v>1</v>
      </c>
      <c r="DI647">
        <f>SUM(DD647:DG647)</f>
        <v>3</v>
      </c>
      <c r="DJ647" t="str">
        <f>IF(DI647=1,INDEX($DD$7:$DG$7,MATCH(1,$DD647:$DG647,0)),"mixedProduct")</f>
        <v>mixedProduct</v>
      </c>
      <c r="DK647">
        <f>IF(DD647=1,DK$7,0)</f>
        <v>0</v>
      </c>
      <c r="DL647" t="str">
        <f>IF(DE647=1,DL$7,0)</f>
        <v>Energy</v>
      </c>
      <c r="DM647" t="str">
        <f>IF(DF647=1,DM$7,0)</f>
        <v>Pulp/Paper</v>
      </c>
      <c r="DN647" t="str">
        <f>IF(DG647=1,DN$7,0)</f>
        <v>Timber</v>
      </c>
      <c r="DO647">
        <v>0</v>
      </c>
      <c r="DP647">
        <v>1</v>
      </c>
      <c r="DQ647" t="s">
        <v>2146</v>
      </c>
      <c r="DR647">
        <v>0</v>
      </c>
      <c r="DS647">
        <v>0</v>
      </c>
      <c r="DT647">
        <f>SUM(DO647:DP647)</f>
        <v>1</v>
      </c>
      <c r="DU647" s="143" t="str">
        <f>IF(DO647=1,"self-calculated DF",IF(DP647=1,"external DF used","explicit C balance"))</f>
        <v>external DF used</v>
      </c>
      <c r="DV647">
        <v>1</v>
      </c>
      <c r="DW647">
        <v>1</v>
      </c>
      <c r="DX647">
        <v>1</v>
      </c>
      <c r="DY647">
        <v>0</v>
      </c>
      <c r="DZ647">
        <v>0</v>
      </c>
      <c r="EA647" s="143">
        <v>0</v>
      </c>
      <c r="EB647">
        <v>0</v>
      </c>
      <c r="EC647">
        <v>0</v>
      </c>
      <c r="ED647">
        <v>0</v>
      </c>
      <c r="EE647">
        <v>0</v>
      </c>
      <c r="EF647">
        <v>1</v>
      </c>
      <c r="EG647">
        <v>0</v>
      </c>
      <c r="EH647">
        <v>0</v>
      </c>
      <c r="EI647" s="2">
        <v>0</v>
      </c>
      <c r="EK647" t="str">
        <f>IF(AND(AND(AND(OR($DX647=1,$DW647=1),OR($EC647=1,$EA647=1)),SUM($DV647:$DZ647,$EF647)&gt;=4),SUM($EA647:$EE647)&gt;=2),"Whole sector","")</f>
        <v/>
      </c>
      <c r="EL647" t="str">
        <f>IF(AND(AND(OR($DX647=1,$DW647=1),AND($EC647=0,$EA647=0)),SUM($DV647:$DZ647,$EF647)&gt;=4),"Ecosystem approach","")</f>
        <v>Ecosystem approach</v>
      </c>
      <c r="EM647" s="2" t="str">
        <f>IF(AND(AND(AND($DX647=0,$DW647=0),OR($EC647=1,$EA647=1)),SUM($EB647:$EE647)&gt;=2),"Technology approach","")</f>
        <v/>
      </c>
      <c r="EP647" t="str">
        <f>IF(ISNUMBER(BU647),IF(ABS(BU647-[3]QC_indicators!$B$2)&gt;3*[3]QC_indicators!$C$2,"C ratio",IF(ISNUMBER(BY647),IF(ABS(BY647-[3]QC_indicators!$B$1)&gt;3*[3]QC_indicators!$C$1,"DF","no"))),IF(ISNUMBER(BY647),IF(ABS(BY647-[3]QC_indicators!$B$1)&gt;3*[3]QC_indicators!$C$1,"DF","no")))</f>
        <v>no</v>
      </c>
      <c r="ET647" s="264" t="s">
        <v>3407</v>
      </c>
    </row>
    <row r="648" spans="1:150" ht="15" customHeight="1">
      <c r="A648" s="1" t="s">
        <v>1972</v>
      </c>
      <c r="B648" t="s">
        <v>2316</v>
      </c>
      <c r="C648" t="s">
        <v>2317</v>
      </c>
      <c r="D648" t="s">
        <v>2318</v>
      </c>
      <c r="E648" t="s">
        <v>2319</v>
      </c>
      <c r="F648" t="s">
        <v>2320</v>
      </c>
      <c r="G648" t="s">
        <v>1978</v>
      </c>
      <c r="H648" t="s">
        <v>254</v>
      </c>
      <c r="I648">
        <v>2020</v>
      </c>
      <c r="J648">
        <v>7</v>
      </c>
      <c r="K648" t="s">
        <v>2321</v>
      </c>
      <c r="M648" t="str">
        <f>LEFT($D648,FIND(",",$D648)-1)&amp;"_"&amp;I648&amp;L648</f>
        <v>Smyth_2020</v>
      </c>
      <c r="N648" t="s">
        <v>222</v>
      </c>
      <c r="O648" s="145" t="s">
        <v>341</v>
      </c>
      <c r="Q648" t="s">
        <v>256</v>
      </c>
      <c r="R648" s="290" t="s">
        <v>225</v>
      </c>
      <c r="S648" s="1" t="s">
        <v>2343</v>
      </c>
      <c r="T648" t="s">
        <v>1155</v>
      </c>
      <c r="U648" t="s">
        <v>2334</v>
      </c>
      <c r="V648">
        <v>0</v>
      </c>
      <c r="W648">
        <v>0</v>
      </c>
      <c r="X648">
        <v>0</v>
      </c>
      <c r="Y648">
        <v>0</v>
      </c>
      <c r="Z648">
        <v>0</v>
      </c>
      <c r="AA648">
        <v>0</v>
      </c>
      <c r="AB648">
        <v>0</v>
      </c>
      <c r="AC648">
        <v>0</v>
      </c>
      <c r="AD648">
        <v>0</v>
      </c>
      <c r="AE648">
        <v>0</v>
      </c>
      <c r="AF648">
        <v>1</v>
      </c>
      <c r="AG648">
        <v>0</v>
      </c>
      <c r="AH648">
        <v>0</v>
      </c>
      <c r="AI648">
        <v>0</v>
      </c>
      <c r="AJ648">
        <v>0</v>
      </c>
      <c r="AK648">
        <v>0</v>
      </c>
      <c r="AL648">
        <v>0</v>
      </c>
      <c r="AM648">
        <v>0</v>
      </c>
      <c r="AN648">
        <v>0</v>
      </c>
      <c r="AO648">
        <v>0</v>
      </c>
      <c r="AP648">
        <v>0</v>
      </c>
      <c r="AQ648">
        <v>0</v>
      </c>
      <c r="AR648">
        <v>0</v>
      </c>
      <c r="AS648">
        <v>0</v>
      </c>
      <c r="AT648">
        <v>0</v>
      </c>
      <c r="AU648">
        <v>0</v>
      </c>
      <c r="AV648">
        <v>0</v>
      </c>
      <c r="AW648">
        <v>0</v>
      </c>
      <c r="AX648" s="141">
        <f>COUNTIF(V648:AW648,"&lt;&gt;0")</f>
        <v>1</v>
      </c>
      <c r="AY648" s="141">
        <f>COUNTIF(V648:AL648,"&lt;&gt;0")</f>
        <v>1</v>
      </c>
      <c r="AZ648">
        <f>COUNTIF(V648:AC648,"&lt;&gt;0")</f>
        <v>0</v>
      </c>
      <c r="BA648">
        <f>COUNTIF(AD648:AI648,"&lt;&gt;0")</f>
        <v>1</v>
      </c>
      <c r="BB648">
        <f>COUNTIF(AJ648:AL648,"&lt;&gt;0")</f>
        <v>0</v>
      </c>
      <c r="BC648">
        <f>COUNTIF(AS648:AW648,"&lt;&gt;0")</f>
        <v>0</v>
      </c>
      <c r="BD648">
        <f>COUNTIF(AM648:AR648,"&lt;&gt;0")</f>
        <v>0</v>
      </c>
      <c r="BE648" t="str">
        <f t="array" ref="BE648">IF(AY648=1,INDEX($V$7:$AL$7,MATCH(TRUE,INDEX($V648:$AW648&lt;&gt;0,),0)),IF(AY648=0,INDEX($AM$7:$AW$7,MATCH(1,$AM648:$AW648,0)),IF(BF648="Multiple strategies","mixed drivers",IF(BF648="Supply chain","multiple supply","multiple silviculture"))))</f>
        <v>supply chain organization</v>
      </c>
      <c r="BF648" s="2" t="str" cm="1">
        <f t="array" ref="BF648">IF(COUNTIF(AZ648:BB648,"&lt;&gt;0")=1,INDEX($V$4:$AW$4,MATCH(TRUE,INDEX($V648:$AW648&lt;&gt;0,),0)),IF(COUNTIF(AZ648:BB648,"&lt;&gt;0")=0,INDEX($AM$4:$AW$4,MATCH(1,$AM648:$AW648,0)),"Multiple strategies"))</f>
        <v>Supply chain</v>
      </c>
      <c r="BG648" s="1" t="s">
        <v>321</v>
      </c>
      <c r="BH648" t="s">
        <v>2324</v>
      </c>
      <c r="BI648" s="260" t="s">
        <v>3390</v>
      </c>
      <c r="BJ648" t="s">
        <v>1359</v>
      </c>
      <c r="BK648">
        <v>457</v>
      </c>
      <c r="BL648">
        <v>488</v>
      </c>
      <c r="BM648">
        <f>BL648/BK648</f>
        <v>1.0678336980306347</v>
      </c>
      <c r="BN648">
        <f>BL648-BK648</f>
        <v>31</v>
      </c>
      <c r="BO648">
        <f>BN648*10^6*tC_to_m3</f>
        <v>134607034.30308294</v>
      </c>
      <c r="BP648" t="s">
        <v>232</v>
      </c>
      <c r="BQ648" s="260" t="s">
        <v>3391</v>
      </c>
      <c r="BR648" t="s">
        <v>1140</v>
      </c>
      <c r="BU648" s="144"/>
      <c r="BV648">
        <v>25</v>
      </c>
      <c r="BX648">
        <f>BV648*10^6</f>
        <v>25000000</v>
      </c>
      <c r="BY648">
        <f>IFERROR(BX648/BO648,"")</f>
        <v>0.18572580645161288</v>
      </c>
      <c r="BZ648">
        <v>0</v>
      </c>
      <c r="CA648">
        <v>1</v>
      </c>
      <c r="CB648">
        <v>1</v>
      </c>
      <c r="CC648">
        <v>1</v>
      </c>
      <c r="CD648">
        <v>0</v>
      </c>
      <c r="CE648">
        <v>0</v>
      </c>
      <c r="CF648">
        <v>0</v>
      </c>
      <c r="CG648">
        <v>0</v>
      </c>
      <c r="CH648">
        <v>0</v>
      </c>
      <c r="CI648">
        <v>0</v>
      </c>
      <c r="CJ648">
        <v>0</v>
      </c>
      <c r="CK648">
        <v>0</v>
      </c>
      <c r="CL648">
        <v>0</v>
      </c>
      <c r="CM648">
        <v>0</v>
      </c>
      <c r="CN648" t="str">
        <f>IF(BL648&lt;BK648,"refNeedCorrection","refOK")</f>
        <v>refOK</v>
      </c>
      <c r="CO648"/>
      <c r="CP648"/>
      <c r="CQ648">
        <f>IF($CN648="refOK",$BO648,-$BO648)</f>
        <v>134607034.30308294</v>
      </c>
      <c r="CR648">
        <f>IF($CN648="refOK",$BS648,$BT648)*IF($BP648="Emissions positive",-1,1)</f>
        <v>0</v>
      </c>
      <c r="CS648">
        <f>IF($CN648="refOK",$BT648,$BS648)*IF($BP648="Emissions positive",-1,1)</f>
        <v>0</v>
      </c>
      <c r="CT648">
        <f>IF($CN648="refNeedCorrection",-BX648,BX648)*IF($BP648="Emissions positive",-1,1)</f>
        <v>25000000</v>
      </c>
      <c r="CU648">
        <f>IFERROR(CT648/CQ648,"")</f>
        <v>0.18572580645161288</v>
      </c>
      <c r="CV648" s="2" t="str">
        <f>IFERROR((CS648-CR648)/ABS(CR648),"")</f>
        <v/>
      </c>
      <c r="CW648" s="1" t="s">
        <v>1199</v>
      </c>
      <c r="CX648" t="str">
        <f>IF(OR($CW648="prd",$CW648="std",$CW648="cit"),"loc",IF(OR($CW648="eur",$CW648="reg",$CW648="coy"),"reg",$CW648))</f>
        <v>reg</v>
      </c>
      <c r="CY648" t="s">
        <v>540</v>
      </c>
      <c r="CZ648">
        <v>2015</v>
      </c>
      <c r="DA648">
        <v>2070</v>
      </c>
      <c r="DB648">
        <v>45</v>
      </c>
      <c r="DC648" t="str">
        <f>IF(DB648=0,"0",IF(AND(DB648&gt;=1,DB648&lt;=30),"1-30",IF(AND(DB648&gt;30,DB648&lt;=70),"31-70",IF(AND(DB648&gt;70,DB648&lt;=100),"71-100",IF(DB648&gt;100,"+100")))))</f>
        <v>31-70</v>
      </c>
      <c r="DD648">
        <v>0</v>
      </c>
      <c r="DE648">
        <v>1</v>
      </c>
      <c r="DF648">
        <v>1</v>
      </c>
      <c r="DG648">
        <v>1</v>
      </c>
      <c r="DI648">
        <f>SUM(DD648:DG648)</f>
        <v>3</v>
      </c>
      <c r="DJ648" t="str">
        <f>IF(DI648=1,INDEX($DD$7:$DG$7,MATCH(1,$DD648:$DG648,0)),"mixedProduct")</f>
        <v>mixedProduct</v>
      </c>
      <c r="DK648">
        <f>IF(DD648=1,DK$7,0)</f>
        <v>0</v>
      </c>
      <c r="DL648" t="str">
        <f>IF(DE648=1,DL$7,0)</f>
        <v>Energy</v>
      </c>
      <c r="DM648" t="str">
        <f>IF(DF648=1,DM$7,0)</f>
        <v>Pulp/Paper</v>
      </c>
      <c r="DN648" t="str">
        <f>IF(DG648=1,DN$7,0)</f>
        <v>Timber</v>
      </c>
      <c r="DO648">
        <v>1</v>
      </c>
      <c r="DP648">
        <v>1</v>
      </c>
      <c r="DQ648" t="s">
        <v>2315</v>
      </c>
      <c r="DR648">
        <v>0</v>
      </c>
      <c r="DS648">
        <v>0</v>
      </c>
      <c r="DT648">
        <f>SUM(DO648:DP648)</f>
        <v>2</v>
      </c>
      <c r="DU648" s="143" t="str">
        <f>IF(DO648=1,"self-calculated DF",IF(DP648=1,"external DF used","explicit C balance"))</f>
        <v>self-calculated DF</v>
      </c>
      <c r="DV648">
        <v>1</v>
      </c>
      <c r="DW648">
        <v>1</v>
      </c>
      <c r="DX648">
        <v>1</v>
      </c>
      <c r="DY648">
        <v>1</v>
      </c>
      <c r="DZ648">
        <v>1</v>
      </c>
      <c r="EA648" s="143">
        <v>1</v>
      </c>
      <c r="EB648">
        <v>1</v>
      </c>
      <c r="EC648">
        <v>1</v>
      </c>
      <c r="ED648">
        <v>1</v>
      </c>
      <c r="EE648">
        <v>1</v>
      </c>
      <c r="EF648">
        <v>1</v>
      </c>
      <c r="EG648">
        <v>1</v>
      </c>
      <c r="EH648">
        <v>0</v>
      </c>
      <c r="EI648" s="2">
        <v>0</v>
      </c>
      <c r="EK648" t="str">
        <f>IF(AND(AND(AND(OR($DX648=1,$DW648=1),OR($EC648=1,$EA648=1)),SUM($DV648:$DZ648,$EF648)&gt;=4),SUM($EA648:$EE648)&gt;=2),"Whole sector","")</f>
        <v>Whole sector</v>
      </c>
      <c r="EL648" t="str">
        <f>IF(AND(AND(OR($DX648=1,$DW648=1),AND($EC648=0,$EA648=0)),SUM($DV648:$DZ648,$EF648)&gt;=4),"Ecosystem approach","")</f>
        <v/>
      </c>
      <c r="EM648" s="2" t="str">
        <f>IF(AND(AND(AND($DX648=0,$DW648=0),OR($EC648=1,$EA648=1)),SUM($EB648:$EE648)&gt;=2),"Technology approach","")</f>
        <v/>
      </c>
      <c r="EP648" t="str">
        <f>IF(ISNUMBER(BU648),IF(ABS(BU648-[4]QC_indicators!$B$2)&gt;3*[4]QC_indicators!$C$2,"C ratio",IF(ISNUMBER(BY648),IF(ABS(BY648-[4]QC_indicators!$B$1)&gt;3*[4]QC_indicators!$C$1,"DF","no"))),IF(ISNUMBER(BY648),IF(ABS(BY648-[4]QC_indicators!$B$1)&gt;3*[4]QC_indicators!$C$1,"DF","no")))</f>
        <v>no</v>
      </c>
      <c r="ER648" s="149" t="s">
        <v>349</v>
      </c>
      <c r="ET648" s="264" t="s">
        <v>3273</v>
      </c>
    </row>
    <row r="649" spans="1:150" ht="15" customHeight="1">
      <c r="A649" s="1" t="s">
        <v>333</v>
      </c>
      <c r="B649" t="s">
        <v>945</v>
      </c>
      <c r="C649" t="s">
        <v>946</v>
      </c>
      <c r="D649" t="s">
        <v>947</v>
      </c>
      <c r="E649" t="s">
        <v>948</v>
      </c>
      <c r="F649" t="s">
        <v>949</v>
      </c>
      <c r="G649" t="s">
        <v>339</v>
      </c>
      <c r="H649" t="s">
        <v>254</v>
      </c>
      <c r="I649">
        <v>2021</v>
      </c>
      <c r="J649">
        <v>0</v>
      </c>
      <c r="K649" t="s">
        <v>950</v>
      </c>
      <c r="M649" t="str">
        <f>LEFT($D649,FIND(",",$D649)-1)&amp;"_"&amp;I649&amp;L649</f>
        <v>Morris_2021</v>
      </c>
      <c r="N649" t="s">
        <v>222</v>
      </c>
      <c r="O649" t="s">
        <v>223</v>
      </c>
      <c r="Q649" t="s">
        <v>256</v>
      </c>
      <c r="R649" s="255" t="s">
        <v>225</v>
      </c>
      <c r="S649" s="1" t="s">
        <v>956</v>
      </c>
      <c r="T649" t="s">
        <v>795</v>
      </c>
      <c r="U649" t="s">
        <v>957</v>
      </c>
      <c r="V649">
        <v>0</v>
      </c>
      <c r="W649">
        <v>0</v>
      </c>
      <c r="X649">
        <v>0</v>
      </c>
      <c r="Y649">
        <v>0</v>
      </c>
      <c r="Z649">
        <v>0</v>
      </c>
      <c r="AA649">
        <v>0</v>
      </c>
      <c r="AB649">
        <v>0</v>
      </c>
      <c r="AC649">
        <v>0</v>
      </c>
      <c r="AD649">
        <v>0</v>
      </c>
      <c r="AE649">
        <v>0</v>
      </c>
      <c r="AF649">
        <v>0</v>
      </c>
      <c r="AG649">
        <v>0</v>
      </c>
      <c r="AH649">
        <v>0</v>
      </c>
      <c r="AI649">
        <v>0</v>
      </c>
      <c r="AJ649">
        <v>0</v>
      </c>
      <c r="AK649">
        <v>1</v>
      </c>
      <c r="AL649">
        <v>0</v>
      </c>
      <c r="AM649">
        <v>0</v>
      </c>
      <c r="AN649">
        <v>0</v>
      </c>
      <c r="AO649">
        <v>0</v>
      </c>
      <c r="AP649">
        <v>0</v>
      </c>
      <c r="AQ649">
        <v>0</v>
      </c>
      <c r="AR649">
        <v>0</v>
      </c>
      <c r="AS649">
        <v>0</v>
      </c>
      <c r="AT649">
        <v>0</v>
      </c>
      <c r="AU649">
        <v>0</v>
      </c>
      <c r="AV649">
        <v>0</v>
      </c>
      <c r="AW649">
        <v>0</v>
      </c>
      <c r="AX649" s="141">
        <f>COUNTIF(V649:AW649,"&lt;&gt;0")</f>
        <v>1</v>
      </c>
      <c r="AY649" s="141">
        <f>COUNTIF(V649:AL649,"&lt;&gt;0")</f>
        <v>1</v>
      </c>
      <c r="AZ649">
        <f>COUNTIF(V649:AC649,"&lt;&gt;0")</f>
        <v>0</v>
      </c>
      <c r="BA649">
        <f>COUNTIF(AD649:AI649,"&lt;&gt;0")</f>
        <v>0</v>
      </c>
      <c r="BB649">
        <f>COUNTIF(AJ649:AL649,"&lt;&gt;0")</f>
        <v>1</v>
      </c>
      <c r="BC649">
        <f>COUNTIF(AS649:AW649,"&lt;&gt;0")</f>
        <v>0</v>
      </c>
      <c r="BD649">
        <f>COUNTIF(AM649:AR649,"&lt;&gt;0")</f>
        <v>0</v>
      </c>
      <c r="BE649" t="str">
        <f t="array" ref="BE649">IF(AY649=1,INDEX($V$7:$AL$7,MATCH(TRUE,INDEX($V649:$AW649&lt;&gt;0,),0)),IF(AY649=0,INDEX($AM$7:$AW$7,MATCH(1,$AM649:$AW649,0)),IF(BF649="Multiple strategies","mixed drivers",IF(BF649="Supply chain","multiple supply","multiple silviculture"))))</f>
        <v>technologies/design switch</v>
      </c>
      <c r="BF649" s="2" t="str" cm="1">
        <f t="array" ref="BF649">IF(COUNTIF(AZ649:BB649,"&lt;&gt;0")=1,INDEX($V$4:$AW$4,MATCH(TRUE,INDEX($V649:$AW649&lt;&gt;0,),0)),IF(COUNTIF(AZ649:BB649,"&lt;&gt;0")=0,INDEX($AM$4:$AW$4,MATCH(1,$AM649:$AW649,0)),"Multiple strategies"))</f>
        <v>Technology</v>
      </c>
      <c r="BG649" s="1" t="s">
        <v>229</v>
      </c>
      <c r="BH649" t="s">
        <v>954</v>
      </c>
      <c r="BI649" s="260" t="s">
        <v>3373</v>
      </c>
      <c r="BJ649" t="s">
        <v>345</v>
      </c>
      <c r="BK649">
        <v>0</v>
      </c>
      <c r="BL649">
        <v>116.6</v>
      </c>
      <c r="BN649">
        <f>BL649-BK649</f>
        <v>116.6</v>
      </c>
      <c r="BO649">
        <f>BN649*kg_to_m3</f>
        <v>0.23795918367346941</v>
      </c>
      <c r="BP649" t="s">
        <v>232</v>
      </c>
      <c r="BQ649" s="260" t="s">
        <v>3376</v>
      </c>
      <c r="BR649" t="s">
        <v>955</v>
      </c>
      <c r="BS649">
        <v>-223.9</v>
      </c>
      <c r="BT649">
        <v>-179.7</v>
      </c>
      <c r="BU649" s="144">
        <f>IFERROR(BT649/BS649,"")</f>
        <v>0.8025904421616793</v>
      </c>
      <c r="BV649">
        <f>BT649-BS649</f>
        <v>44.200000000000017</v>
      </c>
      <c r="BX649">
        <f>BV649/1000</f>
        <v>4.4200000000000017E-2</v>
      </c>
      <c r="BY649">
        <f>IFERROR(BX649/BO649,"")</f>
        <v>0.18574614065180109</v>
      </c>
      <c r="BZ649">
        <v>1</v>
      </c>
      <c r="CA649">
        <v>0</v>
      </c>
      <c r="CB649">
        <v>0</v>
      </c>
      <c r="CC649">
        <v>0</v>
      </c>
      <c r="CD649">
        <v>0</v>
      </c>
      <c r="CE649">
        <v>1</v>
      </c>
      <c r="CF649">
        <v>0</v>
      </c>
      <c r="CG649">
        <v>1</v>
      </c>
      <c r="CH649">
        <v>0</v>
      </c>
      <c r="CI649">
        <v>0</v>
      </c>
      <c r="CJ649">
        <v>0</v>
      </c>
      <c r="CK649">
        <v>0</v>
      </c>
      <c r="CL649">
        <v>0</v>
      </c>
      <c r="CM649">
        <v>0</v>
      </c>
      <c r="CN649" t="str">
        <f>IF($BL649&lt;$BK649,"refNeedCorrection","refOK")</f>
        <v>refOK</v>
      </c>
      <c r="CO649">
        <f>IF($CN649="refOK",$BK649,$BL649)</f>
        <v>0</v>
      </c>
      <c r="CP649">
        <f>IF($CN649="refOK",$BL649,$BK649)</f>
        <v>116.6</v>
      </c>
      <c r="CQ649">
        <f>IF($CN649="refOK",$BO649,-$BO649)</f>
        <v>0.23795918367346941</v>
      </c>
      <c r="CR649">
        <f>IF($CN649="refOK",$BS649,$BT649)*IF($BP649="Emissions positive",-1,1)</f>
        <v>-223.9</v>
      </c>
      <c r="CS649">
        <f>IF($CN649="refOK",$BT649,$BS649)*IF($BP649="Emissions positive",-1,1)</f>
        <v>-179.7</v>
      </c>
      <c r="CT649">
        <f>IF($CN649="refNeedCorrection",-BX649,BX649)*IF($BP649="Emissions positive",-1,1)</f>
        <v>4.4200000000000017E-2</v>
      </c>
      <c r="CU649">
        <f>IFERROR(CT649/CQ649,"")</f>
        <v>0.18574614065180109</v>
      </c>
      <c r="CV649" s="2">
        <f>IFERROR((CS649-CR649)/ABS(CR649),"")</f>
        <v>0.19740955783832076</v>
      </c>
      <c r="CW649" s="1" t="s">
        <v>263</v>
      </c>
      <c r="CX649" t="str">
        <f>IF(OR($CW649="prd",$CW649="std",$CW649="cit"),"loc",IF(OR($CW649="eur",$CW649="reg",$CW649="coy"),"reg",$CW649))</f>
        <v>loc</v>
      </c>
      <c r="CY649" s="309" t="s">
        <v>3423</v>
      </c>
      <c r="DB649">
        <v>0</v>
      </c>
      <c r="DC649" t="str">
        <f>IF(DB649=0,"0",IF(AND(DB649&gt;=1,DB649&lt;=30),"1-30",IF(AND(DB649&gt;30,DB649&lt;=70),"31-70",IF(AND(DB649&gt;70,DB649&lt;=100),"71-100",IF(DB649&gt;100,"+100")))))</f>
        <v>0</v>
      </c>
      <c r="DD649">
        <v>0</v>
      </c>
      <c r="DE649">
        <v>0</v>
      </c>
      <c r="DF649">
        <v>0</v>
      </c>
      <c r="DG649">
        <v>1</v>
      </c>
      <c r="DI649">
        <f>SUM(DD649:DG649)</f>
        <v>1</v>
      </c>
      <c r="DJ649" t="str">
        <f>IF(DI649=1,INDEX($DD$7:$DG$7,MATCH(1,$DD649:$DG649,0)),"mixedProduct")</f>
        <v>TimberInput</v>
      </c>
      <c r="DK649">
        <f>IF(DD649=1,DK$7,0)</f>
        <v>0</v>
      </c>
      <c r="DL649">
        <f>IF(DE649=1,DL$7,0)</f>
        <v>0</v>
      </c>
      <c r="DM649">
        <f>IF(DF649=1,DM$7,0)</f>
        <v>0</v>
      </c>
      <c r="DN649" t="str">
        <f>IF(DG649=1,DN$7,0)</f>
        <v>Timber</v>
      </c>
      <c r="DO649">
        <v>0</v>
      </c>
      <c r="DP649">
        <v>0</v>
      </c>
      <c r="DQ649">
        <v>0</v>
      </c>
      <c r="DR649">
        <v>0</v>
      </c>
      <c r="DS649">
        <v>0</v>
      </c>
      <c r="DT649">
        <f>SUM(DO649:DP649)</f>
        <v>0</v>
      </c>
      <c r="DU649" s="143" t="str">
        <f>IF(DO649=1,"self-calculated DF",IF(DP649=1,"external DF used","explicit C balance"))</f>
        <v>explicit C balance</v>
      </c>
      <c r="DV649">
        <v>0</v>
      </c>
      <c r="DW649">
        <v>0</v>
      </c>
      <c r="DX649">
        <v>0</v>
      </c>
      <c r="DY649">
        <v>1</v>
      </c>
      <c r="DZ649">
        <v>0</v>
      </c>
      <c r="EA649" s="143">
        <v>1</v>
      </c>
      <c r="EB649">
        <v>1</v>
      </c>
      <c r="EC649">
        <v>1</v>
      </c>
      <c r="ED649">
        <v>0</v>
      </c>
      <c r="EE649">
        <v>1</v>
      </c>
      <c r="EF649">
        <v>0</v>
      </c>
      <c r="EG649">
        <v>0</v>
      </c>
      <c r="EH649">
        <v>0</v>
      </c>
      <c r="EI649" s="2">
        <v>0</v>
      </c>
      <c r="EK649" t="str">
        <f>IF(AND(AND(AND(OR($DX649=1,$DW649=1),OR($EC649=1,$EA649=1)),SUM($DV649:$DZ649,$EF649)&gt;=4),SUM($EA649:$EE649)&gt;=2),"Whole sector","")</f>
        <v/>
      </c>
      <c r="EL649" t="str">
        <f>IF(AND(AND(OR($DX649=1,$DW649=1),AND($EC649=0,$EA649=0)),SUM($DV649:$DZ649,$EF649)&gt;=4),"Ecosystem approach","")</f>
        <v/>
      </c>
      <c r="EM649" s="2" t="str">
        <f>IF(AND(AND(AND($DX649=0,$DW649=0),OR($EC649=1,$EA649=1)),SUM($EB649:$EE649)&gt;=2),"Technology approach","")</f>
        <v>Technology approach</v>
      </c>
      <c r="EP649" t="str">
        <f>IF(ISNUMBER(BU649),IF(ABS(BU649-[4]QC_indicators!$B$2)&gt;3*[4]QC_indicators!$C$2,"C ratio",IF(ISNUMBER(BY649),IF(ABS(BY649-[4]QC_indicators!$B$1)&gt;3*[4]QC_indicators!$C$1,"DF","no"))),IF(ISNUMBER(BY649),IF(ABS(BY649-[4]QC_indicators!$B$1)&gt;3*[4]QC_indicators!$C$1,"DF","no")))</f>
        <v>no</v>
      </c>
      <c r="ER649" s="149" t="s">
        <v>349</v>
      </c>
      <c r="ET649" s="264" t="s">
        <v>3273</v>
      </c>
    </row>
    <row r="650" spans="1:150" ht="15" customHeight="1">
      <c r="A650" s="174" t="s">
        <v>1286</v>
      </c>
      <c r="B650" s="141" t="s">
        <v>1287</v>
      </c>
      <c r="C650" s="141" t="s">
        <v>1288</v>
      </c>
      <c r="D650" s="141" t="s">
        <v>1289</v>
      </c>
      <c r="E650" s="141" t="s">
        <v>1290</v>
      </c>
      <c r="F650" s="141" t="s">
        <v>1291</v>
      </c>
      <c r="G650" s="141" t="s">
        <v>1292</v>
      </c>
      <c r="H650" s="141"/>
      <c r="I650" s="141">
        <v>2019</v>
      </c>
      <c r="J650" s="141"/>
      <c r="K650" s="141" t="s">
        <v>1293</v>
      </c>
      <c r="L650" s="141"/>
      <c r="M650" t="str">
        <f>LEFT($D650,FIND(",",$D650)-1)&amp;"_"&amp;I650&amp;L650</f>
        <v>Bosch_2019</v>
      </c>
      <c r="N650" t="s">
        <v>222</v>
      </c>
      <c r="O650" s="175" t="s">
        <v>225</v>
      </c>
      <c r="P650" s="141" t="s">
        <v>223</v>
      </c>
      <c r="Q650" s="264" t="s">
        <v>224</v>
      </c>
      <c r="R650" s="269" t="s">
        <v>1154</v>
      </c>
      <c r="S650" s="174" t="s">
        <v>1309</v>
      </c>
      <c r="T650" s="141" t="s">
        <v>1296</v>
      </c>
      <c r="U650" s="141" t="s">
        <v>1310</v>
      </c>
      <c r="V650" s="141">
        <v>0</v>
      </c>
      <c r="W650" s="141">
        <v>0</v>
      </c>
      <c r="X650" s="141">
        <v>1</v>
      </c>
      <c r="Y650" s="141">
        <v>0</v>
      </c>
      <c r="Z650" s="141">
        <v>0</v>
      </c>
      <c r="AA650" s="141">
        <v>0</v>
      </c>
      <c r="AB650" s="141">
        <v>0</v>
      </c>
      <c r="AC650" s="141">
        <v>0</v>
      </c>
      <c r="AD650" s="141">
        <v>0</v>
      </c>
      <c r="AE650" s="141">
        <v>0</v>
      </c>
      <c r="AF650" s="141">
        <v>0</v>
      </c>
      <c r="AG650" s="141">
        <v>0</v>
      </c>
      <c r="AH650" s="141">
        <v>0</v>
      </c>
      <c r="AI650" s="141">
        <v>0</v>
      </c>
      <c r="AJ650" s="141">
        <v>0</v>
      </c>
      <c r="AK650" s="141">
        <v>0</v>
      </c>
      <c r="AL650" s="141">
        <v>0</v>
      </c>
      <c r="AM650" s="141">
        <v>0</v>
      </c>
      <c r="AN650" s="141">
        <v>0</v>
      </c>
      <c r="AO650" s="141">
        <v>0</v>
      </c>
      <c r="AP650" s="141">
        <v>0</v>
      </c>
      <c r="AQ650" s="141">
        <v>0</v>
      </c>
      <c r="AR650" s="141">
        <v>0</v>
      </c>
      <c r="AS650" s="141">
        <v>0</v>
      </c>
      <c r="AT650" s="141">
        <v>0</v>
      </c>
      <c r="AU650" s="141">
        <v>0</v>
      </c>
      <c r="AV650" s="141">
        <v>0</v>
      </c>
      <c r="AW650" s="141">
        <v>0</v>
      </c>
      <c r="AX650" s="141">
        <f>COUNTIF(V650:AW650,"&lt;&gt;0")</f>
        <v>1</v>
      </c>
      <c r="AY650" s="141">
        <f>COUNTIF(V650:AL650,"&lt;&gt;0")</f>
        <v>1</v>
      </c>
      <c r="AZ650">
        <f>COUNTIF(V650:AC650,"&lt;&gt;0")</f>
        <v>1</v>
      </c>
      <c r="BA650">
        <f>COUNTIF(AD650:AI650,"&lt;&gt;0")</f>
        <v>0</v>
      </c>
      <c r="BB650">
        <f>COUNTIF(AJ650:AL650,"&lt;&gt;0")</f>
        <v>0</v>
      </c>
      <c r="BC650">
        <f>COUNTIF(AS650:AW650,"&lt;&gt;0")</f>
        <v>0</v>
      </c>
      <c r="BD650">
        <f>COUNTIF(AM650:AR650,"&lt;&gt;0")</f>
        <v>0</v>
      </c>
      <c r="BE650" t="str" cm="1">
        <f t="array" ref="BE650">IF(AY650=1,INDEX($V$7:$AL$7,MATCH(TRUE,INDEX($V650:$AW650&lt;&gt;0,),0)),IF(AY650=0,INDEX($AM$7:$AW$7,MATCH(1,$AM650:$AW650,0)),IF(BF650="Multiple strategies","mixed drivers",IF(BF650="Supply chain","multiple supply","multiple silviculture"))))</f>
        <v>rotation length</v>
      </c>
      <c r="BF650" s="2" t="str" cm="1">
        <f t="array" ref="BF650">IF(COUNTIF(AZ650:BB650,"&lt;&gt;0")=1,INDEX($V$4:$AW$4,MATCH(TRUE,INDEX($V650:$AW650&lt;&gt;0,),0)),IF(COUNTIF(AZ650:BB650,"&lt;&gt;0")=0,INDEX($AM$4:$AW$4,MATCH(1,$AM650:$AW650,0)),"Multiple strategies"))</f>
        <v>Silviculture for removals</v>
      </c>
      <c r="BG650" s="173" t="s">
        <v>321</v>
      </c>
      <c r="BH650" s="141" t="s">
        <v>1297</v>
      </c>
      <c r="BI650" s="141" t="s">
        <v>1298</v>
      </c>
      <c r="BJ650" s="163" t="s">
        <v>1299</v>
      </c>
      <c r="BK650" s="163">
        <v>2405</v>
      </c>
      <c r="BL650" s="176">
        <v>2642</v>
      </c>
      <c r="BM650" s="264">
        <f>BL650/BK650</f>
        <v>1.0985446985446985</v>
      </c>
      <c r="BN650">
        <f>BL650-BK650</f>
        <v>237</v>
      </c>
      <c r="BO650" s="158">
        <f>BN650*10^6</f>
        <v>237000000</v>
      </c>
      <c r="BP650" s="264" t="s">
        <v>395</v>
      </c>
      <c r="BQ650" s="264" t="s">
        <v>426</v>
      </c>
      <c r="BR650" s="151" t="s">
        <v>1300</v>
      </c>
      <c r="BS650" s="141"/>
      <c r="BT650" s="163"/>
      <c r="BU650" s="144" t="str">
        <f>IFERROR(BT650/BS650,"")</f>
        <v/>
      </c>
      <c r="BV650" s="176">
        <v>-45</v>
      </c>
      <c r="BX650">
        <f>BV650*10^6</f>
        <v>-45000000</v>
      </c>
      <c r="BY650">
        <f>IFERROR(BX650/BO650,"")</f>
        <v>-0.189873417721519</v>
      </c>
      <c r="BZ650" s="141">
        <v>0</v>
      </c>
      <c r="CA650" s="141">
        <v>0</v>
      </c>
      <c r="CB650" s="141">
        <v>0</v>
      </c>
      <c r="CC650" s="141">
        <v>0</v>
      </c>
      <c r="CD650" s="141">
        <v>0</v>
      </c>
      <c r="CE650" s="141">
        <v>0</v>
      </c>
      <c r="CF650" s="141">
        <v>0</v>
      </c>
      <c r="CG650" s="141">
        <v>0</v>
      </c>
      <c r="CH650" s="141">
        <v>0</v>
      </c>
      <c r="CI650" s="141">
        <v>0</v>
      </c>
      <c r="CJ650" s="141">
        <v>0</v>
      </c>
      <c r="CK650" s="141">
        <v>0</v>
      </c>
      <c r="CL650" s="141">
        <v>0</v>
      </c>
      <c r="CM650" s="141">
        <v>1</v>
      </c>
      <c r="CN650" t="str">
        <f>IF(BL650&lt;BK650,"refNeedCorrection","refOK")</f>
        <v>refOK</v>
      </c>
      <c r="CO650">
        <f>IF($CN650="refOK",$BK650,$BL650)</f>
        <v>2405</v>
      </c>
      <c r="CP650">
        <f>IF($CN650="refOK",$BL650,$BK650)</f>
        <v>2642</v>
      </c>
      <c r="CQ650">
        <f>IF($CN650="refOK",$BO650,-$BO650)</f>
        <v>237000000</v>
      </c>
      <c r="CR650">
        <f>IF($CN650="refOK",$BS650,$BT650)*IF($BP650="Emissions positive",-1,1)</f>
        <v>0</v>
      </c>
      <c r="CS650">
        <f>IF($CN650="refOK",$BT650,$BS650)*IF($BP650="Emissions positive",-1,1)</f>
        <v>0</v>
      </c>
      <c r="CT650">
        <f>IF($CN650="refNeedCorrection",-BX650,BX650)*IF($BP650="Emissions positive",-1,1)</f>
        <v>45000000</v>
      </c>
      <c r="CU650">
        <f>IFERROR(CT650/CQ650,"")</f>
        <v>0.189873417721519</v>
      </c>
      <c r="CV650" s="2" t="str">
        <f>IFERROR((CS650-CR650)/ABS(CR650),"")</f>
        <v/>
      </c>
      <c r="CW650" s="174" t="s">
        <v>1203</v>
      </c>
      <c r="CX650" s="264" t="str">
        <f>IF(OR($CW650="prd",$CW650="std",$CW650="cit"),"loc",IF(OR($CW650="eur",$CW650="reg",$CW650="coy"),"reg",$CW650))</f>
        <v>reg</v>
      </c>
      <c r="CY650" s="141" t="s">
        <v>1301</v>
      </c>
      <c r="CZ650" s="141">
        <v>2016</v>
      </c>
      <c r="DA650" s="163">
        <v>2046</v>
      </c>
      <c r="DB650" s="163">
        <v>30</v>
      </c>
      <c r="DC650" t="str">
        <f>IF(DB650=0,"0",IF(AND(DB650&gt;=1,DB650&lt;=30),"1-30",IF(AND(DB650&gt;30,DB650&lt;=70),"31-70",IF(AND(DB650&gt;70,DB650&lt;=100),"71-100",IF(DB650&gt;100,"+100")))))</f>
        <v>1-30</v>
      </c>
      <c r="DD650" s="141">
        <v>1</v>
      </c>
      <c r="DE650" s="141">
        <v>1</v>
      </c>
      <c r="DF650" s="141">
        <v>0</v>
      </c>
      <c r="DG650" s="141">
        <v>1</v>
      </c>
      <c r="DI650">
        <f>SUM(DD650:DG650)</f>
        <v>3</v>
      </c>
      <c r="DJ650" t="str">
        <f>IF(DI650=1,INDEX($DD$7:$DG$7,MATCH(1,$DD650:$DG650,0)),"mixedProduct")</f>
        <v>mixedProduct</v>
      </c>
      <c r="DK650" t="str">
        <f>IF(DD650=1,DK$7,0)</f>
        <v>Upstream</v>
      </c>
      <c r="DL650" t="str">
        <f>IF(DE650=1,DL$7,0)</f>
        <v>Energy</v>
      </c>
      <c r="DM650">
        <f>IF(DF650=1,DM$7,0)</f>
        <v>0</v>
      </c>
      <c r="DN650" t="str">
        <f>IF(DG650=1,DN$7,0)</f>
        <v>Timber</v>
      </c>
      <c r="DO650" s="163">
        <v>0</v>
      </c>
      <c r="DP650" s="141">
        <v>0</v>
      </c>
      <c r="DQ650" s="163">
        <v>0</v>
      </c>
      <c r="DR650" s="163">
        <v>0</v>
      </c>
      <c r="DS650" s="163">
        <v>0</v>
      </c>
      <c r="DT650">
        <f>SUM(DO650:DP650)</f>
        <v>0</v>
      </c>
      <c r="DU650" s="143" t="str">
        <f>IF(DO650=1,"self-calculated DF",IF(DP650=1,"external DF used","explicit C balance"))</f>
        <v>explicit C balance</v>
      </c>
      <c r="DV650" s="163">
        <v>0</v>
      </c>
      <c r="DW650" s="141">
        <v>0</v>
      </c>
      <c r="DX650" s="163">
        <v>0</v>
      </c>
      <c r="DY650" s="163">
        <v>1</v>
      </c>
      <c r="DZ650" s="141">
        <v>0</v>
      </c>
      <c r="EA650" s="141">
        <v>0</v>
      </c>
      <c r="EB650" s="143">
        <v>0</v>
      </c>
      <c r="EC650" s="141">
        <v>0</v>
      </c>
      <c r="ED650" s="143">
        <v>0</v>
      </c>
      <c r="EE650" s="143">
        <v>0</v>
      </c>
      <c r="EF650" s="141">
        <v>1</v>
      </c>
      <c r="EG650" s="163">
        <v>0</v>
      </c>
      <c r="EH650" s="141">
        <v>0</v>
      </c>
      <c r="EI650" s="177">
        <v>0</v>
      </c>
      <c r="EK650" t="str">
        <f>IF(AND(AND(AND(OR($DX650=1,$DW650=1),OR($EC650=1,$EA650=1)),SUM($DV650:$DZ650,$EF650)&gt;=4),SUM($EA650:$EE650)&gt;=2),"Whole sector","")</f>
        <v/>
      </c>
      <c r="EL650" t="str">
        <f>IF(AND(AND(OR($DX650=1,$DW650=1),AND($EC650=0,$EA650=0)),SUM($DV650:$DZ650,$EF650)&gt;=4),"Ecosystem approach","")</f>
        <v/>
      </c>
      <c r="EM650" s="2" t="str">
        <f>IF(AND(AND(AND($DX650=0,$DW650=0),OR($EC650=1,$EA650=1)),SUM($EB650:$EE650)&gt;=2),"Technology approach","")</f>
        <v/>
      </c>
      <c r="EN650" s="141"/>
      <c r="EP650" t="str">
        <f>IF(ISNUMBER(BU650),IF(ABS(BU650-[3]QC_indicators!$B$2)&gt;3*[3]QC_indicators!$C$2,"C ratio",IF(ISNUMBER(BY650),IF(ABS(BY650-[3]QC_indicators!$B$1)&gt;3*[3]QC_indicators!$C$1,"DF","no"))),IF(ISNUMBER(BY650),IF(ABS(BY650-[3]QC_indicators!$B$1)&gt;3*[3]QC_indicators!$C$1,"DF","no")))</f>
        <v>no</v>
      </c>
      <c r="ER650" s="294" t="s">
        <v>1302</v>
      </c>
      <c r="ET650" s="264" t="s">
        <v>3407</v>
      </c>
    </row>
    <row r="651" spans="1:150" ht="15" customHeight="1">
      <c r="A651" s="1" t="s">
        <v>1233</v>
      </c>
      <c r="B651" t="s">
        <v>1234</v>
      </c>
      <c r="C651" t="s">
        <v>1235</v>
      </c>
      <c r="D651" t="s">
        <v>336</v>
      </c>
      <c r="E651" t="s">
        <v>1236</v>
      </c>
      <c r="F651" t="s">
        <v>1237</v>
      </c>
      <c r="G651" t="s">
        <v>1238</v>
      </c>
      <c r="I651">
        <v>2018</v>
      </c>
      <c r="K651" t="s">
        <v>1239</v>
      </c>
      <c r="M651" t="str">
        <f>LEFT($D651,FIND(",",$D651)-1)&amp;"_"&amp;I651&amp;L651</f>
        <v>Balasbaneh_2018</v>
      </c>
      <c r="N651" t="s">
        <v>222</v>
      </c>
      <c r="O651" s="140" t="s">
        <v>513</v>
      </c>
      <c r="Q651" t="s">
        <v>224</v>
      </c>
      <c r="R651" s="262" t="s">
        <v>223</v>
      </c>
      <c r="S651" s="1" t="s">
        <v>1251</v>
      </c>
      <c r="T651" s="264" t="s">
        <v>3114</v>
      </c>
      <c r="U651" s="264" t="s">
        <v>3116</v>
      </c>
      <c r="V651">
        <v>0</v>
      </c>
      <c r="W651">
        <v>0</v>
      </c>
      <c r="X651">
        <v>0</v>
      </c>
      <c r="Y651">
        <v>0</v>
      </c>
      <c r="Z651">
        <v>0</v>
      </c>
      <c r="AA651">
        <v>0</v>
      </c>
      <c r="AB651">
        <v>0</v>
      </c>
      <c r="AC651">
        <v>0</v>
      </c>
      <c r="AD651">
        <v>0</v>
      </c>
      <c r="AE651">
        <v>0</v>
      </c>
      <c r="AF651">
        <v>0</v>
      </c>
      <c r="AG651">
        <v>0</v>
      </c>
      <c r="AH651">
        <v>0</v>
      </c>
      <c r="AI651">
        <v>0</v>
      </c>
      <c r="AJ651">
        <v>0</v>
      </c>
      <c r="AK651">
        <v>1</v>
      </c>
      <c r="AL651">
        <v>0</v>
      </c>
      <c r="AM651">
        <v>0</v>
      </c>
      <c r="AN651">
        <v>0</v>
      </c>
      <c r="AO651">
        <v>0</v>
      </c>
      <c r="AP651">
        <v>0</v>
      </c>
      <c r="AQ651">
        <v>0</v>
      </c>
      <c r="AR651">
        <v>0</v>
      </c>
      <c r="AS651">
        <v>0</v>
      </c>
      <c r="AT651">
        <v>0</v>
      </c>
      <c r="AU651">
        <v>0</v>
      </c>
      <c r="AV651">
        <v>0</v>
      </c>
      <c r="AW651">
        <v>0</v>
      </c>
      <c r="AX651" s="141">
        <f>COUNTIF(V651:AW651,"&lt;&gt;0")</f>
        <v>1</v>
      </c>
      <c r="AY651" s="141">
        <f>COUNTIF(V651:AL651,"&lt;&gt;0")</f>
        <v>1</v>
      </c>
      <c r="AZ651">
        <f>COUNTIF(V651:AC651,"&lt;&gt;0")</f>
        <v>0</v>
      </c>
      <c r="BA651">
        <f>COUNTIF(AD651:AI651,"&lt;&gt;0")</f>
        <v>0</v>
      </c>
      <c r="BB651">
        <f>COUNTIF(AJ651:AL651,"&lt;&gt;0")</f>
        <v>1</v>
      </c>
      <c r="BC651">
        <f>COUNTIF(AS651:AW651,"&lt;&gt;0")</f>
        <v>0</v>
      </c>
      <c r="BD651">
        <f>COUNTIF(AM651:AR651,"&lt;&gt;0")</f>
        <v>0</v>
      </c>
      <c r="BE651" t="str">
        <f t="array" ref="BE651">IF(AY651=1,INDEX($V$7:$AL$7,MATCH(TRUE,INDEX($V651:$AW651&lt;&gt;0,),0)),IF(AY651=0,INDEX($AM$7:$AW$7,MATCH(1,$AM651:$AW651,0)),IF(BF651="Multiple strategies","mixed drivers",IF(BF651="Supply chain","multiple supply","multiple silviculture"))))</f>
        <v>technologies/design switch</v>
      </c>
      <c r="BF651" s="2" t="str" cm="1">
        <f t="array" ref="BF651">IF(COUNTIF(AZ651:BB651,"&lt;&gt;0")=1,INDEX($V$4:$AW$4,MATCH(TRUE,INDEX($V651:$AW651&lt;&gt;0,),0)),IF(COUNTIF(AZ651:BB651,"&lt;&gt;0")=0,INDEX($AM$4:$AW$4,MATCH(1,$AM651:$AW651,0)),"Multiple strategies"))</f>
        <v>Technology</v>
      </c>
      <c r="BG651" s="1" t="s">
        <v>229</v>
      </c>
      <c r="BH651" t="s">
        <v>229</v>
      </c>
      <c r="BJ651" t="s">
        <v>345</v>
      </c>
      <c r="BK651">
        <v>0</v>
      </c>
      <c r="BL651">
        <v>23436</v>
      </c>
      <c r="BM651" s="143"/>
      <c r="BN651">
        <f>BL651-BK651</f>
        <v>23436</v>
      </c>
      <c r="BO651" s="143">
        <f>BN651*kg_to_m3</f>
        <v>47.828571428571436</v>
      </c>
      <c r="BP651" t="s">
        <v>232</v>
      </c>
      <c r="BQ651" s="337" t="s">
        <v>1057</v>
      </c>
      <c r="BR651" t="s">
        <v>397</v>
      </c>
      <c r="BS651">
        <v>-9840</v>
      </c>
      <c r="BT651">
        <v>-711</v>
      </c>
      <c r="BU651" s="144">
        <v>7.2256097560975605E-2</v>
      </c>
      <c r="BV651">
        <v>9129</v>
      </c>
      <c r="BX651">
        <f>BV651/1000</f>
        <v>9.1289999999999996</v>
      </c>
      <c r="BY651">
        <f>IFERROR(BX651/BO651,"")</f>
        <v>0.1908691756272401</v>
      </c>
      <c r="BZ651">
        <v>0</v>
      </c>
      <c r="CA651">
        <v>0</v>
      </c>
      <c r="CB651">
        <v>0</v>
      </c>
      <c r="CC651">
        <v>0</v>
      </c>
      <c r="CD651">
        <v>0</v>
      </c>
      <c r="CE651">
        <v>0</v>
      </c>
      <c r="CF651">
        <v>0</v>
      </c>
      <c r="CG651">
        <v>0</v>
      </c>
      <c r="CH651">
        <v>0</v>
      </c>
      <c r="CI651">
        <v>0</v>
      </c>
      <c r="CJ651">
        <v>0</v>
      </c>
      <c r="CK651">
        <v>0</v>
      </c>
      <c r="CL651">
        <v>0</v>
      </c>
      <c r="CM651">
        <v>0</v>
      </c>
      <c r="CN651" t="str">
        <f>IF($BL651&lt;$BK651,"refNeedCorrection","refOK")</f>
        <v>refOK</v>
      </c>
      <c r="CO651">
        <f>IF($CN651="refNeedCorrection",BL651,BK651)</f>
        <v>0</v>
      </c>
      <c r="CP651">
        <f>IF($CN651="refNeedCorrection",BK651,BL651)</f>
        <v>23436</v>
      </c>
      <c r="CQ651">
        <f>IF($CN651="refOK",$BO651,-$BO651)</f>
        <v>47.828571428571436</v>
      </c>
      <c r="CR651">
        <f>IF($CN651="refOK",$BS651,$BT651)*IF($BP651="Emissions positive",-1,1)</f>
        <v>-9840</v>
      </c>
      <c r="CS651">
        <f>IF($CN651="refOK",$BT651,$BS651)*IF($BP651="Emissions positive",-1,1)</f>
        <v>-711</v>
      </c>
      <c r="CT651">
        <f>IF($CN651="refNeedCorrection",-BX651,BX651)*IF($BP651="Emissions positive",-1,1)</f>
        <v>9.1289999999999996</v>
      </c>
      <c r="CU651">
        <f>IFERROR(CT651/CQ651,"")</f>
        <v>0.1908691756272401</v>
      </c>
      <c r="CV651" s="2">
        <f>IFERROR((CS651-CR651)/ABS(CR651),"")</f>
        <v>0.92774390243902438</v>
      </c>
      <c r="CW651" s="1" t="s">
        <v>1203</v>
      </c>
      <c r="CX651" t="str">
        <f>IF(OR($CW651="prd",$CW651="std",$CW651="cit"),"loc",IF(OR($CW651="eur",$CW651="reg",$CW651="coy"),"reg",$CW651))</f>
        <v>reg</v>
      </c>
      <c r="CY651" t="s">
        <v>348</v>
      </c>
      <c r="CZ651">
        <v>2014</v>
      </c>
      <c r="DA651">
        <v>2034</v>
      </c>
      <c r="DB651">
        <v>20</v>
      </c>
      <c r="DC651" t="str">
        <f>IF(DB651=0,"0",IF(AND(DB651&gt;=1,DB651&lt;=30),"1-30",IF(AND(DB651&gt;30,DB651&lt;=70),"31-70",IF(AND(DB651&gt;70,DB651&lt;=100),"71-100",IF(DB651&gt;100,"+100")))))</f>
        <v>1-30</v>
      </c>
      <c r="DD651">
        <v>0</v>
      </c>
      <c r="DE651">
        <v>0</v>
      </c>
      <c r="DF651">
        <v>0</v>
      </c>
      <c r="DG651">
        <v>1</v>
      </c>
      <c r="DI651">
        <f>SUM(DD651:DG651)</f>
        <v>1</v>
      </c>
      <c r="DJ651" t="str">
        <f>IF(DI651=1,INDEX($DD$7:$DG$7,MATCH(1,$DD651:$DG651,0)),"mixedProduct")</f>
        <v>TimberInput</v>
      </c>
      <c r="DK651">
        <f>IF(DD651=1,DK$7,0)</f>
        <v>0</v>
      </c>
      <c r="DL651">
        <f>IF(DE651=1,DL$7,0)</f>
        <v>0</v>
      </c>
      <c r="DM651">
        <f>IF(DF651=1,DM$7,0)</f>
        <v>0</v>
      </c>
      <c r="DN651" t="str">
        <f>IF(DG651=1,DN$7,0)</f>
        <v>Timber</v>
      </c>
      <c r="DO651">
        <v>0</v>
      </c>
      <c r="DP651">
        <v>0</v>
      </c>
      <c r="DQ651">
        <v>0</v>
      </c>
      <c r="DR651">
        <v>0</v>
      </c>
      <c r="DS651">
        <v>0</v>
      </c>
      <c r="DT651">
        <f>SUM(DO651:DP651)</f>
        <v>0</v>
      </c>
      <c r="DU651" s="143" t="str">
        <f>IF(DO651=1,"self-calculated DF",IF(DP651=1,"external DF used","explicit C balance"))</f>
        <v>explicit C balance</v>
      </c>
      <c r="DV651">
        <v>0</v>
      </c>
      <c r="DW651">
        <v>0</v>
      </c>
      <c r="DX651">
        <v>0</v>
      </c>
      <c r="DY651">
        <v>0</v>
      </c>
      <c r="DZ651">
        <v>0</v>
      </c>
      <c r="EA651" s="143">
        <v>1</v>
      </c>
      <c r="EB651">
        <v>0</v>
      </c>
      <c r="EC651">
        <v>1</v>
      </c>
      <c r="ED651">
        <v>1</v>
      </c>
      <c r="EE651">
        <v>1</v>
      </c>
      <c r="EF651">
        <v>0</v>
      </c>
      <c r="EG651">
        <v>0</v>
      </c>
      <c r="EH651">
        <v>0</v>
      </c>
      <c r="EI651" s="2">
        <v>0</v>
      </c>
      <c r="EK651" t="str">
        <f>IF(AND(AND(AND(OR($DX651=1,$DW651=1),OR($EC651=1,$EA651=1)),SUM($DV651:$DZ651,$EF651)&gt;=4),SUM($EA651:$EE651)&gt;=2),"Whole sector","")</f>
        <v/>
      </c>
      <c r="EL651" t="str">
        <f>IF(AND(AND(OR($DX651=1,$DW651=1),AND($EC651=0,$EA651=0)),SUM($DV651:$DZ651,$EF651)&gt;=4),"Ecosystem approach","")</f>
        <v/>
      </c>
      <c r="EM651" s="2" t="str">
        <f>IF(AND(AND(AND($DX651=0,$DW651=0),OR($EC651=1,$EA651=1)),SUM($EB651:$EE651)&gt;=2),"Technology approach","")</f>
        <v>Technology approach</v>
      </c>
      <c r="EP651" t="str">
        <f>IF(ISNUMBER(BU651),IF(ABS(BU651-[1]QC_indicators!$B$2)&gt;3*[1]QC_indicators!$C$2,"C ratio",IF(ISNUMBER(BY651),IF(ABS(BY651-[1]QC_indicators!$B$1)&gt;3*[1]QC_indicators!$C$1,"DF","no"))),IF(ISNUMBER(BY651),IF(ABS(BY651-[1]QC_indicators!$B$1)&gt;3*[1]QC_indicators!$C$1,"DF","no")))</f>
        <v>no</v>
      </c>
      <c r="ER651" s="149" t="s">
        <v>349</v>
      </c>
      <c r="ET651" s="264" t="s">
        <v>3273</v>
      </c>
    </row>
    <row r="652" spans="1:150" ht="15" customHeight="1">
      <c r="A652" s="1" t="s">
        <v>1360</v>
      </c>
      <c r="B652" t="s">
        <v>2135</v>
      </c>
      <c r="C652" t="s">
        <v>2136</v>
      </c>
      <c r="D652" t="s">
        <v>2137</v>
      </c>
      <c r="E652" t="s">
        <v>2138</v>
      </c>
      <c r="F652" t="s">
        <v>2139</v>
      </c>
      <c r="G652" t="s">
        <v>1366</v>
      </c>
      <c r="H652" t="s">
        <v>254</v>
      </c>
      <c r="I652">
        <v>2012</v>
      </c>
      <c r="J652">
        <v>21</v>
      </c>
      <c r="K652" t="s">
        <v>2140</v>
      </c>
      <c r="L652" s="192"/>
      <c r="M652" t="str">
        <f>LEFT($D652,FIND(",",$D652)-1)&amp;"_"&amp;I652&amp;L652</f>
        <v>Pyorala_2012</v>
      </c>
      <c r="N652" t="s">
        <v>222</v>
      </c>
      <c r="O652" s="145" t="s">
        <v>341</v>
      </c>
      <c r="P652" s="193" t="s">
        <v>223</v>
      </c>
      <c r="Q652" s="264" t="s">
        <v>2166</v>
      </c>
      <c r="R652" s="269" t="s">
        <v>1154</v>
      </c>
      <c r="S652" s="263" t="s">
        <v>2156</v>
      </c>
      <c r="T652" s="264" t="s">
        <v>2157</v>
      </c>
      <c r="U652" s="264" t="s">
        <v>2158</v>
      </c>
      <c r="V652">
        <v>0</v>
      </c>
      <c r="W652">
        <v>0</v>
      </c>
      <c r="X652">
        <v>0</v>
      </c>
      <c r="Y652">
        <v>0</v>
      </c>
      <c r="Z652">
        <v>0</v>
      </c>
      <c r="AA652">
        <v>0</v>
      </c>
      <c r="AB652">
        <v>0</v>
      </c>
      <c r="AC652">
        <v>1</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s="141">
        <f>COUNTIF(V652:AW652,"&lt;&gt;0")</f>
        <v>1</v>
      </c>
      <c r="AY652" s="141">
        <f>COUNTIF(V652:AL652,"&lt;&gt;0")</f>
        <v>1</v>
      </c>
      <c r="AZ652">
        <f>COUNTIF(V652:AC652,"&lt;&gt;0")</f>
        <v>1</v>
      </c>
      <c r="BA652">
        <f>COUNTIF(AD652:AI652,"&lt;&gt;0")</f>
        <v>0</v>
      </c>
      <c r="BB652">
        <f>COUNTIF(AJ652:AL652,"&lt;&gt;0")</f>
        <v>0</v>
      </c>
      <c r="BC652">
        <f>COUNTIF(AS652:AW652,"&lt;&gt;0")</f>
        <v>0</v>
      </c>
      <c r="BD652">
        <f>COUNTIF(AM652:AR652,"&lt;&gt;0")</f>
        <v>0</v>
      </c>
      <c r="BE652" t="str" cm="1">
        <f t="array" ref="BE652">IF(AY652=1,INDEX($V$7:$AL$7,MATCH(TRUE,INDEX($V652:$AW652&lt;&gt;0,),0)),IF(AY652=0,INDEX($AM$7:$AW$7,MATCH(1,$AM652:$AW652,0)),IF(BF652="Multiple strategies","mixed drivers",IF(BF652="Supply chain","multiple supply","multiple silviculture"))))</f>
        <v>site fertility</v>
      </c>
      <c r="BF652" s="2" t="str" cm="1">
        <f t="array" ref="BF652">IF(COUNTIF(AZ652:BB652,"&lt;&gt;0")=1,INDEX($V$4:$AW$4,MATCH(TRUE,INDEX($V652:$AW652&lt;&gt;0,),0)),IF(COUNTIF(AZ652:BB652,"&lt;&gt;0")=0,INDEX($AM$4:$AW$4,MATCH(1,$AM652:$AW652,0)),"Multiple strategies"))</f>
        <v>Silviculture for productivity</v>
      </c>
      <c r="BG652" s="194" t="s">
        <v>321</v>
      </c>
      <c r="BH652" s="264" t="s">
        <v>2144</v>
      </c>
      <c r="BI652" s="264" t="s">
        <v>2159</v>
      </c>
      <c r="BJ652" s="195" t="s">
        <v>700</v>
      </c>
      <c r="BK652">
        <v>7.4</v>
      </c>
      <c r="BL652">
        <v>8.8000000000000007</v>
      </c>
      <c r="BN652">
        <f>BL652-BK652</f>
        <v>1.4000000000000004</v>
      </c>
      <c r="BO652">
        <f>BN652</f>
        <v>1.4000000000000004</v>
      </c>
      <c r="BP652" s="149" t="s">
        <v>232</v>
      </c>
      <c r="BQ652" s="335" t="s">
        <v>786</v>
      </c>
      <c r="BR652" s="294" t="s">
        <v>2145</v>
      </c>
      <c r="BS652" s="264">
        <f>116.4/80</f>
        <v>1.4550000000000001</v>
      </c>
      <c r="BT652" s="264">
        <f>138.5/80</f>
        <v>1.73125</v>
      </c>
      <c r="BU652" s="144"/>
      <c r="BV652">
        <f>BT652-BS652</f>
        <v>0.27624999999999988</v>
      </c>
      <c r="BX652">
        <f>BV652</f>
        <v>0.27624999999999988</v>
      </c>
      <c r="BY652">
        <f>IFERROR(BX652/BO652,"")</f>
        <v>0.19732142857142843</v>
      </c>
      <c r="BZ652">
        <v>0</v>
      </c>
      <c r="CA652">
        <v>0</v>
      </c>
      <c r="CB652">
        <v>0</v>
      </c>
      <c r="CC652">
        <v>0</v>
      </c>
      <c r="CD652">
        <v>0</v>
      </c>
      <c r="CE652">
        <v>0</v>
      </c>
      <c r="CF652">
        <v>0</v>
      </c>
      <c r="CG652">
        <v>0</v>
      </c>
      <c r="CH652">
        <v>0</v>
      </c>
      <c r="CI652">
        <v>0</v>
      </c>
      <c r="CJ652">
        <v>0</v>
      </c>
      <c r="CK652">
        <v>0</v>
      </c>
      <c r="CL652">
        <v>0</v>
      </c>
      <c r="CM652">
        <v>0</v>
      </c>
      <c r="CN652" t="str">
        <f>IF($BL652&lt;$BK652,"refNeedCorrection","refOK")</f>
        <v>refOK</v>
      </c>
      <c r="CO652">
        <f>IF($CN652="refOK",$BK652,$BL652)</f>
        <v>7.4</v>
      </c>
      <c r="CP652">
        <f>IF($CN652="refOK",$BL652,$BK652)</f>
        <v>8.8000000000000007</v>
      </c>
      <c r="CQ652">
        <f>IF($CN652="refOK",$BO652,-$BO652)</f>
        <v>1.4000000000000004</v>
      </c>
      <c r="CR652">
        <f>IF($CN652="refOK",$BS652,$BT652)*IF($BP652="Emissions positive",-1,1)</f>
        <v>1.4550000000000001</v>
      </c>
      <c r="CS652">
        <f>IF($CN652="refOK",$BT652,$BS652)*IF($BP652="Emissions positive",-1,1)</f>
        <v>1.73125</v>
      </c>
      <c r="CT652">
        <f>IF($CN652="refNeedCorrection",-BX652,BX652)*IF($BP652="Emissions positive",-1,1)</f>
        <v>0.27624999999999988</v>
      </c>
      <c r="CU652">
        <f>IFERROR(CT652/CQ652,"")</f>
        <v>0.19732142857142843</v>
      </c>
      <c r="CV652" s="2">
        <f>IFERROR((CS652-CR652)/ABS(CR652),"")</f>
        <v>0.18986254295532637</v>
      </c>
      <c r="CW652" s="1" t="s">
        <v>1199</v>
      </c>
      <c r="CX652" s="264" t="str">
        <f>IF(OR($CW652="prd",$CW652="std",$CW652="cit"),"loc",IF(OR($CW652="eur",$CW652="reg",$CW652="coy"),"reg",$CW652))</f>
        <v>reg</v>
      </c>
      <c r="CY652" t="s">
        <v>235</v>
      </c>
      <c r="DB652">
        <v>80</v>
      </c>
      <c r="DC652" t="str">
        <f>IF(DB652=0,"0",IF(AND(DB652&gt;=1,DB652&lt;=30),"1-30",IF(AND(DB652&gt;30,DB652&lt;=70),"31-70",IF(AND(DB652&gt;70,DB652&lt;=100),"71-100",IF(DB652&gt;100,"+100")))))</f>
        <v>71-100</v>
      </c>
      <c r="DD652">
        <v>0</v>
      </c>
      <c r="DE652">
        <v>1</v>
      </c>
      <c r="DF652">
        <v>1</v>
      </c>
      <c r="DG652">
        <v>1</v>
      </c>
      <c r="DI652">
        <f>SUM(DD652:DG652)</f>
        <v>3</v>
      </c>
      <c r="DJ652" t="str">
        <f>IF(DI652=1,INDEX($DD$7:$DG$7,MATCH(1,$DD652:$DG652,0)),"mixedProduct")</f>
        <v>mixedProduct</v>
      </c>
      <c r="DK652">
        <f>IF(DD652=1,DK$7,0)</f>
        <v>0</v>
      </c>
      <c r="DL652" t="str">
        <f>IF(DE652=1,DL$7,0)</f>
        <v>Energy</v>
      </c>
      <c r="DM652" t="str">
        <f>IF(DF652=1,DM$7,0)</f>
        <v>Pulp/Paper</v>
      </c>
      <c r="DN652" t="str">
        <f>IF(DG652=1,DN$7,0)</f>
        <v>Timber</v>
      </c>
      <c r="DO652">
        <v>0</v>
      </c>
      <c r="DP652">
        <v>1</v>
      </c>
      <c r="DQ652" t="s">
        <v>2146</v>
      </c>
      <c r="DR652">
        <v>0</v>
      </c>
      <c r="DS652">
        <v>0</v>
      </c>
      <c r="DT652">
        <f>SUM(DO652:DP652)</f>
        <v>1</v>
      </c>
      <c r="DU652" s="143" t="str">
        <f>IF(DO652=1,"self-calculated DF",IF(DP652=1,"external DF used","explicit C balance"))</f>
        <v>external DF used</v>
      </c>
      <c r="DV652">
        <v>1</v>
      </c>
      <c r="DW652">
        <v>1</v>
      </c>
      <c r="DX652">
        <v>1</v>
      </c>
      <c r="DY652">
        <v>0</v>
      </c>
      <c r="DZ652">
        <v>0</v>
      </c>
      <c r="EA652" s="143">
        <v>0</v>
      </c>
      <c r="EB652">
        <v>0</v>
      </c>
      <c r="EC652">
        <v>0</v>
      </c>
      <c r="ED652">
        <v>0</v>
      </c>
      <c r="EE652">
        <v>0</v>
      </c>
      <c r="EF652">
        <v>1</v>
      </c>
      <c r="EG652">
        <v>0</v>
      </c>
      <c r="EH652">
        <v>0</v>
      </c>
      <c r="EI652" s="2">
        <v>0</v>
      </c>
      <c r="EK652" t="str">
        <f>IF(AND(AND(AND(OR($DX652=1,$DW652=1),OR($EC652=1,$EA652=1)),SUM($DV652:$DZ652,$EF652)&gt;=4),SUM($EA652:$EE652)&gt;=2),"Whole sector","")</f>
        <v/>
      </c>
      <c r="EL652" t="str">
        <f>IF(AND(AND(OR($DX652=1,$DW652=1),AND($EC652=0,$EA652=0)),SUM($DV652:$DZ652,$EF652)&gt;=4),"Ecosystem approach","")</f>
        <v>Ecosystem approach</v>
      </c>
      <c r="EM652" s="2" t="str">
        <f>IF(AND(AND(AND($DX652=0,$DW652=0),OR($EC652=1,$EA652=1)),SUM($EB652:$EE652)&gt;=2),"Technology approach","")</f>
        <v/>
      </c>
      <c r="EP652" t="str">
        <f>IF(ISNUMBER(BU652),IF(ABS(BU652-[3]QC_indicators!$B$2)&gt;3*[3]QC_indicators!$C$2,"C ratio",IF(ISNUMBER(BY652),IF(ABS(BY652-[3]QC_indicators!$B$1)&gt;3*[3]QC_indicators!$C$1,"DF","no"))),IF(ISNUMBER(BY652),IF(ABS(BY652-[3]QC_indicators!$B$1)&gt;3*[3]QC_indicators!$C$1,"DF","no")))</f>
        <v>no</v>
      </c>
      <c r="ET652" s="264" t="s">
        <v>3407</v>
      </c>
    </row>
    <row r="653" spans="1:150" ht="15" customHeight="1">
      <c r="A653" s="1" t="s">
        <v>1102</v>
      </c>
      <c r="B653" t="s">
        <v>2381</v>
      </c>
      <c r="C653" t="s">
        <v>2382</v>
      </c>
      <c r="D653" t="s">
        <v>2383</v>
      </c>
      <c r="E653" t="s">
        <v>2384</v>
      </c>
      <c r="F653" t="s">
        <v>2385</v>
      </c>
      <c r="G653" t="s">
        <v>1108</v>
      </c>
      <c r="H653" t="s">
        <v>254</v>
      </c>
      <c r="I653">
        <v>2016</v>
      </c>
      <c r="J653">
        <v>13</v>
      </c>
      <c r="K653" t="s">
        <v>2386</v>
      </c>
      <c r="M653" t="str">
        <f>LEFT($D653,FIND(",",$D653)-1)&amp;"_"&amp;I653&amp;L653</f>
        <v>Torssonen_2016</v>
      </c>
      <c r="N653" t="s">
        <v>222</v>
      </c>
      <c r="O653" s="145" t="s">
        <v>1154</v>
      </c>
      <c r="Q653" s="264" t="s">
        <v>256</v>
      </c>
      <c r="R653" s="269" t="s">
        <v>341</v>
      </c>
      <c r="S653" s="1" t="s">
        <v>2404</v>
      </c>
      <c r="T653" s="264" t="s">
        <v>2406</v>
      </c>
      <c r="U653" t="s">
        <v>2408</v>
      </c>
      <c r="V653">
        <v>0</v>
      </c>
      <c r="W653">
        <v>0</v>
      </c>
      <c r="X653">
        <v>0</v>
      </c>
      <c r="Y653">
        <v>0</v>
      </c>
      <c r="Z653">
        <v>0</v>
      </c>
      <c r="AA653">
        <v>0</v>
      </c>
      <c r="AB653">
        <v>0</v>
      </c>
      <c r="AC653">
        <v>0</v>
      </c>
      <c r="AD653">
        <v>0</v>
      </c>
      <c r="AE653">
        <v>0</v>
      </c>
      <c r="AF653">
        <v>0</v>
      </c>
      <c r="AG653">
        <v>0</v>
      </c>
      <c r="AH653">
        <v>0</v>
      </c>
      <c r="AI653">
        <v>0</v>
      </c>
      <c r="AJ653">
        <v>0</v>
      </c>
      <c r="AK653">
        <v>0</v>
      </c>
      <c r="AL653">
        <v>0</v>
      </c>
      <c r="AM653">
        <v>0</v>
      </c>
      <c r="AN653">
        <v>1</v>
      </c>
      <c r="AO653">
        <v>1</v>
      </c>
      <c r="AP653">
        <v>0</v>
      </c>
      <c r="AQ653">
        <v>0</v>
      </c>
      <c r="AR653">
        <v>0</v>
      </c>
      <c r="AS653">
        <v>0</v>
      </c>
      <c r="AT653">
        <v>0</v>
      </c>
      <c r="AU653">
        <v>0</v>
      </c>
      <c r="AV653">
        <v>0</v>
      </c>
      <c r="AW653">
        <v>0</v>
      </c>
      <c r="AX653" s="141">
        <f>COUNTIF(V653:AW653,"&lt;&gt;0")</f>
        <v>2</v>
      </c>
      <c r="AY653" s="141">
        <f>COUNTIF(V653:AL653,"&lt;&gt;0")</f>
        <v>0</v>
      </c>
      <c r="AZ653">
        <f>COUNTIF(V653:AC653,"&lt;&gt;0")</f>
        <v>0</v>
      </c>
      <c r="BA653">
        <f>COUNTIF(AD653:AI653,"&lt;&gt;0")</f>
        <v>0</v>
      </c>
      <c r="BB653">
        <f>COUNTIF(AJ653:AL653,"&lt;&gt;0")</f>
        <v>0</v>
      </c>
      <c r="BC653">
        <f>COUNTIF(AS653:AW653,"&lt;&gt;0")</f>
        <v>0</v>
      </c>
      <c r="BD653">
        <f>COUNTIF(AM653:AR653,"&lt;&gt;0")</f>
        <v>2</v>
      </c>
      <c r="BE653" t="str" cm="1">
        <f t="array" ref="BE653">IF(AY653=1,INDEX($V$7:$AL$7,MATCH(TRUE,INDEX($V653:$AW653&lt;&gt;0,),0)),IF(AY653=0,INDEX($AM$7:$AW$7,MATCH(1,$AM653:$AW653,0)),IF(BF653="Multiple strategies","mixed drivers",IF(BF653="Supply chain","multiple supply","multiple silviculture"))))</f>
        <v>Temperature</v>
      </c>
      <c r="BF653" s="2" t="str" cm="1">
        <f t="array" ref="BF653">IF(COUNTIF(AZ653:BB653,"&lt;&gt;0")=1,INDEX($V$4:$AW$4,MATCH(TRUE,INDEX($V653:$AW653&lt;&gt;0,),0)),IF(COUNTIF(AZ653:BB653,"&lt;&gt;0")=0,INDEX($AM$4:$AW$4,MATCH(1,$AM653:$AW653,0)),"Multiple strategies"))</f>
        <v>Environmental change</v>
      </c>
      <c r="BG653" s="1" t="s">
        <v>229</v>
      </c>
      <c r="BH653" s="306" t="s">
        <v>2144</v>
      </c>
      <c r="BI653" s="264" t="s">
        <v>2391</v>
      </c>
      <c r="BJ653" s="306" t="s">
        <v>1058</v>
      </c>
      <c r="BK653">
        <v>6.697959172</v>
      </c>
      <c r="BL653">
        <v>6.9183673350000001</v>
      </c>
      <c r="BM653" s="143">
        <f>BL653/BK653</f>
        <v>1.0329067641859313</v>
      </c>
      <c r="BN653">
        <f>BL653-BK653</f>
        <v>0.2204081630000001</v>
      </c>
      <c r="BO653">
        <f>BN653</f>
        <v>0.2204081630000001</v>
      </c>
      <c r="BP653" s="306" t="s">
        <v>395</v>
      </c>
      <c r="BQ653" s="153" t="s">
        <v>3421</v>
      </c>
      <c r="BR653" s="264" t="s">
        <v>2393</v>
      </c>
      <c r="BS653">
        <v>-334.54545454545399</v>
      </c>
      <c r="BT653">
        <v>-338.90909090909099</v>
      </c>
      <c r="BU653" s="144"/>
      <c r="BV653" s="144">
        <f>BT653-BS653</f>
        <v>-4.3636363636369992</v>
      </c>
      <c r="BW653" s="144"/>
      <c r="BX653" s="144">
        <f>BV653*10^4/10^6</f>
        <v>-4.3636363636369989E-2</v>
      </c>
      <c r="BY653">
        <f>IFERROR(BX653/BO653,"")</f>
        <v>-0.19797979821813572</v>
      </c>
      <c r="BZ653">
        <v>0</v>
      </c>
      <c r="CA653">
        <v>0</v>
      </c>
      <c r="CB653">
        <v>0</v>
      </c>
      <c r="CC653">
        <v>0</v>
      </c>
      <c r="CD653">
        <v>0</v>
      </c>
      <c r="CE653">
        <v>0</v>
      </c>
      <c r="CF653">
        <v>0</v>
      </c>
      <c r="CG653">
        <v>0</v>
      </c>
      <c r="CH653">
        <v>0</v>
      </c>
      <c r="CI653">
        <v>0</v>
      </c>
      <c r="CJ653">
        <v>0</v>
      </c>
      <c r="CK653">
        <v>0</v>
      </c>
      <c r="CL653">
        <v>0</v>
      </c>
      <c r="CM653">
        <v>1</v>
      </c>
      <c r="CN653" t="str">
        <f>IF($BL653&lt;$BK653,"refNeedCorrection","refOK")</f>
        <v>refOK</v>
      </c>
      <c r="CO653">
        <f>IF($CN653="refOK",$BK653,$BL653)</f>
        <v>6.697959172</v>
      </c>
      <c r="CP653">
        <f>IF($CN653="refOK",$BL653,$BK653)</f>
        <v>6.9183673350000001</v>
      </c>
      <c r="CQ653">
        <f>IF($CN653="refOK",$BO653,-$BO653)</f>
        <v>0.2204081630000001</v>
      </c>
      <c r="CR653">
        <f>IF($CN653="refOK",$BS653,$BT653)*IF($BP653="Emissions positive",-1,1)</f>
        <v>334.54545454545399</v>
      </c>
      <c r="CS653">
        <f>IF($CN653="refOK",$BT653,$BS653)*IF($BP653="Emissions positive",-1,1)</f>
        <v>338.90909090909099</v>
      </c>
      <c r="CT653">
        <f>IF($CN653="refNeedCorrection",-BX653,BX653)*IF($BP653="Emissions positive",-1,1)</f>
        <v>4.3636363636369989E-2</v>
      </c>
      <c r="CU653">
        <f>IFERROR(CT653/CQ653,"")</f>
        <v>0.19797979821813572</v>
      </c>
      <c r="CV653" s="2">
        <f>IFERROR((CS653-CR653)/ABS(CR653),"")</f>
        <v>1.3043478260871487E-2</v>
      </c>
      <c r="CW653" s="1" t="s">
        <v>1199</v>
      </c>
      <c r="CX653" s="264" t="str">
        <f>IF(OR($CW653="prd",$CW653="std",$CW653="cit"),"loc",IF(OR($CW653="eur",$CW653="reg",$CW653="coy"),"reg",$CW653))</f>
        <v>reg</v>
      </c>
      <c r="CY653" t="s">
        <v>235</v>
      </c>
      <c r="CZ653">
        <v>2020</v>
      </c>
      <c r="DA653">
        <v>2100</v>
      </c>
      <c r="DB653">
        <f>DA653-CZ653</f>
        <v>80</v>
      </c>
      <c r="DC653" t="str">
        <f>IF(DB653=0,"0",IF(AND(DB653&gt;=1,DB653&lt;=30),"1-30",IF(AND(DB653&gt;30,DB653&lt;=70),"31-70",IF(AND(DB653&gt;70,DB653&lt;=100),"71-100",IF(DB653&gt;100,"+100")))))</f>
        <v>71-100</v>
      </c>
      <c r="DD653">
        <v>0</v>
      </c>
      <c r="DE653">
        <v>1</v>
      </c>
      <c r="DF653">
        <v>0</v>
      </c>
      <c r="DG653">
        <v>1</v>
      </c>
      <c r="DI653">
        <f>SUM(DD653:DG653)</f>
        <v>2</v>
      </c>
      <c r="DJ653" t="str">
        <f>IF(DI653=1,INDEX($DD$7:$DG$7,MATCH(1,$DD653:$DG653,0)),"mixedProduct")</f>
        <v>mixedProduct</v>
      </c>
      <c r="DK653">
        <f>IF(DD653=1,DK$7,0)</f>
        <v>0</v>
      </c>
      <c r="DL653" t="str">
        <f>IF(DE653=1,DL$7,0)</f>
        <v>Energy</v>
      </c>
      <c r="DM653">
        <f>IF(DF653=1,DM$7,0)</f>
        <v>0</v>
      </c>
      <c r="DN653" t="str">
        <f>IF(DG653=1,DN$7,0)</f>
        <v>Timber</v>
      </c>
      <c r="DO653">
        <v>1</v>
      </c>
      <c r="DP653">
        <v>0</v>
      </c>
      <c r="DQ653">
        <v>0</v>
      </c>
      <c r="DR653">
        <v>0</v>
      </c>
      <c r="DS653">
        <v>0</v>
      </c>
      <c r="DT653">
        <f>SUM(DO653:DP653)</f>
        <v>1</v>
      </c>
      <c r="DU653" s="143" t="str">
        <f>IF(DO653=1,"self-calculated DF",IF(DP653=1,"external DF used","explicit C balance"))</f>
        <v>self-calculated DF</v>
      </c>
      <c r="DV653">
        <v>1</v>
      </c>
      <c r="DW653">
        <v>0</v>
      </c>
      <c r="DX653">
        <v>1</v>
      </c>
      <c r="DY653">
        <v>0</v>
      </c>
      <c r="DZ653">
        <v>0</v>
      </c>
      <c r="EA653" s="143">
        <v>0</v>
      </c>
      <c r="EB653">
        <v>0</v>
      </c>
      <c r="EC653">
        <v>0</v>
      </c>
      <c r="ED653">
        <v>0</v>
      </c>
      <c r="EE653">
        <v>0</v>
      </c>
      <c r="EF653">
        <v>1</v>
      </c>
      <c r="EG653">
        <v>0</v>
      </c>
      <c r="EH653">
        <v>0</v>
      </c>
      <c r="EI653" s="2">
        <v>0</v>
      </c>
      <c r="EK653" t="str">
        <f>IF(AND(AND(AND(OR($DX653=1,$DW653=1),OR($EC653=1,$EA653=1)),SUM($DV653:$DZ653,$EF653)&gt;=4),SUM($EA653:$EE653)&gt;=2),"Whole sector","")</f>
        <v/>
      </c>
      <c r="EL653" t="str">
        <f>IF(AND(AND(OR($DX653=1,$DW653=1),AND($EC653=0,$EA653=0)),SUM($DV653:$DZ653,$EF653)&gt;=4),"Ecosystem approach","")</f>
        <v/>
      </c>
      <c r="EM653" s="2" t="str">
        <f>IF(AND(AND(AND($DX653=0,$DW653=0),OR($EC653=1,$EA653=1)),SUM($EB653:$EE653)&gt;=2),"Technology approach","")</f>
        <v/>
      </c>
      <c r="EN653" t="s">
        <v>2403</v>
      </c>
      <c r="EP653" t="str">
        <f>IF(ISNUMBER(BU653),IF(ABS(BU653-[3]QC_indicators!$B$2)&gt;3*[3]QC_indicators!$C$2,"C ratio",IF(ISNUMBER(BY653),IF(ABS(BY653-[3]QC_indicators!$B$1)&gt;3*[3]QC_indicators!$C$1,"DF","no"))),IF(ISNUMBER(BY653),IF(ABS(BY653-[3]QC_indicators!$B$1)&gt;3*[3]QC_indicators!$C$1,"DF","no")))</f>
        <v>no</v>
      </c>
      <c r="ER653" s="264" t="s">
        <v>2394</v>
      </c>
      <c r="ET653" s="306" t="s">
        <v>3422</v>
      </c>
    </row>
    <row r="654" spans="1:150" ht="15" customHeight="1">
      <c r="A654" s="1" t="s">
        <v>1423</v>
      </c>
      <c r="B654" t="s">
        <v>2490</v>
      </c>
      <c r="C654" t="s">
        <v>2491</v>
      </c>
      <c r="D654" t="s">
        <v>2492</v>
      </c>
      <c r="E654" t="s">
        <v>2493</v>
      </c>
      <c r="F654" t="s">
        <v>2494</v>
      </c>
      <c r="G654" t="s">
        <v>1429</v>
      </c>
      <c r="H654" t="s">
        <v>254</v>
      </c>
      <c r="I654">
        <v>2016</v>
      </c>
      <c r="J654">
        <v>24</v>
      </c>
      <c r="K654" t="s">
        <v>2495</v>
      </c>
      <c r="M654" t="str">
        <f>LEFT($D654,FIND(",",$D654)-1)&amp;"_"&amp;I654&amp;L654</f>
        <v>Zubizarreta-Gerendiain_2016</v>
      </c>
      <c r="N654" t="s">
        <v>222</v>
      </c>
      <c r="O654" s="145" t="s">
        <v>1154</v>
      </c>
      <c r="Q654" t="s">
        <v>256</v>
      </c>
      <c r="R654" s="262" t="s">
        <v>223</v>
      </c>
      <c r="S654" s="1" t="s">
        <v>2526</v>
      </c>
      <c r="T654" t="s">
        <v>2509</v>
      </c>
      <c r="U654" t="s">
        <v>2527</v>
      </c>
      <c r="V654">
        <v>0</v>
      </c>
      <c r="W654">
        <v>0</v>
      </c>
      <c r="X654">
        <v>0</v>
      </c>
      <c r="Y654">
        <v>1</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s="141">
        <f>COUNTIF(V654:AW654,"&lt;&gt;0")</f>
        <v>1</v>
      </c>
      <c r="AY654" s="141">
        <f>COUNTIF(V654:AL654,"&lt;&gt;0")</f>
        <v>1</v>
      </c>
      <c r="AZ654">
        <f>COUNTIF(V654:AC654,"&lt;&gt;0")</f>
        <v>1</v>
      </c>
      <c r="BA654">
        <f>COUNTIF(AD654:AI654,"&lt;&gt;0")</f>
        <v>0</v>
      </c>
      <c r="BB654">
        <f>COUNTIF(AJ654:AL654,"&lt;&gt;0")</f>
        <v>0</v>
      </c>
      <c r="BC654">
        <f>COUNTIF(AS654:AW654,"&lt;&gt;0")</f>
        <v>0</v>
      </c>
      <c r="BD654">
        <f>COUNTIF(AM654:AR654,"&lt;&gt;0")</f>
        <v>0</v>
      </c>
      <c r="BE654" t="str">
        <f t="array" ref="BE654">IF(AY654=1,INDEX($V$7:$AL$7,MATCH(TRUE,INDEX($V654:$AW654&lt;&gt;0,),0)),IF(AY654=0,INDEX($AM$7:$AW$7,MATCH(1,$AM654:$AW654,0)),IF(BF654="Multiple strategies","mixed drivers",IF(BF654="Supply chain","multiple supply","multiple silviculture"))))</f>
        <v xml:space="preserve">cutting intensity </v>
      </c>
      <c r="BF654" s="2" t="str" cm="1">
        <f t="array" ref="BF654">IF(COUNTIF(AZ654:BB654,"&lt;&gt;0")=1,INDEX($V$4:$AW$4,MATCH(TRUE,INDEX($V654:$AW654&lt;&gt;0,),0)),IF(COUNTIF(AZ654:BB654,"&lt;&gt;0")=0,INDEX($AM$4:$AW$4,MATCH(1,$AM654:$AW654,0)),"Multiple strategies"))</f>
        <v>Silviculture for removals</v>
      </c>
      <c r="BG654" s="1" t="s">
        <v>321</v>
      </c>
      <c r="BH654" t="s">
        <v>2499</v>
      </c>
      <c r="BI654" s="264" t="s">
        <v>2113</v>
      </c>
      <c r="BJ654" t="s">
        <v>2500</v>
      </c>
      <c r="BK654">
        <v>64.910485933503793</v>
      </c>
      <c r="BL654">
        <v>77.586206896551701</v>
      </c>
      <c r="BM654" s="143">
        <f>BL654/BK654</f>
        <v>1.1952800195646862</v>
      </c>
      <c r="BN654">
        <f>BL654-BK654</f>
        <v>12.675720963047908</v>
      </c>
      <c r="BO654">
        <f>BN654*1000*t_to_m3</f>
        <v>25868.818291934509</v>
      </c>
      <c r="BP654" t="s">
        <v>232</v>
      </c>
      <c r="BQ654" s="143" t="s">
        <v>3256</v>
      </c>
      <c r="BR654" t="s">
        <v>1195</v>
      </c>
      <c r="BS654">
        <v>79079.294245810015</v>
      </c>
      <c r="BT654">
        <v>84232.158770949667</v>
      </c>
      <c r="BU654" s="144">
        <f>IFERROR(BT654/BS654,"")</f>
        <v>1.0651607298001737</v>
      </c>
      <c r="BV654" s="144">
        <f>BT654-BS654</f>
        <v>5152.864525139652</v>
      </c>
      <c r="BW654" s="144"/>
      <c r="BX654" s="144">
        <f>BV654</f>
        <v>5152.864525139652</v>
      </c>
      <c r="BY654">
        <f>IFERROR(BX654/BO654,"")</f>
        <v>0.19919211101908874</v>
      </c>
      <c r="BZ654">
        <v>0</v>
      </c>
      <c r="CA654">
        <v>0</v>
      </c>
      <c r="CB654">
        <v>0</v>
      </c>
      <c r="CC654">
        <v>0</v>
      </c>
      <c r="CD654">
        <v>0</v>
      </c>
      <c r="CE654">
        <v>0</v>
      </c>
      <c r="CF654">
        <v>0</v>
      </c>
      <c r="CG654">
        <v>0</v>
      </c>
      <c r="CH654">
        <v>0</v>
      </c>
      <c r="CI654">
        <v>0</v>
      </c>
      <c r="CJ654">
        <v>0</v>
      </c>
      <c r="CK654">
        <v>0</v>
      </c>
      <c r="CL654">
        <v>0</v>
      </c>
      <c r="CM654">
        <v>1</v>
      </c>
      <c r="CN654" t="str">
        <f>IF($BL654&lt;$BK654,"refNeedCorrection","refOK")</f>
        <v>refOK</v>
      </c>
      <c r="CO654">
        <f>IF($CN654="refOK",$BK654,$BL654)</f>
        <v>64.910485933503793</v>
      </c>
      <c r="CP654">
        <f>IF($CN654="refOK",$BL654,$BK654)</f>
        <v>77.586206896551701</v>
      </c>
      <c r="CQ654">
        <f>IF($CN654="refOK",$BO654,-$BO654)</f>
        <v>25868.818291934509</v>
      </c>
      <c r="CR654">
        <f>IF($CN654="refOK",$BS654,$BT654)*IF($BP654="Emissions positive",-1,1)</f>
        <v>79079.294245810015</v>
      </c>
      <c r="CS654">
        <f>IF($CN654="refOK",$BT654,$BS654)*IF($BP654="Emissions positive",-1,1)</f>
        <v>84232.158770949667</v>
      </c>
      <c r="CT654">
        <f>IF($CN654="refNeedCorrection",-BX654,BX654)*IF($BP654="Emissions positive",-1,1)</f>
        <v>5152.864525139652</v>
      </c>
      <c r="CU654">
        <f>IFERROR(CT654/CQ654,"")</f>
        <v>0.19919211101908874</v>
      </c>
      <c r="CV654" s="2">
        <f>IFERROR((CS654-CR654)/ABS(CR654),"")</f>
        <v>6.5160729800173636E-2</v>
      </c>
      <c r="CW654" s="1" t="s">
        <v>1199</v>
      </c>
      <c r="CX654" t="str">
        <f>IF(OR($CW654="prd",$CW654="std",$CW654="cit"),"loc",IF(OR($CW654="eur",$CW654="reg",$CW654="coy"),"reg",$CW654))</f>
        <v>reg</v>
      </c>
      <c r="CY654" t="s">
        <v>235</v>
      </c>
      <c r="CZ654">
        <v>2010</v>
      </c>
      <c r="DA654">
        <v>2070</v>
      </c>
      <c r="DB654">
        <f>DA654-CZ654</f>
        <v>60</v>
      </c>
      <c r="DC654" t="str">
        <f>IF(DB654=0,"0",IF(AND(DB654&gt;=1,DB654&lt;=30),"1-30",IF(AND(DB654&gt;30,DB654&lt;=70),"31-70",IF(AND(DB654&gt;70,DB654&lt;=100),"71-100",IF(DB654&gt;100,"+100")))))</f>
        <v>31-70</v>
      </c>
      <c r="DD654">
        <v>1</v>
      </c>
      <c r="DE654">
        <v>1</v>
      </c>
      <c r="DF654">
        <v>1</v>
      </c>
      <c r="DG654">
        <v>1</v>
      </c>
      <c r="DH654">
        <v>0</v>
      </c>
      <c r="DI654">
        <f>SUM(DD654:DG654)</f>
        <v>4</v>
      </c>
      <c r="DJ654" t="str">
        <f>IF(DI654=1,INDEX($DD$7:$DG$7,MATCH(1,$DD654:$DG654,0)),"mixedProduct")</f>
        <v>mixedProduct</v>
      </c>
      <c r="DK654" t="str">
        <f>IF(DD654=1,DK$7,0)</f>
        <v>Upstream</v>
      </c>
      <c r="DL654" t="str">
        <f>IF(DE654=1,DL$7,0)</f>
        <v>Energy</v>
      </c>
      <c r="DM654" t="str">
        <f>IF(DF654=1,DM$7,0)</f>
        <v>Pulp/Paper</v>
      </c>
      <c r="DN654" t="str">
        <f>IF(DG654=1,DN$7,0)</f>
        <v>Timber</v>
      </c>
      <c r="DO654">
        <v>0</v>
      </c>
      <c r="DP654">
        <v>1</v>
      </c>
      <c r="DQ654" t="s">
        <v>2524</v>
      </c>
      <c r="DR654" t="s">
        <v>2525</v>
      </c>
      <c r="DS654">
        <v>0</v>
      </c>
      <c r="DT654">
        <f>SUM(DO654:DP654)</f>
        <v>1</v>
      </c>
      <c r="DU654" s="143" t="str">
        <f>IF(DO654=1,"self-calculated DF",IF(DP654=1,"external DF used","explicit C balance"))</f>
        <v>external DF used</v>
      </c>
      <c r="DV654">
        <v>1</v>
      </c>
      <c r="DW654">
        <v>1</v>
      </c>
      <c r="DX654">
        <v>1</v>
      </c>
      <c r="DY654">
        <v>1</v>
      </c>
      <c r="DZ654">
        <v>0</v>
      </c>
      <c r="EA654" s="143">
        <v>1</v>
      </c>
      <c r="EB654">
        <v>1</v>
      </c>
      <c r="EC654">
        <v>1</v>
      </c>
      <c r="ED654">
        <v>0</v>
      </c>
      <c r="EE654">
        <v>0</v>
      </c>
      <c r="EF654">
        <v>1</v>
      </c>
      <c r="EG654">
        <v>0</v>
      </c>
      <c r="EH654">
        <v>0</v>
      </c>
      <c r="EI654" s="2">
        <v>0</v>
      </c>
      <c r="EK654" t="str">
        <f>IF(AND(AND(AND(OR($DX654=1,$DW654=1),OR($EC654=1,$EA654=1)),SUM($DV654:$DZ654,$EF654)&gt;=4),SUM($EA654:$EE654)&gt;=2),"Whole sector","")</f>
        <v>Whole sector</v>
      </c>
      <c r="EL654" t="str">
        <f>IF(AND(AND(OR($DX654=1,$DW654=1),AND($EC654=0,$EA654=0)),SUM($DV654:$DZ654,$EF654)&gt;=4),"Ecosystem approach","")</f>
        <v/>
      </c>
      <c r="EM654" s="2" t="str">
        <f>IF(AND(AND(AND($DX654=0,$DW654=0),OR($EC654=1,$EA654=1)),SUM($EB654:$EE654)&gt;=2),"Technology approach","")</f>
        <v/>
      </c>
      <c r="EP654" t="str">
        <f>IF(ISNUMBER(BU654),IF(ABS(BU654-[1]QC_indicators!$B$2)&gt;3*[1]QC_indicators!$C$2,"C ratio",IF(ISNUMBER(BY654),IF(ABS(BY654-[1]QC_indicators!$B$1)&gt;3*[1]QC_indicators!$C$1,"DF","no"))),IF(ISNUMBER(BY654),IF(ABS(BY654-[1]QC_indicators!$B$1)&gt;3*[1]QC_indicators!$C$1,"DF","no")))</f>
        <v>no</v>
      </c>
      <c r="ET654" s="264" t="s">
        <v>3259</v>
      </c>
    </row>
    <row r="655" spans="1:150" ht="15" customHeight="1">
      <c r="A655" s="1" t="s">
        <v>1168</v>
      </c>
      <c r="B655" t="s">
        <v>1169</v>
      </c>
      <c r="C655" t="s">
        <v>1170</v>
      </c>
      <c r="D655" t="s">
        <v>1171</v>
      </c>
      <c r="E655" t="s">
        <v>1172</v>
      </c>
      <c r="F655" t="s">
        <v>1173</v>
      </c>
      <c r="G655" t="s">
        <v>1174</v>
      </c>
      <c r="H655" t="s">
        <v>254</v>
      </c>
      <c r="I655">
        <v>2010</v>
      </c>
      <c r="J655">
        <v>51</v>
      </c>
      <c r="K655" t="s">
        <v>1175</v>
      </c>
      <c r="M655" t="str">
        <f>LEFT($D655,FIND(",",$D655)-1)&amp;"_"&amp;I655&amp;L655</f>
        <v>Vukotic_2010</v>
      </c>
      <c r="N655" t="s">
        <v>222</v>
      </c>
      <c r="O655" s="145" t="s">
        <v>1154</v>
      </c>
      <c r="Q655" t="s">
        <v>256</v>
      </c>
      <c r="R655" s="269" t="s">
        <v>274</v>
      </c>
      <c r="S655" s="1" t="s">
        <v>1176</v>
      </c>
      <c r="T655" t="s">
        <v>1177</v>
      </c>
      <c r="U655" t="s">
        <v>1178</v>
      </c>
      <c r="V655">
        <v>0</v>
      </c>
      <c r="W655">
        <v>0</v>
      </c>
      <c r="X655">
        <v>0</v>
      </c>
      <c r="Y655">
        <v>0</v>
      </c>
      <c r="Z655">
        <v>0</v>
      </c>
      <c r="AA655">
        <v>0</v>
      </c>
      <c r="AB655">
        <v>0</v>
      </c>
      <c r="AC655">
        <v>0</v>
      </c>
      <c r="AD655">
        <v>0</v>
      </c>
      <c r="AE655">
        <v>2</v>
      </c>
      <c r="AF655">
        <v>0</v>
      </c>
      <c r="AG655">
        <v>0</v>
      </c>
      <c r="AH655">
        <v>0</v>
      </c>
      <c r="AI655">
        <v>0</v>
      </c>
      <c r="AJ655">
        <v>0</v>
      </c>
      <c r="AK655">
        <v>1</v>
      </c>
      <c r="AL655">
        <v>0</v>
      </c>
      <c r="AM655">
        <v>0</v>
      </c>
      <c r="AN655">
        <v>0</v>
      </c>
      <c r="AO655">
        <v>0</v>
      </c>
      <c r="AP655">
        <v>0</v>
      </c>
      <c r="AQ655">
        <v>0</v>
      </c>
      <c r="AR655">
        <v>0</v>
      </c>
      <c r="AS655">
        <v>0</v>
      </c>
      <c r="AT655">
        <v>0</v>
      </c>
      <c r="AU655">
        <v>0</v>
      </c>
      <c r="AV655">
        <v>0</v>
      </c>
      <c r="AW655">
        <v>0</v>
      </c>
      <c r="AX655" s="141">
        <f>COUNTIF(V655:AW655,"&lt;&gt;0")</f>
        <v>2</v>
      </c>
      <c r="AY655" s="141">
        <f>COUNTIF(V655:AL655,"&lt;&gt;0")</f>
        <v>2</v>
      </c>
      <c r="AZ655">
        <f>COUNTIF(V655:AC655,"&lt;&gt;0")</f>
        <v>0</v>
      </c>
      <c r="BA655">
        <f>COUNTIF(AD655:AI655,"&lt;&gt;0")</f>
        <v>1</v>
      </c>
      <c r="BB655">
        <f>COUNTIF(AJ655:AL655,"&lt;&gt;0")</f>
        <v>1</v>
      </c>
      <c r="BC655">
        <f>COUNTIF(AS655:AW655,"&lt;&gt;0")</f>
        <v>0</v>
      </c>
      <c r="BD655">
        <f>COUNTIF(AM655:AR655,"&lt;&gt;0")</f>
        <v>0</v>
      </c>
      <c r="BE655" t="str">
        <f t="array" ref="BE655">IF(AY655=1,INDEX($V$7:$AL$7,MATCH(TRUE,INDEX($V655:$AW655&lt;&gt;0,),0)),IF(AY655=0,INDEX($AM$7:$AW$7,MATCH(1,$AM655:$AW655,0)),IF(BF655="Multiple strategies","mixed drivers",IF(BF655="Supply chain","multiple supply","multiple silviculture"))))</f>
        <v>mixed drivers</v>
      </c>
      <c r="BF655" s="2" t="str" cm="1">
        <f t="array" ref="BF655">IF(COUNTIF(AZ655:BB655,"&lt;&gt;0")=1,INDEX($V$4:$AW$4,MATCH(TRUE,INDEX($V655:$AW655&lt;&gt;0,),0)),IF(COUNTIF(AZ655:BB655,"&lt;&gt;0")=0,INDEX($AM$4:$AW$4,MATCH(1,$AM655:$AW655,0)),"Multiple strategies"))</f>
        <v>Multiple strategies</v>
      </c>
      <c r="BG655" s="1" t="s">
        <v>229</v>
      </c>
      <c r="BH655" t="s">
        <v>1179</v>
      </c>
      <c r="BJ655" t="s">
        <v>1180</v>
      </c>
      <c r="BK655">
        <v>0</v>
      </c>
      <c r="BL655">
        <v>0.27407407407407408</v>
      </c>
      <c r="BM655" s="143" t="e">
        <f>BL655/BK655</f>
        <v>#DIV/0!</v>
      </c>
      <c r="BN655">
        <f>BL655-BK655</f>
        <v>0.27407407407407408</v>
      </c>
      <c r="BO655">
        <f>BN655*t_to_m3</f>
        <v>0.55933484504913078</v>
      </c>
      <c r="BP655" t="s">
        <v>232</v>
      </c>
      <c r="BR655" t="s">
        <v>1181</v>
      </c>
      <c r="BS655">
        <v>-218.80999999999995</v>
      </c>
      <c r="BT655">
        <v>-106.82999999999998</v>
      </c>
      <c r="BU655" s="144">
        <f>IFERROR(BT655/BS655,"")</f>
        <v>0.48823179927791238</v>
      </c>
      <c r="BV655" s="144">
        <f>BT655-BS655</f>
        <v>111.97999999999996</v>
      </c>
      <c r="BW655" s="144"/>
      <c r="BX655" s="144">
        <f>BV655*0.001</f>
        <v>0.11197999999999997</v>
      </c>
      <c r="BY655">
        <f>IFERROR(BX655/BO655,"")</f>
        <v>0.20020208108108101</v>
      </c>
      <c r="BZ655">
        <v>0</v>
      </c>
      <c r="CA655">
        <v>0</v>
      </c>
      <c r="CB655">
        <v>0</v>
      </c>
      <c r="CC655">
        <v>0</v>
      </c>
      <c r="CD655">
        <v>0</v>
      </c>
      <c r="CE655">
        <v>0</v>
      </c>
      <c r="CF655">
        <v>0</v>
      </c>
      <c r="CG655">
        <v>0</v>
      </c>
      <c r="CH655">
        <v>0</v>
      </c>
      <c r="CI655">
        <v>0</v>
      </c>
      <c r="CJ655">
        <v>0</v>
      </c>
      <c r="CK655">
        <v>0</v>
      </c>
      <c r="CL655">
        <v>0</v>
      </c>
      <c r="CM655">
        <v>0</v>
      </c>
      <c r="CN655" t="str">
        <f>IF($BL655&lt;$BK655,"refNeedCorrection","refOK")</f>
        <v>refOK</v>
      </c>
      <c r="CO655">
        <f>IF($CN655="refOK",$BK655,$BL655)</f>
        <v>0</v>
      </c>
      <c r="CP655">
        <f>IF($CN655="refOK",$BL655,$BK655)</f>
        <v>0.27407407407407408</v>
      </c>
      <c r="CQ655">
        <f>IF($CN655="refOK",$BO655,-$BO655)</f>
        <v>0.55933484504913078</v>
      </c>
      <c r="CR655">
        <f>IF($CN655="refOK",$BS655,$BT655)*IF($BP655="Emissions positive",-1,1)</f>
        <v>-218.80999999999995</v>
      </c>
      <c r="CS655">
        <f>IF($CN655="refOK",$BT655,$BS655)*IF($BP655="Emissions positive",-1,1)</f>
        <v>-106.82999999999998</v>
      </c>
      <c r="CT655">
        <f>IF($CN655="refNeedCorrection",-BX655,BX655)*IF($BP655="Emissions positive",-1,1)</f>
        <v>0.11197999999999997</v>
      </c>
      <c r="CU655">
        <f>IFERROR(CT655/CQ655,"")</f>
        <v>0.20020208108108101</v>
      </c>
      <c r="CV655" s="2">
        <f>IFERROR((CS655-CR655)/ABS(CR655),"")</f>
        <v>0.51176820072208762</v>
      </c>
      <c r="CW655" s="1" t="s">
        <v>263</v>
      </c>
      <c r="CX655" t="str">
        <f>IF(OR($CW655="prd",$CW655="std",$CW655="cit"),"loc",IF(OR($CW655="eur",$CW655="reg",$CW655="coy"),"reg",$CW655))</f>
        <v>loc</v>
      </c>
      <c r="CY655" s="309" t="s">
        <v>3423</v>
      </c>
      <c r="DB655">
        <v>60</v>
      </c>
      <c r="DC655" t="str">
        <f>IF(DB655=0,"0",IF(AND(DB655&gt;=1,DB655&lt;=30),"1-30",IF(AND(DB655&gt;30,DB655&lt;=70),"31-70",IF(AND(DB655&gt;70,DB655&lt;=100),"71-100",IF(DB655&gt;100,"+100")))))</f>
        <v>31-70</v>
      </c>
      <c r="DD655">
        <v>0</v>
      </c>
      <c r="DE655">
        <v>0</v>
      </c>
      <c r="DF655">
        <v>0</v>
      </c>
      <c r="DG655">
        <v>1</v>
      </c>
      <c r="DI655">
        <f>SUM(DD655:DG655)</f>
        <v>1</v>
      </c>
      <c r="DJ655" t="str">
        <f>IF(DI655=1,INDEX($DD$7:$DG$7,MATCH(1,$DD655:$DG655,0)),"mixedProduct")</f>
        <v>TimberInput</v>
      </c>
      <c r="DK655">
        <f>IF(DD655=1,DK$7,0)</f>
        <v>0</v>
      </c>
      <c r="DL655">
        <f>IF(DE655=1,DL$7,0)</f>
        <v>0</v>
      </c>
      <c r="DM655">
        <f>IF(DF655=1,DM$7,0)</f>
        <v>0</v>
      </c>
      <c r="DN655" t="str">
        <f>IF(DG655=1,DN$7,0)</f>
        <v>Timber</v>
      </c>
      <c r="DO655">
        <v>1</v>
      </c>
      <c r="DP655">
        <v>0</v>
      </c>
      <c r="DQ655">
        <v>0</v>
      </c>
      <c r="DR655">
        <v>0</v>
      </c>
      <c r="DS655">
        <v>0</v>
      </c>
      <c r="DT655">
        <f>SUM(DO655:DP655)</f>
        <v>1</v>
      </c>
      <c r="DU655" s="143" t="str">
        <f>IF(DO655=1,"self-calculated DF",IF(DP655=1,"external DF used","explicit C balance"))</f>
        <v>self-calculated DF</v>
      </c>
      <c r="DV655">
        <v>0</v>
      </c>
      <c r="DW655">
        <v>0</v>
      </c>
      <c r="DX655">
        <v>0</v>
      </c>
      <c r="DY655">
        <v>0</v>
      </c>
      <c r="DZ655">
        <v>0</v>
      </c>
      <c r="EA655" s="143">
        <v>1</v>
      </c>
      <c r="EB655">
        <v>0</v>
      </c>
      <c r="EC655">
        <v>1</v>
      </c>
      <c r="ED655">
        <v>1</v>
      </c>
      <c r="EE655">
        <v>1</v>
      </c>
      <c r="EF655">
        <v>0</v>
      </c>
      <c r="EG655">
        <v>0</v>
      </c>
      <c r="EH655">
        <v>0</v>
      </c>
      <c r="EI655" s="2">
        <v>0</v>
      </c>
      <c r="EK655" t="str">
        <f>IF(AND(AND(AND(OR($DX655=1,$DW655=1),OR($EC655=1,$EA655=1)),SUM($DV655:$DZ655,$EF655)&gt;=4),SUM($EA655:$EE655)&gt;=2),"Whole sector","")</f>
        <v/>
      </c>
      <c r="EL655" t="str">
        <f>IF(AND(AND(OR($DX655=1,$DW655=1),AND($EC655=0,$EA655=0)),SUM($DV655:$DZ655,$EF655)&gt;=4),"Ecosystem approach","")</f>
        <v/>
      </c>
      <c r="EM655" s="2" t="str">
        <f>IF(AND(AND(AND($DX655=0,$DW655=0),OR($EC655=1,$EA655=1)),SUM($EB655:$EE655)&gt;=2),"Technology approach","")</f>
        <v>Technology approach</v>
      </c>
      <c r="EP655" t="str">
        <f>IF(ISNUMBER(BU655),IF(ABS(BU655-[2]QC_indicators!$B$2)&gt;3*[2]QC_indicators!$C$2,"C ratio",IF(ISNUMBER(BY655),IF(ABS(BY655-[2]QC_indicators!$B$1)&gt;3*[2]QC_indicators!$C$1,"DF","no"))),IF(ISNUMBER(BY655),IF(ABS(BY655-[2]QC_indicators!$B$1)&gt;3*[2]QC_indicators!$C$1,"DF","no")))</f>
        <v>no</v>
      </c>
      <c r="ET655" s="264" t="s">
        <v>3263</v>
      </c>
    </row>
    <row r="656" spans="1:150" ht="15" customHeight="1">
      <c r="A656" s="1" t="s">
        <v>1102</v>
      </c>
      <c r="B656" t="s">
        <v>2381</v>
      </c>
      <c r="C656" t="s">
        <v>2382</v>
      </c>
      <c r="D656" t="s">
        <v>2383</v>
      </c>
      <c r="E656" t="s">
        <v>2384</v>
      </c>
      <c r="F656" t="s">
        <v>2385</v>
      </c>
      <c r="G656" t="s">
        <v>1108</v>
      </c>
      <c r="H656" t="s">
        <v>254</v>
      </c>
      <c r="I656">
        <v>2016</v>
      </c>
      <c r="J656">
        <v>13</v>
      </c>
      <c r="K656" t="s">
        <v>2386</v>
      </c>
      <c r="M656" t="str">
        <f>LEFT($D656,FIND(",",$D656)-1)&amp;"_"&amp;I656&amp;L656</f>
        <v>Torssonen_2016</v>
      </c>
      <c r="N656" t="s">
        <v>222</v>
      </c>
      <c r="O656" s="145" t="s">
        <v>1154</v>
      </c>
      <c r="Q656" s="264" t="s">
        <v>256</v>
      </c>
      <c r="R656" s="269" t="s">
        <v>341</v>
      </c>
      <c r="S656" s="1" t="s">
        <v>2400</v>
      </c>
      <c r="T656" s="264" t="s">
        <v>2412</v>
      </c>
      <c r="U656" t="s">
        <v>2413</v>
      </c>
      <c r="V656">
        <v>0</v>
      </c>
      <c r="W656">
        <v>0</v>
      </c>
      <c r="X656">
        <v>0</v>
      </c>
      <c r="Y656">
        <v>0</v>
      </c>
      <c r="Z656">
        <v>0</v>
      </c>
      <c r="AA656">
        <v>0</v>
      </c>
      <c r="AB656">
        <v>0</v>
      </c>
      <c r="AC656">
        <v>0</v>
      </c>
      <c r="AD656">
        <v>0</v>
      </c>
      <c r="AE656">
        <v>0</v>
      </c>
      <c r="AF656">
        <v>0</v>
      </c>
      <c r="AG656">
        <v>0</v>
      </c>
      <c r="AH656">
        <v>0</v>
      </c>
      <c r="AI656">
        <v>0</v>
      </c>
      <c r="AJ656">
        <v>0</v>
      </c>
      <c r="AK656">
        <v>0</v>
      </c>
      <c r="AL656">
        <v>0</v>
      </c>
      <c r="AM656">
        <v>0</v>
      </c>
      <c r="AN656">
        <v>1</v>
      </c>
      <c r="AO656">
        <v>1</v>
      </c>
      <c r="AP656">
        <v>0</v>
      </c>
      <c r="AQ656">
        <v>0</v>
      </c>
      <c r="AR656">
        <v>0</v>
      </c>
      <c r="AS656">
        <v>0</v>
      </c>
      <c r="AT656">
        <v>0</v>
      </c>
      <c r="AU656">
        <v>0</v>
      </c>
      <c r="AV656">
        <v>0</v>
      </c>
      <c r="AW656">
        <v>0</v>
      </c>
      <c r="AX656" s="141">
        <f>COUNTIF(V656:AW656,"&lt;&gt;0")</f>
        <v>2</v>
      </c>
      <c r="AY656" s="141">
        <f>COUNTIF(V656:AL656,"&lt;&gt;0")</f>
        <v>0</v>
      </c>
      <c r="AZ656">
        <f>COUNTIF(V656:AC656,"&lt;&gt;0")</f>
        <v>0</v>
      </c>
      <c r="BA656">
        <f>COUNTIF(AD656:AI656,"&lt;&gt;0")</f>
        <v>0</v>
      </c>
      <c r="BB656">
        <f>COUNTIF(AJ656:AL656,"&lt;&gt;0")</f>
        <v>0</v>
      </c>
      <c r="BC656">
        <f>COUNTIF(AS656:AW656,"&lt;&gt;0")</f>
        <v>0</v>
      </c>
      <c r="BD656">
        <f>COUNTIF(AM656:AR656,"&lt;&gt;0")</f>
        <v>2</v>
      </c>
      <c r="BE656" t="str" cm="1">
        <f t="array" ref="BE656">IF(AY656=1,INDEX($V$7:$AL$7,MATCH(TRUE,INDEX($V656:$AW656&lt;&gt;0,),0)),IF(AY656=0,INDEX($AM$7:$AW$7,MATCH(1,$AM656:$AW656,0)),IF(BF656="Multiple strategies","mixed drivers",IF(BF656="Supply chain","multiple supply","multiple silviculture"))))</f>
        <v>Temperature</v>
      </c>
      <c r="BF656" s="2" t="str" cm="1">
        <f t="array" ref="BF656">IF(COUNTIF(AZ656:BB656,"&lt;&gt;0")=1,INDEX($V$4:$AW$4,MATCH(TRUE,INDEX($V656:$AW656&lt;&gt;0,),0)),IF(COUNTIF(AZ656:BB656,"&lt;&gt;0")=0,INDEX($AM$4:$AW$4,MATCH(1,$AM656:$AW656,0)),"Multiple strategies"))</f>
        <v>Environmental change</v>
      </c>
      <c r="BG656" s="1" t="s">
        <v>229</v>
      </c>
      <c r="BH656" s="306" t="s">
        <v>2144</v>
      </c>
      <c r="BI656" s="264" t="s">
        <v>2391</v>
      </c>
      <c r="BJ656" s="306" t="s">
        <v>1058</v>
      </c>
      <c r="BK656">
        <v>8.0857142559999993</v>
      </c>
      <c r="BL656">
        <v>8.4469387449999989</v>
      </c>
      <c r="BM656" s="143">
        <f>BL656/BK656</f>
        <v>1.0446744069309588</v>
      </c>
      <c r="BN656">
        <f>BL656-BK656</f>
        <v>0.36122448899999959</v>
      </c>
      <c r="BO656">
        <f>BN656</f>
        <v>0.36122448899999959</v>
      </c>
      <c r="BP656" s="306" t="s">
        <v>395</v>
      </c>
      <c r="BQ656" s="153" t="s">
        <v>3421</v>
      </c>
      <c r="BR656" s="264" t="s">
        <v>2393</v>
      </c>
      <c r="BS656">
        <v>-456.72727272727298</v>
      </c>
      <c r="BT656">
        <v>-464</v>
      </c>
      <c r="BU656" s="144"/>
      <c r="BV656" s="144">
        <f>BT656-BS656</f>
        <v>-7.2727272727270247</v>
      </c>
      <c r="BW656" s="144"/>
      <c r="BX656" s="144">
        <f>BV656*10^4/10^6</f>
        <v>-7.2727272727270253E-2</v>
      </c>
      <c r="BY656">
        <f>IFERROR(BX656/BO656,"")</f>
        <v>-0.20133538821967947</v>
      </c>
      <c r="BZ656">
        <v>0</v>
      </c>
      <c r="CA656">
        <v>0</v>
      </c>
      <c r="CB656">
        <v>0</v>
      </c>
      <c r="CC656">
        <v>0</v>
      </c>
      <c r="CD656">
        <v>0</v>
      </c>
      <c r="CE656">
        <v>0</v>
      </c>
      <c r="CF656">
        <v>0</v>
      </c>
      <c r="CG656">
        <v>0</v>
      </c>
      <c r="CH656">
        <v>0</v>
      </c>
      <c r="CI656">
        <v>0</v>
      </c>
      <c r="CJ656">
        <v>0</v>
      </c>
      <c r="CK656">
        <v>0</v>
      </c>
      <c r="CL656">
        <v>0</v>
      </c>
      <c r="CM656">
        <v>1</v>
      </c>
      <c r="CN656" t="str">
        <f>IF($BL656&lt;$BK656,"refNeedCorrection","refOK")</f>
        <v>refOK</v>
      </c>
      <c r="CO656">
        <f>IF($CN656="refOK",$BK656,$BL656)</f>
        <v>8.0857142559999993</v>
      </c>
      <c r="CP656">
        <f>IF($CN656="refOK",$BL656,$BK656)</f>
        <v>8.4469387449999989</v>
      </c>
      <c r="CQ656">
        <f>IF($CN656="refOK",$BO656,-$BO656)</f>
        <v>0.36122448899999959</v>
      </c>
      <c r="CR656">
        <f>IF($CN656="refOK",$BS656,$BT656)*IF($BP656="Emissions positive",-1,1)</f>
        <v>456.72727272727298</v>
      </c>
      <c r="CS656">
        <f>IF($CN656="refOK",$BT656,$BS656)*IF($BP656="Emissions positive",-1,1)</f>
        <v>464</v>
      </c>
      <c r="CT656">
        <f>IF($CN656="refNeedCorrection",-BX656,BX656)*IF($BP656="Emissions positive",-1,1)</f>
        <v>7.2727272727270253E-2</v>
      </c>
      <c r="CU656">
        <f>IFERROR(CT656/CQ656,"")</f>
        <v>0.20133538821967947</v>
      </c>
      <c r="CV656" s="2">
        <f>IFERROR((CS656-CR656)/ABS(CR656),"")</f>
        <v>1.592356687898034E-2</v>
      </c>
      <c r="CW656" s="1" t="s">
        <v>1199</v>
      </c>
      <c r="CX656" s="264" t="str">
        <f>IF(OR($CW656="prd",$CW656="std",$CW656="cit"),"loc",IF(OR($CW656="eur",$CW656="reg",$CW656="coy"),"reg",$CW656))</f>
        <v>reg</v>
      </c>
      <c r="CY656" t="s">
        <v>235</v>
      </c>
      <c r="CZ656">
        <v>2020</v>
      </c>
      <c r="DA656">
        <v>2100</v>
      </c>
      <c r="DB656">
        <f>DA656-CZ656</f>
        <v>80</v>
      </c>
      <c r="DC656" t="str">
        <f>IF(DB656=0,"0",IF(AND(DB656&gt;=1,DB656&lt;=30),"1-30",IF(AND(DB656&gt;30,DB656&lt;=70),"31-70",IF(AND(DB656&gt;70,DB656&lt;=100),"71-100",IF(DB656&gt;100,"+100")))))</f>
        <v>71-100</v>
      </c>
      <c r="DD656">
        <v>0</v>
      </c>
      <c r="DE656">
        <v>1</v>
      </c>
      <c r="DF656">
        <v>0</v>
      </c>
      <c r="DG656">
        <v>1</v>
      </c>
      <c r="DI656">
        <f>SUM(DD656:DG656)</f>
        <v>2</v>
      </c>
      <c r="DJ656" t="str">
        <f>IF(DI656=1,INDEX($DD$7:$DG$7,MATCH(1,$DD656:$DG656,0)),"mixedProduct")</f>
        <v>mixedProduct</v>
      </c>
      <c r="DK656">
        <f>IF(DD656=1,DK$7,0)</f>
        <v>0</v>
      </c>
      <c r="DL656" t="str">
        <f>IF(DE656=1,DL$7,0)</f>
        <v>Energy</v>
      </c>
      <c r="DM656">
        <f>IF(DF656=1,DM$7,0)</f>
        <v>0</v>
      </c>
      <c r="DN656" t="str">
        <f>IF(DG656=1,DN$7,0)</f>
        <v>Timber</v>
      </c>
      <c r="DO656">
        <v>1</v>
      </c>
      <c r="DP656">
        <v>0</v>
      </c>
      <c r="DQ656">
        <v>0</v>
      </c>
      <c r="DR656">
        <v>0</v>
      </c>
      <c r="DS656">
        <v>0</v>
      </c>
      <c r="DT656">
        <f>SUM(DO656:DP656)</f>
        <v>1</v>
      </c>
      <c r="DU656" s="143" t="str">
        <f>IF(DO656=1,"self-calculated DF",IF(DP656=1,"external DF used","explicit C balance"))</f>
        <v>self-calculated DF</v>
      </c>
      <c r="DV656">
        <v>1</v>
      </c>
      <c r="DW656">
        <v>0</v>
      </c>
      <c r="DX656">
        <v>1</v>
      </c>
      <c r="DY656">
        <v>0</v>
      </c>
      <c r="DZ656">
        <v>0</v>
      </c>
      <c r="EA656" s="143">
        <v>0</v>
      </c>
      <c r="EB656">
        <v>0</v>
      </c>
      <c r="EC656">
        <v>0</v>
      </c>
      <c r="ED656">
        <v>0</v>
      </c>
      <c r="EE656">
        <v>0</v>
      </c>
      <c r="EF656">
        <v>1</v>
      </c>
      <c r="EG656">
        <v>0</v>
      </c>
      <c r="EH656">
        <v>0</v>
      </c>
      <c r="EI656" s="2">
        <v>0</v>
      </c>
      <c r="EK656" t="str">
        <f>IF(AND(AND(AND(OR($DX656=1,$DW656=1),OR($EC656=1,$EA656=1)),SUM($DV656:$DZ656,$EF656)&gt;=4),SUM($EA656:$EE656)&gt;=2),"Whole sector","")</f>
        <v/>
      </c>
      <c r="EL656" t="str">
        <f>IF(AND(AND(OR($DX656=1,$DW656=1),AND($EC656=0,$EA656=0)),SUM($DV656:$DZ656,$EF656)&gt;=4),"Ecosystem approach","")</f>
        <v/>
      </c>
      <c r="EM656" s="2" t="str">
        <f>IF(AND(AND(AND($DX656=0,$DW656=0),OR($EC656=1,$EA656=1)),SUM($EB656:$EE656)&gt;=2),"Technology approach","")</f>
        <v/>
      </c>
      <c r="EN656" t="s">
        <v>2403</v>
      </c>
      <c r="EP656" t="str">
        <f>IF(ISNUMBER(BU656),IF(ABS(BU656-[3]QC_indicators!$B$2)&gt;3*[3]QC_indicators!$C$2,"C ratio",IF(ISNUMBER(BY656),IF(ABS(BY656-[3]QC_indicators!$B$1)&gt;3*[3]QC_indicators!$C$1,"DF","no"))),IF(ISNUMBER(BY656),IF(ABS(BY656-[3]QC_indicators!$B$1)&gt;3*[3]QC_indicators!$C$1,"DF","no")))</f>
        <v>no</v>
      </c>
      <c r="ER656" s="264" t="s">
        <v>2394</v>
      </c>
      <c r="ET656" s="306" t="s">
        <v>3422</v>
      </c>
    </row>
    <row r="657" spans="1:150" ht="15" customHeight="1">
      <c r="A657" s="1" t="s">
        <v>1360</v>
      </c>
      <c r="B657" t="s">
        <v>1553</v>
      </c>
      <c r="C657" t="s">
        <v>1554</v>
      </c>
      <c r="D657" t="s">
        <v>1555</v>
      </c>
      <c r="E657" t="s">
        <v>1556</v>
      </c>
      <c r="F657" t="s">
        <v>1557</v>
      </c>
      <c r="G657" t="s">
        <v>1366</v>
      </c>
      <c r="H657" t="s">
        <v>254</v>
      </c>
      <c r="I657">
        <v>2012</v>
      </c>
      <c r="J657">
        <v>38</v>
      </c>
      <c r="K657" t="s">
        <v>1558</v>
      </c>
      <c r="M657" t="str">
        <f>LEFT($D657,FIND(",",$D657)-1)&amp;"_"&amp;I657&amp;L657</f>
        <v>Fortin_2012</v>
      </c>
      <c r="N657" t="s">
        <v>222</v>
      </c>
      <c r="O657" s="145" t="s">
        <v>225</v>
      </c>
      <c r="Q657" s="264" t="s">
        <v>256</v>
      </c>
      <c r="R657" s="269" t="s">
        <v>341</v>
      </c>
      <c r="S657" s="1" t="s">
        <v>1559</v>
      </c>
      <c r="T657" s="143" t="s">
        <v>1560</v>
      </c>
      <c r="U657" t="s">
        <v>1561</v>
      </c>
      <c r="V657">
        <v>0</v>
      </c>
      <c r="W657">
        <v>0</v>
      </c>
      <c r="X657">
        <v>0</v>
      </c>
      <c r="Y657">
        <v>1</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s="141">
        <f>COUNTIF(V657:AW657,"&lt;&gt;0")</f>
        <v>1</v>
      </c>
      <c r="AY657" s="141">
        <f>COUNTIF(V657:AL657,"&lt;&gt;0")</f>
        <v>1</v>
      </c>
      <c r="AZ657">
        <f>COUNTIF(V657:AC657,"&lt;&gt;0")</f>
        <v>1</v>
      </c>
      <c r="BA657">
        <f>COUNTIF(AD657:AI657,"&lt;&gt;0")</f>
        <v>0</v>
      </c>
      <c r="BB657">
        <f>COUNTIF(AJ657:AL657,"&lt;&gt;0")</f>
        <v>0</v>
      </c>
      <c r="BC657">
        <f>COUNTIF(AS657:AW657,"&lt;&gt;0")</f>
        <v>0</v>
      </c>
      <c r="BD657">
        <f>COUNTIF(AM657:AR657,"&lt;&gt;0")</f>
        <v>0</v>
      </c>
      <c r="BE657" t="str" cm="1">
        <f t="array" ref="BE657">IF(AY657=1,INDEX($V$7:$AL$7,MATCH(TRUE,INDEX($V657:$AW657&lt;&gt;0,),0)),IF(AY657=0,INDEX($AM$7:$AW$7,MATCH(1,$AM657:$AW657,0)),IF(BF657="Multiple strategies","mixed drivers",IF(BF657="Supply chain","multiple supply","multiple silviculture"))))</f>
        <v xml:space="preserve">cutting intensity </v>
      </c>
      <c r="BF657" s="2" t="str" cm="1">
        <f t="array" ref="BF657">IF(COUNTIF(AZ657:BB657,"&lt;&gt;0")=1,INDEX($V$4:$AW$4,MATCH(TRUE,INDEX($V657:$AW657&lt;&gt;0,),0)),IF(COUNTIF(AZ657:BB657,"&lt;&gt;0")=0,INDEX($AM$4:$AW$4,MATCH(1,$AM657:$AW657,0)),"Multiple strategies"))</f>
        <v>Silviculture for removals</v>
      </c>
      <c r="BG657" s="142" t="s">
        <v>321</v>
      </c>
      <c r="BH657" s="306" t="s">
        <v>3412</v>
      </c>
      <c r="BI657" s="306" t="s">
        <v>1148</v>
      </c>
      <c r="BJ657" s="143" t="s">
        <v>1113</v>
      </c>
      <c r="BK657" s="143">
        <v>5.3</v>
      </c>
      <c r="BL657">
        <v>6.2</v>
      </c>
      <c r="BM657" s="264">
        <f>BL657/BK657</f>
        <v>1.1698113207547169</v>
      </c>
      <c r="BN657">
        <f>BL657-BK657</f>
        <v>0.90000000000000036</v>
      </c>
      <c r="BO657" s="159">
        <f>BN657</f>
        <v>0.90000000000000036</v>
      </c>
      <c r="BP657" t="s">
        <v>232</v>
      </c>
      <c r="BQ657" s="307" t="s">
        <v>3413</v>
      </c>
      <c r="BR657" s="306" t="s">
        <v>1562</v>
      </c>
      <c r="BS657">
        <v>0.4</v>
      </c>
      <c r="BT657" s="143">
        <v>0.45</v>
      </c>
      <c r="BU657" s="144">
        <f>IFERROR(BT657/BS657,"")</f>
        <v>1.125</v>
      </c>
      <c r="BV657">
        <f>BT657-BS657</f>
        <v>4.9999999999999989E-2</v>
      </c>
      <c r="BX657">
        <f>BV657*C_to_CO2</f>
        <v>0.18349999999999997</v>
      </c>
      <c r="BY657">
        <f>IFERROR(BX657/BO657,"")</f>
        <v>0.20388888888888879</v>
      </c>
      <c r="BZ657">
        <v>0</v>
      </c>
      <c r="CA657">
        <v>0</v>
      </c>
      <c r="CB657">
        <v>0</v>
      </c>
      <c r="CC657">
        <v>0</v>
      </c>
      <c r="CD657">
        <v>0</v>
      </c>
      <c r="CE657">
        <v>0</v>
      </c>
      <c r="CF657">
        <v>0</v>
      </c>
      <c r="CG657">
        <v>0</v>
      </c>
      <c r="CH657">
        <v>0</v>
      </c>
      <c r="CI657">
        <v>0</v>
      </c>
      <c r="CJ657">
        <v>0</v>
      </c>
      <c r="CK657">
        <v>0</v>
      </c>
      <c r="CL657">
        <v>0</v>
      </c>
      <c r="CM657">
        <v>0</v>
      </c>
      <c r="CN657" t="str">
        <f>IF($BL657&lt;$BK657,"refNeedCorrection","refOK")</f>
        <v>refOK</v>
      </c>
      <c r="CO657">
        <f>IF($CN657="refNeedCorrection",BK657,BL657)</f>
        <v>6.2</v>
      </c>
      <c r="CP657">
        <f>IF($CN657="refNeedCorrection",BL657,BK657)</f>
        <v>5.3</v>
      </c>
      <c r="CQ657">
        <f>IF($CN657="refOK",$BO657,-$BO657)</f>
        <v>0.90000000000000036</v>
      </c>
      <c r="CR657">
        <f>IF($CN657="refOK",$BS657,$BT657)*IF($BP657="Emissions positive",-1,1)</f>
        <v>0.4</v>
      </c>
      <c r="CS657">
        <f>IF($CN657="refOK",$BT657,$BS657)*IF($BP657="Emissions positive",-1,1)</f>
        <v>0.45</v>
      </c>
      <c r="CT657">
        <f>IF($CN657="refNeedCorrection",-BX657,BX657)*IF($BP657="Emissions positive",-1,1)</f>
        <v>0.18349999999999997</v>
      </c>
      <c r="CU657">
        <f>IFERROR(CT657/CQ657,"")</f>
        <v>0.20388888888888879</v>
      </c>
      <c r="CV657" s="2">
        <f>IFERROR((CS657-CR657)/ABS(CR657),"")</f>
        <v>0.12499999999999997</v>
      </c>
      <c r="CW657" s="1" t="s">
        <v>1203</v>
      </c>
      <c r="CX657" s="264" t="str">
        <f>IF(OR($CW657="prd",$CW657="std",$CW657="cit"),"loc",IF(OR($CW657="eur",$CW657="reg",$CW657="coy"),"reg",$CW657))</f>
        <v>reg</v>
      </c>
      <c r="CY657" t="s">
        <v>729</v>
      </c>
      <c r="DA657" s="143"/>
      <c r="DB657" s="143">
        <v>250</v>
      </c>
      <c r="DC657" t="str">
        <f>IF(DB657=0,"0",IF(AND(DB657&gt;=1,DB657&lt;=30),"1-30",IF(AND(DB657&gt;30,DB657&lt;=70),"31-70",IF(AND(DB657&gt;70,DB657&lt;=100),"71-100",IF(DB657&gt;100,"+100")))))</f>
        <v>+100</v>
      </c>
      <c r="DD657">
        <v>0</v>
      </c>
      <c r="DE657">
        <v>1</v>
      </c>
      <c r="DF657">
        <v>1</v>
      </c>
      <c r="DG657">
        <v>1</v>
      </c>
      <c r="DH657">
        <v>0</v>
      </c>
      <c r="DI657">
        <f>SUM(DD657:DH657)</f>
        <v>3</v>
      </c>
      <c r="DJ657" t="str">
        <f>IF(DI657=1,INDEX($DD$7:$DG$7,MATCH(1,$DD657:$DG657,0)),"mixedProduct")</f>
        <v>mixedProduct</v>
      </c>
      <c r="DK657">
        <f>IF(DD657=1,DK$7,0)</f>
        <v>0</v>
      </c>
      <c r="DL657" t="str">
        <f>IF(DE657=1,DL$7,0)</f>
        <v>Energy</v>
      </c>
      <c r="DM657" t="str">
        <f>IF(DF657=1,DM$7,0)</f>
        <v>Pulp/Paper</v>
      </c>
      <c r="DN657" t="str">
        <f>IF(DG657=1,DN$7,0)</f>
        <v>Timber</v>
      </c>
      <c r="DO657">
        <v>0</v>
      </c>
      <c r="DP657" s="143">
        <v>1</v>
      </c>
      <c r="DQ657" t="s">
        <v>1563</v>
      </c>
      <c r="DR657" s="143" t="s">
        <v>1564</v>
      </c>
      <c r="DS657" s="143">
        <v>0</v>
      </c>
      <c r="DT657">
        <f>SUM(DO657:DP657)</f>
        <v>1</v>
      </c>
      <c r="DU657" s="143" t="str">
        <f>IF(DO657=1,"self-calculated DF",IF(DP657=1,"external DF used","explicit C balance"))</f>
        <v>external DF used</v>
      </c>
      <c r="DV657" s="143">
        <v>1</v>
      </c>
      <c r="DW657" s="143">
        <v>1</v>
      </c>
      <c r="DX657" s="143">
        <v>1</v>
      </c>
      <c r="DY657" s="143">
        <v>1</v>
      </c>
      <c r="DZ657">
        <v>1</v>
      </c>
      <c r="EA657" s="143">
        <v>1</v>
      </c>
      <c r="EB657" s="143">
        <v>0</v>
      </c>
      <c r="EC657" s="143">
        <v>1</v>
      </c>
      <c r="ED657" s="143">
        <v>0</v>
      </c>
      <c r="EE657">
        <v>0</v>
      </c>
      <c r="EF657">
        <v>0</v>
      </c>
      <c r="EG657" s="143">
        <v>0</v>
      </c>
      <c r="EH657">
        <v>0</v>
      </c>
      <c r="EI657" s="2">
        <v>0</v>
      </c>
      <c r="EK657" t="str">
        <f>IF(AND(AND(AND(OR($DX657=1,$DW657=1),OR($EC657=1,$EA657=1)),SUM($DV657:$DZ657,$EF657)&gt;=4),SUM($EA657:$EE657)&gt;=2),"Whole sector","")</f>
        <v>Whole sector</v>
      </c>
      <c r="EL657" t="str">
        <f>IF(AND(AND(OR($DX657=1,$DW657=1),AND($EC657=0,$EA657=0)),SUM($DV657:$DZ657,$EF657)&gt;=4),"Ecosystem approach","")</f>
        <v/>
      </c>
      <c r="EM657" s="2" t="str">
        <f>IF(AND(AND(AND($DX657=0,$DW657=0),OR($EC657=1,$EA657=1)),SUM($EB657:$EE657)&gt;=2),"Technology approach","")</f>
        <v/>
      </c>
      <c r="EP657" t="str">
        <f>IF(ISNUMBER(BU657),IF(ABS(BU657-[3]QC_indicators!$B$2)&gt;3*[3]QC_indicators!$C$2,"C ratio",IF(ISNUMBER(BY657),IF(ABS(BY657-[3]QC_indicators!$B$1)&gt;3*[3]QC_indicators!$C$1,"DF","no"))),IF(ISNUMBER(BY657),IF(ABS(BY657-[3]QC_indicators!$B$1)&gt;3*[3]QC_indicators!$C$1,"DF","no")))</f>
        <v>no</v>
      </c>
      <c r="ET657" s="306" t="s">
        <v>3414</v>
      </c>
    </row>
    <row r="658" spans="1:150" ht="15" customHeight="1">
      <c r="A658" s="1" t="s">
        <v>1891</v>
      </c>
      <c r="B658" t="s">
        <v>1892</v>
      </c>
      <c r="D658" t="s">
        <v>1893</v>
      </c>
      <c r="E658" t="s">
        <v>1894</v>
      </c>
      <c r="F658" t="s">
        <v>1895</v>
      </c>
      <c r="G658" t="s">
        <v>1896</v>
      </c>
      <c r="H658" t="s">
        <v>254</v>
      </c>
      <c r="I658">
        <v>2009</v>
      </c>
      <c r="J658">
        <v>31</v>
      </c>
      <c r="K658" t="s">
        <v>1897</v>
      </c>
      <c r="M658" t="str">
        <f>LEFT($D658,FIND(",",$D658)-1)&amp;"_"&amp;I658&amp;L658</f>
        <v>Liu_2009</v>
      </c>
      <c r="N658" t="s">
        <v>222</v>
      </c>
      <c r="O658" s="145" t="s">
        <v>225</v>
      </c>
      <c r="Q658" t="s">
        <v>256</v>
      </c>
      <c r="R658" s="262" t="s">
        <v>223</v>
      </c>
      <c r="S658" s="1" t="s">
        <v>1322</v>
      </c>
      <c r="T658" s="143" t="s">
        <v>1898</v>
      </c>
      <c r="U658" s="143" t="s">
        <v>1901</v>
      </c>
      <c r="V658">
        <v>1</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s="141">
        <f>COUNTIF(V658:AW658,"&lt;&gt;0")</f>
        <v>1</v>
      </c>
      <c r="AY658" s="141">
        <f>COUNTIF(V658:AL658,"&lt;&gt;0")</f>
        <v>1</v>
      </c>
      <c r="AZ658">
        <f>COUNTIF(V658:AC658,"&lt;&gt;0")</f>
        <v>1</v>
      </c>
      <c r="BA658">
        <f>COUNTIF(AD658:AI658,"&lt;&gt;0")</f>
        <v>0</v>
      </c>
      <c r="BB658">
        <f>COUNTIF(AJ658:AL658,"&lt;&gt;0")</f>
        <v>0</v>
      </c>
      <c r="BC658">
        <f>COUNTIF(AS658:AW658,"&lt;&gt;0")</f>
        <v>0</v>
      </c>
      <c r="BD658">
        <f>COUNTIF(AM658:AR658,"&lt;&gt;0")</f>
        <v>0</v>
      </c>
      <c r="BE658" t="str">
        <f t="array" ref="BE658">IF(AY658=1,INDEX($V$7:$AL$7,MATCH(TRUE,INDEX($V658:$AW658&lt;&gt;0,),0)),IF(AY658=0,INDEX($AM$7:$AW$7,MATCH(1,$AM658:$AW658,0)),IF(BF658="Multiple strategies","mixed drivers",IF(BF658="Supply chain","multiple supply","multiple silviculture"))))</f>
        <v>area subject to harvest</v>
      </c>
      <c r="BF658" s="2" t="str" cm="1">
        <f t="array" ref="BF658">IF(COUNTIF(AZ658:BB658,"&lt;&gt;0")=1,INDEX($V$4:$AW$4,MATCH(TRUE,INDEX($V658:$AW658&lt;&gt;0,),0)),IF(COUNTIF(AZ658:BB658,"&lt;&gt;0")=0,INDEX($AM$4:$AW$4,MATCH(1,$AM658:$AW658,0)),"Multiple strategies"))</f>
        <v>Silviculture for removals</v>
      </c>
      <c r="BG658" s="142" t="s">
        <v>321</v>
      </c>
      <c r="BH658" s="264" t="s">
        <v>3157</v>
      </c>
      <c r="BI658" s="264" t="s">
        <v>3158</v>
      </c>
      <c r="BJ658" s="143" t="s">
        <v>1355</v>
      </c>
      <c r="BK658">
        <v>0</v>
      </c>
      <c r="BL658" s="143">
        <f>1.8*400</f>
        <v>720</v>
      </c>
      <c r="BM658" s="163"/>
      <c r="BN658">
        <f>BL658-BK658</f>
        <v>720</v>
      </c>
      <c r="BO658">
        <f>BN658*10^6</f>
        <v>720000000</v>
      </c>
      <c r="BP658" t="s">
        <v>232</v>
      </c>
      <c r="BQ658" s="310" t="s">
        <v>783</v>
      </c>
      <c r="BR658" t="s">
        <v>1900</v>
      </c>
      <c r="BS658" s="143">
        <v>505</v>
      </c>
      <c r="BT658">
        <f>545</f>
        <v>545</v>
      </c>
      <c r="BU658" s="144">
        <f>IFERROR(BT658/BS658,"")</f>
        <v>1.0792079207920793</v>
      </c>
      <c r="BV658">
        <f>BT658-BS658</f>
        <v>40</v>
      </c>
      <c r="BX658">
        <f>BV658*10^6*C_to_CO2</f>
        <v>146800000</v>
      </c>
      <c r="BY658">
        <f>IFERROR(BX658/BO658,"")</f>
        <v>0.2038888888888889</v>
      </c>
      <c r="BZ658">
        <v>0</v>
      </c>
      <c r="CA658">
        <v>0</v>
      </c>
      <c r="CB658">
        <v>0</v>
      </c>
      <c r="CC658">
        <v>0</v>
      </c>
      <c r="CD658">
        <v>0</v>
      </c>
      <c r="CE658">
        <v>0</v>
      </c>
      <c r="CF658">
        <v>0</v>
      </c>
      <c r="CG658">
        <v>0</v>
      </c>
      <c r="CH658">
        <v>0</v>
      </c>
      <c r="CI658">
        <v>0</v>
      </c>
      <c r="CJ658">
        <v>0</v>
      </c>
      <c r="CK658">
        <v>0</v>
      </c>
      <c r="CL658">
        <v>0</v>
      </c>
      <c r="CM658">
        <v>0</v>
      </c>
      <c r="CN658" t="str">
        <f>IF($BL658&lt;$BK658,"refNeedCorrection","refOK")</f>
        <v>refOK</v>
      </c>
      <c r="CO658">
        <f>IF($CN658="refOK",$BK658,$BL658)</f>
        <v>0</v>
      </c>
      <c r="CP658">
        <f>IF($CN658="refOK",$BL658,$BK658)</f>
        <v>720</v>
      </c>
      <c r="CQ658">
        <f>IF($CN658="refOK",$BO658,-$BO658)</f>
        <v>720000000</v>
      </c>
      <c r="CR658">
        <f>IF($CN658="refOK",$BS658,$BT658)*IF($BP658="Emissions positive",-1,1)</f>
        <v>505</v>
      </c>
      <c r="CS658">
        <f>IF($CN658="refOK",$BT658,$BS658)*IF($BP658="Emissions positive",-1,1)</f>
        <v>545</v>
      </c>
      <c r="CT658">
        <f>IF($CN658="refNeedCorrection",-BX658,BX658)*IF($BP658="Emissions positive",-1,1)</f>
        <v>146800000</v>
      </c>
      <c r="CU658">
        <f>IFERROR(CT658/CQ658,"")</f>
        <v>0.2038888888888889</v>
      </c>
      <c r="CV658" s="2">
        <f>IFERROR((CS658-CR658)/ABS(CR658),"")</f>
        <v>7.9207920792079209E-2</v>
      </c>
      <c r="CW658" s="1" t="s">
        <v>1199</v>
      </c>
      <c r="CX658" t="str">
        <f>IF(OR($CW658="prd",$CW658="std",$CW658="cit"),"loc",IF(OR($CW658="eur",$CW658="reg",$CW658="coy"),"reg",$CW658))</f>
        <v>reg</v>
      </c>
      <c r="CY658" t="s">
        <v>540</v>
      </c>
      <c r="DA658" s="143"/>
      <c r="DB658" s="143">
        <v>400</v>
      </c>
      <c r="DC658" t="str">
        <f>IF(DB658=0,"0",IF(AND(DB658&gt;=1,DB658&lt;=30),"1-30",IF(AND(DB658&gt;30,DB658&lt;=70),"31-70",IF(AND(DB658&gt;70,DB658&lt;=100),"71-100",IF(DB658&gt;100,"+100")))))</f>
        <v>+100</v>
      </c>
      <c r="DD658">
        <v>0</v>
      </c>
      <c r="DE658">
        <v>0</v>
      </c>
      <c r="DF658">
        <v>0</v>
      </c>
      <c r="DG658">
        <v>1</v>
      </c>
      <c r="DI658">
        <f>SUM(DD658:DG658)</f>
        <v>1</v>
      </c>
      <c r="DJ658" t="str">
        <f>IF(DI658=1,INDEX($DD$7:$DG$7,MATCH(1,$DD658:$DG658,0)),"mixedProduct")</f>
        <v>TimberInput</v>
      </c>
      <c r="DK658">
        <f>IF(DD658=1,DK$7,0)</f>
        <v>0</v>
      </c>
      <c r="DL658">
        <f>IF(DE658=1,DL$7,0)</f>
        <v>0</v>
      </c>
      <c r="DM658">
        <f>IF(DF658=1,DM$7,0)</f>
        <v>0</v>
      </c>
      <c r="DN658" t="str">
        <f>IF(DG658=1,DN$7,0)</f>
        <v>Timber</v>
      </c>
      <c r="DO658">
        <v>0</v>
      </c>
      <c r="DP658" s="143">
        <v>0</v>
      </c>
      <c r="DQ658" s="143">
        <v>0</v>
      </c>
      <c r="DR658">
        <v>0</v>
      </c>
      <c r="DS658" s="143">
        <v>0</v>
      </c>
      <c r="DT658">
        <f>SUM(DO658:DP658)</f>
        <v>0</v>
      </c>
      <c r="DU658" s="143" t="str">
        <f>IF(DO658=1,"self-calculated DF",IF(DP658=1,"external DF used","explicit C balance"))</f>
        <v>explicit C balance</v>
      </c>
      <c r="DV658" s="143">
        <v>1</v>
      </c>
      <c r="DW658" s="143">
        <v>0</v>
      </c>
      <c r="DX658" s="143">
        <v>1</v>
      </c>
      <c r="DY658" s="143">
        <v>1</v>
      </c>
      <c r="DZ658">
        <v>1</v>
      </c>
      <c r="EA658" s="143">
        <v>0</v>
      </c>
      <c r="EB658" s="143">
        <v>0</v>
      </c>
      <c r="EC658" s="143">
        <v>0</v>
      </c>
      <c r="ED658" s="143">
        <v>0</v>
      </c>
      <c r="EE658">
        <v>0</v>
      </c>
      <c r="EF658">
        <v>1</v>
      </c>
      <c r="EG658" s="143">
        <v>0</v>
      </c>
      <c r="EH658">
        <v>0</v>
      </c>
      <c r="EI658" s="2">
        <v>0</v>
      </c>
      <c r="EJ658" s="263" t="s">
        <v>3160</v>
      </c>
      <c r="EK658" t="str">
        <f>IF(AND(AND(AND(OR($DX658=1,$DW658=1),OR($EC658=1,$EA658=1)),SUM($DV658:$DZ658,$EF658)&gt;=4),SUM($EA658:$EE658)&gt;=2),"Whole sector","")</f>
        <v/>
      </c>
      <c r="EL658" t="str">
        <f>IF(AND(AND(OR($DX658=1,$DW658=1),AND($EC658=0,$EA658=0)),SUM($DV658:$DZ658,$EF658)&gt;=4),"Ecosystem approach","")</f>
        <v>Ecosystem approach</v>
      </c>
      <c r="EM658" s="2" t="str">
        <f>IF(AND(AND(AND($DX658=0,$DW658=0),OR($EC658=1,$EA658=1)),SUM($EB658:$EE658)&gt;=2),"Technology approach","")</f>
        <v/>
      </c>
      <c r="EP658" t="str">
        <f>IF(ISNUMBER(BU658),IF(ABS(BU658-[1]QC_indicators!$B$2)&gt;3*[1]QC_indicators!$C$2,"C ratio",IF(ISNUMBER(BY658),IF(ABS(BY658-[1]QC_indicators!$B$1)&gt;3*[1]QC_indicators!$C$1,"DF","no"))),IF(ISNUMBER(BY658),IF(ABS(BY658-[1]QC_indicators!$B$1)&gt;3*[1]QC_indicators!$C$1,"DF","no")))</f>
        <v>no</v>
      </c>
      <c r="ET658" s="264" t="s">
        <v>3161</v>
      </c>
    </row>
    <row r="659" spans="1:150" ht="15" customHeight="1">
      <c r="A659" s="1" t="s">
        <v>1360</v>
      </c>
      <c r="B659" t="s">
        <v>1553</v>
      </c>
      <c r="C659" t="s">
        <v>1554</v>
      </c>
      <c r="D659" t="s">
        <v>1555</v>
      </c>
      <c r="E659" t="s">
        <v>1556</v>
      </c>
      <c r="F659" t="s">
        <v>1557</v>
      </c>
      <c r="G659" t="s">
        <v>1366</v>
      </c>
      <c r="H659" t="s">
        <v>254</v>
      </c>
      <c r="I659">
        <v>2012</v>
      </c>
      <c r="J659">
        <v>38</v>
      </c>
      <c r="K659" t="s">
        <v>1558</v>
      </c>
      <c r="M659" t="str">
        <f>LEFT($D659,FIND(",",$D659)-1)&amp;"_"&amp;I659&amp;L659</f>
        <v>Fortin_2012</v>
      </c>
      <c r="N659" t="s">
        <v>222</v>
      </c>
      <c r="O659" s="145" t="s">
        <v>225</v>
      </c>
      <c r="Q659" s="264" t="s">
        <v>256</v>
      </c>
      <c r="R659" s="269" t="s">
        <v>341</v>
      </c>
      <c r="S659" s="1" t="s">
        <v>1559</v>
      </c>
      <c r="T659" t="s">
        <v>1561</v>
      </c>
      <c r="U659" s="143" t="s">
        <v>1565</v>
      </c>
      <c r="V659">
        <v>0</v>
      </c>
      <c r="W659">
        <v>0</v>
      </c>
      <c r="X659">
        <v>0</v>
      </c>
      <c r="Y659">
        <v>1</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s="141">
        <f>COUNTIF(V659:AW659,"&lt;&gt;0")</f>
        <v>1</v>
      </c>
      <c r="AY659" s="141">
        <f>COUNTIF(V659:AL659,"&lt;&gt;0")</f>
        <v>1</v>
      </c>
      <c r="AZ659">
        <f>COUNTIF(V659:AC659,"&lt;&gt;0")</f>
        <v>1</v>
      </c>
      <c r="BA659">
        <f>COUNTIF(AD659:AI659,"&lt;&gt;0")</f>
        <v>0</v>
      </c>
      <c r="BB659">
        <f>COUNTIF(AJ659:AL659,"&lt;&gt;0")</f>
        <v>0</v>
      </c>
      <c r="BC659">
        <f>COUNTIF(AS659:AW659,"&lt;&gt;0")</f>
        <v>0</v>
      </c>
      <c r="BD659">
        <f>COUNTIF(AM659:AR659,"&lt;&gt;0")</f>
        <v>0</v>
      </c>
      <c r="BE659" t="str" cm="1">
        <f t="array" ref="BE659">IF(AY659=1,INDEX($V$7:$AL$7,MATCH(TRUE,INDEX($V659:$AW659&lt;&gt;0,),0)),IF(AY659=0,INDEX($AM$7:$AW$7,MATCH(1,$AM659:$AW659,0)),IF(BF659="Multiple strategies","mixed drivers",IF(BF659="Supply chain","multiple supply","multiple silviculture"))))</f>
        <v xml:space="preserve">cutting intensity </v>
      </c>
      <c r="BF659" s="2" t="str" cm="1">
        <f t="array" ref="BF659">IF(COUNTIF(AZ659:BB659,"&lt;&gt;0")=1,INDEX($V$4:$AW$4,MATCH(TRUE,INDEX($V659:$AW659&lt;&gt;0,),0)),IF(COUNTIF(AZ659:BB659,"&lt;&gt;0")=0,INDEX($AM$4:$AW$4,MATCH(1,$AM659:$AW659,0)),"Multiple strategies"))</f>
        <v>Silviculture for removals</v>
      </c>
      <c r="BG659" s="142" t="s">
        <v>321</v>
      </c>
      <c r="BH659" s="306" t="s">
        <v>3412</v>
      </c>
      <c r="BI659" s="306" t="s">
        <v>1148</v>
      </c>
      <c r="BJ659" s="143" t="s">
        <v>1113</v>
      </c>
      <c r="BK659">
        <v>6.2</v>
      </c>
      <c r="BL659" s="143">
        <v>6.9</v>
      </c>
      <c r="BM659" s="163">
        <f>BL659/BK659</f>
        <v>1.1129032258064517</v>
      </c>
      <c r="BN659">
        <f>BL659-BK659</f>
        <v>0.70000000000000018</v>
      </c>
      <c r="BO659" s="159">
        <f>BN659</f>
        <v>0.70000000000000018</v>
      </c>
      <c r="BP659" t="s">
        <v>232</v>
      </c>
      <c r="BQ659" s="307" t="s">
        <v>3413</v>
      </c>
      <c r="BR659" s="264" t="s">
        <v>1562</v>
      </c>
      <c r="BS659" s="143">
        <v>0.45</v>
      </c>
      <c r="BT659">
        <v>0.49</v>
      </c>
      <c r="BU659" s="144">
        <f>IFERROR(BT659/BS659,"")</f>
        <v>1.0888888888888888</v>
      </c>
      <c r="BV659">
        <f>BT659-BS659</f>
        <v>3.999999999999998E-2</v>
      </c>
      <c r="BX659">
        <f>BV659*C_to_CO2</f>
        <v>0.14679999999999993</v>
      </c>
      <c r="BY659">
        <f>IFERROR(BX659/BO659,"")</f>
        <v>0.20971428571428558</v>
      </c>
      <c r="BZ659">
        <v>0</v>
      </c>
      <c r="CA659">
        <v>0</v>
      </c>
      <c r="CB659">
        <v>0</v>
      </c>
      <c r="CC659">
        <v>0</v>
      </c>
      <c r="CD659">
        <v>0</v>
      </c>
      <c r="CE659">
        <v>0</v>
      </c>
      <c r="CF659">
        <v>0</v>
      </c>
      <c r="CG659">
        <v>0</v>
      </c>
      <c r="CH659">
        <v>0</v>
      </c>
      <c r="CI659">
        <v>0</v>
      </c>
      <c r="CJ659">
        <v>0</v>
      </c>
      <c r="CK659">
        <v>0</v>
      </c>
      <c r="CL659">
        <v>0</v>
      </c>
      <c r="CM659">
        <v>0</v>
      </c>
      <c r="CN659" t="str">
        <f>IF($BL659&lt;$BK659,"refNeedCorrection","refOK")</f>
        <v>refOK</v>
      </c>
      <c r="CO659">
        <f>IF($CN659="refNeedCorrection",BL659,BK659)</f>
        <v>6.2</v>
      </c>
      <c r="CP659">
        <f>IF($CN659="refNeedCorrection",BK659,BL659)</f>
        <v>6.9</v>
      </c>
      <c r="CQ659">
        <f>IF($CN659="refOK",$BO659,-$BO659)</f>
        <v>0.70000000000000018</v>
      </c>
      <c r="CR659">
        <f>IF($CN659="refOK",$BS659,$BT659)*IF($BP659="Emissions positive",-1,1)</f>
        <v>0.45</v>
      </c>
      <c r="CS659">
        <f>IF($CN659="refOK",$BT659,$BS659)*IF($BP659="Emissions positive",-1,1)</f>
        <v>0.49</v>
      </c>
      <c r="CT659">
        <f>IF($CN659="refNeedCorrection",-BX659,BX659)*IF($BP659="Emissions positive",-1,1)</f>
        <v>0.14679999999999993</v>
      </c>
      <c r="CU659">
        <f>IFERROR(CT659/CQ659,"")</f>
        <v>0.20971428571428558</v>
      </c>
      <c r="CV659" s="2">
        <f>IFERROR((CS659-CR659)/ABS(CR659),"")</f>
        <v>8.8888888888888837E-2</v>
      </c>
      <c r="CW659" s="1" t="s">
        <v>1203</v>
      </c>
      <c r="CX659" s="264" t="str">
        <f>IF(OR($CW659="prd",$CW659="std",$CW659="cit"),"loc",IF(OR($CW659="eur",$CW659="reg",$CW659="coy"),"reg",$CW659))</f>
        <v>reg</v>
      </c>
      <c r="CY659" t="s">
        <v>729</v>
      </c>
      <c r="DA659" s="143"/>
      <c r="DB659" s="143">
        <v>250</v>
      </c>
      <c r="DC659" t="str">
        <f>IF(DB659=0,"0",IF(AND(DB659&gt;=1,DB659&lt;=30),"1-30",IF(AND(DB659&gt;30,DB659&lt;=70),"31-70",IF(AND(DB659&gt;70,DB659&lt;=100),"71-100",IF(DB659&gt;100,"+100")))))</f>
        <v>+100</v>
      </c>
      <c r="DD659">
        <v>0</v>
      </c>
      <c r="DE659">
        <v>1</v>
      </c>
      <c r="DF659">
        <v>1</v>
      </c>
      <c r="DG659">
        <v>1</v>
      </c>
      <c r="DH659">
        <v>0</v>
      </c>
      <c r="DI659">
        <f>SUM(DD659:DH659)</f>
        <v>3</v>
      </c>
      <c r="DJ659" t="str">
        <f>IF(DI659=1,INDEX($DD$7:$DG$7,MATCH(1,$DD659:$DG659,0)),"mixedProduct")</f>
        <v>mixedProduct</v>
      </c>
      <c r="DK659">
        <f>IF(DD659=1,DK$7,0)</f>
        <v>0</v>
      </c>
      <c r="DL659" t="str">
        <f>IF(DE659=1,DL$7,0)</f>
        <v>Energy</v>
      </c>
      <c r="DM659" t="str">
        <f>IF(DF659=1,DM$7,0)</f>
        <v>Pulp/Paper</v>
      </c>
      <c r="DN659" t="str">
        <f>IF(DG659=1,DN$7,0)</f>
        <v>Timber</v>
      </c>
      <c r="DO659">
        <v>0</v>
      </c>
      <c r="DP659" s="143">
        <v>1</v>
      </c>
      <c r="DQ659" t="s">
        <v>1563</v>
      </c>
      <c r="DR659" s="143" t="s">
        <v>1564</v>
      </c>
      <c r="DS659" s="143">
        <v>0</v>
      </c>
      <c r="DT659">
        <f>SUM(DO659:DP659)</f>
        <v>1</v>
      </c>
      <c r="DU659" s="143" t="str">
        <f>IF(DO659=1,"self-calculated DF",IF(DP659=1,"external DF used","explicit C balance"))</f>
        <v>external DF used</v>
      </c>
      <c r="DV659" s="143">
        <v>1</v>
      </c>
      <c r="DW659" s="143">
        <v>1</v>
      </c>
      <c r="DX659" s="143">
        <v>1</v>
      </c>
      <c r="DY659" s="143">
        <v>1</v>
      </c>
      <c r="DZ659">
        <v>1</v>
      </c>
      <c r="EA659" s="143">
        <v>1</v>
      </c>
      <c r="EB659" s="143">
        <v>0</v>
      </c>
      <c r="EC659" s="143">
        <v>1</v>
      </c>
      <c r="ED659" s="143">
        <v>0</v>
      </c>
      <c r="EE659">
        <v>0</v>
      </c>
      <c r="EF659">
        <v>0</v>
      </c>
      <c r="EG659" s="143">
        <v>0</v>
      </c>
      <c r="EH659">
        <v>0</v>
      </c>
      <c r="EI659" s="2">
        <v>0</v>
      </c>
      <c r="EK659" t="str">
        <f>IF(AND(AND(AND(OR($DX659=1,$DW659=1),OR($EC659=1,$EA659=1)),SUM($DV659:$DZ659,$EF659)&gt;=4),SUM($EA659:$EE659)&gt;=2),"Whole sector","")</f>
        <v>Whole sector</v>
      </c>
      <c r="EL659" t="str">
        <f>IF(AND(AND(OR($DX659=1,$DW659=1),AND($EC659=0,$EA659=0)),SUM($DV659:$DZ659,$EF659)&gt;=4),"Ecosystem approach","")</f>
        <v/>
      </c>
      <c r="EM659" s="2" t="str">
        <f>IF(AND(AND(AND($DX659=0,$DW659=0),OR($EC659=1,$EA659=1)),SUM($EB659:$EE659)&gt;=2),"Technology approach","")</f>
        <v/>
      </c>
      <c r="EP659" t="str">
        <f>IF(ISNUMBER(BU659),IF(ABS(BU659-[3]QC_indicators!$B$2)&gt;3*[3]QC_indicators!$C$2,"C ratio",IF(ISNUMBER(BY659),IF(ABS(BY659-[3]QC_indicators!$B$1)&gt;3*[3]QC_indicators!$C$1,"DF","no"))),IF(ISNUMBER(BY659),IF(ABS(BY659-[3]QC_indicators!$B$1)&gt;3*[3]QC_indicators!$C$1,"DF","no")))</f>
        <v>no</v>
      </c>
      <c r="ET659" s="306" t="s">
        <v>3414</v>
      </c>
    </row>
    <row r="660" spans="1:150" ht="15" customHeight="1">
      <c r="A660" s="1" t="s">
        <v>1636</v>
      </c>
      <c r="B660" t="s">
        <v>1637</v>
      </c>
      <c r="C660" t="s">
        <v>1638</v>
      </c>
      <c r="D660" t="s">
        <v>1639</v>
      </c>
      <c r="E660" t="s">
        <v>1640</v>
      </c>
      <c r="F660" t="s">
        <v>1641</v>
      </c>
      <c r="G660" t="s">
        <v>1642</v>
      </c>
      <c r="H660" t="s">
        <v>254</v>
      </c>
      <c r="I660">
        <v>2022</v>
      </c>
      <c r="J660">
        <v>0</v>
      </c>
      <c r="K660" t="s">
        <v>1643</v>
      </c>
      <c r="M660" t="str">
        <f>LEFT($D660,FIND(",",$D660)-1)&amp;"_"&amp;I660&amp;L660</f>
        <v>Gregor_2022</v>
      </c>
      <c r="N660" t="s">
        <v>222</v>
      </c>
      <c r="O660" s="161" t="s">
        <v>223</v>
      </c>
      <c r="Q660" s="264" t="s">
        <v>389</v>
      </c>
      <c r="R660" s="269" t="s">
        <v>1154</v>
      </c>
      <c r="S660" s="154" t="s">
        <v>1644</v>
      </c>
      <c r="T660" s="294" t="s">
        <v>1654</v>
      </c>
      <c r="U660" s="264" t="s">
        <v>1646</v>
      </c>
      <c r="V660">
        <v>0</v>
      </c>
      <c r="W660">
        <v>0</v>
      </c>
      <c r="X660">
        <v>0</v>
      </c>
      <c r="Y660">
        <v>0</v>
      </c>
      <c r="Z660">
        <v>1</v>
      </c>
      <c r="AA660">
        <v>0</v>
      </c>
      <c r="AB660">
        <v>0</v>
      </c>
      <c r="AC660">
        <v>0</v>
      </c>
      <c r="AD660">
        <v>0</v>
      </c>
      <c r="AE660">
        <v>0</v>
      </c>
      <c r="AF660">
        <v>2</v>
      </c>
      <c r="AG660">
        <v>0</v>
      </c>
      <c r="AH660">
        <v>0</v>
      </c>
      <c r="AI660">
        <v>0</v>
      </c>
      <c r="AJ660">
        <v>0</v>
      </c>
      <c r="AK660">
        <v>0</v>
      </c>
      <c r="AL660">
        <v>0</v>
      </c>
      <c r="AM660">
        <v>0</v>
      </c>
      <c r="AN660">
        <v>2</v>
      </c>
      <c r="AO660">
        <v>2</v>
      </c>
      <c r="AP660">
        <v>2</v>
      </c>
      <c r="AQ660">
        <v>2</v>
      </c>
      <c r="AR660">
        <v>0</v>
      </c>
      <c r="AS660">
        <v>0</v>
      </c>
      <c r="AT660">
        <v>0</v>
      </c>
      <c r="AU660">
        <v>0</v>
      </c>
      <c r="AV660">
        <v>0</v>
      </c>
      <c r="AW660">
        <v>0</v>
      </c>
      <c r="AX660" s="141">
        <f>COUNTIF(V660:AW660,"&lt;&gt;0")</f>
        <v>6</v>
      </c>
      <c r="AY660" s="141">
        <f>COUNTIF(V660:AL660,"&lt;&gt;0")</f>
        <v>2</v>
      </c>
      <c r="AZ660">
        <f>COUNTIF(V660:AC660,"&lt;&gt;0")</f>
        <v>1</v>
      </c>
      <c r="BA660">
        <f>COUNTIF(AD660:AI660,"&lt;&gt;0")</f>
        <v>1</v>
      </c>
      <c r="BB660">
        <f>COUNTIF(AJ660:AL660,"&lt;&gt;0")</f>
        <v>0</v>
      </c>
      <c r="BC660">
        <f>COUNTIF(AS660:AW660,"&lt;&gt;0")</f>
        <v>0</v>
      </c>
      <c r="BD660">
        <f>COUNTIF(AM660:AR660,"&lt;&gt;0")</f>
        <v>4</v>
      </c>
      <c r="BE660" t="str" cm="1">
        <f t="array" ref="BE660">IF(AY660=1,INDEX($V$7:$AL$7,MATCH(TRUE,INDEX($V660:$AW660&lt;&gt;0,),0)),IF(AY660=0,INDEX($AM$7:$AW$7,MATCH(1,$AM660:$AW660,0)),IF(BF660="Multiple strategies","mixed drivers",IF(BF660="Supply chain","multiple supply","multiple silviculture"))))</f>
        <v>mixed drivers</v>
      </c>
      <c r="BF660" s="2" t="str" cm="1">
        <f t="array" ref="BF660">IF(COUNTIF(AZ660:BB660,"&lt;&gt;0")=1,INDEX($V$4:$AW$4,MATCH(TRUE,INDEX($V660:$AW660&lt;&gt;0,),0)),IF(COUNTIF(AZ660:BB660,"&lt;&gt;0")=0,INDEX($AM$4:$AW$4,MATCH(1,$AM660:$AW660,0)),"Multiple strategies"))</f>
        <v>Multiple strategies</v>
      </c>
      <c r="BG660" s="1" t="s">
        <v>321</v>
      </c>
      <c r="BH660" s="264" t="s">
        <v>1647</v>
      </c>
      <c r="BI660" s="264" t="s">
        <v>688</v>
      </c>
      <c r="BJ660" s="264" t="s">
        <v>1648</v>
      </c>
      <c r="BK660">
        <f>0.78*(2115-2020)</f>
        <v>74.100000000000009</v>
      </c>
      <c r="BL660">
        <f>2.99*(2115-2020)</f>
        <v>284.05</v>
      </c>
      <c r="BN660">
        <f>BL660-BK660</f>
        <v>209.95</v>
      </c>
      <c r="BO660">
        <f>BL660-BK660</f>
        <v>209.95</v>
      </c>
      <c r="BP660" s="264" t="s">
        <v>232</v>
      </c>
      <c r="BQ660" s="264" t="s">
        <v>1649</v>
      </c>
      <c r="BR660" s="264" t="s">
        <v>1650</v>
      </c>
      <c r="BS660" s="264">
        <f>0.5*10000</f>
        <v>5000</v>
      </c>
      <c r="BT660" s="264">
        <f>1.7*10000</f>
        <v>17000</v>
      </c>
      <c r="BV660">
        <f>BT660-BS660</f>
        <v>12000</v>
      </c>
      <c r="BX660">
        <f>BV660/1000*C_to_CO2</f>
        <v>44.04</v>
      </c>
      <c r="BY660">
        <f>IFERROR(BX660/BO660,"")</f>
        <v>0.20976422957847107</v>
      </c>
      <c r="BZ660">
        <v>0</v>
      </c>
      <c r="CA660">
        <v>0</v>
      </c>
      <c r="CB660">
        <v>0</v>
      </c>
      <c r="CC660">
        <v>0</v>
      </c>
      <c r="CD660">
        <v>0</v>
      </c>
      <c r="CE660">
        <v>0</v>
      </c>
      <c r="CF660">
        <v>0</v>
      </c>
      <c r="CG660">
        <v>0</v>
      </c>
      <c r="CH660">
        <v>0</v>
      </c>
      <c r="CI660">
        <v>0</v>
      </c>
      <c r="CJ660">
        <v>0</v>
      </c>
      <c r="CK660">
        <v>0</v>
      </c>
      <c r="CL660">
        <v>0</v>
      </c>
      <c r="CM660">
        <v>0</v>
      </c>
      <c r="CN660" t="str">
        <f>IF($BL660&lt;$BK660,"refNeedCorrection","refOK")</f>
        <v>refOK</v>
      </c>
      <c r="CO660">
        <f>IF($CN660="refOK",$BK660,$BL660)</f>
        <v>74.100000000000009</v>
      </c>
      <c r="CP660">
        <f>IF($CN660="refOK",$BL660,$BK660)</f>
        <v>284.05</v>
      </c>
      <c r="CQ660">
        <f>IF($CN660="refOK",$BO660,-$BO660)</f>
        <v>209.95</v>
      </c>
      <c r="CR660">
        <f>IF($CN660="refOK",$BS660,$BT660)*IF($BP660="Emissions positive",-1,1)</f>
        <v>5000</v>
      </c>
      <c r="CS660">
        <f>IF($CN660="refOK",$BT660,$BS660)*IF($BP660="Emissions positive",-1,1)</f>
        <v>17000</v>
      </c>
      <c r="CT660">
        <f>IF($CN660="refNeedCorrection",-BX660,BX660)*IF($BP660="Emissions positive",-1,1)</f>
        <v>44.04</v>
      </c>
      <c r="CU660">
        <f>IFERROR(CT660/CQ660,"")</f>
        <v>0.20976422957847107</v>
      </c>
      <c r="CV660" s="2">
        <f>IFERROR((CS660-CR660)/ABS(CR660),"")</f>
        <v>2.4</v>
      </c>
      <c r="CW660" s="162" t="s">
        <v>1462</v>
      </c>
      <c r="CX660" s="264" t="str">
        <f>IF(OR($CW660="prd",$CW660="std",$CW660="cit"),"loc",IF(OR($CW660="eur",$CW660="reg",$CW660="coy"),"reg",$CW660))</f>
        <v>reg</v>
      </c>
      <c r="CY660" s="155" t="s">
        <v>743</v>
      </c>
      <c r="CZ660">
        <v>2010</v>
      </c>
      <c r="DA660">
        <v>2115</v>
      </c>
      <c r="DB660">
        <f>DA660-CZ660</f>
        <v>105</v>
      </c>
      <c r="DC660" t="str">
        <f>IF(DB660=0,"0",IF(AND(DB660&gt;=1,DB660&lt;=30),"1-30",IF(AND(DB660&gt;30,DB660&lt;=70),"31-70",IF(AND(DB660&gt;70,DB660&lt;=100),"71-100",IF(DB660&gt;100,"+100")))))</f>
        <v>+100</v>
      </c>
      <c r="DD660">
        <v>0</v>
      </c>
      <c r="DE660">
        <v>1</v>
      </c>
      <c r="DF660">
        <v>1</v>
      </c>
      <c r="DG660">
        <v>1</v>
      </c>
      <c r="DH660">
        <v>0</v>
      </c>
      <c r="DI660">
        <f>SUM(DD660:DG660)</f>
        <v>3</v>
      </c>
      <c r="DJ660" t="str">
        <f>IF(DI660=1,INDEX($DD$7:$DG$7,MATCH(1,$DD660:$DG660,0)),"mixedProduct")</f>
        <v>mixedProduct</v>
      </c>
      <c r="DK660">
        <f>IF(DD660=1,DK$7,0)</f>
        <v>0</v>
      </c>
      <c r="DL660" t="str">
        <f>IF(DE660=1,DL$7,0)</f>
        <v>Energy</v>
      </c>
      <c r="DM660" t="str">
        <f>IF(DF660=1,DM$7,0)</f>
        <v>Pulp/Paper</v>
      </c>
      <c r="DN660" t="str">
        <f>IF(DG660=1,DN$7,0)</f>
        <v>Timber</v>
      </c>
      <c r="DO660">
        <v>0</v>
      </c>
      <c r="DP660">
        <v>1</v>
      </c>
      <c r="DQ660" s="264" t="s">
        <v>1651</v>
      </c>
      <c r="DR660" s="264" t="s">
        <v>1651</v>
      </c>
      <c r="DS660" s="264" t="s">
        <v>1651</v>
      </c>
      <c r="DT660">
        <f>SUM(DO660:DP660)</f>
        <v>1</v>
      </c>
      <c r="DU660" s="143" t="str">
        <f>IF(DO660=1,"self-calculated DF",IF(DP660=1,"external DF used","explicit C balance"))</f>
        <v>external DF used</v>
      </c>
      <c r="DV660">
        <v>1</v>
      </c>
      <c r="DW660">
        <v>1</v>
      </c>
      <c r="DX660">
        <v>1</v>
      </c>
      <c r="DY660">
        <v>1</v>
      </c>
      <c r="DZ660">
        <v>1</v>
      </c>
      <c r="EA660">
        <v>1</v>
      </c>
      <c r="EB660">
        <v>1</v>
      </c>
      <c r="EC660">
        <v>1</v>
      </c>
      <c r="ED660">
        <v>0</v>
      </c>
      <c r="EE660">
        <v>0</v>
      </c>
      <c r="EF660">
        <v>1</v>
      </c>
      <c r="EG660">
        <v>0</v>
      </c>
      <c r="EH660">
        <v>1</v>
      </c>
      <c r="EI660" s="2">
        <v>0</v>
      </c>
      <c r="EK660" t="str">
        <f>IF(AND(AND(AND(OR($DX660=1,$DW660=1),OR($EC660=1,$EA660=1)),SUM($DV660:$DZ660,$EF660)&gt;=4),SUM($EA660:$EE660)&gt;=2),"Whole sector","")</f>
        <v>Whole sector</v>
      </c>
      <c r="EL660" t="str">
        <f>IF(AND(AND(OR($DX660=1,$DW660=1),AND($EC660=0,$EA660=0)),SUM($DV660:$DZ660,$EF660)&gt;=4),"Ecosystem approach","")</f>
        <v/>
      </c>
      <c r="EM660" s="2" t="str">
        <f>IF(AND(AND(AND($DX660=0,$DW660=0),OR($EC660=1,$EA660=1)),SUM($EB660:$EE660)&gt;=2),"Technology approach","")</f>
        <v/>
      </c>
      <c r="EP660" t="str">
        <f>IF(ISNUMBER(BU660),IF(ABS(BU660-[3]QC_indicators!$B$2)&gt;3*[3]QC_indicators!$C$2,"C ratio",IF(ISNUMBER(BY660),IF(ABS(BY660-[3]QC_indicators!$B$1)&gt;3*[3]QC_indicators!$C$1,"DF","no"))),IF(ISNUMBER(BY660),IF(ABS(BY660-[3]QC_indicators!$B$1)&gt;3*[3]QC_indicators!$C$1,"DF","no")))</f>
        <v>no</v>
      </c>
      <c r="ET660" s="264" t="s">
        <v>3407</v>
      </c>
    </row>
    <row r="661" spans="1:150" ht="15" customHeight="1">
      <c r="D661" t="s">
        <v>963</v>
      </c>
      <c r="E661" t="s">
        <v>988</v>
      </c>
      <c r="G661" t="s">
        <v>693</v>
      </c>
      <c r="I661">
        <v>2003</v>
      </c>
      <c r="K661" s="295" t="s">
        <v>989</v>
      </c>
      <c r="M661" t="str">
        <f>LEFT($D661,FIND(",",$D661)-1)&amp;"_"&amp;I661&amp;L661</f>
        <v>Petersen_2003</v>
      </c>
      <c r="N661" t="s">
        <v>222</v>
      </c>
      <c r="O661" s="171" t="s">
        <v>513</v>
      </c>
      <c r="P661" s="141" t="s">
        <v>225</v>
      </c>
      <c r="Q661" s="264" t="s">
        <v>389</v>
      </c>
      <c r="R661" s="269" t="s">
        <v>1154</v>
      </c>
      <c r="S661" s="1" t="s">
        <v>998</v>
      </c>
      <c r="T661" s="264" t="s">
        <v>999</v>
      </c>
      <c r="U661" s="264" t="s">
        <v>1000</v>
      </c>
      <c r="V661">
        <v>0</v>
      </c>
      <c r="W661">
        <v>0</v>
      </c>
      <c r="X661">
        <v>0</v>
      </c>
      <c r="Y661">
        <v>0</v>
      </c>
      <c r="Z661">
        <v>0</v>
      </c>
      <c r="AA661">
        <v>0</v>
      </c>
      <c r="AB661">
        <v>0</v>
      </c>
      <c r="AC661">
        <v>0</v>
      </c>
      <c r="AD661">
        <v>0</v>
      </c>
      <c r="AE661">
        <v>0</v>
      </c>
      <c r="AF661">
        <v>0</v>
      </c>
      <c r="AG661">
        <v>0</v>
      </c>
      <c r="AH661">
        <v>0</v>
      </c>
      <c r="AI661">
        <v>0</v>
      </c>
      <c r="AJ661">
        <v>0</v>
      </c>
      <c r="AK661">
        <v>1</v>
      </c>
      <c r="AL661">
        <v>0</v>
      </c>
      <c r="AM661">
        <v>0</v>
      </c>
      <c r="AN661">
        <v>0</v>
      </c>
      <c r="AO661">
        <v>0</v>
      </c>
      <c r="AP661">
        <v>0</v>
      </c>
      <c r="AQ661">
        <v>0</v>
      </c>
      <c r="AR661">
        <v>0</v>
      </c>
      <c r="AS661">
        <v>0</v>
      </c>
      <c r="AT661">
        <v>0</v>
      </c>
      <c r="AU661">
        <v>0</v>
      </c>
      <c r="AV661">
        <v>0</v>
      </c>
      <c r="AW661">
        <v>0</v>
      </c>
      <c r="AX661" s="141">
        <f>COUNTIF(V661:AW661,"&lt;&gt;0")</f>
        <v>1</v>
      </c>
      <c r="AY661" s="141">
        <f>COUNTIF(V661:AL661,"&lt;&gt;0")</f>
        <v>1</v>
      </c>
      <c r="AZ661">
        <f>COUNTIF(V661:AC661,"&lt;&gt;0")</f>
        <v>0</v>
      </c>
      <c r="BA661">
        <f>COUNTIF(AD661:AI661,"&lt;&gt;0")</f>
        <v>0</v>
      </c>
      <c r="BB661">
        <f>COUNTIF(AJ661:AL661,"&lt;&gt;0")</f>
        <v>1</v>
      </c>
      <c r="BC661">
        <f>COUNTIF(AS661:AW661,"&lt;&gt;0")</f>
        <v>0</v>
      </c>
      <c r="BD661">
        <f>COUNTIF(AM661:AR661,"&lt;&gt;0")</f>
        <v>0</v>
      </c>
      <c r="BE661" t="str" cm="1">
        <f t="array" ref="BE661">IF(AY661=1,INDEX($V$7:$AL$7,MATCH(TRUE,INDEX($V661:$AW661&lt;&gt;0,),0)),IF(AY661=0,INDEX($AM$7:$AW$7,MATCH(1,$AM661:$AW661,0)),IF(BF661="Multiple strategies","mixed drivers",IF(BF661="Supply chain","multiple supply","multiple silviculture"))))</f>
        <v>technologies/design switch</v>
      </c>
      <c r="BF661" s="2" t="str" cm="1">
        <f t="array" ref="BF661">IF(COUNTIF(AZ661:BB661,"&lt;&gt;0")=1,INDEX($V$4:$AW$4,MATCH(TRUE,INDEX($V661:$AW661&lt;&gt;0,),0)),IF(COUNTIF(AZ661:BB661,"&lt;&gt;0")=0,INDEX($AM$4:$AW$4,MATCH(1,$AM661:$AW661,0)),"Multiple strategies"))</f>
        <v>Technology</v>
      </c>
      <c r="BG661" s="142" t="s">
        <v>229</v>
      </c>
      <c r="BH661" t="s">
        <v>970</v>
      </c>
      <c r="BI661" t="s">
        <v>993</v>
      </c>
      <c r="BJ661" t="s">
        <v>498</v>
      </c>
      <c r="BK661">
        <v>0</v>
      </c>
      <c r="BL661">
        <v>1</v>
      </c>
      <c r="BM661" t="str">
        <f>IFERROR(BL661/BK661,"")</f>
        <v/>
      </c>
      <c r="BN661">
        <f>BL661-BK661</f>
        <v>1</v>
      </c>
      <c r="BO661">
        <v>1</v>
      </c>
      <c r="BP661" t="s">
        <v>232</v>
      </c>
      <c r="BQ661" t="s">
        <v>742</v>
      </c>
      <c r="BR661" s="264" t="s">
        <v>973</v>
      </c>
      <c r="BV661">
        <v>0.21099999999999999</v>
      </c>
      <c r="BX661">
        <f>BV661</f>
        <v>0.21099999999999999</v>
      </c>
      <c r="BY661">
        <f>IFERROR(BX661/BO661,"")</f>
        <v>0.21099999999999999</v>
      </c>
      <c r="BZ661">
        <v>0</v>
      </c>
      <c r="CA661">
        <v>0</v>
      </c>
      <c r="CB661">
        <v>0</v>
      </c>
      <c r="CC661">
        <v>0</v>
      </c>
      <c r="CD661">
        <v>0</v>
      </c>
      <c r="CE661">
        <v>0</v>
      </c>
      <c r="CF661">
        <v>0</v>
      </c>
      <c r="CG661">
        <v>0</v>
      </c>
      <c r="CH661">
        <v>0</v>
      </c>
      <c r="CI661">
        <v>0</v>
      </c>
      <c r="CJ661">
        <v>0</v>
      </c>
      <c r="CK661">
        <v>0</v>
      </c>
      <c r="CL661">
        <v>0</v>
      </c>
      <c r="CM661">
        <v>0</v>
      </c>
      <c r="CN661" t="str">
        <f>IF($BL661&lt;$BK661,"refNeedCorrection","refOK")</f>
        <v>refOK</v>
      </c>
      <c r="CO661">
        <f>IF($CN661="refOK",$BK661,$BL661)</f>
        <v>0</v>
      </c>
      <c r="CP661">
        <f>IF($CN661="refOK",$BL661,$BK661)</f>
        <v>1</v>
      </c>
      <c r="CQ661">
        <f>IF($CN661="refOK",$BO661,-$BO661)</f>
        <v>1</v>
      </c>
      <c r="CR661">
        <f>IF($CN661="refOK",$BS661,$BT661)*IF($BP661="Emissions positive",-1,1)</f>
        <v>0</v>
      </c>
      <c r="CS661">
        <f>IF($CN661="refOK",$BT661,$BS661)*IF($BP661="Emissions positive",-1,1)</f>
        <v>0</v>
      </c>
      <c r="CT661">
        <f>IF($CN661="refNeedCorrection",-BX661,BX661)*IF($BP661="Emissions positive",-1,1)</f>
        <v>0.21099999999999999</v>
      </c>
      <c r="CU661">
        <f>IFERROR(CT661/CQ661,"")</f>
        <v>0.21099999999999999</v>
      </c>
      <c r="CV661" s="2" t="str">
        <f>IFERROR((CS661-CR661)/ABS(CR661),"")</f>
        <v/>
      </c>
      <c r="CW661" s="1" t="s">
        <v>263</v>
      </c>
      <c r="CX661" s="264" t="str">
        <f>IF(OR($CW661="prd",$CW661="std",$CW661="cit"),"loc",IF(OR($CW661="eur",$CW661="reg",$CW661="coy"),"reg",$CW661))</f>
        <v>loc</v>
      </c>
      <c r="CY661" t="s">
        <v>264</v>
      </c>
      <c r="DA661" s="143"/>
      <c r="DB661" s="143">
        <v>90</v>
      </c>
      <c r="DC661" t="str">
        <f>IF(DB661=0,"0",IF(AND(DB661&gt;=1,DB661&lt;=30),"1-30",IF(AND(DB661&gt;30,DB661&lt;=70),"31-70",IF(AND(DB661&gt;70,DB661&lt;=100),"71-100",IF(DB661&gt;100,"+100")))))</f>
        <v>71-100</v>
      </c>
      <c r="DD661">
        <v>0</v>
      </c>
      <c r="DE661">
        <v>0</v>
      </c>
      <c r="DF661">
        <v>0</v>
      </c>
      <c r="DG661">
        <v>1</v>
      </c>
      <c r="DH661">
        <v>0</v>
      </c>
      <c r="DI661">
        <f>SUM(DD661:DG661)</f>
        <v>1</v>
      </c>
      <c r="DJ661" t="str">
        <f>IF(DI661=1,INDEX($DD$7:$DG$7,MATCH(1,$DD661:$DG661,0)),"mixedProduct")</f>
        <v>TimberInput</v>
      </c>
      <c r="DK661">
        <f>IF(DD661=1,DK$7,0)</f>
        <v>0</v>
      </c>
      <c r="DL661">
        <f>IF(DE661=1,DL$7,0)</f>
        <v>0</v>
      </c>
      <c r="DM661">
        <f>IF(DF661=1,DM$7,0)</f>
        <v>0</v>
      </c>
      <c r="DN661" t="str">
        <f>IF(DG661=1,DN$7,0)</f>
        <v>Timber</v>
      </c>
      <c r="DO661">
        <v>1</v>
      </c>
      <c r="DP661">
        <v>0</v>
      </c>
      <c r="DQ661">
        <v>0</v>
      </c>
      <c r="DR661">
        <v>0</v>
      </c>
      <c r="DS661">
        <v>0</v>
      </c>
      <c r="DT661">
        <f>SUM(DO661:DP661)</f>
        <v>1</v>
      </c>
      <c r="DU661" s="143" t="str">
        <f>IF(DO661=1,"self-calculated DF",IF(DP661=1,"external DF used","explicit C balance"))</f>
        <v>self-calculated DF</v>
      </c>
      <c r="DV661">
        <v>0</v>
      </c>
      <c r="DW661">
        <v>0</v>
      </c>
      <c r="DX661" s="143">
        <v>0</v>
      </c>
      <c r="DY661" s="143">
        <v>0</v>
      </c>
      <c r="DZ661">
        <v>0</v>
      </c>
      <c r="EA661" s="143">
        <v>0</v>
      </c>
      <c r="EB661">
        <v>0</v>
      </c>
      <c r="EC661" s="143">
        <v>1</v>
      </c>
      <c r="ED661" s="143">
        <v>0</v>
      </c>
      <c r="EE661">
        <v>1</v>
      </c>
      <c r="EF661">
        <v>0</v>
      </c>
      <c r="EG661" s="143">
        <v>0</v>
      </c>
      <c r="EH661" s="143">
        <v>0</v>
      </c>
      <c r="EI661" s="2">
        <v>0</v>
      </c>
      <c r="EK661" t="str">
        <f>IF(AND(AND(AND(OR($DX661=1,$DW661=1),OR($EC661=1,$EA661=1)),SUM($DV661:$DZ661,$EF661)&gt;=4),SUM($EA661:$EE661)&gt;=2),"Whole sector","")</f>
        <v/>
      </c>
      <c r="EL661" t="str">
        <f>IF(AND(AND(OR($DX661=1,$DW661=1),AND($EC661=0,$EA661=0)),SUM($DV661:$DZ661,$EF661)&gt;=4),"Ecosystem approach","")</f>
        <v/>
      </c>
      <c r="EM661" s="2" t="str">
        <f>IF(AND(AND(AND($DX661=0,$DW661=0),OR($EC661=1,$EA661=1)),SUM($EB661:$EE661)&gt;=2),"Technology approach","")</f>
        <v>Technology approach</v>
      </c>
      <c r="EN661" t="s">
        <v>1001</v>
      </c>
      <c r="EP661" t="str">
        <f>IF(ISNUMBER(BU661),IF(ABS(BU661-[3]QC_indicators!$B$2)&gt;3*[3]QC_indicators!$C$2,"C ratio",IF(ISNUMBER(BY661),IF(ABS(BY661-[3]QC_indicators!$B$1)&gt;3*[3]QC_indicators!$C$1,"DF","no"))),IF(ISNUMBER(BY661),IF(ABS(BY661-[3]QC_indicators!$B$1)&gt;3*[3]QC_indicators!$C$1,"DF","no")))</f>
        <v>no</v>
      </c>
      <c r="ER661" s="264" t="s">
        <v>995</v>
      </c>
      <c r="ET661" s="264" t="s">
        <v>3407</v>
      </c>
    </row>
    <row r="662" spans="1:150" ht="15" customHeight="1">
      <c r="A662" s="1" t="s">
        <v>265</v>
      </c>
      <c r="B662" t="s">
        <v>266</v>
      </c>
      <c r="C662" t="s">
        <v>267</v>
      </c>
      <c r="D662" t="s">
        <v>268</v>
      </c>
      <c r="E662" t="s">
        <v>269</v>
      </c>
      <c r="F662" t="s">
        <v>270</v>
      </c>
      <c r="G662" t="s">
        <v>271</v>
      </c>
      <c r="H662" t="s">
        <v>254</v>
      </c>
      <c r="I662">
        <v>2022</v>
      </c>
      <c r="J662">
        <v>0</v>
      </c>
      <c r="K662" t="s">
        <v>272</v>
      </c>
      <c r="M662" t="str">
        <f>LEFT($D662,FIND(",",$D662)-1)&amp;"_"&amp;I662&amp;L662</f>
        <v>Aryapratama_2022</v>
      </c>
      <c r="N662" t="s">
        <v>222</v>
      </c>
      <c r="O662" s="145" t="s">
        <v>274</v>
      </c>
      <c r="Q662" t="s">
        <v>224</v>
      </c>
      <c r="R662" s="262" t="s">
        <v>223</v>
      </c>
      <c r="S662" s="263" t="s">
        <v>3105</v>
      </c>
      <c r="T662" t="s">
        <v>302</v>
      </c>
      <c r="U662" t="s">
        <v>303</v>
      </c>
      <c r="V662">
        <v>0</v>
      </c>
      <c r="W662">
        <v>0</v>
      </c>
      <c r="X662">
        <v>0</v>
      </c>
      <c r="Y662">
        <v>0</v>
      </c>
      <c r="Z662">
        <v>0</v>
      </c>
      <c r="AA662">
        <v>0</v>
      </c>
      <c r="AB662">
        <v>0</v>
      </c>
      <c r="AC662">
        <v>0</v>
      </c>
      <c r="AD662">
        <v>0</v>
      </c>
      <c r="AE662">
        <v>0</v>
      </c>
      <c r="AF662">
        <v>0</v>
      </c>
      <c r="AG662">
        <v>0</v>
      </c>
      <c r="AH662">
        <v>0</v>
      </c>
      <c r="AI662">
        <v>0</v>
      </c>
      <c r="AJ662">
        <v>0</v>
      </c>
      <c r="AK662">
        <v>1</v>
      </c>
      <c r="AL662">
        <v>0</v>
      </c>
      <c r="AM662">
        <v>0</v>
      </c>
      <c r="AN662">
        <v>0</v>
      </c>
      <c r="AO662">
        <v>0</v>
      </c>
      <c r="AP662">
        <v>0</v>
      </c>
      <c r="AQ662">
        <v>0</v>
      </c>
      <c r="AR662">
        <v>0</v>
      </c>
      <c r="AS662">
        <v>0</v>
      </c>
      <c r="AT662">
        <v>0</v>
      </c>
      <c r="AU662">
        <v>0</v>
      </c>
      <c r="AV662">
        <v>0</v>
      </c>
      <c r="AW662">
        <v>0</v>
      </c>
      <c r="AX662" s="141">
        <f>COUNTIF(V662:AW662,"&lt;&gt;0")</f>
        <v>1</v>
      </c>
      <c r="AY662" s="141">
        <f>COUNTIF(V662:AL662,"&lt;&gt;0")</f>
        <v>1</v>
      </c>
      <c r="AZ662">
        <f>COUNTIF(V662:AC662,"&lt;&gt;0")</f>
        <v>0</v>
      </c>
      <c r="BA662">
        <f>COUNTIF(AD662:AI662,"&lt;&gt;0")</f>
        <v>0</v>
      </c>
      <c r="BB662">
        <f>COUNTIF(AJ662:AL662,"&lt;&gt;0")</f>
        <v>1</v>
      </c>
      <c r="BC662">
        <f>COUNTIF(AS662:AW662,"&lt;&gt;0")</f>
        <v>0</v>
      </c>
      <c r="BD662">
        <f>COUNTIF(AM662:AR662,"&lt;&gt;0")</f>
        <v>0</v>
      </c>
      <c r="BE662" t="str">
        <f t="array" ref="BE662">IF(AY662=1,INDEX($V$7:$AL$7,MATCH(TRUE,INDEX($V662:$AW662&lt;&gt;0,),0)),IF(AY662=0,INDEX($AM$7:$AW$7,MATCH(1,$AM662:$AW662,0)),IF(BF662="Multiple strategies","mixed drivers",IF(BF662="Supply chain","multiple supply","multiple silviculture"))))</f>
        <v>technologies/design switch</v>
      </c>
      <c r="BF662" s="2" t="str" cm="1">
        <f t="array" ref="BF662">IF(COUNTIF(AZ662:BB662,"&lt;&gt;0")=1,INDEX($V$4:$AW$4,MATCH(TRUE,INDEX($V662:$AW662&lt;&gt;0,),0)),IF(COUNTIF(AZ662:BB662,"&lt;&gt;0")=0,INDEX($AM$4:$AW$4,MATCH(1,$AM662:$AW662,0)),"Multiple strategies"))</f>
        <v>Technology</v>
      </c>
      <c r="BG662" s="1" t="s">
        <v>229</v>
      </c>
      <c r="BH662" t="s">
        <v>277</v>
      </c>
      <c r="BI662" s="264" t="s">
        <v>3106</v>
      </c>
      <c r="BJ662" t="s">
        <v>278</v>
      </c>
      <c r="BK662">
        <v>0</v>
      </c>
      <c r="BL662">
        <v>15.419381264639073</v>
      </c>
      <c r="BN662">
        <f>BL662-BK662</f>
        <v>15.419381264639073</v>
      </c>
      <c r="BO662">
        <f>BN662*tC_to_m3</f>
        <v>66.953457510373752</v>
      </c>
      <c r="BP662" t="s">
        <v>232</v>
      </c>
      <c r="BQ662" s="337" t="s">
        <v>3107</v>
      </c>
      <c r="BR662" t="s">
        <v>279</v>
      </c>
      <c r="BS662">
        <v>68.167571816623862</v>
      </c>
      <c r="BT662">
        <v>82.450615050179124</v>
      </c>
      <c r="BU662" s="144">
        <f>IFERROR(BT662/BS662,"")</f>
        <v>1.2095284143606841</v>
      </c>
      <c r="BV662">
        <f>BT662-BS662</f>
        <v>14.283043233555262</v>
      </c>
      <c r="BX662">
        <f>BV662</f>
        <v>14.283043233555262</v>
      </c>
      <c r="BY662">
        <f>IFERROR(BX662/BO662,"")</f>
        <v>0.21332794100054131</v>
      </c>
      <c r="BZ662">
        <v>0</v>
      </c>
      <c r="CA662">
        <v>0</v>
      </c>
      <c r="CB662">
        <v>0</v>
      </c>
      <c r="CC662">
        <v>0</v>
      </c>
      <c r="CD662">
        <v>0</v>
      </c>
      <c r="CE662">
        <v>0</v>
      </c>
      <c r="CF662">
        <v>0</v>
      </c>
      <c r="CG662">
        <v>0</v>
      </c>
      <c r="CH662">
        <v>0</v>
      </c>
      <c r="CI662">
        <v>0</v>
      </c>
      <c r="CJ662">
        <v>0</v>
      </c>
      <c r="CK662">
        <v>0</v>
      </c>
      <c r="CL662">
        <v>0</v>
      </c>
      <c r="CM662">
        <v>0</v>
      </c>
      <c r="CN662" t="str">
        <f>IF($BL662&lt;$BK662,"refNeedCorrection","refOK")</f>
        <v>refOK</v>
      </c>
      <c r="CO662">
        <f>IF($CN662="refOK",$BK662,$BL662)</f>
        <v>0</v>
      </c>
      <c r="CP662">
        <f>IF($CN662="refOK",$BL662,$BK662)</f>
        <v>15.419381264639073</v>
      </c>
      <c r="CQ662">
        <f>IF($CN662="refOK",$BO662,-$BO662)</f>
        <v>66.953457510373752</v>
      </c>
      <c r="CR662">
        <f>IF($CN662="refOK",$BS662,$BT662)*IF($BP662="Emissions positive",-1,1)</f>
        <v>68.167571816623862</v>
      </c>
      <c r="CS662">
        <f>IF($CN662="refOK",$BT662,$BS662)*IF($BP662="Emissions positive",-1,1)</f>
        <v>82.450615050179124</v>
      </c>
      <c r="CT662">
        <f>IF($CN662="refNeedCorrection",-BX662,BX662)*IF($BP662="Emissions positive",-1,1)</f>
        <v>14.283043233555262</v>
      </c>
      <c r="CU662">
        <f>IFERROR(CT662/CQ662,"")</f>
        <v>0.21332794100054131</v>
      </c>
      <c r="CV662" s="2">
        <f>IFERROR((CS662-CR662)/ABS(CR662),"")</f>
        <v>0.20952841436068417</v>
      </c>
      <c r="CW662" s="1" t="s">
        <v>234</v>
      </c>
      <c r="CX662" t="str">
        <f>IF(OR($CW662="prd",$CW662="std",$CW662="cit"),"loc",IF(OR($CW662="eur",$CW662="reg",$CW662="coy"),"reg",$CW662))</f>
        <v>loc</v>
      </c>
      <c r="CY662" t="s">
        <v>280</v>
      </c>
      <c r="DB662">
        <v>50</v>
      </c>
      <c r="DC662" t="str">
        <f>IF(DB662=0,"0",IF(AND(DB662&gt;=1,DB662&lt;=30),"1-30",IF(AND(DB662&gt;30,DB662&lt;=70),"31-70",IF(AND(DB662&gt;70,DB662&lt;=100),"71-100",IF(DB662&gt;100,"+100")))))</f>
        <v>31-70</v>
      </c>
      <c r="DD662">
        <v>0</v>
      </c>
      <c r="DE662">
        <v>0</v>
      </c>
      <c r="DF662">
        <v>0</v>
      </c>
      <c r="DG662">
        <v>1</v>
      </c>
      <c r="DI662">
        <f>SUM(DD662:DG662)</f>
        <v>1</v>
      </c>
      <c r="DJ662" t="str">
        <f>IF(DI662=1,INDEX($DD$7:$DG$7,MATCH(1,$DD662:$DG662,0)),"mixedProduct")</f>
        <v>TimberInput</v>
      </c>
      <c r="DK662">
        <f>IF(DD662=1,DK$7,0)</f>
        <v>0</v>
      </c>
      <c r="DL662">
        <f>IF(DE662=1,DL$7,0)</f>
        <v>0</v>
      </c>
      <c r="DM662">
        <f>IF(DF662=1,DM$7,0)</f>
        <v>0</v>
      </c>
      <c r="DN662" t="str">
        <f>IF(DG662=1,DN$7,0)</f>
        <v>Timber</v>
      </c>
      <c r="DO662">
        <v>0</v>
      </c>
      <c r="DP662">
        <v>1</v>
      </c>
      <c r="DQ662" t="s">
        <v>304</v>
      </c>
      <c r="DR662">
        <v>0</v>
      </c>
      <c r="DS662">
        <v>0</v>
      </c>
      <c r="DT662">
        <f>SUM(DO662:DP662)</f>
        <v>1</v>
      </c>
      <c r="DU662" s="143" t="str">
        <f>IF(DO662=1,"self-calculated DF",IF(DP662=1,"external DF used","explicit C balance"))</f>
        <v>external DF used</v>
      </c>
      <c r="DV662">
        <v>0</v>
      </c>
      <c r="DW662">
        <v>1</v>
      </c>
      <c r="DX662">
        <v>1</v>
      </c>
      <c r="DY662">
        <v>1</v>
      </c>
      <c r="DZ662">
        <v>1</v>
      </c>
      <c r="EA662" s="143">
        <v>0</v>
      </c>
      <c r="EB662">
        <v>1</v>
      </c>
      <c r="EC662">
        <v>1</v>
      </c>
      <c r="ED662">
        <v>0</v>
      </c>
      <c r="EE662">
        <v>1</v>
      </c>
      <c r="EF662">
        <v>1</v>
      </c>
      <c r="EG662">
        <v>1</v>
      </c>
      <c r="EH662">
        <v>0</v>
      </c>
      <c r="EI662" s="2">
        <v>0</v>
      </c>
      <c r="EK662" t="str">
        <f>IF(AND(AND(AND(OR($DX662=1,$DW662=1),OR($EC662=1,$EA662=1)),SUM($DV662:$DZ662,$EF662)&gt;=4),SUM($EA662:$EE662)&gt;=2),"Whole sector","")</f>
        <v>Whole sector</v>
      </c>
      <c r="EL662" t="str">
        <f>IF(AND(AND(OR($DX662=1,$DW662=1),AND($EC662=0,$EA662=0)),SUM($DV662:$DZ662,$EF662)&gt;=4),"Ecosystem approach","")</f>
        <v/>
      </c>
      <c r="EM662" s="2" t="str">
        <f>IF(AND(AND(AND($DX662=0,$DW662=0),OR($EC662=1,$EA662=1)),SUM($EB662:$EE662)&gt;=2),"Technology approach","")</f>
        <v/>
      </c>
      <c r="EP662" t="str">
        <f>IF(ISNUMBER(BU662),IF(ABS(BU662-[1]QC_indicators!$B$2)&gt;3*[1]QC_indicators!$C$2,"C ratio",IF(ISNUMBER(BY662),IF(ABS(BY662-[1]QC_indicators!$B$1)&gt;3*[1]QC_indicators!$C$1,"DF","no"))),IF(ISNUMBER(BY662),IF(ABS(BY662-[1]QC_indicators!$B$1)&gt;3*[1]QC_indicators!$C$1,"DF","no")))</f>
        <v>no</v>
      </c>
      <c r="EQ662" t="s">
        <v>286</v>
      </c>
      <c r="ET662" s="264" t="s">
        <v>3273</v>
      </c>
    </row>
    <row r="663" spans="1:150" ht="15" customHeight="1">
      <c r="D663" t="s">
        <v>1661</v>
      </c>
      <c r="E663" t="s">
        <v>1662</v>
      </c>
      <c r="G663" t="s">
        <v>1663</v>
      </c>
      <c r="I663">
        <v>2007</v>
      </c>
      <c r="K663" t="s">
        <v>1664</v>
      </c>
      <c r="M663" t="str">
        <f>LEFT($D663,FIND(",",$D663)-1)&amp;"_"&amp;I663&amp;L663</f>
        <v>Gustavsson_2007</v>
      </c>
      <c r="N663" t="s">
        <v>222</v>
      </c>
      <c r="O663" t="s">
        <v>223</v>
      </c>
      <c r="Q663" t="s">
        <v>256</v>
      </c>
      <c r="R663" s="269" t="s">
        <v>274</v>
      </c>
      <c r="S663" s="1" t="s">
        <v>1665</v>
      </c>
      <c r="T663" t="s">
        <v>1670</v>
      </c>
      <c r="U663" s="143" t="s">
        <v>1672</v>
      </c>
      <c r="V663">
        <v>0</v>
      </c>
      <c r="W663">
        <v>0</v>
      </c>
      <c r="X663">
        <v>0</v>
      </c>
      <c r="Y663">
        <v>0</v>
      </c>
      <c r="Z663">
        <v>0</v>
      </c>
      <c r="AA663">
        <v>0</v>
      </c>
      <c r="AB663">
        <v>0</v>
      </c>
      <c r="AC663">
        <v>0</v>
      </c>
      <c r="AD663">
        <v>0</v>
      </c>
      <c r="AE663">
        <v>0</v>
      </c>
      <c r="AF663">
        <v>0</v>
      </c>
      <c r="AG663">
        <v>0</v>
      </c>
      <c r="AH663">
        <v>0</v>
      </c>
      <c r="AI663">
        <v>0</v>
      </c>
      <c r="AJ663">
        <v>0</v>
      </c>
      <c r="AK663">
        <v>1</v>
      </c>
      <c r="AL663">
        <v>0</v>
      </c>
      <c r="AM663">
        <v>0</v>
      </c>
      <c r="AN663">
        <v>0</v>
      </c>
      <c r="AO663">
        <v>0</v>
      </c>
      <c r="AP663">
        <v>0</v>
      </c>
      <c r="AQ663">
        <v>0</v>
      </c>
      <c r="AR663">
        <v>0</v>
      </c>
      <c r="AS663">
        <v>0</v>
      </c>
      <c r="AT663">
        <v>0</v>
      </c>
      <c r="AU663">
        <v>0</v>
      </c>
      <c r="AV663">
        <v>0</v>
      </c>
      <c r="AW663">
        <v>0</v>
      </c>
      <c r="AX663" s="141">
        <f>COUNTIF(V663:AW663,"&lt;&gt;0")</f>
        <v>1</v>
      </c>
      <c r="AY663" s="141">
        <f>COUNTIF(V663:AL663,"&lt;&gt;0")</f>
        <v>1</v>
      </c>
      <c r="AZ663">
        <f>COUNTIF(V663:AC663,"&lt;&gt;0")</f>
        <v>0</v>
      </c>
      <c r="BA663">
        <f>COUNTIF(AD663:AI663,"&lt;&gt;0")</f>
        <v>0</v>
      </c>
      <c r="BB663">
        <f>COUNTIF(AJ663:AL663,"&lt;&gt;0")</f>
        <v>1</v>
      </c>
      <c r="BC663">
        <f>COUNTIF(AS663:AW663,"&lt;&gt;0")</f>
        <v>0</v>
      </c>
      <c r="BD663">
        <f>COUNTIF(AM663:AR663,"&lt;&gt;0")</f>
        <v>0</v>
      </c>
      <c r="BE663" t="str">
        <f t="array" ref="BE663">IF(AY663=1,INDEX($V$7:$AL$7,MATCH(TRUE,INDEX($V663:$AW663&lt;&gt;0,),0)),IF(AY663=0,INDEX($AM$7:$AW$7,MATCH(1,$AM663:$AW663,0)),IF(BF663="Multiple strategies","mixed drivers",IF(BF663="Supply chain","multiple supply","multiple silviculture"))))</f>
        <v>technologies/design switch</v>
      </c>
      <c r="BF663" s="2" t="str" cm="1">
        <f t="array" ref="BF663">IF(COUNTIF(AZ663:BB663,"&lt;&gt;0")=1,INDEX($V$4:$AW$4,MATCH(TRUE,INDEX($V663:$AW663&lt;&gt;0,),0)),IF(COUNTIF(AZ663:BB663,"&lt;&gt;0")=0,INDEX($AM$4:$AW$4,MATCH(1,$AM663:$AW663,0)),"Multiple strategies"))</f>
        <v>Technology</v>
      </c>
      <c r="BG663" s="142" t="s">
        <v>229</v>
      </c>
      <c r="BH663" t="s">
        <v>1667</v>
      </c>
      <c r="BI663" s="264" t="s">
        <v>1057</v>
      </c>
      <c r="BJ663" s="143" t="s">
        <v>3265</v>
      </c>
      <c r="BK663">
        <v>0</v>
      </c>
      <c r="BL663" s="143">
        <v>102.4</v>
      </c>
      <c r="BM663" s="143"/>
      <c r="BN663">
        <f>BL663-BK663</f>
        <v>102.4</v>
      </c>
      <c r="BO663" s="143">
        <f>1000*BL663/15.3/400</f>
        <v>16.732026143790851</v>
      </c>
      <c r="BP663" t="s">
        <v>232</v>
      </c>
      <c r="BR663" t="s">
        <v>938</v>
      </c>
      <c r="BS663" s="143">
        <v>-1</v>
      </c>
      <c r="BT663" s="151">
        <v>0</v>
      </c>
      <c r="BU663">
        <v>0</v>
      </c>
      <c r="BV663">
        <v>1</v>
      </c>
      <c r="BX663">
        <f>BV663*C_to_CO2</f>
        <v>3.67</v>
      </c>
      <c r="BY663">
        <f>IFERROR(BX663/BO663,"")</f>
        <v>0.21933984374999999</v>
      </c>
      <c r="BZ663" s="143">
        <v>0</v>
      </c>
      <c r="CA663" s="143">
        <v>0</v>
      </c>
      <c r="CB663" s="143">
        <v>0</v>
      </c>
      <c r="CC663" s="143">
        <v>0</v>
      </c>
      <c r="CD663" s="143">
        <v>0</v>
      </c>
      <c r="CE663" s="143">
        <v>0</v>
      </c>
      <c r="CF663" s="143">
        <v>0</v>
      </c>
      <c r="CG663" s="143">
        <v>0</v>
      </c>
      <c r="CH663" s="143">
        <v>0</v>
      </c>
      <c r="CI663" s="143">
        <v>0</v>
      </c>
      <c r="CJ663" s="143">
        <v>0</v>
      </c>
      <c r="CK663" s="143">
        <v>0</v>
      </c>
      <c r="CL663" s="143">
        <v>0</v>
      </c>
      <c r="CM663">
        <v>1</v>
      </c>
      <c r="CN663" t="str">
        <f>IF($BL663&lt;$BK663,"refNeedCorrection","refOK")</f>
        <v>refOK</v>
      </c>
      <c r="CO663">
        <f>IF($CN663="refOK",$BK663,$BL663)</f>
        <v>0</v>
      </c>
      <c r="CP663">
        <f>IF($CN663="refOK",$BL663,$BK663)</f>
        <v>102.4</v>
      </c>
      <c r="CQ663">
        <f>IF($CN663="refOK",$BO663,-$BO663)</f>
        <v>16.732026143790851</v>
      </c>
      <c r="CR663">
        <f>IF($CN663="refOK",$BS663,$BT663)*IF($BP663="Emissions positive",-1,1)</f>
        <v>-1</v>
      </c>
      <c r="CS663">
        <f>IF($CN663="refOK",$BT663,$BS663)*IF($BP663="Emissions positive",-1,1)</f>
        <v>0</v>
      </c>
      <c r="CT663">
        <f>IF($CN663="refNeedCorrection",-BX663,BX663)*IF($BP663="Emissions positive",-1,1)</f>
        <v>3.67</v>
      </c>
      <c r="CU663">
        <f>IFERROR(CT663/CQ663,"")</f>
        <v>0.21933984374999999</v>
      </c>
      <c r="CV663" s="2">
        <f>IFERROR((CS663-CR663)/ABS(CR663),"")</f>
        <v>1</v>
      </c>
      <c r="CW663" s="1" t="s">
        <v>1203</v>
      </c>
      <c r="CX663" t="str">
        <f>IF(OR($CW663="prd",$CW663="std",$CW663="cit"),"loc",IF(OR($CW663="eur",$CW663="reg",$CW663="coy"),"reg",$CW663))</f>
        <v>reg</v>
      </c>
      <c r="CY663" t="s">
        <v>444</v>
      </c>
      <c r="DA663" s="143"/>
      <c r="DB663" s="143">
        <v>0</v>
      </c>
      <c r="DC663" t="str">
        <f>IF(DB663=0,"0",IF(AND(DB663&gt;=1,DB663&lt;=30),"1-30",IF(AND(DB663&gt;30,DB663&lt;=70),"31-70",IF(AND(DB663&gt;70,DB663&lt;=100),"71-100",IF(DB663&gt;100,"+100")))))</f>
        <v>0</v>
      </c>
      <c r="DD663">
        <v>0</v>
      </c>
      <c r="DE663">
        <v>1</v>
      </c>
      <c r="DF663">
        <v>0</v>
      </c>
      <c r="DG663">
        <v>0</v>
      </c>
      <c r="DI663">
        <f>SUM(DD663:DG663)</f>
        <v>1</v>
      </c>
      <c r="DJ663" t="str">
        <f>IF(DI663=1,INDEX($DD$7:$DG$7,MATCH(1,$DD663:$DG663,0)),"mixedProduct")</f>
        <v>EnergyInput</v>
      </c>
      <c r="DK663">
        <f>IF(DD663=1,DK$7,0)</f>
        <v>0</v>
      </c>
      <c r="DL663" t="str">
        <f>IF(DE663=1,DL$7,0)</f>
        <v>Energy</v>
      </c>
      <c r="DM663">
        <f>IF(DF663=1,DM$7,0)</f>
        <v>0</v>
      </c>
      <c r="DN663">
        <f>IF(DG663=1,DN$7,0)</f>
        <v>0</v>
      </c>
      <c r="DO663">
        <v>0</v>
      </c>
      <c r="DP663" s="143">
        <v>0</v>
      </c>
      <c r="DQ663" s="143">
        <v>0</v>
      </c>
      <c r="DR663">
        <v>0</v>
      </c>
      <c r="DS663" s="143">
        <v>0</v>
      </c>
      <c r="DT663">
        <f>SUM(DO663:DP663)</f>
        <v>0</v>
      </c>
      <c r="DU663" s="143" t="str">
        <f>IF(DO663=1,"self-calculated DF",IF(DP663=1,"external DF used","explicit C balance"))</f>
        <v>explicit C balance</v>
      </c>
      <c r="DV663" s="143">
        <v>0</v>
      </c>
      <c r="DW663" s="143">
        <v>0</v>
      </c>
      <c r="DX663" s="143">
        <v>0</v>
      </c>
      <c r="DY663" s="143">
        <v>0</v>
      </c>
      <c r="DZ663">
        <v>0</v>
      </c>
      <c r="EA663" s="143">
        <v>0</v>
      </c>
      <c r="EB663" s="143">
        <v>0</v>
      </c>
      <c r="EC663" s="143">
        <v>1</v>
      </c>
      <c r="ED663" s="143">
        <v>0</v>
      </c>
      <c r="EE663">
        <v>0</v>
      </c>
      <c r="EF663">
        <v>0</v>
      </c>
      <c r="EG663" s="143">
        <v>0</v>
      </c>
      <c r="EH663" s="143">
        <v>0</v>
      </c>
      <c r="EI663" s="2">
        <v>0</v>
      </c>
      <c r="EK663" t="str">
        <f>IF(AND(AND(AND(OR($DX663=1,$DW663=1),OR($EC663=1,$EA663=1)),SUM($DV663:$DZ663,$EF663)&gt;=4),SUM($EA663:$EE663)&gt;=2),"Whole sector","")</f>
        <v/>
      </c>
      <c r="EL663" t="str">
        <f>IF(AND(AND(OR($DX663=1,$DW663=1),AND($EC663=0,$EA663=0)),SUM($DV663:$DZ663,$EF663)&gt;=4),"Ecosystem approach","")</f>
        <v/>
      </c>
      <c r="EM663" s="2" t="str">
        <f>IF(AND(AND(AND($DX663=0,$DW663=0),OR($EC663=1,$EA663=1)),SUM($EB663:$EE663)&gt;=2),"Technology approach","")</f>
        <v/>
      </c>
      <c r="EP663" t="str">
        <f>IF(ISNUMBER(BU663),IF(ABS(BU663-[2]QC_indicators!$B$2)&gt;3*[2]QC_indicators!$C$2,"C ratio",IF(ISNUMBER(BY663),IF(ABS(BY663-[2]QC_indicators!$B$1)&gt;3*[2]QC_indicators!$C$1,"DF","no"))),IF(ISNUMBER(BY663),IF(ABS(BY663-[2]QC_indicators!$B$1)&gt;3*[2]QC_indicators!$C$1,"DF","no")))</f>
        <v>no</v>
      </c>
      <c r="ER663" s="149" t="s">
        <v>349</v>
      </c>
      <c r="ET663" s="264" t="s">
        <v>3266</v>
      </c>
    </row>
    <row r="664" spans="1:150" ht="15" customHeight="1">
      <c r="A664" s="1" t="s">
        <v>333</v>
      </c>
      <c r="B664" t="s">
        <v>1081</v>
      </c>
      <c r="C664" t="s">
        <v>1082</v>
      </c>
      <c r="D664" t="s">
        <v>1083</v>
      </c>
      <c r="E664" t="s">
        <v>1084</v>
      </c>
      <c r="F664" t="s">
        <v>1085</v>
      </c>
      <c r="G664" t="s">
        <v>339</v>
      </c>
      <c r="H664" t="s">
        <v>254</v>
      </c>
      <c r="I664">
        <v>2022</v>
      </c>
      <c r="J664">
        <v>3</v>
      </c>
      <c r="K664" t="s">
        <v>1086</v>
      </c>
      <c r="M664" t="str">
        <f>LEFT($D664,FIND(",",$D664)-1)&amp;"_"&amp;I664&amp;L664</f>
        <v>Robati_2022</v>
      </c>
      <c r="N664" t="s">
        <v>222</v>
      </c>
      <c r="O664" s="264" t="s">
        <v>223</v>
      </c>
      <c r="Q664" s="264" t="s">
        <v>389</v>
      </c>
      <c r="R664" s="269" t="s">
        <v>1154</v>
      </c>
      <c r="S664" s="263" t="s">
        <v>1100</v>
      </c>
      <c r="T664" s="264" t="s">
        <v>1096</v>
      </c>
      <c r="U664" s="264" t="s">
        <v>1089</v>
      </c>
      <c r="V664">
        <v>0</v>
      </c>
      <c r="W664">
        <v>0</v>
      </c>
      <c r="X664">
        <v>0</v>
      </c>
      <c r="Y664">
        <v>0</v>
      </c>
      <c r="Z664">
        <v>0</v>
      </c>
      <c r="AA664">
        <v>0</v>
      </c>
      <c r="AB664">
        <v>0</v>
      </c>
      <c r="AC664">
        <v>0</v>
      </c>
      <c r="AD664">
        <v>0</v>
      </c>
      <c r="AE664">
        <v>0</v>
      </c>
      <c r="AF664">
        <v>0</v>
      </c>
      <c r="AG664">
        <v>0</v>
      </c>
      <c r="AH664">
        <v>0</v>
      </c>
      <c r="AI664">
        <v>0</v>
      </c>
      <c r="AJ664">
        <v>0</v>
      </c>
      <c r="AK664">
        <v>1</v>
      </c>
      <c r="AL664">
        <v>0</v>
      </c>
      <c r="AM664">
        <v>0</v>
      </c>
      <c r="AN664">
        <v>0</v>
      </c>
      <c r="AO664">
        <v>0</v>
      </c>
      <c r="AP664">
        <v>0</v>
      </c>
      <c r="AQ664">
        <v>0</v>
      </c>
      <c r="AR664">
        <v>0</v>
      </c>
      <c r="AS664">
        <v>0</v>
      </c>
      <c r="AT664">
        <v>0</v>
      </c>
      <c r="AU664">
        <v>0</v>
      </c>
      <c r="AV664">
        <v>0</v>
      </c>
      <c r="AW664">
        <v>0</v>
      </c>
      <c r="AX664" s="141">
        <f>COUNTIF(V664:AW664,"&lt;&gt;0")</f>
        <v>1</v>
      </c>
      <c r="AY664" s="141">
        <f>COUNTIF(V664:AL664,"&lt;&gt;0")</f>
        <v>1</v>
      </c>
      <c r="AZ664">
        <f>COUNTIF(V664:AC664,"&lt;&gt;0")</f>
        <v>0</v>
      </c>
      <c r="BA664">
        <f>COUNTIF(AD664:AI664,"&lt;&gt;0")</f>
        <v>0</v>
      </c>
      <c r="BB664">
        <f>COUNTIF(AJ664:AL664,"&lt;&gt;0")</f>
        <v>1</v>
      </c>
      <c r="BC664">
        <f>COUNTIF(AS664:AW664,"&lt;&gt;0")</f>
        <v>0</v>
      </c>
      <c r="BD664">
        <f>COUNTIF(AM664:AR664,"&lt;&gt;0")</f>
        <v>0</v>
      </c>
      <c r="BE664" t="str" cm="1">
        <f t="array" ref="BE664">IF(AY664=1,INDEX($V$7:$AL$7,MATCH(TRUE,INDEX($V664:$AW664&lt;&gt;0,),0)),IF(AY664=0,INDEX($AM$7:$AW$7,MATCH(1,$AM664:$AW664,0)),IF(BF664="Multiple strategies","mixed drivers",IF(BF664="Supply chain","multiple supply","multiple silviculture"))))</f>
        <v>technologies/design switch</v>
      </c>
      <c r="BF664" s="2" t="str" cm="1">
        <f t="array" ref="BF664">IF(COUNTIF(AZ664:BB664,"&lt;&gt;0")=1,INDEX($V$4:$AW$4,MATCH(TRUE,INDEX($V664:$AW664&lt;&gt;0,),0)),IF(COUNTIF(AZ664:BB664,"&lt;&gt;0")=0,INDEX($AM$4:$AW$4,MATCH(1,$AM664:$AW664,0)),"Multiple strategies"))</f>
        <v>Technology</v>
      </c>
      <c r="BG664" s="1" t="s">
        <v>229</v>
      </c>
      <c r="BH664" s="264" t="s">
        <v>1090</v>
      </c>
      <c r="BI664" s="264" t="s">
        <v>716</v>
      </c>
      <c r="BJ664" s="264" t="s">
        <v>1091</v>
      </c>
      <c r="BK664">
        <f>(6.17+4901.94+10375.04)/43229</f>
        <v>0.35353929075389212</v>
      </c>
      <c r="BL664">
        <f>(6.17+4901.94+10375.04+8069.52+1195.9)/43229</f>
        <v>0.56787272432857583</v>
      </c>
      <c r="BN664">
        <f>BL664-BK664</f>
        <v>0.21433343357468371</v>
      </c>
      <c r="BO664">
        <f>BL664-BK664</f>
        <v>0.21433343357468371</v>
      </c>
      <c r="BP664" s="264" t="s">
        <v>395</v>
      </c>
      <c r="BQ664" s="264" t="s">
        <v>426</v>
      </c>
      <c r="BR664" s="264" t="s">
        <v>1092</v>
      </c>
      <c r="BS664">
        <v>464.97</v>
      </c>
      <c r="BT664">
        <v>417.21</v>
      </c>
      <c r="BU664" s="144">
        <f>IFERROR(BT664/BS664,"")</f>
        <v>0.8972836957223046</v>
      </c>
      <c r="BV664">
        <f>BT664-BS664</f>
        <v>-47.760000000000048</v>
      </c>
      <c r="BX664">
        <f>BV664/1000</f>
        <v>-4.7760000000000045E-2</v>
      </c>
      <c r="BY664">
        <f>IFERROR(BX664/BO664,"")</f>
        <v>-0.22283037789976079</v>
      </c>
      <c r="BZ664">
        <v>0</v>
      </c>
      <c r="CA664">
        <v>0</v>
      </c>
      <c r="CB664">
        <v>0</v>
      </c>
      <c r="CC664">
        <v>0</v>
      </c>
      <c r="CD664">
        <v>0</v>
      </c>
      <c r="CE664">
        <v>0</v>
      </c>
      <c r="CF664">
        <v>0</v>
      </c>
      <c r="CG664">
        <v>0</v>
      </c>
      <c r="CH664">
        <v>0</v>
      </c>
      <c r="CI664">
        <v>0</v>
      </c>
      <c r="CJ664">
        <v>0</v>
      </c>
      <c r="CK664">
        <v>0</v>
      </c>
      <c r="CL664">
        <v>0</v>
      </c>
      <c r="CM664">
        <v>0</v>
      </c>
      <c r="CN664" t="str">
        <f>IF($BL664&lt;$BK664,"refNeedCorrection","refOK")</f>
        <v>refOK</v>
      </c>
      <c r="CO664">
        <f>IF($CN664="refOK",$BK664,$BL664)</f>
        <v>0.35353929075389212</v>
      </c>
      <c r="CP664">
        <f>IF($CN664="refOK",$BL664,$BK664)</f>
        <v>0.56787272432857583</v>
      </c>
      <c r="CQ664">
        <f>IF($CN664="refOK",$BO664,-$BO664)</f>
        <v>0.21433343357468371</v>
      </c>
      <c r="CR664">
        <f>IF($CN664="refOK",$BS664,$BT664)*IF($BP664="Emissions positive",-1,1)</f>
        <v>-464.97</v>
      </c>
      <c r="CS664">
        <f>IF($CN664="refOK",$BT664,$BS664)*IF($BP664="Emissions positive",-1,1)</f>
        <v>-417.21</v>
      </c>
      <c r="CT664">
        <f>IF($CN664="refNeedCorrection",-BX664,BX664)*IF($BP664="Emissions positive",-1,1)</f>
        <v>4.7760000000000045E-2</v>
      </c>
      <c r="CU664">
        <f>IFERROR(CT664/CQ664,"")</f>
        <v>0.22283037789976079</v>
      </c>
      <c r="CV664" s="2">
        <f>IFERROR((CS664-CR664)/ABS(CR664),"")</f>
        <v>0.10271630427769543</v>
      </c>
      <c r="CW664" s="263" t="s">
        <v>263</v>
      </c>
      <c r="CX664" s="264" t="str">
        <f>IF(OR($CW664="prd",$CW664="std",$CW664="cit"),"loc",IF(OR($CW664="eur",$CW664="reg",$CW664="coy"),"reg",$CW664))</f>
        <v>loc</v>
      </c>
      <c r="CY664" s="264" t="s">
        <v>574</v>
      </c>
      <c r="DB664">
        <v>0</v>
      </c>
      <c r="DC664" t="str">
        <f>IF(DB664=0,"0",IF(AND(DB664&gt;=1,DB664&lt;=30),"1-30",IF(AND(DB664&gt;30,DB664&lt;=70),"31-70",IF(AND(DB664&gt;70,DB664&lt;=100),"71-100",IF(DB664&gt;100,"+100")))))</f>
        <v>0</v>
      </c>
      <c r="DD664">
        <v>0</v>
      </c>
      <c r="DE664">
        <v>0</v>
      </c>
      <c r="DF664">
        <v>0</v>
      </c>
      <c r="DG664">
        <v>1</v>
      </c>
      <c r="DH664">
        <v>0</v>
      </c>
      <c r="DI664">
        <f>SUM(DD664:DG664)</f>
        <v>1</v>
      </c>
      <c r="DJ664" t="str">
        <f>IF(DI664=1,INDEX($DD$7:$DG$7,MATCH(1,$DD664:$DG664,0)),"mixedProduct")</f>
        <v>TimberInput</v>
      </c>
      <c r="DK664">
        <f>IF(DD664=1,DK$7,0)</f>
        <v>0</v>
      </c>
      <c r="DL664">
        <f>IF(DE664=1,DL$7,0)</f>
        <v>0</v>
      </c>
      <c r="DM664">
        <f>IF(DF664=1,DM$7,0)</f>
        <v>0</v>
      </c>
      <c r="DN664" t="str">
        <f>IF(DG664=1,DN$7,0)</f>
        <v>Timber</v>
      </c>
      <c r="DO664">
        <v>0</v>
      </c>
      <c r="DP664">
        <v>0</v>
      </c>
      <c r="DQ664">
        <v>0</v>
      </c>
      <c r="DR664">
        <v>0</v>
      </c>
      <c r="DS664">
        <v>0</v>
      </c>
      <c r="DT664">
        <f>SUM(DO664:DP664)</f>
        <v>0</v>
      </c>
      <c r="DU664" s="143" t="str">
        <f>IF(DO664=1,"self-calculated DF",IF(DP664=1,"external DF used","explicit C balance"))</f>
        <v>explicit C balance</v>
      </c>
      <c r="DV664">
        <v>0</v>
      </c>
      <c r="DW664">
        <v>1</v>
      </c>
      <c r="DX664">
        <v>0</v>
      </c>
      <c r="DY664">
        <v>1</v>
      </c>
      <c r="DZ664">
        <v>1</v>
      </c>
      <c r="EA664">
        <v>0</v>
      </c>
      <c r="EB664">
        <v>1</v>
      </c>
      <c r="EC664">
        <v>1</v>
      </c>
      <c r="ED664">
        <v>1</v>
      </c>
      <c r="EE664">
        <v>1</v>
      </c>
      <c r="EF664">
        <v>0</v>
      </c>
      <c r="EG664">
        <v>0</v>
      </c>
      <c r="EH664">
        <v>0</v>
      </c>
      <c r="EI664" s="2">
        <v>0</v>
      </c>
      <c r="EK664" t="str">
        <f>IF(AND(AND(AND(OR($DX664=1,$DW664=1),OR($EC664=1,$EA664=1)),SUM($DV664:$DZ664,$EF664)&gt;=4),SUM($EA664:$EE664)&gt;=2),"Whole sector","")</f>
        <v/>
      </c>
      <c r="EL664" t="str">
        <f>IF(AND(AND(OR($DX664=1,$DW664=1),AND($EC664=0,$EA664=0)),SUM($DV664:$DZ664,$EF664)&gt;=4),"Ecosystem approach","")</f>
        <v/>
      </c>
      <c r="EM664" s="2" t="str">
        <f>IF(AND(AND(AND($DX664=0,$DW664=0),OR($EC664=1,$EA664=1)),SUM($EB664:$EE664)&gt;=2),"Technology approach","")</f>
        <v/>
      </c>
      <c r="EP664" t="str">
        <f>IF(ISNUMBER(BU664),IF(ABS(BU664-[3]QC_indicators!$B$2)&gt;3*[3]QC_indicators!$C$2,"C ratio",IF(ISNUMBER(BY664),IF(ABS(BY664-[3]QC_indicators!$B$1)&gt;3*[3]QC_indicators!$C$1,"DF","no"))),IF(ISNUMBER(BY664),IF(ABS(BY664-[3]QC_indicators!$B$1)&gt;3*[3]QC_indicators!$C$1,"DF","no")))</f>
        <v>no</v>
      </c>
      <c r="ET664" s="264" t="s">
        <v>3407</v>
      </c>
    </row>
    <row r="665" spans="1:150" ht="15" customHeight="1">
      <c r="A665" s="1" t="s">
        <v>430</v>
      </c>
      <c r="B665" t="s">
        <v>431</v>
      </c>
      <c r="C665" t="s">
        <v>432</v>
      </c>
      <c r="D665" t="s">
        <v>433</v>
      </c>
      <c r="E665" t="s">
        <v>434</v>
      </c>
      <c r="F665" t="s">
        <v>435</v>
      </c>
      <c r="G665" t="s">
        <v>436</v>
      </c>
      <c r="H665" t="s">
        <v>254</v>
      </c>
      <c r="I665">
        <v>2000</v>
      </c>
      <c r="J665">
        <v>174</v>
      </c>
      <c r="K665" t="s">
        <v>437</v>
      </c>
      <c r="M665" t="str">
        <f>LEFT($D665,FIND(",",$D665)-1)&amp;"_"&amp;I665&amp;L665</f>
        <v>Borjesson_2000</v>
      </c>
      <c r="N665" t="s">
        <v>222</v>
      </c>
      <c r="O665" s="145" t="s">
        <v>223</v>
      </c>
      <c r="Q665" t="s">
        <v>256</v>
      </c>
      <c r="R665" s="255" t="s">
        <v>225</v>
      </c>
      <c r="S665" s="1" t="s">
        <v>438</v>
      </c>
      <c r="T665" t="s">
        <v>446</v>
      </c>
      <c r="U665" t="s">
        <v>448</v>
      </c>
      <c r="V665">
        <v>0</v>
      </c>
      <c r="W665">
        <v>0</v>
      </c>
      <c r="X665">
        <v>0</v>
      </c>
      <c r="Y665">
        <v>0</v>
      </c>
      <c r="Z665">
        <v>0</v>
      </c>
      <c r="AA665">
        <v>0</v>
      </c>
      <c r="AB665">
        <v>0</v>
      </c>
      <c r="AC665">
        <v>0</v>
      </c>
      <c r="AD665">
        <v>0</v>
      </c>
      <c r="AE665">
        <v>0</v>
      </c>
      <c r="AF665">
        <v>0</v>
      </c>
      <c r="AG665">
        <v>0</v>
      </c>
      <c r="AH665">
        <v>0</v>
      </c>
      <c r="AI665">
        <v>0</v>
      </c>
      <c r="AJ665">
        <v>0</v>
      </c>
      <c r="AK665">
        <v>1</v>
      </c>
      <c r="AL665">
        <v>0</v>
      </c>
      <c r="AM665">
        <v>0</v>
      </c>
      <c r="AN665">
        <v>0</v>
      </c>
      <c r="AO665">
        <v>0</v>
      </c>
      <c r="AP665">
        <v>0</v>
      </c>
      <c r="AQ665">
        <v>0</v>
      </c>
      <c r="AR665">
        <v>0</v>
      </c>
      <c r="AS665">
        <v>0</v>
      </c>
      <c r="AT665">
        <v>0</v>
      </c>
      <c r="AU665">
        <v>0</v>
      </c>
      <c r="AV665">
        <v>0</v>
      </c>
      <c r="AW665">
        <v>0</v>
      </c>
      <c r="AX665" s="141">
        <f>COUNTIF(V665:AW665,"&lt;&gt;0")</f>
        <v>1</v>
      </c>
      <c r="AY665" s="141">
        <f>COUNTIF(V665:AL665,"&lt;&gt;0")</f>
        <v>1</v>
      </c>
      <c r="AZ665">
        <f>COUNTIF(V665:AC665,"&lt;&gt;0")</f>
        <v>0</v>
      </c>
      <c r="BA665">
        <f>COUNTIF(AD665:AI665,"&lt;&gt;0")</f>
        <v>0</v>
      </c>
      <c r="BB665">
        <f>COUNTIF(AJ665:AL665,"&lt;&gt;0")</f>
        <v>1</v>
      </c>
      <c r="BC665">
        <f>COUNTIF(AS665:AW665,"&lt;&gt;0")</f>
        <v>0</v>
      </c>
      <c r="BD665">
        <f>COUNTIF(AM665:AR665,"&lt;&gt;0")</f>
        <v>0</v>
      </c>
      <c r="BE665" t="str">
        <f t="array" ref="BE665">IF(AY665=1,INDEX($V$7:$AL$7,MATCH(TRUE,INDEX($V665:$AW665&lt;&gt;0,),0)),IF(AY665=0,INDEX($AM$7:$AW$7,MATCH(1,$AM665:$AW665,0)),IF(BF665="Multiple strategies","mixed drivers",IF(BF665="Supply chain","multiple supply","multiple silviculture"))))</f>
        <v>technologies/design switch</v>
      </c>
      <c r="BF665" s="2" t="str" cm="1">
        <f t="array" ref="BF665">IF(COUNTIF(AZ665:BB665,"&lt;&gt;0")=1,INDEX($V$4:$AW$4,MATCH(TRUE,INDEX($V665:$AW665&lt;&gt;0,),0)),IF(COUNTIF(AZ665:BB665,"&lt;&gt;0")=0,INDEX($AM$4:$AW$4,MATCH(1,$AM665:$AW665,0)),"Multiple strategies"))</f>
        <v>Technology</v>
      </c>
      <c r="BG665" s="142" t="s">
        <v>229</v>
      </c>
      <c r="BH665" t="s">
        <v>441</v>
      </c>
      <c r="BI665" s="264" t="s">
        <v>3274</v>
      </c>
      <c r="BJ665" s="143" t="s">
        <v>442</v>
      </c>
      <c r="BK665">
        <v>0</v>
      </c>
      <c r="BL665">
        <f>3*44</f>
        <v>132</v>
      </c>
      <c r="BM665" s="143" t="e">
        <f>BL665/BK665</f>
        <v>#DIV/0!</v>
      </c>
      <c r="BN665">
        <f>BL665-BK665</f>
        <v>132</v>
      </c>
      <c r="BO665">
        <f>BN665*tC_to_m3</f>
        <v>573.16543638732094</v>
      </c>
      <c r="BP665" t="s">
        <v>232</v>
      </c>
      <c r="BQ665" s="260" t="s">
        <v>813</v>
      </c>
      <c r="BR665" t="s">
        <v>443</v>
      </c>
      <c r="BS665" s="141">
        <v>18</v>
      </c>
      <c r="BT665" s="141">
        <v>53</v>
      </c>
      <c r="BU665" s="144">
        <f>IFERROR(BT665/BS665,"")</f>
        <v>2.9444444444444446</v>
      </c>
      <c r="BV665">
        <f>BT665-BS665</f>
        <v>35</v>
      </c>
      <c r="BX665">
        <f>BV665*C_to_CO2</f>
        <v>128.44999999999999</v>
      </c>
      <c r="BY665">
        <f>IFERROR(BX665/BO665,"")</f>
        <v>0.22410632575757572</v>
      </c>
      <c r="BZ665" s="143">
        <v>0</v>
      </c>
      <c r="CA665" s="143">
        <v>0</v>
      </c>
      <c r="CB665" s="143">
        <v>0</v>
      </c>
      <c r="CC665" s="143">
        <v>0</v>
      </c>
      <c r="CD665" s="143">
        <v>0</v>
      </c>
      <c r="CE665" s="143">
        <v>0</v>
      </c>
      <c r="CF665" s="143">
        <v>0</v>
      </c>
      <c r="CG665" s="143">
        <v>0</v>
      </c>
      <c r="CH665" s="143">
        <v>0</v>
      </c>
      <c r="CI665" s="143">
        <v>0</v>
      </c>
      <c r="CJ665" s="143">
        <v>0</v>
      </c>
      <c r="CK665" s="143">
        <v>0</v>
      </c>
      <c r="CL665" s="143">
        <v>0</v>
      </c>
      <c r="CM665">
        <v>0</v>
      </c>
      <c r="CN665" t="str">
        <f>IF($BL665&lt;$BK665,"refNeedCorrection","refOK")</f>
        <v>refOK</v>
      </c>
      <c r="CO665">
        <f>IF($CN665="refOK",$BK665,$BL665)</f>
        <v>0</v>
      </c>
      <c r="CP665">
        <f>IF($CN665="refOK",$BL665,$BK665)</f>
        <v>132</v>
      </c>
      <c r="CQ665">
        <f>IF($CN665="refOK",$BO665,-$BO665)</f>
        <v>573.16543638732094</v>
      </c>
      <c r="CR665">
        <f>IF($CN665="refOK",$BS665,$BT665)*IF($BP665="Emissions positive",-1,1)</f>
        <v>18</v>
      </c>
      <c r="CS665">
        <f>IF($CN665="refOK",$BT665,$BS665)*IF($BP665="Emissions positive",-1,1)</f>
        <v>53</v>
      </c>
      <c r="CT665">
        <f>IF($CN665="refNeedCorrection",-BX665,BX665)*IF($BP665="Emissions positive",-1,1)</f>
        <v>128.44999999999999</v>
      </c>
      <c r="CU665">
        <f>IFERROR(CT665/CQ665,"")</f>
        <v>0.22410632575757572</v>
      </c>
      <c r="CV665" s="2">
        <f>IFERROR((CS665-CR665)/ABS(CR665),"")</f>
        <v>1.9444444444444444</v>
      </c>
      <c r="CW665" s="1" t="s">
        <v>263</v>
      </c>
      <c r="CX665" t="str">
        <f>IF(OR($CW665="prd",$CW665="std",$CW665="cit"),"loc",IF(OR($CW665="eur",$CW665="reg",$CW665="coy"),"reg",$CW665))</f>
        <v>loc</v>
      </c>
      <c r="CY665" t="s">
        <v>444</v>
      </c>
      <c r="DB665">
        <v>300</v>
      </c>
      <c r="DC665" t="str">
        <f>IF(DB665=0,"0",IF(AND(DB665&gt;=1,DB665&lt;=30),"1-30",IF(AND(DB665&gt;30,DB665&lt;=70),"31-70",IF(AND(DB665&gt;70,DB665&lt;=100),"71-100",IF(DB665&gt;100,"+100")))))</f>
        <v>+100</v>
      </c>
      <c r="DD665">
        <v>0</v>
      </c>
      <c r="DE665">
        <v>0</v>
      </c>
      <c r="DF665">
        <v>0</v>
      </c>
      <c r="DG665">
        <v>1</v>
      </c>
      <c r="DI665">
        <f>SUM(DD665:DG665)</f>
        <v>1</v>
      </c>
      <c r="DJ665" t="str">
        <f>IF(DI665=1,INDEX($DD$7:$DG$7,MATCH(1,$DD665:$DG665,0)),"mixedProduct")</f>
        <v>TimberInput</v>
      </c>
      <c r="DK665">
        <f>IF(DD665=1,DK$7,0)</f>
        <v>0</v>
      </c>
      <c r="DL665">
        <f>IF(DE665=1,DL$7,0)</f>
        <v>0</v>
      </c>
      <c r="DM665">
        <f>IF(DF665=1,DM$7,0)</f>
        <v>0</v>
      </c>
      <c r="DN665" t="str">
        <f>IF(DG665=1,DN$7,0)</f>
        <v>Timber</v>
      </c>
      <c r="DO665">
        <v>1</v>
      </c>
      <c r="DP665" s="143">
        <v>0</v>
      </c>
      <c r="DQ665" s="143">
        <v>0</v>
      </c>
      <c r="DR665" s="143">
        <v>0</v>
      </c>
      <c r="DS665">
        <v>0</v>
      </c>
      <c r="DT665">
        <f>SUM(DO665:DP665)</f>
        <v>1</v>
      </c>
      <c r="DU665" s="143" t="str">
        <f>IF(DO665=1,"self-calculated DF",IF(DP665=1,"external DF used","explicit C balance"))</f>
        <v>self-calculated DF</v>
      </c>
      <c r="DV665">
        <v>0</v>
      </c>
      <c r="DW665" s="143">
        <v>0</v>
      </c>
      <c r="DX665" s="143">
        <v>1</v>
      </c>
      <c r="DY665" s="143">
        <v>1</v>
      </c>
      <c r="DZ665">
        <v>1</v>
      </c>
      <c r="EA665" s="143">
        <v>1</v>
      </c>
      <c r="EB665">
        <v>0</v>
      </c>
      <c r="EC665" s="143">
        <v>1</v>
      </c>
      <c r="ED665" s="143">
        <v>0</v>
      </c>
      <c r="EE665">
        <v>0</v>
      </c>
      <c r="EF665">
        <v>0</v>
      </c>
      <c r="EG665" s="143">
        <v>0</v>
      </c>
      <c r="EH665" s="143">
        <v>0</v>
      </c>
      <c r="EI665" s="2">
        <v>0</v>
      </c>
      <c r="EK665" t="str">
        <f>IF(AND(AND(AND(OR($DX665=1,$DW665=1),OR($EC665=1,$EA665=1)),SUM($DV665:$DZ665,$EF665)&gt;=4),SUM($EA665:$EE665)&gt;=2),"Whole sector","")</f>
        <v/>
      </c>
      <c r="EL665" t="str">
        <f>IF(AND(AND(OR($DX665=1,$DW665=1),AND($EC665=0,$EA665=0)),SUM($DV665:$DZ665,$EF665)&gt;=4),"Ecosystem approach","")</f>
        <v/>
      </c>
      <c r="EM665" s="2" t="str">
        <f>IF(AND(AND(AND($DX665=0,$DW665=0),OR($EC665=1,$EA665=1)),SUM($EB665:$EE665)&gt;=2),"Technology approach","")</f>
        <v/>
      </c>
      <c r="EN665" t="s">
        <v>445</v>
      </c>
      <c r="EP665" t="str">
        <f>IF(ISNUMBER(BU665),IF(ABS(BU665-[4]QC_indicators!$B$2)&gt;3*[4]QC_indicators!$C$2,"C ratio",IF(ISNUMBER(BY665),IF(ABS(BY665-[4]QC_indicators!$B$1)&gt;3*[4]QC_indicators!$C$1,"DF","no"))),IF(ISNUMBER(BY665),IF(ABS(BY665-[4]QC_indicators!$B$1)&gt;3*[4]QC_indicators!$C$1,"DF","no")))</f>
        <v>no</v>
      </c>
      <c r="ET665" s="264" t="s">
        <v>3273</v>
      </c>
    </row>
    <row r="666" spans="1:150" ht="15" customHeight="1">
      <c r="A666" s="1" t="s">
        <v>562</v>
      </c>
      <c r="B666" t="s">
        <v>544</v>
      </c>
      <c r="C666" t="s">
        <v>1593</v>
      </c>
      <c r="D666" t="s">
        <v>1594</v>
      </c>
      <c r="E666" t="s">
        <v>1595</v>
      </c>
      <c r="F666" t="s">
        <v>1596</v>
      </c>
      <c r="G666" t="s">
        <v>567</v>
      </c>
      <c r="H666" t="s">
        <v>254</v>
      </c>
      <c r="I666">
        <v>2019</v>
      </c>
      <c r="J666">
        <v>15</v>
      </c>
      <c r="K666" t="s">
        <v>1597</v>
      </c>
      <c r="M666" t="str">
        <f>LEFT($D666,FIND(",",$D666)-1)&amp;"_"&amp;I666&amp;L666</f>
        <v>Geng_2019</v>
      </c>
      <c r="N666" t="s">
        <v>222</v>
      </c>
      <c r="O666" s="181" t="s">
        <v>225</v>
      </c>
      <c r="Q666" s="264" t="s">
        <v>256</v>
      </c>
      <c r="R666" s="269" t="s">
        <v>1154</v>
      </c>
      <c r="S666" s="1" t="s">
        <v>1598</v>
      </c>
      <c r="T666" t="s">
        <v>1606</v>
      </c>
      <c r="V666">
        <v>0</v>
      </c>
      <c r="W666">
        <v>0</v>
      </c>
      <c r="X666">
        <v>0</v>
      </c>
      <c r="Y666">
        <v>0</v>
      </c>
      <c r="Z666">
        <v>0</v>
      </c>
      <c r="AA666">
        <v>0</v>
      </c>
      <c r="AB666">
        <v>0</v>
      </c>
      <c r="AC666">
        <v>0</v>
      </c>
      <c r="AD666">
        <v>0</v>
      </c>
      <c r="AE666">
        <v>0</v>
      </c>
      <c r="AF666">
        <v>0</v>
      </c>
      <c r="AG666">
        <v>0</v>
      </c>
      <c r="AH666">
        <v>0</v>
      </c>
      <c r="AI666">
        <v>0</v>
      </c>
      <c r="AJ666">
        <v>0</v>
      </c>
      <c r="AK666">
        <v>1</v>
      </c>
      <c r="AL666">
        <v>0</v>
      </c>
      <c r="AM666">
        <v>0</v>
      </c>
      <c r="AN666">
        <v>0</v>
      </c>
      <c r="AO666">
        <v>0</v>
      </c>
      <c r="AP666">
        <v>0</v>
      </c>
      <c r="AQ666">
        <v>0</v>
      </c>
      <c r="AR666">
        <v>0</v>
      </c>
      <c r="AS666">
        <v>0</v>
      </c>
      <c r="AT666">
        <v>0</v>
      </c>
      <c r="AU666">
        <v>0</v>
      </c>
      <c r="AV666">
        <v>0</v>
      </c>
      <c r="AW666">
        <v>0</v>
      </c>
      <c r="AX666" s="141">
        <f>COUNTIF(V666:AW666,"&lt;&gt;0")</f>
        <v>1</v>
      </c>
      <c r="AY666" s="141">
        <f>COUNTIF(V666:AL666,"&lt;&gt;0")</f>
        <v>1</v>
      </c>
      <c r="AZ666">
        <f>COUNTIF(V666:AC666,"&lt;&gt;0")</f>
        <v>0</v>
      </c>
      <c r="BA666">
        <f>COUNTIF(AD666:AI666,"&lt;&gt;0")</f>
        <v>0</v>
      </c>
      <c r="BB666">
        <f>COUNTIF(AJ666:AL666,"&lt;&gt;0")</f>
        <v>1</v>
      </c>
      <c r="BC666">
        <f>COUNTIF(AS666:AW666,"&lt;&gt;0")</f>
        <v>0</v>
      </c>
      <c r="BD666">
        <f>COUNTIF(AM666:AR666,"&lt;&gt;0")</f>
        <v>0</v>
      </c>
      <c r="BE666" t="str" cm="1">
        <f t="array" ref="BE666">IF(AY666=1,INDEX($V$7:$AL$7,MATCH(TRUE,INDEX($V666:$AW666&lt;&gt;0,),0)),IF(AY666=0,INDEX($AM$7:$AW$7,MATCH(1,$AM666:$AW666,0)),IF(BF666="Multiple strategies","mixed drivers",IF(BF666="Supply chain","multiple supply","multiple silviculture"))))</f>
        <v>technologies/design switch</v>
      </c>
      <c r="BF666" s="2" t="str" cm="1">
        <f t="array" ref="BF666">IF(COUNTIF(AZ666:BB666,"&lt;&gt;0")=1,INDEX($V$4:$AW$4,MATCH(TRUE,INDEX($V666:$AW666&lt;&gt;0,),0)),IF(COUNTIF(AZ666:BB666,"&lt;&gt;0")=0,INDEX($AM$4:$AW$4,MATCH(1,$AM666:$AW666,0)),"Multiple strategies"))</f>
        <v>Technology</v>
      </c>
      <c r="BG666" s="1" t="s">
        <v>229</v>
      </c>
      <c r="BH666" t="s">
        <v>1600</v>
      </c>
      <c r="BJ666" t="s">
        <v>1601</v>
      </c>
      <c r="BK666">
        <v>259.45</v>
      </c>
      <c r="BL666">
        <v>286.64999999999998</v>
      </c>
      <c r="BM666">
        <f>BL666/BK666</f>
        <v>1.104837155521295</v>
      </c>
      <c r="BN666">
        <f>BL666-BK666</f>
        <v>27.199999999999989</v>
      </c>
      <c r="BO666">
        <f>BN666*kg_to_m3</f>
        <v>5.5510204081632632E-2</v>
      </c>
      <c r="BP666" t="s">
        <v>232</v>
      </c>
      <c r="BR666" t="s">
        <v>1602</v>
      </c>
      <c r="BU666" s="144" t="str">
        <f>IFERROR(BT666/BS666,"")</f>
        <v/>
      </c>
      <c r="BV666">
        <v>12.97</v>
      </c>
      <c r="BX666">
        <f>BV666/1000</f>
        <v>1.2970000000000001E-2</v>
      </c>
      <c r="BY666">
        <f>IFERROR(BX666/BO666,"")</f>
        <v>0.23365073529411776</v>
      </c>
      <c r="BZ666">
        <v>0</v>
      </c>
      <c r="CA666">
        <v>0</v>
      </c>
      <c r="CB666">
        <v>0</v>
      </c>
      <c r="CC666">
        <v>0</v>
      </c>
      <c r="CD666">
        <v>0</v>
      </c>
      <c r="CE666">
        <v>0</v>
      </c>
      <c r="CF666">
        <v>0</v>
      </c>
      <c r="CG666">
        <v>0</v>
      </c>
      <c r="CH666">
        <v>0</v>
      </c>
      <c r="CI666">
        <v>0</v>
      </c>
      <c r="CJ666">
        <v>0</v>
      </c>
      <c r="CK666">
        <v>0</v>
      </c>
      <c r="CL666">
        <v>0</v>
      </c>
      <c r="CM666">
        <v>0</v>
      </c>
      <c r="CN666" t="str">
        <f>IF(BL666&lt;BK666,"refNeedCorrection","refOK")</f>
        <v>refOK</v>
      </c>
      <c r="CO666">
        <f>IF($CN666="refOK",$BK666,$BL666)</f>
        <v>259.45</v>
      </c>
      <c r="CP666">
        <f>IF($CN666="refOK",$BL666,$BK666)</f>
        <v>286.64999999999998</v>
      </c>
      <c r="CQ666">
        <f>IF($CN666="refOK",$BO666,-$BO666)</f>
        <v>5.5510204081632632E-2</v>
      </c>
      <c r="CR666">
        <f>IF($CN666="refOK",$BS666,$BT666)*IF($BP666="Emissions positive",-1,1)</f>
        <v>0</v>
      </c>
      <c r="CS666">
        <f>IF($CN666="refOK",$BT666,$BS666)*IF($BP666="Emissions positive",-1,1)</f>
        <v>0</v>
      </c>
      <c r="CT666">
        <f>IF($CN666="refNeedCorrection",-BX666,BX666)*IF($BP666="Emissions positive",-1,1)</f>
        <v>1.2970000000000001E-2</v>
      </c>
      <c r="CU666">
        <f>IFERROR(CT666/CQ666,"")</f>
        <v>0.23365073529411776</v>
      </c>
      <c r="CV666" s="2" t="str">
        <f>IFERROR((CS666-CR666)/ABS(CR666),"")</f>
        <v/>
      </c>
      <c r="CW666" s="1" t="s">
        <v>1203</v>
      </c>
      <c r="CX666" s="264" t="str">
        <f>IF(OR($CW666="prd",$CW666="std",$CW666="cit"),"loc",IF(OR($CW666="eur",$CW666="reg",$CW666="coy"),"reg",$CW666))</f>
        <v>reg</v>
      </c>
      <c r="CY666" t="s">
        <v>690</v>
      </c>
      <c r="CZ666">
        <v>2019</v>
      </c>
      <c r="DB666">
        <v>0</v>
      </c>
      <c r="DC666" t="str">
        <f>IF(DB666=0,"0",IF(AND(DB666&gt;=1,DB666&lt;=30),"1-30",IF(AND(DB666&gt;30,DB666&lt;=70),"31-70",IF(AND(DB666&gt;70,DB666&lt;=100),"71-100",IF(DB666&gt;100,"+100")))))</f>
        <v>0</v>
      </c>
      <c r="DD666">
        <v>0</v>
      </c>
      <c r="DE666">
        <v>0</v>
      </c>
      <c r="DF666">
        <v>0</v>
      </c>
      <c r="DG666">
        <v>1</v>
      </c>
      <c r="DI666">
        <f>SUM(DD666:DG666)</f>
        <v>1</v>
      </c>
      <c r="DJ666" t="str">
        <f>IF(DI666=1,INDEX($DD$7:$DG$7,MATCH(1,$DD666:$DG666,0)),"mixedProduct")</f>
        <v>TimberInput</v>
      </c>
      <c r="DK666">
        <f>IF(DD666=1,DK$7,0)</f>
        <v>0</v>
      </c>
      <c r="DL666">
        <f>IF(DE666=1,DL$7,0)</f>
        <v>0</v>
      </c>
      <c r="DM666">
        <f>IF(DF666=1,DM$7,0)</f>
        <v>0</v>
      </c>
      <c r="DN666" t="str">
        <f>IF(DG666=1,DN$7,0)</f>
        <v>Timber</v>
      </c>
      <c r="DO666">
        <v>1</v>
      </c>
      <c r="DP666">
        <v>0</v>
      </c>
      <c r="DQ666">
        <v>0</v>
      </c>
      <c r="DR666">
        <v>0</v>
      </c>
      <c r="DS666">
        <v>0</v>
      </c>
      <c r="DT666">
        <f>SUM(DO666:DP666)</f>
        <v>1</v>
      </c>
      <c r="DU666" s="143" t="str">
        <f>IF(DO666=1,"self-calculated DF",IF(DP666=1,"external DF used","explicit C balance"))</f>
        <v>self-calculated DF</v>
      </c>
      <c r="DV666">
        <v>0</v>
      </c>
      <c r="DW666">
        <v>0</v>
      </c>
      <c r="DX666">
        <v>0</v>
      </c>
      <c r="DY666">
        <v>0</v>
      </c>
      <c r="DZ666">
        <v>0</v>
      </c>
      <c r="EA666" s="143">
        <v>1</v>
      </c>
      <c r="EB666">
        <v>0</v>
      </c>
      <c r="EC666">
        <v>1</v>
      </c>
      <c r="ED666">
        <v>0</v>
      </c>
      <c r="EE666">
        <v>0</v>
      </c>
      <c r="EF666">
        <v>0</v>
      </c>
      <c r="EG666">
        <v>0</v>
      </c>
      <c r="EH666">
        <v>0</v>
      </c>
      <c r="EI666" s="2">
        <v>0</v>
      </c>
      <c r="EK666" t="str">
        <f>IF(AND(AND(AND(OR($DX666=1,$DW666=1),OR($EC666=1,$EA666=1)),SUM($DV666:$DZ666,$EF666)&gt;=4),SUM($EA666:$EE666)&gt;=2),"Whole sector","")</f>
        <v/>
      </c>
      <c r="EL666" t="str">
        <f>IF(AND(AND(OR($DX666=1,$DW666=1),AND($EC666=0,$EA666=0)),SUM($DV666:$DZ666,$EF666)&gt;=4),"Ecosystem approach","")</f>
        <v/>
      </c>
      <c r="EM666" s="2" t="str">
        <f>IF(AND(AND(AND($DX666=0,$DW666=0),OR($EC666=1,$EA666=1)),SUM($EB666:$EE666)&gt;=2),"Technology approach","")</f>
        <v/>
      </c>
      <c r="EN666" t="s">
        <v>1603</v>
      </c>
      <c r="EP666" t="str">
        <f>IF(ISNUMBER(BU666),IF(ABS(BU666-[3]QC_indicators!$B$2)&gt;3*[3]QC_indicators!$C$2,"C ratio",IF(ISNUMBER(BY666),IF(ABS(BY666-[3]QC_indicators!$B$1)&gt;3*[3]QC_indicators!$C$1,"DF","no"))),IF(ISNUMBER(BY666),IF(ABS(BY666-[3]QC_indicators!$B$1)&gt;3*[3]QC_indicators!$C$1,"DF","no")))</f>
        <v>no</v>
      </c>
      <c r="ER666" t="s">
        <v>1604</v>
      </c>
      <c r="ET666" s="264" t="s">
        <v>3407</v>
      </c>
    </row>
    <row r="667" spans="1:150" ht="15" customHeight="1">
      <c r="A667" s="174" t="s">
        <v>1286</v>
      </c>
      <c r="B667" s="141" t="s">
        <v>1287</v>
      </c>
      <c r="C667" s="141" t="s">
        <v>1288</v>
      </c>
      <c r="D667" s="141" t="s">
        <v>1289</v>
      </c>
      <c r="E667" s="141" t="s">
        <v>1290</v>
      </c>
      <c r="F667" s="141" t="s">
        <v>1291</v>
      </c>
      <c r="G667" s="141" t="s">
        <v>1292</v>
      </c>
      <c r="H667" s="141"/>
      <c r="I667" s="141">
        <v>2019</v>
      </c>
      <c r="J667" s="141"/>
      <c r="K667" s="141" t="s">
        <v>1293</v>
      </c>
      <c r="L667" s="141"/>
      <c r="M667" t="str">
        <f>LEFT($D667,FIND(",",$D667)-1)&amp;"_"&amp;I667&amp;L667</f>
        <v>Bosch_2019</v>
      </c>
      <c r="N667" t="s">
        <v>222</v>
      </c>
      <c r="O667" s="175" t="s">
        <v>225</v>
      </c>
      <c r="P667" s="141" t="s">
        <v>223</v>
      </c>
      <c r="Q667" s="264" t="s">
        <v>224</v>
      </c>
      <c r="R667" s="269" t="s">
        <v>1154</v>
      </c>
      <c r="S667" s="174" t="s">
        <v>1307</v>
      </c>
      <c r="T667" s="141" t="s">
        <v>1308</v>
      </c>
      <c r="U667" s="141" t="s">
        <v>1296</v>
      </c>
      <c r="V667" s="141">
        <v>0</v>
      </c>
      <c r="W667" s="141">
        <v>0</v>
      </c>
      <c r="X667" s="141">
        <v>1</v>
      </c>
      <c r="Y667" s="141">
        <v>0</v>
      </c>
      <c r="Z667" s="141">
        <v>0</v>
      </c>
      <c r="AA667" s="141">
        <v>0</v>
      </c>
      <c r="AB667" s="141">
        <v>0</v>
      </c>
      <c r="AC667" s="141">
        <v>0</v>
      </c>
      <c r="AD667" s="141">
        <v>0</v>
      </c>
      <c r="AE667" s="141">
        <v>0</v>
      </c>
      <c r="AF667" s="141">
        <v>0</v>
      </c>
      <c r="AG667" s="141">
        <v>0</v>
      </c>
      <c r="AH667" s="141">
        <v>0</v>
      </c>
      <c r="AI667" s="141">
        <v>0</v>
      </c>
      <c r="AJ667" s="141">
        <v>0</v>
      </c>
      <c r="AK667" s="141">
        <v>0</v>
      </c>
      <c r="AL667" s="141">
        <v>0</v>
      </c>
      <c r="AM667" s="141">
        <v>0</v>
      </c>
      <c r="AN667" s="141">
        <v>0</v>
      </c>
      <c r="AO667" s="141">
        <v>0</v>
      </c>
      <c r="AP667" s="141">
        <v>0</v>
      </c>
      <c r="AQ667" s="141">
        <v>0</v>
      </c>
      <c r="AR667" s="141">
        <v>0</v>
      </c>
      <c r="AS667" s="141">
        <v>0</v>
      </c>
      <c r="AT667" s="141">
        <v>0</v>
      </c>
      <c r="AU667" s="141">
        <v>0</v>
      </c>
      <c r="AV667" s="141">
        <v>0</v>
      </c>
      <c r="AW667" s="141">
        <v>0</v>
      </c>
      <c r="AX667" s="141">
        <f>COUNTIF(V667:AW667,"&lt;&gt;0")</f>
        <v>1</v>
      </c>
      <c r="AY667" s="141">
        <f>COUNTIF(V667:AL667,"&lt;&gt;0")</f>
        <v>1</v>
      </c>
      <c r="AZ667">
        <f>COUNTIF(V667:AC667,"&lt;&gt;0")</f>
        <v>1</v>
      </c>
      <c r="BA667">
        <f>COUNTIF(AD667:AI667,"&lt;&gt;0")</f>
        <v>0</v>
      </c>
      <c r="BB667">
        <f>COUNTIF(AJ667:AL667,"&lt;&gt;0")</f>
        <v>0</v>
      </c>
      <c r="BC667">
        <f>COUNTIF(AS667:AW667,"&lt;&gt;0")</f>
        <v>0</v>
      </c>
      <c r="BD667">
        <f>COUNTIF(AM667:AR667,"&lt;&gt;0")</f>
        <v>0</v>
      </c>
      <c r="BE667" t="str" cm="1">
        <f t="array" ref="BE667">IF(AY667=1,INDEX($V$7:$AL$7,MATCH(TRUE,INDEX($V667:$AW667&lt;&gt;0,),0)),IF(AY667=0,INDEX($AM$7:$AW$7,MATCH(1,$AM667:$AW667,0)),IF(BF667="Multiple strategies","mixed drivers",IF(BF667="Supply chain","multiple supply","multiple silviculture"))))</f>
        <v>rotation length</v>
      </c>
      <c r="BF667" s="2" t="str" cm="1">
        <f t="array" ref="BF667">IF(COUNTIF(AZ667:BB667,"&lt;&gt;0")=1,INDEX($V$4:$AW$4,MATCH(TRUE,INDEX($V667:$AW667&lt;&gt;0,),0)),IF(COUNTIF(AZ667:BB667,"&lt;&gt;0")=0,INDEX($AM$4:$AW$4,MATCH(1,$AM667:$AW667,0)),"Multiple strategies"))</f>
        <v>Silviculture for removals</v>
      </c>
      <c r="BG667" s="173" t="s">
        <v>321</v>
      </c>
      <c r="BH667" s="141" t="s">
        <v>1297</v>
      </c>
      <c r="BI667" s="141" t="s">
        <v>1298</v>
      </c>
      <c r="BJ667" s="163" t="s">
        <v>1299</v>
      </c>
      <c r="BK667" s="176">
        <v>2167</v>
      </c>
      <c r="BL667" s="163">
        <v>2405</v>
      </c>
      <c r="BM667" s="163">
        <f>BL667/BK667</f>
        <v>1.1098292570373789</v>
      </c>
      <c r="BN667">
        <f>BL667-BK667</f>
        <v>238</v>
      </c>
      <c r="BO667" s="158">
        <f>BN667*10^6</f>
        <v>238000000</v>
      </c>
      <c r="BP667" s="264" t="s">
        <v>395</v>
      </c>
      <c r="BQ667" s="264" t="s">
        <v>701</v>
      </c>
      <c r="BR667" s="151" t="s">
        <v>1300</v>
      </c>
      <c r="BS667" s="163"/>
      <c r="BT667" s="141"/>
      <c r="BU667" s="144"/>
      <c r="BV667" s="176">
        <v>-56</v>
      </c>
      <c r="BX667">
        <f>BV667*10^6</f>
        <v>-56000000</v>
      </c>
      <c r="BY667">
        <f>IFERROR(BX667/BO667,"")</f>
        <v>-0.23529411764705882</v>
      </c>
      <c r="BZ667" s="141">
        <v>0</v>
      </c>
      <c r="CA667" s="141">
        <v>0</v>
      </c>
      <c r="CB667" s="141">
        <v>0</v>
      </c>
      <c r="CC667" s="141">
        <v>0</v>
      </c>
      <c r="CD667" s="141">
        <v>0</v>
      </c>
      <c r="CE667" s="141">
        <v>0</v>
      </c>
      <c r="CF667" s="141">
        <v>0</v>
      </c>
      <c r="CG667" s="141">
        <v>0</v>
      </c>
      <c r="CH667" s="141">
        <v>0</v>
      </c>
      <c r="CI667" s="141">
        <v>0</v>
      </c>
      <c r="CJ667" s="141">
        <v>0</v>
      </c>
      <c r="CK667" s="141">
        <v>0</v>
      </c>
      <c r="CL667" s="141">
        <v>0</v>
      </c>
      <c r="CM667" s="141">
        <v>1</v>
      </c>
      <c r="CN667" t="str">
        <f>IF(BL667&lt;BK667,"refNeedCorrection","refOK")</f>
        <v>refOK</v>
      </c>
      <c r="CO667">
        <f>IF($CN667="refOK",$BK667,$BL667)</f>
        <v>2167</v>
      </c>
      <c r="CP667">
        <f>IF($CN667="refOK",$BL667,$BK667)</f>
        <v>2405</v>
      </c>
      <c r="CQ667">
        <f>IF($CN667="refOK",$BO667,-$BO667)</f>
        <v>238000000</v>
      </c>
      <c r="CR667">
        <f>IF($CN667="refOK",$BS667,$BT667)*IF($BP667="Emissions positive",-1,1)</f>
        <v>0</v>
      </c>
      <c r="CS667">
        <f>IF($CN667="refOK",$BT667,$BS667)*IF($BP667="Emissions positive",-1,1)</f>
        <v>0</v>
      </c>
      <c r="CT667">
        <f>IF($CN667="refNeedCorrection",-BX667,BX667)*IF($BP667="Emissions positive",-1,1)</f>
        <v>56000000</v>
      </c>
      <c r="CU667">
        <f>IFERROR(CT667/CQ667,"")</f>
        <v>0.23529411764705882</v>
      </c>
      <c r="CV667" s="2" t="str">
        <f>IFERROR((CS667-CR667)/ABS(CR667),"")</f>
        <v/>
      </c>
      <c r="CW667" s="174" t="s">
        <v>1203</v>
      </c>
      <c r="CX667" s="264" t="str">
        <f>IF(OR($CW667="prd",$CW667="std",$CW667="cit"),"loc",IF(OR($CW667="eur",$CW667="reg",$CW667="coy"),"reg",$CW667))</f>
        <v>reg</v>
      </c>
      <c r="CY667" s="141" t="s">
        <v>1301</v>
      </c>
      <c r="CZ667" s="141">
        <v>2016</v>
      </c>
      <c r="DA667" s="163">
        <v>2046</v>
      </c>
      <c r="DB667" s="163">
        <v>30</v>
      </c>
      <c r="DC667" t="str">
        <f>IF(DB667=0,"0",IF(AND(DB667&gt;=1,DB667&lt;=30),"1-30",IF(AND(DB667&gt;30,DB667&lt;=70),"31-70",IF(AND(DB667&gt;70,DB667&lt;=100),"71-100",IF(DB667&gt;100,"+100")))))</f>
        <v>1-30</v>
      </c>
      <c r="DD667" s="141">
        <v>1</v>
      </c>
      <c r="DE667" s="141">
        <v>1</v>
      </c>
      <c r="DF667" s="141">
        <v>0</v>
      </c>
      <c r="DG667" s="141">
        <v>1</v>
      </c>
      <c r="DI667">
        <f>SUM(DD667:DG667)</f>
        <v>3</v>
      </c>
      <c r="DJ667" t="str">
        <f>IF(DI667=1,INDEX($DD$7:$DG$7,MATCH(1,$DD667:$DG667,0)),"mixedProduct")</f>
        <v>mixedProduct</v>
      </c>
      <c r="DK667" t="str">
        <f>IF(DD667=1,DK$7,0)</f>
        <v>Upstream</v>
      </c>
      <c r="DL667" t="str">
        <f>IF(DE667=1,DL$7,0)</f>
        <v>Energy</v>
      </c>
      <c r="DM667">
        <f>IF(DF667=1,DM$7,0)</f>
        <v>0</v>
      </c>
      <c r="DN667" t="str">
        <f>IF(DG667=1,DN$7,0)</f>
        <v>Timber</v>
      </c>
      <c r="DO667" s="163">
        <v>0</v>
      </c>
      <c r="DP667" s="141">
        <v>0</v>
      </c>
      <c r="DQ667" s="163">
        <v>0</v>
      </c>
      <c r="DR667" s="163">
        <v>0</v>
      </c>
      <c r="DS667" s="163">
        <v>0</v>
      </c>
      <c r="DT667">
        <f>SUM(DO667:DP667)</f>
        <v>0</v>
      </c>
      <c r="DU667" s="143" t="str">
        <f>IF(DO667=1,"self-calculated DF",IF(DP667=1,"external DF used","explicit C balance"))</f>
        <v>explicit C balance</v>
      </c>
      <c r="DV667" s="163">
        <v>0</v>
      </c>
      <c r="DW667" s="141">
        <v>0</v>
      </c>
      <c r="DX667" s="163">
        <v>0</v>
      </c>
      <c r="DY667" s="163">
        <v>1</v>
      </c>
      <c r="DZ667" s="141">
        <v>0</v>
      </c>
      <c r="EA667" s="141">
        <v>0</v>
      </c>
      <c r="EB667" s="143">
        <v>0</v>
      </c>
      <c r="EC667" s="141">
        <v>0</v>
      </c>
      <c r="ED667" s="143">
        <v>0</v>
      </c>
      <c r="EE667" s="143">
        <v>0</v>
      </c>
      <c r="EF667" s="141">
        <v>1</v>
      </c>
      <c r="EG667" s="163">
        <v>0</v>
      </c>
      <c r="EH667" s="141">
        <v>0</v>
      </c>
      <c r="EI667" s="177">
        <v>0</v>
      </c>
      <c r="EK667" t="str">
        <f>IF(AND(AND(AND(OR($DX667=1,$DW667=1),OR($EC667=1,$EA667=1)),SUM($DV667:$DZ667,$EF667)&gt;=4),SUM($EA667:$EE667)&gt;=2),"Whole sector","")</f>
        <v/>
      </c>
      <c r="EL667" t="str">
        <f>IF(AND(AND(OR($DX667=1,$DW667=1),AND($EC667=0,$EA667=0)),SUM($DV667:$DZ667,$EF667)&gt;=4),"Ecosystem approach","")</f>
        <v/>
      </c>
      <c r="EM667" s="2" t="str">
        <f>IF(AND(AND(AND($DX667=0,$DW667=0),OR($EC667=1,$EA667=1)),SUM($EB667:$EE667)&gt;=2),"Technology approach","")</f>
        <v/>
      </c>
      <c r="EN667" s="141"/>
      <c r="EP667" t="str">
        <f>IF(ISNUMBER(BU667),IF(ABS(BU667-[3]QC_indicators!$B$2)&gt;3*[3]QC_indicators!$C$2,"C ratio",IF(ISNUMBER(BY667),IF(ABS(BY667-[3]QC_indicators!$B$1)&gt;3*[3]QC_indicators!$C$1,"DF","no"))),IF(ISNUMBER(BY667),IF(ABS(BY667-[3]QC_indicators!$B$1)&gt;3*[3]QC_indicators!$C$1,"DF","no")))</f>
        <v>no</v>
      </c>
      <c r="ER667" s="294" t="s">
        <v>1302</v>
      </c>
      <c r="ET667" s="264" t="s">
        <v>3407</v>
      </c>
    </row>
    <row r="668" spans="1:150" ht="15" customHeight="1">
      <c r="A668" s="1" t="s">
        <v>265</v>
      </c>
      <c r="B668" t="s">
        <v>266</v>
      </c>
      <c r="C668" t="s">
        <v>267</v>
      </c>
      <c r="D668" t="s">
        <v>268</v>
      </c>
      <c r="E668" t="s">
        <v>269</v>
      </c>
      <c r="F668" t="s">
        <v>270</v>
      </c>
      <c r="G668" t="s">
        <v>271</v>
      </c>
      <c r="H668" t="s">
        <v>254</v>
      </c>
      <c r="I668">
        <v>2022</v>
      </c>
      <c r="J668">
        <v>0</v>
      </c>
      <c r="K668" t="s">
        <v>272</v>
      </c>
      <c r="M668" t="str">
        <f>LEFT($D668,FIND(",",$D668)-1)&amp;"_"&amp;I668&amp;L668</f>
        <v>Aryapratama_2022</v>
      </c>
      <c r="N668" t="s">
        <v>222</v>
      </c>
      <c r="O668" s="145" t="s">
        <v>274</v>
      </c>
      <c r="Q668" t="s">
        <v>224</v>
      </c>
      <c r="R668" s="262" t="s">
        <v>223</v>
      </c>
      <c r="S668" s="263" t="s">
        <v>3105</v>
      </c>
      <c r="T668" t="s">
        <v>302</v>
      </c>
      <c r="U668" t="s">
        <v>303</v>
      </c>
      <c r="V668">
        <v>0</v>
      </c>
      <c r="W668">
        <v>0</v>
      </c>
      <c r="X668">
        <v>0</v>
      </c>
      <c r="Y668">
        <v>0</v>
      </c>
      <c r="Z668">
        <v>0</v>
      </c>
      <c r="AA668">
        <v>0</v>
      </c>
      <c r="AB668">
        <v>0</v>
      </c>
      <c r="AC668">
        <v>0</v>
      </c>
      <c r="AD668">
        <v>0</v>
      </c>
      <c r="AE668">
        <v>0</v>
      </c>
      <c r="AF668">
        <v>0</v>
      </c>
      <c r="AG668">
        <v>0</v>
      </c>
      <c r="AH668">
        <v>0</v>
      </c>
      <c r="AI668">
        <v>0</v>
      </c>
      <c r="AJ668">
        <v>0</v>
      </c>
      <c r="AK668">
        <v>1</v>
      </c>
      <c r="AL668">
        <v>0</v>
      </c>
      <c r="AM668">
        <v>0</v>
      </c>
      <c r="AN668">
        <v>0</v>
      </c>
      <c r="AO668">
        <v>0</v>
      </c>
      <c r="AP668">
        <v>0</v>
      </c>
      <c r="AQ668">
        <v>0</v>
      </c>
      <c r="AR668">
        <v>0</v>
      </c>
      <c r="AS668">
        <v>0</v>
      </c>
      <c r="AT668">
        <v>0</v>
      </c>
      <c r="AU668">
        <v>0</v>
      </c>
      <c r="AV668">
        <v>0</v>
      </c>
      <c r="AW668">
        <v>0</v>
      </c>
      <c r="AX668" s="141">
        <f>COUNTIF(V668:AW668,"&lt;&gt;0")</f>
        <v>1</v>
      </c>
      <c r="AY668" s="141">
        <f>COUNTIF(V668:AL668,"&lt;&gt;0")</f>
        <v>1</v>
      </c>
      <c r="AZ668">
        <f>COUNTIF(V668:AC668,"&lt;&gt;0")</f>
        <v>0</v>
      </c>
      <c r="BA668">
        <f>COUNTIF(AD668:AI668,"&lt;&gt;0")</f>
        <v>0</v>
      </c>
      <c r="BB668">
        <f>COUNTIF(AJ668:AL668,"&lt;&gt;0")</f>
        <v>1</v>
      </c>
      <c r="BC668">
        <f>COUNTIF(AS668:AW668,"&lt;&gt;0")</f>
        <v>0</v>
      </c>
      <c r="BD668">
        <f>COUNTIF(AM668:AR668,"&lt;&gt;0")</f>
        <v>0</v>
      </c>
      <c r="BE668" t="str">
        <f t="array" ref="BE668">IF(AY668=1,INDEX($V$7:$AL$7,MATCH(TRUE,INDEX($V668:$AW668&lt;&gt;0,),0)),IF(AY668=0,INDEX($AM$7:$AW$7,MATCH(1,$AM668:$AW668,0)),IF(BF668="Multiple strategies","mixed drivers",IF(BF668="Supply chain","multiple supply","multiple silviculture"))))</f>
        <v>technologies/design switch</v>
      </c>
      <c r="BF668" s="2" t="str" cm="1">
        <f t="array" ref="BF668">IF(COUNTIF(AZ668:BB668,"&lt;&gt;0")=1,INDEX($V$4:$AW$4,MATCH(TRUE,INDEX($V668:$AW668&lt;&gt;0,),0)),IF(COUNTIF(AZ668:BB668,"&lt;&gt;0")=0,INDEX($AM$4:$AW$4,MATCH(1,$AM668:$AW668,0)),"Multiple strategies"))</f>
        <v>Technology</v>
      </c>
      <c r="BG668" s="1" t="s">
        <v>229</v>
      </c>
      <c r="BH668" t="s">
        <v>277</v>
      </c>
      <c r="BI668" s="264" t="s">
        <v>3106</v>
      </c>
      <c r="BJ668" t="s">
        <v>278</v>
      </c>
      <c r="BK668">
        <v>0</v>
      </c>
      <c r="BL668">
        <v>46.25814379391722</v>
      </c>
      <c r="BN668">
        <f>BL668-BK668</f>
        <v>46.25814379391722</v>
      </c>
      <c r="BO668">
        <f>BN668*tC_to_m3</f>
        <v>200.86037253112124</v>
      </c>
      <c r="BP668" t="s">
        <v>232</v>
      </c>
      <c r="BQ668" s="337" t="s">
        <v>3107</v>
      </c>
      <c r="BR668" t="s">
        <v>279</v>
      </c>
      <c r="BS668">
        <v>316.56191500133059</v>
      </c>
      <c r="BT668">
        <v>365.10563504552567</v>
      </c>
      <c r="BU668" s="144">
        <f>IFERROR(BT668/BS668,"")</f>
        <v>1.1533466843097377</v>
      </c>
      <c r="BV668">
        <f>BT668-BS668</f>
        <v>48.543720044195084</v>
      </c>
      <c r="BX668">
        <f>BV668</f>
        <v>48.543720044195084</v>
      </c>
      <c r="BY668">
        <f>IFERROR(BX668/BO668,"")</f>
        <v>0.24167893065454579</v>
      </c>
      <c r="BZ668">
        <v>0</v>
      </c>
      <c r="CA668">
        <v>0</v>
      </c>
      <c r="CB668">
        <v>0</v>
      </c>
      <c r="CC668">
        <v>0</v>
      </c>
      <c r="CD668">
        <v>0</v>
      </c>
      <c r="CE668">
        <v>0</v>
      </c>
      <c r="CF668">
        <v>0</v>
      </c>
      <c r="CG668">
        <v>0</v>
      </c>
      <c r="CH668">
        <v>0</v>
      </c>
      <c r="CI668">
        <v>0</v>
      </c>
      <c r="CJ668">
        <v>0</v>
      </c>
      <c r="CK668">
        <v>0</v>
      </c>
      <c r="CL668">
        <v>0</v>
      </c>
      <c r="CM668">
        <v>0</v>
      </c>
      <c r="CN668" t="str">
        <f>IF($BL668&lt;$BK668,"refNeedCorrection","refOK")</f>
        <v>refOK</v>
      </c>
      <c r="CO668">
        <f>IF($CN668="refOK",$BK668,$BL668)</f>
        <v>0</v>
      </c>
      <c r="CP668">
        <f>IF($CN668="refOK",$BL668,$BK668)</f>
        <v>46.25814379391722</v>
      </c>
      <c r="CQ668">
        <f>IF($CN668="refOK",$BO668,-$BO668)</f>
        <v>200.86037253112124</v>
      </c>
      <c r="CR668">
        <f>IF($CN668="refOK",$BS668,$BT668)*IF($BP668="Emissions positive",-1,1)</f>
        <v>316.56191500133059</v>
      </c>
      <c r="CS668">
        <f>IF($CN668="refOK",$BT668,$BS668)*IF($BP668="Emissions positive",-1,1)</f>
        <v>365.10563504552567</v>
      </c>
      <c r="CT668">
        <f>IF($CN668="refNeedCorrection",-BX668,BX668)*IF($BP668="Emissions positive",-1,1)</f>
        <v>48.543720044195084</v>
      </c>
      <c r="CU668">
        <f>IFERROR(CT668/CQ668,"")</f>
        <v>0.24167893065454579</v>
      </c>
      <c r="CV668" s="2">
        <f>IFERROR((CS668-CR668)/ABS(CR668),"")</f>
        <v>0.15334668430973777</v>
      </c>
      <c r="CW668" s="1" t="s">
        <v>234</v>
      </c>
      <c r="CX668" t="str">
        <f>IF(OR($CW668="prd",$CW668="std",$CW668="cit"),"loc",IF(OR($CW668="eur",$CW668="reg",$CW668="coy"),"reg",$CW668))</f>
        <v>loc</v>
      </c>
      <c r="CY668" t="s">
        <v>280</v>
      </c>
      <c r="DB668">
        <v>200</v>
      </c>
      <c r="DC668" t="str">
        <f>IF(DB668=0,"0",IF(AND(DB668&gt;=1,DB668&lt;=30),"1-30",IF(AND(DB668&gt;30,DB668&lt;=70),"31-70",IF(AND(DB668&gt;70,DB668&lt;=100),"71-100",IF(DB668&gt;100,"+100")))))</f>
        <v>+100</v>
      </c>
      <c r="DD668">
        <v>0</v>
      </c>
      <c r="DE668">
        <v>0</v>
      </c>
      <c r="DF668">
        <v>0</v>
      </c>
      <c r="DG668">
        <v>1</v>
      </c>
      <c r="DI668">
        <f>SUM(DD668:DG668)</f>
        <v>1</v>
      </c>
      <c r="DJ668" t="str">
        <f>IF(DI668=1,INDEX($DD$7:$DG$7,MATCH(1,$DD668:$DG668,0)),"mixedProduct")</f>
        <v>TimberInput</v>
      </c>
      <c r="DK668">
        <f>IF(DD668=1,DK$7,0)</f>
        <v>0</v>
      </c>
      <c r="DL668">
        <f>IF(DE668=1,DL$7,0)</f>
        <v>0</v>
      </c>
      <c r="DM668">
        <f>IF(DF668=1,DM$7,0)</f>
        <v>0</v>
      </c>
      <c r="DN668" t="str">
        <f>IF(DG668=1,DN$7,0)</f>
        <v>Timber</v>
      </c>
      <c r="DO668">
        <v>0</v>
      </c>
      <c r="DP668">
        <v>1</v>
      </c>
      <c r="DQ668" t="s">
        <v>304</v>
      </c>
      <c r="DR668">
        <v>0</v>
      </c>
      <c r="DS668">
        <v>0</v>
      </c>
      <c r="DT668">
        <f>SUM(DO668:DP668)</f>
        <v>1</v>
      </c>
      <c r="DU668" s="143" t="str">
        <f>IF(DO668=1,"self-calculated DF",IF(DP668=1,"external DF used","explicit C balance"))</f>
        <v>external DF used</v>
      </c>
      <c r="DV668">
        <v>0</v>
      </c>
      <c r="DW668">
        <v>1</v>
      </c>
      <c r="DX668">
        <v>1</v>
      </c>
      <c r="DY668">
        <v>1</v>
      </c>
      <c r="DZ668">
        <v>1</v>
      </c>
      <c r="EA668" s="143">
        <v>0</v>
      </c>
      <c r="EB668">
        <v>1</v>
      </c>
      <c r="EC668">
        <v>1</v>
      </c>
      <c r="ED668">
        <v>0</v>
      </c>
      <c r="EE668">
        <v>1</v>
      </c>
      <c r="EF668">
        <v>1</v>
      </c>
      <c r="EG668">
        <v>1</v>
      </c>
      <c r="EH668">
        <v>0</v>
      </c>
      <c r="EI668" s="2">
        <v>0</v>
      </c>
      <c r="EK668" t="str">
        <f>IF(AND(AND(AND(OR($DX668=1,$DW668=1),OR($EC668=1,$EA668=1)),SUM($DV668:$DZ668,$EF668)&gt;=4),SUM($EA668:$EE668)&gt;=2),"Whole sector","")</f>
        <v>Whole sector</v>
      </c>
      <c r="EL668" t="str">
        <f>IF(AND(AND(OR($DX668=1,$DW668=1),AND($EC668=0,$EA668=0)),SUM($DV668:$DZ668,$EF668)&gt;=4),"Ecosystem approach","")</f>
        <v/>
      </c>
      <c r="EM668" s="2" t="str">
        <f>IF(AND(AND(AND($DX668=0,$DW668=0),OR($EC668=1,$EA668=1)),SUM($EB668:$EE668)&gt;=2),"Technology approach","")</f>
        <v/>
      </c>
      <c r="EP668" t="str">
        <f>IF(ISNUMBER(BU668),IF(ABS(BU668-[1]QC_indicators!$B$2)&gt;3*[1]QC_indicators!$C$2,"C ratio",IF(ISNUMBER(BY668),IF(ABS(BY668-[1]QC_indicators!$B$1)&gt;3*[1]QC_indicators!$C$1,"DF","no"))),IF(ISNUMBER(BY668),IF(ABS(BY668-[1]QC_indicators!$B$1)&gt;3*[1]QC_indicators!$C$1,"DF","no")))</f>
        <v>no</v>
      </c>
      <c r="EQ668" t="s">
        <v>286</v>
      </c>
      <c r="ET668" s="264" t="s">
        <v>3273</v>
      </c>
    </row>
    <row r="669" spans="1:150" ht="15" customHeight="1">
      <c r="A669" s="1" t="s">
        <v>333</v>
      </c>
      <c r="B669" t="s">
        <v>945</v>
      </c>
      <c r="C669" t="s">
        <v>946</v>
      </c>
      <c r="D669" t="s">
        <v>947</v>
      </c>
      <c r="E669" t="s">
        <v>948</v>
      </c>
      <c r="F669" t="s">
        <v>949</v>
      </c>
      <c r="G669" t="s">
        <v>339</v>
      </c>
      <c r="H669" t="s">
        <v>254</v>
      </c>
      <c r="I669">
        <v>2021</v>
      </c>
      <c r="J669">
        <v>0</v>
      </c>
      <c r="K669" t="s">
        <v>950</v>
      </c>
      <c r="M669" t="str">
        <f>LEFT($D669,FIND(",",$D669)-1)&amp;"_"&amp;I669&amp;L669</f>
        <v>Morris_2021</v>
      </c>
      <c r="N669" t="s">
        <v>222</v>
      </c>
      <c r="O669" t="s">
        <v>223</v>
      </c>
      <c r="Q669" t="s">
        <v>256</v>
      </c>
      <c r="R669" s="255" t="s">
        <v>225</v>
      </c>
      <c r="S669" s="1" t="s">
        <v>956</v>
      </c>
      <c r="T669" t="s">
        <v>795</v>
      </c>
      <c r="U669" t="s">
        <v>957</v>
      </c>
      <c r="V669">
        <v>0</v>
      </c>
      <c r="W669">
        <v>0</v>
      </c>
      <c r="X669">
        <v>0</v>
      </c>
      <c r="Y669">
        <v>0</v>
      </c>
      <c r="Z669">
        <v>0</v>
      </c>
      <c r="AA669">
        <v>0</v>
      </c>
      <c r="AB669">
        <v>0</v>
      </c>
      <c r="AC669">
        <v>0</v>
      </c>
      <c r="AD669">
        <v>0</v>
      </c>
      <c r="AE669">
        <v>0</v>
      </c>
      <c r="AF669">
        <v>0</v>
      </c>
      <c r="AG669">
        <v>0</v>
      </c>
      <c r="AH669">
        <v>0</v>
      </c>
      <c r="AI669">
        <v>0</v>
      </c>
      <c r="AJ669">
        <v>0</v>
      </c>
      <c r="AK669">
        <v>1</v>
      </c>
      <c r="AL669">
        <v>0</v>
      </c>
      <c r="AM669">
        <v>0</v>
      </c>
      <c r="AN669">
        <v>0</v>
      </c>
      <c r="AO669">
        <v>0</v>
      </c>
      <c r="AP669">
        <v>0</v>
      </c>
      <c r="AQ669">
        <v>0</v>
      </c>
      <c r="AR669">
        <v>0</v>
      </c>
      <c r="AS669">
        <v>0</v>
      </c>
      <c r="AT669">
        <v>0</v>
      </c>
      <c r="AU669">
        <v>0</v>
      </c>
      <c r="AV669">
        <v>0</v>
      </c>
      <c r="AW669">
        <v>0</v>
      </c>
      <c r="AX669" s="141">
        <f>COUNTIF(V669:AW669,"&lt;&gt;0")</f>
        <v>1</v>
      </c>
      <c r="AY669" s="141">
        <f>COUNTIF(V669:AL669,"&lt;&gt;0")</f>
        <v>1</v>
      </c>
      <c r="AZ669">
        <f>COUNTIF(V669:AC669,"&lt;&gt;0")</f>
        <v>0</v>
      </c>
      <c r="BA669">
        <f>COUNTIF(AD669:AI669,"&lt;&gt;0")</f>
        <v>0</v>
      </c>
      <c r="BB669">
        <f>COUNTIF(AJ669:AL669,"&lt;&gt;0")</f>
        <v>1</v>
      </c>
      <c r="BC669">
        <f>COUNTIF(AS669:AW669,"&lt;&gt;0")</f>
        <v>0</v>
      </c>
      <c r="BD669">
        <f>COUNTIF(AM669:AR669,"&lt;&gt;0")</f>
        <v>0</v>
      </c>
      <c r="BE669" t="str">
        <f t="array" ref="BE669">IF(AY669=1,INDEX($V$7:$AL$7,MATCH(TRUE,INDEX($V669:$AW669&lt;&gt;0,),0)),IF(AY669=0,INDEX($AM$7:$AW$7,MATCH(1,$AM669:$AW669,0)),IF(BF669="Multiple strategies","mixed drivers",IF(BF669="Supply chain","multiple supply","multiple silviculture"))))</f>
        <v>technologies/design switch</v>
      </c>
      <c r="BF669" s="2" t="str" cm="1">
        <f t="array" ref="BF669">IF(COUNTIF(AZ669:BB669,"&lt;&gt;0")=1,INDEX($V$4:$AW$4,MATCH(TRUE,INDEX($V669:$AW669&lt;&gt;0,),0)),IF(COUNTIF(AZ669:BB669,"&lt;&gt;0")=0,INDEX($AM$4:$AW$4,MATCH(1,$AM669:$AW669,0)),"Multiple strategies"))</f>
        <v>Technology</v>
      </c>
      <c r="BG669" s="1" t="s">
        <v>229</v>
      </c>
      <c r="BH669" t="s">
        <v>954</v>
      </c>
      <c r="BI669" s="260" t="s">
        <v>3373</v>
      </c>
      <c r="BJ669" t="s">
        <v>345</v>
      </c>
      <c r="BK669">
        <v>0</v>
      </c>
      <c r="BL669">
        <v>116.6</v>
      </c>
      <c r="BN669">
        <f>BL669-BK669</f>
        <v>116.6</v>
      </c>
      <c r="BO669">
        <f>BN669*kg_to_m3</f>
        <v>0.23795918367346941</v>
      </c>
      <c r="BP669" t="s">
        <v>232</v>
      </c>
      <c r="BQ669" s="260" t="s">
        <v>3377</v>
      </c>
      <c r="BR669" t="s">
        <v>955</v>
      </c>
      <c r="BS669">
        <v>-223.4</v>
      </c>
      <c r="BT669">
        <v>-165.4</v>
      </c>
      <c r="BU669" s="144">
        <f>IFERROR(BT669/BS669,"")</f>
        <v>0.74037600716204122</v>
      </c>
      <c r="BV669">
        <f>BT669-BS669</f>
        <v>58</v>
      </c>
      <c r="BX669">
        <f>BV669/1000</f>
        <v>5.8000000000000003E-2</v>
      </c>
      <c r="BY669">
        <f>IFERROR(BX669/BO669,"")</f>
        <v>0.24373927958833619</v>
      </c>
      <c r="BZ669">
        <v>1</v>
      </c>
      <c r="CA669">
        <v>0</v>
      </c>
      <c r="CB669">
        <v>0</v>
      </c>
      <c r="CC669">
        <v>0</v>
      </c>
      <c r="CD669">
        <v>0</v>
      </c>
      <c r="CE669">
        <v>1</v>
      </c>
      <c r="CF669">
        <v>0</v>
      </c>
      <c r="CG669">
        <v>1</v>
      </c>
      <c r="CH669">
        <v>0</v>
      </c>
      <c r="CI669">
        <v>0</v>
      </c>
      <c r="CJ669">
        <v>0</v>
      </c>
      <c r="CK669">
        <v>0</v>
      </c>
      <c r="CL669">
        <v>0</v>
      </c>
      <c r="CM669">
        <v>0</v>
      </c>
      <c r="CN669" t="str">
        <f>IF($BL669&lt;$BK669,"refNeedCorrection","refOK")</f>
        <v>refOK</v>
      </c>
      <c r="CO669">
        <f>IF($CN669="refOK",$BK669,$BL669)</f>
        <v>0</v>
      </c>
      <c r="CP669">
        <f>IF($CN669="refOK",$BL669,$BK669)</f>
        <v>116.6</v>
      </c>
      <c r="CQ669">
        <f>IF($CN669="refOK",$BO669,-$BO669)</f>
        <v>0.23795918367346941</v>
      </c>
      <c r="CR669">
        <f>IF($CN669="refOK",$BS669,$BT669)*IF($BP669="Emissions positive",-1,1)</f>
        <v>-223.4</v>
      </c>
      <c r="CS669">
        <f>IF($CN669="refOK",$BT669,$BS669)*IF($BP669="Emissions positive",-1,1)</f>
        <v>-165.4</v>
      </c>
      <c r="CT669">
        <f>IF($CN669="refNeedCorrection",-BX669,BX669)*IF($BP669="Emissions positive",-1,1)</f>
        <v>5.8000000000000003E-2</v>
      </c>
      <c r="CU669">
        <f>IFERROR(CT669/CQ669,"")</f>
        <v>0.24373927958833619</v>
      </c>
      <c r="CV669" s="2">
        <f>IFERROR((CS669-CR669)/ABS(CR669),"")</f>
        <v>0.25962399283795884</v>
      </c>
      <c r="CW669" s="1" t="s">
        <v>263</v>
      </c>
      <c r="CX669" t="str">
        <f>IF(OR($CW669="prd",$CW669="std",$CW669="cit"),"loc",IF(OR($CW669="eur",$CW669="reg",$CW669="coy"),"reg",$CW669))</f>
        <v>loc</v>
      </c>
      <c r="CY669" s="309" t="s">
        <v>3423</v>
      </c>
      <c r="DB669">
        <v>0</v>
      </c>
      <c r="DC669" t="str">
        <f>IF(DB669=0,"0",IF(AND(DB669&gt;=1,DB669&lt;=30),"1-30",IF(AND(DB669&gt;30,DB669&lt;=70),"31-70",IF(AND(DB669&gt;70,DB669&lt;=100),"71-100",IF(DB669&gt;100,"+100")))))</f>
        <v>0</v>
      </c>
      <c r="DD669">
        <v>0</v>
      </c>
      <c r="DE669">
        <v>0</v>
      </c>
      <c r="DF669">
        <v>0</v>
      </c>
      <c r="DG669">
        <v>1</v>
      </c>
      <c r="DI669">
        <f>SUM(DD669:DG669)</f>
        <v>1</v>
      </c>
      <c r="DJ669" t="str">
        <f>IF(DI669=1,INDEX($DD$7:$DG$7,MATCH(1,$DD669:$DG669,0)),"mixedProduct")</f>
        <v>TimberInput</v>
      </c>
      <c r="DK669">
        <f>IF(DD669=1,DK$7,0)</f>
        <v>0</v>
      </c>
      <c r="DL669">
        <f>IF(DE669=1,DL$7,0)</f>
        <v>0</v>
      </c>
      <c r="DM669">
        <f>IF(DF669=1,DM$7,0)</f>
        <v>0</v>
      </c>
      <c r="DN669" t="str">
        <f>IF(DG669=1,DN$7,0)</f>
        <v>Timber</v>
      </c>
      <c r="DO669">
        <v>0</v>
      </c>
      <c r="DP669">
        <v>1</v>
      </c>
      <c r="DQ669">
        <v>0</v>
      </c>
      <c r="DR669">
        <v>0</v>
      </c>
      <c r="DS669">
        <v>0</v>
      </c>
      <c r="DT669">
        <f>SUM(DO669:DP669)</f>
        <v>1</v>
      </c>
      <c r="DU669" s="143" t="str">
        <f>IF(DO669=1,"self-calculated DF",IF(DP669=1,"external DF used","explicit C balance"))</f>
        <v>external DF used</v>
      </c>
      <c r="DV669">
        <v>0</v>
      </c>
      <c r="DW669">
        <v>0</v>
      </c>
      <c r="DX669">
        <v>0</v>
      </c>
      <c r="DY669">
        <v>0</v>
      </c>
      <c r="DZ669">
        <v>0</v>
      </c>
      <c r="EA669" s="143">
        <v>1</v>
      </c>
      <c r="EB669">
        <v>1</v>
      </c>
      <c r="EC669">
        <v>1</v>
      </c>
      <c r="ED669">
        <v>0</v>
      </c>
      <c r="EE669">
        <v>1</v>
      </c>
      <c r="EF669">
        <v>0</v>
      </c>
      <c r="EG669">
        <v>0</v>
      </c>
      <c r="EH669">
        <v>0</v>
      </c>
      <c r="EI669" s="2">
        <v>0</v>
      </c>
      <c r="EK669" t="str">
        <f>IF(AND(AND(AND(OR($DX669=1,$DW669=1),OR($EC669=1,$EA669=1)),SUM($DV669:$DZ669,$EF669)&gt;=4),SUM($EA669:$EE669)&gt;=2),"Whole sector","")</f>
        <v/>
      </c>
      <c r="EL669" t="str">
        <f>IF(AND(AND(OR($DX669=1,$DW669=1),AND($EC669=0,$EA669=0)),SUM($DV669:$DZ669,$EF669)&gt;=4),"Ecosystem approach","")</f>
        <v/>
      </c>
      <c r="EM669" s="2" t="str">
        <f>IF(AND(AND(AND($DX669=0,$DW669=0),OR($EC669=1,$EA669=1)),SUM($EB669:$EE669)&gt;=2),"Technology approach","")</f>
        <v>Technology approach</v>
      </c>
      <c r="EP669" t="str">
        <f>IF(ISNUMBER(BU669),IF(ABS(BU669-[4]QC_indicators!$B$2)&gt;3*[4]QC_indicators!$C$2,"C ratio",IF(ISNUMBER(BY669),IF(ABS(BY669-[4]QC_indicators!$B$1)&gt;3*[4]QC_indicators!$C$1,"DF","no"))),IF(ISNUMBER(BY669),IF(ABS(BY669-[4]QC_indicators!$B$1)&gt;3*[4]QC_indicators!$C$1,"DF","no")))</f>
        <v>no</v>
      </c>
      <c r="ER669" s="149" t="s">
        <v>349</v>
      </c>
      <c r="ET669" s="264" t="s">
        <v>3273</v>
      </c>
    </row>
    <row r="670" spans="1:150" ht="15" customHeight="1">
      <c r="A670" s="1" t="s">
        <v>486</v>
      </c>
      <c r="B670" t="s">
        <v>487</v>
      </c>
      <c r="C670" t="s">
        <v>488</v>
      </c>
      <c r="D670" t="s">
        <v>489</v>
      </c>
      <c r="E670" t="s">
        <v>490</v>
      </c>
      <c r="F670" t="s">
        <v>491</v>
      </c>
      <c r="G670" t="s">
        <v>492</v>
      </c>
      <c r="H670" t="s">
        <v>254</v>
      </c>
      <c r="I670">
        <v>2019</v>
      </c>
      <c r="J670">
        <v>3</v>
      </c>
      <c r="K670" t="s">
        <v>493</v>
      </c>
      <c r="M670" t="str">
        <f>LEFT($D670,FIND(",",$D670)-1)&amp;"_"&amp;I670&amp;L670</f>
        <v>Butarbutar_2019</v>
      </c>
      <c r="N670" t="s">
        <v>222</v>
      </c>
      <c r="O670" s="145" t="s">
        <v>223</v>
      </c>
      <c r="Q670" s="264" t="s">
        <v>256</v>
      </c>
      <c r="R670" s="269" t="s">
        <v>1154</v>
      </c>
      <c r="S670" s="1" t="s">
        <v>500</v>
      </c>
      <c r="T670" t="s">
        <v>501</v>
      </c>
      <c r="U670" t="s">
        <v>504</v>
      </c>
      <c r="V670">
        <v>0</v>
      </c>
      <c r="W670">
        <v>0</v>
      </c>
      <c r="X670">
        <v>0</v>
      </c>
      <c r="Y670">
        <v>0</v>
      </c>
      <c r="Z670">
        <v>0</v>
      </c>
      <c r="AA670">
        <v>0</v>
      </c>
      <c r="AB670">
        <v>0</v>
      </c>
      <c r="AC670">
        <v>1</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s="141">
        <f>COUNTIF(V670:AW670,"&lt;&gt;0")</f>
        <v>1</v>
      </c>
      <c r="AY670" s="141">
        <f>COUNTIF(V670:AL670,"&lt;&gt;0")</f>
        <v>1</v>
      </c>
      <c r="AZ670">
        <f>COUNTIF(V670:AC670,"&lt;&gt;0")</f>
        <v>1</v>
      </c>
      <c r="BA670">
        <f>COUNTIF(AD670:AI670,"&lt;&gt;0")</f>
        <v>0</v>
      </c>
      <c r="BB670">
        <f>COUNTIF(AJ670:AL670,"&lt;&gt;0")</f>
        <v>0</v>
      </c>
      <c r="BC670">
        <f>COUNTIF(AS670:AW670,"&lt;&gt;0")</f>
        <v>0</v>
      </c>
      <c r="BD670">
        <f>COUNTIF(AM670:AR670,"&lt;&gt;0")</f>
        <v>0</v>
      </c>
      <c r="BE670" t="str" cm="1">
        <f t="array" ref="BE670">IF(AY670=1,INDEX($V$7:$AL$7,MATCH(TRUE,INDEX($V670:$AW670&lt;&gt;0,),0)),IF(AY670=0,INDEX($AM$7:$AW$7,MATCH(1,$AM670:$AW670,0)),IF(BF670="Multiple strategies","mixed drivers",IF(BF670="Supply chain","multiple supply","multiple silviculture"))))</f>
        <v>site fertility</v>
      </c>
      <c r="BF670" s="2" t="str" cm="1">
        <f t="array" ref="BF670">IF(COUNTIF(AZ670:BB670,"&lt;&gt;0")=1,INDEX($V$4:$AW$4,MATCH(TRUE,INDEX($V670:$AW670&lt;&gt;0,),0)),IF(COUNTIF(AZ670:BB670,"&lt;&gt;0")=0,INDEX($AM$4:$AW$4,MATCH(1,$AM670:$AW670,0)),"Multiple strategies"))</f>
        <v>Silviculture for productivity</v>
      </c>
      <c r="BG670" s="1" t="s">
        <v>321</v>
      </c>
      <c r="BH670" t="s">
        <v>497</v>
      </c>
      <c r="BJ670" t="s">
        <v>498</v>
      </c>
      <c r="BK670">
        <v>165.50800000000001</v>
      </c>
      <c r="BL670">
        <v>606.21199999999999</v>
      </c>
      <c r="BN670">
        <f>BL670-BK670</f>
        <v>440.70399999999995</v>
      </c>
      <c r="BO670">
        <f>BL670-BK670</f>
        <v>440.70399999999995</v>
      </c>
      <c r="BP670" s="264" t="s">
        <v>232</v>
      </c>
      <c r="BQ670" s="264"/>
      <c r="BR670" t="s">
        <v>278</v>
      </c>
      <c r="BS670">
        <v>-55.46</v>
      </c>
      <c r="BT670">
        <v>-26.16</v>
      </c>
      <c r="BU670" s="144">
        <v>0.4716913090515687</v>
      </c>
      <c r="BV670">
        <v>29.3</v>
      </c>
      <c r="BX670">
        <f>BV670*C_to_CO2</f>
        <v>107.53100000000001</v>
      </c>
      <c r="BY670">
        <f>IFERROR(BX670/BO670,"")</f>
        <v>0.2439982391809469</v>
      </c>
      <c r="BZ670" s="143">
        <v>0</v>
      </c>
      <c r="CA670" s="143">
        <v>0</v>
      </c>
      <c r="CB670" s="143">
        <v>0</v>
      </c>
      <c r="CC670" s="143">
        <v>0</v>
      </c>
      <c r="CD670" s="143">
        <v>0</v>
      </c>
      <c r="CE670" s="143">
        <v>0</v>
      </c>
      <c r="CF670" s="143">
        <v>0</v>
      </c>
      <c r="CG670" s="143">
        <v>0</v>
      </c>
      <c r="CH670" s="143">
        <v>0</v>
      </c>
      <c r="CI670" s="143">
        <v>0</v>
      </c>
      <c r="CJ670" s="143">
        <v>0</v>
      </c>
      <c r="CK670" s="143">
        <v>0</v>
      </c>
      <c r="CL670" s="143">
        <v>0</v>
      </c>
      <c r="CM670">
        <v>0</v>
      </c>
      <c r="CN670" t="str">
        <f>IF($BL670&lt;$BK670,"refNeedCorrection","refOK")</f>
        <v>refOK</v>
      </c>
      <c r="CO670">
        <f>IF($CN670="refNeedCorrection",BL670,BK670)</f>
        <v>165.50800000000001</v>
      </c>
      <c r="CP670">
        <f>IF($CN670="refNeedCorrection",BK670,BL670)</f>
        <v>606.21199999999999</v>
      </c>
      <c r="CQ670">
        <f>IF($CN670="refOK",$BO670,-$BO670)</f>
        <v>440.70399999999995</v>
      </c>
      <c r="CR670">
        <f>IF($CN670="refOK",$BS670,$BT670)*IF($BP670="Emissions positive",-1,1)</f>
        <v>-55.46</v>
      </c>
      <c r="CS670">
        <f>IF($CN670="refOK",$BT670,$BS670)*IF($BP670="Emissions positive",-1,1)</f>
        <v>-26.16</v>
      </c>
      <c r="CT670">
        <f>IF($CN670="refNeedCorrection",-BX670,BX670)*IF($BP670="Emissions positive",-1,1)</f>
        <v>107.53100000000001</v>
      </c>
      <c r="CU670">
        <f>IFERROR(CT670/CQ670,"")</f>
        <v>0.2439982391809469</v>
      </c>
      <c r="CV670" s="2">
        <f>IFERROR((CS670-CR670)/ABS(CR670),"")</f>
        <v>0.52830869094843136</v>
      </c>
      <c r="CW670" s="1" t="s">
        <v>234</v>
      </c>
      <c r="CX670" s="264" t="str">
        <f>IF(OR($CW670="prd",$CW670="std",$CW670="cit"),"loc",IF(OR($CW670="eur",$CW670="reg",$CW670="coy"),"reg",$CW670))</f>
        <v>loc</v>
      </c>
      <c r="CY670" t="s">
        <v>280</v>
      </c>
      <c r="CZ670">
        <v>1985</v>
      </c>
      <c r="DA670">
        <v>2016</v>
      </c>
      <c r="DB670">
        <f>DA670-CZ670</f>
        <v>31</v>
      </c>
      <c r="DC670" t="str">
        <f>IF(DB670=0,"0",IF(AND(DB670&gt;=1,DB670&lt;=30),"1-30",IF(AND(DB670&gt;30,DB670&lt;=70),"31-70",IF(AND(DB670&gt;70,DB670&lt;=100),"71-100",IF(DB670&gt;100,"+100")))))</f>
        <v>31-70</v>
      </c>
      <c r="DD670">
        <v>1</v>
      </c>
      <c r="DE670">
        <v>0</v>
      </c>
      <c r="DF670">
        <v>0</v>
      </c>
      <c r="DG670">
        <v>0</v>
      </c>
      <c r="DI670">
        <f>SUM(DD670:DG670)</f>
        <v>1</v>
      </c>
      <c r="DJ670" t="str">
        <f>IF(DI670=1,INDEX($DD$7:$DG$7,MATCH(1,$DD670:$DG670,0)),"mixedProduct")</f>
        <v>UpstreamInput</v>
      </c>
      <c r="DK670" t="str">
        <f>IF(DD670=1,DK$7,0)</f>
        <v>Upstream</v>
      </c>
      <c r="DL670">
        <f>IF(DE670=1,DL$7,0)</f>
        <v>0</v>
      </c>
      <c r="DM670">
        <f>IF(DF670=1,DM$7,0)</f>
        <v>0</v>
      </c>
      <c r="DN670">
        <f>IF(DG670=1,DN$7,0)</f>
        <v>0</v>
      </c>
      <c r="DO670">
        <v>0</v>
      </c>
      <c r="DP670" s="143">
        <v>0</v>
      </c>
      <c r="DQ670" s="143">
        <v>0</v>
      </c>
      <c r="DR670" s="143">
        <v>0</v>
      </c>
      <c r="DS670">
        <v>0</v>
      </c>
      <c r="DT670">
        <f>SUM(DO670:DP670)</f>
        <v>0</v>
      </c>
      <c r="DU670" s="143" t="str">
        <f>IF(DO670=1,"self-calculated DF",IF(DP670=1,"external DF used","explicit C balance"))</f>
        <v>explicit C balance</v>
      </c>
      <c r="DV670">
        <v>1</v>
      </c>
      <c r="DW670" s="143">
        <v>1</v>
      </c>
      <c r="DX670" s="143">
        <v>1</v>
      </c>
      <c r="DY670" s="143">
        <v>0</v>
      </c>
      <c r="DZ670">
        <v>0</v>
      </c>
      <c r="EA670" s="264">
        <v>0</v>
      </c>
      <c r="EB670">
        <v>0</v>
      </c>
      <c r="EC670" s="143">
        <v>0</v>
      </c>
      <c r="ED670" s="143">
        <v>0</v>
      </c>
      <c r="EE670">
        <v>0</v>
      </c>
      <c r="EF670">
        <v>1</v>
      </c>
      <c r="EG670" s="143">
        <v>0</v>
      </c>
      <c r="EH670" s="143">
        <v>0</v>
      </c>
      <c r="EI670" s="2">
        <v>0</v>
      </c>
      <c r="EK670" t="str">
        <f>IF(AND(AND(AND(OR($DX670=1,$DW670=1),OR($EC670=1,$EA670=1)),SUM($DV670:$DZ670,$EF670)&gt;=4),SUM($EA670:$EE670)&gt;=2),"Whole sector","")</f>
        <v/>
      </c>
      <c r="EL670" t="str">
        <f>IF(AND(AND(OR($DX670=1,$DW670=1),AND($EC670=0,$EA670=0)),SUM($DV670:$DZ670,$EF670)&gt;=4),"Ecosystem approach","")</f>
        <v>Ecosystem approach</v>
      </c>
      <c r="EM670" s="2" t="str">
        <f>IF(AND(AND(AND($DX670=0,$DW670=0),OR($EC670=1,$EA670=1)),SUM($EB670:$EE670)&gt;=2),"Technology approach","")</f>
        <v/>
      </c>
      <c r="EP670" t="str">
        <f>IF(ISNUMBER(BU670),IF(ABS(BU670-[3]QC_indicators!$B$2)&gt;3*[3]QC_indicators!$C$2,"C ratio",IF(ISNUMBER(BY670),IF(ABS(BY670-[3]QC_indicators!$B$1)&gt;3*[3]QC_indicators!$C$1,"DF","no"))),IF(ISNUMBER(BY670),IF(ABS(BY670-[3]QC_indicators!$B$1)&gt;3*[3]QC_indicators!$C$1,"DF","no")))</f>
        <v>no</v>
      </c>
      <c r="ER670" s="294" t="s">
        <v>349</v>
      </c>
      <c r="ET670" s="264" t="s">
        <v>3407</v>
      </c>
    </row>
    <row r="671" spans="1:150" ht="15" customHeight="1">
      <c r="A671" s="1" t="s">
        <v>265</v>
      </c>
      <c r="B671" t="s">
        <v>266</v>
      </c>
      <c r="C671" t="s">
        <v>267</v>
      </c>
      <c r="D671" t="s">
        <v>268</v>
      </c>
      <c r="E671" t="s">
        <v>269</v>
      </c>
      <c r="F671" t="s">
        <v>270</v>
      </c>
      <c r="G671" t="s">
        <v>271</v>
      </c>
      <c r="H671" t="s">
        <v>254</v>
      </c>
      <c r="I671">
        <v>2022</v>
      </c>
      <c r="J671">
        <v>0</v>
      </c>
      <c r="K671" t="s">
        <v>272</v>
      </c>
      <c r="M671" t="str">
        <f>LEFT($D671,FIND(",",$D671)-1)&amp;"_"&amp;I671&amp;L671</f>
        <v>Aryapratama_2022</v>
      </c>
      <c r="N671" t="s">
        <v>222</v>
      </c>
      <c r="O671" s="145" t="s">
        <v>274</v>
      </c>
      <c r="Q671" t="s">
        <v>224</v>
      </c>
      <c r="R671" s="262" t="s">
        <v>223</v>
      </c>
      <c r="S671" s="263" t="s">
        <v>3105</v>
      </c>
      <c r="T671" t="s">
        <v>302</v>
      </c>
      <c r="U671" t="s">
        <v>303</v>
      </c>
      <c r="V671">
        <v>0</v>
      </c>
      <c r="W671">
        <v>0</v>
      </c>
      <c r="X671">
        <v>0</v>
      </c>
      <c r="Y671">
        <v>0</v>
      </c>
      <c r="Z671">
        <v>0</v>
      </c>
      <c r="AA671">
        <v>0</v>
      </c>
      <c r="AB671">
        <v>0</v>
      </c>
      <c r="AC671">
        <v>0</v>
      </c>
      <c r="AD671">
        <v>0</v>
      </c>
      <c r="AE671">
        <v>0</v>
      </c>
      <c r="AF671">
        <v>0</v>
      </c>
      <c r="AG671">
        <v>0</v>
      </c>
      <c r="AH671">
        <v>0</v>
      </c>
      <c r="AI671">
        <v>0</v>
      </c>
      <c r="AJ671">
        <v>0</v>
      </c>
      <c r="AK671">
        <v>1</v>
      </c>
      <c r="AL671">
        <v>0</v>
      </c>
      <c r="AM671">
        <v>0</v>
      </c>
      <c r="AN671">
        <v>0</v>
      </c>
      <c r="AO671">
        <v>0</v>
      </c>
      <c r="AP671">
        <v>0</v>
      </c>
      <c r="AQ671">
        <v>0</v>
      </c>
      <c r="AR671">
        <v>0</v>
      </c>
      <c r="AS671">
        <v>0</v>
      </c>
      <c r="AT671">
        <v>0</v>
      </c>
      <c r="AU671">
        <v>0</v>
      </c>
      <c r="AV671">
        <v>0</v>
      </c>
      <c r="AW671">
        <v>0</v>
      </c>
      <c r="AX671" s="141">
        <f>COUNTIF(V671:AW671,"&lt;&gt;0")</f>
        <v>1</v>
      </c>
      <c r="AY671" s="141">
        <f>COUNTIF(V671:AL671,"&lt;&gt;0")</f>
        <v>1</v>
      </c>
      <c r="AZ671">
        <f>COUNTIF(V671:AC671,"&lt;&gt;0")</f>
        <v>0</v>
      </c>
      <c r="BA671">
        <f>COUNTIF(AD671:AI671,"&lt;&gt;0")</f>
        <v>0</v>
      </c>
      <c r="BB671">
        <f>COUNTIF(AJ671:AL671,"&lt;&gt;0")</f>
        <v>1</v>
      </c>
      <c r="BC671">
        <f>COUNTIF(AS671:AW671,"&lt;&gt;0")</f>
        <v>0</v>
      </c>
      <c r="BD671">
        <f>COUNTIF(AM671:AR671,"&lt;&gt;0")</f>
        <v>0</v>
      </c>
      <c r="BE671" t="str">
        <f t="array" ref="BE671">IF(AY671=1,INDEX($V$7:$AL$7,MATCH(TRUE,INDEX($V671:$AW671&lt;&gt;0,),0)),IF(AY671=0,INDEX($AM$7:$AW$7,MATCH(1,$AM671:$AW671,0)),IF(BF671="Multiple strategies","mixed drivers",IF(BF671="Supply chain","multiple supply","multiple silviculture"))))</f>
        <v>technologies/design switch</v>
      </c>
      <c r="BF671" s="2" t="str" cm="1">
        <f t="array" ref="BF671">IF(COUNTIF(AZ671:BB671,"&lt;&gt;0")=1,INDEX($V$4:$AW$4,MATCH(TRUE,INDEX($V671:$AW671&lt;&gt;0,),0)),IF(COUNTIF(AZ671:BB671,"&lt;&gt;0")=0,INDEX($AM$4:$AW$4,MATCH(1,$AM671:$AW671,0)),"Multiple strategies"))</f>
        <v>Technology</v>
      </c>
      <c r="BG671" s="1" t="s">
        <v>229</v>
      </c>
      <c r="BH671" t="s">
        <v>277</v>
      </c>
      <c r="BI671" s="264" t="s">
        <v>3106</v>
      </c>
      <c r="BJ671" t="s">
        <v>278</v>
      </c>
      <c r="BK671">
        <v>0</v>
      </c>
      <c r="BL671">
        <v>23.12907189695861</v>
      </c>
      <c r="BN671">
        <f>BL671-BK671</f>
        <v>23.12907189695861</v>
      </c>
      <c r="BO671">
        <f>BN671*tC_to_m3</f>
        <v>100.43018626556062</v>
      </c>
      <c r="BP671" t="s">
        <v>232</v>
      </c>
      <c r="BQ671" s="337" t="s">
        <v>3107</v>
      </c>
      <c r="BR671" t="s">
        <v>279</v>
      </c>
      <c r="BS671">
        <v>152.02211024415089</v>
      </c>
      <c r="BT671">
        <v>176.62110895178901</v>
      </c>
      <c r="BU671" s="144">
        <f>IFERROR(BT671/BS671,"")</f>
        <v>1.161811980297679</v>
      </c>
      <c r="BV671">
        <f>BT671-BS671</f>
        <v>24.598998707638117</v>
      </c>
      <c r="BX671">
        <f>BV671</f>
        <v>24.598998707638117</v>
      </c>
      <c r="BY671">
        <f>IFERROR(BX671/BO671,"")</f>
        <v>0.2449363047340436</v>
      </c>
      <c r="BZ671">
        <v>0</v>
      </c>
      <c r="CA671">
        <v>0</v>
      </c>
      <c r="CB671">
        <v>0</v>
      </c>
      <c r="CC671">
        <v>0</v>
      </c>
      <c r="CD671">
        <v>0</v>
      </c>
      <c r="CE671">
        <v>0</v>
      </c>
      <c r="CF671">
        <v>0</v>
      </c>
      <c r="CG671">
        <v>0</v>
      </c>
      <c r="CH671">
        <v>0</v>
      </c>
      <c r="CI671">
        <v>0</v>
      </c>
      <c r="CJ671">
        <v>0</v>
      </c>
      <c r="CK671">
        <v>0</v>
      </c>
      <c r="CL671">
        <v>0</v>
      </c>
      <c r="CM671">
        <v>0</v>
      </c>
      <c r="CN671" t="str">
        <f>IF($BL671&lt;$BK671,"refNeedCorrection","refOK")</f>
        <v>refOK</v>
      </c>
      <c r="CO671">
        <f>IF($CN671="refOK",$BK671,$BL671)</f>
        <v>0</v>
      </c>
      <c r="CP671">
        <f>IF($CN671="refOK",$BL671,$BK671)</f>
        <v>23.12907189695861</v>
      </c>
      <c r="CQ671">
        <f>IF($CN671="refOK",$BO671,-$BO671)</f>
        <v>100.43018626556062</v>
      </c>
      <c r="CR671">
        <f>IF($CN671="refOK",$BS671,$BT671)*IF($BP671="Emissions positive",-1,1)</f>
        <v>152.02211024415089</v>
      </c>
      <c r="CS671">
        <f>IF($CN671="refOK",$BT671,$BS671)*IF($BP671="Emissions positive",-1,1)</f>
        <v>176.62110895178901</v>
      </c>
      <c r="CT671">
        <f>IF($CN671="refNeedCorrection",-BX671,BX671)*IF($BP671="Emissions positive",-1,1)</f>
        <v>24.598998707638117</v>
      </c>
      <c r="CU671">
        <f>IFERROR(CT671/CQ671,"")</f>
        <v>0.2449363047340436</v>
      </c>
      <c r="CV671" s="2">
        <f>IFERROR((CS671-CR671)/ABS(CR671),"")</f>
        <v>0.16181198029767893</v>
      </c>
      <c r="CW671" s="1" t="s">
        <v>234</v>
      </c>
      <c r="CX671" t="str">
        <f>IF(OR($CW671="prd",$CW671="std",$CW671="cit"),"loc",IF(OR($CW671="eur",$CW671="reg",$CW671="coy"),"reg",$CW671))</f>
        <v>loc</v>
      </c>
      <c r="CY671" t="s">
        <v>280</v>
      </c>
      <c r="DB671">
        <v>100</v>
      </c>
      <c r="DC671" t="str">
        <f>IF(DB671=0,"0",IF(AND(DB671&gt;=1,DB671&lt;=30),"1-30",IF(AND(DB671&gt;30,DB671&lt;=70),"31-70",IF(AND(DB671&gt;70,DB671&lt;=100),"71-100",IF(DB671&gt;100,"+100")))))</f>
        <v>71-100</v>
      </c>
      <c r="DD671">
        <v>0</v>
      </c>
      <c r="DE671">
        <v>0</v>
      </c>
      <c r="DF671">
        <v>0</v>
      </c>
      <c r="DG671">
        <v>1</v>
      </c>
      <c r="DI671">
        <f>SUM(DD671:DG671)</f>
        <v>1</v>
      </c>
      <c r="DJ671" t="str">
        <f>IF(DI671=1,INDEX($DD$7:$DG$7,MATCH(1,$DD671:$DG671,0)),"mixedProduct")</f>
        <v>TimberInput</v>
      </c>
      <c r="DK671">
        <f>IF(DD671=1,DK$7,0)</f>
        <v>0</v>
      </c>
      <c r="DL671">
        <f>IF(DE671=1,DL$7,0)</f>
        <v>0</v>
      </c>
      <c r="DM671">
        <f>IF(DF671=1,DM$7,0)</f>
        <v>0</v>
      </c>
      <c r="DN671" t="str">
        <f>IF(DG671=1,DN$7,0)</f>
        <v>Timber</v>
      </c>
      <c r="DO671">
        <v>0</v>
      </c>
      <c r="DP671">
        <v>1</v>
      </c>
      <c r="DQ671" t="s">
        <v>304</v>
      </c>
      <c r="DR671">
        <v>0</v>
      </c>
      <c r="DS671">
        <v>0</v>
      </c>
      <c r="DT671">
        <f>SUM(DO671:DP671)</f>
        <v>1</v>
      </c>
      <c r="DU671" s="143" t="str">
        <f>IF(DO671=1,"self-calculated DF",IF(DP671=1,"external DF used","explicit C balance"))</f>
        <v>external DF used</v>
      </c>
      <c r="DV671">
        <v>0</v>
      </c>
      <c r="DW671">
        <v>1</v>
      </c>
      <c r="DX671">
        <v>1</v>
      </c>
      <c r="DY671">
        <v>1</v>
      </c>
      <c r="DZ671">
        <v>1</v>
      </c>
      <c r="EA671" s="143">
        <v>0</v>
      </c>
      <c r="EB671">
        <v>1</v>
      </c>
      <c r="EC671">
        <v>1</v>
      </c>
      <c r="ED671">
        <v>0</v>
      </c>
      <c r="EE671">
        <v>1</v>
      </c>
      <c r="EF671">
        <v>1</v>
      </c>
      <c r="EG671">
        <v>1</v>
      </c>
      <c r="EH671">
        <v>0</v>
      </c>
      <c r="EI671" s="2">
        <v>0</v>
      </c>
      <c r="EK671" t="str">
        <f>IF(AND(AND(AND(OR($DX671=1,$DW671=1),OR($EC671=1,$EA671=1)),SUM($DV671:$DZ671,$EF671)&gt;=4),SUM($EA671:$EE671)&gt;=2),"Whole sector","")</f>
        <v>Whole sector</v>
      </c>
      <c r="EL671" t="str">
        <f>IF(AND(AND(OR($DX671=1,$DW671=1),AND($EC671=0,$EA671=0)),SUM($DV671:$DZ671,$EF671)&gt;=4),"Ecosystem approach","")</f>
        <v/>
      </c>
      <c r="EM671" s="2" t="str">
        <f>IF(AND(AND(AND($DX671=0,$DW671=0),OR($EC671=1,$EA671=1)),SUM($EB671:$EE671)&gt;=2),"Technology approach","")</f>
        <v/>
      </c>
      <c r="EP671" t="str">
        <f>IF(ISNUMBER(BU671),IF(ABS(BU671-[1]QC_indicators!$B$2)&gt;3*[1]QC_indicators!$C$2,"C ratio",IF(ISNUMBER(BY671),IF(ABS(BY671-[1]QC_indicators!$B$1)&gt;3*[1]QC_indicators!$C$1,"DF","no"))),IF(ISNUMBER(BY671),IF(ABS(BY671-[1]QC_indicators!$B$1)&gt;3*[1]QC_indicators!$C$1,"DF","no")))</f>
        <v>no</v>
      </c>
      <c r="EQ671" t="s">
        <v>286</v>
      </c>
      <c r="ET671" s="264" t="s">
        <v>3273</v>
      </c>
    </row>
    <row r="672" spans="1:150" ht="15" customHeight="1">
      <c r="A672" s="1" t="s">
        <v>1360</v>
      </c>
      <c r="B672" t="s">
        <v>2135</v>
      </c>
      <c r="C672" t="s">
        <v>2136</v>
      </c>
      <c r="D672" t="s">
        <v>2137</v>
      </c>
      <c r="E672" t="s">
        <v>2138</v>
      </c>
      <c r="F672" t="s">
        <v>2139</v>
      </c>
      <c r="G672" t="s">
        <v>1366</v>
      </c>
      <c r="H672" t="s">
        <v>254</v>
      </c>
      <c r="I672">
        <v>2012</v>
      </c>
      <c r="J672">
        <v>21</v>
      </c>
      <c r="K672" t="s">
        <v>2140</v>
      </c>
      <c r="L672" s="192"/>
      <c r="M672" t="str">
        <f>LEFT($D672,FIND(",",$D672)-1)&amp;"_"&amp;I672&amp;L672</f>
        <v>Pyorala_2012</v>
      </c>
      <c r="N672" t="s">
        <v>222</v>
      </c>
      <c r="O672" s="145" t="s">
        <v>341</v>
      </c>
      <c r="P672" s="193" t="s">
        <v>223</v>
      </c>
      <c r="Q672" s="264" t="s">
        <v>256</v>
      </c>
      <c r="R672" s="269" t="s">
        <v>1154</v>
      </c>
      <c r="S672" s="263" t="s">
        <v>2149</v>
      </c>
      <c r="T672" s="264" t="s">
        <v>2143</v>
      </c>
      <c r="U672" s="264" t="s">
        <v>2148</v>
      </c>
      <c r="V672">
        <v>0</v>
      </c>
      <c r="W672">
        <v>0</v>
      </c>
      <c r="X672">
        <v>0</v>
      </c>
      <c r="Y672">
        <v>1</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s="141">
        <f>COUNTIF(V672:AW672,"&lt;&gt;0")</f>
        <v>1</v>
      </c>
      <c r="AY672" s="141">
        <f>COUNTIF(V672:AL672,"&lt;&gt;0")</f>
        <v>1</v>
      </c>
      <c r="AZ672">
        <f>COUNTIF(V672:AC672,"&lt;&gt;0")</f>
        <v>1</v>
      </c>
      <c r="BA672">
        <f>COUNTIF(AD672:AI672,"&lt;&gt;0")</f>
        <v>0</v>
      </c>
      <c r="BB672">
        <f>COUNTIF(AJ672:AL672,"&lt;&gt;0")</f>
        <v>0</v>
      </c>
      <c r="BC672">
        <f>COUNTIF(AS672:AW672,"&lt;&gt;0")</f>
        <v>0</v>
      </c>
      <c r="BD672">
        <f>COUNTIF(AM672:AR672,"&lt;&gt;0")</f>
        <v>0</v>
      </c>
      <c r="BE672" t="str" cm="1">
        <f t="array" ref="BE672">IF(AY672=1,INDEX($V$7:$AL$7,MATCH(TRUE,INDEX($V672:$AW672&lt;&gt;0,),0)),IF(AY672=0,INDEX($AM$7:$AW$7,MATCH(1,$AM672:$AW672,0)),IF(BF672="Multiple strategies","mixed drivers",IF(BF672="Supply chain","multiple supply","multiple silviculture"))))</f>
        <v xml:space="preserve">cutting intensity </v>
      </c>
      <c r="BF672" s="2" t="str" cm="1">
        <f t="array" ref="BF672">IF(COUNTIF(AZ672:BB672,"&lt;&gt;0")=1,INDEX($V$4:$AW$4,MATCH(TRUE,INDEX($V672:$AW672&lt;&gt;0,),0)),IF(COUNTIF(AZ672:BB672,"&lt;&gt;0")=0,INDEX($AM$4:$AW$4,MATCH(1,$AM672:$AW672,0)),"Multiple strategies"))</f>
        <v>Silviculture for removals</v>
      </c>
      <c r="BG672" s="194" t="s">
        <v>321</v>
      </c>
      <c r="BH672" s="264" t="s">
        <v>2144</v>
      </c>
      <c r="BI672" s="264" t="s">
        <v>701</v>
      </c>
      <c r="BJ672" s="195" t="s">
        <v>700</v>
      </c>
      <c r="BK672">
        <v>7.8</v>
      </c>
      <c r="BL672">
        <v>9</v>
      </c>
      <c r="BN672">
        <f>BL672-BK672</f>
        <v>1.2000000000000002</v>
      </c>
      <c r="BO672">
        <f>BN672</f>
        <v>1.2000000000000002</v>
      </c>
      <c r="BP672" s="149" t="s">
        <v>395</v>
      </c>
      <c r="BQ672" s="264" t="s">
        <v>783</v>
      </c>
      <c r="BR672" s="149" t="s">
        <v>279</v>
      </c>
      <c r="BS672">
        <v>0.6</v>
      </c>
      <c r="BT672">
        <v>0.3</v>
      </c>
      <c r="BU672" s="144"/>
      <c r="BV672">
        <f>BT672-BS672</f>
        <v>-0.3</v>
      </c>
      <c r="BX672">
        <f>BV672</f>
        <v>-0.3</v>
      </c>
      <c r="BY672">
        <f>IFERROR(BX672/BO672,"")</f>
        <v>-0.24999999999999994</v>
      </c>
      <c r="BZ672">
        <v>0</v>
      </c>
      <c r="CA672">
        <v>0</v>
      </c>
      <c r="CB672">
        <v>0</v>
      </c>
      <c r="CC672">
        <v>0</v>
      </c>
      <c r="CD672">
        <v>0</v>
      </c>
      <c r="CE672">
        <v>0</v>
      </c>
      <c r="CF672">
        <v>0</v>
      </c>
      <c r="CG672">
        <v>0</v>
      </c>
      <c r="CH672">
        <v>0</v>
      </c>
      <c r="CI672">
        <v>0</v>
      </c>
      <c r="CJ672">
        <v>0</v>
      </c>
      <c r="CK672">
        <v>0</v>
      </c>
      <c r="CL672">
        <v>0</v>
      </c>
      <c r="CM672">
        <v>0</v>
      </c>
      <c r="CN672" t="str">
        <f>IF($BL672&lt;$BK672,"refNeedCorrection","refOK")</f>
        <v>refOK</v>
      </c>
      <c r="CO672">
        <f>IF($CN672="refOK",$BK672,$BL672)</f>
        <v>7.8</v>
      </c>
      <c r="CP672">
        <f>IF($CN672="refOK",$BL672,$BK672)</f>
        <v>9</v>
      </c>
      <c r="CQ672">
        <f>IF($CN672="refOK",$BO672,-$BO672)</f>
        <v>1.2000000000000002</v>
      </c>
      <c r="CR672">
        <f>IF($CN672="refOK",$BS672,$BT672)*IF($BP672="Emissions positive",-1,1)</f>
        <v>-0.6</v>
      </c>
      <c r="CS672">
        <f>IF($CN672="refOK",$BT672,$BS672)*IF($BP672="Emissions positive",-1,1)</f>
        <v>-0.3</v>
      </c>
      <c r="CT672">
        <f>IF($CN672="refNeedCorrection",-BX672,BX672)*IF($BP672="Emissions positive",-1,1)</f>
        <v>0.3</v>
      </c>
      <c r="CU672">
        <f>IFERROR(CT672/CQ672,"")</f>
        <v>0.24999999999999994</v>
      </c>
      <c r="CV672" s="2">
        <f>IFERROR((CS672-CR672)/ABS(CR672),"")</f>
        <v>0.5</v>
      </c>
      <c r="CW672" s="1" t="s">
        <v>1199</v>
      </c>
      <c r="CX672" s="264" t="str">
        <f>IF(OR($CW672="prd",$CW672="std",$CW672="cit"),"loc",IF(OR($CW672="eur",$CW672="reg",$CW672="coy"),"reg",$CW672))</f>
        <v>reg</v>
      </c>
      <c r="CY672" t="s">
        <v>235</v>
      </c>
      <c r="DB672">
        <v>50</v>
      </c>
      <c r="DC672" t="str">
        <f>IF(DB672=0,"0",IF(AND(DB672&gt;=1,DB672&lt;=30),"1-30",IF(AND(DB672&gt;30,DB672&lt;=70),"31-70",IF(AND(DB672&gt;70,DB672&lt;=100),"71-100",IF(DB672&gt;100,"+100")))))</f>
        <v>31-70</v>
      </c>
      <c r="DD672">
        <v>0</v>
      </c>
      <c r="DE672">
        <v>1</v>
      </c>
      <c r="DF672">
        <v>1</v>
      </c>
      <c r="DG672">
        <v>1</v>
      </c>
      <c r="DI672">
        <f>SUM(DD672:DG672)</f>
        <v>3</v>
      </c>
      <c r="DJ672" t="str">
        <f>IF(DI672=1,INDEX($DD$7:$DG$7,MATCH(1,$DD672:$DG672,0)),"mixedProduct")</f>
        <v>mixedProduct</v>
      </c>
      <c r="DK672">
        <f>IF(DD672=1,DK$7,0)</f>
        <v>0</v>
      </c>
      <c r="DL672" t="str">
        <f>IF(DE672=1,DL$7,0)</f>
        <v>Energy</v>
      </c>
      <c r="DM672" t="str">
        <f>IF(DF672=1,DM$7,0)</f>
        <v>Pulp/Paper</v>
      </c>
      <c r="DN672" t="str">
        <f>IF(DG672=1,DN$7,0)</f>
        <v>Timber</v>
      </c>
      <c r="DO672">
        <v>0</v>
      </c>
      <c r="DP672">
        <v>1</v>
      </c>
      <c r="DQ672" t="s">
        <v>2146</v>
      </c>
      <c r="DR672">
        <v>0</v>
      </c>
      <c r="DS672">
        <v>0</v>
      </c>
      <c r="DT672">
        <f>SUM(DO672:DP672)</f>
        <v>1</v>
      </c>
      <c r="DU672" s="143" t="str">
        <f>IF(DO672=1,"self-calculated DF",IF(DP672=1,"external DF used","explicit C balance"))</f>
        <v>external DF used</v>
      </c>
      <c r="DV672">
        <v>1</v>
      </c>
      <c r="DW672">
        <v>1</v>
      </c>
      <c r="DX672">
        <v>1</v>
      </c>
      <c r="DY672">
        <v>0</v>
      </c>
      <c r="DZ672">
        <v>1</v>
      </c>
      <c r="EA672">
        <v>0</v>
      </c>
      <c r="EB672">
        <v>1</v>
      </c>
      <c r="EC672">
        <v>1</v>
      </c>
      <c r="ED672">
        <v>0</v>
      </c>
      <c r="EE672">
        <v>0</v>
      </c>
      <c r="EF672">
        <v>1</v>
      </c>
      <c r="EG672">
        <v>0</v>
      </c>
      <c r="EH672">
        <v>0</v>
      </c>
      <c r="EI672" s="2">
        <v>0</v>
      </c>
      <c r="EK672" t="str">
        <f>IF(AND(AND(AND(OR($DX672=1,$DW672=1),OR($EC672=1,$EA672=1)),SUM($DV672:$DZ672,$EF672)&gt;=4),SUM($EA672:$EE672)&gt;=2),"Whole sector","")</f>
        <v>Whole sector</v>
      </c>
      <c r="EL672" t="str">
        <f>IF(AND(AND(OR($DX672=1,$DW672=1),AND($EC672=0,$EA672=0)),SUM($DV672:$DZ672,$EF672)&gt;=4),"Ecosystem approach","")</f>
        <v/>
      </c>
      <c r="EM672" s="2" t="str">
        <f>IF(AND(AND(AND($DX672=0,$DW672=0),OR($EC672=1,$EA672=1)),SUM($EB672:$EE672)&gt;=2),"Technology approach","")</f>
        <v/>
      </c>
      <c r="EP672" t="str">
        <f>IF(ISNUMBER(BU672),IF(ABS(BU672-[3]QC_indicators!$B$2)&gt;3*[3]QC_indicators!$C$2,"C ratio",IF(ISNUMBER(BY672),IF(ABS(BY672-[3]QC_indicators!$B$1)&gt;3*[3]QC_indicators!$C$1,"DF","no"))),IF(ISNUMBER(BY672),IF(ABS(BY672-[3]QC_indicators!$B$1)&gt;3*[3]QC_indicators!$C$1,"DF","no")))</f>
        <v>no</v>
      </c>
      <c r="ET672" s="264" t="s">
        <v>3407</v>
      </c>
    </row>
    <row r="673" spans="1:150" ht="15" customHeight="1">
      <c r="A673" s="174" t="s">
        <v>1286</v>
      </c>
      <c r="B673" s="141" t="s">
        <v>1287</v>
      </c>
      <c r="C673" s="141" t="s">
        <v>1288</v>
      </c>
      <c r="D673" s="141" t="s">
        <v>1289</v>
      </c>
      <c r="E673" s="141" t="s">
        <v>1290</v>
      </c>
      <c r="F673" s="141" t="s">
        <v>1291</v>
      </c>
      <c r="G673" s="141" t="s">
        <v>1292</v>
      </c>
      <c r="H673" s="141"/>
      <c r="I673" s="141">
        <v>2019</v>
      </c>
      <c r="J673" s="141"/>
      <c r="K673" s="141" t="s">
        <v>1293</v>
      </c>
      <c r="L673" s="141"/>
      <c r="M673" t="str">
        <f>LEFT($D673,FIND(",",$D673)-1)&amp;"_"&amp;I673&amp;L673</f>
        <v>Bosch_2019</v>
      </c>
      <c r="N673" t="s">
        <v>222</v>
      </c>
      <c r="O673" s="175" t="s">
        <v>225</v>
      </c>
      <c r="P673" s="141" t="s">
        <v>223</v>
      </c>
      <c r="Q673" s="264" t="s">
        <v>224</v>
      </c>
      <c r="R673" s="269" t="s">
        <v>1154</v>
      </c>
      <c r="S673" s="174" t="s">
        <v>1303</v>
      </c>
      <c r="T673" s="141" t="s">
        <v>1304</v>
      </c>
      <c r="U673" s="141" t="s">
        <v>1296</v>
      </c>
      <c r="V673" s="141">
        <v>1</v>
      </c>
      <c r="W673" s="141">
        <v>0</v>
      </c>
      <c r="X673" s="141">
        <v>0</v>
      </c>
      <c r="Y673" s="141">
        <v>0</v>
      </c>
      <c r="Z673" s="141">
        <v>0</v>
      </c>
      <c r="AA673" s="141">
        <v>0</v>
      </c>
      <c r="AB673" s="141">
        <v>0</v>
      </c>
      <c r="AC673" s="141">
        <v>0</v>
      </c>
      <c r="AD673" s="141">
        <v>0</v>
      </c>
      <c r="AE673" s="141">
        <v>0</v>
      </c>
      <c r="AF673" s="141">
        <v>0</v>
      </c>
      <c r="AG673" s="141">
        <v>0</v>
      </c>
      <c r="AH673" s="141">
        <v>0</v>
      </c>
      <c r="AI673" s="141">
        <v>0</v>
      </c>
      <c r="AJ673" s="141">
        <v>0</v>
      </c>
      <c r="AK673" s="141">
        <v>0</v>
      </c>
      <c r="AL673" s="141">
        <v>0</v>
      </c>
      <c r="AM673" s="141">
        <v>0</v>
      </c>
      <c r="AN673" s="141">
        <v>0</v>
      </c>
      <c r="AO673" s="141">
        <v>0</v>
      </c>
      <c r="AP673" s="141">
        <v>0</v>
      </c>
      <c r="AQ673" s="141">
        <v>0</v>
      </c>
      <c r="AR673" s="141">
        <v>0</v>
      </c>
      <c r="AS673" s="141">
        <v>0</v>
      </c>
      <c r="AT673" s="141">
        <v>0</v>
      </c>
      <c r="AU673" s="141">
        <v>0</v>
      </c>
      <c r="AV673" s="141">
        <v>0</v>
      </c>
      <c r="AW673" s="141">
        <v>0</v>
      </c>
      <c r="AX673" s="141">
        <f>COUNTIF(V673:AW673,"&lt;&gt;0")</f>
        <v>1</v>
      </c>
      <c r="AY673" s="141">
        <f>COUNTIF(V673:AL673,"&lt;&gt;0")</f>
        <v>1</v>
      </c>
      <c r="AZ673">
        <f>COUNTIF(V673:AC673,"&lt;&gt;0")</f>
        <v>1</v>
      </c>
      <c r="BA673">
        <f>COUNTIF(AD673:AI673,"&lt;&gt;0")</f>
        <v>0</v>
      </c>
      <c r="BB673">
        <f>COUNTIF(AJ673:AL673,"&lt;&gt;0")</f>
        <v>0</v>
      </c>
      <c r="BC673">
        <f>COUNTIF(AS673:AW673,"&lt;&gt;0")</f>
        <v>0</v>
      </c>
      <c r="BD673">
        <f>COUNTIF(AM673:AR673,"&lt;&gt;0")</f>
        <v>0</v>
      </c>
      <c r="BE673" t="str" cm="1">
        <f t="array" ref="BE673">IF(AY673=1,INDEX($V$7:$AL$7,MATCH(TRUE,INDEX($V673:$AW673&lt;&gt;0,),0)),IF(AY673=0,INDEX($AM$7:$AW$7,MATCH(1,$AM673:$AW673,0)),IF(BF673="Multiple strategies","mixed drivers",IF(BF673="Supply chain","multiple supply","multiple silviculture"))))</f>
        <v>area subject to harvest</v>
      </c>
      <c r="BF673" s="2" t="str" cm="1">
        <f t="array" ref="BF673">IF(COUNTIF(AZ673:BB673,"&lt;&gt;0")=1,INDEX($V$4:$AW$4,MATCH(TRUE,INDEX($V673:$AW673&lt;&gt;0,),0)),IF(COUNTIF(AZ673:BB673,"&lt;&gt;0")=0,INDEX($AM$4:$AW$4,MATCH(1,$AM673:$AW673,0)),"Multiple strategies"))</f>
        <v>Silviculture for removals</v>
      </c>
      <c r="BG673" s="173" t="s">
        <v>321</v>
      </c>
      <c r="BH673" s="141" t="s">
        <v>1297</v>
      </c>
      <c r="BI673" s="141" t="s">
        <v>1298</v>
      </c>
      <c r="BJ673" s="163" t="s">
        <v>1299</v>
      </c>
      <c r="BK673" s="176">
        <v>2330</v>
      </c>
      <c r="BL673" s="163">
        <v>2405</v>
      </c>
      <c r="BM673" s="264">
        <f>BL673/BK673</f>
        <v>1.0321888412017168</v>
      </c>
      <c r="BN673">
        <f>BL673-BK673</f>
        <v>75</v>
      </c>
      <c r="BO673" s="158">
        <f>BN673*10^6</f>
        <v>75000000</v>
      </c>
      <c r="BP673" s="264" t="s">
        <v>395</v>
      </c>
      <c r="BQ673" s="153" t="s">
        <v>429</v>
      </c>
      <c r="BR673" s="151" t="s">
        <v>1300</v>
      </c>
      <c r="BS673" s="141"/>
      <c r="BT673" s="163"/>
      <c r="BU673" s="144" t="str">
        <f>IFERROR(BT673/BS673,"")</f>
        <v/>
      </c>
      <c r="BV673" s="176">
        <v>-19</v>
      </c>
      <c r="BX673">
        <f>BV673*10^6</f>
        <v>-19000000</v>
      </c>
      <c r="BY673">
        <f>IFERROR(BX673/BO673,"")</f>
        <v>-0.25333333333333335</v>
      </c>
      <c r="BZ673" s="141">
        <v>0</v>
      </c>
      <c r="CA673" s="141">
        <v>0</v>
      </c>
      <c r="CB673" s="141">
        <v>0</v>
      </c>
      <c r="CC673" s="141">
        <v>0</v>
      </c>
      <c r="CD673" s="141">
        <v>0</v>
      </c>
      <c r="CE673" s="141">
        <v>0</v>
      </c>
      <c r="CF673" s="141">
        <v>0</v>
      </c>
      <c r="CG673" s="141">
        <v>0</v>
      </c>
      <c r="CH673" s="141">
        <v>0</v>
      </c>
      <c r="CI673" s="141">
        <v>0</v>
      </c>
      <c r="CJ673" s="141">
        <v>0</v>
      </c>
      <c r="CK673" s="141">
        <v>0</v>
      </c>
      <c r="CL673" s="141">
        <v>0</v>
      </c>
      <c r="CM673" s="141">
        <v>1</v>
      </c>
      <c r="CN673" t="str">
        <f>IF(BL673&lt;BK673,"refNeedCorrection","refOK")</f>
        <v>refOK</v>
      </c>
      <c r="CO673">
        <f>IF($CN673="refOK",$BK673,$BL673)</f>
        <v>2330</v>
      </c>
      <c r="CP673">
        <f>IF($CN673="refOK",$BL673,$BK673)</f>
        <v>2405</v>
      </c>
      <c r="CQ673">
        <f>IF($CN673="refOK",$BO673,-$BO673)</f>
        <v>75000000</v>
      </c>
      <c r="CR673">
        <f>IF($CN673="refOK",$BS673,$BT673)*IF($BP673="Emissions positive",-1,1)</f>
        <v>0</v>
      </c>
      <c r="CS673">
        <f>IF($CN673="refOK",$BT673,$BS673)*IF($BP673="Emissions positive",-1,1)</f>
        <v>0</v>
      </c>
      <c r="CT673">
        <f>IF($CN673="refNeedCorrection",-BX673,BX673)*IF($BP673="Emissions positive",-1,1)</f>
        <v>19000000</v>
      </c>
      <c r="CU673">
        <f>IFERROR(CT673/CQ673,"")</f>
        <v>0.25333333333333335</v>
      </c>
      <c r="CV673" s="2" t="str">
        <f>IFERROR((CS673-CR673)/ABS(CR673),"")</f>
        <v/>
      </c>
      <c r="CW673" s="174" t="s">
        <v>1203</v>
      </c>
      <c r="CX673" s="264" t="str">
        <f>IF(OR($CW673="prd",$CW673="std",$CW673="cit"),"loc",IF(OR($CW673="eur",$CW673="reg",$CW673="coy"),"reg",$CW673))</f>
        <v>reg</v>
      </c>
      <c r="CY673" s="141" t="s">
        <v>1301</v>
      </c>
      <c r="CZ673" s="141">
        <v>2016</v>
      </c>
      <c r="DA673" s="163">
        <v>2046</v>
      </c>
      <c r="DB673" s="163">
        <v>30</v>
      </c>
      <c r="DC673" t="str">
        <f>IF(DB673=0,"0",IF(AND(DB673&gt;=1,DB673&lt;=30),"1-30",IF(AND(DB673&gt;30,DB673&lt;=70),"31-70",IF(AND(DB673&gt;70,DB673&lt;=100),"71-100",IF(DB673&gt;100,"+100")))))</f>
        <v>1-30</v>
      </c>
      <c r="DD673" s="141">
        <v>1</v>
      </c>
      <c r="DE673" s="141">
        <v>1</v>
      </c>
      <c r="DF673" s="141">
        <v>0</v>
      </c>
      <c r="DG673" s="141">
        <v>1</v>
      </c>
      <c r="DI673">
        <f>SUM(DD673:DG673)</f>
        <v>3</v>
      </c>
      <c r="DJ673" t="str">
        <f>IF(DI673=1,INDEX($DD$7:$DG$7,MATCH(1,$DD673:$DG673,0)),"mixedProduct")</f>
        <v>mixedProduct</v>
      </c>
      <c r="DK673" t="str">
        <f>IF(DD673=1,DK$7,0)</f>
        <v>Upstream</v>
      </c>
      <c r="DL673" t="str">
        <f>IF(DE673=1,DL$7,0)</f>
        <v>Energy</v>
      </c>
      <c r="DM673">
        <f>IF(DF673=1,DM$7,0)</f>
        <v>0</v>
      </c>
      <c r="DN673" t="str">
        <f>IF(DG673=1,DN$7,0)</f>
        <v>Timber</v>
      </c>
      <c r="DO673" s="163">
        <v>0</v>
      </c>
      <c r="DP673" s="141">
        <v>1</v>
      </c>
      <c r="DQ673" s="163" t="s">
        <v>1305</v>
      </c>
      <c r="DR673" s="163" t="s">
        <v>1306</v>
      </c>
      <c r="DS673" s="163">
        <v>0</v>
      </c>
      <c r="DT673">
        <f>SUM(DO673:DP673)</f>
        <v>1</v>
      </c>
      <c r="DU673" s="143" t="str">
        <f>IF(DO673=1,"self-calculated DF",IF(DP673=1,"external DF used","explicit C balance"))</f>
        <v>external DF used</v>
      </c>
      <c r="DV673" s="163">
        <v>1</v>
      </c>
      <c r="DW673" s="141">
        <v>1</v>
      </c>
      <c r="DX673" s="163">
        <v>1</v>
      </c>
      <c r="DY673" s="163">
        <v>1</v>
      </c>
      <c r="DZ673" s="141">
        <v>1</v>
      </c>
      <c r="EA673" s="141">
        <v>1</v>
      </c>
      <c r="EB673" s="143">
        <v>0</v>
      </c>
      <c r="EC673" s="141">
        <v>0</v>
      </c>
      <c r="ED673" s="143">
        <v>0</v>
      </c>
      <c r="EE673" s="143">
        <v>0</v>
      </c>
      <c r="EF673" s="141">
        <v>1</v>
      </c>
      <c r="EG673" s="163">
        <v>0</v>
      </c>
      <c r="EH673" s="141">
        <v>0</v>
      </c>
      <c r="EI673" s="177">
        <v>0</v>
      </c>
      <c r="EK673" t="str">
        <f>IF(AND(AND(AND(OR($DX673=1,$DW673=1),OR($EC673=1,$EA673=1)),SUM($DV673:$DZ673,$EF673)&gt;=4),SUM($EA673:$EE673)&gt;=2),"Whole sector","")</f>
        <v/>
      </c>
      <c r="EL673" t="str">
        <f>IF(AND(AND(OR($DX673=1,$DW673=1),AND($EC673=0,$EA673=0)),SUM($DV673:$DZ673,$EF673)&gt;=4),"Ecosystem approach","")</f>
        <v/>
      </c>
      <c r="EM673" s="2" t="str">
        <f>IF(AND(AND(AND($DX673=0,$DW673=0),OR($EC673=1,$EA673=1)),SUM($EB673:$EE673)&gt;=2),"Technology approach","")</f>
        <v/>
      </c>
      <c r="EN673" s="141"/>
      <c r="EP673" t="str">
        <f>IF(ISNUMBER(BU673),IF(ABS(BU673-[3]QC_indicators!$B$2)&gt;3*[3]QC_indicators!$C$2,"C ratio",IF(ISNUMBER(BY673),IF(ABS(BY673-[3]QC_indicators!$B$1)&gt;3*[3]QC_indicators!$C$1,"DF","no"))),IF(ISNUMBER(BY673),IF(ABS(BY673-[3]QC_indicators!$B$1)&gt;3*[3]QC_indicators!$C$1,"DF","no")))</f>
        <v>no</v>
      </c>
      <c r="ER673" s="294" t="s">
        <v>1302</v>
      </c>
      <c r="ET673" s="264" t="s">
        <v>3407</v>
      </c>
    </row>
    <row r="674" spans="1:150" ht="15" customHeight="1">
      <c r="D674" t="s">
        <v>757</v>
      </c>
      <c r="E674" t="s">
        <v>758</v>
      </c>
      <c r="G674" t="s">
        <v>759</v>
      </c>
      <c r="I674">
        <v>2006</v>
      </c>
      <c r="K674" s="296" t="s">
        <v>760</v>
      </c>
      <c r="M674" t="str">
        <f>LEFT($D674,FIND(",",$D674)-1)&amp;"_"&amp;I674&amp;L674</f>
        <v>Gustavsson_2006</v>
      </c>
      <c r="N674" t="s">
        <v>222</v>
      </c>
      <c r="O674" t="s">
        <v>223</v>
      </c>
      <c r="Q674" s="264" t="s">
        <v>256</v>
      </c>
      <c r="R674" s="269" t="s">
        <v>1154</v>
      </c>
      <c r="S674" s="263" t="s">
        <v>767</v>
      </c>
      <c r="T674" t="s">
        <v>753</v>
      </c>
      <c r="U674" s="143" t="s">
        <v>754</v>
      </c>
      <c r="V674">
        <v>0</v>
      </c>
      <c r="W674">
        <v>0</v>
      </c>
      <c r="X674">
        <v>0</v>
      </c>
      <c r="Y674">
        <v>0</v>
      </c>
      <c r="Z674">
        <v>0</v>
      </c>
      <c r="AA674">
        <v>0</v>
      </c>
      <c r="AB674">
        <v>0</v>
      </c>
      <c r="AC674">
        <v>0</v>
      </c>
      <c r="AD674">
        <v>0</v>
      </c>
      <c r="AE674">
        <v>0</v>
      </c>
      <c r="AF674">
        <v>0</v>
      </c>
      <c r="AG674">
        <v>0</v>
      </c>
      <c r="AH674">
        <v>0</v>
      </c>
      <c r="AI674">
        <v>0</v>
      </c>
      <c r="AJ674">
        <v>0</v>
      </c>
      <c r="AK674">
        <v>1</v>
      </c>
      <c r="AL674">
        <v>0</v>
      </c>
      <c r="AM674">
        <v>0</v>
      </c>
      <c r="AN674">
        <v>0</v>
      </c>
      <c r="AO674">
        <v>0</v>
      </c>
      <c r="AP674">
        <v>0</v>
      </c>
      <c r="AQ674">
        <v>0</v>
      </c>
      <c r="AR674">
        <v>0</v>
      </c>
      <c r="AS674">
        <v>0</v>
      </c>
      <c r="AT674">
        <v>0</v>
      </c>
      <c r="AU674">
        <v>0</v>
      </c>
      <c r="AV674">
        <v>0</v>
      </c>
      <c r="AW674">
        <v>0</v>
      </c>
      <c r="AX674" s="141">
        <f>COUNTIF(V674:AW674,"&lt;&gt;0")</f>
        <v>1</v>
      </c>
      <c r="AY674" s="141">
        <f>COUNTIF(V674:AL674,"&lt;&gt;0")</f>
        <v>1</v>
      </c>
      <c r="AZ674">
        <f>COUNTIF(V674:AC674,"&lt;&gt;0")</f>
        <v>0</v>
      </c>
      <c r="BA674">
        <f>COUNTIF(AD674:AI674,"&lt;&gt;0")</f>
        <v>0</v>
      </c>
      <c r="BB674">
        <f>COUNTIF(AJ674:AL674,"&lt;&gt;0")</f>
        <v>1</v>
      </c>
      <c r="BC674">
        <f>COUNTIF(AS674:AW674,"&lt;&gt;0")</f>
        <v>0</v>
      </c>
      <c r="BD674">
        <f>COUNTIF(AM674:AR674,"&lt;&gt;0")</f>
        <v>0</v>
      </c>
      <c r="BE674" t="str" cm="1">
        <f t="array" ref="BE674">IF(AY674=1,INDEX($V$7:$AL$7,MATCH(TRUE,INDEX($V674:$AW674&lt;&gt;0,),0)),IF(AY674=0,INDEX($AM$7:$AW$7,MATCH(1,$AM674:$AW674,0)),IF(BF674="Multiple strategies","mixed drivers",IF(BF674="Supply chain","multiple supply","multiple silviculture"))))</f>
        <v>technologies/design switch</v>
      </c>
      <c r="BF674" s="2" t="str" cm="1">
        <f t="array" ref="BF674">IF(COUNTIF(AZ674:BB674,"&lt;&gt;0")=1,INDEX($V$4:$AW$4,MATCH(TRUE,INDEX($V674:$AW674&lt;&gt;0,),0)),IF(COUNTIF(AZ674:BB674,"&lt;&gt;0")=0,INDEX($AM$4:$AW$4,MATCH(1,$AM674:$AW674,0)),"Multiple strategies"))</f>
        <v>Technology</v>
      </c>
      <c r="BG674" s="142" t="s">
        <v>229</v>
      </c>
      <c r="BH674" t="s">
        <v>393</v>
      </c>
      <c r="BI674" s="264" t="s">
        <v>762</v>
      </c>
      <c r="BJ674" s="143" t="s">
        <v>763</v>
      </c>
      <c r="BK674">
        <v>32</v>
      </c>
      <c r="BL674" s="143">
        <v>145</v>
      </c>
      <c r="BM674" s="143"/>
      <c r="BN674">
        <f>BL674-BK674</f>
        <v>113</v>
      </c>
      <c r="BO674" s="143">
        <f>BN674*t_to_m3</f>
        <v>230.61224489795919</v>
      </c>
      <c r="BP674" s="264" t="s">
        <v>232</v>
      </c>
      <c r="BQ674" s="155" t="s">
        <v>764</v>
      </c>
      <c r="BR674" t="s">
        <v>442</v>
      </c>
      <c r="BS674" s="143">
        <v>-67.7</v>
      </c>
      <c r="BT674" s="151">
        <v>-51.3</v>
      </c>
      <c r="BV674">
        <f>BT674-BS674</f>
        <v>16.400000000000006</v>
      </c>
      <c r="BX674">
        <f>BV674*C_to_CO2</f>
        <v>60.188000000000017</v>
      </c>
      <c r="BY674">
        <f>IFERROR(BX674/BO674,"")</f>
        <v>0.26099221238938058</v>
      </c>
      <c r="BZ674" s="143">
        <v>0</v>
      </c>
      <c r="CA674" s="143">
        <v>0</v>
      </c>
      <c r="CB674" s="143">
        <v>0</v>
      </c>
      <c r="CC674" s="143">
        <v>0</v>
      </c>
      <c r="CD674" s="143">
        <v>0</v>
      </c>
      <c r="CE674" s="143">
        <v>0</v>
      </c>
      <c r="CF674" s="143">
        <v>0</v>
      </c>
      <c r="CG674" s="143">
        <v>0</v>
      </c>
      <c r="CH674" s="143">
        <v>0</v>
      </c>
      <c r="CI674" s="143">
        <v>0</v>
      </c>
      <c r="CJ674" s="143">
        <v>0</v>
      </c>
      <c r="CK674" s="143">
        <v>0</v>
      </c>
      <c r="CL674" s="143">
        <v>0</v>
      </c>
      <c r="CM674">
        <v>0</v>
      </c>
      <c r="CN674" t="str">
        <f>IF($BL674&lt;$BK674,"refNeedCorrection","refOK")</f>
        <v>refOK</v>
      </c>
      <c r="CO674">
        <f>IF($CN674="refOK",$BK674,$BL674)</f>
        <v>32</v>
      </c>
      <c r="CP674">
        <f>IF($CN674="refOK",$BL674,$BK674)</f>
        <v>145</v>
      </c>
      <c r="CQ674">
        <f>IF($CN674="refOK",$BO674,-$BO674)</f>
        <v>230.61224489795919</v>
      </c>
      <c r="CR674">
        <f>IF($CN674="refOK",$BS674,$BT674)*IF($BP674="Emissions positive",-1,1)</f>
        <v>-67.7</v>
      </c>
      <c r="CS674">
        <f>IF($CN674="refOK",$BT674,$BS674)*IF($BP674="Emissions positive",-1,1)</f>
        <v>-51.3</v>
      </c>
      <c r="CT674">
        <f>IF($CN674="refNeedCorrection",-BX674,BX674)*IF($BP674="Emissions positive",-1,1)</f>
        <v>60.188000000000017</v>
      </c>
      <c r="CU674">
        <f>IFERROR(CT674/CQ674,"")</f>
        <v>0.26099221238938058</v>
      </c>
      <c r="CV674" s="2">
        <f>IFERROR((CS674-CR674)/ABS(CR674),"")</f>
        <v>0.24224519940915812</v>
      </c>
      <c r="CW674" s="1" t="s">
        <v>263</v>
      </c>
      <c r="CX674" s="264" t="str">
        <f>IF(OR($CW674="prd",$CW674="std",$CW674="cit"),"loc",IF(OR($CW674="eur",$CW674="reg",$CW674="coy"),"reg",$CW674))</f>
        <v>loc</v>
      </c>
      <c r="CY674" t="s">
        <v>235</v>
      </c>
      <c r="DA674" s="143"/>
      <c r="DB674" s="143">
        <v>0</v>
      </c>
      <c r="DC674" t="str">
        <f>IF(DB674=0,"0",IF(AND(DB674&gt;=1,DB674&lt;=30),"1-30",IF(AND(DB674&gt;30,DB674&lt;=70),"31-70",IF(AND(DB674&gt;70,DB674&lt;=100),"71-100",IF(DB674&gt;100,"+100")))))</f>
        <v>0</v>
      </c>
      <c r="DD674">
        <v>0</v>
      </c>
      <c r="DE674">
        <v>0</v>
      </c>
      <c r="DF674">
        <v>0</v>
      </c>
      <c r="DG674">
        <v>1</v>
      </c>
      <c r="DI674">
        <f>SUM(DD674:DG674)</f>
        <v>1</v>
      </c>
      <c r="DJ674" t="str">
        <f>IF(DI674=1,INDEX($DD$7:$DG$7,MATCH(1,$DD674:$DG674,0)),"mixedProduct")</f>
        <v>TimberInput</v>
      </c>
      <c r="DK674">
        <f>IF(DD674=1,DK$7,0)</f>
        <v>0</v>
      </c>
      <c r="DL674">
        <f>IF(DE674=1,DL$7,0)</f>
        <v>0</v>
      </c>
      <c r="DM674">
        <f>IF(DF674=1,DM$7,0)</f>
        <v>0</v>
      </c>
      <c r="DN674" t="str">
        <f>IF(DG674=1,DN$7,0)</f>
        <v>Timber</v>
      </c>
      <c r="DO674">
        <v>1</v>
      </c>
      <c r="DP674" s="143">
        <v>0</v>
      </c>
      <c r="DQ674" s="143">
        <v>0</v>
      </c>
      <c r="DR674">
        <v>0</v>
      </c>
      <c r="DS674" s="143">
        <v>0</v>
      </c>
      <c r="DT674">
        <f>SUM(DO674:DP674)</f>
        <v>1</v>
      </c>
      <c r="DU674" s="143" t="str">
        <f>IF(DO674=1,"self-calculated DF",IF(DP674=1,"external DF used","explicit C balance"))</f>
        <v>self-calculated DF</v>
      </c>
      <c r="DV674" s="143">
        <v>0</v>
      </c>
      <c r="DW674" s="143">
        <v>0</v>
      </c>
      <c r="DX674" s="143">
        <v>0</v>
      </c>
      <c r="DY674" s="143">
        <v>0</v>
      </c>
      <c r="DZ674">
        <v>0</v>
      </c>
      <c r="EA674" s="143">
        <v>1</v>
      </c>
      <c r="EB674" s="143">
        <v>1</v>
      </c>
      <c r="EC674" s="143">
        <v>1</v>
      </c>
      <c r="ED674" s="143">
        <v>0</v>
      </c>
      <c r="EE674">
        <v>0</v>
      </c>
      <c r="EF674">
        <v>0</v>
      </c>
      <c r="EG674" s="143">
        <v>0</v>
      </c>
      <c r="EH674" s="143">
        <v>0</v>
      </c>
      <c r="EI674" s="2">
        <v>0</v>
      </c>
      <c r="EK674" t="str">
        <f>IF(AND(AND(AND(OR($DX674=1,$DW674=1),OR($EC674=1,$EA674=1)),SUM($DV674:$DZ674,$EF674)&gt;=4),SUM($EA674:$EE674)&gt;=2),"Whole sector","")</f>
        <v/>
      </c>
      <c r="EL674" t="str">
        <f>IF(AND(AND(OR($DX674=1,$DW674=1),AND($EC674=0,$EA674=0)),SUM($DV674:$DZ674,$EF674)&gt;=4),"Ecosystem approach","")</f>
        <v/>
      </c>
      <c r="EM674" s="2" t="str">
        <f>IF(AND(AND(AND($DX674=0,$DW674=0),OR($EC674=1,$EA674=1)),SUM($EB674:$EE674)&gt;=2),"Technology approach","")</f>
        <v>Technology approach</v>
      </c>
      <c r="EP674" t="str">
        <f>IF(ISNUMBER(BU674),IF(ABS(BU674-[3]QC_indicators!$B$2)&gt;3*[3]QC_indicators!$C$2,"C ratio",IF(ISNUMBER(BY674),IF(ABS(BY674-[3]QC_indicators!$B$1)&gt;3*[3]QC_indicators!$C$1,"DF","no"))),IF(ISNUMBER(BY674),IF(ABS(BY674-[3]QC_indicators!$B$1)&gt;3*[3]QC_indicators!$C$1,"DF","no")))</f>
        <v>no</v>
      </c>
      <c r="ER674" s="294" t="s">
        <v>349</v>
      </c>
      <c r="ET674" s="264" t="s">
        <v>3407</v>
      </c>
    </row>
    <row r="675" spans="1:150" ht="15" customHeight="1">
      <c r="A675" s="1" t="s">
        <v>1102</v>
      </c>
      <c r="B675" t="s">
        <v>2381</v>
      </c>
      <c r="C675" t="s">
        <v>2382</v>
      </c>
      <c r="D675" t="s">
        <v>2383</v>
      </c>
      <c r="E675" t="s">
        <v>2384</v>
      </c>
      <c r="F675" t="s">
        <v>2385</v>
      </c>
      <c r="G675" t="s">
        <v>1108</v>
      </c>
      <c r="H675" t="s">
        <v>254</v>
      </c>
      <c r="I675">
        <v>2016</v>
      </c>
      <c r="J675">
        <v>13</v>
      </c>
      <c r="K675" t="s">
        <v>2386</v>
      </c>
      <c r="M675" t="str">
        <f>LEFT($D675,FIND(",",$D675)-1)&amp;"_"&amp;I675&amp;L675</f>
        <v>Torssonen_2016</v>
      </c>
      <c r="N675" t="s">
        <v>222</v>
      </c>
      <c r="O675" s="145" t="s">
        <v>1154</v>
      </c>
      <c r="Q675" s="264" t="s">
        <v>256</v>
      </c>
      <c r="R675" s="269" t="s">
        <v>341</v>
      </c>
      <c r="S675" s="1" t="s">
        <v>2404</v>
      </c>
      <c r="T675" s="264" t="s">
        <v>2401</v>
      </c>
      <c r="U675" t="s">
        <v>2405</v>
      </c>
      <c r="V675">
        <v>0</v>
      </c>
      <c r="W675">
        <v>0</v>
      </c>
      <c r="X675">
        <v>0</v>
      </c>
      <c r="Y675">
        <v>0</v>
      </c>
      <c r="Z675">
        <v>0</v>
      </c>
      <c r="AA675">
        <v>0</v>
      </c>
      <c r="AB675">
        <v>0</v>
      </c>
      <c r="AC675">
        <v>0</v>
      </c>
      <c r="AD675">
        <v>0</v>
      </c>
      <c r="AE675">
        <v>0</v>
      </c>
      <c r="AF675">
        <v>0</v>
      </c>
      <c r="AG675">
        <v>0</v>
      </c>
      <c r="AH675">
        <v>0</v>
      </c>
      <c r="AI675">
        <v>0</v>
      </c>
      <c r="AJ675">
        <v>0</v>
      </c>
      <c r="AK675">
        <v>0</v>
      </c>
      <c r="AL675">
        <v>0</v>
      </c>
      <c r="AM675">
        <v>0</v>
      </c>
      <c r="AN675">
        <v>1</v>
      </c>
      <c r="AO675">
        <v>1</v>
      </c>
      <c r="AP675">
        <v>0</v>
      </c>
      <c r="AQ675">
        <v>0</v>
      </c>
      <c r="AR675">
        <v>0</v>
      </c>
      <c r="AS675">
        <v>0</v>
      </c>
      <c r="AT675">
        <v>0</v>
      </c>
      <c r="AU675">
        <v>0</v>
      </c>
      <c r="AV675">
        <v>0</v>
      </c>
      <c r="AW675">
        <v>0</v>
      </c>
      <c r="AX675" s="141">
        <f>COUNTIF(V675:AW675,"&lt;&gt;0")</f>
        <v>2</v>
      </c>
      <c r="AY675" s="141">
        <f>COUNTIF(V675:AL675,"&lt;&gt;0")</f>
        <v>0</v>
      </c>
      <c r="AZ675">
        <f>COUNTIF(V675:AC675,"&lt;&gt;0")</f>
        <v>0</v>
      </c>
      <c r="BA675">
        <f>COUNTIF(AD675:AI675,"&lt;&gt;0")</f>
        <v>0</v>
      </c>
      <c r="BB675">
        <f>COUNTIF(AJ675:AL675,"&lt;&gt;0")</f>
        <v>0</v>
      </c>
      <c r="BC675">
        <f>COUNTIF(AS675:AW675,"&lt;&gt;0")</f>
        <v>0</v>
      </c>
      <c r="BD675">
        <f>COUNTIF(AM675:AR675,"&lt;&gt;0")</f>
        <v>2</v>
      </c>
      <c r="BE675" t="str" cm="1">
        <f t="array" ref="BE675">IF(AY675=1,INDEX($V$7:$AL$7,MATCH(TRUE,INDEX($V675:$AW675&lt;&gt;0,),0)),IF(AY675=0,INDEX($AM$7:$AW$7,MATCH(1,$AM675:$AW675,0)),IF(BF675="Multiple strategies","mixed drivers",IF(BF675="Supply chain","multiple supply","multiple silviculture"))))</f>
        <v>Temperature</v>
      </c>
      <c r="BF675" s="2" t="str" cm="1">
        <f t="array" ref="BF675">IF(COUNTIF(AZ675:BB675,"&lt;&gt;0")=1,INDEX($V$4:$AW$4,MATCH(TRUE,INDEX($V675:$AW675&lt;&gt;0,),0)),IF(COUNTIF(AZ675:BB675,"&lt;&gt;0")=0,INDEX($AM$4:$AW$4,MATCH(1,$AM675:$AW675,0)),"Multiple strategies"))</f>
        <v>Environmental change</v>
      </c>
      <c r="BG675" s="1" t="s">
        <v>229</v>
      </c>
      <c r="BH675" s="306" t="s">
        <v>2144</v>
      </c>
      <c r="BI675" s="264" t="s">
        <v>2391</v>
      </c>
      <c r="BJ675" s="306" t="s">
        <v>1058</v>
      </c>
      <c r="BK675">
        <v>6.8142857049999996</v>
      </c>
      <c r="BL675">
        <v>7.0346938679999997</v>
      </c>
      <c r="BM675" s="143">
        <f>BL675/BK675</f>
        <v>1.0323450134822312</v>
      </c>
      <c r="BN675">
        <f>BL675-BK675</f>
        <v>0.2204081630000001</v>
      </c>
      <c r="BO675">
        <f>BN675</f>
        <v>0.2204081630000001</v>
      </c>
      <c r="BP675" s="306" t="s">
        <v>395</v>
      </c>
      <c r="BQ675" s="153" t="s">
        <v>3421</v>
      </c>
      <c r="BR675" s="264" t="s">
        <v>2393</v>
      </c>
      <c r="BS675">
        <v>-302.54545454545399</v>
      </c>
      <c r="BT675">
        <v>-308.36363636363598</v>
      </c>
      <c r="BU675" s="144"/>
      <c r="BV675" s="144">
        <f>BT675-BS675</f>
        <v>-5.8181818181819835</v>
      </c>
      <c r="BW675" s="144"/>
      <c r="BX675" s="144">
        <f>BV675*10^4/10^6</f>
        <v>-5.8181818181819833E-2</v>
      </c>
      <c r="BY675">
        <f>IFERROR(BX675/BO675,"")</f>
        <v>-0.26397306429081668</v>
      </c>
      <c r="BZ675">
        <v>0</v>
      </c>
      <c r="CA675">
        <v>0</v>
      </c>
      <c r="CB675">
        <v>0</v>
      </c>
      <c r="CC675">
        <v>0</v>
      </c>
      <c r="CD675">
        <v>0</v>
      </c>
      <c r="CE675">
        <v>0</v>
      </c>
      <c r="CF675">
        <v>0</v>
      </c>
      <c r="CG675">
        <v>0</v>
      </c>
      <c r="CH675">
        <v>0</v>
      </c>
      <c r="CI675">
        <v>0</v>
      </c>
      <c r="CJ675">
        <v>0</v>
      </c>
      <c r="CK675">
        <v>0</v>
      </c>
      <c r="CL675">
        <v>0</v>
      </c>
      <c r="CM675">
        <v>1</v>
      </c>
      <c r="CN675" t="str">
        <f>IF($BL675&lt;$BK675,"refNeedCorrection","refOK")</f>
        <v>refOK</v>
      </c>
      <c r="CO675">
        <f>IF($CN675="refOK",$BK675,$BL675)</f>
        <v>6.8142857049999996</v>
      </c>
      <c r="CP675">
        <f>IF($CN675="refOK",$BL675,$BK675)</f>
        <v>7.0346938679999997</v>
      </c>
      <c r="CQ675">
        <f>IF($CN675="refOK",$BO675,-$BO675)</f>
        <v>0.2204081630000001</v>
      </c>
      <c r="CR675">
        <f>IF($CN675="refOK",$BS675,$BT675)*IF($BP675="Emissions positive",-1,1)</f>
        <v>302.54545454545399</v>
      </c>
      <c r="CS675">
        <f>IF($CN675="refOK",$BT675,$BS675)*IF($BP675="Emissions positive",-1,1)</f>
        <v>308.36363636363598</v>
      </c>
      <c r="CT675">
        <f>IF($CN675="refNeedCorrection",-BX675,BX675)*IF($BP675="Emissions positive",-1,1)</f>
        <v>5.8181818181819833E-2</v>
      </c>
      <c r="CU675">
        <f>IFERROR(CT675/CQ675,"")</f>
        <v>0.26397306429081668</v>
      </c>
      <c r="CV675" s="2">
        <f>IFERROR((CS675-CR675)/ABS(CR675),"")</f>
        <v>1.9230769230769811E-2</v>
      </c>
      <c r="CW675" s="1" t="s">
        <v>1199</v>
      </c>
      <c r="CX675" s="264" t="str">
        <f>IF(OR($CW675="prd",$CW675="std",$CW675="cit"),"loc",IF(OR($CW675="eur",$CW675="reg",$CW675="coy"),"reg",$CW675))</f>
        <v>reg</v>
      </c>
      <c r="CY675" t="s">
        <v>235</v>
      </c>
      <c r="CZ675">
        <v>2020</v>
      </c>
      <c r="DA675">
        <v>2100</v>
      </c>
      <c r="DB675">
        <f>DA675-CZ675</f>
        <v>80</v>
      </c>
      <c r="DC675" t="str">
        <f>IF(DB675=0,"0",IF(AND(DB675&gt;=1,DB675&lt;=30),"1-30",IF(AND(DB675&gt;30,DB675&lt;=70),"31-70",IF(AND(DB675&gt;70,DB675&lt;=100),"71-100",IF(DB675&gt;100,"+100")))))</f>
        <v>71-100</v>
      </c>
      <c r="DD675">
        <v>0</v>
      </c>
      <c r="DE675">
        <v>1</v>
      </c>
      <c r="DF675">
        <v>0</v>
      </c>
      <c r="DG675">
        <v>1</v>
      </c>
      <c r="DI675">
        <f>SUM(DD675:DG675)</f>
        <v>2</v>
      </c>
      <c r="DJ675" t="str">
        <f>IF(DI675=1,INDEX($DD$7:$DG$7,MATCH(1,$DD675:$DG675,0)),"mixedProduct")</f>
        <v>mixedProduct</v>
      </c>
      <c r="DK675">
        <f>IF(DD675=1,DK$7,0)</f>
        <v>0</v>
      </c>
      <c r="DL675" t="str">
        <f>IF(DE675=1,DL$7,0)</f>
        <v>Energy</v>
      </c>
      <c r="DM675">
        <f>IF(DF675=1,DM$7,0)</f>
        <v>0</v>
      </c>
      <c r="DN675" t="str">
        <f>IF(DG675=1,DN$7,0)</f>
        <v>Timber</v>
      </c>
      <c r="DO675">
        <v>1</v>
      </c>
      <c r="DP675">
        <v>0</v>
      </c>
      <c r="DQ675">
        <v>0</v>
      </c>
      <c r="DR675">
        <v>0</v>
      </c>
      <c r="DS675">
        <v>0</v>
      </c>
      <c r="DT675">
        <f>SUM(DO675:DP675)</f>
        <v>1</v>
      </c>
      <c r="DU675" s="143" t="str">
        <f>IF(DO675=1,"self-calculated DF",IF(DP675=1,"external DF used","explicit C balance"))</f>
        <v>self-calculated DF</v>
      </c>
      <c r="DV675">
        <v>1</v>
      </c>
      <c r="DW675">
        <v>0</v>
      </c>
      <c r="DX675">
        <v>1</v>
      </c>
      <c r="DY675">
        <v>0</v>
      </c>
      <c r="DZ675">
        <v>0</v>
      </c>
      <c r="EA675" s="143">
        <v>0</v>
      </c>
      <c r="EB675">
        <v>0</v>
      </c>
      <c r="EC675">
        <v>0</v>
      </c>
      <c r="ED675">
        <v>0</v>
      </c>
      <c r="EE675">
        <v>0</v>
      </c>
      <c r="EF675">
        <v>1</v>
      </c>
      <c r="EG675">
        <v>0</v>
      </c>
      <c r="EH675">
        <v>0</v>
      </c>
      <c r="EI675" s="2">
        <v>0</v>
      </c>
      <c r="EK675" t="str">
        <f>IF(AND(AND(AND(OR($DX675=1,$DW675=1),OR($EC675=1,$EA675=1)),SUM($DV675:$DZ675,$EF675)&gt;=4),SUM($EA675:$EE675)&gt;=2),"Whole sector","")</f>
        <v/>
      </c>
      <c r="EL675" t="str">
        <f>IF(AND(AND(OR($DX675=1,$DW675=1),AND($EC675=0,$EA675=0)),SUM($DV675:$DZ675,$EF675)&gt;=4),"Ecosystem approach","")</f>
        <v/>
      </c>
      <c r="EM675" s="2" t="str">
        <f>IF(AND(AND(AND($DX675=0,$DW675=0),OR($EC675=1,$EA675=1)),SUM($EB675:$EE675)&gt;=2),"Technology approach","")</f>
        <v/>
      </c>
      <c r="EN675" t="s">
        <v>2403</v>
      </c>
      <c r="EP675" t="str">
        <f>IF(ISNUMBER(BU675),IF(ABS(BU675-[3]QC_indicators!$B$2)&gt;3*[3]QC_indicators!$C$2,"C ratio",IF(ISNUMBER(BY675),IF(ABS(BY675-[3]QC_indicators!$B$1)&gt;3*[3]QC_indicators!$C$1,"DF","no"))),IF(ISNUMBER(BY675),IF(ABS(BY675-[3]QC_indicators!$B$1)&gt;3*[3]QC_indicators!$C$1,"DF","no")))</f>
        <v>no</v>
      </c>
      <c r="ER675" s="264" t="s">
        <v>2394</v>
      </c>
      <c r="ET675" s="306" t="s">
        <v>3422</v>
      </c>
    </row>
    <row r="676" spans="1:150" ht="15" customHeight="1">
      <c r="A676" s="174" t="s">
        <v>1286</v>
      </c>
      <c r="B676" s="141" t="s">
        <v>1287</v>
      </c>
      <c r="C676" s="141" t="s">
        <v>1288</v>
      </c>
      <c r="D676" s="141" t="s">
        <v>1289</v>
      </c>
      <c r="E676" s="141" t="s">
        <v>1290</v>
      </c>
      <c r="F676" s="141" t="s">
        <v>1291</v>
      </c>
      <c r="G676" s="141" t="s">
        <v>1292</v>
      </c>
      <c r="H676" s="141"/>
      <c r="I676" s="141">
        <v>2019</v>
      </c>
      <c r="J676" s="141"/>
      <c r="K676" s="141" t="s">
        <v>1293</v>
      </c>
      <c r="L676" s="141"/>
      <c r="M676" t="str">
        <f>LEFT($D676,FIND(",",$D676)-1)&amp;"_"&amp;I676&amp;L676</f>
        <v>Bosch_2019</v>
      </c>
      <c r="N676" t="s">
        <v>222</v>
      </c>
      <c r="O676" s="175" t="s">
        <v>225</v>
      </c>
      <c r="P676" s="141" t="s">
        <v>223</v>
      </c>
      <c r="Q676" s="264" t="s">
        <v>224</v>
      </c>
      <c r="R676" s="269" t="s">
        <v>1154</v>
      </c>
      <c r="S676" s="174" t="s">
        <v>1294</v>
      </c>
      <c r="T676" s="141" t="s">
        <v>1295</v>
      </c>
      <c r="U676" s="141" t="s">
        <v>1296</v>
      </c>
      <c r="V676" s="141">
        <v>1</v>
      </c>
      <c r="W676" s="141">
        <v>0</v>
      </c>
      <c r="X676" s="141">
        <v>0</v>
      </c>
      <c r="Y676" s="141">
        <v>0</v>
      </c>
      <c r="Z676" s="141">
        <v>0</v>
      </c>
      <c r="AA676" s="141">
        <v>0</v>
      </c>
      <c r="AB676" s="141">
        <v>0</v>
      </c>
      <c r="AC676" s="141">
        <v>0</v>
      </c>
      <c r="AD676" s="141">
        <v>0</v>
      </c>
      <c r="AE676" s="141">
        <v>0</v>
      </c>
      <c r="AF676" s="141">
        <v>0</v>
      </c>
      <c r="AG676" s="141">
        <v>0</v>
      </c>
      <c r="AH676" s="141">
        <v>0</v>
      </c>
      <c r="AI676" s="141">
        <v>0</v>
      </c>
      <c r="AJ676" s="141">
        <v>0</v>
      </c>
      <c r="AK676" s="141">
        <v>0</v>
      </c>
      <c r="AL676" s="141">
        <v>0</v>
      </c>
      <c r="AM676" s="141">
        <v>0</v>
      </c>
      <c r="AN676" s="141">
        <v>0</v>
      </c>
      <c r="AO676" s="141">
        <v>0</v>
      </c>
      <c r="AP676" s="141">
        <v>0</v>
      </c>
      <c r="AQ676" s="141">
        <v>0</v>
      </c>
      <c r="AR676" s="141">
        <v>0</v>
      </c>
      <c r="AS676" s="141">
        <v>0</v>
      </c>
      <c r="AT676" s="141">
        <v>0</v>
      </c>
      <c r="AU676" s="141">
        <v>0</v>
      </c>
      <c r="AV676" s="141">
        <v>0</v>
      </c>
      <c r="AW676" s="141">
        <v>0</v>
      </c>
      <c r="AX676" s="141">
        <f>COUNTIF(V676:AW676,"&lt;&gt;0")</f>
        <v>1</v>
      </c>
      <c r="AY676" s="141">
        <f>COUNTIF(V676:AL676,"&lt;&gt;0")</f>
        <v>1</v>
      </c>
      <c r="AZ676">
        <f>COUNTIF(V676:AC676,"&lt;&gt;0")</f>
        <v>1</v>
      </c>
      <c r="BA676">
        <f>COUNTIF(AD676:AI676,"&lt;&gt;0")</f>
        <v>0</v>
      </c>
      <c r="BB676">
        <f>COUNTIF(AJ676:AL676,"&lt;&gt;0")</f>
        <v>0</v>
      </c>
      <c r="BC676">
        <f>COUNTIF(AS676:AW676,"&lt;&gt;0")</f>
        <v>0</v>
      </c>
      <c r="BD676">
        <f>COUNTIF(AM676:AR676,"&lt;&gt;0")</f>
        <v>0</v>
      </c>
      <c r="BE676" t="str" cm="1">
        <f t="array" ref="BE676">IF(AY676=1,INDEX($V$7:$AL$7,MATCH(TRUE,INDEX($V676:$AW676&lt;&gt;0,),0)),IF(AY676=0,INDEX($AM$7:$AW$7,MATCH(1,$AM676:$AW676,0)),IF(BF676="Multiple strategies","mixed drivers",IF(BF676="Supply chain","multiple supply","multiple silviculture"))))</f>
        <v>area subject to harvest</v>
      </c>
      <c r="BF676" s="2" t="str" cm="1">
        <f t="array" ref="BF676">IF(COUNTIF(AZ676:BB676,"&lt;&gt;0")=1,INDEX($V$4:$AW$4,MATCH(TRUE,INDEX($V676:$AW676&lt;&gt;0,),0)),IF(COUNTIF(AZ676:BB676,"&lt;&gt;0")=0,INDEX($AM$4:$AW$4,MATCH(1,$AM676:$AW676,0)),"Multiple strategies"))</f>
        <v>Silviculture for removals</v>
      </c>
      <c r="BG676" s="173" t="s">
        <v>321</v>
      </c>
      <c r="BH676" s="141" t="s">
        <v>1297</v>
      </c>
      <c r="BI676" s="141" t="s">
        <v>1298</v>
      </c>
      <c r="BJ676" s="163" t="s">
        <v>1299</v>
      </c>
      <c r="BK676" s="158">
        <v>2159</v>
      </c>
      <c r="BL676" s="163">
        <v>2405</v>
      </c>
      <c r="BM676" s="264">
        <f>BL676/BK676</f>
        <v>1.1139416396479851</v>
      </c>
      <c r="BN676">
        <f>BL676-BK676</f>
        <v>246</v>
      </c>
      <c r="BO676" s="158">
        <f>BN676*10^6</f>
        <v>246000000</v>
      </c>
      <c r="BP676" s="264" t="s">
        <v>395</v>
      </c>
      <c r="BQ676" s="153" t="s">
        <v>786</v>
      </c>
      <c r="BR676" s="151" t="s">
        <v>1300</v>
      </c>
      <c r="BS676" s="141"/>
      <c r="BT676" s="163"/>
      <c r="BU676" s="144" t="str">
        <f>IFERROR(BT676/BS676,"")</f>
        <v/>
      </c>
      <c r="BV676" s="176">
        <v>-65</v>
      </c>
      <c r="BX676">
        <f>BV676*10^6</f>
        <v>-65000000</v>
      </c>
      <c r="BY676">
        <f>IFERROR(BX676/BO676,"")</f>
        <v>-0.26422764227642276</v>
      </c>
      <c r="BZ676" s="141">
        <v>0</v>
      </c>
      <c r="CA676" s="141">
        <v>0</v>
      </c>
      <c r="CB676" s="141">
        <v>0</v>
      </c>
      <c r="CC676" s="141">
        <v>0</v>
      </c>
      <c r="CD676" s="141">
        <v>0</v>
      </c>
      <c r="CE676" s="141">
        <v>0</v>
      </c>
      <c r="CF676" s="141">
        <v>0</v>
      </c>
      <c r="CG676" s="141">
        <v>0</v>
      </c>
      <c r="CH676" s="141">
        <v>0</v>
      </c>
      <c r="CI676" s="141">
        <v>0</v>
      </c>
      <c r="CJ676" s="141">
        <v>0</v>
      </c>
      <c r="CK676" s="141">
        <v>0</v>
      </c>
      <c r="CL676" s="141">
        <v>0</v>
      </c>
      <c r="CM676" s="141">
        <v>1</v>
      </c>
      <c r="CN676" t="str">
        <f>IF(BL676&lt;BK676,"refNeedCorrection","refOK")</f>
        <v>refOK</v>
      </c>
      <c r="CO676">
        <f>IF($CN676="refOK",$BK676,$BL676)</f>
        <v>2159</v>
      </c>
      <c r="CP676">
        <f>IF($CN676="refOK",$BL676,$BK676)</f>
        <v>2405</v>
      </c>
      <c r="CQ676">
        <f>IF($CN676="refOK",$BO676,-$BO676)</f>
        <v>246000000</v>
      </c>
      <c r="CR676">
        <f>IF($CN676="refOK",$BS676,$BT676)*IF($BP676="Emissions positive",-1,1)</f>
        <v>0</v>
      </c>
      <c r="CS676">
        <f>IF($CN676="refOK",$BT676,$BS676)*IF($BP676="Emissions positive",-1,1)</f>
        <v>0</v>
      </c>
      <c r="CT676">
        <f>IF($CN676="refNeedCorrection",-BX676,BX676)*IF($BP676="Emissions positive",-1,1)</f>
        <v>65000000</v>
      </c>
      <c r="CU676">
        <f>IFERROR(CT676/CQ676,"")</f>
        <v>0.26422764227642276</v>
      </c>
      <c r="CV676" s="2" t="str">
        <f>IFERROR((CS676-CR676)/ABS(CR676),"")</f>
        <v/>
      </c>
      <c r="CW676" s="174" t="s">
        <v>1203</v>
      </c>
      <c r="CX676" s="264" t="str">
        <f>IF(OR($CW676="prd",$CW676="std",$CW676="cit"),"loc",IF(OR($CW676="eur",$CW676="reg",$CW676="coy"),"reg",$CW676))</f>
        <v>reg</v>
      </c>
      <c r="CY676" s="141" t="s">
        <v>1301</v>
      </c>
      <c r="CZ676" s="141">
        <v>2016</v>
      </c>
      <c r="DA676" s="163">
        <v>2046</v>
      </c>
      <c r="DB676" s="163">
        <v>30</v>
      </c>
      <c r="DC676" t="str">
        <f>IF(DB676=0,"0",IF(AND(DB676&gt;=1,DB676&lt;=30),"1-30",IF(AND(DB676&gt;30,DB676&lt;=70),"31-70",IF(AND(DB676&gt;70,DB676&lt;=100),"71-100",IF(DB676&gt;100,"+100")))))</f>
        <v>1-30</v>
      </c>
      <c r="DD676" s="141">
        <v>1</v>
      </c>
      <c r="DE676" s="141">
        <v>1</v>
      </c>
      <c r="DF676" s="141">
        <v>0</v>
      </c>
      <c r="DG676" s="141">
        <v>1</v>
      </c>
      <c r="DI676">
        <f>SUM(DD676:DG676)</f>
        <v>3</v>
      </c>
      <c r="DJ676" t="str">
        <f>IF(DI676=1,INDEX($DD$7:$DG$7,MATCH(1,$DD676:$DG676,0)),"mixedProduct")</f>
        <v>mixedProduct</v>
      </c>
      <c r="DK676" t="str">
        <f>IF(DD676=1,DK$7,0)</f>
        <v>Upstream</v>
      </c>
      <c r="DL676" t="str">
        <f>IF(DE676=1,DL$7,0)</f>
        <v>Energy</v>
      </c>
      <c r="DM676">
        <f>IF(DF676=1,DM$7,0)</f>
        <v>0</v>
      </c>
      <c r="DN676" t="str">
        <f>IF(DG676=1,DN$7,0)</f>
        <v>Timber</v>
      </c>
      <c r="DO676" s="163">
        <v>0</v>
      </c>
      <c r="DP676" s="141">
        <v>1</v>
      </c>
      <c r="DQ676" s="163" t="s">
        <v>1305</v>
      </c>
      <c r="DR676" s="163" t="s">
        <v>1306</v>
      </c>
      <c r="DS676" s="163">
        <v>0</v>
      </c>
      <c r="DT676">
        <f>SUM(DO676:DP676)</f>
        <v>1</v>
      </c>
      <c r="DU676" s="143" t="str">
        <f>IF(DO676=1,"self-calculated DF",IF(DP676=1,"external DF used","explicit C balance"))</f>
        <v>external DF used</v>
      </c>
      <c r="DV676" s="163">
        <v>1</v>
      </c>
      <c r="DW676" s="141">
        <v>1</v>
      </c>
      <c r="DX676" s="163">
        <v>1</v>
      </c>
      <c r="DY676" s="163">
        <v>1</v>
      </c>
      <c r="DZ676" s="141">
        <v>1</v>
      </c>
      <c r="EA676" s="141">
        <v>1</v>
      </c>
      <c r="EB676" s="143">
        <v>0</v>
      </c>
      <c r="EC676" s="141">
        <v>0</v>
      </c>
      <c r="ED676" s="143">
        <v>0</v>
      </c>
      <c r="EE676" s="143">
        <v>0</v>
      </c>
      <c r="EF676" s="141">
        <v>1</v>
      </c>
      <c r="EG676" s="163">
        <v>0</v>
      </c>
      <c r="EH676" s="141">
        <v>0</v>
      </c>
      <c r="EI676" s="177">
        <v>0</v>
      </c>
      <c r="EK676" t="str">
        <f>IF(AND(AND(AND(OR($DX676=1,$DW676=1),OR($EC676=1,$EA676=1)),SUM($DV676:$DZ676,$EF676)&gt;=4),SUM($EA676:$EE676)&gt;=2),"Whole sector","")</f>
        <v/>
      </c>
      <c r="EL676" t="str">
        <f>IF(AND(AND(OR($DX676=1,$DW676=1),AND($EC676=0,$EA676=0)),SUM($DV676:$DZ676,$EF676)&gt;=4),"Ecosystem approach","")</f>
        <v/>
      </c>
      <c r="EM676" s="2" t="str">
        <f>IF(AND(AND(AND($DX676=0,$DW676=0),OR($EC676=1,$EA676=1)),SUM($EB676:$EE676)&gt;=2),"Technology approach","")</f>
        <v/>
      </c>
      <c r="EN676" s="141"/>
      <c r="EP676" t="str">
        <f>IF(ISNUMBER(BU676),IF(ABS(BU676-[3]QC_indicators!$B$2)&gt;3*[3]QC_indicators!$C$2,"C ratio",IF(ISNUMBER(BY676),IF(ABS(BY676-[3]QC_indicators!$B$1)&gt;3*[3]QC_indicators!$C$1,"DF","no"))),IF(ISNUMBER(BY676),IF(ABS(BY676-[3]QC_indicators!$B$1)&gt;3*[3]QC_indicators!$C$1,"DF","no")))</f>
        <v>no</v>
      </c>
      <c r="ER676" s="294" t="s">
        <v>1302</v>
      </c>
      <c r="ET676" s="264" t="s">
        <v>3407</v>
      </c>
    </row>
    <row r="677" spans="1:150" ht="15" customHeight="1">
      <c r="A677" s="1" t="s">
        <v>265</v>
      </c>
      <c r="B677" t="s">
        <v>266</v>
      </c>
      <c r="C677" t="s">
        <v>267</v>
      </c>
      <c r="D677" t="s">
        <v>268</v>
      </c>
      <c r="E677" t="s">
        <v>269</v>
      </c>
      <c r="F677" t="s">
        <v>270</v>
      </c>
      <c r="G677" t="s">
        <v>271</v>
      </c>
      <c r="H677" t="s">
        <v>254</v>
      </c>
      <c r="I677">
        <v>2022</v>
      </c>
      <c r="J677">
        <v>0</v>
      </c>
      <c r="K677" t="s">
        <v>272</v>
      </c>
      <c r="M677" t="str">
        <f>LEFT($D677,FIND(",",$D677)-1)&amp;"_"&amp;I677&amp;L677</f>
        <v>Aryapratama_2022</v>
      </c>
      <c r="N677" t="s">
        <v>222</v>
      </c>
      <c r="O677" s="145" t="s">
        <v>274</v>
      </c>
      <c r="Q677" t="s">
        <v>224</v>
      </c>
      <c r="R677" s="262" t="s">
        <v>223</v>
      </c>
      <c r="S677" s="263" t="s">
        <v>3105</v>
      </c>
      <c r="T677" t="s">
        <v>305</v>
      </c>
      <c r="U677" t="s">
        <v>284</v>
      </c>
      <c r="V677">
        <v>0</v>
      </c>
      <c r="W677">
        <v>0</v>
      </c>
      <c r="X677">
        <v>0</v>
      </c>
      <c r="Y677">
        <v>0</v>
      </c>
      <c r="Z677">
        <v>0</v>
      </c>
      <c r="AA677">
        <v>0</v>
      </c>
      <c r="AB677">
        <v>0</v>
      </c>
      <c r="AC677">
        <v>0</v>
      </c>
      <c r="AD677">
        <v>0</v>
      </c>
      <c r="AE677">
        <v>0</v>
      </c>
      <c r="AF677">
        <v>0</v>
      </c>
      <c r="AG677">
        <v>0</v>
      </c>
      <c r="AH677">
        <v>0</v>
      </c>
      <c r="AI677">
        <v>0</v>
      </c>
      <c r="AJ677">
        <v>0</v>
      </c>
      <c r="AK677">
        <v>1</v>
      </c>
      <c r="AL677">
        <v>0</v>
      </c>
      <c r="AM677">
        <v>0</v>
      </c>
      <c r="AN677">
        <v>0</v>
      </c>
      <c r="AO677">
        <v>0</v>
      </c>
      <c r="AP677">
        <v>0</v>
      </c>
      <c r="AQ677">
        <v>0</v>
      </c>
      <c r="AR677">
        <v>0</v>
      </c>
      <c r="AS677">
        <v>0</v>
      </c>
      <c r="AT677">
        <v>0</v>
      </c>
      <c r="AU677">
        <v>0</v>
      </c>
      <c r="AV677">
        <v>0</v>
      </c>
      <c r="AW677">
        <v>0</v>
      </c>
      <c r="AX677" s="141">
        <f>COUNTIF(V677:AW677,"&lt;&gt;0")</f>
        <v>1</v>
      </c>
      <c r="AY677" s="141">
        <f>COUNTIF(V677:AL677,"&lt;&gt;0")</f>
        <v>1</v>
      </c>
      <c r="AZ677">
        <f>COUNTIF(V677:AC677,"&lt;&gt;0")</f>
        <v>0</v>
      </c>
      <c r="BA677">
        <f>COUNTIF(AD677:AI677,"&lt;&gt;0")</f>
        <v>0</v>
      </c>
      <c r="BB677">
        <f>COUNTIF(AJ677:AL677,"&lt;&gt;0")</f>
        <v>1</v>
      </c>
      <c r="BC677">
        <f>COUNTIF(AS677:AW677,"&lt;&gt;0")</f>
        <v>0</v>
      </c>
      <c r="BD677">
        <f>COUNTIF(AM677:AR677,"&lt;&gt;0")</f>
        <v>0</v>
      </c>
      <c r="BE677" t="str">
        <f t="array" ref="BE677">IF(AY677=1,INDEX($V$7:$AL$7,MATCH(TRUE,INDEX($V677:$AW677&lt;&gt;0,),0)),IF(AY677=0,INDEX($AM$7:$AW$7,MATCH(1,$AM677:$AW677,0)),IF(BF677="Multiple strategies","mixed drivers",IF(BF677="Supply chain","multiple supply","multiple silviculture"))))</f>
        <v>technologies/design switch</v>
      </c>
      <c r="BF677" s="2" t="str" cm="1">
        <f t="array" ref="BF677">IF(COUNTIF(AZ677:BB677,"&lt;&gt;0")=1,INDEX($V$4:$AW$4,MATCH(TRUE,INDEX($V677:$AW677&lt;&gt;0,),0)),IF(COUNTIF(AZ677:BB677,"&lt;&gt;0")=0,INDEX($AM$4:$AW$4,MATCH(1,$AM677:$AW677,0)),"Multiple strategies"))</f>
        <v>Technology</v>
      </c>
      <c r="BG677" s="1" t="s">
        <v>229</v>
      </c>
      <c r="BH677" t="s">
        <v>277</v>
      </c>
      <c r="BI677" s="264" t="s">
        <v>3106</v>
      </c>
      <c r="BJ677" t="s">
        <v>278</v>
      </c>
      <c r="BK677">
        <v>0</v>
      </c>
      <c r="BL677">
        <v>34.69360784543791</v>
      </c>
      <c r="BN677">
        <f>BL677-BK677</f>
        <v>34.69360784543791</v>
      </c>
      <c r="BO677">
        <f>BN677*tC_to_m3</f>
        <v>150.6452793983409</v>
      </c>
      <c r="BP677" t="s">
        <v>232</v>
      </c>
      <c r="BQ677" s="337" t="s">
        <v>3107</v>
      </c>
      <c r="BR677" t="s">
        <v>279</v>
      </c>
      <c r="BS677">
        <v>337.64037255698202</v>
      </c>
      <c r="BT677">
        <v>377.50107760210591</v>
      </c>
      <c r="BU677" s="144">
        <f>IFERROR(BT677/BS677,"")</f>
        <v>1.1180566907424461</v>
      </c>
      <c r="BV677">
        <f>BT677-BS677</f>
        <v>39.860705045123893</v>
      </c>
      <c r="BX677">
        <f>BV677</f>
        <v>39.860705045123893</v>
      </c>
      <c r="BY677">
        <f>IFERROR(BX677/BO677,"")</f>
        <v>0.26459976180018879</v>
      </c>
      <c r="BZ677">
        <v>0</v>
      </c>
      <c r="CA677">
        <v>0</v>
      </c>
      <c r="CB677">
        <v>0</v>
      </c>
      <c r="CC677">
        <v>0</v>
      </c>
      <c r="CD677">
        <v>0</v>
      </c>
      <c r="CE677">
        <v>0</v>
      </c>
      <c r="CF677">
        <v>0</v>
      </c>
      <c r="CG677">
        <v>0</v>
      </c>
      <c r="CH677">
        <v>0</v>
      </c>
      <c r="CI677">
        <v>0</v>
      </c>
      <c r="CJ677">
        <v>0</v>
      </c>
      <c r="CK677">
        <v>0</v>
      </c>
      <c r="CL677">
        <v>0</v>
      </c>
      <c r="CM677">
        <v>0</v>
      </c>
      <c r="CN677" t="str">
        <f>IF($BL677&lt;$BK677,"refNeedCorrection","refOK")</f>
        <v>refOK</v>
      </c>
      <c r="CO677">
        <f>IF($CN677="refOK",$BK677,$BL677)</f>
        <v>0</v>
      </c>
      <c r="CP677">
        <f>IF($CN677="refOK",$BL677,$BK677)</f>
        <v>34.69360784543791</v>
      </c>
      <c r="CQ677">
        <f>IF($CN677="refOK",$BO677,-$BO677)</f>
        <v>150.6452793983409</v>
      </c>
      <c r="CR677">
        <f>IF($CN677="refOK",$BS677,$BT677)*IF($BP677="Emissions positive",-1,1)</f>
        <v>337.64037255698202</v>
      </c>
      <c r="CS677">
        <f>IF($CN677="refOK",$BT677,$BS677)*IF($BP677="Emissions positive",-1,1)</f>
        <v>377.50107760210591</v>
      </c>
      <c r="CT677">
        <f>IF($CN677="refNeedCorrection",-BX677,BX677)*IF($BP677="Emissions positive",-1,1)</f>
        <v>39.860705045123893</v>
      </c>
      <c r="CU677">
        <f>IFERROR(CT677/CQ677,"")</f>
        <v>0.26459976180018879</v>
      </c>
      <c r="CV677" s="2">
        <f>IFERROR((CS677-CR677)/ABS(CR677),"")</f>
        <v>0.11805669074244604</v>
      </c>
      <c r="CW677" s="1" t="s">
        <v>234</v>
      </c>
      <c r="CX677" t="str">
        <f>IF(OR($CW677="prd",$CW677="std",$CW677="cit"),"loc",IF(OR($CW677="eur",$CW677="reg",$CW677="coy"),"reg",$CW677))</f>
        <v>loc</v>
      </c>
      <c r="CY677" t="s">
        <v>280</v>
      </c>
      <c r="DB677">
        <v>200</v>
      </c>
      <c r="DC677" t="str">
        <f>IF(DB677=0,"0",IF(AND(DB677&gt;=1,DB677&lt;=30),"1-30",IF(AND(DB677&gt;30,DB677&lt;=70),"31-70",IF(AND(DB677&gt;70,DB677&lt;=100),"71-100",IF(DB677&gt;100,"+100")))))</f>
        <v>+100</v>
      </c>
      <c r="DD677">
        <v>0</v>
      </c>
      <c r="DE677">
        <v>0</v>
      </c>
      <c r="DF677">
        <v>0</v>
      </c>
      <c r="DG677">
        <v>1</v>
      </c>
      <c r="DI677">
        <f>SUM(DD677:DG677)</f>
        <v>1</v>
      </c>
      <c r="DJ677" t="str">
        <f>IF(DI677=1,INDEX($DD$7:$DG$7,MATCH(1,$DD677:$DG677,0)),"mixedProduct")</f>
        <v>TimberInput</v>
      </c>
      <c r="DK677">
        <f>IF(DD677=1,DK$7,0)</f>
        <v>0</v>
      </c>
      <c r="DL677">
        <f>IF(DE677=1,DL$7,0)</f>
        <v>0</v>
      </c>
      <c r="DM677">
        <f>IF(DF677=1,DM$7,0)</f>
        <v>0</v>
      </c>
      <c r="DN677" t="str">
        <f>IF(DG677=1,DN$7,0)</f>
        <v>Timber</v>
      </c>
      <c r="DO677">
        <v>0</v>
      </c>
      <c r="DP677">
        <v>1</v>
      </c>
      <c r="DQ677">
        <v>0</v>
      </c>
      <c r="DR677" t="s">
        <v>281</v>
      </c>
      <c r="DS677">
        <v>0</v>
      </c>
      <c r="DT677">
        <f>SUM(DO677:DP677)</f>
        <v>1</v>
      </c>
      <c r="DU677" s="143" t="str">
        <f>IF(DO677=1,"self-calculated DF",IF(DP677=1,"external DF used","explicit C balance"))</f>
        <v>external DF used</v>
      </c>
      <c r="DV677">
        <v>0</v>
      </c>
      <c r="DW677">
        <v>1</v>
      </c>
      <c r="DX677">
        <v>1</v>
      </c>
      <c r="DY677">
        <v>1</v>
      </c>
      <c r="DZ677">
        <v>1</v>
      </c>
      <c r="EA677" s="143">
        <v>0</v>
      </c>
      <c r="EB677">
        <v>1</v>
      </c>
      <c r="EC677">
        <v>1</v>
      </c>
      <c r="ED677">
        <v>0</v>
      </c>
      <c r="EE677">
        <v>1</v>
      </c>
      <c r="EF677">
        <v>1</v>
      </c>
      <c r="EG677">
        <v>1</v>
      </c>
      <c r="EH677">
        <v>0</v>
      </c>
      <c r="EI677" s="2">
        <v>0</v>
      </c>
      <c r="EK677" t="str">
        <f>IF(AND(AND(AND(OR($DX677=1,$DW677=1),OR($EC677=1,$EA677=1)),SUM($DV677:$DZ677,$EF677)&gt;=4),SUM($EA677:$EE677)&gt;=2),"Whole sector","")</f>
        <v>Whole sector</v>
      </c>
      <c r="EL677" t="str">
        <f>IF(AND(AND(OR($DX677=1,$DW677=1),AND($EC677=0,$EA677=0)),SUM($DV677:$DZ677,$EF677)&gt;=4),"Ecosystem approach","")</f>
        <v/>
      </c>
      <c r="EM677" s="2" t="str">
        <f>IF(AND(AND(AND($DX677=0,$DW677=0),OR($EC677=1,$EA677=1)),SUM($EB677:$EE677)&gt;=2),"Technology approach","")</f>
        <v/>
      </c>
      <c r="EP677" t="str">
        <f>IF(ISNUMBER(BU677),IF(ABS(BU677-[1]QC_indicators!$B$2)&gt;3*[1]QC_indicators!$C$2,"C ratio",IF(ISNUMBER(BY677),IF(ABS(BY677-[1]QC_indicators!$B$1)&gt;3*[1]QC_indicators!$C$1,"DF","no"))),IF(ISNUMBER(BY677),IF(ABS(BY677-[1]QC_indicators!$B$1)&gt;3*[1]QC_indicators!$C$1,"DF","no")))</f>
        <v>no</v>
      </c>
      <c r="EQ677" t="s">
        <v>286</v>
      </c>
      <c r="ET677" s="264" t="s">
        <v>3273</v>
      </c>
    </row>
    <row r="678" spans="1:150" ht="15" customHeight="1">
      <c r="A678" s="1" t="s">
        <v>1233</v>
      </c>
      <c r="B678" t="s">
        <v>1234</v>
      </c>
      <c r="C678" t="s">
        <v>1235</v>
      </c>
      <c r="D678" t="s">
        <v>336</v>
      </c>
      <c r="E678" t="s">
        <v>1236</v>
      </c>
      <c r="F678" t="s">
        <v>1237</v>
      </c>
      <c r="G678" t="s">
        <v>1238</v>
      </c>
      <c r="I678">
        <v>2018</v>
      </c>
      <c r="K678" t="s">
        <v>1239</v>
      </c>
      <c r="M678" t="str">
        <f>LEFT($D678,FIND(",",$D678)-1)&amp;"_"&amp;I678&amp;L678</f>
        <v>Balasbaneh_2018</v>
      </c>
      <c r="N678" t="s">
        <v>222</v>
      </c>
      <c r="O678" s="140" t="s">
        <v>513</v>
      </c>
      <c r="Q678" t="s">
        <v>224</v>
      </c>
      <c r="R678" s="262" t="s">
        <v>223</v>
      </c>
      <c r="S678" s="1" t="s">
        <v>1252</v>
      </c>
      <c r="T678" s="264" t="s">
        <v>3112</v>
      </c>
      <c r="U678" s="264" t="s">
        <v>3116</v>
      </c>
      <c r="V678">
        <v>0</v>
      </c>
      <c r="W678">
        <v>0</v>
      </c>
      <c r="X678">
        <v>0</v>
      </c>
      <c r="Y678">
        <v>0</v>
      </c>
      <c r="Z678">
        <v>0</v>
      </c>
      <c r="AA678">
        <v>0</v>
      </c>
      <c r="AB678">
        <v>0</v>
      </c>
      <c r="AC678">
        <v>0</v>
      </c>
      <c r="AD678">
        <v>0</v>
      </c>
      <c r="AE678">
        <v>0</v>
      </c>
      <c r="AF678">
        <v>0</v>
      </c>
      <c r="AG678">
        <v>0</v>
      </c>
      <c r="AH678">
        <v>0</v>
      </c>
      <c r="AI678">
        <v>0</v>
      </c>
      <c r="AJ678">
        <v>0</v>
      </c>
      <c r="AK678">
        <v>1</v>
      </c>
      <c r="AL678">
        <v>0</v>
      </c>
      <c r="AM678">
        <v>0</v>
      </c>
      <c r="AN678">
        <v>0</v>
      </c>
      <c r="AO678">
        <v>0</v>
      </c>
      <c r="AP678">
        <v>0</v>
      </c>
      <c r="AQ678">
        <v>0</v>
      </c>
      <c r="AR678">
        <v>0</v>
      </c>
      <c r="AS678">
        <v>0</v>
      </c>
      <c r="AT678">
        <v>0</v>
      </c>
      <c r="AU678">
        <v>0</v>
      </c>
      <c r="AV678">
        <v>0</v>
      </c>
      <c r="AW678">
        <v>0</v>
      </c>
      <c r="AX678" s="141">
        <f>COUNTIF(V678:AW678,"&lt;&gt;0")</f>
        <v>1</v>
      </c>
      <c r="AY678" s="141">
        <f>COUNTIF(V678:AL678,"&lt;&gt;0")</f>
        <v>1</v>
      </c>
      <c r="AZ678">
        <f>COUNTIF(V678:AC678,"&lt;&gt;0")</f>
        <v>0</v>
      </c>
      <c r="BA678">
        <f>COUNTIF(AD678:AI678,"&lt;&gt;0")</f>
        <v>0</v>
      </c>
      <c r="BB678">
        <f>COUNTIF(AJ678:AL678,"&lt;&gt;0")</f>
        <v>1</v>
      </c>
      <c r="BC678">
        <f>COUNTIF(AS678:AW678,"&lt;&gt;0")</f>
        <v>0</v>
      </c>
      <c r="BD678">
        <f>COUNTIF(AM678:AR678,"&lt;&gt;0")</f>
        <v>0</v>
      </c>
      <c r="BE678" t="str">
        <f t="array" ref="BE678">IF(AY678=1,INDEX($V$7:$AL$7,MATCH(TRUE,INDEX($V678:$AW678&lt;&gt;0,),0)),IF(AY678=0,INDEX($AM$7:$AW$7,MATCH(1,$AM678:$AW678,0)),IF(BF678="Multiple strategies","mixed drivers",IF(BF678="Supply chain","multiple supply","multiple silviculture"))))</f>
        <v>technologies/design switch</v>
      </c>
      <c r="BF678" s="2" t="str" cm="1">
        <f t="array" ref="BF678">IF(COUNTIF(AZ678:BB678,"&lt;&gt;0")=1,INDEX($V$4:$AW$4,MATCH(TRUE,INDEX($V678:$AW678&lt;&gt;0,),0)),IF(COUNTIF(AZ678:BB678,"&lt;&gt;0")=0,INDEX($AM$4:$AW$4,MATCH(1,$AM678:$AW678,0)),"Multiple strategies"))</f>
        <v>Technology</v>
      </c>
      <c r="BG678" s="1" t="s">
        <v>229</v>
      </c>
      <c r="BH678" t="s">
        <v>229</v>
      </c>
      <c r="BJ678" t="s">
        <v>345</v>
      </c>
      <c r="BK678">
        <v>0</v>
      </c>
      <c r="BL678">
        <v>23436</v>
      </c>
      <c r="BM678" s="143"/>
      <c r="BN678">
        <f>BL678-BK678</f>
        <v>23436</v>
      </c>
      <c r="BO678" s="143">
        <f>BN678*kg_to_m3</f>
        <v>47.828571428571436</v>
      </c>
      <c r="BP678" t="s">
        <v>232</v>
      </c>
      <c r="BQ678" s="337" t="s">
        <v>1057</v>
      </c>
      <c r="BR678" t="s">
        <v>397</v>
      </c>
      <c r="BS678">
        <v>-13900</v>
      </c>
      <c r="BT678">
        <v>-693</v>
      </c>
      <c r="BU678" s="144">
        <v>4.9856115107913671E-2</v>
      </c>
      <c r="BV678">
        <v>13207</v>
      </c>
      <c r="BX678">
        <f>BV678/1000</f>
        <v>13.207000000000001</v>
      </c>
      <c r="BY678">
        <f>IFERROR(BX678/BO678,"")</f>
        <v>0.27613201911589008</v>
      </c>
      <c r="BZ678">
        <v>0</v>
      </c>
      <c r="CA678">
        <v>0</v>
      </c>
      <c r="CB678">
        <v>0</v>
      </c>
      <c r="CC678">
        <v>0</v>
      </c>
      <c r="CD678">
        <v>0</v>
      </c>
      <c r="CE678">
        <v>0</v>
      </c>
      <c r="CF678">
        <v>0</v>
      </c>
      <c r="CG678">
        <v>0</v>
      </c>
      <c r="CH678">
        <v>0</v>
      </c>
      <c r="CI678">
        <v>0</v>
      </c>
      <c r="CJ678">
        <v>0</v>
      </c>
      <c r="CK678">
        <v>0</v>
      </c>
      <c r="CL678">
        <v>0</v>
      </c>
      <c r="CM678">
        <v>0</v>
      </c>
      <c r="CN678" t="str">
        <f>IF($BL678&lt;$BK678,"refNeedCorrection","refOK")</f>
        <v>refOK</v>
      </c>
      <c r="CO678">
        <f>IF($CN678="refNeedCorrection",BL678,BK678)</f>
        <v>0</v>
      </c>
      <c r="CP678">
        <f>IF($CN678="refNeedCorrection",BK678,BL678)</f>
        <v>23436</v>
      </c>
      <c r="CQ678">
        <f>IF($CN678="refOK",$BO678,-$BO678)</f>
        <v>47.828571428571436</v>
      </c>
      <c r="CR678">
        <f>IF($CN678="refOK",$BS678,$BT678)*IF($BP678="Emissions positive",-1,1)</f>
        <v>-13900</v>
      </c>
      <c r="CS678">
        <f>IF($CN678="refOK",$BT678,$BS678)*IF($BP678="Emissions positive",-1,1)</f>
        <v>-693</v>
      </c>
      <c r="CT678">
        <f>IF($CN678="refNeedCorrection",-BX678,BX678)*IF($BP678="Emissions positive",-1,1)</f>
        <v>13.207000000000001</v>
      </c>
      <c r="CU678">
        <f>IFERROR(CT678/CQ678,"")</f>
        <v>0.27613201911589008</v>
      </c>
      <c r="CV678" s="2">
        <f>IFERROR((CS678-CR678)/ABS(CR678),"")</f>
        <v>0.95014388489208634</v>
      </c>
      <c r="CW678" s="1" t="s">
        <v>1203</v>
      </c>
      <c r="CX678" t="str">
        <f>IF(OR($CW678="prd",$CW678="std",$CW678="cit"),"loc",IF(OR($CW678="eur",$CW678="reg",$CW678="coy"),"reg",$CW678))</f>
        <v>reg</v>
      </c>
      <c r="CY678" t="s">
        <v>348</v>
      </c>
      <c r="CZ678">
        <v>2014</v>
      </c>
      <c r="DA678">
        <v>2514</v>
      </c>
      <c r="DB678">
        <v>500</v>
      </c>
      <c r="DC678" t="str">
        <f>IF(DB678=0,"0",IF(AND(DB678&gt;=1,DB678&lt;=30),"1-30",IF(AND(DB678&gt;30,DB678&lt;=70),"31-70",IF(AND(DB678&gt;70,DB678&lt;=100),"71-100",IF(DB678&gt;100,"+100")))))</f>
        <v>+100</v>
      </c>
      <c r="DD678">
        <v>0</v>
      </c>
      <c r="DE678">
        <v>0</v>
      </c>
      <c r="DF678">
        <v>0</v>
      </c>
      <c r="DG678">
        <v>1</v>
      </c>
      <c r="DI678">
        <f>SUM(DD678:DG678)</f>
        <v>1</v>
      </c>
      <c r="DJ678" t="str">
        <f>IF(DI678=1,INDEX($DD$7:$DG$7,MATCH(1,$DD678:$DG678,0)),"mixedProduct")</f>
        <v>TimberInput</v>
      </c>
      <c r="DK678">
        <f>IF(DD678=1,DK$7,0)</f>
        <v>0</v>
      </c>
      <c r="DL678">
        <f>IF(DE678=1,DL$7,0)</f>
        <v>0</v>
      </c>
      <c r="DM678">
        <f>IF(DF678=1,DM$7,0)</f>
        <v>0</v>
      </c>
      <c r="DN678" t="str">
        <f>IF(DG678=1,DN$7,0)</f>
        <v>Timber</v>
      </c>
      <c r="DO678">
        <v>0</v>
      </c>
      <c r="DP678">
        <v>0</v>
      </c>
      <c r="DQ678">
        <v>0</v>
      </c>
      <c r="DR678">
        <v>0</v>
      </c>
      <c r="DS678">
        <v>0</v>
      </c>
      <c r="DT678">
        <f>SUM(DO678:DP678)</f>
        <v>0</v>
      </c>
      <c r="DU678" s="143" t="str">
        <f>IF(DO678=1,"self-calculated DF",IF(DP678=1,"external DF used","explicit C balance"))</f>
        <v>explicit C balance</v>
      </c>
      <c r="DV678">
        <v>0</v>
      </c>
      <c r="DW678">
        <v>0</v>
      </c>
      <c r="DX678">
        <v>0</v>
      </c>
      <c r="DY678">
        <v>0</v>
      </c>
      <c r="DZ678">
        <v>0</v>
      </c>
      <c r="EA678" s="143">
        <v>1</v>
      </c>
      <c r="EB678">
        <v>0</v>
      </c>
      <c r="EC678">
        <v>1</v>
      </c>
      <c r="ED678">
        <v>1</v>
      </c>
      <c r="EE678">
        <v>1</v>
      </c>
      <c r="EF678">
        <v>0</v>
      </c>
      <c r="EG678">
        <v>0</v>
      </c>
      <c r="EH678">
        <v>0</v>
      </c>
      <c r="EI678" s="2">
        <v>0</v>
      </c>
      <c r="EK678" t="str">
        <f>IF(AND(AND(AND(OR($DX678=1,$DW678=1),OR($EC678=1,$EA678=1)),SUM($DV678:$DZ678,$EF678)&gt;=4),SUM($EA678:$EE678)&gt;=2),"Whole sector","")</f>
        <v/>
      </c>
      <c r="EL678" t="str">
        <f>IF(AND(AND(OR($DX678=1,$DW678=1),AND($EC678=0,$EA678=0)),SUM($DV678:$DZ678,$EF678)&gt;=4),"Ecosystem approach","")</f>
        <v/>
      </c>
      <c r="EM678" s="2" t="str">
        <f>IF(AND(AND(AND($DX678=0,$DW678=0),OR($EC678=1,$EA678=1)),SUM($EB678:$EE678)&gt;=2),"Technology approach","")</f>
        <v>Technology approach</v>
      </c>
      <c r="EP678" t="str">
        <f>IF(ISNUMBER(BU678),IF(ABS(BU678-[1]QC_indicators!$B$2)&gt;3*[1]QC_indicators!$C$2,"C ratio",IF(ISNUMBER(BY678),IF(ABS(BY678-[1]QC_indicators!$B$1)&gt;3*[1]QC_indicators!$C$1,"DF","no"))),IF(ISNUMBER(BY678),IF(ABS(BY678-[1]QC_indicators!$B$1)&gt;3*[1]QC_indicators!$C$1,"DF","no")))</f>
        <v>no</v>
      </c>
      <c r="ER678" s="149" t="s">
        <v>349</v>
      </c>
      <c r="ET678" s="264" t="s">
        <v>3273</v>
      </c>
    </row>
    <row r="679" spans="1:150" ht="15" customHeight="1">
      <c r="A679" s="1" t="s">
        <v>1233</v>
      </c>
      <c r="B679" t="s">
        <v>1234</v>
      </c>
      <c r="C679" t="s">
        <v>1235</v>
      </c>
      <c r="D679" t="s">
        <v>336</v>
      </c>
      <c r="E679" t="s">
        <v>1236</v>
      </c>
      <c r="F679" t="s">
        <v>1237</v>
      </c>
      <c r="G679" t="s">
        <v>1238</v>
      </c>
      <c r="I679">
        <v>2018</v>
      </c>
      <c r="K679" t="s">
        <v>1239</v>
      </c>
      <c r="M679" t="str">
        <f>LEFT($D679,FIND(",",$D679)-1)&amp;"_"&amp;I679&amp;L679</f>
        <v>Balasbaneh_2018</v>
      </c>
      <c r="N679" t="s">
        <v>222</v>
      </c>
      <c r="O679" s="140" t="s">
        <v>513</v>
      </c>
      <c r="Q679" t="s">
        <v>224</v>
      </c>
      <c r="R679" s="262" t="s">
        <v>223</v>
      </c>
      <c r="S679" s="1" t="s">
        <v>1253</v>
      </c>
      <c r="T679" s="264" t="s">
        <v>3112</v>
      </c>
      <c r="U679" s="264" t="s">
        <v>3111</v>
      </c>
      <c r="V679">
        <v>0</v>
      </c>
      <c r="W679">
        <v>0</v>
      </c>
      <c r="X679">
        <v>0</v>
      </c>
      <c r="Y679">
        <v>0</v>
      </c>
      <c r="Z679">
        <v>0</v>
      </c>
      <c r="AA679">
        <v>0</v>
      </c>
      <c r="AB679">
        <v>0</v>
      </c>
      <c r="AC679">
        <v>0</v>
      </c>
      <c r="AD679">
        <v>0</v>
      </c>
      <c r="AE679">
        <v>0</v>
      </c>
      <c r="AF679">
        <v>0</v>
      </c>
      <c r="AG679">
        <v>0</v>
      </c>
      <c r="AH679">
        <v>0</v>
      </c>
      <c r="AI679">
        <v>0</v>
      </c>
      <c r="AJ679">
        <v>0</v>
      </c>
      <c r="AK679">
        <v>1</v>
      </c>
      <c r="AL679">
        <v>0</v>
      </c>
      <c r="AM679">
        <v>0</v>
      </c>
      <c r="AN679">
        <v>0</v>
      </c>
      <c r="AO679">
        <v>0</v>
      </c>
      <c r="AP679">
        <v>0</v>
      </c>
      <c r="AQ679">
        <v>0</v>
      </c>
      <c r="AR679">
        <v>0</v>
      </c>
      <c r="AS679">
        <v>0</v>
      </c>
      <c r="AT679">
        <v>0</v>
      </c>
      <c r="AU679">
        <v>0</v>
      </c>
      <c r="AV679">
        <v>0</v>
      </c>
      <c r="AW679">
        <v>0</v>
      </c>
      <c r="AX679" s="141">
        <f>COUNTIF(V679:AW679,"&lt;&gt;0")</f>
        <v>1</v>
      </c>
      <c r="AY679" s="141">
        <f>COUNTIF(V679:AL679,"&lt;&gt;0")</f>
        <v>1</v>
      </c>
      <c r="AZ679">
        <f>COUNTIF(V679:AC679,"&lt;&gt;0")</f>
        <v>0</v>
      </c>
      <c r="BA679">
        <f>COUNTIF(AD679:AI679,"&lt;&gt;0")</f>
        <v>0</v>
      </c>
      <c r="BB679">
        <f>COUNTIF(AJ679:AL679,"&lt;&gt;0")</f>
        <v>1</v>
      </c>
      <c r="BC679">
        <f>COUNTIF(AS679:AW679,"&lt;&gt;0")</f>
        <v>0</v>
      </c>
      <c r="BD679">
        <f>COUNTIF(AM679:AR679,"&lt;&gt;0")</f>
        <v>0</v>
      </c>
      <c r="BE679" t="str">
        <f t="array" ref="BE679">IF(AY679=1,INDEX($V$7:$AL$7,MATCH(TRUE,INDEX($V679:$AW679&lt;&gt;0,),0)),IF(AY679=0,INDEX($AM$7:$AW$7,MATCH(1,$AM679:$AW679,0)),IF(BF679="Multiple strategies","mixed drivers",IF(BF679="Supply chain","multiple supply","multiple silviculture"))))</f>
        <v>technologies/design switch</v>
      </c>
      <c r="BF679" s="2" t="str" cm="1">
        <f t="array" ref="BF679">IF(COUNTIF(AZ679:BB679,"&lt;&gt;0")=1,INDEX($V$4:$AW$4,MATCH(TRUE,INDEX($V679:$AW679&lt;&gt;0,),0)),IF(COUNTIF(AZ679:BB679,"&lt;&gt;0")=0,INDEX($AM$4:$AW$4,MATCH(1,$AM679:$AW679,0)),"Multiple strategies"))</f>
        <v>Technology</v>
      </c>
      <c r="BG679" s="1" t="s">
        <v>229</v>
      </c>
      <c r="BH679" t="s">
        <v>229</v>
      </c>
      <c r="BJ679" t="s">
        <v>345</v>
      </c>
      <c r="BK679">
        <v>0</v>
      </c>
      <c r="BL679">
        <v>15468</v>
      </c>
      <c r="BM679" s="143"/>
      <c r="BN679">
        <f>BL679-BK679</f>
        <v>15468</v>
      </c>
      <c r="BO679" s="143">
        <f>BN679*kg_to_m3</f>
        <v>31.567346938775515</v>
      </c>
      <c r="BP679" t="s">
        <v>232</v>
      </c>
      <c r="BQ679" s="337" t="s">
        <v>1057</v>
      </c>
      <c r="BR679" t="s">
        <v>397</v>
      </c>
      <c r="BS679">
        <v>-13900</v>
      </c>
      <c r="BT679">
        <v>-5130</v>
      </c>
      <c r="BU679" s="144">
        <v>0.36906474820143886</v>
      </c>
      <c r="BV679">
        <v>8770</v>
      </c>
      <c r="BX679">
        <f>BV679/1000</f>
        <v>8.77</v>
      </c>
      <c r="BY679">
        <f>IFERROR(BX679/BO679,"")</f>
        <v>0.27781872252392031</v>
      </c>
      <c r="BZ679">
        <v>0</v>
      </c>
      <c r="CA679">
        <v>0</v>
      </c>
      <c r="CB679">
        <v>0</v>
      </c>
      <c r="CC679">
        <v>0</v>
      </c>
      <c r="CD679">
        <v>0</v>
      </c>
      <c r="CE679">
        <v>0</v>
      </c>
      <c r="CF679">
        <v>0</v>
      </c>
      <c r="CG679">
        <v>0</v>
      </c>
      <c r="CH679">
        <v>0</v>
      </c>
      <c r="CI679">
        <v>0</v>
      </c>
      <c r="CJ679">
        <v>0</v>
      </c>
      <c r="CK679">
        <v>0</v>
      </c>
      <c r="CL679">
        <v>0</v>
      </c>
      <c r="CM679">
        <v>0</v>
      </c>
      <c r="CN679" t="str">
        <f>IF($BL679&lt;$BK679,"refNeedCorrection","refOK")</f>
        <v>refOK</v>
      </c>
      <c r="CO679">
        <f>IF($CN679="refNeedCorrection",BL679,BK679)</f>
        <v>0</v>
      </c>
      <c r="CP679">
        <f>IF($CN679="refNeedCorrection",BK679,BL679)</f>
        <v>15468</v>
      </c>
      <c r="CQ679">
        <f>IF($CN679="refOK",$BO679,-$BO679)</f>
        <v>31.567346938775515</v>
      </c>
      <c r="CR679">
        <f>IF($CN679="refOK",$BS679,$BT679)*IF($BP679="Emissions positive",-1,1)</f>
        <v>-13900</v>
      </c>
      <c r="CS679">
        <f>IF($CN679="refOK",$BT679,$BS679)*IF($BP679="Emissions positive",-1,1)</f>
        <v>-5130</v>
      </c>
      <c r="CT679">
        <f>IF($CN679="refNeedCorrection",-BX679,BX679)*IF($BP679="Emissions positive",-1,1)</f>
        <v>8.77</v>
      </c>
      <c r="CU679">
        <f>IFERROR(CT679/CQ679,"")</f>
        <v>0.27781872252392031</v>
      </c>
      <c r="CV679" s="2">
        <f>IFERROR((CS679-CR679)/ABS(CR679),"")</f>
        <v>0.63093525179856114</v>
      </c>
      <c r="CW679" s="1" t="s">
        <v>1203</v>
      </c>
      <c r="CX679" t="str">
        <f>IF(OR($CW679="prd",$CW679="std",$CW679="cit"),"loc",IF(OR($CW679="eur",$CW679="reg",$CW679="coy"),"reg",$CW679))</f>
        <v>reg</v>
      </c>
      <c r="CY679" t="s">
        <v>348</v>
      </c>
      <c r="CZ679">
        <v>2014</v>
      </c>
      <c r="DA679">
        <v>2514</v>
      </c>
      <c r="DB679">
        <v>500</v>
      </c>
      <c r="DC679" t="str">
        <f>IF(DB679=0,"0",IF(AND(DB679&gt;=1,DB679&lt;=30),"1-30",IF(AND(DB679&gt;30,DB679&lt;=70),"31-70",IF(AND(DB679&gt;70,DB679&lt;=100),"71-100",IF(DB679&gt;100,"+100")))))</f>
        <v>+100</v>
      </c>
      <c r="DD679">
        <v>0</v>
      </c>
      <c r="DE679">
        <v>0</v>
      </c>
      <c r="DF679">
        <v>0</v>
      </c>
      <c r="DG679">
        <v>1</v>
      </c>
      <c r="DI679">
        <f>SUM(DD679:DG679)</f>
        <v>1</v>
      </c>
      <c r="DJ679" t="str">
        <f>IF(DI679=1,INDEX($DD$7:$DG$7,MATCH(1,$DD679:$DG679,0)),"mixedProduct")</f>
        <v>TimberInput</v>
      </c>
      <c r="DK679">
        <f>IF(DD679=1,DK$7,0)</f>
        <v>0</v>
      </c>
      <c r="DL679">
        <f>IF(DE679=1,DL$7,0)</f>
        <v>0</v>
      </c>
      <c r="DM679">
        <f>IF(DF679=1,DM$7,0)</f>
        <v>0</v>
      </c>
      <c r="DN679" t="str">
        <f>IF(DG679=1,DN$7,0)</f>
        <v>Timber</v>
      </c>
      <c r="DO679">
        <v>0</v>
      </c>
      <c r="DP679">
        <v>0</v>
      </c>
      <c r="DQ679">
        <v>0</v>
      </c>
      <c r="DR679">
        <v>0</v>
      </c>
      <c r="DS679">
        <v>0</v>
      </c>
      <c r="DT679">
        <f>SUM(DO679:DP679)</f>
        <v>0</v>
      </c>
      <c r="DU679" s="143" t="str">
        <f>IF(DO679=1,"self-calculated DF",IF(DP679=1,"external DF used","explicit C balance"))</f>
        <v>explicit C balance</v>
      </c>
      <c r="DV679">
        <v>0</v>
      </c>
      <c r="DW679">
        <v>0</v>
      </c>
      <c r="DX679">
        <v>0</v>
      </c>
      <c r="DY679">
        <v>0</v>
      </c>
      <c r="DZ679">
        <v>0</v>
      </c>
      <c r="EA679" s="143">
        <v>1</v>
      </c>
      <c r="EB679">
        <v>0</v>
      </c>
      <c r="EC679">
        <v>1</v>
      </c>
      <c r="ED679">
        <v>1</v>
      </c>
      <c r="EE679">
        <v>1</v>
      </c>
      <c r="EF679">
        <v>0</v>
      </c>
      <c r="EG679">
        <v>0</v>
      </c>
      <c r="EH679">
        <v>0</v>
      </c>
      <c r="EI679" s="2">
        <v>0</v>
      </c>
      <c r="EK679" t="str">
        <f>IF(AND(AND(AND(OR($DX679=1,$DW679=1),OR($EC679=1,$EA679=1)),SUM($DV679:$DZ679,$EF679)&gt;=4),SUM($EA679:$EE679)&gt;=2),"Whole sector","")</f>
        <v/>
      </c>
      <c r="EL679" t="str">
        <f>IF(AND(AND(OR($DX679=1,$DW679=1),AND($EC679=0,$EA679=0)),SUM($DV679:$DZ679,$EF679)&gt;=4),"Ecosystem approach","")</f>
        <v/>
      </c>
      <c r="EM679" s="2" t="str">
        <f>IF(AND(AND(AND($DX679=0,$DW679=0),OR($EC679=1,$EA679=1)),SUM($EB679:$EE679)&gt;=2),"Technology approach","")</f>
        <v>Technology approach</v>
      </c>
      <c r="EP679" t="str">
        <f>IF(ISNUMBER(BU679),IF(ABS(BU679-[1]QC_indicators!$B$2)&gt;3*[1]QC_indicators!$C$2,"C ratio",IF(ISNUMBER(BY679),IF(ABS(BY679-[1]QC_indicators!$B$1)&gt;3*[1]QC_indicators!$C$1,"DF","no"))),IF(ISNUMBER(BY679),IF(ABS(BY679-[1]QC_indicators!$B$1)&gt;3*[1]QC_indicators!$C$1,"DF","no")))</f>
        <v>no</v>
      </c>
      <c r="ER679" s="149" t="s">
        <v>349</v>
      </c>
      <c r="ET679" s="264" t="s">
        <v>3273</v>
      </c>
    </row>
    <row r="680" spans="1:150" ht="15" customHeight="1">
      <c r="A680" s="174" t="s">
        <v>1286</v>
      </c>
      <c r="B680" s="141" t="s">
        <v>1287</v>
      </c>
      <c r="C680" s="141" t="s">
        <v>1288</v>
      </c>
      <c r="D680" s="141" t="s">
        <v>1289</v>
      </c>
      <c r="E680" s="141" t="s">
        <v>1290</v>
      </c>
      <c r="F680" s="141" t="s">
        <v>1291</v>
      </c>
      <c r="G680" s="141" t="s">
        <v>1292</v>
      </c>
      <c r="H680" s="141"/>
      <c r="I680" s="141">
        <v>2019</v>
      </c>
      <c r="J680" s="141"/>
      <c r="K680" s="141" t="s">
        <v>1293</v>
      </c>
      <c r="L680" s="141"/>
      <c r="M680" t="str">
        <f>LEFT($D680,FIND(",",$D680)-1)&amp;"_"&amp;I680&amp;L680</f>
        <v>Bosch_2019</v>
      </c>
      <c r="N680" t="s">
        <v>222</v>
      </c>
      <c r="O680" s="175" t="s">
        <v>225</v>
      </c>
      <c r="P680" s="141" t="s">
        <v>223</v>
      </c>
      <c r="Q680" s="264" t="s">
        <v>224</v>
      </c>
      <c r="R680" s="269" t="s">
        <v>1154</v>
      </c>
      <c r="S680" s="174" t="s">
        <v>1303</v>
      </c>
      <c r="T680" s="141" t="s">
        <v>1304</v>
      </c>
      <c r="U680" s="141" t="s">
        <v>1296</v>
      </c>
      <c r="V680" s="141">
        <v>1</v>
      </c>
      <c r="W680" s="141">
        <v>0</v>
      </c>
      <c r="X680" s="141">
        <v>0</v>
      </c>
      <c r="Y680" s="141">
        <v>0</v>
      </c>
      <c r="Z680" s="141">
        <v>0</v>
      </c>
      <c r="AA680" s="141">
        <v>0</v>
      </c>
      <c r="AB680" s="141">
        <v>0</v>
      </c>
      <c r="AC680" s="141">
        <v>0</v>
      </c>
      <c r="AD680" s="141">
        <v>0</v>
      </c>
      <c r="AE680" s="141">
        <v>0</v>
      </c>
      <c r="AF680" s="141">
        <v>0</v>
      </c>
      <c r="AG680" s="141">
        <v>0</v>
      </c>
      <c r="AH680" s="141">
        <v>0</v>
      </c>
      <c r="AI680" s="141">
        <v>0</v>
      </c>
      <c r="AJ680" s="141">
        <v>0</v>
      </c>
      <c r="AK680" s="141">
        <v>0</v>
      </c>
      <c r="AL680" s="141">
        <v>0</v>
      </c>
      <c r="AM680" s="141">
        <v>0</v>
      </c>
      <c r="AN680" s="141">
        <v>0</v>
      </c>
      <c r="AO680" s="141">
        <v>0</v>
      </c>
      <c r="AP680" s="141">
        <v>0</v>
      </c>
      <c r="AQ680" s="141">
        <v>0</v>
      </c>
      <c r="AR680" s="141">
        <v>0</v>
      </c>
      <c r="AS680" s="141">
        <v>0</v>
      </c>
      <c r="AT680" s="141">
        <v>0</v>
      </c>
      <c r="AU680" s="141">
        <v>0</v>
      </c>
      <c r="AV680" s="141">
        <v>0</v>
      </c>
      <c r="AW680" s="141">
        <v>0</v>
      </c>
      <c r="AX680" s="141">
        <f>COUNTIF(V680:AW680,"&lt;&gt;0")</f>
        <v>1</v>
      </c>
      <c r="AY680" s="141">
        <f>COUNTIF(V680:AL680,"&lt;&gt;0")</f>
        <v>1</v>
      </c>
      <c r="AZ680">
        <f>COUNTIF(V680:AC680,"&lt;&gt;0")</f>
        <v>1</v>
      </c>
      <c r="BA680">
        <f>COUNTIF(AD680:AI680,"&lt;&gt;0")</f>
        <v>0</v>
      </c>
      <c r="BB680">
        <f>COUNTIF(AJ680:AL680,"&lt;&gt;0")</f>
        <v>0</v>
      </c>
      <c r="BC680">
        <f>COUNTIF(AS680:AW680,"&lt;&gt;0")</f>
        <v>0</v>
      </c>
      <c r="BD680">
        <f>COUNTIF(AM680:AR680,"&lt;&gt;0")</f>
        <v>0</v>
      </c>
      <c r="BE680" t="str" cm="1">
        <f t="array" ref="BE680">IF(AY680=1,INDEX($V$7:$AL$7,MATCH(TRUE,INDEX($V680:$AW680&lt;&gt;0,),0)),IF(AY680=0,INDEX($AM$7:$AW$7,MATCH(1,$AM680:$AW680,0)),IF(BF680="Multiple strategies","mixed drivers",IF(BF680="Supply chain","multiple supply","multiple silviculture"))))</f>
        <v>area subject to harvest</v>
      </c>
      <c r="BF680" s="2" t="str" cm="1">
        <f t="array" ref="BF680">IF(COUNTIF(AZ680:BB680,"&lt;&gt;0")=1,INDEX($V$4:$AW$4,MATCH(TRUE,INDEX($V680:$AW680&lt;&gt;0,),0)),IF(COUNTIF(AZ680:BB680,"&lt;&gt;0")=0,INDEX($AM$4:$AW$4,MATCH(1,$AM680:$AW680,0)),"Multiple strategies"))</f>
        <v>Silviculture for removals</v>
      </c>
      <c r="BG680" s="173" t="s">
        <v>321</v>
      </c>
      <c r="BH680" s="141" t="s">
        <v>1297</v>
      </c>
      <c r="BI680" s="141" t="s">
        <v>1298</v>
      </c>
      <c r="BJ680" s="163" t="s">
        <v>1299</v>
      </c>
      <c r="BK680" s="176">
        <v>2330</v>
      </c>
      <c r="BL680" s="163">
        <v>2405</v>
      </c>
      <c r="BM680" s="264">
        <f>BL680/BK680</f>
        <v>1.0321888412017168</v>
      </c>
      <c r="BN680">
        <f>BL680-BK680</f>
        <v>75</v>
      </c>
      <c r="BO680" s="158">
        <f>BN680*10^6</f>
        <v>75000000</v>
      </c>
      <c r="BP680" s="264" t="s">
        <v>395</v>
      </c>
      <c r="BQ680" s="153" t="s">
        <v>429</v>
      </c>
      <c r="BR680" s="151" t="s">
        <v>1300</v>
      </c>
      <c r="BS680" s="141"/>
      <c r="BT680" s="163"/>
      <c r="BU680" s="144" t="str">
        <f>IFERROR(BT680/BS680,"")</f>
        <v/>
      </c>
      <c r="BV680" s="176">
        <v>-21</v>
      </c>
      <c r="BX680">
        <f>BV680*10^6</f>
        <v>-21000000</v>
      </c>
      <c r="BY680">
        <f>IFERROR(BX680/BO680,"")</f>
        <v>-0.28000000000000003</v>
      </c>
      <c r="BZ680" s="141">
        <v>0</v>
      </c>
      <c r="CA680" s="141">
        <v>0</v>
      </c>
      <c r="CB680" s="141">
        <v>0</v>
      </c>
      <c r="CC680" s="141">
        <v>0</v>
      </c>
      <c r="CD680" s="141">
        <v>0</v>
      </c>
      <c r="CE680" s="141">
        <v>0</v>
      </c>
      <c r="CF680" s="141">
        <v>0</v>
      </c>
      <c r="CG680" s="141">
        <v>0</v>
      </c>
      <c r="CH680" s="141">
        <v>0</v>
      </c>
      <c r="CI680" s="141">
        <v>0</v>
      </c>
      <c r="CJ680" s="141">
        <v>0</v>
      </c>
      <c r="CK680" s="141">
        <v>0</v>
      </c>
      <c r="CL680" s="141">
        <v>0</v>
      </c>
      <c r="CM680" s="141">
        <v>1</v>
      </c>
      <c r="CN680" t="str">
        <f>IF(BL680&lt;BK680,"refNeedCorrection","refOK")</f>
        <v>refOK</v>
      </c>
      <c r="CO680">
        <f>IF($CN680="refOK",$BK680,$BL680)</f>
        <v>2330</v>
      </c>
      <c r="CP680">
        <f>IF($CN680="refOK",$BL680,$BK680)</f>
        <v>2405</v>
      </c>
      <c r="CQ680">
        <f>IF($CN680="refOK",$BO680,-$BO680)</f>
        <v>75000000</v>
      </c>
      <c r="CR680">
        <f>IF($CN680="refOK",$BS680,$BT680)*IF($BP680="Emissions positive",-1,1)</f>
        <v>0</v>
      </c>
      <c r="CS680">
        <f>IF($CN680="refOK",$BT680,$BS680)*IF($BP680="Emissions positive",-1,1)</f>
        <v>0</v>
      </c>
      <c r="CT680">
        <f>IF($CN680="refNeedCorrection",-BX680,BX680)*IF($BP680="Emissions positive",-1,1)</f>
        <v>21000000</v>
      </c>
      <c r="CU680">
        <f>IFERROR(CT680/CQ680,"")</f>
        <v>0.28000000000000003</v>
      </c>
      <c r="CV680" s="2" t="str">
        <f>IFERROR((CS680-CR680)/ABS(CR680),"")</f>
        <v/>
      </c>
      <c r="CW680" s="174" t="s">
        <v>1203</v>
      </c>
      <c r="CX680" s="264" t="str">
        <f>IF(OR($CW680="prd",$CW680="std",$CW680="cit"),"loc",IF(OR($CW680="eur",$CW680="reg",$CW680="coy"),"reg",$CW680))</f>
        <v>reg</v>
      </c>
      <c r="CY680" s="141" t="s">
        <v>1301</v>
      </c>
      <c r="CZ680" s="141">
        <v>2016</v>
      </c>
      <c r="DA680" s="163">
        <v>2046</v>
      </c>
      <c r="DB680" s="163">
        <v>30</v>
      </c>
      <c r="DC680" t="str">
        <f>IF(DB680=0,"0",IF(AND(DB680&gt;=1,DB680&lt;=30),"1-30",IF(AND(DB680&gt;30,DB680&lt;=70),"31-70",IF(AND(DB680&gt;70,DB680&lt;=100),"71-100",IF(DB680&gt;100,"+100")))))</f>
        <v>1-30</v>
      </c>
      <c r="DD680" s="141">
        <v>1</v>
      </c>
      <c r="DE680" s="141">
        <v>1</v>
      </c>
      <c r="DF680" s="141">
        <v>0</v>
      </c>
      <c r="DG680" s="141">
        <v>1</v>
      </c>
      <c r="DI680">
        <f>SUM(DD680:DG680)</f>
        <v>3</v>
      </c>
      <c r="DJ680" t="str">
        <f>IF(DI680=1,INDEX($DD$7:$DG$7,MATCH(1,$DD680:$DG680,0)),"mixedProduct")</f>
        <v>mixedProduct</v>
      </c>
      <c r="DK680" t="str">
        <f>IF(DD680=1,DK$7,0)</f>
        <v>Upstream</v>
      </c>
      <c r="DL680" t="str">
        <f>IF(DE680=1,DL$7,0)</f>
        <v>Energy</v>
      </c>
      <c r="DM680">
        <f>IF(DF680=1,DM$7,0)</f>
        <v>0</v>
      </c>
      <c r="DN680" t="str">
        <f>IF(DG680=1,DN$7,0)</f>
        <v>Timber</v>
      </c>
      <c r="DO680" s="163">
        <v>0</v>
      </c>
      <c r="DP680" s="141">
        <v>0</v>
      </c>
      <c r="DQ680" s="163">
        <v>0</v>
      </c>
      <c r="DR680" s="163">
        <v>0</v>
      </c>
      <c r="DS680" s="163">
        <v>0</v>
      </c>
      <c r="DT680">
        <f>SUM(DO680:DP680)</f>
        <v>0</v>
      </c>
      <c r="DU680" s="143" t="str">
        <f>IF(DO680=1,"self-calculated DF",IF(DP680=1,"external DF used","explicit C balance"))</f>
        <v>explicit C balance</v>
      </c>
      <c r="DV680" s="163">
        <v>0</v>
      </c>
      <c r="DW680" s="141">
        <v>0</v>
      </c>
      <c r="DX680" s="163">
        <v>0</v>
      </c>
      <c r="DY680" s="163">
        <v>1</v>
      </c>
      <c r="DZ680" s="141">
        <v>0</v>
      </c>
      <c r="EA680" s="141">
        <v>0</v>
      </c>
      <c r="EB680" s="143">
        <v>0</v>
      </c>
      <c r="EC680" s="141">
        <v>0</v>
      </c>
      <c r="ED680" s="143">
        <v>0</v>
      </c>
      <c r="EE680" s="143">
        <v>0</v>
      </c>
      <c r="EF680" s="141">
        <v>1</v>
      </c>
      <c r="EG680" s="163">
        <v>0</v>
      </c>
      <c r="EH680" s="141">
        <v>0</v>
      </c>
      <c r="EI680" s="177">
        <v>0</v>
      </c>
      <c r="EK680" t="str">
        <f>IF(AND(AND(AND(OR($DX680=1,$DW680=1),OR($EC680=1,$EA680=1)),SUM($DV680:$DZ680,$EF680)&gt;=4),SUM($EA680:$EE680)&gt;=2),"Whole sector","")</f>
        <v/>
      </c>
      <c r="EL680" t="str">
        <f>IF(AND(AND(OR($DX680=1,$DW680=1),AND($EC680=0,$EA680=0)),SUM($DV680:$DZ680,$EF680)&gt;=4),"Ecosystem approach","")</f>
        <v/>
      </c>
      <c r="EM680" s="2" t="str">
        <f>IF(AND(AND(AND($DX680=0,$DW680=0),OR($EC680=1,$EA680=1)),SUM($EB680:$EE680)&gt;=2),"Technology approach","")</f>
        <v/>
      </c>
      <c r="EN680" s="141"/>
      <c r="EP680" t="str">
        <f>IF(ISNUMBER(BU680),IF(ABS(BU680-[3]QC_indicators!$B$2)&gt;3*[3]QC_indicators!$C$2,"C ratio",IF(ISNUMBER(BY680),IF(ABS(BY680-[3]QC_indicators!$B$1)&gt;3*[3]QC_indicators!$C$1,"DF","no"))),IF(ISNUMBER(BY680),IF(ABS(BY680-[3]QC_indicators!$B$1)&gt;3*[3]QC_indicators!$C$1,"DF","no")))</f>
        <v>no</v>
      </c>
      <c r="ER680" s="294" t="s">
        <v>1302</v>
      </c>
      <c r="ET680" s="264" t="s">
        <v>3407</v>
      </c>
    </row>
    <row r="681" spans="1:150" ht="15" customHeight="1">
      <c r="A681" s="1" t="s">
        <v>430</v>
      </c>
      <c r="B681" t="s">
        <v>431</v>
      </c>
      <c r="C681" t="s">
        <v>432</v>
      </c>
      <c r="D681" t="s">
        <v>433</v>
      </c>
      <c r="E681" t="s">
        <v>434</v>
      </c>
      <c r="F681" t="s">
        <v>435</v>
      </c>
      <c r="G681" t="s">
        <v>436</v>
      </c>
      <c r="H681" t="s">
        <v>254</v>
      </c>
      <c r="I681">
        <v>2000</v>
      </c>
      <c r="J681">
        <v>174</v>
      </c>
      <c r="K681" t="s">
        <v>437</v>
      </c>
      <c r="M681" t="str">
        <f>LEFT($D681,FIND(",",$D681)-1)&amp;"_"&amp;I681&amp;L681</f>
        <v>Borjesson_2000</v>
      </c>
      <c r="N681" t="s">
        <v>222</v>
      </c>
      <c r="O681" s="145" t="s">
        <v>223</v>
      </c>
      <c r="Q681" t="s">
        <v>256</v>
      </c>
      <c r="R681" s="255" t="s">
        <v>225</v>
      </c>
      <c r="S681" s="1" t="s">
        <v>475</v>
      </c>
      <c r="T681" t="s">
        <v>480</v>
      </c>
      <c r="U681" t="s">
        <v>483</v>
      </c>
      <c r="V681">
        <v>0</v>
      </c>
      <c r="W681">
        <v>0</v>
      </c>
      <c r="X681">
        <v>0</v>
      </c>
      <c r="Y681">
        <v>0</v>
      </c>
      <c r="Z681">
        <v>0</v>
      </c>
      <c r="AA681">
        <v>0</v>
      </c>
      <c r="AB681">
        <v>0</v>
      </c>
      <c r="AC681">
        <v>0</v>
      </c>
      <c r="AD681">
        <v>0</v>
      </c>
      <c r="AE681">
        <v>0</v>
      </c>
      <c r="AF681">
        <v>0</v>
      </c>
      <c r="AG681">
        <v>0</v>
      </c>
      <c r="AH681">
        <v>0</v>
      </c>
      <c r="AI681">
        <v>0</v>
      </c>
      <c r="AJ681">
        <v>0</v>
      </c>
      <c r="AK681">
        <v>1</v>
      </c>
      <c r="AL681">
        <v>0</v>
      </c>
      <c r="AM681">
        <v>0</v>
      </c>
      <c r="AN681">
        <v>0</v>
      </c>
      <c r="AO681">
        <v>0</v>
      </c>
      <c r="AP681">
        <v>0</v>
      </c>
      <c r="AQ681">
        <v>0</v>
      </c>
      <c r="AR681">
        <v>0</v>
      </c>
      <c r="AS681">
        <v>0</v>
      </c>
      <c r="AT681">
        <v>0</v>
      </c>
      <c r="AU681">
        <v>0</v>
      </c>
      <c r="AV681">
        <v>0</v>
      </c>
      <c r="AW681">
        <v>0</v>
      </c>
      <c r="AX681" s="141">
        <f>COUNTIF(V681:AW681,"&lt;&gt;0")</f>
        <v>1</v>
      </c>
      <c r="AY681" s="141">
        <f>COUNTIF(V681:AL681,"&lt;&gt;0")</f>
        <v>1</v>
      </c>
      <c r="AZ681">
        <f>COUNTIF(V681:AC681,"&lt;&gt;0")</f>
        <v>0</v>
      </c>
      <c r="BA681">
        <f>COUNTIF(AD681:AI681,"&lt;&gt;0")</f>
        <v>0</v>
      </c>
      <c r="BB681">
        <f>COUNTIF(AJ681:AL681,"&lt;&gt;0")</f>
        <v>1</v>
      </c>
      <c r="BC681">
        <f>COUNTIF(AS681:AW681,"&lt;&gt;0")</f>
        <v>0</v>
      </c>
      <c r="BD681">
        <f>COUNTIF(AM681:AR681,"&lt;&gt;0")</f>
        <v>0</v>
      </c>
      <c r="BE681" t="str">
        <f t="array" ref="BE681">IF(AY681=1,INDEX($V$7:$AL$7,MATCH(TRUE,INDEX($V681:$AW681&lt;&gt;0,),0)),IF(AY681=0,INDEX($AM$7:$AW$7,MATCH(1,$AM681:$AW681,0)),IF(BF681="Multiple strategies","mixed drivers",IF(BF681="Supply chain","multiple supply","multiple silviculture"))))</f>
        <v>technologies/design switch</v>
      </c>
      <c r="BF681" s="2" t="str" cm="1">
        <f t="array" ref="BF681">IF(COUNTIF(AZ681:BB681,"&lt;&gt;0")=1,INDEX($V$4:$AW$4,MATCH(TRUE,INDEX($V681:$AW681&lt;&gt;0,),0)),IF(COUNTIF(AZ681:BB681,"&lt;&gt;0")=0,INDEX($AM$4:$AW$4,MATCH(1,$AM681:$AW681,0)),"Multiple strategies"))</f>
        <v>Technology</v>
      </c>
      <c r="BG681" s="142" t="s">
        <v>321</v>
      </c>
      <c r="BH681" t="s">
        <v>478</v>
      </c>
      <c r="BI681" s="264" t="s">
        <v>3276</v>
      </c>
      <c r="BJ681" t="s">
        <v>442</v>
      </c>
      <c r="BK681">
        <v>0</v>
      </c>
      <c r="BL681">
        <v>45</v>
      </c>
      <c r="BM681" s="143"/>
      <c r="BN681">
        <f>BL681-BK681</f>
        <v>45</v>
      </c>
      <c r="BO681">
        <f>BN681*tC_to_m3</f>
        <v>195.39730785931394</v>
      </c>
      <c r="BP681" t="s">
        <v>232</v>
      </c>
      <c r="BQ681" s="260" t="s">
        <v>813</v>
      </c>
      <c r="BR681" t="s">
        <v>443</v>
      </c>
      <c r="BS681" s="141">
        <v>3</v>
      </c>
      <c r="BT681" s="141">
        <v>18</v>
      </c>
      <c r="BU681" s="144">
        <f>IFERROR(BT681/BS681,"")</f>
        <v>6</v>
      </c>
      <c r="BV681">
        <f>BT681-BS681</f>
        <v>15</v>
      </c>
      <c r="BX681">
        <f>BV681*C_to_CO2</f>
        <v>55.05</v>
      </c>
      <c r="BY681">
        <f>IFERROR(BX681/BO681,"")</f>
        <v>0.28173366666666666</v>
      </c>
      <c r="BZ681" s="143">
        <v>0</v>
      </c>
      <c r="CA681" s="143">
        <v>0</v>
      </c>
      <c r="CB681" s="143">
        <v>0</v>
      </c>
      <c r="CC681" s="143">
        <v>0</v>
      </c>
      <c r="CD681" s="143">
        <v>0</v>
      </c>
      <c r="CE681" s="143">
        <v>0</v>
      </c>
      <c r="CF681" s="143">
        <v>0</v>
      </c>
      <c r="CG681" s="143">
        <v>0</v>
      </c>
      <c r="CH681" s="143">
        <v>0</v>
      </c>
      <c r="CI681" s="143">
        <v>0</v>
      </c>
      <c r="CJ681" s="143">
        <v>0</v>
      </c>
      <c r="CK681" s="143">
        <v>0</v>
      </c>
      <c r="CL681" s="143">
        <v>0</v>
      </c>
      <c r="CM681">
        <v>0</v>
      </c>
      <c r="CN681" t="str">
        <f>IF($BL681&lt;$BK681,"refNeedCorrection","refOK")</f>
        <v>refOK</v>
      </c>
      <c r="CO681">
        <f>IF($CN681="refOK",$BK681,$BL681)</f>
        <v>0</v>
      </c>
      <c r="CP681">
        <f>IF($CN681="refOK",$BL681,$BK681)</f>
        <v>45</v>
      </c>
      <c r="CQ681">
        <f>IF($CN681="refOK",$BO681,-$BO681)</f>
        <v>195.39730785931394</v>
      </c>
      <c r="CR681">
        <f>IF($CN681="refOK",$BS681,$BT681)*IF($BP681="Emissions positive",-1,1)</f>
        <v>3</v>
      </c>
      <c r="CS681">
        <f>IF($CN681="refOK",$BT681,$BS681)*IF($BP681="Emissions positive",-1,1)</f>
        <v>18</v>
      </c>
      <c r="CT681">
        <f>IF($CN681="refNeedCorrection",-BX681,BX681)*IF($BP681="Emissions positive",-1,1)</f>
        <v>55.05</v>
      </c>
      <c r="CU681">
        <f>IFERROR(CT681/CQ681,"")</f>
        <v>0.28173366666666666</v>
      </c>
      <c r="CV681" s="2">
        <f>IFERROR((CS681-CR681)/ABS(CR681),"")</f>
        <v>5</v>
      </c>
      <c r="CW681" s="1" t="s">
        <v>263</v>
      </c>
      <c r="CX681" t="str">
        <f>IF(OR($CW681="prd",$CW681="std",$CW681="cit"),"loc",IF(OR($CW681="eur",$CW681="reg",$CW681="coy"),"reg",$CW681))</f>
        <v>loc</v>
      </c>
      <c r="CY681" t="s">
        <v>444</v>
      </c>
      <c r="DB681">
        <v>300</v>
      </c>
      <c r="DC681" t="str">
        <f>IF(DB681=0,"0",IF(AND(DB681&gt;=1,DB681&lt;=30),"1-30",IF(AND(DB681&gt;30,DB681&lt;=70),"31-70",IF(AND(DB681&gt;70,DB681&lt;=100),"71-100",IF(DB681&gt;100,"+100")))))</f>
        <v>+100</v>
      </c>
      <c r="DD681">
        <v>0</v>
      </c>
      <c r="DE681">
        <v>1</v>
      </c>
      <c r="DF681">
        <v>0</v>
      </c>
      <c r="DG681">
        <v>0</v>
      </c>
      <c r="DI681">
        <f>SUM(DD681:DG681)</f>
        <v>1</v>
      </c>
      <c r="DJ681" t="str">
        <f>IF(DI681=1,INDEX($DD$7:$DG$7,MATCH(1,$DD681:$DG681,0)),"mixedProduct")</f>
        <v>EnergyInput</v>
      </c>
      <c r="DK681">
        <f>IF(DD681=1,DK$7,0)</f>
        <v>0</v>
      </c>
      <c r="DL681" t="str">
        <f>IF(DE681=1,DL$7,0)</f>
        <v>Energy</v>
      </c>
      <c r="DM681">
        <f>IF(DF681=1,DM$7,0)</f>
        <v>0</v>
      </c>
      <c r="DN681">
        <f>IF(DG681=1,DN$7,0)</f>
        <v>0</v>
      </c>
      <c r="DO681">
        <v>1</v>
      </c>
      <c r="DP681" s="143">
        <v>0</v>
      </c>
      <c r="DQ681" s="143">
        <v>0</v>
      </c>
      <c r="DR681" s="143">
        <v>0</v>
      </c>
      <c r="DS681">
        <v>0</v>
      </c>
      <c r="DT681">
        <f>SUM(DO681:DP681)</f>
        <v>1</v>
      </c>
      <c r="DU681" s="143" t="str">
        <f>IF(DO681=1,"self-calculated DF",IF(DP681=1,"external DF used","explicit C balance"))</f>
        <v>self-calculated DF</v>
      </c>
      <c r="DV681">
        <v>0</v>
      </c>
      <c r="DW681" s="143">
        <v>0</v>
      </c>
      <c r="DX681" s="143">
        <v>1</v>
      </c>
      <c r="DY681" s="143">
        <v>1</v>
      </c>
      <c r="DZ681">
        <v>1</v>
      </c>
      <c r="EA681" s="143">
        <v>1</v>
      </c>
      <c r="EB681">
        <v>0</v>
      </c>
      <c r="EC681" s="143">
        <v>1</v>
      </c>
      <c r="ED681" s="143">
        <v>0</v>
      </c>
      <c r="EE681">
        <v>0</v>
      </c>
      <c r="EF681">
        <v>0</v>
      </c>
      <c r="EG681" s="143">
        <v>0</v>
      </c>
      <c r="EH681" s="143">
        <v>0</v>
      </c>
      <c r="EI681" s="2">
        <v>0</v>
      </c>
      <c r="EK681" t="str">
        <f>IF(AND(AND(AND(OR($DX681=1,$DW681=1),OR($EC681=1,$EA681=1)),SUM($DV681:$DZ681,$EF681)&gt;=4),SUM($EA681:$EE681)&gt;=2),"Whole sector","")</f>
        <v/>
      </c>
      <c r="EL681" t="str">
        <f>IF(AND(AND(OR($DX681=1,$DW681=1),AND($EC681=0,$EA681=0)),SUM($DV681:$DZ681,$EF681)&gt;=4),"Ecosystem approach","")</f>
        <v/>
      </c>
      <c r="EM681" s="2" t="str">
        <f>IF(AND(AND(AND($DX681=0,$DW681=0),OR($EC681=1,$EA681=1)),SUM($EB681:$EE681)&gt;=2),"Technology approach","")</f>
        <v/>
      </c>
      <c r="EP681" t="str">
        <f>IF(ISNUMBER(BU681),IF(ABS(BU681-[4]QC_indicators!$B$2)&gt;3*[4]QC_indicators!$C$2,"C ratio",IF(ISNUMBER(BY681),IF(ABS(BY681-[4]QC_indicators!$B$1)&gt;3*[4]QC_indicators!$C$1,"DF","no"))),IF(ISNUMBER(BY681),IF(ABS(BY681-[4]QC_indicators!$B$1)&gt;3*[4]QC_indicators!$C$1,"DF","no")))</f>
        <v>no</v>
      </c>
      <c r="ER681" t="s">
        <v>479</v>
      </c>
      <c r="ET681" s="264" t="s">
        <v>3273</v>
      </c>
    </row>
    <row r="682" spans="1:150" ht="15" customHeight="1">
      <c r="D682" t="s">
        <v>1661</v>
      </c>
      <c r="E682" t="s">
        <v>1662</v>
      </c>
      <c r="G682" t="s">
        <v>1663</v>
      </c>
      <c r="I682">
        <v>2007</v>
      </c>
      <c r="K682" t="s">
        <v>1664</v>
      </c>
      <c r="M682" t="str">
        <f>LEFT($D682,FIND(",",$D682)-1)&amp;"_"&amp;I682&amp;L682</f>
        <v>Gustavsson_2007</v>
      </c>
      <c r="N682" t="s">
        <v>222</v>
      </c>
      <c r="O682" t="s">
        <v>223</v>
      </c>
      <c r="Q682" t="s">
        <v>256</v>
      </c>
      <c r="R682" s="269" t="s">
        <v>274</v>
      </c>
      <c r="S682" s="1" t="s">
        <v>1665</v>
      </c>
      <c r="T682" t="s">
        <v>1673</v>
      </c>
      <c r="U682" s="143" t="s">
        <v>1674</v>
      </c>
      <c r="V682">
        <v>0</v>
      </c>
      <c r="W682">
        <v>0</v>
      </c>
      <c r="X682">
        <v>0</v>
      </c>
      <c r="Y682">
        <v>0</v>
      </c>
      <c r="Z682">
        <v>0</v>
      </c>
      <c r="AA682">
        <v>0</v>
      </c>
      <c r="AB682">
        <v>0</v>
      </c>
      <c r="AC682">
        <v>0</v>
      </c>
      <c r="AD682">
        <v>0</v>
      </c>
      <c r="AE682">
        <v>0</v>
      </c>
      <c r="AF682">
        <v>0</v>
      </c>
      <c r="AG682">
        <v>0</v>
      </c>
      <c r="AH682">
        <v>0</v>
      </c>
      <c r="AI682">
        <v>0</v>
      </c>
      <c r="AJ682">
        <v>0</v>
      </c>
      <c r="AK682">
        <v>1</v>
      </c>
      <c r="AL682">
        <v>0</v>
      </c>
      <c r="AM682">
        <v>0</v>
      </c>
      <c r="AN682">
        <v>0</v>
      </c>
      <c r="AO682">
        <v>0</v>
      </c>
      <c r="AP682">
        <v>0</v>
      </c>
      <c r="AQ682">
        <v>0</v>
      </c>
      <c r="AR682">
        <v>0</v>
      </c>
      <c r="AS682">
        <v>0</v>
      </c>
      <c r="AT682">
        <v>0</v>
      </c>
      <c r="AU682">
        <v>0</v>
      </c>
      <c r="AV682">
        <v>0</v>
      </c>
      <c r="AW682">
        <v>0</v>
      </c>
      <c r="AX682" s="141">
        <f>COUNTIF(V682:AW682,"&lt;&gt;0")</f>
        <v>1</v>
      </c>
      <c r="AY682" s="141">
        <f>COUNTIF(V682:AL682,"&lt;&gt;0")</f>
        <v>1</v>
      </c>
      <c r="AZ682">
        <f>COUNTIF(V682:AC682,"&lt;&gt;0")</f>
        <v>0</v>
      </c>
      <c r="BA682">
        <f>COUNTIF(AD682:AI682,"&lt;&gt;0")</f>
        <v>0</v>
      </c>
      <c r="BB682">
        <f>COUNTIF(AJ682:AL682,"&lt;&gt;0")</f>
        <v>1</v>
      </c>
      <c r="BC682">
        <f>COUNTIF(AS682:AW682,"&lt;&gt;0")</f>
        <v>0</v>
      </c>
      <c r="BD682">
        <f>COUNTIF(AM682:AR682,"&lt;&gt;0")</f>
        <v>0</v>
      </c>
      <c r="BE682" t="str">
        <f t="array" ref="BE682">IF(AY682=1,INDEX($V$7:$AL$7,MATCH(TRUE,INDEX($V682:$AW682&lt;&gt;0,),0)),IF(AY682=0,INDEX($AM$7:$AW$7,MATCH(1,$AM682:$AW682,0)),IF(BF682="Multiple strategies","mixed drivers",IF(BF682="Supply chain","multiple supply","multiple silviculture"))))</f>
        <v>technologies/design switch</v>
      </c>
      <c r="BF682" s="2" t="str" cm="1">
        <f t="array" ref="BF682">IF(COUNTIF(AZ682:BB682,"&lt;&gt;0")=1,INDEX($V$4:$AW$4,MATCH(TRUE,INDEX($V682:$AW682&lt;&gt;0,),0)),IF(COUNTIF(AZ682:BB682,"&lt;&gt;0")=0,INDEX($AM$4:$AW$4,MATCH(1,$AM682:$AW682,0)),"Multiple strategies"))</f>
        <v>Technology</v>
      </c>
      <c r="BG682" s="142" t="s">
        <v>229</v>
      </c>
      <c r="BH682" t="s">
        <v>1667</v>
      </c>
      <c r="BI682" s="264" t="s">
        <v>1057</v>
      </c>
      <c r="BJ682" s="143" t="s">
        <v>3265</v>
      </c>
      <c r="BK682">
        <v>0</v>
      </c>
      <c r="BL682" s="143">
        <v>79.599999999999994</v>
      </c>
      <c r="BM682" s="143"/>
      <c r="BN682">
        <f>BL682-BK682</f>
        <v>79.599999999999994</v>
      </c>
      <c r="BO682" s="143">
        <f>1000*BL682/15.3/400</f>
        <v>13.006535947712418</v>
      </c>
      <c r="BP682" t="s">
        <v>232</v>
      </c>
      <c r="BR682" t="s">
        <v>938</v>
      </c>
      <c r="BS682" s="143">
        <v>-1</v>
      </c>
      <c r="BT682" s="151">
        <v>0</v>
      </c>
      <c r="BU682">
        <v>0</v>
      </c>
      <c r="BV682">
        <v>1</v>
      </c>
      <c r="BX682">
        <f>BV682*C_to_CO2</f>
        <v>3.67</v>
      </c>
      <c r="BY682">
        <f>IFERROR(BX682/BO682,"")</f>
        <v>0.28216582914572863</v>
      </c>
      <c r="BZ682" s="143">
        <v>0</v>
      </c>
      <c r="CA682" s="143">
        <v>0</v>
      </c>
      <c r="CB682" s="143">
        <v>0</v>
      </c>
      <c r="CC682" s="143">
        <v>0</v>
      </c>
      <c r="CD682" s="143">
        <v>0</v>
      </c>
      <c r="CE682" s="143">
        <v>0</v>
      </c>
      <c r="CF682" s="143">
        <v>0</v>
      </c>
      <c r="CG682" s="143">
        <v>0</v>
      </c>
      <c r="CH682" s="143">
        <v>0</v>
      </c>
      <c r="CI682" s="143">
        <v>0</v>
      </c>
      <c r="CJ682" s="143">
        <v>0</v>
      </c>
      <c r="CK682" s="143">
        <v>0</v>
      </c>
      <c r="CL682" s="143">
        <v>0</v>
      </c>
      <c r="CM682">
        <v>1</v>
      </c>
      <c r="CN682" t="str">
        <f>IF($BL682&lt;$BK682,"refNeedCorrection","refOK")</f>
        <v>refOK</v>
      </c>
      <c r="CO682">
        <f>IF($CN682="refOK",$BK682,$BL682)</f>
        <v>0</v>
      </c>
      <c r="CP682">
        <f>IF($CN682="refOK",$BL682,$BK682)</f>
        <v>79.599999999999994</v>
      </c>
      <c r="CQ682">
        <f>IF($CN682="refOK",$BO682,-$BO682)</f>
        <v>13.006535947712418</v>
      </c>
      <c r="CR682">
        <f>IF($CN682="refOK",$BS682,$BT682)*IF($BP682="Emissions positive",-1,1)</f>
        <v>-1</v>
      </c>
      <c r="CS682">
        <f>IF($CN682="refOK",$BT682,$BS682)*IF($BP682="Emissions positive",-1,1)</f>
        <v>0</v>
      </c>
      <c r="CT682">
        <f>IF($CN682="refNeedCorrection",-BX682,BX682)*IF($BP682="Emissions positive",-1,1)</f>
        <v>3.67</v>
      </c>
      <c r="CU682">
        <f>IFERROR(CT682/CQ682,"")</f>
        <v>0.28216582914572863</v>
      </c>
      <c r="CV682" s="2">
        <f>IFERROR((CS682-CR682)/ABS(CR682),"")</f>
        <v>1</v>
      </c>
      <c r="CW682" s="1" t="s">
        <v>1203</v>
      </c>
      <c r="CX682" t="str">
        <f>IF(OR($CW682="prd",$CW682="std",$CW682="cit"),"loc",IF(OR($CW682="eur",$CW682="reg",$CW682="coy"),"reg",$CW682))</f>
        <v>reg</v>
      </c>
      <c r="CY682" t="s">
        <v>444</v>
      </c>
      <c r="DA682" s="143"/>
      <c r="DB682" s="143">
        <v>0</v>
      </c>
      <c r="DC682" t="str">
        <f>IF(DB682=0,"0",IF(AND(DB682&gt;=1,DB682&lt;=30),"1-30",IF(AND(DB682&gt;30,DB682&lt;=70),"31-70",IF(AND(DB682&gt;70,DB682&lt;=100),"71-100",IF(DB682&gt;100,"+100")))))</f>
        <v>0</v>
      </c>
      <c r="DD682">
        <v>0</v>
      </c>
      <c r="DE682">
        <v>1</v>
      </c>
      <c r="DF682">
        <v>0</v>
      </c>
      <c r="DG682">
        <v>0</v>
      </c>
      <c r="DI682">
        <f>SUM(DD682:DG682)</f>
        <v>1</v>
      </c>
      <c r="DJ682" t="str">
        <f>IF(DI682=1,INDEX($DD$7:$DG$7,MATCH(1,$DD682:$DG682,0)),"mixedProduct")</f>
        <v>EnergyInput</v>
      </c>
      <c r="DK682">
        <f>IF(DD682=1,DK$7,0)</f>
        <v>0</v>
      </c>
      <c r="DL682" t="str">
        <f>IF(DE682=1,DL$7,0)</f>
        <v>Energy</v>
      </c>
      <c r="DM682">
        <f>IF(DF682=1,DM$7,0)</f>
        <v>0</v>
      </c>
      <c r="DN682">
        <f>IF(DG682=1,DN$7,0)</f>
        <v>0</v>
      </c>
      <c r="DO682">
        <v>0</v>
      </c>
      <c r="DP682" s="143">
        <v>0</v>
      </c>
      <c r="DQ682" s="143">
        <v>0</v>
      </c>
      <c r="DR682">
        <v>0</v>
      </c>
      <c r="DS682" s="143">
        <v>0</v>
      </c>
      <c r="DT682">
        <f>SUM(DO682:DP682)</f>
        <v>0</v>
      </c>
      <c r="DU682" s="143" t="str">
        <f>IF(DO682=1,"self-calculated DF",IF(DP682=1,"external DF used","explicit C balance"))</f>
        <v>explicit C balance</v>
      </c>
      <c r="DV682" s="143">
        <v>0</v>
      </c>
      <c r="DW682" s="143">
        <v>0</v>
      </c>
      <c r="DX682" s="143">
        <v>0</v>
      </c>
      <c r="DY682" s="143">
        <v>0</v>
      </c>
      <c r="DZ682">
        <v>0</v>
      </c>
      <c r="EA682" s="143">
        <v>0</v>
      </c>
      <c r="EB682" s="143">
        <v>0</v>
      </c>
      <c r="EC682" s="143">
        <v>1</v>
      </c>
      <c r="ED682" s="143">
        <v>0</v>
      </c>
      <c r="EE682">
        <v>0</v>
      </c>
      <c r="EF682">
        <v>0</v>
      </c>
      <c r="EG682" s="143">
        <v>0</v>
      </c>
      <c r="EH682" s="143">
        <v>0</v>
      </c>
      <c r="EI682" s="2">
        <v>0</v>
      </c>
      <c r="EK682" t="str">
        <f>IF(AND(AND(AND(OR($DX682=1,$DW682=1),OR($EC682=1,$EA682=1)),SUM($DV682:$DZ682,$EF682)&gt;=4),SUM($EA682:$EE682)&gt;=2),"Whole sector","")</f>
        <v/>
      </c>
      <c r="EL682" t="str">
        <f>IF(AND(AND(OR($DX682=1,$DW682=1),AND($EC682=0,$EA682=0)),SUM($DV682:$DZ682,$EF682)&gt;=4),"Ecosystem approach","")</f>
        <v/>
      </c>
      <c r="EM682" s="2" t="str">
        <f>IF(AND(AND(AND($DX682=0,$DW682=0),OR($EC682=1,$EA682=1)),SUM($EB682:$EE682)&gt;=2),"Technology approach","")</f>
        <v/>
      </c>
      <c r="EP682" t="str">
        <f>IF(ISNUMBER(BU682),IF(ABS(BU682-[2]QC_indicators!$B$2)&gt;3*[2]QC_indicators!$C$2,"C ratio",IF(ISNUMBER(BY682),IF(ABS(BY682-[2]QC_indicators!$B$1)&gt;3*[2]QC_indicators!$C$1,"DF","no"))),IF(ISNUMBER(BY682),IF(ABS(BY682-[2]QC_indicators!$B$1)&gt;3*[2]QC_indicators!$C$1,"DF","no")))</f>
        <v>no</v>
      </c>
      <c r="ER682" s="149" t="s">
        <v>349</v>
      </c>
      <c r="ET682" s="264" t="s">
        <v>3266</v>
      </c>
    </row>
    <row r="683" spans="1:150" ht="15" customHeight="1">
      <c r="A683" s="1" t="s">
        <v>1102</v>
      </c>
      <c r="B683" t="s">
        <v>2381</v>
      </c>
      <c r="C683" t="s">
        <v>2382</v>
      </c>
      <c r="D683" t="s">
        <v>2383</v>
      </c>
      <c r="E683" t="s">
        <v>2384</v>
      </c>
      <c r="F683" t="s">
        <v>2385</v>
      </c>
      <c r="G683" t="s">
        <v>1108</v>
      </c>
      <c r="H683" t="s">
        <v>254</v>
      </c>
      <c r="I683">
        <v>2016</v>
      </c>
      <c r="J683">
        <v>13</v>
      </c>
      <c r="K683" t="s">
        <v>2386</v>
      </c>
      <c r="M683" t="str">
        <f>LEFT($D683,FIND(",",$D683)-1)&amp;"_"&amp;I683&amp;L683</f>
        <v>Torssonen_2016</v>
      </c>
      <c r="N683" t="s">
        <v>222</v>
      </c>
      <c r="O683" s="145" t="s">
        <v>1154</v>
      </c>
      <c r="Q683" s="264" t="s">
        <v>256</v>
      </c>
      <c r="R683" s="269" t="s">
        <v>341</v>
      </c>
      <c r="S683" s="1" t="s">
        <v>2404</v>
      </c>
      <c r="T683" s="264" t="s">
        <v>2422</v>
      </c>
      <c r="U683" t="s">
        <v>2424</v>
      </c>
      <c r="V683">
        <v>0</v>
      </c>
      <c r="W683">
        <v>0</v>
      </c>
      <c r="X683">
        <v>0</v>
      </c>
      <c r="Y683">
        <v>0</v>
      </c>
      <c r="Z683">
        <v>0</v>
      </c>
      <c r="AA683">
        <v>0</v>
      </c>
      <c r="AB683">
        <v>0</v>
      </c>
      <c r="AC683">
        <v>0</v>
      </c>
      <c r="AD683">
        <v>0</v>
      </c>
      <c r="AE683">
        <v>0</v>
      </c>
      <c r="AF683">
        <v>0</v>
      </c>
      <c r="AG683">
        <v>0</v>
      </c>
      <c r="AH683">
        <v>0</v>
      </c>
      <c r="AI683">
        <v>0</v>
      </c>
      <c r="AJ683">
        <v>0</v>
      </c>
      <c r="AK683">
        <v>0</v>
      </c>
      <c r="AL683">
        <v>0</v>
      </c>
      <c r="AM683">
        <v>0</v>
      </c>
      <c r="AN683">
        <v>1</v>
      </c>
      <c r="AO683">
        <v>1</v>
      </c>
      <c r="AP683">
        <v>0</v>
      </c>
      <c r="AQ683">
        <v>0</v>
      </c>
      <c r="AR683">
        <v>0</v>
      </c>
      <c r="AS683">
        <v>0</v>
      </c>
      <c r="AT683">
        <v>0</v>
      </c>
      <c r="AU683">
        <v>0</v>
      </c>
      <c r="AV683">
        <v>0</v>
      </c>
      <c r="AW683">
        <v>0</v>
      </c>
      <c r="AX683" s="141">
        <f>COUNTIF(V683:AW683,"&lt;&gt;0")</f>
        <v>2</v>
      </c>
      <c r="AY683" s="141">
        <f>COUNTIF(V683:AL683,"&lt;&gt;0")</f>
        <v>0</v>
      </c>
      <c r="AZ683">
        <f>COUNTIF(V683:AC683,"&lt;&gt;0")</f>
        <v>0</v>
      </c>
      <c r="BA683">
        <f>COUNTIF(AD683:AI683,"&lt;&gt;0")</f>
        <v>0</v>
      </c>
      <c r="BB683">
        <f>COUNTIF(AJ683:AL683,"&lt;&gt;0")</f>
        <v>0</v>
      </c>
      <c r="BC683">
        <f>COUNTIF(AS683:AW683,"&lt;&gt;0")</f>
        <v>0</v>
      </c>
      <c r="BD683">
        <f>COUNTIF(AM683:AR683,"&lt;&gt;0")</f>
        <v>2</v>
      </c>
      <c r="BE683" t="str" cm="1">
        <f t="array" ref="BE683">IF(AY683=1,INDEX($V$7:$AL$7,MATCH(TRUE,INDEX($V683:$AW683&lt;&gt;0,),0)),IF(AY683=0,INDEX($AM$7:$AW$7,MATCH(1,$AM683:$AW683,0)),IF(BF683="Multiple strategies","mixed drivers",IF(BF683="Supply chain","multiple supply","multiple silviculture"))))</f>
        <v>Temperature</v>
      </c>
      <c r="BF683" s="2" t="str" cm="1">
        <f t="array" ref="BF683">IF(COUNTIF(AZ683:BB683,"&lt;&gt;0")=1,INDEX($V$4:$AW$4,MATCH(TRUE,INDEX($V683:$AW683&lt;&gt;0,),0)),IF(COUNTIF(AZ683:BB683,"&lt;&gt;0")=0,INDEX($AM$4:$AW$4,MATCH(1,$AM683:$AW683,0)),"Multiple strategies"))</f>
        <v>Environmental change</v>
      </c>
      <c r="BG683" s="1" t="s">
        <v>229</v>
      </c>
      <c r="BH683" s="306" t="s">
        <v>2144</v>
      </c>
      <c r="BI683" s="264" t="s">
        <v>2391</v>
      </c>
      <c r="BJ683" s="306" t="s">
        <v>1058</v>
      </c>
      <c r="BK683">
        <v>6.9183673350000001</v>
      </c>
      <c r="BL683">
        <v>7.0183673349999998</v>
      </c>
      <c r="BM683" s="143">
        <f>BL683/BK683</f>
        <v>1.014454277311079</v>
      </c>
      <c r="BN683">
        <f>BL683-BK683</f>
        <v>9.9999999999999645E-2</v>
      </c>
      <c r="BO683">
        <f>+BN683*t_to_m3</f>
        <v>0.20408163265306051</v>
      </c>
      <c r="BP683" s="306" t="s">
        <v>395</v>
      </c>
      <c r="BQ683" s="153" t="s">
        <v>3421</v>
      </c>
      <c r="BR683" s="264" t="s">
        <v>2393</v>
      </c>
      <c r="BS683">
        <v>-353.45454545454498</v>
      </c>
      <c r="BT683">
        <v>-359.27272727272702</v>
      </c>
      <c r="BU683" s="144"/>
      <c r="BV683" s="144">
        <f>BT683-BS683</f>
        <v>-5.8181818181820404</v>
      </c>
      <c r="BW683" s="144"/>
      <c r="BX683" s="144">
        <f>BV683*10^4/10^6</f>
        <v>-5.8181818181820402E-2</v>
      </c>
      <c r="BY683">
        <f>IFERROR(BX683/BO683,"")</f>
        <v>-0.285090909090921</v>
      </c>
      <c r="BZ683">
        <v>0</v>
      </c>
      <c r="CA683">
        <v>0</v>
      </c>
      <c r="CB683">
        <v>0</v>
      </c>
      <c r="CC683">
        <v>0</v>
      </c>
      <c r="CD683">
        <v>0</v>
      </c>
      <c r="CE683">
        <v>0</v>
      </c>
      <c r="CF683">
        <v>0</v>
      </c>
      <c r="CG683">
        <v>0</v>
      </c>
      <c r="CH683">
        <v>0</v>
      </c>
      <c r="CI683">
        <v>0</v>
      </c>
      <c r="CJ683">
        <v>0</v>
      </c>
      <c r="CK683">
        <v>0</v>
      </c>
      <c r="CL683">
        <v>0</v>
      </c>
      <c r="CM683">
        <v>1</v>
      </c>
      <c r="CN683" t="str">
        <f>IF($BL683&lt;$BK683,"refNeedCorrection","refOK")</f>
        <v>refOK</v>
      </c>
      <c r="CO683">
        <f>IF($CN683="refOK",$BK683,$BL683)</f>
        <v>6.9183673350000001</v>
      </c>
      <c r="CP683">
        <f>IF($CN683="refOK",$BL683,$BK683)</f>
        <v>7.0183673349999998</v>
      </c>
      <c r="CQ683">
        <f>IF($CN683="refOK",$BO683,-$BO683)</f>
        <v>0.20408163265306051</v>
      </c>
      <c r="CR683">
        <f>IF($CN683="refOK",$BS683,$BT683)*IF($BP683="Emissions positive",-1,1)</f>
        <v>353.45454545454498</v>
      </c>
      <c r="CS683">
        <f>IF($CN683="refOK",$BT683,$BS683)*IF($BP683="Emissions positive",-1,1)</f>
        <v>359.27272727272702</v>
      </c>
      <c r="CT683">
        <f>IF($CN683="refNeedCorrection",-BX683,BX683)*IF($BP683="Emissions positive",-1,1)</f>
        <v>5.8181818181820402E-2</v>
      </c>
      <c r="CU683">
        <f>IFERROR(CT683/CQ683,"")</f>
        <v>0.285090909090921</v>
      </c>
      <c r="CV683" s="2">
        <f>IFERROR((CS683-CR683)/ABS(CR683),"")</f>
        <v>1.6460905349794889E-2</v>
      </c>
      <c r="CW683" s="1" t="s">
        <v>1199</v>
      </c>
      <c r="CX683" s="264" t="str">
        <f>IF(OR($CW683="prd",$CW683="std",$CW683="cit"),"loc",IF(OR($CW683="eur",$CW683="reg",$CW683="coy"),"reg",$CW683))</f>
        <v>reg</v>
      </c>
      <c r="CY683" t="s">
        <v>235</v>
      </c>
      <c r="CZ683">
        <v>2020</v>
      </c>
      <c r="DA683">
        <v>2100</v>
      </c>
      <c r="DB683">
        <f>DA683-CZ683</f>
        <v>80</v>
      </c>
      <c r="DC683" t="str">
        <f>IF(DB683=0,"0",IF(AND(DB683&gt;=1,DB683&lt;=30),"1-30",IF(AND(DB683&gt;30,DB683&lt;=70),"31-70",IF(AND(DB683&gt;70,DB683&lt;=100),"71-100",IF(DB683&gt;100,"+100")))))</f>
        <v>71-100</v>
      </c>
      <c r="DD683">
        <v>0</v>
      </c>
      <c r="DE683">
        <v>1</v>
      </c>
      <c r="DF683">
        <v>0</v>
      </c>
      <c r="DG683">
        <v>1</v>
      </c>
      <c r="DI683">
        <f>SUM(DD683:DG683)</f>
        <v>2</v>
      </c>
      <c r="DJ683" t="str">
        <f>IF(DI683=1,INDEX($DD$7:$DG$7,MATCH(1,$DD683:$DG683,0)),"mixedProduct")</f>
        <v>mixedProduct</v>
      </c>
      <c r="DK683">
        <f>IF(DD683=1,DK$7,0)</f>
        <v>0</v>
      </c>
      <c r="DL683" t="str">
        <f>IF(DE683=1,DL$7,0)</f>
        <v>Energy</v>
      </c>
      <c r="DM683">
        <f>IF(DF683=1,DM$7,0)</f>
        <v>0</v>
      </c>
      <c r="DN683" t="str">
        <f>IF(DG683=1,DN$7,0)</f>
        <v>Timber</v>
      </c>
      <c r="DO683">
        <v>1</v>
      </c>
      <c r="DP683">
        <v>0</v>
      </c>
      <c r="DQ683">
        <v>0</v>
      </c>
      <c r="DR683">
        <v>0</v>
      </c>
      <c r="DS683">
        <v>0</v>
      </c>
      <c r="DT683">
        <f>SUM(DO683:DP683)</f>
        <v>1</v>
      </c>
      <c r="DU683" s="143" t="str">
        <f>IF(DO683=1,"self-calculated DF",IF(DP683=1,"external DF used","explicit C balance"))</f>
        <v>self-calculated DF</v>
      </c>
      <c r="DV683">
        <v>1</v>
      </c>
      <c r="DW683">
        <v>0</v>
      </c>
      <c r="DX683">
        <v>1</v>
      </c>
      <c r="DY683">
        <v>0</v>
      </c>
      <c r="DZ683">
        <v>0</v>
      </c>
      <c r="EA683" s="143">
        <v>0</v>
      </c>
      <c r="EB683">
        <v>0</v>
      </c>
      <c r="EC683">
        <v>0</v>
      </c>
      <c r="ED683">
        <v>0</v>
      </c>
      <c r="EE683">
        <v>0</v>
      </c>
      <c r="EF683">
        <v>1</v>
      </c>
      <c r="EG683">
        <v>0</v>
      </c>
      <c r="EH683">
        <v>0</v>
      </c>
      <c r="EI683" s="2">
        <v>0</v>
      </c>
      <c r="EK683" t="str">
        <f>IF(AND(AND(AND(OR($DX683=1,$DW683=1),OR($EC683=1,$EA683=1)),SUM($DV683:$DZ683,$EF683)&gt;=4),SUM($EA683:$EE683)&gt;=2),"Whole sector","")</f>
        <v/>
      </c>
      <c r="EL683" t="str">
        <f>IF(AND(AND(OR($DX683=1,$DW683=1),AND($EC683=0,$EA683=0)),SUM($DV683:$DZ683,$EF683)&gt;=4),"Ecosystem approach","")</f>
        <v/>
      </c>
      <c r="EM683" s="2" t="str">
        <f>IF(AND(AND(AND($DX683=0,$DW683=0),OR($EC683=1,$EA683=1)),SUM($EB683:$EE683)&gt;=2),"Technology approach","")</f>
        <v/>
      </c>
      <c r="EN683" t="s">
        <v>2403</v>
      </c>
      <c r="EP683" t="str">
        <f>IF(ISNUMBER(BU683),IF(ABS(BU683-[3]QC_indicators!$B$2)&gt;3*[3]QC_indicators!$C$2,"C ratio",IF(ISNUMBER(BY683),IF(ABS(BY683-[3]QC_indicators!$B$1)&gt;3*[3]QC_indicators!$C$1,"DF","no"))),IF(ISNUMBER(BY683),IF(ABS(BY683-[3]QC_indicators!$B$1)&gt;3*[3]QC_indicators!$C$1,"DF","no")))</f>
        <v>no</v>
      </c>
      <c r="ER683" s="264" t="s">
        <v>2394</v>
      </c>
      <c r="ET683" s="306" t="s">
        <v>3422</v>
      </c>
    </row>
    <row r="684" spans="1:150" ht="15" customHeight="1">
      <c r="A684" s="1" t="s">
        <v>265</v>
      </c>
      <c r="B684" t="s">
        <v>1531</v>
      </c>
      <c r="C684" t="s">
        <v>1532</v>
      </c>
      <c r="D684" t="s">
        <v>1533</v>
      </c>
      <c r="E684" t="s">
        <v>1534</v>
      </c>
      <c r="F684" t="s">
        <v>1535</v>
      </c>
      <c r="G684" t="s">
        <v>271</v>
      </c>
      <c r="H684" t="s">
        <v>254</v>
      </c>
      <c r="I684">
        <v>2019</v>
      </c>
      <c r="J684">
        <v>26</v>
      </c>
      <c r="K684" t="s">
        <v>1536</v>
      </c>
      <c r="M684" t="str">
        <f>LEFT($D684,FIND(",",$D684)-1)&amp;"_"&amp;I684&amp;L684</f>
        <v>Faraca_2019</v>
      </c>
      <c r="N684" t="s">
        <v>222</v>
      </c>
      <c r="O684" s="145" t="s">
        <v>274</v>
      </c>
      <c r="P684" s="180" t="s">
        <v>223</v>
      </c>
      <c r="Q684" t="s">
        <v>256</v>
      </c>
      <c r="R684" s="262" t="s">
        <v>223</v>
      </c>
      <c r="S684" s="263" t="s">
        <v>3134</v>
      </c>
      <c r="T684" t="s">
        <v>1552</v>
      </c>
      <c r="U684" t="s">
        <v>1538</v>
      </c>
      <c r="V684">
        <v>0</v>
      </c>
      <c r="W684">
        <v>0</v>
      </c>
      <c r="X684">
        <v>0</v>
      </c>
      <c r="Y684">
        <v>0</v>
      </c>
      <c r="Z684">
        <v>0</v>
      </c>
      <c r="AA684">
        <v>0</v>
      </c>
      <c r="AB684">
        <v>0</v>
      </c>
      <c r="AC684">
        <v>0</v>
      </c>
      <c r="AD684">
        <v>0</v>
      </c>
      <c r="AE684">
        <v>0</v>
      </c>
      <c r="AF684">
        <v>1</v>
      </c>
      <c r="AG684">
        <v>0</v>
      </c>
      <c r="AH684">
        <v>0</v>
      </c>
      <c r="AI684">
        <v>0</v>
      </c>
      <c r="AJ684">
        <v>0</v>
      </c>
      <c r="AK684">
        <v>0</v>
      </c>
      <c r="AL684">
        <v>0</v>
      </c>
      <c r="AM684">
        <v>0</v>
      </c>
      <c r="AN684">
        <v>0</v>
      </c>
      <c r="AO684">
        <v>0</v>
      </c>
      <c r="AP684">
        <v>0</v>
      </c>
      <c r="AQ684">
        <v>0</v>
      </c>
      <c r="AR684">
        <v>0</v>
      </c>
      <c r="AS684">
        <v>0</v>
      </c>
      <c r="AT684">
        <v>0</v>
      </c>
      <c r="AU684">
        <v>0</v>
      </c>
      <c r="AV684">
        <v>0</v>
      </c>
      <c r="AW684">
        <v>0</v>
      </c>
      <c r="AX684" s="141">
        <f>COUNTIF(V684:AW684,"&lt;&gt;0")</f>
        <v>1</v>
      </c>
      <c r="AY684" s="141">
        <f>COUNTIF(V684:AL684,"&lt;&gt;0")</f>
        <v>1</v>
      </c>
      <c r="AZ684">
        <f>COUNTIF(V684:AC684,"&lt;&gt;0")</f>
        <v>0</v>
      </c>
      <c r="BA684">
        <f>COUNTIF(AD684:AI684,"&lt;&gt;0")</f>
        <v>1</v>
      </c>
      <c r="BB684">
        <f>COUNTIF(AJ684:AL684,"&lt;&gt;0")</f>
        <v>0</v>
      </c>
      <c r="BC684">
        <f>COUNTIF(AS684:AW684,"&lt;&gt;0")</f>
        <v>0</v>
      </c>
      <c r="BD684">
        <f>COUNTIF(AM684:AR684,"&lt;&gt;0")</f>
        <v>0</v>
      </c>
      <c r="BE684" t="str">
        <f t="array" ref="BE684">IF(AY684=1,INDEX($V$7:$AL$7,MATCH(TRUE,INDEX($V684:$AW684&lt;&gt;0,),0)),IF(AY684=0,INDEX($AM$7:$AW$7,MATCH(1,$AM684:$AW684,0)),IF(BF684="Multiple strategies","mixed drivers",IF(BF684="Supply chain","multiple supply","multiple silviculture"))))</f>
        <v>supply chain organization</v>
      </c>
      <c r="BF684" s="2" t="str" cm="1">
        <f t="array" ref="BF684">IF(COUNTIF(AZ684:BB684,"&lt;&gt;0")=1,INDEX($V$4:$AW$4,MATCH(TRUE,INDEX($V684:$AW684&lt;&gt;0,),0)),IF(COUNTIF(AZ684:BB684,"&lt;&gt;0")=0,INDEX($AM$4:$AW$4,MATCH(1,$AM684:$AW684,0)),"Multiple strategies"))</f>
        <v>Supply chain</v>
      </c>
      <c r="BG684" s="1" t="s">
        <v>229</v>
      </c>
      <c r="BH684" t="s">
        <v>1548</v>
      </c>
      <c r="BI684" s="264" t="s">
        <v>3121</v>
      </c>
      <c r="BJ684" t="s">
        <v>345</v>
      </c>
      <c r="BK684">
        <v>562</v>
      </c>
      <c r="BL684">
        <v>922</v>
      </c>
      <c r="BM684">
        <v>1.6405693950177935</v>
      </c>
      <c r="BN684">
        <f>BL684-BK684</f>
        <v>360</v>
      </c>
      <c r="BO684">
        <f>BN684*kg_to_m3</f>
        <v>0.73469387755102045</v>
      </c>
      <c r="BP684" s="264" t="s">
        <v>395</v>
      </c>
      <c r="BQ684" s="264" t="s">
        <v>429</v>
      </c>
      <c r="BR684" t="s">
        <v>728</v>
      </c>
      <c r="BS684">
        <f>-251.7</f>
        <v>-251.7</v>
      </c>
      <c r="BT684">
        <v>-462.1</v>
      </c>
      <c r="BU684" s="144">
        <v>-9.5652173913043481E-2</v>
      </c>
      <c r="BV684">
        <f>BT684-BS684</f>
        <v>-210.40000000000003</v>
      </c>
      <c r="BX684">
        <f>BV684/1000</f>
        <v>-0.21040000000000003</v>
      </c>
      <c r="BY684">
        <f>IFERROR(BX684/BO684,"")</f>
        <v>-0.28637777777777779</v>
      </c>
      <c r="BZ684">
        <v>0</v>
      </c>
      <c r="CA684">
        <v>0</v>
      </c>
      <c r="CB684">
        <v>0</v>
      </c>
      <c r="CC684">
        <v>0</v>
      </c>
      <c r="CD684">
        <v>0</v>
      </c>
      <c r="CE684">
        <v>0</v>
      </c>
      <c r="CF684">
        <v>0</v>
      </c>
      <c r="CG684">
        <v>0</v>
      </c>
      <c r="CH684">
        <v>0</v>
      </c>
      <c r="CI684">
        <v>0</v>
      </c>
      <c r="CJ684">
        <v>0</v>
      </c>
      <c r="CK684">
        <v>0</v>
      </c>
      <c r="CL684">
        <v>0</v>
      </c>
      <c r="CM684">
        <v>0</v>
      </c>
      <c r="CN684" t="str">
        <f>IF($BL684&lt;$BK684,"refNeedCorrection","refOK")</f>
        <v>refOK</v>
      </c>
      <c r="CO684">
        <f>IF($CN684="refNeedCorrection",BL684,BK684)</f>
        <v>562</v>
      </c>
      <c r="CP684">
        <f>IF($CN684="refNeedCorrection",BK684,BL684)</f>
        <v>922</v>
      </c>
      <c r="CQ684">
        <f>IF($CN684="refOK",$BO684,-$BO684)</f>
        <v>0.73469387755102045</v>
      </c>
      <c r="CR684">
        <f>IF($CN684="refOK",$BS684,$BT684)*IF($BP684="Emissions positive",-1,1)</f>
        <v>251.7</v>
      </c>
      <c r="CS684">
        <f>IF($CN684="refOK",$BT684,$BS684)*IF($BP684="Emissions positive",-1,1)</f>
        <v>462.1</v>
      </c>
      <c r="CT684">
        <f>IF($CN684="refNeedCorrection",-BX684,BX684)*IF($BP684="Emissions positive",-1,1)</f>
        <v>0.21040000000000003</v>
      </c>
      <c r="CU684">
        <f>IFERROR(CT684/CQ684,"")</f>
        <v>0.28637777777777779</v>
      </c>
      <c r="CV684" s="2">
        <f>IFERROR((CS684-CR684)/ABS(CR684),"")</f>
        <v>0.83591577274533191</v>
      </c>
      <c r="CW684" s="1" t="s">
        <v>1199</v>
      </c>
      <c r="CX684" t="str">
        <f>IF(OR($CW684="prd",$CW684="std",$CW684="cit"),"loc",IF(OR($CW684="eur",$CW684="reg",$CW684="coy"),"reg",$CW684))</f>
        <v>reg</v>
      </c>
      <c r="CY684" t="s">
        <v>1540</v>
      </c>
      <c r="DB684">
        <v>500</v>
      </c>
      <c r="DC684" t="str">
        <f>IF(DB684=0,"0",IF(AND(DB684&gt;=1,DB684&lt;=30),"1-30",IF(AND(DB684&gt;30,DB684&lt;=70),"31-70",IF(AND(DB684&gt;70,DB684&lt;=100),"71-100",IF(DB684&gt;100,"+100")))))</f>
        <v>+100</v>
      </c>
      <c r="DD684">
        <v>0</v>
      </c>
      <c r="DE684">
        <v>0</v>
      </c>
      <c r="DF684">
        <v>0</v>
      </c>
      <c r="DG684">
        <v>1</v>
      </c>
      <c r="DI684">
        <f>SUM(DD684:DG684)</f>
        <v>1</v>
      </c>
      <c r="DJ684" t="str">
        <f>IF(DI684=1,INDEX($DD$7:$DG$7,MATCH(1,$DD684:$DG684,0)),"mixedProduct")</f>
        <v>TimberInput</v>
      </c>
      <c r="DK684">
        <f>IF(DD684=1,DK$7,0)</f>
        <v>0</v>
      </c>
      <c r="DL684">
        <f>IF(DE684=1,DL$7,0)</f>
        <v>0</v>
      </c>
      <c r="DM684">
        <f>IF(DF684=1,DM$7,0)</f>
        <v>0</v>
      </c>
      <c r="DN684" t="str">
        <f>IF(DG684=1,DN$7,0)</f>
        <v>Timber</v>
      </c>
      <c r="DO684">
        <v>0</v>
      </c>
      <c r="DP684">
        <v>1</v>
      </c>
      <c r="DQ684">
        <v>0</v>
      </c>
      <c r="DR684">
        <v>0</v>
      </c>
      <c r="DS684" t="s">
        <v>1541</v>
      </c>
      <c r="DT684">
        <f>SUM(DO684:DP684)</f>
        <v>1</v>
      </c>
      <c r="DU684" s="143" t="str">
        <f>IF(DO684=1,"self-calculated DF",IF(DP684=1,"external DF used","explicit C balance"))</f>
        <v>external DF used</v>
      </c>
      <c r="DV684">
        <v>0</v>
      </c>
      <c r="DW684">
        <v>0</v>
      </c>
      <c r="DX684">
        <v>0</v>
      </c>
      <c r="DY684">
        <v>0</v>
      </c>
      <c r="DZ684">
        <v>1</v>
      </c>
      <c r="EA684" s="143">
        <v>1</v>
      </c>
      <c r="EB684">
        <v>0</v>
      </c>
      <c r="EC684">
        <v>1</v>
      </c>
      <c r="ED684">
        <v>0</v>
      </c>
      <c r="EE684">
        <v>1</v>
      </c>
      <c r="EF684">
        <v>1</v>
      </c>
      <c r="EG684">
        <v>1</v>
      </c>
      <c r="EH684">
        <v>1</v>
      </c>
      <c r="EI684" s="2">
        <v>0</v>
      </c>
      <c r="EK684" t="str">
        <f>IF(AND(AND(AND(OR($DX684=1,$DW684=1),OR($EC684=1,$EA684=1)),SUM($DV684:$DZ684,$EF684)&gt;=4),SUM($EA684:$EE684)&gt;=2),"Whole sector","")</f>
        <v/>
      </c>
      <c r="EL684" t="str">
        <f>IF(AND(AND(OR($DX684=1,$DW684=1),AND($EC684=0,$EA684=0)),SUM($DV684:$DZ684,$EF684)&gt;=4),"Ecosystem approach","")</f>
        <v/>
      </c>
      <c r="EM684" s="2" t="str">
        <f>IF(AND(AND(AND($DX684=0,$DW684=0),OR($EC684=1,$EA684=1)),SUM($EB684:$EE684)&gt;=2),"Technology approach","")</f>
        <v>Technology approach</v>
      </c>
      <c r="EP684" t="str">
        <f>IF(ISNUMBER(BU684),IF(ABS(BU684-[1]QC_indicators!$B$2)&gt;3*[1]QC_indicators!$C$2,"C ratio",IF(ISNUMBER(BY684),IF(ABS(BY684-[1]QC_indicators!$B$1)&gt;3*[1]QC_indicators!$C$1,"DF","no"))),IF(ISNUMBER(BY684),IF(ABS(BY684-[1]QC_indicators!$B$1)&gt;3*[1]QC_indicators!$C$1,"DF","no")))</f>
        <v>no</v>
      </c>
      <c r="ET684" s="264" t="s">
        <v>3273</v>
      </c>
    </row>
    <row r="685" spans="1:150" ht="15" customHeight="1">
      <c r="A685" s="174" t="s">
        <v>1286</v>
      </c>
      <c r="B685" s="141" t="s">
        <v>1287</v>
      </c>
      <c r="C685" s="141" t="s">
        <v>1288</v>
      </c>
      <c r="D685" s="141" t="s">
        <v>1289</v>
      </c>
      <c r="E685" s="141" t="s">
        <v>1290</v>
      </c>
      <c r="F685" s="141" t="s">
        <v>1291</v>
      </c>
      <c r="G685" s="141" t="s">
        <v>1292</v>
      </c>
      <c r="H685" s="141"/>
      <c r="I685" s="141">
        <v>2019</v>
      </c>
      <c r="J685" s="141"/>
      <c r="K685" s="141" t="s">
        <v>1293</v>
      </c>
      <c r="L685" s="141"/>
      <c r="M685" t="str">
        <f>LEFT($D685,FIND(",",$D685)-1)&amp;"_"&amp;I685&amp;L685</f>
        <v>Bosch_2019</v>
      </c>
      <c r="N685" t="s">
        <v>222</v>
      </c>
      <c r="O685" s="175" t="s">
        <v>225</v>
      </c>
      <c r="P685" s="141" t="s">
        <v>223</v>
      </c>
      <c r="Q685" s="264" t="s">
        <v>224</v>
      </c>
      <c r="R685" s="269" t="s">
        <v>1154</v>
      </c>
      <c r="S685" s="174" t="s">
        <v>1294</v>
      </c>
      <c r="T685" s="141" t="s">
        <v>1295</v>
      </c>
      <c r="U685" s="141" t="s">
        <v>1296</v>
      </c>
      <c r="V685" s="141">
        <v>1</v>
      </c>
      <c r="W685" s="141">
        <v>0</v>
      </c>
      <c r="X685" s="141">
        <v>0</v>
      </c>
      <c r="Y685" s="141">
        <v>0</v>
      </c>
      <c r="Z685" s="141">
        <v>0</v>
      </c>
      <c r="AA685" s="141">
        <v>0</v>
      </c>
      <c r="AB685" s="141">
        <v>0</v>
      </c>
      <c r="AC685" s="141">
        <v>0</v>
      </c>
      <c r="AD685" s="141">
        <v>0</v>
      </c>
      <c r="AE685" s="141">
        <v>0</v>
      </c>
      <c r="AF685" s="141">
        <v>0</v>
      </c>
      <c r="AG685" s="141">
        <v>0</v>
      </c>
      <c r="AH685" s="141">
        <v>0</v>
      </c>
      <c r="AI685" s="141">
        <v>0</v>
      </c>
      <c r="AJ685" s="141">
        <v>0</v>
      </c>
      <c r="AK685" s="141">
        <v>0</v>
      </c>
      <c r="AL685" s="141">
        <v>0</v>
      </c>
      <c r="AM685" s="141">
        <v>0</v>
      </c>
      <c r="AN685" s="141">
        <v>0</v>
      </c>
      <c r="AO685" s="141">
        <v>0</v>
      </c>
      <c r="AP685" s="141">
        <v>0</v>
      </c>
      <c r="AQ685" s="141">
        <v>0</v>
      </c>
      <c r="AR685" s="141">
        <v>0</v>
      </c>
      <c r="AS685" s="141">
        <v>0</v>
      </c>
      <c r="AT685" s="141">
        <v>0</v>
      </c>
      <c r="AU685" s="141">
        <v>0</v>
      </c>
      <c r="AV685" s="141">
        <v>0</v>
      </c>
      <c r="AW685" s="141">
        <v>0</v>
      </c>
      <c r="AX685" s="141">
        <f>COUNTIF(V685:AW685,"&lt;&gt;0")</f>
        <v>1</v>
      </c>
      <c r="AY685" s="141">
        <f>COUNTIF(V685:AL685,"&lt;&gt;0")</f>
        <v>1</v>
      </c>
      <c r="AZ685">
        <f>COUNTIF(V685:AC685,"&lt;&gt;0")</f>
        <v>1</v>
      </c>
      <c r="BA685">
        <f>COUNTIF(AD685:AI685,"&lt;&gt;0")</f>
        <v>0</v>
      </c>
      <c r="BB685">
        <f>COUNTIF(AJ685:AL685,"&lt;&gt;0")</f>
        <v>0</v>
      </c>
      <c r="BC685">
        <f>COUNTIF(AS685:AW685,"&lt;&gt;0")</f>
        <v>0</v>
      </c>
      <c r="BD685">
        <f>COUNTIF(AM685:AR685,"&lt;&gt;0")</f>
        <v>0</v>
      </c>
      <c r="BE685" t="str" cm="1">
        <f t="array" ref="BE685">IF(AY685=1,INDEX($V$7:$AL$7,MATCH(TRUE,INDEX($V685:$AW685&lt;&gt;0,),0)),IF(AY685=0,INDEX($AM$7:$AW$7,MATCH(1,$AM685:$AW685,0)),IF(BF685="Multiple strategies","mixed drivers",IF(BF685="Supply chain","multiple supply","multiple silviculture"))))</f>
        <v>area subject to harvest</v>
      </c>
      <c r="BF685" s="2" t="str" cm="1">
        <f t="array" ref="BF685">IF(COUNTIF(AZ685:BB685,"&lt;&gt;0")=1,INDEX($V$4:$AW$4,MATCH(TRUE,INDEX($V685:$AW685&lt;&gt;0,),0)),IF(COUNTIF(AZ685:BB685,"&lt;&gt;0")=0,INDEX($AM$4:$AW$4,MATCH(1,$AM685:$AW685,0)),"Multiple strategies"))</f>
        <v>Silviculture for removals</v>
      </c>
      <c r="BG685" s="173" t="s">
        <v>321</v>
      </c>
      <c r="BH685" s="141" t="s">
        <v>1297</v>
      </c>
      <c r="BI685" s="141" t="s">
        <v>1298</v>
      </c>
      <c r="BJ685" s="163" t="s">
        <v>1299</v>
      </c>
      <c r="BK685" s="158">
        <v>2159</v>
      </c>
      <c r="BL685" s="163">
        <v>2405</v>
      </c>
      <c r="BM685" s="264">
        <f>BL685/BK685</f>
        <v>1.1139416396479851</v>
      </c>
      <c r="BN685">
        <f>BL685-BK685</f>
        <v>246</v>
      </c>
      <c r="BO685" s="158">
        <f>BN685*10^6</f>
        <v>246000000</v>
      </c>
      <c r="BP685" s="264" t="s">
        <v>395</v>
      </c>
      <c r="BQ685" s="153" t="s">
        <v>786</v>
      </c>
      <c r="BR685" s="151" t="s">
        <v>1300</v>
      </c>
      <c r="BS685" s="141"/>
      <c r="BT685" s="163"/>
      <c r="BU685" s="144" t="str">
        <f>IFERROR(BT685/BS685,"")</f>
        <v/>
      </c>
      <c r="BV685" s="176">
        <v>-71</v>
      </c>
      <c r="BX685">
        <f>BV685*10^6</f>
        <v>-71000000</v>
      </c>
      <c r="BY685">
        <f>IFERROR(BX685/BO685,"")</f>
        <v>-0.2886178861788618</v>
      </c>
      <c r="BZ685" s="141">
        <v>0</v>
      </c>
      <c r="CA685" s="141">
        <v>0</v>
      </c>
      <c r="CB685" s="141">
        <v>0</v>
      </c>
      <c r="CC685" s="141">
        <v>0</v>
      </c>
      <c r="CD685" s="141">
        <v>0</v>
      </c>
      <c r="CE685" s="141">
        <v>0</v>
      </c>
      <c r="CF685" s="141">
        <v>0</v>
      </c>
      <c r="CG685" s="141">
        <v>0</v>
      </c>
      <c r="CH685" s="141">
        <v>0</v>
      </c>
      <c r="CI685" s="141">
        <v>0</v>
      </c>
      <c r="CJ685" s="141">
        <v>0</v>
      </c>
      <c r="CK685" s="141">
        <v>0</v>
      </c>
      <c r="CL685" s="141">
        <v>0</v>
      </c>
      <c r="CM685" s="141">
        <v>1</v>
      </c>
      <c r="CN685" t="str">
        <f>IF(BL685&lt;BK685,"refNeedCorrection","refOK")</f>
        <v>refOK</v>
      </c>
      <c r="CO685">
        <f>IF($CN685="refOK",$BK685,$BL685)</f>
        <v>2159</v>
      </c>
      <c r="CP685">
        <f>IF($CN685="refOK",$BL685,$BK685)</f>
        <v>2405</v>
      </c>
      <c r="CQ685">
        <f>IF($CN685="refOK",$BO685,-$BO685)</f>
        <v>246000000</v>
      </c>
      <c r="CR685">
        <f>IF($CN685="refOK",$BS685,$BT685)*IF($BP685="Emissions positive",-1,1)</f>
        <v>0</v>
      </c>
      <c r="CS685">
        <f>IF($CN685="refOK",$BT685,$BS685)*IF($BP685="Emissions positive",-1,1)</f>
        <v>0</v>
      </c>
      <c r="CT685">
        <f>IF($CN685="refNeedCorrection",-BX685,BX685)*IF($BP685="Emissions positive",-1,1)</f>
        <v>71000000</v>
      </c>
      <c r="CU685">
        <f>IFERROR(CT685/CQ685,"")</f>
        <v>0.2886178861788618</v>
      </c>
      <c r="CV685" s="2" t="str">
        <f>IFERROR((CS685-CR685)/ABS(CR685),"")</f>
        <v/>
      </c>
      <c r="CW685" s="174" t="s">
        <v>1203</v>
      </c>
      <c r="CX685" s="264" t="str">
        <f>IF(OR($CW685="prd",$CW685="std",$CW685="cit"),"loc",IF(OR($CW685="eur",$CW685="reg",$CW685="coy"),"reg",$CW685))</f>
        <v>reg</v>
      </c>
      <c r="CY685" s="141" t="s">
        <v>1301</v>
      </c>
      <c r="CZ685" s="141">
        <v>2016</v>
      </c>
      <c r="DA685" s="163">
        <v>2046</v>
      </c>
      <c r="DB685" s="163">
        <v>30</v>
      </c>
      <c r="DC685" t="str">
        <f>IF(DB685=0,"0",IF(AND(DB685&gt;=1,DB685&lt;=30),"1-30",IF(AND(DB685&gt;30,DB685&lt;=70),"31-70",IF(AND(DB685&gt;70,DB685&lt;=100),"71-100",IF(DB685&gt;100,"+100")))))</f>
        <v>1-30</v>
      </c>
      <c r="DD685" s="141">
        <v>1</v>
      </c>
      <c r="DE685" s="141">
        <v>1</v>
      </c>
      <c r="DF685" s="141">
        <v>0</v>
      </c>
      <c r="DG685" s="141">
        <v>1</v>
      </c>
      <c r="DI685">
        <f>SUM(DD685:DG685)</f>
        <v>3</v>
      </c>
      <c r="DJ685" t="str">
        <f>IF(DI685=1,INDEX($DD$7:$DG$7,MATCH(1,$DD685:$DG685,0)),"mixedProduct")</f>
        <v>mixedProduct</v>
      </c>
      <c r="DK685" t="str">
        <f>IF(DD685=1,DK$7,0)</f>
        <v>Upstream</v>
      </c>
      <c r="DL685" t="str">
        <f>IF(DE685=1,DL$7,0)</f>
        <v>Energy</v>
      </c>
      <c r="DM685">
        <f>IF(DF685=1,DM$7,0)</f>
        <v>0</v>
      </c>
      <c r="DN685" t="str">
        <f>IF(DG685=1,DN$7,0)</f>
        <v>Timber</v>
      </c>
      <c r="DO685" s="163">
        <v>0</v>
      </c>
      <c r="DP685" s="141">
        <v>0</v>
      </c>
      <c r="DQ685" s="163">
        <v>0</v>
      </c>
      <c r="DR685" s="163">
        <v>0</v>
      </c>
      <c r="DS685" s="163">
        <v>0</v>
      </c>
      <c r="DT685">
        <f>SUM(DO685:DP685)</f>
        <v>0</v>
      </c>
      <c r="DU685" s="143" t="str">
        <f>IF(DO685=1,"self-calculated DF",IF(DP685=1,"external DF used","explicit C balance"))</f>
        <v>explicit C balance</v>
      </c>
      <c r="DV685" s="163">
        <v>0</v>
      </c>
      <c r="DW685" s="141">
        <v>0</v>
      </c>
      <c r="DX685" s="163">
        <v>0</v>
      </c>
      <c r="DY685" s="163">
        <v>1</v>
      </c>
      <c r="DZ685" s="141">
        <v>0</v>
      </c>
      <c r="EA685" s="141">
        <v>0</v>
      </c>
      <c r="EB685" s="143">
        <v>0</v>
      </c>
      <c r="EC685" s="141">
        <v>0</v>
      </c>
      <c r="ED685" s="143">
        <v>0</v>
      </c>
      <c r="EE685" s="143">
        <v>0</v>
      </c>
      <c r="EF685" s="141">
        <v>1</v>
      </c>
      <c r="EG685" s="163">
        <v>0</v>
      </c>
      <c r="EH685" s="141">
        <v>0</v>
      </c>
      <c r="EI685" s="177">
        <v>0</v>
      </c>
      <c r="EK685" t="str">
        <f>IF(AND(AND(AND(OR($DX685=1,$DW685=1),OR($EC685=1,$EA685=1)),SUM($DV685:$DZ685,$EF685)&gt;=4),SUM($EA685:$EE685)&gt;=2),"Whole sector","")</f>
        <v/>
      </c>
      <c r="EL685" t="str">
        <f>IF(AND(AND(OR($DX685=1,$DW685=1),AND($EC685=0,$EA685=0)),SUM($DV685:$DZ685,$EF685)&gt;=4),"Ecosystem approach","")</f>
        <v/>
      </c>
      <c r="EM685" s="2" t="str">
        <f>IF(AND(AND(AND($DX685=0,$DW685=0),OR($EC685=1,$EA685=1)),SUM($EB685:$EE685)&gt;=2),"Technology approach","")</f>
        <v/>
      </c>
      <c r="EN685" s="141"/>
      <c r="EP685" t="str">
        <f>IF(ISNUMBER(BU685),IF(ABS(BU685-[3]QC_indicators!$B$2)&gt;3*[3]QC_indicators!$C$2,"C ratio",IF(ISNUMBER(BY685),IF(ABS(BY685-[3]QC_indicators!$B$1)&gt;3*[3]QC_indicators!$C$1,"DF","no"))),IF(ISNUMBER(BY685),IF(ABS(BY685-[3]QC_indicators!$B$1)&gt;3*[3]QC_indicators!$C$1,"DF","no")))</f>
        <v>no</v>
      </c>
      <c r="ER685" s="294" t="s">
        <v>1302</v>
      </c>
      <c r="ET685" s="264" t="s">
        <v>3407</v>
      </c>
    </row>
    <row r="686" spans="1:150" ht="15" customHeight="1">
      <c r="A686" s="1" t="s">
        <v>1138</v>
      </c>
      <c r="B686" t="s">
        <v>1578</v>
      </c>
      <c r="C686" t="s">
        <v>1579</v>
      </c>
      <c r="D686" t="s">
        <v>1580</v>
      </c>
      <c r="E686" t="s">
        <v>1581</v>
      </c>
      <c r="F686" t="s">
        <v>1582</v>
      </c>
      <c r="G686" t="s">
        <v>1139</v>
      </c>
      <c r="H686" t="s">
        <v>254</v>
      </c>
      <c r="I686">
        <v>2020</v>
      </c>
      <c r="J686">
        <v>4</v>
      </c>
      <c r="K686" t="s">
        <v>1583</v>
      </c>
      <c r="M686" t="str">
        <f>LEFT($D686,FIND(",",$D686)-1)&amp;"_"&amp;I686&amp;L686</f>
        <v>Ganguly_2020</v>
      </c>
      <c r="N686" t="s">
        <v>222</v>
      </c>
      <c r="O686" s="145" t="s">
        <v>274</v>
      </c>
      <c r="Q686" s="264" t="s">
        <v>256</v>
      </c>
      <c r="R686" s="269" t="s">
        <v>341</v>
      </c>
      <c r="S686" s="1" t="s">
        <v>1584</v>
      </c>
      <c r="T686" t="s">
        <v>1592</v>
      </c>
      <c r="U686" t="s">
        <v>1586</v>
      </c>
      <c r="V686">
        <v>0</v>
      </c>
      <c r="W686">
        <v>0</v>
      </c>
      <c r="X686">
        <v>0</v>
      </c>
      <c r="Y686">
        <v>0</v>
      </c>
      <c r="Z686">
        <v>0</v>
      </c>
      <c r="AA686">
        <v>0</v>
      </c>
      <c r="AB686">
        <v>0</v>
      </c>
      <c r="AC686">
        <v>0</v>
      </c>
      <c r="AD686">
        <v>0</v>
      </c>
      <c r="AE686">
        <v>1</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s="141">
        <f>COUNTIF(V686:AW686,"&lt;&gt;0")</f>
        <v>1</v>
      </c>
      <c r="AY686" s="141">
        <f>COUNTIF(V686:AL686,"&lt;&gt;0")</f>
        <v>1</v>
      </c>
      <c r="AZ686">
        <f>COUNTIF(V686:AC686,"&lt;&gt;0")</f>
        <v>0</v>
      </c>
      <c r="BA686">
        <f>COUNTIF(AD686:AI686,"&lt;&gt;0")</f>
        <v>1</v>
      </c>
      <c r="BB686">
        <f>COUNTIF(AJ686:AL686,"&lt;&gt;0")</f>
        <v>0</v>
      </c>
      <c r="BC686">
        <f>COUNTIF(AS686:AW686,"&lt;&gt;0")</f>
        <v>0</v>
      </c>
      <c r="BD686">
        <f>COUNTIF(AM686:AR686,"&lt;&gt;0")</f>
        <v>0</v>
      </c>
      <c r="BE686" t="str" cm="1">
        <f t="array" ref="BE686">IF(AY686=1,INDEX($V$7:$AL$7,MATCH(TRUE,INDEX($V686:$AW686&lt;&gt;0,),0)),IF(AY686=0,INDEX($AM$7:$AW$7,MATCH(1,$AM686:$AW686,0)),IF(BF686="Multiple strategies","mixed drivers",IF(BF686="Supply chain","multiple supply","multiple silviculture"))))</f>
        <v>location of industry</v>
      </c>
      <c r="BF686" s="2" t="str" cm="1">
        <f t="array" ref="BF686">IF(COUNTIF(AZ686:BB686,"&lt;&gt;0")=1,INDEX($V$4:$AW$4,MATCH(TRUE,INDEX($V686:$AW686&lt;&gt;0,),0)),IF(COUNTIF(AZ686:BB686,"&lt;&gt;0")=0,INDEX($AM$4:$AW$4,MATCH(1,$AM686:$AW686,0)),"Multiple strategies"))</f>
        <v>Supply chain</v>
      </c>
      <c r="BG686" s="1" t="s">
        <v>321</v>
      </c>
      <c r="BH686" t="s">
        <v>1587</v>
      </c>
      <c r="BI686" s="160" t="s">
        <v>1588</v>
      </c>
      <c r="BJ686" t="s">
        <v>1589</v>
      </c>
      <c r="BK686">
        <v>779369</v>
      </c>
      <c r="BL686">
        <v>3760725</v>
      </c>
      <c r="BM686">
        <f>BL686/BK686</f>
        <v>4.8253458887895206</v>
      </c>
      <c r="BN686">
        <f>BL686-BK686</f>
        <v>2981356</v>
      </c>
      <c r="BO686">
        <f>BN686*t_to_m3</f>
        <v>6084400</v>
      </c>
      <c r="BP686" t="s">
        <v>232</v>
      </c>
      <c r="BQ686" s="160" t="s">
        <v>1590</v>
      </c>
      <c r="BR686" t="s">
        <v>539</v>
      </c>
      <c r="BS686">
        <v>465273</v>
      </c>
      <c r="BT686">
        <v>2224329</v>
      </c>
      <c r="BU686" s="144">
        <f>IFERROR(BT686/BS686,"")</f>
        <v>4.7806964943162402</v>
      </c>
      <c r="BV686">
        <f>BT686-BS686</f>
        <v>1759056</v>
      </c>
      <c r="BX686">
        <f>BV686</f>
        <v>1759056</v>
      </c>
      <c r="BY686">
        <f>IFERROR(BX686/BO686,"")</f>
        <v>0.28910919729143381</v>
      </c>
      <c r="BZ686">
        <v>0</v>
      </c>
      <c r="CA686">
        <v>0</v>
      </c>
      <c r="CB686">
        <v>0</v>
      </c>
      <c r="CC686">
        <v>0</v>
      </c>
      <c r="CD686">
        <v>0</v>
      </c>
      <c r="CE686">
        <v>0</v>
      </c>
      <c r="CF686">
        <v>0</v>
      </c>
      <c r="CG686">
        <v>0</v>
      </c>
      <c r="CH686">
        <v>0</v>
      </c>
      <c r="CI686">
        <v>0</v>
      </c>
      <c r="CJ686">
        <v>0</v>
      </c>
      <c r="CK686">
        <v>0</v>
      </c>
      <c r="CL686">
        <v>0</v>
      </c>
      <c r="CM686">
        <v>0</v>
      </c>
      <c r="CN686" t="str">
        <f>IF($BL686&lt;$BK686,"refNeedCorrection","refOK")</f>
        <v>refOK</v>
      </c>
      <c r="CO686">
        <f>IF($CN686="refNeedCorrection",BL686,BK686)</f>
        <v>779369</v>
      </c>
      <c r="CP686">
        <f>IF($CN686="refNeedCorrection",BK686,BL686)</f>
        <v>3760725</v>
      </c>
      <c r="CQ686">
        <f>IF($CN686="refOK",$BO686,-$BO686)</f>
        <v>6084400</v>
      </c>
      <c r="CR686">
        <f>IF($CN686="refOK",$BS686,$BT686)*IF($BP686="Emissions positive",-1,1)</f>
        <v>465273</v>
      </c>
      <c r="CS686">
        <f>IF($CN686="refOK",$BT686,$BS686)*IF($BP686="Emissions positive",-1,1)</f>
        <v>2224329</v>
      </c>
      <c r="CT686">
        <f>IF($CN686="refNeedCorrection",-BX686,BX686)*IF($BP686="Emissions positive",-1,1)</f>
        <v>1759056</v>
      </c>
      <c r="CU686">
        <f>IFERROR(CT686/CQ686,"")</f>
        <v>0.28910919729143381</v>
      </c>
      <c r="CV686" s="2">
        <f>IFERROR((CS686-CR686)/ABS(CR686),"")</f>
        <v>3.7806964943162402</v>
      </c>
      <c r="CW686" s="1" t="s">
        <v>1199</v>
      </c>
      <c r="CX686" s="264" t="str">
        <f>IF(OR($CW686="prd",$CW686="std",$CW686="cit"),"loc",IF(OR($CW686="eur",$CW686="reg",$CW686="coy"),"reg",$CW686))</f>
        <v>reg</v>
      </c>
      <c r="CY686" t="s">
        <v>428</v>
      </c>
      <c r="DB686">
        <v>100</v>
      </c>
      <c r="DC686" t="str">
        <f>IF(DB686=0,"0",IF(AND(DB686&gt;=1,DB686&lt;=30),"1-30",IF(AND(DB686&gt;30,DB686&lt;=70),"31-70",IF(AND(DB686&gt;70,DB686&lt;=100),"71-100",IF(DB686&gt;100,"+100")))))</f>
        <v>71-100</v>
      </c>
      <c r="DD686">
        <v>0</v>
      </c>
      <c r="DE686">
        <v>0</v>
      </c>
      <c r="DF686">
        <v>1</v>
      </c>
      <c r="DG686">
        <v>1</v>
      </c>
      <c r="DI686">
        <f>SUM(DD686:DG686)</f>
        <v>2</v>
      </c>
      <c r="DJ686" t="str">
        <f>IF(DI686=1,INDEX($DD$7:$DG$7,MATCH(1,$DD686:$DG686,0)),"mixedProduct")</f>
        <v>mixedProduct</v>
      </c>
      <c r="DK686">
        <f>IF(DD686=1,DK$7,0)</f>
        <v>0</v>
      </c>
      <c r="DL686">
        <f>IF(DE686=1,DL$7,0)</f>
        <v>0</v>
      </c>
      <c r="DM686" t="str">
        <f>IF(DF686=1,DM$7,0)</f>
        <v>Pulp/Paper</v>
      </c>
      <c r="DN686" t="str">
        <f>IF(DG686=1,DN$7,0)</f>
        <v>Timber</v>
      </c>
      <c r="DO686">
        <v>0</v>
      </c>
      <c r="DP686">
        <v>0</v>
      </c>
      <c r="DQ686">
        <v>0</v>
      </c>
      <c r="DR686">
        <v>0</v>
      </c>
      <c r="DS686">
        <v>0</v>
      </c>
      <c r="DT686">
        <f>SUM(DO686:DP686)</f>
        <v>0</v>
      </c>
      <c r="DU686" s="143" t="str">
        <f>IF(DO686=1,"self-calculated DF",IF(DP686=1,"external DF used","explicit C balance"))</f>
        <v>explicit C balance</v>
      </c>
      <c r="DV686">
        <v>0</v>
      </c>
      <c r="DW686">
        <v>0</v>
      </c>
      <c r="DX686">
        <v>0</v>
      </c>
      <c r="DY686">
        <v>1</v>
      </c>
      <c r="DZ686">
        <v>0</v>
      </c>
      <c r="EA686" s="143">
        <v>0</v>
      </c>
      <c r="EB686">
        <v>0</v>
      </c>
      <c r="EC686">
        <v>0</v>
      </c>
      <c r="ED686">
        <v>0</v>
      </c>
      <c r="EE686">
        <v>0</v>
      </c>
      <c r="EF686">
        <v>0</v>
      </c>
      <c r="EG686">
        <v>1</v>
      </c>
      <c r="EH686">
        <v>0</v>
      </c>
      <c r="EI686" s="2">
        <v>0</v>
      </c>
      <c r="EK686" t="str">
        <f>IF(AND(AND(AND(OR($DX686=1,$DW686=1),OR($EC686=1,$EA686=1)),SUM($DV686:$DZ686,$EF686)&gt;=4),SUM($EA686:$EE686)&gt;=2),"Whole sector","")</f>
        <v/>
      </c>
      <c r="EL686" t="str">
        <f>IF(AND(AND(OR($DX686=1,$DW686=1),AND($EC686=0,$EA686=0)),SUM($DV686:$DZ686,$EF686)&gt;=4),"Ecosystem approach","")</f>
        <v/>
      </c>
      <c r="EM686" s="2" t="str">
        <f>IF(AND(AND(AND($DX686=0,$DW686=0),OR($EC686=1,$EA686=1)),SUM($EB686:$EE686)&gt;=2),"Technology approach","")</f>
        <v/>
      </c>
      <c r="EP686" t="str">
        <f>IF(ISNUMBER(BU686),IF(ABS(BU686-[3]QC_indicators!$B$2)&gt;3*[3]QC_indicators!$C$2,"C ratio",IF(ISNUMBER(BY686),IF(ABS(BY686-[3]QC_indicators!$B$1)&gt;3*[3]QC_indicators!$C$1,"DF","no"))),IF(ISNUMBER(BY686),IF(ABS(BY686-[3]QC_indicators!$B$1)&gt;3*[3]QC_indicators!$C$1,"DF","no")))</f>
        <v>no</v>
      </c>
      <c r="ER686" t="s">
        <v>1591</v>
      </c>
      <c r="ET686" s="264" t="s">
        <v>3407</v>
      </c>
    </row>
    <row r="687" spans="1:150" ht="15" customHeight="1">
      <c r="A687" s="1" t="s">
        <v>656</v>
      </c>
      <c r="B687" t="s">
        <v>707</v>
      </c>
      <c r="C687" t="s">
        <v>544</v>
      </c>
      <c r="D687" t="s">
        <v>708</v>
      </c>
      <c r="E687" t="s">
        <v>709</v>
      </c>
      <c r="F687" t="s">
        <v>710</v>
      </c>
      <c r="G687" t="s">
        <v>662</v>
      </c>
      <c r="H687" t="s">
        <v>254</v>
      </c>
      <c r="I687">
        <v>2022</v>
      </c>
      <c r="J687">
        <v>4</v>
      </c>
      <c r="K687" t="s">
        <v>711</v>
      </c>
      <c r="M687" t="str">
        <f>LEFT($D687,FIND(",",$D687)-1)&amp;"_"&amp;I687&amp;L687</f>
        <v>Felmer_2022</v>
      </c>
      <c r="N687" t="s">
        <v>222</v>
      </c>
      <c r="O687" s="145" t="s">
        <v>223</v>
      </c>
      <c r="Q687" s="264" t="s">
        <v>389</v>
      </c>
      <c r="R687" s="269" t="s">
        <v>1154</v>
      </c>
      <c r="S687" s="263" t="s">
        <v>712</v>
      </c>
      <c r="T687" s="264" t="s">
        <v>713</v>
      </c>
      <c r="U687" s="264" t="s">
        <v>714</v>
      </c>
      <c r="V687">
        <v>0</v>
      </c>
      <c r="W687">
        <v>0</v>
      </c>
      <c r="X687">
        <v>0</v>
      </c>
      <c r="Y687">
        <v>0</v>
      </c>
      <c r="Z687">
        <v>0</v>
      </c>
      <c r="AA687">
        <v>0</v>
      </c>
      <c r="AB687">
        <v>0</v>
      </c>
      <c r="AC687">
        <v>0</v>
      </c>
      <c r="AD687">
        <v>0</v>
      </c>
      <c r="AE687">
        <v>0</v>
      </c>
      <c r="AF687">
        <v>0</v>
      </c>
      <c r="AG687">
        <v>0</v>
      </c>
      <c r="AH687">
        <v>0</v>
      </c>
      <c r="AI687">
        <v>0</v>
      </c>
      <c r="AJ687">
        <v>0</v>
      </c>
      <c r="AK687">
        <v>1</v>
      </c>
      <c r="AL687">
        <v>0</v>
      </c>
      <c r="AM687">
        <v>0</v>
      </c>
      <c r="AN687">
        <v>0</v>
      </c>
      <c r="AO687">
        <v>0</v>
      </c>
      <c r="AP687">
        <v>0</v>
      </c>
      <c r="AQ687">
        <v>0</v>
      </c>
      <c r="AR687">
        <v>0</v>
      </c>
      <c r="AS687">
        <v>0</v>
      </c>
      <c r="AT687">
        <v>0</v>
      </c>
      <c r="AU687">
        <v>0</v>
      </c>
      <c r="AV687">
        <v>0</v>
      </c>
      <c r="AW687">
        <v>0</v>
      </c>
      <c r="AX687" s="141">
        <f>COUNTIF(V687:AW687,"&lt;&gt;0")</f>
        <v>1</v>
      </c>
      <c r="AY687" s="141">
        <f>COUNTIF(V687:AL687,"&lt;&gt;0")</f>
        <v>1</v>
      </c>
      <c r="AZ687">
        <f>COUNTIF(V687:AC687,"&lt;&gt;0")</f>
        <v>0</v>
      </c>
      <c r="BA687">
        <f>COUNTIF(AD687:AI687,"&lt;&gt;0")</f>
        <v>0</v>
      </c>
      <c r="BB687">
        <f>COUNTIF(AJ687:AL687,"&lt;&gt;0")</f>
        <v>1</v>
      </c>
      <c r="BC687">
        <f>COUNTIF(AS687:AW687,"&lt;&gt;0")</f>
        <v>0</v>
      </c>
      <c r="BD687">
        <f>COUNTIF(AM687:AR687,"&lt;&gt;0")</f>
        <v>0</v>
      </c>
      <c r="BE687" t="str" cm="1">
        <f t="array" ref="BE687">IF(AY687=1,INDEX($V$7:$AL$7,MATCH(TRUE,INDEX($V687:$AW687&lt;&gt;0,),0)),IF(AY687=0,INDEX($AM$7:$AW$7,MATCH(1,$AM687:$AW687,0)),IF(BF687="Multiple strategies","mixed drivers",IF(BF687="Supply chain","multiple supply","multiple silviculture"))))</f>
        <v>technologies/design switch</v>
      </c>
      <c r="BF687" s="2" t="str" cm="1">
        <f t="array" ref="BF687">IF(COUNTIF(AZ687:BB687,"&lt;&gt;0")=1,INDEX($V$4:$AW$4,MATCH(TRUE,INDEX($V687:$AW687&lt;&gt;0,),0)),IF(COUNTIF(AZ687:BB687,"&lt;&gt;0")=0,INDEX($AM$4:$AW$4,MATCH(1,$AM687:$AW687,0)),"Multiple strategies"))</f>
        <v>Technology</v>
      </c>
      <c r="BG687" s="1" t="s">
        <v>229</v>
      </c>
      <c r="BH687" s="264" t="s">
        <v>715</v>
      </c>
      <c r="BI687" s="264" t="s">
        <v>716</v>
      </c>
      <c r="BK687">
        <v>0</v>
      </c>
      <c r="BL687">
        <f>45+153.9+97+212.6+18.2</f>
        <v>526.70000000000005</v>
      </c>
      <c r="BN687">
        <f>BL687-BK687</f>
        <v>526.70000000000005</v>
      </c>
      <c r="BO687">
        <f>BN687*t_to_m3</f>
        <v>1074.8979591836735</v>
      </c>
      <c r="BP687" s="264" t="s">
        <v>395</v>
      </c>
      <c r="BQ687" s="264" t="s">
        <v>689</v>
      </c>
      <c r="BR687" s="264" t="s">
        <v>717</v>
      </c>
      <c r="BS687">
        <f>234.2+262</f>
        <v>496.2</v>
      </c>
      <c r="BT687">
        <f>42.9+141.2</f>
        <v>184.1</v>
      </c>
      <c r="BU687" s="144">
        <f>IFERROR(BT687/BS687,"")</f>
        <v>0.37101975010076582</v>
      </c>
      <c r="BV687">
        <f>BT687-BS687</f>
        <v>-312.10000000000002</v>
      </c>
      <c r="BX687">
        <f>BV687</f>
        <v>-312.10000000000002</v>
      </c>
      <c r="BY687">
        <f>IFERROR(BX687/BO687,"")</f>
        <v>-0.29035314220618952</v>
      </c>
      <c r="BZ687">
        <v>0</v>
      </c>
      <c r="CA687">
        <v>0</v>
      </c>
      <c r="CB687">
        <v>0</v>
      </c>
      <c r="CC687">
        <v>0</v>
      </c>
      <c r="CD687">
        <v>0</v>
      </c>
      <c r="CE687">
        <v>0</v>
      </c>
      <c r="CF687">
        <v>0</v>
      </c>
      <c r="CG687">
        <v>0</v>
      </c>
      <c r="CH687">
        <v>0</v>
      </c>
      <c r="CI687">
        <v>0</v>
      </c>
      <c r="CJ687">
        <v>0</v>
      </c>
      <c r="CK687">
        <v>0</v>
      </c>
      <c r="CL687">
        <v>0</v>
      </c>
      <c r="CM687">
        <v>0</v>
      </c>
      <c r="CN687" t="str">
        <f>IF($BL687&lt;$BK687,"refNeedCorrection","refOK")</f>
        <v>refOK</v>
      </c>
      <c r="CO687"/>
      <c r="CP687"/>
      <c r="CQ687">
        <f>IF($CN687="refOK",$BO687,-$BO687)</f>
        <v>1074.8979591836735</v>
      </c>
      <c r="CR687">
        <f>IF($CN687="refOK",$BS687,$BT687)*IF($BP687="Emissions positive",-1,1)</f>
        <v>-496.2</v>
      </c>
      <c r="CS687">
        <f>IF($CN687="refOK",$BT687,$BS687)*IF($BP687="Emissions positive",-1,1)</f>
        <v>-184.1</v>
      </c>
      <c r="CT687">
        <f>IF($CN687="refNeedCorrection",-BX687,BX687)*IF($BP687="Emissions positive",-1,1)</f>
        <v>312.10000000000002</v>
      </c>
      <c r="CU687">
        <f>IFERROR(CT687/CQ687,"")</f>
        <v>0.29035314220618952</v>
      </c>
      <c r="CV687" s="2">
        <f>IFERROR((CS687-CR687)/ABS(CR687),"")</f>
        <v>0.62898024989923429</v>
      </c>
      <c r="CW687" s="263" t="s">
        <v>263</v>
      </c>
      <c r="CX687" s="264" t="str">
        <f>IF(OR($CW687="prd",$CW687="std",$CW687="cit"),"loc",IF(OR($CW687="eur",$CW687="reg",$CW687="coy"),"reg",$CW687))</f>
        <v>loc</v>
      </c>
      <c r="CY687" s="264" t="s">
        <v>718</v>
      </c>
      <c r="DB687">
        <v>0</v>
      </c>
      <c r="DC687" t="str">
        <f>IF(DB687=0,"0",IF(AND(DB687&gt;=1,DB687&lt;=30),"1-30",IF(AND(DB687&gt;30,DB687&lt;=70),"31-70",IF(AND(DB687&gt;70,DB687&lt;=100),"71-100",IF(DB687&gt;100,"+100")))))</f>
        <v>0</v>
      </c>
      <c r="DD687">
        <v>0</v>
      </c>
      <c r="DE687">
        <v>0</v>
      </c>
      <c r="DF687">
        <v>0</v>
      </c>
      <c r="DG687">
        <v>1</v>
      </c>
      <c r="DH687">
        <v>0</v>
      </c>
      <c r="DI687">
        <f>SUM(DD687:DH687)</f>
        <v>1</v>
      </c>
      <c r="DJ687" t="str">
        <f>IF(DI687=1,INDEX($DD$7:$DG$7,MATCH(1,$DD687:$DG687,0)),"mixedProduct")</f>
        <v>TimberInput</v>
      </c>
      <c r="DK687">
        <f>IF(DD687=1,DK$7,0)</f>
        <v>0</v>
      </c>
      <c r="DL687">
        <f>IF(DE687=1,DL$7,0)</f>
        <v>0</v>
      </c>
      <c r="DM687">
        <f>IF(DF687=1,DM$7,0)</f>
        <v>0</v>
      </c>
      <c r="DN687" t="str">
        <f>IF(DG687=1,DN$7,0)</f>
        <v>Timber</v>
      </c>
      <c r="DO687">
        <v>0</v>
      </c>
      <c r="DP687">
        <v>0</v>
      </c>
      <c r="DQ687">
        <v>0</v>
      </c>
      <c r="DR687">
        <v>0</v>
      </c>
      <c r="DS687">
        <v>0</v>
      </c>
      <c r="DT687">
        <f>SUM(DO687:DP687)</f>
        <v>0</v>
      </c>
      <c r="DU687" t="str">
        <f>IF(DO687=1,"self-calculated DF",IF(DP687=1,"external DF used","explicit C balance"))</f>
        <v>explicit C balance</v>
      </c>
      <c r="DV687">
        <v>0</v>
      </c>
      <c r="DW687">
        <v>0</v>
      </c>
      <c r="DX687">
        <v>0</v>
      </c>
      <c r="DY687">
        <v>0</v>
      </c>
      <c r="DZ687">
        <v>0</v>
      </c>
      <c r="EA687" s="143">
        <v>0</v>
      </c>
      <c r="EB687">
        <v>1</v>
      </c>
      <c r="EC687">
        <v>1</v>
      </c>
      <c r="ED687">
        <v>1</v>
      </c>
      <c r="EE687">
        <v>0</v>
      </c>
      <c r="EF687">
        <v>0</v>
      </c>
      <c r="EG687">
        <v>0</v>
      </c>
      <c r="EH687">
        <v>0</v>
      </c>
      <c r="EI687" s="2">
        <v>0</v>
      </c>
      <c r="EK687" t="str">
        <f>IF(AND(AND(AND(OR($DX687=1,$DW687=1),OR($EC687=1,$EA687=1)),SUM($DV687:$DZ687,$EF687)&gt;=4),SUM($EA687:$EE687)&gt;=2),"Whole sector","")</f>
        <v/>
      </c>
      <c r="EL687" t="str">
        <f>IF(AND(AND(OR($DX687=1,$DW687=1),AND($EC687=0,$EA687=0)),SUM($DV687:$DZ687,$EF687)&gt;=4),"Ecosystem approach","")</f>
        <v/>
      </c>
      <c r="EM687" s="2" t="str">
        <f>IF(AND(AND(AND($DX687=0,$DW687=0),OR($EC687=1,$EA687=1)),SUM($EB687:$EE687)&gt;=2),"Technology approach","")</f>
        <v>Technology approach</v>
      </c>
      <c r="EP687" t="str">
        <f>IF(ISNUMBER(BU687),IF(ABS(BU687-[3]QC_indicators!$B$2)&gt;3*[3]QC_indicators!$C$2,"C ratio",IF(ISNUMBER(BY687),IF(ABS(BY687-[3]QC_indicators!$B$1)&gt;3*[3]QC_indicators!$C$1,"DF","no"))),IF(ISNUMBER(BY687),IF(ABS(BY687-[3]QC_indicators!$B$1)&gt;3*[3]QC_indicators!$C$1,"DF","no")))</f>
        <v>no</v>
      </c>
      <c r="ET687" s="264" t="s">
        <v>3407</v>
      </c>
    </row>
    <row r="688" spans="1:150" ht="15" customHeight="1">
      <c r="A688" s="1" t="s">
        <v>1233</v>
      </c>
      <c r="B688" t="s">
        <v>1234</v>
      </c>
      <c r="C688" t="s">
        <v>1235</v>
      </c>
      <c r="D688" t="s">
        <v>336</v>
      </c>
      <c r="E688" t="s">
        <v>1236</v>
      </c>
      <c r="F688" t="s">
        <v>1237</v>
      </c>
      <c r="G688" t="s">
        <v>1238</v>
      </c>
      <c r="I688">
        <v>2018</v>
      </c>
      <c r="K688" t="s">
        <v>1239</v>
      </c>
      <c r="M688" t="str">
        <f>LEFT($D688,FIND(",",$D688)-1)&amp;"_"&amp;I688&amp;L688</f>
        <v>Balasbaneh_2018</v>
      </c>
      <c r="N688" t="s">
        <v>222</v>
      </c>
      <c r="O688" s="140" t="s">
        <v>513</v>
      </c>
      <c r="Q688" t="s">
        <v>224</v>
      </c>
      <c r="R688" s="262" t="s">
        <v>223</v>
      </c>
      <c r="S688" s="1" t="s">
        <v>1254</v>
      </c>
      <c r="T688" s="264" t="s">
        <v>3112</v>
      </c>
      <c r="U688" s="264" t="s">
        <v>3116</v>
      </c>
      <c r="V688">
        <v>0</v>
      </c>
      <c r="W688">
        <v>0</v>
      </c>
      <c r="X688">
        <v>0</v>
      </c>
      <c r="Y688">
        <v>0</v>
      </c>
      <c r="Z688">
        <v>0</v>
      </c>
      <c r="AA688">
        <v>0</v>
      </c>
      <c r="AB688">
        <v>0</v>
      </c>
      <c r="AC688">
        <v>0</v>
      </c>
      <c r="AD688">
        <v>0</v>
      </c>
      <c r="AE688">
        <v>0</v>
      </c>
      <c r="AF688">
        <v>0</v>
      </c>
      <c r="AG688">
        <v>0</v>
      </c>
      <c r="AH688">
        <v>0</v>
      </c>
      <c r="AI688">
        <v>0</v>
      </c>
      <c r="AJ688">
        <v>0</v>
      </c>
      <c r="AK688">
        <v>1</v>
      </c>
      <c r="AL688">
        <v>0</v>
      </c>
      <c r="AM688">
        <v>0</v>
      </c>
      <c r="AN688">
        <v>0</v>
      </c>
      <c r="AO688">
        <v>0</v>
      </c>
      <c r="AP688">
        <v>0</v>
      </c>
      <c r="AQ688">
        <v>0</v>
      </c>
      <c r="AR688">
        <v>0</v>
      </c>
      <c r="AS688">
        <v>0</v>
      </c>
      <c r="AT688">
        <v>0</v>
      </c>
      <c r="AU688">
        <v>0</v>
      </c>
      <c r="AV688">
        <v>0</v>
      </c>
      <c r="AW688">
        <v>0</v>
      </c>
      <c r="AX688" s="141">
        <f>COUNTIF(V688:AW688,"&lt;&gt;0")</f>
        <v>1</v>
      </c>
      <c r="AY688" s="141">
        <f>COUNTIF(V688:AL688,"&lt;&gt;0")</f>
        <v>1</v>
      </c>
      <c r="AZ688">
        <f>COUNTIF(V688:AC688,"&lt;&gt;0")</f>
        <v>0</v>
      </c>
      <c r="BA688">
        <f>COUNTIF(AD688:AI688,"&lt;&gt;0")</f>
        <v>0</v>
      </c>
      <c r="BB688">
        <f>COUNTIF(AJ688:AL688,"&lt;&gt;0")</f>
        <v>1</v>
      </c>
      <c r="BC688">
        <f>COUNTIF(AS688:AW688,"&lt;&gt;0")</f>
        <v>0</v>
      </c>
      <c r="BD688">
        <f>COUNTIF(AM688:AR688,"&lt;&gt;0")</f>
        <v>0</v>
      </c>
      <c r="BE688" t="str">
        <f t="array" ref="BE688">IF(AY688=1,INDEX($V$7:$AL$7,MATCH(TRUE,INDEX($V688:$AW688&lt;&gt;0,),0)),IF(AY688=0,INDEX($AM$7:$AW$7,MATCH(1,$AM688:$AW688,0)),IF(BF688="Multiple strategies","mixed drivers",IF(BF688="Supply chain","multiple supply","multiple silviculture"))))</f>
        <v>technologies/design switch</v>
      </c>
      <c r="BF688" s="2" t="str" cm="1">
        <f t="array" ref="BF688">IF(COUNTIF(AZ688:BB688,"&lt;&gt;0")=1,INDEX($V$4:$AW$4,MATCH(TRUE,INDEX($V688:$AW688&lt;&gt;0,),0)),IF(COUNTIF(AZ688:BB688,"&lt;&gt;0")=0,INDEX($AM$4:$AW$4,MATCH(1,$AM688:$AW688,0)),"Multiple strategies"))</f>
        <v>Technology</v>
      </c>
      <c r="BG688" s="1" t="s">
        <v>229</v>
      </c>
      <c r="BH688" t="s">
        <v>229</v>
      </c>
      <c r="BJ688" t="s">
        <v>345</v>
      </c>
      <c r="BK688">
        <v>0</v>
      </c>
      <c r="BL688">
        <v>23436</v>
      </c>
      <c r="BM688" s="143"/>
      <c r="BN688">
        <f>BL688-BK688</f>
        <v>23436</v>
      </c>
      <c r="BO688" s="143">
        <f>BN688*kg_to_m3</f>
        <v>47.828571428571436</v>
      </c>
      <c r="BP688" t="s">
        <v>232</v>
      </c>
      <c r="BQ688" s="337" t="s">
        <v>1057</v>
      </c>
      <c r="BR688" t="s">
        <v>397</v>
      </c>
      <c r="BS688">
        <v>-14600</v>
      </c>
      <c r="BT688">
        <v>-702</v>
      </c>
      <c r="BU688" s="144">
        <v>4.8082191780821917E-2</v>
      </c>
      <c r="BV688">
        <v>13898</v>
      </c>
      <c r="BX688">
        <f>BV688/1000</f>
        <v>13.898</v>
      </c>
      <c r="BY688">
        <f>IFERROR(BX688/BO688,"")</f>
        <v>0.29057945041816002</v>
      </c>
      <c r="BZ688">
        <v>0</v>
      </c>
      <c r="CA688">
        <v>0</v>
      </c>
      <c r="CB688">
        <v>0</v>
      </c>
      <c r="CC688">
        <v>0</v>
      </c>
      <c r="CD688">
        <v>0</v>
      </c>
      <c r="CE688">
        <v>0</v>
      </c>
      <c r="CF688">
        <v>0</v>
      </c>
      <c r="CG688">
        <v>0</v>
      </c>
      <c r="CH688">
        <v>0</v>
      </c>
      <c r="CI688">
        <v>0</v>
      </c>
      <c r="CJ688">
        <v>0</v>
      </c>
      <c r="CK688">
        <v>0</v>
      </c>
      <c r="CL688">
        <v>0</v>
      </c>
      <c r="CM688">
        <v>0</v>
      </c>
      <c r="CN688" t="str">
        <f>IF($BL688&lt;$BK688,"refNeedCorrection","refOK")</f>
        <v>refOK</v>
      </c>
      <c r="CO688">
        <f>IF($CN688="refNeedCorrection",BL688,BK688)</f>
        <v>0</v>
      </c>
      <c r="CP688">
        <f>IF($CN688="refNeedCorrection",BK688,BL688)</f>
        <v>23436</v>
      </c>
      <c r="CQ688">
        <f>IF($CN688="refOK",$BO688,-$BO688)</f>
        <v>47.828571428571436</v>
      </c>
      <c r="CR688">
        <f>IF($CN688="refOK",$BS688,$BT688)*IF($BP688="Emissions positive",-1,1)</f>
        <v>-14600</v>
      </c>
      <c r="CS688">
        <f>IF($CN688="refOK",$BT688,$BS688)*IF($BP688="Emissions positive",-1,1)</f>
        <v>-702</v>
      </c>
      <c r="CT688">
        <f>IF($CN688="refNeedCorrection",-BX688,BX688)*IF($BP688="Emissions positive",-1,1)</f>
        <v>13.898</v>
      </c>
      <c r="CU688">
        <f>IFERROR(CT688/CQ688,"")</f>
        <v>0.29057945041816002</v>
      </c>
      <c r="CV688" s="2">
        <f>IFERROR((CS688-CR688)/ABS(CR688),"")</f>
        <v>0.95191780821917804</v>
      </c>
      <c r="CW688" s="1" t="s">
        <v>1203</v>
      </c>
      <c r="CX688" t="str">
        <f>IF(OR($CW688="prd",$CW688="std",$CW688="cit"),"loc",IF(OR($CW688="eur",$CW688="reg",$CW688="coy"),"reg",$CW688))</f>
        <v>reg</v>
      </c>
      <c r="CY688" t="s">
        <v>348</v>
      </c>
      <c r="CZ688">
        <v>2014</v>
      </c>
      <c r="DA688">
        <v>2114</v>
      </c>
      <c r="DB688">
        <v>100</v>
      </c>
      <c r="DC688" t="str">
        <f>IF(DB688=0,"0",IF(AND(DB688&gt;=1,DB688&lt;=30),"1-30",IF(AND(DB688&gt;30,DB688&lt;=70),"31-70",IF(AND(DB688&gt;70,DB688&lt;=100),"71-100",IF(DB688&gt;100,"+100")))))</f>
        <v>71-100</v>
      </c>
      <c r="DD688">
        <v>0</v>
      </c>
      <c r="DE688">
        <v>0</v>
      </c>
      <c r="DF688">
        <v>0</v>
      </c>
      <c r="DG688">
        <v>1</v>
      </c>
      <c r="DI688">
        <f>SUM(DD688:DG688)</f>
        <v>1</v>
      </c>
      <c r="DJ688" t="str">
        <f>IF(DI688=1,INDEX($DD$7:$DG$7,MATCH(1,$DD688:$DG688,0)),"mixedProduct")</f>
        <v>TimberInput</v>
      </c>
      <c r="DK688">
        <f>IF(DD688=1,DK$7,0)</f>
        <v>0</v>
      </c>
      <c r="DL688">
        <f>IF(DE688=1,DL$7,0)</f>
        <v>0</v>
      </c>
      <c r="DM688">
        <f>IF(DF688=1,DM$7,0)</f>
        <v>0</v>
      </c>
      <c r="DN688" t="str">
        <f>IF(DG688=1,DN$7,0)</f>
        <v>Timber</v>
      </c>
      <c r="DO688">
        <v>0</v>
      </c>
      <c r="DP688">
        <v>0</v>
      </c>
      <c r="DQ688">
        <v>0</v>
      </c>
      <c r="DR688">
        <v>0</v>
      </c>
      <c r="DS688">
        <v>0</v>
      </c>
      <c r="DT688">
        <f>SUM(DO688:DP688)</f>
        <v>0</v>
      </c>
      <c r="DU688" s="143" t="str">
        <f>IF(DO688=1,"self-calculated DF",IF(DP688=1,"external DF used","explicit C balance"))</f>
        <v>explicit C balance</v>
      </c>
      <c r="DV688">
        <v>0</v>
      </c>
      <c r="DW688">
        <v>0</v>
      </c>
      <c r="DX688">
        <v>0</v>
      </c>
      <c r="DY688">
        <v>0</v>
      </c>
      <c r="DZ688">
        <v>0</v>
      </c>
      <c r="EA688" s="143">
        <v>1</v>
      </c>
      <c r="EB688">
        <v>0</v>
      </c>
      <c r="EC688">
        <v>1</v>
      </c>
      <c r="ED688">
        <v>1</v>
      </c>
      <c r="EE688">
        <v>1</v>
      </c>
      <c r="EF688">
        <v>0</v>
      </c>
      <c r="EG688">
        <v>0</v>
      </c>
      <c r="EH688">
        <v>0</v>
      </c>
      <c r="EI688" s="2">
        <v>0</v>
      </c>
      <c r="EK688" t="str">
        <f>IF(AND(AND(AND(OR($DX688=1,$DW688=1),OR($EC688=1,$EA688=1)),SUM($DV688:$DZ688,$EF688)&gt;=4),SUM($EA688:$EE688)&gt;=2),"Whole sector","")</f>
        <v/>
      </c>
      <c r="EL688" t="str">
        <f>IF(AND(AND(OR($DX688=1,$DW688=1),AND($EC688=0,$EA688=0)),SUM($DV688:$DZ688,$EF688)&gt;=4),"Ecosystem approach","")</f>
        <v/>
      </c>
      <c r="EM688" s="2" t="str">
        <f>IF(AND(AND(AND($DX688=0,$DW688=0),OR($EC688=1,$EA688=1)),SUM($EB688:$EE688)&gt;=2),"Technology approach","")</f>
        <v>Technology approach</v>
      </c>
      <c r="EP688" t="str">
        <f>IF(ISNUMBER(BU688),IF(ABS(BU688-[1]QC_indicators!$B$2)&gt;3*[1]QC_indicators!$C$2,"C ratio",IF(ISNUMBER(BY688),IF(ABS(BY688-[1]QC_indicators!$B$1)&gt;3*[1]QC_indicators!$C$1,"DF","no"))),IF(ISNUMBER(BY688),IF(ABS(BY688-[1]QC_indicators!$B$1)&gt;3*[1]QC_indicators!$C$1,"DF","no")))</f>
        <v>no</v>
      </c>
      <c r="ER688" s="149" t="s">
        <v>349</v>
      </c>
      <c r="ET688" s="264" t="s">
        <v>3273</v>
      </c>
    </row>
    <row r="689" spans="1:150" ht="15" customHeight="1">
      <c r="A689" s="1" t="s">
        <v>587</v>
      </c>
      <c r="B689" t="s">
        <v>2531</v>
      </c>
      <c r="C689" t="s">
        <v>2532</v>
      </c>
      <c r="D689" t="s">
        <v>2533</v>
      </c>
      <c r="E689" t="s">
        <v>2534</v>
      </c>
      <c r="F689" t="s">
        <v>2535</v>
      </c>
      <c r="G689" t="s">
        <v>593</v>
      </c>
      <c r="H689" t="s">
        <v>254</v>
      </c>
      <c r="I689">
        <v>2015</v>
      </c>
      <c r="J689">
        <v>46</v>
      </c>
      <c r="K689" t="s">
        <v>2536</v>
      </c>
      <c r="M689" t="str">
        <f>LEFT($D689,FIND(",",$D689)-1)&amp;"_"&amp;I689&amp;L689</f>
        <v>Iritani_2015</v>
      </c>
      <c r="N689" t="s">
        <v>222</v>
      </c>
      <c r="O689" s="145" t="s">
        <v>513</v>
      </c>
      <c r="Q689" t="s">
        <v>256</v>
      </c>
      <c r="R689" s="255" t="s">
        <v>223</v>
      </c>
      <c r="S689" s="1" t="s">
        <v>2537</v>
      </c>
      <c r="T689" s="264" t="s">
        <v>3089</v>
      </c>
      <c r="U689" s="264" t="s">
        <v>3090</v>
      </c>
      <c r="V689">
        <v>0</v>
      </c>
      <c r="W689">
        <v>0</v>
      </c>
      <c r="X689">
        <v>0</v>
      </c>
      <c r="Y689">
        <v>0</v>
      </c>
      <c r="Z689">
        <v>0</v>
      </c>
      <c r="AA689">
        <v>0</v>
      </c>
      <c r="AB689">
        <v>0</v>
      </c>
      <c r="AC689">
        <v>0</v>
      </c>
      <c r="AD689">
        <v>0</v>
      </c>
      <c r="AE689">
        <v>0</v>
      </c>
      <c r="AF689">
        <v>0</v>
      </c>
      <c r="AG689">
        <v>1</v>
      </c>
      <c r="AH689">
        <v>0</v>
      </c>
      <c r="AI689">
        <v>0</v>
      </c>
      <c r="AJ689">
        <v>0</v>
      </c>
      <c r="AK689">
        <v>0</v>
      </c>
      <c r="AL689">
        <v>0</v>
      </c>
      <c r="AM689">
        <v>0</v>
      </c>
      <c r="AN689">
        <v>0</v>
      </c>
      <c r="AO689">
        <v>0</v>
      </c>
      <c r="AP689">
        <v>0</v>
      </c>
      <c r="AQ689">
        <v>0</v>
      </c>
      <c r="AR689">
        <v>0</v>
      </c>
      <c r="AS689">
        <v>0</v>
      </c>
      <c r="AT689">
        <v>0</v>
      </c>
      <c r="AU689">
        <v>0</v>
      </c>
      <c r="AV689">
        <v>0</v>
      </c>
      <c r="AW689">
        <v>0</v>
      </c>
      <c r="AX689" s="141">
        <f>COUNTIF(V689:AW689,"&lt;&gt;0")</f>
        <v>1</v>
      </c>
      <c r="AY689" s="141">
        <f>COUNTIF(V689:AL689,"&lt;&gt;0")</f>
        <v>1</v>
      </c>
      <c r="AZ689">
        <f>COUNTIF(V689:AC689,"&lt;&gt;0")</f>
        <v>0</v>
      </c>
      <c r="BA689">
        <f>COUNTIF(AD689:AI689,"&lt;&gt;0")</f>
        <v>1</v>
      </c>
      <c r="BB689">
        <f>COUNTIF(AJ689:AL689,"&lt;&gt;0")</f>
        <v>0</v>
      </c>
      <c r="BC689">
        <f>COUNTIF(AS689:AW689,"&lt;&gt;0")</f>
        <v>0</v>
      </c>
      <c r="BD689">
        <f>COUNTIF(AM689:AR689,"&lt;&gt;0")</f>
        <v>0</v>
      </c>
      <c r="BE689" t="str">
        <f t="array" ref="BE689">IF(AY689=1,INDEX($V$7:$AL$7,MATCH(TRUE,INDEX($V689:$AW689&lt;&gt;0,),0)),IF(AY689=0,INDEX($AM$7:$AW$7,MATCH(1,$AM689:$AW689,0)),IF(BF689="Multiple strategies","mixed drivers",IF(BF689="Supply chain","multiple supply","multiple silviculture"))))</f>
        <v>recycling</v>
      </c>
      <c r="BF689" s="2" t="str" cm="1">
        <f t="array" ref="BF689">IF(COUNTIF(AZ689:BB689,"&lt;&gt;0")=1,INDEX($V$4:$AW$4,MATCH(TRUE,INDEX($V689:$AW689&lt;&gt;0,),0)),IF(COUNTIF(AZ689:BB689,"&lt;&gt;0")=0,INDEX($AM$4:$AW$4,MATCH(1,$AM689:$AW689,0)),"Multiple strategies"))</f>
        <v>Supply chain</v>
      </c>
      <c r="BG689" s="1" t="s">
        <v>229</v>
      </c>
      <c r="BH689" t="s">
        <v>2538</v>
      </c>
      <c r="BI689" s="264" t="s">
        <v>688</v>
      </c>
      <c r="BJ689" t="s">
        <v>345</v>
      </c>
      <c r="BK689">
        <v>0</v>
      </c>
      <c r="BL689">
        <v>235</v>
      </c>
      <c r="BN689">
        <f>BL689-BK689</f>
        <v>235</v>
      </c>
      <c r="BO689">
        <f>BN689*kg_to_m3</f>
        <v>0.47959183673469391</v>
      </c>
      <c r="BP689" t="s">
        <v>232</v>
      </c>
      <c r="BQ689" s="153" t="s">
        <v>3091</v>
      </c>
      <c r="BR689" t="s">
        <v>728</v>
      </c>
      <c r="BS689">
        <v>-290.75</v>
      </c>
      <c r="BT689">
        <f>-0.52*290.75</f>
        <v>-151.19</v>
      </c>
      <c r="BU689" s="144">
        <f>IFERROR(BT689/BS689,"")</f>
        <v>0.52</v>
      </c>
      <c r="BV689">
        <f>BT689-BS689</f>
        <v>139.56</v>
      </c>
      <c r="BX689">
        <f>BV689/1000</f>
        <v>0.13955999999999999</v>
      </c>
      <c r="BY689">
        <f>IFERROR(BX689/BO689,"")</f>
        <v>0.29099744680851058</v>
      </c>
      <c r="BZ689">
        <v>1</v>
      </c>
      <c r="CA689">
        <v>0</v>
      </c>
      <c r="CB689">
        <v>0</v>
      </c>
      <c r="CC689">
        <v>0</v>
      </c>
      <c r="CD689">
        <v>0</v>
      </c>
      <c r="CE689">
        <v>0</v>
      </c>
      <c r="CF689">
        <v>0</v>
      </c>
      <c r="CG689">
        <v>0</v>
      </c>
      <c r="CH689">
        <v>0</v>
      </c>
      <c r="CI689">
        <v>0</v>
      </c>
      <c r="CJ689">
        <v>0</v>
      </c>
      <c r="CK689">
        <v>0</v>
      </c>
      <c r="CL689">
        <v>0</v>
      </c>
      <c r="CM689">
        <v>0</v>
      </c>
      <c r="CN689" t="str">
        <f>IF($BL689&lt;$BK689,"refNeedCorrection","refOK")</f>
        <v>refOK</v>
      </c>
      <c r="CO689">
        <f>IF($CN689="refOK",$BK689,$BL689)</f>
        <v>0</v>
      </c>
      <c r="CP689">
        <f>IF($CN689="refOK",$BL689,$BK689)</f>
        <v>235</v>
      </c>
      <c r="CQ689">
        <f>IF($CN689="refOK",$BO689,-$BO689)</f>
        <v>0.47959183673469391</v>
      </c>
      <c r="CR689">
        <f>IF($CN689="refOK",$BS689,$BT689)*IF($BP689="Emissions positive",-1,1)</f>
        <v>-290.75</v>
      </c>
      <c r="CS689">
        <f>IF($CN689="refOK",$BT689,$BS689)*IF($BP689="Emissions positive",-1,1)</f>
        <v>-151.19</v>
      </c>
      <c r="CT689">
        <f>IF($CN689="refNeedCorrection",-BX689,BX689)*IF($BP689="Emissions positive",-1,1)</f>
        <v>0.13955999999999999</v>
      </c>
      <c r="CU689">
        <f>IFERROR(CT689/CQ689,"")</f>
        <v>0.29099744680851058</v>
      </c>
      <c r="CV689" s="2">
        <f>IFERROR((CS689-CR689)/ABS(CR689),"")</f>
        <v>0.48</v>
      </c>
      <c r="CW689" s="263" t="s">
        <v>263</v>
      </c>
      <c r="CX689" t="str">
        <f>IF(OR($CW689="prd",$CW689="std",$CW689="cit"),"loc",IF(OR($CW689="eur",$CW689="reg",$CW689="coy"),"reg",$CW689))</f>
        <v>loc</v>
      </c>
      <c r="CY689" s="264" t="s">
        <v>520</v>
      </c>
      <c r="DB689">
        <v>0</v>
      </c>
      <c r="DC689" t="str">
        <f>IF(DB689=0,"0",IF(AND(DB689&gt;=1,DB689&lt;=30),"1-30",IF(AND(DB689&gt;30,DB689&lt;=70),"31-70",IF(AND(DB689&gt;70,DB689&lt;=100),"71-100",IF(DB689&gt;100,"+100")))))</f>
        <v>0</v>
      </c>
      <c r="DD689">
        <v>0</v>
      </c>
      <c r="DE689">
        <v>0</v>
      </c>
      <c r="DF689">
        <v>0</v>
      </c>
      <c r="DG689">
        <v>1</v>
      </c>
      <c r="DI689">
        <f>SUM(DD689:DG689)</f>
        <v>1</v>
      </c>
      <c r="DJ689" t="str">
        <f>IF(DI689=1,INDEX($DD$7:$DG$7,MATCH(1,$DD689:$DG689,0)),"mixedProduct")</f>
        <v>TimberInput</v>
      </c>
      <c r="DK689">
        <f>IF(DD689=1,DK$7,0)</f>
        <v>0</v>
      </c>
      <c r="DL689">
        <f>IF(DE689=1,DL$7,0)</f>
        <v>0</v>
      </c>
      <c r="DM689">
        <f>IF(DF689=1,DM$7,0)</f>
        <v>0</v>
      </c>
      <c r="DN689" t="str">
        <f>IF(DG689=1,DN$7,0)</f>
        <v>Timber</v>
      </c>
      <c r="DO689">
        <v>0</v>
      </c>
      <c r="DP689">
        <v>0</v>
      </c>
      <c r="DQ689">
        <v>0</v>
      </c>
      <c r="DR689">
        <v>0</v>
      </c>
      <c r="DS689">
        <v>0</v>
      </c>
      <c r="DT689">
        <f>SUM(DO689:DP689)</f>
        <v>0</v>
      </c>
      <c r="DU689" s="143" t="str">
        <f>IF(DO689=1,"self-calculated DF",IF(DP689=1,"external DF used","explicit C balance"))</f>
        <v>explicit C balance</v>
      </c>
      <c r="DV689">
        <v>0</v>
      </c>
      <c r="DW689">
        <v>0</v>
      </c>
      <c r="DX689">
        <v>0</v>
      </c>
      <c r="DY689">
        <v>0</v>
      </c>
      <c r="DZ689">
        <v>0</v>
      </c>
      <c r="EA689" s="143">
        <v>1</v>
      </c>
      <c r="EB689">
        <v>0</v>
      </c>
      <c r="EC689">
        <v>1</v>
      </c>
      <c r="ED689">
        <v>0</v>
      </c>
      <c r="EE689">
        <v>0</v>
      </c>
      <c r="EF689">
        <v>0</v>
      </c>
      <c r="EG689">
        <v>0</v>
      </c>
      <c r="EH689">
        <v>0</v>
      </c>
      <c r="EI689" s="2">
        <v>0</v>
      </c>
      <c r="EK689" t="str">
        <f>IF(AND(AND(AND(OR($DX689=1,$DW689=1),OR($EC689=1,$EA689=1)),SUM($DV689:$DZ689,$EF689)&gt;=4),SUM($EA689:$EE689)&gt;=2),"Whole sector","")</f>
        <v/>
      </c>
      <c r="EL689" t="str">
        <f>IF(AND(AND(OR($DX689=1,$DW689=1),AND($EC689=0,$EA689=0)),SUM($DV689:$DZ689,$EF689)&gt;=4),"Ecosystem approach","")</f>
        <v/>
      </c>
      <c r="EM689" s="2" t="str">
        <f>IF(AND(AND(AND($DX689=0,$DW689=0),OR($EC689=1,$EA689=1)),SUM($EB689:$EE689)&gt;=2),"Technology approach","")</f>
        <v/>
      </c>
      <c r="EP689" t="str">
        <f>IF(ISNUMBER(BU689),IF(ABS(BU689-[1]QC_indicators!$B$2)&gt;3*[1]QC_indicators!$C$2,"C ratio",IF(ISNUMBER(BY689),IF(ABS(BY689-[1]QC_indicators!$B$1)&gt;3*[1]QC_indicators!$C$1,"DF","no"))),IF(ISNUMBER(BY689),IF(ABS(BY689-[1]QC_indicators!$B$1)&gt;3*[1]QC_indicators!$C$1,"DF","no")))</f>
        <v>no</v>
      </c>
      <c r="ET689" s="264" t="s">
        <v>3092</v>
      </c>
    </row>
    <row r="690" spans="1:150" ht="15" customHeight="1">
      <c r="A690" s="1" t="s">
        <v>1233</v>
      </c>
      <c r="B690" t="s">
        <v>1234</v>
      </c>
      <c r="C690" t="s">
        <v>1235</v>
      </c>
      <c r="D690" t="s">
        <v>336</v>
      </c>
      <c r="E690" t="s">
        <v>1236</v>
      </c>
      <c r="F690" t="s">
        <v>1237</v>
      </c>
      <c r="G690" t="s">
        <v>1238</v>
      </c>
      <c r="I690">
        <v>2018</v>
      </c>
      <c r="K690" t="s">
        <v>1239</v>
      </c>
      <c r="M690" t="str">
        <f>LEFT($D690,FIND(",",$D690)-1)&amp;"_"&amp;I690&amp;L690</f>
        <v>Balasbaneh_2018</v>
      </c>
      <c r="N690" t="s">
        <v>222</v>
      </c>
      <c r="O690" s="140" t="s">
        <v>513</v>
      </c>
      <c r="Q690" t="s">
        <v>224</v>
      </c>
      <c r="R690" s="262" t="s">
        <v>223</v>
      </c>
      <c r="S690" s="1" t="s">
        <v>1255</v>
      </c>
      <c r="T690" s="264" t="s">
        <v>3112</v>
      </c>
      <c r="U690" s="264" t="s">
        <v>3111</v>
      </c>
      <c r="V690">
        <v>0</v>
      </c>
      <c r="W690">
        <v>0</v>
      </c>
      <c r="X690">
        <v>0</v>
      </c>
      <c r="Y690">
        <v>0</v>
      </c>
      <c r="Z690">
        <v>0</v>
      </c>
      <c r="AA690">
        <v>0</v>
      </c>
      <c r="AB690">
        <v>0</v>
      </c>
      <c r="AC690">
        <v>0</v>
      </c>
      <c r="AD690">
        <v>0</v>
      </c>
      <c r="AE690">
        <v>0</v>
      </c>
      <c r="AF690">
        <v>0</v>
      </c>
      <c r="AG690">
        <v>0</v>
      </c>
      <c r="AH690">
        <v>0</v>
      </c>
      <c r="AI690">
        <v>0</v>
      </c>
      <c r="AJ690">
        <v>0</v>
      </c>
      <c r="AK690">
        <v>1</v>
      </c>
      <c r="AL690">
        <v>0</v>
      </c>
      <c r="AM690">
        <v>0</v>
      </c>
      <c r="AN690">
        <v>0</v>
      </c>
      <c r="AO690">
        <v>0</v>
      </c>
      <c r="AP690">
        <v>0</v>
      </c>
      <c r="AQ690">
        <v>0</v>
      </c>
      <c r="AR690">
        <v>0</v>
      </c>
      <c r="AS690">
        <v>0</v>
      </c>
      <c r="AT690">
        <v>0</v>
      </c>
      <c r="AU690">
        <v>0</v>
      </c>
      <c r="AV690">
        <v>0</v>
      </c>
      <c r="AW690">
        <v>0</v>
      </c>
      <c r="AX690" s="141">
        <f>COUNTIF(V690:AW690,"&lt;&gt;0")</f>
        <v>1</v>
      </c>
      <c r="AY690" s="141">
        <f>COUNTIF(V690:AL690,"&lt;&gt;0")</f>
        <v>1</v>
      </c>
      <c r="AZ690">
        <f>COUNTIF(V690:AC690,"&lt;&gt;0")</f>
        <v>0</v>
      </c>
      <c r="BA690">
        <f>COUNTIF(AD690:AI690,"&lt;&gt;0")</f>
        <v>0</v>
      </c>
      <c r="BB690">
        <f>COUNTIF(AJ690:AL690,"&lt;&gt;0")</f>
        <v>1</v>
      </c>
      <c r="BC690">
        <f>COUNTIF(AS690:AW690,"&lt;&gt;0")</f>
        <v>0</v>
      </c>
      <c r="BD690">
        <f>COUNTIF(AM690:AR690,"&lt;&gt;0")</f>
        <v>0</v>
      </c>
      <c r="BE690" t="str">
        <f t="array" ref="BE690">IF(AY690=1,INDEX($V$7:$AL$7,MATCH(TRUE,INDEX($V690:$AW690&lt;&gt;0,),0)),IF(AY690=0,INDEX($AM$7:$AW$7,MATCH(1,$AM690:$AW690,0)),IF(BF690="Multiple strategies","mixed drivers",IF(BF690="Supply chain","multiple supply","multiple silviculture"))))</f>
        <v>technologies/design switch</v>
      </c>
      <c r="BF690" s="2" t="str" cm="1">
        <f t="array" ref="BF690">IF(COUNTIF(AZ690:BB690,"&lt;&gt;0")=1,INDEX($V$4:$AW$4,MATCH(TRUE,INDEX($V690:$AW690&lt;&gt;0,),0)),IF(COUNTIF(AZ690:BB690,"&lt;&gt;0")=0,INDEX($AM$4:$AW$4,MATCH(1,$AM690:$AW690,0)),"Multiple strategies"))</f>
        <v>Technology</v>
      </c>
      <c r="BG690" s="1" t="s">
        <v>229</v>
      </c>
      <c r="BH690" t="s">
        <v>229</v>
      </c>
      <c r="BJ690" t="s">
        <v>345</v>
      </c>
      <c r="BK690">
        <v>0</v>
      </c>
      <c r="BL690">
        <v>15468</v>
      </c>
      <c r="BM690" s="143"/>
      <c r="BN690">
        <f>BL690-BK690</f>
        <v>15468</v>
      </c>
      <c r="BO690" s="143">
        <f>BN690*kg_to_m3</f>
        <v>31.567346938775515</v>
      </c>
      <c r="BP690" t="s">
        <v>232</v>
      </c>
      <c r="BQ690" s="337" t="s">
        <v>1057</v>
      </c>
      <c r="BR690" t="s">
        <v>397</v>
      </c>
      <c r="BS690">
        <v>-14600</v>
      </c>
      <c r="BT690">
        <v>-5370</v>
      </c>
      <c r="BU690" s="144">
        <v>0.36780821917808221</v>
      </c>
      <c r="BV690">
        <v>9230</v>
      </c>
      <c r="BX690">
        <f>BV690/1000</f>
        <v>9.23</v>
      </c>
      <c r="BY690">
        <f>IFERROR(BX690/BO690,"")</f>
        <v>0.29239074217739847</v>
      </c>
      <c r="BZ690">
        <v>0</v>
      </c>
      <c r="CA690">
        <v>0</v>
      </c>
      <c r="CB690">
        <v>0</v>
      </c>
      <c r="CC690">
        <v>0</v>
      </c>
      <c r="CD690">
        <v>0</v>
      </c>
      <c r="CE690">
        <v>0</v>
      </c>
      <c r="CF690">
        <v>0</v>
      </c>
      <c r="CG690">
        <v>0</v>
      </c>
      <c r="CH690">
        <v>0</v>
      </c>
      <c r="CI690">
        <v>0</v>
      </c>
      <c r="CJ690">
        <v>0</v>
      </c>
      <c r="CK690">
        <v>0</v>
      </c>
      <c r="CL690">
        <v>0</v>
      </c>
      <c r="CM690">
        <v>0</v>
      </c>
      <c r="CN690" t="str">
        <f>IF($BL690&lt;$BK690,"refNeedCorrection","refOK")</f>
        <v>refOK</v>
      </c>
      <c r="CO690">
        <f>IF($CN690="refNeedCorrection",BL690,BK690)</f>
        <v>0</v>
      </c>
      <c r="CP690">
        <f>IF($CN690="refNeedCorrection",BK690,BL690)</f>
        <v>15468</v>
      </c>
      <c r="CQ690">
        <f>IF($CN690="refOK",$BO690,-$BO690)</f>
        <v>31.567346938775515</v>
      </c>
      <c r="CR690">
        <f>IF($CN690="refOK",$BS690,$BT690)*IF($BP690="Emissions positive",-1,1)</f>
        <v>-14600</v>
      </c>
      <c r="CS690">
        <f>IF($CN690="refOK",$BT690,$BS690)*IF($BP690="Emissions positive",-1,1)</f>
        <v>-5370</v>
      </c>
      <c r="CT690">
        <f>IF($CN690="refNeedCorrection",-BX690,BX690)*IF($BP690="Emissions positive",-1,1)</f>
        <v>9.23</v>
      </c>
      <c r="CU690">
        <f>IFERROR(CT690/CQ690,"")</f>
        <v>0.29239074217739847</v>
      </c>
      <c r="CV690" s="2">
        <f>IFERROR((CS690-CR690)/ABS(CR690),"")</f>
        <v>0.63219178082191785</v>
      </c>
      <c r="CW690" s="1" t="s">
        <v>1203</v>
      </c>
      <c r="CX690" t="str">
        <f>IF(OR($CW690="prd",$CW690="std",$CW690="cit"),"loc",IF(OR($CW690="eur",$CW690="reg",$CW690="coy"),"reg",$CW690))</f>
        <v>reg</v>
      </c>
      <c r="CY690" t="s">
        <v>348</v>
      </c>
      <c r="CZ690">
        <v>2014</v>
      </c>
      <c r="DA690">
        <v>2114</v>
      </c>
      <c r="DB690">
        <v>100</v>
      </c>
      <c r="DC690" t="str">
        <f>IF(DB690=0,"0",IF(AND(DB690&gt;=1,DB690&lt;=30),"1-30",IF(AND(DB690&gt;30,DB690&lt;=70),"31-70",IF(AND(DB690&gt;70,DB690&lt;=100),"71-100",IF(DB690&gt;100,"+100")))))</f>
        <v>71-100</v>
      </c>
      <c r="DD690">
        <v>0</v>
      </c>
      <c r="DE690">
        <v>0</v>
      </c>
      <c r="DF690">
        <v>0</v>
      </c>
      <c r="DG690">
        <v>1</v>
      </c>
      <c r="DI690">
        <f>SUM(DD690:DG690)</f>
        <v>1</v>
      </c>
      <c r="DJ690" t="str">
        <f>IF(DI690=1,INDEX($DD$7:$DG$7,MATCH(1,$DD690:$DG690,0)),"mixedProduct")</f>
        <v>TimberInput</v>
      </c>
      <c r="DK690">
        <f>IF(DD690=1,DK$7,0)</f>
        <v>0</v>
      </c>
      <c r="DL690">
        <f>IF(DE690=1,DL$7,0)</f>
        <v>0</v>
      </c>
      <c r="DM690">
        <f>IF(DF690=1,DM$7,0)</f>
        <v>0</v>
      </c>
      <c r="DN690" t="str">
        <f>IF(DG690=1,DN$7,0)</f>
        <v>Timber</v>
      </c>
      <c r="DO690">
        <v>0</v>
      </c>
      <c r="DP690">
        <v>0</v>
      </c>
      <c r="DQ690">
        <v>0</v>
      </c>
      <c r="DR690">
        <v>0</v>
      </c>
      <c r="DS690">
        <v>0</v>
      </c>
      <c r="DT690">
        <f>SUM(DO690:DP690)</f>
        <v>0</v>
      </c>
      <c r="DU690" s="143" t="str">
        <f>IF(DO690=1,"self-calculated DF",IF(DP690=1,"external DF used","explicit C balance"))</f>
        <v>explicit C balance</v>
      </c>
      <c r="DV690">
        <v>0</v>
      </c>
      <c r="DW690">
        <v>0</v>
      </c>
      <c r="DX690">
        <v>0</v>
      </c>
      <c r="DY690">
        <v>0</v>
      </c>
      <c r="DZ690">
        <v>0</v>
      </c>
      <c r="EA690" s="143">
        <v>1</v>
      </c>
      <c r="EB690">
        <v>0</v>
      </c>
      <c r="EC690">
        <v>1</v>
      </c>
      <c r="ED690">
        <v>1</v>
      </c>
      <c r="EE690">
        <v>1</v>
      </c>
      <c r="EF690">
        <v>0</v>
      </c>
      <c r="EG690">
        <v>0</v>
      </c>
      <c r="EH690">
        <v>0</v>
      </c>
      <c r="EI690" s="2">
        <v>0</v>
      </c>
      <c r="EK690" t="str">
        <f>IF(AND(AND(AND(OR($DX690=1,$DW690=1),OR($EC690=1,$EA690=1)),SUM($DV690:$DZ690,$EF690)&gt;=4),SUM($EA690:$EE690)&gt;=2),"Whole sector","")</f>
        <v/>
      </c>
      <c r="EL690" t="str">
        <f>IF(AND(AND(OR($DX690=1,$DW690=1),AND($EC690=0,$EA690=0)),SUM($DV690:$DZ690,$EF690)&gt;=4),"Ecosystem approach","")</f>
        <v/>
      </c>
      <c r="EM690" s="2" t="str">
        <f>IF(AND(AND(AND($DX690=0,$DW690=0),OR($EC690=1,$EA690=1)),SUM($EB690:$EE690)&gt;=2),"Technology approach","")</f>
        <v>Technology approach</v>
      </c>
      <c r="EP690" t="str">
        <f>IF(ISNUMBER(BU690),IF(ABS(BU690-[1]QC_indicators!$B$2)&gt;3*[1]QC_indicators!$C$2,"C ratio",IF(ISNUMBER(BY690),IF(ABS(BY690-[1]QC_indicators!$B$1)&gt;3*[1]QC_indicators!$C$1,"DF","no"))),IF(ISNUMBER(BY690),IF(ABS(BY690-[1]QC_indicators!$B$1)&gt;3*[1]QC_indicators!$C$1,"DF","no")))</f>
        <v>no</v>
      </c>
      <c r="ER690" s="149" t="s">
        <v>349</v>
      </c>
      <c r="ET690" s="264" t="s">
        <v>3273</v>
      </c>
    </row>
    <row r="691" spans="1:150" ht="15" customHeight="1">
      <c r="A691" s="1" t="s">
        <v>430</v>
      </c>
      <c r="B691" t="s">
        <v>431</v>
      </c>
      <c r="C691" t="s">
        <v>432</v>
      </c>
      <c r="D691" t="s">
        <v>433</v>
      </c>
      <c r="E691" t="s">
        <v>434</v>
      </c>
      <c r="F691" t="s">
        <v>435</v>
      </c>
      <c r="G691" t="s">
        <v>436</v>
      </c>
      <c r="H691" t="s">
        <v>254</v>
      </c>
      <c r="I691">
        <v>2000</v>
      </c>
      <c r="J691">
        <v>174</v>
      </c>
      <c r="K691" t="s">
        <v>437</v>
      </c>
      <c r="M691" t="str">
        <f>LEFT($D691,FIND(",",$D691)-1)&amp;"_"&amp;I691&amp;L691</f>
        <v>Borjesson_2000</v>
      </c>
      <c r="N691" t="s">
        <v>222</v>
      </c>
      <c r="O691" s="145" t="s">
        <v>223</v>
      </c>
      <c r="Q691" t="s">
        <v>256</v>
      </c>
      <c r="R691" s="255" t="s">
        <v>225</v>
      </c>
      <c r="S691" s="1" t="s">
        <v>475</v>
      </c>
      <c r="T691" t="s">
        <v>476</v>
      </c>
      <c r="U691" t="s">
        <v>482</v>
      </c>
      <c r="V691">
        <v>0</v>
      </c>
      <c r="W691">
        <v>0</v>
      </c>
      <c r="X691">
        <v>0</v>
      </c>
      <c r="Y691">
        <v>0</v>
      </c>
      <c r="Z691">
        <v>0</v>
      </c>
      <c r="AA691">
        <v>0</v>
      </c>
      <c r="AB691">
        <v>0</v>
      </c>
      <c r="AC691">
        <v>0</v>
      </c>
      <c r="AD691">
        <v>0</v>
      </c>
      <c r="AE691">
        <v>0</v>
      </c>
      <c r="AF691">
        <v>0</v>
      </c>
      <c r="AG691">
        <v>0</v>
      </c>
      <c r="AH691">
        <v>0</v>
      </c>
      <c r="AI691">
        <v>0</v>
      </c>
      <c r="AJ691">
        <v>0</v>
      </c>
      <c r="AK691">
        <v>1</v>
      </c>
      <c r="AL691">
        <v>0</v>
      </c>
      <c r="AM691">
        <v>0</v>
      </c>
      <c r="AN691">
        <v>0</v>
      </c>
      <c r="AO691">
        <v>0</v>
      </c>
      <c r="AP691">
        <v>0</v>
      </c>
      <c r="AQ691">
        <v>0</v>
      </c>
      <c r="AR691">
        <v>0</v>
      </c>
      <c r="AS691">
        <v>0</v>
      </c>
      <c r="AT691">
        <v>0</v>
      </c>
      <c r="AU691">
        <v>0</v>
      </c>
      <c r="AV691">
        <v>0</v>
      </c>
      <c r="AW691">
        <v>0</v>
      </c>
      <c r="AX691" s="141">
        <f>COUNTIF(V691:AW691,"&lt;&gt;0")</f>
        <v>1</v>
      </c>
      <c r="AY691" s="141">
        <f>COUNTIF(V691:AL691,"&lt;&gt;0")</f>
        <v>1</v>
      </c>
      <c r="AZ691">
        <f>COUNTIF(V691:AC691,"&lt;&gt;0")</f>
        <v>0</v>
      </c>
      <c r="BA691">
        <f>COUNTIF(AD691:AI691,"&lt;&gt;0")</f>
        <v>0</v>
      </c>
      <c r="BB691">
        <f>COUNTIF(AJ691:AL691,"&lt;&gt;0")</f>
        <v>1</v>
      </c>
      <c r="BC691">
        <f>COUNTIF(AS691:AW691,"&lt;&gt;0")</f>
        <v>0</v>
      </c>
      <c r="BD691">
        <f>COUNTIF(AM691:AR691,"&lt;&gt;0")</f>
        <v>0</v>
      </c>
      <c r="BE691" t="str">
        <f t="array" ref="BE691">IF(AY691=1,INDEX($V$7:$AL$7,MATCH(TRUE,INDEX($V691:$AW691&lt;&gt;0,),0)),IF(AY691=0,INDEX($AM$7:$AW$7,MATCH(1,$AM691:$AW691,0)),IF(BF691="Multiple strategies","mixed drivers",IF(BF691="Supply chain","multiple supply","multiple silviculture"))))</f>
        <v>technologies/design switch</v>
      </c>
      <c r="BF691" s="2" t="str" cm="1">
        <f t="array" ref="BF691">IF(COUNTIF(AZ691:BB691,"&lt;&gt;0")=1,INDEX($V$4:$AW$4,MATCH(TRUE,INDEX($V691:$AW691&lt;&gt;0,),0)),IF(COUNTIF(AZ691:BB691,"&lt;&gt;0")=0,INDEX($AM$4:$AW$4,MATCH(1,$AM691:$AW691,0)),"Multiple strategies"))</f>
        <v>Technology</v>
      </c>
      <c r="BG691" s="142" t="s">
        <v>321</v>
      </c>
      <c r="BH691" t="s">
        <v>478</v>
      </c>
      <c r="BI691" s="264" t="s">
        <v>3275</v>
      </c>
      <c r="BJ691" t="s">
        <v>442</v>
      </c>
      <c r="BK691">
        <v>0</v>
      </c>
      <c r="BL691">
        <v>54</v>
      </c>
      <c r="BM691" s="143"/>
      <c r="BN691">
        <f>BL691-BK691</f>
        <v>54</v>
      </c>
      <c r="BO691">
        <f>BN691*tC_to_m3</f>
        <v>234.47676943117673</v>
      </c>
      <c r="BP691" t="s">
        <v>232</v>
      </c>
      <c r="BQ691" s="260" t="s">
        <v>813</v>
      </c>
      <c r="BR691" t="s">
        <v>443</v>
      </c>
      <c r="BS691" s="141">
        <v>6</v>
      </c>
      <c r="BT691" s="141">
        <v>25</v>
      </c>
      <c r="BU691" s="144">
        <f>IFERROR(BT691/BS691,"")</f>
        <v>4.166666666666667</v>
      </c>
      <c r="BV691">
        <f>BT691-BS691</f>
        <v>19</v>
      </c>
      <c r="BX691">
        <f>BV691*C_to_CO2</f>
        <v>69.73</v>
      </c>
      <c r="BY691">
        <f>IFERROR(BX691/BO691,"")</f>
        <v>0.29738553703703702</v>
      </c>
      <c r="BZ691" s="143">
        <v>0</v>
      </c>
      <c r="CA691" s="143">
        <v>0</v>
      </c>
      <c r="CB691" s="143">
        <v>0</v>
      </c>
      <c r="CC691" s="143">
        <v>0</v>
      </c>
      <c r="CD691" s="143">
        <v>0</v>
      </c>
      <c r="CE691" s="143">
        <v>0</v>
      </c>
      <c r="CF691" s="143">
        <v>0</v>
      </c>
      <c r="CG691" s="143">
        <v>0</v>
      </c>
      <c r="CH691" s="143">
        <v>0</v>
      </c>
      <c r="CI691" s="143">
        <v>0</v>
      </c>
      <c r="CJ691" s="143">
        <v>0</v>
      </c>
      <c r="CK691" s="143">
        <v>0</v>
      </c>
      <c r="CL691" s="143">
        <v>0</v>
      </c>
      <c r="CM691">
        <v>0</v>
      </c>
      <c r="CN691" t="str">
        <f>IF($BL691&lt;$BK691,"refNeedCorrection","refOK")</f>
        <v>refOK</v>
      </c>
      <c r="CO691">
        <f>IF($CN691="refOK",$BK691,$BL691)</f>
        <v>0</v>
      </c>
      <c r="CP691">
        <f>IF($CN691="refOK",$BL691,$BK691)</f>
        <v>54</v>
      </c>
      <c r="CQ691">
        <f>IF($CN691="refOK",$BO691,-$BO691)</f>
        <v>234.47676943117673</v>
      </c>
      <c r="CR691">
        <f>IF($CN691="refOK",$BS691,$BT691)*IF($BP691="Emissions positive",-1,1)</f>
        <v>6</v>
      </c>
      <c r="CS691">
        <f>IF($CN691="refOK",$BT691,$BS691)*IF($BP691="Emissions positive",-1,1)</f>
        <v>25</v>
      </c>
      <c r="CT691">
        <f>IF($CN691="refNeedCorrection",-BX691,BX691)*IF($BP691="Emissions positive",-1,1)</f>
        <v>69.73</v>
      </c>
      <c r="CU691">
        <f>IFERROR(CT691/CQ691,"")</f>
        <v>0.29738553703703702</v>
      </c>
      <c r="CV691" s="2">
        <f>IFERROR((CS691-CR691)/ABS(CR691),"")</f>
        <v>3.1666666666666665</v>
      </c>
      <c r="CW691" s="1" t="s">
        <v>263</v>
      </c>
      <c r="CX691" t="str">
        <f>IF(OR($CW691="prd",$CW691="std",$CW691="cit"),"loc",IF(OR($CW691="eur",$CW691="reg",$CW691="coy"),"reg",$CW691))</f>
        <v>loc</v>
      </c>
      <c r="CY691" t="s">
        <v>444</v>
      </c>
      <c r="DB691">
        <v>300</v>
      </c>
      <c r="DC691" t="str">
        <f>IF(DB691=0,"0",IF(AND(DB691&gt;=1,DB691&lt;=30),"1-30",IF(AND(DB691&gt;30,DB691&lt;=70),"31-70",IF(AND(DB691&gt;70,DB691&lt;=100),"71-100",IF(DB691&gt;100,"+100")))))</f>
        <v>+100</v>
      </c>
      <c r="DD691">
        <v>0</v>
      </c>
      <c r="DE691">
        <v>1</v>
      </c>
      <c r="DF691">
        <v>0</v>
      </c>
      <c r="DG691">
        <v>0</v>
      </c>
      <c r="DI691">
        <f>SUM(DD691:DG691)</f>
        <v>1</v>
      </c>
      <c r="DJ691" t="str">
        <f>IF(DI691=1,INDEX($DD$7:$DG$7,MATCH(1,$DD691:$DG691,0)),"mixedProduct")</f>
        <v>EnergyInput</v>
      </c>
      <c r="DK691">
        <f>IF(DD691=1,DK$7,0)</f>
        <v>0</v>
      </c>
      <c r="DL691" t="str">
        <f>IF(DE691=1,DL$7,0)</f>
        <v>Energy</v>
      </c>
      <c r="DM691">
        <f>IF(DF691=1,DM$7,0)</f>
        <v>0</v>
      </c>
      <c r="DN691">
        <f>IF(DG691=1,DN$7,0)</f>
        <v>0</v>
      </c>
      <c r="DO691">
        <v>1</v>
      </c>
      <c r="DP691" s="143">
        <v>0</v>
      </c>
      <c r="DQ691" s="143">
        <v>0</v>
      </c>
      <c r="DR691" s="143">
        <v>0</v>
      </c>
      <c r="DS691">
        <v>0</v>
      </c>
      <c r="DT691">
        <f>SUM(DO691:DP691)</f>
        <v>1</v>
      </c>
      <c r="DU691" s="143" t="str">
        <f>IF(DO691=1,"self-calculated DF",IF(DP691=1,"external DF used","explicit C balance"))</f>
        <v>self-calculated DF</v>
      </c>
      <c r="DV691">
        <v>0</v>
      </c>
      <c r="DW691" s="143">
        <v>0</v>
      </c>
      <c r="DX691" s="143">
        <v>1</v>
      </c>
      <c r="DY691" s="143">
        <v>1</v>
      </c>
      <c r="DZ691">
        <v>1</v>
      </c>
      <c r="EA691" s="143">
        <v>1</v>
      </c>
      <c r="EB691">
        <v>0</v>
      </c>
      <c r="EC691" s="143">
        <v>1</v>
      </c>
      <c r="ED691" s="143">
        <v>0</v>
      </c>
      <c r="EE691">
        <v>0</v>
      </c>
      <c r="EF691">
        <v>0</v>
      </c>
      <c r="EG691" s="143">
        <v>0</v>
      </c>
      <c r="EH691" s="143">
        <v>0</v>
      </c>
      <c r="EI691" s="2">
        <v>0</v>
      </c>
      <c r="EK691" t="str">
        <f>IF(AND(AND(AND(OR($DX691=1,$DW691=1),OR($EC691=1,$EA691=1)),SUM($DV691:$DZ691,$EF691)&gt;=4),SUM($EA691:$EE691)&gt;=2),"Whole sector","")</f>
        <v/>
      </c>
      <c r="EL691" t="str">
        <f>IF(AND(AND(OR($DX691=1,$DW691=1),AND($EC691=0,$EA691=0)),SUM($DV691:$DZ691,$EF691)&gt;=4),"Ecosystem approach","")</f>
        <v/>
      </c>
      <c r="EM691" s="2" t="str">
        <f>IF(AND(AND(AND($DX691=0,$DW691=0),OR($EC691=1,$EA691=1)),SUM($EB691:$EE691)&gt;=2),"Technology approach","")</f>
        <v/>
      </c>
      <c r="EP691" t="str">
        <f>IF(ISNUMBER(BU691),IF(ABS(BU691-[4]QC_indicators!$B$2)&gt;3*[4]QC_indicators!$C$2,"C ratio",IF(ISNUMBER(BY691),IF(ABS(BY691-[4]QC_indicators!$B$1)&gt;3*[4]QC_indicators!$C$1,"DF","no"))),IF(ISNUMBER(BY691),IF(ABS(BY691-[4]QC_indicators!$B$1)&gt;3*[4]QC_indicators!$C$1,"DF","no")))</f>
        <v>no</v>
      </c>
      <c r="ER691" t="s">
        <v>479</v>
      </c>
      <c r="ET691" s="264" t="s">
        <v>3273</v>
      </c>
    </row>
    <row r="692" spans="1:150" ht="15" customHeight="1">
      <c r="A692" s="1" t="s">
        <v>1360</v>
      </c>
      <c r="B692" t="s">
        <v>2135</v>
      </c>
      <c r="C692" t="s">
        <v>2136</v>
      </c>
      <c r="D692" t="s">
        <v>2137</v>
      </c>
      <c r="E692" t="s">
        <v>2138</v>
      </c>
      <c r="F692" t="s">
        <v>2139</v>
      </c>
      <c r="G692" t="s">
        <v>1366</v>
      </c>
      <c r="H692" t="s">
        <v>254</v>
      </c>
      <c r="I692">
        <v>2012</v>
      </c>
      <c r="J692">
        <v>21</v>
      </c>
      <c r="K692" t="s">
        <v>2140</v>
      </c>
      <c r="L692" s="192"/>
      <c r="M692" t="str">
        <f>LEFT($D692,FIND(",",$D692)-1)&amp;"_"&amp;I692&amp;L692</f>
        <v>Pyorala_2012</v>
      </c>
      <c r="N692" t="s">
        <v>222</v>
      </c>
      <c r="O692" s="145" t="s">
        <v>341</v>
      </c>
      <c r="P692" s="180" t="s">
        <v>223</v>
      </c>
      <c r="Q692" s="264" t="s">
        <v>256</v>
      </c>
      <c r="R692" s="269" t="s">
        <v>1154</v>
      </c>
      <c r="S692" s="263" t="s">
        <v>2153</v>
      </c>
      <c r="T692" s="264" t="s">
        <v>2143</v>
      </c>
      <c r="U692" s="264" t="s">
        <v>2152</v>
      </c>
      <c r="V692">
        <v>0</v>
      </c>
      <c r="W692">
        <v>0</v>
      </c>
      <c r="X692">
        <v>0</v>
      </c>
      <c r="Y692">
        <v>0</v>
      </c>
      <c r="Z692">
        <v>0</v>
      </c>
      <c r="AA692">
        <v>0</v>
      </c>
      <c r="AB692">
        <v>1</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s="141">
        <f>COUNTIF(V692:AW692,"&lt;&gt;0")</f>
        <v>1</v>
      </c>
      <c r="AY692" s="141">
        <f>COUNTIF(V692:AL692,"&lt;&gt;0")</f>
        <v>1</v>
      </c>
      <c r="AZ692">
        <f>COUNTIF(V692:AC692,"&lt;&gt;0")</f>
        <v>1</v>
      </c>
      <c r="BA692">
        <f>COUNTIF(AD692:AI692,"&lt;&gt;0")</f>
        <v>0</v>
      </c>
      <c r="BB692">
        <f>COUNTIF(AJ692:AL692,"&lt;&gt;0")</f>
        <v>0</v>
      </c>
      <c r="BC692">
        <f>COUNTIF(AS692:AW692,"&lt;&gt;0")</f>
        <v>0</v>
      </c>
      <c r="BD692">
        <f>COUNTIF(AM692:AR692,"&lt;&gt;0")</f>
        <v>0</v>
      </c>
      <c r="BE692" t="str" cm="1">
        <f t="array" ref="BE692">IF(AY692=1,INDEX($V$7:$AL$7,MATCH(TRUE,INDEX($V692:$AW692&lt;&gt;0,),0)),IF(AY692=0,INDEX($AM$7:$AW$7,MATCH(1,$AM692:$AW692,0)),IF(BF692="Multiple strategies","mixed drivers",IF(BF692="Supply chain","multiple supply","multiple silviculture"))))</f>
        <v>fertilisation</v>
      </c>
      <c r="BF692" s="2" t="str" cm="1">
        <f t="array" ref="BF692">IF(COUNTIF(AZ692:BB692,"&lt;&gt;0")=1,INDEX($V$4:$AW$4,MATCH(TRUE,INDEX($V692:$AW692&lt;&gt;0,),0)),IF(COUNTIF(AZ692:BB692,"&lt;&gt;0")=0,INDEX($AM$4:$AW$4,MATCH(1,$AM692:$AW692,0)),"Multiple strategies"))</f>
        <v>Silviculture for productivity</v>
      </c>
      <c r="BG692" s="178" t="s">
        <v>321</v>
      </c>
      <c r="BH692" s="264" t="s">
        <v>2144</v>
      </c>
      <c r="BI692" s="264" t="s">
        <v>701</v>
      </c>
      <c r="BJ692" s="160" t="s">
        <v>700</v>
      </c>
      <c r="BK692">
        <v>7.6</v>
      </c>
      <c r="BL692">
        <v>7.9</v>
      </c>
      <c r="BN692">
        <f>BL692-BK692</f>
        <v>0.30000000000000071</v>
      </c>
      <c r="BO692">
        <f>BN692</f>
        <v>0.30000000000000071</v>
      </c>
      <c r="BP692" s="155" t="s">
        <v>232</v>
      </c>
      <c r="BQ692" s="335" t="s">
        <v>786</v>
      </c>
      <c r="BR692" s="270" t="s">
        <v>2145</v>
      </c>
      <c r="BS692" s="264">
        <f>147.4/50</f>
        <v>2.948</v>
      </c>
      <c r="BT692" s="264">
        <f>151.9/50</f>
        <v>3.0380000000000003</v>
      </c>
      <c r="BU692" s="144"/>
      <c r="BV692">
        <f>BT692-BS692</f>
        <v>9.0000000000000302E-2</v>
      </c>
      <c r="BX692">
        <f>BV692</f>
        <v>9.0000000000000302E-2</v>
      </c>
      <c r="BY692">
        <f>IFERROR(BX692/BO692,"")</f>
        <v>0.30000000000000032</v>
      </c>
      <c r="BZ692">
        <v>0</v>
      </c>
      <c r="CA692">
        <v>0</v>
      </c>
      <c r="CB692">
        <v>0</v>
      </c>
      <c r="CC692">
        <v>0</v>
      </c>
      <c r="CD692">
        <v>0</v>
      </c>
      <c r="CE692">
        <v>0</v>
      </c>
      <c r="CF692">
        <v>0</v>
      </c>
      <c r="CG692">
        <v>0</v>
      </c>
      <c r="CH692">
        <v>0</v>
      </c>
      <c r="CI692">
        <v>0</v>
      </c>
      <c r="CJ692">
        <v>0</v>
      </c>
      <c r="CK692">
        <v>0</v>
      </c>
      <c r="CL692">
        <v>0</v>
      </c>
      <c r="CM692">
        <v>0</v>
      </c>
      <c r="CN692" t="str">
        <f>IF($BL692&lt;$BK692,"refNeedCorrection","refOK")</f>
        <v>refOK</v>
      </c>
      <c r="CO692">
        <f>IF($CN692="refOK",$BK692,$BL692)</f>
        <v>7.6</v>
      </c>
      <c r="CP692">
        <f>IF($CN692="refOK",$BL692,$BK692)</f>
        <v>7.9</v>
      </c>
      <c r="CQ692">
        <f>IF($CN692="refOK",$BO692,-$BO692)</f>
        <v>0.30000000000000071</v>
      </c>
      <c r="CR692">
        <f>IF($CN692="refOK",$BS692,$BT692)*IF($BP692="Emissions positive",-1,1)</f>
        <v>2.948</v>
      </c>
      <c r="CS692">
        <f>IF($CN692="refOK",$BT692,$BS692)*IF($BP692="Emissions positive",-1,1)</f>
        <v>3.0380000000000003</v>
      </c>
      <c r="CT692">
        <f>IF($CN692="refNeedCorrection",-BX692,BX692)*IF($BP692="Emissions positive",-1,1)</f>
        <v>9.0000000000000302E-2</v>
      </c>
      <c r="CU692">
        <f>IFERROR(CT692/CQ692,"")</f>
        <v>0.30000000000000032</v>
      </c>
      <c r="CV692" s="2">
        <f>IFERROR((CS692-CR692)/ABS(CR692),"")</f>
        <v>3.05291723202172E-2</v>
      </c>
      <c r="CW692" s="1" t="s">
        <v>1199</v>
      </c>
      <c r="CX692" s="264" t="str">
        <f>IF(OR($CW692="prd",$CW692="std",$CW692="cit"),"loc",IF(OR($CW692="eur",$CW692="reg",$CW692="coy"),"reg",$CW692))</f>
        <v>reg</v>
      </c>
      <c r="CY692" t="s">
        <v>235</v>
      </c>
      <c r="DB692">
        <v>50</v>
      </c>
      <c r="DC692" t="str">
        <f>IF(DB692=0,"0",IF(AND(DB692&gt;=1,DB692&lt;=30),"1-30",IF(AND(DB692&gt;30,DB692&lt;=70),"31-70",IF(AND(DB692&gt;70,DB692&lt;=100),"71-100",IF(DB692&gt;100,"+100")))))</f>
        <v>31-70</v>
      </c>
      <c r="DD692">
        <v>0</v>
      </c>
      <c r="DE692">
        <v>1</v>
      </c>
      <c r="DF692">
        <v>1</v>
      </c>
      <c r="DG692">
        <v>1</v>
      </c>
      <c r="DI692">
        <f>SUM(DD692:DG692)</f>
        <v>3</v>
      </c>
      <c r="DJ692" t="str">
        <f>IF(DI692=1,INDEX($DD$7:$DG$7,MATCH(1,$DD692:$DG692,0)),"mixedProduct")</f>
        <v>mixedProduct</v>
      </c>
      <c r="DK692">
        <f>IF(DD692=1,DK$7,0)</f>
        <v>0</v>
      </c>
      <c r="DL692" t="str">
        <f>IF(DE692=1,DL$7,0)</f>
        <v>Energy</v>
      </c>
      <c r="DM692" t="str">
        <f>IF(DF692=1,DM$7,0)</f>
        <v>Pulp/Paper</v>
      </c>
      <c r="DN692" t="str">
        <f>IF(DG692=1,DN$7,0)</f>
        <v>Timber</v>
      </c>
      <c r="DO692">
        <v>0</v>
      </c>
      <c r="DP692">
        <v>1</v>
      </c>
      <c r="DQ692" t="s">
        <v>2146</v>
      </c>
      <c r="DR692">
        <v>0</v>
      </c>
      <c r="DS692">
        <v>0</v>
      </c>
      <c r="DT692">
        <f>SUM(DO692:DP692)</f>
        <v>1</v>
      </c>
      <c r="DU692" s="143" t="str">
        <f>IF(DO692=1,"self-calculated DF",IF(DP692=1,"external DF used","explicit C balance"))</f>
        <v>external DF used</v>
      </c>
      <c r="DV692">
        <v>1</v>
      </c>
      <c r="DW692">
        <v>1</v>
      </c>
      <c r="DX692">
        <v>1</v>
      </c>
      <c r="DY692">
        <v>0</v>
      </c>
      <c r="DZ692">
        <v>0</v>
      </c>
      <c r="EA692" s="143">
        <v>0</v>
      </c>
      <c r="EB692">
        <v>0</v>
      </c>
      <c r="EC692">
        <v>0</v>
      </c>
      <c r="ED692">
        <v>0</v>
      </c>
      <c r="EE692">
        <v>0</v>
      </c>
      <c r="EF692">
        <v>1</v>
      </c>
      <c r="EG692">
        <v>0</v>
      </c>
      <c r="EH692">
        <v>0</v>
      </c>
      <c r="EI692" s="2">
        <v>0</v>
      </c>
      <c r="EK692" t="str">
        <f>IF(AND(AND(AND(OR($DX692=1,$DW692=1),OR($EC692=1,$EA692=1)),SUM($DV692:$DZ692,$EF692)&gt;=4),SUM($EA692:$EE692)&gt;=2),"Whole sector","")</f>
        <v/>
      </c>
      <c r="EL692" t="str">
        <f>IF(AND(AND(OR($DX692=1,$DW692=1),AND($EC692=0,$EA692=0)),SUM($DV692:$DZ692,$EF692)&gt;=4),"Ecosystem approach","")</f>
        <v>Ecosystem approach</v>
      </c>
      <c r="EM692" s="2" t="str">
        <f>IF(AND(AND(AND($DX692=0,$DW692=0),OR($EC692=1,$EA692=1)),SUM($EB692:$EE692)&gt;=2),"Technology approach","")</f>
        <v/>
      </c>
      <c r="EP692" t="str">
        <f>IF(ISNUMBER(BU692),IF(ABS(BU692-[3]QC_indicators!$B$2)&gt;3*[3]QC_indicators!$C$2,"C ratio",IF(ISNUMBER(BY692),IF(ABS(BY692-[3]QC_indicators!$B$1)&gt;3*[3]QC_indicators!$C$1,"DF","no"))),IF(ISNUMBER(BY692),IF(ABS(BY692-[3]QC_indicators!$B$1)&gt;3*[3]QC_indicators!$C$1,"DF","no")))</f>
        <v>no</v>
      </c>
      <c r="ET692" s="264" t="s">
        <v>3407</v>
      </c>
    </row>
    <row r="693" spans="1:150" ht="15" customHeight="1">
      <c r="D693" t="s">
        <v>1661</v>
      </c>
      <c r="E693" t="s">
        <v>1662</v>
      </c>
      <c r="G693" t="s">
        <v>1663</v>
      </c>
      <c r="I693">
        <v>2007</v>
      </c>
      <c r="K693" t="s">
        <v>1664</v>
      </c>
      <c r="M693" t="str">
        <f>LEFT($D693,FIND(",",$D693)-1)&amp;"_"&amp;I693&amp;L693</f>
        <v>Gustavsson_2007</v>
      </c>
      <c r="N693" t="s">
        <v>222</v>
      </c>
      <c r="O693" t="s">
        <v>223</v>
      </c>
      <c r="Q693" t="s">
        <v>256</v>
      </c>
      <c r="R693" s="269" t="s">
        <v>274</v>
      </c>
      <c r="S693" s="1" t="s">
        <v>1665</v>
      </c>
      <c r="T693" t="s">
        <v>1675</v>
      </c>
      <c r="U693" s="143" t="s">
        <v>1676</v>
      </c>
      <c r="V693">
        <v>0</v>
      </c>
      <c r="W693">
        <v>0</v>
      </c>
      <c r="X693">
        <v>0</v>
      </c>
      <c r="Y693">
        <v>0</v>
      </c>
      <c r="Z693">
        <v>0</v>
      </c>
      <c r="AA693">
        <v>0</v>
      </c>
      <c r="AB693">
        <v>0</v>
      </c>
      <c r="AC693">
        <v>0</v>
      </c>
      <c r="AD693">
        <v>0</v>
      </c>
      <c r="AE693">
        <v>0</v>
      </c>
      <c r="AF693">
        <v>0</v>
      </c>
      <c r="AG693">
        <v>0</v>
      </c>
      <c r="AH693">
        <v>0</v>
      </c>
      <c r="AI693">
        <v>0</v>
      </c>
      <c r="AJ693">
        <v>0</v>
      </c>
      <c r="AK693">
        <v>1</v>
      </c>
      <c r="AL693">
        <v>0</v>
      </c>
      <c r="AM693">
        <v>0</v>
      </c>
      <c r="AN693">
        <v>0</v>
      </c>
      <c r="AO693">
        <v>0</v>
      </c>
      <c r="AP693">
        <v>0</v>
      </c>
      <c r="AQ693">
        <v>0</v>
      </c>
      <c r="AR693">
        <v>0</v>
      </c>
      <c r="AS693">
        <v>0</v>
      </c>
      <c r="AT693">
        <v>0</v>
      </c>
      <c r="AU693">
        <v>0</v>
      </c>
      <c r="AV693">
        <v>0</v>
      </c>
      <c r="AW693">
        <v>0</v>
      </c>
      <c r="AX693" s="141">
        <f>COUNTIF(V693:AW693,"&lt;&gt;0")</f>
        <v>1</v>
      </c>
      <c r="AY693" s="141">
        <f>COUNTIF(V693:AL693,"&lt;&gt;0")</f>
        <v>1</v>
      </c>
      <c r="AZ693">
        <f>COUNTIF(V693:AC693,"&lt;&gt;0")</f>
        <v>0</v>
      </c>
      <c r="BA693">
        <f>COUNTIF(AD693:AI693,"&lt;&gt;0")</f>
        <v>0</v>
      </c>
      <c r="BB693">
        <f>COUNTIF(AJ693:AL693,"&lt;&gt;0")</f>
        <v>1</v>
      </c>
      <c r="BC693">
        <f>COUNTIF(AS693:AW693,"&lt;&gt;0")</f>
        <v>0</v>
      </c>
      <c r="BD693">
        <f>COUNTIF(AM693:AR693,"&lt;&gt;0")</f>
        <v>0</v>
      </c>
      <c r="BE693" t="str">
        <f t="array" ref="BE693">IF(AY693=1,INDEX($V$7:$AL$7,MATCH(TRUE,INDEX($V693:$AW693&lt;&gt;0,),0)),IF(AY693=0,INDEX($AM$7:$AW$7,MATCH(1,$AM693:$AW693,0)),IF(BF693="Multiple strategies","mixed drivers",IF(BF693="Supply chain","multiple supply","multiple silviculture"))))</f>
        <v>technologies/design switch</v>
      </c>
      <c r="BF693" s="2" t="str" cm="1">
        <f t="array" ref="BF693">IF(COUNTIF(AZ693:BB693,"&lt;&gt;0")=1,INDEX($V$4:$AW$4,MATCH(TRUE,INDEX($V693:$AW693&lt;&gt;0,),0)),IF(COUNTIF(AZ693:BB693,"&lt;&gt;0")=0,INDEX($AM$4:$AW$4,MATCH(1,$AM693:$AW693,0)),"Multiple strategies"))</f>
        <v>Technology</v>
      </c>
      <c r="BG693" s="142" t="s">
        <v>229</v>
      </c>
      <c r="BH693" t="s">
        <v>1667</v>
      </c>
      <c r="BI693" s="264" t="s">
        <v>1057</v>
      </c>
      <c r="BJ693" s="143" t="s">
        <v>3265</v>
      </c>
      <c r="BK693">
        <v>0</v>
      </c>
      <c r="BL693" s="143">
        <v>74.7</v>
      </c>
      <c r="BM693" s="143"/>
      <c r="BN693">
        <f>BL693-BK693</f>
        <v>74.7</v>
      </c>
      <c r="BO693" s="143">
        <f>1000*BL693/15.3/400</f>
        <v>12.205882352941176</v>
      </c>
      <c r="BP693" t="s">
        <v>232</v>
      </c>
      <c r="BR693" t="s">
        <v>938</v>
      </c>
      <c r="BS693" s="143">
        <v>-1</v>
      </c>
      <c r="BT693" s="151">
        <v>0</v>
      </c>
      <c r="BU693">
        <v>0</v>
      </c>
      <c r="BV693">
        <v>1</v>
      </c>
      <c r="BX693">
        <f>BV693*C_to_CO2</f>
        <v>3.67</v>
      </c>
      <c r="BY693">
        <f>IFERROR(BX693/BO693,"")</f>
        <v>0.30067469879518072</v>
      </c>
      <c r="BZ693" s="143">
        <v>0</v>
      </c>
      <c r="CA693" s="143">
        <v>0</v>
      </c>
      <c r="CB693" s="143">
        <v>0</v>
      </c>
      <c r="CC693" s="143">
        <v>0</v>
      </c>
      <c r="CD693" s="143">
        <v>0</v>
      </c>
      <c r="CE693" s="143">
        <v>0</v>
      </c>
      <c r="CF693" s="143">
        <v>0</v>
      </c>
      <c r="CG693" s="143">
        <v>0</v>
      </c>
      <c r="CH693" s="143">
        <v>0</v>
      </c>
      <c r="CI693" s="143">
        <v>0</v>
      </c>
      <c r="CJ693" s="143">
        <v>0</v>
      </c>
      <c r="CK693" s="143">
        <v>0</v>
      </c>
      <c r="CL693" s="143">
        <v>0</v>
      </c>
      <c r="CM693">
        <v>1</v>
      </c>
      <c r="CN693" t="str">
        <f>IF($BL693&lt;$BK693,"refNeedCorrection","refOK")</f>
        <v>refOK</v>
      </c>
      <c r="CO693">
        <f>IF($CN693="refOK",$BK693,$BL693)</f>
        <v>0</v>
      </c>
      <c r="CP693">
        <f>IF($CN693="refOK",$BL693,$BK693)</f>
        <v>74.7</v>
      </c>
      <c r="CQ693">
        <f>IF($CN693="refOK",$BO693,-$BO693)</f>
        <v>12.205882352941176</v>
      </c>
      <c r="CR693">
        <f>IF($CN693="refOK",$BS693,$BT693)*IF($BP693="Emissions positive",-1,1)</f>
        <v>-1</v>
      </c>
      <c r="CS693">
        <f>IF($CN693="refOK",$BT693,$BS693)*IF($BP693="Emissions positive",-1,1)</f>
        <v>0</v>
      </c>
      <c r="CT693">
        <f>IF($CN693="refNeedCorrection",-BX693,BX693)*IF($BP693="Emissions positive",-1,1)</f>
        <v>3.67</v>
      </c>
      <c r="CU693">
        <f>IFERROR(CT693/CQ693,"")</f>
        <v>0.30067469879518072</v>
      </c>
      <c r="CV693" s="2">
        <f>IFERROR((CS693-CR693)/ABS(CR693),"")</f>
        <v>1</v>
      </c>
      <c r="CW693" s="1" t="s">
        <v>1203</v>
      </c>
      <c r="CX693" t="str">
        <f>IF(OR($CW693="prd",$CW693="std",$CW693="cit"),"loc",IF(OR($CW693="eur",$CW693="reg",$CW693="coy"),"reg",$CW693))</f>
        <v>reg</v>
      </c>
      <c r="CY693" t="s">
        <v>444</v>
      </c>
      <c r="DA693" s="143"/>
      <c r="DB693" s="143">
        <v>0</v>
      </c>
      <c r="DC693" t="str">
        <f>IF(DB693=0,"0",IF(AND(DB693&gt;=1,DB693&lt;=30),"1-30",IF(AND(DB693&gt;30,DB693&lt;=70),"31-70",IF(AND(DB693&gt;70,DB693&lt;=100),"71-100",IF(DB693&gt;100,"+100")))))</f>
        <v>0</v>
      </c>
      <c r="DD693">
        <v>0</v>
      </c>
      <c r="DE693">
        <v>1</v>
      </c>
      <c r="DF693">
        <v>0</v>
      </c>
      <c r="DG693">
        <v>0</v>
      </c>
      <c r="DI693">
        <f>SUM(DD693:DG693)</f>
        <v>1</v>
      </c>
      <c r="DJ693" t="str">
        <f>IF(DI693=1,INDEX($DD$7:$DG$7,MATCH(1,$DD693:$DG693,0)),"mixedProduct")</f>
        <v>EnergyInput</v>
      </c>
      <c r="DK693">
        <f>IF(DD693=1,DK$7,0)</f>
        <v>0</v>
      </c>
      <c r="DL693" t="str">
        <f>IF(DE693=1,DL$7,0)</f>
        <v>Energy</v>
      </c>
      <c r="DM693">
        <f>IF(DF693=1,DM$7,0)</f>
        <v>0</v>
      </c>
      <c r="DN693">
        <f>IF(DG693=1,DN$7,0)</f>
        <v>0</v>
      </c>
      <c r="DO693">
        <v>0</v>
      </c>
      <c r="DP693" s="143">
        <v>0</v>
      </c>
      <c r="DQ693" s="143">
        <v>0</v>
      </c>
      <c r="DR693">
        <v>0</v>
      </c>
      <c r="DS693" s="143">
        <v>0</v>
      </c>
      <c r="DT693">
        <f>SUM(DO693:DP693)</f>
        <v>0</v>
      </c>
      <c r="DU693" s="143" t="str">
        <f>IF(DO693=1,"self-calculated DF",IF(DP693=1,"external DF used","explicit C balance"))</f>
        <v>explicit C balance</v>
      </c>
      <c r="DV693" s="143">
        <v>0</v>
      </c>
      <c r="DW693" s="143">
        <v>0</v>
      </c>
      <c r="DX693" s="143">
        <v>0</v>
      </c>
      <c r="DY693" s="143">
        <v>0</v>
      </c>
      <c r="DZ693">
        <v>0</v>
      </c>
      <c r="EA693" s="143">
        <v>0</v>
      </c>
      <c r="EB693" s="143">
        <v>0</v>
      </c>
      <c r="EC693" s="143">
        <v>1</v>
      </c>
      <c r="ED693" s="143">
        <v>0</v>
      </c>
      <c r="EE693">
        <v>0</v>
      </c>
      <c r="EF693">
        <v>0</v>
      </c>
      <c r="EG693" s="143">
        <v>0</v>
      </c>
      <c r="EH693" s="143">
        <v>0</v>
      </c>
      <c r="EI693" s="2">
        <v>0</v>
      </c>
      <c r="EK693" t="str">
        <f>IF(AND(AND(AND(OR($DX693=1,$DW693=1),OR($EC693=1,$EA693=1)),SUM($DV693:$DZ693,$EF693)&gt;=4),SUM($EA693:$EE693)&gt;=2),"Whole sector","")</f>
        <v/>
      </c>
      <c r="EL693" t="str">
        <f>IF(AND(AND(OR($DX693=1,$DW693=1),AND($EC693=0,$EA693=0)),SUM($DV693:$DZ693,$EF693)&gt;=4),"Ecosystem approach","")</f>
        <v/>
      </c>
      <c r="EM693" s="2" t="str">
        <f>IF(AND(AND(AND($DX693=0,$DW693=0),OR($EC693=1,$EA693=1)),SUM($EB693:$EE693)&gt;=2),"Technology approach","")</f>
        <v/>
      </c>
      <c r="EP693" t="str">
        <f>IF(ISNUMBER(BU693),IF(ABS(BU693-[2]QC_indicators!$B$2)&gt;3*[2]QC_indicators!$C$2,"C ratio",IF(ISNUMBER(BY693),IF(ABS(BY693-[2]QC_indicators!$B$1)&gt;3*[2]QC_indicators!$C$1,"DF","no"))),IF(ISNUMBER(BY693),IF(ABS(BY693-[2]QC_indicators!$B$1)&gt;3*[2]QC_indicators!$C$1,"DF","no")))</f>
        <v>no</v>
      </c>
      <c r="ER693" s="149" t="s">
        <v>349</v>
      </c>
      <c r="ET693" s="264" t="s">
        <v>3266</v>
      </c>
    </row>
    <row r="694" spans="1:150" ht="15" customHeight="1">
      <c r="A694" s="1" t="s">
        <v>430</v>
      </c>
      <c r="B694" t="s">
        <v>431</v>
      </c>
      <c r="C694" t="s">
        <v>432</v>
      </c>
      <c r="D694" t="s">
        <v>433</v>
      </c>
      <c r="E694" t="s">
        <v>434</v>
      </c>
      <c r="F694" t="s">
        <v>435</v>
      </c>
      <c r="G694" t="s">
        <v>436</v>
      </c>
      <c r="H694" t="s">
        <v>254</v>
      </c>
      <c r="I694">
        <v>2000</v>
      </c>
      <c r="J694">
        <v>174</v>
      </c>
      <c r="K694" t="s">
        <v>437</v>
      </c>
      <c r="M694" t="str">
        <f>LEFT($D694,FIND(",",$D694)-1)&amp;"_"&amp;I694&amp;L694</f>
        <v>Borjesson_2000</v>
      </c>
      <c r="N694" t="s">
        <v>222</v>
      </c>
      <c r="O694" s="145" t="s">
        <v>223</v>
      </c>
      <c r="Q694" t="s">
        <v>256</v>
      </c>
      <c r="R694" s="255" t="s">
        <v>225</v>
      </c>
      <c r="S694" s="1" t="s">
        <v>438</v>
      </c>
      <c r="T694" t="s">
        <v>447</v>
      </c>
      <c r="U694" t="s">
        <v>448</v>
      </c>
      <c r="V694">
        <v>0</v>
      </c>
      <c r="W694">
        <v>0</v>
      </c>
      <c r="X694">
        <v>0</v>
      </c>
      <c r="Y694">
        <v>0</v>
      </c>
      <c r="Z694">
        <v>0</v>
      </c>
      <c r="AA694">
        <v>0</v>
      </c>
      <c r="AB694">
        <v>0</v>
      </c>
      <c r="AC694">
        <v>0</v>
      </c>
      <c r="AD694">
        <v>0</v>
      </c>
      <c r="AE694">
        <v>0</v>
      </c>
      <c r="AF694">
        <v>0</v>
      </c>
      <c r="AG694">
        <v>0</v>
      </c>
      <c r="AH694">
        <v>0</v>
      </c>
      <c r="AI694">
        <v>0</v>
      </c>
      <c r="AJ694">
        <v>0</v>
      </c>
      <c r="AK694">
        <v>1</v>
      </c>
      <c r="AL694">
        <v>0</v>
      </c>
      <c r="AM694">
        <v>0</v>
      </c>
      <c r="AN694">
        <v>0</v>
      </c>
      <c r="AO694">
        <v>0</v>
      </c>
      <c r="AP694">
        <v>0</v>
      </c>
      <c r="AQ694">
        <v>0</v>
      </c>
      <c r="AR694">
        <v>0</v>
      </c>
      <c r="AS694">
        <v>0</v>
      </c>
      <c r="AT694">
        <v>0</v>
      </c>
      <c r="AU694">
        <v>0</v>
      </c>
      <c r="AV694">
        <v>0</v>
      </c>
      <c r="AW694">
        <v>0</v>
      </c>
      <c r="AX694" s="141">
        <f>COUNTIF(V694:AW694,"&lt;&gt;0")</f>
        <v>1</v>
      </c>
      <c r="AY694" s="141">
        <f>COUNTIF(V694:AL694,"&lt;&gt;0")</f>
        <v>1</v>
      </c>
      <c r="AZ694">
        <f>COUNTIF(V694:AC694,"&lt;&gt;0")</f>
        <v>0</v>
      </c>
      <c r="BA694">
        <f>COUNTIF(AD694:AI694,"&lt;&gt;0")</f>
        <v>0</v>
      </c>
      <c r="BB694">
        <f>COUNTIF(AJ694:AL694,"&lt;&gt;0")</f>
        <v>1</v>
      </c>
      <c r="BC694">
        <f>COUNTIF(AS694:AW694,"&lt;&gt;0")</f>
        <v>0</v>
      </c>
      <c r="BD694">
        <f>COUNTIF(AM694:AR694,"&lt;&gt;0")</f>
        <v>0</v>
      </c>
      <c r="BE694" t="str">
        <f t="array" ref="BE694">IF(AY694=1,INDEX($V$7:$AL$7,MATCH(TRUE,INDEX($V694:$AW694&lt;&gt;0,),0)),IF(AY694=0,INDEX($AM$7:$AW$7,MATCH(1,$AM694:$AW694,0)),IF(BF694="Multiple strategies","mixed drivers",IF(BF694="Supply chain","multiple supply","multiple silviculture"))))</f>
        <v>technologies/design switch</v>
      </c>
      <c r="BF694" s="2" t="str" cm="1">
        <f t="array" ref="BF694">IF(COUNTIF(AZ694:BB694,"&lt;&gt;0")=1,INDEX($V$4:$AW$4,MATCH(TRUE,INDEX($V694:$AW694&lt;&gt;0,),0)),IF(COUNTIF(AZ694:BB694,"&lt;&gt;0")=0,INDEX($AM$4:$AW$4,MATCH(1,$AM694:$AW694,0)),"Multiple strategies"))</f>
        <v>Technology</v>
      </c>
      <c r="BG694" s="142" t="s">
        <v>229</v>
      </c>
      <c r="BH694" t="s">
        <v>441</v>
      </c>
      <c r="BI694" s="264" t="s">
        <v>3274</v>
      </c>
      <c r="BJ694" s="143" t="s">
        <v>442</v>
      </c>
      <c r="BK694">
        <v>0</v>
      </c>
      <c r="BL694">
        <f>3*44</f>
        <v>132</v>
      </c>
      <c r="BM694" s="143" t="e">
        <f>BL694/BK694</f>
        <v>#DIV/0!</v>
      </c>
      <c r="BN694">
        <f>BL694-BK694</f>
        <v>132</v>
      </c>
      <c r="BO694">
        <f>BN694*tC_to_m3</f>
        <v>573.16543638732094</v>
      </c>
      <c r="BP694" t="s">
        <v>232</v>
      </c>
      <c r="BQ694" s="260" t="s">
        <v>813</v>
      </c>
      <c r="BR694" t="s">
        <v>443</v>
      </c>
      <c r="BS694" s="141">
        <v>6</v>
      </c>
      <c r="BT694" s="141">
        <v>53</v>
      </c>
      <c r="BU694" s="144">
        <f>IFERROR(BT694/BS694,"")</f>
        <v>8.8333333333333339</v>
      </c>
      <c r="BV694">
        <f>BT694-BS694</f>
        <v>47</v>
      </c>
      <c r="BX694">
        <f>BV694*C_to_CO2</f>
        <v>172.49</v>
      </c>
      <c r="BY694">
        <f>IFERROR(BX694/BO694,"")</f>
        <v>0.30094278030303029</v>
      </c>
      <c r="BZ694" s="143">
        <v>0</v>
      </c>
      <c r="CA694" s="143">
        <v>0</v>
      </c>
      <c r="CB694" s="143">
        <v>0</v>
      </c>
      <c r="CC694" s="143">
        <v>0</v>
      </c>
      <c r="CD694" s="143">
        <v>0</v>
      </c>
      <c r="CE694" s="143">
        <v>0</v>
      </c>
      <c r="CF694" s="143">
        <v>0</v>
      </c>
      <c r="CG694" s="143">
        <v>0</v>
      </c>
      <c r="CH694" s="143">
        <v>0</v>
      </c>
      <c r="CI694" s="143">
        <v>0</v>
      </c>
      <c r="CJ694" s="143">
        <v>0</v>
      </c>
      <c r="CK694" s="143">
        <v>0</v>
      </c>
      <c r="CL694" s="143">
        <v>0</v>
      </c>
      <c r="CM694">
        <v>0</v>
      </c>
      <c r="CN694" t="str">
        <f>IF($BL694&lt;$BK694,"refNeedCorrection","refOK")</f>
        <v>refOK</v>
      </c>
      <c r="CO694">
        <f>IF($CN694="refOK",$BK694,$BL694)</f>
        <v>0</v>
      </c>
      <c r="CP694">
        <f>IF($CN694="refOK",$BL694,$BK694)</f>
        <v>132</v>
      </c>
      <c r="CQ694">
        <f>IF($CN694="refOK",$BO694,-$BO694)</f>
        <v>573.16543638732094</v>
      </c>
      <c r="CR694">
        <f>IF($CN694="refOK",$BS694,$BT694)*IF($BP694="Emissions positive",-1,1)</f>
        <v>6</v>
      </c>
      <c r="CS694">
        <f>IF($CN694="refOK",$BT694,$BS694)*IF($BP694="Emissions positive",-1,1)</f>
        <v>53</v>
      </c>
      <c r="CT694">
        <f>IF($CN694="refNeedCorrection",-BX694,BX694)*IF($BP694="Emissions positive",-1,1)</f>
        <v>172.49</v>
      </c>
      <c r="CU694">
        <f>IFERROR(CT694/CQ694,"")</f>
        <v>0.30094278030303029</v>
      </c>
      <c r="CV694" s="2">
        <f>IFERROR((CS694-CR694)/ABS(CR694),"")</f>
        <v>7.833333333333333</v>
      </c>
      <c r="CW694" s="1" t="s">
        <v>263</v>
      </c>
      <c r="CX694" t="str">
        <f>IF(OR($CW694="prd",$CW694="std",$CW694="cit"),"loc",IF(OR($CW694="eur",$CW694="reg",$CW694="coy"),"reg",$CW694))</f>
        <v>loc</v>
      </c>
      <c r="CY694" t="s">
        <v>444</v>
      </c>
      <c r="DB694">
        <v>300</v>
      </c>
      <c r="DC694" t="str">
        <f>IF(DB694=0,"0",IF(AND(DB694&gt;=1,DB694&lt;=30),"1-30",IF(AND(DB694&gt;30,DB694&lt;=70),"31-70",IF(AND(DB694&gt;70,DB694&lt;=100),"71-100",IF(DB694&gt;100,"+100")))))</f>
        <v>+100</v>
      </c>
      <c r="DD694">
        <v>0</v>
      </c>
      <c r="DE694">
        <v>0</v>
      </c>
      <c r="DF694">
        <v>0</v>
      </c>
      <c r="DG694">
        <v>1</v>
      </c>
      <c r="DI694">
        <f>SUM(DD694:DG694)</f>
        <v>1</v>
      </c>
      <c r="DJ694" t="str">
        <f>IF(DI694=1,INDEX($DD$7:$DG$7,MATCH(1,$DD694:$DG694,0)),"mixedProduct")</f>
        <v>TimberInput</v>
      </c>
      <c r="DK694">
        <f>IF(DD694=1,DK$7,0)</f>
        <v>0</v>
      </c>
      <c r="DL694">
        <f>IF(DE694=1,DL$7,0)</f>
        <v>0</v>
      </c>
      <c r="DM694">
        <f>IF(DF694=1,DM$7,0)</f>
        <v>0</v>
      </c>
      <c r="DN694" t="str">
        <f>IF(DG694=1,DN$7,0)</f>
        <v>Timber</v>
      </c>
      <c r="DO694">
        <v>1</v>
      </c>
      <c r="DP694" s="143">
        <v>0</v>
      </c>
      <c r="DQ694" s="143">
        <v>0</v>
      </c>
      <c r="DR694" s="143">
        <v>0</v>
      </c>
      <c r="DS694">
        <v>0</v>
      </c>
      <c r="DT694">
        <f>SUM(DO694:DP694)</f>
        <v>1</v>
      </c>
      <c r="DU694" s="143" t="str">
        <f>IF(DO694=1,"self-calculated DF",IF(DP694=1,"external DF used","explicit C balance"))</f>
        <v>self-calculated DF</v>
      </c>
      <c r="DV694">
        <v>0</v>
      </c>
      <c r="DW694" s="143">
        <v>0</v>
      </c>
      <c r="DX694" s="143">
        <v>1</v>
      </c>
      <c r="DY694" s="143">
        <v>1</v>
      </c>
      <c r="DZ694">
        <v>1</v>
      </c>
      <c r="EA694" s="143">
        <v>1</v>
      </c>
      <c r="EB694">
        <v>0</v>
      </c>
      <c r="EC694" s="143">
        <v>1</v>
      </c>
      <c r="ED694" s="143">
        <v>0</v>
      </c>
      <c r="EE694">
        <v>0</v>
      </c>
      <c r="EF694">
        <v>0</v>
      </c>
      <c r="EG694" s="143">
        <v>0</v>
      </c>
      <c r="EH694" s="143">
        <v>0</v>
      </c>
      <c r="EI694" s="2">
        <v>0</v>
      </c>
      <c r="EK694" t="str">
        <f>IF(AND(AND(AND(OR($DX694=1,$DW694=1),OR($EC694=1,$EA694=1)),SUM($DV694:$DZ694,$EF694)&gt;=4),SUM($EA694:$EE694)&gt;=2),"Whole sector","")</f>
        <v/>
      </c>
      <c r="EL694" t="str">
        <f>IF(AND(AND(OR($DX694=1,$DW694=1),AND($EC694=0,$EA694=0)),SUM($DV694:$DZ694,$EF694)&gt;=4),"Ecosystem approach","")</f>
        <v/>
      </c>
      <c r="EM694" s="2" t="str">
        <f>IF(AND(AND(AND($DX694=0,$DW694=0),OR($EC694=1,$EA694=1)),SUM($EB694:$EE694)&gt;=2),"Technology approach","")</f>
        <v/>
      </c>
      <c r="EN694" t="s">
        <v>445</v>
      </c>
      <c r="EP694" t="str">
        <f>IF(ISNUMBER(BU694),IF(ABS(BU694-[4]QC_indicators!$B$2)&gt;3*[4]QC_indicators!$C$2,"C ratio",IF(ISNUMBER(BY694),IF(ABS(BY694-[4]QC_indicators!$B$1)&gt;3*[4]QC_indicators!$C$1,"DF","no"))),IF(ISNUMBER(BY694),IF(ABS(BY694-[4]QC_indicators!$B$1)&gt;3*[4]QC_indicators!$C$1,"DF","no")))</f>
        <v>no</v>
      </c>
      <c r="ET694" s="264" t="s">
        <v>3273</v>
      </c>
    </row>
    <row r="695" spans="1:150" ht="15" customHeight="1">
      <c r="D695" t="s">
        <v>1661</v>
      </c>
      <c r="E695" t="s">
        <v>1662</v>
      </c>
      <c r="G695" t="s">
        <v>1663</v>
      </c>
      <c r="I695">
        <v>2007</v>
      </c>
      <c r="K695" t="s">
        <v>1664</v>
      </c>
      <c r="M695" t="str">
        <f>LEFT($D695,FIND(",",$D695)-1)&amp;"_"&amp;I695&amp;L695</f>
        <v>Gustavsson_2007</v>
      </c>
      <c r="N695" t="s">
        <v>222</v>
      </c>
      <c r="O695" t="s">
        <v>223</v>
      </c>
      <c r="Q695" t="s">
        <v>256</v>
      </c>
      <c r="R695" s="269" t="s">
        <v>274</v>
      </c>
      <c r="S695" s="1" t="s">
        <v>1665</v>
      </c>
      <c r="T695" t="s">
        <v>1677</v>
      </c>
      <c r="U695" s="143" t="s">
        <v>1678</v>
      </c>
      <c r="V695">
        <v>0</v>
      </c>
      <c r="W695">
        <v>0</v>
      </c>
      <c r="X695">
        <v>0</v>
      </c>
      <c r="Y695">
        <v>0</v>
      </c>
      <c r="Z695">
        <v>0</v>
      </c>
      <c r="AA695">
        <v>0</v>
      </c>
      <c r="AB695">
        <v>0</v>
      </c>
      <c r="AC695">
        <v>0</v>
      </c>
      <c r="AD695">
        <v>0</v>
      </c>
      <c r="AE695">
        <v>0</v>
      </c>
      <c r="AF695">
        <v>0</v>
      </c>
      <c r="AG695">
        <v>0</v>
      </c>
      <c r="AH695">
        <v>0</v>
      </c>
      <c r="AI695">
        <v>0</v>
      </c>
      <c r="AJ695">
        <v>0</v>
      </c>
      <c r="AK695">
        <v>1</v>
      </c>
      <c r="AL695">
        <v>0</v>
      </c>
      <c r="AM695">
        <v>0</v>
      </c>
      <c r="AN695">
        <v>0</v>
      </c>
      <c r="AO695">
        <v>0</v>
      </c>
      <c r="AP695">
        <v>0</v>
      </c>
      <c r="AQ695">
        <v>0</v>
      </c>
      <c r="AR695">
        <v>0</v>
      </c>
      <c r="AS695">
        <v>0</v>
      </c>
      <c r="AT695">
        <v>0</v>
      </c>
      <c r="AU695">
        <v>0</v>
      </c>
      <c r="AV695">
        <v>0</v>
      </c>
      <c r="AW695">
        <v>0</v>
      </c>
      <c r="AX695" s="141">
        <f>COUNTIF(V695:AW695,"&lt;&gt;0")</f>
        <v>1</v>
      </c>
      <c r="AY695" s="141">
        <f>COUNTIF(V695:AL695,"&lt;&gt;0")</f>
        <v>1</v>
      </c>
      <c r="AZ695">
        <f>COUNTIF(V695:AC695,"&lt;&gt;0")</f>
        <v>0</v>
      </c>
      <c r="BA695">
        <f>COUNTIF(AD695:AI695,"&lt;&gt;0")</f>
        <v>0</v>
      </c>
      <c r="BB695">
        <f>COUNTIF(AJ695:AL695,"&lt;&gt;0")</f>
        <v>1</v>
      </c>
      <c r="BC695">
        <f>COUNTIF(AS695:AW695,"&lt;&gt;0")</f>
        <v>0</v>
      </c>
      <c r="BD695">
        <f>COUNTIF(AM695:AR695,"&lt;&gt;0")</f>
        <v>0</v>
      </c>
      <c r="BE695" t="str">
        <f t="array" ref="BE695">IF(AY695=1,INDEX($V$7:$AL$7,MATCH(TRUE,INDEX($V695:$AW695&lt;&gt;0,),0)),IF(AY695=0,INDEX($AM$7:$AW$7,MATCH(1,$AM695:$AW695,0)),IF(BF695="Multiple strategies","mixed drivers",IF(BF695="Supply chain","multiple supply","multiple silviculture"))))</f>
        <v>technologies/design switch</v>
      </c>
      <c r="BF695" s="2" t="str" cm="1">
        <f t="array" ref="BF695">IF(COUNTIF(AZ695:BB695,"&lt;&gt;0")=1,INDEX($V$4:$AW$4,MATCH(TRUE,INDEX($V695:$AW695&lt;&gt;0,),0)),IF(COUNTIF(AZ695:BB695,"&lt;&gt;0")=0,INDEX($AM$4:$AW$4,MATCH(1,$AM695:$AW695,0)),"Multiple strategies"))</f>
        <v>Technology</v>
      </c>
      <c r="BG695" s="142" t="s">
        <v>229</v>
      </c>
      <c r="BH695" t="s">
        <v>1667</v>
      </c>
      <c r="BI695" s="264" t="s">
        <v>1057</v>
      </c>
      <c r="BJ695" s="143" t="s">
        <v>3265</v>
      </c>
      <c r="BK695">
        <v>0</v>
      </c>
      <c r="BL695" s="143">
        <v>74</v>
      </c>
      <c r="BM695" s="143"/>
      <c r="BN695">
        <f>BL695-BK695</f>
        <v>74</v>
      </c>
      <c r="BO695" s="143">
        <f>1000*BL695/15.3/400</f>
        <v>12.091503267973856</v>
      </c>
      <c r="BP695" t="s">
        <v>232</v>
      </c>
      <c r="BR695" t="s">
        <v>938</v>
      </c>
      <c r="BS695" s="143">
        <v>-1</v>
      </c>
      <c r="BT695" s="151">
        <v>0</v>
      </c>
      <c r="BU695">
        <v>0</v>
      </c>
      <c r="BV695">
        <v>1</v>
      </c>
      <c r="BX695">
        <f>BV695*C_to_CO2</f>
        <v>3.67</v>
      </c>
      <c r="BY695">
        <f>IFERROR(BX695/BO695,"")</f>
        <v>0.30351891891891891</v>
      </c>
      <c r="BZ695" s="143">
        <v>0</v>
      </c>
      <c r="CA695" s="143">
        <v>0</v>
      </c>
      <c r="CB695" s="143">
        <v>0</v>
      </c>
      <c r="CC695" s="143">
        <v>0</v>
      </c>
      <c r="CD695" s="143">
        <v>0</v>
      </c>
      <c r="CE695" s="143">
        <v>0</v>
      </c>
      <c r="CF695" s="143">
        <v>0</v>
      </c>
      <c r="CG695" s="143">
        <v>0</v>
      </c>
      <c r="CH695" s="143">
        <v>0</v>
      </c>
      <c r="CI695" s="143">
        <v>0</v>
      </c>
      <c r="CJ695" s="143">
        <v>0</v>
      </c>
      <c r="CK695" s="143">
        <v>0</v>
      </c>
      <c r="CL695" s="143">
        <v>0</v>
      </c>
      <c r="CM695">
        <v>1</v>
      </c>
      <c r="CN695" t="str">
        <f>IF($BL695&lt;$BK695,"refNeedCorrection","refOK")</f>
        <v>refOK</v>
      </c>
      <c r="CO695">
        <f>IF($CN695="refOK",$BK695,$BL695)</f>
        <v>0</v>
      </c>
      <c r="CP695">
        <f>IF($CN695="refOK",$BL695,$BK695)</f>
        <v>74</v>
      </c>
      <c r="CQ695">
        <f>IF($CN695="refOK",$BO695,-$BO695)</f>
        <v>12.091503267973856</v>
      </c>
      <c r="CR695">
        <f>IF($CN695="refOK",$BS695,$BT695)*IF($BP695="Emissions positive",-1,1)</f>
        <v>-1</v>
      </c>
      <c r="CS695">
        <f>IF($CN695="refOK",$BT695,$BS695)*IF($BP695="Emissions positive",-1,1)</f>
        <v>0</v>
      </c>
      <c r="CT695">
        <f>IF($CN695="refNeedCorrection",-BX695,BX695)*IF($BP695="Emissions positive",-1,1)</f>
        <v>3.67</v>
      </c>
      <c r="CU695">
        <f>IFERROR(CT695/CQ695,"")</f>
        <v>0.30351891891891891</v>
      </c>
      <c r="CV695" s="2">
        <f>IFERROR((CS695-CR695)/ABS(CR695),"")</f>
        <v>1</v>
      </c>
      <c r="CW695" s="1" t="s">
        <v>1203</v>
      </c>
      <c r="CX695" t="str">
        <f>IF(OR($CW695="prd",$CW695="std",$CW695="cit"),"loc",IF(OR($CW695="eur",$CW695="reg",$CW695="coy"),"reg",$CW695))</f>
        <v>reg</v>
      </c>
      <c r="CY695" t="s">
        <v>444</v>
      </c>
      <c r="DA695" s="143"/>
      <c r="DB695" s="143">
        <v>0</v>
      </c>
      <c r="DC695" t="str">
        <f>IF(DB695=0,"0",IF(AND(DB695&gt;=1,DB695&lt;=30),"1-30",IF(AND(DB695&gt;30,DB695&lt;=70),"31-70",IF(AND(DB695&gt;70,DB695&lt;=100),"71-100",IF(DB695&gt;100,"+100")))))</f>
        <v>0</v>
      </c>
      <c r="DD695">
        <v>0</v>
      </c>
      <c r="DE695">
        <v>1</v>
      </c>
      <c r="DF695">
        <v>0</v>
      </c>
      <c r="DG695">
        <v>0</v>
      </c>
      <c r="DI695">
        <f>SUM(DD695:DG695)</f>
        <v>1</v>
      </c>
      <c r="DJ695" t="str">
        <f>IF(DI695=1,INDEX($DD$7:$DG$7,MATCH(1,$DD695:$DG695,0)),"mixedProduct")</f>
        <v>EnergyInput</v>
      </c>
      <c r="DK695">
        <f>IF(DD695=1,DK$7,0)</f>
        <v>0</v>
      </c>
      <c r="DL695" t="str">
        <f>IF(DE695=1,DL$7,0)</f>
        <v>Energy</v>
      </c>
      <c r="DM695">
        <f>IF(DF695=1,DM$7,0)</f>
        <v>0</v>
      </c>
      <c r="DN695">
        <f>IF(DG695=1,DN$7,0)</f>
        <v>0</v>
      </c>
      <c r="DO695">
        <v>0</v>
      </c>
      <c r="DP695" s="143">
        <v>0</v>
      </c>
      <c r="DQ695" s="143">
        <v>0</v>
      </c>
      <c r="DR695">
        <v>0</v>
      </c>
      <c r="DS695" s="143">
        <v>0</v>
      </c>
      <c r="DT695">
        <f>SUM(DO695:DP695)</f>
        <v>0</v>
      </c>
      <c r="DU695" s="143" t="str">
        <f>IF(DO695=1,"self-calculated DF",IF(DP695=1,"external DF used","explicit C balance"))</f>
        <v>explicit C balance</v>
      </c>
      <c r="DV695" s="143">
        <v>0</v>
      </c>
      <c r="DW695" s="143">
        <v>0</v>
      </c>
      <c r="DX695" s="143">
        <v>0</v>
      </c>
      <c r="DY695" s="143">
        <v>0</v>
      </c>
      <c r="DZ695">
        <v>0</v>
      </c>
      <c r="EA695" s="143">
        <v>0</v>
      </c>
      <c r="EB695" s="143">
        <v>0</v>
      </c>
      <c r="EC695" s="143">
        <v>1</v>
      </c>
      <c r="ED695" s="143">
        <v>0</v>
      </c>
      <c r="EE695">
        <v>0</v>
      </c>
      <c r="EF695">
        <v>0</v>
      </c>
      <c r="EG695" s="143">
        <v>0</v>
      </c>
      <c r="EH695" s="143">
        <v>0</v>
      </c>
      <c r="EI695" s="2">
        <v>0</v>
      </c>
      <c r="EK695" t="str">
        <f>IF(AND(AND(AND(OR($DX695=1,$DW695=1),OR($EC695=1,$EA695=1)),SUM($DV695:$DZ695,$EF695)&gt;=4),SUM($EA695:$EE695)&gt;=2),"Whole sector","")</f>
        <v/>
      </c>
      <c r="EL695" t="str">
        <f>IF(AND(AND(OR($DX695=1,$DW695=1),AND($EC695=0,$EA695=0)),SUM($DV695:$DZ695,$EF695)&gt;=4),"Ecosystem approach","")</f>
        <v/>
      </c>
      <c r="EM695" s="2" t="str">
        <f>IF(AND(AND(AND($DX695=0,$DW695=0),OR($EC695=1,$EA695=1)),SUM($EB695:$EE695)&gt;=2),"Technology approach","")</f>
        <v/>
      </c>
      <c r="EP695" t="str">
        <f>IF(ISNUMBER(BU695),IF(ABS(BU695-[2]QC_indicators!$B$2)&gt;3*[2]QC_indicators!$C$2,"C ratio",IF(ISNUMBER(BY695),IF(ABS(BY695-[2]QC_indicators!$B$1)&gt;3*[2]QC_indicators!$C$1,"DF","no"))),IF(ISNUMBER(BY695),IF(ABS(BY695-[2]QC_indicators!$B$1)&gt;3*[2]QC_indicators!$C$1,"DF","no")))</f>
        <v>no</v>
      </c>
      <c r="ER695" s="149" t="s">
        <v>349</v>
      </c>
      <c r="ET695" s="264" t="s">
        <v>3266</v>
      </c>
    </row>
    <row r="696" spans="1:150" ht="15" customHeight="1">
      <c r="D696" t="s">
        <v>963</v>
      </c>
      <c r="E696" t="s">
        <v>964</v>
      </c>
      <c r="G696" t="s">
        <v>965</v>
      </c>
      <c r="I696">
        <v>2002</v>
      </c>
      <c r="K696" s="295" t="s">
        <v>966</v>
      </c>
      <c r="M696" t="str">
        <f>LEFT($D696,FIND(",",$D696)-1)&amp;"_"&amp;I696&amp;L696</f>
        <v>Petersen_2002</v>
      </c>
      <c r="N696" t="s">
        <v>222</v>
      </c>
      <c r="O696" s="171" t="s">
        <v>513</v>
      </c>
      <c r="P696" s="141" t="s">
        <v>225</v>
      </c>
      <c r="Q696" s="264" t="s">
        <v>389</v>
      </c>
      <c r="R696" s="269" t="s">
        <v>1154</v>
      </c>
      <c r="S696" s="263" t="s">
        <v>983</v>
      </c>
      <c r="T696" s="149" t="s">
        <v>979</v>
      </c>
      <c r="U696" s="264" t="s">
        <v>980</v>
      </c>
      <c r="V696">
        <v>0</v>
      </c>
      <c r="W696">
        <v>0</v>
      </c>
      <c r="X696">
        <v>0</v>
      </c>
      <c r="Y696">
        <v>0</v>
      </c>
      <c r="Z696">
        <v>0</v>
      </c>
      <c r="AA696">
        <v>0</v>
      </c>
      <c r="AB696">
        <v>0</v>
      </c>
      <c r="AC696">
        <v>0</v>
      </c>
      <c r="AD696">
        <v>0</v>
      </c>
      <c r="AE696">
        <v>0</v>
      </c>
      <c r="AF696">
        <v>0</v>
      </c>
      <c r="AG696">
        <v>0</v>
      </c>
      <c r="AH696">
        <v>0</v>
      </c>
      <c r="AI696">
        <v>0</v>
      </c>
      <c r="AJ696">
        <v>0</v>
      </c>
      <c r="AK696">
        <v>1</v>
      </c>
      <c r="AL696">
        <v>0</v>
      </c>
      <c r="AM696">
        <v>0</v>
      </c>
      <c r="AN696">
        <v>0</v>
      </c>
      <c r="AO696">
        <v>0</v>
      </c>
      <c r="AP696">
        <v>0</v>
      </c>
      <c r="AQ696">
        <v>0</v>
      </c>
      <c r="AR696">
        <v>0</v>
      </c>
      <c r="AS696">
        <v>0</v>
      </c>
      <c r="AT696">
        <v>0</v>
      </c>
      <c r="AU696">
        <v>0</v>
      </c>
      <c r="AV696">
        <v>0</v>
      </c>
      <c r="AW696">
        <v>0</v>
      </c>
      <c r="AX696" s="141">
        <f>COUNTIF(V696:AW696,"&lt;&gt;0")</f>
        <v>1</v>
      </c>
      <c r="AY696" s="141">
        <f>COUNTIF(V696:AL696,"&lt;&gt;0")</f>
        <v>1</v>
      </c>
      <c r="AZ696">
        <f>COUNTIF(V696:AC696,"&lt;&gt;0")</f>
        <v>0</v>
      </c>
      <c r="BA696">
        <f>COUNTIF(AD696:AI696,"&lt;&gt;0")</f>
        <v>0</v>
      </c>
      <c r="BB696">
        <f>COUNTIF(AJ696:AL696,"&lt;&gt;0")</f>
        <v>1</v>
      </c>
      <c r="BC696">
        <f>COUNTIF(AS696:AW696,"&lt;&gt;0")</f>
        <v>0</v>
      </c>
      <c r="BD696">
        <f>COUNTIF(AM696:AR696,"&lt;&gt;0")</f>
        <v>0</v>
      </c>
      <c r="BE696" t="str" cm="1">
        <f t="array" ref="BE696">IF(AY696=1,INDEX($V$7:$AL$7,MATCH(TRUE,INDEX($V696:$AW696&lt;&gt;0,),0)),IF(AY696=0,INDEX($AM$7:$AW$7,MATCH(1,$AM696:$AW696,0)),IF(BF696="Multiple strategies","mixed drivers",IF(BF696="Supply chain","multiple supply","multiple silviculture"))))</f>
        <v>technologies/design switch</v>
      </c>
      <c r="BF696" s="2" t="str" cm="1">
        <f t="array" ref="BF696">IF(COUNTIF(AZ696:BB696,"&lt;&gt;0")=1,INDEX($V$4:$AW$4,MATCH(TRUE,INDEX($V696:$AW696&lt;&gt;0,),0)),IF(COUNTIF(AZ696:BB696,"&lt;&gt;0")=0,INDEX($AM$4:$AW$4,MATCH(1,$AM696:$AW696,0)),"Multiple strategies"))</f>
        <v>Technology</v>
      </c>
      <c r="BG696" s="142" t="s">
        <v>229</v>
      </c>
      <c r="BH696" t="s">
        <v>970</v>
      </c>
      <c r="BI696" t="s">
        <v>971</v>
      </c>
      <c r="BJ696" t="s">
        <v>498</v>
      </c>
      <c r="BK696">
        <v>0</v>
      </c>
      <c r="BL696">
        <v>1</v>
      </c>
      <c r="BM696" t="str">
        <f>IFERROR(BL696/BK696,"")</f>
        <v/>
      </c>
      <c r="BN696">
        <f>BL696-BK696</f>
        <v>1</v>
      </c>
      <c r="BO696">
        <v>1</v>
      </c>
      <c r="BP696" t="s">
        <v>232</v>
      </c>
      <c r="BQ696" t="s">
        <v>972</v>
      </c>
      <c r="BR696" s="264" t="s">
        <v>973</v>
      </c>
      <c r="BV696">
        <v>0.312</v>
      </c>
      <c r="BX696">
        <f>BV696</f>
        <v>0.312</v>
      </c>
      <c r="BY696">
        <f>IFERROR(BX696/BO696,"")</f>
        <v>0.312</v>
      </c>
      <c r="BZ696">
        <v>0</v>
      </c>
      <c r="CA696">
        <v>0</v>
      </c>
      <c r="CB696">
        <v>0</v>
      </c>
      <c r="CC696">
        <v>0</v>
      </c>
      <c r="CD696">
        <v>0</v>
      </c>
      <c r="CE696">
        <v>0</v>
      </c>
      <c r="CF696">
        <v>0</v>
      </c>
      <c r="CG696">
        <v>0</v>
      </c>
      <c r="CH696">
        <v>0</v>
      </c>
      <c r="CI696">
        <v>0</v>
      </c>
      <c r="CJ696">
        <v>0</v>
      </c>
      <c r="CK696">
        <v>0</v>
      </c>
      <c r="CL696">
        <v>0</v>
      </c>
      <c r="CM696">
        <v>0</v>
      </c>
      <c r="CN696" t="str">
        <f>IF($BL696&lt;$BK696,"refNeedCorrection","refOK")</f>
        <v>refOK</v>
      </c>
      <c r="CO696">
        <f>IF($CN696="refOK",$BK696,$BL696)</f>
        <v>0</v>
      </c>
      <c r="CP696">
        <f>IF($CN696="refOK",$BL696,$BK696)</f>
        <v>1</v>
      </c>
      <c r="CQ696">
        <f>IF($CN696="refOK",$BO696,-$BO696)</f>
        <v>1</v>
      </c>
      <c r="CR696">
        <f>IF($CN696="refOK",$BS696,$BT696)*IF($BP696="Emissions positive",-1,1)</f>
        <v>0</v>
      </c>
      <c r="CS696">
        <f>IF($CN696="refOK",$BT696,$BS696)*IF($BP696="Emissions positive",-1,1)</f>
        <v>0</v>
      </c>
      <c r="CT696">
        <f>IF($CN696="refNeedCorrection",-BX696,BX696)*IF($BP696="Emissions positive",-1,1)</f>
        <v>0.312</v>
      </c>
      <c r="CU696">
        <f>IFERROR(CT696/CQ696,"")</f>
        <v>0.312</v>
      </c>
      <c r="CV696" s="2" t="str">
        <f>IFERROR((CS696-CR696)/ABS(CR696),"")</f>
        <v/>
      </c>
      <c r="CW696" s="1" t="s">
        <v>974</v>
      </c>
      <c r="CX696" s="264" t="str">
        <f>IF(OR($CW696="prd",$CW696="std",$CW696="cit"),"loc",IF(OR($CW696="eur",$CW696="reg",$CW696="coy"),"reg",$CW696))</f>
        <v>loc</v>
      </c>
      <c r="CY696" t="s">
        <v>264</v>
      </c>
      <c r="DB696">
        <v>50</v>
      </c>
      <c r="DC696" t="str">
        <f>IF(DB696=0,"0",IF(AND(DB696&gt;=1,DB696&lt;=30),"1-30",IF(AND(DB696&gt;30,DB696&lt;=70),"31-70",IF(AND(DB696&gt;70,DB696&lt;=100),"71-100",IF(DB696&gt;100,"+100")))))</f>
        <v>31-70</v>
      </c>
      <c r="DD696">
        <v>0</v>
      </c>
      <c r="DE696">
        <v>0</v>
      </c>
      <c r="DF696">
        <v>0</v>
      </c>
      <c r="DG696">
        <v>1</v>
      </c>
      <c r="DH696">
        <v>0</v>
      </c>
      <c r="DI696">
        <f>SUM(DD696:DG696)</f>
        <v>1</v>
      </c>
      <c r="DJ696" t="str">
        <f>IF(DI696=1,INDEX($DD$7:$DG$7,MATCH(1,$DD696:$DG696,0)),"mixedProduct")</f>
        <v>TimberInput</v>
      </c>
      <c r="DK696">
        <f>IF(DD696=1,DK$7,0)</f>
        <v>0</v>
      </c>
      <c r="DL696">
        <f>IF(DE696=1,DL$7,0)</f>
        <v>0</v>
      </c>
      <c r="DM696">
        <f>IF(DF696=1,DM$7,0)</f>
        <v>0</v>
      </c>
      <c r="DN696" t="str">
        <f>IF(DG696=1,DN$7,0)</f>
        <v>Timber</v>
      </c>
      <c r="DO696">
        <v>1</v>
      </c>
      <c r="DP696">
        <v>0</v>
      </c>
      <c r="DQ696">
        <v>0</v>
      </c>
      <c r="DR696">
        <v>0</v>
      </c>
      <c r="DS696">
        <v>0</v>
      </c>
      <c r="DT696">
        <f>SUM(DO696:DP696)</f>
        <v>1</v>
      </c>
      <c r="DU696" s="143" t="str">
        <f>IF(DO696=1,"self-calculated DF",IF(DP696=1,"external DF used","explicit C balance"))</f>
        <v>self-calculated DF</v>
      </c>
      <c r="DV696" s="143">
        <v>0</v>
      </c>
      <c r="DW696" s="143">
        <v>0</v>
      </c>
      <c r="DX696" s="143">
        <v>0</v>
      </c>
      <c r="DY696" s="143">
        <v>0</v>
      </c>
      <c r="DZ696">
        <v>0</v>
      </c>
      <c r="EA696" s="143">
        <v>1</v>
      </c>
      <c r="EB696" s="143">
        <v>0</v>
      </c>
      <c r="EC696" s="143">
        <v>1</v>
      </c>
      <c r="ED696" s="143">
        <v>0</v>
      </c>
      <c r="EE696">
        <v>1</v>
      </c>
      <c r="EF696">
        <v>0</v>
      </c>
      <c r="EG696" s="143">
        <v>0</v>
      </c>
      <c r="EH696" s="143">
        <v>0</v>
      </c>
      <c r="EI696" s="2">
        <v>0</v>
      </c>
      <c r="EK696" t="str">
        <f>IF(AND(AND(AND(OR($DX696=1,$DW696=1),OR($EC696=1,$EA696=1)),SUM($DV696:$DZ696,$EF696)&gt;=4),SUM($EA696:$EE696)&gt;=2),"Whole sector","")</f>
        <v/>
      </c>
      <c r="EL696" t="str">
        <f>IF(AND(AND(OR($DX696=1,$DW696=1),AND($EC696=0,$EA696=0)),SUM($DV696:$DZ696,$EF696)&gt;=4),"Ecosystem approach","")</f>
        <v/>
      </c>
      <c r="EM696" s="2" t="str">
        <f>IF(AND(AND(AND($DX696=0,$DW696=0),OR($EC696=1,$EA696=1)),SUM($EB696:$EE696)&gt;=2),"Technology approach","")</f>
        <v>Technology approach</v>
      </c>
      <c r="EN696" t="s">
        <v>984</v>
      </c>
      <c r="EP696" t="str">
        <f>IF(ISNUMBER(BU696),IF(ABS(BU696-[3]QC_indicators!$B$2)&gt;3*[3]QC_indicators!$C$2,"C ratio",IF(ISNUMBER(BY696),IF(ABS(BY696-[3]QC_indicators!$B$1)&gt;3*[3]QC_indicators!$C$1,"DF","no"))),IF(ISNUMBER(BY696),IF(ABS(BY696-[3]QC_indicators!$B$1)&gt;3*[3]QC_indicators!$C$1,"DF","no")))</f>
        <v>no</v>
      </c>
      <c r="ET696" s="264" t="s">
        <v>3407</v>
      </c>
    </row>
    <row r="697" spans="1:150" ht="15" customHeight="1">
      <c r="A697" s="1" t="s">
        <v>1808</v>
      </c>
      <c r="B697" t="s">
        <v>2257</v>
      </c>
      <c r="C697" t="s">
        <v>2258</v>
      </c>
      <c r="D697" t="s">
        <v>2259</v>
      </c>
      <c r="E697" t="s">
        <v>2260</v>
      </c>
      <c r="F697" t="s">
        <v>2261</v>
      </c>
      <c r="G697" t="s">
        <v>1814</v>
      </c>
      <c r="H697" t="s">
        <v>254</v>
      </c>
      <c r="I697">
        <v>2013</v>
      </c>
      <c r="J697">
        <v>49</v>
      </c>
      <c r="K697" t="s">
        <v>2262</v>
      </c>
      <c r="M697" t="str">
        <f>LEFT($D697,FIND(",",$D697)-1)&amp;"_"&amp;I697&amp;L697</f>
        <v>Sikkema_2013</v>
      </c>
      <c r="N697" t="s">
        <v>222</v>
      </c>
      <c r="O697" s="145" t="s">
        <v>341</v>
      </c>
      <c r="Q697" s="264" t="s">
        <v>256</v>
      </c>
      <c r="R697" s="269" t="s">
        <v>1154</v>
      </c>
      <c r="S697" s="1" t="s">
        <v>2263</v>
      </c>
      <c r="T697" t="s">
        <v>1099</v>
      </c>
      <c r="U697" t="e">
        <f>#REF!</f>
        <v>#REF!</v>
      </c>
      <c r="V697">
        <v>2</v>
      </c>
      <c r="W697">
        <v>0</v>
      </c>
      <c r="X697">
        <v>0</v>
      </c>
      <c r="Y697">
        <v>0</v>
      </c>
      <c r="Z697">
        <v>0</v>
      </c>
      <c r="AA697">
        <v>0</v>
      </c>
      <c r="AB697">
        <v>0</v>
      </c>
      <c r="AC697">
        <v>0</v>
      </c>
      <c r="AD697">
        <v>0</v>
      </c>
      <c r="AE697">
        <v>0</v>
      </c>
      <c r="AF697">
        <v>1</v>
      </c>
      <c r="AG697">
        <v>0</v>
      </c>
      <c r="AH697">
        <v>0</v>
      </c>
      <c r="AI697">
        <v>0</v>
      </c>
      <c r="AJ697">
        <v>0</v>
      </c>
      <c r="AK697">
        <v>0</v>
      </c>
      <c r="AL697">
        <v>0</v>
      </c>
      <c r="AM697">
        <v>0</v>
      </c>
      <c r="AN697">
        <v>0</v>
      </c>
      <c r="AO697">
        <v>0</v>
      </c>
      <c r="AP697">
        <v>0</v>
      </c>
      <c r="AQ697">
        <v>0</v>
      </c>
      <c r="AR697">
        <v>0</v>
      </c>
      <c r="AS697">
        <v>0</v>
      </c>
      <c r="AT697">
        <v>0</v>
      </c>
      <c r="AU697">
        <v>0</v>
      </c>
      <c r="AV697">
        <v>0</v>
      </c>
      <c r="AW697">
        <v>0</v>
      </c>
      <c r="AX697" s="141">
        <f>COUNTIF(V697:AW697,"&lt;&gt;0")</f>
        <v>2</v>
      </c>
      <c r="AY697" s="141">
        <f>COUNTIF(V697:AL697,"&lt;&gt;0")</f>
        <v>2</v>
      </c>
      <c r="AZ697">
        <f>COUNTIF(V697:AC697,"&lt;&gt;0")</f>
        <v>1</v>
      </c>
      <c r="BA697">
        <f>COUNTIF(AD697:AI697,"&lt;&gt;0")</f>
        <v>1</v>
      </c>
      <c r="BB697">
        <f>COUNTIF(AJ697:AL697,"&lt;&gt;0")</f>
        <v>0</v>
      </c>
      <c r="BC697">
        <f>COUNTIF(AS697:AW697,"&lt;&gt;0")</f>
        <v>0</v>
      </c>
      <c r="BD697">
        <f>COUNTIF(AM697:AR697,"&lt;&gt;0")</f>
        <v>0</v>
      </c>
      <c r="BE697" t="str" cm="1">
        <f t="array" ref="BE697">IF(AY697=1,INDEX($V$7:$AL$7,MATCH(TRUE,INDEX($V697:$AW697&lt;&gt;0,),0)),IF(AY697=0,INDEX($AM$7:$AW$7,MATCH(1,$AM697:$AW697,0)),IF(BF697="Multiple strategies","mixed drivers",IF(BF697="Supply chain","multiple supply","multiple silviculture"))))</f>
        <v>mixed drivers</v>
      </c>
      <c r="BF697" s="2" t="str" cm="1">
        <f t="array" ref="BF697">IF(COUNTIF(AZ697:BB697,"&lt;&gt;0")=1,INDEX($V$4:$AW$4,MATCH(TRUE,INDEX($V697:$AW697&lt;&gt;0,),0)),IF(COUNTIF(AZ697:BB697,"&lt;&gt;0")=0,INDEX($AM$4:$AW$4,MATCH(1,$AM697:$AW697,0)),"Multiple strategies"))</f>
        <v>Multiple strategies</v>
      </c>
      <c r="BG697" s="1" t="s">
        <v>321</v>
      </c>
      <c r="BH697" t="s">
        <v>2264</v>
      </c>
      <c r="BJ697" t="s">
        <v>1355</v>
      </c>
      <c r="BK697">
        <v>130</v>
      </c>
      <c r="BL697">
        <v>180</v>
      </c>
      <c r="BN697">
        <f>BL697-BK697</f>
        <v>50</v>
      </c>
      <c r="BO697">
        <f>BN697*10^6</f>
        <v>50000000</v>
      </c>
      <c r="BP697" s="264" t="s">
        <v>232</v>
      </c>
      <c r="BQ697" s="264"/>
      <c r="BR697" t="s">
        <v>1140</v>
      </c>
      <c r="BS697">
        <v>-41.3</v>
      </c>
      <c r="BT697">
        <v>-25.4</v>
      </c>
      <c r="BU697" s="144">
        <v>0.61501210653753025</v>
      </c>
      <c r="BV697">
        <v>15.899999999999999</v>
      </c>
      <c r="BX697">
        <f>BV697*10^6</f>
        <v>15899999.999999998</v>
      </c>
      <c r="BY697">
        <f>IFERROR(BX697/BO697,"")</f>
        <v>0.31799999999999995</v>
      </c>
      <c r="BZ697">
        <v>0</v>
      </c>
      <c r="CA697">
        <v>0</v>
      </c>
      <c r="CB697">
        <v>0</v>
      </c>
      <c r="CC697">
        <v>0</v>
      </c>
      <c r="CD697">
        <v>0</v>
      </c>
      <c r="CE697">
        <v>0</v>
      </c>
      <c r="CF697">
        <v>0</v>
      </c>
      <c r="CG697">
        <v>0</v>
      </c>
      <c r="CH697">
        <v>0</v>
      </c>
      <c r="CI697">
        <v>0</v>
      </c>
      <c r="CJ697">
        <v>0</v>
      </c>
      <c r="CK697">
        <v>0</v>
      </c>
      <c r="CL697">
        <v>0</v>
      </c>
      <c r="CM697">
        <v>0</v>
      </c>
      <c r="CN697" t="str">
        <f>IF($BL697&lt;$BK697,"refNeedCorrection","refOK")</f>
        <v>refOK</v>
      </c>
      <c r="CO697">
        <f>IF($CN697="refOK",$BK697,$BL697)</f>
        <v>130</v>
      </c>
      <c r="CP697">
        <f>IF($CN697="refOK",$BL697,$BK697)</f>
        <v>180</v>
      </c>
      <c r="CQ697">
        <f>IF($CN697="refOK",$BO697,-$BO697)</f>
        <v>50000000</v>
      </c>
      <c r="CR697">
        <f>IF($CN697="refOK",$BS697,$BT697)*IF($BP697="Emissions positive",-1,1)</f>
        <v>-41.3</v>
      </c>
      <c r="CS697">
        <f>IF($CN697="refOK",$BT697,$BS697)*IF($BP697="Emissions positive",-1,1)</f>
        <v>-25.4</v>
      </c>
      <c r="CT697">
        <f>IF($CN697="refNeedCorrection",-BX697,BX697)*IF($BP697="Emissions positive",-1,1)</f>
        <v>15899999.999999998</v>
      </c>
      <c r="CU697">
        <f>IFERROR(CT697/CQ697,"")</f>
        <v>0.31799999999999995</v>
      </c>
      <c r="CV697" s="2">
        <f>IFERROR((CS697-CR697)/ABS(CR697),"")</f>
        <v>0.3849878934624697</v>
      </c>
      <c r="CW697" s="1" t="s">
        <v>1203</v>
      </c>
      <c r="CX697" s="264" t="str">
        <f>IF(OR($CW697="prd",$CW697="std",$CW697="cit"),"loc",IF(OR($CW697="eur",$CW697="reg",$CW697="coy"),"reg",$CW697))</f>
        <v>reg</v>
      </c>
      <c r="CY697" t="s">
        <v>540</v>
      </c>
      <c r="CZ697">
        <v>2012</v>
      </c>
      <c r="DA697">
        <v>2112</v>
      </c>
      <c r="DB697">
        <v>100</v>
      </c>
      <c r="DC697" t="str">
        <f>IF(DB697=0,"0",IF(AND(DB697&gt;=1,DB697&lt;=30),"1-30",IF(AND(DB697&gt;30,DB697&lt;=70),"31-70",IF(AND(DB697&gt;70,DB697&lt;=100),"71-100",IF(DB697&gt;100,"+100")))))</f>
        <v>71-100</v>
      </c>
      <c r="DD697">
        <v>0</v>
      </c>
      <c r="DE697">
        <v>1</v>
      </c>
      <c r="DF697">
        <v>1</v>
      </c>
      <c r="DG697">
        <v>1</v>
      </c>
      <c r="DI697">
        <f>SUM(DD697:DG697)</f>
        <v>3</v>
      </c>
      <c r="DJ697" t="str">
        <f>IF(DI697=1,INDEX($DD$7:$DG$7,MATCH(1,$DD697:$DG697,0)),"mixedProduct")</f>
        <v>mixedProduct</v>
      </c>
      <c r="DK697">
        <f>IF(DD697=1,DK$7,0)</f>
        <v>0</v>
      </c>
      <c r="DL697" t="str">
        <f>IF(DE697=1,DL$7,0)</f>
        <v>Energy</v>
      </c>
      <c r="DM697" t="str">
        <f>IF(DF697=1,DM$7,0)</f>
        <v>Pulp/Paper</v>
      </c>
      <c r="DN697" t="str">
        <f>IF(DG697=1,DN$7,0)</f>
        <v>Timber</v>
      </c>
      <c r="DO697" t="s">
        <v>2265</v>
      </c>
      <c r="DP697">
        <v>1</v>
      </c>
      <c r="DQ697" s="184" t="s">
        <v>2266</v>
      </c>
      <c r="DR697" t="s">
        <v>2267</v>
      </c>
      <c r="DT697">
        <f>SUM(DO697:DP697)</f>
        <v>1</v>
      </c>
      <c r="DU697" s="143" t="str">
        <f>IF(DO697=1,"self-calculated DF",IF(DP697=1,"external DF used","explicit C balance"))</f>
        <v>external DF used</v>
      </c>
      <c r="DV697">
        <v>0</v>
      </c>
      <c r="DW697">
        <v>0</v>
      </c>
      <c r="DX697">
        <v>0</v>
      </c>
      <c r="DY697">
        <v>1</v>
      </c>
      <c r="DZ697">
        <v>1</v>
      </c>
      <c r="EA697">
        <v>1</v>
      </c>
      <c r="EB697">
        <v>0</v>
      </c>
      <c r="EC697">
        <v>1</v>
      </c>
      <c r="ED697">
        <v>0</v>
      </c>
      <c r="EE697">
        <v>1</v>
      </c>
      <c r="EF697">
        <v>1</v>
      </c>
      <c r="EG697">
        <v>1</v>
      </c>
      <c r="EH697">
        <v>1</v>
      </c>
      <c r="EI697" s="2">
        <v>0</v>
      </c>
      <c r="EK697" t="str">
        <f>IF(AND(AND(AND(OR($DX697=1,$DW697=1),OR($EC697=1,$EA697=1)),SUM($DV697:$DZ697,$EF697)&gt;=4),SUM($EA697:$EE697)&gt;=2),"Whole sector","")</f>
        <v/>
      </c>
      <c r="EL697" t="str">
        <f>IF(AND(AND(OR($DX697=1,$DW697=1),AND($EC697=0,$EA697=0)),SUM($DV697:$DZ697,$EF697)&gt;=4),"Ecosystem approach","")</f>
        <v/>
      </c>
      <c r="EM697" s="2" t="str">
        <f>IF(AND(AND(AND($DX697=0,$DW697=0),OR($EC697=1,$EA697=1)),SUM($EB697:$EE697)&gt;=2),"Technology approach","")</f>
        <v>Technology approach</v>
      </c>
      <c r="EP697" t="str">
        <f>IF(ISNUMBER(BU697),IF(ABS(BU697-[3]QC_indicators!$B$2)&gt;3*[3]QC_indicators!$C$2,"C ratio",IF(ISNUMBER(BY697),IF(ABS(BY697-[3]QC_indicators!$B$1)&gt;3*[3]QC_indicators!$C$1,"DF","no"))),IF(ISNUMBER(BY697),IF(ABS(BY697-[3]QC_indicators!$B$1)&gt;3*[3]QC_indicators!$C$1,"DF","no")))</f>
        <v>no</v>
      </c>
      <c r="ER697" s="264" t="s">
        <v>2268</v>
      </c>
      <c r="ET697" s="264" t="s">
        <v>3407</v>
      </c>
    </row>
    <row r="698" spans="1:150" ht="15" customHeight="1">
      <c r="A698" s="1" t="s">
        <v>1636</v>
      </c>
      <c r="B698" t="s">
        <v>1637</v>
      </c>
      <c r="C698" t="s">
        <v>1638</v>
      </c>
      <c r="D698" t="s">
        <v>1639</v>
      </c>
      <c r="E698" t="s">
        <v>1640</v>
      </c>
      <c r="F698" t="s">
        <v>1641</v>
      </c>
      <c r="G698" t="s">
        <v>1642</v>
      </c>
      <c r="H698" t="s">
        <v>254</v>
      </c>
      <c r="I698">
        <v>2022</v>
      </c>
      <c r="J698">
        <v>0</v>
      </c>
      <c r="K698" t="s">
        <v>1643</v>
      </c>
      <c r="M698" t="str">
        <f>LEFT($D698,FIND(",",$D698)-1)&amp;"_"&amp;I698&amp;L698</f>
        <v>Gregor_2022</v>
      </c>
      <c r="N698" t="s">
        <v>222</v>
      </c>
      <c r="O698" s="161" t="s">
        <v>223</v>
      </c>
      <c r="Q698" s="264" t="s">
        <v>389</v>
      </c>
      <c r="R698" s="269" t="s">
        <v>1154</v>
      </c>
      <c r="S698" s="154" t="s">
        <v>1644</v>
      </c>
      <c r="T698" s="149" t="s">
        <v>1645</v>
      </c>
      <c r="U698" s="264" t="s">
        <v>1646</v>
      </c>
      <c r="V698">
        <v>1</v>
      </c>
      <c r="W698">
        <v>0</v>
      </c>
      <c r="X698">
        <v>0</v>
      </c>
      <c r="Y698">
        <v>0</v>
      </c>
      <c r="Z698">
        <v>0</v>
      </c>
      <c r="AA698">
        <v>0</v>
      </c>
      <c r="AB698">
        <v>0</v>
      </c>
      <c r="AC698">
        <v>0</v>
      </c>
      <c r="AD698">
        <v>0</v>
      </c>
      <c r="AE698">
        <v>0</v>
      </c>
      <c r="AF698">
        <v>0</v>
      </c>
      <c r="AG698">
        <v>0</v>
      </c>
      <c r="AH698">
        <v>0</v>
      </c>
      <c r="AI698">
        <v>0</v>
      </c>
      <c r="AJ698">
        <v>0</v>
      </c>
      <c r="AK698">
        <v>0</v>
      </c>
      <c r="AL698">
        <v>0</v>
      </c>
      <c r="AM698">
        <v>0</v>
      </c>
      <c r="AN698">
        <v>2</v>
      </c>
      <c r="AO698">
        <v>2</v>
      </c>
      <c r="AP698">
        <v>2</v>
      </c>
      <c r="AQ698">
        <v>2</v>
      </c>
      <c r="AR698">
        <v>0</v>
      </c>
      <c r="AS698">
        <v>0</v>
      </c>
      <c r="AT698">
        <v>0</v>
      </c>
      <c r="AU698">
        <v>0</v>
      </c>
      <c r="AV698">
        <v>0</v>
      </c>
      <c r="AW698">
        <v>0</v>
      </c>
      <c r="AX698" s="141">
        <f>COUNTIF(V698:AW698,"&lt;&gt;0")</f>
        <v>5</v>
      </c>
      <c r="AY698" s="141">
        <f>COUNTIF(V698:AL698,"&lt;&gt;0")</f>
        <v>1</v>
      </c>
      <c r="AZ698">
        <f>COUNTIF(V698:AC698,"&lt;&gt;0")</f>
        <v>1</v>
      </c>
      <c r="BA698">
        <f>COUNTIF(AD698:AI698,"&lt;&gt;0")</f>
        <v>0</v>
      </c>
      <c r="BB698">
        <f>COUNTIF(AJ698:AL698,"&lt;&gt;0")</f>
        <v>0</v>
      </c>
      <c r="BC698">
        <f>COUNTIF(AS698:AW698,"&lt;&gt;0")</f>
        <v>0</v>
      </c>
      <c r="BD698">
        <f>COUNTIF(AM698:AR698,"&lt;&gt;0")</f>
        <v>4</v>
      </c>
      <c r="BE698" t="str" cm="1">
        <f t="array" ref="BE698">IF(AY698=1,INDEX($V$7:$AL$7,MATCH(TRUE,INDEX($V698:$AW698&lt;&gt;0,),0)),IF(AY698=0,INDEX($AM$7:$AW$7,MATCH(1,$AM698:$AW698,0)),IF(BF698="Multiple strategies","mixed drivers",IF(BF698="Supply chain","multiple supply","multiple silviculture"))))</f>
        <v>area subject to harvest</v>
      </c>
      <c r="BF698" s="2" t="str" cm="1">
        <f t="array" ref="BF698">IF(COUNTIF(AZ698:BB698,"&lt;&gt;0")=1,INDEX($V$4:$AW$4,MATCH(TRUE,INDEX($V698:$AW698&lt;&gt;0,),0)),IF(COUNTIF(AZ698:BB698,"&lt;&gt;0")=0,INDEX($AM$4:$AW$4,MATCH(1,$AM698:$AW698,0)),"Multiple strategies"))</f>
        <v>Silviculture for removals</v>
      </c>
      <c r="BG698" s="1" t="s">
        <v>321</v>
      </c>
      <c r="BH698" s="264" t="s">
        <v>1647</v>
      </c>
      <c r="BI698" s="264" t="s">
        <v>688</v>
      </c>
      <c r="BJ698" s="264" t="s">
        <v>1648</v>
      </c>
      <c r="BK698">
        <f>0.08*(2115-2020)</f>
        <v>7.6000000000000005</v>
      </c>
      <c r="BL698">
        <f>2.99*(2115-2020)</f>
        <v>284.05</v>
      </c>
      <c r="BN698">
        <f>BL698-BK698</f>
        <v>276.45</v>
      </c>
      <c r="BO698">
        <f>BL698-BK698</f>
        <v>276.45</v>
      </c>
      <c r="BP698" s="264" t="s">
        <v>232</v>
      </c>
      <c r="BQ698" s="264" t="s">
        <v>1652</v>
      </c>
      <c r="BR698" s="264" t="s">
        <v>1650</v>
      </c>
      <c r="BS698" s="264">
        <f>9.8*10000</f>
        <v>98000</v>
      </c>
      <c r="BT698" s="264">
        <f>12.2*10000</f>
        <v>122000</v>
      </c>
      <c r="BV698">
        <f>BT698-BS698</f>
        <v>24000</v>
      </c>
      <c r="BX698">
        <f>BV698/1000*C_to_CO2</f>
        <v>88.08</v>
      </c>
      <c r="BY698">
        <f>IFERROR(BX698/BO698,"")</f>
        <v>0.31861096039066739</v>
      </c>
      <c r="BZ698">
        <v>0</v>
      </c>
      <c r="CA698">
        <v>0</v>
      </c>
      <c r="CB698">
        <v>0</v>
      </c>
      <c r="CC698">
        <v>0</v>
      </c>
      <c r="CD698">
        <v>0</v>
      </c>
      <c r="CE698">
        <v>0</v>
      </c>
      <c r="CF698">
        <v>0</v>
      </c>
      <c r="CG698">
        <v>0</v>
      </c>
      <c r="CH698">
        <v>0</v>
      </c>
      <c r="CI698">
        <v>0</v>
      </c>
      <c r="CJ698">
        <v>0</v>
      </c>
      <c r="CK698">
        <v>0</v>
      </c>
      <c r="CL698">
        <v>0</v>
      </c>
      <c r="CM698">
        <v>0</v>
      </c>
      <c r="CN698" t="str">
        <f>IF($BL698&lt;$BK698,"refNeedCorrection","refOK")</f>
        <v>refOK</v>
      </c>
      <c r="CO698">
        <f>IF($CN698="refOK",$BK698,$BL698)</f>
        <v>7.6000000000000005</v>
      </c>
      <c r="CP698">
        <f>IF($CN698="refOK",$BL698,$BK698)</f>
        <v>284.05</v>
      </c>
      <c r="CQ698">
        <f>IF($CN698="refOK",$BO698,-$BO698)</f>
        <v>276.45</v>
      </c>
      <c r="CR698">
        <f>IF($CN698="refOK",$BS698,$BT698)*IF($BP698="Emissions positive",-1,1)</f>
        <v>98000</v>
      </c>
      <c r="CS698">
        <f>IF($CN698="refOK",$BT698,$BS698)*IF($BP698="Emissions positive",-1,1)</f>
        <v>122000</v>
      </c>
      <c r="CT698">
        <f>IF($CN698="refNeedCorrection",-BX698,BX698)*IF($BP698="Emissions positive",-1,1)</f>
        <v>88.08</v>
      </c>
      <c r="CU698">
        <f>IFERROR(CT698/CQ698,"")</f>
        <v>0.31861096039066739</v>
      </c>
      <c r="CV698" s="2">
        <f>IFERROR((CS698-CR698)/ABS(CR698),"")</f>
        <v>0.24489795918367346</v>
      </c>
      <c r="CW698" s="162" t="s">
        <v>1462</v>
      </c>
      <c r="CX698" s="264" t="str">
        <f>IF(OR($CW698="prd",$CW698="std",$CW698="cit"),"loc",IF(OR($CW698="eur",$CW698="reg",$CW698="coy"),"reg",$CW698))</f>
        <v>reg</v>
      </c>
      <c r="CY698" s="155" t="s">
        <v>743</v>
      </c>
      <c r="CZ698">
        <v>2020</v>
      </c>
      <c r="DA698">
        <v>2115</v>
      </c>
      <c r="DB698">
        <f>DA698-CZ698</f>
        <v>95</v>
      </c>
      <c r="DC698" t="str">
        <f>IF(DB698=0,"0",IF(AND(DB698&gt;=1,DB698&lt;=30),"1-30",IF(AND(DB698&gt;30,DB698&lt;=70),"31-70",IF(AND(DB698&gt;70,DB698&lt;=100),"71-100",IF(DB698&gt;100,"+100")))))</f>
        <v>71-100</v>
      </c>
      <c r="DD698">
        <v>0</v>
      </c>
      <c r="DE698">
        <v>1</v>
      </c>
      <c r="DF698">
        <v>1</v>
      </c>
      <c r="DG698">
        <v>1</v>
      </c>
      <c r="DH698">
        <v>0</v>
      </c>
      <c r="DI698">
        <f>SUM(DD698:DG698)</f>
        <v>3</v>
      </c>
      <c r="DJ698" t="str">
        <f>IF(DI698=1,INDEX($DD$7:$DG$7,MATCH(1,$DD698:$DG698,0)),"mixedProduct")</f>
        <v>mixedProduct</v>
      </c>
      <c r="DK698">
        <f>IF(DD698=1,DK$7,0)</f>
        <v>0</v>
      </c>
      <c r="DL698" t="str">
        <f>IF(DE698=1,DL$7,0)</f>
        <v>Energy</v>
      </c>
      <c r="DM698" t="str">
        <f>IF(DF698=1,DM$7,0)</f>
        <v>Pulp/Paper</v>
      </c>
      <c r="DN698" t="str">
        <f>IF(DG698=1,DN$7,0)</f>
        <v>Timber</v>
      </c>
      <c r="DO698">
        <v>0</v>
      </c>
      <c r="DP698">
        <v>1</v>
      </c>
      <c r="DQ698" s="264" t="s">
        <v>1651</v>
      </c>
      <c r="DR698" s="264" t="s">
        <v>1651</v>
      </c>
      <c r="DS698" s="264" t="s">
        <v>1651</v>
      </c>
      <c r="DT698">
        <f>SUM(DO698:DP698)</f>
        <v>1</v>
      </c>
      <c r="DU698" s="143" t="str">
        <f>IF(DO698=1,"self-calculated DF",IF(DP698=1,"external DF used","explicit C balance"))</f>
        <v>external DF used</v>
      </c>
      <c r="DV698">
        <v>1</v>
      </c>
      <c r="DW698">
        <v>1</v>
      </c>
      <c r="DX698">
        <v>1</v>
      </c>
      <c r="DY698">
        <v>1</v>
      </c>
      <c r="DZ698">
        <v>0</v>
      </c>
      <c r="EA698">
        <v>0</v>
      </c>
      <c r="EB698">
        <v>0</v>
      </c>
      <c r="EC698">
        <v>0</v>
      </c>
      <c r="ED698">
        <v>0</v>
      </c>
      <c r="EE698">
        <v>0</v>
      </c>
      <c r="EF698">
        <v>1</v>
      </c>
      <c r="EG698">
        <v>0</v>
      </c>
      <c r="EH698">
        <v>1</v>
      </c>
      <c r="EI698" s="2">
        <v>0</v>
      </c>
      <c r="EK698" t="str">
        <f>IF(AND(AND(AND(OR($DX698=1,$DW698=1),OR($EC698=1,$EA698=1)),SUM($DV698:$DZ698,$EF698)&gt;=4),SUM($EA698:$EE698)&gt;=2),"Whole sector","")</f>
        <v/>
      </c>
      <c r="EL698" t="str">
        <f>IF(AND(AND(OR($DX698=1,$DW698=1),AND($EC698=0,$EA698=0)),SUM($DV698:$DZ698,$EF698)&gt;=4),"Ecosystem approach","")</f>
        <v>Ecosystem approach</v>
      </c>
      <c r="EM698" s="2" t="str">
        <f>IF(AND(AND(AND($DX698=0,$DW698=0),OR($EC698=1,$EA698=1)),SUM($EB698:$EE698)&gt;=2),"Technology approach","")</f>
        <v/>
      </c>
      <c r="EP698" t="str">
        <f>IF(ISNUMBER(BU698),IF(ABS(BU698-[3]QC_indicators!$B$2)&gt;3*[3]QC_indicators!$C$2,"C ratio",IF(ISNUMBER(BY698),IF(ABS(BY698-[3]QC_indicators!$B$1)&gt;3*[3]QC_indicators!$C$1,"DF","no"))),IF(ISNUMBER(BY698),IF(ABS(BY698-[3]QC_indicators!$B$1)&gt;3*[3]QC_indicators!$C$1,"DF","no")))</f>
        <v>no</v>
      </c>
      <c r="ET698" s="264" t="s">
        <v>3407</v>
      </c>
    </row>
    <row r="699" spans="1:150" ht="15" customHeight="1">
      <c r="A699" s="1" t="s">
        <v>1423</v>
      </c>
      <c r="B699" t="s">
        <v>2490</v>
      </c>
      <c r="C699" t="s">
        <v>2491</v>
      </c>
      <c r="D699" t="s">
        <v>2492</v>
      </c>
      <c r="E699" t="s">
        <v>2493</v>
      </c>
      <c r="F699" t="s">
        <v>2494</v>
      </c>
      <c r="G699" t="s">
        <v>1429</v>
      </c>
      <c r="H699" t="s">
        <v>254</v>
      </c>
      <c r="I699">
        <v>2016</v>
      </c>
      <c r="J699">
        <v>24</v>
      </c>
      <c r="K699" t="s">
        <v>2495</v>
      </c>
      <c r="M699" t="str">
        <f>LEFT($D699,FIND(",",$D699)-1)&amp;"_"&amp;I699&amp;L699</f>
        <v>Zubizarreta-Gerendiain_2016</v>
      </c>
      <c r="N699" t="s">
        <v>222</v>
      </c>
      <c r="O699" s="145" t="s">
        <v>1154</v>
      </c>
      <c r="Q699" t="s">
        <v>256</v>
      </c>
      <c r="R699" s="262" t="s">
        <v>223</v>
      </c>
      <c r="S699" s="1" t="s">
        <v>2526</v>
      </c>
      <c r="T699" t="s">
        <v>2509</v>
      </c>
      <c r="U699" t="s">
        <v>2527</v>
      </c>
      <c r="V699">
        <v>0</v>
      </c>
      <c r="W699">
        <v>0</v>
      </c>
      <c r="X699">
        <v>0</v>
      </c>
      <c r="Y699">
        <v>1</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s="141">
        <f>COUNTIF(V699:AW699,"&lt;&gt;0")</f>
        <v>1</v>
      </c>
      <c r="AY699" s="141">
        <f>COUNTIF(V699:AL699,"&lt;&gt;0")</f>
        <v>1</v>
      </c>
      <c r="AZ699">
        <f>COUNTIF(V699:AC699,"&lt;&gt;0")</f>
        <v>1</v>
      </c>
      <c r="BA699">
        <f>COUNTIF(AD699:AI699,"&lt;&gt;0")</f>
        <v>0</v>
      </c>
      <c r="BB699">
        <f>COUNTIF(AJ699:AL699,"&lt;&gt;0")</f>
        <v>0</v>
      </c>
      <c r="BC699">
        <f>COUNTIF(AS699:AW699,"&lt;&gt;0")</f>
        <v>0</v>
      </c>
      <c r="BD699">
        <f>COUNTIF(AM699:AR699,"&lt;&gt;0")</f>
        <v>0</v>
      </c>
      <c r="BE699" t="str">
        <f t="array" ref="BE699">IF(AY699=1,INDEX($V$7:$AL$7,MATCH(TRUE,INDEX($V699:$AW699&lt;&gt;0,),0)),IF(AY699=0,INDEX($AM$7:$AW$7,MATCH(1,$AM699:$AW699,0)),IF(BF699="Multiple strategies","mixed drivers",IF(BF699="Supply chain","multiple supply","multiple silviculture"))))</f>
        <v xml:space="preserve">cutting intensity </v>
      </c>
      <c r="BF699" s="2" t="str" cm="1">
        <f t="array" ref="BF699">IF(COUNTIF(AZ699:BB699,"&lt;&gt;0")=1,INDEX($V$4:$AW$4,MATCH(TRUE,INDEX($V699:$AW699&lt;&gt;0,),0)),IF(COUNTIF(AZ699:BB699,"&lt;&gt;0")=0,INDEX($AM$4:$AW$4,MATCH(1,$AM699:$AW699,0)),"Multiple strategies"))</f>
        <v>Silviculture for removals</v>
      </c>
      <c r="BG699" s="1" t="s">
        <v>321</v>
      </c>
      <c r="BH699" t="s">
        <v>2499</v>
      </c>
      <c r="BI699" s="264" t="s">
        <v>2113</v>
      </c>
      <c r="BJ699" t="s">
        <v>2500</v>
      </c>
      <c r="BK699">
        <v>64.910485933503793</v>
      </c>
      <c r="BL699">
        <v>77.586206896551701</v>
      </c>
      <c r="BM699" s="143">
        <f>BL699/BK699</f>
        <v>1.1952800195646862</v>
      </c>
      <c r="BN699">
        <f>BL699-BK699</f>
        <v>12.675720963047908</v>
      </c>
      <c r="BO699">
        <f>BN699*1000*t_to_m3</f>
        <v>25868.818291934509</v>
      </c>
      <c r="BP699" t="s">
        <v>232</v>
      </c>
      <c r="BQ699" s="143" t="s">
        <v>3256</v>
      </c>
      <c r="BR699" t="s">
        <v>1195</v>
      </c>
      <c r="BS699">
        <v>78941.884525139583</v>
      </c>
      <c r="BT699">
        <v>87186.467765363064</v>
      </c>
      <c r="BU699" s="144">
        <f>IFERROR(BT699/BS699,"")</f>
        <v>1.1044386422976504</v>
      </c>
      <c r="BV699" s="144">
        <f>BT699-BS699</f>
        <v>8244.583240223481</v>
      </c>
      <c r="BW699" s="144"/>
      <c r="BX699" s="144">
        <f>BV699</f>
        <v>8244.583240223481</v>
      </c>
      <c r="BY699">
        <f>IFERROR(BX699/BO699,"")</f>
        <v>0.31870737763054341</v>
      </c>
      <c r="BZ699">
        <v>0</v>
      </c>
      <c r="CA699">
        <v>0</v>
      </c>
      <c r="CB699">
        <v>0</v>
      </c>
      <c r="CC699">
        <v>0</v>
      </c>
      <c r="CD699">
        <v>0</v>
      </c>
      <c r="CE699">
        <v>0</v>
      </c>
      <c r="CF699">
        <v>0</v>
      </c>
      <c r="CG699">
        <v>0</v>
      </c>
      <c r="CH699">
        <v>0</v>
      </c>
      <c r="CI699">
        <v>0</v>
      </c>
      <c r="CJ699">
        <v>0</v>
      </c>
      <c r="CK699">
        <v>0</v>
      </c>
      <c r="CL699">
        <v>0</v>
      </c>
      <c r="CM699">
        <v>1</v>
      </c>
      <c r="CN699" t="str">
        <f>IF($BL699&lt;$BK699,"refNeedCorrection","refOK")</f>
        <v>refOK</v>
      </c>
      <c r="CO699">
        <f>IF($CN699="refOK",$BK699,$BL699)</f>
        <v>64.910485933503793</v>
      </c>
      <c r="CP699">
        <f>IF($CN699="refOK",$BL699,$BK699)</f>
        <v>77.586206896551701</v>
      </c>
      <c r="CQ699">
        <f>IF($CN699="refOK",$BO699,-$BO699)</f>
        <v>25868.818291934509</v>
      </c>
      <c r="CR699">
        <f>IF($CN699="refOK",$BS699,$BT699)*IF($BP699="Emissions positive",-1,1)</f>
        <v>78941.884525139583</v>
      </c>
      <c r="CS699">
        <f>IF($CN699="refOK",$BT699,$BS699)*IF($BP699="Emissions positive",-1,1)</f>
        <v>87186.467765363064</v>
      </c>
      <c r="CT699">
        <f>IF($CN699="refNeedCorrection",-BX699,BX699)*IF($BP699="Emissions positive",-1,1)</f>
        <v>8244.583240223481</v>
      </c>
      <c r="CU699">
        <f>IFERROR(CT699/CQ699,"")</f>
        <v>0.31870737763054341</v>
      </c>
      <c r="CV699" s="2">
        <f>IFERROR((CS699-CR699)/ABS(CR699),"")</f>
        <v>0.10443864229765046</v>
      </c>
      <c r="CW699" s="1" t="s">
        <v>1199</v>
      </c>
      <c r="CX699" t="str">
        <f>IF(OR($CW699="prd",$CW699="std",$CW699="cit"),"loc",IF(OR($CW699="eur",$CW699="reg",$CW699="coy"),"reg",$CW699))</f>
        <v>reg</v>
      </c>
      <c r="CY699" t="s">
        <v>235</v>
      </c>
      <c r="CZ699">
        <v>2010</v>
      </c>
      <c r="DA699">
        <v>2070</v>
      </c>
      <c r="DB699">
        <f>DA699-CZ699</f>
        <v>60</v>
      </c>
      <c r="DC699" t="str">
        <f>IF(DB699=0,"0",IF(AND(DB699&gt;=1,DB699&lt;=30),"1-30",IF(AND(DB699&gt;30,DB699&lt;=70),"31-70",IF(AND(DB699&gt;70,DB699&lt;=100),"71-100",IF(DB699&gt;100,"+100")))))</f>
        <v>31-70</v>
      </c>
      <c r="DD699">
        <v>1</v>
      </c>
      <c r="DE699">
        <v>1</v>
      </c>
      <c r="DF699">
        <v>1</v>
      </c>
      <c r="DG699">
        <v>1</v>
      </c>
      <c r="DH699">
        <v>0</v>
      </c>
      <c r="DI699">
        <f>SUM(DD699:DG699)</f>
        <v>4</v>
      </c>
      <c r="DJ699" t="str">
        <f>IF(DI699=1,INDEX($DD$7:$DG$7,MATCH(1,$DD699:$DG699,0)),"mixedProduct")</f>
        <v>mixedProduct</v>
      </c>
      <c r="DK699" t="str">
        <f>IF(DD699=1,DK$7,0)</f>
        <v>Upstream</v>
      </c>
      <c r="DL699" t="str">
        <f>IF(DE699=1,DL$7,0)</f>
        <v>Energy</v>
      </c>
      <c r="DM699" t="str">
        <f>IF(DF699=1,DM$7,0)</f>
        <v>Pulp/Paper</v>
      </c>
      <c r="DN699" t="str">
        <f>IF(DG699=1,DN$7,0)</f>
        <v>Timber</v>
      </c>
      <c r="DO699">
        <v>0</v>
      </c>
      <c r="DP699">
        <v>0</v>
      </c>
      <c r="DQ699">
        <v>0</v>
      </c>
      <c r="DR699">
        <v>0</v>
      </c>
      <c r="DS699">
        <v>0</v>
      </c>
      <c r="DT699">
        <f>SUM(DO699:DP699)</f>
        <v>0</v>
      </c>
      <c r="DU699" s="143" t="str">
        <f>IF(DO699=1,"self-calculated DF",IF(DP699=1,"external DF used","explicit C balance"))</f>
        <v>explicit C balance</v>
      </c>
      <c r="DV699">
        <v>1</v>
      </c>
      <c r="DW699">
        <v>1</v>
      </c>
      <c r="DX699">
        <v>1</v>
      </c>
      <c r="DY699">
        <v>1</v>
      </c>
      <c r="DZ699">
        <v>0</v>
      </c>
      <c r="EA699" s="143">
        <v>0</v>
      </c>
      <c r="EB699">
        <v>0</v>
      </c>
      <c r="EC699">
        <v>0</v>
      </c>
      <c r="ED699">
        <v>0</v>
      </c>
      <c r="EE699">
        <v>0</v>
      </c>
      <c r="EF699">
        <v>1</v>
      </c>
      <c r="EG699">
        <v>0</v>
      </c>
      <c r="EH699">
        <v>0</v>
      </c>
      <c r="EI699" s="2">
        <v>0</v>
      </c>
      <c r="EK699" t="str">
        <f>IF(AND(AND(AND(OR($DX699=1,$DW699=1),OR($EC699=1,$EA699=1)),SUM($DV699:$DZ699,$EF699)&gt;=4),SUM($EA699:$EE699)&gt;=2),"Whole sector","")</f>
        <v/>
      </c>
      <c r="EL699" t="str">
        <f>IF(AND(AND(OR($DX699=1,$DW699=1),AND($EC699=0,$EA699=0)),SUM($DV699:$DZ699,$EF699)&gt;=4),"Ecosystem approach","")</f>
        <v>Ecosystem approach</v>
      </c>
      <c r="EM699" s="2" t="str">
        <f>IF(AND(AND(AND($DX699=0,$DW699=0),OR($EC699=1,$EA699=1)),SUM($EB699:$EE699)&gt;=2),"Technology approach","")</f>
        <v/>
      </c>
      <c r="EP699" t="str">
        <f>IF(ISNUMBER(BU699),IF(ABS(BU699-[1]QC_indicators!$B$2)&gt;3*[1]QC_indicators!$C$2,"C ratio",IF(ISNUMBER(BY699),IF(ABS(BY699-[1]QC_indicators!$B$1)&gt;3*[1]QC_indicators!$C$1,"DF","no"))),IF(ISNUMBER(BY699),IF(ABS(BY699-[1]QC_indicators!$B$1)&gt;3*[1]QC_indicators!$C$1,"DF","no")))</f>
        <v>no</v>
      </c>
      <c r="ET699" s="264" t="s">
        <v>3258</v>
      </c>
    </row>
    <row r="700" spans="1:150" ht="15" customHeight="1">
      <c r="A700" s="1" t="s">
        <v>430</v>
      </c>
      <c r="B700" t="s">
        <v>431</v>
      </c>
      <c r="C700" t="s">
        <v>432</v>
      </c>
      <c r="D700" t="s">
        <v>433</v>
      </c>
      <c r="E700" t="s">
        <v>434</v>
      </c>
      <c r="F700" t="s">
        <v>435</v>
      </c>
      <c r="G700" t="s">
        <v>436</v>
      </c>
      <c r="H700" t="s">
        <v>254</v>
      </c>
      <c r="I700">
        <v>2000</v>
      </c>
      <c r="J700">
        <v>174</v>
      </c>
      <c r="K700" t="s">
        <v>437</v>
      </c>
      <c r="M700" t="str">
        <f>LEFT($D700,FIND(",",$D700)-1)&amp;"_"&amp;I700&amp;L700</f>
        <v>Borjesson_2000</v>
      </c>
      <c r="N700" t="s">
        <v>222</v>
      </c>
      <c r="O700" s="145" t="s">
        <v>223</v>
      </c>
      <c r="Q700" t="s">
        <v>256</v>
      </c>
      <c r="R700" s="255" t="s">
        <v>225</v>
      </c>
      <c r="S700" s="1" t="s">
        <v>438</v>
      </c>
      <c r="T700" t="s">
        <v>449</v>
      </c>
      <c r="U700" t="s">
        <v>448</v>
      </c>
      <c r="V700">
        <v>0</v>
      </c>
      <c r="W700">
        <v>0</v>
      </c>
      <c r="X700">
        <v>0</v>
      </c>
      <c r="Y700">
        <v>0</v>
      </c>
      <c r="Z700">
        <v>0</v>
      </c>
      <c r="AA700">
        <v>0</v>
      </c>
      <c r="AB700">
        <v>0</v>
      </c>
      <c r="AC700">
        <v>0</v>
      </c>
      <c r="AD700">
        <v>0</v>
      </c>
      <c r="AE700">
        <v>0</v>
      </c>
      <c r="AF700">
        <v>0</v>
      </c>
      <c r="AG700">
        <v>0</v>
      </c>
      <c r="AH700">
        <v>0</v>
      </c>
      <c r="AI700">
        <v>0</v>
      </c>
      <c r="AJ700">
        <v>0</v>
      </c>
      <c r="AK700">
        <v>1</v>
      </c>
      <c r="AL700">
        <v>0</v>
      </c>
      <c r="AM700">
        <v>0</v>
      </c>
      <c r="AN700">
        <v>0</v>
      </c>
      <c r="AO700">
        <v>0</v>
      </c>
      <c r="AP700">
        <v>0</v>
      </c>
      <c r="AQ700">
        <v>0</v>
      </c>
      <c r="AR700">
        <v>0</v>
      </c>
      <c r="AS700">
        <v>0</v>
      </c>
      <c r="AT700">
        <v>0</v>
      </c>
      <c r="AU700">
        <v>0</v>
      </c>
      <c r="AV700">
        <v>0</v>
      </c>
      <c r="AW700">
        <v>0</v>
      </c>
      <c r="AX700" s="141">
        <f>COUNTIF(V700:AW700,"&lt;&gt;0")</f>
        <v>1</v>
      </c>
      <c r="AY700" s="141">
        <f>COUNTIF(V700:AL700,"&lt;&gt;0")</f>
        <v>1</v>
      </c>
      <c r="AZ700">
        <f>COUNTIF(V700:AC700,"&lt;&gt;0")</f>
        <v>0</v>
      </c>
      <c r="BA700">
        <f>COUNTIF(AD700:AI700,"&lt;&gt;0")</f>
        <v>0</v>
      </c>
      <c r="BB700">
        <f>COUNTIF(AJ700:AL700,"&lt;&gt;0")</f>
        <v>1</v>
      </c>
      <c r="BC700">
        <f>COUNTIF(AS700:AW700,"&lt;&gt;0")</f>
        <v>0</v>
      </c>
      <c r="BD700">
        <f>COUNTIF(AM700:AR700,"&lt;&gt;0")</f>
        <v>0</v>
      </c>
      <c r="BE700" t="str">
        <f t="array" ref="BE700">IF(AY700=1,INDEX($V$7:$AL$7,MATCH(TRUE,INDEX($V700:$AW700&lt;&gt;0,),0)),IF(AY700=0,INDEX($AM$7:$AW$7,MATCH(1,$AM700:$AW700,0)),IF(BF700="Multiple strategies","mixed drivers",IF(BF700="Supply chain","multiple supply","multiple silviculture"))))</f>
        <v>technologies/design switch</v>
      </c>
      <c r="BF700" s="2" t="str" cm="1">
        <f t="array" ref="BF700">IF(COUNTIF(AZ700:BB700,"&lt;&gt;0")=1,INDEX($V$4:$AW$4,MATCH(TRUE,INDEX($V700:$AW700&lt;&gt;0,),0)),IF(COUNTIF(AZ700:BB700,"&lt;&gt;0")=0,INDEX($AM$4:$AW$4,MATCH(1,$AM700:$AW700,0)),"Multiple strategies"))</f>
        <v>Technology</v>
      </c>
      <c r="BG700" s="142" t="s">
        <v>229</v>
      </c>
      <c r="BH700" t="s">
        <v>441</v>
      </c>
      <c r="BI700" s="264" t="s">
        <v>3274</v>
      </c>
      <c r="BJ700" s="143" t="s">
        <v>442</v>
      </c>
      <c r="BK700">
        <v>0</v>
      </c>
      <c r="BL700">
        <f>3*44</f>
        <v>132</v>
      </c>
      <c r="BM700" s="143" t="e">
        <f>BL700/BK700</f>
        <v>#DIV/0!</v>
      </c>
      <c r="BN700">
        <f>BL700-BK700</f>
        <v>132</v>
      </c>
      <c r="BO700">
        <f>BN700*tC_to_m3</f>
        <v>573.16543638732094</v>
      </c>
      <c r="BP700" t="s">
        <v>232</v>
      </c>
      <c r="BQ700" s="260" t="s">
        <v>813</v>
      </c>
      <c r="BR700" t="s">
        <v>443</v>
      </c>
      <c r="BS700" s="141">
        <v>3</v>
      </c>
      <c r="BT700" s="141">
        <v>53</v>
      </c>
      <c r="BU700" s="144">
        <f>IFERROR(BT700/BS700,"")</f>
        <v>17.666666666666668</v>
      </c>
      <c r="BV700">
        <f>BT700-BS700</f>
        <v>50</v>
      </c>
      <c r="BX700">
        <f>BV700*C_to_CO2</f>
        <v>183.5</v>
      </c>
      <c r="BY700">
        <f>IFERROR(BX700/BO700,"")</f>
        <v>0.32015189393939392</v>
      </c>
      <c r="BZ700" s="143">
        <v>0</v>
      </c>
      <c r="CA700" s="143">
        <v>0</v>
      </c>
      <c r="CB700" s="143">
        <v>0</v>
      </c>
      <c r="CC700" s="143">
        <v>0</v>
      </c>
      <c r="CD700" s="143">
        <v>0</v>
      </c>
      <c r="CE700" s="143">
        <v>0</v>
      </c>
      <c r="CF700" s="143">
        <v>0</v>
      </c>
      <c r="CG700" s="143">
        <v>0</v>
      </c>
      <c r="CH700" s="143">
        <v>0</v>
      </c>
      <c r="CI700" s="143">
        <v>0</v>
      </c>
      <c r="CJ700" s="143">
        <v>0</v>
      </c>
      <c r="CK700" s="143">
        <v>0</v>
      </c>
      <c r="CL700" s="143">
        <v>0</v>
      </c>
      <c r="CM700">
        <v>0</v>
      </c>
      <c r="CN700" t="str">
        <f>IF($BL700&lt;$BK700,"refNeedCorrection","refOK")</f>
        <v>refOK</v>
      </c>
      <c r="CO700">
        <f>IF($CN700="refOK",$BK700,$BL700)</f>
        <v>0</v>
      </c>
      <c r="CP700">
        <f>IF($CN700="refOK",$BL700,$BK700)</f>
        <v>132</v>
      </c>
      <c r="CQ700">
        <f>IF($CN700="refOK",$BO700,-$BO700)</f>
        <v>573.16543638732094</v>
      </c>
      <c r="CR700">
        <f>IF($CN700="refOK",$BS700,$BT700)*IF($BP700="Emissions positive",-1,1)</f>
        <v>3</v>
      </c>
      <c r="CS700">
        <f>IF($CN700="refOK",$BT700,$BS700)*IF($BP700="Emissions positive",-1,1)</f>
        <v>53</v>
      </c>
      <c r="CT700">
        <f>IF($CN700="refNeedCorrection",-BX700,BX700)*IF($BP700="Emissions positive",-1,1)</f>
        <v>183.5</v>
      </c>
      <c r="CU700">
        <f>IFERROR(CT700/CQ700,"")</f>
        <v>0.32015189393939392</v>
      </c>
      <c r="CV700" s="2">
        <f>IFERROR((CS700-CR700)/ABS(CR700),"")</f>
        <v>16.666666666666668</v>
      </c>
      <c r="CW700" s="1" t="s">
        <v>263</v>
      </c>
      <c r="CX700" t="str">
        <f>IF(OR($CW700="prd",$CW700="std",$CW700="cit"),"loc",IF(OR($CW700="eur",$CW700="reg",$CW700="coy"),"reg",$CW700))</f>
        <v>loc</v>
      </c>
      <c r="CY700" t="s">
        <v>444</v>
      </c>
      <c r="DB700">
        <v>300</v>
      </c>
      <c r="DC700" t="str">
        <f>IF(DB700=0,"0",IF(AND(DB700&gt;=1,DB700&lt;=30),"1-30",IF(AND(DB700&gt;30,DB700&lt;=70),"31-70",IF(AND(DB700&gt;70,DB700&lt;=100),"71-100",IF(DB700&gt;100,"+100")))))</f>
        <v>+100</v>
      </c>
      <c r="DD700">
        <v>0</v>
      </c>
      <c r="DE700">
        <v>0</v>
      </c>
      <c r="DF700">
        <v>0</v>
      </c>
      <c r="DG700">
        <v>1</v>
      </c>
      <c r="DI700">
        <f>SUM(DD700:DG700)</f>
        <v>1</v>
      </c>
      <c r="DJ700" t="str">
        <f>IF(DI700=1,INDEX($DD$7:$DG$7,MATCH(1,$DD700:$DG700,0)),"mixedProduct")</f>
        <v>TimberInput</v>
      </c>
      <c r="DK700">
        <f>IF(DD700=1,DK$7,0)</f>
        <v>0</v>
      </c>
      <c r="DL700">
        <f>IF(DE700=1,DL$7,0)</f>
        <v>0</v>
      </c>
      <c r="DM700">
        <f>IF(DF700=1,DM$7,0)</f>
        <v>0</v>
      </c>
      <c r="DN700" t="str">
        <f>IF(DG700=1,DN$7,0)</f>
        <v>Timber</v>
      </c>
      <c r="DO700">
        <v>1</v>
      </c>
      <c r="DP700" s="143">
        <v>0</v>
      </c>
      <c r="DQ700" s="143">
        <v>0</v>
      </c>
      <c r="DR700" s="143">
        <v>0</v>
      </c>
      <c r="DS700">
        <v>0</v>
      </c>
      <c r="DT700">
        <f>SUM(DO700:DP700)</f>
        <v>1</v>
      </c>
      <c r="DU700" s="143" t="str">
        <f>IF(DO700=1,"self-calculated DF",IF(DP700=1,"external DF used","explicit C balance"))</f>
        <v>self-calculated DF</v>
      </c>
      <c r="DV700">
        <v>0</v>
      </c>
      <c r="DW700" s="143">
        <v>0</v>
      </c>
      <c r="DX700" s="143">
        <v>1</v>
      </c>
      <c r="DY700" s="143">
        <v>1</v>
      </c>
      <c r="DZ700">
        <v>1</v>
      </c>
      <c r="EA700" s="143">
        <v>1</v>
      </c>
      <c r="EB700">
        <v>0</v>
      </c>
      <c r="EC700" s="143">
        <v>1</v>
      </c>
      <c r="ED700" s="143">
        <v>0</v>
      </c>
      <c r="EE700">
        <v>0</v>
      </c>
      <c r="EF700">
        <v>0</v>
      </c>
      <c r="EG700" s="143">
        <v>0</v>
      </c>
      <c r="EH700" s="143">
        <v>0</v>
      </c>
      <c r="EI700" s="2">
        <v>0</v>
      </c>
      <c r="EK700" t="str">
        <f>IF(AND(AND(AND(OR($DX700=1,$DW700=1),OR($EC700=1,$EA700=1)),SUM($DV700:$DZ700,$EF700)&gt;=4),SUM($EA700:$EE700)&gt;=2),"Whole sector","")</f>
        <v/>
      </c>
      <c r="EL700" t="str">
        <f>IF(AND(AND(OR($DX700=1,$DW700=1),AND($EC700=0,$EA700=0)),SUM($DV700:$DZ700,$EF700)&gt;=4),"Ecosystem approach","")</f>
        <v/>
      </c>
      <c r="EM700" s="2" t="str">
        <f>IF(AND(AND(AND($DX700=0,$DW700=0),OR($EC700=1,$EA700=1)),SUM($EB700:$EE700)&gt;=2),"Technology approach","")</f>
        <v/>
      </c>
      <c r="EN700" t="s">
        <v>445</v>
      </c>
      <c r="EP700" t="str">
        <f>IF(ISNUMBER(BU700),IF(ABS(BU700-[4]QC_indicators!$B$2)&gt;3*[4]QC_indicators!$C$2,"C ratio",IF(ISNUMBER(BY700),IF(ABS(BY700-[4]QC_indicators!$B$1)&gt;3*[4]QC_indicators!$C$1,"DF","no"))),IF(ISNUMBER(BY700),IF(ABS(BY700-[4]QC_indicators!$B$1)&gt;3*[4]QC_indicators!$C$1,"DF","no")))</f>
        <v>no</v>
      </c>
      <c r="EQ700" t="s">
        <v>450</v>
      </c>
      <c r="ET700" s="264" t="s">
        <v>3273</v>
      </c>
    </row>
    <row r="701" spans="1:150" ht="15" customHeight="1">
      <c r="A701" s="1" t="s">
        <v>878</v>
      </c>
      <c r="B701" t="s">
        <v>1791</v>
      </c>
      <c r="C701" t="s">
        <v>1792</v>
      </c>
      <c r="D701" t="s">
        <v>1793</v>
      </c>
      <c r="E701" t="s">
        <v>1794</v>
      </c>
      <c r="F701" t="s">
        <v>1795</v>
      </c>
      <c r="G701" t="s">
        <v>1184</v>
      </c>
      <c r="H701" t="s">
        <v>254</v>
      </c>
      <c r="I701">
        <v>2011</v>
      </c>
      <c r="J701">
        <v>6</v>
      </c>
      <c r="K701" t="s">
        <v>1796</v>
      </c>
      <c r="M701" t="str">
        <f>LEFT($D701,FIND(",",$D701)-1)&amp;"_"&amp;I701&amp;L701</f>
        <v>Kayo_2011</v>
      </c>
      <c r="N701" t="s">
        <v>222</v>
      </c>
      <c r="O701" s="145" t="s">
        <v>513</v>
      </c>
      <c r="Q701" t="s">
        <v>256</v>
      </c>
      <c r="R701" s="255" t="s">
        <v>225</v>
      </c>
      <c r="S701" s="263" t="s">
        <v>3363</v>
      </c>
      <c r="T701" t="s">
        <v>1805</v>
      </c>
      <c r="U701" s="264" t="s">
        <v>3364</v>
      </c>
      <c r="V701">
        <v>0</v>
      </c>
      <c r="W701">
        <v>0</v>
      </c>
      <c r="X701">
        <v>0</v>
      </c>
      <c r="Y701">
        <v>0</v>
      </c>
      <c r="Z701">
        <v>0</v>
      </c>
      <c r="AA701">
        <v>0</v>
      </c>
      <c r="AB701">
        <v>0</v>
      </c>
      <c r="AC701">
        <v>0</v>
      </c>
      <c r="AD701">
        <v>0</v>
      </c>
      <c r="AE701">
        <v>0</v>
      </c>
      <c r="AF701">
        <v>0</v>
      </c>
      <c r="AG701">
        <v>0</v>
      </c>
      <c r="AH701">
        <v>0</v>
      </c>
      <c r="AI701">
        <v>0</v>
      </c>
      <c r="AJ701">
        <v>0</v>
      </c>
      <c r="AK701">
        <v>1</v>
      </c>
      <c r="AL701">
        <v>0</v>
      </c>
      <c r="AM701">
        <v>0</v>
      </c>
      <c r="AN701">
        <v>0</v>
      </c>
      <c r="AO701">
        <v>0</v>
      </c>
      <c r="AP701">
        <v>0</v>
      </c>
      <c r="AQ701">
        <v>0</v>
      </c>
      <c r="AR701">
        <v>0</v>
      </c>
      <c r="AS701">
        <v>0</v>
      </c>
      <c r="AT701">
        <v>0</v>
      </c>
      <c r="AU701">
        <v>0</v>
      </c>
      <c r="AV701">
        <v>0</v>
      </c>
      <c r="AW701">
        <v>0</v>
      </c>
      <c r="AX701" s="141">
        <f>COUNTIF(V701:AW701,"&lt;&gt;0")</f>
        <v>1</v>
      </c>
      <c r="AY701" s="141">
        <f>COUNTIF(V701:AL701,"&lt;&gt;0")</f>
        <v>1</v>
      </c>
      <c r="AZ701">
        <f>COUNTIF(V701:AC701,"&lt;&gt;0")</f>
        <v>0</v>
      </c>
      <c r="BA701">
        <f>COUNTIF(AD701:AI701,"&lt;&gt;0")</f>
        <v>0</v>
      </c>
      <c r="BB701">
        <f>COUNTIF(AJ701:AL701,"&lt;&gt;0")</f>
        <v>1</v>
      </c>
      <c r="BC701">
        <f>COUNTIF(AS701:AW701,"&lt;&gt;0")</f>
        <v>0</v>
      </c>
      <c r="BD701">
        <f>COUNTIF(AM701:AR701,"&lt;&gt;0")</f>
        <v>0</v>
      </c>
      <c r="BE701" t="str">
        <f t="array" ref="BE701">IF(AY701=1,INDEX($V$7:$AL$7,MATCH(TRUE,INDEX($V701:$AW701&lt;&gt;0,),0)),IF(AY701=0,INDEX($AM$7:$AW$7,MATCH(1,$AM701:$AW701,0)),IF(BF701="Multiple strategies","mixed drivers",IF(BF701="Supply chain","multiple supply","multiple silviculture"))))</f>
        <v>technologies/design switch</v>
      </c>
      <c r="BF701" s="2" t="str" cm="1">
        <f t="array" ref="BF701">IF(COUNTIF(AZ701:BB701,"&lt;&gt;0")=1,INDEX($V$4:$AW$4,MATCH(TRUE,INDEX($V701:$AW701&lt;&gt;0,),0)),IF(COUNTIF(AZ701:BB701,"&lt;&gt;0")=0,INDEX($AM$4:$AW$4,MATCH(1,$AM701:$AW701,0)),"Multiple strategies"))</f>
        <v>Technology</v>
      </c>
      <c r="BG701" s="1" t="s">
        <v>229</v>
      </c>
      <c r="BH701" t="s">
        <v>1799</v>
      </c>
      <c r="BI701" s="260" t="s">
        <v>3346</v>
      </c>
      <c r="BJ701" s="260" t="s">
        <v>3347</v>
      </c>
      <c r="BK701">
        <v>0</v>
      </c>
      <c r="BL701">
        <v>32</v>
      </c>
      <c r="BN701">
        <f>BL701-BK701</f>
        <v>32</v>
      </c>
      <c r="BO701">
        <f>BN701*10^6*t_to_m3</f>
        <v>65306122.448979594</v>
      </c>
      <c r="BP701" t="s">
        <v>232</v>
      </c>
      <c r="BQ701" s="260" t="s">
        <v>3341</v>
      </c>
      <c r="BR701" t="s">
        <v>1300</v>
      </c>
      <c r="BU701" s="144" t="str">
        <f>IFERROR(BT701/BS701,"")</f>
        <v/>
      </c>
      <c r="BV701">
        <v>21</v>
      </c>
      <c r="BX701">
        <f>BV701*10^6</f>
        <v>21000000</v>
      </c>
      <c r="BY701">
        <f>IFERROR(BX701/BO701,"")</f>
        <v>0.32156249999999997</v>
      </c>
      <c r="BZ701">
        <v>0</v>
      </c>
      <c r="CA701">
        <v>0</v>
      </c>
      <c r="CB701">
        <v>0</v>
      </c>
      <c r="CC701">
        <v>0</v>
      </c>
      <c r="CD701">
        <v>0</v>
      </c>
      <c r="CE701">
        <v>0</v>
      </c>
      <c r="CF701">
        <v>0</v>
      </c>
      <c r="CG701">
        <v>0</v>
      </c>
      <c r="CH701">
        <v>0</v>
      </c>
      <c r="CI701">
        <v>0</v>
      </c>
      <c r="CJ701">
        <v>0</v>
      </c>
      <c r="CK701">
        <v>0</v>
      </c>
      <c r="CL701">
        <v>0</v>
      </c>
      <c r="CM701">
        <v>0</v>
      </c>
      <c r="CN701" t="str">
        <f>IF(BL701&lt;BK701,"refNeedCorrection","refOK")</f>
        <v>refOK</v>
      </c>
      <c r="CO701">
        <f>IF($CN701="refOK",$BK701,$BL701)</f>
        <v>0</v>
      </c>
      <c r="CP701">
        <f>IF($CN701="refOK",$BL701,$BK701)</f>
        <v>32</v>
      </c>
      <c r="CQ701">
        <f>IF($CN701="refOK",$BO701,-$BO701)</f>
        <v>65306122.448979594</v>
      </c>
      <c r="CR701">
        <f>IF($CN701="refOK",$BS701,$BT701)*IF($BP701="Emissions positive",-1,1)</f>
        <v>0</v>
      </c>
      <c r="CS701">
        <f>IF($CN701="refOK",$BT701,$BS701)*IF($BP701="Emissions positive",-1,1)</f>
        <v>0</v>
      </c>
      <c r="CT701">
        <f>IF($CN701="refNeedCorrection",-BX701,BX701)*IF($BP701="Emissions positive",-1,1)</f>
        <v>21000000</v>
      </c>
      <c r="CU701">
        <f>IFERROR(CT701/CQ701,"")</f>
        <v>0.32156249999999997</v>
      </c>
      <c r="CV701" s="2" t="str">
        <f>IFERROR((CS701-CR701)/ABS(CR701),"")</f>
        <v/>
      </c>
      <c r="CW701" s="1" t="s">
        <v>1203</v>
      </c>
      <c r="CX701" t="str">
        <f>IF(OR($CW701="prd",$CW701="std",$CW701="cit"),"loc",IF(OR($CW701="eur",$CW701="reg",$CW701="coy"),"reg",$CW701))</f>
        <v>reg</v>
      </c>
      <c r="CY701" t="s">
        <v>961</v>
      </c>
      <c r="CZ701">
        <v>2005</v>
      </c>
      <c r="DA701">
        <v>2050</v>
      </c>
      <c r="DB701">
        <v>45</v>
      </c>
      <c r="DC701" t="str">
        <f>IF(DB701=0,"0",IF(AND(DB701&gt;=1,DB701&lt;=30),"1-30",IF(AND(DB701&gt;30,DB701&lt;=70),"31-70",IF(AND(DB701&gt;70,DB701&lt;=100),"71-100",IF(DB701&gt;100,"+100")))))</f>
        <v>31-70</v>
      </c>
      <c r="DD701">
        <v>0</v>
      </c>
      <c r="DE701">
        <v>1</v>
      </c>
      <c r="DF701">
        <v>0</v>
      </c>
      <c r="DG701">
        <v>0</v>
      </c>
      <c r="DI701">
        <f>SUM(DD701:DG701)</f>
        <v>1</v>
      </c>
      <c r="DJ701" t="str">
        <f>IF(DI701=1,INDEX($DD$7:$DG$7,MATCH(1,$DD701:$DG701,0)),"mixedProduct")</f>
        <v>EnergyInput</v>
      </c>
      <c r="DK701">
        <f>IF(DD701=1,DK$7,0)</f>
        <v>0</v>
      </c>
      <c r="DL701" t="str">
        <f>IF(DE701=1,DL$7,0)</f>
        <v>Energy</v>
      </c>
      <c r="DM701">
        <f>IF(DF701=1,DM$7,0)</f>
        <v>0</v>
      </c>
      <c r="DN701">
        <f>IF(DG701=1,DN$7,0)</f>
        <v>0</v>
      </c>
      <c r="DO701">
        <v>0</v>
      </c>
      <c r="DP701">
        <v>0</v>
      </c>
      <c r="DQ701">
        <v>0</v>
      </c>
      <c r="DR701">
        <v>0</v>
      </c>
      <c r="DS701">
        <v>0</v>
      </c>
      <c r="DT701">
        <f>SUM(DO701:DP701)</f>
        <v>0</v>
      </c>
      <c r="DU701" s="143" t="str">
        <f>IF(DO701=1,"self-calculated DF",IF(DP701=1,"external DF used","explicit C balance"))</f>
        <v>explicit C balance</v>
      </c>
      <c r="DV701">
        <v>0</v>
      </c>
      <c r="DW701">
        <v>1</v>
      </c>
      <c r="DX701">
        <v>1</v>
      </c>
      <c r="DY701">
        <v>0</v>
      </c>
      <c r="DZ701">
        <v>0</v>
      </c>
      <c r="EA701" s="143">
        <v>1</v>
      </c>
      <c r="EB701">
        <v>1</v>
      </c>
      <c r="EC701">
        <v>0</v>
      </c>
      <c r="ED701">
        <v>0</v>
      </c>
      <c r="EE701">
        <v>0</v>
      </c>
      <c r="EF701">
        <v>1</v>
      </c>
      <c r="EG701">
        <v>1</v>
      </c>
      <c r="EH701">
        <v>0</v>
      </c>
      <c r="EI701" s="2">
        <v>0</v>
      </c>
      <c r="EK701" t="str">
        <f>IF(AND(AND(AND(OR($DX701=1,$DW701=1),OR($EC701=1,$EA701=1)),SUM($DV701:$DZ701,$EF701)&gt;=4),SUM($EA701:$EE701)&gt;=2),"Whole sector","")</f>
        <v/>
      </c>
      <c r="EL701" t="str">
        <f>IF(AND(AND(OR($DX701=1,$DW701=1),AND($EC701=0,$EA701=0)),SUM($DV701:$DZ701,$EF701)&gt;=4),"Ecosystem approach","")</f>
        <v/>
      </c>
      <c r="EM701" s="2" t="str">
        <f>IF(AND(AND(AND($DX701=0,$DW701=0),OR($EC701=1,$EA701=1)),SUM($EB701:$EE701)&gt;=2),"Technology approach","")</f>
        <v/>
      </c>
      <c r="EP701" t="str">
        <f>IF(ISNUMBER(BU701),IF(ABS(BU701-[4]QC_indicators!$B$2)&gt;3*[4]QC_indicators!$C$2,"C ratio",IF(ISNUMBER(BY701),IF(ABS(BY701-[4]QC_indicators!$B$1)&gt;3*[4]QC_indicators!$C$1,"DF","no"))),IF(ISNUMBER(BY701),IF(ABS(BY701-[4]QC_indicators!$B$1)&gt;3*[4]QC_indicators!$C$1,"DF","no")))</f>
        <v>no</v>
      </c>
      <c r="ET701" s="264" t="s">
        <v>3273</v>
      </c>
    </row>
    <row r="702" spans="1:150" ht="15" customHeight="1">
      <c r="A702" s="1" t="s">
        <v>587</v>
      </c>
      <c r="B702" t="s">
        <v>2531</v>
      </c>
      <c r="C702" t="s">
        <v>2532</v>
      </c>
      <c r="D702" t="s">
        <v>2533</v>
      </c>
      <c r="E702" t="s">
        <v>2534</v>
      </c>
      <c r="F702" t="s">
        <v>2535</v>
      </c>
      <c r="G702" t="s">
        <v>593</v>
      </c>
      <c r="H702" t="s">
        <v>254</v>
      </c>
      <c r="I702">
        <v>2015</v>
      </c>
      <c r="J702">
        <v>46</v>
      </c>
      <c r="K702" t="s">
        <v>2536</v>
      </c>
      <c r="M702" t="str">
        <f>LEFT($D702,FIND(",",$D702)-1)&amp;"_"&amp;I702&amp;L702</f>
        <v>Iritani_2015</v>
      </c>
      <c r="N702" t="s">
        <v>222</v>
      </c>
      <c r="O702" s="145" t="s">
        <v>513</v>
      </c>
      <c r="Q702" t="s">
        <v>256</v>
      </c>
      <c r="R702" s="255" t="s">
        <v>223</v>
      </c>
      <c r="S702" s="1" t="s">
        <v>2537</v>
      </c>
      <c r="T702" s="264" t="s">
        <v>3089</v>
      </c>
      <c r="U702" s="264" t="s">
        <v>3093</v>
      </c>
      <c r="V702">
        <v>0</v>
      </c>
      <c r="W702">
        <v>0</v>
      </c>
      <c r="X702">
        <v>0</v>
      </c>
      <c r="Y702">
        <v>0</v>
      </c>
      <c r="Z702">
        <v>0</v>
      </c>
      <c r="AA702">
        <v>0</v>
      </c>
      <c r="AB702">
        <v>0</v>
      </c>
      <c r="AC702">
        <v>0</v>
      </c>
      <c r="AD702">
        <v>0</v>
      </c>
      <c r="AE702">
        <v>0</v>
      </c>
      <c r="AF702">
        <v>0</v>
      </c>
      <c r="AG702">
        <v>1</v>
      </c>
      <c r="AH702">
        <v>0</v>
      </c>
      <c r="AI702">
        <v>0</v>
      </c>
      <c r="AJ702">
        <v>0</v>
      </c>
      <c r="AK702">
        <v>0</v>
      </c>
      <c r="AL702">
        <v>0</v>
      </c>
      <c r="AM702">
        <v>0</v>
      </c>
      <c r="AN702">
        <v>0</v>
      </c>
      <c r="AO702">
        <v>0</v>
      </c>
      <c r="AP702">
        <v>0</v>
      </c>
      <c r="AQ702">
        <v>0</v>
      </c>
      <c r="AR702">
        <v>0</v>
      </c>
      <c r="AS702">
        <v>0</v>
      </c>
      <c r="AT702">
        <v>0</v>
      </c>
      <c r="AU702">
        <v>0</v>
      </c>
      <c r="AV702">
        <v>0</v>
      </c>
      <c r="AW702">
        <v>0</v>
      </c>
      <c r="AX702" s="141">
        <f>COUNTIF(V702:AW702,"&lt;&gt;0")</f>
        <v>1</v>
      </c>
      <c r="AY702" s="141">
        <f>COUNTIF(V702:AL702,"&lt;&gt;0")</f>
        <v>1</v>
      </c>
      <c r="AZ702">
        <f>COUNTIF(V702:AC702,"&lt;&gt;0")</f>
        <v>0</v>
      </c>
      <c r="BA702">
        <f>COUNTIF(AD702:AI702,"&lt;&gt;0")</f>
        <v>1</v>
      </c>
      <c r="BB702">
        <f>COUNTIF(AJ702:AL702,"&lt;&gt;0")</f>
        <v>0</v>
      </c>
      <c r="BC702">
        <f>COUNTIF(AS702:AW702,"&lt;&gt;0")</f>
        <v>0</v>
      </c>
      <c r="BD702">
        <f>COUNTIF(AM702:AR702,"&lt;&gt;0")</f>
        <v>0</v>
      </c>
      <c r="BE702" t="str">
        <f t="array" ref="BE702">IF(AY702=1,INDEX($V$7:$AL$7,MATCH(TRUE,INDEX($V702:$AW702&lt;&gt;0,),0)),IF(AY702=0,INDEX($AM$7:$AW$7,MATCH(1,$AM702:$AW702,0)),IF(BF702="Multiple strategies","mixed drivers",IF(BF702="Supply chain","multiple supply","multiple silviculture"))))</f>
        <v>recycling</v>
      </c>
      <c r="BF702" s="2" t="str" cm="1">
        <f t="array" ref="BF702">IF(COUNTIF(AZ702:BB702,"&lt;&gt;0")=1,INDEX($V$4:$AW$4,MATCH(TRUE,INDEX($V702:$AW702&lt;&gt;0,),0)),IF(COUNTIF(AZ702:BB702,"&lt;&gt;0")=0,INDEX($AM$4:$AW$4,MATCH(1,$AM702:$AW702,0)),"Multiple strategies"))</f>
        <v>Supply chain</v>
      </c>
      <c r="BG702" s="1" t="s">
        <v>229</v>
      </c>
      <c r="BH702" t="s">
        <v>2538</v>
      </c>
      <c r="BI702" s="264" t="s">
        <v>688</v>
      </c>
      <c r="BJ702" t="s">
        <v>345</v>
      </c>
      <c r="BK702">
        <v>0</v>
      </c>
      <c r="BL702">
        <v>117.5</v>
      </c>
      <c r="BN702">
        <f>BL702-BK702</f>
        <v>117.5</v>
      </c>
      <c r="BO702">
        <f>BN702*kg_to_m3</f>
        <v>0.23979591836734696</v>
      </c>
      <c r="BP702" t="s">
        <v>232</v>
      </c>
      <c r="BQ702" s="153" t="s">
        <v>3091</v>
      </c>
      <c r="BR702" t="s">
        <v>728</v>
      </c>
      <c r="BS702">
        <v>-290.75</v>
      </c>
      <c r="BT702">
        <f>-0.73*290.75</f>
        <v>-212.2475</v>
      </c>
      <c r="BU702" s="144">
        <f>IFERROR(BT702/BS702,"")</f>
        <v>0.73</v>
      </c>
      <c r="BV702">
        <f>BT702-BS702</f>
        <v>78.502499999999998</v>
      </c>
      <c r="BX702">
        <f>BV702/1000</f>
        <v>7.8502500000000003E-2</v>
      </c>
      <c r="BY702">
        <f>IFERROR(BX702/BO702,"")</f>
        <v>0.32737212765957446</v>
      </c>
      <c r="BZ702">
        <v>1</v>
      </c>
      <c r="CA702">
        <v>0</v>
      </c>
      <c r="CB702">
        <v>0</v>
      </c>
      <c r="CC702">
        <v>0</v>
      </c>
      <c r="CD702">
        <v>0</v>
      </c>
      <c r="CE702">
        <v>0</v>
      </c>
      <c r="CF702">
        <v>0</v>
      </c>
      <c r="CG702">
        <v>0</v>
      </c>
      <c r="CH702">
        <v>0</v>
      </c>
      <c r="CI702">
        <v>0</v>
      </c>
      <c r="CJ702">
        <v>0</v>
      </c>
      <c r="CK702">
        <v>0</v>
      </c>
      <c r="CL702">
        <v>0</v>
      </c>
      <c r="CM702">
        <v>0</v>
      </c>
      <c r="CN702" t="str">
        <f>IF($BL702&lt;$BK702,"refNeedCorrection","refOK")</f>
        <v>refOK</v>
      </c>
      <c r="CO702">
        <f>IF($CN702="refOK",$BK702,$BL702)</f>
        <v>0</v>
      </c>
      <c r="CP702">
        <f>IF($CN702="refOK",$BL702,$BK702)</f>
        <v>117.5</v>
      </c>
      <c r="CQ702">
        <f>IF($CN702="refOK",$BO702,-$BO702)</f>
        <v>0.23979591836734696</v>
      </c>
      <c r="CR702">
        <f>IF($CN702="refOK",$BS702,$BT702)*IF($BP702="Emissions positive",-1,1)</f>
        <v>-290.75</v>
      </c>
      <c r="CS702">
        <f>IF($CN702="refOK",$BT702,$BS702)*IF($BP702="Emissions positive",-1,1)</f>
        <v>-212.2475</v>
      </c>
      <c r="CT702">
        <f>IF($CN702="refNeedCorrection",-BX702,BX702)*IF($BP702="Emissions positive",-1,1)</f>
        <v>7.8502500000000003E-2</v>
      </c>
      <c r="CU702">
        <f>IFERROR(CT702/CQ702,"")</f>
        <v>0.32737212765957446</v>
      </c>
      <c r="CV702" s="2">
        <f>IFERROR((CS702-CR702)/ABS(CR702),"")</f>
        <v>0.27</v>
      </c>
      <c r="CW702" s="263" t="s">
        <v>263</v>
      </c>
      <c r="CX702" t="str">
        <f>IF(OR($CW702="prd",$CW702="std",$CW702="cit"),"loc",IF(OR($CW702="eur",$CW702="reg",$CW702="coy"),"reg",$CW702))</f>
        <v>loc</v>
      </c>
      <c r="CY702" s="264" t="s">
        <v>520</v>
      </c>
      <c r="DB702">
        <v>0</v>
      </c>
      <c r="DC702" t="str">
        <f>IF(DB702=0,"0",IF(AND(DB702&gt;=1,DB702&lt;=30),"1-30",IF(AND(DB702&gt;30,DB702&lt;=70),"31-70",IF(AND(DB702&gt;70,DB702&lt;=100),"71-100",IF(DB702&gt;100,"+100")))))</f>
        <v>0</v>
      </c>
      <c r="DD702">
        <v>0</v>
      </c>
      <c r="DE702">
        <v>0</v>
      </c>
      <c r="DF702">
        <v>0</v>
      </c>
      <c r="DG702">
        <v>1</v>
      </c>
      <c r="DI702">
        <f>SUM(DD702:DG702)</f>
        <v>1</v>
      </c>
      <c r="DJ702" t="str">
        <f>IF(DI702=1,INDEX($DD$7:$DG$7,MATCH(1,$DD702:$DG702,0)),"mixedProduct")</f>
        <v>TimberInput</v>
      </c>
      <c r="DK702">
        <f>IF(DD702=1,DK$7,0)</f>
        <v>0</v>
      </c>
      <c r="DL702">
        <f>IF(DE702=1,DL$7,0)</f>
        <v>0</v>
      </c>
      <c r="DM702">
        <f>IF(DF702=1,DM$7,0)</f>
        <v>0</v>
      </c>
      <c r="DN702" t="str">
        <f>IF(DG702=1,DN$7,0)</f>
        <v>Timber</v>
      </c>
      <c r="DO702">
        <v>0</v>
      </c>
      <c r="DP702">
        <v>0</v>
      </c>
      <c r="DQ702">
        <v>0</v>
      </c>
      <c r="DR702">
        <v>0</v>
      </c>
      <c r="DS702">
        <v>0</v>
      </c>
      <c r="DT702">
        <f>SUM(DO702:DP702)</f>
        <v>0</v>
      </c>
      <c r="DU702" s="143" t="str">
        <f>IF(DO702=1,"self-calculated DF",IF(DP702=1,"external DF used","explicit C balance"))</f>
        <v>explicit C balance</v>
      </c>
      <c r="DV702">
        <v>0</v>
      </c>
      <c r="DW702">
        <v>0</v>
      </c>
      <c r="DX702">
        <v>0</v>
      </c>
      <c r="DY702">
        <v>0</v>
      </c>
      <c r="DZ702">
        <v>0</v>
      </c>
      <c r="EA702" s="143">
        <v>1</v>
      </c>
      <c r="EB702">
        <v>0</v>
      </c>
      <c r="EC702">
        <v>1</v>
      </c>
      <c r="ED702">
        <v>0</v>
      </c>
      <c r="EE702">
        <v>0</v>
      </c>
      <c r="EF702">
        <v>0</v>
      </c>
      <c r="EG702">
        <v>0</v>
      </c>
      <c r="EH702">
        <v>0</v>
      </c>
      <c r="EI702" s="2">
        <v>0</v>
      </c>
      <c r="EK702" t="str">
        <f>IF(AND(AND(AND(OR($DX702=1,$DW702=1),OR($EC702=1,$EA702=1)),SUM($DV702:$DZ702,$EF702)&gt;=4),SUM($EA702:$EE702)&gt;=2),"Whole sector","")</f>
        <v/>
      </c>
      <c r="EL702" t="str">
        <f>IF(AND(AND(OR($DX702=1,$DW702=1),AND($EC702=0,$EA702=0)),SUM($DV702:$DZ702,$EF702)&gt;=4),"Ecosystem approach","")</f>
        <v/>
      </c>
      <c r="EM702" s="2" t="str">
        <f>IF(AND(AND(AND($DX702=0,$DW702=0),OR($EC702=1,$EA702=1)),SUM($EB702:$EE702)&gt;=2),"Technology approach","")</f>
        <v/>
      </c>
      <c r="EP702" t="str">
        <f>IF(ISNUMBER(BU702),IF(ABS(BU702-[1]QC_indicators!$B$2)&gt;3*[1]QC_indicators!$C$2,"C ratio",IF(ISNUMBER(BY702),IF(ABS(BY702-[1]QC_indicators!$B$1)&gt;3*[1]QC_indicators!$C$1,"DF","no"))),IF(ISNUMBER(BY702),IF(ABS(BY702-[1]QC_indicators!$B$1)&gt;3*[1]QC_indicators!$C$1,"DF","no")))</f>
        <v>no</v>
      </c>
      <c r="ET702" s="264" t="s">
        <v>3092</v>
      </c>
    </row>
    <row r="703" spans="1:150" ht="15" customHeight="1">
      <c r="D703" t="s">
        <v>757</v>
      </c>
      <c r="E703" t="s">
        <v>758</v>
      </c>
      <c r="G703" t="s">
        <v>759</v>
      </c>
      <c r="I703">
        <v>2006</v>
      </c>
      <c r="K703" s="296" t="s">
        <v>760</v>
      </c>
      <c r="M703" t="str">
        <f>LEFT($D703,FIND(",",$D703)-1)&amp;"_"&amp;I703&amp;L703</f>
        <v>Gustavsson_2006</v>
      </c>
      <c r="N703" t="s">
        <v>222</v>
      </c>
      <c r="O703" t="s">
        <v>223</v>
      </c>
      <c r="Q703" s="264" t="s">
        <v>256</v>
      </c>
      <c r="R703" s="269" t="s">
        <v>1154</v>
      </c>
      <c r="S703" s="263" t="s">
        <v>768</v>
      </c>
      <c r="T703" t="s">
        <v>753</v>
      </c>
      <c r="U703" s="143" t="s">
        <v>754</v>
      </c>
      <c r="V703">
        <v>0</v>
      </c>
      <c r="W703">
        <v>0</v>
      </c>
      <c r="X703">
        <v>0</v>
      </c>
      <c r="Y703">
        <v>0</v>
      </c>
      <c r="Z703">
        <v>0</v>
      </c>
      <c r="AA703">
        <v>0</v>
      </c>
      <c r="AB703">
        <v>0</v>
      </c>
      <c r="AC703">
        <v>0</v>
      </c>
      <c r="AD703">
        <v>0</v>
      </c>
      <c r="AE703">
        <v>0</v>
      </c>
      <c r="AF703">
        <v>0</v>
      </c>
      <c r="AG703">
        <v>0</v>
      </c>
      <c r="AH703">
        <v>0</v>
      </c>
      <c r="AI703">
        <v>0</v>
      </c>
      <c r="AJ703">
        <v>0</v>
      </c>
      <c r="AK703">
        <v>1</v>
      </c>
      <c r="AL703">
        <v>0</v>
      </c>
      <c r="AM703">
        <v>0</v>
      </c>
      <c r="AN703">
        <v>0</v>
      </c>
      <c r="AO703">
        <v>0</v>
      </c>
      <c r="AP703">
        <v>0</v>
      </c>
      <c r="AQ703">
        <v>0</v>
      </c>
      <c r="AR703">
        <v>0</v>
      </c>
      <c r="AS703">
        <v>0</v>
      </c>
      <c r="AT703">
        <v>0</v>
      </c>
      <c r="AU703">
        <v>0</v>
      </c>
      <c r="AV703">
        <v>0</v>
      </c>
      <c r="AW703">
        <v>0</v>
      </c>
      <c r="AX703" s="141">
        <f>COUNTIF(V703:AW703,"&lt;&gt;0")</f>
        <v>1</v>
      </c>
      <c r="AY703" s="141">
        <f>COUNTIF(V703:AL703,"&lt;&gt;0")</f>
        <v>1</v>
      </c>
      <c r="AZ703">
        <f>COUNTIF(V703:AC703,"&lt;&gt;0")</f>
        <v>0</v>
      </c>
      <c r="BA703">
        <f>COUNTIF(AD703:AI703,"&lt;&gt;0")</f>
        <v>0</v>
      </c>
      <c r="BB703">
        <f>COUNTIF(AJ703:AL703,"&lt;&gt;0")</f>
        <v>1</v>
      </c>
      <c r="BC703">
        <f>COUNTIF(AS703:AW703,"&lt;&gt;0")</f>
        <v>0</v>
      </c>
      <c r="BD703">
        <f>COUNTIF(AM703:AR703,"&lt;&gt;0")</f>
        <v>0</v>
      </c>
      <c r="BE703" t="str" cm="1">
        <f t="array" ref="BE703">IF(AY703=1,INDEX($V$7:$AL$7,MATCH(TRUE,INDEX($V703:$AW703&lt;&gt;0,),0)),IF(AY703=0,INDEX($AM$7:$AW$7,MATCH(1,$AM703:$AW703,0)),IF(BF703="Multiple strategies","mixed drivers",IF(BF703="Supply chain","multiple supply","multiple silviculture"))))</f>
        <v>technologies/design switch</v>
      </c>
      <c r="BF703" s="2" t="str" cm="1">
        <f t="array" ref="BF703">IF(COUNTIF(AZ703:BB703,"&lt;&gt;0")=1,INDEX($V$4:$AW$4,MATCH(TRUE,INDEX($V703:$AW703&lt;&gt;0,),0)),IF(COUNTIF(AZ703:BB703,"&lt;&gt;0")=0,INDEX($AM$4:$AW$4,MATCH(1,$AM703:$AW703,0)),"Multiple strategies"))</f>
        <v>Technology</v>
      </c>
      <c r="BG703" s="142" t="s">
        <v>229</v>
      </c>
      <c r="BH703" t="s">
        <v>393</v>
      </c>
      <c r="BI703" s="264" t="s">
        <v>762</v>
      </c>
      <c r="BJ703" s="143" t="s">
        <v>763</v>
      </c>
      <c r="BK703">
        <v>195</v>
      </c>
      <c r="BL703" s="143">
        <v>291</v>
      </c>
      <c r="BM703" s="143"/>
      <c r="BN703">
        <f>BL703-BK703</f>
        <v>96</v>
      </c>
      <c r="BO703" s="143">
        <f>BN703*t_to_m3</f>
        <v>195.91836734693879</v>
      </c>
      <c r="BP703" s="264" t="s">
        <v>232</v>
      </c>
      <c r="BQ703" s="155" t="s">
        <v>764</v>
      </c>
      <c r="BR703" t="s">
        <v>442</v>
      </c>
      <c r="BS703" s="143">
        <v>-120.5</v>
      </c>
      <c r="BT703" s="151">
        <v>-103</v>
      </c>
      <c r="BV703">
        <f>BT703-BS703</f>
        <v>17.5</v>
      </c>
      <c r="BX703">
        <f>BV703*C_to_CO2</f>
        <v>64.224999999999994</v>
      </c>
      <c r="BY703">
        <f>IFERROR(BX703/BO703,"")</f>
        <v>0.32781510416666659</v>
      </c>
      <c r="BZ703" s="143">
        <v>0</v>
      </c>
      <c r="CA703" s="143">
        <v>0</v>
      </c>
      <c r="CB703" s="143">
        <v>0</v>
      </c>
      <c r="CC703" s="143">
        <v>0</v>
      </c>
      <c r="CD703" s="143">
        <v>0</v>
      </c>
      <c r="CE703" s="143">
        <v>0</v>
      </c>
      <c r="CF703" s="143">
        <v>0</v>
      </c>
      <c r="CG703" s="143">
        <v>0</v>
      </c>
      <c r="CH703" s="143">
        <v>0</v>
      </c>
      <c r="CI703" s="143">
        <v>0</v>
      </c>
      <c r="CJ703" s="143">
        <v>0</v>
      </c>
      <c r="CK703" s="143">
        <v>0</v>
      </c>
      <c r="CL703" s="143">
        <v>0</v>
      </c>
      <c r="CM703">
        <v>0</v>
      </c>
      <c r="CN703" t="str">
        <f>IF($BL703&lt;$BK703,"refNeedCorrection","refOK")</f>
        <v>refOK</v>
      </c>
      <c r="CO703">
        <f>IF($CN703="refOK",$BK703,$BL703)</f>
        <v>195</v>
      </c>
      <c r="CP703">
        <f>IF($CN703="refOK",$BL703,$BK703)</f>
        <v>291</v>
      </c>
      <c r="CQ703">
        <f>IF($CN703="refOK",$BO703,-$BO703)</f>
        <v>195.91836734693879</v>
      </c>
      <c r="CR703">
        <f>IF($CN703="refOK",$BS703,$BT703)*IF($BP703="Emissions positive",-1,1)</f>
        <v>-120.5</v>
      </c>
      <c r="CS703">
        <f>IF($CN703="refOK",$BT703,$BS703)*IF($BP703="Emissions positive",-1,1)</f>
        <v>-103</v>
      </c>
      <c r="CT703">
        <f>IF($CN703="refNeedCorrection",-BX703,BX703)*IF($BP703="Emissions positive",-1,1)</f>
        <v>64.224999999999994</v>
      </c>
      <c r="CU703">
        <f>IFERROR(CT703/CQ703,"")</f>
        <v>0.32781510416666659</v>
      </c>
      <c r="CV703" s="2">
        <f>IFERROR((CS703-CR703)/ABS(CR703),"")</f>
        <v>0.14522821576763487</v>
      </c>
      <c r="CW703" s="1" t="s">
        <v>263</v>
      </c>
      <c r="CX703" s="264" t="str">
        <f>IF(OR($CW703="prd",$CW703="std",$CW703="cit"),"loc",IF(OR($CW703="eur",$CW703="reg",$CW703="coy"),"reg",$CW703))</f>
        <v>loc</v>
      </c>
      <c r="CY703" t="s">
        <v>444</v>
      </c>
      <c r="DA703" s="143"/>
      <c r="DB703" s="143">
        <v>0</v>
      </c>
      <c r="DC703" t="str">
        <f>IF(DB703=0,"0",IF(AND(DB703&gt;=1,DB703&lt;=30),"1-30",IF(AND(DB703&gt;30,DB703&lt;=70),"31-70",IF(AND(DB703&gt;70,DB703&lt;=100),"71-100",IF(DB703&gt;100,"+100")))))</f>
        <v>0</v>
      </c>
      <c r="DD703">
        <v>0</v>
      </c>
      <c r="DE703">
        <v>0</v>
      </c>
      <c r="DF703">
        <v>0</v>
      </c>
      <c r="DG703">
        <v>1</v>
      </c>
      <c r="DI703">
        <f>SUM(DD703:DG703)</f>
        <v>1</v>
      </c>
      <c r="DJ703" t="str">
        <f>IF(DI703=1,INDEX($DD$7:$DG$7,MATCH(1,$DD703:$DG703,0)),"mixedProduct")</f>
        <v>TimberInput</v>
      </c>
      <c r="DK703">
        <f>IF(DD703=1,DK$7,0)</f>
        <v>0</v>
      </c>
      <c r="DL703">
        <f>IF(DE703=1,DL$7,0)</f>
        <v>0</v>
      </c>
      <c r="DM703">
        <f>IF(DF703=1,DM$7,0)</f>
        <v>0</v>
      </c>
      <c r="DN703" t="str">
        <f>IF(DG703=1,DN$7,0)</f>
        <v>Timber</v>
      </c>
      <c r="DO703">
        <v>1</v>
      </c>
      <c r="DP703" s="143">
        <v>0</v>
      </c>
      <c r="DQ703" s="143">
        <v>0</v>
      </c>
      <c r="DR703">
        <v>0</v>
      </c>
      <c r="DS703" s="143">
        <v>0</v>
      </c>
      <c r="DT703">
        <f>SUM(DO703:DP703)</f>
        <v>1</v>
      </c>
      <c r="DU703" s="143" t="str">
        <f>IF(DO703=1,"self-calculated DF",IF(DP703=1,"external DF used","explicit C balance"))</f>
        <v>self-calculated DF</v>
      </c>
      <c r="DV703" s="143">
        <v>0</v>
      </c>
      <c r="DW703" s="143">
        <v>1</v>
      </c>
      <c r="DX703" s="143">
        <v>1</v>
      </c>
      <c r="DY703" s="143">
        <v>1</v>
      </c>
      <c r="DZ703">
        <v>0</v>
      </c>
      <c r="EA703" s="143">
        <v>1</v>
      </c>
      <c r="EB703" s="143">
        <v>1</v>
      </c>
      <c r="EC703" s="143">
        <v>1</v>
      </c>
      <c r="ED703" s="143">
        <v>0</v>
      </c>
      <c r="EE703">
        <v>0</v>
      </c>
      <c r="EF703">
        <v>1</v>
      </c>
      <c r="EG703" s="143">
        <v>0</v>
      </c>
      <c r="EH703" s="143">
        <v>0</v>
      </c>
      <c r="EI703" s="2">
        <v>0</v>
      </c>
      <c r="EK703" t="str">
        <f>IF(AND(AND(AND(OR($DX703=1,$DW703=1),OR($EC703=1,$EA703=1)),SUM($DV703:$DZ703,$EF703)&gt;=4),SUM($EA703:$EE703)&gt;=2),"Whole sector","")</f>
        <v>Whole sector</v>
      </c>
      <c r="EL703" t="str">
        <f>IF(AND(AND(OR($DX703=1,$DW703=1),AND($EC703=0,$EA703=0)),SUM($DV703:$DZ703,$EF703)&gt;=4),"Ecosystem approach","")</f>
        <v/>
      </c>
      <c r="EM703" s="2" t="str">
        <f>IF(AND(AND(AND($DX703=0,$DW703=0),OR($EC703=1,$EA703=1)),SUM($EB703:$EE703)&gt;=2),"Technology approach","")</f>
        <v/>
      </c>
      <c r="EP703" t="str">
        <f>IF(ISNUMBER(BU703),IF(ABS(BU703-[3]QC_indicators!$B$2)&gt;3*[3]QC_indicators!$C$2,"C ratio",IF(ISNUMBER(BY703),IF(ABS(BY703-[3]QC_indicators!$B$1)&gt;3*[3]QC_indicators!$C$1,"DF","no"))),IF(ISNUMBER(BY703),IF(ABS(BY703-[3]QC_indicators!$B$1)&gt;3*[3]QC_indicators!$C$1,"DF","no")))</f>
        <v>no</v>
      </c>
      <c r="ER703" s="294" t="s">
        <v>349</v>
      </c>
      <c r="ET703" s="264" t="s">
        <v>3407</v>
      </c>
    </row>
    <row r="704" spans="1:150" ht="15" customHeight="1">
      <c r="A704" s="1" t="s">
        <v>505</v>
      </c>
      <c r="B704" t="s">
        <v>528</v>
      </c>
      <c r="C704" t="s">
        <v>529</v>
      </c>
      <c r="D704" t="s">
        <v>530</v>
      </c>
      <c r="E704" t="s">
        <v>531</v>
      </c>
      <c r="F704" t="s">
        <v>532</v>
      </c>
      <c r="G704" t="s">
        <v>511</v>
      </c>
      <c r="H704" t="s">
        <v>254</v>
      </c>
      <c r="I704">
        <v>2015</v>
      </c>
      <c r="J704">
        <v>31</v>
      </c>
      <c r="K704" t="s">
        <v>533</v>
      </c>
      <c r="M704" t="str">
        <f>LEFT($D704,FIND(",",$D704)-1)&amp;"_"&amp;I704&amp;L704</f>
        <v>Cambero_2015</v>
      </c>
      <c r="N704" t="s">
        <v>222</v>
      </c>
      <c r="O704" s="145" t="s">
        <v>223</v>
      </c>
      <c r="Q704" t="s">
        <v>256</v>
      </c>
      <c r="R704" s="255" t="s">
        <v>225</v>
      </c>
      <c r="S704" s="1" t="s">
        <v>534</v>
      </c>
      <c r="T704" t="s">
        <v>535</v>
      </c>
      <c r="U704" t="s">
        <v>542</v>
      </c>
      <c r="V704">
        <v>0</v>
      </c>
      <c r="W704">
        <v>0</v>
      </c>
      <c r="X704">
        <v>0</v>
      </c>
      <c r="Y704">
        <v>0</v>
      </c>
      <c r="Z704">
        <v>0</v>
      </c>
      <c r="AA704">
        <v>0</v>
      </c>
      <c r="AB704">
        <v>0</v>
      </c>
      <c r="AC704">
        <v>0</v>
      </c>
      <c r="AD704">
        <v>0</v>
      </c>
      <c r="AE704">
        <v>0</v>
      </c>
      <c r="AF704">
        <v>0</v>
      </c>
      <c r="AG704">
        <v>0</v>
      </c>
      <c r="AH704">
        <v>0</v>
      </c>
      <c r="AI704">
        <v>0</v>
      </c>
      <c r="AJ704">
        <v>0</v>
      </c>
      <c r="AK704">
        <v>1</v>
      </c>
      <c r="AL704">
        <v>0</v>
      </c>
      <c r="AM704">
        <v>0</v>
      </c>
      <c r="AN704">
        <v>0</v>
      </c>
      <c r="AO704">
        <v>0</v>
      </c>
      <c r="AP704">
        <v>0</v>
      </c>
      <c r="AQ704">
        <v>0</v>
      </c>
      <c r="AR704">
        <v>0</v>
      </c>
      <c r="AS704">
        <v>0</v>
      </c>
      <c r="AT704">
        <v>0</v>
      </c>
      <c r="AU704">
        <v>0</v>
      </c>
      <c r="AV704">
        <v>0</v>
      </c>
      <c r="AW704">
        <v>0</v>
      </c>
      <c r="AX704" s="141">
        <f>COUNTIF(V704:AW704,"&lt;&gt;0")</f>
        <v>1</v>
      </c>
      <c r="AY704" s="141">
        <f>COUNTIF(V704:AL704,"&lt;&gt;0")</f>
        <v>1</v>
      </c>
      <c r="AZ704">
        <f>COUNTIF(V704:AC704,"&lt;&gt;0")</f>
        <v>0</v>
      </c>
      <c r="BA704">
        <f>COUNTIF(AD704:AI704,"&lt;&gt;0")</f>
        <v>0</v>
      </c>
      <c r="BB704">
        <f>COUNTIF(AJ704:AL704,"&lt;&gt;0")</f>
        <v>1</v>
      </c>
      <c r="BC704">
        <f>COUNTIF(AS704:AW704,"&lt;&gt;0")</f>
        <v>0</v>
      </c>
      <c r="BD704">
        <f>COUNTIF(AM704:AR704,"&lt;&gt;0")</f>
        <v>0</v>
      </c>
      <c r="BE704" t="str">
        <f t="array" ref="BE704">IF(AY704=1,INDEX($V$7:$AL$7,MATCH(TRUE,INDEX($V704:$AW704&lt;&gt;0,),0)),IF(AY704=0,INDEX($AM$7:$AW$7,MATCH(1,$AM704:$AW704,0)),IF(BF704="Multiple strategies","mixed drivers",IF(BF704="Supply chain","multiple supply","multiple silviculture"))))</f>
        <v>technologies/design switch</v>
      </c>
      <c r="BF704" s="2" t="str" cm="1">
        <f t="array" ref="BF704">IF(COUNTIF(AZ704:BB704,"&lt;&gt;0")=1,INDEX($V$4:$AW$4,MATCH(TRUE,INDEX($V704:$AW704&lt;&gt;0,),0)),IF(COUNTIF(AZ704:BB704,"&lt;&gt;0")=0,INDEX($AM$4:$AW$4,MATCH(1,$AM704:$AW704,0)),"Multiple strategies"))</f>
        <v>Technology</v>
      </c>
      <c r="BG704" s="1" t="s">
        <v>229</v>
      </c>
      <c r="BH704" t="s">
        <v>537</v>
      </c>
      <c r="BI704" s="260" t="s">
        <v>3286</v>
      </c>
      <c r="BJ704" t="s">
        <v>538</v>
      </c>
      <c r="BK704">
        <v>0</v>
      </c>
      <c r="BL704">
        <v>30000</v>
      </c>
      <c r="BN704">
        <f>BL704-BK704</f>
        <v>30000</v>
      </c>
      <c r="BO704">
        <f>BN704*t_to_m3</f>
        <v>61224.489795918365</v>
      </c>
      <c r="BP704" t="s">
        <v>232</v>
      </c>
      <c r="BQ704" s="260" t="s">
        <v>3287</v>
      </c>
      <c r="BR704" t="s">
        <v>539</v>
      </c>
      <c r="BS704">
        <v>-178600</v>
      </c>
      <c r="BT704">
        <v>-158400</v>
      </c>
      <c r="BU704" s="144">
        <v>0.88689809630459127</v>
      </c>
      <c r="BV704">
        <v>20200</v>
      </c>
      <c r="BX704">
        <f>BV704</f>
        <v>20200</v>
      </c>
      <c r="BY704">
        <f>IFERROR(BX704/BO704,"")</f>
        <v>0.32993333333333336</v>
      </c>
      <c r="BZ704" s="143">
        <v>0</v>
      </c>
      <c r="CA704" s="143">
        <v>0</v>
      </c>
      <c r="CB704" s="143">
        <v>0</v>
      </c>
      <c r="CC704" s="143">
        <v>0</v>
      </c>
      <c r="CD704" s="143">
        <v>0</v>
      </c>
      <c r="CE704" s="143">
        <v>0</v>
      </c>
      <c r="CF704" s="143">
        <v>0</v>
      </c>
      <c r="CG704" s="143">
        <v>0</v>
      </c>
      <c r="CH704" s="143">
        <v>0</v>
      </c>
      <c r="CI704" s="143">
        <v>0</v>
      </c>
      <c r="CJ704" s="143">
        <v>0</v>
      </c>
      <c r="CK704" s="143">
        <v>0</v>
      </c>
      <c r="CL704" s="143">
        <v>0</v>
      </c>
      <c r="CM704">
        <v>1</v>
      </c>
      <c r="CN704" t="str">
        <f>IF($BL704&lt;$BK704,"refNeedCorrection","refOK")</f>
        <v>refOK</v>
      </c>
      <c r="CO704">
        <f>IF($CN704="refNeedCorrection",BL704,BK704)</f>
        <v>0</v>
      </c>
      <c r="CP704">
        <f>IF($CN704="refNeedCorrection",BK704,BL704)</f>
        <v>30000</v>
      </c>
      <c r="CQ704">
        <f>IF($CN704="refOK",$BO704,-$BO704)</f>
        <v>61224.489795918365</v>
      </c>
      <c r="CR704">
        <f>IF($CN704="refOK",$BS704,$BT704)*IF($BP704="Emissions positive",-1,1)</f>
        <v>-178600</v>
      </c>
      <c r="CS704">
        <f>IF($CN704="refOK",$BT704,$BS704)*IF($BP704="Emissions positive",-1,1)</f>
        <v>-158400</v>
      </c>
      <c r="CT704">
        <f>IF($CN704="refNeedCorrection",-BX704,BX704)*IF($BP704="Emissions positive",-1,1)</f>
        <v>20200</v>
      </c>
      <c r="CU704">
        <f>IFERROR(CT704/CQ704,"")</f>
        <v>0.32993333333333336</v>
      </c>
      <c r="CV704" s="2">
        <f>IFERROR((CS704-CR704)/ABS(CR704),"")</f>
        <v>0.11310190369540873</v>
      </c>
      <c r="CW704" s="1" t="s">
        <v>347</v>
      </c>
      <c r="CX704" t="str">
        <f>IF(OR($CW704="prd",$CW704="std",$CW704="cit"),"loc",IF(OR($CW704="eur",$CW704="reg",$CW704="coy"),"reg",$CW704))</f>
        <v>loc</v>
      </c>
      <c r="CY704" t="s">
        <v>540</v>
      </c>
      <c r="DB704">
        <v>0</v>
      </c>
      <c r="DC704" t="str">
        <f>IF(DB704=0,"0",IF(AND(DB704&gt;=1,DB704&lt;=30),"1-30",IF(AND(DB704&gt;30,DB704&lt;=70),"31-70",IF(AND(DB704&gt;70,DB704&lt;=100),"71-100",IF(DB704&gt;100,"+100")))))</f>
        <v>0</v>
      </c>
      <c r="DD704">
        <v>0</v>
      </c>
      <c r="DE704">
        <v>1</v>
      </c>
      <c r="DF704">
        <v>0</v>
      </c>
      <c r="DG704">
        <v>0</v>
      </c>
      <c r="DI704">
        <f>SUM(DD704:DG704)</f>
        <v>1</v>
      </c>
      <c r="DJ704" t="str">
        <f>IF(DI704=1,INDEX($DD$7:$DG$7,MATCH(1,$DD704:$DG704,0)),"mixedProduct")</f>
        <v>EnergyInput</v>
      </c>
      <c r="DK704">
        <f>IF(DD704=1,DK$7,0)</f>
        <v>0</v>
      </c>
      <c r="DL704" t="str">
        <f>IF(DE704=1,DL$7,0)</f>
        <v>Energy</v>
      </c>
      <c r="DM704">
        <f>IF(DF704=1,DM$7,0)</f>
        <v>0</v>
      </c>
      <c r="DN704">
        <f>IF(DG704=1,DN$7,0)</f>
        <v>0</v>
      </c>
      <c r="DO704">
        <v>0</v>
      </c>
      <c r="DP704" s="143">
        <v>0</v>
      </c>
      <c r="DQ704" s="143">
        <v>0</v>
      </c>
      <c r="DR704" s="143">
        <v>0</v>
      </c>
      <c r="DS704">
        <v>0</v>
      </c>
      <c r="DT704">
        <f>SUM(DO704:DP704)</f>
        <v>0</v>
      </c>
      <c r="DU704" s="143" t="str">
        <f>IF(DO704=1,"self-calculated DF",IF(DP704=1,"external DF used","explicit C balance"))</f>
        <v>explicit C balance</v>
      </c>
      <c r="DV704">
        <v>0</v>
      </c>
      <c r="DW704" s="143">
        <v>1</v>
      </c>
      <c r="DX704" s="143">
        <v>0</v>
      </c>
      <c r="DY704" s="143">
        <v>0</v>
      </c>
      <c r="DZ704">
        <v>1</v>
      </c>
      <c r="EA704" s="143">
        <v>0</v>
      </c>
      <c r="EB704">
        <v>0</v>
      </c>
      <c r="EC704" s="143">
        <v>1</v>
      </c>
      <c r="ED704" s="143">
        <v>0</v>
      </c>
      <c r="EE704">
        <v>0</v>
      </c>
      <c r="EF704">
        <v>0</v>
      </c>
      <c r="EG704" s="143">
        <v>0</v>
      </c>
      <c r="EH704" s="143">
        <v>0</v>
      </c>
      <c r="EI704" s="2">
        <v>0</v>
      </c>
      <c r="EK704" t="str">
        <f>IF(AND(AND(AND(OR($DX704=1,$DW704=1),OR($EC704=1,$EA704=1)),SUM($DV704:$DZ704,$EF704)&gt;=4),SUM($EA704:$EE704)&gt;=2),"Whole sector","")</f>
        <v/>
      </c>
      <c r="EL704" t="str">
        <f>IF(AND(AND(OR($DX704=1,$DW704=1),AND($EC704=0,$EA704=0)),SUM($DV704:$DZ704,$EF704)&gt;=4),"Ecosystem approach","")</f>
        <v/>
      </c>
      <c r="EM704" s="2" t="str">
        <f>IF(AND(AND(AND($DX704=0,$DW704=0),OR($EC704=1,$EA704=1)),SUM($EB704:$EE704)&gt;=2),"Technology approach","")</f>
        <v/>
      </c>
      <c r="EP704" t="str">
        <f>IF(ISNUMBER(BU704),IF(ABS(BU704-[4]QC_indicators!$B$2)&gt;3*[4]QC_indicators!$C$2,"C ratio",IF(ISNUMBER(BY704),IF(ABS(BY704-[4]QC_indicators!$B$1)&gt;3*[4]QC_indicators!$C$1,"DF","no"))),IF(ISNUMBER(BY704),IF(ABS(BY704-[4]QC_indicators!$B$1)&gt;3*[4]QC_indicators!$C$1,"DF","no")))</f>
        <v>no</v>
      </c>
      <c r="ER704" s="149" t="s">
        <v>349</v>
      </c>
      <c r="ET704" s="264" t="s">
        <v>3273</v>
      </c>
    </row>
    <row r="705" spans="1:150" ht="15" customHeight="1">
      <c r="D705" t="s">
        <v>1661</v>
      </c>
      <c r="E705" t="s">
        <v>1662</v>
      </c>
      <c r="G705" t="s">
        <v>1663</v>
      </c>
      <c r="I705">
        <v>2007</v>
      </c>
      <c r="K705" t="s">
        <v>1664</v>
      </c>
      <c r="M705" t="str">
        <f>LEFT($D705,FIND(",",$D705)-1)&amp;"_"&amp;I705&amp;L705</f>
        <v>Gustavsson_2007</v>
      </c>
      <c r="N705" t="s">
        <v>222</v>
      </c>
      <c r="O705" t="s">
        <v>223</v>
      </c>
      <c r="Q705" t="s">
        <v>256</v>
      </c>
      <c r="R705" s="269" t="s">
        <v>274</v>
      </c>
      <c r="S705" s="1" t="s">
        <v>1665</v>
      </c>
      <c r="T705" t="s">
        <v>1679</v>
      </c>
      <c r="U705" s="143" t="s">
        <v>1680</v>
      </c>
      <c r="V705">
        <v>0</v>
      </c>
      <c r="W705">
        <v>0</v>
      </c>
      <c r="X705">
        <v>0</v>
      </c>
      <c r="Y705">
        <v>0</v>
      </c>
      <c r="Z705">
        <v>0</v>
      </c>
      <c r="AA705">
        <v>0</v>
      </c>
      <c r="AB705">
        <v>0</v>
      </c>
      <c r="AC705">
        <v>0</v>
      </c>
      <c r="AD705">
        <v>0</v>
      </c>
      <c r="AE705">
        <v>0</v>
      </c>
      <c r="AF705">
        <v>0</v>
      </c>
      <c r="AG705">
        <v>0</v>
      </c>
      <c r="AH705">
        <v>0</v>
      </c>
      <c r="AI705">
        <v>0</v>
      </c>
      <c r="AJ705">
        <v>0</v>
      </c>
      <c r="AK705">
        <v>1</v>
      </c>
      <c r="AL705">
        <v>0</v>
      </c>
      <c r="AM705">
        <v>0</v>
      </c>
      <c r="AN705">
        <v>0</v>
      </c>
      <c r="AO705">
        <v>0</v>
      </c>
      <c r="AP705">
        <v>0</v>
      </c>
      <c r="AQ705">
        <v>0</v>
      </c>
      <c r="AR705">
        <v>0</v>
      </c>
      <c r="AS705">
        <v>0</v>
      </c>
      <c r="AT705">
        <v>0</v>
      </c>
      <c r="AU705">
        <v>0</v>
      </c>
      <c r="AV705">
        <v>0</v>
      </c>
      <c r="AW705">
        <v>0</v>
      </c>
      <c r="AX705" s="141">
        <f>COUNTIF(V705:AW705,"&lt;&gt;0")</f>
        <v>1</v>
      </c>
      <c r="AY705" s="141">
        <f>COUNTIF(V705:AL705,"&lt;&gt;0")</f>
        <v>1</v>
      </c>
      <c r="AZ705">
        <f>COUNTIF(V705:AC705,"&lt;&gt;0")</f>
        <v>0</v>
      </c>
      <c r="BA705">
        <f>COUNTIF(AD705:AI705,"&lt;&gt;0")</f>
        <v>0</v>
      </c>
      <c r="BB705">
        <f>COUNTIF(AJ705:AL705,"&lt;&gt;0")</f>
        <v>1</v>
      </c>
      <c r="BC705">
        <f>COUNTIF(AS705:AW705,"&lt;&gt;0")</f>
        <v>0</v>
      </c>
      <c r="BD705">
        <f>COUNTIF(AM705:AR705,"&lt;&gt;0")</f>
        <v>0</v>
      </c>
      <c r="BE705" t="str">
        <f t="array" ref="BE705">IF(AY705=1,INDEX($V$7:$AL$7,MATCH(TRUE,INDEX($V705:$AW705&lt;&gt;0,),0)),IF(AY705=0,INDEX($AM$7:$AW$7,MATCH(1,$AM705:$AW705,0)),IF(BF705="Multiple strategies","mixed drivers",IF(BF705="Supply chain","multiple supply","multiple silviculture"))))</f>
        <v>technologies/design switch</v>
      </c>
      <c r="BF705" s="2" t="str" cm="1">
        <f t="array" ref="BF705">IF(COUNTIF(AZ705:BB705,"&lt;&gt;0")=1,INDEX($V$4:$AW$4,MATCH(TRUE,INDEX($V705:$AW705&lt;&gt;0,),0)),IF(COUNTIF(AZ705:BB705,"&lt;&gt;0")=0,INDEX($AM$4:$AW$4,MATCH(1,$AM705:$AW705,0)),"Multiple strategies"))</f>
        <v>Technology</v>
      </c>
      <c r="BG705" s="142" t="s">
        <v>229</v>
      </c>
      <c r="BH705" t="s">
        <v>1667</v>
      </c>
      <c r="BI705" s="264" t="s">
        <v>1057</v>
      </c>
      <c r="BJ705" s="143" t="s">
        <v>3265</v>
      </c>
      <c r="BK705">
        <v>0</v>
      </c>
      <c r="BL705" s="143">
        <v>68</v>
      </c>
      <c r="BM705" s="143" t="e">
        <f>BL705/BK705</f>
        <v>#DIV/0!</v>
      </c>
      <c r="BN705">
        <f>BL705-BK705</f>
        <v>68</v>
      </c>
      <c r="BO705" s="143">
        <f>1000*BL705/15.3/400</f>
        <v>11.111111111111111</v>
      </c>
      <c r="BP705" t="s">
        <v>232</v>
      </c>
      <c r="BR705" t="s">
        <v>938</v>
      </c>
      <c r="BS705" s="143">
        <v>-1</v>
      </c>
      <c r="BT705" s="151">
        <v>0</v>
      </c>
      <c r="BU705">
        <v>0</v>
      </c>
      <c r="BV705">
        <v>1</v>
      </c>
      <c r="BX705">
        <f>BV705*C_to_CO2</f>
        <v>3.67</v>
      </c>
      <c r="BY705">
        <f>IFERROR(BX705/BO705,"")</f>
        <v>0.33029999999999998</v>
      </c>
      <c r="BZ705" s="143">
        <v>0</v>
      </c>
      <c r="CA705" s="143">
        <v>0</v>
      </c>
      <c r="CB705" s="143">
        <v>0</v>
      </c>
      <c r="CC705" s="143">
        <v>0</v>
      </c>
      <c r="CD705" s="143">
        <v>0</v>
      </c>
      <c r="CE705" s="143">
        <v>0</v>
      </c>
      <c r="CF705" s="143">
        <v>0</v>
      </c>
      <c r="CG705" s="143">
        <v>0</v>
      </c>
      <c r="CH705" s="143">
        <v>0</v>
      </c>
      <c r="CI705" s="143">
        <v>0</v>
      </c>
      <c r="CJ705" s="143">
        <v>0</v>
      </c>
      <c r="CK705" s="143">
        <v>0</v>
      </c>
      <c r="CL705" s="143">
        <v>0</v>
      </c>
      <c r="CM705">
        <v>1</v>
      </c>
      <c r="CN705" t="str">
        <f>IF($BL705&lt;$BK705,"refNeedCorrection","refOK")</f>
        <v>refOK</v>
      </c>
      <c r="CO705">
        <f>IF($CN705="refOK",$BK705,$BL705)</f>
        <v>0</v>
      </c>
      <c r="CP705">
        <f>IF($CN705="refOK",$BL705,$BK705)</f>
        <v>68</v>
      </c>
      <c r="CQ705">
        <f>IF($CN705="refOK",$BO705,-$BO705)</f>
        <v>11.111111111111111</v>
      </c>
      <c r="CR705">
        <f>IF($CN705="refOK",$BS705,$BT705)*IF($BP705="Emissions positive",-1,1)</f>
        <v>-1</v>
      </c>
      <c r="CS705">
        <f>IF($CN705="refOK",$BT705,$BS705)*IF($BP705="Emissions positive",-1,1)</f>
        <v>0</v>
      </c>
      <c r="CT705">
        <f>IF($CN705="refNeedCorrection",-BX705,BX705)*IF($BP705="Emissions positive",-1,1)</f>
        <v>3.67</v>
      </c>
      <c r="CU705">
        <f>IFERROR(CT705/CQ705,"")</f>
        <v>0.33029999999999998</v>
      </c>
      <c r="CV705" s="2">
        <f>IFERROR((CS705-CR705)/ABS(CR705),"")</f>
        <v>1</v>
      </c>
      <c r="CW705" s="1" t="s">
        <v>1203</v>
      </c>
      <c r="CX705" t="str">
        <f>IF(OR($CW705="prd",$CW705="std",$CW705="cit"),"loc",IF(OR($CW705="eur",$CW705="reg",$CW705="coy"),"reg",$CW705))</f>
        <v>reg</v>
      </c>
      <c r="CY705" t="s">
        <v>444</v>
      </c>
      <c r="DA705" s="143"/>
      <c r="DB705" s="143">
        <v>0</v>
      </c>
      <c r="DC705" t="str">
        <f>IF(DB705=0,"0",IF(AND(DB705&gt;=1,DB705&lt;=30),"1-30",IF(AND(DB705&gt;30,DB705&lt;=70),"31-70",IF(AND(DB705&gt;70,DB705&lt;=100),"71-100",IF(DB705&gt;100,"+100")))))</f>
        <v>0</v>
      </c>
      <c r="DD705">
        <v>0</v>
      </c>
      <c r="DE705">
        <v>1</v>
      </c>
      <c r="DF705">
        <v>0</v>
      </c>
      <c r="DG705">
        <v>0</v>
      </c>
      <c r="DI705">
        <f>SUM(DD705:DG705)</f>
        <v>1</v>
      </c>
      <c r="DJ705" t="str">
        <f>IF(DI705=1,INDEX($DD$7:$DG$7,MATCH(1,$DD705:$DG705,0)),"mixedProduct")</f>
        <v>EnergyInput</v>
      </c>
      <c r="DK705">
        <f>IF(DD705=1,DK$7,0)</f>
        <v>0</v>
      </c>
      <c r="DL705" t="str">
        <f>IF(DE705=1,DL$7,0)</f>
        <v>Energy</v>
      </c>
      <c r="DM705">
        <f>IF(DF705=1,DM$7,0)</f>
        <v>0</v>
      </c>
      <c r="DN705">
        <f>IF(DG705=1,DN$7,0)</f>
        <v>0</v>
      </c>
      <c r="DO705">
        <v>0</v>
      </c>
      <c r="DP705" s="143">
        <v>0</v>
      </c>
      <c r="DQ705" s="143">
        <v>0</v>
      </c>
      <c r="DR705">
        <v>0</v>
      </c>
      <c r="DS705" s="143">
        <v>0</v>
      </c>
      <c r="DT705">
        <f>SUM(DO705:DP705)</f>
        <v>0</v>
      </c>
      <c r="DU705" s="143" t="str">
        <f>IF(DO705=1,"self-calculated DF",IF(DP705=1,"external DF used","explicit C balance"))</f>
        <v>explicit C balance</v>
      </c>
      <c r="DV705" s="143">
        <v>0</v>
      </c>
      <c r="DW705" s="143">
        <v>0</v>
      </c>
      <c r="DX705" s="143">
        <v>0</v>
      </c>
      <c r="DY705" s="143">
        <v>0</v>
      </c>
      <c r="DZ705">
        <v>0</v>
      </c>
      <c r="EA705" s="143">
        <v>0</v>
      </c>
      <c r="EB705" s="143">
        <v>0</v>
      </c>
      <c r="EC705" s="143">
        <v>1</v>
      </c>
      <c r="ED705" s="143">
        <v>0</v>
      </c>
      <c r="EE705">
        <v>0</v>
      </c>
      <c r="EF705">
        <v>0</v>
      </c>
      <c r="EG705" s="143">
        <v>0</v>
      </c>
      <c r="EH705" s="143">
        <v>0</v>
      </c>
      <c r="EI705" s="2">
        <v>0</v>
      </c>
      <c r="EK705" t="str">
        <f>IF(AND(AND(AND(OR($DX705=1,$DW705=1),OR($EC705=1,$EA705=1)),SUM($DV705:$DZ705,$EF705)&gt;=4),SUM($EA705:$EE705)&gt;=2),"Whole sector","")</f>
        <v/>
      </c>
      <c r="EL705" t="str">
        <f>IF(AND(AND(OR($DX705=1,$DW705=1),AND($EC705=0,$EA705=0)),SUM($DV705:$DZ705,$EF705)&gt;=4),"Ecosystem approach","")</f>
        <v/>
      </c>
      <c r="EM705" s="2" t="str">
        <f>IF(AND(AND(AND($DX705=0,$DW705=0),OR($EC705=1,$EA705=1)),SUM($EB705:$EE705)&gt;=2),"Technology approach","")</f>
        <v/>
      </c>
      <c r="EN705" t="s">
        <v>1681</v>
      </c>
      <c r="EP705" t="str">
        <f>IF(ISNUMBER(BU705),IF(ABS(BU705-[2]QC_indicators!$B$2)&gt;3*[2]QC_indicators!$C$2,"C ratio",IF(ISNUMBER(BY705),IF(ABS(BY705-[2]QC_indicators!$B$1)&gt;3*[2]QC_indicators!$C$1,"DF","no"))),IF(ISNUMBER(BY705),IF(ABS(BY705-[2]QC_indicators!$B$1)&gt;3*[2]QC_indicators!$C$1,"DF","no")))</f>
        <v>no</v>
      </c>
      <c r="ER705" s="149" t="s">
        <v>349</v>
      </c>
      <c r="ET705" s="264" t="s">
        <v>3266</v>
      </c>
    </row>
    <row r="706" spans="1:150" ht="15" customHeight="1">
      <c r="A706" s="1" t="s">
        <v>1360</v>
      </c>
      <c r="B706" t="s">
        <v>2135</v>
      </c>
      <c r="C706" t="s">
        <v>2136</v>
      </c>
      <c r="D706" t="s">
        <v>2137</v>
      </c>
      <c r="E706" t="s">
        <v>2138</v>
      </c>
      <c r="F706" t="s">
        <v>2139</v>
      </c>
      <c r="G706" t="s">
        <v>1366</v>
      </c>
      <c r="H706" t="s">
        <v>254</v>
      </c>
      <c r="I706">
        <v>2012</v>
      </c>
      <c r="J706">
        <v>21</v>
      </c>
      <c r="K706" t="s">
        <v>2140</v>
      </c>
      <c r="L706" s="192"/>
      <c r="M706" t="str">
        <f>LEFT($D706,FIND(",",$D706)-1)&amp;"_"&amp;I706&amp;L706</f>
        <v>Pyorala_2012</v>
      </c>
      <c r="N706" t="s">
        <v>222</v>
      </c>
      <c r="O706" s="145" t="s">
        <v>341</v>
      </c>
      <c r="P706" s="180" t="s">
        <v>223</v>
      </c>
      <c r="Q706" s="264" t="s">
        <v>256</v>
      </c>
      <c r="R706" s="269" t="s">
        <v>1154</v>
      </c>
      <c r="S706" s="263" t="s">
        <v>2151</v>
      </c>
      <c r="T706" s="264" t="s">
        <v>2143</v>
      </c>
      <c r="U706" s="264" t="s">
        <v>2152</v>
      </c>
      <c r="V706">
        <v>0</v>
      </c>
      <c r="W706">
        <v>0</v>
      </c>
      <c r="X706">
        <v>0</v>
      </c>
      <c r="Y706">
        <v>0</v>
      </c>
      <c r="Z706">
        <v>0</v>
      </c>
      <c r="AA706">
        <v>0</v>
      </c>
      <c r="AB706">
        <v>1</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s="141">
        <f>COUNTIF(V706:AW706,"&lt;&gt;0")</f>
        <v>1</v>
      </c>
      <c r="AY706" s="141">
        <f>COUNTIF(V706:AL706,"&lt;&gt;0")</f>
        <v>1</v>
      </c>
      <c r="AZ706">
        <f>COUNTIF(V706:AC706,"&lt;&gt;0")</f>
        <v>1</v>
      </c>
      <c r="BA706">
        <f>COUNTIF(AD706:AI706,"&lt;&gt;0")</f>
        <v>0</v>
      </c>
      <c r="BB706">
        <f>COUNTIF(AJ706:AL706,"&lt;&gt;0")</f>
        <v>0</v>
      </c>
      <c r="BC706">
        <f>COUNTIF(AS706:AW706,"&lt;&gt;0")</f>
        <v>0</v>
      </c>
      <c r="BD706">
        <f>COUNTIF(AM706:AR706,"&lt;&gt;0")</f>
        <v>0</v>
      </c>
      <c r="BE706" t="str" cm="1">
        <f t="array" ref="BE706">IF(AY706=1,INDEX($V$7:$AL$7,MATCH(TRUE,INDEX($V706:$AW706&lt;&gt;0,),0)),IF(AY706=0,INDEX($AM$7:$AW$7,MATCH(1,$AM706:$AW706,0)),IF(BF706="Multiple strategies","mixed drivers",IF(BF706="Supply chain","multiple supply","multiple silviculture"))))</f>
        <v>fertilisation</v>
      </c>
      <c r="BF706" s="2" t="str" cm="1">
        <f t="array" ref="BF706">IF(COUNTIF(AZ706:BB706,"&lt;&gt;0")=1,INDEX($V$4:$AW$4,MATCH(TRUE,INDEX($V706:$AW706&lt;&gt;0,),0)),IF(COUNTIF(AZ706:BB706,"&lt;&gt;0")=0,INDEX($AM$4:$AW$4,MATCH(1,$AM706:$AW706,0)),"Multiple strategies"))</f>
        <v>Silviculture for productivity</v>
      </c>
      <c r="BG706" s="178" t="s">
        <v>321</v>
      </c>
      <c r="BH706" s="264" t="s">
        <v>2144</v>
      </c>
      <c r="BI706" s="264" t="s">
        <v>426</v>
      </c>
      <c r="BJ706" s="160" t="s">
        <v>700</v>
      </c>
      <c r="BK706">
        <v>8.4</v>
      </c>
      <c r="BL706">
        <v>8.6999999999999993</v>
      </c>
      <c r="BN706">
        <f>BL706-BK706</f>
        <v>0.29999999999999893</v>
      </c>
      <c r="BO706">
        <f>BN706</f>
        <v>0.29999999999999893</v>
      </c>
      <c r="BP706" s="155" t="s">
        <v>395</v>
      </c>
      <c r="BQ706" s="335" t="s">
        <v>783</v>
      </c>
      <c r="BR706" s="155" t="s">
        <v>279</v>
      </c>
      <c r="BS706">
        <v>1.1000000000000001</v>
      </c>
      <c r="BT706">
        <v>1</v>
      </c>
      <c r="BU706" s="144"/>
      <c r="BV706">
        <f>BT706-BS706</f>
        <v>-0.10000000000000009</v>
      </c>
      <c r="BX706">
        <f>BV706</f>
        <v>-0.10000000000000009</v>
      </c>
      <c r="BY706">
        <f>IFERROR(BX706/BO706,"")</f>
        <v>-0.33333333333333481</v>
      </c>
      <c r="BZ706">
        <v>0</v>
      </c>
      <c r="CA706">
        <v>0</v>
      </c>
      <c r="CB706">
        <v>0</v>
      </c>
      <c r="CC706">
        <v>0</v>
      </c>
      <c r="CD706">
        <v>0</v>
      </c>
      <c r="CE706">
        <v>0</v>
      </c>
      <c r="CF706">
        <v>0</v>
      </c>
      <c r="CG706">
        <v>0</v>
      </c>
      <c r="CH706">
        <v>0</v>
      </c>
      <c r="CI706">
        <v>0</v>
      </c>
      <c r="CJ706">
        <v>0</v>
      </c>
      <c r="CK706">
        <v>0</v>
      </c>
      <c r="CL706">
        <v>0</v>
      </c>
      <c r="CM706">
        <v>0</v>
      </c>
      <c r="CN706" t="str">
        <f>IF($BL706&lt;$BK706,"refNeedCorrection","refOK")</f>
        <v>refOK</v>
      </c>
      <c r="CO706">
        <f>IF($CN706="refOK",$BK706,$BL706)</f>
        <v>8.4</v>
      </c>
      <c r="CP706">
        <f>IF($CN706="refOK",$BL706,$BK706)</f>
        <v>8.6999999999999993</v>
      </c>
      <c r="CQ706">
        <f>IF($CN706="refOK",$BO706,-$BO706)</f>
        <v>0.29999999999999893</v>
      </c>
      <c r="CR706">
        <f>IF($CN706="refOK",$BS706,$BT706)*IF($BP706="Emissions positive",-1,1)</f>
        <v>-1.1000000000000001</v>
      </c>
      <c r="CS706">
        <f>IF($CN706="refOK",$BT706,$BS706)*IF($BP706="Emissions positive",-1,1)</f>
        <v>-1</v>
      </c>
      <c r="CT706">
        <f>IF($CN706="refNeedCorrection",-BX706,BX706)*IF($BP706="Emissions positive",-1,1)</f>
        <v>0.10000000000000009</v>
      </c>
      <c r="CU706">
        <f>IFERROR(CT706/CQ706,"")</f>
        <v>0.33333333333333481</v>
      </c>
      <c r="CV706" s="2">
        <f>IFERROR((CS706-CR706)/ABS(CR706),"")</f>
        <v>9.0909090909090981E-2</v>
      </c>
      <c r="CW706" s="1" t="s">
        <v>1199</v>
      </c>
      <c r="CX706" s="264" t="str">
        <f>IF(OR($CW706="prd",$CW706="std",$CW706="cit"),"loc",IF(OR($CW706="eur",$CW706="reg",$CW706="coy"),"reg",$CW706))</f>
        <v>reg</v>
      </c>
      <c r="CY706" t="s">
        <v>235</v>
      </c>
      <c r="DB706">
        <v>80</v>
      </c>
      <c r="DC706" t="str">
        <f>IF(DB706=0,"0",IF(AND(DB706&gt;=1,DB706&lt;=30),"1-30",IF(AND(DB706&gt;30,DB706&lt;=70),"31-70",IF(AND(DB706&gt;70,DB706&lt;=100),"71-100",IF(DB706&gt;100,"+100")))))</f>
        <v>71-100</v>
      </c>
      <c r="DD706">
        <v>0</v>
      </c>
      <c r="DE706">
        <v>1</v>
      </c>
      <c r="DF706">
        <v>1</v>
      </c>
      <c r="DG706">
        <v>1</v>
      </c>
      <c r="DI706">
        <f>SUM(DD706:DG706)</f>
        <v>3</v>
      </c>
      <c r="DJ706" t="str">
        <f>IF(DI706=1,INDEX($DD$7:$DG$7,MATCH(1,$DD706:$DG706,0)),"mixedProduct")</f>
        <v>mixedProduct</v>
      </c>
      <c r="DK706">
        <f>IF(DD706=1,DK$7,0)</f>
        <v>0</v>
      </c>
      <c r="DL706" t="str">
        <f>IF(DE706=1,DL$7,0)</f>
        <v>Energy</v>
      </c>
      <c r="DM706" t="str">
        <f>IF(DF706=1,DM$7,0)</f>
        <v>Pulp/Paper</v>
      </c>
      <c r="DN706" t="str">
        <f>IF(DG706=1,DN$7,0)</f>
        <v>Timber</v>
      </c>
      <c r="DO706">
        <v>0</v>
      </c>
      <c r="DP706">
        <v>1</v>
      </c>
      <c r="DQ706" t="s">
        <v>2146</v>
      </c>
      <c r="DR706">
        <v>0</v>
      </c>
      <c r="DS706">
        <v>0</v>
      </c>
      <c r="DT706">
        <f>SUM(DO706:DP706)</f>
        <v>1</v>
      </c>
      <c r="DU706" s="143" t="str">
        <f>IF(DO706=1,"self-calculated DF",IF(DP706=1,"external DF used","explicit C balance"))</f>
        <v>external DF used</v>
      </c>
      <c r="DV706">
        <v>1</v>
      </c>
      <c r="DW706">
        <v>1</v>
      </c>
      <c r="DX706">
        <v>1</v>
      </c>
      <c r="DY706">
        <v>0</v>
      </c>
      <c r="DZ706">
        <v>1</v>
      </c>
      <c r="EA706">
        <v>0</v>
      </c>
      <c r="EB706">
        <v>1</v>
      </c>
      <c r="EC706">
        <v>1</v>
      </c>
      <c r="ED706">
        <v>0</v>
      </c>
      <c r="EE706">
        <v>0</v>
      </c>
      <c r="EF706">
        <v>1</v>
      </c>
      <c r="EG706">
        <v>0</v>
      </c>
      <c r="EH706">
        <v>0</v>
      </c>
      <c r="EI706" s="2">
        <v>0</v>
      </c>
      <c r="EK706" t="str">
        <f>IF(AND(AND(AND(OR($DX706=1,$DW706=1),OR($EC706=1,$EA706=1)),SUM($DV706:$DZ706,$EF706)&gt;=4),SUM($EA706:$EE706)&gt;=2),"Whole sector","")</f>
        <v>Whole sector</v>
      </c>
      <c r="EL706" t="str">
        <f>IF(AND(AND(OR($DX706=1,$DW706=1),AND($EC706=0,$EA706=0)),SUM($DV706:$DZ706,$EF706)&gt;=4),"Ecosystem approach","")</f>
        <v/>
      </c>
      <c r="EM706" s="2" t="str">
        <f>IF(AND(AND(AND($DX706=0,$DW706=0),OR($EC706=1,$EA706=1)),SUM($EB706:$EE706)&gt;=2),"Technology approach","")</f>
        <v/>
      </c>
      <c r="EP706" t="str">
        <f>IF(ISNUMBER(BU706),IF(ABS(BU706-[3]QC_indicators!$B$2)&gt;3*[3]QC_indicators!$C$2,"C ratio",IF(ISNUMBER(BY706),IF(ABS(BY706-[3]QC_indicators!$B$1)&gt;3*[3]QC_indicators!$C$1,"DF","no"))),IF(ISNUMBER(BY706),IF(ABS(BY706-[3]QC_indicators!$B$1)&gt;3*[3]QC_indicators!$C$1,"DF","no")))</f>
        <v>no</v>
      </c>
      <c r="ET706" s="264" t="s">
        <v>3407</v>
      </c>
    </row>
    <row r="707" spans="1:150" ht="15" customHeight="1">
      <c r="A707" s="1" t="s">
        <v>1233</v>
      </c>
      <c r="B707" t="s">
        <v>1234</v>
      </c>
      <c r="C707" t="s">
        <v>1235</v>
      </c>
      <c r="D707" t="s">
        <v>336</v>
      </c>
      <c r="E707" t="s">
        <v>1236</v>
      </c>
      <c r="F707" t="s">
        <v>1237</v>
      </c>
      <c r="G707" t="s">
        <v>1238</v>
      </c>
      <c r="I707">
        <v>2018</v>
      </c>
      <c r="K707" t="s">
        <v>1239</v>
      </c>
      <c r="M707" t="str">
        <f>LEFT($D707,FIND(",",$D707)-1)&amp;"_"&amp;I707&amp;L707</f>
        <v>Balasbaneh_2018</v>
      </c>
      <c r="N707" t="s">
        <v>222</v>
      </c>
      <c r="O707" s="140" t="s">
        <v>513</v>
      </c>
      <c r="Q707" t="s">
        <v>224</v>
      </c>
      <c r="R707" s="262" t="s">
        <v>223</v>
      </c>
      <c r="S707" s="1" t="s">
        <v>1256</v>
      </c>
      <c r="T707" s="264" t="s">
        <v>3112</v>
      </c>
      <c r="U707" s="264" t="s">
        <v>3116</v>
      </c>
      <c r="V707">
        <v>0</v>
      </c>
      <c r="W707">
        <v>0</v>
      </c>
      <c r="X707">
        <v>0</v>
      </c>
      <c r="Y707">
        <v>0</v>
      </c>
      <c r="Z707">
        <v>0</v>
      </c>
      <c r="AA707">
        <v>0</v>
      </c>
      <c r="AB707">
        <v>0</v>
      </c>
      <c r="AC707">
        <v>0</v>
      </c>
      <c r="AD707">
        <v>0</v>
      </c>
      <c r="AE707">
        <v>0</v>
      </c>
      <c r="AF707">
        <v>0</v>
      </c>
      <c r="AG707">
        <v>0</v>
      </c>
      <c r="AH707">
        <v>0</v>
      </c>
      <c r="AI707">
        <v>0</v>
      </c>
      <c r="AJ707">
        <v>0</v>
      </c>
      <c r="AK707">
        <v>1</v>
      </c>
      <c r="AL707">
        <v>0</v>
      </c>
      <c r="AM707">
        <v>0</v>
      </c>
      <c r="AN707">
        <v>0</v>
      </c>
      <c r="AO707">
        <v>0</v>
      </c>
      <c r="AP707">
        <v>0</v>
      </c>
      <c r="AQ707">
        <v>0</v>
      </c>
      <c r="AR707">
        <v>0</v>
      </c>
      <c r="AS707">
        <v>0</v>
      </c>
      <c r="AT707">
        <v>0</v>
      </c>
      <c r="AU707">
        <v>0</v>
      </c>
      <c r="AV707">
        <v>0</v>
      </c>
      <c r="AW707">
        <v>0</v>
      </c>
      <c r="AX707" s="141">
        <f>COUNTIF(V707:AW707,"&lt;&gt;0")</f>
        <v>1</v>
      </c>
      <c r="AY707" s="141">
        <f>COUNTIF(V707:AL707,"&lt;&gt;0")</f>
        <v>1</v>
      </c>
      <c r="AZ707">
        <f>COUNTIF(V707:AC707,"&lt;&gt;0")</f>
        <v>0</v>
      </c>
      <c r="BA707">
        <f>COUNTIF(AD707:AI707,"&lt;&gt;0")</f>
        <v>0</v>
      </c>
      <c r="BB707">
        <f>COUNTIF(AJ707:AL707,"&lt;&gt;0")</f>
        <v>1</v>
      </c>
      <c r="BC707">
        <f>COUNTIF(AS707:AW707,"&lt;&gt;0")</f>
        <v>0</v>
      </c>
      <c r="BD707">
        <f>COUNTIF(AM707:AR707,"&lt;&gt;0")</f>
        <v>0</v>
      </c>
      <c r="BE707" t="str">
        <f t="array" ref="BE707">IF(AY707=1,INDEX($V$7:$AL$7,MATCH(TRUE,INDEX($V707:$AW707&lt;&gt;0,),0)),IF(AY707=0,INDEX($AM$7:$AW$7,MATCH(1,$AM707:$AW707,0)),IF(BF707="Multiple strategies","mixed drivers",IF(BF707="Supply chain","multiple supply","multiple silviculture"))))</f>
        <v>technologies/design switch</v>
      </c>
      <c r="BF707" s="2" t="str" cm="1">
        <f t="array" ref="BF707">IF(COUNTIF(AZ707:BB707,"&lt;&gt;0")=1,INDEX($V$4:$AW$4,MATCH(TRUE,INDEX($V707:$AW707&lt;&gt;0,),0)),IF(COUNTIF(AZ707:BB707,"&lt;&gt;0")=0,INDEX($AM$4:$AW$4,MATCH(1,$AM707:$AW707,0)),"Multiple strategies"))</f>
        <v>Technology</v>
      </c>
      <c r="BG707" s="1" t="s">
        <v>229</v>
      </c>
      <c r="BH707" t="s">
        <v>229</v>
      </c>
      <c r="BJ707" t="s">
        <v>345</v>
      </c>
      <c r="BK707">
        <v>0</v>
      </c>
      <c r="BL707">
        <v>23436</v>
      </c>
      <c r="BM707" s="143"/>
      <c r="BN707">
        <f>BL707-BK707</f>
        <v>23436</v>
      </c>
      <c r="BO707" s="143">
        <f>BN707*kg_to_m3</f>
        <v>47.828571428571436</v>
      </c>
      <c r="BP707" t="s">
        <v>232</v>
      </c>
      <c r="BQ707" s="337" t="s">
        <v>1057</v>
      </c>
      <c r="BR707" t="s">
        <v>397</v>
      </c>
      <c r="BS707">
        <v>-16700</v>
      </c>
      <c r="BT707">
        <v>-711</v>
      </c>
      <c r="BU707" s="144">
        <v>4.2574850299401196E-2</v>
      </c>
      <c r="BV707">
        <v>15989</v>
      </c>
      <c r="BX707">
        <f>BV707/1000</f>
        <v>15.989000000000001</v>
      </c>
      <c r="BY707">
        <f>IFERROR(BX707/BO707,"")</f>
        <v>0.33429808841099162</v>
      </c>
      <c r="BZ707">
        <v>0</v>
      </c>
      <c r="CA707">
        <v>0</v>
      </c>
      <c r="CB707">
        <v>0</v>
      </c>
      <c r="CC707">
        <v>0</v>
      </c>
      <c r="CD707">
        <v>0</v>
      </c>
      <c r="CE707">
        <v>0</v>
      </c>
      <c r="CF707">
        <v>0</v>
      </c>
      <c r="CG707">
        <v>0</v>
      </c>
      <c r="CH707">
        <v>0</v>
      </c>
      <c r="CI707">
        <v>0</v>
      </c>
      <c r="CJ707">
        <v>0</v>
      </c>
      <c r="CK707">
        <v>0</v>
      </c>
      <c r="CL707">
        <v>0</v>
      </c>
      <c r="CM707">
        <v>0</v>
      </c>
      <c r="CN707" t="str">
        <f>IF($BL707&lt;$BK707,"refNeedCorrection","refOK")</f>
        <v>refOK</v>
      </c>
      <c r="CO707">
        <f>IF($CN707="refNeedCorrection",BL707,BK707)</f>
        <v>0</v>
      </c>
      <c r="CP707">
        <f>IF($CN707="refNeedCorrection",BK707,BL707)</f>
        <v>23436</v>
      </c>
      <c r="CQ707">
        <f>IF($CN707="refOK",$BO707,-$BO707)</f>
        <v>47.828571428571436</v>
      </c>
      <c r="CR707">
        <f>IF($CN707="refOK",$BS707,$BT707)*IF($BP707="Emissions positive",-1,1)</f>
        <v>-16700</v>
      </c>
      <c r="CS707">
        <f>IF($CN707="refOK",$BT707,$BS707)*IF($BP707="Emissions positive",-1,1)</f>
        <v>-711</v>
      </c>
      <c r="CT707">
        <f>IF($CN707="refNeedCorrection",-BX707,BX707)*IF($BP707="Emissions positive",-1,1)</f>
        <v>15.989000000000001</v>
      </c>
      <c r="CU707">
        <f>IFERROR(CT707/CQ707,"")</f>
        <v>0.33429808841099162</v>
      </c>
      <c r="CV707" s="2">
        <f>IFERROR((CS707-CR707)/ABS(CR707),"")</f>
        <v>0.95742514970059878</v>
      </c>
      <c r="CW707" s="1" t="s">
        <v>1203</v>
      </c>
      <c r="CX707" t="str">
        <f>IF(OR($CW707="prd",$CW707="std",$CW707="cit"),"loc",IF(OR($CW707="eur",$CW707="reg",$CW707="coy"),"reg",$CW707))</f>
        <v>reg</v>
      </c>
      <c r="CY707" t="s">
        <v>348</v>
      </c>
      <c r="CZ707">
        <v>2014</v>
      </c>
      <c r="DA707">
        <v>2034</v>
      </c>
      <c r="DB707">
        <v>20</v>
      </c>
      <c r="DC707" t="str">
        <f>IF(DB707=0,"0",IF(AND(DB707&gt;=1,DB707&lt;=30),"1-30",IF(AND(DB707&gt;30,DB707&lt;=70),"31-70",IF(AND(DB707&gt;70,DB707&lt;=100),"71-100",IF(DB707&gt;100,"+100")))))</f>
        <v>1-30</v>
      </c>
      <c r="DD707">
        <v>0</v>
      </c>
      <c r="DE707">
        <v>0</v>
      </c>
      <c r="DF707">
        <v>0</v>
      </c>
      <c r="DG707">
        <v>1</v>
      </c>
      <c r="DI707">
        <f>SUM(DD707:DG707)</f>
        <v>1</v>
      </c>
      <c r="DJ707" t="str">
        <f>IF(DI707=1,INDEX($DD$7:$DG$7,MATCH(1,$DD707:$DG707,0)),"mixedProduct")</f>
        <v>TimberInput</v>
      </c>
      <c r="DK707">
        <f>IF(DD707=1,DK$7,0)</f>
        <v>0</v>
      </c>
      <c r="DL707">
        <f>IF(DE707=1,DL$7,0)</f>
        <v>0</v>
      </c>
      <c r="DM707">
        <f>IF(DF707=1,DM$7,0)</f>
        <v>0</v>
      </c>
      <c r="DN707" t="str">
        <f>IF(DG707=1,DN$7,0)</f>
        <v>Timber</v>
      </c>
      <c r="DO707">
        <v>0</v>
      </c>
      <c r="DP707">
        <v>0</v>
      </c>
      <c r="DQ707">
        <v>0</v>
      </c>
      <c r="DR707">
        <v>0</v>
      </c>
      <c r="DS707">
        <v>0</v>
      </c>
      <c r="DT707">
        <f>SUM(DO707:DP707)</f>
        <v>0</v>
      </c>
      <c r="DU707" s="143" t="str">
        <f>IF(DO707=1,"self-calculated DF",IF(DP707=1,"external DF used","explicit C balance"))</f>
        <v>explicit C balance</v>
      </c>
      <c r="DV707">
        <v>0</v>
      </c>
      <c r="DW707">
        <v>0</v>
      </c>
      <c r="DX707">
        <v>0</v>
      </c>
      <c r="DY707">
        <v>0</v>
      </c>
      <c r="DZ707">
        <v>0</v>
      </c>
      <c r="EA707" s="143">
        <v>1</v>
      </c>
      <c r="EB707">
        <v>0</v>
      </c>
      <c r="EC707">
        <v>1</v>
      </c>
      <c r="ED707">
        <v>1</v>
      </c>
      <c r="EE707">
        <v>1</v>
      </c>
      <c r="EF707">
        <v>0</v>
      </c>
      <c r="EG707">
        <v>0</v>
      </c>
      <c r="EH707">
        <v>0</v>
      </c>
      <c r="EI707" s="2">
        <v>0</v>
      </c>
      <c r="EK707" t="str">
        <f>IF(AND(AND(AND(OR($DX707=1,$DW707=1),OR($EC707=1,$EA707=1)),SUM($DV707:$DZ707,$EF707)&gt;=4),SUM($EA707:$EE707)&gt;=2),"Whole sector","")</f>
        <v/>
      </c>
      <c r="EL707" t="str">
        <f>IF(AND(AND(OR($DX707=1,$DW707=1),AND($EC707=0,$EA707=0)),SUM($DV707:$DZ707,$EF707)&gt;=4),"Ecosystem approach","")</f>
        <v/>
      </c>
      <c r="EM707" s="2" t="str">
        <f>IF(AND(AND(AND($DX707=0,$DW707=0),OR($EC707=1,$EA707=1)),SUM($EB707:$EE707)&gt;=2),"Technology approach","")</f>
        <v>Technology approach</v>
      </c>
      <c r="EP707" t="str">
        <f>IF(ISNUMBER(BU707),IF(ABS(BU707-[1]QC_indicators!$B$2)&gt;3*[1]QC_indicators!$C$2,"C ratio",IF(ISNUMBER(BY707),IF(ABS(BY707-[1]QC_indicators!$B$1)&gt;3*[1]QC_indicators!$C$1,"DF","no"))),IF(ISNUMBER(BY707),IF(ABS(BY707-[1]QC_indicators!$B$1)&gt;3*[1]QC_indicators!$C$1,"DF","no")))</f>
        <v>no</v>
      </c>
      <c r="ER707" s="149" t="s">
        <v>349</v>
      </c>
      <c r="ET707" s="264" t="s">
        <v>3273</v>
      </c>
    </row>
    <row r="708" spans="1:150" ht="15" customHeight="1">
      <c r="A708" s="1" t="s">
        <v>878</v>
      </c>
      <c r="B708" t="s">
        <v>1791</v>
      </c>
      <c r="C708" t="s">
        <v>1792</v>
      </c>
      <c r="D708" t="s">
        <v>1793</v>
      </c>
      <c r="E708" t="s">
        <v>1794</v>
      </c>
      <c r="F708" t="s">
        <v>1795</v>
      </c>
      <c r="G708" t="s">
        <v>1184</v>
      </c>
      <c r="H708" t="s">
        <v>254</v>
      </c>
      <c r="I708">
        <v>2011</v>
      </c>
      <c r="J708">
        <v>6</v>
      </c>
      <c r="K708" t="s">
        <v>1796</v>
      </c>
      <c r="M708" t="str">
        <f>LEFT($D708,FIND(",",$D708)-1)&amp;"_"&amp;I708&amp;L708</f>
        <v>Kayo_2011</v>
      </c>
      <c r="N708" t="s">
        <v>222</v>
      </c>
      <c r="O708" s="145" t="s">
        <v>513</v>
      </c>
      <c r="Q708" t="s">
        <v>256</v>
      </c>
      <c r="R708" s="255" t="s">
        <v>225</v>
      </c>
      <c r="S708" s="263" t="s">
        <v>3363</v>
      </c>
      <c r="T708" t="s">
        <v>1805</v>
      </c>
      <c r="U708" t="s">
        <v>1807</v>
      </c>
      <c r="V708">
        <v>0</v>
      </c>
      <c r="W708">
        <v>0</v>
      </c>
      <c r="X708">
        <v>0</v>
      </c>
      <c r="Y708">
        <v>0</v>
      </c>
      <c r="Z708">
        <v>0</v>
      </c>
      <c r="AA708">
        <v>0</v>
      </c>
      <c r="AB708">
        <v>0</v>
      </c>
      <c r="AC708">
        <v>0</v>
      </c>
      <c r="AD708">
        <v>0</v>
      </c>
      <c r="AE708">
        <v>0</v>
      </c>
      <c r="AF708">
        <v>0</v>
      </c>
      <c r="AG708">
        <v>0</v>
      </c>
      <c r="AH708">
        <v>0</v>
      </c>
      <c r="AI708">
        <v>0</v>
      </c>
      <c r="AJ708">
        <v>0</v>
      </c>
      <c r="AK708">
        <v>1</v>
      </c>
      <c r="AL708">
        <v>0</v>
      </c>
      <c r="AM708">
        <v>0</v>
      </c>
      <c r="AN708">
        <v>0</v>
      </c>
      <c r="AO708">
        <v>0</v>
      </c>
      <c r="AP708">
        <v>0</v>
      </c>
      <c r="AQ708">
        <v>0</v>
      </c>
      <c r="AR708">
        <v>0</v>
      </c>
      <c r="AS708">
        <v>0</v>
      </c>
      <c r="AT708">
        <v>0</v>
      </c>
      <c r="AU708">
        <v>0</v>
      </c>
      <c r="AV708">
        <v>0</v>
      </c>
      <c r="AW708">
        <v>0</v>
      </c>
      <c r="AX708" s="141">
        <f>COUNTIF(V708:AW708,"&lt;&gt;0")</f>
        <v>1</v>
      </c>
      <c r="AY708" s="141">
        <f>COUNTIF(V708:AL708,"&lt;&gt;0")</f>
        <v>1</v>
      </c>
      <c r="AZ708">
        <f>COUNTIF(V708:AC708,"&lt;&gt;0")</f>
        <v>0</v>
      </c>
      <c r="BA708">
        <f>COUNTIF(AD708:AI708,"&lt;&gt;0")</f>
        <v>0</v>
      </c>
      <c r="BB708">
        <f>COUNTIF(AJ708:AL708,"&lt;&gt;0")</f>
        <v>1</v>
      </c>
      <c r="BC708">
        <f>COUNTIF(AS708:AW708,"&lt;&gt;0")</f>
        <v>0</v>
      </c>
      <c r="BD708">
        <f>COUNTIF(AM708:AR708,"&lt;&gt;0")</f>
        <v>0</v>
      </c>
      <c r="BE708" t="str">
        <f t="array" ref="BE708">IF(AY708=1,INDEX($V$7:$AL$7,MATCH(TRUE,INDEX($V708:$AW708&lt;&gt;0,),0)),IF(AY708=0,INDEX($AM$7:$AW$7,MATCH(1,$AM708:$AW708,0)),IF(BF708="Multiple strategies","mixed drivers",IF(BF708="Supply chain","multiple supply","multiple silviculture"))))</f>
        <v>technologies/design switch</v>
      </c>
      <c r="BF708" s="2" t="str" cm="1">
        <f t="array" ref="BF708">IF(COUNTIF(AZ708:BB708,"&lt;&gt;0")=1,INDEX($V$4:$AW$4,MATCH(TRUE,INDEX($V708:$AW708&lt;&gt;0,),0)),IF(COUNTIF(AZ708:BB708,"&lt;&gt;0")=0,INDEX($AM$4:$AW$4,MATCH(1,$AM708:$AW708,0)),"Multiple strategies"))</f>
        <v>Technology</v>
      </c>
      <c r="BG708" s="1" t="s">
        <v>229</v>
      </c>
      <c r="BH708" t="s">
        <v>1799</v>
      </c>
      <c r="BI708" s="260" t="s">
        <v>3346</v>
      </c>
      <c r="BJ708" s="260" t="s">
        <v>3347</v>
      </c>
      <c r="BK708">
        <v>0</v>
      </c>
      <c r="BL708">
        <v>86</v>
      </c>
      <c r="BN708">
        <f>BL708-BK708</f>
        <v>86</v>
      </c>
      <c r="BO708">
        <f>BN708*10^6*t_to_m3</f>
        <v>175510204.08163264</v>
      </c>
      <c r="BP708" t="s">
        <v>232</v>
      </c>
      <c r="BQ708" s="260" t="s">
        <v>3341</v>
      </c>
      <c r="BR708" t="s">
        <v>1300</v>
      </c>
      <c r="BU708" s="144" t="str">
        <f>IFERROR(BT708/BS708,"")</f>
        <v/>
      </c>
      <c r="BV708">
        <v>59.5</v>
      </c>
      <c r="BX708">
        <f>BV708*10^6</f>
        <v>59500000</v>
      </c>
      <c r="BY708">
        <f>IFERROR(BX708/BO708,"")</f>
        <v>0.33901162790697675</v>
      </c>
      <c r="BZ708">
        <v>0</v>
      </c>
      <c r="CA708">
        <v>0</v>
      </c>
      <c r="CB708">
        <v>0</v>
      </c>
      <c r="CC708">
        <v>0</v>
      </c>
      <c r="CD708">
        <v>0</v>
      </c>
      <c r="CE708">
        <v>0</v>
      </c>
      <c r="CF708">
        <v>0</v>
      </c>
      <c r="CG708">
        <v>0</v>
      </c>
      <c r="CH708">
        <v>0</v>
      </c>
      <c r="CI708">
        <v>0</v>
      </c>
      <c r="CJ708">
        <v>0</v>
      </c>
      <c r="CK708">
        <v>0</v>
      </c>
      <c r="CL708">
        <v>0</v>
      </c>
      <c r="CM708">
        <v>0</v>
      </c>
      <c r="CN708" t="str">
        <f>IF(BL708&lt;BK708,"refNeedCorrection","refOK")</f>
        <v>refOK</v>
      </c>
      <c r="CO708">
        <f>IF($CN708="refOK",$BK708,$BL708)</f>
        <v>0</v>
      </c>
      <c r="CP708">
        <f>IF($CN708="refOK",$BL708,$BK708)</f>
        <v>86</v>
      </c>
      <c r="CQ708">
        <f>IF($CN708="refOK",$BO708,-$BO708)</f>
        <v>175510204.08163264</v>
      </c>
      <c r="CR708">
        <f>IF($CN708="refOK",$BS708,$BT708)*IF($BP708="Emissions positive",-1,1)</f>
        <v>0</v>
      </c>
      <c r="CS708">
        <f>IF($CN708="refOK",$BT708,$BS708)*IF($BP708="Emissions positive",-1,1)</f>
        <v>0</v>
      </c>
      <c r="CT708">
        <f>IF($CN708="refNeedCorrection",-BX708,BX708)*IF($BP708="Emissions positive",-1,1)</f>
        <v>59500000</v>
      </c>
      <c r="CU708">
        <f>IFERROR(CT708/CQ708,"")</f>
        <v>0.33901162790697675</v>
      </c>
      <c r="CV708" s="2" t="str">
        <f>IFERROR((CS708-CR708)/ABS(CR708),"")</f>
        <v/>
      </c>
      <c r="CW708" s="1" t="s">
        <v>1203</v>
      </c>
      <c r="CX708" t="str">
        <f>IF(OR($CW708="prd",$CW708="std",$CW708="cit"),"loc",IF(OR($CW708="eur",$CW708="reg",$CW708="coy"),"reg",$CW708))</f>
        <v>reg</v>
      </c>
      <c r="CY708" t="s">
        <v>961</v>
      </c>
      <c r="CZ708">
        <v>2005</v>
      </c>
      <c r="DA708">
        <v>2050</v>
      </c>
      <c r="DB708">
        <v>45</v>
      </c>
      <c r="DC708" t="str">
        <f>IF(DB708=0,"0",IF(AND(DB708&gt;=1,DB708&lt;=30),"1-30",IF(AND(DB708&gt;30,DB708&lt;=70),"31-70",IF(AND(DB708&gt;70,DB708&lt;=100),"71-100",IF(DB708&gt;100,"+100")))))</f>
        <v>31-70</v>
      </c>
      <c r="DD708">
        <v>0</v>
      </c>
      <c r="DE708">
        <v>1</v>
      </c>
      <c r="DF708">
        <v>0</v>
      </c>
      <c r="DG708">
        <v>0</v>
      </c>
      <c r="DI708">
        <f>SUM(DD708:DG708)</f>
        <v>1</v>
      </c>
      <c r="DJ708" t="str">
        <f>IF(DI708=1,INDEX($DD$7:$DG$7,MATCH(1,$DD708:$DG708,0)),"mixedProduct")</f>
        <v>EnergyInput</v>
      </c>
      <c r="DK708">
        <f>IF(DD708=1,DK$7,0)</f>
        <v>0</v>
      </c>
      <c r="DL708" t="str">
        <f>IF(DE708=1,DL$7,0)</f>
        <v>Energy</v>
      </c>
      <c r="DM708">
        <f>IF(DF708=1,DM$7,0)</f>
        <v>0</v>
      </c>
      <c r="DN708">
        <f>IF(DG708=1,DN$7,0)</f>
        <v>0</v>
      </c>
      <c r="DO708">
        <v>0</v>
      </c>
      <c r="DP708">
        <v>0</v>
      </c>
      <c r="DQ708">
        <v>0</v>
      </c>
      <c r="DR708">
        <v>0</v>
      </c>
      <c r="DS708">
        <v>0</v>
      </c>
      <c r="DT708">
        <f>SUM(DO708:DP708)</f>
        <v>0</v>
      </c>
      <c r="DU708" s="143" t="str">
        <f>IF(DO708=1,"self-calculated DF",IF(DP708=1,"external DF used","explicit C balance"))</f>
        <v>explicit C balance</v>
      </c>
      <c r="DV708">
        <v>0</v>
      </c>
      <c r="DW708">
        <v>1</v>
      </c>
      <c r="DX708">
        <v>1</v>
      </c>
      <c r="DY708">
        <v>0</v>
      </c>
      <c r="DZ708">
        <v>0</v>
      </c>
      <c r="EA708" s="143">
        <v>1</v>
      </c>
      <c r="EB708">
        <v>1</v>
      </c>
      <c r="EC708">
        <v>0</v>
      </c>
      <c r="ED708">
        <v>0</v>
      </c>
      <c r="EE708">
        <v>0</v>
      </c>
      <c r="EF708">
        <v>1</v>
      </c>
      <c r="EG708">
        <v>1</v>
      </c>
      <c r="EH708">
        <v>0</v>
      </c>
      <c r="EI708" s="2">
        <v>0</v>
      </c>
      <c r="EK708" t="str">
        <f>IF(AND(AND(AND(OR($DX708=1,$DW708=1),OR($EC708=1,$EA708=1)),SUM($DV708:$DZ708,$EF708)&gt;=4),SUM($EA708:$EE708)&gt;=2),"Whole sector","")</f>
        <v/>
      </c>
      <c r="EL708" t="str">
        <f>IF(AND(AND(OR($DX708=1,$DW708=1),AND($EC708=0,$EA708=0)),SUM($DV708:$DZ708,$EF708)&gt;=4),"Ecosystem approach","")</f>
        <v/>
      </c>
      <c r="EM708" s="2" t="str">
        <f>IF(AND(AND(AND($DX708=0,$DW708=0),OR($EC708=1,$EA708=1)),SUM($EB708:$EE708)&gt;=2),"Technology approach","")</f>
        <v/>
      </c>
      <c r="EP708" t="str">
        <f>IF(ISNUMBER(BU708),IF(ABS(BU708-[4]QC_indicators!$B$2)&gt;3*[4]QC_indicators!$C$2,"C ratio",IF(ISNUMBER(BY708),IF(ABS(BY708-[4]QC_indicators!$B$1)&gt;3*[4]QC_indicators!$C$1,"DF","no"))),IF(ISNUMBER(BY708),IF(ABS(BY708-[4]QC_indicators!$B$1)&gt;3*[4]QC_indicators!$C$1,"DF","no")))</f>
        <v>no</v>
      </c>
      <c r="ET708" s="264" t="s">
        <v>3273</v>
      </c>
    </row>
    <row r="709" spans="1:150" ht="15" customHeight="1">
      <c r="A709" s="1" t="s">
        <v>2114</v>
      </c>
      <c r="B709" t="s">
        <v>544</v>
      </c>
      <c r="C709" t="s">
        <v>2277</v>
      </c>
      <c r="D709" t="s">
        <v>2278</v>
      </c>
      <c r="E709" t="s">
        <v>2279</v>
      </c>
      <c r="F709" t="s">
        <v>2280</v>
      </c>
      <c r="G709" t="s">
        <v>2115</v>
      </c>
      <c r="H709" t="s">
        <v>254</v>
      </c>
      <c r="I709">
        <v>2014</v>
      </c>
      <c r="J709">
        <v>96</v>
      </c>
      <c r="K709" t="s">
        <v>2281</v>
      </c>
      <c r="M709" t="str">
        <f>LEFT($D709,FIND(",",$D709)-1)&amp;"_"&amp;I709&amp;L709</f>
        <v>Smyth_2014</v>
      </c>
      <c r="N709" t="s">
        <v>222</v>
      </c>
      <c r="O709" s="145" t="s">
        <v>341</v>
      </c>
      <c r="Q709" t="s">
        <v>256</v>
      </c>
      <c r="R709" s="262" t="s">
        <v>223</v>
      </c>
      <c r="S709" s="1" t="s">
        <v>2292</v>
      </c>
      <c r="T709" t="s">
        <v>1155</v>
      </c>
      <c r="U709" t="s">
        <v>2293</v>
      </c>
      <c r="V709">
        <v>0</v>
      </c>
      <c r="W709">
        <v>0</v>
      </c>
      <c r="X709">
        <v>0</v>
      </c>
      <c r="Y709">
        <v>1</v>
      </c>
      <c r="Z709">
        <v>0</v>
      </c>
      <c r="AA709">
        <v>0</v>
      </c>
      <c r="AB709">
        <v>0</v>
      </c>
      <c r="AC709">
        <v>0</v>
      </c>
      <c r="AD709">
        <v>0</v>
      </c>
      <c r="AE709">
        <v>0</v>
      </c>
      <c r="AF709">
        <v>0</v>
      </c>
      <c r="AG709">
        <v>0</v>
      </c>
      <c r="AH709">
        <v>0</v>
      </c>
      <c r="AI709">
        <v>0</v>
      </c>
      <c r="AJ709">
        <v>2</v>
      </c>
      <c r="AK709">
        <v>0</v>
      </c>
      <c r="AL709">
        <v>0</v>
      </c>
      <c r="AM709">
        <v>0</v>
      </c>
      <c r="AN709">
        <v>0</v>
      </c>
      <c r="AO709">
        <v>0</v>
      </c>
      <c r="AP709">
        <v>0</v>
      </c>
      <c r="AQ709">
        <v>0</v>
      </c>
      <c r="AR709">
        <v>0</v>
      </c>
      <c r="AS709">
        <v>0</v>
      </c>
      <c r="AT709">
        <v>0</v>
      </c>
      <c r="AU709">
        <v>0</v>
      </c>
      <c r="AV709">
        <v>0</v>
      </c>
      <c r="AW709">
        <v>0</v>
      </c>
      <c r="AX709" s="141">
        <f>COUNTIF(V709:AW709,"&lt;&gt;0")</f>
        <v>2</v>
      </c>
      <c r="AY709" s="141">
        <f>COUNTIF(V709:AL709,"&lt;&gt;0")</f>
        <v>2</v>
      </c>
      <c r="AZ709">
        <f>COUNTIF(V709:AC709,"&lt;&gt;0")</f>
        <v>1</v>
      </c>
      <c r="BA709">
        <f>COUNTIF(AD709:AI709,"&lt;&gt;0")</f>
        <v>0</v>
      </c>
      <c r="BB709">
        <f>COUNTIF(AJ709:AL709,"&lt;&gt;0")</f>
        <v>1</v>
      </c>
      <c r="BC709">
        <f>COUNTIF(AS709:AW709,"&lt;&gt;0")</f>
        <v>0</v>
      </c>
      <c r="BD709">
        <f>COUNTIF(AM709:AR709,"&lt;&gt;0")</f>
        <v>0</v>
      </c>
      <c r="BE709" t="str">
        <f t="array" ref="BE709">IF(AY709=1,INDEX($V$7:$AL$7,MATCH(TRUE,INDEX($V709:$AW709&lt;&gt;0,),0)),IF(AY709=0,INDEX($AM$7:$AW$7,MATCH(1,$AM709:$AW709,0)),IF(BF709="Multiple strategies","mixed drivers",IF(BF709="Supply chain","multiple supply","multiple silviculture"))))</f>
        <v>mixed drivers</v>
      </c>
      <c r="BF709" s="2" t="str" cm="1">
        <f t="array" ref="BF709">IF(COUNTIF(AZ709:BB709,"&lt;&gt;0")=1,INDEX($V$4:$AW$4,MATCH(TRUE,INDEX($V709:$AW709&lt;&gt;0,),0)),IF(COUNTIF(AZ709:BB709,"&lt;&gt;0")=0,INDEX($AM$4:$AW$4,MATCH(1,$AM709:$AW709,0)),"Multiple strategies"))</f>
        <v>Multiple strategies</v>
      </c>
      <c r="BG709" s="1" t="s">
        <v>321</v>
      </c>
      <c r="BH709" t="s">
        <v>2294</v>
      </c>
      <c r="BI709" s="264" t="s">
        <v>1036</v>
      </c>
      <c r="BJ709" t="s">
        <v>2288</v>
      </c>
      <c r="BK709">
        <v>0</v>
      </c>
      <c r="BL709">
        <v>9.9</v>
      </c>
      <c r="BN709">
        <f>BL709-BK709</f>
        <v>9.9</v>
      </c>
      <c r="BO709">
        <f>BN709*10^6*tC_to_m3</f>
        <v>42987407.729049072</v>
      </c>
      <c r="BP709" t="s">
        <v>232</v>
      </c>
      <c r="BQ709" s="267" t="s">
        <v>3243</v>
      </c>
      <c r="BR709" s="264" t="s">
        <v>3244</v>
      </c>
      <c r="BU709" s="144"/>
      <c r="BV709">
        <f>511/35</f>
        <v>14.6</v>
      </c>
      <c r="BX709">
        <f>BV709*10^6</f>
        <v>14600000</v>
      </c>
      <c r="BY709">
        <f>IFERROR(BX709/BO709,"")</f>
        <v>0.3396343434343434</v>
      </c>
      <c r="BZ709">
        <v>0</v>
      </c>
      <c r="CA709">
        <v>1</v>
      </c>
      <c r="CB709">
        <v>1</v>
      </c>
      <c r="CC709">
        <v>1</v>
      </c>
      <c r="CD709">
        <v>0</v>
      </c>
      <c r="CE709">
        <v>0</v>
      </c>
      <c r="CF709">
        <v>0</v>
      </c>
      <c r="CG709">
        <v>0</v>
      </c>
      <c r="CH709">
        <v>0</v>
      </c>
      <c r="CI709">
        <v>0</v>
      </c>
      <c r="CJ709">
        <v>0</v>
      </c>
      <c r="CK709">
        <v>0</v>
      </c>
      <c r="CL709">
        <v>0</v>
      </c>
      <c r="CM709">
        <v>0</v>
      </c>
      <c r="CN709" t="str">
        <f>IF($BL709&lt;$BK709,"refNeedCorrection","refOK")</f>
        <v>refOK</v>
      </c>
      <c r="CO709">
        <f>IF($CN709="refOK",$BK709,$BL709)</f>
        <v>0</v>
      </c>
      <c r="CP709">
        <f>IF($CN709="refOK",$BL709,$BK709)</f>
        <v>9.9</v>
      </c>
      <c r="CQ709">
        <f>IF($CN709="refOK",$BO709,-$BO709)</f>
        <v>42987407.729049072</v>
      </c>
      <c r="CR709">
        <f>IF($CN709="refOK",$BS709,$BT709)*IF($BP709="Emissions positive",-1,1)</f>
        <v>0</v>
      </c>
      <c r="CS709">
        <f>IF($CN709="refOK",$BT709,$BS709)*IF($BP709="Emissions positive",-1,1)</f>
        <v>0</v>
      </c>
      <c r="CT709">
        <f>IF($CN709="refNeedCorrection",-BX709,BX709)*IF($BP709="Emissions positive",-1,1)</f>
        <v>14600000</v>
      </c>
      <c r="CU709">
        <f>IFERROR(CT709/CQ709,"")</f>
        <v>0.3396343434343434</v>
      </c>
      <c r="CV709" s="2" t="str">
        <f>IFERROR((CS709-CR709)/ABS(CR709),"")</f>
        <v/>
      </c>
      <c r="CW709" s="1" t="s">
        <v>1203</v>
      </c>
      <c r="CX709" t="str">
        <f>IF(OR($CW709="prd",$CW709="std",$CW709="cit"),"loc",IF(OR($CW709="eur",$CW709="reg",$CW709="coy"),"reg",$CW709))</f>
        <v>reg</v>
      </c>
      <c r="CY709" t="s">
        <v>540</v>
      </c>
      <c r="CZ709">
        <v>2015</v>
      </c>
      <c r="DA709">
        <v>2050</v>
      </c>
      <c r="DB709">
        <v>35</v>
      </c>
      <c r="DC709" t="str">
        <f>IF(DB709=0,"0",IF(AND(DB709&gt;=1,DB709&lt;=30),"1-30",IF(AND(DB709&gt;30,DB709&lt;=70),"31-70",IF(AND(DB709&gt;70,DB709&lt;=100),"71-100",IF(DB709&gt;100,"+100")))))</f>
        <v>31-70</v>
      </c>
      <c r="DD709">
        <v>0</v>
      </c>
      <c r="DE709">
        <v>1</v>
      </c>
      <c r="DF709">
        <v>1</v>
      </c>
      <c r="DG709">
        <v>1</v>
      </c>
      <c r="DI709">
        <f>SUM(DD709:DG709)</f>
        <v>3</v>
      </c>
      <c r="DJ709" t="str">
        <f>IF(DI709=1,INDEX($DD$7:$DG$7,MATCH(1,$DD709:$DG709,0)),"mixedProduct")</f>
        <v>mixedProduct</v>
      </c>
      <c r="DK709">
        <f>IF(DD709=1,DK$7,0)</f>
        <v>0</v>
      </c>
      <c r="DL709" t="str">
        <f>IF(DE709=1,DL$7,0)</f>
        <v>Energy</v>
      </c>
      <c r="DM709" t="str">
        <f>IF(DF709=1,DM$7,0)</f>
        <v>Pulp/Paper</v>
      </c>
      <c r="DN709" t="str">
        <f>IF(DG709=1,DN$7,0)</f>
        <v>Timber</v>
      </c>
      <c r="DO709">
        <v>1</v>
      </c>
      <c r="DP709">
        <v>1</v>
      </c>
      <c r="DQ709" t="s">
        <v>2284</v>
      </c>
      <c r="DR709">
        <v>0</v>
      </c>
      <c r="DS709">
        <v>0</v>
      </c>
      <c r="DT709">
        <f>SUM(DO709:DP709)</f>
        <v>2</v>
      </c>
      <c r="DU709" s="143" t="str">
        <f>IF(DO709=1,"self-calculated DF",IF(DP709=1,"external DF used","explicit C balance"))</f>
        <v>self-calculated DF</v>
      </c>
      <c r="DV709">
        <v>1</v>
      </c>
      <c r="DW709">
        <v>1</v>
      </c>
      <c r="DX709">
        <v>1</v>
      </c>
      <c r="DY709">
        <v>1</v>
      </c>
      <c r="DZ709">
        <v>1</v>
      </c>
      <c r="EA709">
        <v>1</v>
      </c>
      <c r="EB709">
        <v>0</v>
      </c>
      <c r="EC709">
        <v>0</v>
      </c>
      <c r="ED709">
        <v>0</v>
      </c>
      <c r="EE709">
        <v>0</v>
      </c>
      <c r="EF709">
        <v>1</v>
      </c>
      <c r="EG709">
        <v>0</v>
      </c>
      <c r="EH709">
        <v>0</v>
      </c>
      <c r="EI709" s="2">
        <v>0</v>
      </c>
      <c r="EK709" t="str">
        <f>IF(AND(AND(AND(OR($DX709=1,$DW709=1),OR($EC709=1,$EA709=1)),SUM($DV709:$DZ709,$EF709)&gt;=4),SUM($EA709:$EE709)&gt;=2),"Whole sector","")</f>
        <v/>
      </c>
      <c r="EL709" t="str">
        <f>IF(AND(AND(OR($DX709=1,$DW709=1),AND($EC709=0,$EA709=0)),SUM($DV709:$DZ709,$EF709)&gt;=4),"Ecosystem approach","")</f>
        <v/>
      </c>
      <c r="EM709" s="2" t="str">
        <f>IF(AND(AND(AND($DX709=0,$DW709=0),OR($EC709=1,$EA709=1)),SUM($EB709:$EE709)&gt;=2),"Technology approach","")</f>
        <v/>
      </c>
      <c r="EP709" t="str">
        <f>IF(ISNUMBER(BU709),IF(ABS(BU709-[1]QC_indicators!$B$2)&gt;3*[1]QC_indicators!$C$2,"C ratio",IF(ISNUMBER(BY709),IF(ABS(BY709-[1]QC_indicators!$B$1)&gt;3*[1]QC_indicators!$C$1,"DF","no"))),IF(ISNUMBER(BY709),IF(ABS(BY709-[1]QC_indicators!$B$1)&gt;3*[1]QC_indicators!$C$1,"DF","no")))</f>
        <v>no</v>
      </c>
      <c r="ET709" s="268" t="s">
        <v>3242</v>
      </c>
    </row>
    <row r="710" spans="1:150" ht="15" customHeight="1">
      <c r="A710" s="1" t="s">
        <v>1808</v>
      </c>
      <c r="B710" t="s">
        <v>2257</v>
      </c>
      <c r="C710" t="s">
        <v>2258</v>
      </c>
      <c r="D710" t="s">
        <v>2259</v>
      </c>
      <c r="E710" t="s">
        <v>2260</v>
      </c>
      <c r="F710" t="s">
        <v>2261</v>
      </c>
      <c r="G710" t="s">
        <v>1814</v>
      </c>
      <c r="H710" t="s">
        <v>254</v>
      </c>
      <c r="I710">
        <v>2013</v>
      </c>
      <c r="J710">
        <v>49</v>
      </c>
      <c r="K710" t="s">
        <v>2262</v>
      </c>
      <c r="M710" t="str">
        <f>LEFT($D710,FIND(",",$D710)-1)&amp;"_"&amp;I710&amp;L710</f>
        <v>Sikkema_2013</v>
      </c>
      <c r="N710" t="s">
        <v>222</v>
      </c>
      <c r="O710" s="145" t="s">
        <v>341</v>
      </c>
      <c r="Q710" s="264" t="s">
        <v>256</v>
      </c>
      <c r="R710" s="269" t="s">
        <v>1154</v>
      </c>
      <c r="S710" s="1" t="s">
        <v>2269</v>
      </c>
      <c r="T710" t="s">
        <v>1099</v>
      </c>
      <c r="U710" t="e">
        <f>#REF!</f>
        <v>#REF!</v>
      </c>
      <c r="V710">
        <v>2</v>
      </c>
      <c r="W710">
        <v>0</v>
      </c>
      <c r="X710">
        <v>0</v>
      </c>
      <c r="Y710">
        <v>0</v>
      </c>
      <c r="Z710">
        <v>0</v>
      </c>
      <c r="AA710">
        <v>0</v>
      </c>
      <c r="AB710">
        <v>0</v>
      </c>
      <c r="AC710">
        <v>0</v>
      </c>
      <c r="AD710">
        <v>0</v>
      </c>
      <c r="AE710">
        <v>0</v>
      </c>
      <c r="AF710">
        <v>1</v>
      </c>
      <c r="AG710">
        <v>0</v>
      </c>
      <c r="AH710">
        <v>0</v>
      </c>
      <c r="AI710">
        <v>0</v>
      </c>
      <c r="AJ710">
        <v>0</v>
      </c>
      <c r="AK710">
        <v>0</v>
      </c>
      <c r="AL710">
        <v>0</v>
      </c>
      <c r="AM710">
        <v>0</v>
      </c>
      <c r="AN710">
        <v>0</v>
      </c>
      <c r="AO710">
        <v>0</v>
      </c>
      <c r="AP710">
        <v>0</v>
      </c>
      <c r="AQ710">
        <v>0</v>
      </c>
      <c r="AR710">
        <v>0</v>
      </c>
      <c r="AS710">
        <v>0</v>
      </c>
      <c r="AT710">
        <v>0</v>
      </c>
      <c r="AU710">
        <v>0</v>
      </c>
      <c r="AV710">
        <v>0</v>
      </c>
      <c r="AW710">
        <v>0</v>
      </c>
      <c r="AX710" s="141">
        <f>COUNTIF(V710:AW710,"&lt;&gt;0")</f>
        <v>2</v>
      </c>
      <c r="AY710" s="141">
        <f>COUNTIF(V710:AL710,"&lt;&gt;0")</f>
        <v>2</v>
      </c>
      <c r="AZ710">
        <f>COUNTIF(V710:AC710,"&lt;&gt;0")</f>
        <v>1</v>
      </c>
      <c r="BA710">
        <f>COUNTIF(AD710:AI710,"&lt;&gt;0")</f>
        <v>1</v>
      </c>
      <c r="BB710">
        <f>COUNTIF(AJ710:AL710,"&lt;&gt;0")</f>
        <v>0</v>
      </c>
      <c r="BC710">
        <f>COUNTIF(AS710:AW710,"&lt;&gt;0")</f>
        <v>0</v>
      </c>
      <c r="BD710">
        <f>COUNTIF(AM710:AR710,"&lt;&gt;0")</f>
        <v>0</v>
      </c>
      <c r="BE710" t="str" cm="1">
        <f t="array" ref="BE710">IF(AY710=1,INDEX($V$7:$AL$7,MATCH(TRUE,INDEX($V710:$AW710&lt;&gt;0,),0)),IF(AY710=0,INDEX($AM$7:$AW$7,MATCH(1,$AM710:$AW710,0)),IF(BF710="Multiple strategies","mixed drivers",IF(BF710="Supply chain","multiple supply","multiple silviculture"))))</f>
        <v>mixed drivers</v>
      </c>
      <c r="BF710" s="2" t="str" cm="1">
        <f t="array" ref="BF710">IF(COUNTIF(AZ710:BB710,"&lt;&gt;0")=1,INDEX($V$4:$AW$4,MATCH(TRUE,INDEX($V710:$AW710&lt;&gt;0,),0)),IF(COUNTIF(AZ710:BB710,"&lt;&gt;0")=0,INDEX($AM$4:$AW$4,MATCH(1,$AM710:$AW710,0)),"Multiple strategies"))</f>
        <v>Multiple strategies</v>
      </c>
      <c r="BG710" s="1" t="s">
        <v>321</v>
      </c>
      <c r="BH710" t="s">
        <v>2264</v>
      </c>
      <c r="BJ710" t="s">
        <v>1355</v>
      </c>
      <c r="BK710">
        <v>130</v>
      </c>
      <c r="BL710">
        <v>180</v>
      </c>
      <c r="BN710">
        <f>BL710-BK710</f>
        <v>50</v>
      </c>
      <c r="BO710">
        <f>BN710*10^6</f>
        <v>50000000</v>
      </c>
      <c r="BP710" s="264" t="s">
        <v>232</v>
      </c>
      <c r="BQ710" s="264"/>
      <c r="BR710" t="s">
        <v>1140</v>
      </c>
      <c r="BS710">
        <v>-41.3</v>
      </c>
      <c r="BT710">
        <v>-24.3</v>
      </c>
      <c r="BU710" s="144">
        <v>0.58837772397094434</v>
      </c>
      <c r="BV710">
        <v>16.999999999999996</v>
      </c>
      <c r="BX710">
        <f>BV710*10^6</f>
        <v>16999999.999999996</v>
      </c>
      <c r="BY710">
        <f>IFERROR(BX710/BO710,"")</f>
        <v>0.33999999999999991</v>
      </c>
      <c r="BZ710">
        <v>0</v>
      </c>
      <c r="CA710">
        <v>0</v>
      </c>
      <c r="CB710">
        <v>0</v>
      </c>
      <c r="CC710">
        <v>0</v>
      </c>
      <c r="CD710">
        <v>0</v>
      </c>
      <c r="CE710">
        <v>0</v>
      </c>
      <c r="CF710">
        <v>0</v>
      </c>
      <c r="CG710">
        <v>0</v>
      </c>
      <c r="CH710">
        <v>0</v>
      </c>
      <c r="CI710">
        <v>0</v>
      </c>
      <c r="CJ710">
        <v>0</v>
      </c>
      <c r="CK710">
        <v>0</v>
      </c>
      <c r="CL710">
        <v>0</v>
      </c>
      <c r="CM710">
        <v>0</v>
      </c>
      <c r="CN710" t="str">
        <f>IF($BL710&lt;$BK710,"refNeedCorrection","refOK")</f>
        <v>refOK</v>
      </c>
      <c r="CO710">
        <f>IF($CN710="refOK",$BK710,$BL710)</f>
        <v>130</v>
      </c>
      <c r="CP710">
        <f>IF($CN710="refOK",$BL710,$BK710)</f>
        <v>180</v>
      </c>
      <c r="CQ710">
        <f>IF($CN710="refOK",$BO710,-$BO710)</f>
        <v>50000000</v>
      </c>
      <c r="CR710">
        <f>IF($CN710="refOK",$BS710,$BT710)*IF($BP710="Emissions positive",-1,1)</f>
        <v>-41.3</v>
      </c>
      <c r="CS710">
        <f>IF($CN710="refOK",$BT710,$BS710)*IF($BP710="Emissions positive",-1,1)</f>
        <v>-24.3</v>
      </c>
      <c r="CT710">
        <f>IF($CN710="refNeedCorrection",-BX710,BX710)*IF($BP710="Emissions positive",-1,1)</f>
        <v>16999999.999999996</v>
      </c>
      <c r="CU710">
        <f>IFERROR(CT710/CQ710,"")</f>
        <v>0.33999999999999991</v>
      </c>
      <c r="CV710" s="2">
        <f>IFERROR((CS710-CR710)/ABS(CR710),"")</f>
        <v>0.41162227602905566</v>
      </c>
      <c r="CW710" s="1" t="s">
        <v>1203</v>
      </c>
      <c r="CX710" s="264" t="str">
        <f>IF(OR($CW710="prd",$CW710="std",$CW710="cit"),"loc",IF(OR($CW710="eur",$CW710="reg",$CW710="coy"),"reg",$CW710))</f>
        <v>reg</v>
      </c>
      <c r="CY710" t="s">
        <v>540</v>
      </c>
      <c r="CZ710">
        <v>2012</v>
      </c>
      <c r="DA710">
        <v>2112</v>
      </c>
      <c r="DB710">
        <v>100</v>
      </c>
      <c r="DC710" t="str">
        <f>IF(DB710=0,"0",IF(AND(DB710&gt;=1,DB710&lt;=30),"1-30",IF(AND(DB710&gt;30,DB710&lt;=70),"31-70",IF(AND(DB710&gt;70,DB710&lt;=100),"71-100",IF(DB710&gt;100,"+100")))))</f>
        <v>71-100</v>
      </c>
      <c r="DD710">
        <v>0</v>
      </c>
      <c r="DE710">
        <v>1</v>
      </c>
      <c r="DF710">
        <v>1</v>
      </c>
      <c r="DG710">
        <v>1</v>
      </c>
      <c r="DI710">
        <f>SUM(DD710:DG710)</f>
        <v>3</v>
      </c>
      <c r="DJ710" t="str">
        <f>IF(DI710=1,INDEX($DD$7:$DG$7,MATCH(1,$DD710:$DG710,0)),"mixedProduct")</f>
        <v>mixedProduct</v>
      </c>
      <c r="DK710">
        <f>IF(DD710=1,DK$7,0)</f>
        <v>0</v>
      </c>
      <c r="DL710" t="str">
        <f>IF(DE710=1,DL$7,0)</f>
        <v>Energy</v>
      </c>
      <c r="DM710" t="str">
        <f>IF(DF710=1,DM$7,0)</f>
        <v>Pulp/Paper</v>
      </c>
      <c r="DN710" t="str">
        <f>IF(DG710=1,DN$7,0)</f>
        <v>Timber</v>
      </c>
      <c r="DO710" t="s">
        <v>2265</v>
      </c>
      <c r="DP710">
        <v>1</v>
      </c>
      <c r="DQ710" s="184" t="s">
        <v>2266</v>
      </c>
      <c r="DR710" t="s">
        <v>2267</v>
      </c>
      <c r="DT710">
        <f>SUM(DO710:DP710)</f>
        <v>1</v>
      </c>
      <c r="DU710" s="143" t="str">
        <f>IF(DO710=1,"self-calculated DF",IF(DP710=1,"external DF used","explicit C balance"))</f>
        <v>external DF used</v>
      </c>
      <c r="DV710">
        <v>0</v>
      </c>
      <c r="DW710">
        <v>0</v>
      </c>
      <c r="DX710">
        <v>0</v>
      </c>
      <c r="DY710">
        <v>1</v>
      </c>
      <c r="DZ710">
        <v>1</v>
      </c>
      <c r="EA710">
        <v>1</v>
      </c>
      <c r="EB710">
        <v>0</v>
      </c>
      <c r="EC710">
        <v>1</v>
      </c>
      <c r="ED710">
        <v>0</v>
      </c>
      <c r="EE710">
        <v>1</v>
      </c>
      <c r="EF710">
        <v>1</v>
      </c>
      <c r="EG710">
        <v>1</v>
      </c>
      <c r="EH710">
        <v>1</v>
      </c>
      <c r="EI710" s="2">
        <v>0</v>
      </c>
      <c r="EK710" t="str">
        <f>IF(AND(AND(AND(OR($DX710=1,$DW710=1),OR($EC710=1,$EA710=1)),SUM($DV710:$DZ710,$EF710)&gt;=4),SUM($EA710:$EE710)&gt;=2),"Whole sector","")</f>
        <v/>
      </c>
      <c r="EL710" t="str">
        <f>IF(AND(AND(OR($DX710=1,$DW710=1),AND($EC710=0,$EA710=0)),SUM($DV710:$DZ710,$EF710)&gt;=4),"Ecosystem approach","")</f>
        <v/>
      </c>
      <c r="EM710" s="2" t="str">
        <f>IF(AND(AND(AND($DX710=0,$DW710=0),OR($EC710=1,$EA710=1)),SUM($EB710:$EE710)&gt;=2),"Technology approach","")</f>
        <v>Technology approach</v>
      </c>
      <c r="EP710" t="str">
        <f>IF(ISNUMBER(BU710),IF(ABS(BU710-[3]QC_indicators!$B$2)&gt;3*[3]QC_indicators!$C$2,"C ratio",IF(ISNUMBER(BY710),IF(ABS(BY710-[3]QC_indicators!$B$1)&gt;3*[3]QC_indicators!$C$1,"DF","no"))),IF(ISNUMBER(BY710),IF(ABS(BY710-[3]QC_indicators!$B$1)&gt;3*[3]QC_indicators!$C$1,"DF","no")))</f>
        <v>no</v>
      </c>
      <c r="ER710" s="264" t="s">
        <v>2268</v>
      </c>
      <c r="ET710" s="264" t="s">
        <v>3407</v>
      </c>
    </row>
    <row r="711" spans="1:150" ht="15" customHeight="1">
      <c r="A711" s="1" t="s">
        <v>1233</v>
      </c>
      <c r="B711" t="s">
        <v>1234</v>
      </c>
      <c r="C711" t="s">
        <v>1235</v>
      </c>
      <c r="D711" t="s">
        <v>336</v>
      </c>
      <c r="E711" t="s">
        <v>1236</v>
      </c>
      <c r="F711" t="s">
        <v>1237</v>
      </c>
      <c r="G711" t="s">
        <v>1238</v>
      </c>
      <c r="I711">
        <v>2018</v>
      </c>
      <c r="K711" t="s">
        <v>1239</v>
      </c>
      <c r="M711" t="str">
        <f>LEFT($D711,FIND(",",$D711)-1)&amp;"_"&amp;I711&amp;L711</f>
        <v>Balasbaneh_2018</v>
      </c>
      <c r="N711" t="s">
        <v>222</v>
      </c>
      <c r="O711" s="140" t="s">
        <v>513</v>
      </c>
      <c r="Q711" t="s">
        <v>224</v>
      </c>
      <c r="R711" s="262" t="s">
        <v>223</v>
      </c>
      <c r="S711" s="1" t="s">
        <v>1257</v>
      </c>
      <c r="T711" s="264" t="s">
        <v>3112</v>
      </c>
      <c r="U711" s="264" t="s">
        <v>3111</v>
      </c>
      <c r="V711">
        <v>0</v>
      </c>
      <c r="W711">
        <v>0</v>
      </c>
      <c r="X711">
        <v>0</v>
      </c>
      <c r="Y711">
        <v>0</v>
      </c>
      <c r="Z711">
        <v>0</v>
      </c>
      <c r="AA711">
        <v>0</v>
      </c>
      <c r="AB711">
        <v>0</v>
      </c>
      <c r="AC711">
        <v>0</v>
      </c>
      <c r="AD711">
        <v>0</v>
      </c>
      <c r="AE711">
        <v>0</v>
      </c>
      <c r="AF711">
        <v>0</v>
      </c>
      <c r="AG711">
        <v>0</v>
      </c>
      <c r="AH711">
        <v>0</v>
      </c>
      <c r="AI711">
        <v>0</v>
      </c>
      <c r="AJ711">
        <v>0</v>
      </c>
      <c r="AK711">
        <v>1</v>
      </c>
      <c r="AL711">
        <v>0</v>
      </c>
      <c r="AM711">
        <v>0</v>
      </c>
      <c r="AN711">
        <v>0</v>
      </c>
      <c r="AO711">
        <v>0</v>
      </c>
      <c r="AP711">
        <v>0</v>
      </c>
      <c r="AQ711">
        <v>0</v>
      </c>
      <c r="AR711">
        <v>0</v>
      </c>
      <c r="AS711">
        <v>0</v>
      </c>
      <c r="AT711">
        <v>0</v>
      </c>
      <c r="AU711">
        <v>0</v>
      </c>
      <c r="AV711">
        <v>0</v>
      </c>
      <c r="AW711">
        <v>0</v>
      </c>
      <c r="AX711" s="141">
        <f>COUNTIF(V711:AW711,"&lt;&gt;0")</f>
        <v>1</v>
      </c>
      <c r="AY711" s="141">
        <f>COUNTIF(V711:AL711,"&lt;&gt;0")</f>
        <v>1</v>
      </c>
      <c r="AZ711">
        <f>COUNTIF(V711:AC711,"&lt;&gt;0")</f>
        <v>0</v>
      </c>
      <c r="BA711">
        <f>COUNTIF(AD711:AI711,"&lt;&gt;0")</f>
        <v>0</v>
      </c>
      <c r="BB711">
        <f>COUNTIF(AJ711:AL711,"&lt;&gt;0")</f>
        <v>1</v>
      </c>
      <c r="BC711">
        <f>COUNTIF(AS711:AW711,"&lt;&gt;0")</f>
        <v>0</v>
      </c>
      <c r="BD711">
        <f>COUNTIF(AM711:AR711,"&lt;&gt;0")</f>
        <v>0</v>
      </c>
      <c r="BE711" t="str">
        <f t="array" ref="BE711">IF(AY711=1,INDEX($V$7:$AL$7,MATCH(TRUE,INDEX($V711:$AW711&lt;&gt;0,),0)),IF(AY711=0,INDEX($AM$7:$AW$7,MATCH(1,$AM711:$AW711,0)),IF(BF711="Multiple strategies","mixed drivers",IF(BF711="Supply chain","multiple supply","multiple silviculture"))))</f>
        <v>technologies/design switch</v>
      </c>
      <c r="BF711" s="2" t="str" cm="1">
        <f t="array" ref="BF711">IF(COUNTIF(AZ711:BB711,"&lt;&gt;0")=1,INDEX($V$4:$AW$4,MATCH(TRUE,INDEX($V711:$AW711&lt;&gt;0,),0)),IF(COUNTIF(AZ711:BB711,"&lt;&gt;0")=0,INDEX($AM$4:$AW$4,MATCH(1,$AM711:$AW711,0)),"Multiple strategies"))</f>
        <v>Technology</v>
      </c>
      <c r="BG711" s="1" t="s">
        <v>229</v>
      </c>
      <c r="BH711" t="s">
        <v>229</v>
      </c>
      <c r="BJ711" t="s">
        <v>345</v>
      </c>
      <c r="BK711">
        <v>0</v>
      </c>
      <c r="BL711">
        <v>15468</v>
      </c>
      <c r="BM711" s="143"/>
      <c r="BN711">
        <f>BL711-BK711</f>
        <v>15468</v>
      </c>
      <c r="BO711" s="143">
        <f>BN711*kg_to_m3</f>
        <v>31.567346938775515</v>
      </c>
      <c r="BP711" t="s">
        <v>232</v>
      </c>
      <c r="BQ711" s="337" t="s">
        <v>1057</v>
      </c>
      <c r="BR711" t="s">
        <v>397</v>
      </c>
      <c r="BS711">
        <v>-16700</v>
      </c>
      <c r="BT711">
        <v>-5840</v>
      </c>
      <c r="BU711" s="144">
        <v>0.34970059880239523</v>
      </c>
      <c r="BV711">
        <v>10860</v>
      </c>
      <c r="BX711">
        <f>BV711/1000</f>
        <v>10.86</v>
      </c>
      <c r="BY711">
        <f>IFERROR(BX711/BO711,"")</f>
        <v>0.34402637703646233</v>
      </c>
      <c r="BZ711">
        <v>0</v>
      </c>
      <c r="CA711">
        <v>0</v>
      </c>
      <c r="CB711">
        <v>0</v>
      </c>
      <c r="CC711">
        <v>0</v>
      </c>
      <c r="CD711">
        <v>0</v>
      </c>
      <c r="CE711">
        <v>0</v>
      </c>
      <c r="CF711">
        <v>0</v>
      </c>
      <c r="CG711">
        <v>0</v>
      </c>
      <c r="CH711">
        <v>0</v>
      </c>
      <c r="CI711">
        <v>0</v>
      </c>
      <c r="CJ711">
        <v>0</v>
      </c>
      <c r="CK711">
        <v>0</v>
      </c>
      <c r="CL711">
        <v>0</v>
      </c>
      <c r="CM711">
        <v>0</v>
      </c>
      <c r="CN711" t="str">
        <f>IF($BL711&lt;$BK711,"refNeedCorrection","refOK")</f>
        <v>refOK</v>
      </c>
      <c r="CO711">
        <f>IF($CN711="refNeedCorrection",BL711,BK711)</f>
        <v>0</v>
      </c>
      <c r="CP711">
        <f>IF($CN711="refNeedCorrection",BK711,BL711)</f>
        <v>15468</v>
      </c>
      <c r="CQ711">
        <f>IF($CN711="refOK",$BO711,-$BO711)</f>
        <v>31.567346938775515</v>
      </c>
      <c r="CR711">
        <f>IF($CN711="refOK",$BS711,$BT711)*IF($BP711="Emissions positive",-1,1)</f>
        <v>-16700</v>
      </c>
      <c r="CS711">
        <f>IF($CN711="refOK",$BT711,$BS711)*IF($BP711="Emissions positive",-1,1)</f>
        <v>-5840</v>
      </c>
      <c r="CT711">
        <f>IF($CN711="refNeedCorrection",-BX711,BX711)*IF($BP711="Emissions positive",-1,1)</f>
        <v>10.86</v>
      </c>
      <c r="CU711">
        <f>IFERROR(CT711/CQ711,"")</f>
        <v>0.34402637703646233</v>
      </c>
      <c r="CV711" s="2">
        <f>IFERROR((CS711-CR711)/ABS(CR711),"")</f>
        <v>0.65029940119760477</v>
      </c>
      <c r="CW711" s="1" t="s">
        <v>1203</v>
      </c>
      <c r="CX711" t="str">
        <f>IF(OR($CW711="prd",$CW711="std",$CW711="cit"),"loc",IF(OR($CW711="eur",$CW711="reg",$CW711="coy"),"reg",$CW711))</f>
        <v>reg</v>
      </c>
      <c r="CY711" t="s">
        <v>348</v>
      </c>
      <c r="CZ711">
        <v>2014</v>
      </c>
      <c r="DA711">
        <v>2034</v>
      </c>
      <c r="DB711">
        <v>20</v>
      </c>
      <c r="DC711" t="str">
        <f>IF(DB711=0,"0",IF(AND(DB711&gt;=1,DB711&lt;=30),"1-30",IF(AND(DB711&gt;30,DB711&lt;=70),"31-70",IF(AND(DB711&gt;70,DB711&lt;=100),"71-100",IF(DB711&gt;100,"+100")))))</f>
        <v>1-30</v>
      </c>
      <c r="DD711">
        <v>0</v>
      </c>
      <c r="DE711">
        <v>0</v>
      </c>
      <c r="DF711">
        <v>0</v>
      </c>
      <c r="DG711">
        <v>1</v>
      </c>
      <c r="DI711">
        <f>SUM(DD711:DG711)</f>
        <v>1</v>
      </c>
      <c r="DJ711" t="str">
        <f>IF(DI711=1,INDEX($DD$7:$DG$7,MATCH(1,$DD711:$DG711,0)),"mixedProduct")</f>
        <v>TimberInput</v>
      </c>
      <c r="DK711">
        <f>IF(DD711=1,DK$7,0)</f>
        <v>0</v>
      </c>
      <c r="DL711">
        <f>IF(DE711=1,DL$7,0)</f>
        <v>0</v>
      </c>
      <c r="DM711">
        <f>IF(DF711=1,DM$7,0)</f>
        <v>0</v>
      </c>
      <c r="DN711" t="str">
        <f>IF(DG711=1,DN$7,0)</f>
        <v>Timber</v>
      </c>
      <c r="DO711">
        <v>0</v>
      </c>
      <c r="DP711">
        <v>0</v>
      </c>
      <c r="DQ711">
        <v>0</v>
      </c>
      <c r="DR711">
        <v>0</v>
      </c>
      <c r="DS711">
        <v>0</v>
      </c>
      <c r="DT711">
        <f>SUM(DO711:DP711)</f>
        <v>0</v>
      </c>
      <c r="DU711" s="143" t="str">
        <f>IF(DO711=1,"self-calculated DF",IF(DP711=1,"external DF used","explicit C balance"))</f>
        <v>explicit C balance</v>
      </c>
      <c r="DV711">
        <v>0</v>
      </c>
      <c r="DW711">
        <v>0</v>
      </c>
      <c r="DX711">
        <v>0</v>
      </c>
      <c r="DY711">
        <v>0</v>
      </c>
      <c r="DZ711">
        <v>0</v>
      </c>
      <c r="EA711" s="143">
        <v>1</v>
      </c>
      <c r="EB711">
        <v>0</v>
      </c>
      <c r="EC711">
        <v>1</v>
      </c>
      <c r="ED711">
        <v>1</v>
      </c>
      <c r="EE711">
        <v>1</v>
      </c>
      <c r="EF711">
        <v>0</v>
      </c>
      <c r="EG711">
        <v>0</v>
      </c>
      <c r="EH711">
        <v>0</v>
      </c>
      <c r="EI711" s="2">
        <v>0</v>
      </c>
      <c r="EK711" t="str">
        <f>IF(AND(AND(AND(OR($DX711=1,$DW711=1),OR($EC711=1,$EA711=1)),SUM($DV711:$DZ711,$EF711)&gt;=4),SUM($EA711:$EE711)&gt;=2),"Whole sector","")</f>
        <v/>
      </c>
      <c r="EL711" t="str">
        <f>IF(AND(AND(OR($DX711=1,$DW711=1),AND($EC711=0,$EA711=0)),SUM($DV711:$DZ711,$EF711)&gt;=4),"Ecosystem approach","")</f>
        <v/>
      </c>
      <c r="EM711" s="2" t="str">
        <f>IF(AND(AND(AND($DX711=0,$DW711=0),OR($EC711=1,$EA711=1)),SUM($EB711:$EE711)&gt;=2),"Technology approach","")</f>
        <v>Technology approach</v>
      </c>
      <c r="EP711" t="str">
        <f>IF(ISNUMBER(BU711),IF(ABS(BU711-[1]QC_indicators!$B$2)&gt;3*[1]QC_indicators!$C$2,"C ratio",IF(ISNUMBER(BY711),IF(ABS(BY711-[1]QC_indicators!$B$1)&gt;3*[1]QC_indicators!$C$1,"DF","no"))),IF(ISNUMBER(BY711),IF(ABS(BY711-[1]QC_indicators!$B$1)&gt;3*[1]QC_indicators!$C$1,"DF","no")))</f>
        <v>no</v>
      </c>
      <c r="ER711" s="149" t="s">
        <v>349</v>
      </c>
      <c r="ET711" s="264" t="s">
        <v>3273</v>
      </c>
    </row>
    <row r="712" spans="1:150" ht="15" customHeight="1">
      <c r="A712" s="1" t="s">
        <v>505</v>
      </c>
      <c r="B712" t="s">
        <v>528</v>
      </c>
      <c r="C712" t="s">
        <v>529</v>
      </c>
      <c r="D712" t="s">
        <v>530</v>
      </c>
      <c r="E712" t="s">
        <v>531</v>
      </c>
      <c r="F712" t="s">
        <v>532</v>
      </c>
      <c r="G712" t="s">
        <v>511</v>
      </c>
      <c r="H712" t="s">
        <v>254</v>
      </c>
      <c r="I712">
        <v>2015</v>
      </c>
      <c r="J712">
        <v>31</v>
      </c>
      <c r="K712" t="s">
        <v>533</v>
      </c>
      <c r="M712" t="str">
        <f>LEFT($D712,FIND(",",$D712)-1)&amp;"_"&amp;I712&amp;L712</f>
        <v>Cambero_2015</v>
      </c>
      <c r="N712" t="s">
        <v>222</v>
      </c>
      <c r="O712" s="145" t="s">
        <v>223</v>
      </c>
      <c r="Q712" t="s">
        <v>256</v>
      </c>
      <c r="R712" s="255" t="s">
        <v>225</v>
      </c>
      <c r="S712" s="1" t="s">
        <v>534</v>
      </c>
      <c r="T712" t="s">
        <v>535</v>
      </c>
      <c r="U712" t="s">
        <v>536</v>
      </c>
      <c r="V712">
        <v>0</v>
      </c>
      <c r="W712">
        <v>0</v>
      </c>
      <c r="X712">
        <v>0</v>
      </c>
      <c r="Y712">
        <v>0</v>
      </c>
      <c r="Z712">
        <v>0</v>
      </c>
      <c r="AA712">
        <v>0</v>
      </c>
      <c r="AB712">
        <v>0</v>
      </c>
      <c r="AC712">
        <v>0</v>
      </c>
      <c r="AD712">
        <v>0</v>
      </c>
      <c r="AE712">
        <v>0</v>
      </c>
      <c r="AF712">
        <v>0</v>
      </c>
      <c r="AG712">
        <v>0</v>
      </c>
      <c r="AH712">
        <v>0</v>
      </c>
      <c r="AI712">
        <v>0</v>
      </c>
      <c r="AJ712">
        <v>0</v>
      </c>
      <c r="AK712">
        <v>1</v>
      </c>
      <c r="AL712">
        <v>0</v>
      </c>
      <c r="AM712">
        <v>0</v>
      </c>
      <c r="AN712">
        <v>0</v>
      </c>
      <c r="AO712">
        <v>0</v>
      </c>
      <c r="AP712">
        <v>0</v>
      </c>
      <c r="AQ712">
        <v>0</v>
      </c>
      <c r="AR712">
        <v>0</v>
      </c>
      <c r="AS712">
        <v>0</v>
      </c>
      <c r="AT712">
        <v>0</v>
      </c>
      <c r="AU712">
        <v>0</v>
      </c>
      <c r="AV712">
        <v>0</v>
      </c>
      <c r="AW712">
        <v>0</v>
      </c>
      <c r="AX712" s="141">
        <f>COUNTIF(V712:AW712,"&lt;&gt;0")</f>
        <v>1</v>
      </c>
      <c r="AY712" s="141">
        <f>COUNTIF(V712:AL712,"&lt;&gt;0")</f>
        <v>1</v>
      </c>
      <c r="AZ712">
        <f>COUNTIF(V712:AC712,"&lt;&gt;0")</f>
        <v>0</v>
      </c>
      <c r="BA712">
        <f>COUNTIF(AD712:AI712,"&lt;&gt;0")</f>
        <v>0</v>
      </c>
      <c r="BB712">
        <f>COUNTIF(AJ712:AL712,"&lt;&gt;0")</f>
        <v>1</v>
      </c>
      <c r="BC712">
        <f>COUNTIF(AS712:AW712,"&lt;&gt;0")</f>
        <v>0</v>
      </c>
      <c r="BD712">
        <f>COUNTIF(AM712:AR712,"&lt;&gt;0")</f>
        <v>0</v>
      </c>
      <c r="BE712" t="str">
        <f t="array" ref="BE712">IF(AY712=1,INDEX($V$7:$AL$7,MATCH(TRUE,INDEX($V712:$AW712&lt;&gt;0,),0)),IF(AY712=0,INDEX($AM$7:$AW$7,MATCH(1,$AM712:$AW712,0)),IF(BF712="Multiple strategies","mixed drivers",IF(BF712="Supply chain","multiple supply","multiple silviculture"))))</f>
        <v>technologies/design switch</v>
      </c>
      <c r="BF712" s="2" t="str" cm="1">
        <f t="array" ref="BF712">IF(COUNTIF(AZ712:BB712,"&lt;&gt;0")=1,INDEX($V$4:$AW$4,MATCH(TRUE,INDEX($V712:$AW712&lt;&gt;0,),0)),IF(COUNTIF(AZ712:BB712,"&lt;&gt;0")=0,INDEX($AM$4:$AW$4,MATCH(1,$AM712:$AW712,0)),"Multiple strategies"))</f>
        <v>Technology</v>
      </c>
      <c r="BG712" s="1" t="s">
        <v>229</v>
      </c>
      <c r="BH712" t="s">
        <v>537</v>
      </c>
      <c r="BI712" s="260" t="s">
        <v>3286</v>
      </c>
      <c r="BJ712" t="s">
        <v>538</v>
      </c>
      <c r="BK712">
        <v>0</v>
      </c>
      <c r="BL712">
        <v>19523</v>
      </c>
      <c r="BN712">
        <f>BL712-BK712</f>
        <v>19523</v>
      </c>
      <c r="BO712">
        <f>BN712*t_to_m3</f>
        <v>39842.857142857145</v>
      </c>
      <c r="BP712" t="s">
        <v>232</v>
      </c>
      <c r="BQ712" s="260" t="s">
        <v>3287</v>
      </c>
      <c r="BR712" t="s">
        <v>539</v>
      </c>
      <c r="BS712">
        <v>-178600</v>
      </c>
      <c r="BT712">
        <v>-164700</v>
      </c>
      <c r="BU712" s="144">
        <v>0.92217245240761481</v>
      </c>
      <c r="BV712">
        <v>13900</v>
      </c>
      <c r="BX712">
        <f>BV712</f>
        <v>13900</v>
      </c>
      <c r="BY712">
        <f>IFERROR(BX712/BO712,"")</f>
        <v>0.34887056292577984</v>
      </c>
      <c r="BZ712" s="143">
        <v>0</v>
      </c>
      <c r="CA712" s="143">
        <v>0</v>
      </c>
      <c r="CB712" s="143">
        <v>0</v>
      </c>
      <c r="CC712" s="143">
        <v>0</v>
      </c>
      <c r="CD712" s="143">
        <v>0</v>
      </c>
      <c r="CE712" s="143">
        <v>0</v>
      </c>
      <c r="CF712" s="143">
        <v>0</v>
      </c>
      <c r="CG712" s="143">
        <v>0</v>
      </c>
      <c r="CH712" s="143">
        <v>0</v>
      </c>
      <c r="CI712" s="143">
        <v>0</v>
      </c>
      <c r="CJ712" s="143">
        <v>0</v>
      </c>
      <c r="CK712" s="143">
        <v>0</v>
      </c>
      <c r="CL712" s="143">
        <v>0</v>
      </c>
      <c r="CM712">
        <v>1</v>
      </c>
      <c r="CN712" t="str">
        <f>IF($BL712&lt;$BK712,"refNeedCorrection","refOK")</f>
        <v>refOK</v>
      </c>
      <c r="CO712">
        <f>IF($CN712="refNeedCorrection",BL712,BK712)</f>
        <v>0</v>
      </c>
      <c r="CP712">
        <f>IF($CN712="refNeedCorrection",BK712,BL712)</f>
        <v>19523</v>
      </c>
      <c r="CQ712">
        <f>IF($CN712="refOK",$BO712,-$BO712)</f>
        <v>39842.857142857145</v>
      </c>
      <c r="CR712">
        <f>IF($CN712="refOK",$BS712,$BT712)*IF($BP712="Emissions positive",-1,1)</f>
        <v>-178600</v>
      </c>
      <c r="CS712">
        <f>IF($CN712="refOK",$BT712,$BS712)*IF($BP712="Emissions positive",-1,1)</f>
        <v>-164700</v>
      </c>
      <c r="CT712">
        <f>IF($CN712="refNeedCorrection",-BX712,BX712)*IF($BP712="Emissions positive",-1,1)</f>
        <v>13900</v>
      </c>
      <c r="CU712">
        <f>IFERROR(CT712/CQ712,"")</f>
        <v>0.34887056292577984</v>
      </c>
      <c r="CV712" s="2">
        <f>IFERROR((CS712-CR712)/ABS(CR712),"")</f>
        <v>7.7827547592385221E-2</v>
      </c>
      <c r="CW712" s="1" t="s">
        <v>347</v>
      </c>
      <c r="CX712" t="str">
        <f>IF(OR($CW712="prd",$CW712="std",$CW712="cit"),"loc",IF(OR($CW712="eur",$CW712="reg",$CW712="coy"),"reg",$CW712))</f>
        <v>loc</v>
      </c>
      <c r="CY712" t="s">
        <v>540</v>
      </c>
      <c r="DB712">
        <v>0</v>
      </c>
      <c r="DC712" t="str">
        <f>IF(DB712=0,"0",IF(AND(DB712&gt;=1,DB712&lt;=30),"1-30",IF(AND(DB712&gt;30,DB712&lt;=70),"31-70",IF(AND(DB712&gt;70,DB712&lt;=100),"71-100",IF(DB712&gt;100,"+100")))))</f>
        <v>0</v>
      </c>
      <c r="DD712">
        <v>0</v>
      </c>
      <c r="DE712">
        <v>1</v>
      </c>
      <c r="DF712">
        <v>0</v>
      </c>
      <c r="DG712">
        <v>0</v>
      </c>
      <c r="DI712">
        <f>SUM(DD712:DG712)</f>
        <v>1</v>
      </c>
      <c r="DJ712" t="str">
        <f>IF(DI712=1,INDEX($DD$7:$DG$7,MATCH(1,$DD712:$DG712,0)),"mixedProduct")</f>
        <v>EnergyInput</v>
      </c>
      <c r="DK712">
        <f>IF(DD712=1,DK$7,0)</f>
        <v>0</v>
      </c>
      <c r="DL712" t="str">
        <f>IF(DE712=1,DL$7,0)</f>
        <v>Energy</v>
      </c>
      <c r="DM712">
        <f>IF(DF712=1,DM$7,0)</f>
        <v>0</v>
      </c>
      <c r="DN712">
        <f>IF(DG712=1,DN$7,0)</f>
        <v>0</v>
      </c>
      <c r="DO712">
        <v>0</v>
      </c>
      <c r="DP712" s="143">
        <v>0</v>
      </c>
      <c r="DQ712" s="143">
        <v>0</v>
      </c>
      <c r="DR712" s="143">
        <v>0</v>
      </c>
      <c r="DS712">
        <v>0</v>
      </c>
      <c r="DT712">
        <f>SUM(DO712:DP712)</f>
        <v>0</v>
      </c>
      <c r="DU712" s="143" t="str">
        <f>IF(DO712=1,"self-calculated DF",IF(DP712=1,"external DF used","explicit C balance"))</f>
        <v>explicit C balance</v>
      </c>
      <c r="DV712">
        <v>0</v>
      </c>
      <c r="DW712" s="143">
        <v>1</v>
      </c>
      <c r="DX712" s="143">
        <v>0</v>
      </c>
      <c r="DY712" s="143">
        <v>0</v>
      </c>
      <c r="DZ712">
        <v>1</v>
      </c>
      <c r="EA712" s="143">
        <v>0</v>
      </c>
      <c r="EB712">
        <v>0</v>
      </c>
      <c r="EC712" s="143">
        <v>1</v>
      </c>
      <c r="ED712" s="143">
        <v>0</v>
      </c>
      <c r="EE712">
        <v>0</v>
      </c>
      <c r="EF712">
        <v>0</v>
      </c>
      <c r="EG712" s="143">
        <v>0</v>
      </c>
      <c r="EH712" s="143">
        <v>0</v>
      </c>
      <c r="EI712" s="2">
        <v>0</v>
      </c>
      <c r="EK712" t="str">
        <f>IF(AND(AND(AND(OR($DX712=1,$DW712=1),OR($EC712=1,$EA712=1)),SUM($DV712:$DZ712,$EF712)&gt;=4),SUM($EA712:$EE712)&gt;=2),"Whole sector","")</f>
        <v/>
      </c>
      <c r="EL712" t="str">
        <f>IF(AND(AND(OR($DX712=1,$DW712=1),AND($EC712=0,$EA712=0)),SUM($DV712:$DZ712,$EF712)&gt;=4),"Ecosystem approach","")</f>
        <v/>
      </c>
      <c r="EM712" s="2" t="str">
        <f>IF(AND(AND(AND($DX712=0,$DW712=0),OR($EC712=1,$EA712=1)),SUM($EB712:$EE712)&gt;=2),"Technology approach","")</f>
        <v/>
      </c>
      <c r="EP712" t="str">
        <f>IF(ISNUMBER(BU712),IF(ABS(BU712-[4]QC_indicators!$B$2)&gt;3*[4]QC_indicators!$C$2,"C ratio",IF(ISNUMBER(BY712),IF(ABS(BY712-[4]QC_indicators!$B$1)&gt;3*[4]QC_indicators!$C$1,"DF","no"))),IF(ISNUMBER(BY712),IF(ABS(BY712-[4]QC_indicators!$B$1)&gt;3*[4]QC_indicators!$C$1,"DF","no")))</f>
        <v>no</v>
      </c>
      <c r="ER712" s="149" t="s">
        <v>349</v>
      </c>
      <c r="ET712" s="264" t="s">
        <v>3273</v>
      </c>
    </row>
    <row r="713" spans="1:150" ht="15" customHeight="1">
      <c r="A713" s="1" t="s">
        <v>333</v>
      </c>
      <c r="B713" t="s">
        <v>334</v>
      </c>
      <c r="C713" t="s">
        <v>335</v>
      </c>
      <c r="D713" t="s">
        <v>336</v>
      </c>
      <c r="E713" t="s">
        <v>337</v>
      </c>
      <c r="F713" t="s">
        <v>338</v>
      </c>
      <c r="G713" t="s">
        <v>339</v>
      </c>
      <c r="I713">
        <v>2017</v>
      </c>
      <c r="K713" t="s">
        <v>340</v>
      </c>
      <c r="M713" t="str">
        <f>LEFT($D713,FIND(",",$D713)-1)&amp;"_"&amp;I713&amp;L713</f>
        <v>Balasbaneh_2017</v>
      </c>
      <c r="N713" t="s">
        <v>222</v>
      </c>
      <c r="O713" s="140" t="s">
        <v>341</v>
      </c>
      <c r="Q713" t="s">
        <v>224</v>
      </c>
      <c r="R713" s="262" t="s">
        <v>223</v>
      </c>
      <c r="S713" s="1" t="s">
        <v>360</v>
      </c>
      <c r="T713" t="s">
        <v>361</v>
      </c>
      <c r="U713" t="s">
        <v>357</v>
      </c>
      <c r="V713">
        <v>0</v>
      </c>
      <c r="W713">
        <v>0</v>
      </c>
      <c r="X713">
        <v>0</v>
      </c>
      <c r="Y713">
        <v>0</v>
      </c>
      <c r="Z713">
        <v>0</v>
      </c>
      <c r="AA713">
        <v>0</v>
      </c>
      <c r="AB713">
        <v>0</v>
      </c>
      <c r="AC713">
        <v>0</v>
      </c>
      <c r="AD713">
        <v>0</v>
      </c>
      <c r="AE713">
        <v>0</v>
      </c>
      <c r="AF713">
        <v>0</v>
      </c>
      <c r="AG713">
        <v>0</v>
      </c>
      <c r="AH713">
        <v>0</v>
      </c>
      <c r="AI713">
        <v>0</v>
      </c>
      <c r="AJ713">
        <v>0</v>
      </c>
      <c r="AK713">
        <v>1</v>
      </c>
      <c r="AL713">
        <v>0</v>
      </c>
      <c r="AM713">
        <v>0</v>
      </c>
      <c r="AN713">
        <v>0</v>
      </c>
      <c r="AO713">
        <v>0</v>
      </c>
      <c r="AP713">
        <v>0</v>
      </c>
      <c r="AQ713">
        <v>0</v>
      </c>
      <c r="AR713">
        <v>0</v>
      </c>
      <c r="AS713">
        <v>0</v>
      </c>
      <c r="AT713">
        <v>0</v>
      </c>
      <c r="AU713">
        <v>0</v>
      </c>
      <c r="AV713">
        <v>0</v>
      </c>
      <c r="AW713">
        <v>0</v>
      </c>
      <c r="AX713" s="141">
        <f>COUNTIF(V713:AW713,"&lt;&gt;0")</f>
        <v>1</v>
      </c>
      <c r="AY713" s="141">
        <f>COUNTIF(V713:AL713,"&lt;&gt;0")</f>
        <v>1</v>
      </c>
      <c r="AZ713">
        <f>COUNTIF(V713:AC713,"&lt;&gt;0")</f>
        <v>0</v>
      </c>
      <c r="BA713">
        <f>COUNTIF(AD713:AI713,"&lt;&gt;0")</f>
        <v>0</v>
      </c>
      <c r="BB713">
        <f>COUNTIF(AJ713:AL713,"&lt;&gt;0")</f>
        <v>1</v>
      </c>
      <c r="BC713">
        <f>COUNTIF(AS713:AW713,"&lt;&gt;0")</f>
        <v>0</v>
      </c>
      <c r="BD713">
        <f>COUNTIF(AM713:AR713,"&lt;&gt;0")</f>
        <v>0</v>
      </c>
      <c r="BE713" t="str">
        <f t="array" ref="BE713">IF(AY713=1,INDEX($V$7:$AL$7,MATCH(TRUE,INDEX($V713:$AW713&lt;&gt;0,),0)),IF(AY713=0,INDEX($AM$7:$AW$7,MATCH(1,$AM713:$AW713,0)),IF(BF713="Multiple strategies","mixed drivers",IF(BF713="Supply chain","multiple supply","multiple silviculture"))))</f>
        <v>technologies/design switch</v>
      </c>
      <c r="BF713" s="2" t="str" cm="1">
        <f t="array" ref="BF713">IF(COUNTIF(AZ713:BB713,"&lt;&gt;0")=1,INDEX($V$4:$AW$4,MATCH(TRUE,INDEX($V713:$AW713&lt;&gt;0,),0)),IF(COUNTIF(AZ713:BB713,"&lt;&gt;0")=0,INDEX($AM$4:$AW$4,MATCH(1,$AM713:$AW713,0)),"Multiple strategies"))</f>
        <v>Technology</v>
      </c>
      <c r="BG713" s="1" t="s">
        <v>229</v>
      </c>
      <c r="BH713" t="s">
        <v>229</v>
      </c>
      <c r="BI713" s="264" t="s">
        <v>410</v>
      </c>
      <c r="BJ713" t="s">
        <v>345</v>
      </c>
      <c r="BK713">
        <v>0</v>
      </c>
      <c r="BL713">
        <v>29276</v>
      </c>
      <c r="BM713" s="143"/>
      <c r="BN713">
        <f>BL713-BK713</f>
        <v>29276</v>
      </c>
      <c r="BO713" s="143">
        <f>BN713*kg_to_m3</f>
        <v>59.746938775510209</v>
      </c>
      <c r="BP713" t="s">
        <v>232</v>
      </c>
      <c r="BQ713" s="335" t="s">
        <v>396</v>
      </c>
      <c r="BR713" t="s">
        <v>346</v>
      </c>
      <c r="BS713">
        <v>-23000</v>
      </c>
      <c r="BT713">
        <v>-2010</v>
      </c>
      <c r="BU713" s="144">
        <v>8.739130434782609E-2</v>
      </c>
      <c r="BV713">
        <f>BT713-BS713</f>
        <v>20990</v>
      </c>
      <c r="BX713">
        <f>BV713/1000</f>
        <v>20.99</v>
      </c>
      <c r="BY713">
        <f>IFERROR(BX713/BO713,"")</f>
        <v>0.35131507036480386</v>
      </c>
      <c r="BZ713">
        <v>0</v>
      </c>
      <c r="CA713">
        <v>0</v>
      </c>
      <c r="CB713">
        <v>0</v>
      </c>
      <c r="CC713">
        <v>0</v>
      </c>
      <c r="CD713">
        <v>0</v>
      </c>
      <c r="CE713">
        <v>0</v>
      </c>
      <c r="CF713">
        <v>0</v>
      </c>
      <c r="CG713">
        <v>0</v>
      </c>
      <c r="CH713">
        <v>0</v>
      </c>
      <c r="CI713">
        <v>0</v>
      </c>
      <c r="CJ713">
        <v>0</v>
      </c>
      <c r="CK713">
        <v>0</v>
      </c>
      <c r="CL713">
        <v>0</v>
      </c>
      <c r="CM713">
        <v>0</v>
      </c>
      <c r="CN713" t="str">
        <f>IF($BL713&lt;$BK713,"refNeedCorrection","refOK")</f>
        <v>refOK</v>
      </c>
      <c r="CO713">
        <f>IF($CN713="refNeedCorrection",BL713,BK713)</f>
        <v>0</v>
      </c>
      <c r="CP713">
        <f>IF($CN713="refNeedCorrection",BK713,BL713)</f>
        <v>29276</v>
      </c>
      <c r="CQ713">
        <f>IF($CN713="refOK",$BO713,-$BO713)</f>
        <v>59.746938775510209</v>
      </c>
      <c r="CR713">
        <f>IF($CN713="refOK",$BS713,$BT713)*IF($BP713="Emissions positive",-1,1)</f>
        <v>-23000</v>
      </c>
      <c r="CS713">
        <f>IF($CN713="refOK",$BT713,$BS713)*IF($BP713="Emissions positive",-1,1)</f>
        <v>-2010</v>
      </c>
      <c r="CT713">
        <f>IF($CN713="refNeedCorrection",-BX713,BX713)*IF($BP713="Emissions positive",-1,1)</f>
        <v>20.99</v>
      </c>
      <c r="CU713">
        <f>IFERROR(CT713/CQ713,"")</f>
        <v>0.35131507036480386</v>
      </c>
      <c r="CV713" s="2">
        <f>IFERROR((CS713-CR713)/ABS(CR713),"")</f>
        <v>0.91260869565217395</v>
      </c>
      <c r="CW713" s="1" t="s">
        <v>347</v>
      </c>
      <c r="CX713" t="str">
        <f>IF(OR($CW713="prd",$CW713="std",$CW713="cit"),"loc",IF(OR($CW713="eur",$CW713="reg",$CW713="coy"),"reg",$CW713))</f>
        <v>loc</v>
      </c>
      <c r="CY713" t="s">
        <v>348</v>
      </c>
      <c r="CZ713">
        <v>2014</v>
      </c>
      <c r="DA713">
        <v>2514</v>
      </c>
      <c r="DB713">
        <v>500</v>
      </c>
      <c r="DC713" t="str">
        <f>IF(DB713=0,"0",IF(AND(DB713&gt;=1,DB713&lt;=30),"1-30",IF(AND(DB713&gt;30,DB713&lt;=70),"31-70",IF(AND(DB713&gt;70,DB713&lt;=100),"71-100",IF(DB713&gt;100,"+100")))))</f>
        <v>+100</v>
      </c>
      <c r="DD713">
        <v>0</v>
      </c>
      <c r="DE713">
        <v>0</v>
      </c>
      <c r="DF713">
        <v>0</v>
      </c>
      <c r="DG713">
        <v>1</v>
      </c>
      <c r="DI713">
        <f>SUM(DD713:DG713)</f>
        <v>1</v>
      </c>
      <c r="DJ713" t="str">
        <f>IF(DI713=1,INDEX($DD$7:$DG$7,MATCH(1,$DD713:$DG713,0)),"mixedProduct")</f>
        <v>TimberInput</v>
      </c>
      <c r="DK713">
        <f>IF(DD713=1,DK$7,0)</f>
        <v>0</v>
      </c>
      <c r="DL713">
        <f>IF(DE713=1,DL$7,0)</f>
        <v>0</v>
      </c>
      <c r="DM713">
        <f>IF(DF713=1,DM$7,0)</f>
        <v>0</v>
      </c>
      <c r="DN713" t="str">
        <f>IF(DG713=1,DN$7,0)</f>
        <v>Timber</v>
      </c>
      <c r="DO713">
        <v>0</v>
      </c>
      <c r="DP713">
        <v>0</v>
      </c>
      <c r="DQ713">
        <v>0</v>
      </c>
      <c r="DR713">
        <v>0</v>
      </c>
      <c r="DS713">
        <v>0</v>
      </c>
      <c r="DT713">
        <f>SUM(DO713:DP713)</f>
        <v>0</v>
      </c>
      <c r="DU713" s="143" t="str">
        <f>IF(DO713=1,"self-calculated DF",IF(DP713=1,"external DF used","explicit C balance"))</f>
        <v>explicit C balance</v>
      </c>
      <c r="DV713">
        <v>0</v>
      </c>
      <c r="DW713">
        <v>0</v>
      </c>
      <c r="DX713">
        <v>0</v>
      </c>
      <c r="DY713">
        <v>1</v>
      </c>
      <c r="DZ713">
        <v>0</v>
      </c>
      <c r="EA713" s="143">
        <v>1</v>
      </c>
      <c r="EB713">
        <v>0</v>
      </c>
      <c r="EC713">
        <v>1</v>
      </c>
      <c r="ED713">
        <v>1</v>
      </c>
      <c r="EE713">
        <v>1</v>
      </c>
      <c r="EF713">
        <v>0</v>
      </c>
      <c r="EG713">
        <v>0</v>
      </c>
      <c r="EH713">
        <v>0</v>
      </c>
      <c r="EI713" s="2">
        <v>0</v>
      </c>
      <c r="EK713" t="str">
        <f>IF(AND(AND(AND(OR($DX713=1,$DW713=1),OR($EC713=1,$EA713=1)),SUM($DV713:$DZ713,$EF713)&gt;=4),SUM($EA713:$EE713)&gt;=2),"Whole sector","")</f>
        <v/>
      </c>
      <c r="EL713" t="str">
        <f>IF(AND(AND(OR($DX713=1,$DW713=1),AND($EC713=0,$EA713=0)),SUM($DV713:$DZ713,$EF713)&gt;=4),"Ecosystem approach","")</f>
        <v/>
      </c>
      <c r="EM713" s="2" t="str">
        <f>IF(AND(AND(AND($DX713=0,$DW713=0),OR($EC713=1,$EA713=1)),SUM($EB713:$EE713)&gt;=2),"Technology approach","")</f>
        <v>Technology approach</v>
      </c>
      <c r="EP713" t="str">
        <f>IF(ISNUMBER(BU713),IF(ABS(BU713-[1]QC_indicators!$B$2)&gt;3*[1]QC_indicators!$C$2,"C ratio",IF(ISNUMBER(BY713),IF(ABS(BY713-[1]QC_indicators!$B$1)&gt;3*[1]QC_indicators!$C$1,"DF","no"))),IF(ISNUMBER(BY713),IF(ABS(BY713-[1]QC_indicators!$B$1)&gt;3*[1]QC_indicators!$C$1,"DF","no")))</f>
        <v>no</v>
      </c>
      <c r="ER713" s="149" t="s">
        <v>349</v>
      </c>
      <c r="ET713" s="264" t="s">
        <v>3273</v>
      </c>
    </row>
    <row r="714" spans="1:150" ht="15" customHeight="1">
      <c r="A714" s="1" t="s">
        <v>1102</v>
      </c>
      <c r="B714" t="s">
        <v>2381</v>
      </c>
      <c r="C714" t="s">
        <v>2382</v>
      </c>
      <c r="D714" t="s">
        <v>2383</v>
      </c>
      <c r="E714" t="s">
        <v>2384</v>
      </c>
      <c r="F714" t="s">
        <v>2385</v>
      </c>
      <c r="G714" t="s">
        <v>1108</v>
      </c>
      <c r="H714" t="s">
        <v>254</v>
      </c>
      <c r="I714">
        <v>2016</v>
      </c>
      <c r="J714">
        <v>13</v>
      </c>
      <c r="K714" t="s">
        <v>2386</v>
      </c>
      <c r="M714" t="str">
        <f>LEFT($D714,FIND(",",$D714)-1)&amp;"_"&amp;I714&amp;L714</f>
        <v>Torssonen_2016</v>
      </c>
      <c r="N714" t="s">
        <v>222</v>
      </c>
      <c r="O714" s="145" t="s">
        <v>1154</v>
      </c>
      <c r="Q714" s="264" t="s">
        <v>256</v>
      </c>
      <c r="R714" s="269" t="s">
        <v>341</v>
      </c>
      <c r="S714" s="1" t="s">
        <v>2404</v>
      </c>
      <c r="T714" s="264" t="s">
        <v>2428</v>
      </c>
      <c r="U714" t="s">
        <v>2430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1</v>
      </c>
      <c r="AO714">
        <v>1</v>
      </c>
      <c r="AP714">
        <v>0</v>
      </c>
      <c r="AQ714">
        <v>0</v>
      </c>
      <c r="AR714">
        <v>0</v>
      </c>
      <c r="AS714">
        <v>0</v>
      </c>
      <c r="AT714">
        <v>0</v>
      </c>
      <c r="AU714">
        <v>0</v>
      </c>
      <c r="AV714">
        <v>0</v>
      </c>
      <c r="AW714">
        <v>0</v>
      </c>
      <c r="AX714" s="141">
        <f>COUNTIF(V714:AW714,"&lt;&gt;0")</f>
        <v>2</v>
      </c>
      <c r="AY714" s="141">
        <f>COUNTIF(V714:AL714,"&lt;&gt;0")</f>
        <v>0</v>
      </c>
      <c r="AZ714">
        <f>COUNTIF(V714:AC714,"&lt;&gt;0")</f>
        <v>0</v>
      </c>
      <c r="BA714">
        <f>COUNTIF(AD714:AI714,"&lt;&gt;0")</f>
        <v>0</v>
      </c>
      <c r="BB714">
        <f>COUNTIF(AJ714:AL714,"&lt;&gt;0")</f>
        <v>0</v>
      </c>
      <c r="BC714">
        <f>COUNTIF(AS714:AW714,"&lt;&gt;0")</f>
        <v>0</v>
      </c>
      <c r="BD714">
        <f>COUNTIF(AM714:AR714,"&lt;&gt;0")</f>
        <v>2</v>
      </c>
      <c r="BE714" t="str" cm="1">
        <f t="array" ref="BE714">IF(AY714=1,INDEX($V$7:$AL$7,MATCH(TRUE,INDEX($V714:$AW714&lt;&gt;0,),0)),IF(AY714=0,INDEX($AM$7:$AW$7,MATCH(1,$AM714:$AW714,0)),IF(BF714="Multiple strategies","mixed drivers",IF(BF714="Supply chain","multiple supply","multiple silviculture"))))</f>
        <v>Temperature</v>
      </c>
      <c r="BF714" s="2" t="str" cm="1">
        <f t="array" ref="BF714">IF(COUNTIF(AZ714:BB714,"&lt;&gt;0")=1,INDEX($V$4:$AW$4,MATCH(TRUE,INDEX($V714:$AW714&lt;&gt;0,),0)),IF(COUNTIF(AZ714:BB714,"&lt;&gt;0")=0,INDEX($AM$4:$AW$4,MATCH(1,$AM714:$AW714,0)),"Multiple strategies"))</f>
        <v>Environmental change</v>
      </c>
      <c r="BG714" s="1" t="s">
        <v>229</v>
      </c>
      <c r="BH714" s="306" t="s">
        <v>2144</v>
      </c>
      <c r="BI714" s="264" t="s">
        <v>2391</v>
      </c>
      <c r="BJ714" s="306" t="s">
        <v>1058</v>
      </c>
      <c r="BK714">
        <v>8.3265305820000002</v>
      </c>
      <c r="BL714">
        <v>8.4877550709999987</v>
      </c>
      <c r="BM714" s="143">
        <f>BL714/BK714</f>
        <v>1.0193627450727831</v>
      </c>
      <c r="BN714">
        <f>BL714-BK714</f>
        <v>0.16122448899999853</v>
      </c>
      <c r="BO714">
        <f>+BN714*t_to_m3</f>
        <v>0.32902956938775213</v>
      </c>
      <c r="BP714" s="306" t="s">
        <v>395</v>
      </c>
      <c r="BQ714" s="153" t="s">
        <v>3421</v>
      </c>
      <c r="BR714" s="264" t="s">
        <v>2393</v>
      </c>
      <c r="BS714">
        <v>-478.54545454545399</v>
      </c>
      <c r="BT714">
        <v>-490.18181818181802</v>
      </c>
      <c r="BU714" s="144"/>
      <c r="BV714" s="144">
        <f>BT714-BS714</f>
        <v>-11.636363636364024</v>
      </c>
      <c r="BW714" s="144"/>
      <c r="BX714" s="144">
        <f>BV714*10^4/10^6</f>
        <v>-0.11636363636364024</v>
      </c>
      <c r="BY714">
        <f>IFERROR(BX714/BO714,"")</f>
        <v>-0.35365707884603209</v>
      </c>
      <c r="BZ714">
        <v>0</v>
      </c>
      <c r="CA714">
        <v>0</v>
      </c>
      <c r="CB714">
        <v>0</v>
      </c>
      <c r="CC714">
        <v>0</v>
      </c>
      <c r="CD714">
        <v>0</v>
      </c>
      <c r="CE714">
        <v>0</v>
      </c>
      <c r="CF714">
        <v>0</v>
      </c>
      <c r="CG714">
        <v>0</v>
      </c>
      <c r="CH714">
        <v>0</v>
      </c>
      <c r="CI714">
        <v>0</v>
      </c>
      <c r="CJ714">
        <v>0</v>
      </c>
      <c r="CK714">
        <v>0</v>
      </c>
      <c r="CL714">
        <v>0</v>
      </c>
      <c r="CM714">
        <v>1</v>
      </c>
      <c r="CN714" t="str">
        <f>IF($BL714&lt;$BK714,"refNeedCorrection","refOK")</f>
        <v>refOK</v>
      </c>
      <c r="CO714">
        <f>IF($CN714="refOK",$BK714,$BL714)</f>
        <v>8.3265305820000002</v>
      </c>
      <c r="CP714">
        <f>IF($CN714="refOK",$BL714,$BK714)</f>
        <v>8.4877550709999987</v>
      </c>
      <c r="CQ714">
        <f>IF($CN714="refOK",$BO714,-$BO714)</f>
        <v>0.32902956938775213</v>
      </c>
      <c r="CR714">
        <f>IF($CN714="refOK",$BS714,$BT714)*IF($BP714="Emissions positive",-1,1)</f>
        <v>478.54545454545399</v>
      </c>
      <c r="CS714">
        <f>IF($CN714="refOK",$BT714,$BS714)*IF($BP714="Emissions positive",-1,1)</f>
        <v>490.18181818181802</v>
      </c>
      <c r="CT714">
        <f>IF($CN714="refNeedCorrection",-BX714,BX714)*IF($BP714="Emissions positive",-1,1)</f>
        <v>0.11636363636364024</v>
      </c>
      <c r="CU714">
        <f>IFERROR(CT714/CQ714,"")</f>
        <v>0.35365707884603209</v>
      </c>
      <c r="CV714" s="2">
        <f>IFERROR((CS714-CR714)/ABS(CR714),"")</f>
        <v>2.4316109422493241E-2</v>
      </c>
      <c r="CW714" s="1" t="s">
        <v>1199</v>
      </c>
      <c r="CX714" s="264" t="str">
        <f>IF(OR($CW714="prd",$CW714="std",$CW714="cit"),"loc",IF(OR($CW714="eur",$CW714="reg",$CW714="coy"),"reg",$CW714))</f>
        <v>reg</v>
      </c>
      <c r="CY714" t="s">
        <v>235</v>
      </c>
      <c r="CZ714">
        <v>2020</v>
      </c>
      <c r="DA714">
        <v>2100</v>
      </c>
      <c r="DB714">
        <f>DA714-CZ714</f>
        <v>80</v>
      </c>
      <c r="DC714" t="str">
        <f>IF(DB714=0,"0",IF(AND(DB714&gt;=1,DB714&lt;=30),"1-30",IF(AND(DB714&gt;30,DB714&lt;=70),"31-70",IF(AND(DB714&gt;70,DB714&lt;=100),"71-100",IF(DB714&gt;100,"+100")))))</f>
        <v>71-100</v>
      </c>
      <c r="DD714">
        <v>0</v>
      </c>
      <c r="DE714">
        <v>1</v>
      </c>
      <c r="DF714">
        <v>0</v>
      </c>
      <c r="DG714">
        <v>1</v>
      </c>
      <c r="DI714">
        <f>SUM(DD714:DG714)</f>
        <v>2</v>
      </c>
      <c r="DJ714" t="str">
        <f>IF(DI714=1,INDEX($DD$7:$DG$7,MATCH(1,$DD714:$DG714,0)),"mixedProduct")</f>
        <v>mixedProduct</v>
      </c>
      <c r="DK714">
        <f>IF(DD714=1,DK$7,0)</f>
        <v>0</v>
      </c>
      <c r="DL714" t="str">
        <f>IF(DE714=1,DL$7,0)</f>
        <v>Energy</v>
      </c>
      <c r="DM714">
        <f>IF(DF714=1,DM$7,0)</f>
        <v>0</v>
      </c>
      <c r="DN714" t="str">
        <f>IF(DG714=1,DN$7,0)</f>
        <v>Timber</v>
      </c>
      <c r="DO714">
        <v>1</v>
      </c>
      <c r="DP714">
        <v>0</v>
      </c>
      <c r="DQ714">
        <v>0</v>
      </c>
      <c r="DR714">
        <v>0</v>
      </c>
      <c r="DS714">
        <v>0</v>
      </c>
      <c r="DT714">
        <f>SUM(DO714:DP714)</f>
        <v>1</v>
      </c>
      <c r="DU714" s="143" t="str">
        <f>IF(DO714=1,"self-calculated DF",IF(DP714=1,"external DF used","explicit C balance"))</f>
        <v>self-calculated DF</v>
      </c>
      <c r="DV714">
        <v>1</v>
      </c>
      <c r="DW714">
        <v>0</v>
      </c>
      <c r="DX714">
        <v>1</v>
      </c>
      <c r="DY714">
        <v>0</v>
      </c>
      <c r="DZ714">
        <v>0</v>
      </c>
      <c r="EA714" s="143">
        <v>0</v>
      </c>
      <c r="EB714">
        <v>0</v>
      </c>
      <c r="EC714">
        <v>0</v>
      </c>
      <c r="ED714">
        <v>0</v>
      </c>
      <c r="EE714">
        <v>0</v>
      </c>
      <c r="EF714">
        <v>1</v>
      </c>
      <c r="EG714">
        <v>0</v>
      </c>
      <c r="EH714">
        <v>0</v>
      </c>
      <c r="EI714" s="2">
        <v>0</v>
      </c>
      <c r="EK714" t="str">
        <f>IF(AND(AND(AND(OR($DX714=1,$DW714=1),OR($EC714=1,$EA714=1)),SUM($DV714:$DZ714,$EF714)&gt;=4),SUM($EA714:$EE714)&gt;=2),"Whole sector","")</f>
        <v/>
      </c>
      <c r="EL714" t="str">
        <f>IF(AND(AND(OR($DX714=1,$DW714=1),AND($EC714=0,$EA714=0)),SUM($DV714:$DZ714,$EF714)&gt;=4),"Ecosystem approach","")</f>
        <v/>
      </c>
      <c r="EM714" s="2" t="str">
        <f>IF(AND(AND(AND($DX714=0,$DW714=0),OR($EC714=1,$EA714=1)),SUM($EB714:$EE714)&gt;=2),"Technology approach","")</f>
        <v/>
      </c>
      <c r="EN714" t="s">
        <v>2403</v>
      </c>
      <c r="EP714" t="str">
        <f>IF(ISNUMBER(BU714),IF(ABS(BU714-[3]QC_indicators!$B$2)&gt;3*[3]QC_indicators!$C$2,"C ratio",IF(ISNUMBER(BY714),IF(ABS(BY714-[3]QC_indicators!$B$1)&gt;3*[3]QC_indicators!$C$1,"DF","no"))),IF(ISNUMBER(BY714),IF(ABS(BY714-[3]QC_indicators!$B$1)&gt;3*[3]QC_indicators!$C$1,"DF","no")))</f>
        <v>no</v>
      </c>
      <c r="ER714" s="264" t="s">
        <v>2394</v>
      </c>
      <c r="ET714" s="306" t="s">
        <v>3422</v>
      </c>
    </row>
    <row r="715" spans="1:150" ht="15" customHeight="1">
      <c r="A715" s="1" t="s">
        <v>333</v>
      </c>
      <c r="B715" t="s">
        <v>334</v>
      </c>
      <c r="C715" t="s">
        <v>335</v>
      </c>
      <c r="D715" t="s">
        <v>336</v>
      </c>
      <c r="E715" t="s">
        <v>337</v>
      </c>
      <c r="F715" t="s">
        <v>338</v>
      </c>
      <c r="G715" t="s">
        <v>339</v>
      </c>
      <c r="I715">
        <v>2017</v>
      </c>
      <c r="K715" t="s">
        <v>340</v>
      </c>
      <c r="M715" t="str">
        <f>LEFT($D715,FIND(",",$D715)-1)&amp;"_"&amp;I715&amp;L715</f>
        <v>Balasbaneh_2017</v>
      </c>
      <c r="N715" t="s">
        <v>222</v>
      </c>
      <c r="O715" s="140" t="s">
        <v>341</v>
      </c>
      <c r="Q715" t="s">
        <v>224</v>
      </c>
      <c r="R715" s="262" t="s">
        <v>223</v>
      </c>
      <c r="S715" s="1" t="s">
        <v>362</v>
      </c>
      <c r="T715" t="s">
        <v>361</v>
      </c>
      <c r="U715" t="s">
        <v>344</v>
      </c>
      <c r="V715">
        <v>0</v>
      </c>
      <c r="W715">
        <v>0</v>
      </c>
      <c r="X715">
        <v>0</v>
      </c>
      <c r="Y715">
        <v>0</v>
      </c>
      <c r="Z715">
        <v>0</v>
      </c>
      <c r="AA715">
        <v>0</v>
      </c>
      <c r="AB715">
        <v>0</v>
      </c>
      <c r="AC715">
        <v>0</v>
      </c>
      <c r="AD715">
        <v>0</v>
      </c>
      <c r="AE715">
        <v>0</v>
      </c>
      <c r="AF715">
        <v>0</v>
      </c>
      <c r="AG715">
        <v>0</v>
      </c>
      <c r="AH715">
        <v>0</v>
      </c>
      <c r="AI715">
        <v>0</v>
      </c>
      <c r="AJ715">
        <v>0</v>
      </c>
      <c r="AK715">
        <v>1</v>
      </c>
      <c r="AL715">
        <v>0</v>
      </c>
      <c r="AM715">
        <v>0</v>
      </c>
      <c r="AN715">
        <v>0</v>
      </c>
      <c r="AO715">
        <v>0</v>
      </c>
      <c r="AP715">
        <v>0</v>
      </c>
      <c r="AQ715">
        <v>0</v>
      </c>
      <c r="AR715">
        <v>0</v>
      </c>
      <c r="AS715">
        <v>0</v>
      </c>
      <c r="AT715">
        <v>0</v>
      </c>
      <c r="AU715">
        <v>0</v>
      </c>
      <c r="AV715">
        <v>0</v>
      </c>
      <c r="AW715">
        <v>0</v>
      </c>
      <c r="AX715" s="141">
        <f>COUNTIF(V715:AW715,"&lt;&gt;0")</f>
        <v>1</v>
      </c>
      <c r="AY715" s="141">
        <f>COUNTIF(V715:AL715,"&lt;&gt;0")</f>
        <v>1</v>
      </c>
      <c r="AZ715">
        <f>COUNTIF(V715:AC715,"&lt;&gt;0")</f>
        <v>0</v>
      </c>
      <c r="BA715">
        <f>COUNTIF(AD715:AI715,"&lt;&gt;0")</f>
        <v>0</v>
      </c>
      <c r="BB715">
        <f>COUNTIF(AJ715:AL715,"&lt;&gt;0")</f>
        <v>1</v>
      </c>
      <c r="BC715">
        <f>COUNTIF(AS715:AW715,"&lt;&gt;0")</f>
        <v>0</v>
      </c>
      <c r="BD715">
        <f>COUNTIF(AM715:AR715,"&lt;&gt;0")</f>
        <v>0</v>
      </c>
      <c r="BE715" t="str">
        <f t="array" ref="BE715">IF(AY715=1,INDEX($V$7:$AL$7,MATCH(TRUE,INDEX($V715:$AW715&lt;&gt;0,),0)),IF(AY715=0,INDEX($AM$7:$AW$7,MATCH(1,$AM715:$AW715,0)),IF(BF715="Multiple strategies","mixed drivers",IF(BF715="Supply chain","multiple supply","multiple silviculture"))))</f>
        <v>technologies/design switch</v>
      </c>
      <c r="BF715" s="2" t="str" cm="1">
        <f t="array" ref="BF715">IF(COUNTIF(AZ715:BB715,"&lt;&gt;0")=1,INDEX($V$4:$AW$4,MATCH(TRUE,INDEX($V715:$AW715&lt;&gt;0,),0)),IF(COUNTIF(AZ715:BB715,"&lt;&gt;0")=0,INDEX($AM$4:$AW$4,MATCH(1,$AM715:$AW715,0)),"Multiple strategies"))</f>
        <v>Technology</v>
      </c>
      <c r="BG715" s="1" t="s">
        <v>229</v>
      </c>
      <c r="BH715" t="s">
        <v>229</v>
      </c>
      <c r="BI715" s="264" t="s">
        <v>410</v>
      </c>
      <c r="BJ715" t="s">
        <v>345</v>
      </c>
      <c r="BK715">
        <v>0</v>
      </c>
      <c r="BL715">
        <v>23500</v>
      </c>
      <c r="BM715" s="143"/>
      <c r="BN715">
        <f>BL715-BK715</f>
        <v>23500</v>
      </c>
      <c r="BO715" s="143">
        <f>BN715*kg_to_m3</f>
        <v>47.95918367346939</v>
      </c>
      <c r="BP715" t="s">
        <v>232</v>
      </c>
      <c r="BQ715" s="264" t="s">
        <v>396</v>
      </c>
      <c r="BR715" t="s">
        <v>346</v>
      </c>
      <c r="BS715">
        <v>-23000</v>
      </c>
      <c r="BT715">
        <v>-5870</v>
      </c>
      <c r="BU715" s="144">
        <v>0.25521739130434784</v>
      </c>
      <c r="BV715">
        <f>BT715-BS715</f>
        <v>17130</v>
      </c>
      <c r="BX715">
        <f>BV715/1000</f>
        <v>17.13</v>
      </c>
      <c r="BY715">
        <f>IFERROR(BX715/BO715,"")</f>
        <v>0.35717872340425527</v>
      </c>
      <c r="BZ715">
        <v>0</v>
      </c>
      <c r="CA715">
        <v>0</v>
      </c>
      <c r="CB715">
        <v>0</v>
      </c>
      <c r="CC715">
        <v>0</v>
      </c>
      <c r="CD715">
        <v>0</v>
      </c>
      <c r="CE715">
        <v>0</v>
      </c>
      <c r="CF715">
        <v>0</v>
      </c>
      <c r="CG715">
        <v>0</v>
      </c>
      <c r="CH715">
        <v>0</v>
      </c>
      <c r="CI715">
        <v>0</v>
      </c>
      <c r="CJ715">
        <v>0</v>
      </c>
      <c r="CK715">
        <v>0</v>
      </c>
      <c r="CL715">
        <v>0</v>
      </c>
      <c r="CM715">
        <v>0</v>
      </c>
      <c r="CN715" t="str">
        <f>IF($BL715&lt;$BK715,"refNeedCorrection","refOK")</f>
        <v>refOK</v>
      </c>
      <c r="CO715">
        <f>IF($CN715="refNeedCorrection",BL715,BK715)</f>
        <v>0</v>
      </c>
      <c r="CP715">
        <f>IF($CN715="refNeedCorrection",BK715,BL715)</f>
        <v>23500</v>
      </c>
      <c r="CQ715">
        <f>IF($CN715="refOK",$BO715,-$BO715)</f>
        <v>47.95918367346939</v>
      </c>
      <c r="CR715">
        <f>IF($CN715="refOK",$BS715,$BT715)*IF($BP715="Emissions positive",-1,1)</f>
        <v>-23000</v>
      </c>
      <c r="CS715">
        <f>IF($CN715="refOK",$BT715,$BS715)*IF($BP715="Emissions positive",-1,1)</f>
        <v>-5870</v>
      </c>
      <c r="CT715">
        <f>IF($CN715="refNeedCorrection",-BX715,BX715)*IF($BP715="Emissions positive",-1,1)</f>
        <v>17.13</v>
      </c>
      <c r="CU715">
        <f>IFERROR(CT715/CQ715,"")</f>
        <v>0.35717872340425527</v>
      </c>
      <c r="CV715" s="2">
        <f>IFERROR((CS715-CR715)/ABS(CR715),"")</f>
        <v>0.74478260869565216</v>
      </c>
      <c r="CW715" s="1" t="s">
        <v>347</v>
      </c>
      <c r="CX715" t="str">
        <f>IF(OR($CW715="prd",$CW715="std",$CW715="cit"),"loc",IF(OR($CW715="eur",$CW715="reg",$CW715="coy"),"reg",$CW715))</f>
        <v>loc</v>
      </c>
      <c r="CY715" t="s">
        <v>348</v>
      </c>
      <c r="CZ715">
        <v>2014</v>
      </c>
      <c r="DA715">
        <v>2034</v>
      </c>
      <c r="DB715">
        <v>20</v>
      </c>
      <c r="DC715" t="str">
        <f>IF(DB715=0,"0",IF(AND(DB715&gt;=1,DB715&lt;=30),"1-30",IF(AND(DB715&gt;30,DB715&lt;=70),"31-70",IF(AND(DB715&gt;70,DB715&lt;=100),"71-100",IF(DB715&gt;100,"+100")))))</f>
        <v>1-30</v>
      </c>
      <c r="DD715">
        <v>0</v>
      </c>
      <c r="DE715">
        <v>0</v>
      </c>
      <c r="DF715">
        <v>0</v>
      </c>
      <c r="DG715">
        <v>1</v>
      </c>
      <c r="DI715">
        <f>SUM(DD715:DG715)</f>
        <v>1</v>
      </c>
      <c r="DJ715" t="str">
        <f>IF(DI715=1,INDEX($DD$7:$DG$7,MATCH(1,$DD715:$DG715,0)),"mixedProduct")</f>
        <v>TimberInput</v>
      </c>
      <c r="DK715">
        <f>IF(DD715=1,DK$7,0)</f>
        <v>0</v>
      </c>
      <c r="DL715">
        <f>IF(DE715=1,DL$7,0)</f>
        <v>0</v>
      </c>
      <c r="DM715">
        <f>IF(DF715=1,DM$7,0)</f>
        <v>0</v>
      </c>
      <c r="DN715" t="str">
        <f>IF(DG715=1,DN$7,0)</f>
        <v>Timber</v>
      </c>
      <c r="DO715">
        <v>0</v>
      </c>
      <c r="DP715">
        <v>0</v>
      </c>
      <c r="DQ715">
        <v>0</v>
      </c>
      <c r="DR715">
        <v>0</v>
      </c>
      <c r="DS715">
        <v>0</v>
      </c>
      <c r="DT715">
        <f>SUM(DO715:DP715)</f>
        <v>0</v>
      </c>
      <c r="DU715" s="143" t="str">
        <f>IF(DO715=1,"self-calculated DF",IF(DP715=1,"external DF used","explicit C balance"))</f>
        <v>explicit C balance</v>
      </c>
      <c r="DV715">
        <v>0</v>
      </c>
      <c r="DW715">
        <v>0</v>
      </c>
      <c r="DX715">
        <v>0</v>
      </c>
      <c r="DY715">
        <v>1</v>
      </c>
      <c r="DZ715">
        <v>0</v>
      </c>
      <c r="EA715" s="143">
        <v>1</v>
      </c>
      <c r="EB715">
        <v>0</v>
      </c>
      <c r="EC715">
        <v>1</v>
      </c>
      <c r="ED715">
        <v>1</v>
      </c>
      <c r="EE715">
        <v>1</v>
      </c>
      <c r="EF715">
        <v>0</v>
      </c>
      <c r="EG715">
        <v>0</v>
      </c>
      <c r="EH715">
        <v>0</v>
      </c>
      <c r="EI715" s="2">
        <v>0</v>
      </c>
      <c r="EK715" t="str">
        <f>IF(AND(AND(AND(OR($DX715=1,$DW715=1),OR($EC715=1,$EA715=1)),SUM($DV715:$DZ715,$EF715)&gt;=4),SUM($EA715:$EE715)&gt;=2),"Whole sector","")</f>
        <v/>
      </c>
      <c r="EL715" t="str">
        <f>IF(AND(AND(OR($DX715=1,$DW715=1),AND($EC715=0,$EA715=0)),SUM($DV715:$DZ715,$EF715)&gt;=4),"Ecosystem approach","")</f>
        <v/>
      </c>
      <c r="EM715" s="2" t="str">
        <f>IF(AND(AND(AND($DX715=0,$DW715=0),OR($EC715=1,$EA715=1)),SUM($EB715:$EE715)&gt;=2),"Technology approach","")</f>
        <v>Technology approach</v>
      </c>
      <c r="EP715" t="str">
        <f>IF(ISNUMBER(BU715),IF(ABS(BU715-[1]QC_indicators!$B$2)&gt;3*[1]QC_indicators!$C$2,"C ratio",IF(ISNUMBER(BY715),IF(ABS(BY715-[1]QC_indicators!$B$1)&gt;3*[1]QC_indicators!$C$1,"DF","no"))),IF(ISNUMBER(BY715),IF(ABS(BY715-[1]QC_indicators!$B$1)&gt;3*[1]QC_indicators!$C$1,"DF","no")))</f>
        <v>no</v>
      </c>
      <c r="ER715" s="149" t="s">
        <v>349</v>
      </c>
      <c r="ET715" s="264" t="s">
        <v>3273</v>
      </c>
    </row>
    <row r="716" spans="1:150" ht="15" customHeight="1">
      <c r="A716" s="1" t="s">
        <v>1808</v>
      </c>
      <c r="B716" t="s">
        <v>2475</v>
      </c>
      <c r="C716" t="s">
        <v>2476</v>
      </c>
      <c r="D716" t="s">
        <v>2477</v>
      </c>
      <c r="E716" t="s">
        <v>2478</v>
      </c>
      <c r="F716" t="s">
        <v>2479</v>
      </c>
      <c r="G716" t="s">
        <v>1814</v>
      </c>
      <c r="H716" t="s">
        <v>254</v>
      </c>
      <c r="I716">
        <v>2010</v>
      </c>
      <c r="J716">
        <v>100</v>
      </c>
      <c r="K716" t="s">
        <v>2480</v>
      </c>
      <c r="M716" t="str">
        <f>LEFT($D716,FIND(",",$D716)-1)&amp;"_"&amp;I716&amp;L716</f>
        <v>Werner_2010</v>
      </c>
      <c r="N716" t="s">
        <v>222</v>
      </c>
      <c r="O716" s="145" t="s">
        <v>1154</v>
      </c>
      <c r="Q716" t="s">
        <v>256</v>
      </c>
      <c r="R716" s="262" t="s">
        <v>223</v>
      </c>
      <c r="S716" s="263" t="s">
        <v>3255</v>
      </c>
      <c r="T716" t="s">
        <v>2482</v>
      </c>
      <c r="U716" t="s">
        <v>2487</v>
      </c>
      <c r="V716">
        <v>2</v>
      </c>
      <c r="W716">
        <v>0</v>
      </c>
      <c r="X716">
        <v>1</v>
      </c>
      <c r="Y716">
        <v>2</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s="141">
        <f>COUNTIF(V716:AW716,"&lt;&gt;0")</f>
        <v>3</v>
      </c>
      <c r="AY716" s="141">
        <f>COUNTIF(V716:AL716,"&lt;&gt;0")</f>
        <v>3</v>
      </c>
      <c r="AZ716">
        <f>COUNTIF(V716:AC716,"&lt;&gt;0")</f>
        <v>3</v>
      </c>
      <c r="BA716">
        <f>COUNTIF(AD716:AI716,"&lt;&gt;0")</f>
        <v>0</v>
      </c>
      <c r="BB716">
        <f>COUNTIF(AJ716:AL716,"&lt;&gt;0")</f>
        <v>0</v>
      </c>
      <c r="BC716">
        <f>COUNTIF(AS716:AW716,"&lt;&gt;0")</f>
        <v>0</v>
      </c>
      <c r="BD716">
        <f>COUNTIF(AM716:AR716,"&lt;&gt;0")</f>
        <v>0</v>
      </c>
      <c r="BE716" t="str">
        <f t="array" ref="BE716">IF(AY716=1,INDEX($V$7:$AL$7,MATCH(TRUE,INDEX($V716:$AW716&lt;&gt;0,),0)),IF(AY716=0,INDEX($AM$7:$AW$7,MATCH(1,$AM716:$AW716,0)),IF(BF716="Multiple strategies","mixed drivers",IF(BF716="Supply chain","multiple supply","multiple silviculture"))))</f>
        <v>multiple silviculture</v>
      </c>
      <c r="BF716" s="2" t="str" cm="1">
        <f t="array" ref="BF716">IF(COUNTIF(AZ716:BB716,"&lt;&gt;0")=1,INDEX($V$4:$AW$4,MATCH(TRUE,INDEX($V716:$AW716&lt;&gt;0,),0)),IF(COUNTIF(AZ716:BB716,"&lt;&gt;0")=0,INDEX($AM$4:$AW$4,MATCH(1,$AM716:$AW716,0)),"Multiple strategies"))</f>
        <v>Silviculture for removals</v>
      </c>
      <c r="BG716" s="1" t="s">
        <v>321</v>
      </c>
      <c r="BH716" t="s">
        <v>2453</v>
      </c>
      <c r="BI716" s="264" t="s">
        <v>3252</v>
      </c>
      <c r="BJ716" t="s">
        <v>1323</v>
      </c>
      <c r="BK716">
        <v>300</v>
      </c>
      <c r="BL716">
        <v>765</v>
      </c>
      <c r="BM716" s="143">
        <f>BL716/BK716</f>
        <v>2.5499999999999998</v>
      </c>
      <c r="BN716">
        <f>BL716-BK716</f>
        <v>465</v>
      </c>
      <c r="BO716">
        <f>BN716*10^6</f>
        <v>465000000</v>
      </c>
      <c r="BP716" t="s">
        <v>232</v>
      </c>
      <c r="BQ716" s="153" t="s">
        <v>3253</v>
      </c>
      <c r="BR716" t="s">
        <v>2325</v>
      </c>
      <c r="BS716">
        <v>728.49390504704797</v>
      </c>
      <c r="BT716">
        <v>894.96230752780104</v>
      </c>
      <c r="BU716" s="144">
        <f>IFERROR(BT716/BS716,"")</f>
        <v>1.2285103572280431</v>
      </c>
      <c r="BV716" s="144">
        <f>BT716-BS716</f>
        <v>166.46840248075307</v>
      </c>
      <c r="BW716" s="144"/>
      <c r="BX716">
        <f>BV716*10^6</f>
        <v>166468402.48075306</v>
      </c>
      <c r="BY716">
        <f>IFERROR(BX716/BO716,"")</f>
        <v>0.35799656447473777</v>
      </c>
      <c r="BZ716">
        <v>0</v>
      </c>
      <c r="CA716">
        <v>0</v>
      </c>
      <c r="CB716">
        <v>0</v>
      </c>
      <c r="CC716">
        <v>0</v>
      </c>
      <c r="CD716">
        <v>0</v>
      </c>
      <c r="CE716">
        <v>0</v>
      </c>
      <c r="CF716">
        <v>0</v>
      </c>
      <c r="CG716">
        <v>0</v>
      </c>
      <c r="CH716">
        <v>0</v>
      </c>
      <c r="CI716">
        <v>0</v>
      </c>
      <c r="CJ716">
        <v>0</v>
      </c>
      <c r="CK716">
        <v>0</v>
      </c>
      <c r="CL716">
        <v>0</v>
      </c>
      <c r="CM716">
        <v>1</v>
      </c>
      <c r="CN716" t="str">
        <f>IF($BL716&lt;$BK716,"refNeedCorrection","refOK")</f>
        <v>refOK</v>
      </c>
      <c r="CO716">
        <f>IF($CN716="refNeedCorrection",BL716,BK716)</f>
        <v>300</v>
      </c>
      <c r="CP716">
        <f>IF($CN716="refNeedCorrection",BK716,BL716)</f>
        <v>765</v>
      </c>
      <c r="CQ716">
        <f>IF($CN716="refOK",$BO716,-$BO716)</f>
        <v>465000000</v>
      </c>
      <c r="CR716">
        <f>IF($CN716="refOK",$BS716,$BT716)*IF($BP716="Emissions positive",-1,1)</f>
        <v>728.49390504704797</v>
      </c>
      <c r="CS716">
        <f>IF($CN716="refOK",$BT716,$BS716)*IF($BP716="Emissions positive",-1,1)</f>
        <v>894.96230752780104</v>
      </c>
      <c r="CT716">
        <f>IF($CN716="refNeedCorrection",-BX716,BX716)*IF($BP716="Emissions positive",-1,1)</f>
        <v>166468402.48075306</v>
      </c>
      <c r="CU716">
        <f>IFERROR(CT716/CQ716,"")</f>
        <v>0.35799656447473777</v>
      </c>
      <c r="CV716" s="2">
        <f>IFERROR((CS716-CR716)/ABS(CR716),"")</f>
        <v>0.22851035722804314</v>
      </c>
      <c r="CW716" s="1" t="s">
        <v>1203</v>
      </c>
      <c r="CX716" t="str">
        <f>IF(OR($CW716="prd",$CW716="std",$CW716="cit"),"loc",IF(OR($CW716="eur",$CW716="reg",$CW716="coy"),"reg",$CW716))</f>
        <v>reg</v>
      </c>
      <c r="CY716" t="s">
        <v>639</v>
      </c>
      <c r="CZ716">
        <v>2000</v>
      </c>
      <c r="DA716">
        <v>2090</v>
      </c>
      <c r="DB716">
        <f>DA716-CZ716</f>
        <v>90</v>
      </c>
      <c r="DC716" t="str">
        <f>IF(DB716=0,"0",IF(AND(DB716&gt;=1,DB716&lt;=30),"1-30",IF(AND(DB716&gt;30,DB716&lt;=70),"31-70",IF(AND(DB716&gt;70,DB716&lt;=100),"71-100",IF(DB716&gt;100,"+100")))))</f>
        <v>71-100</v>
      </c>
      <c r="DD716">
        <v>0</v>
      </c>
      <c r="DE716">
        <v>0</v>
      </c>
      <c r="DF716">
        <v>0</v>
      </c>
      <c r="DG716">
        <v>1</v>
      </c>
      <c r="DH716">
        <v>0</v>
      </c>
      <c r="DI716">
        <f>SUM(DD716:DG716)</f>
        <v>1</v>
      </c>
      <c r="DJ716" t="str">
        <f>IF(DI716=1,INDEX($DD$7:$DG$7,MATCH(1,$DD716:$DG716,0)),"mixedProduct")</f>
        <v>TimberInput</v>
      </c>
      <c r="DK716">
        <f>IF(DD716=1,DK$7,0)</f>
        <v>0</v>
      </c>
      <c r="DL716">
        <f>IF(DE716=1,DL$7,0)</f>
        <v>0</v>
      </c>
      <c r="DM716">
        <f>IF(DF716=1,DM$7,0)</f>
        <v>0</v>
      </c>
      <c r="DN716" t="str">
        <f>IF(DG716=1,DN$7,0)</f>
        <v>Timber</v>
      </c>
      <c r="DO716">
        <v>0</v>
      </c>
      <c r="DP716">
        <v>1</v>
      </c>
      <c r="DQ716" t="s">
        <v>2483</v>
      </c>
      <c r="DR716" t="s">
        <v>2484</v>
      </c>
      <c r="DT716">
        <f>SUM(DO716:DP716)</f>
        <v>1</v>
      </c>
      <c r="DU716" s="143" t="str">
        <f>IF(DO716=1,"self-calculated DF",IF(DP716=1,"external DF used","explicit C balance"))</f>
        <v>external DF used</v>
      </c>
      <c r="DV716">
        <v>1</v>
      </c>
      <c r="DW716">
        <v>1</v>
      </c>
      <c r="DX716">
        <v>1</v>
      </c>
      <c r="DY716">
        <v>1</v>
      </c>
      <c r="DZ716">
        <v>1</v>
      </c>
      <c r="EA716" s="143">
        <v>1</v>
      </c>
      <c r="EB716">
        <v>1</v>
      </c>
      <c r="EC716">
        <v>1</v>
      </c>
      <c r="ED716">
        <v>0</v>
      </c>
      <c r="EE716">
        <v>0</v>
      </c>
      <c r="EF716">
        <v>1</v>
      </c>
      <c r="EG716">
        <v>0</v>
      </c>
      <c r="EH716">
        <v>0</v>
      </c>
      <c r="EI716" s="2">
        <v>0</v>
      </c>
      <c r="EK716" t="str">
        <f>IF(AND(AND(AND(OR($DX716=1,$DW716=1),OR($EC716=1,$EA716=1)),SUM($DV716:$DZ716,$EF716)&gt;=4),SUM($EA716:$EE716)&gt;=2),"Whole sector","")</f>
        <v>Whole sector</v>
      </c>
      <c r="EL716" t="str">
        <f>IF(AND(AND(OR($DX716=1,$DW716=1),AND($EC716=0,$EA716=0)),SUM($DV716:$DZ716,$EF716)&gt;=4),"Ecosystem approach","")</f>
        <v/>
      </c>
      <c r="EM716" s="2" t="str">
        <f>IF(AND(AND(AND($DX716=0,$DW716=0),OR($EC716=1,$EA716=1)),SUM($EB716:$EE716)&gt;=2),"Technology approach","")</f>
        <v/>
      </c>
      <c r="EN716" t="s">
        <v>2485</v>
      </c>
      <c r="EP716" t="str">
        <f>IF(ISNUMBER(BU716),IF(ABS(BU716-[1]QC_indicators!$B$2)&gt;3*[1]QC_indicators!$C$2,"C ratio",IF(ISNUMBER(BY716),IF(ABS(BY716-[1]QC_indicators!$B$1)&gt;3*[1]QC_indicators!$C$1,"DF","no"))),IF(ISNUMBER(BY716),IF(ABS(BY716-[1]QC_indicators!$B$1)&gt;3*[1]QC_indicators!$C$1,"DF","no")))</f>
        <v>no</v>
      </c>
      <c r="ET716" s="264" t="s">
        <v>3254</v>
      </c>
    </row>
    <row r="717" spans="1:150" ht="15" customHeight="1">
      <c r="A717" s="1" t="s">
        <v>1621</v>
      </c>
      <c r="B717" t="s">
        <v>1622</v>
      </c>
      <c r="C717" t="s">
        <v>1623</v>
      </c>
      <c r="D717" t="s">
        <v>1624</v>
      </c>
      <c r="E717" t="s">
        <v>1625</v>
      </c>
      <c r="F717" t="s">
        <v>1626</v>
      </c>
      <c r="G717" t="s">
        <v>1627</v>
      </c>
      <c r="H717" t="s">
        <v>1628</v>
      </c>
      <c r="I717">
        <v>2003</v>
      </c>
      <c r="J717">
        <v>9</v>
      </c>
      <c r="K717" t="s">
        <v>1629</v>
      </c>
      <c r="M717" t="str">
        <f>LEFT($D717,FIND(",",$D717)-1)&amp;"_"&amp;I717&amp;L717</f>
        <v>Graham_2003</v>
      </c>
      <c r="N717" t="s">
        <v>222</v>
      </c>
      <c r="O717" s="181" t="s">
        <v>225</v>
      </c>
      <c r="Q717" s="264" t="s">
        <v>256</v>
      </c>
      <c r="R717" s="269" t="s">
        <v>1154</v>
      </c>
      <c r="S717" s="1" t="s">
        <v>1630</v>
      </c>
      <c r="T717" t="s">
        <v>1631</v>
      </c>
      <c r="U717" t="s">
        <v>1632</v>
      </c>
      <c r="V717">
        <v>1</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s="141">
        <f>COUNTIF(V717:AW717,"&lt;&gt;0")</f>
        <v>1</v>
      </c>
      <c r="AY717" s="141">
        <f>COUNTIF(V717:AL717,"&lt;&gt;0")</f>
        <v>1</v>
      </c>
      <c r="AZ717">
        <f>COUNTIF(V717:AC717,"&lt;&gt;0")</f>
        <v>1</v>
      </c>
      <c r="BA717">
        <f>COUNTIF(AD717:AI717,"&lt;&gt;0")</f>
        <v>0</v>
      </c>
      <c r="BB717">
        <f>COUNTIF(AJ717:AL717,"&lt;&gt;0")</f>
        <v>0</v>
      </c>
      <c r="BC717">
        <f>COUNTIF(AS717:AW717,"&lt;&gt;0")</f>
        <v>0</v>
      </c>
      <c r="BD717">
        <f>COUNTIF(AM717:AR717,"&lt;&gt;0")</f>
        <v>0</v>
      </c>
      <c r="BE717" t="str" cm="1">
        <f t="array" ref="BE717">IF(AY717=1,INDEX($V$7:$AL$7,MATCH(TRUE,INDEX($V717:$AW717&lt;&gt;0,),0)),IF(AY717=0,INDEX($AM$7:$AW$7,MATCH(1,$AM717:$AW717,0)),IF(BF717="Multiple strategies","mixed drivers",IF(BF717="Supply chain","multiple supply","multiple silviculture"))))</f>
        <v>area subject to harvest</v>
      </c>
      <c r="BF717" s="2" t="str" cm="1">
        <f t="array" ref="BF717">IF(COUNTIF(AZ717:BB717,"&lt;&gt;0")=1,INDEX($V$4:$AW$4,MATCH(TRUE,INDEX($V717:$AW717&lt;&gt;0,),0)),IF(COUNTIF(AZ717:BB717,"&lt;&gt;0")=0,INDEX($AM$4:$AW$4,MATCH(1,$AM717:$AW717,0)),"Multiple strategies"))</f>
        <v>Silviculture for removals</v>
      </c>
      <c r="BG717" s="1" t="s">
        <v>229</v>
      </c>
      <c r="BH717" t="s">
        <v>3406</v>
      </c>
      <c r="BJ717" t="s">
        <v>498</v>
      </c>
      <c r="BN717">
        <v>967000</v>
      </c>
      <c r="BO717">
        <f>BN717</f>
        <v>967000</v>
      </c>
      <c r="BP717" t="s">
        <v>232</v>
      </c>
      <c r="BR717" t="s">
        <v>1633</v>
      </c>
      <c r="BU717" s="144" t="str">
        <f>IFERROR(BT717/BS717,"")</f>
        <v/>
      </c>
      <c r="BX717">
        <v>349000</v>
      </c>
      <c r="BY717">
        <f>IFERROR(BX717/BO717,"")</f>
        <v>0.36091003102378488</v>
      </c>
      <c r="BZ717">
        <v>0</v>
      </c>
      <c r="CA717">
        <v>0</v>
      </c>
      <c r="CB717">
        <v>0</v>
      </c>
      <c r="CC717">
        <v>0</v>
      </c>
      <c r="CD717">
        <v>0</v>
      </c>
      <c r="CE717">
        <v>0</v>
      </c>
      <c r="CF717">
        <v>0</v>
      </c>
      <c r="CG717">
        <v>0</v>
      </c>
      <c r="CH717">
        <v>0</v>
      </c>
      <c r="CI717">
        <v>0</v>
      </c>
      <c r="CJ717">
        <v>0</v>
      </c>
      <c r="CK717">
        <v>0</v>
      </c>
      <c r="CL717">
        <v>0</v>
      </c>
      <c r="CM717">
        <v>1</v>
      </c>
      <c r="CN717" t="str">
        <f>IF(BL717&lt;BK717,"refNeedCorrection","refOK")</f>
        <v>refOK</v>
      </c>
      <c r="CO717"/>
      <c r="CP717"/>
      <c r="CQ717">
        <f>IF($CN717="refNeedCorrection",-BO717,BO717)</f>
        <v>967000</v>
      </c>
      <c r="CR717">
        <f>IF($CN717="refOK",$BS717,$BT717)*IF($BP717="Emissions positive",-1,1)</f>
        <v>0</v>
      </c>
      <c r="CS717">
        <f>IF($CN717="refOK",$BT717,$BS717)*IF($BP717="Emissions positive",-1,1)</f>
        <v>0</v>
      </c>
      <c r="CT717">
        <f>IF($CN717="refNeedCorrection",-BX717,BX717)*IF($BP717="Emissions positive",-1,1)</f>
        <v>349000</v>
      </c>
      <c r="CU717">
        <f>IFERROR(CT717/CQ717,"")</f>
        <v>0.36091003102378488</v>
      </c>
      <c r="CV717" s="2" t="str">
        <f>IFERROR((CS717-CR717)/ABS(CR717),"")</f>
        <v/>
      </c>
      <c r="CW717" s="1" t="s">
        <v>1199</v>
      </c>
      <c r="CX717" s="264" t="str">
        <f>IF(OR($CW717="prd",$CW717="std",$CW717="cit"),"loc",IF(OR($CW717="eur",$CW717="reg",$CW717="coy"),"reg",$CW717))</f>
        <v>reg</v>
      </c>
      <c r="CY717" t="s">
        <v>540</v>
      </c>
      <c r="CZ717">
        <v>2008</v>
      </c>
      <c r="DA717">
        <f>CZ717+DB717</f>
        <v>2044</v>
      </c>
      <c r="DB717">
        <v>36</v>
      </c>
      <c r="DC717" t="str">
        <f>IF(DB717=0,"0",IF(AND(DB717&gt;=1,DB717&lt;=30),"1-30",IF(AND(DB717&gt;30,DB717&lt;=70),"31-70",IF(AND(DB717&gt;70,DB717&lt;=100),"71-100",IF(DB717&gt;100,"+100")))))</f>
        <v>31-70</v>
      </c>
      <c r="DD717">
        <v>0</v>
      </c>
      <c r="DE717">
        <v>1</v>
      </c>
      <c r="DF717">
        <v>0</v>
      </c>
      <c r="DG717">
        <v>0</v>
      </c>
      <c r="DI717">
        <f>SUM(DD717:DG717)</f>
        <v>1</v>
      </c>
      <c r="DJ717" t="str">
        <f>IF(DI717=1,INDEX($DD$7:$DG$7,MATCH(1,$DD717:$DG717,0)),"mixedProduct")</f>
        <v>EnergyInput</v>
      </c>
      <c r="DK717">
        <f>IF(DD717=1,DK$7,0)</f>
        <v>0</v>
      </c>
      <c r="DL717" t="str">
        <f>IF(DE717=1,DL$7,0)</f>
        <v>Energy</v>
      </c>
      <c r="DM717">
        <f>IF(DF717=1,DM$7,0)</f>
        <v>0</v>
      </c>
      <c r="DN717">
        <f>IF(DG717=1,DN$7,0)</f>
        <v>0</v>
      </c>
      <c r="DO717">
        <v>0</v>
      </c>
      <c r="DP717">
        <v>1</v>
      </c>
      <c r="DQ717" t="s">
        <v>1634</v>
      </c>
      <c r="DR717">
        <v>0</v>
      </c>
      <c r="DS717">
        <v>0</v>
      </c>
      <c r="DT717">
        <f>SUM(DO717:DP717)</f>
        <v>1</v>
      </c>
      <c r="DU717" s="143" t="str">
        <f>IF(DO717=1,"self-calculated DF",IF(DP717=1,"external DF used","explicit C balance"))</f>
        <v>external DF used</v>
      </c>
      <c r="DV717">
        <v>1</v>
      </c>
      <c r="DW717">
        <v>0</v>
      </c>
      <c r="DX717">
        <v>1</v>
      </c>
      <c r="DY717">
        <v>0</v>
      </c>
      <c r="DZ717">
        <v>0</v>
      </c>
      <c r="EA717">
        <v>1</v>
      </c>
      <c r="EB717">
        <v>1</v>
      </c>
      <c r="EC717">
        <v>0</v>
      </c>
      <c r="ED717">
        <v>0</v>
      </c>
      <c r="EE717">
        <v>0</v>
      </c>
      <c r="EF717">
        <v>0</v>
      </c>
      <c r="EG717">
        <v>0</v>
      </c>
      <c r="EH717">
        <v>0</v>
      </c>
      <c r="EI717" s="2">
        <v>0</v>
      </c>
      <c r="EK717" t="str">
        <f>IF(AND(AND(AND(OR($DX717=1,$DW717=1),OR($EC717=1,$EA717=1)),SUM($DV717:$DZ717,$EF717)&gt;=4),SUM($EA717:$EE717)&gt;=2),"Whole sector","")</f>
        <v/>
      </c>
      <c r="EL717" t="str">
        <f>IF(AND(AND(OR($DX717=1,$DW717=1),AND($EC717=0,$EA717=0)),SUM($DV717:$DZ717,$EF717)&gt;=4),"Ecosystem approach","")</f>
        <v/>
      </c>
      <c r="EM717" s="2" t="str">
        <f>IF(AND(AND(AND($DX717=0,$DW717=0),OR($EC717=1,$EA717=1)),SUM($EB717:$EE717)&gt;=2),"Technology approach","")</f>
        <v/>
      </c>
      <c r="EP717" t="str">
        <f>IF(ISNUMBER(BU717),IF(ABS(BU717-[3]QC_indicators!$B$2)&gt;3*[3]QC_indicators!$C$2,"C ratio",IF(ISNUMBER(BY717),IF(ABS(BY717-[3]QC_indicators!$B$1)&gt;3*[3]QC_indicators!$C$1,"DF","no"))),IF(ISNUMBER(BY717),IF(ABS(BY717-[3]QC_indicators!$B$1)&gt;3*[3]QC_indicators!$C$1,"DF","no")))</f>
        <v>no</v>
      </c>
      <c r="EQ717" t="s">
        <v>1164</v>
      </c>
      <c r="ER717" t="s">
        <v>1635</v>
      </c>
      <c r="ET717" s="264" t="s">
        <v>3407</v>
      </c>
    </row>
    <row r="718" spans="1:150" ht="15" customHeight="1">
      <c r="A718" s="1" t="s">
        <v>333</v>
      </c>
      <c r="B718" t="s">
        <v>334</v>
      </c>
      <c r="C718" t="s">
        <v>335</v>
      </c>
      <c r="D718" t="s">
        <v>336</v>
      </c>
      <c r="E718" t="s">
        <v>337</v>
      </c>
      <c r="F718" t="s">
        <v>338</v>
      </c>
      <c r="G718" t="s">
        <v>339</v>
      </c>
      <c r="I718">
        <v>2017</v>
      </c>
      <c r="K718" t="s">
        <v>340</v>
      </c>
      <c r="M718" t="str">
        <f>LEFT($D718,FIND(",",$D718)-1)&amp;"_"&amp;I718&amp;L718</f>
        <v>Balasbaneh_2017</v>
      </c>
      <c r="N718" t="s">
        <v>222</v>
      </c>
      <c r="O718" s="140" t="s">
        <v>341</v>
      </c>
      <c r="Q718" t="s">
        <v>224</v>
      </c>
      <c r="R718" s="262" t="s">
        <v>223</v>
      </c>
      <c r="S718" s="1" t="s">
        <v>363</v>
      </c>
      <c r="T718" t="s">
        <v>361</v>
      </c>
      <c r="U718" t="s">
        <v>351</v>
      </c>
      <c r="V718">
        <v>0</v>
      </c>
      <c r="W718">
        <v>0</v>
      </c>
      <c r="X718">
        <v>0</v>
      </c>
      <c r="Y718">
        <v>0</v>
      </c>
      <c r="Z718">
        <v>0</v>
      </c>
      <c r="AA718">
        <v>0</v>
      </c>
      <c r="AB718">
        <v>0</v>
      </c>
      <c r="AC718">
        <v>0</v>
      </c>
      <c r="AD718">
        <v>0</v>
      </c>
      <c r="AE718">
        <v>0</v>
      </c>
      <c r="AF718">
        <v>0</v>
      </c>
      <c r="AG718">
        <v>0</v>
      </c>
      <c r="AH718">
        <v>0</v>
      </c>
      <c r="AI718">
        <v>0</v>
      </c>
      <c r="AJ718">
        <v>0</v>
      </c>
      <c r="AK718">
        <v>1</v>
      </c>
      <c r="AL718">
        <v>0</v>
      </c>
      <c r="AM718">
        <v>0</v>
      </c>
      <c r="AN718">
        <v>0</v>
      </c>
      <c r="AO718">
        <v>0</v>
      </c>
      <c r="AP718">
        <v>0</v>
      </c>
      <c r="AQ718">
        <v>0</v>
      </c>
      <c r="AR718">
        <v>0</v>
      </c>
      <c r="AS718">
        <v>0</v>
      </c>
      <c r="AT718">
        <v>0</v>
      </c>
      <c r="AU718">
        <v>0</v>
      </c>
      <c r="AV718">
        <v>0</v>
      </c>
      <c r="AW718">
        <v>0</v>
      </c>
      <c r="AX718" s="141">
        <f>COUNTIF(V718:AW718,"&lt;&gt;0")</f>
        <v>1</v>
      </c>
      <c r="AY718" s="141">
        <f>COUNTIF(V718:AL718,"&lt;&gt;0")</f>
        <v>1</v>
      </c>
      <c r="AZ718">
        <f>COUNTIF(V718:AC718,"&lt;&gt;0")</f>
        <v>0</v>
      </c>
      <c r="BA718">
        <f>COUNTIF(AD718:AI718,"&lt;&gt;0")</f>
        <v>0</v>
      </c>
      <c r="BB718">
        <f>COUNTIF(AJ718:AL718,"&lt;&gt;0")</f>
        <v>1</v>
      </c>
      <c r="BC718">
        <f>COUNTIF(AS718:AW718,"&lt;&gt;0")</f>
        <v>0</v>
      </c>
      <c r="BD718">
        <f>COUNTIF(AM718:AR718,"&lt;&gt;0")</f>
        <v>0</v>
      </c>
      <c r="BE718" t="str">
        <f t="array" ref="BE718">IF(AY718=1,INDEX($V$7:$AL$7,MATCH(TRUE,INDEX($V718:$AW718&lt;&gt;0,),0)),IF(AY718=0,INDEX($AM$7:$AW$7,MATCH(1,$AM718:$AW718,0)),IF(BF718="Multiple strategies","mixed drivers",IF(BF718="Supply chain","multiple supply","multiple silviculture"))))</f>
        <v>technologies/design switch</v>
      </c>
      <c r="BF718" s="2" t="str" cm="1">
        <f t="array" ref="BF718">IF(COUNTIF(AZ718:BB718,"&lt;&gt;0")=1,INDEX($V$4:$AW$4,MATCH(TRUE,INDEX($V718:$AW718&lt;&gt;0,),0)),IF(COUNTIF(AZ718:BB718,"&lt;&gt;0")=0,INDEX($AM$4:$AW$4,MATCH(1,$AM718:$AW718,0)),"Multiple strategies"))</f>
        <v>Technology</v>
      </c>
      <c r="BG718" s="1" t="s">
        <v>229</v>
      </c>
      <c r="BH718" t="s">
        <v>229</v>
      </c>
      <c r="BI718" s="264" t="s">
        <v>410</v>
      </c>
      <c r="BJ718" t="s">
        <v>345</v>
      </c>
      <c r="BK718">
        <v>0</v>
      </c>
      <c r="BL718">
        <v>23500</v>
      </c>
      <c r="BM718" s="143"/>
      <c r="BN718">
        <f>BL718-BK718</f>
        <v>23500</v>
      </c>
      <c r="BO718" s="143">
        <f>BN718*kg_to_m3</f>
        <v>47.95918367346939</v>
      </c>
      <c r="BP718" t="s">
        <v>232</v>
      </c>
      <c r="BQ718" s="335" t="s">
        <v>396</v>
      </c>
      <c r="BR718" t="s">
        <v>346</v>
      </c>
      <c r="BS718">
        <v>-23000</v>
      </c>
      <c r="BT718">
        <v>-5650</v>
      </c>
      <c r="BU718" s="144">
        <v>0.24565217391304348</v>
      </c>
      <c r="BV718">
        <f>BT718-BS718</f>
        <v>17350</v>
      </c>
      <c r="BX718">
        <f>BV718/1000</f>
        <v>17.350000000000001</v>
      </c>
      <c r="BY718">
        <f>IFERROR(BX718/BO718,"")</f>
        <v>0.36176595744680851</v>
      </c>
      <c r="BZ718">
        <v>0</v>
      </c>
      <c r="CA718">
        <v>0</v>
      </c>
      <c r="CB718">
        <v>0</v>
      </c>
      <c r="CC718">
        <v>0</v>
      </c>
      <c r="CD718">
        <v>0</v>
      </c>
      <c r="CE718">
        <v>0</v>
      </c>
      <c r="CF718">
        <v>0</v>
      </c>
      <c r="CG718">
        <v>0</v>
      </c>
      <c r="CH718">
        <v>0</v>
      </c>
      <c r="CI718">
        <v>0</v>
      </c>
      <c r="CJ718">
        <v>0</v>
      </c>
      <c r="CK718">
        <v>0</v>
      </c>
      <c r="CL718">
        <v>0</v>
      </c>
      <c r="CM718">
        <v>0</v>
      </c>
      <c r="CN718" t="str">
        <f>IF($BL718&lt;$BK718,"refNeedCorrection","refOK")</f>
        <v>refOK</v>
      </c>
      <c r="CO718">
        <f>IF($CN718="refNeedCorrection",BL718,BK718)</f>
        <v>0</v>
      </c>
      <c r="CP718">
        <f>IF($CN718="refNeedCorrection",BK718,BL718)</f>
        <v>23500</v>
      </c>
      <c r="CQ718">
        <f>IF($CN718="refOK",$BO718,-$BO718)</f>
        <v>47.95918367346939</v>
      </c>
      <c r="CR718">
        <f>IF($CN718="refOK",$BS718,$BT718)*IF($BP718="Emissions positive",-1,1)</f>
        <v>-23000</v>
      </c>
      <c r="CS718">
        <f>IF($CN718="refOK",$BT718,$BS718)*IF($BP718="Emissions positive",-1,1)</f>
        <v>-5650</v>
      </c>
      <c r="CT718">
        <f>IF($CN718="refNeedCorrection",-BX718,BX718)*IF($BP718="Emissions positive",-1,1)</f>
        <v>17.350000000000001</v>
      </c>
      <c r="CU718">
        <f>IFERROR(CT718/CQ718,"")</f>
        <v>0.36176595744680851</v>
      </c>
      <c r="CV718" s="2">
        <f>IFERROR((CS718-CR718)/ABS(CR718),"")</f>
        <v>0.7543478260869565</v>
      </c>
      <c r="CW718" s="1" t="s">
        <v>347</v>
      </c>
      <c r="CX718" t="str">
        <f>IF(OR($CW718="prd",$CW718="std",$CW718="cit"),"loc",IF(OR($CW718="eur",$CW718="reg",$CW718="coy"),"reg",$CW718))</f>
        <v>loc</v>
      </c>
      <c r="CY718" t="s">
        <v>348</v>
      </c>
      <c r="CZ718">
        <v>2014</v>
      </c>
      <c r="DA718">
        <v>2114</v>
      </c>
      <c r="DB718">
        <v>100</v>
      </c>
      <c r="DC718" t="str">
        <f>IF(DB718=0,"0",IF(AND(DB718&gt;=1,DB718&lt;=30),"1-30",IF(AND(DB718&gt;30,DB718&lt;=70),"31-70",IF(AND(DB718&gt;70,DB718&lt;=100),"71-100",IF(DB718&gt;100,"+100")))))</f>
        <v>71-100</v>
      </c>
      <c r="DD718">
        <v>0</v>
      </c>
      <c r="DE718">
        <v>0</v>
      </c>
      <c r="DF718">
        <v>0</v>
      </c>
      <c r="DG718">
        <v>1</v>
      </c>
      <c r="DI718">
        <f>SUM(DD718:DG718)</f>
        <v>1</v>
      </c>
      <c r="DJ718" t="str">
        <f>IF(DI718=1,INDEX($DD$7:$DG$7,MATCH(1,$DD718:$DG718,0)),"mixedProduct")</f>
        <v>TimberInput</v>
      </c>
      <c r="DK718">
        <f>IF(DD718=1,DK$7,0)</f>
        <v>0</v>
      </c>
      <c r="DL718">
        <f>IF(DE718=1,DL$7,0)</f>
        <v>0</v>
      </c>
      <c r="DM718">
        <f>IF(DF718=1,DM$7,0)</f>
        <v>0</v>
      </c>
      <c r="DN718" t="str">
        <f>IF(DG718=1,DN$7,0)</f>
        <v>Timber</v>
      </c>
      <c r="DO718">
        <v>0</v>
      </c>
      <c r="DP718">
        <v>0</v>
      </c>
      <c r="DQ718">
        <v>0</v>
      </c>
      <c r="DR718">
        <v>0</v>
      </c>
      <c r="DS718">
        <v>0</v>
      </c>
      <c r="DT718">
        <f>SUM(DO718:DP718)</f>
        <v>0</v>
      </c>
      <c r="DU718" s="143" t="str">
        <f>IF(DO718=1,"self-calculated DF",IF(DP718=1,"external DF used","explicit C balance"))</f>
        <v>explicit C balance</v>
      </c>
      <c r="DV718">
        <v>0</v>
      </c>
      <c r="DW718">
        <v>0</v>
      </c>
      <c r="DX718">
        <v>0</v>
      </c>
      <c r="DY718">
        <v>1</v>
      </c>
      <c r="DZ718">
        <v>0</v>
      </c>
      <c r="EA718" s="143">
        <v>1</v>
      </c>
      <c r="EB718">
        <v>0</v>
      </c>
      <c r="EC718">
        <v>1</v>
      </c>
      <c r="ED718">
        <v>1</v>
      </c>
      <c r="EE718">
        <v>1</v>
      </c>
      <c r="EF718">
        <v>0</v>
      </c>
      <c r="EG718">
        <v>0</v>
      </c>
      <c r="EH718">
        <v>0</v>
      </c>
      <c r="EI718" s="2">
        <v>0</v>
      </c>
      <c r="EK718" t="str">
        <f>IF(AND(AND(AND(OR($DX718=1,$DW718=1),OR($EC718=1,$EA718=1)),SUM($DV718:$DZ718,$EF718)&gt;=4),SUM($EA718:$EE718)&gt;=2),"Whole sector","")</f>
        <v/>
      </c>
      <c r="EL718" t="str">
        <f>IF(AND(AND(OR($DX718=1,$DW718=1),AND($EC718=0,$EA718=0)),SUM($DV718:$DZ718,$EF718)&gt;=4),"Ecosystem approach","")</f>
        <v/>
      </c>
      <c r="EM718" s="2" t="str">
        <f>IF(AND(AND(AND($DX718=0,$DW718=0),OR($EC718=1,$EA718=1)),SUM($EB718:$EE718)&gt;=2),"Technology approach","")</f>
        <v>Technology approach</v>
      </c>
      <c r="EP718" t="str">
        <f>IF(ISNUMBER(BU718),IF(ABS(BU718-[1]QC_indicators!$B$2)&gt;3*[1]QC_indicators!$C$2,"C ratio",IF(ISNUMBER(BY718),IF(ABS(BY718-[1]QC_indicators!$B$1)&gt;3*[1]QC_indicators!$C$1,"DF","no"))),IF(ISNUMBER(BY718),IF(ABS(BY718-[1]QC_indicators!$B$1)&gt;3*[1]QC_indicators!$C$1,"DF","no")))</f>
        <v>no</v>
      </c>
      <c r="ER718" s="149" t="s">
        <v>349</v>
      </c>
      <c r="ET718" s="264" t="s">
        <v>3273</v>
      </c>
    </row>
    <row r="719" spans="1:150" ht="15" customHeight="1">
      <c r="A719" s="1" t="s">
        <v>1102</v>
      </c>
      <c r="B719" t="s">
        <v>2381</v>
      </c>
      <c r="C719" t="s">
        <v>2382</v>
      </c>
      <c r="D719" t="s">
        <v>2383</v>
      </c>
      <c r="E719" t="s">
        <v>2384</v>
      </c>
      <c r="F719" t="s">
        <v>2385</v>
      </c>
      <c r="G719" t="s">
        <v>1108</v>
      </c>
      <c r="H719" t="s">
        <v>254</v>
      </c>
      <c r="I719">
        <v>2016</v>
      </c>
      <c r="J719">
        <v>13</v>
      </c>
      <c r="K719" t="s">
        <v>2386</v>
      </c>
      <c r="M719" t="str">
        <f>LEFT($D719,FIND(",",$D719)-1)&amp;"_"&amp;I719&amp;L719</f>
        <v>Torssonen_2016</v>
      </c>
      <c r="N719" t="s">
        <v>222</v>
      </c>
      <c r="O719" s="145" t="s">
        <v>1154</v>
      </c>
      <c r="Q719" s="264" t="s">
        <v>256</v>
      </c>
      <c r="R719" s="269" t="s">
        <v>341</v>
      </c>
      <c r="S719" s="1" t="s">
        <v>2404</v>
      </c>
      <c r="T719" s="264" t="s">
        <v>2412</v>
      </c>
      <c r="U719" t="s">
        <v>2414</v>
      </c>
      <c r="V719">
        <v>0</v>
      </c>
      <c r="W719">
        <v>0</v>
      </c>
      <c r="X719">
        <v>0</v>
      </c>
      <c r="Y719">
        <v>0</v>
      </c>
      <c r="Z719">
        <v>0</v>
      </c>
      <c r="AA719">
        <v>0</v>
      </c>
      <c r="AB719">
        <v>0</v>
      </c>
      <c r="AC719">
        <v>0</v>
      </c>
      <c r="AD719">
        <v>0</v>
      </c>
      <c r="AE719">
        <v>0</v>
      </c>
      <c r="AF719">
        <v>0</v>
      </c>
      <c r="AG719">
        <v>0</v>
      </c>
      <c r="AH719">
        <v>0</v>
      </c>
      <c r="AI719">
        <v>0</v>
      </c>
      <c r="AJ719">
        <v>0</v>
      </c>
      <c r="AK719">
        <v>0</v>
      </c>
      <c r="AL719">
        <v>0</v>
      </c>
      <c r="AM719">
        <v>0</v>
      </c>
      <c r="AN719">
        <v>1</v>
      </c>
      <c r="AO719">
        <v>1</v>
      </c>
      <c r="AP719">
        <v>0</v>
      </c>
      <c r="AQ719">
        <v>0</v>
      </c>
      <c r="AR719">
        <v>0</v>
      </c>
      <c r="AS719">
        <v>0</v>
      </c>
      <c r="AT719">
        <v>0</v>
      </c>
      <c r="AU719">
        <v>0</v>
      </c>
      <c r="AV719">
        <v>0</v>
      </c>
      <c r="AW719">
        <v>0</v>
      </c>
      <c r="AX719" s="141">
        <f>COUNTIF(V719:AW719,"&lt;&gt;0")</f>
        <v>2</v>
      </c>
      <c r="AY719" s="141">
        <f>COUNTIF(V719:AL719,"&lt;&gt;0")</f>
        <v>0</v>
      </c>
      <c r="AZ719">
        <f>COUNTIF(V719:AC719,"&lt;&gt;0")</f>
        <v>0</v>
      </c>
      <c r="BA719">
        <f>COUNTIF(AD719:AI719,"&lt;&gt;0")</f>
        <v>0</v>
      </c>
      <c r="BB719">
        <f>COUNTIF(AJ719:AL719,"&lt;&gt;0")</f>
        <v>0</v>
      </c>
      <c r="BC719">
        <f>COUNTIF(AS719:AW719,"&lt;&gt;0")</f>
        <v>0</v>
      </c>
      <c r="BD719">
        <f>COUNTIF(AM719:AR719,"&lt;&gt;0")</f>
        <v>2</v>
      </c>
      <c r="BE719" t="str" cm="1">
        <f t="array" ref="BE719">IF(AY719=1,INDEX($V$7:$AL$7,MATCH(TRUE,INDEX($V719:$AW719&lt;&gt;0,),0)),IF(AY719=0,INDEX($AM$7:$AW$7,MATCH(1,$AM719:$AW719,0)),IF(BF719="Multiple strategies","mixed drivers",IF(BF719="Supply chain","multiple supply","multiple silviculture"))))</f>
        <v>Temperature</v>
      </c>
      <c r="BF719" s="2" t="str" cm="1">
        <f t="array" ref="BF719">IF(COUNTIF(AZ719:BB719,"&lt;&gt;0")=1,INDEX($V$4:$AW$4,MATCH(TRUE,INDEX($V719:$AW719&lt;&gt;0,),0)),IF(COUNTIF(AZ719:BB719,"&lt;&gt;0")=0,INDEX($AM$4:$AW$4,MATCH(1,$AM719:$AW719,0)),"Multiple strategies"))</f>
        <v>Environmental change</v>
      </c>
      <c r="BG719" s="1" t="s">
        <v>229</v>
      </c>
      <c r="BH719" s="306" t="s">
        <v>2144</v>
      </c>
      <c r="BI719" s="264" t="s">
        <v>2391</v>
      </c>
      <c r="BJ719" s="306" t="s">
        <v>1058</v>
      </c>
      <c r="BK719">
        <v>8.0857142559999993</v>
      </c>
      <c r="BL719">
        <v>8.3265305820000002</v>
      </c>
      <c r="BM719" s="143">
        <f>BL719/BK719</f>
        <v>1.0297829379539727</v>
      </c>
      <c r="BN719">
        <f>BL719-BK719</f>
        <v>0.24081632600000091</v>
      </c>
      <c r="BO719">
        <f>BN719</f>
        <v>0.24081632600000091</v>
      </c>
      <c r="BP719" s="306" t="s">
        <v>395</v>
      </c>
      <c r="BQ719" s="153" t="s">
        <v>3421</v>
      </c>
      <c r="BR719" s="264" t="s">
        <v>2393</v>
      </c>
      <c r="BS719">
        <v>-456.72727272727298</v>
      </c>
      <c r="BT719">
        <v>-465.45454545454498</v>
      </c>
      <c r="BU719" s="144"/>
      <c r="BV719" s="144">
        <f>BT719-BS719</f>
        <v>-8.727272727272009</v>
      </c>
      <c r="BW719" s="144"/>
      <c r="BX719" s="144">
        <f>BV719*10^4/10^6</f>
        <v>-8.7272727272720091E-2</v>
      </c>
      <c r="BY719">
        <f>IFERROR(BX719/BO719,"")</f>
        <v>-0.36240369879540374</v>
      </c>
      <c r="BZ719">
        <v>0</v>
      </c>
      <c r="CA719">
        <v>0</v>
      </c>
      <c r="CB719">
        <v>0</v>
      </c>
      <c r="CC719">
        <v>0</v>
      </c>
      <c r="CD719">
        <v>0</v>
      </c>
      <c r="CE719">
        <v>0</v>
      </c>
      <c r="CF719">
        <v>0</v>
      </c>
      <c r="CG719">
        <v>0</v>
      </c>
      <c r="CH719">
        <v>0</v>
      </c>
      <c r="CI719">
        <v>0</v>
      </c>
      <c r="CJ719">
        <v>0</v>
      </c>
      <c r="CK719">
        <v>0</v>
      </c>
      <c r="CL719">
        <v>0</v>
      </c>
      <c r="CM719">
        <v>1</v>
      </c>
      <c r="CN719" t="str">
        <f>IF($BL719&lt;$BK719,"refNeedCorrection","refOK")</f>
        <v>refOK</v>
      </c>
      <c r="CO719">
        <f>IF($CN719="refOK",$BK719,$BL719)</f>
        <v>8.0857142559999993</v>
      </c>
      <c r="CP719">
        <f>IF($CN719="refOK",$BL719,$BK719)</f>
        <v>8.3265305820000002</v>
      </c>
      <c r="CQ719">
        <f>IF($CN719="refOK",$BO719,-$BO719)</f>
        <v>0.24081632600000091</v>
      </c>
      <c r="CR719">
        <f>IF($CN719="refOK",$BS719,$BT719)*IF($BP719="Emissions positive",-1,1)</f>
        <v>456.72727272727298</v>
      </c>
      <c r="CS719">
        <f>IF($CN719="refOK",$BT719,$BS719)*IF($BP719="Emissions positive",-1,1)</f>
        <v>465.45454545454498</v>
      </c>
      <c r="CT719">
        <f>IF($CN719="refNeedCorrection",-BX719,BX719)*IF($BP719="Emissions positive",-1,1)</f>
        <v>8.7272727272720091E-2</v>
      </c>
      <c r="CU719">
        <f>IFERROR(CT719/CQ719,"")</f>
        <v>0.36240369879540374</v>
      </c>
      <c r="CV719" s="2">
        <f>IFERROR((CS719-CR719)/ABS(CR719),"")</f>
        <v>1.9108280254775487E-2</v>
      </c>
      <c r="CW719" s="1" t="s">
        <v>1199</v>
      </c>
      <c r="CX719" s="264" t="str">
        <f>IF(OR($CW719="prd",$CW719="std",$CW719="cit"),"loc",IF(OR($CW719="eur",$CW719="reg",$CW719="coy"),"reg",$CW719))</f>
        <v>reg</v>
      </c>
      <c r="CY719" t="s">
        <v>235</v>
      </c>
      <c r="CZ719">
        <v>2020</v>
      </c>
      <c r="DA719">
        <v>2100</v>
      </c>
      <c r="DB719">
        <f>DA719-CZ719</f>
        <v>80</v>
      </c>
      <c r="DC719" t="str">
        <f>IF(DB719=0,"0",IF(AND(DB719&gt;=1,DB719&lt;=30),"1-30",IF(AND(DB719&gt;30,DB719&lt;=70),"31-70",IF(AND(DB719&gt;70,DB719&lt;=100),"71-100",IF(DB719&gt;100,"+100")))))</f>
        <v>71-100</v>
      </c>
      <c r="DD719">
        <v>0</v>
      </c>
      <c r="DE719">
        <v>1</v>
      </c>
      <c r="DF719">
        <v>0</v>
      </c>
      <c r="DG719">
        <v>1</v>
      </c>
      <c r="DI719">
        <f>SUM(DD719:DG719)</f>
        <v>2</v>
      </c>
      <c r="DJ719" t="str">
        <f>IF(DI719=1,INDEX($DD$7:$DG$7,MATCH(1,$DD719:$DG719,0)),"mixedProduct")</f>
        <v>mixedProduct</v>
      </c>
      <c r="DK719">
        <f>IF(DD719=1,DK$7,0)</f>
        <v>0</v>
      </c>
      <c r="DL719" t="str">
        <f>IF(DE719=1,DL$7,0)</f>
        <v>Energy</v>
      </c>
      <c r="DM719">
        <f>IF(DF719=1,DM$7,0)</f>
        <v>0</v>
      </c>
      <c r="DN719" t="str">
        <f>IF(DG719=1,DN$7,0)</f>
        <v>Timber</v>
      </c>
      <c r="DO719">
        <v>1</v>
      </c>
      <c r="DP719">
        <v>0</v>
      </c>
      <c r="DQ719">
        <v>0</v>
      </c>
      <c r="DR719">
        <v>0</v>
      </c>
      <c r="DS719">
        <v>0</v>
      </c>
      <c r="DT719">
        <f>SUM(DO719:DP719)</f>
        <v>1</v>
      </c>
      <c r="DU719" s="143" t="str">
        <f>IF(DO719=1,"self-calculated DF",IF(DP719=1,"external DF used","explicit C balance"))</f>
        <v>self-calculated DF</v>
      </c>
      <c r="DV719">
        <v>1</v>
      </c>
      <c r="DW719">
        <v>0</v>
      </c>
      <c r="DX719">
        <v>1</v>
      </c>
      <c r="DY719">
        <v>0</v>
      </c>
      <c r="DZ719">
        <v>0</v>
      </c>
      <c r="EA719" s="143">
        <v>0</v>
      </c>
      <c r="EB719">
        <v>0</v>
      </c>
      <c r="EC719">
        <v>0</v>
      </c>
      <c r="ED719">
        <v>0</v>
      </c>
      <c r="EE719">
        <v>0</v>
      </c>
      <c r="EF719">
        <v>1</v>
      </c>
      <c r="EG719">
        <v>0</v>
      </c>
      <c r="EH719">
        <v>0</v>
      </c>
      <c r="EI719" s="2">
        <v>0</v>
      </c>
      <c r="EK719" t="str">
        <f>IF(AND(AND(AND(OR($DX719=1,$DW719=1),OR($EC719=1,$EA719=1)),SUM($DV719:$DZ719,$EF719)&gt;=4),SUM($EA719:$EE719)&gt;=2),"Whole sector","")</f>
        <v/>
      </c>
      <c r="EL719" t="str">
        <f>IF(AND(AND(OR($DX719=1,$DW719=1),AND($EC719=0,$EA719=0)),SUM($DV719:$DZ719,$EF719)&gt;=4),"Ecosystem approach","")</f>
        <v/>
      </c>
      <c r="EM719" s="2" t="str">
        <f>IF(AND(AND(AND($DX719=0,$DW719=0),OR($EC719=1,$EA719=1)),SUM($EB719:$EE719)&gt;=2),"Technology approach","")</f>
        <v/>
      </c>
      <c r="EN719" t="s">
        <v>2403</v>
      </c>
      <c r="EP719" t="str">
        <f>IF(ISNUMBER(BU719),IF(ABS(BU719-[3]QC_indicators!$B$2)&gt;3*[3]QC_indicators!$C$2,"C ratio",IF(ISNUMBER(BY719),IF(ABS(BY719-[3]QC_indicators!$B$1)&gt;3*[3]QC_indicators!$C$1,"DF","no"))),IF(ISNUMBER(BY719),IF(ABS(BY719-[3]QC_indicators!$B$1)&gt;3*[3]QC_indicators!$C$1,"DF","no")))</f>
        <v>no</v>
      </c>
      <c r="ER719" s="264" t="s">
        <v>2394</v>
      </c>
      <c r="ET719" s="306" t="s">
        <v>3422</v>
      </c>
    </row>
    <row r="720" spans="1:150" ht="15" customHeight="1">
      <c r="A720" s="1" t="s">
        <v>333</v>
      </c>
      <c r="B720" t="s">
        <v>334</v>
      </c>
      <c r="C720" t="s">
        <v>335</v>
      </c>
      <c r="D720" t="s">
        <v>336</v>
      </c>
      <c r="E720" t="s">
        <v>337</v>
      </c>
      <c r="F720" t="s">
        <v>338</v>
      </c>
      <c r="G720" t="s">
        <v>339</v>
      </c>
      <c r="I720">
        <v>2017</v>
      </c>
      <c r="K720" t="s">
        <v>340</v>
      </c>
      <c r="M720" t="str">
        <f>LEFT($D720,FIND(",",$D720)-1)&amp;"_"&amp;I720&amp;L720</f>
        <v>Balasbaneh_2017</v>
      </c>
      <c r="N720" t="s">
        <v>222</v>
      </c>
      <c r="O720" s="140" t="s">
        <v>341</v>
      </c>
      <c r="Q720" t="s">
        <v>224</v>
      </c>
      <c r="R720" s="262" t="s">
        <v>223</v>
      </c>
      <c r="S720" s="1" t="s">
        <v>364</v>
      </c>
      <c r="T720" t="s">
        <v>361</v>
      </c>
      <c r="U720" t="s">
        <v>357</v>
      </c>
      <c r="V720">
        <v>0</v>
      </c>
      <c r="W720">
        <v>0</v>
      </c>
      <c r="X720">
        <v>0</v>
      </c>
      <c r="Y720">
        <v>0</v>
      </c>
      <c r="Z720">
        <v>0</v>
      </c>
      <c r="AA720">
        <v>0</v>
      </c>
      <c r="AB720">
        <v>0</v>
      </c>
      <c r="AC720">
        <v>0</v>
      </c>
      <c r="AD720">
        <v>0</v>
      </c>
      <c r="AE720">
        <v>0</v>
      </c>
      <c r="AF720">
        <v>0</v>
      </c>
      <c r="AG720">
        <v>0</v>
      </c>
      <c r="AH720">
        <v>0</v>
      </c>
      <c r="AI720">
        <v>0</v>
      </c>
      <c r="AJ720">
        <v>0</v>
      </c>
      <c r="AK720">
        <v>1</v>
      </c>
      <c r="AL720">
        <v>0</v>
      </c>
      <c r="AM720">
        <v>0</v>
      </c>
      <c r="AN720">
        <v>0</v>
      </c>
      <c r="AO720">
        <v>0</v>
      </c>
      <c r="AP720">
        <v>0</v>
      </c>
      <c r="AQ720">
        <v>0</v>
      </c>
      <c r="AR720">
        <v>0</v>
      </c>
      <c r="AS720">
        <v>0</v>
      </c>
      <c r="AT720">
        <v>0</v>
      </c>
      <c r="AU720">
        <v>0</v>
      </c>
      <c r="AV720">
        <v>0</v>
      </c>
      <c r="AW720">
        <v>0</v>
      </c>
      <c r="AX720" s="141">
        <f>COUNTIF(V720:AW720,"&lt;&gt;0")</f>
        <v>1</v>
      </c>
      <c r="AY720" s="141">
        <f>COUNTIF(V720:AL720,"&lt;&gt;0")</f>
        <v>1</v>
      </c>
      <c r="AZ720">
        <f>COUNTIF(V720:AC720,"&lt;&gt;0")</f>
        <v>0</v>
      </c>
      <c r="BA720">
        <f>COUNTIF(AD720:AI720,"&lt;&gt;0")</f>
        <v>0</v>
      </c>
      <c r="BB720">
        <f>COUNTIF(AJ720:AL720,"&lt;&gt;0")</f>
        <v>1</v>
      </c>
      <c r="BC720">
        <f>COUNTIF(AS720:AW720,"&lt;&gt;0")</f>
        <v>0</v>
      </c>
      <c r="BD720">
        <f>COUNTIF(AM720:AR720,"&lt;&gt;0")</f>
        <v>0</v>
      </c>
      <c r="BE720" t="str">
        <f t="array" ref="BE720">IF(AY720=1,INDEX($V$7:$AL$7,MATCH(TRUE,INDEX($V720:$AW720&lt;&gt;0,),0)),IF(AY720=0,INDEX($AM$7:$AW$7,MATCH(1,$AM720:$AW720,0)),IF(BF720="Multiple strategies","mixed drivers",IF(BF720="Supply chain","multiple supply","multiple silviculture"))))</f>
        <v>technologies/design switch</v>
      </c>
      <c r="BF720" s="2" t="str" cm="1">
        <f t="array" ref="BF720">IF(COUNTIF(AZ720:BB720,"&lt;&gt;0")=1,INDEX($V$4:$AW$4,MATCH(TRUE,INDEX($V720:$AW720&lt;&gt;0,),0)),IF(COUNTIF(AZ720:BB720,"&lt;&gt;0")=0,INDEX($AM$4:$AW$4,MATCH(1,$AM720:$AW720,0)),"Multiple strategies"))</f>
        <v>Technology</v>
      </c>
      <c r="BG720" s="1" t="s">
        <v>229</v>
      </c>
      <c r="BH720" t="s">
        <v>229</v>
      </c>
      <c r="BI720" s="264" t="s">
        <v>410</v>
      </c>
      <c r="BJ720" t="s">
        <v>345</v>
      </c>
      <c r="BK720">
        <v>0</v>
      </c>
      <c r="BL720">
        <v>29276</v>
      </c>
      <c r="BM720" s="143"/>
      <c r="BN720">
        <f>BL720-BK720</f>
        <v>29276</v>
      </c>
      <c r="BO720" s="143">
        <f>BN720*kg_to_m3</f>
        <v>59.746938775510209</v>
      </c>
      <c r="BP720" t="s">
        <v>232</v>
      </c>
      <c r="BQ720" s="335" t="s">
        <v>396</v>
      </c>
      <c r="BR720" t="s">
        <v>346</v>
      </c>
      <c r="BS720">
        <v>-23800</v>
      </c>
      <c r="BT720">
        <v>-2040</v>
      </c>
      <c r="BU720" s="144">
        <v>8.5714285714285715E-2</v>
      </c>
      <c r="BV720">
        <f>BT720-BS720</f>
        <v>21760</v>
      </c>
      <c r="BX720">
        <f>BV720/1000</f>
        <v>21.76</v>
      </c>
      <c r="BY720">
        <f>IFERROR(BX720/BO720,"")</f>
        <v>0.36420275993988249</v>
      </c>
      <c r="BZ720">
        <v>0</v>
      </c>
      <c r="CA720">
        <v>0</v>
      </c>
      <c r="CB720">
        <v>0</v>
      </c>
      <c r="CC720">
        <v>0</v>
      </c>
      <c r="CD720">
        <v>0</v>
      </c>
      <c r="CE720">
        <v>0</v>
      </c>
      <c r="CF720">
        <v>0</v>
      </c>
      <c r="CG720">
        <v>0</v>
      </c>
      <c r="CH720">
        <v>0</v>
      </c>
      <c r="CI720">
        <v>0</v>
      </c>
      <c r="CJ720">
        <v>0</v>
      </c>
      <c r="CK720">
        <v>0</v>
      </c>
      <c r="CL720">
        <v>0</v>
      </c>
      <c r="CM720">
        <v>0</v>
      </c>
      <c r="CN720" t="str">
        <f>IF($BL720&lt;$BK720,"refNeedCorrection","refOK")</f>
        <v>refOK</v>
      </c>
      <c r="CO720">
        <f>IF($CN720="refNeedCorrection",BL720,BK720)</f>
        <v>0</v>
      </c>
      <c r="CP720">
        <f>IF($CN720="refNeedCorrection",BK720,BL720)</f>
        <v>29276</v>
      </c>
      <c r="CQ720">
        <f>IF($CN720="refOK",$BO720,-$BO720)</f>
        <v>59.746938775510209</v>
      </c>
      <c r="CR720">
        <f>IF($CN720="refOK",$BS720,$BT720)*IF($BP720="Emissions positive",-1,1)</f>
        <v>-23800</v>
      </c>
      <c r="CS720">
        <f>IF($CN720="refOK",$BT720,$BS720)*IF($BP720="Emissions positive",-1,1)</f>
        <v>-2040</v>
      </c>
      <c r="CT720">
        <f>IF($CN720="refNeedCorrection",-BX720,BX720)*IF($BP720="Emissions positive",-1,1)</f>
        <v>21.76</v>
      </c>
      <c r="CU720">
        <f>IFERROR(CT720/CQ720,"")</f>
        <v>0.36420275993988249</v>
      </c>
      <c r="CV720" s="2">
        <f>IFERROR((CS720-CR720)/ABS(CR720),"")</f>
        <v>0.91428571428571426</v>
      </c>
      <c r="CW720" s="1" t="s">
        <v>347</v>
      </c>
      <c r="CX720" t="str">
        <f>IF(OR($CW720="prd",$CW720="std",$CW720="cit"),"loc",IF(OR($CW720="eur",$CW720="reg",$CW720="coy"),"reg",$CW720))</f>
        <v>loc</v>
      </c>
      <c r="CY720" t="s">
        <v>348</v>
      </c>
      <c r="CZ720">
        <v>2014</v>
      </c>
      <c r="DA720">
        <v>2514</v>
      </c>
      <c r="DB720">
        <v>500</v>
      </c>
      <c r="DC720" t="str">
        <f>IF(DB720=0,"0",IF(AND(DB720&gt;=1,DB720&lt;=30),"1-30",IF(AND(DB720&gt;30,DB720&lt;=70),"31-70",IF(AND(DB720&gt;70,DB720&lt;=100),"71-100",IF(DB720&gt;100,"+100")))))</f>
        <v>+100</v>
      </c>
      <c r="DD720">
        <v>0</v>
      </c>
      <c r="DE720">
        <v>0</v>
      </c>
      <c r="DF720">
        <v>0</v>
      </c>
      <c r="DG720">
        <v>1</v>
      </c>
      <c r="DI720">
        <f>SUM(DD720:DG720)</f>
        <v>1</v>
      </c>
      <c r="DJ720" t="str">
        <f>IF(DI720=1,INDEX($DD$7:$DG$7,MATCH(1,$DD720:$DG720,0)),"mixedProduct")</f>
        <v>TimberInput</v>
      </c>
      <c r="DK720">
        <f>IF(DD720=1,DK$7,0)</f>
        <v>0</v>
      </c>
      <c r="DL720">
        <f>IF(DE720=1,DL$7,0)</f>
        <v>0</v>
      </c>
      <c r="DM720">
        <f>IF(DF720=1,DM$7,0)</f>
        <v>0</v>
      </c>
      <c r="DN720" t="str">
        <f>IF(DG720=1,DN$7,0)</f>
        <v>Timber</v>
      </c>
      <c r="DO720">
        <v>0</v>
      </c>
      <c r="DP720">
        <v>0</v>
      </c>
      <c r="DQ720">
        <v>0</v>
      </c>
      <c r="DR720">
        <v>0</v>
      </c>
      <c r="DS720">
        <v>0</v>
      </c>
      <c r="DT720">
        <f>SUM(DO720:DP720)</f>
        <v>0</v>
      </c>
      <c r="DU720" s="143" t="str">
        <f>IF(DO720=1,"self-calculated DF",IF(DP720=1,"external DF used","explicit C balance"))</f>
        <v>explicit C balance</v>
      </c>
      <c r="DV720">
        <v>0</v>
      </c>
      <c r="DW720">
        <v>0</v>
      </c>
      <c r="DX720">
        <v>0</v>
      </c>
      <c r="DY720">
        <v>1</v>
      </c>
      <c r="DZ720">
        <v>0</v>
      </c>
      <c r="EA720" s="143">
        <v>1</v>
      </c>
      <c r="EB720">
        <v>0</v>
      </c>
      <c r="EC720">
        <v>1</v>
      </c>
      <c r="ED720">
        <v>1</v>
      </c>
      <c r="EE720">
        <v>1</v>
      </c>
      <c r="EF720">
        <v>0</v>
      </c>
      <c r="EG720">
        <v>0</v>
      </c>
      <c r="EH720">
        <v>0</v>
      </c>
      <c r="EI720" s="2">
        <v>0</v>
      </c>
      <c r="EK720" t="str">
        <f>IF(AND(AND(AND(OR($DX720=1,$DW720=1),OR($EC720=1,$EA720=1)),SUM($DV720:$DZ720,$EF720)&gt;=4),SUM($EA720:$EE720)&gt;=2),"Whole sector","")</f>
        <v/>
      </c>
      <c r="EL720" t="str">
        <f>IF(AND(AND(OR($DX720=1,$DW720=1),AND($EC720=0,$EA720=0)),SUM($DV720:$DZ720,$EF720)&gt;=4),"Ecosystem approach","")</f>
        <v/>
      </c>
      <c r="EM720" s="2" t="str">
        <f>IF(AND(AND(AND($DX720=0,$DW720=0),OR($EC720=1,$EA720=1)),SUM($EB720:$EE720)&gt;=2),"Technology approach","")</f>
        <v>Technology approach</v>
      </c>
      <c r="EP720" t="str">
        <f>IF(ISNUMBER(BU720),IF(ABS(BU720-[1]QC_indicators!$B$2)&gt;3*[1]QC_indicators!$C$2,"C ratio",IF(ISNUMBER(BY720),IF(ABS(BY720-[1]QC_indicators!$B$1)&gt;3*[1]QC_indicators!$C$1,"DF","no"))),IF(ISNUMBER(BY720),IF(ABS(BY720-[1]QC_indicators!$B$1)&gt;3*[1]QC_indicators!$C$1,"DF","no")))</f>
        <v>no</v>
      </c>
      <c r="ER720" s="149" t="s">
        <v>349</v>
      </c>
      <c r="ET720" s="264" t="s">
        <v>3273</v>
      </c>
    </row>
    <row r="721" spans="1:151" ht="15" customHeight="1">
      <c r="A721" s="1" t="s">
        <v>333</v>
      </c>
      <c r="B721" t="s">
        <v>334</v>
      </c>
      <c r="C721" t="s">
        <v>335</v>
      </c>
      <c r="D721" t="s">
        <v>336</v>
      </c>
      <c r="E721" t="s">
        <v>337</v>
      </c>
      <c r="F721" t="s">
        <v>338</v>
      </c>
      <c r="G721" t="s">
        <v>339</v>
      </c>
      <c r="I721">
        <v>2017</v>
      </c>
      <c r="K721" t="s">
        <v>340</v>
      </c>
      <c r="M721" t="str">
        <f>LEFT($D721,FIND(",",$D721)-1)&amp;"_"&amp;I721&amp;L721</f>
        <v>Balasbaneh_2017</v>
      </c>
      <c r="N721" t="s">
        <v>222</v>
      </c>
      <c r="O721" s="140" t="s">
        <v>341</v>
      </c>
      <c r="Q721" t="s">
        <v>224</v>
      </c>
      <c r="R721" s="262" t="s">
        <v>223</v>
      </c>
      <c r="S721" s="1" t="s">
        <v>365</v>
      </c>
      <c r="T721" t="s">
        <v>361</v>
      </c>
      <c r="U721" t="s">
        <v>357</v>
      </c>
      <c r="V721">
        <v>0</v>
      </c>
      <c r="W721">
        <v>0</v>
      </c>
      <c r="X721">
        <v>0</v>
      </c>
      <c r="Y721">
        <v>0</v>
      </c>
      <c r="Z721">
        <v>0</v>
      </c>
      <c r="AA721">
        <v>0</v>
      </c>
      <c r="AB721">
        <v>0</v>
      </c>
      <c r="AC721">
        <v>0</v>
      </c>
      <c r="AD721">
        <v>0</v>
      </c>
      <c r="AE721">
        <v>0</v>
      </c>
      <c r="AF721">
        <v>0</v>
      </c>
      <c r="AG721">
        <v>0</v>
      </c>
      <c r="AH721">
        <v>0</v>
      </c>
      <c r="AI721">
        <v>0</v>
      </c>
      <c r="AJ721">
        <v>0</v>
      </c>
      <c r="AK721">
        <v>1</v>
      </c>
      <c r="AL721">
        <v>0</v>
      </c>
      <c r="AM721">
        <v>0</v>
      </c>
      <c r="AN721">
        <v>0</v>
      </c>
      <c r="AO721">
        <v>0</v>
      </c>
      <c r="AP721">
        <v>0</v>
      </c>
      <c r="AQ721">
        <v>0</v>
      </c>
      <c r="AR721">
        <v>0</v>
      </c>
      <c r="AS721">
        <v>0</v>
      </c>
      <c r="AT721">
        <v>0</v>
      </c>
      <c r="AU721">
        <v>0</v>
      </c>
      <c r="AV721">
        <v>0</v>
      </c>
      <c r="AW721">
        <v>0</v>
      </c>
      <c r="AX721" s="141">
        <f>COUNTIF(V721:AW721,"&lt;&gt;0")</f>
        <v>1</v>
      </c>
      <c r="AY721" s="141">
        <f>COUNTIF(V721:AL721,"&lt;&gt;0")</f>
        <v>1</v>
      </c>
      <c r="AZ721">
        <f>COUNTIF(V721:AC721,"&lt;&gt;0")</f>
        <v>0</v>
      </c>
      <c r="BA721">
        <f>COUNTIF(AD721:AI721,"&lt;&gt;0")</f>
        <v>0</v>
      </c>
      <c r="BB721">
        <f>COUNTIF(AJ721:AL721,"&lt;&gt;0")</f>
        <v>1</v>
      </c>
      <c r="BC721">
        <f>COUNTIF(AS721:AW721,"&lt;&gt;0")</f>
        <v>0</v>
      </c>
      <c r="BD721">
        <f>COUNTIF(AM721:AR721,"&lt;&gt;0")</f>
        <v>0</v>
      </c>
      <c r="BE721" t="str">
        <f t="array" ref="BE721">IF(AY721=1,INDEX($V$7:$AL$7,MATCH(TRUE,INDEX($V721:$AW721&lt;&gt;0,),0)),IF(AY721=0,INDEX($AM$7:$AW$7,MATCH(1,$AM721:$AW721,0)),IF(BF721="Multiple strategies","mixed drivers",IF(BF721="Supply chain","multiple supply","multiple silviculture"))))</f>
        <v>technologies/design switch</v>
      </c>
      <c r="BF721" s="2" t="str" cm="1">
        <f t="array" ref="BF721">IF(COUNTIF(AZ721:BB721,"&lt;&gt;0")=1,INDEX($V$4:$AW$4,MATCH(TRUE,INDEX($V721:$AW721&lt;&gt;0,),0)),IF(COUNTIF(AZ721:BB721,"&lt;&gt;0")=0,INDEX($AM$4:$AW$4,MATCH(1,$AM721:$AW721,0)),"Multiple strategies"))</f>
        <v>Technology</v>
      </c>
      <c r="BG721" s="1" t="s">
        <v>229</v>
      </c>
      <c r="BH721" t="s">
        <v>229</v>
      </c>
      <c r="BI721" s="264" t="s">
        <v>410</v>
      </c>
      <c r="BJ721" t="s">
        <v>345</v>
      </c>
      <c r="BK721">
        <v>0</v>
      </c>
      <c r="BL721">
        <v>29276</v>
      </c>
      <c r="BM721" s="143"/>
      <c r="BN721">
        <f>BL721-BK721</f>
        <v>29276</v>
      </c>
      <c r="BO721" s="143">
        <f>BN721*kg_to_m3</f>
        <v>59.746938775510209</v>
      </c>
      <c r="BP721" t="s">
        <v>232</v>
      </c>
      <c r="BQ721" s="335" t="s">
        <v>396</v>
      </c>
      <c r="BR721" t="s">
        <v>346</v>
      </c>
      <c r="BS721">
        <v>-24200</v>
      </c>
      <c r="BT721">
        <v>-2080</v>
      </c>
      <c r="BU721" s="144">
        <v>8.5950413223140495E-2</v>
      </c>
      <c r="BV721">
        <f>BT721-BS721</f>
        <v>22120</v>
      </c>
      <c r="BX721">
        <f>BV721/1000</f>
        <v>22.12</v>
      </c>
      <c r="BY721">
        <f>IFERROR(BX721/BO721,"")</f>
        <v>0.3702281732477114</v>
      </c>
      <c r="BZ721">
        <v>0</v>
      </c>
      <c r="CA721">
        <v>0</v>
      </c>
      <c r="CB721">
        <v>0</v>
      </c>
      <c r="CC721">
        <v>0</v>
      </c>
      <c r="CD721">
        <v>0</v>
      </c>
      <c r="CE721">
        <v>0</v>
      </c>
      <c r="CF721">
        <v>0</v>
      </c>
      <c r="CG721">
        <v>0</v>
      </c>
      <c r="CH721">
        <v>0</v>
      </c>
      <c r="CI721">
        <v>0</v>
      </c>
      <c r="CJ721">
        <v>0</v>
      </c>
      <c r="CK721">
        <v>0</v>
      </c>
      <c r="CL721">
        <v>0</v>
      </c>
      <c r="CM721">
        <v>0</v>
      </c>
      <c r="CN721" t="str">
        <f>IF($BL721&lt;$BK721,"refNeedCorrection","refOK")</f>
        <v>refOK</v>
      </c>
      <c r="CO721">
        <f>IF($CN721="refNeedCorrection",BL721,BK721)</f>
        <v>0</v>
      </c>
      <c r="CP721">
        <f>IF($CN721="refNeedCorrection",BK721,BL721)</f>
        <v>29276</v>
      </c>
      <c r="CQ721">
        <f>IF($CN721="refOK",$BO721,-$BO721)</f>
        <v>59.746938775510209</v>
      </c>
      <c r="CR721">
        <f>IF($CN721="refOK",$BS721,$BT721)*IF($BP721="Emissions positive",-1,1)</f>
        <v>-24200</v>
      </c>
      <c r="CS721">
        <f>IF($CN721="refOK",$BT721,$BS721)*IF($BP721="Emissions positive",-1,1)</f>
        <v>-2080</v>
      </c>
      <c r="CT721">
        <f>IF($CN721="refNeedCorrection",-BX721,BX721)*IF($BP721="Emissions positive",-1,1)</f>
        <v>22.12</v>
      </c>
      <c r="CU721">
        <f>IFERROR(CT721/CQ721,"")</f>
        <v>0.3702281732477114</v>
      </c>
      <c r="CV721" s="2">
        <f>IFERROR((CS721-CR721)/ABS(CR721),"")</f>
        <v>0.91404958677685955</v>
      </c>
      <c r="CW721" s="1" t="s">
        <v>347</v>
      </c>
      <c r="CX721" t="str">
        <f>IF(OR($CW721="prd",$CW721="std",$CW721="cit"),"loc",IF(OR($CW721="eur",$CW721="reg",$CW721="coy"),"reg",$CW721))</f>
        <v>loc</v>
      </c>
      <c r="CY721" t="s">
        <v>348</v>
      </c>
      <c r="CZ721">
        <v>2014</v>
      </c>
      <c r="DA721">
        <v>2514</v>
      </c>
      <c r="DB721">
        <v>500</v>
      </c>
      <c r="DC721" t="str">
        <f>IF(DB721=0,"0",IF(AND(DB721&gt;=1,DB721&lt;=30),"1-30",IF(AND(DB721&gt;30,DB721&lt;=70),"31-70",IF(AND(DB721&gt;70,DB721&lt;=100),"71-100",IF(DB721&gt;100,"+100")))))</f>
        <v>+100</v>
      </c>
      <c r="DD721">
        <v>0</v>
      </c>
      <c r="DE721">
        <v>0</v>
      </c>
      <c r="DF721">
        <v>0</v>
      </c>
      <c r="DG721">
        <v>1</v>
      </c>
      <c r="DI721">
        <f>SUM(DD721:DG721)</f>
        <v>1</v>
      </c>
      <c r="DJ721" t="str">
        <f>IF(DI721=1,INDEX($DD$7:$DG$7,MATCH(1,$DD721:$DG721,0)),"mixedProduct")</f>
        <v>TimberInput</v>
      </c>
      <c r="DK721">
        <f>IF(DD721=1,DK$7,0)</f>
        <v>0</v>
      </c>
      <c r="DL721">
        <f>IF(DE721=1,DL$7,0)</f>
        <v>0</v>
      </c>
      <c r="DM721">
        <f>IF(DF721=1,DM$7,0)</f>
        <v>0</v>
      </c>
      <c r="DN721" t="str">
        <f>IF(DG721=1,DN$7,0)</f>
        <v>Timber</v>
      </c>
      <c r="DO721">
        <v>0</v>
      </c>
      <c r="DP721">
        <v>0</v>
      </c>
      <c r="DQ721">
        <v>0</v>
      </c>
      <c r="DR721">
        <v>0</v>
      </c>
      <c r="DS721">
        <v>0</v>
      </c>
      <c r="DT721">
        <f>SUM(DO721:DP721)</f>
        <v>0</v>
      </c>
      <c r="DU721" s="143" t="str">
        <f>IF(DO721=1,"self-calculated DF",IF(DP721=1,"external DF used","explicit C balance"))</f>
        <v>explicit C balance</v>
      </c>
      <c r="DV721">
        <v>0</v>
      </c>
      <c r="DW721">
        <v>0</v>
      </c>
      <c r="DX721">
        <v>0</v>
      </c>
      <c r="DY721">
        <v>1</v>
      </c>
      <c r="DZ721">
        <v>0</v>
      </c>
      <c r="EA721" s="143">
        <v>1</v>
      </c>
      <c r="EB721">
        <v>0</v>
      </c>
      <c r="EC721">
        <v>1</v>
      </c>
      <c r="ED721">
        <v>1</v>
      </c>
      <c r="EE721">
        <v>1</v>
      </c>
      <c r="EF721">
        <v>0</v>
      </c>
      <c r="EG721">
        <v>0</v>
      </c>
      <c r="EH721">
        <v>0</v>
      </c>
      <c r="EI721" s="2">
        <v>0</v>
      </c>
      <c r="EK721" t="str">
        <f>IF(AND(AND(AND(OR($DX721=1,$DW721=1),OR($EC721=1,$EA721=1)),SUM($DV721:$DZ721,$EF721)&gt;=4),SUM($EA721:$EE721)&gt;=2),"Whole sector","")</f>
        <v/>
      </c>
      <c r="EL721" t="str">
        <f>IF(AND(AND(OR($DX721=1,$DW721=1),AND($EC721=0,$EA721=0)),SUM($DV721:$DZ721,$EF721)&gt;=4),"Ecosystem approach","")</f>
        <v/>
      </c>
      <c r="EM721" s="2" t="str">
        <f>IF(AND(AND(AND($DX721=0,$DW721=0),OR($EC721=1,$EA721=1)),SUM($EB721:$EE721)&gt;=2),"Technology approach","")</f>
        <v>Technology approach</v>
      </c>
      <c r="EP721" t="str">
        <f>IF(ISNUMBER(BU721),IF(ABS(BU721-[1]QC_indicators!$B$2)&gt;3*[1]QC_indicators!$C$2,"C ratio",IF(ISNUMBER(BY721),IF(ABS(BY721-[1]QC_indicators!$B$1)&gt;3*[1]QC_indicators!$C$1,"DF","no"))),IF(ISNUMBER(BY721),IF(ABS(BY721-[1]QC_indicators!$B$1)&gt;3*[1]QC_indicators!$C$1,"DF","no")))</f>
        <v>no</v>
      </c>
      <c r="ER721" s="149" t="s">
        <v>349</v>
      </c>
      <c r="ET721" s="264" t="s">
        <v>3273</v>
      </c>
    </row>
    <row r="722" spans="1:151" ht="15" customHeight="1">
      <c r="A722" s="1" t="s">
        <v>333</v>
      </c>
      <c r="B722" t="s">
        <v>334</v>
      </c>
      <c r="C722" t="s">
        <v>335</v>
      </c>
      <c r="D722" t="s">
        <v>336</v>
      </c>
      <c r="E722" t="s">
        <v>337</v>
      </c>
      <c r="F722" t="s">
        <v>338</v>
      </c>
      <c r="G722" t="s">
        <v>339</v>
      </c>
      <c r="I722">
        <v>2017</v>
      </c>
      <c r="K722" t="s">
        <v>340</v>
      </c>
      <c r="M722" t="str">
        <f>LEFT($D722,FIND(",",$D722)-1)&amp;"_"&amp;I722&amp;L722</f>
        <v>Balasbaneh_2017</v>
      </c>
      <c r="N722" t="s">
        <v>222</v>
      </c>
      <c r="O722" s="140" t="s">
        <v>341</v>
      </c>
      <c r="Q722" t="s">
        <v>224</v>
      </c>
      <c r="R722" s="262" t="s">
        <v>223</v>
      </c>
      <c r="S722" s="1" t="s">
        <v>366</v>
      </c>
      <c r="T722" t="s">
        <v>361</v>
      </c>
      <c r="U722" t="s">
        <v>344</v>
      </c>
      <c r="V722">
        <v>0</v>
      </c>
      <c r="W722">
        <v>0</v>
      </c>
      <c r="X722">
        <v>0</v>
      </c>
      <c r="Y722">
        <v>0</v>
      </c>
      <c r="Z722">
        <v>0</v>
      </c>
      <c r="AA722">
        <v>0</v>
      </c>
      <c r="AB722">
        <v>0</v>
      </c>
      <c r="AC722">
        <v>0</v>
      </c>
      <c r="AD722">
        <v>0</v>
      </c>
      <c r="AE722">
        <v>0</v>
      </c>
      <c r="AF722">
        <v>0</v>
      </c>
      <c r="AG722">
        <v>0</v>
      </c>
      <c r="AH722">
        <v>0</v>
      </c>
      <c r="AI722">
        <v>0</v>
      </c>
      <c r="AJ722">
        <v>0</v>
      </c>
      <c r="AK722">
        <v>1</v>
      </c>
      <c r="AL722">
        <v>0</v>
      </c>
      <c r="AM722">
        <v>0</v>
      </c>
      <c r="AN722">
        <v>0</v>
      </c>
      <c r="AO722">
        <v>0</v>
      </c>
      <c r="AP722">
        <v>0</v>
      </c>
      <c r="AQ722">
        <v>0</v>
      </c>
      <c r="AR722">
        <v>0</v>
      </c>
      <c r="AS722">
        <v>0</v>
      </c>
      <c r="AT722">
        <v>0</v>
      </c>
      <c r="AU722">
        <v>0</v>
      </c>
      <c r="AV722">
        <v>0</v>
      </c>
      <c r="AW722">
        <v>0</v>
      </c>
      <c r="AX722" s="141">
        <f>COUNTIF(V722:AW722,"&lt;&gt;0")</f>
        <v>1</v>
      </c>
      <c r="AY722" s="141">
        <f>COUNTIF(V722:AL722,"&lt;&gt;0")</f>
        <v>1</v>
      </c>
      <c r="AZ722">
        <f>COUNTIF(V722:AC722,"&lt;&gt;0")</f>
        <v>0</v>
      </c>
      <c r="BA722">
        <f>COUNTIF(AD722:AI722,"&lt;&gt;0")</f>
        <v>0</v>
      </c>
      <c r="BB722">
        <f>COUNTIF(AJ722:AL722,"&lt;&gt;0")</f>
        <v>1</v>
      </c>
      <c r="BC722">
        <f>COUNTIF(AS722:AW722,"&lt;&gt;0")</f>
        <v>0</v>
      </c>
      <c r="BD722">
        <f>COUNTIF(AM722:AR722,"&lt;&gt;0")</f>
        <v>0</v>
      </c>
      <c r="BE722" t="str">
        <f t="array" ref="BE722">IF(AY722=1,INDEX($V$7:$AL$7,MATCH(TRUE,INDEX($V722:$AW722&lt;&gt;0,),0)),IF(AY722=0,INDEX($AM$7:$AW$7,MATCH(1,$AM722:$AW722,0)),IF(BF722="Multiple strategies","mixed drivers",IF(BF722="Supply chain","multiple supply","multiple silviculture"))))</f>
        <v>technologies/design switch</v>
      </c>
      <c r="BF722" s="2" t="str" cm="1">
        <f t="array" ref="BF722">IF(COUNTIF(AZ722:BB722,"&lt;&gt;0")=1,INDEX($V$4:$AW$4,MATCH(TRUE,INDEX($V722:$AW722&lt;&gt;0,),0)),IF(COUNTIF(AZ722:BB722,"&lt;&gt;0")=0,INDEX($AM$4:$AW$4,MATCH(1,$AM722:$AW722,0)),"Multiple strategies"))</f>
        <v>Technology</v>
      </c>
      <c r="BG722" s="1" t="s">
        <v>229</v>
      </c>
      <c r="BH722" t="s">
        <v>229</v>
      </c>
      <c r="BI722" s="264" t="s">
        <v>410</v>
      </c>
      <c r="BJ722" t="s">
        <v>345</v>
      </c>
      <c r="BK722">
        <v>0</v>
      </c>
      <c r="BL722">
        <v>23500</v>
      </c>
      <c r="BM722" s="143"/>
      <c r="BN722">
        <f>BL722-BK722</f>
        <v>23500</v>
      </c>
      <c r="BO722" s="143">
        <f>BN722*kg_to_m3</f>
        <v>47.95918367346939</v>
      </c>
      <c r="BP722" t="s">
        <v>232</v>
      </c>
      <c r="BQ722" s="335" t="s">
        <v>396</v>
      </c>
      <c r="BR722" t="s">
        <v>346</v>
      </c>
      <c r="BS722">
        <v>-23800</v>
      </c>
      <c r="BT722">
        <v>-6020</v>
      </c>
      <c r="BU722" s="144">
        <v>0.25294117647058822</v>
      </c>
      <c r="BV722">
        <f>BT722-BS722</f>
        <v>17780</v>
      </c>
      <c r="BX722">
        <f>BV722/1000</f>
        <v>17.78</v>
      </c>
      <c r="BY722">
        <f>IFERROR(BX722/BO722,"")</f>
        <v>0.37073191489361701</v>
      </c>
      <c r="BZ722">
        <v>0</v>
      </c>
      <c r="CA722">
        <v>0</v>
      </c>
      <c r="CB722">
        <v>0</v>
      </c>
      <c r="CC722">
        <v>0</v>
      </c>
      <c r="CD722">
        <v>0</v>
      </c>
      <c r="CE722">
        <v>0</v>
      </c>
      <c r="CF722">
        <v>0</v>
      </c>
      <c r="CG722">
        <v>0</v>
      </c>
      <c r="CH722">
        <v>0</v>
      </c>
      <c r="CI722">
        <v>0</v>
      </c>
      <c r="CJ722">
        <v>0</v>
      </c>
      <c r="CK722">
        <v>0</v>
      </c>
      <c r="CL722">
        <v>0</v>
      </c>
      <c r="CM722">
        <v>0</v>
      </c>
      <c r="CN722" t="str">
        <f>IF($BL722&lt;$BK722,"refNeedCorrection","refOK")</f>
        <v>refOK</v>
      </c>
      <c r="CO722">
        <f>IF($CN722="refNeedCorrection",BL722,BK722)</f>
        <v>0</v>
      </c>
      <c r="CP722">
        <f>IF($CN722="refNeedCorrection",BK722,BL722)</f>
        <v>23500</v>
      </c>
      <c r="CQ722">
        <f>IF($CN722="refOK",$BO722,-$BO722)</f>
        <v>47.95918367346939</v>
      </c>
      <c r="CR722">
        <f>IF($CN722="refOK",$BS722,$BT722)*IF($BP722="Emissions positive",-1,1)</f>
        <v>-23800</v>
      </c>
      <c r="CS722">
        <f>IF($CN722="refOK",$BT722,$BS722)*IF($BP722="Emissions positive",-1,1)</f>
        <v>-6020</v>
      </c>
      <c r="CT722">
        <f>IF($CN722="refNeedCorrection",-BX722,BX722)*IF($BP722="Emissions positive",-1,1)</f>
        <v>17.78</v>
      </c>
      <c r="CU722">
        <f>IFERROR(CT722/CQ722,"")</f>
        <v>0.37073191489361701</v>
      </c>
      <c r="CV722" s="2">
        <f>IFERROR((CS722-CR722)/ABS(CR722),"")</f>
        <v>0.74705882352941178</v>
      </c>
      <c r="CW722" s="1" t="s">
        <v>347</v>
      </c>
      <c r="CX722" t="str">
        <f>IF(OR($CW722="prd",$CW722="std",$CW722="cit"),"loc",IF(OR($CW722="eur",$CW722="reg",$CW722="coy"),"reg",$CW722))</f>
        <v>loc</v>
      </c>
      <c r="CY722" t="s">
        <v>348</v>
      </c>
      <c r="CZ722">
        <v>2014</v>
      </c>
      <c r="DA722">
        <v>2034</v>
      </c>
      <c r="DB722">
        <v>20</v>
      </c>
      <c r="DC722" t="str">
        <f>IF(DB722=0,"0",IF(AND(DB722&gt;=1,DB722&lt;=30),"1-30",IF(AND(DB722&gt;30,DB722&lt;=70),"31-70",IF(AND(DB722&gt;70,DB722&lt;=100),"71-100",IF(DB722&gt;100,"+100")))))</f>
        <v>1-30</v>
      </c>
      <c r="DD722">
        <v>0</v>
      </c>
      <c r="DE722">
        <v>0</v>
      </c>
      <c r="DF722">
        <v>0</v>
      </c>
      <c r="DG722">
        <v>1</v>
      </c>
      <c r="DI722">
        <f>SUM(DD722:DG722)</f>
        <v>1</v>
      </c>
      <c r="DJ722" t="str">
        <f>IF(DI722=1,INDEX($DD$7:$DG$7,MATCH(1,$DD722:$DG722,0)),"mixedProduct")</f>
        <v>TimberInput</v>
      </c>
      <c r="DK722">
        <f>IF(DD722=1,DK$7,0)</f>
        <v>0</v>
      </c>
      <c r="DL722">
        <f>IF(DE722=1,DL$7,0)</f>
        <v>0</v>
      </c>
      <c r="DM722">
        <f>IF(DF722=1,DM$7,0)</f>
        <v>0</v>
      </c>
      <c r="DN722" t="str">
        <f>IF(DG722=1,DN$7,0)</f>
        <v>Timber</v>
      </c>
      <c r="DO722">
        <v>0</v>
      </c>
      <c r="DP722">
        <v>0</v>
      </c>
      <c r="DQ722">
        <v>0</v>
      </c>
      <c r="DR722">
        <v>0</v>
      </c>
      <c r="DS722">
        <v>0</v>
      </c>
      <c r="DT722">
        <f>SUM(DO722:DP722)</f>
        <v>0</v>
      </c>
      <c r="DU722" s="143" t="str">
        <f>IF(DO722=1,"self-calculated DF",IF(DP722=1,"external DF used","explicit C balance"))</f>
        <v>explicit C balance</v>
      </c>
      <c r="DV722">
        <v>0</v>
      </c>
      <c r="DW722">
        <v>0</v>
      </c>
      <c r="DX722">
        <v>0</v>
      </c>
      <c r="DY722">
        <v>1</v>
      </c>
      <c r="DZ722">
        <v>0</v>
      </c>
      <c r="EA722" s="143">
        <v>1</v>
      </c>
      <c r="EB722">
        <v>0</v>
      </c>
      <c r="EC722">
        <v>1</v>
      </c>
      <c r="ED722">
        <v>1</v>
      </c>
      <c r="EE722">
        <v>1</v>
      </c>
      <c r="EF722">
        <v>0</v>
      </c>
      <c r="EG722">
        <v>0</v>
      </c>
      <c r="EH722">
        <v>0</v>
      </c>
      <c r="EI722" s="2">
        <v>0</v>
      </c>
      <c r="EK722" t="str">
        <f>IF(AND(AND(AND(OR($DX722=1,$DW722=1),OR($EC722=1,$EA722=1)),SUM($DV722:$DZ722,$EF722)&gt;=4),SUM($EA722:$EE722)&gt;=2),"Whole sector","")</f>
        <v/>
      </c>
      <c r="EL722" t="str">
        <f>IF(AND(AND(OR($DX722=1,$DW722=1),AND($EC722=0,$EA722=0)),SUM($DV722:$DZ722,$EF722)&gt;=4),"Ecosystem approach","")</f>
        <v/>
      </c>
      <c r="EM722" s="2" t="str">
        <f>IF(AND(AND(AND($DX722=0,$DW722=0),OR($EC722=1,$EA722=1)),SUM($EB722:$EE722)&gt;=2),"Technology approach","")</f>
        <v>Technology approach</v>
      </c>
      <c r="EP722" t="str">
        <f>IF(ISNUMBER(BU722),IF(ABS(BU722-[1]QC_indicators!$B$2)&gt;3*[1]QC_indicators!$C$2,"C ratio",IF(ISNUMBER(BY722),IF(ABS(BY722-[1]QC_indicators!$B$1)&gt;3*[1]QC_indicators!$C$1,"DF","no"))),IF(ISNUMBER(BY722),IF(ABS(BY722-[1]QC_indicators!$B$1)&gt;3*[1]QC_indicators!$C$1,"DF","no")))</f>
        <v>no</v>
      </c>
      <c r="ER722" s="149" t="s">
        <v>349</v>
      </c>
      <c r="ET722" s="264" t="s">
        <v>3273</v>
      </c>
    </row>
    <row r="723" spans="1:151" ht="15" customHeight="1">
      <c r="A723" s="1" t="s">
        <v>333</v>
      </c>
      <c r="B723" t="s">
        <v>334</v>
      </c>
      <c r="C723" t="s">
        <v>335</v>
      </c>
      <c r="D723" t="s">
        <v>336</v>
      </c>
      <c r="E723" t="s">
        <v>337</v>
      </c>
      <c r="F723" t="s">
        <v>338</v>
      </c>
      <c r="G723" t="s">
        <v>339</v>
      </c>
      <c r="I723">
        <v>2017</v>
      </c>
      <c r="K723" t="s">
        <v>340</v>
      </c>
      <c r="M723" t="str">
        <f>LEFT($D723,FIND(",",$D723)-1)&amp;"_"&amp;I723&amp;L723</f>
        <v>Balasbaneh_2017</v>
      </c>
      <c r="N723" t="s">
        <v>222</v>
      </c>
      <c r="O723" s="140" t="s">
        <v>341</v>
      </c>
      <c r="Q723" t="s">
        <v>224</v>
      </c>
      <c r="R723" s="262" t="s">
        <v>223</v>
      </c>
      <c r="S723" s="1" t="s">
        <v>367</v>
      </c>
      <c r="T723" t="s">
        <v>361</v>
      </c>
      <c r="U723" t="s">
        <v>344</v>
      </c>
      <c r="V723">
        <v>0</v>
      </c>
      <c r="W723">
        <v>0</v>
      </c>
      <c r="X723">
        <v>0</v>
      </c>
      <c r="Y723">
        <v>0</v>
      </c>
      <c r="Z723">
        <v>0</v>
      </c>
      <c r="AA723">
        <v>0</v>
      </c>
      <c r="AB723">
        <v>0</v>
      </c>
      <c r="AC723">
        <v>0</v>
      </c>
      <c r="AD723">
        <v>0</v>
      </c>
      <c r="AE723">
        <v>0</v>
      </c>
      <c r="AF723">
        <v>0</v>
      </c>
      <c r="AG723">
        <v>0</v>
      </c>
      <c r="AH723">
        <v>0</v>
      </c>
      <c r="AI723">
        <v>0</v>
      </c>
      <c r="AJ723">
        <v>0</v>
      </c>
      <c r="AK723">
        <v>1</v>
      </c>
      <c r="AL723">
        <v>0</v>
      </c>
      <c r="AM723">
        <v>0</v>
      </c>
      <c r="AN723">
        <v>0</v>
      </c>
      <c r="AO723">
        <v>0</v>
      </c>
      <c r="AP723">
        <v>0</v>
      </c>
      <c r="AQ723">
        <v>0</v>
      </c>
      <c r="AR723">
        <v>0</v>
      </c>
      <c r="AS723">
        <v>0</v>
      </c>
      <c r="AT723">
        <v>0</v>
      </c>
      <c r="AU723">
        <v>0</v>
      </c>
      <c r="AV723">
        <v>0</v>
      </c>
      <c r="AW723">
        <v>0</v>
      </c>
      <c r="AX723" s="141">
        <f>COUNTIF(V723:AW723,"&lt;&gt;0")</f>
        <v>1</v>
      </c>
      <c r="AY723" s="141">
        <f>COUNTIF(V723:AL723,"&lt;&gt;0")</f>
        <v>1</v>
      </c>
      <c r="AZ723">
        <f>COUNTIF(V723:AC723,"&lt;&gt;0")</f>
        <v>0</v>
      </c>
      <c r="BA723">
        <f>COUNTIF(AD723:AI723,"&lt;&gt;0")</f>
        <v>0</v>
      </c>
      <c r="BB723">
        <f>COUNTIF(AJ723:AL723,"&lt;&gt;0")</f>
        <v>1</v>
      </c>
      <c r="BC723">
        <f>COUNTIF(AS723:AW723,"&lt;&gt;0")</f>
        <v>0</v>
      </c>
      <c r="BD723">
        <f>COUNTIF(AM723:AR723,"&lt;&gt;0")</f>
        <v>0</v>
      </c>
      <c r="BE723" t="str">
        <f t="array" ref="BE723">IF(AY723=1,INDEX($V$7:$AL$7,MATCH(TRUE,INDEX($V723:$AW723&lt;&gt;0,),0)),IF(AY723=0,INDEX($AM$7:$AW$7,MATCH(1,$AM723:$AW723,0)),IF(BF723="Multiple strategies","mixed drivers",IF(BF723="Supply chain","multiple supply","multiple silviculture"))))</f>
        <v>technologies/design switch</v>
      </c>
      <c r="BF723" s="2" t="str" cm="1">
        <f t="array" ref="BF723">IF(COUNTIF(AZ723:BB723,"&lt;&gt;0")=1,INDEX($V$4:$AW$4,MATCH(TRUE,INDEX($V723:$AW723&lt;&gt;0,),0)),IF(COUNTIF(AZ723:BB723,"&lt;&gt;0")=0,INDEX($AM$4:$AW$4,MATCH(1,$AM723:$AW723,0)),"Multiple strategies"))</f>
        <v>Technology</v>
      </c>
      <c r="BG723" s="1" t="s">
        <v>229</v>
      </c>
      <c r="BH723" t="s">
        <v>229</v>
      </c>
      <c r="BI723" s="264" t="s">
        <v>410</v>
      </c>
      <c r="BJ723" t="s">
        <v>345</v>
      </c>
      <c r="BK723">
        <v>0</v>
      </c>
      <c r="BL723">
        <v>23500</v>
      </c>
      <c r="BM723" s="143"/>
      <c r="BN723">
        <f>BL723-BK723</f>
        <v>23500</v>
      </c>
      <c r="BO723" s="143">
        <f>BN723*kg_to_m3</f>
        <v>47.95918367346939</v>
      </c>
      <c r="BP723" t="s">
        <v>232</v>
      </c>
      <c r="BQ723" s="335" t="s">
        <v>396</v>
      </c>
      <c r="BR723" t="s">
        <v>346</v>
      </c>
      <c r="BS723">
        <v>-24200</v>
      </c>
      <c r="BT723">
        <v>-6250</v>
      </c>
      <c r="BU723" s="144">
        <v>0.25826446280991733</v>
      </c>
      <c r="BV723">
        <f>BT723-BS723</f>
        <v>17950</v>
      </c>
      <c r="BX723">
        <f>BV723/1000</f>
        <v>17.95</v>
      </c>
      <c r="BY723">
        <f>IFERROR(BX723/BO723,"")</f>
        <v>0.37427659574468081</v>
      </c>
      <c r="BZ723">
        <v>0</v>
      </c>
      <c r="CA723">
        <v>0</v>
      </c>
      <c r="CB723">
        <v>0</v>
      </c>
      <c r="CC723">
        <v>0</v>
      </c>
      <c r="CD723">
        <v>0</v>
      </c>
      <c r="CE723">
        <v>0</v>
      </c>
      <c r="CF723">
        <v>0</v>
      </c>
      <c r="CG723">
        <v>0</v>
      </c>
      <c r="CH723">
        <v>0</v>
      </c>
      <c r="CI723">
        <v>0</v>
      </c>
      <c r="CJ723">
        <v>0</v>
      </c>
      <c r="CK723">
        <v>0</v>
      </c>
      <c r="CL723">
        <v>0</v>
      </c>
      <c r="CM723">
        <v>0</v>
      </c>
      <c r="CN723" t="str">
        <f>IF($BL723&lt;$BK723,"refNeedCorrection","refOK")</f>
        <v>refOK</v>
      </c>
      <c r="CO723">
        <f>IF($CN723="refNeedCorrection",BL723,BK723)</f>
        <v>0</v>
      </c>
      <c r="CP723">
        <f>IF($CN723="refNeedCorrection",BK723,BL723)</f>
        <v>23500</v>
      </c>
      <c r="CQ723">
        <f>IF($CN723="refOK",$BO723,-$BO723)</f>
        <v>47.95918367346939</v>
      </c>
      <c r="CR723">
        <f>IF($CN723="refOK",$BS723,$BT723)*IF($BP723="Emissions positive",-1,1)</f>
        <v>-24200</v>
      </c>
      <c r="CS723">
        <f>IF($CN723="refOK",$BT723,$BS723)*IF($BP723="Emissions positive",-1,1)</f>
        <v>-6250</v>
      </c>
      <c r="CT723">
        <f>IF($CN723="refNeedCorrection",-BX723,BX723)*IF($BP723="Emissions positive",-1,1)</f>
        <v>17.95</v>
      </c>
      <c r="CU723">
        <f>IFERROR(CT723/CQ723,"")</f>
        <v>0.37427659574468081</v>
      </c>
      <c r="CV723" s="2">
        <f>IFERROR((CS723-CR723)/ABS(CR723),"")</f>
        <v>0.74173553719008267</v>
      </c>
      <c r="CW723" s="1" t="s">
        <v>347</v>
      </c>
      <c r="CX723" t="str">
        <f>IF(OR($CW723="prd",$CW723="std",$CW723="cit"),"loc",IF(OR($CW723="eur",$CW723="reg",$CW723="coy"),"reg",$CW723))</f>
        <v>loc</v>
      </c>
      <c r="CY723" t="s">
        <v>348</v>
      </c>
      <c r="CZ723">
        <v>2014</v>
      </c>
      <c r="DA723">
        <v>2034</v>
      </c>
      <c r="DB723">
        <v>20</v>
      </c>
      <c r="DC723" t="str">
        <f>IF(DB723=0,"0",IF(AND(DB723&gt;=1,DB723&lt;=30),"1-30",IF(AND(DB723&gt;30,DB723&lt;=70),"31-70",IF(AND(DB723&gt;70,DB723&lt;=100),"71-100",IF(DB723&gt;100,"+100")))))</f>
        <v>1-30</v>
      </c>
      <c r="DD723">
        <v>0</v>
      </c>
      <c r="DE723">
        <v>0</v>
      </c>
      <c r="DF723">
        <v>0</v>
      </c>
      <c r="DG723">
        <v>1</v>
      </c>
      <c r="DI723">
        <f>SUM(DD723:DG723)</f>
        <v>1</v>
      </c>
      <c r="DJ723" t="str">
        <f>IF(DI723=1,INDEX($DD$7:$DG$7,MATCH(1,$DD723:$DG723,0)),"mixedProduct")</f>
        <v>TimberInput</v>
      </c>
      <c r="DK723">
        <f>IF(DD723=1,DK$7,0)</f>
        <v>0</v>
      </c>
      <c r="DL723">
        <f>IF(DE723=1,DL$7,0)</f>
        <v>0</v>
      </c>
      <c r="DM723">
        <f>IF(DF723=1,DM$7,0)</f>
        <v>0</v>
      </c>
      <c r="DN723" t="str">
        <f>IF(DG723=1,DN$7,0)</f>
        <v>Timber</v>
      </c>
      <c r="DO723">
        <v>0</v>
      </c>
      <c r="DP723">
        <v>0</v>
      </c>
      <c r="DQ723">
        <v>0</v>
      </c>
      <c r="DR723">
        <v>0</v>
      </c>
      <c r="DS723">
        <v>0</v>
      </c>
      <c r="DT723">
        <f>SUM(DO723:DP723)</f>
        <v>0</v>
      </c>
      <c r="DU723" s="143" t="str">
        <f>IF(DO723=1,"self-calculated DF",IF(DP723=1,"external DF used","explicit C balance"))</f>
        <v>explicit C balance</v>
      </c>
      <c r="DV723">
        <v>0</v>
      </c>
      <c r="DW723">
        <v>0</v>
      </c>
      <c r="DX723">
        <v>0</v>
      </c>
      <c r="DY723">
        <v>1</v>
      </c>
      <c r="DZ723">
        <v>0</v>
      </c>
      <c r="EA723" s="143">
        <v>1</v>
      </c>
      <c r="EB723">
        <v>0</v>
      </c>
      <c r="EC723">
        <v>1</v>
      </c>
      <c r="ED723">
        <v>1</v>
      </c>
      <c r="EE723">
        <v>1</v>
      </c>
      <c r="EF723">
        <v>0</v>
      </c>
      <c r="EG723">
        <v>0</v>
      </c>
      <c r="EH723">
        <v>0</v>
      </c>
      <c r="EI723" s="2">
        <v>0</v>
      </c>
      <c r="EK723" t="str">
        <f>IF(AND(AND(AND(OR($DX723=1,$DW723=1),OR($EC723=1,$EA723=1)),SUM($DV723:$DZ723,$EF723)&gt;=4),SUM($EA723:$EE723)&gt;=2),"Whole sector","")</f>
        <v/>
      </c>
      <c r="EL723" t="str">
        <f>IF(AND(AND(OR($DX723=1,$DW723=1),AND($EC723=0,$EA723=0)),SUM($DV723:$DZ723,$EF723)&gt;=4),"Ecosystem approach","")</f>
        <v/>
      </c>
      <c r="EM723" s="2" t="str">
        <f>IF(AND(AND(AND($DX723=0,$DW723=0),OR($EC723=1,$EA723=1)),SUM($EB723:$EE723)&gt;=2),"Technology approach","")</f>
        <v>Technology approach</v>
      </c>
      <c r="EP723" t="str">
        <f>IF(ISNUMBER(BU723),IF(ABS(BU723-[1]QC_indicators!$B$2)&gt;3*[1]QC_indicators!$C$2,"C ratio",IF(ISNUMBER(BY723),IF(ABS(BY723-[1]QC_indicators!$B$1)&gt;3*[1]QC_indicators!$C$1,"DF","no"))),IF(ISNUMBER(BY723),IF(ABS(BY723-[1]QC_indicators!$B$1)&gt;3*[1]QC_indicators!$C$1,"DF","no")))</f>
        <v>no</v>
      </c>
      <c r="ER723" s="149" t="s">
        <v>349</v>
      </c>
      <c r="ET723" s="264" t="s">
        <v>3273</v>
      </c>
    </row>
    <row r="724" spans="1:151" ht="15" customHeight="1">
      <c r="A724" s="1" t="s">
        <v>333</v>
      </c>
      <c r="B724" t="s">
        <v>334</v>
      </c>
      <c r="C724" t="s">
        <v>335</v>
      </c>
      <c r="D724" t="s">
        <v>336</v>
      </c>
      <c r="E724" t="s">
        <v>337</v>
      </c>
      <c r="F724" t="s">
        <v>338</v>
      </c>
      <c r="G724" t="s">
        <v>339</v>
      </c>
      <c r="I724">
        <v>2017</v>
      </c>
      <c r="K724" t="s">
        <v>340</v>
      </c>
      <c r="M724" t="str">
        <f>LEFT($D724,FIND(",",$D724)-1)&amp;"_"&amp;I724&amp;L724</f>
        <v>Balasbaneh_2017</v>
      </c>
      <c r="N724" t="s">
        <v>222</v>
      </c>
      <c r="O724" s="140" t="s">
        <v>341</v>
      </c>
      <c r="Q724" t="s">
        <v>224</v>
      </c>
      <c r="R724" s="262" t="s">
        <v>223</v>
      </c>
      <c r="S724" s="1" t="s">
        <v>368</v>
      </c>
      <c r="T724" t="s">
        <v>361</v>
      </c>
      <c r="U724" t="s">
        <v>351</v>
      </c>
      <c r="V724">
        <v>0</v>
      </c>
      <c r="W724">
        <v>0</v>
      </c>
      <c r="X724">
        <v>0</v>
      </c>
      <c r="Y724">
        <v>0</v>
      </c>
      <c r="Z724">
        <v>0</v>
      </c>
      <c r="AA724">
        <v>0</v>
      </c>
      <c r="AB724">
        <v>0</v>
      </c>
      <c r="AC724">
        <v>0</v>
      </c>
      <c r="AD724">
        <v>0</v>
      </c>
      <c r="AE724">
        <v>0</v>
      </c>
      <c r="AF724">
        <v>0</v>
      </c>
      <c r="AG724">
        <v>0</v>
      </c>
      <c r="AH724">
        <v>0</v>
      </c>
      <c r="AI724">
        <v>0</v>
      </c>
      <c r="AJ724">
        <v>0</v>
      </c>
      <c r="AK724">
        <v>1</v>
      </c>
      <c r="AL724">
        <v>0</v>
      </c>
      <c r="AM724">
        <v>0</v>
      </c>
      <c r="AN724">
        <v>0</v>
      </c>
      <c r="AO724">
        <v>0</v>
      </c>
      <c r="AP724">
        <v>0</v>
      </c>
      <c r="AQ724">
        <v>0</v>
      </c>
      <c r="AR724">
        <v>0</v>
      </c>
      <c r="AS724">
        <v>0</v>
      </c>
      <c r="AT724">
        <v>0</v>
      </c>
      <c r="AU724">
        <v>0</v>
      </c>
      <c r="AV724">
        <v>0</v>
      </c>
      <c r="AW724">
        <v>0</v>
      </c>
      <c r="AX724" s="141">
        <f>COUNTIF(V724:AW724,"&lt;&gt;0")</f>
        <v>1</v>
      </c>
      <c r="AY724" s="141">
        <f>COUNTIF(V724:AL724,"&lt;&gt;0")</f>
        <v>1</v>
      </c>
      <c r="AZ724">
        <f>COUNTIF(V724:AC724,"&lt;&gt;0")</f>
        <v>0</v>
      </c>
      <c r="BA724">
        <f>COUNTIF(AD724:AI724,"&lt;&gt;0")</f>
        <v>0</v>
      </c>
      <c r="BB724">
        <f>COUNTIF(AJ724:AL724,"&lt;&gt;0")</f>
        <v>1</v>
      </c>
      <c r="BC724">
        <f>COUNTIF(AS724:AW724,"&lt;&gt;0")</f>
        <v>0</v>
      </c>
      <c r="BD724">
        <f>COUNTIF(AM724:AR724,"&lt;&gt;0")</f>
        <v>0</v>
      </c>
      <c r="BE724" t="str">
        <f t="array" ref="BE724">IF(AY724=1,INDEX($V$7:$AL$7,MATCH(TRUE,INDEX($V724:$AW724&lt;&gt;0,),0)),IF(AY724=0,INDEX($AM$7:$AW$7,MATCH(1,$AM724:$AW724,0)),IF(BF724="Multiple strategies","mixed drivers",IF(BF724="Supply chain","multiple supply","multiple silviculture"))))</f>
        <v>technologies/design switch</v>
      </c>
      <c r="BF724" s="2" t="str" cm="1">
        <f t="array" ref="BF724">IF(COUNTIF(AZ724:BB724,"&lt;&gt;0")=1,INDEX($V$4:$AW$4,MATCH(TRUE,INDEX($V724:$AW724&lt;&gt;0,),0)),IF(COUNTIF(AZ724:BB724,"&lt;&gt;0")=0,INDEX($AM$4:$AW$4,MATCH(1,$AM724:$AW724,0)),"Multiple strategies"))</f>
        <v>Technology</v>
      </c>
      <c r="BG724" s="1" t="s">
        <v>229</v>
      </c>
      <c r="BH724" t="s">
        <v>229</v>
      </c>
      <c r="BI724" s="264" t="s">
        <v>410</v>
      </c>
      <c r="BJ724" t="s">
        <v>345</v>
      </c>
      <c r="BK724">
        <v>0</v>
      </c>
      <c r="BL724">
        <v>23500</v>
      </c>
      <c r="BM724" s="143"/>
      <c r="BN724">
        <f>BL724-BK724</f>
        <v>23500</v>
      </c>
      <c r="BO724" s="143">
        <f>BN724*kg_to_m3</f>
        <v>47.95918367346939</v>
      </c>
      <c r="BP724" t="s">
        <v>232</v>
      </c>
      <c r="BQ724" s="335" t="s">
        <v>396</v>
      </c>
      <c r="BR724" t="s">
        <v>346</v>
      </c>
      <c r="BS724">
        <v>-23800</v>
      </c>
      <c r="BT724">
        <v>-5800</v>
      </c>
      <c r="BU724" s="144">
        <v>0.24369747899159663</v>
      </c>
      <c r="BV724">
        <f>BT724-BS724</f>
        <v>18000</v>
      </c>
      <c r="BX724">
        <f>BV724/1000</f>
        <v>18</v>
      </c>
      <c r="BY724">
        <f>IFERROR(BX724/BO724,"")</f>
        <v>0.37531914893617019</v>
      </c>
      <c r="BZ724">
        <v>0</v>
      </c>
      <c r="CA724">
        <v>0</v>
      </c>
      <c r="CB724">
        <v>0</v>
      </c>
      <c r="CC724">
        <v>0</v>
      </c>
      <c r="CD724">
        <v>0</v>
      </c>
      <c r="CE724">
        <v>0</v>
      </c>
      <c r="CF724">
        <v>0</v>
      </c>
      <c r="CG724">
        <v>0</v>
      </c>
      <c r="CH724">
        <v>0</v>
      </c>
      <c r="CI724">
        <v>0</v>
      </c>
      <c r="CJ724">
        <v>0</v>
      </c>
      <c r="CK724">
        <v>0</v>
      </c>
      <c r="CL724">
        <v>0</v>
      </c>
      <c r="CM724">
        <v>0</v>
      </c>
      <c r="CN724" t="str">
        <f>IF($BL724&lt;$BK724,"refNeedCorrection","refOK")</f>
        <v>refOK</v>
      </c>
      <c r="CO724">
        <f>IF($CN724="refNeedCorrection",BL724,BK724)</f>
        <v>0</v>
      </c>
      <c r="CP724">
        <f>IF($CN724="refNeedCorrection",BK724,BL724)</f>
        <v>23500</v>
      </c>
      <c r="CQ724">
        <f>IF($CN724="refOK",$BO724,-$BO724)</f>
        <v>47.95918367346939</v>
      </c>
      <c r="CR724">
        <f>IF($CN724="refOK",$BS724,$BT724)*IF($BP724="Emissions positive",-1,1)</f>
        <v>-23800</v>
      </c>
      <c r="CS724">
        <f>IF($CN724="refOK",$BT724,$BS724)*IF($BP724="Emissions positive",-1,1)</f>
        <v>-5800</v>
      </c>
      <c r="CT724">
        <f>IF($CN724="refNeedCorrection",-BX724,BX724)*IF($BP724="Emissions positive",-1,1)</f>
        <v>18</v>
      </c>
      <c r="CU724">
        <f>IFERROR(CT724/CQ724,"")</f>
        <v>0.37531914893617019</v>
      </c>
      <c r="CV724" s="2">
        <f>IFERROR((CS724-CR724)/ABS(CR724),"")</f>
        <v>0.75630252100840334</v>
      </c>
      <c r="CW724" s="1" t="s">
        <v>347</v>
      </c>
      <c r="CX724" t="str">
        <f>IF(OR($CW724="prd",$CW724="std",$CW724="cit"),"loc",IF(OR($CW724="eur",$CW724="reg",$CW724="coy"),"reg",$CW724))</f>
        <v>loc</v>
      </c>
      <c r="CY724" t="s">
        <v>348</v>
      </c>
      <c r="CZ724">
        <v>2014</v>
      </c>
      <c r="DA724">
        <v>2114</v>
      </c>
      <c r="DB724">
        <v>100</v>
      </c>
      <c r="DC724" t="str">
        <f>IF(DB724=0,"0",IF(AND(DB724&gt;=1,DB724&lt;=30),"1-30",IF(AND(DB724&gt;30,DB724&lt;=70),"31-70",IF(AND(DB724&gt;70,DB724&lt;=100),"71-100",IF(DB724&gt;100,"+100")))))</f>
        <v>71-100</v>
      </c>
      <c r="DD724">
        <v>0</v>
      </c>
      <c r="DE724">
        <v>0</v>
      </c>
      <c r="DF724">
        <v>0</v>
      </c>
      <c r="DG724">
        <v>1</v>
      </c>
      <c r="DI724">
        <f>SUM(DD724:DG724)</f>
        <v>1</v>
      </c>
      <c r="DJ724" t="str">
        <f>IF(DI724=1,INDEX($DD$7:$DG$7,MATCH(1,$DD724:$DG724,0)),"mixedProduct")</f>
        <v>TimberInput</v>
      </c>
      <c r="DK724">
        <f>IF(DD724=1,DK$7,0)</f>
        <v>0</v>
      </c>
      <c r="DL724">
        <f>IF(DE724=1,DL$7,0)</f>
        <v>0</v>
      </c>
      <c r="DM724">
        <f>IF(DF724=1,DM$7,0)</f>
        <v>0</v>
      </c>
      <c r="DN724" t="str">
        <f>IF(DG724=1,DN$7,0)</f>
        <v>Timber</v>
      </c>
      <c r="DO724">
        <v>0</v>
      </c>
      <c r="DP724">
        <v>0</v>
      </c>
      <c r="DQ724">
        <v>0</v>
      </c>
      <c r="DR724">
        <v>0</v>
      </c>
      <c r="DS724">
        <v>0</v>
      </c>
      <c r="DT724">
        <f>SUM(DO724:DP724)</f>
        <v>0</v>
      </c>
      <c r="DU724" s="143" t="str">
        <f>IF(DO724=1,"self-calculated DF",IF(DP724=1,"external DF used","explicit C balance"))</f>
        <v>explicit C balance</v>
      </c>
      <c r="DV724">
        <v>0</v>
      </c>
      <c r="DW724">
        <v>0</v>
      </c>
      <c r="DX724">
        <v>0</v>
      </c>
      <c r="DY724">
        <v>1</v>
      </c>
      <c r="DZ724">
        <v>0</v>
      </c>
      <c r="EA724" s="143">
        <v>1</v>
      </c>
      <c r="EB724">
        <v>0</v>
      </c>
      <c r="EC724">
        <v>1</v>
      </c>
      <c r="ED724">
        <v>1</v>
      </c>
      <c r="EE724">
        <v>1</v>
      </c>
      <c r="EF724">
        <v>0</v>
      </c>
      <c r="EG724">
        <v>0</v>
      </c>
      <c r="EH724">
        <v>0</v>
      </c>
      <c r="EI724" s="2">
        <v>0</v>
      </c>
      <c r="EK724" t="str">
        <f>IF(AND(AND(AND(OR($DX724=1,$DW724=1),OR($EC724=1,$EA724=1)),SUM($DV724:$DZ724,$EF724)&gt;=4),SUM($EA724:$EE724)&gt;=2),"Whole sector","")</f>
        <v/>
      </c>
      <c r="EL724" t="str">
        <f>IF(AND(AND(OR($DX724=1,$DW724=1),AND($EC724=0,$EA724=0)),SUM($DV724:$DZ724,$EF724)&gt;=4),"Ecosystem approach","")</f>
        <v/>
      </c>
      <c r="EM724" s="2" t="str">
        <f>IF(AND(AND(AND($DX724=0,$DW724=0),OR($EC724=1,$EA724=1)),SUM($EB724:$EE724)&gt;=2),"Technology approach","")</f>
        <v>Technology approach</v>
      </c>
      <c r="EP724" t="str">
        <f>IF(ISNUMBER(BU724),IF(ABS(BU724-[1]QC_indicators!$B$2)&gt;3*[1]QC_indicators!$C$2,"C ratio",IF(ISNUMBER(BY724),IF(ABS(BY724-[1]QC_indicators!$B$1)&gt;3*[1]QC_indicators!$C$1,"DF","no"))),IF(ISNUMBER(BY724),IF(ABS(BY724-[1]QC_indicators!$B$1)&gt;3*[1]QC_indicators!$C$1,"DF","no")))</f>
        <v>no</v>
      </c>
      <c r="ER724" s="149" t="s">
        <v>349</v>
      </c>
      <c r="ET724" s="264" t="s">
        <v>3273</v>
      </c>
    </row>
    <row r="725" spans="1:151" ht="15" customHeight="1">
      <c r="A725" s="1" t="s">
        <v>265</v>
      </c>
      <c r="B725" t="s">
        <v>266</v>
      </c>
      <c r="C725" t="s">
        <v>267</v>
      </c>
      <c r="D725" t="s">
        <v>268</v>
      </c>
      <c r="E725" t="s">
        <v>269</v>
      </c>
      <c r="F725" t="s">
        <v>270</v>
      </c>
      <c r="G725" t="s">
        <v>271</v>
      </c>
      <c r="H725" t="s">
        <v>254</v>
      </c>
      <c r="I725">
        <v>2022</v>
      </c>
      <c r="J725">
        <v>0</v>
      </c>
      <c r="K725" t="s">
        <v>272</v>
      </c>
      <c r="M725" t="str">
        <f>LEFT($D725,FIND(",",$D725)-1)&amp;"_"&amp;I725&amp;L725</f>
        <v>Aryapratama_2022</v>
      </c>
      <c r="N725" t="s">
        <v>222</v>
      </c>
      <c r="O725" s="145" t="s">
        <v>274</v>
      </c>
      <c r="Q725" t="s">
        <v>224</v>
      </c>
      <c r="R725" s="262" t="s">
        <v>223</v>
      </c>
      <c r="S725" s="263" t="s">
        <v>3105</v>
      </c>
      <c r="T725" t="s">
        <v>305</v>
      </c>
      <c r="U725" t="s">
        <v>284</v>
      </c>
      <c r="V725">
        <v>0</v>
      </c>
      <c r="W725">
        <v>0</v>
      </c>
      <c r="X725">
        <v>0</v>
      </c>
      <c r="Y725">
        <v>0</v>
      </c>
      <c r="Z725">
        <v>0</v>
      </c>
      <c r="AA725">
        <v>0</v>
      </c>
      <c r="AB725">
        <v>0</v>
      </c>
      <c r="AC725">
        <v>0</v>
      </c>
      <c r="AD725">
        <v>0</v>
      </c>
      <c r="AE725">
        <v>0</v>
      </c>
      <c r="AF725">
        <v>0</v>
      </c>
      <c r="AG725">
        <v>0</v>
      </c>
      <c r="AH725">
        <v>0</v>
      </c>
      <c r="AI725">
        <v>0</v>
      </c>
      <c r="AJ725">
        <v>0</v>
      </c>
      <c r="AK725">
        <v>1</v>
      </c>
      <c r="AL725">
        <v>0</v>
      </c>
      <c r="AM725">
        <v>0</v>
      </c>
      <c r="AN725">
        <v>0</v>
      </c>
      <c r="AO725">
        <v>0</v>
      </c>
      <c r="AP725">
        <v>0</v>
      </c>
      <c r="AQ725">
        <v>0</v>
      </c>
      <c r="AR725">
        <v>0</v>
      </c>
      <c r="AS725">
        <v>0</v>
      </c>
      <c r="AT725">
        <v>0</v>
      </c>
      <c r="AU725">
        <v>0</v>
      </c>
      <c r="AV725">
        <v>0</v>
      </c>
      <c r="AW725">
        <v>0</v>
      </c>
      <c r="AX725" s="141">
        <f>COUNTIF(V725:AW725,"&lt;&gt;0")</f>
        <v>1</v>
      </c>
      <c r="AY725" s="141">
        <f>COUNTIF(V725:AL725,"&lt;&gt;0")</f>
        <v>1</v>
      </c>
      <c r="AZ725">
        <f>COUNTIF(V725:AC725,"&lt;&gt;0")</f>
        <v>0</v>
      </c>
      <c r="BA725">
        <f>COUNTIF(AD725:AI725,"&lt;&gt;0")</f>
        <v>0</v>
      </c>
      <c r="BB725">
        <f>COUNTIF(AJ725:AL725,"&lt;&gt;0")</f>
        <v>1</v>
      </c>
      <c r="BC725">
        <f>COUNTIF(AS725:AW725,"&lt;&gt;0")</f>
        <v>0</v>
      </c>
      <c r="BD725">
        <f>COUNTIF(AM725:AR725,"&lt;&gt;0")</f>
        <v>0</v>
      </c>
      <c r="BE725" t="str">
        <f t="array" ref="BE725">IF(AY725=1,INDEX($V$7:$AL$7,MATCH(TRUE,INDEX($V725:$AW725&lt;&gt;0,),0)),IF(AY725=0,INDEX($AM$7:$AW$7,MATCH(1,$AM725:$AW725,0)),IF(BF725="Multiple strategies","mixed drivers",IF(BF725="Supply chain","multiple supply","multiple silviculture"))))</f>
        <v>technologies/design switch</v>
      </c>
      <c r="BF725" s="2" t="str" cm="1">
        <f t="array" ref="BF725">IF(COUNTIF(AZ725:BB725,"&lt;&gt;0")=1,INDEX($V$4:$AW$4,MATCH(TRUE,INDEX($V725:$AW725&lt;&gt;0,),0)),IF(COUNTIF(AZ725:BB725,"&lt;&gt;0")=0,INDEX($AM$4:$AW$4,MATCH(1,$AM725:$AW725,0)),"Multiple strategies"))</f>
        <v>Technology</v>
      </c>
      <c r="BG725" s="1" t="s">
        <v>229</v>
      </c>
      <c r="BH725" t="s">
        <v>277</v>
      </c>
      <c r="BI725" s="264" t="s">
        <v>3106</v>
      </c>
      <c r="BJ725" t="s">
        <v>278</v>
      </c>
      <c r="BK725">
        <v>0</v>
      </c>
      <c r="BL725">
        <v>17.346803922718955</v>
      </c>
      <c r="BN725">
        <f>BL725-BK725</f>
        <v>17.346803922718955</v>
      </c>
      <c r="BO725">
        <f>BN725*tC_to_m3</f>
        <v>75.322639699170452</v>
      </c>
      <c r="BP725" t="s">
        <v>232</v>
      </c>
      <c r="BQ725" s="337" t="s">
        <v>3107</v>
      </c>
      <c r="BR725" t="s">
        <v>279</v>
      </c>
      <c r="BS725">
        <v>163.96310441836951</v>
      </c>
      <c r="BT725">
        <v>192.24097622198209</v>
      </c>
      <c r="BU725" s="144">
        <f>IFERROR(BT725/BS725,"")</f>
        <v>1.1724648475272739</v>
      </c>
      <c r="BV725">
        <f>BT725-BS725</f>
        <v>28.277871803612584</v>
      </c>
      <c r="BX725">
        <f>BV725</f>
        <v>28.277871803612584</v>
      </c>
      <c r="BY725">
        <f>IFERROR(BX725/BO725,"")</f>
        <v>0.37542327136370945</v>
      </c>
      <c r="BZ725">
        <v>0</v>
      </c>
      <c r="CA725">
        <v>0</v>
      </c>
      <c r="CB725">
        <v>0</v>
      </c>
      <c r="CC725">
        <v>0</v>
      </c>
      <c r="CD725">
        <v>0</v>
      </c>
      <c r="CE725">
        <v>0</v>
      </c>
      <c r="CF725">
        <v>0</v>
      </c>
      <c r="CG725">
        <v>0</v>
      </c>
      <c r="CH725">
        <v>0</v>
      </c>
      <c r="CI725">
        <v>0</v>
      </c>
      <c r="CJ725">
        <v>0</v>
      </c>
      <c r="CK725">
        <v>0</v>
      </c>
      <c r="CL725">
        <v>0</v>
      </c>
      <c r="CM725">
        <v>0</v>
      </c>
      <c r="CN725" t="str">
        <f>IF($BL725&lt;$BK725,"refNeedCorrection","refOK")</f>
        <v>refOK</v>
      </c>
      <c r="CO725">
        <f>IF($CN725="refOK",$BK725,$BL725)</f>
        <v>0</v>
      </c>
      <c r="CP725">
        <f>IF($CN725="refOK",$BL725,$BK725)</f>
        <v>17.346803922718955</v>
      </c>
      <c r="CQ725">
        <f>IF($CN725="refOK",$BO725,-$BO725)</f>
        <v>75.322639699170452</v>
      </c>
      <c r="CR725">
        <f>IF($CN725="refOK",$BS725,$BT725)*IF($BP725="Emissions positive",-1,1)</f>
        <v>163.96310441836951</v>
      </c>
      <c r="CS725">
        <f>IF($CN725="refOK",$BT725,$BS725)*IF($BP725="Emissions positive",-1,1)</f>
        <v>192.24097622198209</v>
      </c>
      <c r="CT725">
        <f>IF($CN725="refNeedCorrection",-BX725,BX725)*IF($BP725="Emissions positive",-1,1)</f>
        <v>28.277871803612584</v>
      </c>
      <c r="CU725">
        <f>IFERROR(CT725/CQ725,"")</f>
        <v>0.37542327136370945</v>
      </c>
      <c r="CV725" s="2">
        <f>IFERROR((CS725-CR725)/ABS(CR725),"")</f>
        <v>0.17246484752727387</v>
      </c>
      <c r="CW725" s="1" t="s">
        <v>234</v>
      </c>
      <c r="CX725" t="str">
        <f>IF(OR($CW725="prd",$CW725="std",$CW725="cit"),"loc",IF(OR($CW725="eur",$CW725="reg",$CW725="coy"),"reg",$CW725))</f>
        <v>loc</v>
      </c>
      <c r="CY725" t="s">
        <v>280</v>
      </c>
      <c r="DB725">
        <v>100</v>
      </c>
      <c r="DC725" t="str">
        <f>IF(DB725=0,"0",IF(AND(DB725&gt;=1,DB725&lt;=30),"1-30",IF(AND(DB725&gt;30,DB725&lt;=70),"31-70",IF(AND(DB725&gt;70,DB725&lt;=100),"71-100",IF(DB725&gt;100,"+100")))))</f>
        <v>71-100</v>
      </c>
      <c r="DD725">
        <v>0</v>
      </c>
      <c r="DE725">
        <v>0</v>
      </c>
      <c r="DF725">
        <v>0</v>
      </c>
      <c r="DG725">
        <v>1</v>
      </c>
      <c r="DI725">
        <f>SUM(DD725:DG725)</f>
        <v>1</v>
      </c>
      <c r="DJ725" t="str">
        <f>IF(DI725=1,INDEX($DD$7:$DG$7,MATCH(1,$DD725:$DG725,0)),"mixedProduct")</f>
        <v>TimberInput</v>
      </c>
      <c r="DK725">
        <f>IF(DD725=1,DK$7,0)</f>
        <v>0</v>
      </c>
      <c r="DL725">
        <f>IF(DE725=1,DL$7,0)</f>
        <v>0</v>
      </c>
      <c r="DM725">
        <f>IF(DF725=1,DM$7,0)</f>
        <v>0</v>
      </c>
      <c r="DN725" t="str">
        <f>IF(DG725=1,DN$7,0)</f>
        <v>Timber</v>
      </c>
      <c r="DO725">
        <v>0</v>
      </c>
      <c r="DP725">
        <v>1</v>
      </c>
      <c r="DQ725">
        <v>0</v>
      </c>
      <c r="DR725" t="s">
        <v>281</v>
      </c>
      <c r="DS725">
        <v>0</v>
      </c>
      <c r="DT725">
        <f>SUM(DO725:DP725)</f>
        <v>1</v>
      </c>
      <c r="DU725" s="143" t="str">
        <f>IF(DO725=1,"self-calculated DF",IF(DP725=1,"external DF used","explicit C balance"))</f>
        <v>external DF used</v>
      </c>
      <c r="DV725">
        <v>0</v>
      </c>
      <c r="DW725">
        <v>1</v>
      </c>
      <c r="DX725">
        <v>1</v>
      </c>
      <c r="DY725">
        <v>1</v>
      </c>
      <c r="DZ725">
        <v>1</v>
      </c>
      <c r="EA725" s="143">
        <v>0</v>
      </c>
      <c r="EB725">
        <v>1</v>
      </c>
      <c r="EC725">
        <v>1</v>
      </c>
      <c r="ED725">
        <v>0</v>
      </c>
      <c r="EE725">
        <v>1</v>
      </c>
      <c r="EF725">
        <v>1</v>
      </c>
      <c r="EG725">
        <v>1</v>
      </c>
      <c r="EH725">
        <v>0</v>
      </c>
      <c r="EI725" s="2">
        <v>0</v>
      </c>
      <c r="EK725" t="str">
        <f>IF(AND(AND(AND(OR($DX725=1,$DW725=1),OR($EC725=1,$EA725=1)),SUM($DV725:$DZ725,$EF725)&gt;=4),SUM($EA725:$EE725)&gt;=2),"Whole sector","")</f>
        <v>Whole sector</v>
      </c>
      <c r="EL725" t="str">
        <f>IF(AND(AND(OR($DX725=1,$DW725=1),AND($EC725=0,$EA725=0)),SUM($DV725:$DZ725,$EF725)&gt;=4),"Ecosystem approach","")</f>
        <v/>
      </c>
      <c r="EM725" s="2" t="str">
        <f>IF(AND(AND(AND($DX725=0,$DW725=0),OR($EC725=1,$EA725=1)),SUM($EB725:$EE725)&gt;=2),"Technology approach","")</f>
        <v/>
      </c>
      <c r="EP725" t="str">
        <f>IF(ISNUMBER(BU725),IF(ABS(BU725-[1]QC_indicators!$B$2)&gt;3*[1]QC_indicators!$C$2,"C ratio",IF(ISNUMBER(BY725),IF(ABS(BY725-[1]QC_indicators!$B$1)&gt;3*[1]QC_indicators!$C$1,"DF","no"))),IF(ISNUMBER(BY725),IF(ABS(BY725-[1]QC_indicators!$B$1)&gt;3*[1]QC_indicators!$C$1,"DF","no")))</f>
        <v>no</v>
      </c>
      <c r="EQ725" t="s">
        <v>286</v>
      </c>
      <c r="ET725" s="264" t="s">
        <v>3273</v>
      </c>
    </row>
    <row r="726" spans="1:151" ht="15" customHeight="1">
      <c r="A726" s="1" t="s">
        <v>1045</v>
      </c>
      <c r="B726" t="s">
        <v>1046</v>
      </c>
      <c r="C726" t="s">
        <v>1047</v>
      </c>
      <c r="D726" t="s">
        <v>1048</v>
      </c>
      <c r="E726" t="s">
        <v>1049</v>
      </c>
      <c r="F726" t="s">
        <v>1050</v>
      </c>
      <c r="G726" t="s">
        <v>1051</v>
      </c>
      <c r="H726" t="s">
        <v>254</v>
      </c>
      <c r="I726">
        <v>2014</v>
      </c>
      <c r="J726">
        <v>23</v>
      </c>
      <c r="K726" t="s">
        <v>1052</v>
      </c>
      <c r="M726" t="str">
        <f>LEFT($D726,FIND(",",$D726)-1)&amp;"_"&amp;I726&amp;L726</f>
        <v>Pyorala_2014</v>
      </c>
      <c r="N726" t="s">
        <v>222</v>
      </c>
      <c r="O726" s="171" t="s">
        <v>341</v>
      </c>
      <c r="P726" t="s">
        <v>225</v>
      </c>
      <c r="Q726" s="264" t="s">
        <v>389</v>
      </c>
      <c r="R726" s="269" t="s">
        <v>1154</v>
      </c>
      <c r="S726" s="263" t="s">
        <v>95</v>
      </c>
      <c r="T726" s="264" t="s">
        <v>1068</v>
      </c>
      <c r="U726" s="264" t="s">
        <v>1069</v>
      </c>
      <c r="V726">
        <v>0</v>
      </c>
      <c r="W726">
        <v>0</v>
      </c>
      <c r="X726">
        <v>0</v>
      </c>
      <c r="Y726">
        <v>0</v>
      </c>
      <c r="Z726">
        <v>0</v>
      </c>
      <c r="AA726">
        <v>0</v>
      </c>
      <c r="AB726">
        <v>0</v>
      </c>
      <c r="AC726">
        <v>1</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s="141">
        <f>COUNTIF(V726:AW726,"&lt;&gt;0")</f>
        <v>1</v>
      </c>
      <c r="AY726" s="141">
        <f>COUNTIF(V726:AL726,"&lt;&gt;0")</f>
        <v>1</v>
      </c>
      <c r="AZ726">
        <f>COUNTIF(V726:AC726,"&lt;&gt;0")</f>
        <v>1</v>
      </c>
      <c r="BA726">
        <f>COUNTIF(AD726:AI726,"&lt;&gt;0")</f>
        <v>0</v>
      </c>
      <c r="BB726">
        <f>COUNTIF(AJ726:AL726,"&lt;&gt;0")</f>
        <v>0</v>
      </c>
      <c r="BC726">
        <f>COUNTIF(AS726:AW726,"&lt;&gt;0")</f>
        <v>0</v>
      </c>
      <c r="BD726">
        <f>COUNTIF(AM726:AR726,"&lt;&gt;0")</f>
        <v>0</v>
      </c>
      <c r="BE726" t="str" cm="1">
        <f t="array" ref="BE726">IF(AY726=1,INDEX($V$7:$AL$7,MATCH(TRUE,INDEX($V726:$AW726&lt;&gt;0,),0)),IF(AY726=0,INDEX($AM$7:$AW$7,MATCH(1,$AM726:$AW726,0)),IF(BF726="Multiple strategies","mixed drivers",IF(BF726="Supply chain","multiple supply","multiple silviculture"))))</f>
        <v>site fertility</v>
      </c>
      <c r="BF726" s="2" t="str" cm="1">
        <f t="array" ref="BF726">IF(COUNTIF(AZ726:BB726,"&lt;&gt;0")=1,INDEX($V$4:$AW$4,MATCH(TRUE,INDEX($V726:$AW726&lt;&gt;0,),0)),IF(COUNTIF(AZ726:BB726,"&lt;&gt;0")=0,INDEX($AM$4:$AW$4,MATCH(1,$AM726:$AW726,0)),"Multiple strategies"))</f>
        <v>Silviculture for productivity</v>
      </c>
      <c r="BG726" s="1" t="s">
        <v>321</v>
      </c>
      <c r="BH726" t="s">
        <v>1056</v>
      </c>
      <c r="BI726" s="264" t="s">
        <v>1057</v>
      </c>
      <c r="BJ726" s="264" t="s">
        <v>1058</v>
      </c>
      <c r="BK726">
        <v>4.95</v>
      </c>
      <c r="BL726">
        <v>5.9</v>
      </c>
      <c r="BM726" t="str">
        <f>IFERROR(BK726/#REF!,"")</f>
        <v/>
      </c>
      <c r="BN726">
        <f>BL726-BK726</f>
        <v>0.95000000000000018</v>
      </c>
      <c r="BO726">
        <f>BN726*t_to_m3</f>
        <v>1.938775510204082</v>
      </c>
      <c r="BP726" t="s">
        <v>395</v>
      </c>
      <c r="BQ726" t="s">
        <v>972</v>
      </c>
      <c r="BR726" t="s">
        <v>1059</v>
      </c>
      <c r="BS726" s="172">
        <v>-392</v>
      </c>
      <c r="BT726" s="172">
        <v>-465</v>
      </c>
      <c r="BU726" s="144"/>
      <c r="BV726">
        <f>BT726-BS726</f>
        <v>-73</v>
      </c>
      <c r="BX726">
        <f>BV726*10^-6*10^4</f>
        <v>-0.73</v>
      </c>
      <c r="BY726">
        <f>IFERROR(BX726/BO726,"")</f>
        <v>-0.3765263157894736</v>
      </c>
      <c r="BZ726">
        <v>0</v>
      </c>
      <c r="CA726">
        <v>0</v>
      </c>
      <c r="CB726">
        <v>0</v>
      </c>
      <c r="CC726">
        <v>0</v>
      </c>
      <c r="CD726">
        <v>0</v>
      </c>
      <c r="CE726">
        <v>0</v>
      </c>
      <c r="CF726">
        <v>0</v>
      </c>
      <c r="CG726">
        <v>0</v>
      </c>
      <c r="CH726">
        <v>0</v>
      </c>
      <c r="CI726">
        <v>0</v>
      </c>
      <c r="CJ726">
        <v>0</v>
      </c>
      <c r="CK726">
        <v>0</v>
      </c>
      <c r="CL726">
        <v>0</v>
      </c>
      <c r="CM726">
        <v>0</v>
      </c>
      <c r="CN726" t="str">
        <f>IF($BL726&lt;$BK726,"refNeedCorrection","refOK")</f>
        <v>refOK</v>
      </c>
      <c r="CO726">
        <f>IF($CN726="refOK",$BK726,$BL726)</f>
        <v>4.95</v>
      </c>
      <c r="CP726">
        <f>IF($CN726="refOK",$BL726,$BK726)</f>
        <v>5.9</v>
      </c>
      <c r="CQ726">
        <f>IF($CN726="refOK",$BO726,-$BO726)</f>
        <v>1.938775510204082</v>
      </c>
      <c r="CR726">
        <f>IF($CN726="refOK",$BS726,$BT726)*IF($BP726="Emissions positive",-1,1)</f>
        <v>392</v>
      </c>
      <c r="CS726">
        <f>IF($CN726="refOK",$BT726,$BS726)*IF($BP726="Emissions positive",-1,1)</f>
        <v>465</v>
      </c>
      <c r="CT726">
        <f>IF($CN726="refNeedCorrection",-BX726,BX726)*IF($BP726="Emissions positive",-1,1)</f>
        <v>0.73</v>
      </c>
      <c r="CU726">
        <f>IFERROR(CT726/CQ726,"")</f>
        <v>0.3765263157894736</v>
      </c>
      <c r="CV726" s="2">
        <f>IFERROR((CS726-CR726)/ABS(CR726),"")</f>
        <v>0.18622448979591838</v>
      </c>
      <c r="CW726" s="1" t="s">
        <v>263</v>
      </c>
      <c r="CX726" s="264" t="str">
        <f>IF(OR($CW726="prd",$CW726="std",$CW726="cit"),"loc",IF(OR($CW726="eur",$CW726="reg",$CW726="coy"),"reg",$CW726))</f>
        <v>loc</v>
      </c>
      <c r="CY726" t="s">
        <v>235</v>
      </c>
      <c r="DB726">
        <v>80</v>
      </c>
      <c r="DC726" t="str">
        <f>IF(DB726=0,"0",IF(AND(DB726&gt;=1,DB726&lt;=30),"1-30",IF(AND(DB726&gt;30,DB726&lt;=70),"31-70",IF(AND(DB726&gt;70,DB726&lt;=100),"71-100",IF(DB726&gt;100,"+100")))))</f>
        <v>71-100</v>
      </c>
      <c r="DD726">
        <v>0</v>
      </c>
      <c r="DE726">
        <v>1</v>
      </c>
      <c r="DF726">
        <v>0</v>
      </c>
      <c r="DG726">
        <v>1</v>
      </c>
      <c r="DI726">
        <f>SUM(DD726:DG726)</f>
        <v>2</v>
      </c>
      <c r="DJ726" t="str">
        <f>IF(DI726=1,INDEX($DD$7:$DG$7,MATCH(1,$DD726:$DG726,0)),"mixedProduct")</f>
        <v>mixedProduct</v>
      </c>
      <c r="DK726">
        <f>IF(DD726=1,DK$7,0)</f>
        <v>0</v>
      </c>
      <c r="DL726" t="str">
        <f>IF(DE726=1,DL$7,0)</f>
        <v>Energy</v>
      </c>
      <c r="DM726">
        <f>IF(DF726=1,DM$7,0)</f>
        <v>0</v>
      </c>
      <c r="DN726" t="str">
        <f>IF(DG726=1,DN$7,0)</f>
        <v>Timber</v>
      </c>
      <c r="DO726">
        <v>0</v>
      </c>
      <c r="DP726">
        <v>1</v>
      </c>
      <c r="DQ726" t="s">
        <v>1060</v>
      </c>
      <c r="DT726">
        <f>SUM(DO726:DP726)</f>
        <v>1</v>
      </c>
      <c r="DU726" s="143" t="str">
        <f>IF(DO726=1,"self-calculated DF",IF(DP726=1,"external DF used","explicit C balance"))</f>
        <v>external DF used</v>
      </c>
      <c r="DV726">
        <v>1</v>
      </c>
      <c r="DW726">
        <v>1</v>
      </c>
      <c r="DX726">
        <v>1</v>
      </c>
      <c r="DY726" s="143">
        <v>0</v>
      </c>
      <c r="DZ726">
        <v>0</v>
      </c>
      <c r="EA726" s="143">
        <v>0</v>
      </c>
      <c r="EB726">
        <v>1</v>
      </c>
      <c r="EC726">
        <v>1</v>
      </c>
      <c r="ED726" s="143">
        <v>0</v>
      </c>
      <c r="EE726">
        <v>0</v>
      </c>
      <c r="EF726">
        <v>1</v>
      </c>
      <c r="EG726" s="143">
        <v>0</v>
      </c>
      <c r="EH726" s="143">
        <v>0</v>
      </c>
      <c r="EI726" s="2">
        <v>0</v>
      </c>
      <c r="EK726" t="str">
        <f>IF(AND(AND(AND(OR($DX726=1,$DW726=1),OR($EC726=1,$EA726=1)),SUM($DV726:$DZ726,$EF726)&gt;=4),SUM($EA726:$EE726)&gt;=2),"Whole sector","")</f>
        <v>Whole sector</v>
      </c>
      <c r="EL726" t="str">
        <f>IF(AND(AND(OR($DX726=1,$DW726=1),AND($EC726=0,$EA726=0)),SUM($DV726:$DZ726,$EF726)&gt;=4),"Ecosystem approach","")</f>
        <v/>
      </c>
      <c r="EM726" s="2" t="str">
        <f>IF(AND(AND(AND($DX726=0,$DW726=0),OR($EC726=1,$EA726=1)),SUM($EB726:$EE726)&gt;=2),"Technology approach","")</f>
        <v/>
      </c>
      <c r="EP726" t="str">
        <f>IF(ISNUMBER(BU726),IF(ABS(BU726-[3]QC_indicators!$B$2)&gt;3*[3]QC_indicators!$C$2,"C ratio",IF(ISNUMBER(BY726),IF(ABS(BY726-[3]QC_indicators!$B$1)&gt;3*[3]QC_indicators!$C$1,"DF","no"))),IF(ISNUMBER(BY726),IF(ABS(BY726-[3]QC_indicators!$B$1)&gt;3*[3]QC_indicators!$C$1,"DF","no")))</f>
        <v>no</v>
      </c>
      <c r="ER726" s="264" t="s">
        <v>1070</v>
      </c>
      <c r="ET726" s="264" t="s">
        <v>3407</v>
      </c>
    </row>
    <row r="727" spans="1:151" ht="15" customHeight="1">
      <c r="A727" s="1" t="s">
        <v>430</v>
      </c>
      <c r="B727" t="s">
        <v>431</v>
      </c>
      <c r="C727" t="s">
        <v>432</v>
      </c>
      <c r="D727" t="s">
        <v>433</v>
      </c>
      <c r="E727" t="s">
        <v>434</v>
      </c>
      <c r="F727" t="s">
        <v>435</v>
      </c>
      <c r="G727" t="s">
        <v>436</v>
      </c>
      <c r="H727" t="s">
        <v>254</v>
      </c>
      <c r="I727">
        <v>2000</v>
      </c>
      <c r="J727">
        <v>174</v>
      </c>
      <c r="K727" t="s">
        <v>437</v>
      </c>
      <c r="M727" t="str">
        <f>LEFT($D727,FIND(",",$D727)-1)&amp;"_"&amp;I727&amp;L727</f>
        <v>Borjesson_2000</v>
      </c>
      <c r="N727" t="s">
        <v>222</v>
      </c>
      <c r="O727" s="145" t="s">
        <v>223</v>
      </c>
      <c r="Q727" t="s">
        <v>256</v>
      </c>
      <c r="R727" s="255" t="s">
        <v>225</v>
      </c>
      <c r="S727" s="1" t="s">
        <v>438</v>
      </c>
      <c r="T727" t="s">
        <v>451</v>
      </c>
      <c r="U727" t="s">
        <v>452</v>
      </c>
      <c r="V727">
        <v>0</v>
      </c>
      <c r="W727">
        <v>0</v>
      </c>
      <c r="X727">
        <v>0</v>
      </c>
      <c r="Y727">
        <v>0</v>
      </c>
      <c r="Z727">
        <v>0</v>
      </c>
      <c r="AA727">
        <v>0</v>
      </c>
      <c r="AB727">
        <v>0</v>
      </c>
      <c r="AC727">
        <v>0</v>
      </c>
      <c r="AD727">
        <v>0</v>
      </c>
      <c r="AE727">
        <v>0</v>
      </c>
      <c r="AF727">
        <v>0</v>
      </c>
      <c r="AG727">
        <v>0</v>
      </c>
      <c r="AH727">
        <v>0</v>
      </c>
      <c r="AI727">
        <v>0</v>
      </c>
      <c r="AJ727">
        <v>0</v>
      </c>
      <c r="AK727">
        <v>1</v>
      </c>
      <c r="AL727">
        <v>0</v>
      </c>
      <c r="AM727">
        <v>0</v>
      </c>
      <c r="AN727">
        <v>0</v>
      </c>
      <c r="AO727">
        <v>0</v>
      </c>
      <c r="AP727">
        <v>0</v>
      </c>
      <c r="AQ727">
        <v>0</v>
      </c>
      <c r="AR727">
        <v>0</v>
      </c>
      <c r="AS727">
        <v>0</v>
      </c>
      <c r="AT727">
        <v>0</v>
      </c>
      <c r="AU727">
        <v>0</v>
      </c>
      <c r="AV727">
        <v>0</v>
      </c>
      <c r="AW727">
        <v>0</v>
      </c>
      <c r="AX727" s="141">
        <f>COUNTIF(V727:AW727,"&lt;&gt;0")</f>
        <v>1</v>
      </c>
      <c r="AY727" s="141">
        <f>COUNTIF(V727:AL727,"&lt;&gt;0")</f>
        <v>1</v>
      </c>
      <c r="AZ727">
        <f>COUNTIF(V727:AC727,"&lt;&gt;0")</f>
        <v>0</v>
      </c>
      <c r="BA727">
        <f>COUNTIF(AD727:AI727,"&lt;&gt;0")</f>
        <v>0</v>
      </c>
      <c r="BB727">
        <f>COUNTIF(AJ727:AL727,"&lt;&gt;0")</f>
        <v>1</v>
      </c>
      <c r="BC727">
        <f>COUNTIF(AS727:AW727,"&lt;&gt;0")</f>
        <v>0</v>
      </c>
      <c r="BD727">
        <f>COUNTIF(AM727:AR727,"&lt;&gt;0")</f>
        <v>0</v>
      </c>
      <c r="BE727" t="str">
        <f t="array" ref="BE727">IF(AY727=1,INDEX($V$7:$AL$7,MATCH(TRUE,INDEX($V727:$AW727&lt;&gt;0,),0)),IF(AY727=0,INDEX($AM$7:$AW$7,MATCH(1,$AM727:$AW727,0)),IF(BF727="Multiple strategies","mixed drivers",IF(BF727="Supply chain","multiple supply","multiple silviculture"))))</f>
        <v>technologies/design switch</v>
      </c>
      <c r="BF727" s="2" t="str" cm="1">
        <f t="array" ref="BF727">IF(COUNTIF(AZ727:BB727,"&lt;&gt;0")=1,INDEX($V$4:$AW$4,MATCH(TRUE,INDEX($V727:$AW727&lt;&gt;0,),0)),IF(COUNTIF(AZ727:BB727,"&lt;&gt;0")=0,INDEX($AM$4:$AW$4,MATCH(1,$AM727:$AW727,0)),"Multiple strategies"))</f>
        <v>Technology</v>
      </c>
      <c r="BG727" s="142" t="s">
        <v>229</v>
      </c>
      <c r="BH727" t="s">
        <v>441</v>
      </c>
      <c r="BI727" s="264" t="s">
        <v>3274</v>
      </c>
      <c r="BJ727" s="143" t="s">
        <v>442</v>
      </c>
      <c r="BK727">
        <v>0</v>
      </c>
      <c r="BL727">
        <f>3*44</f>
        <v>132</v>
      </c>
      <c r="BM727" s="143" t="e">
        <f>BL727/BK727</f>
        <v>#DIV/0!</v>
      </c>
      <c r="BN727">
        <f>BL727-BK727</f>
        <v>132</v>
      </c>
      <c r="BO727">
        <f>BN727*tC_to_m3</f>
        <v>573.16543638732094</v>
      </c>
      <c r="BP727" t="s">
        <v>232</v>
      </c>
      <c r="BQ727" s="260" t="s">
        <v>813</v>
      </c>
      <c r="BR727" t="s">
        <v>443</v>
      </c>
      <c r="BS727" s="141">
        <v>25</v>
      </c>
      <c r="BT727" s="141">
        <v>84</v>
      </c>
      <c r="BU727" s="144">
        <f>IFERROR(BT727/BS727,"")</f>
        <v>3.36</v>
      </c>
      <c r="BV727">
        <f>BT727-BS727</f>
        <v>59</v>
      </c>
      <c r="BX727">
        <f>BV727*C_to_CO2</f>
        <v>216.53</v>
      </c>
      <c r="BY727">
        <f>IFERROR(BX727/BO727,"")</f>
        <v>0.3777792348484848</v>
      </c>
      <c r="BZ727" s="143">
        <v>0</v>
      </c>
      <c r="CA727" s="143">
        <v>0</v>
      </c>
      <c r="CB727" s="143">
        <v>0</v>
      </c>
      <c r="CC727" s="143">
        <v>0</v>
      </c>
      <c r="CD727" s="143">
        <v>0</v>
      </c>
      <c r="CE727" s="143">
        <v>0</v>
      </c>
      <c r="CF727" s="143">
        <v>0</v>
      </c>
      <c r="CG727" s="143">
        <v>0</v>
      </c>
      <c r="CH727" s="143">
        <v>0</v>
      </c>
      <c r="CI727" s="143">
        <v>0</v>
      </c>
      <c r="CJ727" s="143">
        <v>0</v>
      </c>
      <c r="CK727" s="143">
        <v>0</v>
      </c>
      <c r="CL727" s="143">
        <v>0</v>
      </c>
      <c r="CM727">
        <v>0</v>
      </c>
      <c r="CN727" t="str">
        <f>IF($BL727&lt;$BK727,"refNeedCorrection","refOK")</f>
        <v>refOK</v>
      </c>
      <c r="CO727">
        <f>IF($CN727="refOK",$BK727,$BL727)</f>
        <v>0</v>
      </c>
      <c r="CP727">
        <f>IF($CN727="refOK",$BL727,$BK727)</f>
        <v>132</v>
      </c>
      <c r="CQ727">
        <f>IF($CN727="refOK",$BO727,-$BO727)</f>
        <v>573.16543638732094</v>
      </c>
      <c r="CR727">
        <f>IF($CN727="refOK",$BS727,$BT727)*IF($BP727="Emissions positive",-1,1)</f>
        <v>25</v>
      </c>
      <c r="CS727">
        <f>IF($CN727="refOK",$BT727,$BS727)*IF($BP727="Emissions positive",-1,1)</f>
        <v>84</v>
      </c>
      <c r="CT727">
        <f>IF($CN727="refNeedCorrection",-BX727,BX727)*IF($BP727="Emissions positive",-1,1)</f>
        <v>216.53</v>
      </c>
      <c r="CU727">
        <f>IFERROR(CT727/CQ727,"")</f>
        <v>0.3777792348484848</v>
      </c>
      <c r="CV727" s="2">
        <f>IFERROR((CS727-CR727)/ABS(CR727),"")</f>
        <v>2.36</v>
      </c>
      <c r="CW727" s="1" t="s">
        <v>263</v>
      </c>
      <c r="CX727" t="str">
        <f>IF(OR($CW727="prd",$CW727="std",$CW727="cit"),"loc",IF(OR($CW727="eur",$CW727="reg",$CW727="coy"),"reg",$CW727))</f>
        <v>loc</v>
      </c>
      <c r="CY727" t="s">
        <v>444</v>
      </c>
      <c r="DB727">
        <v>300</v>
      </c>
      <c r="DC727" t="str">
        <f>IF(DB727=0,"0",IF(AND(DB727&gt;=1,DB727&lt;=30),"1-30",IF(AND(DB727&gt;30,DB727&lt;=70),"31-70",IF(AND(DB727&gt;70,DB727&lt;=100),"71-100",IF(DB727&gt;100,"+100")))))</f>
        <v>+100</v>
      </c>
      <c r="DD727">
        <v>0</v>
      </c>
      <c r="DE727">
        <v>0</v>
      </c>
      <c r="DF727">
        <v>0</v>
      </c>
      <c r="DG727">
        <v>1</v>
      </c>
      <c r="DI727">
        <f>SUM(DD727:DG727)</f>
        <v>1</v>
      </c>
      <c r="DJ727" t="str">
        <f>IF(DI727=1,INDEX($DD$7:$DG$7,MATCH(1,$DD727:$DG727,0)),"mixedProduct")</f>
        <v>TimberInput</v>
      </c>
      <c r="DK727">
        <f>IF(DD727=1,DK$7,0)</f>
        <v>0</v>
      </c>
      <c r="DL727">
        <f>IF(DE727=1,DL$7,0)</f>
        <v>0</v>
      </c>
      <c r="DM727">
        <f>IF(DF727=1,DM$7,0)</f>
        <v>0</v>
      </c>
      <c r="DN727" t="str">
        <f>IF(DG727=1,DN$7,0)</f>
        <v>Timber</v>
      </c>
      <c r="DO727">
        <v>1</v>
      </c>
      <c r="DP727" s="143">
        <v>0</v>
      </c>
      <c r="DQ727" s="143">
        <v>0</v>
      </c>
      <c r="DR727" s="143">
        <v>0</v>
      </c>
      <c r="DS727">
        <v>0</v>
      </c>
      <c r="DT727">
        <f>SUM(DO727:DP727)</f>
        <v>1</v>
      </c>
      <c r="DU727" s="143" t="str">
        <f>IF(DO727=1,"self-calculated DF",IF(DP727=1,"external DF used","explicit C balance"))</f>
        <v>self-calculated DF</v>
      </c>
      <c r="DV727">
        <v>0</v>
      </c>
      <c r="DW727" s="143">
        <v>0</v>
      </c>
      <c r="DX727" s="143">
        <v>1</v>
      </c>
      <c r="DY727" s="143">
        <v>1</v>
      </c>
      <c r="DZ727">
        <v>1</v>
      </c>
      <c r="EA727" s="143">
        <v>1</v>
      </c>
      <c r="EB727">
        <v>0</v>
      </c>
      <c r="EC727" s="143">
        <v>1</v>
      </c>
      <c r="ED727" s="143">
        <v>0</v>
      </c>
      <c r="EE727">
        <v>0</v>
      </c>
      <c r="EF727">
        <v>0</v>
      </c>
      <c r="EG727" s="143">
        <v>0</v>
      </c>
      <c r="EH727" s="143">
        <v>0</v>
      </c>
      <c r="EI727" s="2">
        <v>0</v>
      </c>
      <c r="EK727" t="str">
        <f>IF(AND(AND(AND(OR($DX727=1,$DW727=1),OR($EC727=1,$EA727=1)),SUM($DV727:$DZ727,$EF727)&gt;=4),SUM($EA727:$EE727)&gt;=2),"Whole sector","")</f>
        <v/>
      </c>
      <c r="EL727" t="str">
        <f>IF(AND(AND(OR($DX727=1,$DW727=1),AND($EC727=0,$EA727=0)),SUM($DV727:$DZ727,$EF727)&gt;=4),"Ecosystem approach","")</f>
        <v/>
      </c>
      <c r="EM727" s="2" t="str">
        <f>IF(AND(AND(AND($DX727=0,$DW727=0),OR($EC727=1,$EA727=1)),SUM($EB727:$EE727)&gt;=2),"Technology approach","")</f>
        <v/>
      </c>
      <c r="EN727" t="s">
        <v>445</v>
      </c>
      <c r="EP727" t="str">
        <f>IF(ISNUMBER(BU727),IF(ABS(BU727-[4]QC_indicators!$B$2)&gt;3*[4]QC_indicators!$C$2,"C ratio",IF(ISNUMBER(BY727),IF(ABS(BY727-[4]QC_indicators!$B$1)&gt;3*[4]QC_indicators!$C$1,"DF","no"))),IF(ISNUMBER(BY727),IF(ABS(BY727-[4]QC_indicators!$B$1)&gt;3*[4]QC_indicators!$C$1,"DF","no")))</f>
        <v>no</v>
      </c>
      <c r="ET727" s="264" t="s">
        <v>3273</v>
      </c>
    </row>
    <row r="728" spans="1:151" ht="15" customHeight="1">
      <c r="A728" s="1" t="s">
        <v>333</v>
      </c>
      <c r="B728" t="s">
        <v>334</v>
      </c>
      <c r="C728" t="s">
        <v>335</v>
      </c>
      <c r="D728" t="s">
        <v>336</v>
      </c>
      <c r="E728" t="s">
        <v>337</v>
      </c>
      <c r="F728" t="s">
        <v>338</v>
      </c>
      <c r="G728" t="s">
        <v>339</v>
      </c>
      <c r="I728">
        <v>2017</v>
      </c>
      <c r="K728" t="s">
        <v>340</v>
      </c>
      <c r="M728" t="str">
        <f>LEFT($D728,FIND(",",$D728)-1)&amp;"_"&amp;I728&amp;L728</f>
        <v>Balasbaneh_2017</v>
      </c>
      <c r="N728" t="s">
        <v>222</v>
      </c>
      <c r="O728" s="140" t="s">
        <v>341</v>
      </c>
      <c r="Q728" t="s">
        <v>224</v>
      </c>
      <c r="R728" s="262" t="s">
        <v>223</v>
      </c>
      <c r="S728" s="1" t="s">
        <v>369</v>
      </c>
      <c r="T728" t="s">
        <v>361</v>
      </c>
      <c r="U728" t="s">
        <v>351</v>
      </c>
      <c r="V728">
        <v>0</v>
      </c>
      <c r="W728">
        <v>0</v>
      </c>
      <c r="X728">
        <v>0</v>
      </c>
      <c r="Y728">
        <v>0</v>
      </c>
      <c r="Z728">
        <v>0</v>
      </c>
      <c r="AA728">
        <v>0</v>
      </c>
      <c r="AB728">
        <v>0</v>
      </c>
      <c r="AC728">
        <v>0</v>
      </c>
      <c r="AD728">
        <v>0</v>
      </c>
      <c r="AE728">
        <v>0</v>
      </c>
      <c r="AF728">
        <v>0</v>
      </c>
      <c r="AG728">
        <v>0</v>
      </c>
      <c r="AH728">
        <v>0</v>
      </c>
      <c r="AI728">
        <v>0</v>
      </c>
      <c r="AJ728">
        <v>0</v>
      </c>
      <c r="AK728">
        <v>1</v>
      </c>
      <c r="AL728">
        <v>0</v>
      </c>
      <c r="AM728">
        <v>0</v>
      </c>
      <c r="AN728">
        <v>0</v>
      </c>
      <c r="AO728">
        <v>0</v>
      </c>
      <c r="AP728">
        <v>0</v>
      </c>
      <c r="AQ728">
        <v>0</v>
      </c>
      <c r="AR728">
        <v>0</v>
      </c>
      <c r="AS728">
        <v>0</v>
      </c>
      <c r="AT728">
        <v>0</v>
      </c>
      <c r="AU728">
        <v>0</v>
      </c>
      <c r="AV728">
        <v>0</v>
      </c>
      <c r="AW728">
        <v>0</v>
      </c>
      <c r="AX728" s="141">
        <f>COUNTIF(V728:AW728,"&lt;&gt;0")</f>
        <v>1</v>
      </c>
      <c r="AY728" s="141">
        <f>COUNTIF(V728:AL728,"&lt;&gt;0")</f>
        <v>1</v>
      </c>
      <c r="AZ728">
        <f>COUNTIF(V728:AC728,"&lt;&gt;0")</f>
        <v>0</v>
      </c>
      <c r="BA728">
        <f>COUNTIF(AD728:AI728,"&lt;&gt;0")</f>
        <v>0</v>
      </c>
      <c r="BB728">
        <f>COUNTIF(AJ728:AL728,"&lt;&gt;0")</f>
        <v>1</v>
      </c>
      <c r="BC728">
        <f>COUNTIF(AS728:AW728,"&lt;&gt;0")</f>
        <v>0</v>
      </c>
      <c r="BD728">
        <f>COUNTIF(AM728:AR728,"&lt;&gt;0")</f>
        <v>0</v>
      </c>
      <c r="BE728" t="str">
        <f t="array" ref="BE728">IF(AY728=1,INDEX($V$7:$AL$7,MATCH(TRUE,INDEX($V728:$AW728&lt;&gt;0,),0)),IF(AY728=0,INDEX($AM$7:$AW$7,MATCH(1,$AM728:$AW728,0)),IF(BF728="Multiple strategies","mixed drivers",IF(BF728="Supply chain","multiple supply","multiple silviculture"))))</f>
        <v>technologies/design switch</v>
      </c>
      <c r="BF728" s="2" t="str" cm="1">
        <f t="array" ref="BF728">IF(COUNTIF(AZ728:BB728,"&lt;&gt;0")=1,INDEX($V$4:$AW$4,MATCH(TRUE,INDEX($V728:$AW728&lt;&gt;0,),0)),IF(COUNTIF(AZ728:BB728,"&lt;&gt;0")=0,INDEX($AM$4:$AW$4,MATCH(1,$AM728:$AW728,0)),"Multiple strategies"))</f>
        <v>Technology</v>
      </c>
      <c r="BG728" s="1" t="s">
        <v>229</v>
      </c>
      <c r="BH728" t="s">
        <v>229</v>
      </c>
      <c r="BI728" s="264" t="s">
        <v>410</v>
      </c>
      <c r="BJ728" t="s">
        <v>345</v>
      </c>
      <c r="BK728">
        <v>0</v>
      </c>
      <c r="BL728">
        <v>23500</v>
      </c>
      <c r="BM728" s="143"/>
      <c r="BN728">
        <f>BL728-BK728</f>
        <v>23500</v>
      </c>
      <c r="BO728" s="143">
        <f>BN728*kg_to_m3</f>
        <v>47.95918367346939</v>
      </c>
      <c r="BP728" t="s">
        <v>232</v>
      </c>
      <c r="BQ728" s="335" t="s">
        <v>396</v>
      </c>
      <c r="BR728" t="s">
        <v>346</v>
      </c>
      <c r="BS728">
        <v>-24200</v>
      </c>
      <c r="BT728">
        <v>-5830</v>
      </c>
      <c r="BU728" s="144">
        <v>0.24090909090909091</v>
      </c>
      <c r="BV728">
        <f>BT728-BS728</f>
        <v>18370</v>
      </c>
      <c r="BX728">
        <f>BV728/1000</f>
        <v>18.37</v>
      </c>
      <c r="BY728">
        <f>IFERROR(BX728/BO728,"")</f>
        <v>0.38303404255319151</v>
      </c>
      <c r="BZ728">
        <v>0</v>
      </c>
      <c r="CA728">
        <v>0</v>
      </c>
      <c r="CB728">
        <v>0</v>
      </c>
      <c r="CC728">
        <v>0</v>
      </c>
      <c r="CD728">
        <v>0</v>
      </c>
      <c r="CE728">
        <v>0</v>
      </c>
      <c r="CF728">
        <v>0</v>
      </c>
      <c r="CG728">
        <v>0</v>
      </c>
      <c r="CH728">
        <v>0</v>
      </c>
      <c r="CI728">
        <v>0</v>
      </c>
      <c r="CJ728">
        <v>0</v>
      </c>
      <c r="CK728">
        <v>0</v>
      </c>
      <c r="CL728">
        <v>0</v>
      </c>
      <c r="CM728">
        <v>0</v>
      </c>
      <c r="CN728" t="str">
        <f>IF($BL728&lt;$BK728,"refNeedCorrection","refOK")</f>
        <v>refOK</v>
      </c>
      <c r="CO728">
        <f>IF($CN728="refNeedCorrection",BL728,BK728)</f>
        <v>0</v>
      </c>
      <c r="CP728">
        <f>IF($CN728="refNeedCorrection",BK728,BL728)</f>
        <v>23500</v>
      </c>
      <c r="CQ728">
        <f>IF($CN728="refOK",$BO728,-$BO728)</f>
        <v>47.95918367346939</v>
      </c>
      <c r="CR728">
        <f>IF($CN728="refOK",$BS728,$BT728)*IF($BP728="Emissions positive",-1,1)</f>
        <v>-24200</v>
      </c>
      <c r="CS728">
        <f>IF($CN728="refOK",$BT728,$BS728)*IF($BP728="Emissions positive",-1,1)</f>
        <v>-5830</v>
      </c>
      <c r="CT728">
        <f>IF($CN728="refNeedCorrection",-BX728,BX728)*IF($BP728="Emissions positive",-1,1)</f>
        <v>18.37</v>
      </c>
      <c r="CU728">
        <f>IFERROR(CT728/CQ728,"")</f>
        <v>0.38303404255319151</v>
      </c>
      <c r="CV728" s="2">
        <f>IFERROR((CS728-CR728)/ABS(CR728),"")</f>
        <v>0.75909090909090904</v>
      </c>
      <c r="CW728" s="1" t="s">
        <v>347</v>
      </c>
      <c r="CX728" t="str">
        <f>IF(OR($CW728="prd",$CW728="std",$CW728="cit"),"loc",IF(OR($CW728="eur",$CW728="reg",$CW728="coy"),"reg",$CW728))</f>
        <v>loc</v>
      </c>
      <c r="CY728" t="s">
        <v>348</v>
      </c>
      <c r="CZ728">
        <v>2014</v>
      </c>
      <c r="DA728">
        <v>2114</v>
      </c>
      <c r="DB728">
        <v>100</v>
      </c>
      <c r="DC728" t="str">
        <f>IF(DB728=0,"0",IF(AND(DB728&gt;=1,DB728&lt;=30),"1-30",IF(AND(DB728&gt;30,DB728&lt;=70),"31-70",IF(AND(DB728&gt;70,DB728&lt;=100),"71-100",IF(DB728&gt;100,"+100")))))</f>
        <v>71-100</v>
      </c>
      <c r="DD728">
        <v>0</v>
      </c>
      <c r="DE728">
        <v>0</v>
      </c>
      <c r="DF728">
        <v>0</v>
      </c>
      <c r="DG728">
        <v>1</v>
      </c>
      <c r="DI728">
        <f>SUM(DD728:DG728)</f>
        <v>1</v>
      </c>
      <c r="DJ728" t="str">
        <f>IF(DI728=1,INDEX($DD$7:$DG$7,MATCH(1,$DD728:$DG728,0)),"mixedProduct")</f>
        <v>TimberInput</v>
      </c>
      <c r="DK728">
        <f>IF(DD728=1,DK$7,0)</f>
        <v>0</v>
      </c>
      <c r="DL728">
        <f>IF(DE728=1,DL$7,0)</f>
        <v>0</v>
      </c>
      <c r="DM728">
        <f>IF(DF728=1,DM$7,0)</f>
        <v>0</v>
      </c>
      <c r="DN728" t="str">
        <f>IF(DG728=1,DN$7,0)</f>
        <v>Timber</v>
      </c>
      <c r="DO728">
        <v>0</v>
      </c>
      <c r="DP728">
        <v>0</v>
      </c>
      <c r="DQ728">
        <v>0</v>
      </c>
      <c r="DR728">
        <v>0</v>
      </c>
      <c r="DS728">
        <v>0</v>
      </c>
      <c r="DT728">
        <f>SUM(DO728:DP728)</f>
        <v>0</v>
      </c>
      <c r="DU728" s="143" t="str">
        <f>IF(DO728=1,"self-calculated DF",IF(DP728=1,"external DF used","explicit C balance"))</f>
        <v>explicit C balance</v>
      </c>
      <c r="DV728">
        <v>0</v>
      </c>
      <c r="DW728">
        <v>0</v>
      </c>
      <c r="DX728">
        <v>0</v>
      </c>
      <c r="DY728">
        <v>1</v>
      </c>
      <c r="DZ728">
        <v>0</v>
      </c>
      <c r="EA728" s="143">
        <v>1</v>
      </c>
      <c r="EB728">
        <v>0</v>
      </c>
      <c r="EC728">
        <v>1</v>
      </c>
      <c r="ED728">
        <v>1</v>
      </c>
      <c r="EE728">
        <v>1</v>
      </c>
      <c r="EF728">
        <v>0</v>
      </c>
      <c r="EG728">
        <v>0</v>
      </c>
      <c r="EH728">
        <v>0</v>
      </c>
      <c r="EI728" s="2">
        <v>0</v>
      </c>
      <c r="EK728" t="str">
        <f>IF(AND(AND(AND(OR($DX728=1,$DW728=1),OR($EC728=1,$EA728=1)),SUM($DV728:$DZ728,$EF728)&gt;=4),SUM($EA728:$EE728)&gt;=2),"Whole sector","")</f>
        <v/>
      </c>
      <c r="EL728" t="str">
        <f>IF(AND(AND(OR($DX728=1,$DW728=1),AND($EC728=0,$EA728=0)),SUM($DV728:$DZ728,$EF728)&gt;=4),"Ecosystem approach","")</f>
        <v/>
      </c>
      <c r="EM728" s="2" t="str">
        <f>IF(AND(AND(AND($DX728=0,$DW728=0),OR($EC728=1,$EA728=1)),SUM($EB728:$EE728)&gt;=2),"Technology approach","")</f>
        <v>Technology approach</v>
      </c>
      <c r="EP728" t="str">
        <f>IF(ISNUMBER(BU728),IF(ABS(BU728-[1]QC_indicators!$B$2)&gt;3*[1]QC_indicators!$C$2,"C ratio",IF(ISNUMBER(BY728),IF(ABS(BY728-[1]QC_indicators!$B$1)&gt;3*[1]QC_indicators!$C$1,"DF","no"))),IF(ISNUMBER(BY728),IF(ABS(BY728-[1]QC_indicators!$B$1)&gt;3*[1]QC_indicators!$C$1,"DF","no")))</f>
        <v>no</v>
      </c>
      <c r="ER728" s="149" t="s">
        <v>349</v>
      </c>
      <c r="ET728" s="264" t="s">
        <v>3273</v>
      </c>
    </row>
    <row r="729" spans="1:151" ht="15" customHeight="1">
      <c r="A729" s="1" t="s">
        <v>587</v>
      </c>
      <c r="B729" t="s">
        <v>2360</v>
      </c>
      <c r="C729" t="s">
        <v>2361</v>
      </c>
      <c r="D729" t="s">
        <v>2362</v>
      </c>
      <c r="E729" t="s">
        <v>2363</v>
      </c>
      <c r="F729" t="s">
        <v>2364</v>
      </c>
      <c r="G729" t="s">
        <v>593</v>
      </c>
      <c r="H729" t="s">
        <v>254</v>
      </c>
      <c r="I729">
        <v>2016</v>
      </c>
      <c r="J729">
        <v>32</v>
      </c>
      <c r="K729" t="s">
        <v>2365</v>
      </c>
      <c r="M729" t="str">
        <f>LEFT($D729,FIND(",",$D729)-1)&amp;"_"&amp;I729&amp;L729</f>
        <v>Taskhiri_2016</v>
      </c>
      <c r="N729" t="s">
        <v>222</v>
      </c>
      <c r="O729" s="145" t="s">
        <v>1154</v>
      </c>
      <c r="Q729" t="s">
        <v>256</v>
      </c>
      <c r="R729" s="255" t="s">
        <v>223</v>
      </c>
      <c r="S729" s="1" t="s">
        <v>2366</v>
      </c>
      <c r="T729" t="s">
        <v>1308</v>
      </c>
      <c r="U729" s="264" t="s">
        <v>3102</v>
      </c>
      <c r="V729">
        <v>0</v>
      </c>
      <c r="W729">
        <v>0</v>
      </c>
      <c r="X729">
        <v>0</v>
      </c>
      <c r="Y729">
        <v>0</v>
      </c>
      <c r="Z729">
        <v>0</v>
      </c>
      <c r="AA729">
        <v>0</v>
      </c>
      <c r="AB729">
        <v>0</v>
      </c>
      <c r="AC729">
        <v>0</v>
      </c>
      <c r="AD729">
        <v>0</v>
      </c>
      <c r="AE729">
        <v>0</v>
      </c>
      <c r="AF729">
        <v>0</v>
      </c>
      <c r="AG729">
        <v>1</v>
      </c>
      <c r="AH729">
        <v>0</v>
      </c>
      <c r="AI729">
        <v>0</v>
      </c>
      <c r="AJ729">
        <v>0</v>
      </c>
      <c r="AK729">
        <v>0</v>
      </c>
      <c r="AL729">
        <v>0</v>
      </c>
      <c r="AM729">
        <v>0</v>
      </c>
      <c r="AN729">
        <v>0</v>
      </c>
      <c r="AO729">
        <v>0</v>
      </c>
      <c r="AP729">
        <v>0</v>
      </c>
      <c r="AQ729">
        <v>0</v>
      </c>
      <c r="AR729">
        <v>0</v>
      </c>
      <c r="AS729">
        <v>0</v>
      </c>
      <c r="AT729">
        <v>0</v>
      </c>
      <c r="AU729">
        <v>0</v>
      </c>
      <c r="AV729">
        <v>0</v>
      </c>
      <c r="AW729">
        <v>0</v>
      </c>
      <c r="AX729" s="141">
        <f>COUNTIF(V729:AW729,"&lt;&gt;0")</f>
        <v>1</v>
      </c>
      <c r="AY729" s="141">
        <f>COUNTIF(V729:AL729,"&lt;&gt;0")</f>
        <v>1</v>
      </c>
      <c r="AZ729">
        <f>COUNTIF(V729:AC729,"&lt;&gt;0")</f>
        <v>0</v>
      </c>
      <c r="BA729">
        <f>COUNTIF(AD729:AI729,"&lt;&gt;0")</f>
        <v>1</v>
      </c>
      <c r="BB729">
        <f>COUNTIF(AJ729:AL729,"&lt;&gt;0")</f>
        <v>0</v>
      </c>
      <c r="BC729">
        <f>COUNTIF(AS729:AW729,"&lt;&gt;0")</f>
        <v>0</v>
      </c>
      <c r="BD729">
        <f>COUNTIF(AM729:AR729,"&lt;&gt;0")</f>
        <v>0</v>
      </c>
      <c r="BE729" t="str">
        <f t="array" ref="BE729">IF(AY729=1,INDEX($V$7:$AL$7,MATCH(TRUE,INDEX($V729:$AW729&lt;&gt;0,),0)),IF(AY729=0,INDEX($AM$7:$AW$7,MATCH(1,$AM729:$AW729,0)),IF(BF729="Multiple strategies","mixed drivers",IF(BF729="Supply chain","multiple supply","multiple silviculture"))))</f>
        <v>recycling</v>
      </c>
      <c r="BF729" s="2" t="str" cm="1">
        <f t="array" ref="BF729">IF(COUNTIF(AZ729:BB729,"&lt;&gt;0")=1,INDEX($V$4:$AW$4,MATCH(TRUE,INDEX($V729:$AW729&lt;&gt;0,),0)),IF(COUNTIF(AZ729:BB729,"&lt;&gt;0")=0,INDEX($AM$4:$AW$4,MATCH(1,$AM729:$AW729,0)),"Multiple strategies"))</f>
        <v>Supply chain</v>
      </c>
      <c r="BG729" s="1" t="s">
        <v>229</v>
      </c>
      <c r="BH729" t="s">
        <v>2367</v>
      </c>
      <c r="BI729" s="264" t="s">
        <v>3099</v>
      </c>
      <c r="BJ729" t="s">
        <v>1323</v>
      </c>
      <c r="BK729">
        <v>0</v>
      </c>
      <c r="BL729">
        <v>5.0000000000000001E-3</v>
      </c>
      <c r="BM729" s="143" t="e">
        <f>BL729/BK729</f>
        <v>#DIV/0!</v>
      </c>
      <c r="BN729">
        <f>BL729-BK729</f>
        <v>5.0000000000000001E-3</v>
      </c>
      <c r="BO729">
        <f>BN729*10^6</f>
        <v>5000</v>
      </c>
      <c r="BP729" t="s">
        <v>232</v>
      </c>
      <c r="BQ729" s="267" t="s">
        <v>783</v>
      </c>
      <c r="BR729" t="s">
        <v>1195</v>
      </c>
      <c r="BS729" s="198">
        <v>-27686.567164179</v>
      </c>
      <c r="BT729" s="198">
        <v>-25746.268656716398</v>
      </c>
      <c r="BU729" s="144">
        <f>IFERROR(BT729/BS729,"")</f>
        <v>0.92991913746631005</v>
      </c>
      <c r="BV729" s="144">
        <f>BT729-BS729</f>
        <v>1940.2985074626013</v>
      </c>
      <c r="BW729" s="144"/>
      <c r="BX729" s="144">
        <f>BV729</f>
        <v>1940.2985074626013</v>
      </c>
      <c r="BY729">
        <f>IFERROR(BX729/BO729,"")</f>
        <v>0.38805970149252023</v>
      </c>
      <c r="BZ729">
        <v>0</v>
      </c>
      <c r="CA729">
        <v>0</v>
      </c>
      <c r="CB729">
        <v>0</v>
      </c>
      <c r="CC729">
        <v>0</v>
      </c>
      <c r="CD729">
        <v>0</v>
      </c>
      <c r="CE729">
        <v>0</v>
      </c>
      <c r="CF729">
        <v>0</v>
      </c>
      <c r="CG729">
        <v>0</v>
      </c>
      <c r="CH729">
        <v>0</v>
      </c>
      <c r="CI729">
        <v>0</v>
      </c>
      <c r="CJ729">
        <v>0</v>
      </c>
      <c r="CK729">
        <v>0</v>
      </c>
      <c r="CL729">
        <v>0</v>
      </c>
      <c r="CM729">
        <v>1</v>
      </c>
      <c r="CN729" t="str">
        <f>IF($BL729&lt;$BK729,"refNeedCorrection","refOK")</f>
        <v>refOK</v>
      </c>
      <c r="CO729">
        <f>IF($CN729="refOK",$BK729,$BL729)</f>
        <v>0</v>
      </c>
      <c r="CP729">
        <f>IF($CN729="refOK",$BL729,$BK729)</f>
        <v>5.0000000000000001E-3</v>
      </c>
      <c r="CQ729">
        <f>IF($CN729="refOK",$BO729,-$BO729)</f>
        <v>5000</v>
      </c>
      <c r="CR729">
        <f>IF($CN729="refOK",$BS729,$BT729)*IF($BP729="Emissions positive",-1,1)</f>
        <v>-27686.567164179</v>
      </c>
      <c r="CS729">
        <f>IF($CN729="refOK",$BT729,$BS729)*IF($BP729="Emissions positive",-1,1)</f>
        <v>-25746.268656716398</v>
      </c>
      <c r="CT729">
        <f>IF($CN729="refNeedCorrection",-BX729,BX729)*IF($BP729="Emissions positive",-1,1)</f>
        <v>1940.2985074626013</v>
      </c>
      <c r="CU729">
        <f>IFERROR(CT729/CQ729,"")</f>
        <v>0.38805970149252023</v>
      </c>
      <c r="CV729" s="2">
        <f>IFERROR((CS729-CR729)/ABS(CR729),"")</f>
        <v>7.0080862533689905E-2</v>
      </c>
      <c r="CW729" s="1" t="s">
        <v>1199</v>
      </c>
      <c r="CX729" t="str">
        <f>IF(OR($CW729="prd",$CW729="std",$CW729="cit"),"loc",IF(OR($CW729="eur",$CW729="reg",$CW729="coy"),"reg",$CW729))</f>
        <v>reg</v>
      </c>
      <c r="CY729" t="s">
        <v>1301</v>
      </c>
      <c r="DB729">
        <v>0</v>
      </c>
      <c r="DC729" t="str">
        <f>IF(DB729=0,"0",IF(AND(DB729&gt;=1,DB729&lt;=30),"1-30",IF(AND(DB729&gt;30,DB729&lt;=70),"31-70",IF(AND(DB729&gt;70,DB729&lt;=100),"71-100",IF(DB729&gt;100,"+100")))))</f>
        <v>0</v>
      </c>
      <c r="DD729">
        <v>0</v>
      </c>
      <c r="DE729">
        <v>0</v>
      </c>
      <c r="DF729">
        <v>1</v>
      </c>
      <c r="DG729">
        <v>0</v>
      </c>
      <c r="DI729">
        <f>SUM(DD729:DG729)</f>
        <v>1</v>
      </c>
      <c r="DJ729" t="str">
        <f>IF(DI729=1,INDEX($DD$7:$DG$7,MATCH(1,$DD729:$DG729,0)),"mixedProduct")</f>
        <v>PulpPaperInput</v>
      </c>
      <c r="DK729">
        <f>IF(DD729=1,DK$7,0)</f>
        <v>0</v>
      </c>
      <c r="DL729">
        <f>IF(DE729=1,DL$7,0)</f>
        <v>0</v>
      </c>
      <c r="DM729" t="str">
        <f>IF(DF729=1,DM$7,0)</f>
        <v>Pulp/Paper</v>
      </c>
      <c r="DN729">
        <f>IF(DG729=1,DN$7,0)</f>
        <v>0</v>
      </c>
      <c r="DO729">
        <v>0</v>
      </c>
      <c r="DP729">
        <v>0</v>
      </c>
      <c r="DQ729">
        <v>0</v>
      </c>
      <c r="DR729">
        <v>0</v>
      </c>
      <c r="DS729">
        <v>0</v>
      </c>
      <c r="DT729">
        <f>SUM(DO729:DP729)</f>
        <v>0</v>
      </c>
      <c r="DU729" s="143" t="str">
        <f>IF(DO729=1,"self-calculated DF",IF(DP729=1,"external DF used","explicit C balance"))</f>
        <v>explicit C balance</v>
      </c>
      <c r="DV729">
        <v>0</v>
      </c>
      <c r="DW729">
        <v>0</v>
      </c>
      <c r="DX729">
        <v>0</v>
      </c>
      <c r="DY729">
        <v>0</v>
      </c>
      <c r="DZ729">
        <v>0</v>
      </c>
      <c r="EA729" s="143">
        <v>0</v>
      </c>
      <c r="EB729">
        <v>0</v>
      </c>
      <c r="EC729">
        <v>1</v>
      </c>
      <c r="ED729">
        <v>0</v>
      </c>
      <c r="EE729">
        <v>0</v>
      </c>
      <c r="EF729">
        <v>0</v>
      </c>
      <c r="EG729">
        <v>0</v>
      </c>
      <c r="EH729">
        <v>0</v>
      </c>
      <c r="EI729" s="2">
        <v>0</v>
      </c>
      <c r="EK729" t="str">
        <f>IF(AND(AND(AND(OR($DX729=1,$DW729=1),OR($EC729=1,$EA729=1)),SUM($DV729:$DZ729,$EF729)&gt;=4),SUM($EA729:$EE729)&gt;=2),"Whole sector","")</f>
        <v/>
      </c>
      <c r="EL729" t="str">
        <f>IF(AND(AND(OR($DX729=1,$DW729=1),AND($EC729=0,$EA729=0)),SUM($DV729:$DZ729,$EF729)&gt;=4),"Ecosystem approach","")</f>
        <v/>
      </c>
      <c r="EM729" s="2" t="str">
        <f>IF(AND(AND(AND($DX729=0,$DW729=0),OR($EC729=1,$EA729=1)),SUM($EB729:$EE729)&gt;=2),"Technology approach","")</f>
        <v/>
      </c>
      <c r="EP729" t="str">
        <f>IF(ISNUMBER(BU729),IF(ABS(BU729-[1]QC_indicators!$B$2)&gt;3*[1]QC_indicators!$C$2,"C ratio",IF(ISNUMBER(BY729),IF(ABS(BY729-[1]QC_indicators!$B$1)&gt;3*[1]QC_indicators!$C$1,"DF","no"))),IF(ISNUMBER(BY729),IF(ABS(BY729-[1]QC_indicators!$B$1)&gt;3*[1]QC_indicators!$C$1,"DF","no")))</f>
        <v>no</v>
      </c>
      <c r="ET729" s="264" t="s">
        <v>3103</v>
      </c>
    </row>
    <row r="730" spans="1:151" ht="15" customHeight="1">
      <c r="A730" s="1" t="s">
        <v>265</v>
      </c>
      <c r="B730" t="s">
        <v>266</v>
      </c>
      <c r="C730" t="s">
        <v>267</v>
      </c>
      <c r="D730" t="s">
        <v>268</v>
      </c>
      <c r="E730" t="s">
        <v>269</v>
      </c>
      <c r="F730" t="s">
        <v>270</v>
      </c>
      <c r="G730" t="s">
        <v>271</v>
      </c>
      <c r="H730" t="s">
        <v>254</v>
      </c>
      <c r="I730">
        <v>2022</v>
      </c>
      <c r="J730">
        <v>0</v>
      </c>
      <c r="K730" t="s">
        <v>272</v>
      </c>
      <c r="M730" t="str">
        <f>LEFT($D730,FIND(",",$D730)-1)&amp;"_"&amp;I730&amp;L730</f>
        <v>Aryapratama_2022</v>
      </c>
      <c r="N730" t="s">
        <v>222</v>
      </c>
      <c r="O730" s="145" t="s">
        <v>274</v>
      </c>
      <c r="Q730" t="s">
        <v>224</v>
      </c>
      <c r="R730" s="262" t="s">
        <v>223</v>
      </c>
      <c r="S730" s="263" t="s">
        <v>3105</v>
      </c>
      <c r="T730" t="s">
        <v>306</v>
      </c>
      <c r="U730" t="s">
        <v>288</v>
      </c>
      <c r="V730">
        <v>0</v>
      </c>
      <c r="W730">
        <v>0</v>
      </c>
      <c r="X730">
        <v>0</v>
      </c>
      <c r="Y730">
        <v>0</v>
      </c>
      <c r="Z730">
        <v>0</v>
      </c>
      <c r="AA730">
        <v>0</v>
      </c>
      <c r="AB730">
        <v>0</v>
      </c>
      <c r="AC730">
        <v>0</v>
      </c>
      <c r="AD730">
        <v>0</v>
      </c>
      <c r="AE730">
        <v>0</v>
      </c>
      <c r="AF730">
        <v>0</v>
      </c>
      <c r="AG730">
        <v>0</v>
      </c>
      <c r="AH730">
        <v>0</v>
      </c>
      <c r="AI730">
        <v>0</v>
      </c>
      <c r="AJ730">
        <v>0</v>
      </c>
      <c r="AK730">
        <v>1</v>
      </c>
      <c r="AL730">
        <v>0</v>
      </c>
      <c r="AM730">
        <v>0</v>
      </c>
      <c r="AN730">
        <v>0</v>
      </c>
      <c r="AO730">
        <v>0</v>
      </c>
      <c r="AP730">
        <v>0</v>
      </c>
      <c r="AQ730">
        <v>0</v>
      </c>
      <c r="AR730">
        <v>0</v>
      </c>
      <c r="AS730">
        <v>0</v>
      </c>
      <c r="AT730">
        <v>0</v>
      </c>
      <c r="AU730">
        <v>0</v>
      </c>
      <c r="AV730">
        <v>0</v>
      </c>
      <c r="AW730">
        <v>0</v>
      </c>
      <c r="AX730" s="141">
        <f>COUNTIF(V730:AW730,"&lt;&gt;0")</f>
        <v>1</v>
      </c>
      <c r="AY730" s="141">
        <f>COUNTIF(V730:AL730,"&lt;&gt;0")</f>
        <v>1</v>
      </c>
      <c r="AZ730">
        <f>COUNTIF(V730:AC730,"&lt;&gt;0")</f>
        <v>0</v>
      </c>
      <c r="BA730">
        <f>COUNTIF(AD730:AI730,"&lt;&gt;0")</f>
        <v>0</v>
      </c>
      <c r="BB730">
        <f>COUNTIF(AJ730:AL730,"&lt;&gt;0")</f>
        <v>1</v>
      </c>
      <c r="BC730">
        <f>COUNTIF(AS730:AW730,"&lt;&gt;0")</f>
        <v>0</v>
      </c>
      <c r="BD730">
        <f>COUNTIF(AM730:AR730,"&lt;&gt;0")</f>
        <v>0</v>
      </c>
      <c r="BE730" t="str">
        <f t="array" ref="BE730">IF(AY730=1,INDEX($V$7:$AL$7,MATCH(TRUE,INDEX($V730:$AW730&lt;&gt;0,),0)),IF(AY730=0,INDEX($AM$7:$AW$7,MATCH(1,$AM730:$AW730,0)),IF(BF730="Multiple strategies","mixed drivers",IF(BF730="Supply chain","multiple supply","multiple silviculture"))))</f>
        <v>technologies/design switch</v>
      </c>
      <c r="BF730" s="2" t="str" cm="1">
        <f t="array" ref="BF730">IF(COUNTIF(AZ730:BB730,"&lt;&gt;0")=1,INDEX($V$4:$AW$4,MATCH(TRUE,INDEX($V730:$AW730&lt;&gt;0,),0)),IF(COUNTIF(AZ730:BB730,"&lt;&gt;0")=0,INDEX($AM$4:$AW$4,MATCH(1,$AM730:$AW730,0)),"Multiple strategies"))</f>
        <v>Technology</v>
      </c>
      <c r="BG730" s="1" t="s">
        <v>229</v>
      </c>
      <c r="BH730" t="s">
        <v>277</v>
      </c>
      <c r="BI730" s="264" t="s">
        <v>3106</v>
      </c>
      <c r="BJ730" t="s">
        <v>278</v>
      </c>
      <c r="BK730">
        <v>0</v>
      </c>
      <c r="BL730">
        <v>656.10508355919967</v>
      </c>
      <c r="BN730">
        <f>BL730-BK730</f>
        <v>656.10508355919967</v>
      </c>
      <c r="BO730">
        <f>BN730*tC_to_m3</f>
        <v>2848.9148222283966</v>
      </c>
      <c r="BP730" t="s">
        <v>232</v>
      </c>
      <c r="BQ730" s="337" t="s">
        <v>3107</v>
      </c>
      <c r="BR730" t="s">
        <v>279</v>
      </c>
      <c r="BS730">
        <v>-1351.032773953493</v>
      </c>
      <c r="BT730">
        <v>-227.6520247861325</v>
      </c>
      <c r="BU730" s="144">
        <f>IFERROR(BT730/BS730,"")</f>
        <v>0.16850222228137379</v>
      </c>
      <c r="BV730">
        <f>BT730-BS730</f>
        <v>1123.3807491673606</v>
      </c>
      <c r="BX730">
        <f>BV730</f>
        <v>1123.3807491673606</v>
      </c>
      <c r="BY730">
        <f>IFERROR(BX730/BO730,"")</f>
        <v>0.39431882638339527</v>
      </c>
      <c r="BZ730">
        <v>0</v>
      </c>
      <c r="CA730">
        <v>0</v>
      </c>
      <c r="CB730">
        <v>0</v>
      </c>
      <c r="CC730">
        <v>0</v>
      </c>
      <c r="CD730">
        <v>0</v>
      </c>
      <c r="CE730">
        <v>0</v>
      </c>
      <c r="CF730">
        <v>0</v>
      </c>
      <c r="CG730">
        <v>0</v>
      </c>
      <c r="CH730">
        <v>0</v>
      </c>
      <c r="CI730">
        <v>0</v>
      </c>
      <c r="CJ730">
        <v>0</v>
      </c>
      <c r="CK730">
        <v>0</v>
      </c>
      <c r="CL730">
        <v>0</v>
      </c>
      <c r="CM730">
        <v>0</v>
      </c>
      <c r="CN730" t="str">
        <f>IF($BL730&lt;$BK730,"refNeedCorrection","refOK")</f>
        <v>refOK</v>
      </c>
      <c r="CO730">
        <f>IF($CN730="refNeedCorrection",BL730,BK730)</f>
        <v>0</v>
      </c>
      <c r="CP730">
        <f>IF($CN730="refNeedCorrection",BK730,BL730)</f>
        <v>656.10508355919967</v>
      </c>
      <c r="CQ730">
        <f>IF($CN730="refOK",$BO730,-$BO730)</f>
        <v>2848.9148222283966</v>
      </c>
      <c r="CR730">
        <f>IF($CN730="refOK",$BS730,$BT730)*IF($BP730="Emissions positive",-1,1)</f>
        <v>-1351.032773953493</v>
      </c>
      <c r="CS730">
        <f>IF($CN730="refOK",$BT730,$BS730)*IF($BP730="Emissions positive",-1,1)</f>
        <v>-227.6520247861325</v>
      </c>
      <c r="CT730">
        <f>IF($CN730="refNeedCorrection",-BX730,BX730)*IF($BP730="Emissions positive",-1,1)</f>
        <v>1123.3807491673606</v>
      </c>
      <c r="CU730">
        <f>IFERROR(CT730/CQ730,"")</f>
        <v>0.39431882638339527</v>
      </c>
      <c r="CV730" s="2">
        <f>IFERROR((CS730-CR730)/ABS(CR730),"")</f>
        <v>0.83149777771862632</v>
      </c>
      <c r="CW730" s="1" t="s">
        <v>234</v>
      </c>
      <c r="CX730" t="str">
        <f>IF(OR($CW730="prd",$CW730="std",$CW730="cit"),"loc",IF(OR($CW730="eur",$CW730="reg",$CW730="coy"),"reg",$CW730))</f>
        <v>loc</v>
      </c>
      <c r="CY730" t="s">
        <v>280</v>
      </c>
      <c r="DB730">
        <v>200</v>
      </c>
      <c r="DC730" t="str">
        <f>IF(DB730=0,"0",IF(AND(DB730&gt;=1,DB730&lt;=30),"1-30",IF(AND(DB730&gt;30,DB730&lt;=70),"31-70",IF(AND(DB730&gt;70,DB730&lt;=100),"71-100",IF(DB730&gt;100,"+100")))))</f>
        <v>+100</v>
      </c>
      <c r="DD730">
        <v>0</v>
      </c>
      <c r="DE730">
        <v>0</v>
      </c>
      <c r="DF730">
        <v>0</v>
      </c>
      <c r="DG730">
        <v>1</v>
      </c>
      <c r="DI730">
        <f>SUM(DD730:DG730)</f>
        <v>1</v>
      </c>
      <c r="DJ730" t="str">
        <f>IF(DI730=1,INDEX($DD$7:$DG$7,MATCH(1,$DD730:$DG730,0)),"mixedProduct")</f>
        <v>TimberInput</v>
      </c>
      <c r="DK730">
        <f>IF(DD730=1,DK$7,0)</f>
        <v>0</v>
      </c>
      <c r="DL730">
        <f>IF(DE730=1,DL$7,0)</f>
        <v>0</v>
      </c>
      <c r="DM730">
        <f>IF(DF730=1,DM$7,0)</f>
        <v>0</v>
      </c>
      <c r="DN730" t="str">
        <f>IF(DG730=1,DN$7,0)</f>
        <v>Timber</v>
      </c>
      <c r="DO730">
        <v>0</v>
      </c>
      <c r="DP730">
        <v>1</v>
      </c>
      <c r="DQ730">
        <v>0</v>
      </c>
      <c r="DR730" t="s">
        <v>281</v>
      </c>
      <c r="DS730">
        <v>0</v>
      </c>
      <c r="DT730">
        <f>SUM(DO730:DP730)</f>
        <v>1</v>
      </c>
      <c r="DU730" s="143" t="str">
        <f>IF(DO730=1,"self-calculated DF",IF(DP730=1,"external DF used","explicit C balance"))</f>
        <v>external DF used</v>
      </c>
      <c r="DV730">
        <v>0</v>
      </c>
      <c r="DW730">
        <v>1</v>
      </c>
      <c r="DX730">
        <v>1</v>
      </c>
      <c r="DY730">
        <v>1</v>
      </c>
      <c r="DZ730">
        <v>1</v>
      </c>
      <c r="EA730" s="143">
        <v>0</v>
      </c>
      <c r="EB730">
        <v>1</v>
      </c>
      <c r="EC730">
        <v>1</v>
      </c>
      <c r="ED730">
        <v>0</v>
      </c>
      <c r="EE730">
        <v>1</v>
      </c>
      <c r="EF730">
        <v>1</v>
      </c>
      <c r="EG730">
        <v>1</v>
      </c>
      <c r="EH730">
        <v>0</v>
      </c>
      <c r="EI730" s="2">
        <v>0</v>
      </c>
      <c r="EK730" t="str">
        <f>IF(AND(AND(AND(OR($DX730=1,$DW730=1),OR($EC730=1,$EA730=1)),SUM($DV730:$DZ730,$EF730)&gt;=4),SUM($EA730:$EE730)&gt;=2),"Whole sector","")</f>
        <v>Whole sector</v>
      </c>
      <c r="EL730" t="str">
        <f>IF(AND(AND(OR($DX730=1,$DW730=1),AND($EC730=0,$EA730=0)),SUM($DV730:$DZ730,$EF730)&gt;=4),"Ecosystem approach","")</f>
        <v/>
      </c>
      <c r="EM730" s="2" t="str">
        <f>IF(AND(AND(AND($DX730=0,$DW730=0),OR($EC730=1,$EA730=1)),SUM($EB730:$EE730)&gt;=2),"Technology approach","")</f>
        <v/>
      </c>
      <c r="EP730" t="str">
        <f>IF(ISNUMBER(BU730),IF(ABS(BU730-[1]QC_indicators!$B$2)&gt;3*[1]QC_indicators!$C$2,"C ratio",IF(ISNUMBER(BY730),IF(ABS(BY730-[1]QC_indicators!$B$1)&gt;3*[1]QC_indicators!$C$1,"DF","no"))),IF(ISNUMBER(BY730),IF(ABS(BY730-[1]QC_indicators!$B$1)&gt;3*[1]QC_indicators!$C$1,"DF","no")))</f>
        <v>no</v>
      </c>
      <c r="EQ730" t="s">
        <v>286</v>
      </c>
      <c r="ER730" t="s">
        <v>296</v>
      </c>
      <c r="ET730" s="264" t="s">
        <v>3273</v>
      </c>
    </row>
    <row r="731" spans="1:151" ht="15" customHeight="1">
      <c r="A731" s="1" t="s">
        <v>614</v>
      </c>
      <c r="B731" t="s">
        <v>1719</v>
      </c>
      <c r="C731" t="s">
        <v>1720</v>
      </c>
      <c r="D731" t="s">
        <v>1721</v>
      </c>
      <c r="E731" t="s">
        <v>1722</v>
      </c>
      <c r="F731" t="s">
        <v>1723</v>
      </c>
      <c r="G731" t="s">
        <v>620</v>
      </c>
      <c r="H731" t="s">
        <v>254</v>
      </c>
      <c r="I731">
        <v>2021</v>
      </c>
      <c r="J731">
        <v>2</v>
      </c>
      <c r="K731" t="s">
        <v>1724</v>
      </c>
      <c r="M731" t="str">
        <f>LEFT($D731,FIND(",",$D731)-1)&amp;"_"&amp;I731&amp;L731</f>
        <v>Hawkins_2021</v>
      </c>
      <c r="N731" t="s">
        <v>222</v>
      </c>
      <c r="O731" s="145" t="s">
        <v>513</v>
      </c>
      <c r="Q731" t="s">
        <v>256</v>
      </c>
      <c r="R731" s="2" t="s">
        <v>274</v>
      </c>
      <c r="S731" s="1" t="s">
        <v>1737</v>
      </c>
      <c r="T731" t="s">
        <v>1044</v>
      </c>
      <c r="U731" t="s">
        <v>1726</v>
      </c>
      <c r="V731">
        <v>0</v>
      </c>
      <c r="W731">
        <v>0</v>
      </c>
      <c r="X731">
        <v>0</v>
      </c>
      <c r="Y731">
        <v>0</v>
      </c>
      <c r="Z731">
        <v>0</v>
      </c>
      <c r="AA731">
        <v>0</v>
      </c>
      <c r="AB731">
        <v>0</v>
      </c>
      <c r="AC731">
        <v>0</v>
      </c>
      <c r="AD731">
        <v>0</v>
      </c>
      <c r="AE731">
        <v>0</v>
      </c>
      <c r="AF731">
        <v>0</v>
      </c>
      <c r="AG731">
        <v>0</v>
      </c>
      <c r="AH731">
        <v>0</v>
      </c>
      <c r="AI731">
        <v>0</v>
      </c>
      <c r="AJ731">
        <v>0</v>
      </c>
      <c r="AK731">
        <v>1</v>
      </c>
      <c r="AL731">
        <v>0</v>
      </c>
      <c r="AM731">
        <v>0</v>
      </c>
      <c r="AN731">
        <v>0</v>
      </c>
      <c r="AO731">
        <v>0</v>
      </c>
      <c r="AP731">
        <v>0</v>
      </c>
      <c r="AQ731">
        <v>0</v>
      </c>
      <c r="AR731">
        <v>0</v>
      </c>
      <c r="AS731">
        <v>0</v>
      </c>
      <c r="AT731">
        <v>0</v>
      </c>
      <c r="AU731">
        <v>0</v>
      </c>
      <c r="AV731">
        <v>0</v>
      </c>
      <c r="AW731">
        <v>0</v>
      </c>
      <c r="AX731" s="141">
        <f>COUNTIF(V731:AW731,"&lt;&gt;0")</f>
        <v>1</v>
      </c>
      <c r="AY731" s="141">
        <f>COUNTIF(V731:AL731,"&lt;&gt;0")</f>
        <v>1</v>
      </c>
      <c r="AZ731">
        <f>COUNTIF(V731:AC731,"&lt;&gt;0")</f>
        <v>0</v>
      </c>
      <c r="BA731">
        <f>COUNTIF(AD731:AI731,"&lt;&gt;0")</f>
        <v>0</v>
      </c>
      <c r="BB731">
        <f>COUNTIF(AJ731:AL731,"&lt;&gt;0")</f>
        <v>1</v>
      </c>
      <c r="BC731">
        <f>COUNTIF(AS731:AW731,"&lt;&gt;0")</f>
        <v>0</v>
      </c>
      <c r="BD731">
        <f>COUNTIF(AM731:AR731,"&lt;&gt;0")</f>
        <v>0</v>
      </c>
      <c r="BE731" t="str">
        <f t="array" ref="BE731">IF(AY731=1,INDEX($V$7:$AL$7,MATCH(TRUE,INDEX($V731:$AW731&lt;&gt;0,),0)),IF(AY731=0,INDEX($AM$7:$AW$7,MATCH(1,$AM731:$AW731,0)),IF(BF731="Multiple strategies","mixed drivers",IF(BF731="Supply chain","multiple supply","multiple silviculture"))))</f>
        <v>technologies/design switch</v>
      </c>
      <c r="BF731" s="2" t="str" cm="1">
        <f t="array" ref="BF731">IF(COUNTIF(AZ731:BB731,"&lt;&gt;0")=1,INDEX($V$4:$AW$4,MATCH(TRUE,INDEX($V731:$AW731&lt;&gt;0,),0)),IF(COUNTIF(AZ731:BB731,"&lt;&gt;0")=0,INDEX($AM$4:$AW$4,MATCH(1,$AM731:$AW731,0)),"Multiple strategies"))</f>
        <v>Technology</v>
      </c>
      <c r="BG731" s="1" t="s">
        <v>229</v>
      </c>
      <c r="BH731" t="s">
        <v>229</v>
      </c>
      <c r="BJ731" t="s">
        <v>756</v>
      </c>
      <c r="BK731">
        <v>0</v>
      </c>
      <c r="BL731">
        <v>1105.3</v>
      </c>
      <c r="BN731">
        <f>BL731-BK731</f>
        <v>1105.3</v>
      </c>
      <c r="BO731">
        <f>BN731*t_to_m3</f>
        <v>2255.7142857142858</v>
      </c>
      <c r="BP731" t="s">
        <v>232</v>
      </c>
      <c r="BQ731" s="264" t="s">
        <v>3261</v>
      </c>
      <c r="BR731" t="s">
        <v>728</v>
      </c>
      <c r="BS731" s="179">
        <v>-2200000</v>
      </c>
      <c r="BT731" s="179">
        <v>-1310000</v>
      </c>
      <c r="BU731" s="144">
        <f>IFERROR(BT731/BS731,"")</f>
        <v>0.59545454545454546</v>
      </c>
      <c r="BV731" s="179">
        <f>BT731-BS731</f>
        <v>890000</v>
      </c>
      <c r="BW731" s="179"/>
      <c r="BX731">
        <f>BV731/1000</f>
        <v>890</v>
      </c>
      <c r="BY731">
        <f>IFERROR(BX731/BO731,"")</f>
        <v>0.39455351488283724</v>
      </c>
      <c r="BZ731">
        <v>0</v>
      </c>
      <c r="CA731">
        <v>1</v>
      </c>
      <c r="CB731">
        <v>0</v>
      </c>
      <c r="CC731">
        <v>1</v>
      </c>
      <c r="CD731">
        <v>0</v>
      </c>
      <c r="CE731">
        <v>0</v>
      </c>
      <c r="CF731">
        <v>0</v>
      </c>
      <c r="CG731">
        <v>1</v>
      </c>
      <c r="CH731">
        <v>0</v>
      </c>
      <c r="CI731">
        <v>0</v>
      </c>
      <c r="CJ731">
        <v>0</v>
      </c>
      <c r="CK731">
        <v>0</v>
      </c>
      <c r="CL731">
        <v>0</v>
      </c>
      <c r="CM731">
        <v>0</v>
      </c>
      <c r="CN731" t="str">
        <f>IF($BL731&lt;$BK731,"refNeedCorrection","refOK")</f>
        <v>refOK</v>
      </c>
      <c r="CO731">
        <f>IF($CN731="refNeedCorrection",BL731,BK731)</f>
        <v>0</v>
      </c>
      <c r="CP731">
        <f>IF($CN731="refNeedCorrection",BK731,BL731)</f>
        <v>1105.3</v>
      </c>
      <c r="CQ731">
        <f>IF($CN731="refOK",$BO731,-$BO731)</f>
        <v>2255.7142857142858</v>
      </c>
      <c r="CR731" s="273">
        <f>IF($CN731="refOK",$BS731,$BT731)*IF($BP731="Emissions positive",-1,1)</f>
        <v>-2200000</v>
      </c>
      <c r="CS731" s="273">
        <f>IF($CN731="refOK",$BT731,$BS731)*IF($BP731="Emissions positive",-1,1)</f>
        <v>-1310000</v>
      </c>
      <c r="CT731">
        <f>IF($CN731="refNeedCorrection",-BX731,BX731)*IF($BP731="Emissions positive",-1,1)</f>
        <v>890</v>
      </c>
      <c r="CU731">
        <f>IFERROR(CT731/CQ731,"")</f>
        <v>0.39455351488283724</v>
      </c>
      <c r="CV731" s="2">
        <f>IFERROR((CS731-CR731)/ABS(CR731),"")</f>
        <v>0.40454545454545454</v>
      </c>
      <c r="CW731" s="1" t="s">
        <v>1203</v>
      </c>
      <c r="CX731" t="str">
        <f>IF(OR($CW731="prd",$CW731="std",$CW731="cit"),"loc",IF(OR($CW731="eur",$CW731="reg",$CW731="coy"),"reg",$CW731))</f>
        <v>reg</v>
      </c>
      <c r="CY731" s="309" t="s">
        <v>3423</v>
      </c>
      <c r="DB731">
        <v>2</v>
      </c>
      <c r="DC731" t="str">
        <f>IF(DB731=0,"0",IF(AND(DB731&gt;=1,DB731&lt;=30),"1-30",IF(AND(DB731&gt;30,DB731&lt;=70),"31-70",IF(AND(DB731&gt;70,DB731&lt;=100),"71-100",IF(DB731&gt;100,"+100")))))</f>
        <v>1-30</v>
      </c>
      <c r="DD731">
        <v>0</v>
      </c>
      <c r="DE731">
        <v>0</v>
      </c>
      <c r="DF731">
        <v>0</v>
      </c>
      <c r="DG731">
        <v>1</v>
      </c>
      <c r="DI731">
        <f>SUM(DD731:DG731)</f>
        <v>1</v>
      </c>
      <c r="DJ731" t="str">
        <f>IF(DI731=1,INDEX($DD$7:$DG$7,MATCH(1,$DD731:$DG731,0)),"mixedProduct")</f>
        <v>TimberInput</v>
      </c>
      <c r="DK731">
        <f>IF(DD731=1,DK$7,0)</f>
        <v>0</v>
      </c>
      <c r="DL731">
        <f>IF(DE731=1,DL$7,0)</f>
        <v>0</v>
      </c>
      <c r="DM731">
        <f>IF(DF731=1,DM$7,0)</f>
        <v>0</v>
      </c>
      <c r="DN731" t="str">
        <f>IF(DG731=1,DN$7,0)</f>
        <v>Timber</v>
      </c>
      <c r="DO731">
        <v>0</v>
      </c>
      <c r="DP731">
        <v>0</v>
      </c>
      <c r="DQ731">
        <v>0</v>
      </c>
      <c r="DR731">
        <v>0</v>
      </c>
      <c r="DS731">
        <v>0</v>
      </c>
      <c r="DT731">
        <f>SUM(DO731:DP731)</f>
        <v>0</v>
      </c>
      <c r="DU731" s="143" t="str">
        <f>IF(DO731=1,"self-calculated DF",IF(DP731=1,"external DF used","explicit C balance"))</f>
        <v>explicit C balance</v>
      </c>
      <c r="DV731">
        <v>0</v>
      </c>
      <c r="DW731">
        <v>0</v>
      </c>
      <c r="DX731">
        <v>0</v>
      </c>
      <c r="DY731">
        <v>1</v>
      </c>
      <c r="DZ731">
        <v>0</v>
      </c>
      <c r="EA731" s="143">
        <v>0</v>
      </c>
      <c r="EB731">
        <v>1</v>
      </c>
      <c r="EC731">
        <v>1</v>
      </c>
      <c r="ED731">
        <v>1</v>
      </c>
      <c r="EE731">
        <v>1</v>
      </c>
      <c r="EF731">
        <v>1</v>
      </c>
      <c r="EG731">
        <v>1</v>
      </c>
      <c r="EH731">
        <v>0</v>
      </c>
      <c r="EI731" s="2">
        <v>0</v>
      </c>
      <c r="EK731" t="str">
        <f>IF(AND(AND(AND(OR($DX731=1,$DW731=1),OR($EC731=1,$EA731=1)),SUM($DV731:$DZ731,$EF731)&gt;=4),SUM($EA731:$EE731)&gt;=2),"Whole sector","")</f>
        <v/>
      </c>
      <c r="EL731" t="str">
        <f>IF(AND(AND(OR($DX731=1,$DW731=1),AND($EC731=0,$EA731=0)),SUM($DV731:$DZ731,$EF731)&gt;=4),"Ecosystem approach","")</f>
        <v/>
      </c>
      <c r="EM731" s="2" t="str">
        <f>IF(AND(AND(AND($DX731=0,$DW731=0),OR($EC731=1,$EA731=1)),SUM($EB731:$EE731)&gt;=2),"Technology approach","")</f>
        <v>Technology approach</v>
      </c>
      <c r="EP731" t="str">
        <f>IF(ISNUMBER(BU731),IF(ABS(BU731-[2]QC_indicators!$B$2)&gt;3*[2]QC_indicators!$C$2,"C ratio",IF(ISNUMBER(BY731),IF(ABS(BY731-[2]QC_indicators!$B$1)&gt;3*[2]QC_indicators!$C$1,"DF","no"))),IF(ISNUMBER(BY731),IF(ABS(BY731-[2]QC_indicators!$B$1)&gt;3*[2]QC_indicators!$C$1,"DF","no")))</f>
        <v>no</v>
      </c>
      <c r="ET731" s="264" t="s">
        <v>3151</v>
      </c>
      <c r="EU731" s="264"/>
    </row>
    <row r="732" spans="1:151" ht="15" customHeight="1">
      <c r="D732" t="s">
        <v>963</v>
      </c>
      <c r="E732" t="s">
        <v>988</v>
      </c>
      <c r="G732" t="s">
        <v>693</v>
      </c>
      <c r="I732">
        <v>2003</v>
      </c>
      <c r="K732" s="295" t="s">
        <v>989</v>
      </c>
      <c r="M732" t="str">
        <f>LEFT($D732,FIND(",",$D732)-1)&amp;"_"&amp;I732&amp;L732</f>
        <v>Petersen_2003</v>
      </c>
      <c r="N732" t="s">
        <v>222</v>
      </c>
      <c r="O732" s="171" t="s">
        <v>513</v>
      </c>
      <c r="P732" s="141" t="s">
        <v>225</v>
      </c>
      <c r="Q732" s="264" t="s">
        <v>389</v>
      </c>
      <c r="R732" s="269" t="s">
        <v>1154</v>
      </c>
      <c r="S732" s="263" t="s">
        <v>983</v>
      </c>
      <c r="T732" s="264" t="s">
        <v>999</v>
      </c>
      <c r="U732" s="264" t="s">
        <v>1000</v>
      </c>
      <c r="V732">
        <v>0</v>
      </c>
      <c r="W732">
        <v>0</v>
      </c>
      <c r="X732">
        <v>0</v>
      </c>
      <c r="Y732">
        <v>0</v>
      </c>
      <c r="Z732">
        <v>0</v>
      </c>
      <c r="AA732">
        <v>0</v>
      </c>
      <c r="AB732">
        <v>0</v>
      </c>
      <c r="AC732">
        <v>0</v>
      </c>
      <c r="AD732">
        <v>0</v>
      </c>
      <c r="AE732">
        <v>0</v>
      </c>
      <c r="AF732">
        <v>0</v>
      </c>
      <c r="AG732">
        <v>0</v>
      </c>
      <c r="AH732">
        <v>0</v>
      </c>
      <c r="AI732">
        <v>0</v>
      </c>
      <c r="AJ732">
        <v>0</v>
      </c>
      <c r="AK732">
        <v>1</v>
      </c>
      <c r="AL732">
        <v>0</v>
      </c>
      <c r="AM732">
        <v>0</v>
      </c>
      <c r="AN732">
        <v>0</v>
      </c>
      <c r="AO732">
        <v>0</v>
      </c>
      <c r="AP732">
        <v>0</v>
      </c>
      <c r="AQ732">
        <v>0</v>
      </c>
      <c r="AR732">
        <v>0</v>
      </c>
      <c r="AS732">
        <v>0</v>
      </c>
      <c r="AT732">
        <v>0</v>
      </c>
      <c r="AU732">
        <v>0</v>
      </c>
      <c r="AV732">
        <v>0</v>
      </c>
      <c r="AW732">
        <v>0</v>
      </c>
      <c r="AX732" s="141">
        <f>COUNTIF(V732:AW732,"&lt;&gt;0")</f>
        <v>1</v>
      </c>
      <c r="AY732" s="141">
        <f>COUNTIF(V732:AL732,"&lt;&gt;0")</f>
        <v>1</v>
      </c>
      <c r="AZ732">
        <f>COUNTIF(V732:AC732,"&lt;&gt;0")</f>
        <v>0</v>
      </c>
      <c r="BA732">
        <f>COUNTIF(AD732:AI732,"&lt;&gt;0")</f>
        <v>0</v>
      </c>
      <c r="BB732">
        <f>COUNTIF(AJ732:AL732,"&lt;&gt;0")</f>
        <v>1</v>
      </c>
      <c r="BC732">
        <f>COUNTIF(AS732:AW732,"&lt;&gt;0")</f>
        <v>0</v>
      </c>
      <c r="BD732">
        <f>COUNTIF(AM732:AR732,"&lt;&gt;0")</f>
        <v>0</v>
      </c>
      <c r="BE732" t="str" cm="1">
        <f t="array" ref="BE732">IF(AY732=1,INDEX($V$7:$AL$7,MATCH(TRUE,INDEX($V732:$AW732&lt;&gt;0,),0)),IF(AY732=0,INDEX($AM$7:$AW$7,MATCH(1,$AM732:$AW732,0)),IF(BF732="Multiple strategies","mixed drivers",IF(BF732="Supply chain","multiple supply","multiple silviculture"))))</f>
        <v>technologies/design switch</v>
      </c>
      <c r="BF732" s="2" t="str" cm="1">
        <f t="array" ref="BF732">IF(COUNTIF(AZ732:BB732,"&lt;&gt;0")=1,INDEX($V$4:$AW$4,MATCH(TRUE,INDEX($V732:$AW732&lt;&gt;0,),0)),IF(COUNTIF(AZ732:BB732,"&lt;&gt;0")=0,INDEX($AM$4:$AW$4,MATCH(1,$AM732:$AW732,0)),"Multiple strategies"))</f>
        <v>Technology</v>
      </c>
      <c r="BG732" s="142" t="s">
        <v>229</v>
      </c>
      <c r="BH732" t="s">
        <v>970</v>
      </c>
      <c r="BI732" t="s">
        <v>993</v>
      </c>
      <c r="BJ732" t="s">
        <v>498</v>
      </c>
      <c r="BK732">
        <v>0</v>
      </c>
      <c r="BL732">
        <v>1</v>
      </c>
      <c r="BM732" t="str">
        <f>IFERROR(BL732/BK732,"")</f>
        <v/>
      </c>
      <c r="BN732">
        <f>BL732-BK732</f>
        <v>1</v>
      </c>
      <c r="BO732">
        <v>1</v>
      </c>
      <c r="BP732" t="s">
        <v>232</v>
      </c>
      <c r="BQ732" t="s">
        <v>742</v>
      </c>
      <c r="BR732" s="264" t="s">
        <v>1002</v>
      </c>
      <c r="BV732">
        <v>0.39600000000000002</v>
      </c>
      <c r="BX732">
        <f>BV732</f>
        <v>0.39600000000000002</v>
      </c>
      <c r="BY732">
        <f>IFERROR(BX732/BO732,"")</f>
        <v>0.39600000000000002</v>
      </c>
      <c r="BZ732">
        <v>0</v>
      </c>
      <c r="CA732">
        <v>0</v>
      </c>
      <c r="CB732">
        <v>0</v>
      </c>
      <c r="CC732">
        <v>0</v>
      </c>
      <c r="CD732">
        <v>0</v>
      </c>
      <c r="CE732">
        <v>0</v>
      </c>
      <c r="CF732">
        <v>0</v>
      </c>
      <c r="CG732">
        <v>0</v>
      </c>
      <c r="CH732">
        <v>0</v>
      </c>
      <c r="CI732">
        <v>0</v>
      </c>
      <c r="CJ732">
        <v>0</v>
      </c>
      <c r="CK732">
        <v>0</v>
      </c>
      <c r="CL732">
        <v>0</v>
      </c>
      <c r="CM732">
        <v>0</v>
      </c>
      <c r="CN732" t="str">
        <f>IF($BL732&lt;$BK732,"refNeedCorrection","refOK")</f>
        <v>refOK</v>
      </c>
      <c r="CO732">
        <f>IF($CN732="refOK",$BK732,$BL732)</f>
        <v>0</v>
      </c>
      <c r="CP732">
        <f>IF($CN732="refOK",$BL732,$BK732)</f>
        <v>1</v>
      </c>
      <c r="CQ732">
        <f>IF($CN732="refOK",$BO732,-$BO732)</f>
        <v>1</v>
      </c>
      <c r="CR732">
        <f>IF($CN732="refOK",$BS732,$BT732)*IF($BP732="Emissions positive",-1,1)</f>
        <v>0</v>
      </c>
      <c r="CS732">
        <f>IF($CN732="refOK",$BT732,$BS732)*IF($BP732="Emissions positive",-1,1)</f>
        <v>0</v>
      </c>
      <c r="CT732">
        <f>IF($CN732="refNeedCorrection",-BX732,BX732)*IF($BP732="Emissions positive",-1,1)</f>
        <v>0.39600000000000002</v>
      </c>
      <c r="CU732">
        <f>IFERROR(CT732/CQ732,"")</f>
        <v>0.39600000000000002</v>
      </c>
      <c r="CV732" s="2" t="str">
        <f>IFERROR((CS732-CR732)/ABS(CR732),"")</f>
        <v/>
      </c>
      <c r="CW732" s="1" t="s">
        <v>263</v>
      </c>
      <c r="CX732" s="264" t="str">
        <f>IF(OR($CW732="prd",$CW732="std",$CW732="cit"),"loc",IF(OR($CW732="eur",$CW732="reg",$CW732="coy"),"reg",$CW732))</f>
        <v>loc</v>
      </c>
      <c r="CY732" t="s">
        <v>264</v>
      </c>
      <c r="DA732" s="143"/>
      <c r="DB732" s="143">
        <v>45</v>
      </c>
      <c r="DC732" t="str">
        <f>IF(DB732=0,"0",IF(AND(DB732&gt;=1,DB732&lt;=30),"1-30",IF(AND(DB732&gt;30,DB732&lt;=70),"31-70",IF(AND(DB732&gt;70,DB732&lt;=100),"71-100",IF(DB732&gt;100,"+100")))))</f>
        <v>31-70</v>
      </c>
      <c r="DD732">
        <v>0</v>
      </c>
      <c r="DE732">
        <v>0</v>
      </c>
      <c r="DF732">
        <v>0</v>
      </c>
      <c r="DG732">
        <v>1</v>
      </c>
      <c r="DH732">
        <v>0</v>
      </c>
      <c r="DI732">
        <f>SUM(DD732:DG732)</f>
        <v>1</v>
      </c>
      <c r="DJ732" t="str">
        <f>IF(DI732=1,INDEX($DD$7:$DG$7,MATCH(1,$DD732:$DG732,0)),"mixedProduct")</f>
        <v>TimberInput</v>
      </c>
      <c r="DK732">
        <f>IF(DD732=1,DK$7,0)</f>
        <v>0</v>
      </c>
      <c r="DL732">
        <f>IF(DE732=1,DL$7,0)</f>
        <v>0</v>
      </c>
      <c r="DM732">
        <f>IF(DF732=1,DM$7,0)</f>
        <v>0</v>
      </c>
      <c r="DN732" t="str">
        <f>IF(DG732=1,DN$7,0)</f>
        <v>Timber</v>
      </c>
      <c r="DO732">
        <v>1</v>
      </c>
      <c r="DP732">
        <v>0</v>
      </c>
      <c r="DQ732">
        <v>0</v>
      </c>
      <c r="DR732">
        <v>0</v>
      </c>
      <c r="DS732">
        <v>0</v>
      </c>
      <c r="DT732">
        <f>SUM(DO732:DP732)</f>
        <v>1</v>
      </c>
      <c r="DU732" s="143" t="str">
        <f>IF(DO732=1,"self-calculated DF",IF(DP732=1,"external DF used","explicit C balance"))</f>
        <v>self-calculated DF</v>
      </c>
      <c r="DV732" s="143">
        <v>0</v>
      </c>
      <c r="DW732" s="143">
        <v>0</v>
      </c>
      <c r="DX732" s="143">
        <v>0</v>
      </c>
      <c r="DY732" s="143">
        <v>0</v>
      </c>
      <c r="DZ732">
        <v>0</v>
      </c>
      <c r="EA732" s="143">
        <v>0</v>
      </c>
      <c r="EB732" s="143">
        <v>0</v>
      </c>
      <c r="EC732" s="143">
        <v>1</v>
      </c>
      <c r="ED732" s="143">
        <v>0</v>
      </c>
      <c r="EE732">
        <v>1</v>
      </c>
      <c r="EF732">
        <v>0</v>
      </c>
      <c r="EG732" s="143">
        <v>0</v>
      </c>
      <c r="EH732" s="143">
        <v>0</v>
      </c>
      <c r="EI732" s="2">
        <v>0</v>
      </c>
      <c r="EK732" t="str">
        <f>IF(AND(AND(AND(OR($DX732=1,$DW732=1),OR($EC732=1,$EA732=1)),SUM($DV732:$DZ732,$EF732)&gt;=4),SUM($EA732:$EE732)&gt;=2),"Whole sector","")</f>
        <v/>
      </c>
      <c r="EL732" t="str">
        <f>IF(AND(AND(OR($DX732=1,$DW732=1),AND($EC732=0,$EA732=0)),SUM($DV732:$DZ732,$EF732)&gt;=4),"Ecosystem approach","")</f>
        <v/>
      </c>
      <c r="EM732" s="2" t="str">
        <f>IF(AND(AND(AND($DX732=0,$DW732=0),OR($EC732=1,$EA732=1)),SUM($EB732:$EE732)&gt;=2),"Technology approach","")</f>
        <v>Technology approach</v>
      </c>
      <c r="EN732" t="s">
        <v>1003</v>
      </c>
      <c r="EP732" t="str">
        <f>IF(ISNUMBER(BU732),IF(ABS(BU732-[3]QC_indicators!$B$2)&gt;3*[3]QC_indicators!$C$2,"C ratio",IF(ISNUMBER(BY732),IF(ABS(BY732-[3]QC_indicators!$B$1)&gt;3*[3]QC_indicators!$C$1,"DF","no"))),IF(ISNUMBER(BY732),IF(ABS(BY732-[3]QC_indicators!$B$1)&gt;3*[3]QC_indicators!$C$1,"DF","no")))</f>
        <v>no</v>
      </c>
      <c r="ER732" s="264" t="s">
        <v>995</v>
      </c>
      <c r="ET732" s="264" t="s">
        <v>3407</v>
      </c>
    </row>
    <row r="733" spans="1:151" ht="15" customHeight="1">
      <c r="A733" s="1" t="s">
        <v>1233</v>
      </c>
      <c r="B733" t="s">
        <v>1234</v>
      </c>
      <c r="C733" t="s">
        <v>1235</v>
      </c>
      <c r="D733" t="s">
        <v>336</v>
      </c>
      <c r="E733" t="s">
        <v>1236</v>
      </c>
      <c r="F733" t="s">
        <v>1237</v>
      </c>
      <c r="G733" t="s">
        <v>1238</v>
      </c>
      <c r="I733">
        <v>2018</v>
      </c>
      <c r="K733" t="s">
        <v>1239</v>
      </c>
      <c r="M733" t="str">
        <f>LEFT($D733,FIND(",",$D733)-1)&amp;"_"&amp;I733&amp;L733</f>
        <v>Balasbaneh_2018</v>
      </c>
      <c r="N733" t="s">
        <v>222</v>
      </c>
      <c r="O733" s="140" t="s">
        <v>513</v>
      </c>
      <c r="Q733" t="s">
        <v>224</v>
      </c>
      <c r="R733" s="262" t="s">
        <v>223</v>
      </c>
      <c r="S733" s="1" t="s">
        <v>1258</v>
      </c>
      <c r="T733" s="264" t="s">
        <v>3110</v>
      </c>
      <c r="U733" s="264" t="s">
        <v>3116</v>
      </c>
      <c r="V733">
        <v>0</v>
      </c>
      <c r="W733">
        <v>0</v>
      </c>
      <c r="X733">
        <v>0</v>
      </c>
      <c r="Y733">
        <v>0</v>
      </c>
      <c r="Z733">
        <v>0</v>
      </c>
      <c r="AA733">
        <v>0</v>
      </c>
      <c r="AB733">
        <v>0</v>
      </c>
      <c r="AC733">
        <v>0</v>
      </c>
      <c r="AD733">
        <v>0</v>
      </c>
      <c r="AE733">
        <v>0</v>
      </c>
      <c r="AF733">
        <v>0</v>
      </c>
      <c r="AG733">
        <v>0</v>
      </c>
      <c r="AH733">
        <v>0</v>
      </c>
      <c r="AI733">
        <v>0</v>
      </c>
      <c r="AJ733">
        <v>0</v>
      </c>
      <c r="AK733">
        <v>1</v>
      </c>
      <c r="AL733">
        <v>0</v>
      </c>
      <c r="AM733">
        <v>0</v>
      </c>
      <c r="AN733">
        <v>0</v>
      </c>
      <c r="AO733">
        <v>0</v>
      </c>
      <c r="AP733">
        <v>0</v>
      </c>
      <c r="AQ733">
        <v>0</v>
      </c>
      <c r="AR733">
        <v>0</v>
      </c>
      <c r="AS733">
        <v>0</v>
      </c>
      <c r="AT733">
        <v>0</v>
      </c>
      <c r="AU733">
        <v>0</v>
      </c>
      <c r="AV733">
        <v>0</v>
      </c>
      <c r="AW733">
        <v>0</v>
      </c>
      <c r="AX733" s="141">
        <f>COUNTIF(V733:AW733,"&lt;&gt;0")</f>
        <v>1</v>
      </c>
      <c r="AY733" s="141">
        <f>COUNTIF(V733:AL733,"&lt;&gt;0")</f>
        <v>1</v>
      </c>
      <c r="AZ733">
        <f>COUNTIF(V733:AC733,"&lt;&gt;0")</f>
        <v>0</v>
      </c>
      <c r="BA733">
        <f>COUNTIF(AD733:AI733,"&lt;&gt;0")</f>
        <v>0</v>
      </c>
      <c r="BB733">
        <f>COUNTIF(AJ733:AL733,"&lt;&gt;0")</f>
        <v>1</v>
      </c>
      <c r="BC733">
        <f>COUNTIF(AS733:AW733,"&lt;&gt;0")</f>
        <v>0</v>
      </c>
      <c r="BD733">
        <f>COUNTIF(AM733:AR733,"&lt;&gt;0")</f>
        <v>0</v>
      </c>
      <c r="BE733" t="str">
        <f t="array" ref="BE733">IF(AY733=1,INDEX($V$7:$AL$7,MATCH(TRUE,INDEX($V733:$AW733&lt;&gt;0,),0)),IF(AY733=0,INDEX($AM$7:$AW$7,MATCH(1,$AM733:$AW733,0)),IF(BF733="Multiple strategies","mixed drivers",IF(BF733="Supply chain","multiple supply","multiple silviculture"))))</f>
        <v>technologies/design switch</v>
      </c>
      <c r="BF733" s="2" t="str" cm="1">
        <f t="array" ref="BF733">IF(COUNTIF(AZ733:BB733,"&lt;&gt;0")=1,INDEX($V$4:$AW$4,MATCH(TRUE,INDEX($V733:$AW733&lt;&gt;0,),0)),IF(COUNTIF(AZ733:BB733,"&lt;&gt;0")=0,INDEX($AM$4:$AW$4,MATCH(1,$AM733:$AW733,0)),"Multiple strategies"))</f>
        <v>Technology</v>
      </c>
      <c r="BG733" s="1" t="s">
        <v>229</v>
      </c>
      <c r="BH733" t="s">
        <v>229</v>
      </c>
      <c r="BJ733" t="s">
        <v>345</v>
      </c>
      <c r="BK733">
        <v>0</v>
      </c>
      <c r="BL733">
        <v>23436</v>
      </c>
      <c r="BM733" s="143"/>
      <c r="BN733">
        <f>BL733-BK733</f>
        <v>23436</v>
      </c>
      <c r="BO733" s="143">
        <f>BN733*kg_to_m3</f>
        <v>47.828571428571436</v>
      </c>
      <c r="BP733" t="s">
        <v>232</v>
      </c>
      <c r="BQ733" s="337" t="s">
        <v>1057</v>
      </c>
      <c r="BR733" t="s">
        <v>397</v>
      </c>
      <c r="BS733">
        <v>-19800</v>
      </c>
      <c r="BT733">
        <v>-693</v>
      </c>
      <c r="BU733" s="144">
        <v>3.5000000000000003E-2</v>
      </c>
      <c r="BV733">
        <v>19107</v>
      </c>
      <c r="BX733">
        <f>BV733/1000</f>
        <v>19.106999999999999</v>
      </c>
      <c r="BY733">
        <f>IFERROR(BX733/BO733,"")</f>
        <v>0.39948924731182789</v>
      </c>
      <c r="BZ733">
        <v>0</v>
      </c>
      <c r="CA733">
        <v>0</v>
      </c>
      <c r="CB733">
        <v>0</v>
      </c>
      <c r="CC733">
        <v>0</v>
      </c>
      <c r="CD733">
        <v>0</v>
      </c>
      <c r="CE733">
        <v>0</v>
      </c>
      <c r="CF733">
        <v>0</v>
      </c>
      <c r="CG733">
        <v>0</v>
      </c>
      <c r="CH733">
        <v>0</v>
      </c>
      <c r="CI733">
        <v>0</v>
      </c>
      <c r="CJ733">
        <v>0</v>
      </c>
      <c r="CK733">
        <v>0</v>
      </c>
      <c r="CL733">
        <v>0</v>
      </c>
      <c r="CM733">
        <v>0</v>
      </c>
      <c r="CN733" t="str">
        <f>IF($BL733&lt;$BK733,"refNeedCorrection","refOK")</f>
        <v>refOK</v>
      </c>
      <c r="CO733">
        <f>IF($CN733="refNeedCorrection",BL733,BK733)</f>
        <v>0</v>
      </c>
      <c r="CP733">
        <f>IF($CN733="refNeedCorrection",BK733,BL733)</f>
        <v>23436</v>
      </c>
      <c r="CQ733">
        <f>IF($CN733="refOK",$BO733,-$BO733)</f>
        <v>47.828571428571436</v>
      </c>
      <c r="CR733">
        <f>IF($CN733="refOK",$BS733,$BT733)*IF($BP733="Emissions positive",-1,1)</f>
        <v>-19800</v>
      </c>
      <c r="CS733">
        <f>IF($CN733="refOK",$BT733,$BS733)*IF($BP733="Emissions positive",-1,1)</f>
        <v>-693</v>
      </c>
      <c r="CT733">
        <f>IF($CN733="refNeedCorrection",-BX733,BX733)*IF($BP733="Emissions positive",-1,1)</f>
        <v>19.106999999999999</v>
      </c>
      <c r="CU733">
        <f>IFERROR(CT733/CQ733,"")</f>
        <v>0.39948924731182789</v>
      </c>
      <c r="CV733" s="2">
        <f>IFERROR((CS733-CR733)/ABS(CR733),"")</f>
        <v>0.96499999999999997</v>
      </c>
      <c r="CW733" s="1" t="s">
        <v>1203</v>
      </c>
      <c r="CX733" t="str">
        <f>IF(OR($CW733="prd",$CW733="std",$CW733="cit"),"loc",IF(OR($CW733="eur",$CW733="reg",$CW733="coy"),"reg",$CW733))</f>
        <v>reg</v>
      </c>
      <c r="CY733" t="s">
        <v>348</v>
      </c>
      <c r="CZ733">
        <v>2014</v>
      </c>
      <c r="DA733">
        <v>2514</v>
      </c>
      <c r="DB733">
        <v>500</v>
      </c>
      <c r="DC733" t="str">
        <f>IF(DB733=0,"0",IF(AND(DB733&gt;=1,DB733&lt;=30),"1-30",IF(AND(DB733&gt;30,DB733&lt;=70),"31-70",IF(AND(DB733&gt;70,DB733&lt;=100),"71-100",IF(DB733&gt;100,"+100")))))</f>
        <v>+100</v>
      </c>
      <c r="DD733">
        <v>0</v>
      </c>
      <c r="DE733">
        <v>0</v>
      </c>
      <c r="DF733">
        <v>0</v>
      </c>
      <c r="DG733">
        <v>1</v>
      </c>
      <c r="DI733">
        <f>SUM(DD733:DG733)</f>
        <v>1</v>
      </c>
      <c r="DJ733" t="str">
        <f>IF(DI733=1,INDEX($DD$7:$DG$7,MATCH(1,$DD733:$DG733,0)),"mixedProduct")</f>
        <v>TimberInput</v>
      </c>
      <c r="DK733">
        <f>IF(DD733=1,DK$7,0)</f>
        <v>0</v>
      </c>
      <c r="DL733">
        <f>IF(DE733=1,DL$7,0)</f>
        <v>0</v>
      </c>
      <c r="DM733">
        <f>IF(DF733=1,DM$7,0)</f>
        <v>0</v>
      </c>
      <c r="DN733" t="str">
        <f>IF(DG733=1,DN$7,0)</f>
        <v>Timber</v>
      </c>
      <c r="DO733">
        <v>0</v>
      </c>
      <c r="DP733">
        <v>0</v>
      </c>
      <c r="DQ733">
        <v>0</v>
      </c>
      <c r="DR733">
        <v>0</v>
      </c>
      <c r="DS733">
        <v>0</v>
      </c>
      <c r="DT733">
        <f>SUM(DO733:DP733)</f>
        <v>0</v>
      </c>
      <c r="DU733" s="143" t="str">
        <f>IF(DO733=1,"self-calculated DF",IF(DP733=1,"external DF used","explicit C balance"))</f>
        <v>explicit C balance</v>
      </c>
      <c r="DV733">
        <v>0</v>
      </c>
      <c r="DW733">
        <v>0</v>
      </c>
      <c r="DX733">
        <v>0</v>
      </c>
      <c r="DY733">
        <v>0</v>
      </c>
      <c r="DZ733">
        <v>0</v>
      </c>
      <c r="EA733" s="143">
        <v>1</v>
      </c>
      <c r="EB733">
        <v>0</v>
      </c>
      <c r="EC733">
        <v>1</v>
      </c>
      <c r="ED733">
        <v>1</v>
      </c>
      <c r="EE733">
        <v>1</v>
      </c>
      <c r="EF733">
        <v>0</v>
      </c>
      <c r="EG733">
        <v>0</v>
      </c>
      <c r="EH733">
        <v>0</v>
      </c>
      <c r="EI733" s="2">
        <v>0</v>
      </c>
      <c r="EK733" t="str">
        <f>IF(AND(AND(AND(OR($DX733=1,$DW733=1),OR($EC733=1,$EA733=1)),SUM($DV733:$DZ733,$EF733)&gt;=4),SUM($EA733:$EE733)&gt;=2),"Whole sector","")</f>
        <v/>
      </c>
      <c r="EL733" t="str">
        <f>IF(AND(AND(OR($DX733=1,$DW733=1),AND($EC733=0,$EA733=0)),SUM($DV733:$DZ733,$EF733)&gt;=4),"Ecosystem approach","")</f>
        <v/>
      </c>
      <c r="EM733" s="2" t="str">
        <f>IF(AND(AND(AND($DX733=0,$DW733=0),OR($EC733=1,$EA733=1)),SUM($EB733:$EE733)&gt;=2),"Technology approach","")</f>
        <v>Technology approach</v>
      </c>
      <c r="EP733" t="str">
        <f>IF(ISNUMBER(BU733),IF(ABS(BU733-[1]QC_indicators!$B$2)&gt;3*[1]QC_indicators!$C$2,"C ratio",IF(ISNUMBER(BY733),IF(ABS(BY733-[1]QC_indicators!$B$1)&gt;3*[1]QC_indicators!$C$1,"DF","no"))),IF(ISNUMBER(BY733),IF(ABS(BY733-[1]QC_indicators!$B$1)&gt;3*[1]QC_indicators!$C$1,"DF","no")))</f>
        <v>no</v>
      </c>
      <c r="ER733" s="149" t="s">
        <v>349</v>
      </c>
      <c r="ET733" s="264" t="s">
        <v>3273</v>
      </c>
    </row>
    <row r="734" spans="1:151" ht="15" customHeight="1">
      <c r="D734" t="s">
        <v>963</v>
      </c>
      <c r="E734" t="s">
        <v>1007</v>
      </c>
      <c r="G734" t="s">
        <v>1008</v>
      </c>
      <c r="I734">
        <v>2004</v>
      </c>
      <c r="K734" t="s">
        <v>1009</v>
      </c>
      <c r="M734" t="str">
        <f>LEFT($D734,FIND(",",$D734)-1)&amp;"_"&amp;I734&amp;L734</f>
        <v>Petersen_2004</v>
      </c>
      <c r="N734" t="s">
        <v>222</v>
      </c>
      <c r="O734" s="171" t="s">
        <v>513</v>
      </c>
      <c r="P734" s="141" t="s">
        <v>225</v>
      </c>
      <c r="Q734" t="s">
        <v>389</v>
      </c>
      <c r="R734" s="262" t="s">
        <v>223</v>
      </c>
      <c r="S734" s="1" t="s">
        <v>1014</v>
      </c>
      <c r="T734" t="s">
        <v>1017</v>
      </c>
      <c r="U734" t="s">
        <v>1016</v>
      </c>
      <c r="V734">
        <v>0</v>
      </c>
      <c r="W734">
        <v>0</v>
      </c>
      <c r="X734">
        <v>0</v>
      </c>
      <c r="Y734">
        <v>0</v>
      </c>
      <c r="Z734">
        <v>0</v>
      </c>
      <c r="AA734">
        <v>0</v>
      </c>
      <c r="AB734">
        <v>0</v>
      </c>
      <c r="AC734">
        <v>0</v>
      </c>
      <c r="AD734">
        <v>0</v>
      </c>
      <c r="AE734">
        <v>0</v>
      </c>
      <c r="AF734">
        <v>0</v>
      </c>
      <c r="AG734">
        <v>0</v>
      </c>
      <c r="AH734">
        <v>0</v>
      </c>
      <c r="AI734">
        <v>0</v>
      </c>
      <c r="AJ734">
        <v>0</v>
      </c>
      <c r="AK734">
        <v>1</v>
      </c>
      <c r="AL734">
        <v>0</v>
      </c>
      <c r="AM734">
        <v>0</v>
      </c>
      <c r="AN734">
        <v>0</v>
      </c>
      <c r="AO734">
        <v>0</v>
      </c>
      <c r="AP734">
        <v>0</v>
      </c>
      <c r="AQ734">
        <v>0</v>
      </c>
      <c r="AR734">
        <v>0</v>
      </c>
      <c r="AS734">
        <v>0</v>
      </c>
      <c r="AT734">
        <v>0</v>
      </c>
      <c r="AU734">
        <v>0</v>
      </c>
      <c r="AV734">
        <v>0</v>
      </c>
      <c r="AW734">
        <v>0</v>
      </c>
      <c r="AX734" s="141">
        <f>COUNTIF(V734:AW734,"&lt;&gt;0")</f>
        <v>1</v>
      </c>
      <c r="AY734" s="141">
        <f>COUNTIF(V734:AL734,"&lt;&gt;0")</f>
        <v>1</v>
      </c>
      <c r="AZ734">
        <f>COUNTIF(V734:AC734,"&lt;&gt;0")</f>
        <v>0</v>
      </c>
      <c r="BA734">
        <f>COUNTIF(AD734:AI734,"&lt;&gt;0")</f>
        <v>0</v>
      </c>
      <c r="BB734">
        <f>COUNTIF(AJ734:AL734,"&lt;&gt;0")</f>
        <v>1</v>
      </c>
      <c r="BC734">
        <f>COUNTIF(AS734:AW734,"&lt;&gt;0")</f>
        <v>0</v>
      </c>
      <c r="BD734">
        <f>COUNTIF(AM734:AR734,"&lt;&gt;0")</f>
        <v>0</v>
      </c>
      <c r="BE734" t="str">
        <f t="array" ref="BE734">IF(AY734=1,INDEX($V$7:$AL$7,MATCH(TRUE,INDEX($V734:$AW734&lt;&gt;0,),0)),IF(AY734=0,INDEX($AM$7:$AW$7,MATCH(1,$AM734:$AW734,0)),IF(BF734="Multiple strategies","mixed drivers",IF(BF734="Supply chain","multiple supply","multiple silviculture"))))</f>
        <v>technologies/design switch</v>
      </c>
      <c r="BF734" s="2" t="str" cm="1">
        <f t="array" ref="BF734">IF(COUNTIF(AZ734:BB734,"&lt;&gt;0")=1,INDEX($V$4:$AW$4,MATCH(TRUE,INDEX($V734:$AW734&lt;&gt;0,),0)),IF(COUNTIF(AZ734:BB734,"&lt;&gt;0")=0,INDEX($AM$4:$AW$4,MATCH(1,$AM734:$AW734,0)),"Multiple strategies"))</f>
        <v>Technology</v>
      </c>
      <c r="BG734" s="142" t="s">
        <v>229</v>
      </c>
      <c r="BH734" t="s">
        <v>970</v>
      </c>
      <c r="BI734" t="s">
        <v>1012</v>
      </c>
      <c r="BJ734" t="s">
        <v>498</v>
      </c>
      <c r="BK734">
        <v>0</v>
      </c>
      <c r="BL734" s="143">
        <v>1</v>
      </c>
      <c r="BM734" t="str">
        <f>IFERROR(BL734/BK734,"")</f>
        <v/>
      </c>
      <c r="BN734">
        <f>BL734-BK734</f>
        <v>1</v>
      </c>
      <c r="BO734" s="159">
        <v>1</v>
      </c>
      <c r="BP734" t="s">
        <v>232</v>
      </c>
      <c r="BQ734" t="s">
        <v>1013</v>
      </c>
      <c r="BR734" t="s">
        <v>1002</v>
      </c>
      <c r="BU734" s="144"/>
      <c r="BV734">
        <v>0.4</v>
      </c>
      <c r="BX734">
        <f>BV734</f>
        <v>0.4</v>
      </c>
      <c r="BY734">
        <f>IFERROR(BX734/BO734,"")</f>
        <v>0.4</v>
      </c>
      <c r="BZ734">
        <v>0</v>
      </c>
      <c r="CA734">
        <v>0</v>
      </c>
      <c r="CB734">
        <v>0</v>
      </c>
      <c r="CC734">
        <v>0</v>
      </c>
      <c r="CD734">
        <v>0</v>
      </c>
      <c r="CE734">
        <v>0</v>
      </c>
      <c r="CF734">
        <v>0</v>
      </c>
      <c r="CG734">
        <v>0</v>
      </c>
      <c r="CH734">
        <v>0</v>
      </c>
      <c r="CI734">
        <v>0</v>
      </c>
      <c r="CJ734">
        <v>0</v>
      </c>
      <c r="CK734">
        <v>0</v>
      </c>
      <c r="CL734">
        <v>0</v>
      </c>
      <c r="CM734">
        <v>0</v>
      </c>
      <c r="CN734" t="str">
        <f>IF($BL734&lt;$BK734,"refNeedCorrection","refOK")</f>
        <v>refOK</v>
      </c>
      <c r="CO734">
        <f>IF($CN734="refOK",$BK734,$BL734)</f>
        <v>0</v>
      </c>
      <c r="CP734">
        <f>IF($CN734="refOK",$BL734,$BK734)</f>
        <v>1</v>
      </c>
      <c r="CQ734">
        <f>IF($CN734="refOK",$BO734,-$BO734)</f>
        <v>1</v>
      </c>
      <c r="CR734">
        <f>IF($CN734="refOK",$BS734,$BT734)*IF($BP734="Emissions positive",-1,1)</f>
        <v>0</v>
      </c>
      <c r="CS734">
        <f>IF($CN734="refOK",$BT734,$BS734)*IF($BP734="Emissions positive",-1,1)</f>
        <v>0</v>
      </c>
      <c r="CT734">
        <f>IF($CN734="refNeedCorrection",-BX734,BX734)*IF($BP734="Emissions positive",-1,1)</f>
        <v>0.4</v>
      </c>
      <c r="CU734">
        <f>IFERROR(CT734/CQ734,"")</f>
        <v>0.4</v>
      </c>
      <c r="CV734" s="2" t="str">
        <f>IFERROR((CS734-CR734)/ABS(CR734),"")</f>
        <v/>
      </c>
      <c r="CW734" s="1" t="s">
        <v>263</v>
      </c>
      <c r="CX734" t="str">
        <f>IF(OR($CW734="prd",$CW734="std",$CW734="cit"),"loc",IF(OR($CW734="eur",$CW734="reg",$CW734="coy"),"reg",$CW734))</f>
        <v>loc</v>
      </c>
      <c r="CY734" t="s">
        <v>264</v>
      </c>
      <c r="DA734" s="143"/>
      <c r="DB734" s="143">
        <v>45</v>
      </c>
      <c r="DC734" t="str">
        <f>IF(DB734=0,"0",IF(AND(DB734&gt;=1,DB734&lt;=30),"1-30",IF(AND(DB734&gt;30,DB734&lt;=70),"31-70",IF(AND(DB734&gt;70,DB734&lt;=100),"71-100",IF(DB734&gt;100,"+100")))))</f>
        <v>31-70</v>
      </c>
      <c r="DD734">
        <v>0</v>
      </c>
      <c r="DE734">
        <v>0</v>
      </c>
      <c r="DF734">
        <v>0</v>
      </c>
      <c r="DG734">
        <v>1</v>
      </c>
      <c r="DH734">
        <v>0</v>
      </c>
      <c r="DI734">
        <f>SUM(DD734:DG734)</f>
        <v>1</v>
      </c>
      <c r="DJ734" t="str">
        <f>IF(DI734=1,INDEX($DD$7:$DG$7,MATCH(1,$DD734:$DG734,0)),"mixedProduct")</f>
        <v>TimberInput</v>
      </c>
      <c r="DK734">
        <f>IF(DD734=1,DK$7,0)</f>
        <v>0</v>
      </c>
      <c r="DL734">
        <f>IF(DE734=1,DL$7,0)</f>
        <v>0</v>
      </c>
      <c r="DM734">
        <f>IF(DF734=1,DM$7,0)</f>
        <v>0</v>
      </c>
      <c r="DN734" t="str">
        <f>IF(DG734=1,DN$7,0)</f>
        <v>Timber</v>
      </c>
      <c r="DO734">
        <v>1</v>
      </c>
      <c r="DP734">
        <v>0</v>
      </c>
      <c r="DQ734">
        <v>0</v>
      </c>
      <c r="DR734">
        <v>0</v>
      </c>
      <c r="DS734">
        <v>0</v>
      </c>
      <c r="DT734">
        <f>SUM(DO734:DP734)</f>
        <v>1</v>
      </c>
      <c r="DU734" s="143" t="str">
        <f>IF(DO734=1,"self-calculated DF",IF(DP734=1,"external DF used","explicit C balance"))</f>
        <v>self-calculated DF</v>
      </c>
      <c r="DV734" s="143">
        <v>0</v>
      </c>
      <c r="DW734" s="143">
        <v>0</v>
      </c>
      <c r="DX734" s="143">
        <v>0</v>
      </c>
      <c r="DY734" s="143">
        <v>0</v>
      </c>
      <c r="DZ734">
        <v>0</v>
      </c>
      <c r="EA734" s="143">
        <v>0</v>
      </c>
      <c r="EB734" s="143">
        <v>0</v>
      </c>
      <c r="EC734" s="143">
        <v>1</v>
      </c>
      <c r="ED734" s="143">
        <v>0</v>
      </c>
      <c r="EE734">
        <v>0</v>
      </c>
      <c r="EF734">
        <v>0</v>
      </c>
      <c r="EG734" s="143">
        <v>0</v>
      </c>
      <c r="EH734" s="143">
        <v>0</v>
      </c>
      <c r="EI734" s="2">
        <v>0</v>
      </c>
      <c r="EK734" t="str">
        <f>IF(AND(AND(AND(OR($DX734=1,$DW734=1),OR($EC734=1,$EA734=1)),SUM($DV734:$DZ734,$EF734)&gt;=4),SUM($EA734:$EE734)&gt;=2),"Whole sector","")</f>
        <v/>
      </c>
      <c r="EL734" t="str">
        <f>IF(AND(AND(OR($DX734=1,$DW734=1),AND($EC734=0,$EA734=0)),SUM($DV734:$DZ734,$EF734)&gt;=4),"Ecosystem approach","")</f>
        <v/>
      </c>
      <c r="EM734" s="2" t="str">
        <f>IF(AND(AND(AND($DX734=0,$DW734=0),OR($EC734=1,$EA734=1)),SUM($EB734:$EE734)&gt;=2),"Technology approach","")</f>
        <v/>
      </c>
      <c r="EP734" t="str">
        <f>IF(ISNUMBER(BU734),IF(ABS(BU734-[1]QC_indicators!$B$2)&gt;3*[1]QC_indicators!$C$2,"C ratio",IF(ISNUMBER(BY734),IF(ABS(BY734-[1]QC_indicators!$B$1)&gt;3*[1]QC_indicators!$C$1,"DF","no"))),IF(ISNUMBER(BY734),IF(ABS(BY734-[1]QC_indicators!$B$1)&gt;3*[1]QC_indicators!$C$1,"DF","no")))</f>
        <v>no</v>
      </c>
      <c r="ER734" t="s">
        <v>995</v>
      </c>
      <c r="ET734" s="264" t="s">
        <v>3212</v>
      </c>
    </row>
    <row r="735" spans="1:151" ht="15" customHeight="1">
      <c r="D735" t="s">
        <v>963</v>
      </c>
      <c r="E735" t="s">
        <v>1007</v>
      </c>
      <c r="G735" t="s">
        <v>1008</v>
      </c>
      <c r="I735">
        <v>2004</v>
      </c>
      <c r="K735" t="s">
        <v>1009</v>
      </c>
      <c r="M735" t="str">
        <f>LEFT($D735,FIND(",",$D735)-1)&amp;"_"&amp;I735&amp;L735</f>
        <v>Petersen_2004</v>
      </c>
      <c r="N735" t="s">
        <v>222</v>
      </c>
      <c r="O735" s="171" t="s">
        <v>513</v>
      </c>
      <c r="P735" s="141" t="s">
        <v>225</v>
      </c>
      <c r="Q735" t="s">
        <v>389</v>
      </c>
      <c r="R735" s="262" t="s">
        <v>223</v>
      </c>
      <c r="S735" s="1" t="s">
        <v>1014</v>
      </c>
      <c r="T735" t="s">
        <v>1018</v>
      </c>
      <c r="U735" t="s">
        <v>1016</v>
      </c>
      <c r="V735">
        <v>0</v>
      </c>
      <c r="W735">
        <v>0</v>
      </c>
      <c r="X735">
        <v>0</v>
      </c>
      <c r="Y735">
        <v>0</v>
      </c>
      <c r="Z735">
        <v>0</v>
      </c>
      <c r="AA735">
        <v>0</v>
      </c>
      <c r="AB735">
        <v>0</v>
      </c>
      <c r="AC735">
        <v>0</v>
      </c>
      <c r="AD735">
        <v>0</v>
      </c>
      <c r="AE735">
        <v>0</v>
      </c>
      <c r="AF735">
        <v>0</v>
      </c>
      <c r="AG735">
        <v>0</v>
      </c>
      <c r="AH735">
        <v>0</v>
      </c>
      <c r="AI735">
        <v>0</v>
      </c>
      <c r="AJ735">
        <v>0</v>
      </c>
      <c r="AK735">
        <v>1</v>
      </c>
      <c r="AL735">
        <v>0</v>
      </c>
      <c r="AM735">
        <v>0</v>
      </c>
      <c r="AN735">
        <v>0</v>
      </c>
      <c r="AO735">
        <v>0</v>
      </c>
      <c r="AP735">
        <v>0</v>
      </c>
      <c r="AQ735">
        <v>0</v>
      </c>
      <c r="AR735">
        <v>0</v>
      </c>
      <c r="AS735">
        <v>0</v>
      </c>
      <c r="AT735">
        <v>0</v>
      </c>
      <c r="AU735">
        <v>0</v>
      </c>
      <c r="AV735">
        <v>0</v>
      </c>
      <c r="AW735">
        <v>0</v>
      </c>
      <c r="AX735" s="141">
        <f>COUNTIF(V735:AW735,"&lt;&gt;0")</f>
        <v>1</v>
      </c>
      <c r="AY735" s="141">
        <f>COUNTIF(V735:AL735,"&lt;&gt;0")</f>
        <v>1</v>
      </c>
      <c r="AZ735">
        <f>COUNTIF(V735:AC735,"&lt;&gt;0")</f>
        <v>0</v>
      </c>
      <c r="BA735">
        <f>COUNTIF(AD735:AI735,"&lt;&gt;0")</f>
        <v>0</v>
      </c>
      <c r="BB735">
        <f>COUNTIF(AJ735:AL735,"&lt;&gt;0")</f>
        <v>1</v>
      </c>
      <c r="BC735">
        <f>COUNTIF(AS735:AW735,"&lt;&gt;0")</f>
        <v>0</v>
      </c>
      <c r="BD735">
        <f>COUNTIF(AM735:AR735,"&lt;&gt;0")</f>
        <v>0</v>
      </c>
      <c r="BE735" t="str">
        <f t="array" ref="BE735">IF(AY735=1,INDEX($V$7:$AL$7,MATCH(TRUE,INDEX($V735:$AW735&lt;&gt;0,),0)),IF(AY735=0,INDEX($AM$7:$AW$7,MATCH(1,$AM735:$AW735,0)),IF(BF735="Multiple strategies","mixed drivers",IF(BF735="Supply chain","multiple supply","multiple silviculture"))))</f>
        <v>technologies/design switch</v>
      </c>
      <c r="BF735" s="2" t="str" cm="1">
        <f t="array" ref="BF735">IF(COUNTIF(AZ735:BB735,"&lt;&gt;0")=1,INDEX($V$4:$AW$4,MATCH(TRUE,INDEX($V735:$AW735&lt;&gt;0,),0)),IF(COUNTIF(AZ735:BB735,"&lt;&gt;0")=0,INDEX($AM$4:$AW$4,MATCH(1,$AM735:$AW735,0)),"Multiple strategies"))</f>
        <v>Technology</v>
      </c>
      <c r="BG735" s="142" t="s">
        <v>229</v>
      </c>
      <c r="BH735" t="s">
        <v>970</v>
      </c>
      <c r="BI735" t="s">
        <v>1012</v>
      </c>
      <c r="BJ735" t="s">
        <v>498</v>
      </c>
      <c r="BK735">
        <v>0</v>
      </c>
      <c r="BL735" s="143">
        <v>1</v>
      </c>
      <c r="BM735" t="str">
        <f>IFERROR(BL735/BK735,"")</f>
        <v/>
      </c>
      <c r="BN735">
        <f>BL735-BK735</f>
        <v>1</v>
      </c>
      <c r="BO735" s="159">
        <v>1</v>
      </c>
      <c r="BP735" t="s">
        <v>232</v>
      </c>
      <c r="BQ735" t="s">
        <v>1013</v>
      </c>
      <c r="BR735" t="s">
        <v>1002</v>
      </c>
      <c r="BU735" s="144"/>
      <c r="BV735">
        <v>0.4</v>
      </c>
      <c r="BX735">
        <f>BV735</f>
        <v>0.4</v>
      </c>
      <c r="BY735">
        <f>IFERROR(BX735/BO735,"")</f>
        <v>0.4</v>
      </c>
      <c r="BZ735">
        <v>0</v>
      </c>
      <c r="CA735">
        <v>0</v>
      </c>
      <c r="CB735">
        <v>0</v>
      </c>
      <c r="CC735">
        <v>0</v>
      </c>
      <c r="CD735">
        <v>0</v>
      </c>
      <c r="CE735">
        <v>0</v>
      </c>
      <c r="CF735">
        <v>0</v>
      </c>
      <c r="CG735">
        <v>0</v>
      </c>
      <c r="CH735">
        <v>0</v>
      </c>
      <c r="CI735">
        <v>0</v>
      </c>
      <c r="CJ735">
        <v>0</v>
      </c>
      <c r="CK735">
        <v>0</v>
      </c>
      <c r="CL735">
        <v>0</v>
      </c>
      <c r="CM735">
        <v>0</v>
      </c>
      <c r="CN735" t="str">
        <f>IF($BL735&lt;$BK735,"refNeedCorrection","refOK")</f>
        <v>refOK</v>
      </c>
      <c r="CO735">
        <f>IF($CN735="refOK",$BK735,$BL735)</f>
        <v>0</v>
      </c>
      <c r="CP735">
        <f>IF($CN735="refOK",$BL735,$BK735)</f>
        <v>1</v>
      </c>
      <c r="CQ735">
        <f>IF($CN735="refOK",$BO735,-$BO735)</f>
        <v>1</v>
      </c>
      <c r="CR735">
        <f>IF($CN735="refOK",$BS735,$BT735)*IF($BP735="Emissions positive",-1,1)</f>
        <v>0</v>
      </c>
      <c r="CS735">
        <f>IF($CN735="refOK",$BT735,$BS735)*IF($BP735="Emissions positive",-1,1)</f>
        <v>0</v>
      </c>
      <c r="CT735">
        <f>IF($CN735="refNeedCorrection",-BX735,BX735)*IF($BP735="Emissions positive",-1,1)</f>
        <v>0.4</v>
      </c>
      <c r="CU735">
        <f>IFERROR(CT735/CQ735,"")</f>
        <v>0.4</v>
      </c>
      <c r="CV735" s="2" t="str">
        <f>IFERROR((CS735-CR735)/ABS(CR735),"")</f>
        <v/>
      </c>
      <c r="CW735" s="1" t="s">
        <v>263</v>
      </c>
      <c r="CX735" t="str">
        <f>IF(OR($CW735="prd",$CW735="std",$CW735="cit"),"loc",IF(OR($CW735="eur",$CW735="reg",$CW735="coy"),"reg",$CW735))</f>
        <v>loc</v>
      </c>
      <c r="CY735" t="s">
        <v>264</v>
      </c>
      <c r="DA735" s="143"/>
      <c r="DB735" s="143">
        <v>45</v>
      </c>
      <c r="DC735" t="str">
        <f>IF(DB735=0,"0",IF(AND(DB735&gt;=1,DB735&lt;=30),"1-30",IF(AND(DB735&gt;30,DB735&lt;=70),"31-70",IF(AND(DB735&gt;70,DB735&lt;=100),"71-100",IF(DB735&gt;100,"+100")))))</f>
        <v>31-70</v>
      </c>
      <c r="DD735">
        <v>0</v>
      </c>
      <c r="DE735">
        <v>0</v>
      </c>
      <c r="DF735">
        <v>0</v>
      </c>
      <c r="DG735">
        <v>1</v>
      </c>
      <c r="DH735">
        <v>0</v>
      </c>
      <c r="DI735">
        <f>SUM(DD735:DG735)</f>
        <v>1</v>
      </c>
      <c r="DJ735" t="str">
        <f>IF(DI735=1,INDEX($DD$7:$DG$7,MATCH(1,$DD735:$DG735,0)),"mixedProduct")</f>
        <v>TimberInput</v>
      </c>
      <c r="DK735">
        <f>IF(DD735=1,DK$7,0)</f>
        <v>0</v>
      </c>
      <c r="DL735">
        <f>IF(DE735=1,DL$7,0)</f>
        <v>0</v>
      </c>
      <c r="DM735">
        <f>IF(DF735=1,DM$7,0)</f>
        <v>0</v>
      </c>
      <c r="DN735" t="str">
        <f>IF(DG735=1,DN$7,0)</f>
        <v>Timber</v>
      </c>
      <c r="DO735">
        <v>1</v>
      </c>
      <c r="DP735">
        <v>0</v>
      </c>
      <c r="DQ735">
        <v>0</v>
      </c>
      <c r="DR735">
        <v>0</v>
      </c>
      <c r="DS735">
        <v>0</v>
      </c>
      <c r="DT735">
        <f>SUM(DO735:DP735)</f>
        <v>1</v>
      </c>
      <c r="DU735" s="143" t="str">
        <f>IF(DO735=1,"self-calculated DF",IF(DP735=1,"external DF used","explicit C balance"))</f>
        <v>self-calculated DF</v>
      </c>
      <c r="DV735" s="143">
        <v>0</v>
      </c>
      <c r="DW735" s="143">
        <v>0</v>
      </c>
      <c r="DX735" s="143">
        <v>0</v>
      </c>
      <c r="DY735" s="143">
        <v>0</v>
      </c>
      <c r="DZ735">
        <v>0</v>
      </c>
      <c r="EA735" s="143">
        <v>0</v>
      </c>
      <c r="EB735" s="143">
        <v>0</v>
      </c>
      <c r="EC735" s="143">
        <v>1</v>
      </c>
      <c r="ED735" s="143">
        <v>0</v>
      </c>
      <c r="EE735">
        <v>0</v>
      </c>
      <c r="EF735">
        <v>0</v>
      </c>
      <c r="EG735" s="143">
        <v>0</v>
      </c>
      <c r="EH735" s="143">
        <v>0</v>
      </c>
      <c r="EI735" s="2">
        <v>0</v>
      </c>
      <c r="EK735" t="str">
        <f>IF(AND(AND(AND(OR($DX735=1,$DW735=1),OR($EC735=1,$EA735=1)),SUM($DV735:$DZ735,$EF735)&gt;=4),SUM($EA735:$EE735)&gt;=2),"Whole sector","")</f>
        <v/>
      </c>
      <c r="EL735" t="str">
        <f>IF(AND(AND(OR($DX735=1,$DW735=1),AND($EC735=0,$EA735=0)),SUM($DV735:$DZ735,$EF735)&gt;=4),"Ecosystem approach","")</f>
        <v/>
      </c>
      <c r="EM735" s="2" t="str">
        <f>IF(AND(AND(AND($DX735=0,$DW735=0),OR($EC735=1,$EA735=1)),SUM($EB735:$EE735)&gt;=2),"Technology approach","")</f>
        <v/>
      </c>
      <c r="EP735" t="str">
        <f>IF(ISNUMBER(BU735),IF(ABS(BU735-[1]QC_indicators!$B$2)&gt;3*[1]QC_indicators!$C$2,"C ratio",IF(ISNUMBER(BY735),IF(ABS(BY735-[1]QC_indicators!$B$1)&gt;3*[1]QC_indicators!$C$1,"DF","no"))),IF(ISNUMBER(BY735),IF(ABS(BY735-[1]QC_indicators!$B$1)&gt;3*[1]QC_indicators!$C$1,"DF","no")))</f>
        <v>no</v>
      </c>
      <c r="ER735" t="s">
        <v>995</v>
      </c>
      <c r="ET735" s="264" t="s">
        <v>3212</v>
      </c>
    </row>
    <row r="736" spans="1:151" ht="15" customHeight="1">
      <c r="A736" s="1" t="s">
        <v>333</v>
      </c>
      <c r="B736" t="s">
        <v>334</v>
      </c>
      <c r="C736" t="s">
        <v>335</v>
      </c>
      <c r="D736" t="s">
        <v>336</v>
      </c>
      <c r="E736" t="s">
        <v>337</v>
      </c>
      <c r="F736" t="s">
        <v>338</v>
      </c>
      <c r="G736" t="s">
        <v>339</v>
      </c>
      <c r="I736">
        <v>2017</v>
      </c>
      <c r="K736" t="s">
        <v>340</v>
      </c>
      <c r="M736" t="str">
        <f>LEFT($D736,FIND(",",$D736)-1)&amp;"_"&amp;I736&amp;L736</f>
        <v>Balasbaneh_2017</v>
      </c>
      <c r="N736" t="s">
        <v>222</v>
      </c>
      <c r="O736" s="140" t="s">
        <v>341</v>
      </c>
      <c r="Q736" t="s">
        <v>224</v>
      </c>
      <c r="R736" s="262" t="s">
        <v>223</v>
      </c>
      <c r="S736" s="1" t="s">
        <v>370</v>
      </c>
      <c r="T736" t="s">
        <v>371</v>
      </c>
      <c r="U736" t="s">
        <v>357</v>
      </c>
      <c r="V736">
        <v>0</v>
      </c>
      <c r="W736">
        <v>0</v>
      </c>
      <c r="X736">
        <v>0</v>
      </c>
      <c r="Y736">
        <v>0</v>
      </c>
      <c r="Z736">
        <v>0</v>
      </c>
      <c r="AA736">
        <v>0</v>
      </c>
      <c r="AB736">
        <v>0</v>
      </c>
      <c r="AC736">
        <v>0</v>
      </c>
      <c r="AD736">
        <v>0</v>
      </c>
      <c r="AE736">
        <v>0</v>
      </c>
      <c r="AF736">
        <v>0</v>
      </c>
      <c r="AG736">
        <v>0</v>
      </c>
      <c r="AH736">
        <v>0</v>
      </c>
      <c r="AI736">
        <v>0</v>
      </c>
      <c r="AJ736">
        <v>0</v>
      </c>
      <c r="AK736">
        <v>1</v>
      </c>
      <c r="AL736">
        <v>0</v>
      </c>
      <c r="AM736">
        <v>0</v>
      </c>
      <c r="AN736">
        <v>0</v>
      </c>
      <c r="AO736">
        <v>0</v>
      </c>
      <c r="AP736">
        <v>0</v>
      </c>
      <c r="AQ736">
        <v>0</v>
      </c>
      <c r="AR736">
        <v>0</v>
      </c>
      <c r="AS736">
        <v>0</v>
      </c>
      <c r="AT736">
        <v>0</v>
      </c>
      <c r="AU736">
        <v>0</v>
      </c>
      <c r="AV736">
        <v>0</v>
      </c>
      <c r="AW736">
        <v>0</v>
      </c>
      <c r="AX736" s="141">
        <f>COUNTIF(V736:AW736,"&lt;&gt;0")</f>
        <v>1</v>
      </c>
      <c r="AY736" s="141">
        <f>COUNTIF(V736:AL736,"&lt;&gt;0")</f>
        <v>1</v>
      </c>
      <c r="AZ736">
        <f>COUNTIF(V736:AC736,"&lt;&gt;0")</f>
        <v>0</v>
      </c>
      <c r="BA736">
        <f>COUNTIF(AD736:AI736,"&lt;&gt;0")</f>
        <v>0</v>
      </c>
      <c r="BB736">
        <f>COUNTIF(AJ736:AL736,"&lt;&gt;0")</f>
        <v>1</v>
      </c>
      <c r="BC736">
        <f>COUNTIF(AS736:AW736,"&lt;&gt;0")</f>
        <v>0</v>
      </c>
      <c r="BD736">
        <f>COUNTIF(AM736:AR736,"&lt;&gt;0")</f>
        <v>0</v>
      </c>
      <c r="BE736" t="str">
        <f t="array" ref="BE736">IF(AY736=1,INDEX($V$7:$AL$7,MATCH(TRUE,INDEX($V736:$AW736&lt;&gt;0,),0)),IF(AY736=0,INDEX($AM$7:$AW$7,MATCH(1,$AM736:$AW736,0)),IF(BF736="Multiple strategies","mixed drivers",IF(BF736="Supply chain","multiple supply","multiple silviculture"))))</f>
        <v>technologies/design switch</v>
      </c>
      <c r="BF736" s="2" t="str" cm="1">
        <f t="array" ref="BF736">IF(COUNTIF(AZ736:BB736,"&lt;&gt;0")=1,INDEX($V$4:$AW$4,MATCH(TRUE,INDEX($V736:$AW736&lt;&gt;0,),0)),IF(COUNTIF(AZ736:BB736,"&lt;&gt;0")=0,INDEX($AM$4:$AW$4,MATCH(1,$AM736:$AW736,0)),"Multiple strategies"))</f>
        <v>Technology</v>
      </c>
      <c r="BG736" s="1" t="s">
        <v>229</v>
      </c>
      <c r="BH736" t="s">
        <v>229</v>
      </c>
      <c r="BI736" s="264" t="s">
        <v>410</v>
      </c>
      <c r="BJ736" t="s">
        <v>345</v>
      </c>
      <c r="BK736">
        <v>0</v>
      </c>
      <c r="BL736">
        <v>29276</v>
      </c>
      <c r="BM736" s="143"/>
      <c r="BN736">
        <f>BL736-BK736</f>
        <v>29276</v>
      </c>
      <c r="BO736" s="143">
        <f>BN736*kg_to_m3</f>
        <v>59.746938775510209</v>
      </c>
      <c r="BP736" t="s">
        <v>232</v>
      </c>
      <c r="BQ736" s="335" t="s">
        <v>396</v>
      </c>
      <c r="BR736" t="s">
        <v>346</v>
      </c>
      <c r="BS736">
        <v>-26000</v>
      </c>
      <c r="BT736">
        <v>-2010</v>
      </c>
      <c r="BU736" s="144">
        <v>7.7307692307692313E-2</v>
      </c>
      <c r="BV736">
        <f>BT736-BS736</f>
        <v>23990</v>
      </c>
      <c r="BX736">
        <f>BV736/1000</f>
        <v>23.99</v>
      </c>
      <c r="BY736">
        <f>IFERROR(BX736/BO736,"")</f>
        <v>0.40152684793004501</v>
      </c>
      <c r="BZ736">
        <v>0</v>
      </c>
      <c r="CA736">
        <v>0</v>
      </c>
      <c r="CB736">
        <v>0</v>
      </c>
      <c r="CC736">
        <v>0</v>
      </c>
      <c r="CD736">
        <v>0</v>
      </c>
      <c r="CE736">
        <v>0</v>
      </c>
      <c r="CF736">
        <v>0</v>
      </c>
      <c r="CG736">
        <v>0</v>
      </c>
      <c r="CH736">
        <v>0</v>
      </c>
      <c r="CI736">
        <v>0</v>
      </c>
      <c r="CJ736">
        <v>0</v>
      </c>
      <c r="CK736">
        <v>0</v>
      </c>
      <c r="CL736">
        <v>0</v>
      </c>
      <c r="CM736">
        <v>0</v>
      </c>
      <c r="CN736" t="str">
        <f>IF($BL736&lt;$BK736,"refNeedCorrection","refOK")</f>
        <v>refOK</v>
      </c>
      <c r="CO736">
        <f>IF($CN736="refNeedCorrection",BL736,BK736)</f>
        <v>0</v>
      </c>
      <c r="CP736">
        <f>IF($CN736="refNeedCorrection",BK736,BL736)</f>
        <v>29276</v>
      </c>
      <c r="CQ736">
        <f>IF($CN736="refOK",$BO736,-$BO736)</f>
        <v>59.746938775510209</v>
      </c>
      <c r="CR736">
        <f>IF($CN736="refOK",$BS736,$BT736)*IF($BP736="Emissions positive",-1,1)</f>
        <v>-26000</v>
      </c>
      <c r="CS736">
        <f>IF($CN736="refOK",$BT736,$BS736)*IF($BP736="Emissions positive",-1,1)</f>
        <v>-2010</v>
      </c>
      <c r="CT736">
        <f>IF($CN736="refNeedCorrection",-BX736,BX736)*IF($BP736="Emissions positive",-1,1)</f>
        <v>23.99</v>
      </c>
      <c r="CU736">
        <f>IFERROR(CT736/CQ736,"")</f>
        <v>0.40152684793004501</v>
      </c>
      <c r="CV736" s="2">
        <f>IFERROR((CS736-CR736)/ABS(CR736),"")</f>
        <v>0.9226923076923077</v>
      </c>
      <c r="CW736" s="1" t="s">
        <v>347</v>
      </c>
      <c r="CX736" t="str">
        <f>IF(OR($CW736="prd",$CW736="std",$CW736="cit"),"loc",IF(OR($CW736="eur",$CW736="reg",$CW736="coy"),"reg",$CW736))</f>
        <v>loc</v>
      </c>
      <c r="CY736" t="s">
        <v>348</v>
      </c>
      <c r="CZ736">
        <v>2014</v>
      </c>
      <c r="DA736">
        <v>2514</v>
      </c>
      <c r="DB736">
        <v>500</v>
      </c>
      <c r="DC736" t="str">
        <f>IF(DB736=0,"0",IF(AND(DB736&gt;=1,DB736&lt;=30),"1-30",IF(AND(DB736&gt;30,DB736&lt;=70),"31-70",IF(AND(DB736&gt;70,DB736&lt;=100),"71-100",IF(DB736&gt;100,"+100")))))</f>
        <v>+100</v>
      </c>
      <c r="DD736">
        <v>0</v>
      </c>
      <c r="DE736">
        <v>0</v>
      </c>
      <c r="DF736">
        <v>0</v>
      </c>
      <c r="DG736">
        <v>1</v>
      </c>
      <c r="DI736">
        <f>SUM(DD736:DG736)</f>
        <v>1</v>
      </c>
      <c r="DJ736" t="str">
        <f>IF(DI736=1,INDEX($DD$7:$DG$7,MATCH(1,$DD736:$DG736,0)),"mixedProduct")</f>
        <v>TimberInput</v>
      </c>
      <c r="DK736">
        <f>IF(DD736=1,DK$7,0)</f>
        <v>0</v>
      </c>
      <c r="DL736">
        <f>IF(DE736=1,DL$7,0)</f>
        <v>0</v>
      </c>
      <c r="DM736">
        <f>IF(DF736=1,DM$7,0)</f>
        <v>0</v>
      </c>
      <c r="DN736" t="str">
        <f>IF(DG736=1,DN$7,0)</f>
        <v>Timber</v>
      </c>
      <c r="DO736">
        <v>0</v>
      </c>
      <c r="DP736">
        <v>0</v>
      </c>
      <c r="DQ736">
        <v>0</v>
      </c>
      <c r="DR736">
        <v>0</v>
      </c>
      <c r="DS736">
        <v>0</v>
      </c>
      <c r="DT736">
        <f>SUM(DO736:DP736)</f>
        <v>0</v>
      </c>
      <c r="DU736" s="143" t="str">
        <f>IF(DO736=1,"self-calculated DF",IF(DP736=1,"external DF used","explicit C balance"))</f>
        <v>explicit C balance</v>
      </c>
      <c r="DV736">
        <v>0</v>
      </c>
      <c r="DW736">
        <v>0</v>
      </c>
      <c r="DX736">
        <v>0</v>
      </c>
      <c r="DY736">
        <v>1</v>
      </c>
      <c r="DZ736">
        <v>0</v>
      </c>
      <c r="EA736" s="143">
        <v>1</v>
      </c>
      <c r="EB736">
        <v>0</v>
      </c>
      <c r="EC736">
        <v>1</v>
      </c>
      <c r="ED736">
        <v>1</v>
      </c>
      <c r="EE736">
        <v>1</v>
      </c>
      <c r="EF736">
        <v>0</v>
      </c>
      <c r="EG736">
        <v>0</v>
      </c>
      <c r="EH736">
        <v>0</v>
      </c>
      <c r="EI736" s="2">
        <v>0</v>
      </c>
      <c r="EK736" t="str">
        <f>IF(AND(AND(AND(OR($DX736=1,$DW736=1),OR($EC736=1,$EA736=1)),SUM($DV736:$DZ736,$EF736)&gt;=4),SUM($EA736:$EE736)&gt;=2),"Whole sector","")</f>
        <v/>
      </c>
      <c r="EL736" t="str">
        <f>IF(AND(AND(OR($DX736=1,$DW736=1),AND($EC736=0,$EA736=0)),SUM($DV736:$DZ736,$EF736)&gt;=4),"Ecosystem approach","")</f>
        <v/>
      </c>
      <c r="EM736" s="2" t="str">
        <f>IF(AND(AND(AND($DX736=0,$DW736=0),OR($EC736=1,$EA736=1)),SUM($EB736:$EE736)&gt;=2),"Technology approach","")</f>
        <v>Technology approach</v>
      </c>
      <c r="EP736" t="str">
        <f>IF(ISNUMBER(BU736),IF(ABS(BU736-[1]QC_indicators!$B$2)&gt;3*[1]QC_indicators!$C$2,"C ratio",IF(ISNUMBER(BY736),IF(ABS(BY736-[1]QC_indicators!$B$1)&gt;3*[1]QC_indicators!$C$1,"DF","no"))),IF(ISNUMBER(BY736),IF(ABS(BY736-[1]QC_indicators!$B$1)&gt;3*[1]QC_indicators!$C$1,"DF","no")))</f>
        <v>no</v>
      </c>
      <c r="ER736" s="149" t="s">
        <v>349</v>
      </c>
      <c r="ET736" s="264" t="s">
        <v>3273</v>
      </c>
    </row>
    <row r="737" spans="1:150" ht="15" customHeight="1">
      <c r="A737" s="186" t="s">
        <v>1423</v>
      </c>
      <c r="B737" s="185" t="s">
        <v>2116</v>
      </c>
      <c r="C737" s="185" t="s">
        <v>2117</v>
      </c>
      <c r="D737" s="185" t="s">
        <v>2118</v>
      </c>
      <c r="E737" s="185" t="s">
        <v>2119</v>
      </c>
      <c r="F737" s="185" t="s">
        <v>2120</v>
      </c>
      <c r="G737" s="185" t="s">
        <v>1429</v>
      </c>
      <c r="H737" s="185" t="s">
        <v>254</v>
      </c>
      <c r="I737" s="185">
        <v>2014</v>
      </c>
      <c r="J737" s="185">
        <v>45</v>
      </c>
      <c r="K737" s="185" t="s">
        <v>2121</v>
      </c>
      <c r="L737" s="185"/>
      <c r="M737" t="str">
        <f>LEFT($D737,FIND(",",$D737)-1)&amp;"_"&amp;I737&amp;L737</f>
        <v>Pukkala_2014</v>
      </c>
      <c r="N737" t="s">
        <v>222</v>
      </c>
      <c r="O737" s="187" t="s">
        <v>225</v>
      </c>
      <c r="P737" s="185" t="s">
        <v>1154</v>
      </c>
      <c r="Q737" s="185"/>
      <c r="R737" s="262" t="s">
        <v>223</v>
      </c>
      <c r="S737" s="186" t="s">
        <v>2130</v>
      </c>
      <c r="T737" s="185" t="s">
        <v>2123</v>
      </c>
      <c r="U737" s="185" t="s">
        <v>2134</v>
      </c>
      <c r="V737" s="185">
        <v>0</v>
      </c>
      <c r="W737" s="185">
        <v>0</v>
      </c>
      <c r="X737" s="185">
        <v>0</v>
      </c>
      <c r="Y737" s="185">
        <v>1</v>
      </c>
      <c r="Z737" s="185">
        <v>0</v>
      </c>
      <c r="AA737" s="185">
        <v>0</v>
      </c>
      <c r="AB737" s="185">
        <v>0</v>
      </c>
      <c r="AC737" s="185">
        <v>0</v>
      </c>
      <c r="AD737" s="185">
        <v>0</v>
      </c>
      <c r="AE737" s="185">
        <v>0</v>
      </c>
      <c r="AF737" s="185">
        <v>0</v>
      </c>
      <c r="AG737" s="185">
        <v>0</v>
      </c>
      <c r="AH737" s="185">
        <v>0</v>
      </c>
      <c r="AI737" s="185">
        <v>0</v>
      </c>
      <c r="AJ737" s="185">
        <v>0</v>
      </c>
      <c r="AK737" s="185">
        <v>0</v>
      </c>
      <c r="AL737" s="185">
        <v>0</v>
      </c>
      <c r="AM737" s="185">
        <v>0</v>
      </c>
      <c r="AN737" s="185">
        <v>0</v>
      </c>
      <c r="AO737" s="185">
        <v>0</v>
      </c>
      <c r="AP737" s="185">
        <v>0</v>
      </c>
      <c r="AQ737" s="185">
        <v>0</v>
      </c>
      <c r="AR737" s="185">
        <v>0</v>
      </c>
      <c r="AS737" s="185">
        <v>0</v>
      </c>
      <c r="AT737" s="185">
        <v>0</v>
      </c>
      <c r="AU737" s="185">
        <v>0</v>
      </c>
      <c r="AV737" s="185">
        <v>0</v>
      </c>
      <c r="AW737" s="185">
        <v>0</v>
      </c>
      <c r="AX737" s="141">
        <f>COUNTIF(V737:AW737,"&lt;&gt;0")</f>
        <v>1</v>
      </c>
      <c r="AY737" s="141">
        <f>COUNTIF(V737:AL737,"&lt;&gt;0")</f>
        <v>1</v>
      </c>
      <c r="AZ737">
        <f>COUNTIF(V737:AC737,"&lt;&gt;0")</f>
        <v>1</v>
      </c>
      <c r="BA737">
        <f>COUNTIF(AD737:AI737,"&lt;&gt;0")</f>
        <v>0</v>
      </c>
      <c r="BB737">
        <f>COUNTIF(AJ737:AL737,"&lt;&gt;0")</f>
        <v>0</v>
      </c>
      <c r="BC737">
        <f>COUNTIF(AS737:AW737,"&lt;&gt;0")</f>
        <v>0</v>
      </c>
      <c r="BD737">
        <f>COUNTIF(AM737:AR737,"&lt;&gt;0")</f>
        <v>0</v>
      </c>
      <c r="BE737" t="str">
        <f t="array" ref="BE737">IF(AY737=1,INDEX($V$7:$AL$7,MATCH(TRUE,INDEX($V737:$AW737&lt;&gt;0,),0)),IF(AY737=0,INDEX($AM$7:$AW$7,MATCH(1,$AM737:$AW737,0)),IF(BF737="Multiple strategies","mixed drivers",IF(BF737="Supply chain","multiple supply","multiple silviculture"))))</f>
        <v xml:space="preserve">cutting intensity </v>
      </c>
      <c r="BF737" s="2" t="str" cm="1">
        <f t="array" ref="BF737">IF(COUNTIF(AZ737:BB737,"&lt;&gt;0")=1,INDEX($V$4:$AW$4,MATCH(TRUE,INDEX($V737:$AW737&lt;&gt;0,),0)),IF(COUNTIF(AZ737:BB737,"&lt;&gt;0")=0,INDEX($AM$4:$AW$4,MATCH(1,$AM737:$AW737,0)),"Multiple strategies"))</f>
        <v>Silviculture for removals</v>
      </c>
      <c r="BG737" s="186" t="s">
        <v>229</v>
      </c>
      <c r="BH737" s="185" t="s">
        <v>2125</v>
      </c>
      <c r="BI737" s="185" t="s">
        <v>2126</v>
      </c>
      <c r="BJ737" s="185" t="s">
        <v>2127</v>
      </c>
      <c r="BK737" s="185">
        <v>1.004</v>
      </c>
      <c r="BL737" s="185">
        <v>1.0269999999999999</v>
      </c>
      <c r="BM737" s="185">
        <f>IFERROR(BL737/BK737,"")</f>
        <v>1.0229083665338645</v>
      </c>
      <c r="BN737" s="185">
        <f>BL737-BK737</f>
        <v>2.2999999999999909E-2</v>
      </c>
      <c r="BO737" s="185">
        <f>+BN737*tC_to_m3</f>
        <v>9.9869735128093398E-2</v>
      </c>
      <c r="BP737" s="185" t="s">
        <v>232</v>
      </c>
      <c r="BQ737" s="185" t="s">
        <v>2128</v>
      </c>
      <c r="BR737" s="185" t="s">
        <v>2127</v>
      </c>
      <c r="BS737" s="185">
        <f>0.194-0.202</f>
        <v>-8.0000000000000071E-3</v>
      </c>
      <c r="BT737" s="185">
        <f>0.224-0.221</f>
        <v>3.0000000000000027E-3</v>
      </c>
      <c r="BU737" s="189">
        <f>BT737/BS737</f>
        <v>-0.375</v>
      </c>
      <c r="BV737" s="185">
        <f>BT737-BS737</f>
        <v>1.100000000000001E-2</v>
      </c>
      <c r="BW737" s="185"/>
      <c r="BX737" s="185">
        <f>BV737*C_to_CO2</f>
        <v>4.0370000000000038E-2</v>
      </c>
      <c r="BY737">
        <f>IFERROR(BX737/BO737,"")</f>
        <v>0.40422656521739325</v>
      </c>
      <c r="BZ737" s="185">
        <v>0</v>
      </c>
      <c r="CA737" s="185">
        <v>0</v>
      </c>
      <c r="CB737" s="185">
        <v>0</v>
      </c>
      <c r="CC737" s="185">
        <v>0</v>
      </c>
      <c r="CD737" s="185">
        <v>0</v>
      </c>
      <c r="CE737" s="185">
        <v>0</v>
      </c>
      <c r="CF737" s="185">
        <v>0</v>
      </c>
      <c r="CG737" s="185">
        <v>0</v>
      </c>
      <c r="CH737" s="185">
        <v>0</v>
      </c>
      <c r="CI737" s="185">
        <v>0</v>
      </c>
      <c r="CJ737" s="185">
        <v>0</v>
      </c>
      <c r="CK737" s="185">
        <v>0</v>
      </c>
      <c r="CL737" s="185">
        <v>0</v>
      </c>
      <c r="CM737" s="185">
        <v>1</v>
      </c>
      <c r="CN737" s="185" t="str">
        <f>IF($BL737&lt;$BK737,"refNeedCorrection","refOK")</f>
        <v>refOK</v>
      </c>
      <c r="CO737" s="185">
        <f>IF($CN737="refOK",$BK737,$BL737)</f>
        <v>1.004</v>
      </c>
      <c r="CP737" s="185">
        <f>IF($CN737="refOK",$BL737,$BK737)</f>
        <v>1.0269999999999999</v>
      </c>
      <c r="CQ737" s="185">
        <f>IF($CN737="refOK",$BO737,-$BO737)</f>
        <v>9.9869735128093398E-2</v>
      </c>
      <c r="CR737" s="185">
        <f>IF($CN737="refOK",$BS737,$BT737)*IF($BP737="Emissions positive",-1,1)</f>
        <v>-8.0000000000000071E-3</v>
      </c>
      <c r="CS737" s="185">
        <f>IF($CN737="refOK",$BT737,$BS737)*IF($BP737="Emissions positive",-1,1)</f>
        <v>3.0000000000000027E-3</v>
      </c>
      <c r="CT737" s="185">
        <f>IF($CN737="refNeedCorrection",-BX737,BX737)*IF($BP737="Emissions positive",-1,1)</f>
        <v>4.0370000000000038E-2</v>
      </c>
      <c r="CU737">
        <f>IFERROR(CT737/CQ737,"")</f>
        <v>0.40422656521739325</v>
      </c>
      <c r="CV737" s="188">
        <f>IFERROR((CS737-CR737)/ABS(CR737),"")</f>
        <v>1.375</v>
      </c>
      <c r="CW737" s="186" t="s">
        <v>2036</v>
      </c>
      <c r="CX737" t="str">
        <f>IF(OR($CW737="prd",$CW737="std",$CW737="cit"),"loc",IF(OR($CW737="eur",$CW737="reg",$CW737="coy"),"reg",$CW737))</f>
        <v>reg</v>
      </c>
      <c r="CY737" s="185" t="s">
        <v>235</v>
      </c>
      <c r="CZ737" s="185"/>
      <c r="DA737" s="185"/>
      <c r="DB737" s="185">
        <v>30</v>
      </c>
      <c r="DC737" t="str">
        <f>IF(DB737=0,"0",IF(AND(DB737&gt;=1,DB737&lt;=30),"1-30",IF(AND(DB737&gt;30,DB737&lt;=70),"31-70",IF(AND(DB737&gt;70,DB737&lt;=100),"71-100",IF(DB737&gt;100,"+100")))))</f>
        <v>1-30</v>
      </c>
      <c r="DD737" s="185">
        <v>1</v>
      </c>
      <c r="DE737" s="185">
        <v>0</v>
      </c>
      <c r="DF737" s="185">
        <v>0</v>
      </c>
      <c r="DG737" s="185">
        <v>0</v>
      </c>
      <c r="DH737" s="185">
        <v>0</v>
      </c>
      <c r="DI737">
        <f>SUM(DD737:DG737)</f>
        <v>1</v>
      </c>
      <c r="DJ737" t="str">
        <f>IF(DI737=1,INDEX($DD$7:$DG$7,MATCH(1,$DD737:$DG737,0)),"mixedProduct")</f>
        <v>UpstreamInput</v>
      </c>
      <c r="DK737" t="str">
        <f>IF(DD737=1,DK$7,0)</f>
        <v>Upstream</v>
      </c>
      <c r="DL737">
        <f>IF(DE737=1,DL$7,0)</f>
        <v>0</v>
      </c>
      <c r="DM737">
        <f>IF(DF737=1,DM$7,0)</f>
        <v>0</v>
      </c>
      <c r="DN737">
        <f>IF(DG737=1,DN$7,0)</f>
        <v>0</v>
      </c>
      <c r="DO737" s="185">
        <v>0</v>
      </c>
      <c r="DP737" s="185">
        <v>0</v>
      </c>
      <c r="DQ737" s="190"/>
      <c r="DR737" s="190"/>
      <c r="DS737" s="190">
        <v>0</v>
      </c>
      <c r="DT737" s="185"/>
      <c r="DU737" s="191" t="str">
        <f>IF(DO737=1,"self-calculated DF",IF(DP737=1,"external DF used","explicit C balance"))</f>
        <v>explicit C balance</v>
      </c>
      <c r="DV737" s="185">
        <v>1</v>
      </c>
      <c r="DW737" s="185">
        <v>1</v>
      </c>
      <c r="DX737" s="185">
        <v>1</v>
      </c>
      <c r="DY737" s="185">
        <v>0</v>
      </c>
      <c r="DZ737" s="185">
        <v>0</v>
      </c>
      <c r="EA737" s="185">
        <v>0</v>
      </c>
      <c r="EB737" s="185">
        <v>0</v>
      </c>
      <c r="EC737" s="185">
        <v>0</v>
      </c>
      <c r="ED737" s="185">
        <v>0</v>
      </c>
      <c r="EE737" s="185">
        <v>0</v>
      </c>
      <c r="EF737" s="185">
        <v>1</v>
      </c>
      <c r="EG737" s="185">
        <v>0</v>
      </c>
      <c r="EH737" s="185">
        <v>0</v>
      </c>
      <c r="EI737" s="188">
        <v>0</v>
      </c>
      <c r="EK737" t="str">
        <f>IF(AND(AND(AND(OR($DX737=1,$DW737=1),OR($EC737=1,$EA737=1)),SUM($DV737:$DZ737,$EF737)&gt;=4),SUM($EA737:$EE737)&gt;=2),"Whole sector","")</f>
        <v/>
      </c>
      <c r="EL737" t="str">
        <f>IF(AND(AND(OR($DX737=1,$DW737=1),AND($EC737=0,$EA737=0)),SUM($DV737:$DZ737,$EF737)&gt;=4),"Ecosystem approach","")</f>
        <v>Ecosystem approach</v>
      </c>
      <c r="EM737" s="2" t="str">
        <f>IF(AND(AND(AND($DX737=0,$DW737=0),OR($EC737=1,$EA737=1)),SUM($EB737:$EE737)&gt;=2),"Technology approach","")</f>
        <v/>
      </c>
      <c r="EN737" s="185"/>
      <c r="EO737" s="185"/>
      <c r="EP737" t="str">
        <f>IF(ISNUMBER(BU737),IF(ABS(BU737-[1]QC_indicators!$B$2)&gt;3*[1]QC_indicators!$C$2,"C ratio",IF(ISNUMBER(BY737),IF(ABS(BY737-[1]QC_indicators!$B$1)&gt;3*[1]QC_indicators!$C$1,"DF","no"))),IF(ISNUMBER(BY737),IF(ABS(BY737-[1]QC_indicators!$B$1)&gt;3*[1]QC_indicators!$C$1,"DF","no")))</f>
        <v>no</v>
      </c>
      <c r="EQ737" s="185"/>
      <c r="ER737" s="185"/>
      <c r="ES737" s="185"/>
      <c r="ET737" s="264" t="s">
        <v>3223</v>
      </c>
    </row>
    <row r="738" spans="1:150" ht="15" customHeight="1">
      <c r="A738" s="1" t="s">
        <v>1808</v>
      </c>
      <c r="B738" t="s">
        <v>2257</v>
      </c>
      <c r="C738" t="s">
        <v>2258</v>
      </c>
      <c r="D738" t="s">
        <v>2259</v>
      </c>
      <c r="E738" t="s">
        <v>2260</v>
      </c>
      <c r="F738" t="s">
        <v>2261</v>
      </c>
      <c r="G738" t="s">
        <v>1814</v>
      </c>
      <c r="H738" t="s">
        <v>254</v>
      </c>
      <c r="I738">
        <v>2013</v>
      </c>
      <c r="J738">
        <v>49</v>
      </c>
      <c r="K738" t="s">
        <v>2262</v>
      </c>
      <c r="M738" t="str">
        <f>LEFT($D738,FIND(",",$D738)-1)&amp;"_"&amp;I738&amp;L738</f>
        <v>Sikkema_2013</v>
      </c>
      <c r="N738" t="s">
        <v>222</v>
      </c>
      <c r="O738" s="145" t="s">
        <v>341</v>
      </c>
      <c r="Q738" s="264" t="s">
        <v>256</v>
      </c>
      <c r="R738" s="269" t="s">
        <v>1154</v>
      </c>
      <c r="S738" s="1" t="s">
        <v>2270</v>
      </c>
      <c r="T738" t="s">
        <v>1099</v>
      </c>
      <c r="U738" t="e">
        <f>#REF!</f>
        <v>#REF!</v>
      </c>
      <c r="V738">
        <v>2</v>
      </c>
      <c r="W738">
        <v>0</v>
      </c>
      <c r="X738">
        <v>0</v>
      </c>
      <c r="Y738">
        <v>0</v>
      </c>
      <c r="Z738">
        <v>0</v>
      </c>
      <c r="AA738">
        <v>0</v>
      </c>
      <c r="AB738">
        <v>0</v>
      </c>
      <c r="AC738">
        <v>0</v>
      </c>
      <c r="AD738">
        <v>0</v>
      </c>
      <c r="AE738">
        <v>0</v>
      </c>
      <c r="AF738">
        <v>1</v>
      </c>
      <c r="AG738">
        <v>0</v>
      </c>
      <c r="AH738">
        <v>0</v>
      </c>
      <c r="AI738">
        <v>0</v>
      </c>
      <c r="AJ738">
        <v>0</v>
      </c>
      <c r="AK738">
        <v>0</v>
      </c>
      <c r="AL738">
        <v>0</v>
      </c>
      <c r="AM738">
        <v>0</v>
      </c>
      <c r="AN738">
        <v>0</v>
      </c>
      <c r="AO738">
        <v>0</v>
      </c>
      <c r="AP738">
        <v>0</v>
      </c>
      <c r="AQ738">
        <v>0</v>
      </c>
      <c r="AR738">
        <v>0</v>
      </c>
      <c r="AS738">
        <v>0</v>
      </c>
      <c r="AT738">
        <v>0</v>
      </c>
      <c r="AU738">
        <v>0</v>
      </c>
      <c r="AV738">
        <v>0</v>
      </c>
      <c r="AW738">
        <v>0</v>
      </c>
      <c r="AX738" s="141">
        <f>COUNTIF(V738:AW738,"&lt;&gt;0")</f>
        <v>2</v>
      </c>
      <c r="AY738" s="141">
        <f>COUNTIF(V738:AL738,"&lt;&gt;0")</f>
        <v>2</v>
      </c>
      <c r="AZ738">
        <f>COUNTIF(V738:AC738,"&lt;&gt;0")</f>
        <v>1</v>
      </c>
      <c r="BA738">
        <f>COUNTIF(AD738:AI738,"&lt;&gt;0")</f>
        <v>1</v>
      </c>
      <c r="BB738">
        <f>COUNTIF(AJ738:AL738,"&lt;&gt;0")</f>
        <v>0</v>
      </c>
      <c r="BC738">
        <f>COUNTIF(AS738:AW738,"&lt;&gt;0")</f>
        <v>0</v>
      </c>
      <c r="BD738">
        <f>COUNTIF(AM738:AR738,"&lt;&gt;0")</f>
        <v>0</v>
      </c>
      <c r="BE738" t="str" cm="1">
        <f t="array" ref="BE738">IF(AY738=1,INDEX($V$7:$AL$7,MATCH(TRUE,INDEX($V738:$AW738&lt;&gt;0,),0)),IF(AY738=0,INDEX($AM$7:$AW$7,MATCH(1,$AM738:$AW738,0)),IF(BF738="Multiple strategies","mixed drivers",IF(BF738="Supply chain","multiple supply","multiple silviculture"))))</f>
        <v>mixed drivers</v>
      </c>
      <c r="BF738" s="2" t="str" cm="1">
        <f t="array" ref="BF738">IF(COUNTIF(AZ738:BB738,"&lt;&gt;0")=1,INDEX($V$4:$AW$4,MATCH(TRUE,INDEX($V738:$AW738&lt;&gt;0,),0)),IF(COUNTIF(AZ738:BB738,"&lt;&gt;0")=0,INDEX($AM$4:$AW$4,MATCH(1,$AM738:$AW738,0)),"Multiple strategies"))</f>
        <v>Multiple strategies</v>
      </c>
      <c r="BG738" s="1" t="s">
        <v>321</v>
      </c>
      <c r="BH738" t="s">
        <v>2264</v>
      </c>
      <c r="BJ738" t="s">
        <v>1355</v>
      </c>
      <c r="BK738">
        <v>130</v>
      </c>
      <c r="BL738">
        <v>180</v>
      </c>
      <c r="BN738">
        <f>BL738-BK738</f>
        <v>50</v>
      </c>
      <c r="BO738">
        <f>BN738*10^6</f>
        <v>50000000</v>
      </c>
      <c r="BP738" s="264" t="s">
        <v>232</v>
      </c>
      <c r="BQ738" s="264"/>
      <c r="BR738" t="s">
        <v>1140</v>
      </c>
      <c r="BS738">
        <v>-41.3</v>
      </c>
      <c r="BT738">
        <v>-20.9</v>
      </c>
      <c r="BU738" s="144">
        <v>0.50605326876513312</v>
      </c>
      <c r="BV738">
        <v>20.399999999999999</v>
      </c>
      <c r="BX738">
        <f>BV738*10^6</f>
        <v>20400000</v>
      </c>
      <c r="BY738">
        <f>IFERROR(BX738/BO738,"")</f>
        <v>0.40799999999999997</v>
      </c>
      <c r="BZ738">
        <v>0</v>
      </c>
      <c r="CA738">
        <v>0</v>
      </c>
      <c r="CB738">
        <v>0</v>
      </c>
      <c r="CC738">
        <v>0</v>
      </c>
      <c r="CD738">
        <v>0</v>
      </c>
      <c r="CE738">
        <v>0</v>
      </c>
      <c r="CF738">
        <v>0</v>
      </c>
      <c r="CG738">
        <v>0</v>
      </c>
      <c r="CH738">
        <v>0</v>
      </c>
      <c r="CI738">
        <v>0</v>
      </c>
      <c r="CJ738">
        <v>0</v>
      </c>
      <c r="CK738">
        <v>0</v>
      </c>
      <c r="CL738">
        <v>0</v>
      </c>
      <c r="CM738">
        <v>0</v>
      </c>
      <c r="CN738" t="str">
        <f>IF($BL738&lt;$BK738,"refNeedCorrection","refOK")</f>
        <v>refOK</v>
      </c>
      <c r="CO738">
        <f>IF($CN738="refOK",$BK738,$BL738)</f>
        <v>130</v>
      </c>
      <c r="CP738">
        <f>IF($CN738="refOK",$BL738,$BK738)</f>
        <v>180</v>
      </c>
      <c r="CQ738">
        <f>IF($CN738="refOK",$BO738,-$BO738)</f>
        <v>50000000</v>
      </c>
      <c r="CR738">
        <f>IF($CN738="refOK",$BS738,$BT738)*IF($BP738="Emissions positive",-1,1)</f>
        <v>-41.3</v>
      </c>
      <c r="CS738">
        <f>IF($CN738="refOK",$BT738,$BS738)*IF($BP738="Emissions positive",-1,1)</f>
        <v>-20.9</v>
      </c>
      <c r="CT738">
        <f>IF($CN738="refNeedCorrection",-BX738,BX738)*IF($BP738="Emissions positive",-1,1)</f>
        <v>20400000</v>
      </c>
      <c r="CU738">
        <f>IFERROR(CT738/CQ738,"")</f>
        <v>0.40799999999999997</v>
      </c>
      <c r="CV738" s="2">
        <f>IFERROR((CS738-CR738)/ABS(CR738),"")</f>
        <v>0.49394673123486682</v>
      </c>
      <c r="CW738" s="1" t="s">
        <v>1203</v>
      </c>
      <c r="CX738" s="264" t="str">
        <f>IF(OR($CW738="prd",$CW738="std",$CW738="cit"),"loc",IF(OR($CW738="eur",$CW738="reg",$CW738="coy"),"reg",$CW738))</f>
        <v>reg</v>
      </c>
      <c r="CY738" t="s">
        <v>540</v>
      </c>
      <c r="CZ738">
        <v>2012</v>
      </c>
      <c r="DA738">
        <v>2112</v>
      </c>
      <c r="DB738">
        <v>100</v>
      </c>
      <c r="DC738" t="str">
        <f>IF(DB738=0,"0",IF(AND(DB738&gt;=1,DB738&lt;=30),"1-30",IF(AND(DB738&gt;30,DB738&lt;=70),"31-70",IF(AND(DB738&gt;70,DB738&lt;=100),"71-100",IF(DB738&gt;100,"+100")))))</f>
        <v>71-100</v>
      </c>
      <c r="DD738">
        <v>0</v>
      </c>
      <c r="DE738">
        <v>1</v>
      </c>
      <c r="DF738">
        <v>1</v>
      </c>
      <c r="DG738">
        <v>1</v>
      </c>
      <c r="DI738">
        <f>SUM(DD738:DG738)</f>
        <v>3</v>
      </c>
      <c r="DJ738" t="str">
        <f>IF(DI738=1,INDEX($DD$7:$DG$7,MATCH(1,$DD738:$DG738,0)),"mixedProduct")</f>
        <v>mixedProduct</v>
      </c>
      <c r="DK738">
        <f>IF(DD738=1,DK$7,0)</f>
        <v>0</v>
      </c>
      <c r="DL738" t="str">
        <f>IF(DE738=1,DL$7,0)</f>
        <v>Energy</v>
      </c>
      <c r="DM738" t="str">
        <f>IF(DF738=1,DM$7,0)</f>
        <v>Pulp/Paper</v>
      </c>
      <c r="DN738" t="str">
        <f>IF(DG738=1,DN$7,0)</f>
        <v>Timber</v>
      </c>
      <c r="DO738" t="s">
        <v>2265</v>
      </c>
      <c r="DP738">
        <v>1</v>
      </c>
      <c r="DQ738" s="184" t="s">
        <v>2266</v>
      </c>
      <c r="DR738" t="s">
        <v>2267</v>
      </c>
      <c r="DT738">
        <f>SUM(DO738:DP738)</f>
        <v>1</v>
      </c>
      <c r="DU738" s="143" t="str">
        <f>IF(DO738=1,"self-calculated DF",IF(DP738=1,"external DF used","explicit C balance"))</f>
        <v>external DF used</v>
      </c>
      <c r="DV738">
        <v>0</v>
      </c>
      <c r="DW738">
        <v>0</v>
      </c>
      <c r="DX738">
        <v>0</v>
      </c>
      <c r="DY738">
        <v>1</v>
      </c>
      <c r="DZ738">
        <v>1</v>
      </c>
      <c r="EA738">
        <v>1</v>
      </c>
      <c r="EB738">
        <v>0</v>
      </c>
      <c r="EC738">
        <v>1</v>
      </c>
      <c r="ED738">
        <v>0</v>
      </c>
      <c r="EE738">
        <v>1</v>
      </c>
      <c r="EF738">
        <v>1</v>
      </c>
      <c r="EG738">
        <v>1</v>
      </c>
      <c r="EH738">
        <v>1</v>
      </c>
      <c r="EI738" s="2">
        <v>0</v>
      </c>
      <c r="EK738" t="str">
        <f>IF(AND(AND(AND(OR($DX738=1,$DW738=1),OR($EC738=1,$EA738=1)),SUM($DV738:$DZ738,$EF738)&gt;=4),SUM($EA738:$EE738)&gt;=2),"Whole sector","")</f>
        <v/>
      </c>
      <c r="EL738" t="str">
        <f>IF(AND(AND(OR($DX738=1,$DW738=1),AND($EC738=0,$EA738=0)),SUM($DV738:$DZ738,$EF738)&gt;=4),"Ecosystem approach","")</f>
        <v/>
      </c>
      <c r="EM738" s="2" t="str">
        <f>IF(AND(AND(AND($DX738=0,$DW738=0),OR($EC738=1,$EA738=1)),SUM($EB738:$EE738)&gt;=2),"Technology approach","")</f>
        <v>Technology approach</v>
      </c>
      <c r="EP738" t="str">
        <f>IF(ISNUMBER(BU738),IF(ABS(BU738-[3]QC_indicators!$B$2)&gt;3*[3]QC_indicators!$C$2,"C ratio",IF(ISNUMBER(BY738),IF(ABS(BY738-[3]QC_indicators!$B$1)&gt;3*[3]QC_indicators!$C$1,"DF","no"))),IF(ISNUMBER(BY738),IF(ABS(BY738-[3]QC_indicators!$B$1)&gt;3*[3]QC_indicators!$C$1,"DF","no")))</f>
        <v>no</v>
      </c>
      <c r="ER738" s="264" t="s">
        <v>2268</v>
      </c>
      <c r="ET738" s="264" t="s">
        <v>3407</v>
      </c>
    </row>
    <row r="739" spans="1:150" ht="15" customHeight="1">
      <c r="A739" s="1" t="s">
        <v>1233</v>
      </c>
      <c r="B739" t="s">
        <v>1234</v>
      </c>
      <c r="C739" t="s">
        <v>1235</v>
      </c>
      <c r="D739" t="s">
        <v>336</v>
      </c>
      <c r="E739" t="s">
        <v>1236</v>
      </c>
      <c r="F739" t="s">
        <v>1237</v>
      </c>
      <c r="G739" t="s">
        <v>1238</v>
      </c>
      <c r="I739">
        <v>2018</v>
      </c>
      <c r="K739" t="s">
        <v>1239</v>
      </c>
      <c r="M739" t="str">
        <f>LEFT($D739,FIND(",",$D739)-1)&amp;"_"&amp;I739&amp;L739</f>
        <v>Balasbaneh_2018</v>
      </c>
      <c r="N739" t="s">
        <v>222</v>
      </c>
      <c r="O739" s="140" t="s">
        <v>513</v>
      </c>
      <c r="Q739" t="s">
        <v>224</v>
      </c>
      <c r="R739" s="262" t="s">
        <v>223</v>
      </c>
      <c r="S739" s="1" t="s">
        <v>1259</v>
      </c>
      <c r="T739" s="264" t="s">
        <v>3115</v>
      </c>
      <c r="U739" s="264" t="s">
        <v>3116</v>
      </c>
      <c r="V739">
        <v>0</v>
      </c>
      <c r="W739">
        <v>0</v>
      </c>
      <c r="X739">
        <v>0</v>
      </c>
      <c r="Y739">
        <v>0</v>
      </c>
      <c r="Z739">
        <v>0</v>
      </c>
      <c r="AA739">
        <v>0</v>
      </c>
      <c r="AB739">
        <v>0</v>
      </c>
      <c r="AC739">
        <v>0</v>
      </c>
      <c r="AD739">
        <v>0</v>
      </c>
      <c r="AE739">
        <v>0</v>
      </c>
      <c r="AF739">
        <v>0</v>
      </c>
      <c r="AG739">
        <v>0</v>
      </c>
      <c r="AH739">
        <v>0</v>
      </c>
      <c r="AI739">
        <v>0</v>
      </c>
      <c r="AJ739">
        <v>0</v>
      </c>
      <c r="AK739">
        <v>1</v>
      </c>
      <c r="AL739">
        <v>0</v>
      </c>
      <c r="AM739">
        <v>0</v>
      </c>
      <c r="AN739">
        <v>0</v>
      </c>
      <c r="AO739">
        <v>0</v>
      </c>
      <c r="AP739">
        <v>0</v>
      </c>
      <c r="AQ739">
        <v>0</v>
      </c>
      <c r="AR739">
        <v>0</v>
      </c>
      <c r="AS739">
        <v>0</v>
      </c>
      <c r="AT739">
        <v>0</v>
      </c>
      <c r="AU739">
        <v>0</v>
      </c>
      <c r="AV739">
        <v>0</v>
      </c>
      <c r="AW739">
        <v>0</v>
      </c>
      <c r="AX739" s="141">
        <f>COUNTIF(V739:AW739,"&lt;&gt;0")</f>
        <v>1</v>
      </c>
      <c r="AY739" s="141">
        <f>COUNTIF(V739:AL739,"&lt;&gt;0")</f>
        <v>1</v>
      </c>
      <c r="AZ739">
        <f>COUNTIF(V739:AC739,"&lt;&gt;0")</f>
        <v>0</v>
      </c>
      <c r="BA739">
        <f>COUNTIF(AD739:AI739,"&lt;&gt;0")</f>
        <v>0</v>
      </c>
      <c r="BB739">
        <f>COUNTIF(AJ739:AL739,"&lt;&gt;0")</f>
        <v>1</v>
      </c>
      <c r="BC739">
        <f>COUNTIF(AS739:AW739,"&lt;&gt;0")</f>
        <v>0</v>
      </c>
      <c r="BD739">
        <f>COUNTIF(AM739:AR739,"&lt;&gt;0")</f>
        <v>0</v>
      </c>
      <c r="BE739" t="str">
        <f t="array" ref="BE739">IF(AY739=1,INDEX($V$7:$AL$7,MATCH(TRUE,INDEX($V739:$AW739&lt;&gt;0,),0)),IF(AY739=0,INDEX($AM$7:$AW$7,MATCH(1,$AM739:$AW739,0)),IF(BF739="Multiple strategies","mixed drivers",IF(BF739="Supply chain","multiple supply","multiple silviculture"))))</f>
        <v>technologies/design switch</v>
      </c>
      <c r="BF739" s="2" t="str" cm="1">
        <f t="array" ref="BF739">IF(COUNTIF(AZ739:BB739,"&lt;&gt;0")=1,INDEX($V$4:$AW$4,MATCH(TRUE,INDEX($V739:$AW739&lt;&gt;0,),0)),IF(COUNTIF(AZ739:BB739,"&lt;&gt;0")=0,INDEX($AM$4:$AW$4,MATCH(1,$AM739:$AW739,0)),"Multiple strategies"))</f>
        <v>Technology</v>
      </c>
      <c r="BG739" s="1" t="s">
        <v>229</v>
      </c>
      <c r="BH739" t="s">
        <v>229</v>
      </c>
      <c r="BJ739" t="s">
        <v>345</v>
      </c>
      <c r="BK739">
        <v>0</v>
      </c>
      <c r="BL739">
        <v>23436</v>
      </c>
      <c r="BM739" s="143"/>
      <c r="BN739">
        <f>BL739-BK739</f>
        <v>23436</v>
      </c>
      <c r="BO739" s="143">
        <f>BN739*kg_to_m3</f>
        <v>47.828571428571436</v>
      </c>
      <c r="BP739" t="s">
        <v>232</v>
      </c>
      <c r="BQ739" s="337" t="s">
        <v>1057</v>
      </c>
      <c r="BR739" t="s">
        <v>397</v>
      </c>
      <c r="BS739">
        <v>-20300</v>
      </c>
      <c r="BT739">
        <v>-693</v>
      </c>
      <c r="BU739" s="144">
        <v>3.413793103448276E-2</v>
      </c>
      <c r="BV739">
        <v>19607</v>
      </c>
      <c r="BX739">
        <f>BV739/1000</f>
        <v>19.606999999999999</v>
      </c>
      <c r="BY739">
        <f>IFERROR(BX739/BO739,"")</f>
        <v>0.40994324970131413</v>
      </c>
      <c r="BZ739">
        <v>0</v>
      </c>
      <c r="CA739">
        <v>0</v>
      </c>
      <c r="CB739">
        <v>0</v>
      </c>
      <c r="CC739">
        <v>0</v>
      </c>
      <c r="CD739">
        <v>0</v>
      </c>
      <c r="CE739">
        <v>0</v>
      </c>
      <c r="CF739">
        <v>0</v>
      </c>
      <c r="CG739">
        <v>0</v>
      </c>
      <c r="CH739">
        <v>0</v>
      </c>
      <c r="CI739">
        <v>0</v>
      </c>
      <c r="CJ739">
        <v>0</v>
      </c>
      <c r="CK739">
        <v>0</v>
      </c>
      <c r="CL739">
        <v>0</v>
      </c>
      <c r="CM739">
        <v>0</v>
      </c>
      <c r="CN739" t="str">
        <f>IF($BL739&lt;$BK739,"refNeedCorrection","refOK")</f>
        <v>refOK</v>
      </c>
      <c r="CO739">
        <f>IF($CN739="refNeedCorrection",BL739,BK739)</f>
        <v>0</v>
      </c>
      <c r="CP739">
        <f>IF($CN739="refNeedCorrection",BK739,BL739)</f>
        <v>23436</v>
      </c>
      <c r="CQ739">
        <f>IF($CN739="refOK",$BO739,-$BO739)</f>
        <v>47.828571428571436</v>
      </c>
      <c r="CR739">
        <f>IF($CN739="refOK",$BS739,$BT739)*IF($BP739="Emissions positive",-1,1)</f>
        <v>-20300</v>
      </c>
      <c r="CS739">
        <f>IF($CN739="refOK",$BT739,$BS739)*IF($BP739="Emissions positive",-1,1)</f>
        <v>-693</v>
      </c>
      <c r="CT739">
        <f>IF($CN739="refNeedCorrection",-BX739,BX739)*IF($BP739="Emissions positive",-1,1)</f>
        <v>19.606999999999999</v>
      </c>
      <c r="CU739">
        <f>IFERROR(CT739/CQ739,"")</f>
        <v>0.40994324970131413</v>
      </c>
      <c r="CV739" s="2">
        <f>IFERROR((CS739-CR739)/ABS(CR739),"")</f>
        <v>0.9658620689655173</v>
      </c>
      <c r="CW739" s="1" t="s">
        <v>1203</v>
      </c>
      <c r="CX739" t="str">
        <f>IF(OR($CW739="prd",$CW739="std",$CW739="cit"),"loc",IF(OR($CW739="eur",$CW739="reg",$CW739="coy"),"reg",$CW739))</f>
        <v>reg</v>
      </c>
      <c r="CY739" t="s">
        <v>348</v>
      </c>
      <c r="CZ739">
        <v>2014</v>
      </c>
      <c r="DA739">
        <v>2514</v>
      </c>
      <c r="DB739">
        <v>500</v>
      </c>
      <c r="DC739" t="str">
        <f>IF(DB739=0,"0",IF(AND(DB739&gt;=1,DB739&lt;=30),"1-30",IF(AND(DB739&gt;30,DB739&lt;=70),"31-70",IF(AND(DB739&gt;70,DB739&lt;=100),"71-100",IF(DB739&gt;100,"+100")))))</f>
        <v>+100</v>
      </c>
      <c r="DD739">
        <v>0</v>
      </c>
      <c r="DE739">
        <v>0</v>
      </c>
      <c r="DF739">
        <v>0</v>
      </c>
      <c r="DG739">
        <v>1</v>
      </c>
      <c r="DI739">
        <f>SUM(DD739:DG739)</f>
        <v>1</v>
      </c>
      <c r="DJ739" t="str">
        <f>IF(DI739=1,INDEX($DD$7:$DG$7,MATCH(1,$DD739:$DG739,0)),"mixedProduct")</f>
        <v>TimberInput</v>
      </c>
      <c r="DK739">
        <f>IF(DD739=1,DK$7,0)</f>
        <v>0</v>
      </c>
      <c r="DL739">
        <f>IF(DE739=1,DL$7,0)</f>
        <v>0</v>
      </c>
      <c r="DM739">
        <f>IF(DF739=1,DM$7,0)</f>
        <v>0</v>
      </c>
      <c r="DN739" t="str">
        <f>IF(DG739=1,DN$7,0)</f>
        <v>Timber</v>
      </c>
      <c r="DO739">
        <v>0</v>
      </c>
      <c r="DP739">
        <v>0</v>
      </c>
      <c r="DQ739">
        <v>0</v>
      </c>
      <c r="DR739">
        <v>0</v>
      </c>
      <c r="DS739">
        <v>0</v>
      </c>
      <c r="DT739">
        <f>SUM(DO739:DP739)</f>
        <v>0</v>
      </c>
      <c r="DU739" s="143" t="str">
        <f>IF(DO739=1,"self-calculated DF",IF(DP739=1,"external DF used","explicit C balance"))</f>
        <v>explicit C balance</v>
      </c>
      <c r="DV739">
        <v>0</v>
      </c>
      <c r="DW739">
        <v>0</v>
      </c>
      <c r="DX739">
        <v>0</v>
      </c>
      <c r="DY739">
        <v>0</v>
      </c>
      <c r="DZ739">
        <v>0</v>
      </c>
      <c r="EA739" s="143">
        <v>1</v>
      </c>
      <c r="EB739">
        <v>0</v>
      </c>
      <c r="EC739">
        <v>1</v>
      </c>
      <c r="ED739">
        <v>1</v>
      </c>
      <c r="EE739">
        <v>1</v>
      </c>
      <c r="EF739">
        <v>0</v>
      </c>
      <c r="EG739">
        <v>0</v>
      </c>
      <c r="EH739">
        <v>0</v>
      </c>
      <c r="EI739" s="2">
        <v>0</v>
      </c>
      <c r="EK739" t="str">
        <f>IF(AND(AND(AND(OR($DX739=1,$DW739=1),OR($EC739=1,$EA739=1)),SUM($DV739:$DZ739,$EF739)&gt;=4),SUM($EA739:$EE739)&gt;=2),"Whole sector","")</f>
        <v/>
      </c>
      <c r="EL739" t="str">
        <f>IF(AND(AND(OR($DX739=1,$DW739=1),AND($EC739=0,$EA739=0)),SUM($DV739:$DZ739,$EF739)&gt;=4),"Ecosystem approach","")</f>
        <v/>
      </c>
      <c r="EM739" s="2" t="str">
        <f>IF(AND(AND(AND($DX739=0,$DW739=0),OR($EC739=1,$EA739=1)),SUM($EB739:$EE739)&gt;=2),"Technology approach","")</f>
        <v>Technology approach</v>
      </c>
      <c r="EP739" t="str">
        <f>IF(ISNUMBER(BU739),IF(ABS(BU739-[1]QC_indicators!$B$2)&gt;3*[1]QC_indicators!$C$2,"C ratio",IF(ISNUMBER(BY739),IF(ABS(BY739-[1]QC_indicators!$B$1)&gt;3*[1]QC_indicators!$C$1,"DF","no"))),IF(ISNUMBER(BY739),IF(ABS(BY739-[1]QC_indicators!$B$1)&gt;3*[1]QC_indicators!$C$1,"DF","no")))</f>
        <v>no</v>
      </c>
      <c r="ER739" s="149" t="s">
        <v>349</v>
      </c>
      <c r="ET739" s="264" t="s">
        <v>3273</v>
      </c>
    </row>
    <row r="740" spans="1:150" ht="15" customHeight="1">
      <c r="D740" t="s">
        <v>1661</v>
      </c>
      <c r="E740" t="s">
        <v>1662</v>
      </c>
      <c r="G740" t="s">
        <v>1663</v>
      </c>
      <c r="I740">
        <v>2007</v>
      </c>
      <c r="K740" t="s">
        <v>1664</v>
      </c>
      <c r="M740" t="str">
        <f>LEFT($D740,FIND(",",$D740)-1)&amp;"_"&amp;I740&amp;L740</f>
        <v>Gustavsson_2007</v>
      </c>
      <c r="N740" t="s">
        <v>222</v>
      </c>
      <c r="O740" t="s">
        <v>223</v>
      </c>
      <c r="Q740" t="s">
        <v>256</v>
      </c>
      <c r="R740" s="269" t="s">
        <v>274</v>
      </c>
      <c r="S740" s="1" t="s">
        <v>1665</v>
      </c>
      <c r="T740" t="s">
        <v>1682</v>
      </c>
      <c r="U740" s="143" t="s">
        <v>1683</v>
      </c>
      <c r="V740">
        <v>0</v>
      </c>
      <c r="W740">
        <v>0</v>
      </c>
      <c r="X740">
        <v>0</v>
      </c>
      <c r="Y740">
        <v>0</v>
      </c>
      <c r="Z740">
        <v>0</v>
      </c>
      <c r="AA740">
        <v>0</v>
      </c>
      <c r="AB740">
        <v>0</v>
      </c>
      <c r="AC740">
        <v>0</v>
      </c>
      <c r="AD740">
        <v>0</v>
      </c>
      <c r="AE740">
        <v>0</v>
      </c>
      <c r="AF740">
        <v>0</v>
      </c>
      <c r="AG740">
        <v>0</v>
      </c>
      <c r="AH740">
        <v>0</v>
      </c>
      <c r="AI740">
        <v>0</v>
      </c>
      <c r="AJ740">
        <v>0</v>
      </c>
      <c r="AK740">
        <v>1</v>
      </c>
      <c r="AL740">
        <v>0</v>
      </c>
      <c r="AM740">
        <v>0</v>
      </c>
      <c r="AN740">
        <v>0</v>
      </c>
      <c r="AO740">
        <v>0</v>
      </c>
      <c r="AP740">
        <v>0</v>
      </c>
      <c r="AQ740">
        <v>0</v>
      </c>
      <c r="AR740">
        <v>0</v>
      </c>
      <c r="AS740">
        <v>0</v>
      </c>
      <c r="AT740">
        <v>0</v>
      </c>
      <c r="AU740">
        <v>0</v>
      </c>
      <c r="AV740">
        <v>0</v>
      </c>
      <c r="AW740">
        <v>0</v>
      </c>
      <c r="AX740" s="141">
        <f>COUNTIF(V740:AW740,"&lt;&gt;0")</f>
        <v>1</v>
      </c>
      <c r="AY740" s="141">
        <f>COUNTIF(V740:AL740,"&lt;&gt;0")</f>
        <v>1</v>
      </c>
      <c r="AZ740">
        <f>COUNTIF(V740:AC740,"&lt;&gt;0")</f>
        <v>0</v>
      </c>
      <c r="BA740">
        <f>COUNTIF(AD740:AI740,"&lt;&gt;0")</f>
        <v>0</v>
      </c>
      <c r="BB740">
        <f>COUNTIF(AJ740:AL740,"&lt;&gt;0")</f>
        <v>1</v>
      </c>
      <c r="BC740">
        <f>COUNTIF(AS740:AW740,"&lt;&gt;0")</f>
        <v>0</v>
      </c>
      <c r="BD740">
        <f>COUNTIF(AM740:AR740,"&lt;&gt;0")</f>
        <v>0</v>
      </c>
      <c r="BE740" t="str">
        <f t="array" ref="BE740">IF(AY740=1,INDEX($V$7:$AL$7,MATCH(TRUE,INDEX($V740:$AW740&lt;&gt;0,),0)),IF(AY740=0,INDEX($AM$7:$AW$7,MATCH(1,$AM740:$AW740,0)),IF(BF740="Multiple strategies","mixed drivers",IF(BF740="Supply chain","multiple supply","multiple silviculture"))))</f>
        <v>technologies/design switch</v>
      </c>
      <c r="BF740" s="2" t="str" cm="1">
        <f t="array" ref="BF740">IF(COUNTIF(AZ740:BB740,"&lt;&gt;0")=1,INDEX($V$4:$AW$4,MATCH(TRUE,INDEX($V740:$AW740&lt;&gt;0,),0)),IF(COUNTIF(AZ740:BB740,"&lt;&gt;0")=0,INDEX($AM$4:$AW$4,MATCH(1,$AM740:$AW740,0)),"Multiple strategies"))</f>
        <v>Technology</v>
      </c>
      <c r="BG740" s="142" t="s">
        <v>229</v>
      </c>
      <c r="BH740" t="s">
        <v>1667</v>
      </c>
      <c r="BI740" s="264" t="s">
        <v>1057</v>
      </c>
      <c r="BJ740" s="143" t="s">
        <v>3265</v>
      </c>
      <c r="BK740">
        <v>0</v>
      </c>
      <c r="BL740" s="143">
        <v>53.9</v>
      </c>
      <c r="BM740" s="143"/>
      <c r="BN740">
        <f>BL740-BK740</f>
        <v>53.9</v>
      </c>
      <c r="BO740" s="143">
        <f>1000*BL740/15.3/400</f>
        <v>8.8071895424836608</v>
      </c>
      <c r="BP740" t="s">
        <v>232</v>
      </c>
      <c r="BR740" t="s">
        <v>938</v>
      </c>
      <c r="BS740" s="143">
        <v>-1</v>
      </c>
      <c r="BT740" s="151">
        <v>0</v>
      </c>
      <c r="BU740">
        <v>0</v>
      </c>
      <c r="BV740">
        <v>1</v>
      </c>
      <c r="BX740">
        <f>BV740*C_to_CO2</f>
        <v>3.67</v>
      </c>
      <c r="BY740">
        <f>IFERROR(BX740/BO740,"")</f>
        <v>0.41670500927643783</v>
      </c>
      <c r="BZ740" s="143">
        <v>0</v>
      </c>
      <c r="CA740" s="143">
        <v>0</v>
      </c>
      <c r="CB740" s="143">
        <v>0</v>
      </c>
      <c r="CC740" s="143">
        <v>0</v>
      </c>
      <c r="CD740" s="143">
        <v>0</v>
      </c>
      <c r="CE740" s="143">
        <v>0</v>
      </c>
      <c r="CF740" s="143">
        <v>0</v>
      </c>
      <c r="CG740" s="143">
        <v>0</v>
      </c>
      <c r="CH740" s="143">
        <v>0</v>
      </c>
      <c r="CI740" s="143">
        <v>0</v>
      </c>
      <c r="CJ740" s="143">
        <v>0</v>
      </c>
      <c r="CK740" s="143">
        <v>0</v>
      </c>
      <c r="CL740" s="143">
        <v>0</v>
      </c>
      <c r="CM740">
        <v>1</v>
      </c>
      <c r="CN740" t="str">
        <f>IF($BL740&lt;$BK740,"refNeedCorrection","refOK")</f>
        <v>refOK</v>
      </c>
      <c r="CO740">
        <f>IF($CN740="refOK",$BK740,$BL740)</f>
        <v>0</v>
      </c>
      <c r="CP740">
        <f>IF($CN740="refOK",$BL740,$BK740)</f>
        <v>53.9</v>
      </c>
      <c r="CQ740">
        <f>IF($CN740="refOK",$BO740,-$BO740)</f>
        <v>8.8071895424836608</v>
      </c>
      <c r="CR740">
        <f>IF($CN740="refOK",$BS740,$BT740)*IF($BP740="Emissions positive",-1,1)</f>
        <v>-1</v>
      </c>
      <c r="CS740">
        <f>IF($CN740="refOK",$BT740,$BS740)*IF($BP740="Emissions positive",-1,1)</f>
        <v>0</v>
      </c>
      <c r="CT740">
        <f>IF($CN740="refNeedCorrection",-BX740,BX740)*IF($BP740="Emissions positive",-1,1)</f>
        <v>3.67</v>
      </c>
      <c r="CU740">
        <f>IFERROR(CT740/CQ740,"")</f>
        <v>0.41670500927643783</v>
      </c>
      <c r="CV740" s="2">
        <f>IFERROR((CS740-CR740)/ABS(CR740),"")</f>
        <v>1</v>
      </c>
      <c r="CW740" s="1" t="s">
        <v>1203</v>
      </c>
      <c r="CX740" t="str">
        <f>IF(OR($CW740="prd",$CW740="std",$CW740="cit"),"loc",IF(OR($CW740="eur",$CW740="reg",$CW740="coy"),"reg",$CW740))</f>
        <v>reg</v>
      </c>
      <c r="CY740" t="s">
        <v>444</v>
      </c>
      <c r="DA740" s="143"/>
      <c r="DB740" s="143">
        <v>0</v>
      </c>
      <c r="DC740" t="str">
        <f>IF(DB740=0,"0",IF(AND(DB740&gt;=1,DB740&lt;=30),"1-30",IF(AND(DB740&gt;30,DB740&lt;=70),"31-70",IF(AND(DB740&gt;70,DB740&lt;=100),"71-100",IF(DB740&gt;100,"+100")))))</f>
        <v>0</v>
      </c>
      <c r="DD740">
        <v>0</v>
      </c>
      <c r="DE740">
        <v>1</v>
      </c>
      <c r="DF740">
        <v>0</v>
      </c>
      <c r="DG740">
        <v>0</v>
      </c>
      <c r="DI740">
        <f>SUM(DD740:DG740)</f>
        <v>1</v>
      </c>
      <c r="DJ740" t="str">
        <f>IF(DI740=1,INDEX($DD$7:$DG$7,MATCH(1,$DD740:$DG740,0)),"mixedProduct")</f>
        <v>EnergyInput</v>
      </c>
      <c r="DK740">
        <f>IF(DD740=1,DK$7,0)</f>
        <v>0</v>
      </c>
      <c r="DL740" t="str">
        <f>IF(DE740=1,DL$7,0)</f>
        <v>Energy</v>
      </c>
      <c r="DM740">
        <f>IF(DF740=1,DM$7,0)</f>
        <v>0</v>
      </c>
      <c r="DN740">
        <f>IF(DG740=1,DN$7,0)</f>
        <v>0</v>
      </c>
      <c r="DO740">
        <v>0</v>
      </c>
      <c r="DP740" s="143">
        <v>0</v>
      </c>
      <c r="DQ740" s="143">
        <v>0</v>
      </c>
      <c r="DR740">
        <v>0</v>
      </c>
      <c r="DS740" s="143">
        <v>0</v>
      </c>
      <c r="DT740">
        <f>SUM(DO740:DP740)</f>
        <v>0</v>
      </c>
      <c r="DU740" s="143" t="str">
        <f>IF(DO740=1,"self-calculated DF",IF(DP740=1,"external DF used","explicit C balance"))</f>
        <v>explicit C balance</v>
      </c>
      <c r="DV740" s="143">
        <v>0</v>
      </c>
      <c r="DW740" s="143">
        <v>0</v>
      </c>
      <c r="DX740" s="143">
        <v>0</v>
      </c>
      <c r="DY740" s="143">
        <v>0</v>
      </c>
      <c r="DZ740">
        <v>0</v>
      </c>
      <c r="EA740" s="143">
        <v>0</v>
      </c>
      <c r="EB740" s="143">
        <v>0</v>
      </c>
      <c r="EC740" s="143">
        <v>1</v>
      </c>
      <c r="ED740" s="143">
        <v>0</v>
      </c>
      <c r="EE740">
        <v>0</v>
      </c>
      <c r="EF740">
        <v>0</v>
      </c>
      <c r="EG740" s="143">
        <v>0</v>
      </c>
      <c r="EH740" s="143">
        <v>0</v>
      </c>
      <c r="EI740" s="2">
        <v>0</v>
      </c>
      <c r="EK740" t="str">
        <f>IF(AND(AND(AND(OR($DX740=1,$DW740=1),OR($EC740=1,$EA740=1)),SUM($DV740:$DZ740,$EF740)&gt;=4),SUM($EA740:$EE740)&gt;=2),"Whole sector","")</f>
        <v/>
      </c>
      <c r="EL740" t="str">
        <f>IF(AND(AND(OR($DX740=1,$DW740=1),AND($EC740=0,$EA740=0)),SUM($DV740:$DZ740,$EF740)&gt;=4),"Ecosystem approach","")</f>
        <v/>
      </c>
      <c r="EM740" s="2" t="str">
        <f>IF(AND(AND(AND($DX740=0,$DW740=0),OR($EC740=1,$EA740=1)),SUM($EB740:$EE740)&gt;=2),"Technology approach","")</f>
        <v/>
      </c>
      <c r="EP740" t="str">
        <f>IF(ISNUMBER(BU740),IF(ABS(BU740-[2]QC_indicators!$B$2)&gt;3*[2]QC_indicators!$C$2,"C ratio",IF(ISNUMBER(BY740),IF(ABS(BY740-[2]QC_indicators!$B$1)&gt;3*[2]QC_indicators!$C$1,"DF","no"))),IF(ISNUMBER(BY740),IF(ABS(BY740-[2]QC_indicators!$B$1)&gt;3*[2]QC_indicators!$C$1,"DF","no")))</f>
        <v>no</v>
      </c>
      <c r="ER740" s="149" t="s">
        <v>349</v>
      </c>
      <c r="ET740" s="264" t="s">
        <v>3266</v>
      </c>
    </row>
    <row r="741" spans="1:150" ht="15" customHeight="1">
      <c r="A741" s="1" t="s">
        <v>333</v>
      </c>
      <c r="B741" t="s">
        <v>334</v>
      </c>
      <c r="C741" t="s">
        <v>335</v>
      </c>
      <c r="D741" t="s">
        <v>336</v>
      </c>
      <c r="E741" t="s">
        <v>337</v>
      </c>
      <c r="F741" t="s">
        <v>338</v>
      </c>
      <c r="G741" t="s">
        <v>339</v>
      </c>
      <c r="I741">
        <v>2017</v>
      </c>
      <c r="K741" t="s">
        <v>340</v>
      </c>
      <c r="M741" t="str">
        <f>LEFT($D741,FIND(",",$D741)-1)&amp;"_"&amp;I741&amp;L741</f>
        <v>Balasbaneh_2017</v>
      </c>
      <c r="N741" t="s">
        <v>222</v>
      </c>
      <c r="O741" s="140" t="s">
        <v>341</v>
      </c>
      <c r="Q741" t="s">
        <v>224</v>
      </c>
      <c r="R741" s="262" t="s">
        <v>223</v>
      </c>
      <c r="S741" s="1" t="s">
        <v>372</v>
      </c>
      <c r="T741" t="s">
        <v>371</v>
      </c>
      <c r="U741" t="s">
        <v>344</v>
      </c>
      <c r="V741">
        <v>0</v>
      </c>
      <c r="W741">
        <v>0</v>
      </c>
      <c r="X741">
        <v>0</v>
      </c>
      <c r="Y741">
        <v>0</v>
      </c>
      <c r="Z741">
        <v>0</v>
      </c>
      <c r="AA741">
        <v>0</v>
      </c>
      <c r="AB741">
        <v>0</v>
      </c>
      <c r="AC741">
        <v>0</v>
      </c>
      <c r="AD741">
        <v>0</v>
      </c>
      <c r="AE741">
        <v>0</v>
      </c>
      <c r="AF741">
        <v>0</v>
      </c>
      <c r="AG741">
        <v>0</v>
      </c>
      <c r="AH741">
        <v>0</v>
      </c>
      <c r="AI741">
        <v>0</v>
      </c>
      <c r="AJ741">
        <v>0</v>
      </c>
      <c r="AK741">
        <v>1</v>
      </c>
      <c r="AL741">
        <v>0</v>
      </c>
      <c r="AM741">
        <v>0</v>
      </c>
      <c r="AN741">
        <v>0</v>
      </c>
      <c r="AO741">
        <v>0</v>
      </c>
      <c r="AP741">
        <v>0</v>
      </c>
      <c r="AQ741">
        <v>0</v>
      </c>
      <c r="AR741">
        <v>0</v>
      </c>
      <c r="AS741">
        <v>0</v>
      </c>
      <c r="AT741">
        <v>0</v>
      </c>
      <c r="AU741">
        <v>0</v>
      </c>
      <c r="AV741">
        <v>0</v>
      </c>
      <c r="AW741">
        <v>0</v>
      </c>
      <c r="AX741" s="141">
        <f>COUNTIF(V741:AW741,"&lt;&gt;0")</f>
        <v>1</v>
      </c>
      <c r="AY741" s="141">
        <f>COUNTIF(V741:AL741,"&lt;&gt;0")</f>
        <v>1</v>
      </c>
      <c r="AZ741">
        <f>COUNTIF(V741:AC741,"&lt;&gt;0")</f>
        <v>0</v>
      </c>
      <c r="BA741">
        <f>COUNTIF(AD741:AI741,"&lt;&gt;0")</f>
        <v>0</v>
      </c>
      <c r="BB741">
        <f>COUNTIF(AJ741:AL741,"&lt;&gt;0")</f>
        <v>1</v>
      </c>
      <c r="BC741">
        <f>COUNTIF(AS741:AW741,"&lt;&gt;0")</f>
        <v>0</v>
      </c>
      <c r="BD741">
        <f>COUNTIF(AM741:AR741,"&lt;&gt;0")</f>
        <v>0</v>
      </c>
      <c r="BE741" t="str">
        <f t="array" ref="BE741">IF(AY741=1,INDEX($V$7:$AL$7,MATCH(TRUE,INDEX($V741:$AW741&lt;&gt;0,),0)),IF(AY741=0,INDEX($AM$7:$AW$7,MATCH(1,$AM741:$AW741,0)),IF(BF741="Multiple strategies","mixed drivers",IF(BF741="Supply chain","multiple supply","multiple silviculture"))))</f>
        <v>technologies/design switch</v>
      </c>
      <c r="BF741" s="2" t="str" cm="1">
        <f t="array" ref="BF741">IF(COUNTIF(AZ741:BB741,"&lt;&gt;0")=1,INDEX($V$4:$AW$4,MATCH(TRUE,INDEX($V741:$AW741&lt;&gt;0,),0)),IF(COUNTIF(AZ741:BB741,"&lt;&gt;0")=0,INDEX($AM$4:$AW$4,MATCH(1,$AM741:$AW741,0)),"Multiple strategies"))</f>
        <v>Technology</v>
      </c>
      <c r="BG741" s="1" t="s">
        <v>229</v>
      </c>
      <c r="BH741" t="s">
        <v>229</v>
      </c>
      <c r="BI741" s="264" t="s">
        <v>410</v>
      </c>
      <c r="BJ741" t="s">
        <v>345</v>
      </c>
      <c r="BK741">
        <v>0</v>
      </c>
      <c r="BL741">
        <v>23500</v>
      </c>
      <c r="BM741" s="143"/>
      <c r="BN741">
        <f>BL741-BK741</f>
        <v>23500</v>
      </c>
      <c r="BO741" s="143">
        <f>BN741*kg_to_m3</f>
        <v>47.95918367346939</v>
      </c>
      <c r="BP741" t="s">
        <v>232</v>
      </c>
      <c r="BQ741" s="335" t="s">
        <v>396</v>
      </c>
      <c r="BR741" t="s">
        <v>346</v>
      </c>
      <c r="BS741">
        <v>-26000</v>
      </c>
      <c r="BT741">
        <v>-5870</v>
      </c>
      <c r="BU741" s="144">
        <v>0.22576923076923078</v>
      </c>
      <c r="BV741">
        <f>BT741-BS741</f>
        <v>20130</v>
      </c>
      <c r="BX741">
        <f>BV741/1000</f>
        <v>20.13</v>
      </c>
      <c r="BY741">
        <f>IFERROR(BX741/BO741,"")</f>
        <v>0.419731914893617</v>
      </c>
      <c r="BZ741">
        <v>0</v>
      </c>
      <c r="CA741">
        <v>0</v>
      </c>
      <c r="CB741">
        <v>0</v>
      </c>
      <c r="CC741">
        <v>0</v>
      </c>
      <c r="CD741">
        <v>0</v>
      </c>
      <c r="CE741">
        <v>0</v>
      </c>
      <c r="CF741">
        <v>0</v>
      </c>
      <c r="CG741">
        <v>0</v>
      </c>
      <c r="CH741">
        <v>0</v>
      </c>
      <c r="CI741">
        <v>0</v>
      </c>
      <c r="CJ741">
        <v>0</v>
      </c>
      <c r="CK741">
        <v>0</v>
      </c>
      <c r="CL741">
        <v>0</v>
      </c>
      <c r="CM741">
        <v>0</v>
      </c>
      <c r="CN741" t="str">
        <f>IF($BL741&lt;$BK741,"refNeedCorrection","refOK")</f>
        <v>refOK</v>
      </c>
      <c r="CO741">
        <f>IF($CN741="refNeedCorrection",BL741,BK741)</f>
        <v>0</v>
      </c>
      <c r="CP741">
        <f>IF($CN741="refNeedCorrection",BK741,BL741)</f>
        <v>23500</v>
      </c>
      <c r="CQ741">
        <f>IF($CN741="refOK",$BO741,-$BO741)</f>
        <v>47.95918367346939</v>
      </c>
      <c r="CR741">
        <f>IF($CN741="refOK",$BS741,$BT741)*IF($BP741="Emissions positive",-1,1)</f>
        <v>-26000</v>
      </c>
      <c r="CS741">
        <f>IF($CN741="refOK",$BT741,$BS741)*IF($BP741="Emissions positive",-1,1)</f>
        <v>-5870</v>
      </c>
      <c r="CT741">
        <f>IF($CN741="refNeedCorrection",-BX741,BX741)*IF($BP741="Emissions positive",-1,1)</f>
        <v>20.13</v>
      </c>
      <c r="CU741">
        <f>IFERROR(CT741/CQ741,"")</f>
        <v>0.419731914893617</v>
      </c>
      <c r="CV741" s="2">
        <f>IFERROR((CS741-CR741)/ABS(CR741),"")</f>
        <v>0.77423076923076928</v>
      </c>
      <c r="CW741" s="1" t="s">
        <v>347</v>
      </c>
      <c r="CX741" t="str">
        <f>IF(OR($CW741="prd",$CW741="std",$CW741="cit"),"loc",IF(OR($CW741="eur",$CW741="reg",$CW741="coy"),"reg",$CW741))</f>
        <v>loc</v>
      </c>
      <c r="CY741" t="s">
        <v>348</v>
      </c>
      <c r="CZ741">
        <v>2014</v>
      </c>
      <c r="DA741">
        <v>2034</v>
      </c>
      <c r="DB741">
        <v>20</v>
      </c>
      <c r="DC741" t="str">
        <f>IF(DB741=0,"0",IF(AND(DB741&gt;=1,DB741&lt;=30),"1-30",IF(AND(DB741&gt;30,DB741&lt;=70),"31-70",IF(AND(DB741&gt;70,DB741&lt;=100),"71-100",IF(DB741&gt;100,"+100")))))</f>
        <v>1-30</v>
      </c>
      <c r="DD741">
        <v>0</v>
      </c>
      <c r="DE741">
        <v>0</v>
      </c>
      <c r="DF741">
        <v>0</v>
      </c>
      <c r="DG741">
        <v>1</v>
      </c>
      <c r="DI741">
        <f>SUM(DD741:DG741)</f>
        <v>1</v>
      </c>
      <c r="DJ741" t="str">
        <f>IF(DI741=1,INDEX($DD$7:$DG$7,MATCH(1,$DD741:$DG741,0)),"mixedProduct")</f>
        <v>TimberInput</v>
      </c>
      <c r="DK741">
        <f>IF(DD741=1,DK$7,0)</f>
        <v>0</v>
      </c>
      <c r="DL741">
        <f>IF(DE741=1,DL$7,0)</f>
        <v>0</v>
      </c>
      <c r="DM741">
        <f>IF(DF741=1,DM$7,0)</f>
        <v>0</v>
      </c>
      <c r="DN741" t="str">
        <f>IF(DG741=1,DN$7,0)</f>
        <v>Timber</v>
      </c>
      <c r="DO741">
        <v>0</v>
      </c>
      <c r="DP741">
        <v>0</v>
      </c>
      <c r="DQ741">
        <v>0</v>
      </c>
      <c r="DR741">
        <v>0</v>
      </c>
      <c r="DS741">
        <v>0</v>
      </c>
      <c r="DT741">
        <f>SUM(DO741:DP741)</f>
        <v>0</v>
      </c>
      <c r="DU741" s="143" t="str">
        <f>IF(DO741=1,"self-calculated DF",IF(DP741=1,"external DF used","explicit C balance"))</f>
        <v>explicit C balance</v>
      </c>
      <c r="DV741">
        <v>0</v>
      </c>
      <c r="DW741">
        <v>0</v>
      </c>
      <c r="DX741">
        <v>0</v>
      </c>
      <c r="DY741">
        <v>1</v>
      </c>
      <c r="DZ741">
        <v>0</v>
      </c>
      <c r="EA741" s="143">
        <v>1</v>
      </c>
      <c r="EB741">
        <v>0</v>
      </c>
      <c r="EC741">
        <v>1</v>
      </c>
      <c r="ED741">
        <v>1</v>
      </c>
      <c r="EE741">
        <v>1</v>
      </c>
      <c r="EF741">
        <v>0</v>
      </c>
      <c r="EG741">
        <v>0</v>
      </c>
      <c r="EH741">
        <v>0</v>
      </c>
      <c r="EI741" s="2">
        <v>0</v>
      </c>
      <c r="EK741" t="str">
        <f>IF(AND(AND(AND(OR($DX741=1,$DW741=1),OR($EC741=1,$EA741=1)),SUM($DV741:$DZ741,$EF741)&gt;=4),SUM($EA741:$EE741)&gt;=2),"Whole sector","")</f>
        <v/>
      </c>
      <c r="EL741" t="str">
        <f>IF(AND(AND(OR($DX741=1,$DW741=1),AND($EC741=0,$EA741=0)),SUM($DV741:$DZ741,$EF741)&gt;=4),"Ecosystem approach","")</f>
        <v/>
      </c>
      <c r="EM741" s="2" t="str">
        <f>IF(AND(AND(AND($DX741=0,$DW741=0),OR($EC741=1,$EA741=1)),SUM($EB741:$EE741)&gt;=2),"Technology approach","")</f>
        <v>Technology approach</v>
      </c>
      <c r="EP741" t="str">
        <f>IF(ISNUMBER(BU741),IF(ABS(BU741-[1]QC_indicators!$B$2)&gt;3*[1]QC_indicators!$C$2,"C ratio",IF(ISNUMBER(BY741),IF(ABS(BY741-[1]QC_indicators!$B$1)&gt;3*[1]QC_indicators!$C$1,"DF","no"))),IF(ISNUMBER(BY741),IF(ABS(BY741-[1]QC_indicators!$B$1)&gt;3*[1]QC_indicators!$C$1,"DF","no")))</f>
        <v>no</v>
      </c>
      <c r="ER741" s="149" t="s">
        <v>349</v>
      </c>
      <c r="ET741" s="264" t="s">
        <v>3273</v>
      </c>
    </row>
    <row r="742" spans="1:150" ht="15" customHeight="1">
      <c r="A742" s="1" t="s">
        <v>333</v>
      </c>
      <c r="B742" t="s">
        <v>945</v>
      </c>
      <c r="C742" t="s">
        <v>946</v>
      </c>
      <c r="D742" t="s">
        <v>947</v>
      </c>
      <c r="E742" t="s">
        <v>948</v>
      </c>
      <c r="F742" t="s">
        <v>949</v>
      </c>
      <c r="G742" t="s">
        <v>339</v>
      </c>
      <c r="H742" t="s">
        <v>254</v>
      </c>
      <c r="I742">
        <v>2021</v>
      </c>
      <c r="J742">
        <v>0</v>
      </c>
      <c r="K742" t="s">
        <v>950</v>
      </c>
      <c r="M742" t="str">
        <f>LEFT($D742,FIND(",",$D742)-1)&amp;"_"&amp;I742&amp;L742</f>
        <v>Morris_2021</v>
      </c>
      <c r="N742" t="s">
        <v>222</v>
      </c>
      <c r="O742" t="s">
        <v>223</v>
      </c>
      <c r="Q742" t="s">
        <v>256</v>
      </c>
      <c r="R742" s="255" t="s">
        <v>225</v>
      </c>
      <c r="S742" s="1" t="s">
        <v>956</v>
      </c>
      <c r="T742" t="s">
        <v>795</v>
      </c>
      <c r="U742" t="s">
        <v>957</v>
      </c>
      <c r="V742">
        <v>0</v>
      </c>
      <c r="W742">
        <v>0</v>
      </c>
      <c r="X742">
        <v>0</v>
      </c>
      <c r="Y742">
        <v>0</v>
      </c>
      <c r="Z742">
        <v>0</v>
      </c>
      <c r="AA742">
        <v>0</v>
      </c>
      <c r="AB742">
        <v>0</v>
      </c>
      <c r="AC742">
        <v>0</v>
      </c>
      <c r="AD742">
        <v>0</v>
      </c>
      <c r="AE742">
        <v>0</v>
      </c>
      <c r="AF742">
        <v>0</v>
      </c>
      <c r="AG742">
        <v>0</v>
      </c>
      <c r="AH742">
        <v>0</v>
      </c>
      <c r="AI742">
        <v>0</v>
      </c>
      <c r="AJ742">
        <v>0</v>
      </c>
      <c r="AK742">
        <v>1</v>
      </c>
      <c r="AL742">
        <v>0</v>
      </c>
      <c r="AM742">
        <v>0</v>
      </c>
      <c r="AN742">
        <v>0</v>
      </c>
      <c r="AO742">
        <v>0</v>
      </c>
      <c r="AP742">
        <v>0</v>
      </c>
      <c r="AQ742">
        <v>0</v>
      </c>
      <c r="AR742">
        <v>0</v>
      </c>
      <c r="AS742">
        <v>0</v>
      </c>
      <c r="AT742">
        <v>0</v>
      </c>
      <c r="AU742">
        <v>0</v>
      </c>
      <c r="AV742">
        <v>0</v>
      </c>
      <c r="AW742">
        <v>0</v>
      </c>
      <c r="AX742" s="141">
        <f>COUNTIF(V742:AW742,"&lt;&gt;0")</f>
        <v>1</v>
      </c>
      <c r="AY742" s="141">
        <f>COUNTIF(V742:AL742,"&lt;&gt;0")</f>
        <v>1</v>
      </c>
      <c r="AZ742">
        <f>COUNTIF(V742:AC742,"&lt;&gt;0")</f>
        <v>0</v>
      </c>
      <c r="BA742">
        <f>COUNTIF(AD742:AI742,"&lt;&gt;0")</f>
        <v>0</v>
      </c>
      <c r="BB742">
        <f>COUNTIF(AJ742:AL742,"&lt;&gt;0")</f>
        <v>1</v>
      </c>
      <c r="BC742">
        <f>COUNTIF(AS742:AW742,"&lt;&gt;0")</f>
        <v>0</v>
      </c>
      <c r="BD742">
        <f>COUNTIF(AM742:AR742,"&lt;&gt;0")</f>
        <v>0</v>
      </c>
      <c r="BE742" t="str">
        <f t="array" ref="BE742">IF(AY742=1,INDEX($V$7:$AL$7,MATCH(TRUE,INDEX($V742:$AW742&lt;&gt;0,),0)),IF(AY742=0,INDEX($AM$7:$AW$7,MATCH(1,$AM742:$AW742,0)),IF(BF742="Multiple strategies","mixed drivers",IF(BF742="Supply chain","multiple supply","multiple silviculture"))))</f>
        <v>technologies/design switch</v>
      </c>
      <c r="BF742" s="2" t="str" cm="1">
        <f t="array" ref="BF742">IF(COUNTIF(AZ742:BB742,"&lt;&gt;0")=1,INDEX($V$4:$AW$4,MATCH(TRUE,INDEX($V742:$AW742&lt;&gt;0,),0)),IF(COUNTIF(AZ742:BB742,"&lt;&gt;0")=0,INDEX($AM$4:$AW$4,MATCH(1,$AM742:$AW742,0)),"Multiple strategies"))</f>
        <v>Technology</v>
      </c>
      <c r="BG742" s="1" t="s">
        <v>229</v>
      </c>
      <c r="BH742" t="s">
        <v>954</v>
      </c>
      <c r="BI742" s="260" t="s">
        <v>3373</v>
      </c>
      <c r="BJ742" t="s">
        <v>345</v>
      </c>
      <c r="BK742">
        <v>0</v>
      </c>
      <c r="BL742">
        <v>116.6</v>
      </c>
      <c r="BN742">
        <f>BL742-BK742</f>
        <v>116.6</v>
      </c>
      <c r="BO742">
        <f>BN742*kg_to_m3</f>
        <v>0.23795918367346941</v>
      </c>
      <c r="BP742" t="s">
        <v>232</v>
      </c>
      <c r="BQ742" s="260" t="s">
        <v>3377</v>
      </c>
      <c r="BR742" t="s">
        <v>955</v>
      </c>
      <c r="BS742">
        <v>-139.69999999999999</v>
      </c>
      <c r="BT742">
        <v>-39.799999999999997</v>
      </c>
      <c r="BU742" s="144">
        <f>IFERROR(BT742/BS742,"")</f>
        <v>0.28489620615604866</v>
      </c>
      <c r="BV742">
        <f>BT742-BS742</f>
        <v>99.899999999999991</v>
      </c>
      <c r="BX742">
        <f>BV742/1000</f>
        <v>9.9899999999999989E-2</v>
      </c>
      <c r="BY742">
        <f>IFERROR(BX742/BO742,"")</f>
        <v>0.41981989708404793</v>
      </c>
      <c r="BZ742">
        <v>1</v>
      </c>
      <c r="CA742">
        <v>0</v>
      </c>
      <c r="CB742">
        <v>0</v>
      </c>
      <c r="CC742">
        <v>0</v>
      </c>
      <c r="CD742">
        <v>0</v>
      </c>
      <c r="CE742">
        <v>1</v>
      </c>
      <c r="CF742">
        <v>0</v>
      </c>
      <c r="CG742">
        <v>1</v>
      </c>
      <c r="CH742">
        <v>0</v>
      </c>
      <c r="CI742">
        <v>0</v>
      </c>
      <c r="CJ742">
        <v>0</v>
      </c>
      <c r="CK742">
        <v>0</v>
      </c>
      <c r="CL742">
        <v>0</v>
      </c>
      <c r="CM742">
        <v>0</v>
      </c>
      <c r="CN742" t="str">
        <f>IF($BL742&lt;$BK742,"refNeedCorrection","refOK")</f>
        <v>refOK</v>
      </c>
      <c r="CO742">
        <f>IF($CN742="refOK",$BK742,$BL742)</f>
        <v>0</v>
      </c>
      <c r="CP742">
        <f>IF($CN742="refOK",$BL742,$BK742)</f>
        <v>116.6</v>
      </c>
      <c r="CQ742">
        <f>IF($CN742="refOK",$BO742,-$BO742)</f>
        <v>0.23795918367346941</v>
      </c>
      <c r="CR742">
        <f>IF($CN742="refOK",$BS742,$BT742)*IF($BP742="Emissions positive",-1,1)</f>
        <v>-139.69999999999999</v>
      </c>
      <c r="CS742">
        <f>IF($CN742="refOK",$BT742,$BS742)*IF($BP742="Emissions positive",-1,1)</f>
        <v>-39.799999999999997</v>
      </c>
      <c r="CT742">
        <f>IF($CN742="refNeedCorrection",-BX742,BX742)*IF($BP742="Emissions positive",-1,1)</f>
        <v>9.9899999999999989E-2</v>
      </c>
      <c r="CU742">
        <f>IFERROR(CT742/CQ742,"")</f>
        <v>0.41981989708404793</v>
      </c>
      <c r="CV742" s="2">
        <f>IFERROR((CS742-CR742)/ABS(CR742),"")</f>
        <v>0.71510379384395129</v>
      </c>
      <c r="CW742" s="1" t="s">
        <v>263</v>
      </c>
      <c r="CX742" t="str">
        <f>IF(OR($CW742="prd",$CW742="std",$CW742="cit"),"loc",IF(OR($CW742="eur",$CW742="reg",$CW742="coy"),"reg",$CW742))</f>
        <v>loc</v>
      </c>
      <c r="CY742" s="309" t="s">
        <v>3423</v>
      </c>
      <c r="DB742">
        <v>0</v>
      </c>
      <c r="DC742" t="str">
        <f>IF(DB742=0,"0",IF(AND(DB742&gt;=1,DB742&lt;=30),"1-30",IF(AND(DB742&gt;30,DB742&lt;=70),"31-70",IF(AND(DB742&gt;70,DB742&lt;=100),"71-100",IF(DB742&gt;100,"+100")))))</f>
        <v>0</v>
      </c>
      <c r="DD742">
        <v>0</v>
      </c>
      <c r="DE742">
        <v>0</v>
      </c>
      <c r="DF742">
        <v>0</v>
      </c>
      <c r="DG742">
        <v>1</v>
      </c>
      <c r="DI742">
        <f>SUM(DD742:DG742)</f>
        <v>1</v>
      </c>
      <c r="DJ742" t="str">
        <f>IF(DI742=1,INDEX($DD$7:$DG$7,MATCH(1,$DD742:$DG742,0)),"mixedProduct")</f>
        <v>TimberInput</v>
      </c>
      <c r="DK742">
        <f>IF(DD742=1,DK$7,0)</f>
        <v>0</v>
      </c>
      <c r="DL742">
        <f>IF(DE742=1,DL$7,0)</f>
        <v>0</v>
      </c>
      <c r="DM742">
        <f>IF(DF742=1,DM$7,0)</f>
        <v>0</v>
      </c>
      <c r="DN742" t="str">
        <f>IF(DG742=1,DN$7,0)</f>
        <v>Timber</v>
      </c>
      <c r="DO742">
        <v>0</v>
      </c>
      <c r="DP742">
        <v>0</v>
      </c>
      <c r="DQ742">
        <v>0</v>
      </c>
      <c r="DR742">
        <v>0</v>
      </c>
      <c r="DS742">
        <v>0</v>
      </c>
      <c r="DT742">
        <f>SUM(DO742:DP742)</f>
        <v>0</v>
      </c>
      <c r="DU742" s="143" t="str">
        <f>IF(DO742=1,"self-calculated DF",IF(DP742=1,"external DF used","explicit C balance"))</f>
        <v>explicit C balance</v>
      </c>
      <c r="DV742">
        <v>0</v>
      </c>
      <c r="DW742">
        <v>0</v>
      </c>
      <c r="DX742">
        <v>0</v>
      </c>
      <c r="DY742">
        <v>0</v>
      </c>
      <c r="DZ742">
        <v>0</v>
      </c>
      <c r="EA742" s="143">
        <v>0</v>
      </c>
      <c r="EB742">
        <v>1</v>
      </c>
      <c r="EC742">
        <v>1</v>
      </c>
      <c r="ED742">
        <v>0</v>
      </c>
      <c r="EE742">
        <v>1</v>
      </c>
      <c r="EF742">
        <v>0</v>
      </c>
      <c r="EG742">
        <v>0</v>
      </c>
      <c r="EH742">
        <v>0</v>
      </c>
      <c r="EI742" s="2">
        <v>0</v>
      </c>
      <c r="EK742" t="str">
        <f>IF(AND(AND(AND(OR($DX742=1,$DW742=1),OR($EC742=1,$EA742=1)),SUM($DV742:$DZ742,$EF742)&gt;=4),SUM($EA742:$EE742)&gt;=2),"Whole sector","")</f>
        <v/>
      </c>
      <c r="EL742" t="str">
        <f>IF(AND(AND(OR($DX742=1,$DW742=1),AND($EC742=0,$EA742=0)),SUM($DV742:$DZ742,$EF742)&gt;=4),"Ecosystem approach","")</f>
        <v/>
      </c>
      <c r="EM742" s="2" t="str">
        <f>IF(AND(AND(AND($DX742=0,$DW742=0),OR($EC742=1,$EA742=1)),SUM($EB742:$EE742)&gt;=2),"Technology approach","")</f>
        <v>Technology approach</v>
      </c>
      <c r="EP742" t="str">
        <f>IF(ISNUMBER(BU742),IF(ABS(BU742-[4]QC_indicators!$B$2)&gt;3*[4]QC_indicators!$C$2,"C ratio",IF(ISNUMBER(BY742),IF(ABS(BY742-[4]QC_indicators!$B$1)&gt;3*[4]QC_indicators!$C$1,"DF","no"))),IF(ISNUMBER(BY742),IF(ABS(BY742-[4]QC_indicators!$B$1)&gt;3*[4]QC_indicators!$C$1,"DF","no")))</f>
        <v>no</v>
      </c>
      <c r="ER742" t="s">
        <v>958</v>
      </c>
      <c r="ET742" s="264" t="s">
        <v>3273</v>
      </c>
    </row>
    <row r="743" spans="1:150" ht="15" customHeight="1">
      <c r="A743" s="1" t="s">
        <v>430</v>
      </c>
      <c r="B743" t="s">
        <v>431</v>
      </c>
      <c r="C743" t="s">
        <v>432</v>
      </c>
      <c r="D743" t="s">
        <v>433</v>
      </c>
      <c r="E743" t="s">
        <v>434</v>
      </c>
      <c r="F743" t="s">
        <v>435</v>
      </c>
      <c r="G743" t="s">
        <v>436</v>
      </c>
      <c r="H743" t="s">
        <v>254</v>
      </c>
      <c r="I743">
        <v>2000</v>
      </c>
      <c r="J743">
        <v>174</v>
      </c>
      <c r="K743" t="s">
        <v>437</v>
      </c>
      <c r="M743" t="str">
        <f>LEFT($D743,FIND(",",$D743)-1)&amp;"_"&amp;I743&amp;L743</f>
        <v>Borjesson_2000</v>
      </c>
      <c r="N743" t="s">
        <v>222</v>
      </c>
      <c r="O743" s="145" t="s">
        <v>223</v>
      </c>
      <c r="Q743" t="s">
        <v>256</v>
      </c>
      <c r="R743" s="255" t="s">
        <v>225</v>
      </c>
      <c r="S743" s="1" t="s">
        <v>438</v>
      </c>
      <c r="T743" t="s">
        <v>453</v>
      </c>
      <c r="U743" t="s">
        <v>452</v>
      </c>
      <c r="V743">
        <v>0</v>
      </c>
      <c r="W743">
        <v>0</v>
      </c>
      <c r="X743">
        <v>0</v>
      </c>
      <c r="Y743">
        <v>0</v>
      </c>
      <c r="Z743">
        <v>0</v>
      </c>
      <c r="AA743">
        <v>0</v>
      </c>
      <c r="AB743">
        <v>0</v>
      </c>
      <c r="AC743">
        <v>0</v>
      </c>
      <c r="AD743">
        <v>0</v>
      </c>
      <c r="AE743">
        <v>0</v>
      </c>
      <c r="AF743">
        <v>0</v>
      </c>
      <c r="AG743">
        <v>0</v>
      </c>
      <c r="AH743">
        <v>0</v>
      </c>
      <c r="AI743">
        <v>0</v>
      </c>
      <c r="AJ743">
        <v>0</v>
      </c>
      <c r="AK743">
        <v>1</v>
      </c>
      <c r="AL743">
        <v>0</v>
      </c>
      <c r="AM743">
        <v>0</v>
      </c>
      <c r="AN743">
        <v>0</v>
      </c>
      <c r="AO743">
        <v>0</v>
      </c>
      <c r="AP743">
        <v>0</v>
      </c>
      <c r="AQ743">
        <v>0</v>
      </c>
      <c r="AR743">
        <v>0</v>
      </c>
      <c r="AS743">
        <v>0</v>
      </c>
      <c r="AT743">
        <v>0</v>
      </c>
      <c r="AU743">
        <v>0</v>
      </c>
      <c r="AV743">
        <v>0</v>
      </c>
      <c r="AW743">
        <v>0</v>
      </c>
      <c r="AX743" s="141">
        <f>COUNTIF(V743:AW743,"&lt;&gt;0")</f>
        <v>1</v>
      </c>
      <c r="AY743" s="141">
        <f>COUNTIF(V743:AL743,"&lt;&gt;0")</f>
        <v>1</v>
      </c>
      <c r="AZ743">
        <f>COUNTIF(V743:AC743,"&lt;&gt;0")</f>
        <v>0</v>
      </c>
      <c r="BA743">
        <f>COUNTIF(AD743:AI743,"&lt;&gt;0")</f>
        <v>0</v>
      </c>
      <c r="BB743">
        <f>COUNTIF(AJ743:AL743,"&lt;&gt;0")</f>
        <v>1</v>
      </c>
      <c r="BC743">
        <f>COUNTIF(AS743:AW743,"&lt;&gt;0")</f>
        <v>0</v>
      </c>
      <c r="BD743">
        <f>COUNTIF(AM743:AR743,"&lt;&gt;0")</f>
        <v>0</v>
      </c>
      <c r="BE743" t="str">
        <f t="array" ref="BE743">IF(AY743=1,INDEX($V$7:$AL$7,MATCH(TRUE,INDEX($V743:$AW743&lt;&gt;0,),0)),IF(AY743=0,INDEX($AM$7:$AW$7,MATCH(1,$AM743:$AW743,0)),IF(BF743="Multiple strategies","mixed drivers",IF(BF743="Supply chain","multiple supply","multiple silviculture"))))</f>
        <v>technologies/design switch</v>
      </c>
      <c r="BF743" s="2" t="str" cm="1">
        <f t="array" ref="BF743">IF(COUNTIF(AZ743:BB743,"&lt;&gt;0")=1,INDEX($V$4:$AW$4,MATCH(TRUE,INDEX($V743:$AW743&lt;&gt;0,),0)),IF(COUNTIF(AZ743:BB743,"&lt;&gt;0")=0,INDEX($AM$4:$AW$4,MATCH(1,$AM743:$AW743,0)),"Multiple strategies"))</f>
        <v>Technology</v>
      </c>
      <c r="BG743" s="142" t="s">
        <v>229</v>
      </c>
      <c r="BH743" t="s">
        <v>441</v>
      </c>
      <c r="BI743" s="264" t="s">
        <v>3274</v>
      </c>
      <c r="BJ743" s="143" t="s">
        <v>442</v>
      </c>
      <c r="BK743">
        <v>0</v>
      </c>
      <c r="BL743">
        <f>3*44</f>
        <v>132</v>
      </c>
      <c r="BM743" s="143" t="e">
        <f>BL743/BK743</f>
        <v>#DIV/0!</v>
      </c>
      <c r="BN743">
        <f>BL743-BK743</f>
        <v>132</v>
      </c>
      <c r="BO743">
        <f>BN743*tC_to_m3</f>
        <v>573.16543638732094</v>
      </c>
      <c r="BP743" t="s">
        <v>232</v>
      </c>
      <c r="BQ743" s="260" t="s">
        <v>813</v>
      </c>
      <c r="BR743" t="s">
        <v>443</v>
      </c>
      <c r="BS743" s="141">
        <v>18</v>
      </c>
      <c r="BT743" s="141">
        <v>84</v>
      </c>
      <c r="BU743" s="144">
        <f>IFERROR(BT743/BS743,"")</f>
        <v>4.666666666666667</v>
      </c>
      <c r="BV743">
        <f>BT743-BS743</f>
        <v>66</v>
      </c>
      <c r="BX743">
        <f>BV743*C_to_CO2</f>
        <v>242.22</v>
      </c>
      <c r="BY743">
        <f>IFERROR(BX743/BO743,"")</f>
        <v>0.42260049999999993</v>
      </c>
      <c r="BZ743" s="143">
        <v>0</v>
      </c>
      <c r="CA743" s="143">
        <v>0</v>
      </c>
      <c r="CB743" s="143">
        <v>0</v>
      </c>
      <c r="CC743" s="143">
        <v>0</v>
      </c>
      <c r="CD743" s="143">
        <v>0</v>
      </c>
      <c r="CE743" s="143">
        <v>0</v>
      </c>
      <c r="CF743" s="143">
        <v>0</v>
      </c>
      <c r="CG743" s="143">
        <v>0</v>
      </c>
      <c r="CH743" s="143">
        <v>0</v>
      </c>
      <c r="CI743" s="143">
        <v>0</v>
      </c>
      <c r="CJ743" s="143">
        <v>0</v>
      </c>
      <c r="CK743" s="143">
        <v>0</v>
      </c>
      <c r="CL743" s="143">
        <v>0</v>
      </c>
      <c r="CM743">
        <v>0</v>
      </c>
      <c r="CN743" t="str">
        <f>IF($BL743&lt;$BK743,"refNeedCorrection","refOK")</f>
        <v>refOK</v>
      </c>
      <c r="CO743">
        <f>IF($CN743="refOK",$BK743,$BL743)</f>
        <v>0</v>
      </c>
      <c r="CP743">
        <f>IF($CN743="refOK",$BL743,$BK743)</f>
        <v>132</v>
      </c>
      <c r="CQ743">
        <f>IF($CN743="refOK",$BO743,-$BO743)</f>
        <v>573.16543638732094</v>
      </c>
      <c r="CR743">
        <f>IF($CN743="refOK",$BS743,$BT743)*IF($BP743="Emissions positive",-1,1)</f>
        <v>18</v>
      </c>
      <c r="CS743">
        <f>IF($CN743="refOK",$BT743,$BS743)*IF($BP743="Emissions positive",-1,1)</f>
        <v>84</v>
      </c>
      <c r="CT743">
        <f>IF($CN743="refNeedCorrection",-BX743,BX743)*IF($BP743="Emissions positive",-1,1)</f>
        <v>242.22</v>
      </c>
      <c r="CU743">
        <f>IFERROR(CT743/CQ743,"")</f>
        <v>0.42260049999999993</v>
      </c>
      <c r="CV743" s="2">
        <f>IFERROR((CS743-CR743)/ABS(CR743),"")</f>
        <v>3.6666666666666665</v>
      </c>
      <c r="CW743" s="1" t="s">
        <v>263</v>
      </c>
      <c r="CX743" t="str">
        <f>IF(OR($CW743="prd",$CW743="std",$CW743="cit"),"loc",IF(OR($CW743="eur",$CW743="reg",$CW743="coy"),"reg",$CW743))</f>
        <v>loc</v>
      </c>
      <c r="CY743" t="s">
        <v>444</v>
      </c>
      <c r="DB743">
        <v>300</v>
      </c>
      <c r="DC743" t="str">
        <f>IF(DB743=0,"0",IF(AND(DB743&gt;=1,DB743&lt;=30),"1-30",IF(AND(DB743&gt;30,DB743&lt;=70),"31-70",IF(AND(DB743&gt;70,DB743&lt;=100),"71-100",IF(DB743&gt;100,"+100")))))</f>
        <v>+100</v>
      </c>
      <c r="DD743">
        <v>0</v>
      </c>
      <c r="DE743">
        <v>0</v>
      </c>
      <c r="DF743">
        <v>0</v>
      </c>
      <c r="DG743">
        <v>1</v>
      </c>
      <c r="DI743">
        <f>SUM(DD743:DG743)</f>
        <v>1</v>
      </c>
      <c r="DJ743" t="str">
        <f>IF(DI743=1,INDEX($DD$7:$DG$7,MATCH(1,$DD743:$DG743,0)),"mixedProduct")</f>
        <v>TimberInput</v>
      </c>
      <c r="DK743">
        <f>IF(DD743=1,DK$7,0)</f>
        <v>0</v>
      </c>
      <c r="DL743">
        <f>IF(DE743=1,DL$7,0)</f>
        <v>0</v>
      </c>
      <c r="DM743">
        <f>IF(DF743=1,DM$7,0)</f>
        <v>0</v>
      </c>
      <c r="DN743" t="str">
        <f>IF(DG743=1,DN$7,0)</f>
        <v>Timber</v>
      </c>
      <c r="DO743">
        <v>1</v>
      </c>
      <c r="DP743" s="143">
        <v>0</v>
      </c>
      <c r="DQ743" s="143">
        <v>0</v>
      </c>
      <c r="DR743" s="143">
        <v>0</v>
      </c>
      <c r="DS743">
        <v>0</v>
      </c>
      <c r="DT743">
        <f>SUM(DO743:DP743)</f>
        <v>1</v>
      </c>
      <c r="DU743" s="143" t="str">
        <f>IF(DO743=1,"self-calculated DF",IF(DP743=1,"external DF used","explicit C balance"))</f>
        <v>self-calculated DF</v>
      </c>
      <c r="DV743">
        <v>0</v>
      </c>
      <c r="DW743" s="143">
        <v>0</v>
      </c>
      <c r="DX743" s="143">
        <v>1</v>
      </c>
      <c r="DY743" s="143">
        <v>1</v>
      </c>
      <c r="DZ743">
        <v>1</v>
      </c>
      <c r="EA743" s="143">
        <v>1</v>
      </c>
      <c r="EB743">
        <v>0</v>
      </c>
      <c r="EC743" s="143">
        <v>1</v>
      </c>
      <c r="ED743" s="143">
        <v>0</v>
      </c>
      <c r="EE743">
        <v>0</v>
      </c>
      <c r="EF743">
        <v>0</v>
      </c>
      <c r="EG743" s="143">
        <v>0</v>
      </c>
      <c r="EH743" s="143">
        <v>0</v>
      </c>
      <c r="EI743" s="2">
        <v>0</v>
      </c>
      <c r="EK743" t="str">
        <f>IF(AND(AND(AND(OR($DX743=1,$DW743=1),OR($EC743=1,$EA743=1)),SUM($DV743:$DZ743,$EF743)&gt;=4),SUM($EA743:$EE743)&gt;=2),"Whole sector","")</f>
        <v/>
      </c>
      <c r="EL743" t="str">
        <f>IF(AND(AND(OR($DX743=1,$DW743=1),AND($EC743=0,$EA743=0)),SUM($DV743:$DZ743,$EF743)&gt;=4),"Ecosystem approach","")</f>
        <v/>
      </c>
      <c r="EM743" s="2" t="str">
        <f>IF(AND(AND(AND($DX743=0,$DW743=0),OR($EC743=1,$EA743=1)),SUM($EB743:$EE743)&gt;=2),"Technology approach","")</f>
        <v/>
      </c>
      <c r="EN743" t="s">
        <v>445</v>
      </c>
      <c r="EP743" t="str">
        <f>IF(ISNUMBER(BU743),IF(ABS(BU743-[4]QC_indicators!$B$2)&gt;3*[4]QC_indicators!$C$2,"C ratio",IF(ISNUMBER(BY743),IF(ABS(BY743-[4]QC_indicators!$B$1)&gt;3*[4]QC_indicators!$C$1,"DF","no"))),IF(ISNUMBER(BY743),IF(ABS(BY743-[4]QC_indicators!$B$1)&gt;3*[4]QC_indicators!$C$1,"DF","no")))</f>
        <v>no</v>
      </c>
      <c r="ET743" s="264" t="s">
        <v>3273</v>
      </c>
    </row>
    <row r="744" spans="1:150" ht="15" customHeight="1">
      <c r="A744" s="1" t="s">
        <v>430</v>
      </c>
      <c r="B744" t="s">
        <v>431</v>
      </c>
      <c r="C744" t="s">
        <v>432</v>
      </c>
      <c r="D744" t="s">
        <v>433</v>
      </c>
      <c r="E744" t="s">
        <v>434</v>
      </c>
      <c r="F744" t="s">
        <v>435</v>
      </c>
      <c r="G744" t="s">
        <v>436</v>
      </c>
      <c r="H744" t="s">
        <v>254</v>
      </c>
      <c r="I744">
        <v>2000</v>
      </c>
      <c r="J744">
        <v>174</v>
      </c>
      <c r="K744" t="s">
        <v>437</v>
      </c>
      <c r="M744" t="str">
        <f>LEFT($D744,FIND(",",$D744)-1)&amp;"_"&amp;I744&amp;L744</f>
        <v>Borjesson_2000</v>
      </c>
      <c r="N744" t="s">
        <v>222</v>
      </c>
      <c r="O744" s="145" t="s">
        <v>223</v>
      </c>
      <c r="Q744" t="s">
        <v>256</v>
      </c>
      <c r="R744" s="255" t="s">
        <v>225</v>
      </c>
      <c r="S744" s="1" t="s">
        <v>454</v>
      </c>
      <c r="T744" t="s">
        <v>447</v>
      </c>
      <c r="U744" t="s">
        <v>455</v>
      </c>
      <c r="V744">
        <v>0</v>
      </c>
      <c r="W744">
        <v>0</v>
      </c>
      <c r="X744">
        <v>0</v>
      </c>
      <c r="Y744">
        <v>0</v>
      </c>
      <c r="Z744">
        <v>0</v>
      </c>
      <c r="AA744">
        <v>0</v>
      </c>
      <c r="AB744">
        <v>0</v>
      </c>
      <c r="AC744">
        <v>0</v>
      </c>
      <c r="AD744">
        <v>0</v>
      </c>
      <c r="AE744">
        <v>0</v>
      </c>
      <c r="AF744">
        <v>0</v>
      </c>
      <c r="AG744">
        <v>0</v>
      </c>
      <c r="AH744">
        <v>0</v>
      </c>
      <c r="AI744">
        <v>0</v>
      </c>
      <c r="AJ744">
        <v>0</v>
      </c>
      <c r="AK744">
        <v>1</v>
      </c>
      <c r="AL744">
        <v>0</v>
      </c>
      <c r="AM744">
        <v>0</v>
      </c>
      <c r="AN744">
        <v>0</v>
      </c>
      <c r="AO744">
        <v>0</v>
      </c>
      <c r="AP744">
        <v>0</v>
      </c>
      <c r="AQ744">
        <v>0</v>
      </c>
      <c r="AR744">
        <v>0</v>
      </c>
      <c r="AS744">
        <v>0</v>
      </c>
      <c r="AT744">
        <v>0</v>
      </c>
      <c r="AU744">
        <v>0</v>
      </c>
      <c r="AV744">
        <v>0</v>
      </c>
      <c r="AW744">
        <v>0</v>
      </c>
      <c r="AX744" s="141">
        <f>COUNTIF(V744:AW744,"&lt;&gt;0")</f>
        <v>1</v>
      </c>
      <c r="AY744" s="141">
        <f>COUNTIF(V744:AL744,"&lt;&gt;0")</f>
        <v>1</v>
      </c>
      <c r="AZ744">
        <f>COUNTIF(V744:AC744,"&lt;&gt;0")</f>
        <v>0</v>
      </c>
      <c r="BA744">
        <f>COUNTIF(AD744:AI744,"&lt;&gt;0")</f>
        <v>0</v>
      </c>
      <c r="BB744">
        <f>COUNTIF(AJ744:AL744,"&lt;&gt;0")</f>
        <v>1</v>
      </c>
      <c r="BC744">
        <f>COUNTIF(AS744:AW744,"&lt;&gt;0")</f>
        <v>0</v>
      </c>
      <c r="BD744">
        <f>COUNTIF(AM744:AR744,"&lt;&gt;0")</f>
        <v>0</v>
      </c>
      <c r="BE744" t="str">
        <f t="array" ref="BE744">IF(AY744=1,INDEX($V$7:$AL$7,MATCH(TRUE,INDEX($V744:$AW744&lt;&gt;0,),0)),IF(AY744=0,INDEX($AM$7:$AW$7,MATCH(1,$AM744:$AW744,0)),IF(BF744="Multiple strategies","mixed drivers",IF(BF744="Supply chain","multiple supply","multiple silviculture"))))</f>
        <v>technologies/design switch</v>
      </c>
      <c r="BF744" s="2" t="str" cm="1">
        <f t="array" ref="BF744">IF(COUNTIF(AZ744:BB744,"&lt;&gt;0")=1,INDEX($V$4:$AW$4,MATCH(TRUE,INDEX($V744:$AW744&lt;&gt;0,),0)),IF(COUNTIF(AZ744:BB744,"&lt;&gt;0")=0,INDEX($AM$4:$AW$4,MATCH(1,$AM744:$AW744,0)),"Multiple strategies"))</f>
        <v>Technology</v>
      </c>
      <c r="BG744" s="142" t="s">
        <v>229</v>
      </c>
      <c r="BH744" t="s">
        <v>441</v>
      </c>
      <c r="BI744" s="264" t="s">
        <v>3274</v>
      </c>
      <c r="BJ744" t="s">
        <v>442</v>
      </c>
      <c r="BK744">
        <v>0</v>
      </c>
      <c r="BL744">
        <v>44</v>
      </c>
      <c r="BM744" s="143"/>
      <c r="BN744">
        <f>BL744-BK744</f>
        <v>44</v>
      </c>
      <c r="BO744">
        <f>BN744*tC_to_m3</f>
        <v>191.05514546244029</v>
      </c>
      <c r="BP744" t="s">
        <v>232</v>
      </c>
      <c r="BQ744" s="260" t="s">
        <v>813</v>
      </c>
      <c r="BR744" t="s">
        <v>443</v>
      </c>
      <c r="BS744" s="141">
        <v>42</v>
      </c>
      <c r="BT744" s="141">
        <v>64</v>
      </c>
      <c r="BU744" s="144">
        <f>IFERROR(BT744/BS744,"")</f>
        <v>1.5238095238095237</v>
      </c>
      <c r="BV744">
        <f>BT744-BS744</f>
        <v>22</v>
      </c>
      <c r="BX744">
        <f>BV744*C_to_CO2</f>
        <v>80.739999999999995</v>
      </c>
      <c r="BY744">
        <f>IFERROR(BX744/BO744,"")</f>
        <v>0.42260049999999999</v>
      </c>
      <c r="BZ744" s="143">
        <v>0</v>
      </c>
      <c r="CA744" s="143">
        <v>0</v>
      </c>
      <c r="CB744" s="143">
        <v>0</v>
      </c>
      <c r="CC744" s="143">
        <v>0</v>
      </c>
      <c r="CD744" s="143">
        <v>0</v>
      </c>
      <c r="CE744" s="143">
        <v>0</v>
      </c>
      <c r="CF744" s="143">
        <v>0</v>
      </c>
      <c r="CG744" s="143">
        <v>0</v>
      </c>
      <c r="CH744" s="143">
        <v>0</v>
      </c>
      <c r="CI744" s="143">
        <v>0</v>
      </c>
      <c r="CJ744" s="143">
        <v>0</v>
      </c>
      <c r="CK744" s="143">
        <v>0</v>
      </c>
      <c r="CL744" s="143">
        <v>0</v>
      </c>
      <c r="CM744">
        <v>0</v>
      </c>
      <c r="CN744" t="str">
        <f>IF($BL744&lt;$BK744,"refNeedCorrection","refOK")</f>
        <v>refOK</v>
      </c>
      <c r="CO744">
        <f>IF($CN744="refOK",$BK744,$BL744)</f>
        <v>0</v>
      </c>
      <c r="CP744">
        <f>IF($CN744="refOK",$BL744,$BK744)</f>
        <v>44</v>
      </c>
      <c r="CQ744">
        <f>IF($CN744="refOK",$BO744,-$BO744)</f>
        <v>191.05514546244029</v>
      </c>
      <c r="CR744">
        <f>IF($CN744="refOK",$BS744,$BT744)*IF($BP744="Emissions positive",-1,1)</f>
        <v>42</v>
      </c>
      <c r="CS744">
        <f>IF($CN744="refOK",$BT744,$BS744)*IF($BP744="Emissions positive",-1,1)</f>
        <v>64</v>
      </c>
      <c r="CT744">
        <f>IF($CN744="refNeedCorrection",-BX744,BX744)*IF($BP744="Emissions positive",-1,1)</f>
        <v>80.739999999999995</v>
      </c>
      <c r="CU744">
        <f>IFERROR(CT744/CQ744,"")</f>
        <v>0.42260049999999999</v>
      </c>
      <c r="CV744" s="2">
        <f>IFERROR((CS744-CR744)/ABS(CR744),"")</f>
        <v>0.52380952380952384</v>
      </c>
      <c r="CW744" s="1" t="s">
        <v>263</v>
      </c>
      <c r="CX744" t="str">
        <f>IF(OR($CW744="prd",$CW744="std",$CW744="cit"),"loc",IF(OR($CW744="eur",$CW744="reg",$CW744="coy"),"reg",$CW744))</f>
        <v>loc</v>
      </c>
      <c r="CY744" t="s">
        <v>444</v>
      </c>
      <c r="DB744">
        <v>100</v>
      </c>
      <c r="DC744" t="str">
        <f>IF(DB744=0,"0",IF(AND(DB744&gt;=1,DB744&lt;=30),"1-30",IF(AND(DB744&gt;30,DB744&lt;=70),"31-70",IF(AND(DB744&gt;70,DB744&lt;=100),"71-100",IF(DB744&gt;100,"+100")))))</f>
        <v>71-100</v>
      </c>
      <c r="DD744">
        <v>0</v>
      </c>
      <c r="DE744">
        <v>0</v>
      </c>
      <c r="DF744">
        <v>0</v>
      </c>
      <c r="DG744">
        <v>1</v>
      </c>
      <c r="DI744">
        <f>SUM(DD744:DG744)</f>
        <v>1</v>
      </c>
      <c r="DJ744" t="str">
        <f>IF(DI744=1,INDEX($DD$7:$DG$7,MATCH(1,$DD744:$DG744,0)),"mixedProduct")</f>
        <v>TimberInput</v>
      </c>
      <c r="DK744">
        <f>IF(DD744=1,DK$7,0)</f>
        <v>0</v>
      </c>
      <c r="DL744">
        <f>IF(DE744=1,DL$7,0)</f>
        <v>0</v>
      </c>
      <c r="DM744">
        <f>IF(DF744=1,DM$7,0)</f>
        <v>0</v>
      </c>
      <c r="DN744" t="str">
        <f>IF(DG744=1,DN$7,0)</f>
        <v>Timber</v>
      </c>
      <c r="DO744">
        <v>1</v>
      </c>
      <c r="DP744" s="143">
        <v>0</v>
      </c>
      <c r="DQ744" s="143">
        <v>0</v>
      </c>
      <c r="DR744" s="143">
        <v>0</v>
      </c>
      <c r="DS744">
        <v>0</v>
      </c>
      <c r="DT744">
        <f>SUM(DO744:DP744)</f>
        <v>1</v>
      </c>
      <c r="DU744" s="143" t="str">
        <f>IF(DO744=1,"self-calculated DF",IF(DP744=1,"external DF used","explicit C balance"))</f>
        <v>self-calculated DF</v>
      </c>
      <c r="DV744">
        <v>0</v>
      </c>
      <c r="DW744" s="143">
        <v>0</v>
      </c>
      <c r="DX744" s="143">
        <v>1</v>
      </c>
      <c r="DY744" s="143">
        <v>1</v>
      </c>
      <c r="DZ744">
        <v>1</v>
      </c>
      <c r="EA744" s="143">
        <v>1</v>
      </c>
      <c r="EB744">
        <v>0</v>
      </c>
      <c r="EC744" s="143">
        <v>1</v>
      </c>
      <c r="ED744" s="143">
        <v>0</v>
      </c>
      <c r="EE744">
        <v>0</v>
      </c>
      <c r="EF744">
        <v>0</v>
      </c>
      <c r="EG744" s="143">
        <v>0</v>
      </c>
      <c r="EH744" s="143">
        <v>0</v>
      </c>
      <c r="EI744" s="2">
        <v>0</v>
      </c>
      <c r="EK744" t="str">
        <f>IF(AND(AND(AND(OR($DX744=1,$DW744=1),OR($EC744=1,$EA744=1)),SUM($DV744:$DZ744,$EF744)&gt;=4),SUM($EA744:$EE744)&gt;=2),"Whole sector","")</f>
        <v/>
      </c>
      <c r="EL744" t="str">
        <f>IF(AND(AND(OR($DX744=1,$DW744=1),AND($EC744=0,$EA744=0)),SUM($DV744:$DZ744,$EF744)&gt;=4),"Ecosystem approach","")</f>
        <v/>
      </c>
      <c r="EM744" s="2" t="str">
        <f>IF(AND(AND(AND($DX744=0,$DW744=0),OR($EC744=1,$EA744=1)),SUM($EB744:$EE744)&gt;=2),"Technology approach","")</f>
        <v/>
      </c>
      <c r="EP744" t="str">
        <f>IF(ISNUMBER(BU744),IF(ABS(BU744-[4]QC_indicators!$B$2)&gt;3*[4]QC_indicators!$C$2,"C ratio",IF(ISNUMBER(BY744),IF(ABS(BY744-[4]QC_indicators!$B$1)&gt;3*[4]QC_indicators!$C$1,"DF","no"))),IF(ISNUMBER(BY744),IF(ABS(BY744-[4]QC_indicators!$B$1)&gt;3*[4]QC_indicators!$C$1,"DF","no")))</f>
        <v>no</v>
      </c>
      <c r="ET744" s="264" t="s">
        <v>3273</v>
      </c>
    </row>
    <row r="745" spans="1:150" ht="15" customHeight="1">
      <c r="A745" s="1" t="s">
        <v>265</v>
      </c>
      <c r="B745" t="s">
        <v>266</v>
      </c>
      <c r="C745" t="s">
        <v>267</v>
      </c>
      <c r="D745" t="s">
        <v>268</v>
      </c>
      <c r="E745" t="s">
        <v>269</v>
      </c>
      <c r="F745" t="s">
        <v>270</v>
      </c>
      <c r="G745" t="s">
        <v>271</v>
      </c>
      <c r="H745" t="s">
        <v>254</v>
      </c>
      <c r="I745">
        <v>2022</v>
      </c>
      <c r="J745">
        <v>0</v>
      </c>
      <c r="K745" t="s">
        <v>272</v>
      </c>
      <c r="M745" t="str">
        <f>LEFT($D745,FIND(",",$D745)-1)&amp;"_"&amp;I745&amp;L745</f>
        <v>Aryapratama_2022</v>
      </c>
      <c r="N745" t="s">
        <v>222</v>
      </c>
      <c r="O745" s="145" t="s">
        <v>274</v>
      </c>
      <c r="Q745" t="s">
        <v>224</v>
      </c>
      <c r="R745" s="262" t="s">
        <v>223</v>
      </c>
      <c r="S745" s="263" t="s">
        <v>3105</v>
      </c>
      <c r="T745" t="s">
        <v>306</v>
      </c>
      <c r="U745" t="s">
        <v>288</v>
      </c>
      <c r="V745">
        <v>0</v>
      </c>
      <c r="W745">
        <v>0</v>
      </c>
      <c r="X745">
        <v>0</v>
      </c>
      <c r="Y745">
        <v>0</v>
      </c>
      <c r="Z745">
        <v>0</v>
      </c>
      <c r="AA745">
        <v>0</v>
      </c>
      <c r="AB745">
        <v>0</v>
      </c>
      <c r="AC745">
        <v>0</v>
      </c>
      <c r="AD745">
        <v>0</v>
      </c>
      <c r="AE745">
        <v>0</v>
      </c>
      <c r="AF745">
        <v>0</v>
      </c>
      <c r="AG745">
        <v>0</v>
      </c>
      <c r="AH745">
        <v>0</v>
      </c>
      <c r="AI745">
        <v>0</v>
      </c>
      <c r="AJ745">
        <v>0</v>
      </c>
      <c r="AK745">
        <v>1</v>
      </c>
      <c r="AL745">
        <v>0</v>
      </c>
      <c r="AM745">
        <v>0</v>
      </c>
      <c r="AN745">
        <v>0</v>
      </c>
      <c r="AO745">
        <v>0</v>
      </c>
      <c r="AP745">
        <v>0</v>
      </c>
      <c r="AQ745">
        <v>0</v>
      </c>
      <c r="AR745">
        <v>0</v>
      </c>
      <c r="AS745">
        <v>0</v>
      </c>
      <c r="AT745">
        <v>0</v>
      </c>
      <c r="AU745">
        <v>0</v>
      </c>
      <c r="AV745">
        <v>0</v>
      </c>
      <c r="AW745">
        <v>0</v>
      </c>
      <c r="AX745" s="141">
        <f>COUNTIF(V745:AW745,"&lt;&gt;0")</f>
        <v>1</v>
      </c>
      <c r="AY745" s="141">
        <f>COUNTIF(V745:AL745,"&lt;&gt;0")</f>
        <v>1</v>
      </c>
      <c r="AZ745">
        <f>COUNTIF(V745:AC745,"&lt;&gt;0")</f>
        <v>0</v>
      </c>
      <c r="BA745">
        <f>COUNTIF(AD745:AI745,"&lt;&gt;0")</f>
        <v>0</v>
      </c>
      <c r="BB745">
        <f>COUNTIF(AJ745:AL745,"&lt;&gt;0")</f>
        <v>1</v>
      </c>
      <c r="BC745">
        <f>COUNTIF(AS745:AW745,"&lt;&gt;0")</f>
        <v>0</v>
      </c>
      <c r="BD745">
        <f>COUNTIF(AM745:AR745,"&lt;&gt;0")</f>
        <v>0</v>
      </c>
      <c r="BE745" t="str">
        <f t="array" ref="BE745">IF(AY745=1,INDEX($V$7:$AL$7,MATCH(TRUE,INDEX($V745:$AW745&lt;&gt;0,),0)),IF(AY745=0,INDEX($AM$7:$AW$7,MATCH(1,$AM745:$AW745,0)),IF(BF745="Multiple strategies","mixed drivers",IF(BF745="Supply chain","multiple supply","multiple silviculture"))))</f>
        <v>technologies/design switch</v>
      </c>
      <c r="BF745" s="2" t="str" cm="1">
        <f t="array" ref="BF745">IF(COUNTIF(AZ745:BB745,"&lt;&gt;0")=1,INDEX($V$4:$AW$4,MATCH(TRUE,INDEX($V745:$AW745&lt;&gt;0,),0)),IF(COUNTIF(AZ745:BB745,"&lt;&gt;0")=0,INDEX($AM$4:$AW$4,MATCH(1,$AM745:$AW745,0)),"Multiple strategies"))</f>
        <v>Technology</v>
      </c>
      <c r="BG745" s="1" t="s">
        <v>229</v>
      </c>
      <c r="BH745" t="s">
        <v>277</v>
      </c>
      <c r="BI745" s="264" t="s">
        <v>3106</v>
      </c>
      <c r="BJ745" t="s">
        <v>278</v>
      </c>
      <c r="BK745">
        <v>0</v>
      </c>
      <c r="BL745">
        <v>328.05254177959995</v>
      </c>
      <c r="BN745">
        <f>BL745-BK745</f>
        <v>328.05254177959995</v>
      </c>
      <c r="BO745">
        <f>BN745*tC_to_m3</f>
        <v>1424.4574111141987</v>
      </c>
      <c r="BP745" t="s">
        <v>232</v>
      </c>
      <c r="BQ745" s="337" t="s">
        <v>3107</v>
      </c>
      <c r="BR745" t="s">
        <v>279</v>
      </c>
      <c r="BS745">
        <v>-645.67518499586413</v>
      </c>
      <c r="BT745">
        <v>-41.927947193381058</v>
      </c>
      <c r="BU745" s="144">
        <f>IFERROR(BT745/BS745,"")</f>
        <v>6.4936593766801845E-2</v>
      </c>
      <c r="BV745">
        <f>BT745-BS745</f>
        <v>603.74723780248303</v>
      </c>
      <c r="BX745">
        <f>BV745</f>
        <v>603.74723780248303</v>
      </c>
      <c r="BY745">
        <f>IFERROR(BX745/BO745,"")</f>
        <v>0.42384365660341994</v>
      </c>
      <c r="BZ745">
        <v>0</v>
      </c>
      <c r="CA745">
        <v>0</v>
      </c>
      <c r="CB745">
        <v>0</v>
      </c>
      <c r="CC745">
        <v>0</v>
      </c>
      <c r="CD745">
        <v>0</v>
      </c>
      <c r="CE745">
        <v>0</v>
      </c>
      <c r="CF745">
        <v>0</v>
      </c>
      <c r="CG745">
        <v>0</v>
      </c>
      <c r="CH745">
        <v>0</v>
      </c>
      <c r="CI745">
        <v>0</v>
      </c>
      <c r="CJ745">
        <v>0</v>
      </c>
      <c r="CK745">
        <v>0</v>
      </c>
      <c r="CL745">
        <v>0</v>
      </c>
      <c r="CM745">
        <v>0</v>
      </c>
      <c r="CN745" t="str">
        <f>IF($BL745&lt;$BK745,"refNeedCorrection","refOK")</f>
        <v>refOK</v>
      </c>
      <c r="CO745">
        <f>IF($CN745="refOK",$BK745,$BL745)</f>
        <v>0</v>
      </c>
      <c r="CP745">
        <f>IF($CN745="refOK",$BL745,$BK745)</f>
        <v>328.05254177959995</v>
      </c>
      <c r="CQ745">
        <f>IF($CN745="refOK",$BO745,-$BO745)</f>
        <v>1424.4574111141987</v>
      </c>
      <c r="CR745">
        <f>IF($CN745="refOK",$BS745,$BT745)*IF($BP745="Emissions positive",-1,1)</f>
        <v>-645.67518499586413</v>
      </c>
      <c r="CS745">
        <f>IF($CN745="refOK",$BT745,$BS745)*IF($BP745="Emissions positive",-1,1)</f>
        <v>-41.927947193381058</v>
      </c>
      <c r="CT745">
        <f>IF($CN745="refNeedCorrection",-BX745,BX745)*IF($BP745="Emissions positive",-1,1)</f>
        <v>603.74723780248303</v>
      </c>
      <c r="CU745">
        <f>IFERROR(CT745/CQ745,"")</f>
        <v>0.42384365660341994</v>
      </c>
      <c r="CV745" s="2">
        <f>IFERROR((CS745-CR745)/ABS(CR745),"")</f>
        <v>0.93506340623319806</v>
      </c>
      <c r="CW745" s="1" t="s">
        <v>234</v>
      </c>
      <c r="CX745" t="str">
        <f>IF(OR($CW745="prd",$CW745="std",$CW745="cit"),"loc",IF(OR($CW745="eur",$CW745="reg",$CW745="coy"),"reg",$CW745))</f>
        <v>loc</v>
      </c>
      <c r="CY745" t="s">
        <v>280</v>
      </c>
      <c r="DB745">
        <v>100</v>
      </c>
      <c r="DC745" t="str">
        <f>IF(DB745=0,"0",IF(AND(DB745&gt;=1,DB745&lt;=30),"1-30",IF(AND(DB745&gt;30,DB745&lt;=70),"31-70",IF(AND(DB745&gt;70,DB745&lt;=100),"71-100",IF(DB745&gt;100,"+100")))))</f>
        <v>71-100</v>
      </c>
      <c r="DD745">
        <v>0</v>
      </c>
      <c r="DE745">
        <v>0</v>
      </c>
      <c r="DF745">
        <v>0</v>
      </c>
      <c r="DG745">
        <v>1</v>
      </c>
      <c r="DI745">
        <f>SUM(DD745:DG745)</f>
        <v>1</v>
      </c>
      <c r="DJ745" t="str">
        <f>IF(DI745=1,INDEX($DD$7:$DG$7,MATCH(1,$DD745:$DG745,0)),"mixedProduct")</f>
        <v>TimberInput</v>
      </c>
      <c r="DK745">
        <f>IF(DD745=1,DK$7,0)</f>
        <v>0</v>
      </c>
      <c r="DL745">
        <f>IF(DE745=1,DL$7,0)</f>
        <v>0</v>
      </c>
      <c r="DM745">
        <f>IF(DF745=1,DM$7,0)</f>
        <v>0</v>
      </c>
      <c r="DN745" t="str">
        <f>IF(DG745=1,DN$7,0)</f>
        <v>Timber</v>
      </c>
      <c r="DO745">
        <v>0</v>
      </c>
      <c r="DP745">
        <v>1</v>
      </c>
      <c r="DQ745">
        <v>0</v>
      </c>
      <c r="DR745" t="s">
        <v>281</v>
      </c>
      <c r="DS745">
        <v>0</v>
      </c>
      <c r="DT745">
        <f>SUM(DO745:DP745)</f>
        <v>1</v>
      </c>
      <c r="DU745" s="143" t="str">
        <f>IF(DO745=1,"self-calculated DF",IF(DP745=1,"external DF used","explicit C balance"))</f>
        <v>external DF used</v>
      </c>
      <c r="DV745">
        <v>0</v>
      </c>
      <c r="DW745">
        <v>1</v>
      </c>
      <c r="DX745">
        <v>1</v>
      </c>
      <c r="DY745">
        <v>1</v>
      </c>
      <c r="DZ745">
        <v>1</v>
      </c>
      <c r="EA745" s="143">
        <v>0</v>
      </c>
      <c r="EB745">
        <v>1</v>
      </c>
      <c r="EC745">
        <v>1</v>
      </c>
      <c r="ED745">
        <v>0</v>
      </c>
      <c r="EE745">
        <v>1</v>
      </c>
      <c r="EF745">
        <v>1</v>
      </c>
      <c r="EG745">
        <v>1</v>
      </c>
      <c r="EH745">
        <v>0</v>
      </c>
      <c r="EI745" s="2">
        <v>0</v>
      </c>
      <c r="EK745" t="str">
        <f>IF(AND(AND(AND(OR($DX745=1,$DW745=1),OR($EC745=1,$EA745=1)),SUM($DV745:$DZ745,$EF745)&gt;=4),SUM($EA745:$EE745)&gt;=2),"Whole sector","")</f>
        <v>Whole sector</v>
      </c>
      <c r="EL745" t="str">
        <f>IF(AND(AND(OR($DX745=1,$DW745=1),AND($EC745=0,$EA745=0)),SUM($DV745:$DZ745,$EF745)&gt;=4),"Ecosystem approach","")</f>
        <v/>
      </c>
      <c r="EM745" s="2" t="str">
        <f>IF(AND(AND(AND($DX745=0,$DW745=0),OR($EC745=1,$EA745=1)),SUM($EB745:$EE745)&gt;=2),"Technology approach","")</f>
        <v/>
      </c>
      <c r="EP745" t="str">
        <f>IF(ISNUMBER(BU745),IF(ABS(BU745-[1]QC_indicators!$B$2)&gt;3*[1]QC_indicators!$C$2,"C ratio",IF(ISNUMBER(BY745),IF(ABS(BY745-[1]QC_indicators!$B$1)&gt;3*[1]QC_indicators!$C$1,"DF","no"))),IF(ISNUMBER(BY745),IF(ABS(BY745-[1]QC_indicators!$B$1)&gt;3*[1]QC_indicators!$C$1,"DF","no")))</f>
        <v>no</v>
      </c>
      <c r="EQ745" t="s">
        <v>286</v>
      </c>
      <c r="ER745" t="s">
        <v>296</v>
      </c>
      <c r="ET745" s="264" t="s">
        <v>3273</v>
      </c>
    </row>
    <row r="746" spans="1:150" ht="15" customHeight="1">
      <c r="A746" s="1" t="s">
        <v>333</v>
      </c>
      <c r="B746" t="s">
        <v>334</v>
      </c>
      <c r="C746" t="s">
        <v>335</v>
      </c>
      <c r="D746" t="s">
        <v>336</v>
      </c>
      <c r="E746" t="s">
        <v>337</v>
      </c>
      <c r="F746" t="s">
        <v>338</v>
      </c>
      <c r="G746" t="s">
        <v>339</v>
      </c>
      <c r="I746">
        <v>2017</v>
      </c>
      <c r="K746" t="s">
        <v>340</v>
      </c>
      <c r="M746" t="str">
        <f>LEFT($D746,FIND(",",$D746)-1)&amp;"_"&amp;I746&amp;L746</f>
        <v>Balasbaneh_2017</v>
      </c>
      <c r="N746" t="s">
        <v>222</v>
      </c>
      <c r="O746" s="140" t="s">
        <v>341</v>
      </c>
      <c r="Q746" t="s">
        <v>224</v>
      </c>
      <c r="R746" s="262" t="s">
        <v>223</v>
      </c>
      <c r="S746" s="1" t="s">
        <v>373</v>
      </c>
      <c r="T746" t="s">
        <v>371</v>
      </c>
      <c r="U746" t="s">
        <v>351</v>
      </c>
      <c r="V746">
        <v>0</v>
      </c>
      <c r="W746">
        <v>0</v>
      </c>
      <c r="X746">
        <v>0</v>
      </c>
      <c r="Y746">
        <v>0</v>
      </c>
      <c r="Z746">
        <v>0</v>
      </c>
      <c r="AA746">
        <v>0</v>
      </c>
      <c r="AB746">
        <v>0</v>
      </c>
      <c r="AC746">
        <v>0</v>
      </c>
      <c r="AD746">
        <v>0</v>
      </c>
      <c r="AE746">
        <v>0</v>
      </c>
      <c r="AF746">
        <v>0</v>
      </c>
      <c r="AG746">
        <v>0</v>
      </c>
      <c r="AH746">
        <v>0</v>
      </c>
      <c r="AI746">
        <v>0</v>
      </c>
      <c r="AJ746">
        <v>0</v>
      </c>
      <c r="AK746">
        <v>1</v>
      </c>
      <c r="AL746">
        <v>0</v>
      </c>
      <c r="AM746">
        <v>0</v>
      </c>
      <c r="AN746">
        <v>0</v>
      </c>
      <c r="AO746">
        <v>0</v>
      </c>
      <c r="AP746">
        <v>0</v>
      </c>
      <c r="AQ746">
        <v>0</v>
      </c>
      <c r="AR746">
        <v>0</v>
      </c>
      <c r="AS746">
        <v>0</v>
      </c>
      <c r="AT746">
        <v>0</v>
      </c>
      <c r="AU746">
        <v>0</v>
      </c>
      <c r="AV746">
        <v>0</v>
      </c>
      <c r="AW746">
        <v>0</v>
      </c>
      <c r="AX746" s="141">
        <f>COUNTIF(V746:AW746,"&lt;&gt;0")</f>
        <v>1</v>
      </c>
      <c r="AY746" s="141">
        <f>COUNTIF(V746:AL746,"&lt;&gt;0")</f>
        <v>1</v>
      </c>
      <c r="AZ746">
        <f>COUNTIF(V746:AC746,"&lt;&gt;0")</f>
        <v>0</v>
      </c>
      <c r="BA746">
        <f>COUNTIF(AD746:AI746,"&lt;&gt;0")</f>
        <v>0</v>
      </c>
      <c r="BB746">
        <f>COUNTIF(AJ746:AL746,"&lt;&gt;0")</f>
        <v>1</v>
      </c>
      <c r="BC746">
        <f>COUNTIF(AS746:AW746,"&lt;&gt;0")</f>
        <v>0</v>
      </c>
      <c r="BD746">
        <f>COUNTIF(AM746:AR746,"&lt;&gt;0")</f>
        <v>0</v>
      </c>
      <c r="BE746" t="str">
        <f t="array" ref="BE746">IF(AY746=1,INDEX($V$7:$AL$7,MATCH(TRUE,INDEX($V746:$AW746&lt;&gt;0,),0)),IF(AY746=0,INDEX($AM$7:$AW$7,MATCH(1,$AM746:$AW746,0)),IF(BF746="Multiple strategies","mixed drivers",IF(BF746="Supply chain","multiple supply","multiple silviculture"))))</f>
        <v>technologies/design switch</v>
      </c>
      <c r="BF746" s="2" t="str" cm="1">
        <f t="array" ref="BF746">IF(COUNTIF(AZ746:BB746,"&lt;&gt;0")=1,INDEX($V$4:$AW$4,MATCH(TRUE,INDEX($V746:$AW746&lt;&gt;0,),0)),IF(COUNTIF(AZ746:BB746,"&lt;&gt;0")=0,INDEX($AM$4:$AW$4,MATCH(1,$AM746:$AW746,0)),"Multiple strategies"))</f>
        <v>Technology</v>
      </c>
      <c r="BG746" s="1" t="s">
        <v>229</v>
      </c>
      <c r="BH746" t="s">
        <v>229</v>
      </c>
      <c r="BI746" s="264" t="s">
        <v>410</v>
      </c>
      <c r="BJ746" t="s">
        <v>345</v>
      </c>
      <c r="BK746">
        <v>0</v>
      </c>
      <c r="BL746">
        <v>23500</v>
      </c>
      <c r="BM746" s="143"/>
      <c r="BN746">
        <f>BL746-BK746</f>
        <v>23500</v>
      </c>
      <c r="BO746" s="143">
        <f>BN746*kg_to_m3</f>
        <v>47.95918367346939</v>
      </c>
      <c r="BP746" t="s">
        <v>232</v>
      </c>
      <c r="BQ746" s="335" t="s">
        <v>396</v>
      </c>
      <c r="BR746" t="s">
        <v>346</v>
      </c>
      <c r="BS746">
        <v>-26000</v>
      </c>
      <c r="BT746">
        <v>-5650</v>
      </c>
      <c r="BU746" s="144">
        <v>0.21730769230769231</v>
      </c>
      <c r="BV746">
        <f>BT746-BS746</f>
        <v>20350</v>
      </c>
      <c r="BX746">
        <f>BV746/1000</f>
        <v>20.350000000000001</v>
      </c>
      <c r="BY746">
        <f>IFERROR(BX746/BO746,"")</f>
        <v>0.42431914893617023</v>
      </c>
      <c r="BZ746">
        <v>0</v>
      </c>
      <c r="CA746">
        <v>0</v>
      </c>
      <c r="CB746">
        <v>0</v>
      </c>
      <c r="CC746">
        <v>0</v>
      </c>
      <c r="CD746">
        <v>0</v>
      </c>
      <c r="CE746">
        <v>0</v>
      </c>
      <c r="CF746">
        <v>0</v>
      </c>
      <c r="CG746">
        <v>0</v>
      </c>
      <c r="CH746">
        <v>0</v>
      </c>
      <c r="CI746">
        <v>0</v>
      </c>
      <c r="CJ746">
        <v>0</v>
      </c>
      <c r="CK746">
        <v>0</v>
      </c>
      <c r="CL746">
        <v>0</v>
      </c>
      <c r="CM746">
        <v>0</v>
      </c>
      <c r="CN746" t="str">
        <f>IF($BL746&lt;$BK746,"refNeedCorrection","refOK")</f>
        <v>refOK</v>
      </c>
      <c r="CO746">
        <f>IF($CN746="refNeedCorrection",BL746,BK746)</f>
        <v>0</v>
      </c>
      <c r="CP746">
        <f>IF($CN746="refNeedCorrection",BK746,BL746)</f>
        <v>23500</v>
      </c>
      <c r="CQ746">
        <f>IF($CN746="refOK",$BO746,-$BO746)</f>
        <v>47.95918367346939</v>
      </c>
      <c r="CR746">
        <f>IF($CN746="refOK",$BS746,$BT746)*IF($BP746="Emissions positive",-1,1)</f>
        <v>-26000</v>
      </c>
      <c r="CS746">
        <f>IF($CN746="refOK",$BT746,$BS746)*IF($BP746="Emissions positive",-1,1)</f>
        <v>-5650</v>
      </c>
      <c r="CT746">
        <f>IF($CN746="refNeedCorrection",-BX746,BX746)*IF($BP746="Emissions positive",-1,1)</f>
        <v>20.350000000000001</v>
      </c>
      <c r="CU746">
        <f>IFERROR(CT746/CQ746,"")</f>
        <v>0.42431914893617023</v>
      </c>
      <c r="CV746" s="2">
        <f>IFERROR((CS746-CR746)/ABS(CR746),"")</f>
        <v>0.78269230769230769</v>
      </c>
      <c r="CW746" s="1" t="s">
        <v>347</v>
      </c>
      <c r="CX746" t="str">
        <f>IF(OR($CW746="prd",$CW746="std",$CW746="cit"),"loc",IF(OR($CW746="eur",$CW746="reg",$CW746="coy"),"reg",$CW746))</f>
        <v>loc</v>
      </c>
      <c r="CY746" t="s">
        <v>348</v>
      </c>
      <c r="CZ746">
        <v>2014</v>
      </c>
      <c r="DA746">
        <v>2114</v>
      </c>
      <c r="DB746">
        <v>100</v>
      </c>
      <c r="DC746" t="str">
        <f>IF(DB746=0,"0",IF(AND(DB746&gt;=1,DB746&lt;=30),"1-30",IF(AND(DB746&gt;30,DB746&lt;=70),"31-70",IF(AND(DB746&gt;70,DB746&lt;=100),"71-100",IF(DB746&gt;100,"+100")))))</f>
        <v>71-100</v>
      </c>
      <c r="DD746">
        <v>0</v>
      </c>
      <c r="DE746">
        <v>0</v>
      </c>
      <c r="DF746">
        <v>0</v>
      </c>
      <c r="DG746">
        <v>1</v>
      </c>
      <c r="DI746">
        <f>SUM(DD746:DG746)</f>
        <v>1</v>
      </c>
      <c r="DJ746" t="str">
        <f>IF(DI746=1,INDEX($DD$7:$DG$7,MATCH(1,$DD746:$DG746,0)),"mixedProduct")</f>
        <v>TimberInput</v>
      </c>
      <c r="DK746">
        <f>IF(DD746=1,DK$7,0)</f>
        <v>0</v>
      </c>
      <c r="DL746">
        <f>IF(DE746=1,DL$7,0)</f>
        <v>0</v>
      </c>
      <c r="DM746">
        <f>IF(DF746=1,DM$7,0)</f>
        <v>0</v>
      </c>
      <c r="DN746" t="str">
        <f>IF(DG746=1,DN$7,0)</f>
        <v>Timber</v>
      </c>
      <c r="DO746">
        <v>0</v>
      </c>
      <c r="DP746">
        <v>0</v>
      </c>
      <c r="DQ746">
        <v>0</v>
      </c>
      <c r="DR746">
        <v>0</v>
      </c>
      <c r="DS746">
        <v>0</v>
      </c>
      <c r="DT746">
        <f>SUM(DO746:DP746)</f>
        <v>0</v>
      </c>
      <c r="DU746" s="143" t="str">
        <f>IF(DO746=1,"self-calculated DF",IF(DP746=1,"external DF used","explicit C balance"))</f>
        <v>explicit C balance</v>
      </c>
      <c r="DV746">
        <v>0</v>
      </c>
      <c r="DW746">
        <v>0</v>
      </c>
      <c r="DX746">
        <v>0</v>
      </c>
      <c r="DY746">
        <v>1</v>
      </c>
      <c r="DZ746">
        <v>0</v>
      </c>
      <c r="EA746" s="143">
        <v>1</v>
      </c>
      <c r="EB746">
        <v>0</v>
      </c>
      <c r="EC746">
        <v>1</v>
      </c>
      <c r="ED746">
        <v>1</v>
      </c>
      <c r="EE746">
        <v>1</v>
      </c>
      <c r="EF746">
        <v>0</v>
      </c>
      <c r="EG746">
        <v>0</v>
      </c>
      <c r="EH746">
        <v>0</v>
      </c>
      <c r="EI746" s="2">
        <v>0</v>
      </c>
      <c r="EK746" t="str">
        <f>IF(AND(AND(AND(OR($DX746=1,$DW746=1),OR($EC746=1,$EA746=1)),SUM($DV746:$DZ746,$EF746)&gt;=4),SUM($EA746:$EE746)&gt;=2),"Whole sector","")</f>
        <v/>
      </c>
      <c r="EL746" t="str">
        <f>IF(AND(AND(OR($DX746=1,$DW746=1),AND($EC746=0,$EA746=0)),SUM($DV746:$DZ746,$EF746)&gt;=4),"Ecosystem approach","")</f>
        <v/>
      </c>
      <c r="EM746" s="2" t="str">
        <f>IF(AND(AND(AND($DX746=0,$DW746=0),OR($EC746=1,$EA746=1)),SUM($EB746:$EE746)&gt;=2),"Technology approach","")</f>
        <v>Technology approach</v>
      </c>
      <c r="EP746" t="str">
        <f>IF(ISNUMBER(BU746),IF(ABS(BU746-[1]QC_indicators!$B$2)&gt;3*[1]QC_indicators!$C$2,"C ratio",IF(ISNUMBER(BY746),IF(ABS(BY746-[1]QC_indicators!$B$1)&gt;3*[1]QC_indicators!$C$1,"DF","no"))),IF(ISNUMBER(BY746),IF(ABS(BY746-[1]QC_indicators!$B$1)&gt;3*[1]QC_indicators!$C$1,"DF","no")))</f>
        <v>no</v>
      </c>
      <c r="ER746" s="149" t="s">
        <v>349</v>
      </c>
      <c r="ET746" s="264" t="s">
        <v>3273</v>
      </c>
    </row>
    <row r="747" spans="1:150" ht="15" customHeight="1">
      <c r="A747" s="1" t="s">
        <v>333</v>
      </c>
      <c r="B747" t="s">
        <v>945</v>
      </c>
      <c r="C747" t="s">
        <v>946</v>
      </c>
      <c r="D747" t="s">
        <v>947</v>
      </c>
      <c r="E747" t="s">
        <v>948</v>
      </c>
      <c r="F747" t="s">
        <v>949</v>
      </c>
      <c r="G747" t="s">
        <v>339</v>
      </c>
      <c r="H747" t="s">
        <v>254</v>
      </c>
      <c r="I747">
        <v>2021</v>
      </c>
      <c r="J747">
        <v>0</v>
      </c>
      <c r="K747" t="s">
        <v>950</v>
      </c>
      <c r="M747" t="str">
        <f>LEFT($D747,FIND(",",$D747)-1)&amp;"_"&amp;I747&amp;L747</f>
        <v>Morris_2021</v>
      </c>
      <c r="N747" t="s">
        <v>222</v>
      </c>
      <c r="O747" t="s">
        <v>223</v>
      </c>
      <c r="Q747" t="s">
        <v>256</v>
      </c>
      <c r="R747" s="255" t="s">
        <v>225</v>
      </c>
      <c r="S747" s="1" t="s">
        <v>956</v>
      </c>
      <c r="T747" t="s">
        <v>795</v>
      </c>
      <c r="U747" t="s">
        <v>957</v>
      </c>
      <c r="V747">
        <v>0</v>
      </c>
      <c r="W747">
        <v>0</v>
      </c>
      <c r="X747">
        <v>0</v>
      </c>
      <c r="Y747">
        <v>0</v>
      </c>
      <c r="Z747">
        <v>0</v>
      </c>
      <c r="AA747">
        <v>0</v>
      </c>
      <c r="AB747">
        <v>0</v>
      </c>
      <c r="AC747">
        <v>0</v>
      </c>
      <c r="AD747">
        <v>0</v>
      </c>
      <c r="AE747">
        <v>0</v>
      </c>
      <c r="AF747">
        <v>0</v>
      </c>
      <c r="AG747">
        <v>0</v>
      </c>
      <c r="AH747">
        <v>0</v>
      </c>
      <c r="AI747">
        <v>0</v>
      </c>
      <c r="AJ747">
        <v>0</v>
      </c>
      <c r="AK747">
        <v>1</v>
      </c>
      <c r="AL747">
        <v>0</v>
      </c>
      <c r="AM747">
        <v>0</v>
      </c>
      <c r="AN747">
        <v>0</v>
      </c>
      <c r="AO747">
        <v>0</v>
      </c>
      <c r="AP747">
        <v>0</v>
      </c>
      <c r="AQ747">
        <v>0</v>
      </c>
      <c r="AR747">
        <v>0</v>
      </c>
      <c r="AS747">
        <v>0</v>
      </c>
      <c r="AT747">
        <v>0</v>
      </c>
      <c r="AU747">
        <v>0</v>
      </c>
      <c r="AV747">
        <v>0</v>
      </c>
      <c r="AW747">
        <v>0</v>
      </c>
      <c r="AX747" s="141">
        <f>COUNTIF(V747:AW747,"&lt;&gt;0")</f>
        <v>1</v>
      </c>
      <c r="AY747" s="141">
        <f>COUNTIF(V747:AL747,"&lt;&gt;0")</f>
        <v>1</v>
      </c>
      <c r="AZ747">
        <f>COUNTIF(V747:AC747,"&lt;&gt;0")</f>
        <v>0</v>
      </c>
      <c r="BA747">
        <f>COUNTIF(AD747:AI747,"&lt;&gt;0")</f>
        <v>0</v>
      </c>
      <c r="BB747">
        <f>COUNTIF(AJ747:AL747,"&lt;&gt;0")</f>
        <v>1</v>
      </c>
      <c r="BC747">
        <f>COUNTIF(AS747:AW747,"&lt;&gt;0")</f>
        <v>0</v>
      </c>
      <c r="BD747">
        <f>COUNTIF(AM747:AR747,"&lt;&gt;0")</f>
        <v>0</v>
      </c>
      <c r="BE747" t="str">
        <f t="array" ref="BE747">IF(AY747=1,INDEX($V$7:$AL$7,MATCH(TRUE,INDEX($V747:$AW747&lt;&gt;0,),0)),IF(AY747=0,INDEX($AM$7:$AW$7,MATCH(1,$AM747:$AW747,0)),IF(BF747="Multiple strategies","mixed drivers",IF(BF747="Supply chain","multiple supply","multiple silviculture"))))</f>
        <v>technologies/design switch</v>
      </c>
      <c r="BF747" s="2" t="str" cm="1">
        <f t="array" ref="BF747">IF(COUNTIF(AZ747:BB747,"&lt;&gt;0")=1,INDEX($V$4:$AW$4,MATCH(TRUE,INDEX($V747:$AW747&lt;&gt;0,),0)),IF(COUNTIF(AZ747:BB747,"&lt;&gt;0")=0,INDEX($AM$4:$AW$4,MATCH(1,$AM747:$AW747,0)),"Multiple strategies"))</f>
        <v>Technology</v>
      </c>
      <c r="BG747" s="1" t="s">
        <v>229</v>
      </c>
      <c r="BH747" t="s">
        <v>954</v>
      </c>
      <c r="BI747" s="260" t="s">
        <v>3373</v>
      </c>
      <c r="BJ747" t="s">
        <v>345</v>
      </c>
      <c r="BK747">
        <v>0</v>
      </c>
      <c r="BL747">
        <v>116.6</v>
      </c>
      <c r="BN747">
        <f>BL747-BK747</f>
        <v>116.6</v>
      </c>
      <c r="BO747">
        <f>BN747*kg_to_m3</f>
        <v>0.23795918367346941</v>
      </c>
      <c r="BP747" t="s">
        <v>232</v>
      </c>
      <c r="BQ747" s="260" t="s">
        <v>3378</v>
      </c>
      <c r="BR747" t="s">
        <v>955</v>
      </c>
      <c r="BS747">
        <v>-223.9</v>
      </c>
      <c r="BT747">
        <v>-122.9</v>
      </c>
      <c r="BU747" s="144">
        <f>IFERROR(BT747/BS747,"")</f>
        <v>0.54890576150066994</v>
      </c>
      <c r="BV747">
        <f>BT747-BS747</f>
        <v>101</v>
      </c>
      <c r="BX747">
        <f>BV747/1000</f>
        <v>0.10100000000000001</v>
      </c>
      <c r="BY747">
        <f>IFERROR(BX747/BO747,"")</f>
        <v>0.42444253859348197</v>
      </c>
      <c r="BZ747">
        <v>1</v>
      </c>
      <c r="CA747">
        <v>0</v>
      </c>
      <c r="CB747">
        <v>0</v>
      </c>
      <c r="CC747">
        <v>0</v>
      </c>
      <c r="CD747">
        <v>0</v>
      </c>
      <c r="CE747">
        <v>1</v>
      </c>
      <c r="CF747">
        <v>0</v>
      </c>
      <c r="CG747">
        <v>1</v>
      </c>
      <c r="CH747">
        <v>0</v>
      </c>
      <c r="CI747">
        <v>0</v>
      </c>
      <c r="CJ747">
        <v>0</v>
      </c>
      <c r="CK747">
        <v>0</v>
      </c>
      <c r="CL747">
        <v>0</v>
      </c>
      <c r="CM747">
        <v>0</v>
      </c>
      <c r="CN747" t="str">
        <f>IF($BL747&lt;$BK747,"refNeedCorrection","refOK")</f>
        <v>refOK</v>
      </c>
      <c r="CO747">
        <f>IF($CN747="refOK",$BK747,$BL747)</f>
        <v>0</v>
      </c>
      <c r="CP747">
        <f>IF($CN747="refOK",$BL747,$BK747)</f>
        <v>116.6</v>
      </c>
      <c r="CQ747">
        <f>IF($CN747="refOK",$BO747,-$BO747)</f>
        <v>0.23795918367346941</v>
      </c>
      <c r="CR747">
        <f>IF($CN747="refOK",$BS747,$BT747)*IF($BP747="Emissions positive",-1,1)</f>
        <v>-223.9</v>
      </c>
      <c r="CS747">
        <f>IF($CN747="refOK",$BT747,$BS747)*IF($BP747="Emissions positive",-1,1)</f>
        <v>-122.9</v>
      </c>
      <c r="CT747">
        <f>IF($CN747="refNeedCorrection",-BX747,BX747)*IF($BP747="Emissions positive",-1,1)</f>
        <v>0.10100000000000001</v>
      </c>
      <c r="CU747">
        <f>IFERROR(CT747/CQ747,"")</f>
        <v>0.42444253859348197</v>
      </c>
      <c r="CV747" s="2">
        <f>IFERROR((CS747-CR747)/ABS(CR747),"")</f>
        <v>0.45109423849933006</v>
      </c>
      <c r="CW747" s="1" t="s">
        <v>263</v>
      </c>
      <c r="CX747" t="str">
        <f>IF(OR($CW747="prd",$CW747="std",$CW747="cit"),"loc",IF(OR($CW747="eur",$CW747="reg",$CW747="coy"),"reg",$CW747))</f>
        <v>loc</v>
      </c>
      <c r="CY747" s="309" t="s">
        <v>3423</v>
      </c>
      <c r="DB747">
        <v>0</v>
      </c>
      <c r="DC747" t="str">
        <f>IF(DB747=0,"0",IF(AND(DB747&gt;=1,DB747&lt;=30),"1-30",IF(AND(DB747&gt;30,DB747&lt;=70),"31-70",IF(AND(DB747&gt;70,DB747&lt;=100),"71-100",IF(DB747&gt;100,"+100")))))</f>
        <v>0</v>
      </c>
      <c r="DD747">
        <v>0</v>
      </c>
      <c r="DE747">
        <v>0</v>
      </c>
      <c r="DF747">
        <v>0</v>
      </c>
      <c r="DG747">
        <v>1</v>
      </c>
      <c r="DI747">
        <f>SUM(DD747:DG747)</f>
        <v>1</v>
      </c>
      <c r="DJ747" t="str">
        <f>IF(DI747=1,INDEX($DD$7:$DG$7,MATCH(1,$DD747:$DG747,0)),"mixedProduct")</f>
        <v>TimberInput</v>
      </c>
      <c r="DK747">
        <f>IF(DD747=1,DK$7,0)</f>
        <v>0</v>
      </c>
      <c r="DL747">
        <f>IF(DE747=1,DL$7,0)</f>
        <v>0</v>
      </c>
      <c r="DM747">
        <f>IF(DF747=1,DM$7,0)</f>
        <v>0</v>
      </c>
      <c r="DN747" t="str">
        <f>IF(DG747=1,DN$7,0)</f>
        <v>Timber</v>
      </c>
      <c r="DO747">
        <v>0</v>
      </c>
      <c r="DP747">
        <v>0</v>
      </c>
      <c r="DQ747">
        <v>0</v>
      </c>
      <c r="DR747">
        <v>0</v>
      </c>
      <c r="DS747">
        <v>0</v>
      </c>
      <c r="DT747">
        <f>SUM(DO747:DP747)</f>
        <v>0</v>
      </c>
      <c r="DU747" s="143" t="str">
        <f>IF(DO747=1,"self-calculated DF",IF(DP747=1,"external DF used","explicit C balance"))</f>
        <v>explicit C balance</v>
      </c>
      <c r="DV747">
        <v>0</v>
      </c>
      <c r="DW747">
        <v>0</v>
      </c>
      <c r="DX747">
        <v>0</v>
      </c>
      <c r="DY747">
        <v>1</v>
      </c>
      <c r="DZ747">
        <v>0</v>
      </c>
      <c r="EA747" s="143">
        <v>1</v>
      </c>
      <c r="EB747">
        <v>1</v>
      </c>
      <c r="EC747">
        <v>1</v>
      </c>
      <c r="ED747">
        <v>0</v>
      </c>
      <c r="EE747">
        <v>1</v>
      </c>
      <c r="EF747">
        <v>0</v>
      </c>
      <c r="EG747">
        <v>0</v>
      </c>
      <c r="EH747">
        <v>0</v>
      </c>
      <c r="EI747" s="2">
        <v>0</v>
      </c>
      <c r="EK747" t="str">
        <f>IF(AND(AND(AND(OR($DX747=1,$DW747=1),OR($EC747=1,$EA747=1)),SUM($DV747:$DZ747,$EF747)&gt;=4),SUM($EA747:$EE747)&gt;=2),"Whole sector","")</f>
        <v/>
      </c>
      <c r="EL747" t="str">
        <f>IF(AND(AND(OR($DX747=1,$DW747=1),AND($EC747=0,$EA747=0)),SUM($DV747:$DZ747,$EF747)&gt;=4),"Ecosystem approach","")</f>
        <v/>
      </c>
      <c r="EM747" s="2" t="str">
        <f>IF(AND(AND(AND($DX747=0,$DW747=0),OR($EC747=1,$EA747=1)),SUM($EB747:$EE747)&gt;=2),"Technology approach","")</f>
        <v>Technology approach</v>
      </c>
      <c r="EP747" t="str">
        <f>IF(ISNUMBER(BU747),IF(ABS(BU747-[4]QC_indicators!$B$2)&gt;3*[4]QC_indicators!$C$2,"C ratio",IF(ISNUMBER(BY747),IF(ABS(BY747-[4]QC_indicators!$B$1)&gt;3*[4]QC_indicators!$C$1,"DF","no"))),IF(ISNUMBER(BY747),IF(ABS(BY747-[4]QC_indicators!$B$1)&gt;3*[4]QC_indicators!$C$1,"DF","no")))</f>
        <v>no</v>
      </c>
      <c r="ER747" t="s">
        <v>959</v>
      </c>
      <c r="ET747" s="264" t="s">
        <v>3273</v>
      </c>
    </row>
    <row r="748" spans="1:150" ht="15" customHeight="1">
      <c r="A748" s="1" t="s">
        <v>1233</v>
      </c>
      <c r="B748" t="s">
        <v>1234</v>
      </c>
      <c r="C748" t="s">
        <v>1235</v>
      </c>
      <c r="D748" t="s">
        <v>336</v>
      </c>
      <c r="E748" t="s">
        <v>1236</v>
      </c>
      <c r="F748" t="s">
        <v>1237</v>
      </c>
      <c r="G748" t="s">
        <v>1238</v>
      </c>
      <c r="I748">
        <v>2018</v>
      </c>
      <c r="K748" t="s">
        <v>1239</v>
      </c>
      <c r="M748" t="str">
        <f>LEFT($D748,FIND(",",$D748)-1)&amp;"_"&amp;I748&amp;L748</f>
        <v>Balasbaneh_2018</v>
      </c>
      <c r="N748" t="s">
        <v>222</v>
      </c>
      <c r="O748" s="140" t="s">
        <v>513</v>
      </c>
      <c r="Q748" t="s">
        <v>224</v>
      </c>
      <c r="R748" s="262" t="s">
        <v>223</v>
      </c>
      <c r="S748" s="1" t="s">
        <v>1260</v>
      </c>
      <c r="T748" s="264" t="s">
        <v>3115</v>
      </c>
      <c r="U748" s="264" t="s">
        <v>3116</v>
      </c>
      <c r="V748">
        <v>0</v>
      </c>
      <c r="W748">
        <v>0</v>
      </c>
      <c r="X748">
        <v>0</v>
      </c>
      <c r="Y748">
        <v>0</v>
      </c>
      <c r="Z748">
        <v>0</v>
      </c>
      <c r="AA748">
        <v>0</v>
      </c>
      <c r="AB748">
        <v>0</v>
      </c>
      <c r="AC748">
        <v>0</v>
      </c>
      <c r="AD748">
        <v>0</v>
      </c>
      <c r="AE748">
        <v>0</v>
      </c>
      <c r="AF748">
        <v>0</v>
      </c>
      <c r="AG748">
        <v>0</v>
      </c>
      <c r="AH748">
        <v>0</v>
      </c>
      <c r="AI748">
        <v>0</v>
      </c>
      <c r="AJ748">
        <v>0</v>
      </c>
      <c r="AK748">
        <v>1</v>
      </c>
      <c r="AL748">
        <v>0</v>
      </c>
      <c r="AM748">
        <v>0</v>
      </c>
      <c r="AN748">
        <v>0</v>
      </c>
      <c r="AO748">
        <v>0</v>
      </c>
      <c r="AP748">
        <v>0</v>
      </c>
      <c r="AQ748">
        <v>0</v>
      </c>
      <c r="AR748">
        <v>0</v>
      </c>
      <c r="AS748">
        <v>0</v>
      </c>
      <c r="AT748">
        <v>0</v>
      </c>
      <c r="AU748">
        <v>0</v>
      </c>
      <c r="AV748">
        <v>0</v>
      </c>
      <c r="AW748">
        <v>0</v>
      </c>
      <c r="AX748" s="141">
        <f>COUNTIF(V748:AW748,"&lt;&gt;0")</f>
        <v>1</v>
      </c>
      <c r="AY748" s="141">
        <f>COUNTIF(V748:AL748,"&lt;&gt;0")</f>
        <v>1</v>
      </c>
      <c r="AZ748">
        <f>COUNTIF(V748:AC748,"&lt;&gt;0")</f>
        <v>0</v>
      </c>
      <c r="BA748">
        <f>COUNTIF(AD748:AI748,"&lt;&gt;0")</f>
        <v>0</v>
      </c>
      <c r="BB748">
        <f>COUNTIF(AJ748:AL748,"&lt;&gt;0")</f>
        <v>1</v>
      </c>
      <c r="BC748">
        <f>COUNTIF(AS748:AW748,"&lt;&gt;0")</f>
        <v>0</v>
      </c>
      <c r="BD748">
        <f>COUNTIF(AM748:AR748,"&lt;&gt;0")</f>
        <v>0</v>
      </c>
      <c r="BE748" t="str">
        <f t="array" ref="BE748">IF(AY748=1,INDEX($V$7:$AL$7,MATCH(TRUE,INDEX($V748:$AW748&lt;&gt;0,),0)),IF(AY748=0,INDEX($AM$7:$AW$7,MATCH(1,$AM748:$AW748,0)),IF(BF748="Multiple strategies","mixed drivers",IF(BF748="Supply chain","multiple supply","multiple silviculture"))))</f>
        <v>technologies/design switch</v>
      </c>
      <c r="BF748" s="2" t="str" cm="1">
        <f t="array" ref="BF748">IF(COUNTIF(AZ748:BB748,"&lt;&gt;0")=1,INDEX($V$4:$AW$4,MATCH(TRUE,INDEX($V748:$AW748&lt;&gt;0,),0)),IF(COUNTIF(AZ748:BB748,"&lt;&gt;0")=0,INDEX($AM$4:$AW$4,MATCH(1,$AM748:$AW748,0)),"Multiple strategies"))</f>
        <v>Technology</v>
      </c>
      <c r="BG748" s="1" t="s">
        <v>229</v>
      </c>
      <c r="BH748" t="s">
        <v>229</v>
      </c>
      <c r="BJ748" t="s">
        <v>345</v>
      </c>
      <c r="BK748">
        <v>0</v>
      </c>
      <c r="BL748">
        <v>23436</v>
      </c>
      <c r="BM748" s="143"/>
      <c r="BN748">
        <f>BL748-BK748</f>
        <v>23436</v>
      </c>
      <c r="BO748" s="143">
        <f>BN748*kg_to_m3</f>
        <v>47.828571428571436</v>
      </c>
      <c r="BP748" t="s">
        <v>232</v>
      </c>
      <c r="BQ748" s="337" t="s">
        <v>1057</v>
      </c>
      <c r="BR748" t="s">
        <v>397</v>
      </c>
      <c r="BS748">
        <v>-21200</v>
      </c>
      <c r="BT748">
        <v>-702</v>
      </c>
      <c r="BU748" s="144">
        <v>3.3113207547169808E-2</v>
      </c>
      <c r="BV748">
        <v>20498</v>
      </c>
      <c r="BX748">
        <f>BV748/1000</f>
        <v>20.498000000000001</v>
      </c>
      <c r="BY748">
        <f>IFERROR(BX748/BO748,"")</f>
        <v>0.42857228195937869</v>
      </c>
      <c r="BZ748">
        <v>0</v>
      </c>
      <c r="CA748">
        <v>0</v>
      </c>
      <c r="CB748">
        <v>0</v>
      </c>
      <c r="CC748">
        <v>0</v>
      </c>
      <c r="CD748">
        <v>0</v>
      </c>
      <c r="CE748">
        <v>0</v>
      </c>
      <c r="CF748">
        <v>0</v>
      </c>
      <c r="CG748">
        <v>0</v>
      </c>
      <c r="CH748">
        <v>0</v>
      </c>
      <c r="CI748">
        <v>0</v>
      </c>
      <c r="CJ748">
        <v>0</v>
      </c>
      <c r="CK748">
        <v>0</v>
      </c>
      <c r="CL748">
        <v>0</v>
      </c>
      <c r="CM748">
        <v>0</v>
      </c>
      <c r="CN748" t="str">
        <f>IF($BL748&lt;$BK748,"refNeedCorrection","refOK")</f>
        <v>refOK</v>
      </c>
      <c r="CO748">
        <f>IF($CN748="refNeedCorrection",BL748,BK748)</f>
        <v>0</v>
      </c>
      <c r="CP748">
        <f>IF($CN748="refNeedCorrection",BK748,BL748)</f>
        <v>23436</v>
      </c>
      <c r="CQ748">
        <f>IF($CN748="refOK",$BO748,-$BO748)</f>
        <v>47.828571428571436</v>
      </c>
      <c r="CR748">
        <f>IF($CN748="refOK",$BS748,$BT748)*IF($BP748="Emissions positive",-1,1)</f>
        <v>-21200</v>
      </c>
      <c r="CS748">
        <f>IF($CN748="refOK",$BT748,$BS748)*IF($BP748="Emissions positive",-1,1)</f>
        <v>-702</v>
      </c>
      <c r="CT748">
        <f>IF($CN748="refNeedCorrection",-BX748,BX748)*IF($BP748="Emissions positive",-1,1)</f>
        <v>20.498000000000001</v>
      </c>
      <c r="CU748">
        <f>IFERROR(CT748/CQ748,"")</f>
        <v>0.42857228195937869</v>
      </c>
      <c r="CV748" s="2">
        <f>IFERROR((CS748-CR748)/ABS(CR748),"")</f>
        <v>0.96688679245283016</v>
      </c>
      <c r="CW748" s="1" t="s">
        <v>1203</v>
      </c>
      <c r="CX748" t="str">
        <f>IF(OR($CW748="prd",$CW748="std",$CW748="cit"),"loc",IF(OR($CW748="eur",$CW748="reg",$CW748="coy"),"reg",$CW748))</f>
        <v>reg</v>
      </c>
      <c r="CY748" t="s">
        <v>348</v>
      </c>
      <c r="CZ748">
        <v>2014</v>
      </c>
      <c r="DA748">
        <v>2114</v>
      </c>
      <c r="DB748">
        <v>100</v>
      </c>
      <c r="DC748" t="str">
        <f>IF(DB748=0,"0",IF(AND(DB748&gt;=1,DB748&lt;=30),"1-30",IF(AND(DB748&gt;30,DB748&lt;=70),"31-70",IF(AND(DB748&gt;70,DB748&lt;=100),"71-100",IF(DB748&gt;100,"+100")))))</f>
        <v>71-100</v>
      </c>
      <c r="DD748">
        <v>0</v>
      </c>
      <c r="DE748">
        <v>0</v>
      </c>
      <c r="DF748">
        <v>0</v>
      </c>
      <c r="DG748">
        <v>1</v>
      </c>
      <c r="DI748">
        <f>SUM(DD748:DG748)</f>
        <v>1</v>
      </c>
      <c r="DJ748" t="str">
        <f>IF(DI748=1,INDEX($DD$7:$DG$7,MATCH(1,$DD748:$DG748,0)),"mixedProduct")</f>
        <v>TimberInput</v>
      </c>
      <c r="DK748">
        <f>IF(DD748=1,DK$7,0)</f>
        <v>0</v>
      </c>
      <c r="DL748">
        <f>IF(DE748=1,DL$7,0)</f>
        <v>0</v>
      </c>
      <c r="DM748">
        <f>IF(DF748=1,DM$7,0)</f>
        <v>0</v>
      </c>
      <c r="DN748" t="str">
        <f>IF(DG748=1,DN$7,0)</f>
        <v>Timber</v>
      </c>
      <c r="DO748">
        <v>0</v>
      </c>
      <c r="DP748">
        <v>0</v>
      </c>
      <c r="DQ748">
        <v>0</v>
      </c>
      <c r="DR748">
        <v>0</v>
      </c>
      <c r="DS748">
        <v>0</v>
      </c>
      <c r="DT748">
        <f>SUM(DO748:DP748)</f>
        <v>0</v>
      </c>
      <c r="DU748" s="143" t="str">
        <f>IF(DO748=1,"self-calculated DF",IF(DP748=1,"external DF used","explicit C balance"))</f>
        <v>explicit C balance</v>
      </c>
      <c r="DV748">
        <v>0</v>
      </c>
      <c r="DW748">
        <v>0</v>
      </c>
      <c r="DX748">
        <v>0</v>
      </c>
      <c r="DY748">
        <v>0</v>
      </c>
      <c r="DZ748">
        <v>0</v>
      </c>
      <c r="EA748" s="143">
        <v>1</v>
      </c>
      <c r="EB748">
        <v>0</v>
      </c>
      <c r="EC748">
        <v>1</v>
      </c>
      <c r="ED748">
        <v>1</v>
      </c>
      <c r="EE748">
        <v>1</v>
      </c>
      <c r="EF748">
        <v>0</v>
      </c>
      <c r="EG748">
        <v>0</v>
      </c>
      <c r="EH748">
        <v>0</v>
      </c>
      <c r="EI748" s="2">
        <v>0</v>
      </c>
      <c r="EK748" t="str">
        <f>IF(AND(AND(AND(OR($DX748=1,$DW748=1),OR($EC748=1,$EA748=1)),SUM($DV748:$DZ748,$EF748)&gt;=4),SUM($EA748:$EE748)&gt;=2),"Whole sector","")</f>
        <v/>
      </c>
      <c r="EL748" t="str">
        <f>IF(AND(AND(OR($DX748=1,$DW748=1),AND($EC748=0,$EA748=0)),SUM($DV748:$DZ748,$EF748)&gt;=4),"Ecosystem approach","")</f>
        <v/>
      </c>
      <c r="EM748" s="2" t="str">
        <f>IF(AND(AND(AND($DX748=0,$DW748=0),OR($EC748=1,$EA748=1)),SUM($EB748:$EE748)&gt;=2),"Technology approach","")</f>
        <v>Technology approach</v>
      </c>
      <c r="EP748" t="str">
        <f>IF(ISNUMBER(BU748),IF(ABS(BU748-[1]QC_indicators!$B$2)&gt;3*[1]QC_indicators!$C$2,"C ratio",IF(ISNUMBER(BY748),IF(ABS(BY748-[1]QC_indicators!$B$1)&gt;3*[1]QC_indicators!$C$1,"DF","no"))),IF(ISNUMBER(BY748),IF(ABS(BY748-[1]QC_indicators!$B$1)&gt;3*[1]QC_indicators!$C$1,"DF","no")))</f>
        <v>no</v>
      </c>
      <c r="ER748" s="149" t="s">
        <v>349</v>
      </c>
      <c r="ET748" s="264" t="s">
        <v>3273</v>
      </c>
    </row>
    <row r="749" spans="1:150" ht="15" customHeight="1">
      <c r="A749" s="1" t="s">
        <v>1045</v>
      </c>
      <c r="B749" t="s">
        <v>1046</v>
      </c>
      <c r="C749" t="s">
        <v>1047</v>
      </c>
      <c r="D749" t="s">
        <v>1048</v>
      </c>
      <c r="E749" t="s">
        <v>1049</v>
      </c>
      <c r="F749" t="s">
        <v>1050</v>
      </c>
      <c r="G749" t="s">
        <v>1051</v>
      </c>
      <c r="H749" t="s">
        <v>254</v>
      </c>
      <c r="I749">
        <v>2014</v>
      </c>
      <c r="J749">
        <v>23</v>
      </c>
      <c r="K749" t="s">
        <v>1052</v>
      </c>
      <c r="M749" t="str">
        <f>LEFT($D749,FIND(",",$D749)-1)&amp;"_"&amp;I749&amp;L749</f>
        <v>Pyorala_2014</v>
      </c>
      <c r="N749" t="s">
        <v>222</v>
      </c>
      <c r="O749" s="171" t="s">
        <v>341</v>
      </c>
      <c r="P749" t="s">
        <v>225</v>
      </c>
      <c r="Q749" s="264" t="s">
        <v>389</v>
      </c>
      <c r="R749" s="269" t="s">
        <v>1154</v>
      </c>
      <c r="S749" s="263" t="s">
        <v>95</v>
      </c>
      <c r="T749" s="264" t="s">
        <v>1071</v>
      </c>
      <c r="U749" s="264" t="s">
        <v>1072</v>
      </c>
      <c r="V749">
        <v>0</v>
      </c>
      <c r="W749">
        <v>0</v>
      </c>
      <c r="X749">
        <v>0</v>
      </c>
      <c r="Y749">
        <v>0</v>
      </c>
      <c r="Z749">
        <v>0</v>
      </c>
      <c r="AA749">
        <v>0</v>
      </c>
      <c r="AB749">
        <v>0</v>
      </c>
      <c r="AC749">
        <v>1</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s="141">
        <f>COUNTIF(V749:AW749,"&lt;&gt;0")</f>
        <v>1</v>
      </c>
      <c r="AY749" s="141">
        <f>COUNTIF(V749:AL749,"&lt;&gt;0")</f>
        <v>1</v>
      </c>
      <c r="AZ749">
        <f>COUNTIF(V749:AC749,"&lt;&gt;0")</f>
        <v>1</v>
      </c>
      <c r="BA749">
        <f>COUNTIF(AD749:AI749,"&lt;&gt;0")</f>
        <v>0</v>
      </c>
      <c r="BB749">
        <f>COUNTIF(AJ749:AL749,"&lt;&gt;0")</f>
        <v>0</v>
      </c>
      <c r="BC749">
        <f>COUNTIF(AS749:AW749,"&lt;&gt;0")</f>
        <v>0</v>
      </c>
      <c r="BD749">
        <f>COUNTIF(AM749:AR749,"&lt;&gt;0")</f>
        <v>0</v>
      </c>
      <c r="BE749" t="str" cm="1">
        <f t="array" ref="BE749">IF(AY749=1,INDEX($V$7:$AL$7,MATCH(TRUE,INDEX($V749:$AW749&lt;&gt;0,),0)),IF(AY749=0,INDEX($AM$7:$AW$7,MATCH(1,$AM749:$AW749,0)),IF(BF749="Multiple strategies","mixed drivers",IF(BF749="Supply chain","multiple supply","multiple silviculture"))))</f>
        <v>site fertility</v>
      </c>
      <c r="BF749" s="2" t="str" cm="1">
        <f t="array" ref="BF749">IF(COUNTIF(AZ749:BB749,"&lt;&gt;0")=1,INDEX($V$4:$AW$4,MATCH(TRUE,INDEX($V749:$AW749&lt;&gt;0,),0)),IF(COUNTIF(AZ749:BB749,"&lt;&gt;0")=0,INDEX($AM$4:$AW$4,MATCH(1,$AM749:$AW749,0)),"Multiple strategies"))</f>
        <v>Silviculture for productivity</v>
      </c>
      <c r="BG749" s="1" t="s">
        <v>321</v>
      </c>
      <c r="BH749" t="s">
        <v>1056</v>
      </c>
      <c r="BI749" s="264" t="s">
        <v>1057</v>
      </c>
      <c r="BJ749" s="264" t="s">
        <v>1058</v>
      </c>
      <c r="BK749">
        <v>5.45</v>
      </c>
      <c r="BL749">
        <v>6.4</v>
      </c>
      <c r="BM749" t="str">
        <f>IFERROR(BK749/#REF!,"")</f>
        <v/>
      </c>
      <c r="BN749">
        <f>BL749-BK749</f>
        <v>0.95000000000000018</v>
      </c>
      <c r="BO749">
        <f>BN749*t_to_m3</f>
        <v>1.938775510204082</v>
      </c>
      <c r="BP749" t="s">
        <v>395</v>
      </c>
      <c r="BQ749" t="s">
        <v>972</v>
      </c>
      <c r="BR749" t="s">
        <v>1059</v>
      </c>
      <c r="BS749" s="172">
        <v>-431</v>
      </c>
      <c r="BT749" s="172">
        <v>-514.5</v>
      </c>
      <c r="BU749" s="144"/>
      <c r="BV749">
        <f>BT749-BS749</f>
        <v>-83.5</v>
      </c>
      <c r="BX749">
        <f>BV749*10^-6*10^4</f>
        <v>-0.83499999999999996</v>
      </c>
      <c r="BY749">
        <f>IFERROR(BX749/BO749,"")</f>
        <v>-0.43068421052631567</v>
      </c>
      <c r="BZ749">
        <v>0</v>
      </c>
      <c r="CA749">
        <v>0</v>
      </c>
      <c r="CB749">
        <v>0</v>
      </c>
      <c r="CC749">
        <v>0</v>
      </c>
      <c r="CD749">
        <v>0</v>
      </c>
      <c r="CE749">
        <v>0</v>
      </c>
      <c r="CF749">
        <v>0</v>
      </c>
      <c r="CG749">
        <v>0</v>
      </c>
      <c r="CH749">
        <v>0</v>
      </c>
      <c r="CI749">
        <v>0</v>
      </c>
      <c r="CJ749">
        <v>0</v>
      </c>
      <c r="CK749">
        <v>0</v>
      </c>
      <c r="CL749">
        <v>0</v>
      </c>
      <c r="CM749">
        <v>0</v>
      </c>
      <c r="CN749" t="str">
        <f>IF($BL749&lt;$BK749,"refNeedCorrection","refOK")</f>
        <v>refOK</v>
      </c>
      <c r="CO749">
        <f>IF($CN749="refOK",$BK749,$BL749)</f>
        <v>5.45</v>
      </c>
      <c r="CP749">
        <f>IF($CN749="refOK",$BL749,$BK749)</f>
        <v>6.4</v>
      </c>
      <c r="CQ749">
        <f>IF($CN749="refOK",$BO749,-$BO749)</f>
        <v>1.938775510204082</v>
      </c>
      <c r="CR749">
        <f>IF($CN749="refOK",$BS749,$BT749)*IF($BP749="Emissions positive",-1,1)</f>
        <v>431</v>
      </c>
      <c r="CS749">
        <f>IF($CN749="refOK",$BT749,$BS749)*IF($BP749="Emissions positive",-1,1)</f>
        <v>514.5</v>
      </c>
      <c r="CT749">
        <f>IF($CN749="refNeedCorrection",-BX749,BX749)*IF($BP749="Emissions positive",-1,1)</f>
        <v>0.83499999999999996</v>
      </c>
      <c r="CU749">
        <f>IFERROR(CT749/CQ749,"")</f>
        <v>0.43068421052631567</v>
      </c>
      <c r="CV749" s="2">
        <f>IFERROR((CS749-CR749)/ABS(CR749),"")</f>
        <v>0.19373549883990721</v>
      </c>
      <c r="CW749" s="1" t="s">
        <v>263</v>
      </c>
      <c r="CX749" s="264" t="str">
        <f>IF(OR($CW749="prd",$CW749="std",$CW749="cit"),"loc",IF(OR($CW749="eur",$CW749="reg",$CW749="coy"),"reg",$CW749))</f>
        <v>loc</v>
      </c>
      <c r="CY749" t="s">
        <v>235</v>
      </c>
      <c r="DB749">
        <v>80</v>
      </c>
      <c r="DC749" t="str">
        <f>IF(DB749=0,"0",IF(AND(DB749&gt;=1,DB749&lt;=30),"1-30",IF(AND(DB749&gt;30,DB749&lt;=70),"31-70",IF(AND(DB749&gt;70,DB749&lt;=100),"71-100",IF(DB749&gt;100,"+100")))))</f>
        <v>71-100</v>
      </c>
      <c r="DD749">
        <v>0</v>
      </c>
      <c r="DE749">
        <v>1</v>
      </c>
      <c r="DF749">
        <v>0</v>
      </c>
      <c r="DG749">
        <v>1</v>
      </c>
      <c r="DI749">
        <f>SUM(DD749:DG749)</f>
        <v>2</v>
      </c>
      <c r="DJ749" t="str">
        <f>IF(DI749=1,INDEX($DD$7:$DG$7,MATCH(1,$DD749:$DG749,0)),"mixedProduct")</f>
        <v>mixedProduct</v>
      </c>
      <c r="DK749">
        <f>IF(DD749=1,DK$7,0)</f>
        <v>0</v>
      </c>
      <c r="DL749" t="str">
        <f>IF(DE749=1,DL$7,0)</f>
        <v>Energy</v>
      </c>
      <c r="DM749">
        <f>IF(DF749=1,DM$7,0)</f>
        <v>0</v>
      </c>
      <c r="DN749" t="str">
        <f>IF(DG749=1,DN$7,0)</f>
        <v>Timber</v>
      </c>
      <c r="DO749">
        <v>0</v>
      </c>
      <c r="DP749">
        <v>1</v>
      </c>
      <c r="DQ749" t="s">
        <v>1060</v>
      </c>
      <c r="DT749">
        <f>SUM(DO749:DP749)</f>
        <v>1</v>
      </c>
      <c r="DU749" s="143" t="str">
        <f>IF(DO749=1,"self-calculated DF",IF(DP749=1,"external DF used","explicit C balance"))</f>
        <v>external DF used</v>
      </c>
      <c r="DV749">
        <v>1</v>
      </c>
      <c r="DW749">
        <v>1</v>
      </c>
      <c r="DX749">
        <v>1</v>
      </c>
      <c r="DY749" s="143">
        <v>0</v>
      </c>
      <c r="DZ749">
        <v>0</v>
      </c>
      <c r="EA749" s="143">
        <v>0</v>
      </c>
      <c r="EB749">
        <v>1</v>
      </c>
      <c r="EC749">
        <v>1</v>
      </c>
      <c r="ED749" s="143">
        <v>0</v>
      </c>
      <c r="EE749">
        <v>0</v>
      </c>
      <c r="EF749">
        <v>1</v>
      </c>
      <c r="EG749" s="143">
        <v>0</v>
      </c>
      <c r="EH749" s="143">
        <v>0</v>
      </c>
      <c r="EI749" s="2">
        <v>0</v>
      </c>
      <c r="EK749" t="str">
        <f>IF(AND(AND(AND(OR($DX749=1,$DW749=1),OR($EC749=1,$EA749=1)),SUM($DV749:$DZ749,$EF749)&gt;=4),SUM($EA749:$EE749)&gt;=2),"Whole sector","")</f>
        <v>Whole sector</v>
      </c>
      <c r="EL749" t="str">
        <f>IF(AND(AND(OR($DX749=1,$DW749=1),AND($EC749=0,$EA749=0)),SUM($DV749:$DZ749,$EF749)&gt;=4),"Ecosystem approach","")</f>
        <v/>
      </c>
      <c r="EM749" s="2" t="str">
        <f>IF(AND(AND(AND($DX749=0,$DW749=0),OR($EC749=1,$EA749=1)),SUM($EB749:$EE749)&gt;=2),"Technology approach","")</f>
        <v/>
      </c>
      <c r="EP749" t="str">
        <f>IF(ISNUMBER(BU749),IF(ABS(BU749-[3]QC_indicators!$B$2)&gt;3*[3]QC_indicators!$C$2,"C ratio",IF(ISNUMBER(BY749),IF(ABS(BY749-[3]QC_indicators!$B$1)&gt;3*[3]QC_indicators!$C$1,"DF","no"))),IF(ISNUMBER(BY749),IF(ABS(BY749-[3]QC_indicators!$B$1)&gt;3*[3]QC_indicators!$C$1,"DF","no")))</f>
        <v>no</v>
      </c>
      <c r="ER749" s="264" t="s">
        <v>1070</v>
      </c>
      <c r="ET749" s="264" t="s">
        <v>3407</v>
      </c>
    </row>
    <row r="750" spans="1:150" ht="15" customHeight="1">
      <c r="A750" s="1" t="s">
        <v>1808</v>
      </c>
      <c r="B750" t="s">
        <v>2257</v>
      </c>
      <c r="C750" t="s">
        <v>2258</v>
      </c>
      <c r="D750" t="s">
        <v>2259</v>
      </c>
      <c r="E750" t="s">
        <v>2260</v>
      </c>
      <c r="F750" t="s">
        <v>2261</v>
      </c>
      <c r="G750" t="s">
        <v>1814</v>
      </c>
      <c r="H750" t="s">
        <v>254</v>
      </c>
      <c r="I750">
        <v>2013</v>
      </c>
      <c r="J750">
        <v>49</v>
      </c>
      <c r="K750" t="s">
        <v>2262</v>
      </c>
      <c r="M750" t="str">
        <f>LEFT($D750,FIND(",",$D750)-1)&amp;"_"&amp;I750&amp;L750</f>
        <v>Sikkema_2013</v>
      </c>
      <c r="N750" t="s">
        <v>222</v>
      </c>
      <c r="O750" s="145" t="s">
        <v>341</v>
      </c>
      <c r="Q750" s="264" t="s">
        <v>256</v>
      </c>
      <c r="R750" s="269" t="s">
        <v>1154</v>
      </c>
      <c r="S750" s="1" t="s">
        <v>2271</v>
      </c>
      <c r="T750" t="s">
        <v>1099</v>
      </c>
      <c r="U750" t="e">
        <f>#REF!</f>
        <v>#REF!</v>
      </c>
      <c r="V750">
        <v>2</v>
      </c>
      <c r="W750">
        <v>0</v>
      </c>
      <c r="X750">
        <v>0</v>
      </c>
      <c r="Y750">
        <v>0</v>
      </c>
      <c r="Z750">
        <v>0</v>
      </c>
      <c r="AA750">
        <v>0</v>
      </c>
      <c r="AB750">
        <v>0</v>
      </c>
      <c r="AC750">
        <v>0</v>
      </c>
      <c r="AD750">
        <v>0</v>
      </c>
      <c r="AE750">
        <v>0</v>
      </c>
      <c r="AF750">
        <v>1</v>
      </c>
      <c r="AG750">
        <v>0</v>
      </c>
      <c r="AH750">
        <v>0</v>
      </c>
      <c r="AI750">
        <v>0</v>
      </c>
      <c r="AJ750">
        <v>0</v>
      </c>
      <c r="AK750">
        <v>0</v>
      </c>
      <c r="AL750">
        <v>0</v>
      </c>
      <c r="AM750">
        <v>0</v>
      </c>
      <c r="AN750">
        <v>0</v>
      </c>
      <c r="AO750">
        <v>0</v>
      </c>
      <c r="AP750">
        <v>0</v>
      </c>
      <c r="AQ750">
        <v>0</v>
      </c>
      <c r="AR750">
        <v>0</v>
      </c>
      <c r="AS750">
        <v>0</v>
      </c>
      <c r="AT750">
        <v>0</v>
      </c>
      <c r="AU750">
        <v>0</v>
      </c>
      <c r="AV750">
        <v>0</v>
      </c>
      <c r="AW750">
        <v>0</v>
      </c>
      <c r="AX750" s="141">
        <f>COUNTIF(V750:AW750,"&lt;&gt;0")</f>
        <v>2</v>
      </c>
      <c r="AY750" s="141">
        <f>COUNTIF(V750:AL750,"&lt;&gt;0")</f>
        <v>2</v>
      </c>
      <c r="AZ750">
        <f>COUNTIF(V750:AC750,"&lt;&gt;0")</f>
        <v>1</v>
      </c>
      <c r="BA750">
        <f>COUNTIF(AD750:AI750,"&lt;&gt;0")</f>
        <v>1</v>
      </c>
      <c r="BB750">
        <f>COUNTIF(AJ750:AL750,"&lt;&gt;0")</f>
        <v>0</v>
      </c>
      <c r="BC750">
        <f>COUNTIF(AS750:AW750,"&lt;&gt;0")</f>
        <v>0</v>
      </c>
      <c r="BD750">
        <f>COUNTIF(AM750:AR750,"&lt;&gt;0")</f>
        <v>0</v>
      </c>
      <c r="BE750" t="str" cm="1">
        <f t="array" ref="BE750">IF(AY750=1,INDEX($V$7:$AL$7,MATCH(TRUE,INDEX($V750:$AW750&lt;&gt;0,),0)),IF(AY750=0,INDEX($AM$7:$AW$7,MATCH(1,$AM750:$AW750,0)),IF(BF750="Multiple strategies","mixed drivers",IF(BF750="Supply chain","multiple supply","multiple silviculture"))))</f>
        <v>mixed drivers</v>
      </c>
      <c r="BF750" s="2" t="str" cm="1">
        <f t="array" ref="BF750">IF(COUNTIF(AZ750:BB750,"&lt;&gt;0")=1,INDEX($V$4:$AW$4,MATCH(TRUE,INDEX($V750:$AW750&lt;&gt;0,),0)),IF(COUNTIF(AZ750:BB750,"&lt;&gt;0")=0,INDEX($AM$4:$AW$4,MATCH(1,$AM750:$AW750,0)),"Multiple strategies"))</f>
        <v>Multiple strategies</v>
      </c>
      <c r="BG750" s="1" t="s">
        <v>321</v>
      </c>
      <c r="BH750" t="s">
        <v>2264</v>
      </c>
      <c r="BJ750" t="s">
        <v>1355</v>
      </c>
      <c r="BK750">
        <v>130</v>
      </c>
      <c r="BL750">
        <v>180</v>
      </c>
      <c r="BN750">
        <f>BL750-BK750</f>
        <v>50</v>
      </c>
      <c r="BO750">
        <f>BN750*10^6</f>
        <v>50000000</v>
      </c>
      <c r="BP750" s="264" t="s">
        <v>232</v>
      </c>
      <c r="BQ750" s="264"/>
      <c r="BR750" t="s">
        <v>1140</v>
      </c>
      <c r="BS750">
        <v>-41.3</v>
      </c>
      <c r="BT750">
        <v>-19.7</v>
      </c>
      <c r="BU750" s="144">
        <v>0.47699757869249398</v>
      </c>
      <c r="BV750">
        <v>21.599999999999998</v>
      </c>
      <c r="BX750">
        <f>BV750*10^6</f>
        <v>21599999.999999996</v>
      </c>
      <c r="BY750">
        <f>IFERROR(BX750/BO750,"")</f>
        <v>0.43199999999999994</v>
      </c>
      <c r="BZ750">
        <v>0</v>
      </c>
      <c r="CA750">
        <v>0</v>
      </c>
      <c r="CB750">
        <v>0</v>
      </c>
      <c r="CC750">
        <v>0</v>
      </c>
      <c r="CD750">
        <v>0</v>
      </c>
      <c r="CE750">
        <v>0</v>
      </c>
      <c r="CF750">
        <v>0</v>
      </c>
      <c r="CG750">
        <v>0</v>
      </c>
      <c r="CH750">
        <v>0</v>
      </c>
      <c r="CI750">
        <v>0</v>
      </c>
      <c r="CJ750">
        <v>0</v>
      </c>
      <c r="CK750">
        <v>0</v>
      </c>
      <c r="CL750">
        <v>0</v>
      </c>
      <c r="CM750">
        <v>0</v>
      </c>
      <c r="CN750" t="str">
        <f>IF($BL750&lt;$BK750,"refNeedCorrection","refOK")</f>
        <v>refOK</v>
      </c>
      <c r="CO750">
        <f>IF($CN750="refOK",$BK750,$BL750)</f>
        <v>130</v>
      </c>
      <c r="CP750">
        <f>IF($CN750="refOK",$BL750,$BK750)</f>
        <v>180</v>
      </c>
      <c r="CQ750">
        <f>IF($CN750="refOK",$BO750,-$BO750)</f>
        <v>50000000</v>
      </c>
      <c r="CR750">
        <f>IF($CN750="refOK",$BS750,$BT750)*IF($BP750="Emissions positive",-1,1)</f>
        <v>-41.3</v>
      </c>
      <c r="CS750">
        <f>IF($CN750="refOK",$BT750,$BS750)*IF($BP750="Emissions positive",-1,1)</f>
        <v>-19.7</v>
      </c>
      <c r="CT750">
        <f>IF($CN750="refNeedCorrection",-BX750,BX750)*IF($BP750="Emissions positive",-1,1)</f>
        <v>21599999.999999996</v>
      </c>
      <c r="CU750">
        <f>IFERROR(CT750/CQ750,"")</f>
        <v>0.43199999999999994</v>
      </c>
      <c r="CV750" s="2">
        <f>IFERROR((CS750-CR750)/ABS(CR750),"")</f>
        <v>0.52300242130750607</v>
      </c>
      <c r="CW750" s="1" t="s">
        <v>1203</v>
      </c>
      <c r="CX750" s="264" t="str">
        <f>IF(OR($CW750="prd",$CW750="std",$CW750="cit"),"loc",IF(OR($CW750="eur",$CW750="reg",$CW750="coy"),"reg",$CW750))</f>
        <v>reg</v>
      </c>
      <c r="CY750" t="s">
        <v>540</v>
      </c>
      <c r="CZ750">
        <v>2012</v>
      </c>
      <c r="DA750">
        <v>2112</v>
      </c>
      <c r="DB750">
        <v>100</v>
      </c>
      <c r="DC750" t="str">
        <f>IF(DB750=0,"0",IF(AND(DB750&gt;=1,DB750&lt;=30),"1-30",IF(AND(DB750&gt;30,DB750&lt;=70),"31-70",IF(AND(DB750&gt;70,DB750&lt;=100),"71-100",IF(DB750&gt;100,"+100")))))</f>
        <v>71-100</v>
      </c>
      <c r="DD750">
        <v>0</v>
      </c>
      <c r="DE750">
        <v>1</v>
      </c>
      <c r="DF750">
        <v>1</v>
      </c>
      <c r="DG750">
        <v>1</v>
      </c>
      <c r="DI750">
        <f>SUM(DD750:DG750)</f>
        <v>3</v>
      </c>
      <c r="DJ750" t="str">
        <f>IF(DI750=1,INDEX($DD$7:$DG$7,MATCH(1,$DD750:$DG750,0)),"mixedProduct")</f>
        <v>mixedProduct</v>
      </c>
      <c r="DK750">
        <f>IF(DD750=1,DK$7,0)</f>
        <v>0</v>
      </c>
      <c r="DL750" t="str">
        <f>IF(DE750=1,DL$7,0)</f>
        <v>Energy</v>
      </c>
      <c r="DM750" t="str">
        <f>IF(DF750=1,DM$7,0)</f>
        <v>Pulp/Paper</v>
      </c>
      <c r="DN750" t="str">
        <f>IF(DG750=1,DN$7,0)</f>
        <v>Timber</v>
      </c>
      <c r="DO750" t="s">
        <v>2265</v>
      </c>
      <c r="DP750">
        <v>1</v>
      </c>
      <c r="DQ750" s="184" t="s">
        <v>2266</v>
      </c>
      <c r="DR750" t="s">
        <v>2267</v>
      </c>
      <c r="DT750">
        <f>SUM(DO750:DP750)</f>
        <v>1</v>
      </c>
      <c r="DU750" s="143" t="str">
        <f>IF(DO750=1,"self-calculated DF",IF(DP750=1,"external DF used","explicit C balance"))</f>
        <v>external DF used</v>
      </c>
      <c r="DV750">
        <v>0</v>
      </c>
      <c r="DW750">
        <v>0</v>
      </c>
      <c r="DX750">
        <v>0</v>
      </c>
      <c r="DY750">
        <v>1</v>
      </c>
      <c r="DZ750">
        <v>1</v>
      </c>
      <c r="EA750">
        <v>1</v>
      </c>
      <c r="EB750">
        <v>0</v>
      </c>
      <c r="EC750">
        <v>1</v>
      </c>
      <c r="ED750">
        <v>0</v>
      </c>
      <c r="EE750">
        <v>1</v>
      </c>
      <c r="EF750">
        <v>1</v>
      </c>
      <c r="EG750">
        <v>1</v>
      </c>
      <c r="EH750">
        <v>1</v>
      </c>
      <c r="EI750" s="2">
        <v>0</v>
      </c>
      <c r="EK750" t="str">
        <f>IF(AND(AND(AND(OR($DX750=1,$DW750=1),OR($EC750=1,$EA750=1)),SUM($DV750:$DZ750,$EF750)&gt;=4),SUM($EA750:$EE750)&gt;=2),"Whole sector","")</f>
        <v/>
      </c>
      <c r="EL750" t="str">
        <f>IF(AND(AND(OR($DX750=1,$DW750=1),AND($EC750=0,$EA750=0)),SUM($DV750:$DZ750,$EF750)&gt;=4),"Ecosystem approach","")</f>
        <v/>
      </c>
      <c r="EM750" s="2" t="str">
        <f>IF(AND(AND(AND($DX750=0,$DW750=0),OR($EC750=1,$EA750=1)),SUM($EB750:$EE750)&gt;=2),"Technology approach","")</f>
        <v>Technology approach</v>
      </c>
      <c r="EP750" t="str">
        <f>IF(ISNUMBER(BU750),IF(ABS(BU750-[3]QC_indicators!$B$2)&gt;3*[3]QC_indicators!$C$2,"C ratio",IF(ISNUMBER(BY750),IF(ABS(BY750-[3]QC_indicators!$B$1)&gt;3*[3]QC_indicators!$C$1,"DF","no"))),IF(ISNUMBER(BY750),IF(ABS(BY750-[3]QC_indicators!$B$1)&gt;3*[3]QC_indicators!$C$1,"DF","no")))</f>
        <v>no</v>
      </c>
      <c r="ER750" s="294" t="s">
        <v>349</v>
      </c>
      <c r="ET750" s="264" t="s">
        <v>3407</v>
      </c>
    </row>
    <row r="751" spans="1:150" ht="15" customHeight="1">
      <c r="A751" s="1" t="s">
        <v>430</v>
      </c>
      <c r="B751" t="s">
        <v>431</v>
      </c>
      <c r="C751" t="s">
        <v>432</v>
      </c>
      <c r="D751" t="s">
        <v>433</v>
      </c>
      <c r="E751" t="s">
        <v>434</v>
      </c>
      <c r="F751" t="s">
        <v>435</v>
      </c>
      <c r="G751" t="s">
        <v>436</v>
      </c>
      <c r="H751" t="s">
        <v>254</v>
      </c>
      <c r="I751">
        <v>2000</v>
      </c>
      <c r="J751">
        <v>174</v>
      </c>
      <c r="K751" t="s">
        <v>437</v>
      </c>
      <c r="M751" t="str">
        <f>LEFT($D751,FIND(",",$D751)-1)&amp;"_"&amp;I751&amp;L751</f>
        <v>Borjesson_2000</v>
      </c>
      <c r="N751" t="s">
        <v>222</v>
      </c>
      <c r="O751" s="145" t="s">
        <v>223</v>
      </c>
      <c r="Q751" t="s">
        <v>256</v>
      </c>
      <c r="R751" s="255" t="s">
        <v>225</v>
      </c>
      <c r="S751" s="1" t="s">
        <v>438</v>
      </c>
      <c r="T751" t="s">
        <v>439</v>
      </c>
      <c r="U751" t="s">
        <v>456</v>
      </c>
      <c r="V751">
        <v>0</v>
      </c>
      <c r="W751">
        <v>0</v>
      </c>
      <c r="X751">
        <v>0</v>
      </c>
      <c r="Y751">
        <v>0</v>
      </c>
      <c r="Z751">
        <v>0</v>
      </c>
      <c r="AA751">
        <v>0</v>
      </c>
      <c r="AB751">
        <v>0</v>
      </c>
      <c r="AC751">
        <v>0</v>
      </c>
      <c r="AD751">
        <v>0</v>
      </c>
      <c r="AE751">
        <v>0</v>
      </c>
      <c r="AF751">
        <v>0</v>
      </c>
      <c r="AG751">
        <v>0</v>
      </c>
      <c r="AH751">
        <v>0</v>
      </c>
      <c r="AI751">
        <v>0</v>
      </c>
      <c r="AJ751">
        <v>0</v>
      </c>
      <c r="AK751">
        <v>1</v>
      </c>
      <c r="AL751">
        <v>0</v>
      </c>
      <c r="AM751">
        <v>0</v>
      </c>
      <c r="AN751">
        <v>0</v>
      </c>
      <c r="AO751">
        <v>0</v>
      </c>
      <c r="AP751">
        <v>0</v>
      </c>
      <c r="AQ751">
        <v>0</v>
      </c>
      <c r="AR751">
        <v>0</v>
      </c>
      <c r="AS751">
        <v>0</v>
      </c>
      <c r="AT751">
        <v>0</v>
      </c>
      <c r="AU751">
        <v>0</v>
      </c>
      <c r="AV751">
        <v>0</v>
      </c>
      <c r="AW751">
        <v>0</v>
      </c>
      <c r="AX751" s="141">
        <f>COUNTIF(V751:AW751,"&lt;&gt;0")</f>
        <v>1</v>
      </c>
      <c r="AY751" s="141">
        <f>COUNTIF(V751:AL751,"&lt;&gt;0")</f>
        <v>1</v>
      </c>
      <c r="AZ751">
        <f>COUNTIF(V751:AC751,"&lt;&gt;0")</f>
        <v>0</v>
      </c>
      <c r="BA751">
        <f>COUNTIF(AD751:AI751,"&lt;&gt;0")</f>
        <v>0</v>
      </c>
      <c r="BB751">
        <f>COUNTIF(AJ751:AL751,"&lt;&gt;0")</f>
        <v>1</v>
      </c>
      <c r="BC751">
        <f>COUNTIF(AS751:AW751,"&lt;&gt;0")</f>
        <v>0</v>
      </c>
      <c r="BD751">
        <f>COUNTIF(AM751:AR751,"&lt;&gt;0")</f>
        <v>0</v>
      </c>
      <c r="BE751" t="str">
        <f t="array" ref="BE751">IF(AY751=1,INDEX($V$7:$AL$7,MATCH(TRUE,INDEX($V751:$AW751&lt;&gt;0,),0)),IF(AY751=0,INDEX($AM$7:$AW$7,MATCH(1,$AM751:$AW751,0)),IF(BF751="Multiple strategies","mixed drivers",IF(BF751="Supply chain","multiple supply","multiple silviculture"))))</f>
        <v>technologies/design switch</v>
      </c>
      <c r="BF751" s="2" t="str" cm="1">
        <f t="array" ref="BF751">IF(COUNTIF(AZ751:BB751,"&lt;&gt;0")=1,INDEX($V$4:$AW$4,MATCH(TRUE,INDEX($V751:$AW751&lt;&gt;0,),0)),IF(COUNTIF(AZ751:BB751,"&lt;&gt;0")=0,INDEX($AM$4:$AW$4,MATCH(1,$AM751:$AW751,0)),"Multiple strategies"))</f>
        <v>Technology</v>
      </c>
      <c r="BG751" s="142" t="s">
        <v>229</v>
      </c>
      <c r="BH751" t="s">
        <v>441</v>
      </c>
      <c r="BI751" s="264" t="s">
        <v>3274</v>
      </c>
      <c r="BJ751" s="143" t="s">
        <v>442</v>
      </c>
      <c r="BK751">
        <v>0</v>
      </c>
      <c r="BL751">
        <f>3*44</f>
        <v>132</v>
      </c>
      <c r="BM751" s="143" t="e">
        <f>BL751/BK751</f>
        <v>#DIV/0!</v>
      </c>
      <c r="BN751">
        <f>BL751-BK751</f>
        <v>132</v>
      </c>
      <c r="BO751">
        <f>BN751*tC_to_m3</f>
        <v>573.16543638732094</v>
      </c>
      <c r="BP751" t="s">
        <v>232</v>
      </c>
      <c r="BQ751" s="260" t="s">
        <v>813</v>
      </c>
      <c r="BR751" t="s">
        <v>443</v>
      </c>
      <c r="BS751" s="141">
        <v>25</v>
      </c>
      <c r="BT751" s="141">
        <v>93</v>
      </c>
      <c r="BU751" s="144">
        <f>IFERROR(BT751/BS751,"")</f>
        <v>3.72</v>
      </c>
      <c r="BV751">
        <f>BT751-BS751</f>
        <v>68</v>
      </c>
      <c r="BX751">
        <f>BV751*C_to_CO2</f>
        <v>249.56</v>
      </c>
      <c r="BY751">
        <f>IFERROR(BX751/BO751,"")</f>
        <v>0.43540657575757574</v>
      </c>
      <c r="BZ751" s="143">
        <v>0</v>
      </c>
      <c r="CA751" s="143">
        <v>0</v>
      </c>
      <c r="CB751" s="143">
        <v>0</v>
      </c>
      <c r="CC751" s="143">
        <v>0</v>
      </c>
      <c r="CD751" s="143">
        <v>0</v>
      </c>
      <c r="CE751" s="143">
        <v>0</v>
      </c>
      <c r="CF751" s="143">
        <v>0</v>
      </c>
      <c r="CG751" s="143">
        <v>0</v>
      </c>
      <c r="CH751" s="143">
        <v>0</v>
      </c>
      <c r="CI751" s="143">
        <v>0</v>
      </c>
      <c r="CJ751" s="143">
        <v>0</v>
      </c>
      <c r="CK751" s="143">
        <v>0</v>
      </c>
      <c r="CL751" s="143">
        <v>0</v>
      </c>
      <c r="CM751">
        <v>0</v>
      </c>
      <c r="CN751" t="str">
        <f>IF($BL751&lt;$BK751,"refNeedCorrection","refOK")</f>
        <v>refOK</v>
      </c>
      <c r="CO751">
        <f>IF($CN751="refOK",$BK751,$BL751)</f>
        <v>0</v>
      </c>
      <c r="CP751">
        <f>IF($CN751="refOK",$BL751,$BK751)</f>
        <v>132</v>
      </c>
      <c r="CQ751">
        <f>IF($CN751="refOK",$BO751,-$BO751)</f>
        <v>573.16543638732094</v>
      </c>
      <c r="CR751">
        <f>IF($CN751="refOK",$BS751,$BT751)*IF($BP751="Emissions positive",-1,1)</f>
        <v>25</v>
      </c>
      <c r="CS751">
        <f>IF($CN751="refOK",$BT751,$BS751)*IF($BP751="Emissions positive",-1,1)</f>
        <v>93</v>
      </c>
      <c r="CT751">
        <f>IF($CN751="refNeedCorrection",-BX751,BX751)*IF($BP751="Emissions positive",-1,1)</f>
        <v>249.56</v>
      </c>
      <c r="CU751">
        <f>IFERROR(CT751/CQ751,"")</f>
        <v>0.43540657575757574</v>
      </c>
      <c r="CV751" s="2">
        <f>IFERROR((CS751-CR751)/ABS(CR751),"")</f>
        <v>2.72</v>
      </c>
      <c r="CW751" s="1" t="s">
        <v>263</v>
      </c>
      <c r="CX751" t="str">
        <f>IF(OR($CW751="prd",$CW751="std",$CW751="cit"),"loc",IF(OR($CW751="eur",$CW751="reg",$CW751="coy"),"reg",$CW751))</f>
        <v>loc</v>
      </c>
      <c r="CY751" t="s">
        <v>444</v>
      </c>
      <c r="DB751">
        <v>300</v>
      </c>
      <c r="DC751" t="str">
        <f>IF(DB751=0,"0",IF(AND(DB751&gt;=1,DB751&lt;=30),"1-30",IF(AND(DB751&gt;30,DB751&lt;=70),"31-70",IF(AND(DB751&gt;70,DB751&lt;=100),"71-100",IF(DB751&gt;100,"+100")))))</f>
        <v>+100</v>
      </c>
      <c r="DD751">
        <v>0</v>
      </c>
      <c r="DE751">
        <v>0</v>
      </c>
      <c r="DF751">
        <v>0</v>
      </c>
      <c r="DG751">
        <v>1</v>
      </c>
      <c r="DI751">
        <f>SUM(DD751:DG751)</f>
        <v>1</v>
      </c>
      <c r="DJ751" t="str">
        <f>IF(DI751=1,INDEX($DD$7:$DG$7,MATCH(1,$DD751:$DG751,0)),"mixedProduct")</f>
        <v>TimberInput</v>
      </c>
      <c r="DK751">
        <f>IF(DD751=1,DK$7,0)</f>
        <v>0</v>
      </c>
      <c r="DL751">
        <f>IF(DE751=1,DL$7,0)</f>
        <v>0</v>
      </c>
      <c r="DM751">
        <f>IF(DF751=1,DM$7,0)</f>
        <v>0</v>
      </c>
      <c r="DN751" t="str">
        <f>IF(DG751=1,DN$7,0)</f>
        <v>Timber</v>
      </c>
      <c r="DO751">
        <v>1</v>
      </c>
      <c r="DP751" s="143">
        <v>0</v>
      </c>
      <c r="DQ751" s="143">
        <v>0</v>
      </c>
      <c r="DR751" s="143">
        <v>0</v>
      </c>
      <c r="DS751">
        <v>0</v>
      </c>
      <c r="DT751">
        <f>SUM(DO751:DP751)</f>
        <v>1</v>
      </c>
      <c r="DU751" s="143" t="str">
        <f>IF(DO751=1,"self-calculated DF",IF(DP751=1,"external DF used","explicit C balance"))</f>
        <v>self-calculated DF</v>
      </c>
      <c r="DV751">
        <v>0</v>
      </c>
      <c r="DW751" s="143">
        <v>0</v>
      </c>
      <c r="DX751" s="143">
        <v>1</v>
      </c>
      <c r="DY751" s="143">
        <v>1</v>
      </c>
      <c r="DZ751">
        <v>1</v>
      </c>
      <c r="EA751" s="143">
        <v>1</v>
      </c>
      <c r="EB751">
        <v>0</v>
      </c>
      <c r="EC751" s="143">
        <v>1</v>
      </c>
      <c r="ED751" s="143">
        <v>0</v>
      </c>
      <c r="EE751">
        <v>0</v>
      </c>
      <c r="EF751">
        <v>0</v>
      </c>
      <c r="EG751" s="143">
        <v>0</v>
      </c>
      <c r="EH751" s="143">
        <v>0</v>
      </c>
      <c r="EI751" s="2">
        <v>0</v>
      </c>
      <c r="EK751" t="str">
        <f>IF(AND(AND(AND(OR($DX751=1,$DW751=1),OR($EC751=1,$EA751=1)),SUM($DV751:$DZ751,$EF751)&gt;=4),SUM($EA751:$EE751)&gt;=2),"Whole sector","")</f>
        <v/>
      </c>
      <c r="EL751" t="str">
        <f>IF(AND(AND(OR($DX751=1,$DW751=1),AND($EC751=0,$EA751=0)),SUM($DV751:$DZ751,$EF751)&gt;=4),"Ecosystem approach","")</f>
        <v/>
      </c>
      <c r="EM751" s="2" t="str">
        <f>IF(AND(AND(AND($DX751=0,$DW751=0),OR($EC751=1,$EA751=1)),SUM($EB751:$EE751)&gt;=2),"Technology approach","")</f>
        <v/>
      </c>
      <c r="EN751" t="s">
        <v>445</v>
      </c>
      <c r="EP751" t="str">
        <f>IF(ISNUMBER(BU751),IF(ABS(BU751-[4]QC_indicators!$B$2)&gt;3*[4]QC_indicators!$C$2,"C ratio",IF(ISNUMBER(BY751),IF(ABS(BY751-[4]QC_indicators!$B$1)&gt;3*[4]QC_indicators!$C$1,"DF","no"))),IF(ISNUMBER(BY751),IF(ABS(BY751-[4]QC_indicators!$B$1)&gt;3*[4]QC_indicators!$C$1,"DF","no")))</f>
        <v>no</v>
      </c>
      <c r="ET751" s="264" t="s">
        <v>3273</v>
      </c>
    </row>
    <row r="752" spans="1:150" ht="15" customHeight="1">
      <c r="A752" s="1" t="s">
        <v>1808</v>
      </c>
      <c r="B752" t="s">
        <v>2257</v>
      </c>
      <c r="C752" t="s">
        <v>2258</v>
      </c>
      <c r="D752" t="s">
        <v>2259</v>
      </c>
      <c r="E752" t="s">
        <v>2260</v>
      </c>
      <c r="F752" t="s">
        <v>2261</v>
      </c>
      <c r="G752" t="s">
        <v>1814</v>
      </c>
      <c r="H752" t="s">
        <v>254</v>
      </c>
      <c r="I752">
        <v>2013</v>
      </c>
      <c r="J752">
        <v>49</v>
      </c>
      <c r="K752" t="s">
        <v>2262</v>
      </c>
      <c r="M752" t="str">
        <f>LEFT($D752,FIND(",",$D752)-1)&amp;"_"&amp;I752&amp;L752</f>
        <v>Sikkema_2013</v>
      </c>
      <c r="N752" t="s">
        <v>222</v>
      </c>
      <c r="O752" s="145" t="s">
        <v>341</v>
      </c>
      <c r="Q752" s="264" t="s">
        <v>256</v>
      </c>
      <c r="R752" s="269" t="s">
        <v>1154</v>
      </c>
      <c r="S752" s="1" t="s">
        <v>2272</v>
      </c>
      <c r="T752" t="s">
        <v>1099</v>
      </c>
      <c r="U752" t="e">
        <f>#REF!</f>
        <v>#REF!</v>
      </c>
      <c r="V752">
        <v>2</v>
      </c>
      <c r="W752">
        <v>0</v>
      </c>
      <c r="X752">
        <v>0</v>
      </c>
      <c r="Y752">
        <v>0</v>
      </c>
      <c r="Z752">
        <v>0</v>
      </c>
      <c r="AA752">
        <v>0</v>
      </c>
      <c r="AB752">
        <v>0</v>
      </c>
      <c r="AC752">
        <v>0</v>
      </c>
      <c r="AD752">
        <v>0</v>
      </c>
      <c r="AE752">
        <v>0</v>
      </c>
      <c r="AF752">
        <v>1</v>
      </c>
      <c r="AG752">
        <v>0</v>
      </c>
      <c r="AH752">
        <v>0</v>
      </c>
      <c r="AI752">
        <v>0</v>
      </c>
      <c r="AJ752">
        <v>0</v>
      </c>
      <c r="AK752">
        <v>0</v>
      </c>
      <c r="AL752">
        <v>0</v>
      </c>
      <c r="AM752">
        <v>0</v>
      </c>
      <c r="AN752">
        <v>0</v>
      </c>
      <c r="AO752">
        <v>0</v>
      </c>
      <c r="AP752">
        <v>0</v>
      </c>
      <c r="AQ752">
        <v>0</v>
      </c>
      <c r="AR752">
        <v>0</v>
      </c>
      <c r="AS752">
        <v>0</v>
      </c>
      <c r="AT752">
        <v>0</v>
      </c>
      <c r="AU752">
        <v>0</v>
      </c>
      <c r="AV752">
        <v>0</v>
      </c>
      <c r="AW752">
        <v>0</v>
      </c>
      <c r="AX752" s="141">
        <f>COUNTIF(V752:AW752,"&lt;&gt;0")</f>
        <v>2</v>
      </c>
      <c r="AY752" s="141">
        <f>COUNTIF(V752:AL752,"&lt;&gt;0")</f>
        <v>2</v>
      </c>
      <c r="AZ752">
        <f>COUNTIF(V752:AC752,"&lt;&gt;0")</f>
        <v>1</v>
      </c>
      <c r="BA752">
        <f>COUNTIF(AD752:AI752,"&lt;&gt;0")</f>
        <v>1</v>
      </c>
      <c r="BB752">
        <f>COUNTIF(AJ752:AL752,"&lt;&gt;0")</f>
        <v>0</v>
      </c>
      <c r="BC752">
        <f>COUNTIF(AS752:AW752,"&lt;&gt;0")</f>
        <v>0</v>
      </c>
      <c r="BD752">
        <f>COUNTIF(AM752:AR752,"&lt;&gt;0")</f>
        <v>0</v>
      </c>
      <c r="BE752" t="str" cm="1">
        <f t="array" ref="BE752">IF(AY752=1,INDEX($V$7:$AL$7,MATCH(TRUE,INDEX($V752:$AW752&lt;&gt;0,),0)),IF(AY752=0,INDEX($AM$7:$AW$7,MATCH(1,$AM752:$AW752,0)),IF(BF752="Multiple strategies","mixed drivers",IF(BF752="Supply chain","multiple supply","multiple silviculture"))))</f>
        <v>mixed drivers</v>
      </c>
      <c r="BF752" s="2" t="str" cm="1">
        <f t="array" ref="BF752">IF(COUNTIF(AZ752:BB752,"&lt;&gt;0")=1,INDEX($V$4:$AW$4,MATCH(TRUE,INDEX($V752:$AW752&lt;&gt;0,),0)),IF(COUNTIF(AZ752:BB752,"&lt;&gt;0")=0,INDEX($AM$4:$AW$4,MATCH(1,$AM752:$AW752,0)),"Multiple strategies"))</f>
        <v>Multiple strategies</v>
      </c>
      <c r="BG752" s="1" t="s">
        <v>321</v>
      </c>
      <c r="BH752" t="s">
        <v>2264</v>
      </c>
      <c r="BJ752" t="s">
        <v>1355</v>
      </c>
      <c r="BK752">
        <v>130</v>
      </c>
      <c r="BL752">
        <v>180</v>
      </c>
      <c r="BN752">
        <f>BL752-BK752</f>
        <v>50</v>
      </c>
      <c r="BO752">
        <f>BN752*10^6</f>
        <v>50000000</v>
      </c>
      <c r="BP752" s="264" t="s">
        <v>232</v>
      </c>
      <c r="BQ752" s="264"/>
      <c r="BR752" t="s">
        <v>1140</v>
      </c>
      <c r="BS752">
        <v>-41.3</v>
      </c>
      <c r="BT752">
        <v>-19.5</v>
      </c>
      <c r="BU752" s="144">
        <v>0.47215496368038745</v>
      </c>
      <c r="BV752">
        <v>21.799999999999997</v>
      </c>
      <c r="BX752">
        <f>BV752*10^6</f>
        <v>21799999.999999996</v>
      </c>
      <c r="BY752">
        <f>IFERROR(BX752/BO752,"")</f>
        <v>0.43599999999999994</v>
      </c>
      <c r="BZ752">
        <v>0</v>
      </c>
      <c r="CA752">
        <v>0</v>
      </c>
      <c r="CB752">
        <v>0</v>
      </c>
      <c r="CC752">
        <v>0</v>
      </c>
      <c r="CD752">
        <v>0</v>
      </c>
      <c r="CE752">
        <v>0</v>
      </c>
      <c r="CF752">
        <v>0</v>
      </c>
      <c r="CG752">
        <v>0</v>
      </c>
      <c r="CH752">
        <v>0</v>
      </c>
      <c r="CI752">
        <v>0</v>
      </c>
      <c r="CJ752">
        <v>0</v>
      </c>
      <c r="CK752">
        <v>0</v>
      </c>
      <c r="CL752">
        <v>0</v>
      </c>
      <c r="CM752">
        <v>0</v>
      </c>
      <c r="CN752" t="str">
        <f>IF($BL752&lt;$BK752,"refNeedCorrection","refOK")</f>
        <v>refOK</v>
      </c>
      <c r="CO752">
        <f>IF($CN752="refOK",$BK752,$BL752)</f>
        <v>130</v>
      </c>
      <c r="CP752">
        <f>IF($CN752="refOK",$BL752,$BK752)</f>
        <v>180</v>
      </c>
      <c r="CQ752">
        <f>IF($CN752="refOK",$BO752,-$BO752)</f>
        <v>50000000</v>
      </c>
      <c r="CR752">
        <f>IF($CN752="refOK",$BS752,$BT752)*IF($BP752="Emissions positive",-1,1)</f>
        <v>-41.3</v>
      </c>
      <c r="CS752">
        <f>IF($CN752="refOK",$BT752,$BS752)*IF($BP752="Emissions positive",-1,1)</f>
        <v>-19.5</v>
      </c>
      <c r="CT752">
        <f>IF($CN752="refNeedCorrection",-BX752,BX752)*IF($BP752="Emissions positive",-1,1)</f>
        <v>21799999.999999996</v>
      </c>
      <c r="CU752">
        <f>IFERROR(CT752/CQ752,"")</f>
        <v>0.43599999999999994</v>
      </c>
      <c r="CV752" s="2">
        <f>IFERROR((CS752-CR752)/ABS(CR752),"")</f>
        <v>0.52784503631961255</v>
      </c>
      <c r="CW752" s="1" t="s">
        <v>1203</v>
      </c>
      <c r="CX752" s="264" t="str">
        <f>IF(OR($CW752="prd",$CW752="std",$CW752="cit"),"loc",IF(OR($CW752="eur",$CW752="reg",$CW752="coy"),"reg",$CW752))</f>
        <v>reg</v>
      </c>
      <c r="CY752" t="s">
        <v>540</v>
      </c>
      <c r="CZ752">
        <v>2012</v>
      </c>
      <c r="DA752">
        <v>2112</v>
      </c>
      <c r="DB752">
        <v>100</v>
      </c>
      <c r="DC752" t="str">
        <f>IF(DB752=0,"0",IF(AND(DB752&gt;=1,DB752&lt;=30),"1-30",IF(AND(DB752&gt;30,DB752&lt;=70),"31-70",IF(AND(DB752&gt;70,DB752&lt;=100),"71-100",IF(DB752&gt;100,"+100")))))</f>
        <v>71-100</v>
      </c>
      <c r="DD752">
        <v>0</v>
      </c>
      <c r="DE752">
        <v>1</v>
      </c>
      <c r="DF752">
        <v>1</v>
      </c>
      <c r="DG752">
        <v>1</v>
      </c>
      <c r="DI752">
        <f>SUM(DD752:DG752)</f>
        <v>3</v>
      </c>
      <c r="DJ752" t="str">
        <f>IF(DI752=1,INDEX($DD$7:$DG$7,MATCH(1,$DD752:$DG752,0)),"mixedProduct")</f>
        <v>mixedProduct</v>
      </c>
      <c r="DK752">
        <f>IF(DD752=1,DK$7,0)</f>
        <v>0</v>
      </c>
      <c r="DL752" t="str">
        <f>IF(DE752=1,DL$7,0)</f>
        <v>Energy</v>
      </c>
      <c r="DM752" t="str">
        <f>IF(DF752=1,DM$7,0)</f>
        <v>Pulp/Paper</v>
      </c>
      <c r="DN752" t="str">
        <f>IF(DG752=1,DN$7,0)</f>
        <v>Timber</v>
      </c>
      <c r="DO752" t="s">
        <v>2265</v>
      </c>
      <c r="DP752">
        <v>1</v>
      </c>
      <c r="DQ752" s="184" t="s">
        <v>2266</v>
      </c>
      <c r="DR752" t="s">
        <v>2267</v>
      </c>
      <c r="DT752">
        <f>SUM(DO752:DP752)</f>
        <v>1</v>
      </c>
      <c r="DU752" s="143" t="str">
        <f>IF(DO752=1,"self-calculated DF",IF(DP752=1,"external DF used","explicit C balance"))</f>
        <v>external DF used</v>
      </c>
      <c r="DV752">
        <v>0</v>
      </c>
      <c r="DW752">
        <v>0</v>
      </c>
      <c r="DX752">
        <v>0</v>
      </c>
      <c r="DY752">
        <v>1</v>
      </c>
      <c r="DZ752">
        <v>1</v>
      </c>
      <c r="EA752">
        <v>1</v>
      </c>
      <c r="EB752">
        <v>0</v>
      </c>
      <c r="EC752">
        <v>1</v>
      </c>
      <c r="ED752">
        <v>0</v>
      </c>
      <c r="EE752">
        <v>1</v>
      </c>
      <c r="EF752">
        <v>1</v>
      </c>
      <c r="EG752">
        <v>1</v>
      </c>
      <c r="EH752">
        <v>1</v>
      </c>
      <c r="EI752" s="2">
        <v>0</v>
      </c>
      <c r="EK752" t="str">
        <f>IF(AND(AND(AND(OR($DX752=1,$DW752=1),OR($EC752=1,$EA752=1)),SUM($DV752:$DZ752,$EF752)&gt;=4),SUM($EA752:$EE752)&gt;=2),"Whole sector","")</f>
        <v/>
      </c>
      <c r="EL752" t="str">
        <f>IF(AND(AND(OR($DX752=1,$DW752=1),AND($EC752=0,$EA752=0)),SUM($DV752:$DZ752,$EF752)&gt;=4),"Ecosystem approach","")</f>
        <v/>
      </c>
      <c r="EM752" s="2" t="str">
        <f>IF(AND(AND(AND($DX752=0,$DW752=0),OR($EC752=1,$EA752=1)),SUM($EB752:$EE752)&gt;=2),"Technology approach","")</f>
        <v>Technology approach</v>
      </c>
      <c r="EP752" t="str">
        <f>IF(ISNUMBER(BU752),IF(ABS(BU752-[3]QC_indicators!$B$2)&gt;3*[3]QC_indicators!$C$2,"C ratio",IF(ISNUMBER(BY752),IF(ABS(BY752-[3]QC_indicators!$B$1)&gt;3*[3]QC_indicators!$C$1,"DF","no"))),IF(ISNUMBER(BY752),IF(ABS(BY752-[3]QC_indicators!$B$1)&gt;3*[3]QC_indicators!$C$1,"DF","no")))</f>
        <v>no</v>
      </c>
      <c r="ER752" s="264" t="s">
        <v>2268</v>
      </c>
      <c r="ET752" s="264" t="s">
        <v>3407</v>
      </c>
    </row>
    <row r="753" spans="1:150" ht="15" customHeight="1">
      <c r="D753" t="s">
        <v>963</v>
      </c>
      <c r="E753" t="s">
        <v>964</v>
      </c>
      <c r="G753" t="s">
        <v>965</v>
      </c>
      <c r="I753">
        <v>2002</v>
      </c>
      <c r="K753" s="295" t="s">
        <v>966</v>
      </c>
      <c r="M753" t="str">
        <f>LEFT($D753,FIND(",",$D753)-1)&amp;"_"&amp;I753&amp;L753</f>
        <v>Petersen_2002</v>
      </c>
      <c r="N753" t="s">
        <v>222</v>
      </c>
      <c r="O753" s="171" t="s">
        <v>513</v>
      </c>
      <c r="P753" s="141" t="s">
        <v>225</v>
      </c>
      <c r="Q753" s="264" t="s">
        <v>389</v>
      </c>
      <c r="R753" s="269" t="s">
        <v>1154</v>
      </c>
      <c r="S753" s="263" t="s">
        <v>985</v>
      </c>
      <c r="T753" s="264" t="s">
        <v>979</v>
      </c>
      <c r="U753" s="264" t="s">
        <v>980</v>
      </c>
      <c r="V753">
        <v>0</v>
      </c>
      <c r="W753">
        <v>0</v>
      </c>
      <c r="X753">
        <v>0</v>
      </c>
      <c r="Y753">
        <v>0</v>
      </c>
      <c r="Z753">
        <v>0</v>
      </c>
      <c r="AA753">
        <v>0</v>
      </c>
      <c r="AB753">
        <v>0</v>
      </c>
      <c r="AC753">
        <v>0</v>
      </c>
      <c r="AD753">
        <v>0</v>
      </c>
      <c r="AE753">
        <v>0</v>
      </c>
      <c r="AF753">
        <v>0</v>
      </c>
      <c r="AG753">
        <v>0</v>
      </c>
      <c r="AH753">
        <v>0</v>
      </c>
      <c r="AI753">
        <v>0</v>
      </c>
      <c r="AJ753">
        <v>0</v>
      </c>
      <c r="AK753">
        <v>1</v>
      </c>
      <c r="AL753">
        <v>0</v>
      </c>
      <c r="AM753">
        <v>0</v>
      </c>
      <c r="AN753">
        <v>0</v>
      </c>
      <c r="AO753">
        <v>0</v>
      </c>
      <c r="AP753">
        <v>0</v>
      </c>
      <c r="AQ753">
        <v>0</v>
      </c>
      <c r="AR753">
        <v>0</v>
      </c>
      <c r="AS753">
        <v>0</v>
      </c>
      <c r="AT753">
        <v>0</v>
      </c>
      <c r="AU753">
        <v>0</v>
      </c>
      <c r="AV753">
        <v>0</v>
      </c>
      <c r="AW753">
        <v>0</v>
      </c>
      <c r="AX753" s="141">
        <f>COUNTIF(V753:AW753,"&lt;&gt;0")</f>
        <v>1</v>
      </c>
      <c r="AY753" s="141">
        <f>COUNTIF(V753:AL753,"&lt;&gt;0")</f>
        <v>1</v>
      </c>
      <c r="AZ753">
        <f>COUNTIF(V753:AC753,"&lt;&gt;0")</f>
        <v>0</v>
      </c>
      <c r="BA753">
        <f>COUNTIF(AD753:AI753,"&lt;&gt;0")</f>
        <v>0</v>
      </c>
      <c r="BB753">
        <f>COUNTIF(AJ753:AL753,"&lt;&gt;0")</f>
        <v>1</v>
      </c>
      <c r="BC753">
        <f>COUNTIF(AS753:AW753,"&lt;&gt;0")</f>
        <v>0</v>
      </c>
      <c r="BD753">
        <f>COUNTIF(AM753:AR753,"&lt;&gt;0")</f>
        <v>0</v>
      </c>
      <c r="BE753" t="str" cm="1">
        <f t="array" ref="BE753">IF(AY753=1,INDEX($V$7:$AL$7,MATCH(TRUE,INDEX($V753:$AW753&lt;&gt;0,),0)),IF(AY753=0,INDEX($AM$7:$AW$7,MATCH(1,$AM753:$AW753,0)),IF(BF753="Multiple strategies","mixed drivers",IF(BF753="Supply chain","multiple supply","multiple silviculture"))))</f>
        <v>technologies/design switch</v>
      </c>
      <c r="BF753" s="2" t="str" cm="1">
        <f t="array" ref="BF753">IF(COUNTIF(AZ753:BB753,"&lt;&gt;0")=1,INDEX($V$4:$AW$4,MATCH(TRUE,INDEX($V753:$AW753&lt;&gt;0,),0)),IF(COUNTIF(AZ753:BB753,"&lt;&gt;0")=0,INDEX($AM$4:$AW$4,MATCH(1,$AM753:$AW753,0)),"Multiple strategies"))</f>
        <v>Technology</v>
      </c>
      <c r="BG753" s="142" t="s">
        <v>229</v>
      </c>
      <c r="BH753" t="s">
        <v>970</v>
      </c>
      <c r="BI753" t="s">
        <v>971</v>
      </c>
      <c r="BJ753" t="s">
        <v>498</v>
      </c>
      <c r="BK753">
        <v>0</v>
      </c>
      <c r="BL753">
        <v>1</v>
      </c>
      <c r="BM753" t="str">
        <f>IFERROR(BL753/BK753,"")</f>
        <v/>
      </c>
      <c r="BN753">
        <f>BL753-BK753</f>
        <v>1</v>
      </c>
      <c r="BO753">
        <v>1</v>
      </c>
      <c r="BP753" t="s">
        <v>232</v>
      </c>
      <c r="BQ753" t="s">
        <v>972</v>
      </c>
      <c r="BR753" s="264" t="s">
        <v>973</v>
      </c>
      <c r="BV753">
        <v>0.438</v>
      </c>
      <c r="BX753">
        <f>BV753</f>
        <v>0.438</v>
      </c>
      <c r="BY753">
        <f>IFERROR(BX753/BO753,"")</f>
        <v>0.438</v>
      </c>
      <c r="BZ753">
        <v>0</v>
      </c>
      <c r="CA753">
        <v>0</v>
      </c>
      <c r="CB753">
        <v>0</v>
      </c>
      <c r="CC753">
        <v>0</v>
      </c>
      <c r="CD753">
        <v>0</v>
      </c>
      <c r="CE753">
        <v>0</v>
      </c>
      <c r="CF753">
        <v>0</v>
      </c>
      <c r="CG753">
        <v>0</v>
      </c>
      <c r="CH753">
        <v>0</v>
      </c>
      <c r="CI753">
        <v>0</v>
      </c>
      <c r="CJ753">
        <v>0</v>
      </c>
      <c r="CK753">
        <v>0</v>
      </c>
      <c r="CL753">
        <v>0</v>
      </c>
      <c r="CM753">
        <v>0</v>
      </c>
      <c r="CN753" t="str">
        <f>IF($BL753&lt;$BK753,"refNeedCorrection","refOK")</f>
        <v>refOK</v>
      </c>
      <c r="CO753">
        <f>IF($CN753="refOK",$BK753,$BL753)</f>
        <v>0</v>
      </c>
      <c r="CP753">
        <f>IF($CN753="refOK",$BL753,$BK753)</f>
        <v>1</v>
      </c>
      <c r="CQ753">
        <f>IF($CN753="refOK",$BO753,-$BO753)</f>
        <v>1</v>
      </c>
      <c r="CR753">
        <f>IF($CN753="refOK",$BS753,$BT753)*IF($BP753="Emissions positive",-1,1)</f>
        <v>0</v>
      </c>
      <c r="CS753">
        <f>IF($CN753="refOK",$BT753,$BS753)*IF($BP753="Emissions positive",-1,1)</f>
        <v>0</v>
      </c>
      <c r="CT753">
        <f>IF($CN753="refNeedCorrection",-BX753,BX753)*IF($BP753="Emissions positive",-1,1)</f>
        <v>0.438</v>
      </c>
      <c r="CU753">
        <f>IFERROR(CT753/CQ753,"")</f>
        <v>0.438</v>
      </c>
      <c r="CV753" s="2" t="str">
        <f>IFERROR((CS753-CR753)/ABS(CR753),"")</f>
        <v/>
      </c>
      <c r="CW753" s="1" t="s">
        <v>974</v>
      </c>
      <c r="CX753" s="264" t="str">
        <f>IF(OR($CW753="prd",$CW753="std",$CW753="cit"),"loc",IF(OR($CW753="eur",$CW753="reg",$CW753="coy"),"reg",$CW753))</f>
        <v>loc</v>
      </c>
      <c r="CY753" t="s">
        <v>264</v>
      </c>
      <c r="DB753">
        <v>50</v>
      </c>
      <c r="DC753" t="str">
        <f>IF(DB753=0,"0",IF(AND(DB753&gt;=1,DB753&lt;=30),"1-30",IF(AND(DB753&gt;30,DB753&lt;=70),"31-70",IF(AND(DB753&gt;70,DB753&lt;=100),"71-100",IF(DB753&gt;100,"+100")))))</f>
        <v>31-70</v>
      </c>
      <c r="DD753">
        <v>0</v>
      </c>
      <c r="DE753">
        <v>0</v>
      </c>
      <c r="DF753">
        <v>0</v>
      </c>
      <c r="DG753">
        <v>1</v>
      </c>
      <c r="DH753">
        <v>0</v>
      </c>
      <c r="DI753">
        <f>SUM(DD753:DG753)</f>
        <v>1</v>
      </c>
      <c r="DJ753" t="str">
        <f>IF(DI753=1,INDEX($DD$7:$DG$7,MATCH(1,$DD753:$DG753,0)),"mixedProduct")</f>
        <v>TimberInput</v>
      </c>
      <c r="DK753">
        <f>IF(DD753=1,DK$7,0)</f>
        <v>0</v>
      </c>
      <c r="DL753">
        <f>IF(DE753=1,DL$7,0)</f>
        <v>0</v>
      </c>
      <c r="DM753">
        <f>IF(DF753=1,DM$7,0)</f>
        <v>0</v>
      </c>
      <c r="DN753" t="str">
        <f>IF(DG753=1,DN$7,0)</f>
        <v>Timber</v>
      </c>
      <c r="DO753">
        <v>1</v>
      </c>
      <c r="DP753">
        <v>0</v>
      </c>
      <c r="DQ753">
        <v>0</v>
      </c>
      <c r="DR753">
        <v>0</v>
      </c>
      <c r="DS753">
        <v>0</v>
      </c>
      <c r="DT753">
        <f>SUM(DO753:DP753)</f>
        <v>1</v>
      </c>
      <c r="DU753" s="143" t="str">
        <f>IF(DO753=1,"self-calculated DF",IF(DP753=1,"external DF used","explicit C balance"))</f>
        <v>self-calculated DF</v>
      </c>
      <c r="DV753" s="143">
        <v>0</v>
      </c>
      <c r="DW753" s="143">
        <v>0</v>
      </c>
      <c r="DX753" s="143">
        <v>0</v>
      </c>
      <c r="DY753" s="143">
        <v>0</v>
      </c>
      <c r="DZ753">
        <v>0</v>
      </c>
      <c r="EA753" s="143">
        <v>1</v>
      </c>
      <c r="EB753" s="143">
        <v>0</v>
      </c>
      <c r="EC753" s="143">
        <v>1</v>
      </c>
      <c r="ED753" s="143">
        <v>0</v>
      </c>
      <c r="EE753">
        <v>1</v>
      </c>
      <c r="EF753">
        <v>0</v>
      </c>
      <c r="EG753" s="143">
        <v>0</v>
      </c>
      <c r="EH753" s="143">
        <v>0</v>
      </c>
      <c r="EI753" s="2">
        <v>0</v>
      </c>
      <c r="EK753" t="str">
        <f>IF(AND(AND(AND(OR($DX753=1,$DW753=1),OR($EC753=1,$EA753=1)),SUM($DV753:$DZ753,$EF753)&gt;=4),SUM($EA753:$EE753)&gt;=2),"Whole sector","")</f>
        <v/>
      </c>
      <c r="EL753" t="str">
        <f>IF(AND(AND(OR($DX753=1,$DW753=1),AND($EC753=0,$EA753=0)),SUM($DV753:$DZ753,$EF753)&gt;=4),"Ecosystem approach","")</f>
        <v/>
      </c>
      <c r="EM753" s="2" t="str">
        <f>IF(AND(AND(AND($DX753=0,$DW753=0),OR($EC753=1,$EA753=1)),SUM($EB753:$EE753)&gt;=2),"Technology approach","")</f>
        <v>Technology approach</v>
      </c>
      <c r="EN753" t="s">
        <v>977</v>
      </c>
      <c r="EP753" t="str">
        <f>IF(ISNUMBER(BU753),IF(ABS(BU753-[3]QC_indicators!$B$2)&gt;3*[3]QC_indicators!$C$2,"C ratio",IF(ISNUMBER(BY753),IF(ABS(BY753-[3]QC_indicators!$B$1)&gt;3*[3]QC_indicators!$C$1,"DF","no"))),IF(ISNUMBER(BY753),IF(ABS(BY753-[3]QC_indicators!$B$1)&gt;3*[3]QC_indicators!$C$1,"DF","no")))</f>
        <v>no</v>
      </c>
      <c r="ET753" s="264" t="s">
        <v>3407</v>
      </c>
    </row>
    <row r="754" spans="1:150" ht="15" customHeight="1">
      <c r="A754" s="1" t="s">
        <v>1423</v>
      </c>
      <c r="B754" t="s">
        <v>2116</v>
      </c>
      <c r="C754" t="s">
        <v>2117</v>
      </c>
      <c r="D754" t="s">
        <v>2118</v>
      </c>
      <c r="E754" t="s">
        <v>2119</v>
      </c>
      <c r="F754" t="s">
        <v>2120</v>
      </c>
      <c r="G754" t="s">
        <v>1429</v>
      </c>
      <c r="H754" t="s">
        <v>254</v>
      </c>
      <c r="I754">
        <v>2014</v>
      </c>
      <c r="J754">
        <v>45</v>
      </c>
      <c r="K754" t="s">
        <v>2121</v>
      </c>
      <c r="M754" t="str">
        <f>LEFT($D754,FIND(",",$D754)-1)&amp;"_"&amp;I754&amp;L754</f>
        <v>Pukkala_2014</v>
      </c>
      <c r="N754" t="s">
        <v>222</v>
      </c>
      <c r="O754" s="171" t="s">
        <v>225</v>
      </c>
      <c r="P754" t="s">
        <v>1154</v>
      </c>
      <c r="R754" s="262" t="s">
        <v>223</v>
      </c>
      <c r="S754" s="1" t="s">
        <v>2132</v>
      </c>
      <c r="T754" t="s">
        <v>2133</v>
      </c>
      <c r="U754" t="s">
        <v>2124</v>
      </c>
      <c r="V754">
        <v>0</v>
      </c>
      <c r="W754">
        <v>0</v>
      </c>
      <c r="X754">
        <v>0</v>
      </c>
      <c r="Y754">
        <v>0</v>
      </c>
      <c r="Z754">
        <v>0</v>
      </c>
      <c r="AA754">
        <v>0</v>
      </c>
      <c r="AB754">
        <v>0</v>
      </c>
      <c r="AC754">
        <v>0</v>
      </c>
      <c r="AD754">
        <v>0</v>
      </c>
      <c r="AE754">
        <v>0</v>
      </c>
      <c r="AF754">
        <v>1</v>
      </c>
      <c r="AG754">
        <v>0</v>
      </c>
      <c r="AH754">
        <v>0</v>
      </c>
      <c r="AI754">
        <v>0</v>
      </c>
      <c r="AJ754">
        <v>0</v>
      </c>
      <c r="AK754">
        <v>0</v>
      </c>
      <c r="AL754">
        <v>0</v>
      </c>
      <c r="AM754">
        <v>0</v>
      </c>
      <c r="AN754">
        <v>0</v>
      </c>
      <c r="AO754">
        <v>0</v>
      </c>
      <c r="AP754">
        <v>0</v>
      </c>
      <c r="AQ754">
        <v>0</v>
      </c>
      <c r="AR754">
        <v>0</v>
      </c>
      <c r="AS754">
        <v>0</v>
      </c>
      <c r="AT754">
        <v>0</v>
      </c>
      <c r="AU754">
        <v>0</v>
      </c>
      <c r="AV754">
        <v>0</v>
      </c>
      <c r="AW754">
        <v>0</v>
      </c>
      <c r="AX754" s="141">
        <f>COUNTIF(V754:AW754,"&lt;&gt;0")</f>
        <v>1</v>
      </c>
      <c r="AY754" s="141">
        <f>COUNTIF(V754:AL754,"&lt;&gt;0")</f>
        <v>1</v>
      </c>
      <c r="AZ754">
        <f>COUNTIF(V754:AC754,"&lt;&gt;0")</f>
        <v>0</v>
      </c>
      <c r="BA754">
        <f>COUNTIF(AD754:AI754,"&lt;&gt;0")</f>
        <v>1</v>
      </c>
      <c r="BB754">
        <f>COUNTIF(AJ754:AL754,"&lt;&gt;0")</f>
        <v>0</v>
      </c>
      <c r="BC754">
        <f>COUNTIF(AS754:AW754,"&lt;&gt;0")</f>
        <v>0</v>
      </c>
      <c r="BD754">
        <f>COUNTIF(AM754:AR754,"&lt;&gt;0")</f>
        <v>0</v>
      </c>
      <c r="BE754" t="str">
        <f t="array" ref="BE754">IF(AY754=1,INDEX($V$7:$AL$7,MATCH(TRUE,INDEX($V754:$AW754&lt;&gt;0,),0)),IF(AY754=0,INDEX($AM$7:$AW$7,MATCH(1,$AM754:$AW754,0)),IF(BF754="Multiple strategies","mixed drivers",IF(BF754="Supply chain","multiple supply","multiple silviculture"))))</f>
        <v>supply chain organization</v>
      </c>
      <c r="BF754" s="2" t="str" cm="1">
        <f t="array" ref="BF754">IF(COUNTIF(AZ754:BB754,"&lt;&gt;0")=1,INDEX($V$4:$AW$4,MATCH(TRUE,INDEX($V754:$AW754&lt;&gt;0,),0)),IF(COUNTIF(AZ754:BB754,"&lt;&gt;0")=0,INDEX($AM$4:$AW$4,MATCH(1,$AM754:$AW754,0)),"Multiple strategies"))</f>
        <v>Supply chain</v>
      </c>
      <c r="BG754" s="1" t="s">
        <v>229</v>
      </c>
      <c r="BH754" t="s">
        <v>2125</v>
      </c>
      <c r="BI754" t="s">
        <v>2126</v>
      </c>
      <c r="BJ754" t="s">
        <v>2127</v>
      </c>
      <c r="BK754">
        <v>1.002</v>
      </c>
      <c r="BL754">
        <v>1.0920000000000001</v>
      </c>
      <c r="BM754">
        <f>IFERROR(BL754/BK754,"")</f>
        <v>1.0898203592814373</v>
      </c>
      <c r="BN754">
        <f>BL754-BK754</f>
        <v>9.000000000000008E-2</v>
      </c>
      <c r="BO754">
        <f>+BN754*tC_to_m3</f>
        <v>0.39079461571862822</v>
      </c>
      <c r="BP754" t="s">
        <v>232</v>
      </c>
      <c r="BQ754" t="s">
        <v>2128</v>
      </c>
      <c r="BR754" t="s">
        <v>2127</v>
      </c>
      <c r="BS754">
        <v>0.59099999999999997</v>
      </c>
      <c r="BT754">
        <v>0.63800000000000001</v>
      </c>
      <c r="BU754" s="144">
        <f>BT754/BS754</f>
        <v>1.0795262267343486</v>
      </c>
      <c r="BV754">
        <f>BT754-BS754</f>
        <v>4.7000000000000042E-2</v>
      </c>
      <c r="BX754" s="185">
        <f>BV754*C_to_CO2</f>
        <v>0.17249000000000014</v>
      </c>
      <c r="BY754">
        <f>IFERROR(BX754/BO754,"")</f>
        <v>0.44138274444444442</v>
      </c>
      <c r="BZ754">
        <v>0</v>
      </c>
      <c r="CA754">
        <v>0</v>
      </c>
      <c r="CB754">
        <v>0</v>
      </c>
      <c r="CC754">
        <v>0</v>
      </c>
      <c r="CD754">
        <v>0</v>
      </c>
      <c r="CE754">
        <v>0</v>
      </c>
      <c r="CF754">
        <v>0</v>
      </c>
      <c r="CG754">
        <v>0</v>
      </c>
      <c r="CH754">
        <v>0</v>
      </c>
      <c r="CI754">
        <v>0</v>
      </c>
      <c r="CJ754">
        <v>0</v>
      </c>
      <c r="CK754">
        <v>0</v>
      </c>
      <c r="CL754">
        <v>0</v>
      </c>
      <c r="CM754">
        <v>1</v>
      </c>
      <c r="CN754" t="str">
        <f>IF($BL754&lt;$BK754,"refNeedCorrection","refOK")</f>
        <v>refOK</v>
      </c>
      <c r="CO754">
        <f>IF($CN754="refOK",$BK754,$BL754)</f>
        <v>1.002</v>
      </c>
      <c r="CP754">
        <f>IF($CN754="refOK",$BL754,$BK754)</f>
        <v>1.0920000000000001</v>
      </c>
      <c r="CQ754">
        <f>IF($CN754="refOK",$BO754,-$BO754)</f>
        <v>0.39079461571862822</v>
      </c>
      <c r="CR754">
        <f>IF($CN754="refOK",$BS754,$BT754)*IF($BP754="Emissions positive",-1,1)</f>
        <v>0.59099999999999997</v>
      </c>
      <c r="CS754">
        <f>IF($CN754="refOK",$BT754,$BS754)*IF($BP754="Emissions positive",-1,1)</f>
        <v>0.63800000000000001</v>
      </c>
      <c r="CT754">
        <f>IF($CN754="refNeedCorrection",-BX754,BX754)*IF($BP754="Emissions positive",-1,1)</f>
        <v>0.17249000000000014</v>
      </c>
      <c r="CU754">
        <f>IFERROR(CT754/CQ754,"")</f>
        <v>0.44138274444444442</v>
      </c>
      <c r="CV754" s="2">
        <f>IFERROR((CS754-CR754)/ABS(CR754),"")</f>
        <v>7.9526226734348643E-2</v>
      </c>
      <c r="CW754" s="1" t="s">
        <v>2036</v>
      </c>
      <c r="CX754" t="str">
        <f>IF(OR($CW754="prd",$CW754="std",$CW754="cit"),"loc",IF(OR($CW754="eur",$CW754="reg",$CW754="coy"),"reg",$CW754))</f>
        <v>reg</v>
      </c>
      <c r="CY754" t="s">
        <v>235</v>
      </c>
      <c r="DB754">
        <v>30</v>
      </c>
      <c r="DC754" t="str">
        <f>IF(DB754=0,"0",IF(AND(DB754&gt;=1,DB754&lt;=30),"1-30",IF(AND(DB754&gt;30,DB754&lt;=70),"31-70",IF(AND(DB754&gt;70,DB754&lt;=100),"71-100",IF(DB754&gt;100,"+100")))))</f>
        <v>1-30</v>
      </c>
      <c r="DD754">
        <v>1</v>
      </c>
      <c r="DE754">
        <v>1</v>
      </c>
      <c r="DF754">
        <v>1</v>
      </c>
      <c r="DG754">
        <v>1</v>
      </c>
      <c r="DH754">
        <v>0</v>
      </c>
      <c r="DI754">
        <f>SUM(DD754:DH754)</f>
        <v>4</v>
      </c>
      <c r="DJ754" t="str">
        <f>IF(DI754=1,INDEX($DD$7:$DG$7,MATCH(1,$DD754:$DG754,0)),"mixedProduct")</f>
        <v>mixedProduct</v>
      </c>
      <c r="DK754" t="str">
        <f>IF(DD754=1,DJ$7,0)</f>
        <v>singleProduct</v>
      </c>
      <c r="DL754" t="str">
        <f>IF(DE754=1,DK$7,0)</f>
        <v>Upstream</v>
      </c>
      <c r="DM754" t="str">
        <f>IF(DF754=1,DL$7,0)</f>
        <v>Energy</v>
      </c>
      <c r="DN754" t="str">
        <f>IF(DG754=1,DM$7,0)</f>
        <v>Pulp/Paper</v>
      </c>
      <c r="DO754">
        <v>0</v>
      </c>
      <c r="DP754">
        <v>1</v>
      </c>
      <c r="DQ754" s="184" t="s">
        <v>2129</v>
      </c>
      <c r="DR754" s="184" t="s">
        <v>2129</v>
      </c>
      <c r="DS754" s="184">
        <v>0</v>
      </c>
      <c r="DT754"/>
      <c r="DU754" s="143" t="str">
        <f>IF(DO754=1,"self-calculated DF",IF(DP754=1,"external DF used","explicit C balance"))</f>
        <v>external DF used</v>
      </c>
      <c r="DV754">
        <v>1</v>
      </c>
      <c r="DW754">
        <v>1</v>
      </c>
      <c r="DX754">
        <v>1</v>
      </c>
      <c r="DY754">
        <v>1</v>
      </c>
      <c r="DZ754">
        <v>1</v>
      </c>
      <c r="EA754">
        <v>1</v>
      </c>
      <c r="EB754">
        <v>1</v>
      </c>
      <c r="EC754">
        <v>1</v>
      </c>
      <c r="ED754" s="185">
        <v>0</v>
      </c>
      <c r="EE754">
        <v>0</v>
      </c>
      <c r="EF754">
        <v>1</v>
      </c>
      <c r="EG754">
        <v>0</v>
      </c>
      <c r="EH754">
        <v>0</v>
      </c>
      <c r="EI754" s="2">
        <v>0</v>
      </c>
      <c r="EK754" t="str">
        <f>IF(AND(AND(AND(OR($DX754=1,$DW754=1),OR($EC754=1,$EA754=1)),SUM($DV754:$DZ754,$EF754)&gt;=4),SUM($EA754:$EE754)&gt;=2),"Whole sector","")</f>
        <v>Whole sector</v>
      </c>
      <c r="EL754" t="str">
        <f>IF(AND(AND(OR($DX754=1,$DW754=1),AND($EC754=0,$EA754=0)),SUM($DV754:$DZ754,$EF754)&gt;=4),"Ecosystem approach","")</f>
        <v/>
      </c>
      <c r="EM754" s="2" t="str">
        <f>IF(AND(AND(AND($DX754=0,$DW754=0),OR($EC754=1,$EA754=1)),SUM($EB754:$EE754)&gt;=2),"Technology approach","")</f>
        <v/>
      </c>
      <c r="EP754" t="str">
        <f>IF(ISNUMBER(BU754),IF(ABS(BU754-[1]QC_indicators!$B$2)&gt;3*[1]QC_indicators!$C$2,"C ratio",IF(ISNUMBER(BY754),IF(ABS(BY754-[1]QC_indicators!$B$1)&gt;3*[1]QC_indicators!$C$1,"DF","no"))),IF(ISNUMBER(BY754),IF(ABS(BY754-[1]QC_indicators!$B$1)&gt;3*[1]QC_indicators!$C$1,"DF","no")))</f>
        <v>no</v>
      </c>
      <c r="ET754" s="264" t="s">
        <v>3223</v>
      </c>
    </row>
    <row r="755" spans="1:150" ht="15" customHeight="1">
      <c r="A755" s="1" t="s">
        <v>1808</v>
      </c>
      <c r="B755" t="s">
        <v>2257</v>
      </c>
      <c r="C755" t="s">
        <v>2258</v>
      </c>
      <c r="D755" t="s">
        <v>2259</v>
      </c>
      <c r="E755" t="s">
        <v>2260</v>
      </c>
      <c r="F755" t="s">
        <v>2261</v>
      </c>
      <c r="G755" t="s">
        <v>1814</v>
      </c>
      <c r="H755" t="s">
        <v>254</v>
      </c>
      <c r="I755">
        <v>2013</v>
      </c>
      <c r="J755">
        <v>49</v>
      </c>
      <c r="K755" t="s">
        <v>2262</v>
      </c>
      <c r="M755" t="str">
        <f>LEFT($D755,FIND(",",$D755)-1)&amp;"_"&amp;I755&amp;L755</f>
        <v>Sikkema_2013</v>
      </c>
      <c r="N755" t="s">
        <v>222</v>
      </c>
      <c r="O755" s="145" t="s">
        <v>341</v>
      </c>
      <c r="Q755" s="264" t="s">
        <v>256</v>
      </c>
      <c r="R755" s="269" t="s">
        <v>1154</v>
      </c>
      <c r="S755" s="1" t="s">
        <v>2273</v>
      </c>
      <c r="T755" t="s">
        <v>1099</v>
      </c>
      <c r="U755" t="e">
        <f>#REF!</f>
        <v>#REF!</v>
      </c>
      <c r="V755">
        <v>2</v>
      </c>
      <c r="W755">
        <v>0</v>
      </c>
      <c r="X755">
        <v>0</v>
      </c>
      <c r="Y755">
        <v>0</v>
      </c>
      <c r="Z755">
        <v>0</v>
      </c>
      <c r="AA755">
        <v>0</v>
      </c>
      <c r="AB755">
        <v>0</v>
      </c>
      <c r="AC755">
        <v>0</v>
      </c>
      <c r="AD755">
        <v>0</v>
      </c>
      <c r="AE755">
        <v>0</v>
      </c>
      <c r="AF755">
        <v>1</v>
      </c>
      <c r="AG755">
        <v>0</v>
      </c>
      <c r="AH755">
        <v>0</v>
      </c>
      <c r="AI755">
        <v>0</v>
      </c>
      <c r="AJ755">
        <v>0</v>
      </c>
      <c r="AK755">
        <v>0</v>
      </c>
      <c r="AL755">
        <v>0</v>
      </c>
      <c r="AM755">
        <v>0</v>
      </c>
      <c r="AN755">
        <v>0</v>
      </c>
      <c r="AO755">
        <v>0</v>
      </c>
      <c r="AP755">
        <v>0</v>
      </c>
      <c r="AQ755">
        <v>0</v>
      </c>
      <c r="AR755">
        <v>0</v>
      </c>
      <c r="AS755">
        <v>0</v>
      </c>
      <c r="AT755">
        <v>0</v>
      </c>
      <c r="AU755">
        <v>0</v>
      </c>
      <c r="AV755">
        <v>0</v>
      </c>
      <c r="AW755">
        <v>0</v>
      </c>
      <c r="AX755" s="141">
        <f>COUNTIF(V755:AW755,"&lt;&gt;0")</f>
        <v>2</v>
      </c>
      <c r="AY755" s="141">
        <f>COUNTIF(V755:AL755,"&lt;&gt;0")</f>
        <v>2</v>
      </c>
      <c r="AZ755">
        <f>COUNTIF(V755:AC755,"&lt;&gt;0")</f>
        <v>1</v>
      </c>
      <c r="BA755">
        <f>COUNTIF(AD755:AI755,"&lt;&gt;0")</f>
        <v>1</v>
      </c>
      <c r="BB755">
        <f>COUNTIF(AJ755:AL755,"&lt;&gt;0")</f>
        <v>0</v>
      </c>
      <c r="BC755">
        <f>COUNTIF(AS755:AW755,"&lt;&gt;0")</f>
        <v>0</v>
      </c>
      <c r="BD755">
        <f>COUNTIF(AM755:AR755,"&lt;&gt;0")</f>
        <v>0</v>
      </c>
      <c r="BE755" t="str" cm="1">
        <f t="array" ref="BE755">IF(AY755=1,INDEX($V$7:$AL$7,MATCH(TRUE,INDEX($V755:$AW755&lt;&gt;0,),0)),IF(AY755=0,INDEX($AM$7:$AW$7,MATCH(1,$AM755:$AW755,0)),IF(BF755="Multiple strategies","mixed drivers",IF(BF755="Supply chain","multiple supply","multiple silviculture"))))</f>
        <v>mixed drivers</v>
      </c>
      <c r="BF755" s="2" t="str" cm="1">
        <f t="array" ref="BF755">IF(COUNTIF(AZ755:BB755,"&lt;&gt;0")=1,INDEX($V$4:$AW$4,MATCH(TRUE,INDEX($V755:$AW755&lt;&gt;0,),0)),IF(COUNTIF(AZ755:BB755,"&lt;&gt;0")=0,INDEX($AM$4:$AW$4,MATCH(1,$AM755:$AW755,0)),"Multiple strategies"))</f>
        <v>Multiple strategies</v>
      </c>
      <c r="BG755" s="1" t="s">
        <v>321</v>
      </c>
      <c r="BH755" t="s">
        <v>2264</v>
      </c>
      <c r="BJ755" t="s">
        <v>1355</v>
      </c>
      <c r="BK755">
        <v>130</v>
      </c>
      <c r="BL755">
        <v>180</v>
      </c>
      <c r="BN755">
        <f>BL755-BK755</f>
        <v>50</v>
      </c>
      <c r="BO755">
        <f>BN755*10^6</f>
        <v>50000000</v>
      </c>
      <c r="BP755" s="264" t="s">
        <v>232</v>
      </c>
      <c r="BQ755" s="264"/>
      <c r="BR755" t="s">
        <v>1140</v>
      </c>
      <c r="BS755">
        <v>-41.3</v>
      </c>
      <c r="BT755">
        <v>-19.2</v>
      </c>
      <c r="BU755" s="144">
        <v>0.46489104116222763</v>
      </c>
      <c r="BV755">
        <v>22.099999999999998</v>
      </c>
      <c r="BX755">
        <f>BV755*10^6</f>
        <v>22099999.999999996</v>
      </c>
      <c r="BY755">
        <f>IFERROR(BX755/BO755,"")</f>
        <v>0.44199999999999995</v>
      </c>
      <c r="BZ755">
        <v>0</v>
      </c>
      <c r="CA755">
        <v>0</v>
      </c>
      <c r="CB755">
        <v>0</v>
      </c>
      <c r="CC755">
        <v>0</v>
      </c>
      <c r="CD755">
        <v>0</v>
      </c>
      <c r="CE755">
        <v>0</v>
      </c>
      <c r="CF755">
        <v>0</v>
      </c>
      <c r="CG755">
        <v>0</v>
      </c>
      <c r="CH755">
        <v>0</v>
      </c>
      <c r="CI755">
        <v>0</v>
      </c>
      <c r="CJ755">
        <v>0</v>
      </c>
      <c r="CK755">
        <v>0</v>
      </c>
      <c r="CL755">
        <v>0</v>
      </c>
      <c r="CM755">
        <v>0</v>
      </c>
      <c r="CN755" t="str">
        <f>IF($BL755&lt;$BK755,"refNeedCorrection","refOK")</f>
        <v>refOK</v>
      </c>
      <c r="CO755">
        <f>IF($CN755="refOK",$BK755,$BL755)</f>
        <v>130</v>
      </c>
      <c r="CP755">
        <f>IF($CN755="refOK",$BL755,$BK755)</f>
        <v>180</v>
      </c>
      <c r="CQ755">
        <f>IF($CN755="refOK",$BO755,-$BO755)</f>
        <v>50000000</v>
      </c>
      <c r="CR755">
        <f>IF($CN755="refOK",$BS755,$BT755)*IF($BP755="Emissions positive",-1,1)</f>
        <v>-41.3</v>
      </c>
      <c r="CS755">
        <f>IF($CN755="refOK",$BT755,$BS755)*IF($BP755="Emissions positive",-1,1)</f>
        <v>-19.2</v>
      </c>
      <c r="CT755">
        <f>IF($CN755="refNeedCorrection",-BX755,BX755)*IF($BP755="Emissions positive",-1,1)</f>
        <v>22099999.999999996</v>
      </c>
      <c r="CU755">
        <f>IFERROR(CT755/CQ755,"")</f>
        <v>0.44199999999999995</v>
      </c>
      <c r="CV755" s="2">
        <f>IFERROR((CS755-CR755)/ABS(CR755),"")</f>
        <v>0.53510895883777243</v>
      </c>
      <c r="CW755" s="1" t="s">
        <v>1203</v>
      </c>
      <c r="CX755" s="264" t="str">
        <f>IF(OR($CW755="prd",$CW755="std",$CW755="cit"),"loc",IF(OR($CW755="eur",$CW755="reg",$CW755="coy"),"reg",$CW755))</f>
        <v>reg</v>
      </c>
      <c r="CY755" t="s">
        <v>540</v>
      </c>
      <c r="CZ755">
        <v>2012</v>
      </c>
      <c r="DA755">
        <v>2112</v>
      </c>
      <c r="DB755">
        <v>100</v>
      </c>
      <c r="DC755" t="str">
        <f>IF(DB755=0,"0",IF(AND(DB755&gt;=1,DB755&lt;=30),"1-30",IF(AND(DB755&gt;30,DB755&lt;=70),"31-70",IF(AND(DB755&gt;70,DB755&lt;=100),"71-100",IF(DB755&gt;100,"+100")))))</f>
        <v>71-100</v>
      </c>
      <c r="DD755">
        <v>0</v>
      </c>
      <c r="DE755">
        <v>1</v>
      </c>
      <c r="DF755">
        <v>1</v>
      </c>
      <c r="DG755">
        <v>1</v>
      </c>
      <c r="DI755">
        <f>SUM(DD755:DG755)</f>
        <v>3</v>
      </c>
      <c r="DJ755" t="str">
        <f>IF(DI755=1,INDEX($DD$7:$DG$7,MATCH(1,$DD755:$DG755,0)),"mixedProduct")</f>
        <v>mixedProduct</v>
      </c>
      <c r="DK755">
        <f>IF(DD755=1,DK$7,0)</f>
        <v>0</v>
      </c>
      <c r="DL755" t="str">
        <f>IF(DE755=1,DL$7,0)</f>
        <v>Energy</v>
      </c>
      <c r="DM755" t="str">
        <f>IF(DF755=1,DM$7,0)</f>
        <v>Pulp/Paper</v>
      </c>
      <c r="DN755" t="str">
        <f>IF(DG755=1,DN$7,0)</f>
        <v>Timber</v>
      </c>
      <c r="DO755" t="s">
        <v>2265</v>
      </c>
      <c r="DP755">
        <v>1</v>
      </c>
      <c r="DQ755" s="184" t="s">
        <v>2266</v>
      </c>
      <c r="DR755" t="s">
        <v>2267</v>
      </c>
      <c r="DT755">
        <f>SUM(DO755:DP755)</f>
        <v>1</v>
      </c>
      <c r="DU755" s="143" t="str">
        <f>IF(DO755=1,"self-calculated DF",IF(DP755=1,"external DF used","explicit C balance"))</f>
        <v>external DF used</v>
      </c>
      <c r="DV755">
        <v>0</v>
      </c>
      <c r="DW755">
        <v>0</v>
      </c>
      <c r="DX755">
        <v>0</v>
      </c>
      <c r="DY755">
        <v>1</v>
      </c>
      <c r="DZ755">
        <v>1</v>
      </c>
      <c r="EA755">
        <v>1</v>
      </c>
      <c r="EB755">
        <v>0</v>
      </c>
      <c r="EC755">
        <v>1</v>
      </c>
      <c r="ED755">
        <v>0</v>
      </c>
      <c r="EE755">
        <v>1</v>
      </c>
      <c r="EF755">
        <v>1</v>
      </c>
      <c r="EG755">
        <v>1</v>
      </c>
      <c r="EH755">
        <v>1</v>
      </c>
      <c r="EI755" s="2">
        <v>0</v>
      </c>
      <c r="EK755" t="str">
        <f>IF(AND(AND(AND(OR($DX755=1,$DW755=1),OR($EC755=1,$EA755=1)),SUM($DV755:$DZ755,$EF755)&gt;=4),SUM($EA755:$EE755)&gt;=2),"Whole sector","")</f>
        <v/>
      </c>
      <c r="EL755" t="str">
        <f>IF(AND(AND(OR($DX755=1,$DW755=1),AND($EC755=0,$EA755=0)),SUM($DV755:$DZ755,$EF755)&gt;=4),"Ecosystem approach","")</f>
        <v/>
      </c>
      <c r="EM755" s="2" t="str">
        <f>IF(AND(AND(AND($DX755=0,$DW755=0),OR($EC755=1,$EA755=1)),SUM($EB755:$EE755)&gt;=2),"Technology approach","")</f>
        <v>Technology approach</v>
      </c>
      <c r="EP755" t="str">
        <f>IF(ISNUMBER(BU755),IF(ABS(BU755-[3]QC_indicators!$B$2)&gt;3*[3]QC_indicators!$C$2,"C ratio",IF(ISNUMBER(BY755),IF(ABS(BY755-[3]QC_indicators!$B$1)&gt;3*[3]QC_indicators!$C$1,"DF","no"))),IF(ISNUMBER(BY755),IF(ABS(BY755-[3]QC_indicators!$B$1)&gt;3*[3]QC_indicators!$C$1,"DF","no")))</f>
        <v>no</v>
      </c>
      <c r="ER755" s="264" t="s">
        <v>2268</v>
      </c>
      <c r="ET755" s="264" t="s">
        <v>3407</v>
      </c>
    </row>
    <row r="756" spans="1:150" ht="15" customHeight="1">
      <c r="A756" s="1" t="s">
        <v>505</v>
      </c>
      <c r="B756" t="s">
        <v>528</v>
      </c>
      <c r="C756" t="s">
        <v>529</v>
      </c>
      <c r="D756" t="s">
        <v>530</v>
      </c>
      <c r="E756" t="s">
        <v>531</v>
      </c>
      <c r="F756" t="s">
        <v>532</v>
      </c>
      <c r="G756" t="s">
        <v>511</v>
      </c>
      <c r="H756" t="s">
        <v>254</v>
      </c>
      <c r="I756">
        <v>2015</v>
      </c>
      <c r="J756">
        <v>31</v>
      </c>
      <c r="K756" t="s">
        <v>533</v>
      </c>
      <c r="M756" t="str">
        <f>LEFT($D756,FIND(",",$D756)-1)&amp;"_"&amp;I756&amp;L756</f>
        <v>Cambero_2015</v>
      </c>
      <c r="N756" t="s">
        <v>222</v>
      </c>
      <c r="O756" s="145" t="s">
        <v>223</v>
      </c>
      <c r="Q756" t="s">
        <v>256</v>
      </c>
      <c r="R756" s="255" t="s">
        <v>225</v>
      </c>
      <c r="S756" s="1" t="s">
        <v>534</v>
      </c>
      <c r="T756" t="s">
        <v>535</v>
      </c>
      <c r="U756" t="s">
        <v>541</v>
      </c>
      <c r="V756">
        <v>0</v>
      </c>
      <c r="W756">
        <v>0</v>
      </c>
      <c r="X756">
        <v>0</v>
      </c>
      <c r="Y756">
        <v>0</v>
      </c>
      <c r="Z756">
        <v>0</v>
      </c>
      <c r="AA756">
        <v>0</v>
      </c>
      <c r="AB756">
        <v>0</v>
      </c>
      <c r="AC756">
        <v>0</v>
      </c>
      <c r="AD756">
        <v>0</v>
      </c>
      <c r="AE756">
        <v>0</v>
      </c>
      <c r="AF756">
        <v>0</v>
      </c>
      <c r="AG756">
        <v>0</v>
      </c>
      <c r="AH756">
        <v>0</v>
      </c>
      <c r="AI756">
        <v>0</v>
      </c>
      <c r="AJ756">
        <v>0</v>
      </c>
      <c r="AK756">
        <v>1</v>
      </c>
      <c r="AL756">
        <v>0</v>
      </c>
      <c r="AM756">
        <v>0</v>
      </c>
      <c r="AN756">
        <v>0</v>
      </c>
      <c r="AO756">
        <v>0</v>
      </c>
      <c r="AP756">
        <v>0</v>
      </c>
      <c r="AQ756">
        <v>0</v>
      </c>
      <c r="AR756">
        <v>0</v>
      </c>
      <c r="AS756">
        <v>0</v>
      </c>
      <c r="AT756">
        <v>0</v>
      </c>
      <c r="AU756">
        <v>0</v>
      </c>
      <c r="AV756">
        <v>0</v>
      </c>
      <c r="AW756">
        <v>0</v>
      </c>
      <c r="AX756" s="141">
        <f>COUNTIF(V756:AW756,"&lt;&gt;0")</f>
        <v>1</v>
      </c>
      <c r="AY756" s="141">
        <f>COUNTIF(V756:AL756,"&lt;&gt;0")</f>
        <v>1</v>
      </c>
      <c r="AZ756">
        <f>COUNTIF(V756:AC756,"&lt;&gt;0")</f>
        <v>0</v>
      </c>
      <c r="BA756">
        <f>COUNTIF(AD756:AI756,"&lt;&gt;0")</f>
        <v>0</v>
      </c>
      <c r="BB756">
        <f>COUNTIF(AJ756:AL756,"&lt;&gt;0")</f>
        <v>1</v>
      </c>
      <c r="BC756">
        <f>COUNTIF(AS756:AW756,"&lt;&gt;0")</f>
        <v>0</v>
      </c>
      <c r="BD756">
        <f>COUNTIF(AM756:AR756,"&lt;&gt;0")</f>
        <v>0</v>
      </c>
      <c r="BE756" t="str">
        <f t="array" ref="BE756">IF(AY756=1,INDEX($V$7:$AL$7,MATCH(TRUE,INDEX($V756:$AW756&lt;&gt;0,),0)),IF(AY756=0,INDEX($AM$7:$AW$7,MATCH(1,$AM756:$AW756,0)),IF(BF756="Multiple strategies","mixed drivers",IF(BF756="Supply chain","multiple supply","multiple silviculture"))))</f>
        <v>technologies/design switch</v>
      </c>
      <c r="BF756" s="2" t="str" cm="1">
        <f t="array" ref="BF756">IF(COUNTIF(AZ756:BB756,"&lt;&gt;0")=1,INDEX($V$4:$AW$4,MATCH(TRUE,INDEX($V756:$AW756&lt;&gt;0,),0)),IF(COUNTIF(AZ756:BB756,"&lt;&gt;0")=0,INDEX($AM$4:$AW$4,MATCH(1,$AM756:$AW756,0)),"Multiple strategies"))</f>
        <v>Technology</v>
      </c>
      <c r="BG756" s="1" t="s">
        <v>229</v>
      </c>
      <c r="BH756" t="s">
        <v>537</v>
      </c>
      <c r="BI756" s="260" t="s">
        <v>3286</v>
      </c>
      <c r="BJ756" t="s">
        <v>538</v>
      </c>
      <c r="BK756">
        <v>0</v>
      </c>
      <c r="BL756">
        <v>22380.952379999999</v>
      </c>
      <c r="BN756">
        <f>BL756-BK756</f>
        <v>22380.952379999999</v>
      </c>
      <c r="BO756">
        <f>BN756*t_to_m3</f>
        <v>45675.413020408159</v>
      </c>
      <c r="BP756" t="s">
        <v>232</v>
      </c>
      <c r="BQ756" s="260" t="s">
        <v>3287</v>
      </c>
      <c r="BR756" t="s">
        <v>539</v>
      </c>
      <c r="BS756">
        <v>-178600</v>
      </c>
      <c r="BT756">
        <v>-158400</v>
      </c>
      <c r="BU756" s="144">
        <v>0.88689809630459127</v>
      </c>
      <c r="BV756">
        <v>20200</v>
      </c>
      <c r="BX756">
        <f>BV756</f>
        <v>20200</v>
      </c>
      <c r="BY756">
        <f>IFERROR(BX756/BO756,"")</f>
        <v>0.44225106384860646</v>
      </c>
      <c r="BZ756" s="143">
        <v>0</v>
      </c>
      <c r="CA756" s="143">
        <v>0</v>
      </c>
      <c r="CB756" s="143">
        <v>0</v>
      </c>
      <c r="CC756" s="143">
        <v>0</v>
      </c>
      <c r="CD756" s="143">
        <v>0</v>
      </c>
      <c r="CE756" s="143">
        <v>0</v>
      </c>
      <c r="CF756" s="143">
        <v>0</v>
      </c>
      <c r="CG756" s="143">
        <v>0</v>
      </c>
      <c r="CH756" s="143">
        <v>0</v>
      </c>
      <c r="CI756" s="143">
        <v>0</v>
      </c>
      <c r="CJ756" s="143">
        <v>0</v>
      </c>
      <c r="CK756" s="143">
        <v>0</v>
      </c>
      <c r="CL756" s="143">
        <v>0</v>
      </c>
      <c r="CM756">
        <v>1</v>
      </c>
      <c r="CN756" t="str">
        <f>IF($BL756&lt;$BK756,"refNeedCorrection","refOK")</f>
        <v>refOK</v>
      </c>
      <c r="CO756">
        <f>IF($CN756="refNeedCorrection",BL756,BK756)</f>
        <v>0</v>
      </c>
      <c r="CP756">
        <f>IF($CN756="refNeedCorrection",BK756,BL756)</f>
        <v>22380.952379999999</v>
      </c>
      <c r="CQ756">
        <f>IF($CN756="refOK",$BO756,-$BO756)</f>
        <v>45675.413020408159</v>
      </c>
      <c r="CR756">
        <f>IF($CN756="refOK",$BS756,$BT756)*IF($BP756="Emissions positive",-1,1)</f>
        <v>-178600</v>
      </c>
      <c r="CS756">
        <f>IF($CN756="refOK",$BT756,$BS756)*IF($BP756="Emissions positive",-1,1)</f>
        <v>-158400</v>
      </c>
      <c r="CT756">
        <f>IF($CN756="refNeedCorrection",-BX756,BX756)*IF($BP756="Emissions positive",-1,1)</f>
        <v>20200</v>
      </c>
      <c r="CU756">
        <f>IFERROR(CT756/CQ756,"")</f>
        <v>0.44225106384860646</v>
      </c>
      <c r="CV756" s="2">
        <f>IFERROR((CS756-CR756)/ABS(CR756),"")</f>
        <v>0.11310190369540873</v>
      </c>
      <c r="CW756" s="1" t="s">
        <v>347</v>
      </c>
      <c r="CX756" t="str">
        <f>IF(OR($CW756="prd",$CW756="std",$CW756="cit"),"loc",IF(OR($CW756="eur",$CW756="reg",$CW756="coy"),"reg",$CW756))</f>
        <v>loc</v>
      </c>
      <c r="CY756" t="s">
        <v>540</v>
      </c>
      <c r="DB756">
        <v>0</v>
      </c>
      <c r="DC756" t="str">
        <f>IF(DB756=0,"0",IF(AND(DB756&gt;=1,DB756&lt;=30),"1-30",IF(AND(DB756&gt;30,DB756&lt;=70),"31-70",IF(AND(DB756&gt;70,DB756&lt;=100),"71-100",IF(DB756&gt;100,"+100")))))</f>
        <v>0</v>
      </c>
      <c r="DD756">
        <v>0</v>
      </c>
      <c r="DE756">
        <v>1</v>
      </c>
      <c r="DF756">
        <v>0</v>
      </c>
      <c r="DG756">
        <v>0</v>
      </c>
      <c r="DI756">
        <f>SUM(DD756:DG756)</f>
        <v>1</v>
      </c>
      <c r="DJ756" t="str">
        <f>IF(DI756=1,INDEX($DD$7:$DG$7,MATCH(1,$DD756:$DG756,0)),"mixedProduct")</f>
        <v>EnergyInput</v>
      </c>
      <c r="DK756">
        <f>IF(DD756=1,DK$7,0)</f>
        <v>0</v>
      </c>
      <c r="DL756" t="str">
        <f>IF(DE756=1,DL$7,0)</f>
        <v>Energy</v>
      </c>
      <c r="DM756">
        <f>IF(DF756=1,DM$7,0)</f>
        <v>0</v>
      </c>
      <c r="DN756">
        <f>IF(DG756=1,DN$7,0)</f>
        <v>0</v>
      </c>
      <c r="DO756">
        <v>0</v>
      </c>
      <c r="DP756" s="143">
        <v>0</v>
      </c>
      <c r="DQ756" s="143">
        <v>0</v>
      </c>
      <c r="DR756" s="143">
        <v>0</v>
      </c>
      <c r="DS756">
        <v>0</v>
      </c>
      <c r="DT756">
        <f>SUM(DO756:DP756)</f>
        <v>0</v>
      </c>
      <c r="DU756" s="143" t="str">
        <f>IF(DO756=1,"self-calculated DF",IF(DP756=1,"external DF used","explicit C balance"))</f>
        <v>explicit C balance</v>
      </c>
      <c r="DV756">
        <v>0</v>
      </c>
      <c r="DW756" s="143">
        <v>1</v>
      </c>
      <c r="DX756" s="143">
        <v>0</v>
      </c>
      <c r="DY756" s="143">
        <v>0</v>
      </c>
      <c r="DZ756">
        <v>1</v>
      </c>
      <c r="EA756" s="143">
        <v>0</v>
      </c>
      <c r="EB756">
        <v>0</v>
      </c>
      <c r="EC756" s="143">
        <v>1</v>
      </c>
      <c r="ED756" s="143">
        <v>0</v>
      </c>
      <c r="EE756">
        <v>0</v>
      </c>
      <c r="EF756">
        <v>0</v>
      </c>
      <c r="EG756" s="143">
        <v>0</v>
      </c>
      <c r="EH756" s="143">
        <v>0</v>
      </c>
      <c r="EI756" s="2">
        <v>0</v>
      </c>
      <c r="EK756" t="str">
        <f>IF(AND(AND(AND(OR($DX756=1,$DW756=1),OR($EC756=1,$EA756=1)),SUM($DV756:$DZ756,$EF756)&gt;=4),SUM($EA756:$EE756)&gt;=2),"Whole sector","")</f>
        <v/>
      </c>
      <c r="EL756" t="str">
        <f>IF(AND(AND(OR($DX756=1,$DW756=1),AND($EC756=0,$EA756=0)),SUM($DV756:$DZ756,$EF756)&gt;=4),"Ecosystem approach","")</f>
        <v/>
      </c>
      <c r="EM756" s="2" t="str">
        <f>IF(AND(AND(AND($DX756=0,$DW756=0),OR($EC756=1,$EA756=1)),SUM($EB756:$EE756)&gt;=2),"Technology approach","")</f>
        <v/>
      </c>
      <c r="EP756" t="str">
        <f>IF(ISNUMBER(BU756),IF(ABS(BU756-[4]QC_indicators!$B$2)&gt;3*[4]QC_indicators!$C$2,"C ratio",IF(ISNUMBER(BY756),IF(ABS(BY756-[4]QC_indicators!$B$1)&gt;3*[4]QC_indicators!$C$1,"DF","no"))),IF(ISNUMBER(BY756),IF(ABS(BY756-[4]QC_indicators!$B$1)&gt;3*[4]QC_indicators!$C$1,"DF","no")))</f>
        <v>no</v>
      </c>
      <c r="ER756" s="149" t="s">
        <v>349</v>
      </c>
      <c r="ET756" s="264" t="s">
        <v>3273</v>
      </c>
    </row>
    <row r="757" spans="1:150" ht="15" customHeight="1">
      <c r="A757" s="1" t="s">
        <v>265</v>
      </c>
      <c r="B757" t="s">
        <v>266</v>
      </c>
      <c r="C757" t="s">
        <v>267</v>
      </c>
      <c r="D757" t="s">
        <v>268</v>
      </c>
      <c r="E757" t="s">
        <v>269</v>
      </c>
      <c r="F757" t="s">
        <v>270</v>
      </c>
      <c r="G757" t="s">
        <v>271</v>
      </c>
      <c r="H757" t="s">
        <v>254</v>
      </c>
      <c r="I757">
        <v>2022</v>
      </c>
      <c r="J757">
        <v>0</v>
      </c>
      <c r="K757" t="s">
        <v>272</v>
      </c>
      <c r="M757" t="str">
        <f>LEFT($D757,FIND(",",$D757)-1)&amp;"_"&amp;I757&amp;L757</f>
        <v>Aryapratama_2022</v>
      </c>
      <c r="N757" t="s">
        <v>222</v>
      </c>
      <c r="O757" s="145" t="s">
        <v>274</v>
      </c>
      <c r="Q757" t="s">
        <v>224</v>
      </c>
      <c r="R757" s="262" t="s">
        <v>223</v>
      </c>
      <c r="S757" s="263" t="s">
        <v>3105</v>
      </c>
      <c r="T757" t="s">
        <v>307</v>
      </c>
      <c r="U757" t="s">
        <v>308</v>
      </c>
      <c r="V757">
        <v>0</v>
      </c>
      <c r="W757">
        <v>0</v>
      </c>
      <c r="X757">
        <v>0</v>
      </c>
      <c r="Y757">
        <v>0</v>
      </c>
      <c r="Z757">
        <v>0</v>
      </c>
      <c r="AA757">
        <v>0</v>
      </c>
      <c r="AB757">
        <v>0</v>
      </c>
      <c r="AC757">
        <v>0</v>
      </c>
      <c r="AD757">
        <v>0</v>
      </c>
      <c r="AE757">
        <v>0</v>
      </c>
      <c r="AF757">
        <v>0</v>
      </c>
      <c r="AG757">
        <v>0</v>
      </c>
      <c r="AH757">
        <v>0</v>
      </c>
      <c r="AI757">
        <v>0</v>
      </c>
      <c r="AJ757">
        <v>0</v>
      </c>
      <c r="AK757">
        <v>1</v>
      </c>
      <c r="AL757">
        <v>0</v>
      </c>
      <c r="AM757">
        <v>0</v>
      </c>
      <c r="AN757">
        <v>0</v>
      </c>
      <c r="AO757">
        <v>0</v>
      </c>
      <c r="AP757">
        <v>0</v>
      </c>
      <c r="AQ757">
        <v>0</v>
      </c>
      <c r="AR757">
        <v>0</v>
      </c>
      <c r="AS757">
        <v>0</v>
      </c>
      <c r="AT757">
        <v>0</v>
      </c>
      <c r="AU757">
        <v>0</v>
      </c>
      <c r="AV757">
        <v>0</v>
      </c>
      <c r="AW757">
        <v>0</v>
      </c>
      <c r="AX757" s="141">
        <f>COUNTIF(V757:AW757,"&lt;&gt;0")</f>
        <v>1</v>
      </c>
      <c r="AY757" s="141">
        <f>COUNTIF(V757:AL757,"&lt;&gt;0")</f>
        <v>1</v>
      </c>
      <c r="AZ757">
        <f>COUNTIF(V757:AC757,"&lt;&gt;0")</f>
        <v>0</v>
      </c>
      <c r="BA757">
        <f>COUNTIF(AD757:AI757,"&lt;&gt;0")</f>
        <v>0</v>
      </c>
      <c r="BB757">
        <f>COUNTIF(AJ757:AL757,"&lt;&gt;0")</f>
        <v>1</v>
      </c>
      <c r="BC757">
        <f>COUNTIF(AS757:AW757,"&lt;&gt;0")</f>
        <v>0</v>
      </c>
      <c r="BD757">
        <f>COUNTIF(AM757:AR757,"&lt;&gt;0")</f>
        <v>0</v>
      </c>
      <c r="BE757" t="str">
        <f t="array" ref="BE757">IF(AY757=1,INDEX($V$7:$AL$7,MATCH(TRUE,INDEX($V757:$AW757&lt;&gt;0,),0)),IF(AY757=0,INDEX($AM$7:$AW$7,MATCH(1,$AM757:$AW757,0)),IF(BF757="Multiple strategies","mixed drivers",IF(BF757="Supply chain","multiple supply","multiple silviculture"))))</f>
        <v>technologies/design switch</v>
      </c>
      <c r="BF757" s="2" t="str" cm="1">
        <f t="array" ref="BF757">IF(COUNTIF(AZ757:BB757,"&lt;&gt;0")=1,INDEX($V$4:$AW$4,MATCH(TRUE,INDEX($V757:$AW757&lt;&gt;0,),0)),IF(COUNTIF(AZ757:BB757,"&lt;&gt;0")=0,INDEX($AM$4:$AW$4,MATCH(1,$AM757:$AW757,0)),"Multiple strategies"))</f>
        <v>Technology</v>
      </c>
      <c r="BG757" s="1" t="s">
        <v>229</v>
      </c>
      <c r="BH757" t="s">
        <v>277</v>
      </c>
      <c r="BI757" s="264" t="s">
        <v>3106</v>
      </c>
      <c r="BJ757" t="s">
        <v>278</v>
      </c>
      <c r="BK757">
        <v>0</v>
      </c>
      <c r="BL757">
        <v>455.74756079224562</v>
      </c>
      <c r="BN757">
        <f>BL757-BK757</f>
        <v>455.74756079224562</v>
      </c>
      <c r="BO757">
        <f>BN757*tC_to_m3</f>
        <v>1978.9299209389737</v>
      </c>
      <c r="BP757" t="s">
        <v>232</v>
      </c>
      <c r="BQ757" s="337" t="s">
        <v>3107</v>
      </c>
      <c r="BR757" t="s">
        <v>279</v>
      </c>
      <c r="BS757">
        <v>-852.47323414734842</v>
      </c>
      <c r="BT757">
        <v>23.49403951814293</v>
      </c>
      <c r="BU757" s="144">
        <f>IFERROR(BT757/BS757,"")</f>
        <v>-2.7559855931009829E-2</v>
      </c>
      <c r="BV757">
        <f>BT757-BS757</f>
        <v>875.96727366549135</v>
      </c>
      <c r="BX757">
        <f>BV757</f>
        <v>875.96727366549135</v>
      </c>
      <c r="BY757">
        <f>IFERROR(BX757/BO757,"")</f>
        <v>0.44264693984204223</v>
      </c>
      <c r="BZ757">
        <v>0</v>
      </c>
      <c r="CA757">
        <v>0</v>
      </c>
      <c r="CB757">
        <v>0</v>
      </c>
      <c r="CC757">
        <v>0</v>
      </c>
      <c r="CD757">
        <v>0</v>
      </c>
      <c r="CE757">
        <v>0</v>
      </c>
      <c r="CF757">
        <v>0</v>
      </c>
      <c r="CG757">
        <v>0</v>
      </c>
      <c r="CH757">
        <v>0</v>
      </c>
      <c r="CI757">
        <v>0</v>
      </c>
      <c r="CJ757">
        <v>0</v>
      </c>
      <c r="CK757">
        <v>0</v>
      </c>
      <c r="CL757">
        <v>0</v>
      </c>
      <c r="CM757">
        <v>0</v>
      </c>
      <c r="CN757" t="str">
        <f>IF($BL757&lt;$BK757,"refNeedCorrection","refOK")</f>
        <v>refOK</v>
      </c>
      <c r="CO757">
        <f>IF($CN757="refOK",$BK757,$BL757)</f>
        <v>0</v>
      </c>
      <c r="CP757">
        <f>IF($CN757="refOK",$BL757,$BK757)</f>
        <v>455.74756079224562</v>
      </c>
      <c r="CQ757">
        <f>IF($CN757="refOK",$BO757,-$BO757)</f>
        <v>1978.9299209389737</v>
      </c>
      <c r="CR757">
        <f>IF($CN757="refOK",$BS757,$BT757)*IF($BP757="Emissions positive",-1,1)</f>
        <v>-852.47323414734842</v>
      </c>
      <c r="CS757">
        <f>IF($CN757="refOK",$BT757,$BS757)*IF($BP757="Emissions positive",-1,1)</f>
        <v>23.49403951814293</v>
      </c>
      <c r="CT757">
        <f>IF($CN757="refNeedCorrection",-BX757,BX757)*IF($BP757="Emissions positive",-1,1)</f>
        <v>875.96727366549135</v>
      </c>
      <c r="CU757">
        <f>IFERROR(CT757/CQ757,"")</f>
        <v>0.44264693984204223</v>
      </c>
      <c r="CV757" s="2">
        <f>IFERROR((CS757-CR757)/ABS(CR757),"")</f>
        <v>1.0275598559310097</v>
      </c>
      <c r="CW757" s="1" t="s">
        <v>234</v>
      </c>
      <c r="CX757" t="str">
        <f>IF(OR($CW757="prd",$CW757="std",$CW757="cit"),"loc",IF(OR($CW757="eur",$CW757="reg",$CW757="coy"),"reg",$CW757))</f>
        <v>loc</v>
      </c>
      <c r="CY757" t="s">
        <v>280</v>
      </c>
      <c r="DB757">
        <v>200</v>
      </c>
      <c r="DC757" t="str">
        <f>IF(DB757=0,"0",IF(AND(DB757&gt;=1,DB757&lt;=30),"1-30",IF(AND(DB757&gt;30,DB757&lt;=70),"31-70",IF(AND(DB757&gt;70,DB757&lt;=100),"71-100",IF(DB757&gt;100,"+100")))))</f>
        <v>+100</v>
      </c>
      <c r="DD757">
        <v>0</v>
      </c>
      <c r="DE757">
        <v>0</v>
      </c>
      <c r="DF757">
        <v>0</v>
      </c>
      <c r="DG757">
        <v>1</v>
      </c>
      <c r="DI757">
        <f>SUM(DD757:DG757)</f>
        <v>1</v>
      </c>
      <c r="DJ757" t="str">
        <f>IF(DI757=1,INDEX($DD$7:$DG$7,MATCH(1,$DD757:$DG757,0)),"mixedProduct")</f>
        <v>TimberInput</v>
      </c>
      <c r="DK757">
        <f>IF(DD757=1,DK$7,0)</f>
        <v>0</v>
      </c>
      <c r="DL757">
        <f>IF(DE757=1,DL$7,0)</f>
        <v>0</v>
      </c>
      <c r="DM757">
        <f>IF(DF757=1,DM$7,0)</f>
        <v>0</v>
      </c>
      <c r="DN757" t="str">
        <f>IF(DG757=1,DN$7,0)</f>
        <v>Timber</v>
      </c>
      <c r="DO757">
        <v>0</v>
      </c>
      <c r="DP757">
        <v>1</v>
      </c>
      <c r="DQ757" t="s">
        <v>304</v>
      </c>
      <c r="DR757">
        <v>0</v>
      </c>
      <c r="DS757">
        <v>0</v>
      </c>
      <c r="DT757">
        <f>SUM(DO757:DP757)</f>
        <v>1</v>
      </c>
      <c r="DU757" s="143" t="str">
        <f>IF(DO757=1,"self-calculated DF",IF(DP757=1,"external DF used","explicit C balance"))</f>
        <v>external DF used</v>
      </c>
      <c r="DV757">
        <v>0</v>
      </c>
      <c r="DW757">
        <v>1</v>
      </c>
      <c r="DX757">
        <v>1</v>
      </c>
      <c r="DY757">
        <v>1</v>
      </c>
      <c r="DZ757">
        <v>1</v>
      </c>
      <c r="EA757" s="143">
        <v>0</v>
      </c>
      <c r="EB757">
        <v>1</v>
      </c>
      <c r="EC757">
        <v>1</v>
      </c>
      <c r="ED757">
        <v>0</v>
      </c>
      <c r="EE757">
        <v>1</v>
      </c>
      <c r="EF757">
        <v>1</v>
      </c>
      <c r="EG757">
        <v>1</v>
      </c>
      <c r="EH757">
        <v>0</v>
      </c>
      <c r="EI757" s="2">
        <v>0</v>
      </c>
      <c r="EK757" t="str">
        <f>IF(AND(AND(AND(OR($DX757=1,$DW757=1),OR($EC757=1,$EA757=1)),SUM($DV757:$DZ757,$EF757)&gt;=4),SUM($EA757:$EE757)&gt;=2),"Whole sector","")</f>
        <v>Whole sector</v>
      </c>
      <c r="EL757" t="str">
        <f>IF(AND(AND(OR($DX757=1,$DW757=1),AND($EC757=0,$EA757=0)),SUM($DV757:$DZ757,$EF757)&gt;=4),"Ecosystem approach","")</f>
        <v/>
      </c>
      <c r="EM757" s="2" t="str">
        <f>IF(AND(AND(AND($DX757=0,$DW757=0),OR($EC757=1,$EA757=1)),SUM($EB757:$EE757)&gt;=2),"Technology approach","")</f>
        <v/>
      </c>
      <c r="EP757" t="str">
        <f>IF(ISNUMBER(BU757),IF(ABS(BU757-[1]QC_indicators!$B$2)&gt;3*[1]QC_indicators!$C$2,"C ratio",IF(ISNUMBER(BY757),IF(ABS(BY757-[1]QC_indicators!$B$1)&gt;3*[1]QC_indicators!$C$1,"DF","no"))),IF(ISNUMBER(BY757),IF(ABS(BY757-[1]QC_indicators!$B$1)&gt;3*[1]QC_indicators!$C$1,"DF","no")))</f>
        <v>no</v>
      </c>
      <c r="EQ757" t="s">
        <v>286</v>
      </c>
      <c r="ER757" t="s">
        <v>296</v>
      </c>
      <c r="ET757" s="264" t="s">
        <v>3273</v>
      </c>
    </row>
    <row r="758" spans="1:150" ht="15" customHeight="1">
      <c r="D758" t="s">
        <v>1661</v>
      </c>
      <c r="E758" t="s">
        <v>1662</v>
      </c>
      <c r="G758" t="s">
        <v>1663</v>
      </c>
      <c r="I758">
        <v>2007</v>
      </c>
      <c r="K758" t="s">
        <v>1664</v>
      </c>
      <c r="M758" t="str">
        <f>LEFT($D758,FIND(",",$D758)-1)&amp;"_"&amp;I758&amp;L758</f>
        <v>Gustavsson_2007</v>
      </c>
      <c r="N758" t="s">
        <v>222</v>
      </c>
      <c r="O758" t="s">
        <v>223</v>
      </c>
      <c r="Q758" t="s">
        <v>256</v>
      </c>
      <c r="R758" s="269" t="s">
        <v>274</v>
      </c>
      <c r="S758" s="1" t="s">
        <v>1665</v>
      </c>
      <c r="T758" t="s">
        <v>1684</v>
      </c>
      <c r="U758" s="143" t="s">
        <v>1678</v>
      </c>
      <c r="V758">
        <v>0</v>
      </c>
      <c r="W758">
        <v>0</v>
      </c>
      <c r="X758">
        <v>0</v>
      </c>
      <c r="Y758">
        <v>0</v>
      </c>
      <c r="Z758">
        <v>0</v>
      </c>
      <c r="AA758">
        <v>0</v>
      </c>
      <c r="AB758">
        <v>0</v>
      </c>
      <c r="AC758">
        <v>0</v>
      </c>
      <c r="AD758">
        <v>0</v>
      </c>
      <c r="AE758">
        <v>0</v>
      </c>
      <c r="AF758">
        <v>0</v>
      </c>
      <c r="AG758">
        <v>0</v>
      </c>
      <c r="AH758">
        <v>0</v>
      </c>
      <c r="AI758">
        <v>0</v>
      </c>
      <c r="AJ758">
        <v>0</v>
      </c>
      <c r="AK758">
        <v>1</v>
      </c>
      <c r="AL758">
        <v>0</v>
      </c>
      <c r="AM758">
        <v>0</v>
      </c>
      <c r="AN758">
        <v>0</v>
      </c>
      <c r="AO758">
        <v>0</v>
      </c>
      <c r="AP758">
        <v>0</v>
      </c>
      <c r="AQ758">
        <v>0</v>
      </c>
      <c r="AR758">
        <v>0</v>
      </c>
      <c r="AS758">
        <v>0</v>
      </c>
      <c r="AT758">
        <v>0</v>
      </c>
      <c r="AU758">
        <v>0</v>
      </c>
      <c r="AV758">
        <v>0</v>
      </c>
      <c r="AW758">
        <v>0</v>
      </c>
      <c r="AX758" s="141">
        <f>COUNTIF(V758:AW758,"&lt;&gt;0")</f>
        <v>1</v>
      </c>
      <c r="AY758" s="141">
        <f>COUNTIF(V758:AL758,"&lt;&gt;0")</f>
        <v>1</v>
      </c>
      <c r="AZ758">
        <f>COUNTIF(V758:AC758,"&lt;&gt;0")</f>
        <v>0</v>
      </c>
      <c r="BA758">
        <f>COUNTIF(AD758:AI758,"&lt;&gt;0")</f>
        <v>0</v>
      </c>
      <c r="BB758">
        <f>COUNTIF(AJ758:AL758,"&lt;&gt;0")</f>
        <v>1</v>
      </c>
      <c r="BC758">
        <f>COUNTIF(AS758:AW758,"&lt;&gt;0")</f>
        <v>0</v>
      </c>
      <c r="BD758">
        <f>COUNTIF(AM758:AR758,"&lt;&gt;0")</f>
        <v>0</v>
      </c>
      <c r="BE758" t="str">
        <f t="array" ref="BE758">IF(AY758=1,INDEX($V$7:$AL$7,MATCH(TRUE,INDEX($V758:$AW758&lt;&gt;0,),0)),IF(AY758=0,INDEX($AM$7:$AW$7,MATCH(1,$AM758:$AW758,0)),IF(BF758="Multiple strategies","mixed drivers",IF(BF758="Supply chain","multiple supply","multiple silviculture"))))</f>
        <v>technologies/design switch</v>
      </c>
      <c r="BF758" s="2" t="str" cm="1">
        <f t="array" ref="BF758">IF(COUNTIF(AZ758:BB758,"&lt;&gt;0")=1,INDEX($V$4:$AW$4,MATCH(TRUE,INDEX($V758:$AW758&lt;&gt;0,),0)),IF(COUNTIF(AZ758:BB758,"&lt;&gt;0")=0,INDEX($AM$4:$AW$4,MATCH(1,$AM758:$AW758,0)),"Multiple strategies"))</f>
        <v>Technology</v>
      </c>
      <c r="BG758" s="142" t="s">
        <v>229</v>
      </c>
      <c r="BH758" t="s">
        <v>1667</v>
      </c>
      <c r="BI758" s="264" t="s">
        <v>1057</v>
      </c>
      <c r="BJ758" s="143" t="s">
        <v>3265</v>
      </c>
      <c r="BK758">
        <v>0</v>
      </c>
      <c r="BL758" s="143">
        <v>50.7</v>
      </c>
      <c r="BM758" s="143"/>
      <c r="BN758">
        <f>BL758-BK758</f>
        <v>50.7</v>
      </c>
      <c r="BO758" s="143">
        <f>1000*BL758/15.3/400</f>
        <v>8.2843137254901951</v>
      </c>
      <c r="BP758" t="s">
        <v>232</v>
      </c>
      <c r="BR758" t="s">
        <v>938</v>
      </c>
      <c r="BS758" s="143">
        <v>-1</v>
      </c>
      <c r="BT758" s="151">
        <v>0</v>
      </c>
      <c r="BU758">
        <v>0</v>
      </c>
      <c r="BV758">
        <v>1</v>
      </c>
      <c r="BX758">
        <f>BV758*C_to_CO2</f>
        <v>3.67</v>
      </c>
      <c r="BY758">
        <f>IFERROR(BX758/BO758,"")</f>
        <v>0.44300591715976334</v>
      </c>
      <c r="BZ758" s="143">
        <v>0</v>
      </c>
      <c r="CA758" s="143">
        <v>0</v>
      </c>
      <c r="CB758" s="143">
        <v>0</v>
      </c>
      <c r="CC758" s="143">
        <v>0</v>
      </c>
      <c r="CD758" s="143">
        <v>0</v>
      </c>
      <c r="CE758" s="143">
        <v>0</v>
      </c>
      <c r="CF758" s="143">
        <v>0</v>
      </c>
      <c r="CG758" s="143">
        <v>0</v>
      </c>
      <c r="CH758" s="143">
        <v>0</v>
      </c>
      <c r="CI758" s="143">
        <v>0</v>
      </c>
      <c r="CJ758" s="143">
        <v>0</v>
      </c>
      <c r="CK758" s="143">
        <v>0</v>
      </c>
      <c r="CL758" s="143">
        <v>0</v>
      </c>
      <c r="CM758">
        <v>1</v>
      </c>
      <c r="CN758" t="str">
        <f>IF($BL758&lt;$BK758,"refNeedCorrection","refOK")</f>
        <v>refOK</v>
      </c>
      <c r="CO758">
        <f>IF($CN758="refOK",$BK758,$BL758)</f>
        <v>0</v>
      </c>
      <c r="CP758">
        <f>IF($CN758="refOK",$BL758,$BK758)</f>
        <v>50.7</v>
      </c>
      <c r="CQ758">
        <f>IF($CN758="refOK",$BO758,-$BO758)</f>
        <v>8.2843137254901951</v>
      </c>
      <c r="CR758">
        <f>IF($CN758="refOK",$BS758,$BT758)*IF($BP758="Emissions positive",-1,1)</f>
        <v>-1</v>
      </c>
      <c r="CS758">
        <f>IF($CN758="refOK",$BT758,$BS758)*IF($BP758="Emissions positive",-1,1)</f>
        <v>0</v>
      </c>
      <c r="CT758">
        <f>IF($CN758="refNeedCorrection",-BX758,BX758)*IF($BP758="Emissions positive",-1,1)</f>
        <v>3.67</v>
      </c>
      <c r="CU758">
        <f>IFERROR(CT758/CQ758,"")</f>
        <v>0.44300591715976334</v>
      </c>
      <c r="CV758" s="2">
        <f>IFERROR((CS758-CR758)/ABS(CR758),"")</f>
        <v>1</v>
      </c>
      <c r="CW758" s="1" t="s">
        <v>1203</v>
      </c>
      <c r="CX758" t="str">
        <f>IF(OR($CW758="prd",$CW758="std",$CW758="cit"),"loc",IF(OR($CW758="eur",$CW758="reg",$CW758="coy"),"reg",$CW758))</f>
        <v>reg</v>
      </c>
      <c r="CY758" t="s">
        <v>444</v>
      </c>
      <c r="DA758" s="143"/>
      <c r="DB758" s="143">
        <v>0</v>
      </c>
      <c r="DC758" t="str">
        <f>IF(DB758=0,"0",IF(AND(DB758&gt;=1,DB758&lt;=30),"1-30",IF(AND(DB758&gt;30,DB758&lt;=70),"31-70",IF(AND(DB758&gt;70,DB758&lt;=100),"71-100",IF(DB758&gt;100,"+100")))))</f>
        <v>0</v>
      </c>
      <c r="DD758">
        <v>0</v>
      </c>
      <c r="DE758">
        <v>1</v>
      </c>
      <c r="DF758">
        <v>0</v>
      </c>
      <c r="DG758">
        <v>0</v>
      </c>
      <c r="DI758">
        <f>SUM(DD758:DG758)</f>
        <v>1</v>
      </c>
      <c r="DJ758" t="str">
        <f>IF(DI758=1,INDEX($DD$7:$DG$7,MATCH(1,$DD758:$DG758,0)),"mixedProduct")</f>
        <v>EnergyInput</v>
      </c>
      <c r="DK758">
        <f>IF(DD758=1,DK$7,0)</f>
        <v>0</v>
      </c>
      <c r="DL758" t="str">
        <f>IF(DE758=1,DL$7,0)</f>
        <v>Energy</v>
      </c>
      <c r="DM758">
        <f>IF(DF758=1,DM$7,0)</f>
        <v>0</v>
      </c>
      <c r="DN758">
        <f>IF(DG758=1,DN$7,0)</f>
        <v>0</v>
      </c>
      <c r="DO758">
        <v>0</v>
      </c>
      <c r="DP758" s="143">
        <v>0</v>
      </c>
      <c r="DQ758" s="143">
        <v>0</v>
      </c>
      <c r="DR758">
        <v>0</v>
      </c>
      <c r="DS758" s="143">
        <v>0</v>
      </c>
      <c r="DT758">
        <f>SUM(DO758:DP758)</f>
        <v>0</v>
      </c>
      <c r="DU758" s="143" t="str">
        <f>IF(DO758=1,"self-calculated DF",IF(DP758=1,"external DF used","explicit C balance"))</f>
        <v>explicit C balance</v>
      </c>
      <c r="DV758" s="143">
        <v>0</v>
      </c>
      <c r="DW758" s="143">
        <v>0</v>
      </c>
      <c r="DX758" s="143">
        <v>0</v>
      </c>
      <c r="DY758" s="143">
        <v>0</v>
      </c>
      <c r="DZ758">
        <v>0</v>
      </c>
      <c r="EA758" s="143">
        <v>0</v>
      </c>
      <c r="EB758" s="143">
        <v>0</v>
      </c>
      <c r="EC758" s="143">
        <v>1</v>
      </c>
      <c r="ED758" s="143">
        <v>0</v>
      </c>
      <c r="EE758">
        <v>0</v>
      </c>
      <c r="EF758">
        <v>0</v>
      </c>
      <c r="EG758" s="143">
        <v>0</v>
      </c>
      <c r="EH758" s="143">
        <v>0</v>
      </c>
      <c r="EI758" s="2">
        <v>0</v>
      </c>
      <c r="EK758" t="str">
        <f>IF(AND(AND(AND(OR($DX758=1,$DW758=1),OR($EC758=1,$EA758=1)),SUM($DV758:$DZ758,$EF758)&gt;=4),SUM($EA758:$EE758)&gt;=2),"Whole sector","")</f>
        <v/>
      </c>
      <c r="EL758" t="str">
        <f>IF(AND(AND(OR($DX758=1,$DW758=1),AND($EC758=0,$EA758=0)),SUM($DV758:$DZ758,$EF758)&gt;=4),"Ecosystem approach","")</f>
        <v/>
      </c>
      <c r="EM758" s="2" t="str">
        <f>IF(AND(AND(AND($DX758=0,$DW758=0),OR($EC758=1,$EA758=1)),SUM($EB758:$EE758)&gt;=2),"Technology approach","")</f>
        <v/>
      </c>
      <c r="EP758" t="str">
        <f>IF(ISNUMBER(BU758),IF(ABS(BU758-[2]QC_indicators!$B$2)&gt;3*[2]QC_indicators!$C$2,"C ratio",IF(ISNUMBER(BY758),IF(ABS(BY758-[2]QC_indicators!$B$1)&gt;3*[2]QC_indicators!$C$1,"DF","no"))),IF(ISNUMBER(BY758),IF(ABS(BY758-[2]QC_indicators!$B$1)&gt;3*[2]QC_indicators!$C$1,"DF","no")))</f>
        <v>no</v>
      </c>
      <c r="ER758" s="149" t="s">
        <v>349</v>
      </c>
      <c r="ET758" s="264" t="s">
        <v>3266</v>
      </c>
    </row>
    <row r="759" spans="1:150" ht="15" customHeight="1">
      <c r="A759" s="1" t="s">
        <v>1808</v>
      </c>
      <c r="B759" t="s">
        <v>2257</v>
      </c>
      <c r="C759" t="s">
        <v>2258</v>
      </c>
      <c r="D759" t="s">
        <v>2259</v>
      </c>
      <c r="E759" t="s">
        <v>2260</v>
      </c>
      <c r="F759" t="s">
        <v>2261</v>
      </c>
      <c r="G759" t="s">
        <v>1814</v>
      </c>
      <c r="H759" t="s">
        <v>254</v>
      </c>
      <c r="I759">
        <v>2013</v>
      </c>
      <c r="J759">
        <v>49</v>
      </c>
      <c r="K759" t="s">
        <v>2262</v>
      </c>
      <c r="M759" t="str">
        <f>LEFT($D759,FIND(",",$D759)-1)&amp;"_"&amp;I759&amp;L759</f>
        <v>Sikkema_2013</v>
      </c>
      <c r="N759" t="s">
        <v>222</v>
      </c>
      <c r="O759" s="145" t="s">
        <v>341</v>
      </c>
      <c r="Q759" s="264" t="s">
        <v>256</v>
      </c>
      <c r="R759" s="269" t="s">
        <v>1154</v>
      </c>
      <c r="S759" s="1" t="s">
        <v>2274</v>
      </c>
      <c r="T759" t="s">
        <v>1099</v>
      </c>
      <c r="U759" t="e">
        <f>#REF!</f>
        <v>#REF!</v>
      </c>
      <c r="V759">
        <v>2</v>
      </c>
      <c r="W759">
        <v>0</v>
      </c>
      <c r="X759">
        <v>0</v>
      </c>
      <c r="Y759">
        <v>0</v>
      </c>
      <c r="Z759">
        <v>0</v>
      </c>
      <c r="AA759">
        <v>0</v>
      </c>
      <c r="AB759">
        <v>0</v>
      </c>
      <c r="AC759">
        <v>0</v>
      </c>
      <c r="AD759">
        <v>0</v>
      </c>
      <c r="AE759">
        <v>0</v>
      </c>
      <c r="AF759">
        <v>1</v>
      </c>
      <c r="AG759">
        <v>0</v>
      </c>
      <c r="AH759">
        <v>0</v>
      </c>
      <c r="AI759">
        <v>0</v>
      </c>
      <c r="AJ759">
        <v>0</v>
      </c>
      <c r="AK759">
        <v>0</v>
      </c>
      <c r="AL759">
        <v>0</v>
      </c>
      <c r="AM759">
        <v>0</v>
      </c>
      <c r="AN759">
        <v>0</v>
      </c>
      <c r="AO759">
        <v>0</v>
      </c>
      <c r="AP759">
        <v>0</v>
      </c>
      <c r="AQ759">
        <v>0</v>
      </c>
      <c r="AR759">
        <v>0</v>
      </c>
      <c r="AS759">
        <v>0</v>
      </c>
      <c r="AT759">
        <v>0</v>
      </c>
      <c r="AU759">
        <v>0</v>
      </c>
      <c r="AV759">
        <v>0</v>
      </c>
      <c r="AW759">
        <v>0</v>
      </c>
      <c r="AX759" s="141">
        <f>COUNTIF(V759:AW759,"&lt;&gt;0")</f>
        <v>2</v>
      </c>
      <c r="AY759" s="141">
        <f>COUNTIF(V759:AL759,"&lt;&gt;0")</f>
        <v>2</v>
      </c>
      <c r="AZ759">
        <f>COUNTIF(V759:AC759,"&lt;&gt;0")</f>
        <v>1</v>
      </c>
      <c r="BA759">
        <f>COUNTIF(AD759:AI759,"&lt;&gt;0")</f>
        <v>1</v>
      </c>
      <c r="BB759">
        <f>COUNTIF(AJ759:AL759,"&lt;&gt;0")</f>
        <v>0</v>
      </c>
      <c r="BC759">
        <f>COUNTIF(AS759:AW759,"&lt;&gt;0")</f>
        <v>0</v>
      </c>
      <c r="BD759">
        <f>COUNTIF(AM759:AR759,"&lt;&gt;0")</f>
        <v>0</v>
      </c>
      <c r="BE759" t="str" cm="1">
        <f t="array" ref="BE759">IF(AY759=1,INDEX($V$7:$AL$7,MATCH(TRUE,INDEX($V759:$AW759&lt;&gt;0,),0)),IF(AY759=0,INDEX($AM$7:$AW$7,MATCH(1,$AM759:$AW759,0)),IF(BF759="Multiple strategies","mixed drivers",IF(BF759="Supply chain","multiple supply","multiple silviculture"))))</f>
        <v>mixed drivers</v>
      </c>
      <c r="BF759" s="2" t="str" cm="1">
        <f t="array" ref="BF759">IF(COUNTIF(AZ759:BB759,"&lt;&gt;0")=1,INDEX($V$4:$AW$4,MATCH(TRUE,INDEX($V759:$AW759&lt;&gt;0,),0)),IF(COUNTIF(AZ759:BB759,"&lt;&gt;0")=0,INDEX($AM$4:$AW$4,MATCH(1,$AM759:$AW759,0)),"Multiple strategies"))</f>
        <v>Multiple strategies</v>
      </c>
      <c r="BG759" s="1" t="s">
        <v>321</v>
      </c>
      <c r="BH759" t="s">
        <v>2264</v>
      </c>
      <c r="BJ759" t="s">
        <v>1355</v>
      </c>
      <c r="BK759">
        <v>130</v>
      </c>
      <c r="BL759">
        <v>180</v>
      </c>
      <c r="BN759">
        <f>BL759-BK759</f>
        <v>50</v>
      </c>
      <c r="BO759">
        <f>BN759*10^6</f>
        <v>50000000</v>
      </c>
      <c r="BP759" s="264" t="s">
        <v>232</v>
      </c>
      <c r="BQ759" s="264"/>
      <c r="BR759" t="s">
        <v>1140</v>
      </c>
      <c r="BS759">
        <v>-41.3</v>
      </c>
      <c r="BT759">
        <v>-19</v>
      </c>
      <c r="BU759" s="144">
        <v>0.46004842615012109</v>
      </c>
      <c r="BV759">
        <v>22.299999999999997</v>
      </c>
      <c r="BX759">
        <f>BV759*10^6</f>
        <v>22299999.999999996</v>
      </c>
      <c r="BY759">
        <f>IFERROR(BX759/BO759,"")</f>
        <v>0.44599999999999995</v>
      </c>
      <c r="BZ759">
        <v>0</v>
      </c>
      <c r="CA759">
        <v>0</v>
      </c>
      <c r="CB759">
        <v>0</v>
      </c>
      <c r="CC759">
        <v>0</v>
      </c>
      <c r="CD759">
        <v>0</v>
      </c>
      <c r="CE759">
        <v>0</v>
      </c>
      <c r="CF759">
        <v>0</v>
      </c>
      <c r="CG759">
        <v>0</v>
      </c>
      <c r="CH759">
        <v>0</v>
      </c>
      <c r="CI759">
        <v>0</v>
      </c>
      <c r="CJ759">
        <v>0</v>
      </c>
      <c r="CK759">
        <v>0</v>
      </c>
      <c r="CL759">
        <v>0</v>
      </c>
      <c r="CM759">
        <v>0</v>
      </c>
      <c r="CN759" t="str">
        <f>IF($BL759&lt;$BK759,"refNeedCorrection","refOK")</f>
        <v>refOK</v>
      </c>
      <c r="CO759">
        <f>IF($CN759="refOK",$BK759,$BL759)</f>
        <v>130</v>
      </c>
      <c r="CP759">
        <f>IF($CN759="refOK",$BL759,$BK759)</f>
        <v>180</v>
      </c>
      <c r="CQ759">
        <f>IF($CN759="refOK",$BO759,-$BO759)</f>
        <v>50000000</v>
      </c>
      <c r="CR759">
        <f>IF($CN759="refOK",$BS759,$BT759)*IF($BP759="Emissions positive",-1,1)</f>
        <v>-41.3</v>
      </c>
      <c r="CS759">
        <f>IF($CN759="refOK",$BT759,$BS759)*IF($BP759="Emissions positive",-1,1)</f>
        <v>-19</v>
      </c>
      <c r="CT759">
        <f>IF($CN759="refNeedCorrection",-BX759,BX759)*IF($BP759="Emissions positive",-1,1)</f>
        <v>22299999.999999996</v>
      </c>
      <c r="CU759">
        <f>IFERROR(CT759/CQ759,"")</f>
        <v>0.44599999999999995</v>
      </c>
      <c r="CV759" s="2">
        <f>IFERROR((CS759-CR759)/ABS(CR759),"")</f>
        <v>0.53995157384987891</v>
      </c>
      <c r="CW759" s="1" t="s">
        <v>1203</v>
      </c>
      <c r="CX759" s="264" t="str">
        <f>IF(OR($CW759="prd",$CW759="std",$CW759="cit"),"loc",IF(OR($CW759="eur",$CW759="reg",$CW759="coy"),"reg",$CW759))</f>
        <v>reg</v>
      </c>
      <c r="CY759" t="s">
        <v>540</v>
      </c>
      <c r="CZ759">
        <v>2012</v>
      </c>
      <c r="DA759">
        <v>2112</v>
      </c>
      <c r="DB759">
        <v>100</v>
      </c>
      <c r="DC759" t="str">
        <f>IF(DB759=0,"0",IF(AND(DB759&gt;=1,DB759&lt;=30),"1-30",IF(AND(DB759&gt;30,DB759&lt;=70),"31-70",IF(AND(DB759&gt;70,DB759&lt;=100),"71-100",IF(DB759&gt;100,"+100")))))</f>
        <v>71-100</v>
      </c>
      <c r="DD759">
        <v>0</v>
      </c>
      <c r="DE759">
        <v>1</v>
      </c>
      <c r="DF759">
        <v>1</v>
      </c>
      <c r="DG759">
        <v>1</v>
      </c>
      <c r="DI759">
        <f>SUM(DD759:DG759)</f>
        <v>3</v>
      </c>
      <c r="DJ759" t="str">
        <f>IF(DI759=1,INDEX($DD$7:$DG$7,MATCH(1,$DD759:$DG759,0)),"mixedProduct")</f>
        <v>mixedProduct</v>
      </c>
      <c r="DK759">
        <f>IF(DD759=1,DK$7,0)</f>
        <v>0</v>
      </c>
      <c r="DL759" t="str">
        <f>IF(DE759=1,DL$7,0)</f>
        <v>Energy</v>
      </c>
      <c r="DM759" t="str">
        <f>IF(DF759=1,DM$7,0)</f>
        <v>Pulp/Paper</v>
      </c>
      <c r="DN759" t="str">
        <f>IF(DG759=1,DN$7,0)</f>
        <v>Timber</v>
      </c>
      <c r="DO759" t="s">
        <v>2265</v>
      </c>
      <c r="DP759">
        <v>1</v>
      </c>
      <c r="DQ759" s="184" t="s">
        <v>2266</v>
      </c>
      <c r="DR759" t="s">
        <v>2267</v>
      </c>
      <c r="DT759">
        <f>SUM(DO759:DP759)</f>
        <v>1</v>
      </c>
      <c r="DU759" s="143" t="str">
        <f>IF(DO759=1,"self-calculated DF",IF(DP759=1,"external DF used","explicit C balance"))</f>
        <v>external DF used</v>
      </c>
      <c r="DV759">
        <v>0</v>
      </c>
      <c r="DW759">
        <v>0</v>
      </c>
      <c r="DX759">
        <v>0</v>
      </c>
      <c r="DY759">
        <v>1</v>
      </c>
      <c r="DZ759">
        <v>1</v>
      </c>
      <c r="EA759">
        <v>1</v>
      </c>
      <c r="EB759">
        <v>0</v>
      </c>
      <c r="EC759">
        <v>1</v>
      </c>
      <c r="ED759">
        <v>0</v>
      </c>
      <c r="EE759">
        <v>1</v>
      </c>
      <c r="EF759">
        <v>1</v>
      </c>
      <c r="EG759">
        <v>1</v>
      </c>
      <c r="EH759">
        <v>1</v>
      </c>
      <c r="EI759" s="2">
        <v>0</v>
      </c>
      <c r="EK759" t="str">
        <f>IF(AND(AND(AND(OR($DX759=1,$DW759=1),OR($EC759=1,$EA759=1)),SUM($DV759:$DZ759,$EF759)&gt;=4),SUM($EA759:$EE759)&gt;=2),"Whole sector","")</f>
        <v/>
      </c>
      <c r="EL759" t="str">
        <f>IF(AND(AND(OR($DX759=1,$DW759=1),AND($EC759=0,$EA759=0)),SUM($DV759:$DZ759,$EF759)&gt;=4),"Ecosystem approach","")</f>
        <v/>
      </c>
      <c r="EM759" s="2" t="str">
        <f>IF(AND(AND(AND($DX759=0,$DW759=0),OR($EC759=1,$EA759=1)),SUM($EB759:$EE759)&gt;=2),"Technology approach","")</f>
        <v>Technology approach</v>
      </c>
      <c r="EP759" t="str">
        <f>IF(ISNUMBER(BU759),IF(ABS(BU759-[3]QC_indicators!$B$2)&gt;3*[3]QC_indicators!$C$2,"C ratio",IF(ISNUMBER(BY759),IF(ABS(BY759-[3]QC_indicators!$B$1)&gt;3*[3]QC_indicators!$C$1,"DF","no"))),IF(ISNUMBER(BY759),IF(ABS(BY759-[3]QC_indicators!$B$1)&gt;3*[3]QC_indicators!$C$1,"DF","no")))</f>
        <v>no</v>
      </c>
      <c r="ER759" s="264" t="s">
        <v>2268</v>
      </c>
      <c r="ET759" s="264" t="s">
        <v>3407</v>
      </c>
    </row>
    <row r="760" spans="1:150" ht="15" customHeight="1">
      <c r="A760" s="1" t="s">
        <v>1045</v>
      </c>
      <c r="B760" t="s">
        <v>1046</v>
      </c>
      <c r="C760" t="s">
        <v>1047</v>
      </c>
      <c r="D760" t="s">
        <v>1048</v>
      </c>
      <c r="E760" t="s">
        <v>1049</v>
      </c>
      <c r="F760" t="s">
        <v>1050</v>
      </c>
      <c r="G760" t="s">
        <v>1051</v>
      </c>
      <c r="H760" t="s">
        <v>254</v>
      </c>
      <c r="I760">
        <v>2014</v>
      </c>
      <c r="J760">
        <v>23</v>
      </c>
      <c r="K760" t="s">
        <v>1052</v>
      </c>
      <c r="M760" t="str">
        <f>LEFT($D760,FIND(",",$D760)-1)&amp;"_"&amp;I760&amp;L760</f>
        <v>Pyorala_2014</v>
      </c>
      <c r="N760" t="s">
        <v>222</v>
      </c>
      <c r="O760" s="171" t="s">
        <v>341</v>
      </c>
      <c r="P760" t="s">
        <v>225</v>
      </c>
      <c r="Q760" s="264" t="s">
        <v>389</v>
      </c>
      <c r="R760" s="269" t="s">
        <v>1154</v>
      </c>
      <c r="S760" s="263" t="s">
        <v>95</v>
      </c>
      <c r="T760" s="264" t="s">
        <v>1073</v>
      </c>
      <c r="U760" s="264" t="s">
        <v>1074</v>
      </c>
      <c r="V760">
        <v>0</v>
      </c>
      <c r="W760">
        <v>0</v>
      </c>
      <c r="X760">
        <v>0</v>
      </c>
      <c r="Y760">
        <v>0</v>
      </c>
      <c r="Z760">
        <v>0</v>
      </c>
      <c r="AA760">
        <v>0</v>
      </c>
      <c r="AB760">
        <v>0</v>
      </c>
      <c r="AC760">
        <v>1</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s="141">
        <f>COUNTIF(V760:AW760,"&lt;&gt;0")</f>
        <v>1</v>
      </c>
      <c r="AY760" s="141">
        <f>COUNTIF(V760:AL760,"&lt;&gt;0")</f>
        <v>1</v>
      </c>
      <c r="AZ760">
        <f>COUNTIF(V760:AC760,"&lt;&gt;0")</f>
        <v>1</v>
      </c>
      <c r="BA760">
        <f>COUNTIF(AD760:AI760,"&lt;&gt;0")</f>
        <v>0</v>
      </c>
      <c r="BB760">
        <f>COUNTIF(AJ760:AL760,"&lt;&gt;0")</f>
        <v>0</v>
      </c>
      <c r="BC760">
        <f>COUNTIF(AS760:AW760,"&lt;&gt;0")</f>
        <v>0</v>
      </c>
      <c r="BD760">
        <f>COUNTIF(AM760:AR760,"&lt;&gt;0")</f>
        <v>0</v>
      </c>
      <c r="BE760" t="str" cm="1">
        <f t="array" ref="BE760">IF(AY760=1,INDEX($V$7:$AL$7,MATCH(TRUE,INDEX($V760:$AW760&lt;&gt;0,),0)),IF(AY760=0,INDEX($AM$7:$AW$7,MATCH(1,$AM760:$AW760,0)),IF(BF760="Multiple strategies","mixed drivers",IF(BF760="Supply chain","multiple supply","multiple silviculture"))))</f>
        <v>site fertility</v>
      </c>
      <c r="BF760" s="2" t="str" cm="1">
        <f t="array" ref="BF760">IF(COUNTIF(AZ760:BB760,"&lt;&gt;0")=1,INDEX($V$4:$AW$4,MATCH(TRUE,INDEX($V760:$AW760&lt;&gt;0,),0)),IF(COUNTIF(AZ760:BB760,"&lt;&gt;0")=0,INDEX($AM$4:$AW$4,MATCH(1,$AM760:$AW760,0)),"Multiple strategies"))</f>
        <v>Silviculture for productivity</v>
      </c>
      <c r="BG760" s="1" t="s">
        <v>321</v>
      </c>
      <c r="BH760" t="s">
        <v>1056</v>
      </c>
      <c r="BI760" s="264" t="s">
        <v>1057</v>
      </c>
      <c r="BJ760" s="264" t="s">
        <v>1058</v>
      </c>
      <c r="BK760">
        <v>5.25</v>
      </c>
      <c r="BL760">
        <v>6.15</v>
      </c>
      <c r="BM760" t="str">
        <f>IFERROR(BK760/#REF!,"")</f>
        <v/>
      </c>
      <c r="BN760">
        <f>BL760-BK760</f>
        <v>0.90000000000000036</v>
      </c>
      <c r="BO760">
        <f>BN760*t_to_m3</f>
        <v>1.8367346938775517</v>
      </c>
      <c r="BP760" t="s">
        <v>395</v>
      </c>
      <c r="BQ760" t="s">
        <v>972</v>
      </c>
      <c r="BR760" t="s">
        <v>1059</v>
      </c>
      <c r="BS760" s="172">
        <v>-446.5</v>
      </c>
      <c r="BT760" s="172">
        <v>-529</v>
      </c>
      <c r="BU760" s="144"/>
      <c r="BV760">
        <f>BT760-BS760</f>
        <v>-82.5</v>
      </c>
      <c r="BX760">
        <f>BV760*10^-6*10^4</f>
        <v>-0.82499999999999996</v>
      </c>
      <c r="BY760">
        <f>IFERROR(BX760/BO760,"")</f>
        <v>-0.44916666666666649</v>
      </c>
      <c r="BZ760">
        <v>0</v>
      </c>
      <c r="CA760">
        <v>0</v>
      </c>
      <c r="CB760">
        <v>0</v>
      </c>
      <c r="CC760">
        <v>0</v>
      </c>
      <c r="CD760">
        <v>0</v>
      </c>
      <c r="CE760">
        <v>0</v>
      </c>
      <c r="CF760">
        <v>0</v>
      </c>
      <c r="CG760">
        <v>0</v>
      </c>
      <c r="CH760">
        <v>0</v>
      </c>
      <c r="CI760">
        <v>0</v>
      </c>
      <c r="CJ760">
        <v>0</v>
      </c>
      <c r="CK760">
        <v>0</v>
      </c>
      <c r="CL760">
        <v>0</v>
      </c>
      <c r="CM760">
        <v>0</v>
      </c>
      <c r="CN760" t="str">
        <f>IF($BL760&lt;$BK760,"refNeedCorrection","refOK")</f>
        <v>refOK</v>
      </c>
      <c r="CO760">
        <f>IF($CN760="refOK",$BK760,$BL760)</f>
        <v>5.25</v>
      </c>
      <c r="CP760">
        <f>IF($CN760="refOK",$BL760,$BK760)</f>
        <v>6.15</v>
      </c>
      <c r="CQ760">
        <f>IF($CN760="refOK",$BO760,-$BO760)</f>
        <v>1.8367346938775517</v>
      </c>
      <c r="CR760">
        <f>IF($CN760="refOK",$BS760,$BT760)*IF($BP760="Emissions positive",-1,1)</f>
        <v>446.5</v>
      </c>
      <c r="CS760">
        <f>IF($CN760="refOK",$BT760,$BS760)*IF($BP760="Emissions positive",-1,1)</f>
        <v>529</v>
      </c>
      <c r="CT760">
        <f>IF($CN760="refNeedCorrection",-BX760,BX760)*IF($BP760="Emissions positive",-1,1)</f>
        <v>0.82499999999999996</v>
      </c>
      <c r="CU760">
        <f>IFERROR(CT760/CQ760,"")</f>
        <v>0.44916666666666649</v>
      </c>
      <c r="CV760" s="2">
        <f>IFERROR((CS760-CR760)/ABS(CR760),"")</f>
        <v>0.18477043673012317</v>
      </c>
      <c r="CW760" s="1" t="s">
        <v>263</v>
      </c>
      <c r="CX760" s="264" t="str">
        <f>IF(OR($CW760="prd",$CW760="std",$CW760="cit"),"loc",IF(OR($CW760="eur",$CW760="reg",$CW760="coy"),"reg",$CW760))</f>
        <v>loc</v>
      </c>
      <c r="CY760" t="s">
        <v>235</v>
      </c>
      <c r="DB760">
        <v>80</v>
      </c>
      <c r="DC760" t="str">
        <f>IF(DB760=0,"0",IF(AND(DB760&gt;=1,DB760&lt;=30),"1-30",IF(AND(DB760&gt;30,DB760&lt;=70),"31-70",IF(AND(DB760&gt;70,DB760&lt;=100),"71-100",IF(DB760&gt;100,"+100")))))</f>
        <v>71-100</v>
      </c>
      <c r="DD760">
        <v>0</v>
      </c>
      <c r="DE760">
        <v>1</v>
      </c>
      <c r="DF760">
        <v>0</v>
      </c>
      <c r="DG760">
        <v>1</v>
      </c>
      <c r="DI760">
        <f>SUM(DD760:DG760)</f>
        <v>2</v>
      </c>
      <c r="DJ760" t="str">
        <f>IF(DI760=1,INDEX($DD$7:$DG$7,MATCH(1,$DD760:$DG760,0)),"mixedProduct")</f>
        <v>mixedProduct</v>
      </c>
      <c r="DK760">
        <f>IF(DD760=1,DK$7,0)</f>
        <v>0</v>
      </c>
      <c r="DL760" t="str">
        <f>IF(DE760=1,DL$7,0)</f>
        <v>Energy</v>
      </c>
      <c r="DM760">
        <f>IF(DF760=1,DM$7,0)</f>
        <v>0</v>
      </c>
      <c r="DN760" t="str">
        <f>IF(DG760=1,DN$7,0)</f>
        <v>Timber</v>
      </c>
      <c r="DO760">
        <v>0</v>
      </c>
      <c r="DP760">
        <v>1</v>
      </c>
      <c r="DQ760" t="s">
        <v>1060</v>
      </c>
      <c r="DT760">
        <f>SUM(DO760:DP760)</f>
        <v>1</v>
      </c>
      <c r="DU760" s="143" t="str">
        <f>IF(DO760=1,"self-calculated DF",IF(DP760=1,"external DF used","explicit C balance"))</f>
        <v>external DF used</v>
      </c>
      <c r="DV760">
        <v>1</v>
      </c>
      <c r="DW760">
        <v>1</v>
      </c>
      <c r="DX760">
        <v>1</v>
      </c>
      <c r="DY760" s="143">
        <v>0</v>
      </c>
      <c r="DZ760">
        <v>0</v>
      </c>
      <c r="EA760" s="143">
        <v>0</v>
      </c>
      <c r="EB760">
        <v>1</v>
      </c>
      <c r="EC760">
        <v>1</v>
      </c>
      <c r="ED760" s="143">
        <v>0</v>
      </c>
      <c r="EE760">
        <v>0</v>
      </c>
      <c r="EF760">
        <v>1</v>
      </c>
      <c r="EG760" s="143">
        <v>0</v>
      </c>
      <c r="EH760" s="143">
        <v>0</v>
      </c>
      <c r="EI760" s="2">
        <v>0</v>
      </c>
      <c r="EK760" t="str">
        <f>IF(AND(AND(AND(OR($DX760=1,$DW760=1),OR($EC760=1,$EA760=1)),SUM($DV760:$DZ760,$EF760)&gt;=4),SUM($EA760:$EE760)&gt;=2),"Whole sector","")</f>
        <v>Whole sector</v>
      </c>
      <c r="EL760" t="str">
        <f>IF(AND(AND(OR($DX760=1,$DW760=1),AND($EC760=0,$EA760=0)),SUM($DV760:$DZ760,$EF760)&gt;=4),"Ecosystem approach","")</f>
        <v/>
      </c>
      <c r="EM760" s="2" t="str">
        <f>IF(AND(AND(AND($DX760=0,$DW760=0),OR($EC760=1,$EA760=1)),SUM($EB760:$EE760)&gt;=2),"Technology approach","")</f>
        <v/>
      </c>
      <c r="EP760" t="str">
        <f>IF(ISNUMBER(BU760),IF(ABS(BU760-[3]QC_indicators!$B$2)&gt;3*[3]QC_indicators!$C$2,"C ratio",IF(ISNUMBER(BY760),IF(ABS(BY760-[3]QC_indicators!$B$1)&gt;3*[3]QC_indicators!$C$1,"DF","no"))),IF(ISNUMBER(BY760),IF(ABS(BY760-[3]QC_indicators!$B$1)&gt;3*[3]QC_indicators!$C$1,"DF","no")))</f>
        <v>no</v>
      </c>
      <c r="ER760" s="264" t="s">
        <v>1070</v>
      </c>
      <c r="ET760" s="264" t="s">
        <v>3407</v>
      </c>
    </row>
    <row r="761" spans="1:150" ht="15" customHeight="1">
      <c r="A761" s="1" t="s">
        <v>333</v>
      </c>
      <c r="B761" t="s">
        <v>945</v>
      </c>
      <c r="C761" t="s">
        <v>946</v>
      </c>
      <c r="D761" t="s">
        <v>947</v>
      </c>
      <c r="E761" t="s">
        <v>948</v>
      </c>
      <c r="F761" t="s">
        <v>949</v>
      </c>
      <c r="G761" t="s">
        <v>339</v>
      </c>
      <c r="H761" t="s">
        <v>254</v>
      </c>
      <c r="I761">
        <v>2021</v>
      </c>
      <c r="J761">
        <v>0</v>
      </c>
      <c r="K761" t="s">
        <v>950</v>
      </c>
      <c r="M761" t="str">
        <f>LEFT($D761,FIND(",",$D761)-1)&amp;"_"&amp;I761&amp;L761</f>
        <v>Morris_2021</v>
      </c>
      <c r="N761" t="s">
        <v>222</v>
      </c>
      <c r="O761" t="s">
        <v>223</v>
      </c>
      <c r="Q761" t="s">
        <v>256</v>
      </c>
      <c r="R761" s="255" t="s">
        <v>225</v>
      </c>
      <c r="S761" s="1" t="s">
        <v>956</v>
      </c>
      <c r="T761" t="s">
        <v>795</v>
      </c>
      <c r="U761" t="s">
        <v>957</v>
      </c>
      <c r="V761">
        <v>0</v>
      </c>
      <c r="W761">
        <v>0</v>
      </c>
      <c r="X761">
        <v>0</v>
      </c>
      <c r="Y761">
        <v>0</v>
      </c>
      <c r="Z761">
        <v>0</v>
      </c>
      <c r="AA761">
        <v>0</v>
      </c>
      <c r="AB761">
        <v>0</v>
      </c>
      <c r="AC761">
        <v>0</v>
      </c>
      <c r="AD761">
        <v>0</v>
      </c>
      <c r="AE761">
        <v>0</v>
      </c>
      <c r="AF761">
        <v>0</v>
      </c>
      <c r="AG761">
        <v>0</v>
      </c>
      <c r="AH761">
        <v>0</v>
      </c>
      <c r="AI761">
        <v>0</v>
      </c>
      <c r="AJ761">
        <v>0</v>
      </c>
      <c r="AK761">
        <v>1</v>
      </c>
      <c r="AL761">
        <v>0</v>
      </c>
      <c r="AM761">
        <v>0</v>
      </c>
      <c r="AN761">
        <v>0</v>
      </c>
      <c r="AO761">
        <v>0</v>
      </c>
      <c r="AP761">
        <v>0</v>
      </c>
      <c r="AQ761">
        <v>0</v>
      </c>
      <c r="AR761">
        <v>0</v>
      </c>
      <c r="AS761">
        <v>0</v>
      </c>
      <c r="AT761">
        <v>0</v>
      </c>
      <c r="AU761">
        <v>0</v>
      </c>
      <c r="AV761">
        <v>0</v>
      </c>
      <c r="AW761">
        <v>0</v>
      </c>
      <c r="AX761" s="141">
        <f>COUNTIF(V761:AW761,"&lt;&gt;0")</f>
        <v>1</v>
      </c>
      <c r="AY761" s="141">
        <f>COUNTIF(V761:AL761,"&lt;&gt;0")</f>
        <v>1</v>
      </c>
      <c r="AZ761">
        <f>COUNTIF(V761:AC761,"&lt;&gt;0")</f>
        <v>0</v>
      </c>
      <c r="BA761">
        <f>COUNTIF(AD761:AI761,"&lt;&gt;0")</f>
        <v>0</v>
      </c>
      <c r="BB761">
        <f>COUNTIF(AJ761:AL761,"&lt;&gt;0")</f>
        <v>1</v>
      </c>
      <c r="BC761">
        <f>COUNTIF(AS761:AW761,"&lt;&gt;0")</f>
        <v>0</v>
      </c>
      <c r="BD761">
        <f>COUNTIF(AM761:AR761,"&lt;&gt;0")</f>
        <v>0</v>
      </c>
      <c r="BE761" t="str">
        <f t="array" ref="BE761">IF(AY761=1,INDEX($V$7:$AL$7,MATCH(TRUE,INDEX($V761:$AW761&lt;&gt;0,),0)),IF(AY761=0,INDEX($AM$7:$AW$7,MATCH(1,$AM761:$AW761,0)),IF(BF761="Multiple strategies","mixed drivers",IF(BF761="Supply chain","multiple supply","multiple silviculture"))))</f>
        <v>technologies/design switch</v>
      </c>
      <c r="BF761" s="2" t="str" cm="1">
        <f t="array" ref="BF761">IF(COUNTIF(AZ761:BB761,"&lt;&gt;0")=1,INDEX($V$4:$AW$4,MATCH(TRUE,INDEX($V761:$AW761&lt;&gt;0,),0)),IF(COUNTIF(AZ761:BB761,"&lt;&gt;0")=0,INDEX($AM$4:$AW$4,MATCH(1,$AM761:$AW761,0)),"Multiple strategies"))</f>
        <v>Technology</v>
      </c>
      <c r="BG761" s="1" t="s">
        <v>229</v>
      </c>
      <c r="BH761" t="s">
        <v>954</v>
      </c>
      <c r="BI761" s="260" t="s">
        <v>3373</v>
      </c>
      <c r="BJ761" t="s">
        <v>345</v>
      </c>
      <c r="BK761">
        <v>0</v>
      </c>
      <c r="BL761">
        <v>116.6</v>
      </c>
      <c r="BN761">
        <f>BL761-BK761</f>
        <v>116.6</v>
      </c>
      <c r="BO761">
        <f>BN761*kg_to_m3</f>
        <v>0.23795918367346941</v>
      </c>
      <c r="BP761" t="s">
        <v>232</v>
      </c>
      <c r="BQ761" s="260" t="s">
        <v>3379</v>
      </c>
      <c r="BR761" t="s">
        <v>955</v>
      </c>
      <c r="BS761">
        <v>-139.69999999999999</v>
      </c>
      <c r="BT761">
        <v>-32.799999999999997</v>
      </c>
      <c r="BU761" s="144">
        <f>IFERROR(BT761/BS761,"")</f>
        <v>0.23478883321403007</v>
      </c>
      <c r="BV761">
        <f>BT761-BS761</f>
        <v>106.89999999999999</v>
      </c>
      <c r="BX761">
        <f>BV761/1000</f>
        <v>0.1069</v>
      </c>
      <c r="BY761">
        <f>IFERROR(BX761/BO761,"")</f>
        <v>0.4492367066895368</v>
      </c>
      <c r="BZ761">
        <v>1</v>
      </c>
      <c r="CA761">
        <v>0</v>
      </c>
      <c r="CB761">
        <v>0</v>
      </c>
      <c r="CC761">
        <v>0</v>
      </c>
      <c r="CD761">
        <v>0</v>
      </c>
      <c r="CE761">
        <v>1</v>
      </c>
      <c r="CF761">
        <v>0</v>
      </c>
      <c r="CG761">
        <v>1</v>
      </c>
      <c r="CH761">
        <v>0</v>
      </c>
      <c r="CI761">
        <v>0</v>
      </c>
      <c r="CJ761">
        <v>0</v>
      </c>
      <c r="CK761">
        <v>0</v>
      </c>
      <c r="CL761">
        <v>0</v>
      </c>
      <c r="CM761">
        <v>0</v>
      </c>
      <c r="CN761" t="str">
        <f>IF($BL761&lt;$BK761,"refNeedCorrection","refOK")</f>
        <v>refOK</v>
      </c>
      <c r="CO761">
        <f>IF($CN761="refOK",$BK761,$BL761)</f>
        <v>0</v>
      </c>
      <c r="CP761">
        <f>IF($CN761="refOK",$BL761,$BK761)</f>
        <v>116.6</v>
      </c>
      <c r="CQ761">
        <f>IF($CN761="refOK",$BO761,-$BO761)</f>
        <v>0.23795918367346941</v>
      </c>
      <c r="CR761">
        <f>IF($CN761="refOK",$BS761,$BT761)*IF($BP761="Emissions positive",-1,1)</f>
        <v>-139.69999999999999</v>
      </c>
      <c r="CS761">
        <f>IF($CN761="refOK",$BT761,$BS761)*IF($BP761="Emissions positive",-1,1)</f>
        <v>-32.799999999999997</v>
      </c>
      <c r="CT761">
        <f>IF($CN761="refNeedCorrection",-BX761,BX761)*IF($BP761="Emissions positive",-1,1)</f>
        <v>0.1069</v>
      </c>
      <c r="CU761">
        <f>IFERROR(CT761/CQ761,"")</f>
        <v>0.4492367066895368</v>
      </c>
      <c r="CV761" s="2">
        <f>IFERROR((CS761-CR761)/ABS(CR761),"")</f>
        <v>0.7652111667859699</v>
      </c>
      <c r="CW761" s="1" t="s">
        <v>263</v>
      </c>
      <c r="CX761" t="str">
        <f>IF(OR($CW761="prd",$CW761="std",$CW761="cit"),"loc",IF(OR($CW761="eur",$CW761="reg",$CW761="coy"),"reg",$CW761))</f>
        <v>loc</v>
      </c>
      <c r="CY761" s="309" t="s">
        <v>3423</v>
      </c>
      <c r="DB761">
        <v>0</v>
      </c>
      <c r="DC761" t="str">
        <f>IF(DB761=0,"0",IF(AND(DB761&gt;=1,DB761&lt;=30),"1-30",IF(AND(DB761&gt;30,DB761&lt;=70),"31-70",IF(AND(DB761&gt;70,DB761&lt;=100),"71-100",IF(DB761&gt;100,"+100")))))</f>
        <v>0</v>
      </c>
      <c r="DD761">
        <v>0</v>
      </c>
      <c r="DE761">
        <v>0</v>
      </c>
      <c r="DF761">
        <v>0</v>
      </c>
      <c r="DG761">
        <v>1</v>
      </c>
      <c r="DI761">
        <f>SUM(DD761:DG761)</f>
        <v>1</v>
      </c>
      <c r="DJ761" t="str">
        <f>IF(DI761=1,INDEX($DD$7:$DG$7,MATCH(1,$DD761:$DG761,0)),"mixedProduct")</f>
        <v>TimberInput</v>
      </c>
      <c r="DK761">
        <f>IF(DD761=1,DK$7,0)</f>
        <v>0</v>
      </c>
      <c r="DL761">
        <f>IF(DE761=1,DL$7,0)</f>
        <v>0</v>
      </c>
      <c r="DM761">
        <f>IF(DF761=1,DM$7,0)</f>
        <v>0</v>
      </c>
      <c r="DN761" t="str">
        <f>IF(DG761=1,DN$7,0)</f>
        <v>Timber</v>
      </c>
      <c r="DO761">
        <v>0</v>
      </c>
      <c r="DP761">
        <v>0</v>
      </c>
      <c r="DQ761">
        <v>0</v>
      </c>
      <c r="DR761">
        <v>0</v>
      </c>
      <c r="DS761">
        <v>0</v>
      </c>
      <c r="DT761">
        <f>SUM(DO761:DP761)</f>
        <v>0</v>
      </c>
      <c r="DU761" s="143" t="str">
        <f>IF(DO761=1,"self-calculated DF",IF(DP761=1,"external DF used","explicit C balance"))</f>
        <v>explicit C balance</v>
      </c>
      <c r="DV761">
        <v>0</v>
      </c>
      <c r="DW761">
        <v>0</v>
      </c>
      <c r="DX761">
        <v>0</v>
      </c>
      <c r="DY761">
        <v>0</v>
      </c>
      <c r="DZ761">
        <v>0</v>
      </c>
      <c r="EA761" s="143">
        <v>0</v>
      </c>
      <c r="EB761">
        <v>1</v>
      </c>
      <c r="EC761">
        <v>1</v>
      </c>
      <c r="ED761">
        <v>0</v>
      </c>
      <c r="EE761">
        <v>1</v>
      </c>
      <c r="EF761">
        <v>0</v>
      </c>
      <c r="EG761">
        <v>0</v>
      </c>
      <c r="EH761">
        <v>0</v>
      </c>
      <c r="EI761" s="2">
        <v>0</v>
      </c>
      <c r="EK761" t="str">
        <f>IF(AND(AND(AND(OR($DX761=1,$DW761=1),OR($EC761=1,$EA761=1)),SUM($DV761:$DZ761,$EF761)&gt;=4),SUM($EA761:$EE761)&gt;=2),"Whole sector","")</f>
        <v/>
      </c>
      <c r="EL761" t="str">
        <f>IF(AND(AND(OR($DX761=1,$DW761=1),AND($EC761=0,$EA761=0)),SUM($DV761:$DZ761,$EF761)&gt;=4),"Ecosystem approach","")</f>
        <v/>
      </c>
      <c r="EM761" s="2" t="str">
        <f>IF(AND(AND(AND($DX761=0,$DW761=0),OR($EC761=1,$EA761=1)),SUM($EB761:$EE761)&gt;=2),"Technology approach","")</f>
        <v>Technology approach</v>
      </c>
      <c r="EP761" t="str">
        <f>IF(ISNUMBER(BU761),IF(ABS(BU761-[4]QC_indicators!$B$2)&gt;3*[4]QC_indicators!$C$2,"C ratio",IF(ISNUMBER(BY761),IF(ABS(BY761-[4]QC_indicators!$B$1)&gt;3*[4]QC_indicators!$C$1,"DF","no"))),IF(ISNUMBER(BY761),IF(ABS(BY761-[4]QC_indicators!$B$1)&gt;3*[4]QC_indicators!$C$1,"DF","no")))</f>
        <v>no</v>
      </c>
      <c r="ER761" s="149" t="s">
        <v>349</v>
      </c>
      <c r="ET761" s="264" t="s">
        <v>3273</v>
      </c>
    </row>
    <row r="762" spans="1:150" ht="15" customHeight="1">
      <c r="A762" s="1" t="s">
        <v>505</v>
      </c>
      <c r="B762" t="s">
        <v>528</v>
      </c>
      <c r="C762" t="s">
        <v>529</v>
      </c>
      <c r="D762" t="s">
        <v>530</v>
      </c>
      <c r="E762" t="s">
        <v>531</v>
      </c>
      <c r="F762" t="s">
        <v>532</v>
      </c>
      <c r="G762" t="s">
        <v>511</v>
      </c>
      <c r="H762" t="s">
        <v>254</v>
      </c>
      <c r="I762">
        <v>2015</v>
      </c>
      <c r="J762">
        <v>31</v>
      </c>
      <c r="K762" t="s">
        <v>533</v>
      </c>
      <c r="M762" t="str">
        <f>LEFT($D762,FIND(",",$D762)-1)&amp;"_"&amp;I762&amp;L762</f>
        <v>Cambero_2015</v>
      </c>
      <c r="N762" t="s">
        <v>222</v>
      </c>
      <c r="O762" s="145" t="s">
        <v>223</v>
      </c>
      <c r="Q762" t="s">
        <v>256</v>
      </c>
      <c r="R762" s="255" t="s">
        <v>225</v>
      </c>
      <c r="S762" s="1" t="s">
        <v>534</v>
      </c>
      <c r="T762" t="s">
        <v>535</v>
      </c>
      <c r="U762" t="s">
        <v>543</v>
      </c>
      <c r="V762">
        <v>0</v>
      </c>
      <c r="W762">
        <v>0</v>
      </c>
      <c r="X762">
        <v>0</v>
      </c>
      <c r="Y762">
        <v>0</v>
      </c>
      <c r="Z762">
        <v>0</v>
      </c>
      <c r="AA762">
        <v>0</v>
      </c>
      <c r="AB762">
        <v>0</v>
      </c>
      <c r="AC762">
        <v>0</v>
      </c>
      <c r="AD762">
        <v>0</v>
      </c>
      <c r="AE762">
        <v>0</v>
      </c>
      <c r="AF762">
        <v>0</v>
      </c>
      <c r="AG762">
        <v>0</v>
      </c>
      <c r="AH762">
        <v>0</v>
      </c>
      <c r="AI762">
        <v>0</v>
      </c>
      <c r="AJ762">
        <v>0</v>
      </c>
      <c r="AK762">
        <v>1</v>
      </c>
      <c r="AL762">
        <v>0</v>
      </c>
      <c r="AM762">
        <v>0</v>
      </c>
      <c r="AN762">
        <v>0</v>
      </c>
      <c r="AO762">
        <v>0</v>
      </c>
      <c r="AP762">
        <v>0</v>
      </c>
      <c r="AQ762">
        <v>0</v>
      </c>
      <c r="AR762">
        <v>0</v>
      </c>
      <c r="AS762">
        <v>0</v>
      </c>
      <c r="AT762">
        <v>0</v>
      </c>
      <c r="AU762">
        <v>0</v>
      </c>
      <c r="AV762">
        <v>0</v>
      </c>
      <c r="AW762">
        <v>0</v>
      </c>
      <c r="AX762" s="141">
        <f>COUNTIF(V762:AW762,"&lt;&gt;0")</f>
        <v>1</v>
      </c>
      <c r="AY762" s="141">
        <f>COUNTIF(V762:AL762,"&lt;&gt;0")</f>
        <v>1</v>
      </c>
      <c r="AZ762">
        <f>COUNTIF(V762:AC762,"&lt;&gt;0")</f>
        <v>0</v>
      </c>
      <c r="BA762">
        <f>COUNTIF(AD762:AI762,"&lt;&gt;0")</f>
        <v>0</v>
      </c>
      <c r="BB762">
        <f>COUNTIF(AJ762:AL762,"&lt;&gt;0")</f>
        <v>1</v>
      </c>
      <c r="BC762">
        <f>COUNTIF(AS762:AW762,"&lt;&gt;0")</f>
        <v>0</v>
      </c>
      <c r="BD762">
        <f>COUNTIF(AM762:AR762,"&lt;&gt;0")</f>
        <v>0</v>
      </c>
      <c r="BE762" t="str">
        <f t="array" ref="BE762">IF(AY762=1,INDEX($V$7:$AL$7,MATCH(TRUE,INDEX($V762:$AW762&lt;&gt;0,),0)),IF(AY762=0,INDEX($AM$7:$AW$7,MATCH(1,$AM762:$AW762,0)),IF(BF762="Multiple strategies","mixed drivers",IF(BF762="Supply chain","multiple supply","multiple silviculture"))))</f>
        <v>technologies/design switch</v>
      </c>
      <c r="BF762" s="2" t="str" cm="1">
        <f t="array" ref="BF762">IF(COUNTIF(AZ762:BB762,"&lt;&gt;0")=1,INDEX($V$4:$AW$4,MATCH(TRUE,INDEX($V762:$AW762&lt;&gt;0,),0)),IF(COUNTIF(AZ762:BB762,"&lt;&gt;0")=0,INDEX($AM$4:$AW$4,MATCH(1,$AM762:$AW762,0)),"Multiple strategies"))</f>
        <v>Technology</v>
      </c>
      <c r="BG762" s="1" t="s">
        <v>229</v>
      </c>
      <c r="BH762" t="s">
        <v>537</v>
      </c>
      <c r="BI762" s="260" t="s">
        <v>3286</v>
      </c>
      <c r="BJ762" t="s">
        <v>538</v>
      </c>
      <c r="BK762">
        <v>0</v>
      </c>
      <c r="BL762">
        <v>17619.047620000001</v>
      </c>
      <c r="BN762">
        <f>BL762-BK762</f>
        <v>17619.047620000001</v>
      </c>
      <c r="BO762">
        <f>BN762*t_to_m3</f>
        <v>35957.24004081633</v>
      </c>
      <c r="BP762" t="s">
        <v>232</v>
      </c>
      <c r="BQ762" s="260" t="s">
        <v>3287</v>
      </c>
      <c r="BR762" t="s">
        <v>539</v>
      </c>
      <c r="BS762">
        <v>-178600</v>
      </c>
      <c r="BT762">
        <v>-162200</v>
      </c>
      <c r="BU762" s="144">
        <v>0.90817469204927215</v>
      </c>
      <c r="BV762">
        <v>16400</v>
      </c>
      <c r="BX762">
        <f>BV762</f>
        <v>16400</v>
      </c>
      <c r="BY762">
        <f>IFERROR(BX762/BO762,"")</f>
        <v>0.45609729727264336</v>
      </c>
      <c r="BZ762" s="143">
        <v>0</v>
      </c>
      <c r="CA762" s="143">
        <v>0</v>
      </c>
      <c r="CB762" s="143">
        <v>0</v>
      </c>
      <c r="CC762" s="143">
        <v>0</v>
      </c>
      <c r="CD762" s="143">
        <v>0</v>
      </c>
      <c r="CE762" s="143">
        <v>0</v>
      </c>
      <c r="CF762" s="143">
        <v>0</v>
      </c>
      <c r="CG762" s="143">
        <v>0</v>
      </c>
      <c r="CH762" s="143">
        <v>0</v>
      </c>
      <c r="CI762" s="143">
        <v>0</v>
      </c>
      <c r="CJ762" s="143">
        <v>0</v>
      </c>
      <c r="CK762" s="143">
        <v>0</v>
      </c>
      <c r="CL762" s="143">
        <v>0</v>
      </c>
      <c r="CM762">
        <v>1</v>
      </c>
      <c r="CN762" t="str">
        <f>IF($BL762&lt;$BK762,"refNeedCorrection","refOK")</f>
        <v>refOK</v>
      </c>
      <c r="CO762">
        <f>IF($CN762="refNeedCorrection",BL762,BK762)</f>
        <v>0</v>
      </c>
      <c r="CP762">
        <f>IF($CN762="refNeedCorrection",BK762,BL762)</f>
        <v>17619.047620000001</v>
      </c>
      <c r="CQ762">
        <f>IF($CN762="refOK",$BO762,-$BO762)</f>
        <v>35957.24004081633</v>
      </c>
      <c r="CR762">
        <f>IF($CN762="refOK",$BS762,$BT762)*IF($BP762="Emissions positive",-1,1)</f>
        <v>-178600</v>
      </c>
      <c r="CS762">
        <f>IF($CN762="refOK",$BT762,$BS762)*IF($BP762="Emissions positive",-1,1)</f>
        <v>-162200</v>
      </c>
      <c r="CT762">
        <f>IF($CN762="refNeedCorrection",-BX762,BX762)*IF($BP762="Emissions positive",-1,1)</f>
        <v>16400</v>
      </c>
      <c r="CU762">
        <f>IFERROR(CT762/CQ762,"")</f>
        <v>0.45609729727264336</v>
      </c>
      <c r="CV762" s="2">
        <f>IFERROR((CS762-CR762)/ABS(CR762),"")</f>
        <v>9.182530795072788E-2</v>
      </c>
      <c r="CW762" s="1" t="s">
        <v>347</v>
      </c>
      <c r="CX762" t="str">
        <f>IF(OR($CW762="prd",$CW762="std",$CW762="cit"),"loc",IF(OR($CW762="eur",$CW762="reg",$CW762="coy"),"reg",$CW762))</f>
        <v>loc</v>
      </c>
      <c r="CY762" t="s">
        <v>540</v>
      </c>
      <c r="DB762">
        <v>0</v>
      </c>
      <c r="DC762" t="str">
        <f>IF(DB762=0,"0",IF(AND(DB762&gt;=1,DB762&lt;=30),"1-30",IF(AND(DB762&gt;30,DB762&lt;=70),"31-70",IF(AND(DB762&gt;70,DB762&lt;=100),"71-100",IF(DB762&gt;100,"+100")))))</f>
        <v>0</v>
      </c>
      <c r="DD762">
        <v>0</v>
      </c>
      <c r="DE762">
        <v>1</v>
      </c>
      <c r="DF762">
        <v>0</v>
      </c>
      <c r="DG762">
        <v>0</v>
      </c>
      <c r="DI762">
        <f>SUM(DD762:DG762)</f>
        <v>1</v>
      </c>
      <c r="DJ762" t="str">
        <f>IF(DI762=1,INDEX($DD$7:$DG$7,MATCH(1,$DD762:$DG762,0)),"mixedProduct")</f>
        <v>EnergyInput</v>
      </c>
      <c r="DK762">
        <f>IF(DD762=1,DK$7,0)</f>
        <v>0</v>
      </c>
      <c r="DL762" t="str">
        <f>IF(DE762=1,DL$7,0)</f>
        <v>Energy</v>
      </c>
      <c r="DM762">
        <f>IF(DF762=1,DM$7,0)</f>
        <v>0</v>
      </c>
      <c r="DN762">
        <f>IF(DG762=1,DN$7,0)</f>
        <v>0</v>
      </c>
      <c r="DO762">
        <v>0</v>
      </c>
      <c r="DP762" s="143">
        <v>0</v>
      </c>
      <c r="DQ762" s="143">
        <v>0</v>
      </c>
      <c r="DR762" s="143">
        <v>0</v>
      </c>
      <c r="DS762">
        <v>0</v>
      </c>
      <c r="DT762">
        <f>SUM(DO762:DP762)</f>
        <v>0</v>
      </c>
      <c r="DU762" s="143" t="str">
        <f>IF(DO762=1,"self-calculated DF",IF(DP762=1,"external DF used","explicit C balance"))</f>
        <v>explicit C balance</v>
      </c>
      <c r="DV762">
        <v>0</v>
      </c>
      <c r="DW762" s="143">
        <v>1</v>
      </c>
      <c r="DX762" s="143">
        <v>0</v>
      </c>
      <c r="DY762" s="143">
        <v>0</v>
      </c>
      <c r="DZ762">
        <v>1</v>
      </c>
      <c r="EA762" s="143">
        <v>0</v>
      </c>
      <c r="EC762" s="143">
        <v>1</v>
      </c>
      <c r="ED762" s="143">
        <v>0</v>
      </c>
      <c r="EE762" s="143">
        <v>0</v>
      </c>
      <c r="EF762" s="143">
        <v>0</v>
      </c>
      <c r="EG762" s="143">
        <v>0</v>
      </c>
      <c r="EH762" s="143">
        <v>0</v>
      </c>
      <c r="EI762" s="2">
        <v>0</v>
      </c>
      <c r="EK762" t="str">
        <f>IF(AND(AND(AND(OR($DX762=1,$DW762=1),OR($EC762=1,$EA762=1)),SUM($DV762:$DZ762,$EF762)&gt;=4),SUM($EA762:$EE762)&gt;=2),"Whole sector","")</f>
        <v/>
      </c>
      <c r="EL762" t="str">
        <f>IF(AND(AND(OR($DX762=1,$DW762=1),AND($EC762=0,$EA762=0)),SUM($DV762:$DZ762,$EF762)&gt;=4),"Ecosystem approach","")</f>
        <v/>
      </c>
      <c r="EM762" s="2" t="str">
        <f>IF(AND(AND(AND($DX762=0,$DW762=0),OR($EC762=1,$EA762=1)),SUM($EB762:$EE762)&gt;=2),"Technology approach","")</f>
        <v/>
      </c>
      <c r="EP762" t="str">
        <f>IF(ISNUMBER(BU762),IF(ABS(BU762-[4]QC_indicators!$B$2)&gt;3*[4]QC_indicators!$C$2,"C ratio",IF(ISNUMBER(BY762),IF(ABS(BY762-[4]QC_indicators!$B$1)&gt;3*[4]QC_indicators!$C$1,"DF","no"))),IF(ISNUMBER(BY762),IF(ABS(BY762-[4]QC_indicators!$B$1)&gt;3*[4]QC_indicators!$C$1,"DF","no")))</f>
        <v>no</v>
      </c>
      <c r="ER762" s="149" t="s">
        <v>349</v>
      </c>
      <c r="ET762" s="264" t="s">
        <v>3273</v>
      </c>
    </row>
    <row r="763" spans="1:150" ht="15" customHeight="1">
      <c r="A763" s="1" t="s">
        <v>333</v>
      </c>
      <c r="B763" t="s">
        <v>1081</v>
      </c>
      <c r="C763" t="s">
        <v>1082</v>
      </c>
      <c r="D763" t="s">
        <v>1083</v>
      </c>
      <c r="E763" t="s">
        <v>1084</v>
      </c>
      <c r="F763" t="s">
        <v>1085</v>
      </c>
      <c r="G763" t="s">
        <v>339</v>
      </c>
      <c r="H763" t="s">
        <v>254</v>
      </c>
      <c r="I763">
        <v>2022</v>
      </c>
      <c r="J763">
        <v>3</v>
      </c>
      <c r="K763" t="s">
        <v>1086</v>
      </c>
      <c r="M763" t="str">
        <f>LEFT($D763,FIND(",",$D763)-1)&amp;"_"&amp;I763&amp;L763</f>
        <v>Robati_2022</v>
      </c>
      <c r="N763" t="s">
        <v>222</v>
      </c>
      <c r="O763" s="264" t="s">
        <v>223</v>
      </c>
      <c r="Q763" s="264" t="s">
        <v>389</v>
      </c>
      <c r="R763" s="269" t="s">
        <v>1154</v>
      </c>
      <c r="S763" s="263" t="s">
        <v>1098</v>
      </c>
      <c r="T763" s="264" t="s">
        <v>1099</v>
      </c>
      <c r="U763" s="264" t="s">
        <v>1089</v>
      </c>
      <c r="V763">
        <v>0</v>
      </c>
      <c r="W763">
        <v>0</v>
      </c>
      <c r="X763">
        <v>0</v>
      </c>
      <c r="Y763">
        <v>0</v>
      </c>
      <c r="Z763">
        <v>0</v>
      </c>
      <c r="AA763">
        <v>0</v>
      </c>
      <c r="AB763">
        <v>0</v>
      </c>
      <c r="AC763">
        <v>0</v>
      </c>
      <c r="AD763">
        <v>0</v>
      </c>
      <c r="AE763">
        <v>0</v>
      </c>
      <c r="AF763">
        <v>0</v>
      </c>
      <c r="AG763">
        <v>0</v>
      </c>
      <c r="AH763">
        <v>0</v>
      </c>
      <c r="AI763">
        <v>0</v>
      </c>
      <c r="AJ763">
        <v>0</v>
      </c>
      <c r="AK763">
        <v>1</v>
      </c>
      <c r="AL763">
        <v>0</v>
      </c>
      <c r="AM763">
        <v>0</v>
      </c>
      <c r="AN763">
        <v>0</v>
      </c>
      <c r="AO763">
        <v>0</v>
      </c>
      <c r="AP763">
        <v>0</v>
      </c>
      <c r="AQ763">
        <v>0</v>
      </c>
      <c r="AR763">
        <v>0</v>
      </c>
      <c r="AS763">
        <v>0</v>
      </c>
      <c r="AT763">
        <v>0</v>
      </c>
      <c r="AU763">
        <v>0</v>
      </c>
      <c r="AV763">
        <v>0</v>
      </c>
      <c r="AW763">
        <v>0</v>
      </c>
      <c r="AX763" s="141">
        <f>COUNTIF(V763:AW763,"&lt;&gt;0")</f>
        <v>1</v>
      </c>
      <c r="AY763" s="141">
        <f>COUNTIF(V763:AL763,"&lt;&gt;0")</f>
        <v>1</v>
      </c>
      <c r="AZ763">
        <f>COUNTIF(V763:AC763,"&lt;&gt;0")</f>
        <v>0</v>
      </c>
      <c r="BA763">
        <f>COUNTIF(AD763:AI763,"&lt;&gt;0")</f>
        <v>0</v>
      </c>
      <c r="BB763">
        <f>COUNTIF(AJ763:AL763,"&lt;&gt;0")</f>
        <v>1</v>
      </c>
      <c r="BC763">
        <f>COUNTIF(AS763:AW763,"&lt;&gt;0")</f>
        <v>0</v>
      </c>
      <c r="BD763">
        <f>COUNTIF(AM763:AR763,"&lt;&gt;0")</f>
        <v>0</v>
      </c>
      <c r="BE763" t="str" cm="1">
        <f t="array" ref="BE763">IF(AY763=1,INDEX($V$7:$AL$7,MATCH(TRUE,INDEX($V763:$AW763&lt;&gt;0,),0)),IF(AY763=0,INDEX($AM$7:$AW$7,MATCH(1,$AM763:$AW763,0)),IF(BF763="Multiple strategies","mixed drivers",IF(BF763="Supply chain","multiple supply","multiple silviculture"))))</f>
        <v>technologies/design switch</v>
      </c>
      <c r="BF763" s="2" t="str" cm="1">
        <f t="array" ref="BF763">IF(COUNTIF(AZ763:BB763,"&lt;&gt;0")=1,INDEX($V$4:$AW$4,MATCH(TRUE,INDEX($V763:$AW763&lt;&gt;0,),0)),IF(COUNTIF(AZ763:BB763,"&lt;&gt;0")=0,INDEX($AM$4:$AW$4,MATCH(1,$AM763:$AW763,0)),"Multiple strategies"))</f>
        <v>Technology</v>
      </c>
      <c r="BG763" s="1" t="s">
        <v>229</v>
      </c>
      <c r="BH763" s="264" t="s">
        <v>1090</v>
      </c>
      <c r="BI763" s="264" t="s">
        <v>716</v>
      </c>
      <c r="BJ763" s="264" t="s">
        <v>1091</v>
      </c>
      <c r="BK763">
        <f>(6.17+4901.94+10375.04)/43229</f>
        <v>0.35353929075389212</v>
      </c>
      <c r="BL763">
        <f>(6.17+4901.94+10375.04+8069.52+1195.9)/43229</f>
        <v>0.56787272432857583</v>
      </c>
      <c r="BN763">
        <f>BL763-BK763</f>
        <v>0.21433343357468371</v>
      </c>
      <c r="BO763">
        <f>BL763-BK763</f>
        <v>0.21433343357468371</v>
      </c>
      <c r="BP763" s="264" t="s">
        <v>395</v>
      </c>
      <c r="BQ763" s="264" t="s">
        <v>426</v>
      </c>
      <c r="BR763" s="264" t="s">
        <v>1092</v>
      </c>
      <c r="BS763">
        <v>751</v>
      </c>
      <c r="BT763">
        <v>653</v>
      </c>
      <c r="BU763" s="144">
        <f>IFERROR(BT763/BS763,"")</f>
        <v>0.86950732356857519</v>
      </c>
      <c r="BV763">
        <f>BT763-BS763</f>
        <v>-98</v>
      </c>
      <c r="BX763">
        <f>BV763/1000</f>
        <v>-9.8000000000000004E-2</v>
      </c>
      <c r="BY763">
        <f>IFERROR(BX763/BO763,"")</f>
        <v>-0.45723151244088228</v>
      </c>
      <c r="BZ763">
        <v>0</v>
      </c>
      <c r="CA763">
        <v>0</v>
      </c>
      <c r="CB763">
        <v>0</v>
      </c>
      <c r="CC763">
        <v>0</v>
      </c>
      <c r="CD763">
        <v>0</v>
      </c>
      <c r="CE763">
        <v>0</v>
      </c>
      <c r="CF763">
        <v>0</v>
      </c>
      <c r="CG763">
        <v>0</v>
      </c>
      <c r="CH763">
        <v>0</v>
      </c>
      <c r="CI763">
        <v>0</v>
      </c>
      <c r="CJ763">
        <v>0</v>
      </c>
      <c r="CK763">
        <v>0</v>
      </c>
      <c r="CL763">
        <v>0</v>
      </c>
      <c r="CM763">
        <v>0</v>
      </c>
      <c r="CN763" t="str">
        <f>IF($BL763&lt;$BK763,"refNeedCorrection","refOK")</f>
        <v>refOK</v>
      </c>
      <c r="CO763">
        <f>IF($CN763="refOK",$BK763,$BL763)</f>
        <v>0.35353929075389212</v>
      </c>
      <c r="CP763">
        <f>IF($CN763="refOK",$BL763,$BK763)</f>
        <v>0.56787272432857583</v>
      </c>
      <c r="CQ763">
        <f>IF($CN763="refOK",$BO763,-$BO763)</f>
        <v>0.21433343357468371</v>
      </c>
      <c r="CR763">
        <f>IF($CN763="refOK",$BS763,$BT763)*IF($BP763="Emissions positive",-1,1)</f>
        <v>-751</v>
      </c>
      <c r="CS763">
        <f>IF($CN763="refOK",$BT763,$BS763)*IF($BP763="Emissions positive",-1,1)</f>
        <v>-653</v>
      </c>
      <c r="CT763">
        <f>IF($CN763="refNeedCorrection",-BX763,BX763)*IF($BP763="Emissions positive",-1,1)</f>
        <v>9.8000000000000004E-2</v>
      </c>
      <c r="CU763">
        <f>IFERROR(CT763/CQ763,"")</f>
        <v>0.45723151244088228</v>
      </c>
      <c r="CV763" s="2">
        <f>IFERROR((CS763-CR763)/ABS(CR763),"")</f>
        <v>0.13049267643142476</v>
      </c>
      <c r="CW763" s="263" t="s">
        <v>263</v>
      </c>
      <c r="CX763" s="264" t="str">
        <f>IF(OR($CW763="prd",$CW763="std",$CW763="cit"),"loc",IF(OR($CW763="eur",$CW763="reg",$CW763="coy"),"reg",$CW763))</f>
        <v>loc</v>
      </c>
      <c r="CY763" s="264" t="s">
        <v>574</v>
      </c>
      <c r="DB763">
        <v>0</v>
      </c>
      <c r="DC763" t="str">
        <f>IF(DB763=0,"0",IF(AND(DB763&gt;=1,DB763&lt;=30),"1-30",IF(AND(DB763&gt;30,DB763&lt;=70),"31-70",IF(AND(DB763&gt;70,DB763&lt;=100),"71-100",IF(DB763&gt;100,"+100")))))</f>
        <v>0</v>
      </c>
      <c r="DD763">
        <v>0</v>
      </c>
      <c r="DE763">
        <v>0</v>
      </c>
      <c r="DF763">
        <v>0</v>
      </c>
      <c r="DG763">
        <v>1</v>
      </c>
      <c r="DH763">
        <v>0</v>
      </c>
      <c r="DI763">
        <f>SUM(DD763:DG763)</f>
        <v>1</v>
      </c>
      <c r="DJ763" t="str">
        <f>IF(DI763=1,INDEX($DD$7:$DG$7,MATCH(1,$DD763:$DG763,0)),"mixedProduct")</f>
        <v>TimberInput</v>
      </c>
      <c r="DK763">
        <f>IF(DD763=1,DK$7,0)</f>
        <v>0</v>
      </c>
      <c r="DL763">
        <f>IF(DE763=1,DL$7,0)</f>
        <v>0</v>
      </c>
      <c r="DM763">
        <f>IF(DF763=1,DM$7,0)</f>
        <v>0</v>
      </c>
      <c r="DN763" t="str">
        <f>IF(DG763=1,DN$7,0)</f>
        <v>Timber</v>
      </c>
      <c r="DO763">
        <v>0</v>
      </c>
      <c r="DP763">
        <v>0</v>
      </c>
      <c r="DQ763">
        <v>0</v>
      </c>
      <c r="DR763">
        <v>0</v>
      </c>
      <c r="DS763">
        <v>0</v>
      </c>
      <c r="DT763">
        <f>SUM(DO763:DP763)</f>
        <v>0</v>
      </c>
      <c r="DU763" s="143" t="str">
        <f>IF(DO763=1,"self-calculated DF",IF(DP763=1,"external DF used","explicit C balance"))</f>
        <v>explicit C balance</v>
      </c>
      <c r="DV763">
        <v>0</v>
      </c>
      <c r="DW763">
        <v>1</v>
      </c>
      <c r="DX763">
        <v>0</v>
      </c>
      <c r="DY763">
        <v>1</v>
      </c>
      <c r="DZ763">
        <v>1</v>
      </c>
      <c r="EA763">
        <v>0</v>
      </c>
      <c r="EB763">
        <v>1</v>
      </c>
      <c r="EC763">
        <v>1</v>
      </c>
      <c r="ED763">
        <v>1</v>
      </c>
      <c r="EE763">
        <v>1</v>
      </c>
      <c r="EF763">
        <v>0</v>
      </c>
      <c r="EG763">
        <v>0</v>
      </c>
      <c r="EH763">
        <v>0</v>
      </c>
      <c r="EI763" s="2">
        <v>0</v>
      </c>
      <c r="EK763" t="str">
        <f>IF(AND(AND(AND(OR($DX763=1,$DW763=1),OR($EC763=1,$EA763=1)),SUM($DV763:$DZ763,$EF763)&gt;=4),SUM($EA763:$EE763)&gt;=2),"Whole sector","")</f>
        <v/>
      </c>
      <c r="EL763" t="str">
        <f>IF(AND(AND(OR($DX763=1,$DW763=1),AND($EC763=0,$EA763=0)),SUM($DV763:$DZ763,$EF763)&gt;=4),"Ecosystem approach","")</f>
        <v/>
      </c>
      <c r="EM763" s="2" t="str">
        <f>IF(AND(AND(AND($DX763=0,$DW763=0),OR($EC763=1,$EA763=1)),SUM($EB763:$EE763)&gt;=2),"Technology approach","")</f>
        <v/>
      </c>
      <c r="EP763" t="str">
        <f>IF(ISNUMBER(BU763),IF(ABS(BU763-[3]QC_indicators!$B$2)&gt;3*[3]QC_indicators!$C$2,"C ratio",IF(ISNUMBER(BY763),IF(ABS(BY763-[3]QC_indicators!$B$1)&gt;3*[3]QC_indicators!$C$1,"DF","no"))),IF(ISNUMBER(BY763),IF(ABS(BY763-[3]QC_indicators!$B$1)&gt;3*[3]QC_indicators!$C$1,"DF","no")))</f>
        <v>no</v>
      </c>
      <c r="ET763" s="264" t="s">
        <v>3407</v>
      </c>
    </row>
    <row r="764" spans="1:150" ht="15" customHeight="1">
      <c r="A764" s="1" t="s">
        <v>1808</v>
      </c>
      <c r="B764" t="s">
        <v>2257</v>
      </c>
      <c r="C764" t="s">
        <v>2258</v>
      </c>
      <c r="D764" t="s">
        <v>2259</v>
      </c>
      <c r="E764" t="s">
        <v>2260</v>
      </c>
      <c r="F764" t="s">
        <v>2261</v>
      </c>
      <c r="G764" t="s">
        <v>1814</v>
      </c>
      <c r="H764" t="s">
        <v>254</v>
      </c>
      <c r="I764">
        <v>2013</v>
      </c>
      <c r="J764">
        <v>49</v>
      </c>
      <c r="K764" t="s">
        <v>2262</v>
      </c>
      <c r="M764" t="str">
        <f>LEFT($D764,FIND(",",$D764)-1)&amp;"_"&amp;I764&amp;L764</f>
        <v>Sikkema_2013</v>
      </c>
      <c r="N764" t="s">
        <v>222</v>
      </c>
      <c r="O764" s="145" t="s">
        <v>341</v>
      </c>
      <c r="Q764" s="264" t="s">
        <v>256</v>
      </c>
      <c r="R764" s="269" t="s">
        <v>1154</v>
      </c>
      <c r="S764" s="1" t="s">
        <v>2275</v>
      </c>
      <c r="T764" t="s">
        <v>1099</v>
      </c>
      <c r="U764" t="e">
        <f>#REF!</f>
        <v>#REF!</v>
      </c>
      <c r="V764">
        <v>2</v>
      </c>
      <c r="W764">
        <v>0</v>
      </c>
      <c r="X764">
        <v>0</v>
      </c>
      <c r="Y764">
        <v>0</v>
      </c>
      <c r="Z764">
        <v>0</v>
      </c>
      <c r="AA764">
        <v>0</v>
      </c>
      <c r="AB764">
        <v>0</v>
      </c>
      <c r="AC764">
        <v>0</v>
      </c>
      <c r="AD764">
        <v>0</v>
      </c>
      <c r="AE764">
        <v>0</v>
      </c>
      <c r="AF764">
        <v>1</v>
      </c>
      <c r="AG764">
        <v>0</v>
      </c>
      <c r="AH764">
        <v>0</v>
      </c>
      <c r="AI764">
        <v>0</v>
      </c>
      <c r="AJ764">
        <v>0</v>
      </c>
      <c r="AK764">
        <v>0</v>
      </c>
      <c r="AL764">
        <v>0</v>
      </c>
      <c r="AM764">
        <v>0</v>
      </c>
      <c r="AN764">
        <v>0</v>
      </c>
      <c r="AO764">
        <v>0</v>
      </c>
      <c r="AP764">
        <v>0</v>
      </c>
      <c r="AQ764">
        <v>0</v>
      </c>
      <c r="AR764">
        <v>0</v>
      </c>
      <c r="AS764">
        <v>0</v>
      </c>
      <c r="AT764">
        <v>0</v>
      </c>
      <c r="AU764">
        <v>0</v>
      </c>
      <c r="AV764">
        <v>0</v>
      </c>
      <c r="AW764">
        <v>0</v>
      </c>
      <c r="AX764" s="141">
        <f>COUNTIF(V764:AW764,"&lt;&gt;0")</f>
        <v>2</v>
      </c>
      <c r="AY764" s="141">
        <f>COUNTIF(V764:AL764,"&lt;&gt;0")</f>
        <v>2</v>
      </c>
      <c r="AZ764">
        <f>COUNTIF(V764:AC764,"&lt;&gt;0")</f>
        <v>1</v>
      </c>
      <c r="BA764">
        <f>COUNTIF(AD764:AI764,"&lt;&gt;0")</f>
        <v>1</v>
      </c>
      <c r="BB764">
        <f>COUNTIF(AJ764:AL764,"&lt;&gt;0")</f>
        <v>0</v>
      </c>
      <c r="BC764">
        <f>COUNTIF(AS764:AW764,"&lt;&gt;0")</f>
        <v>0</v>
      </c>
      <c r="BD764">
        <f>COUNTIF(AM764:AR764,"&lt;&gt;0")</f>
        <v>0</v>
      </c>
      <c r="BE764" t="str" cm="1">
        <f t="array" ref="BE764">IF(AY764=1,INDEX($V$7:$AL$7,MATCH(TRUE,INDEX($V764:$AW764&lt;&gt;0,),0)),IF(AY764=0,INDEX($AM$7:$AW$7,MATCH(1,$AM764:$AW764,0)),IF(BF764="Multiple strategies","mixed drivers",IF(BF764="Supply chain","multiple supply","multiple silviculture"))))</f>
        <v>mixed drivers</v>
      </c>
      <c r="BF764" s="2" t="str" cm="1">
        <f t="array" ref="BF764">IF(COUNTIF(AZ764:BB764,"&lt;&gt;0")=1,INDEX($V$4:$AW$4,MATCH(TRUE,INDEX($V764:$AW764&lt;&gt;0,),0)),IF(COUNTIF(AZ764:BB764,"&lt;&gt;0")=0,INDEX($AM$4:$AW$4,MATCH(1,$AM764:$AW764,0)),"Multiple strategies"))</f>
        <v>Multiple strategies</v>
      </c>
      <c r="BG764" s="1" t="s">
        <v>321</v>
      </c>
      <c r="BH764" t="s">
        <v>2264</v>
      </c>
      <c r="BJ764" t="s">
        <v>1355</v>
      </c>
      <c r="BK764">
        <v>130</v>
      </c>
      <c r="BL764">
        <v>180</v>
      </c>
      <c r="BN764">
        <f>BL764-BK764</f>
        <v>50</v>
      </c>
      <c r="BO764">
        <f>BN764*10^6</f>
        <v>50000000</v>
      </c>
      <c r="BP764" s="264" t="s">
        <v>232</v>
      </c>
      <c r="BQ764" s="264"/>
      <c r="BR764" t="s">
        <v>1140</v>
      </c>
      <c r="BS764">
        <v>-41.3</v>
      </c>
      <c r="BT764">
        <v>-18.399999999999999</v>
      </c>
      <c r="BU764" s="144">
        <v>0.44552058111380144</v>
      </c>
      <c r="BV764">
        <v>22.9</v>
      </c>
      <c r="BX764">
        <f>BV764*10^6</f>
        <v>22900000</v>
      </c>
      <c r="BY764">
        <f>IFERROR(BX764/BO764,"")</f>
        <v>0.45800000000000002</v>
      </c>
      <c r="BZ764">
        <v>0</v>
      </c>
      <c r="CA764">
        <v>0</v>
      </c>
      <c r="CB764">
        <v>0</v>
      </c>
      <c r="CC764">
        <v>0</v>
      </c>
      <c r="CD764">
        <v>0</v>
      </c>
      <c r="CE764">
        <v>0</v>
      </c>
      <c r="CF764">
        <v>0</v>
      </c>
      <c r="CG764">
        <v>0</v>
      </c>
      <c r="CH764">
        <v>0</v>
      </c>
      <c r="CI764">
        <v>0</v>
      </c>
      <c r="CJ764">
        <v>0</v>
      </c>
      <c r="CK764">
        <v>0</v>
      </c>
      <c r="CL764">
        <v>0</v>
      </c>
      <c r="CM764">
        <v>0</v>
      </c>
      <c r="CN764" t="str">
        <f>IF($BL764&lt;$BK764,"refNeedCorrection","refOK")</f>
        <v>refOK</v>
      </c>
      <c r="CO764">
        <f>IF($CN764="refOK",$BK764,$BL764)</f>
        <v>130</v>
      </c>
      <c r="CP764">
        <f>IF($CN764="refOK",$BL764,$BK764)</f>
        <v>180</v>
      </c>
      <c r="CQ764">
        <f>IF($CN764="refOK",$BO764,-$BO764)</f>
        <v>50000000</v>
      </c>
      <c r="CR764">
        <f>IF($CN764="refOK",$BS764,$BT764)*IF($BP764="Emissions positive",-1,1)</f>
        <v>-41.3</v>
      </c>
      <c r="CS764">
        <f>IF($CN764="refOK",$BT764,$BS764)*IF($BP764="Emissions positive",-1,1)</f>
        <v>-18.399999999999999</v>
      </c>
      <c r="CT764">
        <f>IF($CN764="refNeedCorrection",-BX764,BX764)*IF($BP764="Emissions positive",-1,1)</f>
        <v>22900000</v>
      </c>
      <c r="CU764">
        <f>IFERROR(CT764/CQ764,"")</f>
        <v>0.45800000000000002</v>
      </c>
      <c r="CV764" s="2">
        <f>IFERROR((CS764-CR764)/ABS(CR764),"")</f>
        <v>0.55447941888619856</v>
      </c>
      <c r="CW764" s="1" t="s">
        <v>1203</v>
      </c>
      <c r="CX764" s="264" t="str">
        <f>IF(OR($CW764="prd",$CW764="std",$CW764="cit"),"loc",IF(OR($CW764="eur",$CW764="reg",$CW764="coy"),"reg",$CW764))</f>
        <v>reg</v>
      </c>
      <c r="CY764" t="s">
        <v>540</v>
      </c>
      <c r="CZ764">
        <v>2012</v>
      </c>
      <c r="DA764">
        <v>2112</v>
      </c>
      <c r="DB764">
        <v>100</v>
      </c>
      <c r="DC764" t="str">
        <f>IF(DB764=0,"0",IF(AND(DB764&gt;=1,DB764&lt;=30),"1-30",IF(AND(DB764&gt;30,DB764&lt;=70),"31-70",IF(AND(DB764&gt;70,DB764&lt;=100),"71-100",IF(DB764&gt;100,"+100")))))</f>
        <v>71-100</v>
      </c>
      <c r="DD764">
        <v>0</v>
      </c>
      <c r="DE764">
        <v>1</v>
      </c>
      <c r="DF764">
        <v>1</v>
      </c>
      <c r="DG764">
        <v>1</v>
      </c>
      <c r="DI764">
        <f>SUM(DD764:DG764)</f>
        <v>3</v>
      </c>
      <c r="DJ764" t="str">
        <f>IF(DI764=1,INDEX($DD$7:$DG$7,MATCH(1,$DD764:$DG764,0)),"mixedProduct")</f>
        <v>mixedProduct</v>
      </c>
      <c r="DK764">
        <f>IF(DD764=1,DK$7,0)</f>
        <v>0</v>
      </c>
      <c r="DL764" t="str">
        <f>IF(DE764=1,DL$7,0)</f>
        <v>Energy</v>
      </c>
      <c r="DM764" t="str">
        <f>IF(DF764=1,DM$7,0)</f>
        <v>Pulp/Paper</v>
      </c>
      <c r="DN764" t="str">
        <f>IF(DG764=1,DN$7,0)</f>
        <v>Timber</v>
      </c>
      <c r="DO764" t="s">
        <v>2265</v>
      </c>
      <c r="DP764">
        <v>1</v>
      </c>
      <c r="DQ764" s="184" t="s">
        <v>2266</v>
      </c>
      <c r="DR764" t="s">
        <v>2267</v>
      </c>
      <c r="DT764">
        <f>SUM(DO764:DP764)</f>
        <v>1</v>
      </c>
      <c r="DU764" s="143" t="str">
        <f>IF(DO764=1,"self-calculated DF",IF(DP764=1,"external DF used","explicit C balance"))</f>
        <v>external DF used</v>
      </c>
      <c r="DV764">
        <v>0</v>
      </c>
      <c r="DW764">
        <v>0</v>
      </c>
      <c r="DX764">
        <v>0</v>
      </c>
      <c r="DY764">
        <v>1</v>
      </c>
      <c r="DZ764">
        <v>1</v>
      </c>
      <c r="EA764">
        <v>1</v>
      </c>
      <c r="EB764">
        <v>0</v>
      </c>
      <c r="EC764">
        <v>1</v>
      </c>
      <c r="ED764">
        <v>0</v>
      </c>
      <c r="EE764">
        <v>1</v>
      </c>
      <c r="EF764">
        <v>1</v>
      </c>
      <c r="EG764">
        <v>1</v>
      </c>
      <c r="EH764">
        <v>1</v>
      </c>
      <c r="EI764" s="2">
        <v>0</v>
      </c>
      <c r="EK764" t="str">
        <f>IF(AND(AND(AND(OR($DX764=1,$DW764=1),OR($EC764=1,$EA764=1)),SUM($DV764:$DZ764,$EF764)&gt;=4),SUM($EA764:$EE764)&gt;=2),"Whole sector","")</f>
        <v/>
      </c>
      <c r="EL764" t="str">
        <f>IF(AND(AND(OR($DX764=1,$DW764=1),AND($EC764=0,$EA764=0)),SUM($DV764:$DZ764,$EF764)&gt;=4),"Ecosystem approach","")</f>
        <v/>
      </c>
      <c r="EM764" s="2" t="str">
        <f>IF(AND(AND(AND($DX764=0,$DW764=0),OR($EC764=1,$EA764=1)),SUM($EB764:$EE764)&gt;=2),"Technology approach","")</f>
        <v>Technology approach</v>
      </c>
      <c r="EP764" t="str">
        <f>IF(ISNUMBER(BU764),IF(ABS(BU764-[3]QC_indicators!$B$2)&gt;3*[3]QC_indicators!$C$2,"C ratio",IF(ISNUMBER(BY764),IF(ABS(BY764-[3]QC_indicators!$B$1)&gt;3*[3]QC_indicators!$C$1,"DF","no"))),IF(ISNUMBER(BY764),IF(ABS(BY764-[3]QC_indicators!$B$1)&gt;3*[3]QC_indicators!$C$1,"DF","no")))</f>
        <v>no</v>
      </c>
      <c r="ER764" s="264" t="s">
        <v>2268</v>
      </c>
      <c r="ET764" s="264" t="s">
        <v>3407</v>
      </c>
    </row>
    <row r="765" spans="1:150" ht="15" customHeight="1">
      <c r="A765" s="1" t="s">
        <v>398</v>
      </c>
      <c r="B765" t="s">
        <v>399</v>
      </c>
      <c r="C765" t="s">
        <v>400</v>
      </c>
      <c r="D765" t="s">
        <v>401</v>
      </c>
      <c r="E765" t="s">
        <v>402</v>
      </c>
      <c r="F765" t="s">
        <v>403</v>
      </c>
      <c r="G765" t="s">
        <v>404</v>
      </c>
      <c r="H765" t="s">
        <v>254</v>
      </c>
      <c r="I765">
        <v>2022</v>
      </c>
      <c r="J765">
        <v>2</v>
      </c>
      <c r="K765" s="264" t="s">
        <v>405</v>
      </c>
      <c r="L765" t="s">
        <v>406</v>
      </c>
      <c r="M765" t="str">
        <f>LEFT($D765,FIND(",",$D765)-1)&amp;"_"&amp;I765&amp;L765</f>
        <v>Balasbaneh_2022b</v>
      </c>
      <c r="N765" t="s">
        <v>222</v>
      </c>
      <c r="O765" s="145" t="s">
        <v>223</v>
      </c>
      <c r="Q765" t="s">
        <v>389</v>
      </c>
      <c r="R765" s="269" t="s">
        <v>274</v>
      </c>
      <c r="S765" s="1" t="s">
        <v>390</v>
      </c>
      <c r="T765" t="s">
        <v>407</v>
      </c>
      <c r="U765" t="s">
        <v>408</v>
      </c>
      <c r="V765">
        <v>0</v>
      </c>
      <c r="W765">
        <v>0</v>
      </c>
      <c r="X765">
        <v>0</v>
      </c>
      <c r="Y765">
        <v>0</v>
      </c>
      <c r="Z765">
        <v>0</v>
      </c>
      <c r="AA765">
        <v>0</v>
      </c>
      <c r="AB765">
        <v>0</v>
      </c>
      <c r="AC765">
        <v>0</v>
      </c>
      <c r="AD765">
        <v>0</v>
      </c>
      <c r="AE765">
        <v>0</v>
      </c>
      <c r="AF765">
        <v>0</v>
      </c>
      <c r="AG765">
        <v>0</v>
      </c>
      <c r="AH765">
        <v>0</v>
      </c>
      <c r="AI765">
        <v>0</v>
      </c>
      <c r="AJ765">
        <v>0</v>
      </c>
      <c r="AK765">
        <v>1</v>
      </c>
      <c r="AL765">
        <v>0</v>
      </c>
      <c r="AM765">
        <v>0</v>
      </c>
      <c r="AN765">
        <v>0</v>
      </c>
      <c r="AO765">
        <v>0</v>
      </c>
      <c r="AP765">
        <v>0</v>
      </c>
      <c r="AQ765">
        <v>0</v>
      </c>
      <c r="AR765">
        <v>0</v>
      </c>
      <c r="AS765">
        <v>0</v>
      </c>
      <c r="AT765">
        <v>0</v>
      </c>
      <c r="AU765">
        <v>0</v>
      </c>
      <c r="AV765">
        <v>0</v>
      </c>
      <c r="AW765">
        <v>0</v>
      </c>
      <c r="AX765" s="141">
        <f>COUNTIF(V765:AW765,"&lt;&gt;0")</f>
        <v>1</v>
      </c>
      <c r="AY765" s="141">
        <f>COUNTIF(V765:AL765,"&lt;&gt;0")</f>
        <v>1</v>
      </c>
      <c r="AZ765">
        <f>COUNTIF(V765:AC765,"&lt;&gt;0")</f>
        <v>0</v>
      </c>
      <c r="BA765">
        <f>COUNTIF(AD765:AI765,"&lt;&gt;0")</f>
        <v>0</v>
      </c>
      <c r="BB765">
        <f>COUNTIF(AJ765:AL765,"&lt;&gt;0")</f>
        <v>1</v>
      </c>
      <c r="BC765">
        <f>COUNTIF(AS765:AW765,"&lt;&gt;0")</f>
        <v>0</v>
      </c>
      <c r="BD765">
        <f>COUNTIF(AM765:AR765,"&lt;&gt;0")</f>
        <v>0</v>
      </c>
      <c r="BE765" t="str">
        <f t="array" ref="BE765">IF(AY765=1,INDEX($V$7:$AL$7,MATCH(TRUE,INDEX($V765:$AW765&lt;&gt;0,),0)),IF(AY765=0,INDEX($AM$7:$AW$7,MATCH(1,$AM765:$AW765,0)),IF(BF765="Multiple strategies","mixed drivers",IF(BF765="Supply chain","multiple supply","multiple silviculture"))))</f>
        <v>technologies/design switch</v>
      </c>
      <c r="BF765" s="2" t="str" cm="1">
        <f t="array" ref="BF765">IF(COUNTIF(AZ765:BB765,"&lt;&gt;0")=1,INDEX($V$4:$AW$4,MATCH(TRUE,INDEX($V765:$AW765&lt;&gt;0,),0)),IF(COUNTIF(AZ765:BB765,"&lt;&gt;0")=0,INDEX($AM$4:$AW$4,MATCH(1,$AM765:$AW765,0)),"Multiple strategies"))</f>
        <v>Technology</v>
      </c>
      <c r="BG765" s="1" t="s">
        <v>229</v>
      </c>
      <c r="BH765" s="264" t="s">
        <v>409</v>
      </c>
      <c r="BI765" t="s">
        <v>410</v>
      </c>
      <c r="BJ765" t="s">
        <v>345</v>
      </c>
      <c r="BK765">
        <v>0</v>
      </c>
      <c r="BL765">
        <v>5500</v>
      </c>
      <c r="BN765">
        <f>BL765-BK765</f>
        <v>5500</v>
      </c>
      <c r="BO765">
        <f>BN765*kg_to_m3</f>
        <v>11.224489795918368</v>
      </c>
      <c r="BP765" t="s">
        <v>395</v>
      </c>
      <c r="BQ765" s="333" t="s">
        <v>411</v>
      </c>
      <c r="BR765" t="s">
        <v>397</v>
      </c>
      <c r="BS765">
        <f>13000-2500</f>
        <v>10500</v>
      </c>
      <c r="BT765">
        <f>8500-3200</f>
        <v>5300</v>
      </c>
      <c r="BU765" s="144">
        <f>IFERROR(BT765/BS765,"")</f>
        <v>0.50476190476190474</v>
      </c>
      <c r="BV765">
        <f>BT765-BS765</f>
        <v>-5200</v>
      </c>
      <c r="BX765">
        <f>BV765/1000</f>
        <v>-5.2</v>
      </c>
      <c r="BY765">
        <f>IFERROR(BX765/BO765,"")</f>
        <v>-0.46327272727272728</v>
      </c>
      <c r="BZ765">
        <v>1</v>
      </c>
      <c r="CA765">
        <v>0</v>
      </c>
      <c r="CB765">
        <v>0</v>
      </c>
      <c r="CC765">
        <v>0</v>
      </c>
      <c r="CD765">
        <v>0</v>
      </c>
      <c r="CE765">
        <v>0</v>
      </c>
      <c r="CF765">
        <v>0</v>
      </c>
      <c r="CG765">
        <v>0</v>
      </c>
      <c r="CH765">
        <v>0</v>
      </c>
      <c r="CI765">
        <v>0</v>
      </c>
      <c r="CJ765">
        <v>0</v>
      </c>
      <c r="CK765">
        <v>0</v>
      </c>
      <c r="CL765">
        <v>0</v>
      </c>
      <c r="CM765">
        <v>0</v>
      </c>
      <c r="CN765" t="str">
        <f>IF($BL765&lt;$BK765,"refNeedCorrection","refOK")</f>
        <v>refOK</v>
      </c>
      <c r="CO765"/>
      <c r="CP765"/>
      <c r="CQ765">
        <f>IF($CN765="refOK",$BO765,-$BO765)</f>
        <v>11.224489795918368</v>
      </c>
      <c r="CR765">
        <f>IF($CN765="refOK",$BS765,$BT765)*IF($BP765="Emissions positive",-1,1)</f>
        <v>-10500</v>
      </c>
      <c r="CS765">
        <f>IF($CN765="refOK",$BT765,$BS765)*IF($BP765="Emissions positive",-1,1)</f>
        <v>-5300</v>
      </c>
      <c r="CT765">
        <f>IF($CN765="refNeedCorrection",-BX765,BX765)*IF($BP765="Emissions positive",-1,1)</f>
        <v>5.2</v>
      </c>
      <c r="CU765">
        <f>IFERROR(CT765/CQ765,"")</f>
        <v>0.46327272727272728</v>
      </c>
      <c r="CV765" s="2">
        <f>IFERROR((CS765-CR765)/ABS(CR765),"")</f>
        <v>0.49523809523809526</v>
      </c>
      <c r="CW765" s="1" t="s">
        <v>263</v>
      </c>
      <c r="CX765" t="str">
        <f>IF(OR($CW765="prd",$CW765="std",$CW765="cit"),"loc",IF(OR($CW765="eur",$CW765="reg",$CW765="coy"),"reg",$CW765))</f>
        <v>loc</v>
      </c>
      <c r="CY765" t="s">
        <v>348</v>
      </c>
      <c r="DB765">
        <v>0</v>
      </c>
      <c r="DC765" t="str">
        <f>IF(DB765=0,"0",IF(AND(DB765&gt;=1,DB765&lt;=30),"1-30",IF(AND(DB765&gt;30,DB765&lt;=70),"31-70",IF(AND(DB765&gt;70,DB765&lt;=100),"71-100",IF(DB765&gt;100,"+100")))))</f>
        <v>0</v>
      </c>
      <c r="DD765">
        <v>0</v>
      </c>
      <c r="DE765">
        <v>0</v>
      </c>
      <c r="DF765">
        <v>0</v>
      </c>
      <c r="DG765">
        <v>1</v>
      </c>
      <c r="DH765">
        <v>0</v>
      </c>
      <c r="DI765">
        <f>SUM(DD765:DH765)</f>
        <v>1</v>
      </c>
      <c r="DJ765" t="str">
        <f>IF(DI765=1,INDEX($DD$7:$DG$7,MATCH(1,$DD765:$DG765,0)),"mixedProduct")</f>
        <v>TimberInput</v>
      </c>
      <c r="DK765">
        <f>IF(DD765=1,DK$7,0)</f>
        <v>0</v>
      </c>
      <c r="DL765">
        <f>IF(DE765=1,DL$7,0)</f>
        <v>0</v>
      </c>
      <c r="DM765">
        <f>IF(DF765=1,DM$7,0)</f>
        <v>0</v>
      </c>
      <c r="DN765" t="str">
        <f>IF(DG765=1,DN$7,0)</f>
        <v>Timber</v>
      </c>
      <c r="DO765">
        <v>0</v>
      </c>
      <c r="DP765">
        <v>0</v>
      </c>
      <c r="DQ765">
        <v>0</v>
      </c>
      <c r="DR765">
        <v>0</v>
      </c>
      <c r="DS765">
        <v>0</v>
      </c>
      <c r="DT765">
        <f>SUM(DO765:DP765)</f>
        <v>0</v>
      </c>
      <c r="DU765" t="str">
        <f>IF(DO765=1,"self-calculated DF",IF(DP765=1,"external DF used","explicit C balance"))</f>
        <v>explicit C balance</v>
      </c>
      <c r="DV765">
        <v>0</v>
      </c>
      <c r="DW765">
        <v>0</v>
      </c>
      <c r="DX765">
        <v>0</v>
      </c>
      <c r="DY765">
        <v>0</v>
      </c>
      <c r="DZ765">
        <v>0</v>
      </c>
      <c r="EA765" s="143">
        <v>1</v>
      </c>
      <c r="EB765">
        <v>1</v>
      </c>
      <c r="EC765">
        <v>1</v>
      </c>
      <c r="ED765">
        <v>0</v>
      </c>
      <c r="EE765">
        <v>1</v>
      </c>
      <c r="EF765">
        <v>0</v>
      </c>
      <c r="EG765">
        <v>0</v>
      </c>
      <c r="EH765">
        <v>0</v>
      </c>
      <c r="EI765" s="2">
        <v>0</v>
      </c>
      <c r="EK765" t="str">
        <f>IF(AND(AND(AND(OR($DX765=1,$DW765=1),OR($EC765=1,$EA765=1)),SUM($DV765:$DZ765,$EF765)&gt;=4),SUM($EA765:$EE765)&gt;=2),"Whole sector","")</f>
        <v/>
      </c>
      <c r="EL765" t="str">
        <f>IF(AND(AND(OR($DX765=1,$DW765=1),AND($EC765=0,$EA765=0)),SUM($DV765:$DZ765,$EF765)&gt;=4),"Ecosystem approach","")</f>
        <v/>
      </c>
      <c r="EM765" s="2" t="str">
        <f>IF(AND(AND(AND($DX765=0,$DW765=0),OR($EC765=1,$EA765=1)),SUM($EB765:$EE765)&gt;=2),"Technology approach","")</f>
        <v>Technology approach</v>
      </c>
      <c r="EP765" t="str">
        <f>IF(ISNUMBER(BU765),IF(ABS(BU765-[2]QC_indicators!$B$2)&gt;3*[2]QC_indicators!$C$2,"C ratio",IF(ISNUMBER(BY765),IF(ABS(BY765-[2]QC_indicators!$B$1)&gt;3*[2]QC_indicators!$C$1,"DF","no"))),IF(ISNUMBER(BY765),IF(ABS(BY765-[2]QC_indicators!$B$1)&gt;3*[2]QC_indicators!$C$1,"DF","no")))</f>
        <v>no</v>
      </c>
      <c r="ET765" s="264" t="s">
        <v>3151</v>
      </c>
    </row>
    <row r="766" spans="1:150" ht="15" customHeight="1">
      <c r="A766" s="1" t="s">
        <v>1808</v>
      </c>
      <c r="B766" t="s">
        <v>2257</v>
      </c>
      <c r="C766" t="s">
        <v>2258</v>
      </c>
      <c r="D766" t="s">
        <v>2259</v>
      </c>
      <c r="E766" t="s">
        <v>2260</v>
      </c>
      <c r="F766" t="s">
        <v>2261</v>
      </c>
      <c r="G766" t="s">
        <v>1814</v>
      </c>
      <c r="H766" t="s">
        <v>254</v>
      </c>
      <c r="I766">
        <v>2013</v>
      </c>
      <c r="J766">
        <v>49</v>
      </c>
      <c r="K766" t="s">
        <v>2262</v>
      </c>
      <c r="M766" t="str">
        <f>LEFT($D766,FIND(",",$D766)-1)&amp;"_"&amp;I766&amp;L766</f>
        <v>Sikkema_2013</v>
      </c>
      <c r="N766" t="s">
        <v>222</v>
      </c>
      <c r="O766" s="145" t="s">
        <v>341</v>
      </c>
      <c r="Q766" s="264" t="s">
        <v>256</v>
      </c>
      <c r="R766" s="269" t="s">
        <v>1154</v>
      </c>
      <c r="S766" s="1" t="s">
        <v>2276</v>
      </c>
      <c r="T766" t="s">
        <v>1099</v>
      </c>
      <c r="U766" t="e">
        <f>#REF!</f>
        <v>#REF!</v>
      </c>
      <c r="V766">
        <v>2</v>
      </c>
      <c r="W766">
        <v>0</v>
      </c>
      <c r="X766">
        <v>0</v>
      </c>
      <c r="Y766">
        <v>0</v>
      </c>
      <c r="Z766">
        <v>0</v>
      </c>
      <c r="AA766">
        <v>0</v>
      </c>
      <c r="AB766">
        <v>0</v>
      </c>
      <c r="AC766">
        <v>0</v>
      </c>
      <c r="AD766">
        <v>0</v>
      </c>
      <c r="AE766">
        <v>0</v>
      </c>
      <c r="AF766">
        <v>1</v>
      </c>
      <c r="AG766">
        <v>0</v>
      </c>
      <c r="AH766">
        <v>0</v>
      </c>
      <c r="AI766">
        <v>0</v>
      </c>
      <c r="AJ766">
        <v>0</v>
      </c>
      <c r="AK766">
        <v>0</v>
      </c>
      <c r="AL766">
        <v>0</v>
      </c>
      <c r="AM766">
        <v>0</v>
      </c>
      <c r="AN766">
        <v>0</v>
      </c>
      <c r="AO766">
        <v>0</v>
      </c>
      <c r="AP766">
        <v>0</v>
      </c>
      <c r="AQ766">
        <v>0</v>
      </c>
      <c r="AR766">
        <v>0</v>
      </c>
      <c r="AS766">
        <v>0</v>
      </c>
      <c r="AT766">
        <v>0</v>
      </c>
      <c r="AU766">
        <v>0</v>
      </c>
      <c r="AV766">
        <v>0</v>
      </c>
      <c r="AW766">
        <v>0</v>
      </c>
      <c r="AX766" s="141">
        <f>COUNTIF(V766:AW766,"&lt;&gt;0")</f>
        <v>2</v>
      </c>
      <c r="AY766" s="141">
        <f>COUNTIF(V766:AL766,"&lt;&gt;0")</f>
        <v>2</v>
      </c>
      <c r="AZ766">
        <f>COUNTIF(V766:AC766,"&lt;&gt;0")</f>
        <v>1</v>
      </c>
      <c r="BA766">
        <f>COUNTIF(AD766:AI766,"&lt;&gt;0")</f>
        <v>1</v>
      </c>
      <c r="BB766">
        <f>COUNTIF(AJ766:AL766,"&lt;&gt;0")</f>
        <v>0</v>
      </c>
      <c r="BC766">
        <f>COUNTIF(AS766:AW766,"&lt;&gt;0")</f>
        <v>0</v>
      </c>
      <c r="BD766">
        <f>COUNTIF(AM766:AR766,"&lt;&gt;0")</f>
        <v>0</v>
      </c>
      <c r="BE766" t="str" cm="1">
        <f t="array" ref="BE766">IF(AY766=1,INDEX($V$7:$AL$7,MATCH(TRUE,INDEX($V766:$AW766&lt;&gt;0,),0)),IF(AY766=0,INDEX($AM$7:$AW$7,MATCH(1,$AM766:$AW766,0)),IF(BF766="Multiple strategies","mixed drivers",IF(BF766="Supply chain","multiple supply","multiple silviculture"))))</f>
        <v>mixed drivers</v>
      </c>
      <c r="BF766" s="2" t="str" cm="1">
        <f t="array" ref="BF766">IF(COUNTIF(AZ766:BB766,"&lt;&gt;0")=1,INDEX($V$4:$AW$4,MATCH(TRUE,INDEX($V766:$AW766&lt;&gt;0,),0)),IF(COUNTIF(AZ766:BB766,"&lt;&gt;0")=0,INDEX($AM$4:$AW$4,MATCH(1,$AM766:$AW766,0)),"Multiple strategies"))</f>
        <v>Multiple strategies</v>
      </c>
      <c r="BG766" s="1" t="s">
        <v>321</v>
      </c>
      <c r="BH766" t="s">
        <v>2264</v>
      </c>
      <c r="BJ766" t="s">
        <v>1355</v>
      </c>
      <c r="BK766">
        <v>130</v>
      </c>
      <c r="BL766">
        <v>180</v>
      </c>
      <c r="BN766">
        <f>BL766-BK766</f>
        <v>50</v>
      </c>
      <c r="BO766">
        <f>BN766*10^6</f>
        <v>50000000</v>
      </c>
      <c r="BP766" s="264" t="s">
        <v>232</v>
      </c>
      <c r="BQ766" s="264"/>
      <c r="BR766" t="s">
        <v>1140</v>
      </c>
      <c r="BS766">
        <v>-41.3</v>
      </c>
      <c r="BT766">
        <v>-18.100000000000001</v>
      </c>
      <c r="BU766" s="144">
        <v>0.43825665859564172</v>
      </c>
      <c r="BV766">
        <v>23.199999999999996</v>
      </c>
      <c r="BX766">
        <f>BV766*10^6</f>
        <v>23199999.999999996</v>
      </c>
      <c r="BY766">
        <f>IFERROR(BX766/BO766,"")</f>
        <v>0.46399999999999991</v>
      </c>
      <c r="BZ766">
        <v>0</v>
      </c>
      <c r="CA766">
        <v>0</v>
      </c>
      <c r="CB766">
        <v>0</v>
      </c>
      <c r="CC766">
        <v>0</v>
      </c>
      <c r="CD766">
        <v>0</v>
      </c>
      <c r="CE766">
        <v>0</v>
      </c>
      <c r="CF766">
        <v>0</v>
      </c>
      <c r="CG766">
        <v>0</v>
      </c>
      <c r="CH766">
        <v>0</v>
      </c>
      <c r="CI766">
        <v>0</v>
      </c>
      <c r="CJ766">
        <v>0</v>
      </c>
      <c r="CK766">
        <v>0</v>
      </c>
      <c r="CL766">
        <v>0</v>
      </c>
      <c r="CM766">
        <v>0</v>
      </c>
      <c r="CN766" t="str">
        <f>IF($BL766&lt;$BK766,"refNeedCorrection","refOK")</f>
        <v>refOK</v>
      </c>
      <c r="CO766">
        <f>IF($CN766="refOK",$BK766,$BL766)</f>
        <v>130</v>
      </c>
      <c r="CP766">
        <f>IF($CN766="refOK",$BL766,$BK766)</f>
        <v>180</v>
      </c>
      <c r="CQ766">
        <f>IF($CN766="refOK",$BO766,-$BO766)</f>
        <v>50000000</v>
      </c>
      <c r="CR766">
        <f>IF($CN766="refOK",$BS766,$BT766)*IF($BP766="Emissions positive",-1,1)</f>
        <v>-41.3</v>
      </c>
      <c r="CS766">
        <f>IF($CN766="refOK",$BT766,$BS766)*IF($BP766="Emissions positive",-1,1)</f>
        <v>-18.100000000000001</v>
      </c>
      <c r="CT766">
        <f>IF($CN766="refNeedCorrection",-BX766,BX766)*IF($BP766="Emissions positive",-1,1)</f>
        <v>23199999.999999996</v>
      </c>
      <c r="CU766">
        <f>IFERROR(CT766/CQ766,"")</f>
        <v>0.46399999999999991</v>
      </c>
      <c r="CV766" s="2">
        <f>IFERROR((CS766-CR766)/ABS(CR766),"")</f>
        <v>0.56174334140435833</v>
      </c>
      <c r="CW766" s="1" t="s">
        <v>1203</v>
      </c>
      <c r="CX766" s="264" t="str">
        <f>IF(OR($CW766="prd",$CW766="std",$CW766="cit"),"loc",IF(OR($CW766="eur",$CW766="reg",$CW766="coy"),"reg",$CW766))</f>
        <v>reg</v>
      </c>
      <c r="CY766" t="s">
        <v>540</v>
      </c>
      <c r="CZ766">
        <v>2012</v>
      </c>
      <c r="DA766">
        <v>2112</v>
      </c>
      <c r="DB766">
        <v>100</v>
      </c>
      <c r="DC766" t="str">
        <f>IF(DB766=0,"0",IF(AND(DB766&gt;=1,DB766&lt;=30),"1-30",IF(AND(DB766&gt;30,DB766&lt;=70),"31-70",IF(AND(DB766&gt;70,DB766&lt;=100),"71-100",IF(DB766&gt;100,"+100")))))</f>
        <v>71-100</v>
      </c>
      <c r="DD766">
        <v>0</v>
      </c>
      <c r="DE766">
        <v>1</v>
      </c>
      <c r="DF766">
        <v>1</v>
      </c>
      <c r="DG766">
        <v>1</v>
      </c>
      <c r="DI766">
        <f>SUM(DD766:DG766)</f>
        <v>3</v>
      </c>
      <c r="DJ766" t="str">
        <f>IF(DI766=1,INDEX($DD$7:$DG$7,MATCH(1,$DD766:$DG766,0)),"mixedProduct")</f>
        <v>mixedProduct</v>
      </c>
      <c r="DK766">
        <f>IF(DD766=1,DK$7,0)</f>
        <v>0</v>
      </c>
      <c r="DL766" t="str">
        <f>IF(DE766=1,DL$7,0)</f>
        <v>Energy</v>
      </c>
      <c r="DM766" t="str">
        <f>IF(DF766=1,DM$7,0)</f>
        <v>Pulp/Paper</v>
      </c>
      <c r="DN766" t="str">
        <f>IF(DG766=1,DN$7,0)</f>
        <v>Timber</v>
      </c>
      <c r="DO766" t="s">
        <v>2265</v>
      </c>
      <c r="DP766">
        <v>1</v>
      </c>
      <c r="DQ766" s="184" t="s">
        <v>2266</v>
      </c>
      <c r="DR766" t="s">
        <v>2267</v>
      </c>
      <c r="DT766">
        <f>SUM(DO766:DP766)</f>
        <v>1</v>
      </c>
      <c r="DU766" s="143" t="str">
        <f>IF(DO766=1,"self-calculated DF",IF(DP766=1,"external DF used","explicit C balance"))</f>
        <v>external DF used</v>
      </c>
      <c r="DV766">
        <v>0</v>
      </c>
      <c r="DW766">
        <v>0</v>
      </c>
      <c r="DX766">
        <v>0</v>
      </c>
      <c r="DY766">
        <v>1</v>
      </c>
      <c r="DZ766">
        <v>1</v>
      </c>
      <c r="EA766">
        <v>1</v>
      </c>
      <c r="EB766">
        <v>0</v>
      </c>
      <c r="EC766">
        <v>1</v>
      </c>
      <c r="ED766">
        <v>0</v>
      </c>
      <c r="EE766">
        <v>1</v>
      </c>
      <c r="EF766">
        <v>1</v>
      </c>
      <c r="EG766">
        <v>1</v>
      </c>
      <c r="EH766">
        <v>1</v>
      </c>
      <c r="EI766" s="2">
        <v>0</v>
      </c>
      <c r="EK766" t="str">
        <f>IF(AND(AND(AND(OR($DX766=1,$DW766=1),OR($EC766=1,$EA766=1)),SUM($DV766:$DZ766,$EF766)&gt;=4),SUM($EA766:$EE766)&gt;=2),"Whole sector","")</f>
        <v/>
      </c>
      <c r="EL766" t="str">
        <f>IF(AND(AND(OR($DX766=1,$DW766=1),AND($EC766=0,$EA766=0)),SUM($DV766:$DZ766,$EF766)&gt;=4),"Ecosystem approach","")</f>
        <v/>
      </c>
      <c r="EM766" s="2" t="str">
        <f>IF(AND(AND(AND($DX766=0,$DW766=0),OR($EC766=1,$EA766=1)),SUM($EB766:$EE766)&gt;=2),"Technology approach","")</f>
        <v>Technology approach</v>
      </c>
      <c r="EP766" t="str">
        <f>IF(ISNUMBER(BU766),IF(ABS(BU766-[3]QC_indicators!$B$2)&gt;3*[3]QC_indicators!$C$2,"C ratio",IF(ISNUMBER(BY766),IF(ABS(BY766-[3]QC_indicators!$B$1)&gt;3*[3]QC_indicators!$C$1,"DF","no"))),IF(ISNUMBER(BY766),IF(ABS(BY766-[3]QC_indicators!$B$1)&gt;3*[3]QC_indicators!$C$1,"DF","no")))</f>
        <v>no</v>
      </c>
      <c r="ER766" s="264" t="s">
        <v>2268</v>
      </c>
      <c r="ET766" s="264" t="s">
        <v>3407</v>
      </c>
    </row>
    <row r="767" spans="1:150" ht="15" customHeight="1">
      <c r="A767" s="1" t="s">
        <v>1233</v>
      </c>
      <c r="B767" t="s">
        <v>1234</v>
      </c>
      <c r="C767" t="s">
        <v>1235</v>
      </c>
      <c r="D767" t="s">
        <v>336</v>
      </c>
      <c r="E767" t="s">
        <v>1236</v>
      </c>
      <c r="F767" t="s">
        <v>1237</v>
      </c>
      <c r="G767" t="s">
        <v>1238</v>
      </c>
      <c r="I767">
        <v>2018</v>
      </c>
      <c r="K767" t="s">
        <v>1239</v>
      </c>
      <c r="M767" t="str">
        <f>LEFT($D767,FIND(",",$D767)-1)&amp;"_"&amp;I767&amp;L767</f>
        <v>Balasbaneh_2018</v>
      </c>
      <c r="N767" t="s">
        <v>222</v>
      </c>
      <c r="O767" s="140" t="s">
        <v>513</v>
      </c>
      <c r="Q767" t="s">
        <v>224</v>
      </c>
      <c r="R767" s="262" t="s">
        <v>223</v>
      </c>
      <c r="S767" s="1" t="s">
        <v>1261</v>
      </c>
      <c r="T767" s="264" t="s">
        <v>3110</v>
      </c>
      <c r="U767" s="264" t="s">
        <v>3111</v>
      </c>
      <c r="V767">
        <v>0</v>
      </c>
      <c r="W767">
        <v>0</v>
      </c>
      <c r="X767">
        <v>0</v>
      </c>
      <c r="Y767">
        <v>0</v>
      </c>
      <c r="Z767">
        <v>0</v>
      </c>
      <c r="AA767">
        <v>0</v>
      </c>
      <c r="AB767">
        <v>0</v>
      </c>
      <c r="AC767">
        <v>0</v>
      </c>
      <c r="AD767">
        <v>0</v>
      </c>
      <c r="AE767">
        <v>0</v>
      </c>
      <c r="AF767">
        <v>0</v>
      </c>
      <c r="AG767">
        <v>0</v>
      </c>
      <c r="AH767">
        <v>0</v>
      </c>
      <c r="AI767">
        <v>0</v>
      </c>
      <c r="AJ767">
        <v>0</v>
      </c>
      <c r="AK767">
        <v>1</v>
      </c>
      <c r="AL767">
        <v>0</v>
      </c>
      <c r="AM767">
        <v>0</v>
      </c>
      <c r="AN767">
        <v>0</v>
      </c>
      <c r="AO767">
        <v>0</v>
      </c>
      <c r="AP767">
        <v>0</v>
      </c>
      <c r="AQ767">
        <v>0</v>
      </c>
      <c r="AR767">
        <v>0</v>
      </c>
      <c r="AS767">
        <v>0</v>
      </c>
      <c r="AT767">
        <v>0</v>
      </c>
      <c r="AU767">
        <v>0</v>
      </c>
      <c r="AV767">
        <v>0</v>
      </c>
      <c r="AW767">
        <v>0</v>
      </c>
      <c r="AX767" s="141">
        <f>COUNTIF(V767:AW767,"&lt;&gt;0")</f>
        <v>1</v>
      </c>
      <c r="AY767" s="141">
        <f>COUNTIF(V767:AL767,"&lt;&gt;0")</f>
        <v>1</v>
      </c>
      <c r="AZ767">
        <f>COUNTIF(V767:AC767,"&lt;&gt;0")</f>
        <v>0</v>
      </c>
      <c r="BA767">
        <f>COUNTIF(AD767:AI767,"&lt;&gt;0")</f>
        <v>0</v>
      </c>
      <c r="BB767">
        <f>COUNTIF(AJ767:AL767,"&lt;&gt;0")</f>
        <v>1</v>
      </c>
      <c r="BC767">
        <f>COUNTIF(AS767:AW767,"&lt;&gt;0")</f>
        <v>0</v>
      </c>
      <c r="BD767">
        <f>COUNTIF(AM767:AR767,"&lt;&gt;0")</f>
        <v>0</v>
      </c>
      <c r="BE767" t="str">
        <f t="array" ref="BE767">IF(AY767=1,INDEX($V$7:$AL$7,MATCH(TRUE,INDEX($V767:$AW767&lt;&gt;0,),0)),IF(AY767=0,INDEX($AM$7:$AW$7,MATCH(1,$AM767:$AW767,0)),IF(BF767="Multiple strategies","mixed drivers",IF(BF767="Supply chain","multiple supply","multiple silviculture"))))</f>
        <v>technologies/design switch</v>
      </c>
      <c r="BF767" s="2" t="str" cm="1">
        <f t="array" ref="BF767">IF(COUNTIF(AZ767:BB767,"&lt;&gt;0")=1,INDEX($V$4:$AW$4,MATCH(TRUE,INDEX($V767:$AW767&lt;&gt;0,),0)),IF(COUNTIF(AZ767:BB767,"&lt;&gt;0")=0,INDEX($AM$4:$AW$4,MATCH(1,$AM767:$AW767,0)),"Multiple strategies"))</f>
        <v>Technology</v>
      </c>
      <c r="BG767" s="1" t="s">
        <v>229</v>
      </c>
      <c r="BH767" t="s">
        <v>229</v>
      </c>
      <c r="BJ767" t="s">
        <v>345</v>
      </c>
      <c r="BK767">
        <v>0</v>
      </c>
      <c r="BL767">
        <v>15468</v>
      </c>
      <c r="BM767" s="143"/>
      <c r="BN767">
        <f>BL767-BK767</f>
        <v>15468</v>
      </c>
      <c r="BO767" s="143">
        <f>BN767*kg_to_m3</f>
        <v>31.567346938775515</v>
      </c>
      <c r="BP767" t="s">
        <v>232</v>
      </c>
      <c r="BQ767" s="337" t="s">
        <v>1057</v>
      </c>
      <c r="BR767" t="s">
        <v>397</v>
      </c>
      <c r="BS767">
        <v>-19800</v>
      </c>
      <c r="BT767">
        <v>-5130</v>
      </c>
      <c r="BU767" s="144">
        <v>0.25909090909090909</v>
      </c>
      <c r="BV767">
        <v>14670</v>
      </c>
      <c r="BX767">
        <f>BV767/1000</f>
        <v>14.67</v>
      </c>
      <c r="BY767">
        <f>IFERROR(BX767/BO767,"")</f>
        <v>0.46472071373157481</v>
      </c>
      <c r="BZ767">
        <v>0</v>
      </c>
      <c r="CA767">
        <v>0</v>
      </c>
      <c r="CB767">
        <v>0</v>
      </c>
      <c r="CC767">
        <v>0</v>
      </c>
      <c r="CD767">
        <v>0</v>
      </c>
      <c r="CE767">
        <v>0</v>
      </c>
      <c r="CF767">
        <v>0</v>
      </c>
      <c r="CG767">
        <v>0</v>
      </c>
      <c r="CH767">
        <v>0</v>
      </c>
      <c r="CI767">
        <v>0</v>
      </c>
      <c r="CJ767">
        <v>0</v>
      </c>
      <c r="CK767">
        <v>0</v>
      </c>
      <c r="CL767">
        <v>0</v>
      </c>
      <c r="CM767">
        <v>0</v>
      </c>
      <c r="CN767" t="str">
        <f>IF($BL767&lt;$BK767,"refNeedCorrection","refOK")</f>
        <v>refOK</v>
      </c>
      <c r="CO767">
        <f>IF($CN767="refNeedCorrection",BL767,BK767)</f>
        <v>0</v>
      </c>
      <c r="CP767">
        <f>IF($CN767="refNeedCorrection",BK767,BL767)</f>
        <v>15468</v>
      </c>
      <c r="CQ767">
        <f>IF($CN767="refOK",$BO767,-$BO767)</f>
        <v>31.567346938775515</v>
      </c>
      <c r="CR767">
        <f>IF($CN767="refOK",$BS767,$BT767)*IF($BP767="Emissions positive",-1,1)</f>
        <v>-19800</v>
      </c>
      <c r="CS767">
        <f>IF($CN767="refOK",$BT767,$BS767)*IF($BP767="Emissions positive",-1,1)</f>
        <v>-5130</v>
      </c>
      <c r="CT767">
        <f>IF($CN767="refNeedCorrection",-BX767,BX767)*IF($BP767="Emissions positive",-1,1)</f>
        <v>14.67</v>
      </c>
      <c r="CU767">
        <f>IFERROR(CT767/CQ767,"")</f>
        <v>0.46472071373157481</v>
      </c>
      <c r="CV767" s="2">
        <f>IFERROR((CS767-CR767)/ABS(CR767),"")</f>
        <v>0.74090909090909096</v>
      </c>
      <c r="CW767" s="1" t="s">
        <v>1203</v>
      </c>
      <c r="CX767" t="str">
        <f>IF(OR($CW767="prd",$CW767="std",$CW767="cit"),"loc",IF(OR($CW767="eur",$CW767="reg",$CW767="coy"),"reg",$CW767))</f>
        <v>reg</v>
      </c>
      <c r="CY767" t="s">
        <v>348</v>
      </c>
      <c r="CZ767">
        <v>2014</v>
      </c>
      <c r="DA767">
        <v>2514</v>
      </c>
      <c r="DB767">
        <v>500</v>
      </c>
      <c r="DC767" t="str">
        <f>IF(DB767=0,"0",IF(AND(DB767&gt;=1,DB767&lt;=30),"1-30",IF(AND(DB767&gt;30,DB767&lt;=70),"31-70",IF(AND(DB767&gt;70,DB767&lt;=100),"71-100",IF(DB767&gt;100,"+100")))))</f>
        <v>+100</v>
      </c>
      <c r="DD767">
        <v>0</v>
      </c>
      <c r="DE767">
        <v>0</v>
      </c>
      <c r="DF767">
        <v>0</v>
      </c>
      <c r="DG767">
        <v>1</v>
      </c>
      <c r="DI767">
        <f>SUM(DD767:DG767)</f>
        <v>1</v>
      </c>
      <c r="DJ767" t="str">
        <f>IF(DI767=1,INDEX($DD$7:$DG$7,MATCH(1,$DD767:$DG767,0)),"mixedProduct")</f>
        <v>TimberInput</v>
      </c>
      <c r="DK767">
        <f>IF(DD767=1,DK$7,0)</f>
        <v>0</v>
      </c>
      <c r="DL767">
        <f>IF(DE767=1,DL$7,0)</f>
        <v>0</v>
      </c>
      <c r="DM767">
        <f>IF(DF767=1,DM$7,0)</f>
        <v>0</v>
      </c>
      <c r="DN767" t="str">
        <f>IF(DG767=1,DN$7,0)</f>
        <v>Timber</v>
      </c>
      <c r="DO767">
        <v>0</v>
      </c>
      <c r="DP767">
        <v>0</v>
      </c>
      <c r="DQ767">
        <v>0</v>
      </c>
      <c r="DR767">
        <v>0</v>
      </c>
      <c r="DS767">
        <v>0</v>
      </c>
      <c r="DT767">
        <f>SUM(DO767:DP767)</f>
        <v>0</v>
      </c>
      <c r="DU767" s="143" t="str">
        <f>IF(DO767=1,"self-calculated DF",IF(DP767=1,"external DF used","explicit C balance"))</f>
        <v>explicit C balance</v>
      </c>
      <c r="DV767">
        <v>0</v>
      </c>
      <c r="DW767">
        <v>0</v>
      </c>
      <c r="DX767">
        <v>0</v>
      </c>
      <c r="DY767">
        <v>0</v>
      </c>
      <c r="DZ767">
        <v>0</v>
      </c>
      <c r="EA767" s="143">
        <v>1</v>
      </c>
      <c r="EB767">
        <v>0</v>
      </c>
      <c r="EC767">
        <v>1</v>
      </c>
      <c r="ED767">
        <v>1</v>
      </c>
      <c r="EE767">
        <v>1</v>
      </c>
      <c r="EF767">
        <v>0</v>
      </c>
      <c r="EG767">
        <v>0</v>
      </c>
      <c r="EH767">
        <v>0</v>
      </c>
      <c r="EI767" s="2">
        <v>0</v>
      </c>
      <c r="EK767" t="str">
        <f>IF(AND(AND(AND(OR($DX767=1,$DW767=1),OR($EC767=1,$EA767=1)),SUM($DV767:$DZ767,$EF767)&gt;=4),SUM($EA767:$EE767)&gt;=2),"Whole sector","")</f>
        <v/>
      </c>
      <c r="EL767" t="str">
        <f>IF(AND(AND(OR($DX767=1,$DW767=1),AND($EC767=0,$EA767=0)),SUM($DV767:$DZ767,$EF767)&gt;=4),"Ecosystem approach","")</f>
        <v/>
      </c>
      <c r="EM767" s="2" t="str">
        <f>IF(AND(AND(AND($DX767=0,$DW767=0),OR($EC767=1,$EA767=1)),SUM($EB767:$EE767)&gt;=2),"Technology approach","")</f>
        <v>Technology approach</v>
      </c>
      <c r="EP767" t="str">
        <f>IF(ISNUMBER(BU767),IF(ABS(BU767-[1]QC_indicators!$B$2)&gt;3*[1]QC_indicators!$C$2,"C ratio",IF(ISNUMBER(BY767),IF(ABS(BY767-[1]QC_indicators!$B$1)&gt;3*[1]QC_indicators!$C$1,"DF","no"))),IF(ISNUMBER(BY767),IF(ABS(BY767-[1]QC_indicators!$B$1)&gt;3*[1]QC_indicators!$C$1,"DF","no")))</f>
        <v>no</v>
      </c>
      <c r="ER767" s="149" t="s">
        <v>349</v>
      </c>
      <c r="ET767" s="264" t="s">
        <v>3273</v>
      </c>
    </row>
    <row r="768" spans="1:150" ht="15" customHeight="1">
      <c r="A768" s="1" t="s">
        <v>1233</v>
      </c>
      <c r="B768" t="s">
        <v>1234</v>
      </c>
      <c r="C768" t="s">
        <v>1235</v>
      </c>
      <c r="D768" t="s">
        <v>336</v>
      </c>
      <c r="E768" t="s">
        <v>1236</v>
      </c>
      <c r="F768" t="s">
        <v>1237</v>
      </c>
      <c r="G768" t="s">
        <v>1238</v>
      </c>
      <c r="I768">
        <v>2018</v>
      </c>
      <c r="K768" t="s">
        <v>1239</v>
      </c>
      <c r="M768" t="str">
        <f>LEFT($D768,FIND(",",$D768)-1)&amp;"_"&amp;I768&amp;L768</f>
        <v>Balasbaneh_2018</v>
      </c>
      <c r="N768" t="s">
        <v>222</v>
      </c>
      <c r="O768" s="140" t="s">
        <v>513</v>
      </c>
      <c r="Q768" t="s">
        <v>224</v>
      </c>
      <c r="R768" s="262" t="s">
        <v>223</v>
      </c>
      <c r="S768" s="1" t="s">
        <v>1262</v>
      </c>
      <c r="T768" s="264" t="s">
        <v>3115</v>
      </c>
      <c r="U768" s="264" t="s">
        <v>3116</v>
      </c>
      <c r="V768">
        <v>0</v>
      </c>
      <c r="W768">
        <v>0</v>
      </c>
      <c r="X768">
        <v>0</v>
      </c>
      <c r="Y768">
        <v>0</v>
      </c>
      <c r="Z768">
        <v>0</v>
      </c>
      <c r="AA768">
        <v>0</v>
      </c>
      <c r="AB768">
        <v>0</v>
      </c>
      <c r="AC768">
        <v>0</v>
      </c>
      <c r="AD768">
        <v>0</v>
      </c>
      <c r="AE768">
        <v>0</v>
      </c>
      <c r="AF768">
        <v>0</v>
      </c>
      <c r="AG768">
        <v>0</v>
      </c>
      <c r="AH768">
        <v>0</v>
      </c>
      <c r="AI768">
        <v>0</v>
      </c>
      <c r="AJ768">
        <v>0</v>
      </c>
      <c r="AK768">
        <v>1</v>
      </c>
      <c r="AL768">
        <v>0</v>
      </c>
      <c r="AM768">
        <v>0</v>
      </c>
      <c r="AN768">
        <v>0</v>
      </c>
      <c r="AO768">
        <v>0</v>
      </c>
      <c r="AP768">
        <v>0</v>
      </c>
      <c r="AQ768">
        <v>0</v>
      </c>
      <c r="AR768">
        <v>0</v>
      </c>
      <c r="AS768">
        <v>0</v>
      </c>
      <c r="AT768">
        <v>0</v>
      </c>
      <c r="AU768">
        <v>0</v>
      </c>
      <c r="AV768">
        <v>0</v>
      </c>
      <c r="AW768">
        <v>0</v>
      </c>
      <c r="AX768" s="141">
        <f>COUNTIF(V768:AW768,"&lt;&gt;0")</f>
        <v>1</v>
      </c>
      <c r="AY768" s="141">
        <f>COUNTIF(V768:AL768,"&lt;&gt;0")</f>
        <v>1</v>
      </c>
      <c r="AZ768">
        <f>COUNTIF(V768:AC768,"&lt;&gt;0")</f>
        <v>0</v>
      </c>
      <c r="BA768">
        <f>COUNTIF(AD768:AI768,"&lt;&gt;0")</f>
        <v>0</v>
      </c>
      <c r="BB768">
        <f>COUNTIF(AJ768:AL768,"&lt;&gt;0")</f>
        <v>1</v>
      </c>
      <c r="BC768">
        <f>COUNTIF(AS768:AW768,"&lt;&gt;0")</f>
        <v>0</v>
      </c>
      <c r="BD768">
        <f>COUNTIF(AM768:AR768,"&lt;&gt;0")</f>
        <v>0</v>
      </c>
      <c r="BE768" t="str">
        <f t="array" ref="BE768">IF(AY768=1,INDEX($V$7:$AL$7,MATCH(TRUE,INDEX($V768:$AW768&lt;&gt;0,),0)),IF(AY768=0,INDEX($AM$7:$AW$7,MATCH(1,$AM768:$AW768,0)),IF(BF768="Multiple strategies","mixed drivers",IF(BF768="Supply chain","multiple supply","multiple silviculture"))))</f>
        <v>technologies/design switch</v>
      </c>
      <c r="BF768" s="2" t="str" cm="1">
        <f t="array" ref="BF768">IF(COUNTIF(AZ768:BB768,"&lt;&gt;0")=1,INDEX($V$4:$AW$4,MATCH(TRUE,INDEX($V768:$AW768&lt;&gt;0,),0)),IF(COUNTIF(AZ768:BB768,"&lt;&gt;0")=0,INDEX($AM$4:$AW$4,MATCH(1,$AM768:$AW768,0)),"Multiple strategies"))</f>
        <v>Technology</v>
      </c>
      <c r="BG768" s="1" t="s">
        <v>229</v>
      </c>
      <c r="BH768" t="s">
        <v>229</v>
      </c>
      <c r="BJ768" t="s">
        <v>345</v>
      </c>
      <c r="BK768">
        <v>0</v>
      </c>
      <c r="BL768">
        <v>23436</v>
      </c>
      <c r="BM768" s="143"/>
      <c r="BN768">
        <f>BL768-BK768</f>
        <v>23436</v>
      </c>
      <c r="BO768" s="143">
        <f>BN768*kg_to_m3</f>
        <v>47.828571428571436</v>
      </c>
      <c r="BP768" t="s">
        <v>232</v>
      </c>
      <c r="BQ768" s="337" t="s">
        <v>1057</v>
      </c>
      <c r="BR768" t="s">
        <v>397</v>
      </c>
      <c r="BS768">
        <v>-23200</v>
      </c>
      <c r="BT768">
        <v>-711</v>
      </c>
      <c r="BU768" s="144">
        <v>3.0646551724137931E-2</v>
      </c>
      <c r="BV768">
        <v>22489</v>
      </c>
      <c r="BX768">
        <f>BV768/1000</f>
        <v>22.489000000000001</v>
      </c>
      <c r="BY768">
        <f>IFERROR(BX768/BO768,"")</f>
        <v>0.47020011947431295</v>
      </c>
      <c r="BZ768">
        <v>0</v>
      </c>
      <c r="CA768">
        <v>0</v>
      </c>
      <c r="CB768">
        <v>0</v>
      </c>
      <c r="CC768">
        <v>0</v>
      </c>
      <c r="CD768">
        <v>0</v>
      </c>
      <c r="CE768">
        <v>0</v>
      </c>
      <c r="CF768">
        <v>0</v>
      </c>
      <c r="CG768">
        <v>0</v>
      </c>
      <c r="CH768">
        <v>0</v>
      </c>
      <c r="CI768">
        <v>0</v>
      </c>
      <c r="CJ768">
        <v>0</v>
      </c>
      <c r="CK768">
        <v>0</v>
      </c>
      <c r="CL768">
        <v>0</v>
      </c>
      <c r="CM768">
        <v>0</v>
      </c>
      <c r="CN768" t="str">
        <f>IF($BL768&lt;$BK768,"refNeedCorrection","refOK")</f>
        <v>refOK</v>
      </c>
      <c r="CO768">
        <f>IF($CN768="refNeedCorrection",BL768,BK768)</f>
        <v>0</v>
      </c>
      <c r="CP768">
        <f>IF($CN768="refNeedCorrection",BK768,BL768)</f>
        <v>23436</v>
      </c>
      <c r="CQ768">
        <f>IF($CN768="refOK",$BO768,-$BO768)</f>
        <v>47.828571428571436</v>
      </c>
      <c r="CR768">
        <f>IF($CN768="refOK",$BS768,$BT768)*IF($BP768="Emissions positive",-1,1)</f>
        <v>-23200</v>
      </c>
      <c r="CS768">
        <f>IF($CN768="refOK",$BT768,$BS768)*IF($BP768="Emissions positive",-1,1)</f>
        <v>-711</v>
      </c>
      <c r="CT768">
        <f>IF($CN768="refNeedCorrection",-BX768,BX768)*IF($BP768="Emissions positive",-1,1)</f>
        <v>22.489000000000001</v>
      </c>
      <c r="CU768">
        <f>IFERROR(CT768/CQ768,"")</f>
        <v>0.47020011947431295</v>
      </c>
      <c r="CV768" s="2">
        <f>IFERROR((CS768-CR768)/ABS(CR768),"")</f>
        <v>0.96935344827586212</v>
      </c>
      <c r="CW768" s="1" t="s">
        <v>1203</v>
      </c>
      <c r="CX768" t="str">
        <f>IF(OR($CW768="prd",$CW768="std",$CW768="cit"),"loc",IF(OR($CW768="eur",$CW768="reg",$CW768="coy"),"reg",$CW768))</f>
        <v>reg</v>
      </c>
      <c r="CY768" t="s">
        <v>348</v>
      </c>
      <c r="CZ768">
        <v>2014</v>
      </c>
      <c r="DA768">
        <v>2034</v>
      </c>
      <c r="DB768">
        <v>20</v>
      </c>
      <c r="DC768" t="str">
        <f>IF(DB768=0,"0",IF(AND(DB768&gt;=1,DB768&lt;=30),"1-30",IF(AND(DB768&gt;30,DB768&lt;=70),"31-70",IF(AND(DB768&gt;70,DB768&lt;=100),"71-100",IF(DB768&gt;100,"+100")))))</f>
        <v>1-30</v>
      </c>
      <c r="DD768">
        <v>0</v>
      </c>
      <c r="DE768">
        <v>0</v>
      </c>
      <c r="DF768">
        <v>0</v>
      </c>
      <c r="DG768">
        <v>1</v>
      </c>
      <c r="DI768">
        <f>SUM(DD768:DG768)</f>
        <v>1</v>
      </c>
      <c r="DJ768" t="str">
        <f>IF(DI768=1,INDEX($DD$7:$DG$7,MATCH(1,$DD768:$DG768,0)),"mixedProduct")</f>
        <v>TimberInput</v>
      </c>
      <c r="DK768">
        <f>IF(DD768=1,DK$7,0)</f>
        <v>0</v>
      </c>
      <c r="DL768">
        <f>IF(DE768=1,DL$7,0)</f>
        <v>0</v>
      </c>
      <c r="DM768">
        <f>IF(DF768=1,DM$7,0)</f>
        <v>0</v>
      </c>
      <c r="DN768" t="str">
        <f>IF(DG768=1,DN$7,0)</f>
        <v>Timber</v>
      </c>
      <c r="DO768">
        <v>0</v>
      </c>
      <c r="DP768">
        <v>0</v>
      </c>
      <c r="DQ768">
        <v>0</v>
      </c>
      <c r="DR768">
        <v>0</v>
      </c>
      <c r="DS768">
        <v>0</v>
      </c>
      <c r="DT768">
        <f>SUM(DO768:DP768)</f>
        <v>0</v>
      </c>
      <c r="DU768" s="143" t="str">
        <f>IF(DO768=1,"self-calculated DF",IF(DP768=1,"external DF used","explicit C balance"))</f>
        <v>explicit C balance</v>
      </c>
      <c r="DV768">
        <v>0</v>
      </c>
      <c r="DW768">
        <v>0</v>
      </c>
      <c r="DX768">
        <v>0</v>
      </c>
      <c r="DY768">
        <v>0</v>
      </c>
      <c r="DZ768">
        <v>0</v>
      </c>
      <c r="EA768" s="143">
        <v>1</v>
      </c>
      <c r="EB768">
        <v>0</v>
      </c>
      <c r="EC768">
        <v>1</v>
      </c>
      <c r="ED768">
        <v>1</v>
      </c>
      <c r="EE768">
        <v>1</v>
      </c>
      <c r="EF768">
        <v>0</v>
      </c>
      <c r="EG768">
        <v>0</v>
      </c>
      <c r="EH768">
        <v>0</v>
      </c>
      <c r="EI768" s="2">
        <v>0</v>
      </c>
      <c r="EK768" t="str">
        <f>IF(AND(AND(AND(OR($DX768=1,$DW768=1),OR($EC768=1,$EA768=1)),SUM($DV768:$DZ768,$EF768)&gt;=4),SUM($EA768:$EE768)&gt;=2),"Whole sector","")</f>
        <v/>
      </c>
      <c r="EL768" t="str">
        <f>IF(AND(AND(OR($DX768=1,$DW768=1),AND($EC768=0,$EA768=0)),SUM($DV768:$DZ768,$EF768)&gt;=4),"Ecosystem approach","")</f>
        <v/>
      </c>
      <c r="EM768" s="2" t="str">
        <f>IF(AND(AND(AND($DX768=0,$DW768=0),OR($EC768=1,$EA768=1)),SUM($EB768:$EE768)&gt;=2),"Technology approach","")</f>
        <v>Technology approach</v>
      </c>
      <c r="EP768" t="str">
        <f>IF(ISNUMBER(BU768),IF(ABS(BU768-[1]QC_indicators!$B$2)&gt;3*[1]QC_indicators!$C$2,"C ratio",IF(ISNUMBER(BY768),IF(ABS(BY768-[1]QC_indicators!$B$1)&gt;3*[1]QC_indicators!$C$1,"DF","no"))),IF(ISNUMBER(BY768),IF(ABS(BY768-[1]QC_indicators!$B$1)&gt;3*[1]QC_indicators!$C$1,"DF","no")))</f>
        <v>no</v>
      </c>
      <c r="ER768" s="149" t="s">
        <v>349</v>
      </c>
      <c r="ET768" s="264" t="s">
        <v>3273</v>
      </c>
    </row>
    <row r="769" spans="1:150" ht="15" customHeight="1">
      <c r="A769" s="1" t="s">
        <v>1045</v>
      </c>
      <c r="B769" t="s">
        <v>1046</v>
      </c>
      <c r="C769" t="s">
        <v>1047</v>
      </c>
      <c r="D769" t="s">
        <v>1048</v>
      </c>
      <c r="E769" t="s">
        <v>1049</v>
      </c>
      <c r="F769" t="s">
        <v>1050</v>
      </c>
      <c r="G769" t="s">
        <v>1051</v>
      </c>
      <c r="H769" t="s">
        <v>254</v>
      </c>
      <c r="I769">
        <v>2014</v>
      </c>
      <c r="J769">
        <v>23</v>
      </c>
      <c r="K769" t="s">
        <v>1052</v>
      </c>
      <c r="M769" t="str">
        <f>LEFT($D769,FIND(",",$D769)-1)&amp;"_"&amp;I769&amp;L769</f>
        <v>Pyorala_2014</v>
      </c>
      <c r="N769" t="s">
        <v>222</v>
      </c>
      <c r="O769" s="171" t="s">
        <v>341</v>
      </c>
      <c r="P769" t="s">
        <v>225</v>
      </c>
      <c r="Q769" s="264" t="s">
        <v>389</v>
      </c>
      <c r="R769" s="269" t="s">
        <v>1154</v>
      </c>
      <c r="S769" s="263" t="s">
        <v>95</v>
      </c>
      <c r="T769" s="264" t="s">
        <v>1075</v>
      </c>
      <c r="U769" s="264" t="s">
        <v>1076</v>
      </c>
      <c r="V769">
        <v>0</v>
      </c>
      <c r="W769">
        <v>0</v>
      </c>
      <c r="X769">
        <v>0</v>
      </c>
      <c r="Y769">
        <v>0</v>
      </c>
      <c r="Z769">
        <v>0</v>
      </c>
      <c r="AA769">
        <v>0</v>
      </c>
      <c r="AB769">
        <v>0</v>
      </c>
      <c r="AC769">
        <v>1</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s="141">
        <f>COUNTIF(V769:AW769,"&lt;&gt;0")</f>
        <v>1</v>
      </c>
      <c r="AY769" s="141">
        <f>COUNTIF(V769:AL769,"&lt;&gt;0")</f>
        <v>1</v>
      </c>
      <c r="AZ769">
        <f>COUNTIF(V769:AC769,"&lt;&gt;0")</f>
        <v>1</v>
      </c>
      <c r="BA769">
        <f>COUNTIF(AD769:AI769,"&lt;&gt;0")</f>
        <v>0</v>
      </c>
      <c r="BB769">
        <f>COUNTIF(AJ769:AL769,"&lt;&gt;0")</f>
        <v>0</v>
      </c>
      <c r="BC769">
        <f>COUNTIF(AS769:AW769,"&lt;&gt;0")</f>
        <v>0</v>
      </c>
      <c r="BD769">
        <f>COUNTIF(AM769:AR769,"&lt;&gt;0")</f>
        <v>0</v>
      </c>
      <c r="BE769" t="str" cm="1">
        <f t="array" ref="BE769">IF(AY769=1,INDEX($V$7:$AL$7,MATCH(TRUE,INDEX($V769:$AW769&lt;&gt;0,),0)),IF(AY769=0,INDEX($AM$7:$AW$7,MATCH(1,$AM769:$AW769,0)),IF(BF769="Multiple strategies","mixed drivers",IF(BF769="Supply chain","multiple supply","multiple silviculture"))))</f>
        <v>site fertility</v>
      </c>
      <c r="BF769" s="2" t="str" cm="1">
        <f t="array" ref="BF769">IF(COUNTIF(AZ769:BB769,"&lt;&gt;0")=1,INDEX($V$4:$AW$4,MATCH(TRUE,INDEX($V769:$AW769&lt;&gt;0,),0)),IF(COUNTIF(AZ769:BB769,"&lt;&gt;0")=0,INDEX($AM$4:$AW$4,MATCH(1,$AM769:$AW769,0)),"Multiple strategies"))</f>
        <v>Silviculture for productivity</v>
      </c>
      <c r="BG769" s="1" t="s">
        <v>321</v>
      </c>
      <c r="BH769" t="s">
        <v>1056</v>
      </c>
      <c r="BI769" s="264" t="s">
        <v>1057</v>
      </c>
      <c r="BJ769" s="264" t="s">
        <v>1058</v>
      </c>
      <c r="BK769">
        <v>5.6</v>
      </c>
      <c r="BL769">
        <v>6.4</v>
      </c>
      <c r="BM769" t="str">
        <f>IFERROR(BK769/#REF!,"")</f>
        <v/>
      </c>
      <c r="BN769">
        <f>BL769-BK769</f>
        <v>0.80000000000000071</v>
      </c>
      <c r="BO769">
        <f>BN769*t_to_m3</f>
        <v>1.6326530612244914</v>
      </c>
      <c r="BP769" t="s">
        <v>395</v>
      </c>
      <c r="BQ769" t="s">
        <v>972</v>
      </c>
      <c r="BR769" t="s">
        <v>1059</v>
      </c>
      <c r="BS769" s="172">
        <v>-457</v>
      </c>
      <c r="BT769" s="172">
        <v>-534</v>
      </c>
      <c r="BU769" s="144"/>
      <c r="BV769">
        <f>BT769-BS769</f>
        <v>-77</v>
      </c>
      <c r="BX769">
        <f>BV769*10^-6*10^4</f>
        <v>-0.77</v>
      </c>
      <c r="BY769">
        <f>IFERROR(BX769/BO769,"")</f>
        <v>-0.47162499999999957</v>
      </c>
      <c r="BZ769">
        <v>0</v>
      </c>
      <c r="CA769">
        <v>0</v>
      </c>
      <c r="CB769">
        <v>0</v>
      </c>
      <c r="CC769">
        <v>0</v>
      </c>
      <c r="CD769">
        <v>0</v>
      </c>
      <c r="CE769">
        <v>0</v>
      </c>
      <c r="CF769">
        <v>0</v>
      </c>
      <c r="CG769">
        <v>0</v>
      </c>
      <c r="CH769">
        <v>0</v>
      </c>
      <c r="CI769">
        <v>0</v>
      </c>
      <c r="CJ769">
        <v>0</v>
      </c>
      <c r="CK769">
        <v>0</v>
      </c>
      <c r="CL769">
        <v>0</v>
      </c>
      <c r="CM769">
        <v>0</v>
      </c>
      <c r="CN769" t="str">
        <f>IF($BL769&lt;$BK769,"refNeedCorrection","refOK")</f>
        <v>refOK</v>
      </c>
      <c r="CO769">
        <f>IF($CN769="refOK",$BK769,$BL769)</f>
        <v>5.6</v>
      </c>
      <c r="CP769">
        <f>IF($CN769="refOK",$BL769,$BK769)</f>
        <v>6.4</v>
      </c>
      <c r="CQ769">
        <f>IF($CN769="refOK",$BO769,-$BO769)</f>
        <v>1.6326530612244914</v>
      </c>
      <c r="CR769">
        <f>IF($CN769="refOK",$BS769,$BT769)*IF($BP769="Emissions positive",-1,1)</f>
        <v>457</v>
      </c>
      <c r="CS769">
        <f>IF($CN769="refOK",$BT769,$BS769)*IF($BP769="Emissions positive",-1,1)</f>
        <v>534</v>
      </c>
      <c r="CT769">
        <f>IF($CN769="refNeedCorrection",-BX769,BX769)*IF($BP769="Emissions positive",-1,1)</f>
        <v>0.77</v>
      </c>
      <c r="CU769">
        <f>IFERROR(CT769/CQ769,"")</f>
        <v>0.47162499999999957</v>
      </c>
      <c r="CV769" s="2">
        <f>IFERROR((CS769-CR769)/ABS(CR769),"")</f>
        <v>0.16849015317286653</v>
      </c>
      <c r="CW769" s="1" t="s">
        <v>263</v>
      </c>
      <c r="CX769" s="264" t="str">
        <f>IF(OR($CW769="prd",$CW769="std",$CW769="cit"),"loc",IF(OR($CW769="eur",$CW769="reg",$CW769="coy"),"reg",$CW769))</f>
        <v>loc</v>
      </c>
      <c r="CY769" t="s">
        <v>235</v>
      </c>
      <c r="DB769">
        <v>80</v>
      </c>
      <c r="DC769" t="str">
        <f>IF(DB769=0,"0",IF(AND(DB769&gt;=1,DB769&lt;=30),"1-30",IF(AND(DB769&gt;30,DB769&lt;=70),"31-70",IF(AND(DB769&gt;70,DB769&lt;=100),"71-100",IF(DB769&gt;100,"+100")))))</f>
        <v>71-100</v>
      </c>
      <c r="DD769">
        <v>0</v>
      </c>
      <c r="DE769">
        <v>1</v>
      </c>
      <c r="DF769">
        <v>0</v>
      </c>
      <c r="DG769">
        <v>1</v>
      </c>
      <c r="DI769">
        <f>SUM(DD769:DG769)</f>
        <v>2</v>
      </c>
      <c r="DJ769" t="str">
        <f>IF(DI769=1,INDEX($DD$7:$DG$7,MATCH(1,$DD769:$DG769,0)),"mixedProduct")</f>
        <v>mixedProduct</v>
      </c>
      <c r="DK769">
        <f>IF(DD769=1,DK$7,0)</f>
        <v>0</v>
      </c>
      <c r="DL769" t="str">
        <f>IF(DE769=1,DL$7,0)</f>
        <v>Energy</v>
      </c>
      <c r="DM769">
        <f>IF(DF769=1,DM$7,0)</f>
        <v>0</v>
      </c>
      <c r="DN769" t="str">
        <f>IF(DG769=1,DN$7,0)</f>
        <v>Timber</v>
      </c>
      <c r="DO769">
        <v>0</v>
      </c>
      <c r="DP769">
        <v>1</v>
      </c>
      <c r="DQ769" t="s">
        <v>1060</v>
      </c>
      <c r="DT769">
        <f>SUM(DO769:DP769)</f>
        <v>1</v>
      </c>
      <c r="DU769" s="143" t="str">
        <f>IF(DO769=1,"self-calculated DF",IF(DP769=1,"external DF used","explicit C balance"))</f>
        <v>external DF used</v>
      </c>
      <c r="DV769">
        <v>1</v>
      </c>
      <c r="DW769">
        <v>1</v>
      </c>
      <c r="DX769">
        <v>1</v>
      </c>
      <c r="DY769" s="143">
        <v>0</v>
      </c>
      <c r="DZ769">
        <v>0</v>
      </c>
      <c r="EA769" s="143">
        <v>0</v>
      </c>
      <c r="EB769">
        <v>1</v>
      </c>
      <c r="EC769">
        <v>1</v>
      </c>
      <c r="ED769" s="143">
        <v>0</v>
      </c>
      <c r="EE769">
        <v>0</v>
      </c>
      <c r="EF769">
        <v>1</v>
      </c>
      <c r="EG769" s="143">
        <v>0</v>
      </c>
      <c r="EH769" s="143">
        <v>0</v>
      </c>
      <c r="EI769" s="2">
        <v>0</v>
      </c>
      <c r="EK769" t="str">
        <f>IF(AND(AND(AND(OR($DX769=1,$DW769=1),OR($EC769=1,$EA769=1)),SUM($DV769:$DZ769,$EF769)&gt;=4),SUM($EA769:$EE769)&gt;=2),"Whole sector","")</f>
        <v>Whole sector</v>
      </c>
      <c r="EL769" t="str">
        <f>IF(AND(AND(OR($DX769=1,$DW769=1),AND($EC769=0,$EA769=0)),SUM($DV769:$DZ769,$EF769)&gt;=4),"Ecosystem approach","")</f>
        <v/>
      </c>
      <c r="EM769" s="2" t="str">
        <f>IF(AND(AND(AND($DX769=0,$DW769=0),OR($EC769=1,$EA769=1)),SUM($EB769:$EE769)&gt;=2),"Technology approach","")</f>
        <v/>
      </c>
      <c r="EP769" t="str">
        <f>IF(ISNUMBER(BU769),IF(ABS(BU769-[3]QC_indicators!$B$2)&gt;3*[3]QC_indicators!$C$2,"C ratio",IF(ISNUMBER(BY769),IF(ABS(BY769-[3]QC_indicators!$B$1)&gt;3*[3]QC_indicators!$C$1,"DF","no"))),IF(ISNUMBER(BY769),IF(ABS(BY769-[3]QC_indicators!$B$1)&gt;3*[3]QC_indicators!$C$1,"DF","no")))</f>
        <v>no</v>
      </c>
      <c r="ER769" s="264" t="s">
        <v>1070</v>
      </c>
      <c r="ET769" s="264" t="s">
        <v>3407</v>
      </c>
    </row>
    <row r="770" spans="1:150" ht="15" customHeight="1">
      <c r="A770" s="1" t="s">
        <v>333</v>
      </c>
      <c r="B770" t="s">
        <v>334</v>
      </c>
      <c r="C770" t="s">
        <v>335</v>
      </c>
      <c r="D770" t="s">
        <v>336</v>
      </c>
      <c r="E770" t="s">
        <v>337</v>
      </c>
      <c r="F770" t="s">
        <v>338</v>
      </c>
      <c r="G770" t="s">
        <v>339</v>
      </c>
      <c r="I770">
        <v>2017</v>
      </c>
      <c r="K770" t="s">
        <v>340</v>
      </c>
      <c r="M770" t="str">
        <f>LEFT($D770,FIND(",",$D770)-1)&amp;"_"&amp;I770&amp;L770</f>
        <v>Balasbaneh_2017</v>
      </c>
      <c r="N770" t="s">
        <v>222</v>
      </c>
      <c r="O770" s="140" t="s">
        <v>341</v>
      </c>
      <c r="Q770" t="s">
        <v>224</v>
      </c>
      <c r="R770" s="262" t="s">
        <v>223</v>
      </c>
      <c r="S770" s="1" t="s">
        <v>374</v>
      </c>
      <c r="T770" t="s">
        <v>371</v>
      </c>
      <c r="U770" t="s">
        <v>357</v>
      </c>
      <c r="V770">
        <v>0</v>
      </c>
      <c r="W770">
        <v>0</v>
      </c>
      <c r="X770">
        <v>0</v>
      </c>
      <c r="Y770">
        <v>0</v>
      </c>
      <c r="Z770">
        <v>0</v>
      </c>
      <c r="AA770">
        <v>0</v>
      </c>
      <c r="AB770">
        <v>0</v>
      </c>
      <c r="AC770">
        <v>0</v>
      </c>
      <c r="AD770">
        <v>0</v>
      </c>
      <c r="AE770">
        <v>0</v>
      </c>
      <c r="AF770">
        <v>0</v>
      </c>
      <c r="AG770">
        <v>0</v>
      </c>
      <c r="AH770">
        <v>0</v>
      </c>
      <c r="AI770">
        <v>0</v>
      </c>
      <c r="AJ770">
        <v>0</v>
      </c>
      <c r="AK770">
        <v>1</v>
      </c>
      <c r="AL770">
        <v>0</v>
      </c>
      <c r="AM770">
        <v>0</v>
      </c>
      <c r="AN770">
        <v>0</v>
      </c>
      <c r="AO770">
        <v>0</v>
      </c>
      <c r="AP770">
        <v>0</v>
      </c>
      <c r="AQ770">
        <v>0</v>
      </c>
      <c r="AR770">
        <v>0</v>
      </c>
      <c r="AS770">
        <v>0</v>
      </c>
      <c r="AT770">
        <v>0</v>
      </c>
      <c r="AU770">
        <v>0</v>
      </c>
      <c r="AV770">
        <v>0</v>
      </c>
      <c r="AW770">
        <v>0</v>
      </c>
      <c r="AX770" s="141">
        <f>COUNTIF(V770:AW770,"&lt;&gt;0")</f>
        <v>1</v>
      </c>
      <c r="AY770" s="141">
        <f>COUNTIF(V770:AL770,"&lt;&gt;0")</f>
        <v>1</v>
      </c>
      <c r="AZ770">
        <f>COUNTIF(V770:AC770,"&lt;&gt;0")</f>
        <v>0</v>
      </c>
      <c r="BA770">
        <f>COUNTIF(AD770:AI770,"&lt;&gt;0")</f>
        <v>0</v>
      </c>
      <c r="BB770">
        <f>COUNTIF(AJ770:AL770,"&lt;&gt;0")</f>
        <v>1</v>
      </c>
      <c r="BC770">
        <f>COUNTIF(AS770:AW770,"&lt;&gt;0")</f>
        <v>0</v>
      </c>
      <c r="BD770">
        <f>COUNTIF(AM770:AR770,"&lt;&gt;0")</f>
        <v>0</v>
      </c>
      <c r="BE770" t="str">
        <f t="array" ref="BE770">IF(AY770=1,INDEX($V$7:$AL$7,MATCH(TRUE,INDEX($V770:$AW770&lt;&gt;0,),0)),IF(AY770=0,INDEX($AM$7:$AW$7,MATCH(1,$AM770:$AW770,0)),IF(BF770="Multiple strategies","mixed drivers",IF(BF770="Supply chain","multiple supply","multiple silviculture"))))</f>
        <v>technologies/design switch</v>
      </c>
      <c r="BF770" s="2" t="str" cm="1">
        <f t="array" ref="BF770">IF(COUNTIF(AZ770:BB770,"&lt;&gt;0")=1,INDEX($V$4:$AW$4,MATCH(TRUE,INDEX($V770:$AW770&lt;&gt;0,),0)),IF(COUNTIF(AZ770:BB770,"&lt;&gt;0")=0,INDEX($AM$4:$AW$4,MATCH(1,$AM770:$AW770,0)),"Multiple strategies"))</f>
        <v>Technology</v>
      </c>
      <c r="BG770" s="1" t="s">
        <v>229</v>
      </c>
      <c r="BH770" t="s">
        <v>229</v>
      </c>
      <c r="BI770" s="264" t="s">
        <v>410</v>
      </c>
      <c r="BJ770" t="s">
        <v>345</v>
      </c>
      <c r="BK770">
        <v>0</v>
      </c>
      <c r="BL770">
        <v>29276</v>
      </c>
      <c r="BM770" s="143"/>
      <c r="BN770">
        <f>BL770-BK770</f>
        <v>29276</v>
      </c>
      <c r="BO770" s="143">
        <f>BN770*kg_to_m3</f>
        <v>59.746938775510209</v>
      </c>
      <c r="BP770" t="s">
        <v>232</v>
      </c>
      <c r="BQ770" s="335" t="s">
        <v>396</v>
      </c>
      <c r="BR770" t="s">
        <v>346</v>
      </c>
      <c r="BS770">
        <v>-30600</v>
      </c>
      <c r="BT770">
        <v>-2040</v>
      </c>
      <c r="BU770" s="144">
        <v>6.6666666666666666E-2</v>
      </c>
      <c r="BV770">
        <f>BT770-BS770</f>
        <v>28560</v>
      </c>
      <c r="BX770">
        <f>BV770/1000</f>
        <v>28.56</v>
      </c>
      <c r="BY770">
        <f>IFERROR(BX770/BO770,"")</f>
        <v>0.4780161224210957</v>
      </c>
      <c r="BZ770">
        <v>0</v>
      </c>
      <c r="CA770">
        <v>0</v>
      </c>
      <c r="CB770">
        <v>0</v>
      </c>
      <c r="CC770">
        <v>0</v>
      </c>
      <c r="CD770">
        <v>0</v>
      </c>
      <c r="CE770">
        <v>0</v>
      </c>
      <c r="CF770">
        <v>0</v>
      </c>
      <c r="CG770">
        <v>0</v>
      </c>
      <c r="CH770">
        <v>0</v>
      </c>
      <c r="CI770">
        <v>0</v>
      </c>
      <c r="CJ770">
        <v>0</v>
      </c>
      <c r="CK770">
        <v>0</v>
      </c>
      <c r="CL770">
        <v>0</v>
      </c>
      <c r="CM770">
        <v>0</v>
      </c>
      <c r="CN770" t="str">
        <f>IF($BL770&lt;$BK770,"refNeedCorrection","refOK")</f>
        <v>refOK</v>
      </c>
      <c r="CO770">
        <f>IF($CN770="refNeedCorrection",BL770,BK770)</f>
        <v>0</v>
      </c>
      <c r="CP770">
        <f>IF($CN770="refNeedCorrection",BK770,BL770)</f>
        <v>29276</v>
      </c>
      <c r="CQ770">
        <f>IF($CN770="refOK",$BO770,-$BO770)</f>
        <v>59.746938775510209</v>
      </c>
      <c r="CR770">
        <f>IF($CN770="refOK",$BS770,$BT770)*IF($BP770="Emissions positive",-1,1)</f>
        <v>-30600</v>
      </c>
      <c r="CS770">
        <f>IF($CN770="refOK",$BT770,$BS770)*IF($BP770="Emissions positive",-1,1)</f>
        <v>-2040</v>
      </c>
      <c r="CT770">
        <f>IF($CN770="refNeedCorrection",-BX770,BX770)*IF($BP770="Emissions positive",-1,1)</f>
        <v>28.56</v>
      </c>
      <c r="CU770">
        <f>IFERROR(CT770/CQ770,"")</f>
        <v>0.4780161224210957</v>
      </c>
      <c r="CV770" s="2">
        <f>IFERROR((CS770-CR770)/ABS(CR770),"")</f>
        <v>0.93333333333333335</v>
      </c>
      <c r="CW770" s="1" t="s">
        <v>347</v>
      </c>
      <c r="CX770" t="str">
        <f>IF(OR($CW770="prd",$CW770="std",$CW770="cit"),"loc",IF(OR($CW770="eur",$CW770="reg",$CW770="coy"),"reg",$CW770))</f>
        <v>loc</v>
      </c>
      <c r="CY770" t="s">
        <v>348</v>
      </c>
      <c r="CZ770">
        <v>2014</v>
      </c>
      <c r="DA770">
        <v>2514</v>
      </c>
      <c r="DB770">
        <v>500</v>
      </c>
      <c r="DC770" t="str">
        <f>IF(DB770=0,"0",IF(AND(DB770&gt;=1,DB770&lt;=30),"1-30",IF(AND(DB770&gt;30,DB770&lt;=70),"31-70",IF(AND(DB770&gt;70,DB770&lt;=100),"71-100",IF(DB770&gt;100,"+100")))))</f>
        <v>+100</v>
      </c>
      <c r="DD770">
        <v>0</v>
      </c>
      <c r="DE770">
        <v>0</v>
      </c>
      <c r="DF770">
        <v>0</v>
      </c>
      <c r="DG770">
        <v>1</v>
      </c>
      <c r="DI770">
        <f>SUM(DD770:DG770)</f>
        <v>1</v>
      </c>
      <c r="DJ770" t="str">
        <f>IF(DI770=1,INDEX($DD$7:$DG$7,MATCH(1,$DD770:$DG770,0)),"mixedProduct")</f>
        <v>TimberInput</v>
      </c>
      <c r="DK770">
        <f>IF(DD770=1,DK$7,0)</f>
        <v>0</v>
      </c>
      <c r="DL770">
        <f>IF(DE770=1,DL$7,0)</f>
        <v>0</v>
      </c>
      <c r="DM770">
        <f>IF(DF770=1,DM$7,0)</f>
        <v>0</v>
      </c>
      <c r="DN770" t="str">
        <f>IF(DG770=1,DN$7,0)</f>
        <v>Timber</v>
      </c>
      <c r="DO770">
        <v>0</v>
      </c>
      <c r="DP770">
        <v>0</v>
      </c>
      <c r="DQ770">
        <v>0</v>
      </c>
      <c r="DR770">
        <v>0</v>
      </c>
      <c r="DS770">
        <v>0</v>
      </c>
      <c r="DT770">
        <f>SUM(DO770:DP770)</f>
        <v>0</v>
      </c>
      <c r="DU770" s="143" t="str">
        <f>IF(DO770=1,"self-calculated DF",IF(DP770=1,"external DF used","explicit C balance"))</f>
        <v>explicit C balance</v>
      </c>
      <c r="DV770">
        <v>0</v>
      </c>
      <c r="DW770">
        <v>0</v>
      </c>
      <c r="DX770">
        <v>0</v>
      </c>
      <c r="DY770">
        <v>1</v>
      </c>
      <c r="DZ770">
        <v>0</v>
      </c>
      <c r="EA770" s="143">
        <v>1</v>
      </c>
      <c r="EB770">
        <v>0</v>
      </c>
      <c r="EC770">
        <v>1</v>
      </c>
      <c r="ED770">
        <v>1</v>
      </c>
      <c r="EE770">
        <v>1</v>
      </c>
      <c r="EF770">
        <v>0</v>
      </c>
      <c r="EG770">
        <v>0</v>
      </c>
      <c r="EH770">
        <v>0</v>
      </c>
      <c r="EI770" s="2">
        <v>0</v>
      </c>
      <c r="EK770" t="str">
        <f>IF(AND(AND(AND(OR($DX770=1,$DW770=1),OR($EC770=1,$EA770=1)),SUM($DV770:$DZ770,$EF770)&gt;=4),SUM($EA770:$EE770)&gt;=2),"Whole sector","")</f>
        <v/>
      </c>
      <c r="EL770" t="str">
        <f>IF(AND(AND(OR($DX770=1,$DW770=1),AND($EC770=0,$EA770=0)),SUM($DV770:$DZ770,$EF770)&gt;=4),"Ecosystem approach","")</f>
        <v/>
      </c>
      <c r="EM770" s="2" t="str">
        <f>IF(AND(AND(AND($DX770=0,$DW770=0),OR($EC770=1,$EA770=1)),SUM($EB770:$EE770)&gt;=2),"Technology approach","")</f>
        <v>Technology approach</v>
      </c>
      <c r="EP770" t="str">
        <f>IF(ISNUMBER(BU770),IF(ABS(BU770-[1]QC_indicators!$B$2)&gt;3*[1]QC_indicators!$C$2,"C ratio",IF(ISNUMBER(BY770),IF(ABS(BY770-[1]QC_indicators!$B$1)&gt;3*[1]QC_indicators!$C$1,"DF","no"))),IF(ISNUMBER(BY770),IF(ABS(BY770-[1]QC_indicators!$B$1)&gt;3*[1]QC_indicators!$C$1,"DF","no")))</f>
        <v>no</v>
      </c>
      <c r="ER770" s="149" t="s">
        <v>349</v>
      </c>
      <c r="ET770" s="264" t="s">
        <v>3273</v>
      </c>
    </row>
    <row r="771" spans="1:150" ht="15" customHeight="1">
      <c r="A771" s="1" t="s">
        <v>430</v>
      </c>
      <c r="B771" t="s">
        <v>431</v>
      </c>
      <c r="C771" t="s">
        <v>432</v>
      </c>
      <c r="D771" t="s">
        <v>433</v>
      </c>
      <c r="E771" t="s">
        <v>434</v>
      </c>
      <c r="F771" t="s">
        <v>435</v>
      </c>
      <c r="G771" t="s">
        <v>436</v>
      </c>
      <c r="H771" t="s">
        <v>254</v>
      </c>
      <c r="I771">
        <v>2000</v>
      </c>
      <c r="J771">
        <v>174</v>
      </c>
      <c r="K771" t="s">
        <v>437</v>
      </c>
      <c r="M771" t="str">
        <f>LEFT($D771,FIND(",",$D771)-1)&amp;"_"&amp;I771&amp;L771</f>
        <v>Borjesson_2000</v>
      </c>
      <c r="N771" t="s">
        <v>222</v>
      </c>
      <c r="O771" s="145" t="s">
        <v>223</v>
      </c>
      <c r="Q771" t="s">
        <v>256</v>
      </c>
      <c r="R771" s="255" t="s">
        <v>225</v>
      </c>
      <c r="S771" s="1" t="s">
        <v>438</v>
      </c>
      <c r="T771" t="s">
        <v>446</v>
      </c>
      <c r="U771" t="s">
        <v>456</v>
      </c>
      <c r="V771">
        <v>0</v>
      </c>
      <c r="W771">
        <v>0</v>
      </c>
      <c r="X771">
        <v>0</v>
      </c>
      <c r="Y771">
        <v>0</v>
      </c>
      <c r="Z771">
        <v>0</v>
      </c>
      <c r="AA771">
        <v>0</v>
      </c>
      <c r="AB771">
        <v>0</v>
      </c>
      <c r="AC771">
        <v>0</v>
      </c>
      <c r="AD771">
        <v>0</v>
      </c>
      <c r="AE771">
        <v>0</v>
      </c>
      <c r="AF771">
        <v>0</v>
      </c>
      <c r="AG771">
        <v>0</v>
      </c>
      <c r="AH771">
        <v>0</v>
      </c>
      <c r="AI771">
        <v>0</v>
      </c>
      <c r="AJ771">
        <v>0</v>
      </c>
      <c r="AK771">
        <v>1</v>
      </c>
      <c r="AL771">
        <v>0</v>
      </c>
      <c r="AM771">
        <v>0</v>
      </c>
      <c r="AN771">
        <v>0</v>
      </c>
      <c r="AO771">
        <v>0</v>
      </c>
      <c r="AP771">
        <v>0</v>
      </c>
      <c r="AQ771">
        <v>0</v>
      </c>
      <c r="AR771">
        <v>0</v>
      </c>
      <c r="AS771">
        <v>0</v>
      </c>
      <c r="AT771">
        <v>0</v>
      </c>
      <c r="AU771">
        <v>0</v>
      </c>
      <c r="AV771">
        <v>0</v>
      </c>
      <c r="AW771">
        <v>0</v>
      </c>
      <c r="AX771" s="141">
        <f>COUNTIF(V771:AW771,"&lt;&gt;0")</f>
        <v>1</v>
      </c>
      <c r="AY771" s="141">
        <f>COUNTIF(V771:AL771,"&lt;&gt;0")</f>
        <v>1</v>
      </c>
      <c r="AZ771">
        <f>COUNTIF(V771:AC771,"&lt;&gt;0")</f>
        <v>0</v>
      </c>
      <c r="BA771">
        <f>COUNTIF(AD771:AI771,"&lt;&gt;0")</f>
        <v>0</v>
      </c>
      <c r="BB771">
        <f>COUNTIF(AJ771:AL771,"&lt;&gt;0")</f>
        <v>1</v>
      </c>
      <c r="BC771">
        <f>COUNTIF(AS771:AW771,"&lt;&gt;0")</f>
        <v>0</v>
      </c>
      <c r="BD771">
        <f>COUNTIF(AM771:AR771,"&lt;&gt;0")</f>
        <v>0</v>
      </c>
      <c r="BE771" t="str">
        <f t="array" ref="BE771">IF(AY771=1,INDEX($V$7:$AL$7,MATCH(TRUE,INDEX($V771:$AW771&lt;&gt;0,),0)),IF(AY771=0,INDEX($AM$7:$AW$7,MATCH(1,$AM771:$AW771,0)),IF(BF771="Multiple strategies","mixed drivers",IF(BF771="Supply chain","multiple supply","multiple silviculture"))))</f>
        <v>technologies/design switch</v>
      </c>
      <c r="BF771" s="2" t="str" cm="1">
        <f t="array" ref="BF771">IF(COUNTIF(AZ771:BB771,"&lt;&gt;0")=1,INDEX($V$4:$AW$4,MATCH(TRUE,INDEX($V771:$AW771&lt;&gt;0,),0)),IF(COUNTIF(AZ771:BB771,"&lt;&gt;0")=0,INDEX($AM$4:$AW$4,MATCH(1,$AM771:$AW771,0)),"Multiple strategies"))</f>
        <v>Technology</v>
      </c>
      <c r="BG771" s="142" t="s">
        <v>229</v>
      </c>
      <c r="BH771" t="s">
        <v>441</v>
      </c>
      <c r="BI771" s="264" t="s">
        <v>3274</v>
      </c>
      <c r="BJ771" s="143" t="s">
        <v>442</v>
      </c>
      <c r="BK771">
        <v>0</v>
      </c>
      <c r="BL771">
        <f>3*44</f>
        <v>132</v>
      </c>
      <c r="BM771" s="143" t="e">
        <f>BL771/BK771</f>
        <v>#DIV/0!</v>
      </c>
      <c r="BN771">
        <f>BL771-BK771</f>
        <v>132</v>
      </c>
      <c r="BO771">
        <f>BN771*tC_to_m3</f>
        <v>573.16543638732094</v>
      </c>
      <c r="BP771" t="s">
        <v>232</v>
      </c>
      <c r="BQ771" s="260" t="s">
        <v>813</v>
      </c>
      <c r="BR771" t="s">
        <v>443</v>
      </c>
      <c r="BS771" s="141">
        <v>18</v>
      </c>
      <c r="BT771" s="141">
        <v>93</v>
      </c>
      <c r="BU771" s="144">
        <f>IFERROR(BT771/BS771,"")</f>
        <v>5.166666666666667</v>
      </c>
      <c r="BV771">
        <f>BT771-BS771</f>
        <v>75</v>
      </c>
      <c r="BX771">
        <f>BV771*C_to_CO2</f>
        <v>275.25</v>
      </c>
      <c r="BY771">
        <f>IFERROR(BX771/BO771,"")</f>
        <v>0.48022784090909088</v>
      </c>
      <c r="BZ771" s="143">
        <v>0</v>
      </c>
      <c r="CA771" s="143">
        <v>0</v>
      </c>
      <c r="CB771" s="143">
        <v>0</v>
      </c>
      <c r="CC771" s="143">
        <v>0</v>
      </c>
      <c r="CD771" s="143">
        <v>0</v>
      </c>
      <c r="CE771" s="143">
        <v>0</v>
      </c>
      <c r="CF771" s="143">
        <v>0</v>
      </c>
      <c r="CG771" s="143">
        <v>0</v>
      </c>
      <c r="CH771" s="143">
        <v>0</v>
      </c>
      <c r="CI771" s="143">
        <v>0</v>
      </c>
      <c r="CJ771" s="143">
        <v>0</v>
      </c>
      <c r="CK771" s="143">
        <v>0</v>
      </c>
      <c r="CL771" s="143">
        <v>0</v>
      </c>
      <c r="CM771">
        <v>0</v>
      </c>
      <c r="CN771" t="str">
        <f>IF($BL771&lt;$BK771,"refNeedCorrection","refOK")</f>
        <v>refOK</v>
      </c>
      <c r="CO771">
        <f>IF($CN771="refOK",$BK771,$BL771)</f>
        <v>0</v>
      </c>
      <c r="CP771">
        <f>IF($CN771="refOK",$BL771,$BK771)</f>
        <v>132</v>
      </c>
      <c r="CQ771">
        <f>IF($CN771="refOK",$BO771,-$BO771)</f>
        <v>573.16543638732094</v>
      </c>
      <c r="CR771">
        <f>IF($CN771="refOK",$BS771,$BT771)*IF($BP771="Emissions positive",-1,1)</f>
        <v>18</v>
      </c>
      <c r="CS771">
        <f>IF($CN771="refOK",$BT771,$BS771)*IF($BP771="Emissions positive",-1,1)</f>
        <v>93</v>
      </c>
      <c r="CT771">
        <f>IF($CN771="refNeedCorrection",-BX771,BX771)*IF($BP771="Emissions positive",-1,1)</f>
        <v>275.25</v>
      </c>
      <c r="CU771">
        <f>IFERROR(CT771/CQ771,"")</f>
        <v>0.48022784090909088</v>
      </c>
      <c r="CV771" s="2">
        <f>IFERROR((CS771-CR771)/ABS(CR771),"")</f>
        <v>4.166666666666667</v>
      </c>
      <c r="CW771" s="1" t="s">
        <v>263</v>
      </c>
      <c r="CX771" t="str">
        <f>IF(OR($CW771="prd",$CW771="std",$CW771="cit"),"loc",IF(OR($CW771="eur",$CW771="reg",$CW771="coy"),"reg",$CW771))</f>
        <v>loc</v>
      </c>
      <c r="CY771" t="s">
        <v>444</v>
      </c>
      <c r="DB771">
        <v>300</v>
      </c>
      <c r="DC771" t="str">
        <f>IF(DB771=0,"0",IF(AND(DB771&gt;=1,DB771&lt;=30),"1-30",IF(AND(DB771&gt;30,DB771&lt;=70),"31-70",IF(AND(DB771&gt;70,DB771&lt;=100),"71-100",IF(DB771&gt;100,"+100")))))</f>
        <v>+100</v>
      </c>
      <c r="DD771">
        <v>0</v>
      </c>
      <c r="DE771">
        <v>0</v>
      </c>
      <c r="DF771">
        <v>0</v>
      </c>
      <c r="DG771">
        <v>1</v>
      </c>
      <c r="DI771">
        <f>SUM(DD771:DG771)</f>
        <v>1</v>
      </c>
      <c r="DJ771" t="str">
        <f>IF(DI771=1,INDEX($DD$7:$DG$7,MATCH(1,$DD771:$DG771,0)),"mixedProduct")</f>
        <v>TimberInput</v>
      </c>
      <c r="DK771">
        <f>IF(DD771=1,DK$7,0)</f>
        <v>0</v>
      </c>
      <c r="DL771">
        <f>IF(DE771=1,DL$7,0)</f>
        <v>0</v>
      </c>
      <c r="DM771">
        <f>IF(DF771=1,DM$7,0)</f>
        <v>0</v>
      </c>
      <c r="DN771" t="str">
        <f>IF(DG771=1,DN$7,0)</f>
        <v>Timber</v>
      </c>
      <c r="DO771">
        <v>1</v>
      </c>
      <c r="DP771" s="143">
        <v>0</v>
      </c>
      <c r="DQ771" s="143">
        <v>0</v>
      </c>
      <c r="DR771" s="143">
        <v>0</v>
      </c>
      <c r="DS771">
        <v>0</v>
      </c>
      <c r="DT771">
        <f>SUM(DO771:DP771)</f>
        <v>1</v>
      </c>
      <c r="DU771" s="143" t="str">
        <f>IF(DO771=1,"self-calculated DF",IF(DP771=1,"external DF used","explicit C balance"))</f>
        <v>self-calculated DF</v>
      </c>
      <c r="DV771">
        <v>0</v>
      </c>
      <c r="DW771" s="143">
        <v>0</v>
      </c>
      <c r="DX771" s="143">
        <v>1</v>
      </c>
      <c r="DY771" s="143">
        <v>1</v>
      </c>
      <c r="DZ771">
        <v>1</v>
      </c>
      <c r="EA771" s="143">
        <v>1</v>
      </c>
      <c r="EB771">
        <v>0</v>
      </c>
      <c r="EC771" s="143">
        <v>1</v>
      </c>
      <c r="ED771" s="143">
        <v>0</v>
      </c>
      <c r="EE771">
        <v>0</v>
      </c>
      <c r="EF771">
        <v>0</v>
      </c>
      <c r="EG771" s="143">
        <v>0</v>
      </c>
      <c r="EH771" s="143">
        <v>0</v>
      </c>
      <c r="EI771" s="2">
        <v>0</v>
      </c>
      <c r="EK771" t="str">
        <f>IF(AND(AND(AND(OR($DX771=1,$DW771=1),OR($EC771=1,$EA771=1)),SUM($DV771:$DZ771,$EF771)&gt;=4),SUM($EA771:$EE771)&gt;=2),"Whole sector","")</f>
        <v/>
      </c>
      <c r="EL771" t="str">
        <f>IF(AND(AND(OR($DX771=1,$DW771=1),AND($EC771=0,$EA771=0)),SUM($DV771:$DZ771,$EF771)&gt;=4),"Ecosystem approach","")</f>
        <v/>
      </c>
      <c r="EM771" s="2" t="str">
        <f>IF(AND(AND(AND($DX771=0,$DW771=0),OR($EC771=1,$EA771=1)),SUM($EB771:$EE771)&gt;=2),"Technology approach","")</f>
        <v/>
      </c>
      <c r="EN771" t="s">
        <v>445</v>
      </c>
      <c r="EP771" t="str">
        <f>IF(ISNUMBER(BU771),IF(ABS(BU771-[4]QC_indicators!$B$2)&gt;3*[4]QC_indicators!$C$2,"C ratio",IF(ISNUMBER(BY771),IF(ABS(BY771-[4]QC_indicators!$B$1)&gt;3*[4]QC_indicators!$C$1,"DF","no"))),IF(ISNUMBER(BY771),IF(ABS(BY771-[4]QC_indicators!$B$1)&gt;3*[4]QC_indicators!$C$1,"DF","no")))</f>
        <v>no</v>
      </c>
      <c r="ET771" s="264" t="s">
        <v>3273</v>
      </c>
    </row>
    <row r="772" spans="1:150" ht="15" customHeight="1">
      <c r="A772" s="1" t="s">
        <v>1233</v>
      </c>
      <c r="B772" t="s">
        <v>1234</v>
      </c>
      <c r="C772" t="s">
        <v>1235</v>
      </c>
      <c r="D772" t="s">
        <v>336</v>
      </c>
      <c r="E772" t="s">
        <v>1236</v>
      </c>
      <c r="F772" t="s">
        <v>1237</v>
      </c>
      <c r="G772" t="s">
        <v>1238</v>
      </c>
      <c r="I772">
        <v>2018</v>
      </c>
      <c r="K772" t="s">
        <v>1239</v>
      </c>
      <c r="M772" t="str">
        <f>LEFT($D772,FIND(",",$D772)-1)&amp;"_"&amp;I772&amp;L772</f>
        <v>Balasbaneh_2018</v>
      </c>
      <c r="N772" t="s">
        <v>222</v>
      </c>
      <c r="O772" s="140" t="s">
        <v>513</v>
      </c>
      <c r="Q772" t="s">
        <v>224</v>
      </c>
      <c r="R772" s="262" t="s">
        <v>223</v>
      </c>
      <c r="S772" s="1" t="s">
        <v>1263</v>
      </c>
      <c r="T772" s="264" t="s">
        <v>3115</v>
      </c>
      <c r="U772" s="264" t="s">
        <v>3111</v>
      </c>
      <c r="V772">
        <v>0</v>
      </c>
      <c r="W772">
        <v>0</v>
      </c>
      <c r="X772">
        <v>0</v>
      </c>
      <c r="Y772">
        <v>0</v>
      </c>
      <c r="Z772">
        <v>0</v>
      </c>
      <c r="AA772">
        <v>0</v>
      </c>
      <c r="AB772">
        <v>0</v>
      </c>
      <c r="AC772">
        <v>0</v>
      </c>
      <c r="AD772">
        <v>0</v>
      </c>
      <c r="AE772">
        <v>0</v>
      </c>
      <c r="AF772">
        <v>0</v>
      </c>
      <c r="AG772">
        <v>0</v>
      </c>
      <c r="AH772">
        <v>0</v>
      </c>
      <c r="AI772">
        <v>0</v>
      </c>
      <c r="AJ772">
        <v>0</v>
      </c>
      <c r="AK772">
        <v>1</v>
      </c>
      <c r="AL772">
        <v>0</v>
      </c>
      <c r="AM772">
        <v>0</v>
      </c>
      <c r="AN772">
        <v>0</v>
      </c>
      <c r="AO772">
        <v>0</v>
      </c>
      <c r="AP772">
        <v>0</v>
      </c>
      <c r="AQ772">
        <v>0</v>
      </c>
      <c r="AR772">
        <v>0</v>
      </c>
      <c r="AS772">
        <v>0</v>
      </c>
      <c r="AT772">
        <v>0</v>
      </c>
      <c r="AU772">
        <v>0</v>
      </c>
      <c r="AV772">
        <v>0</v>
      </c>
      <c r="AW772">
        <v>0</v>
      </c>
      <c r="AX772" s="141">
        <f>COUNTIF(V772:AW772,"&lt;&gt;0")</f>
        <v>1</v>
      </c>
      <c r="AY772" s="141">
        <f>COUNTIF(V772:AL772,"&lt;&gt;0")</f>
        <v>1</v>
      </c>
      <c r="AZ772">
        <f>COUNTIF(V772:AC772,"&lt;&gt;0")</f>
        <v>0</v>
      </c>
      <c r="BA772">
        <f>COUNTIF(AD772:AI772,"&lt;&gt;0")</f>
        <v>0</v>
      </c>
      <c r="BB772">
        <f>COUNTIF(AJ772:AL772,"&lt;&gt;0")</f>
        <v>1</v>
      </c>
      <c r="BC772">
        <f>COUNTIF(AS772:AW772,"&lt;&gt;0")</f>
        <v>0</v>
      </c>
      <c r="BD772">
        <f>COUNTIF(AM772:AR772,"&lt;&gt;0")</f>
        <v>0</v>
      </c>
      <c r="BE772" t="str">
        <f t="array" ref="BE772">IF(AY772=1,INDEX($V$7:$AL$7,MATCH(TRUE,INDEX($V772:$AW772&lt;&gt;0,),0)),IF(AY772=0,INDEX($AM$7:$AW$7,MATCH(1,$AM772:$AW772,0)),IF(BF772="Multiple strategies","mixed drivers",IF(BF772="Supply chain","multiple supply","multiple silviculture"))))</f>
        <v>technologies/design switch</v>
      </c>
      <c r="BF772" s="2" t="str" cm="1">
        <f t="array" ref="BF772">IF(COUNTIF(AZ772:BB772,"&lt;&gt;0")=1,INDEX($V$4:$AW$4,MATCH(TRUE,INDEX($V772:$AW772&lt;&gt;0,),0)),IF(COUNTIF(AZ772:BB772,"&lt;&gt;0")=0,INDEX($AM$4:$AW$4,MATCH(1,$AM772:$AW772,0)),"Multiple strategies"))</f>
        <v>Technology</v>
      </c>
      <c r="BG772" s="1" t="s">
        <v>229</v>
      </c>
      <c r="BH772" t="s">
        <v>229</v>
      </c>
      <c r="BJ772" t="s">
        <v>345</v>
      </c>
      <c r="BK772">
        <v>0</v>
      </c>
      <c r="BL772">
        <v>15468</v>
      </c>
      <c r="BM772" s="143"/>
      <c r="BN772">
        <f>BL772-BK772</f>
        <v>15468</v>
      </c>
      <c r="BO772" s="143">
        <f>BN772*kg_to_m3</f>
        <v>31.567346938775515</v>
      </c>
      <c r="BP772" t="s">
        <v>232</v>
      </c>
      <c r="BQ772" s="337" t="s">
        <v>1057</v>
      </c>
      <c r="BR772" t="s">
        <v>397</v>
      </c>
      <c r="BS772">
        <v>-20300</v>
      </c>
      <c r="BT772">
        <v>-5130</v>
      </c>
      <c r="BU772" s="144">
        <v>0.25270935960591134</v>
      </c>
      <c r="BV772">
        <v>15170</v>
      </c>
      <c r="BX772">
        <f>BV772/1000</f>
        <v>15.17</v>
      </c>
      <c r="BY772">
        <f>IFERROR(BX772/BO772,"")</f>
        <v>0.48055986552883367</v>
      </c>
      <c r="BZ772">
        <v>0</v>
      </c>
      <c r="CA772">
        <v>0</v>
      </c>
      <c r="CB772">
        <v>0</v>
      </c>
      <c r="CC772">
        <v>0</v>
      </c>
      <c r="CD772">
        <v>0</v>
      </c>
      <c r="CE772">
        <v>0</v>
      </c>
      <c r="CF772">
        <v>0</v>
      </c>
      <c r="CG772">
        <v>0</v>
      </c>
      <c r="CH772">
        <v>0</v>
      </c>
      <c r="CI772">
        <v>0</v>
      </c>
      <c r="CJ772">
        <v>0</v>
      </c>
      <c r="CK772">
        <v>0</v>
      </c>
      <c r="CL772">
        <v>0</v>
      </c>
      <c r="CM772">
        <v>0</v>
      </c>
      <c r="CN772" t="str">
        <f>IF($BL772&lt;$BK772,"refNeedCorrection","refOK")</f>
        <v>refOK</v>
      </c>
      <c r="CO772">
        <f>IF($CN772="refNeedCorrection",BL772,BK772)</f>
        <v>0</v>
      </c>
      <c r="CP772">
        <f>IF($CN772="refNeedCorrection",BK772,BL772)</f>
        <v>15468</v>
      </c>
      <c r="CQ772">
        <f>IF($CN772="refOK",$BO772,-$BO772)</f>
        <v>31.567346938775515</v>
      </c>
      <c r="CR772">
        <f>IF($CN772="refOK",$BS772,$BT772)*IF($BP772="Emissions positive",-1,1)</f>
        <v>-20300</v>
      </c>
      <c r="CS772">
        <f>IF($CN772="refOK",$BT772,$BS772)*IF($BP772="Emissions positive",-1,1)</f>
        <v>-5130</v>
      </c>
      <c r="CT772">
        <f>IF($CN772="refNeedCorrection",-BX772,BX772)*IF($BP772="Emissions positive",-1,1)</f>
        <v>15.17</v>
      </c>
      <c r="CU772">
        <f>IFERROR(CT772/CQ772,"")</f>
        <v>0.48055986552883367</v>
      </c>
      <c r="CV772" s="2">
        <f>IFERROR((CS772-CR772)/ABS(CR772),"")</f>
        <v>0.74729064039408866</v>
      </c>
      <c r="CW772" s="1" t="s">
        <v>1203</v>
      </c>
      <c r="CX772" t="str">
        <f>IF(OR($CW772="prd",$CW772="std",$CW772="cit"),"loc",IF(OR($CW772="eur",$CW772="reg",$CW772="coy"),"reg",$CW772))</f>
        <v>reg</v>
      </c>
      <c r="CY772" t="s">
        <v>348</v>
      </c>
      <c r="CZ772">
        <v>2014</v>
      </c>
      <c r="DA772">
        <v>2514</v>
      </c>
      <c r="DB772">
        <v>500</v>
      </c>
      <c r="DC772" t="str">
        <f>IF(DB772=0,"0",IF(AND(DB772&gt;=1,DB772&lt;=30),"1-30",IF(AND(DB772&gt;30,DB772&lt;=70),"31-70",IF(AND(DB772&gt;70,DB772&lt;=100),"71-100",IF(DB772&gt;100,"+100")))))</f>
        <v>+100</v>
      </c>
      <c r="DD772">
        <v>0</v>
      </c>
      <c r="DE772">
        <v>0</v>
      </c>
      <c r="DF772">
        <v>0</v>
      </c>
      <c r="DG772">
        <v>1</v>
      </c>
      <c r="DI772">
        <f>SUM(DD772:DG772)</f>
        <v>1</v>
      </c>
      <c r="DJ772" t="str">
        <f>IF(DI772=1,INDEX($DD$7:$DG$7,MATCH(1,$DD772:$DG772,0)),"mixedProduct")</f>
        <v>TimberInput</v>
      </c>
      <c r="DK772">
        <f>IF(DD772=1,DK$7,0)</f>
        <v>0</v>
      </c>
      <c r="DL772">
        <f>IF(DE772=1,DL$7,0)</f>
        <v>0</v>
      </c>
      <c r="DM772">
        <f>IF(DF772=1,DM$7,0)</f>
        <v>0</v>
      </c>
      <c r="DN772" t="str">
        <f>IF(DG772=1,DN$7,0)</f>
        <v>Timber</v>
      </c>
      <c r="DO772">
        <v>0</v>
      </c>
      <c r="DP772">
        <v>0</v>
      </c>
      <c r="DQ772">
        <v>0</v>
      </c>
      <c r="DR772">
        <v>0</v>
      </c>
      <c r="DS772">
        <v>0</v>
      </c>
      <c r="DT772">
        <f>SUM(DO772:DP772)</f>
        <v>0</v>
      </c>
      <c r="DU772" s="143" t="str">
        <f>IF(DO772=1,"self-calculated DF",IF(DP772=1,"external DF used","explicit C balance"))</f>
        <v>explicit C balance</v>
      </c>
      <c r="DV772">
        <v>0</v>
      </c>
      <c r="DW772">
        <v>0</v>
      </c>
      <c r="DX772">
        <v>0</v>
      </c>
      <c r="DY772">
        <v>0</v>
      </c>
      <c r="DZ772">
        <v>0</v>
      </c>
      <c r="EA772" s="143">
        <v>1</v>
      </c>
      <c r="EB772">
        <v>0</v>
      </c>
      <c r="EC772">
        <v>1</v>
      </c>
      <c r="ED772">
        <v>1</v>
      </c>
      <c r="EE772">
        <v>1</v>
      </c>
      <c r="EF772">
        <v>0</v>
      </c>
      <c r="EG772">
        <v>0</v>
      </c>
      <c r="EH772">
        <v>0</v>
      </c>
      <c r="EI772" s="2">
        <v>0</v>
      </c>
      <c r="EK772" t="str">
        <f>IF(AND(AND(AND(OR($DX772=1,$DW772=1),OR($EC772=1,$EA772=1)),SUM($DV772:$DZ772,$EF772)&gt;=4),SUM($EA772:$EE772)&gt;=2),"Whole sector","")</f>
        <v/>
      </c>
      <c r="EL772" t="str">
        <f>IF(AND(AND(OR($DX772=1,$DW772=1),AND($EC772=0,$EA772=0)),SUM($DV772:$DZ772,$EF772)&gt;=4),"Ecosystem approach","")</f>
        <v/>
      </c>
      <c r="EM772" s="2" t="str">
        <f>IF(AND(AND(AND($DX772=0,$DW772=0),OR($EC772=1,$EA772=1)),SUM($EB772:$EE772)&gt;=2),"Technology approach","")</f>
        <v>Technology approach</v>
      </c>
      <c r="EP772" t="str">
        <f>IF(ISNUMBER(BU772),IF(ABS(BU772-[1]QC_indicators!$B$2)&gt;3*[1]QC_indicators!$C$2,"C ratio",IF(ISNUMBER(BY772),IF(ABS(BY772-[1]QC_indicators!$B$1)&gt;3*[1]QC_indicators!$C$1,"DF","no"))),IF(ISNUMBER(BY772),IF(ABS(BY772-[1]QC_indicators!$B$1)&gt;3*[1]QC_indicators!$C$1,"DF","no")))</f>
        <v>no</v>
      </c>
      <c r="ER772" s="149" t="s">
        <v>349</v>
      </c>
      <c r="ET772" s="264" t="s">
        <v>3273</v>
      </c>
    </row>
    <row r="773" spans="1:150" ht="15" customHeight="1">
      <c r="A773" s="1" t="s">
        <v>265</v>
      </c>
      <c r="B773" t="s">
        <v>266</v>
      </c>
      <c r="C773" t="s">
        <v>267</v>
      </c>
      <c r="D773" t="s">
        <v>268</v>
      </c>
      <c r="E773" t="s">
        <v>269</v>
      </c>
      <c r="F773" t="s">
        <v>270</v>
      </c>
      <c r="G773" t="s">
        <v>271</v>
      </c>
      <c r="H773" t="s">
        <v>254</v>
      </c>
      <c r="I773">
        <v>2022</v>
      </c>
      <c r="J773">
        <v>0</v>
      </c>
      <c r="K773" t="s">
        <v>272</v>
      </c>
      <c r="M773" t="str">
        <f>LEFT($D773,FIND(",",$D773)-1)&amp;"_"&amp;I773&amp;L773</f>
        <v>Aryapratama_2022</v>
      </c>
      <c r="N773" t="s">
        <v>222</v>
      </c>
      <c r="O773" s="145" t="s">
        <v>274</v>
      </c>
      <c r="Q773" t="s">
        <v>224</v>
      </c>
      <c r="R773" s="262" t="s">
        <v>223</v>
      </c>
      <c r="S773" s="263" t="s">
        <v>3105</v>
      </c>
      <c r="T773" t="s">
        <v>305</v>
      </c>
      <c r="U773" t="s">
        <v>284</v>
      </c>
      <c r="V773">
        <v>0</v>
      </c>
      <c r="W773">
        <v>0</v>
      </c>
      <c r="X773">
        <v>0</v>
      </c>
      <c r="Y773">
        <v>0</v>
      </c>
      <c r="Z773">
        <v>0</v>
      </c>
      <c r="AA773">
        <v>0</v>
      </c>
      <c r="AB773">
        <v>0</v>
      </c>
      <c r="AC773">
        <v>0</v>
      </c>
      <c r="AD773">
        <v>0</v>
      </c>
      <c r="AE773">
        <v>0</v>
      </c>
      <c r="AF773">
        <v>0</v>
      </c>
      <c r="AG773">
        <v>0</v>
      </c>
      <c r="AH773">
        <v>0</v>
      </c>
      <c r="AI773">
        <v>0</v>
      </c>
      <c r="AJ773">
        <v>0</v>
      </c>
      <c r="AK773">
        <v>1</v>
      </c>
      <c r="AL773">
        <v>0</v>
      </c>
      <c r="AM773">
        <v>0</v>
      </c>
      <c r="AN773">
        <v>0</v>
      </c>
      <c r="AO773">
        <v>0</v>
      </c>
      <c r="AP773">
        <v>0</v>
      </c>
      <c r="AQ773">
        <v>0</v>
      </c>
      <c r="AR773">
        <v>0</v>
      </c>
      <c r="AS773">
        <v>0</v>
      </c>
      <c r="AT773">
        <v>0</v>
      </c>
      <c r="AU773">
        <v>0</v>
      </c>
      <c r="AV773">
        <v>0</v>
      </c>
      <c r="AW773">
        <v>0</v>
      </c>
      <c r="AX773" s="141">
        <f>COUNTIF(V773:AW773,"&lt;&gt;0")</f>
        <v>1</v>
      </c>
      <c r="AY773" s="141">
        <f>COUNTIF(V773:AL773,"&lt;&gt;0")</f>
        <v>1</v>
      </c>
      <c r="AZ773">
        <f>COUNTIF(V773:AC773,"&lt;&gt;0")</f>
        <v>0</v>
      </c>
      <c r="BA773">
        <f>COUNTIF(AD773:AI773,"&lt;&gt;0")</f>
        <v>0</v>
      </c>
      <c r="BB773">
        <f>COUNTIF(AJ773:AL773,"&lt;&gt;0")</f>
        <v>1</v>
      </c>
      <c r="BC773">
        <f>COUNTIF(AS773:AW773,"&lt;&gt;0")</f>
        <v>0</v>
      </c>
      <c r="BD773">
        <f>COUNTIF(AM773:AR773,"&lt;&gt;0")</f>
        <v>0</v>
      </c>
      <c r="BE773" t="str">
        <f t="array" ref="BE773">IF(AY773=1,INDEX($V$7:$AL$7,MATCH(TRUE,INDEX($V773:$AW773&lt;&gt;0,),0)),IF(AY773=0,INDEX($AM$7:$AW$7,MATCH(1,$AM773:$AW773,0)),IF(BF773="Multiple strategies","mixed drivers",IF(BF773="Supply chain","multiple supply","multiple silviculture"))))</f>
        <v>technologies/design switch</v>
      </c>
      <c r="BF773" s="2" t="str" cm="1">
        <f t="array" ref="BF773">IF(COUNTIF(AZ773:BB773,"&lt;&gt;0")=1,INDEX($V$4:$AW$4,MATCH(TRUE,INDEX($V773:$AW773&lt;&gt;0,),0)),IF(COUNTIF(AZ773:BB773,"&lt;&gt;0")=0,INDEX($AM$4:$AW$4,MATCH(1,$AM773:$AW773,0)),"Multiple strategies"))</f>
        <v>Technology</v>
      </c>
      <c r="BG773" s="1" t="s">
        <v>229</v>
      </c>
      <c r="BH773" t="s">
        <v>277</v>
      </c>
      <c r="BI773" s="264" t="s">
        <v>3106</v>
      </c>
      <c r="BJ773" t="s">
        <v>278</v>
      </c>
      <c r="BK773">
        <v>0</v>
      </c>
      <c r="BL773">
        <v>11.564535948479303</v>
      </c>
      <c r="BN773">
        <f>BL773-BK773</f>
        <v>11.564535948479303</v>
      </c>
      <c r="BO773">
        <f>BN773*tC_to_m3</f>
        <v>50.215093132780304</v>
      </c>
      <c r="BP773" t="s">
        <v>232</v>
      </c>
      <c r="BQ773" s="337" t="s">
        <v>3107</v>
      </c>
      <c r="BR773" t="s">
        <v>279</v>
      </c>
      <c r="BS773">
        <v>75.991198542896527</v>
      </c>
      <c r="BT773">
        <v>100.2569126004381</v>
      </c>
      <c r="BU773" s="144">
        <f>IFERROR(BT773/BS773,"")</f>
        <v>1.3193226916120258</v>
      </c>
      <c r="BV773">
        <f>BT773-BS773</f>
        <v>24.265714057541572</v>
      </c>
      <c r="BX773">
        <f>BV773</f>
        <v>24.265714057541572</v>
      </c>
      <c r="BY773">
        <f>IFERROR(BX773/BO773,"")</f>
        <v>0.48323546853487698</v>
      </c>
      <c r="BZ773">
        <v>0</v>
      </c>
      <c r="CA773">
        <v>0</v>
      </c>
      <c r="CB773">
        <v>0</v>
      </c>
      <c r="CC773">
        <v>0</v>
      </c>
      <c r="CD773">
        <v>0</v>
      </c>
      <c r="CE773">
        <v>0</v>
      </c>
      <c r="CF773">
        <v>0</v>
      </c>
      <c r="CG773">
        <v>0</v>
      </c>
      <c r="CH773">
        <v>0</v>
      </c>
      <c r="CI773">
        <v>0</v>
      </c>
      <c r="CJ773">
        <v>0</v>
      </c>
      <c r="CK773">
        <v>0</v>
      </c>
      <c r="CL773">
        <v>0</v>
      </c>
      <c r="CM773">
        <v>0</v>
      </c>
      <c r="CN773" t="str">
        <f>IF($BL773&lt;$BK773,"refNeedCorrection","refOK")</f>
        <v>refOK</v>
      </c>
      <c r="CO773">
        <f>IF($CN773="refOK",$BK773,$BL773)</f>
        <v>0</v>
      </c>
      <c r="CP773">
        <f>IF($CN773="refOK",$BL773,$BK773)</f>
        <v>11.564535948479303</v>
      </c>
      <c r="CQ773">
        <f>IF($CN773="refOK",$BO773,-$BO773)</f>
        <v>50.215093132780304</v>
      </c>
      <c r="CR773">
        <f>IF($CN773="refOK",$BS773,$BT773)*IF($BP773="Emissions positive",-1,1)</f>
        <v>75.991198542896527</v>
      </c>
      <c r="CS773">
        <f>IF($CN773="refOK",$BT773,$BS773)*IF($BP773="Emissions positive",-1,1)</f>
        <v>100.2569126004381</v>
      </c>
      <c r="CT773">
        <f>IF($CN773="refNeedCorrection",-BX773,BX773)*IF($BP773="Emissions positive",-1,1)</f>
        <v>24.265714057541572</v>
      </c>
      <c r="CU773">
        <f>IFERROR(CT773/CQ773,"")</f>
        <v>0.48323546853487698</v>
      </c>
      <c r="CV773" s="2">
        <f>IFERROR((CS773-CR773)/ABS(CR773),"")</f>
        <v>0.31932269161202581</v>
      </c>
      <c r="CW773" s="1" t="s">
        <v>234</v>
      </c>
      <c r="CX773" t="str">
        <f>IF(OR($CW773="prd",$CW773="std",$CW773="cit"),"loc",IF(OR($CW773="eur",$CW773="reg",$CW773="coy"),"reg",$CW773))</f>
        <v>loc</v>
      </c>
      <c r="CY773" t="s">
        <v>280</v>
      </c>
      <c r="DB773">
        <v>50</v>
      </c>
      <c r="DC773" t="str">
        <f>IF(DB773=0,"0",IF(AND(DB773&gt;=1,DB773&lt;=30),"1-30",IF(AND(DB773&gt;30,DB773&lt;=70),"31-70",IF(AND(DB773&gt;70,DB773&lt;=100),"71-100",IF(DB773&gt;100,"+100")))))</f>
        <v>31-70</v>
      </c>
      <c r="DD773">
        <v>0</v>
      </c>
      <c r="DE773">
        <v>0</v>
      </c>
      <c r="DF773">
        <v>0</v>
      </c>
      <c r="DG773">
        <v>1</v>
      </c>
      <c r="DI773">
        <f>SUM(DD773:DG773)</f>
        <v>1</v>
      </c>
      <c r="DJ773" t="str">
        <f>IF(DI773=1,INDEX($DD$7:$DG$7,MATCH(1,$DD773:$DG773,0)),"mixedProduct")</f>
        <v>TimberInput</v>
      </c>
      <c r="DK773">
        <f>IF(DD773=1,DK$7,0)</f>
        <v>0</v>
      </c>
      <c r="DL773">
        <f>IF(DE773=1,DL$7,0)</f>
        <v>0</v>
      </c>
      <c r="DM773">
        <f>IF(DF773=1,DM$7,0)</f>
        <v>0</v>
      </c>
      <c r="DN773" t="str">
        <f>IF(DG773=1,DN$7,0)</f>
        <v>Timber</v>
      </c>
      <c r="DO773">
        <v>0</v>
      </c>
      <c r="DP773">
        <v>1</v>
      </c>
      <c r="DQ773">
        <v>0</v>
      </c>
      <c r="DR773" t="s">
        <v>281</v>
      </c>
      <c r="DS773">
        <v>0</v>
      </c>
      <c r="DT773">
        <f>SUM(DO773:DP773)</f>
        <v>1</v>
      </c>
      <c r="DU773" s="143" t="str">
        <f>IF(DO773=1,"self-calculated DF",IF(DP773=1,"external DF used","explicit C balance"))</f>
        <v>external DF used</v>
      </c>
      <c r="DV773">
        <v>0</v>
      </c>
      <c r="DW773">
        <v>1</v>
      </c>
      <c r="DX773">
        <v>1</v>
      </c>
      <c r="DY773">
        <v>1</v>
      </c>
      <c r="DZ773">
        <v>1</v>
      </c>
      <c r="EA773" s="143">
        <v>0</v>
      </c>
      <c r="EB773">
        <v>1</v>
      </c>
      <c r="EC773">
        <v>1</v>
      </c>
      <c r="ED773">
        <v>0</v>
      </c>
      <c r="EE773">
        <v>1</v>
      </c>
      <c r="EF773">
        <v>1</v>
      </c>
      <c r="EG773">
        <v>1</v>
      </c>
      <c r="EH773">
        <v>0</v>
      </c>
      <c r="EI773" s="2">
        <v>0</v>
      </c>
      <c r="EK773" t="str">
        <f>IF(AND(AND(AND(OR($DX773=1,$DW773=1),OR($EC773=1,$EA773=1)),SUM($DV773:$DZ773,$EF773)&gt;=4),SUM($EA773:$EE773)&gt;=2),"Whole sector","")</f>
        <v>Whole sector</v>
      </c>
      <c r="EL773" t="str">
        <f>IF(AND(AND(OR($DX773=1,$DW773=1),AND($EC773=0,$EA773=0)),SUM($DV773:$DZ773,$EF773)&gt;=4),"Ecosystem approach","")</f>
        <v/>
      </c>
      <c r="EM773" s="2" t="str">
        <f>IF(AND(AND(AND($DX773=0,$DW773=0),OR($EC773=1,$EA773=1)),SUM($EB773:$EE773)&gt;=2),"Technology approach","")</f>
        <v/>
      </c>
      <c r="EP773" t="str">
        <f>IF(ISNUMBER(BU773),IF(ABS(BU773-[1]QC_indicators!$B$2)&gt;3*[1]QC_indicators!$C$2,"C ratio",IF(ISNUMBER(BY773),IF(ABS(BY773-[1]QC_indicators!$B$1)&gt;3*[1]QC_indicators!$C$1,"DF","no"))),IF(ISNUMBER(BY773),IF(ABS(BY773-[1]QC_indicators!$B$1)&gt;3*[1]QC_indicators!$C$1,"DF","no")))</f>
        <v>no</v>
      </c>
      <c r="EQ773" t="s">
        <v>286</v>
      </c>
      <c r="ET773" s="264" t="s">
        <v>3273</v>
      </c>
    </row>
    <row r="774" spans="1:150" ht="15" customHeight="1">
      <c r="A774" s="1" t="s">
        <v>781</v>
      </c>
      <c r="D774" t="s">
        <v>1156</v>
      </c>
      <c r="E774" t="s">
        <v>1157</v>
      </c>
      <c r="G774" t="s">
        <v>782</v>
      </c>
      <c r="I774">
        <v>2008</v>
      </c>
      <c r="K774" t="s">
        <v>1158</v>
      </c>
      <c r="M774" t="str">
        <f>LEFT($D774,FIND(",",$D774)-1)&amp;"_"&amp;I774&amp;L774</f>
        <v>Upton_2008</v>
      </c>
      <c r="N774" t="s">
        <v>222</v>
      </c>
      <c r="O774" s="145" t="s">
        <v>225</v>
      </c>
      <c r="Q774" t="s">
        <v>256</v>
      </c>
      <c r="R774" s="262" t="s">
        <v>223</v>
      </c>
      <c r="S774" s="1" t="s">
        <v>1159</v>
      </c>
      <c r="T774" t="s">
        <v>1160</v>
      </c>
      <c r="U774" t="s">
        <v>1161</v>
      </c>
      <c r="V774">
        <v>0</v>
      </c>
      <c r="W774">
        <v>0</v>
      </c>
      <c r="X774">
        <v>0</v>
      </c>
      <c r="Y774">
        <v>0</v>
      </c>
      <c r="Z774">
        <v>0</v>
      </c>
      <c r="AA774">
        <v>0</v>
      </c>
      <c r="AB774">
        <v>0</v>
      </c>
      <c r="AC774">
        <v>0</v>
      </c>
      <c r="AD774">
        <v>0</v>
      </c>
      <c r="AE774">
        <v>0</v>
      </c>
      <c r="AF774">
        <v>0</v>
      </c>
      <c r="AG774">
        <v>0</v>
      </c>
      <c r="AH774">
        <v>0</v>
      </c>
      <c r="AI774">
        <v>0</v>
      </c>
      <c r="AJ774">
        <v>0</v>
      </c>
      <c r="AK774">
        <v>1</v>
      </c>
      <c r="AL774">
        <v>0</v>
      </c>
      <c r="AM774">
        <v>0</v>
      </c>
      <c r="AN774">
        <v>0</v>
      </c>
      <c r="AO774">
        <v>0</v>
      </c>
      <c r="AP774">
        <v>0</v>
      </c>
      <c r="AQ774">
        <v>0</v>
      </c>
      <c r="AR774">
        <v>0</v>
      </c>
      <c r="AS774">
        <v>0</v>
      </c>
      <c r="AT774">
        <v>0</v>
      </c>
      <c r="AU774">
        <v>0</v>
      </c>
      <c r="AV774">
        <v>0</v>
      </c>
      <c r="AW774">
        <v>0</v>
      </c>
      <c r="AX774" s="141">
        <f>COUNTIF(V774:AW774,"&lt;&gt;0")</f>
        <v>1</v>
      </c>
      <c r="AY774" s="141">
        <f>COUNTIF(V774:AL774,"&lt;&gt;0")</f>
        <v>1</v>
      </c>
      <c r="AZ774">
        <f>COUNTIF(V774:AC774,"&lt;&gt;0")</f>
        <v>0</v>
      </c>
      <c r="BA774">
        <f>COUNTIF(AD774:AI774,"&lt;&gt;0")</f>
        <v>0</v>
      </c>
      <c r="BB774">
        <f>COUNTIF(AJ774:AL774,"&lt;&gt;0")</f>
        <v>1</v>
      </c>
      <c r="BC774">
        <f>COUNTIF(AS774:AW774,"&lt;&gt;0")</f>
        <v>0</v>
      </c>
      <c r="BD774">
        <f>COUNTIF(AM774:AR774,"&lt;&gt;0")</f>
        <v>0</v>
      </c>
      <c r="BE774" t="str">
        <f t="array" ref="BE774">IF(AY774=1,INDEX($V$7:$AL$7,MATCH(TRUE,INDEX($V774:$AW774&lt;&gt;0,),0)),IF(AY774=0,INDEX($AM$7:$AW$7,MATCH(1,$AM774:$AW774,0)),IF(BF774="Multiple strategies","mixed drivers",IF(BF774="Supply chain","multiple supply","multiple silviculture"))))</f>
        <v>technologies/design switch</v>
      </c>
      <c r="BF774" s="2" t="str" cm="1">
        <f t="array" ref="BF774">IF(COUNTIF(AZ774:BB774,"&lt;&gt;0")=1,INDEX($V$4:$AW$4,MATCH(TRUE,INDEX($V774:$AW774&lt;&gt;0,),0)),IF(COUNTIF(AZ774:BB774,"&lt;&gt;0")=0,INDEX($AM$4:$AW$4,MATCH(1,$AM774:$AW774,0)),"Multiple strategies"))</f>
        <v>Technology</v>
      </c>
      <c r="BG774" s="1" t="s">
        <v>229</v>
      </c>
      <c r="BH774" t="s">
        <v>1162</v>
      </c>
      <c r="BJ774" t="s">
        <v>598</v>
      </c>
      <c r="BK774">
        <v>1106</v>
      </c>
      <c r="BL774">
        <v>2051</v>
      </c>
      <c r="BN774">
        <f>BL774-BK774</f>
        <v>945</v>
      </c>
      <c r="BO774">
        <f>BN774/C_to_CO2*tC_to_m3*10^6</f>
        <v>1118077238.4320416</v>
      </c>
      <c r="BP774" t="s">
        <v>232</v>
      </c>
      <c r="BR774" t="s">
        <v>1163</v>
      </c>
      <c r="BU774" s="144"/>
      <c r="BV774">
        <v>540.6</v>
      </c>
      <c r="BX774">
        <f>BV774*10^6</f>
        <v>540600000</v>
      </c>
      <c r="BY774">
        <f>IFERROR(BX774/BO774,"")</f>
        <v>0.48350863555555557</v>
      </c>
      <c r="BZ774">
        <v>0</v>
      </c>
      <c r="CA774">
        <v>1</v>
      </c>
      <c r="CB774">
        <v>0</v>
      </c>
      <c r="CC774">
        <v>0</v>
      </c>
      <c r="CD774">
        <v>0</v>
      </c>
      <c r="CE774">
        <v>0</v>
      </c>
      <c r="CF774">
        <v>0</v>
      </c>
      <c r="CG774">
        <v>0</v>
      </c>
      <c r="CH774">
        <v>0</v>
      </c>
      <c r="CI774">
        <v>0</v>
      </c>
      <c r="CJ774">
        <v>0</v>
      </c>
      <c r="CK774">
        <v>0</v>
      </c>
      <c r="CL774">
        <v>0</v>
      </c>
      <c r="CM774">
        <v>0</v>
      </c>
      <c r="CN774" t="str">
        <f>IF($BL774&lt;$BK774,"refNeedCorrection","refOK")</f>
        <v>refOK</v>
      </c>
      <c r="CO774">
        <f>IF($CN774="refNeedCorrection",BL774,BK774)</f>
        <v>1106</v>
      </c>
      <c r="CP774">
        <f>IF($CN774="refNeedCorrection",BK774,BL774)</f>
        <v>2051</v>
      </c>
      <c r="CQ774">
        <f>IF($CN774="refOK",$BO774,-$BO774)</f>
        <v>1118077238.4320416</v>
      </c>
      <c r="CR774">
        <f>IF($CN774="refOK",$BS774,$BT774)*IF($BP774="Emissions positive",-1,1)</f>
        <v>0</v>
      </c>
      <c r="CS774">
        <f>IF($CN774="refOK",$BT774,$BS774)*IF($BP774="Emissions positive",-1,1)</f>
        <v>0</v>
      </c>
      <c r="CT774">
        <f>IF($CN774="refNeedCorrection",-BX774,BX774)*IF($BP774="Emissions positive",-1,1)</f>
        <v>540600000</v>
      </c>
      <c r="CU774">
        <f>IFERROR(CT774/CQ774,"")</f>
        <v>0.48350863555555557</v>
      </c>
      <c r="CV774" s="2" t="str">
        <f>IFERROR((CS774-CR774)/ABS(CR774),"")</f>
        <v/>
      </c>
      <c r="CW774" s="1" t="s">
        <v>263</v>
      </c>
      <c r="CX774" t="str">
        <f>IF(OR($CW774="prd",$CW774="std",$CW774="cit"),"loc",IF(OR($CW774="eur",$CW774="reg",$CW774="coy"),"reg",$CW774))</f>
        <v>loc</v>
      </c>
      <c r="CY774" t="s">
        <v>428</v>
      </c>
      <c r="CZ774">
        <v>2008</v>
      </c>
      <c r="DA774">
        <f>CZ774+DB774</f>
        <v>2108</v>
      </c>
      <c r="DB774">
        <v>100</v>
      </c>
      <c r="DC774" t="str">
        <f>IF(DB774=0,"0",IF(AND(DB774&gt;=1,DB774&lt;=30),"1-30",IF(AND(DB774&gt;30,DB774&lt;=70),"31-70",IF(AND(DB774&gt;70,DB774&lt;=100),"71-100",IF(DB774&gt;100,"+100")))))</f>
        <v>71-100</v>
      </c>
      <c r="DD774">
        <v>0</v>
      </c>
      <c r="DE774">
        <v>0</v>
      </c>
      <c r="DF774">
        <v>0</v>
      </c>
      <c r="DG774">
        <v>1</v>
      </c>
      <c r="DI774">
        <f>SUM(DD774:DG774)</f>
        <v>1</v>
      </c>
      <c r="DJ774" t="str">
        <f>IF(DI774=1,INDEX($DD$7:$DG$7,MATCH(1,$DD774:$DG774,0)),"mixedProduct")</f>
        <v>TimberInput</v>
      </c>
      <c r="DK774">
        <f>IF(DD774=1,DK$7,0)</f>
        <v>0</v>
      </c>
      <c r="DL774">
        <f>IF(DE774=1,DL$7,0)</f>
        <v>0</v>
      </c>
      <c r="DM774">
        <f>IF(DF774=1,DM$7,0)</f>
        <v>0</v>
      </c>
      <c r="DN774" t="str">
        <f>IF(DG774=1,DN$7,0)</f>
        <v>Timber</v>
      </c>
      <c r="DO774">
        <v>0</v>
      </c>
      <c r="DP774" s="143">
        <v>0</v>
      </c>
      <c r="DQ774">
        <v>0</v>
      </c>
      <c r="DR774">
        <v>0</v>
      </c>
      <c r="DS774">
        <v>0</v>
      </c>
      <c r="DT774">
        <f>SUM(DO774:DP774)</f>
        <v>0</v>
      </c>
      <c r="DU774" s="143" t="str">
        <f>IF(DO774=1,"self-calculated DF",IF(DP774=1,"external DF used","explicit C balance"))</f>
        <v>explicit C balance</v>
      </c>
      <c r="DV774">
        <v>1</v>
      </c>
      <c r="DW774">
        <v>0</v>
      </c>
      <c r="DX774">
        <v>1</v>
      </c>
      <c r="DY774">
        <v>1</v>
      </c>
      <c r="DZ774">
        <v>1</v>
      </c>
      <c r="EA774">
        <v>1</v>
      </c>
      <c r="EB774">
        <v>1</v>
      </c>
      <c r="EC774">
        <v>1</v>
      </c>
      <c r="ED774">
        <v>0</v>
      </c>
      <c r="EE774">
        <v>1</v>
      </c>
      <c r="EF774">
        <v>0</v>
      </c>
      <c r="EG774">
        <v>0</v>
      </c>
      <c r="EH774">
        <v>0</v>
      </c>
      <c r="EI774" s="2">
        <v>0</v>
      </c>
      <c r="EK774" t="str">
        <f>IF(AND(AND(AND(OR($DX774=1,$DW774=1),OR($EC774=1,$EA774=1)),SUM($DV774:$DZ774,$EF774)&gt;=4),SUM($EA774:$EE774)&gt;=2),"Whole sector","")</f>
        <v>Whole sector</v>
      </c>
      <c r="EL774" t="str">
        <f>IF(AND(AND(OR($DX774=1,$DW774=1),AND($EC774=0,$EA774=0)),SUM($DV774:$DZ774,$EF774)&gt;=4),"Ecosystem approach","")</f>
        <v/>
      </c>
      <c r="EM774" s="2" t="str">
        <f>IF(AND(AND(AND($DX774=0,$DW774=0),OR($EC774=1,$EA774=1)),SUM($EB774:$EE774)&gt;=2),"Technology approach","")</f>
        <v/>
      </c>
      <c r="EP774" t="str">
        <f>IF(ISNUMBER(BU774),IF(ABS(BU774-[1]QC_indicators!$B$2)&gt;3*[1]QC_indicators!$C$2,"C ratio",IF(ISNUMBER(BY774),IF(ABS(BY774-[1]QC_indicators!$B$1)&gt;3*[1]QC_indicators!$C$1,"DF","no"))),IF(ISNUMBER(BY774),IF(ABS(BY774-[1]QC_indicators!$B$1)&gt;3*[1]QC_indicators!$C$1,"DF","no")))</f>
        <v>no</v>
      </c>
      <c r="EQ774" t="s">
        <v>1164</v>
      </c>
      <c r="ER774" t="s">
        <v>1165</v>
      </c>
      <c r="ET774" s="264" t="s">
        <v>3251</v>
      </c>
    </row>
    <row r="775" spans="1:150" ht="15" customHeight="1">
      <c r="A775" s="1" t="s">
        <v>333</v>
      </c>
      <c r="B775" t="s">
        <v>1081</v>
      </c>
      <c r="C775" t="s">
        <v>1082</v>
      </c>
      <c r="D775" t="s">
        <v>1083</v>
      </c>
      <c r="E775" t="s">
        <v>1084</v>
      </c>
      <c r="F775" t="s">
        <v>1085</v>
      </c>
      <c r="G775" t="s">
        <v>339</v>
      </c>
      <c r="H775" t="s">
        <v>254</v>
      </c>
      <c r="I775">
        <v>2022</v>
      </c>
      <c r="J775">
        <v>3</v>
      </c>
      <c r="K775" t="s">
        <v>1086</v>
      </c>
      <c r="M775" t="str">
        <f>LEFT($D775,FIND(",",$D775)-1)&amp;"_"&amp;I775&amp;L775</f>
        <v>Robati_2022</v>
      </c>
      <c r="N775" t="s">
        <v>222</v>
      </c>
      <c r="O775" s="264" t="s">
        <v>223</v>
      </c>
      <c r="Q775" s="264" t="s">
        <v>389</v>
      </c>
      <c r="R775" s="269" t="s">
        <v>1154</v>
      </c>
      <c r="S775" s="263" t="s">
        <v>1097</v>
      </c>
      <c r="T775" s="264" t="s">
        <v>1096</v>
      </c>
      <c r="U775" s="264" t="s">
        <v>1089</v>
      </c>
      <c r="V775">
        <v>0</v>
      </c>
      <c r="W775">
        <v>0</v>
      </c>
      <c r="X775">
        <v>0</v>
      </c>
      <c r="Y775">
        <v>0</v>
      </c>
      <c r="Z775">
        <v>0</v>
      </c>
      <c r="AA775">
        <v>0</v>
      </c>
      <c r="AB775">
        <v>0</v>
      </c>
      <c r="AC775">
        <v>0</v>
      </c>
      <c r="AD775">
        <v>0</v>
      </c>
      <c r="AE775">
        <v>0</v>
      </c>
      <c r="AF775">
        <v>0</v>
      </c>
      <c r="AG775">
        <v>0</v>
      </c>
      <c r="AH775">
        <v>0</v>
      </c>
      <c r="AI775">
        <v>0</v>
      </c>
      <c r="AJ775">
        <v>0</v>
      </c>
      <c r="AK775">
        <v>1</v>
      </c>
      <c r="AL775">
        <v>0</v>
      </c>
      <c r="AM775">
        <v>0</v>
      </c>
      <c r="AN775">
        <v>0</v>
      </c>
      <c r="AO775">
        <v>0</v>
      </c>
      <c r="AP775">
        <v>0</v>
      </c>
      <c r="AQ775">
        <v>0</v>
      </c>
      <c r="AR775">
        <v>0</v>
      </c>
      <c r="AS775">
        <v>0</v>
      </c>
      <c r="AT775">
        <v>0</v>
      </c>
      <c r="AU775">
        <v>0</v>
      </c>
      <c r="AV775">
        <v>0</v>
      </c>
      <c r="AW775">
        <v>0</v>
      </c>
      <c r="AX775" s="141">
        <f>COUNTIF(V775:AW775,"&lt;&gt;0")</f>
        <v>1</v>
      </c>
      <c r="AY775" s="141">
        <f>COUNTIF(V775:AL775,"&lt;&gt;0")</f>
        <v>1</v>
      </c>
      <c r="AZ775">
        <f>COUNTIF(V775:AC775,"&lt;&gt;0")</f>
        <v>0</v>
      </c>
      <c r="BA775">
        <f>COUNTIF(AD775:AI775,"&lt;&gt;0")</f>
        <v>0</v>
      </c>
      <c r="BB775">
        <f>COUNTIF(AJ775:AL775,"&lt;&gt;0")</f>
        <v>1</v>
      </c>
      <c r="BC775">
        <f>COUNTIF(AS775:AW775,"&lt;&gt;0")</f>
        <v>0</v>
      </c>
      <c r="BD775">
        <f>COUNTIF(AM775:AR775,"&lt;&gt;0")</f>
        <v>0</v>
      </c>
      <c r="BE775" t="str" cm="1">
        <f t="array" ref="BE775">IF(AY775=1,INDEX($V$7:$AL$7,MATCH(TRUE,INDEX($V775:$AW775&lt;&gt;0,),0)),IF(AY775=0,INDEX($AM$7:$AW$7,MATCH(1,$AM775:$AW775,0)),IF(BF775="Multiple strategies","mixed drivers",IF(BF775="Supply chain","multiple supply","multiple silviculture"))))</f>
        <v>technologies/design switch</v>
      </c>
      <c r="BF775" s="2" t="str" cm="1">
        <f t="array" ref="BF775">IF(COUNTIF(AZ775:BB775,"&lt;&gt;0")=1,INDEX($V$4:$AW$4,MATCH(TRUE,INDEX($V775:$AW775&lt;&gt;0,),0)),IF(COUNTIF(AZ775:BB775,"&lt;&gt;0")=0,INDEX($AM$4:$AW$4,MATCH(1,$AM775:$AW775,0)),"Multiple strategies"))</f>
        <v>Technology</v>
      </c>
      <c r="BG775" s="1" t="s">
        <v>229</v>
      </c>
      <c r="BH775" s="264" t="s">
        <v>1090</v>
      </c>
      <c r="BI775" s="264" t="s">
        <v>716</v>
      </c>
      <c r="BJ775" s="264" t="s">
        <v>1091</v>
      </c>
      <c r="BK775">
        <f>(6.17+4901.94+10375.04)/43229</f>
        <v>0.35353929075389212</v>
      </c>
      <c r="BL775">
        <f>(6.17+4901.94+10375.04+8069.52+1195.9)/43229</f>
        <v>0.56787272432857583</v>
      </c>
      <c r="BN775">
        <f>BL775-BK775</f>
        <v>0.21433343357468371</v>
      </c>
      <c r="BO775">
        <f>BL775-BK775</f>
        <v>0.21433343357468371</v>
      </c>
      <c r="BP775" s="264" t="s">
        <v>395</v>
      </c>
      <c r="BQ775" s="264" t="s">
        <v>785</v>
      </c>
      <c r="BR775" s="264" t="s">
        <v>1092</v>
      </c>
      <c r="BS775">
        <v>0.19</v>
      </c>
      <c r="BT775">
        <v>-104.9</v>
      </c>
      <c r="BU775" s="144">
        <f>IFERROR(BT775/BS775,"")</f>
        <v>-552.1052631578948</v>
      </c>
      <c r="BV775">
        <f>BT775-BS775</f>
        <v>-105.09</v>
      </c>
      <c r="BX775">
        <f>BV775/1000</f>
        <v>-0.10509</v>
      </c>
      <c r="BY775">
        <f>IFERROR(BX775/BO775,"")</f>
        <v>-0.49031081267767668</v>
      </c>
      <c r="BZ775">
        <v>0</v>
      </c>
      <c r="CA775">
        <v>0</v>
      </c>
      <c r="CB775">
        <v>0</v>
      </c>
      <c r="CC775">
        <v>0</v>
      </c>
      <c r="CD775">
        <v>0</v>
      </c>
      <c r="CE775">
        <v>0</v>
      </c>
      <c r="CF775">
        <v>0</v>
      </c>
      <c r="CG775">
        <v>0</v>
      </c>
      <c r="CH775">
        <v>0</v>
      </c>
      <c r="CI775">
        <v>0</v>
      </c>
      <c r="CJ775">
        <v>0</v>
      </c>
      <c r="CK775">
        <v>0</v>
      </c>
      <c r="CL775">
        <v>0</v>
      </c>
      <c r="CM775">
        <v>0</v>
      </c>
      <c r="CN775" t="str">
        <f>IF($BL775&lt;$BK775,"refNeedCorrection","refOK")</f>
        <v>refOK</v>
      </c>
      <c r="CO775">
        <f>IF($CN775="refOK",$BK775,$BL775)</f>
        <v>0.35353929075389212</v>
      </c>
      <c r="CP775">
        <f>IF($CN775="refOK",$BL775,$BK775)</f>
        <v>0.56787272432857583</v>
      </c>
      <c r="CQ775">
        <f>IF($CN775="refOK",$BO775,-$BO775)</f>
        <v>0.21433343357468371</v>
      </c>
      <c r="CR775">
        <f>IF($CN775="refOK",$BS775,$BT775)*IF($BP775="Emissions positive",-1,1)</f>
        <v>-0.19</v>
      </c>
      <c r="CS775">
        <f>IF($CN775="refOK",$BT775,$BS775)*IF($BP775="Emissions positive",-1,1)</f>
        <v>104.9</v>
      </c>
      <c r="CT775">
        <f>IF($CN775="refNeedCorrection",-BX775,BX775)*IF($BP775="Emissions positive",-1,1)</f>
        <v>0.10509</v>
      </c>
      <c r="CU775">
        <f>IFERROR(CT775/CQ775,"")</f>
        <v>0.49031081267767668</v>
      </c>
      <c r="CV775" s="2">
        <f>IFERROR((CS775-CR775)/ABS(CR775),"")</f>
        <v>553.1052631578948</v>
      </c>
      <c r="CW775" s="263" t="s">
        <v>263</v>
      </c>
      <c r="CX775" s="264" t="str">
        <f>IF(OR($CW775="prd",$CW775="std",$CW775="cit"),"loc",IF(OR($CW775="eur",$CW775="reg",$CW775="coy"),"reg",$CW775))</f>
        <v>loc</v>
      </c>
      <c r="CY775" s="264" t="s">
        <v>574</v>
      </c>
      <c r="DB775">
        <v>0</v>
      </c>
      <c r="DC775" t="str">
        <f>IF(DB775=0,"0",IF(AND(DB775&gt;=1,DB775&lt;=30),"1-30",IF(AND(DB775&gt;30,DB775&lt;=70),"31-70",IF(AND(DB775&gt;70,DB775&lt;=100),"71-100",IF(DB775&gt;100,"+100")))))</f>
        <v>0</v>
      </c>
      <c r="DD775">
        <v>0</v>
      </c>
      <c r="DE775">
        <v>0</v>
      </c>
      <c r="DF775">
        <v>0</v>
      </c>
      <c r="DG775">
        <v>1</v>
      </c>
      <c r="DH775">
        <v>0</v>
      </c>
      <c r="DI775">
        <f>SUM(DD775:DG775)</f>
        <v>1</v>
      </c>
      <c r="DJ775" t="str">
        <f>IF(DI775=1,INDEX($DD$7:$DG$7,MATCH(1,$DD775:$DG775,0)),"mixedProduct")</f>
        <v>TimberInput</v>
      </c>
      <c r="DK775">
        <f>IF(DD775=1,DK$7,0)</f>
        <v>0</v>
      </c>
      <c r="DL775">
        <f>IF(DE775=1,DL$7,0)</f>
        <v>0</v>
      </c>
      <c r="DM775">
        <f>IF(DF775=1,DM$7,0)</f>
        <v>0</v>
      </c>
      <c r="DN775" t="str">
        <f>IF(DG775=1,DN$7,0)</f>
        <v>Timber</v>
      </c>
      <c r="DO775">
        <v>0</v>
      </c>
      <c r="DP775">
        <v>0</v>
      </c>
      <c r="DQ775">
        <v>0</v>
      </c>
      <c r="DR775">
        <v>0</v>
      </c>
      <c r="DS775">
        <v>0</v>
      </c>
      <c r="DT775">
        <f>SUM(DO775:DP775)</f>
        <v>0</v>
      </c>
      <c r="DU775" s="143" t="str">
        <f>IF(DO775=1,"self-calculated DF",IF(DP775=1,"external DF used","explicit C balance"))</f>
        <v>explicit C balance</v>
      </c>
      <c r="DV775">
        <v>0</v>
      </c>
      <c r="DW775">
        <v>1</v>
      </c>
      <c r="DX775">
        <v>0</v>
      </c>
      <c r="DY775">
        <v>1</v>
      </c>
      <c r="DZ775">
        <v>0</v>
      </c>
      <c r="EA775">
        <v>0</v>
      </c>
      <c r="EB775">
        <v>1</v>
      </c>
      <c r="EC775">
        <v>0</v>
      </c>
      <c r="ED775">
        <v>0</v>
      </c>
      <c r="EE775">
        <v>0</v>
      </c>
      <c r="EF775">
        <v>0</v>
      </c>
      <c r="EG775">
        <v>0</v>
      </c>
      <c r="EH775">
        <v>0</v>
      </c>
      <c r="EI775" s="2">
        <v>0</v>
      </c>
      <c r="EK775" t="str">
        <f>IF(AND(AND(AND(OR($DX775=1,$DW775=1),OR($EC775=1,$EA775=1)),SUM($DV775:$DZ775,$EF775)&gt;=4),SUM($EA775:$EE775)&gt;=2),"Whole sector","")</f>
        <v/>
      </c>
      <c r="EL775" t="str">
        <f>IF(AND(AND(OR($DX775=1,$DW775=1),AND($EC775=0,$EA775=0)),SUM($DV775:$DZ775,$EF775)&gt;=4),"Ecosystem approach","")</f>
        <v/>
      </c>
      <c r="EM775" s="2" t="str">
        <f>IF(AND(AND(AND($DX775=0,$DW775=0),OR($EC775=1,$EA775=1)),SUM($EB775:$EE775)&gt;=2),"Technology approach","")</f>
        <v/>
      </c>
      <c r="EP775" t="str">
        <f>IF(ISNUMBER(BU775),IF(ABS(BU775-[3]QC_indicators!$B$2)&gt;3*[3]QC_indicators!$C$2,"C ratio",IF(ISNUMBER(BY775),IF(ABS(BY775-[3]QC_indicators!$B$1)&gt;3*[3]QC_indicators!$C$1,"DF","no"))),IF(ISNUMBER(BY775),IF(ABS(BY775-[3]QC_indicators!$B$1)&gt;3*[3]QC_indicators!$C$1,"DF","no")))</f>
        <v>C ratio</v>
      </c>
      <c r="ET775" s="264" t="s">
        <v>3407</v>
      </c>
    </row>
    <row r="776" spans="1:150" ht="15" customHeight="1">
      <c r="A776" s="1" t="s">
        <v>333</v>
      </c>
      <c r="B776" t="s">
        <v>945</v>
      </c>
      <c r="C776" t="s">
        <v>946</v>
      </c>
      <c r="D776" t="s">
        <v>947</v>
      </c>
      <c r="E776" t="s">
        <v>948</v>
      </c>
      <c r="F776" t="s">
        <v>949</v>
      </c>
      <c r="G776" t="s">
        <v>339</v>
      </c>
      <c r="H776" t="s">
        <v>254</v>
      </c>
      <c r="I776">
        <v>2021</v>
      </c>
      <c r="J776">
        <v>0</v>
      </c>
      <c r="K776" t="s">
        <v>950</v>
      </c>
      <c r="M776" t="str">
        <f>LEFT($D776,FIND(",",$D776)-1)&amp;"_"&amp;I776&amp;L776</f>
        <v>Morris_2021</v>
      </c>
      <c r="N776" t="s">
        <v>222</v>
      </c>
      <c r="O776" t="s">
        <v>223</v>
      </c>
      <c r="Q776" t="s">
        <v>256</v>
      </c>
      <c r="R776" s="255" t="s">
        <v>225</v>
      </c>
      <c r="S776" s="1" t="s">
        <v>956</v>
      </c>
      <c r="T776" t="s">
        <v>795</v>
      </c>
      <c r="U776" t="s">
        <v>957</v>
      </c>
      <c r="V776">
        <v>0</v>
      </c>
      <c r="W776">
        <v>0</v>
      </c>
      <c r="X776">
        <v>0</v>
      </c>
      <c r="Y776">
        <v>0</v>
      </c>
      <c r="Z776">
        <v>0</v>
      </c>
      <c r="AA776">
        <v>0</v>
      </c>
      <c r="AB776">
        <v>0</v>
      </c>
      <c r="AC776">
        <v>0</v>
      </c>
      <c r="AD776">
        <v>0</v>
      </c>
      <c r="AE776">
        <v>0</v>
      </c>
      <c r="AF776">
        <v>0</v>
      </c>
      <c r="AG776">
        <v>0</v>
      </c>
      <c r="AH776">
        <v>0</v>
      </c>
      <c r="AI776">
        <v>0</v>
      </c>
      <c r="AJ776">
        <v>0</v>
      </c>
      <c r="AK776">
        <v>1</v>
      </c>
      <c r="AL776">
        <v>0</v>
      </c>
      <c r="AM776">
        <v>0</v>
      </c>
      <c r="AN776">
        <v>0</v>
      </c>
      <c r="AO776">
        <v>0</v>
      </c>
      <c r="AP776">
        <v>0</v>
      </c>
      <c r="AQ776">
        <v>0</v>
      </c>
      <c r="AR776">
        <v>0</v>
      </c>
      <c r="AS776">
        <v>0</v>
      </c>
      <c r="AT776">
        <v>0</v>
      </c>
      <c r="AU776">
        <v>0</v>
      </c>
      <c r="AV776">
        <v>0</v>
      </c>
      <c r="AW776">
        <v>0</v>
      </c>
      <c r="AX776" s="141">
        <f>COUNTIF(V776:AW776,"&lt;&gt;0")</f>
        <v>1</v>
      </c>
      <c r="AY776" s="141">
        <f>COUNTIF(V776:AL776,"&lt;&gt;0")</f>
        <v>1</v>
      </c>
      <c r="AZ776">
        <f>COUNTIF(V776:AC776,"&lt;&gt;0")</f>
        <v>0</v>
      </c>
      <c r="BA776">
        <f>COUNTIF(AD776:AI776,"&lt;&gt;0")</f>
        <v>0</v>
      </c>
      <c r="BB776">
        <f>COUNTIF(AJ776:AL776,"&lt;&gt;0")</f>
        <v>1</v>
      </c>
      <c r="BC776">
        <f>COUNTIF(AS776:AW776,"&lt;&gt;0")</f>
        <v>0</v>
      </c>
      <c r="BD776">
        <f>COUNTIF(AM776:AR776,"&lt;&gt;0")</f>
        <v>0</v>
      </c>
      <c r="BE776" t="str">
        <f t="array" ref="BE776">IF(AY776=1,INDEX($V$7:$AL$7,MATCH(TRUE,INDEX($V776:$AW776&lt;&gt;0,),0)),IF(AY776=0,INDEX($AM$7:$AW$7,MATCH(1,$AM776:$AW776,0)),IF(BF776="Multiple strategies","mixed drivers",IF(BF776="Supply chain","multiple supply","multiple silviculture"))))</f>
        <v>technologies/design switch</v>
      </c>
      <c r="BF776" s="2" t="str" cm="1">
        <f t="array" ref="BF776">IF(COUNTIF(AZ776:BB776,"&lt;&gt;0")=1,INDEX($V$4:$AW$4,MATCH(TRUE,INDEX($V776:$AW776&lt;&gt;0,),0)),IF(COUNTIF(AZ776:BB776,"&lt;&gt;0")=0,INDEX($AM$4:$AW$4,MATCH(1,$AM776:$AW776,0)),"Multiple strategies"))</f>
        <v>Technology</v>
      </c>
      <c r="BG776" s="1" t="s">
        <v>229</v>
      </c>
      <c r="BH776" t="s">
        <v>954</v>
      </c>
      <c r="BI776" s="260" t="s">
        <v>3373</v>
      </c>
      <c r="BJ776" t="s">
        <v>345</v>
      </c>
      <c r="BK776">
        <v>0</v>
      </c>
      <c r="BL776">
        <v>116.6</v>
      </c>
      <c r="BN776">
        <f>BL776-BK776</f>
        <v>116.6</v>
      </c>
      <c r="BO776">
        <f>BN776*kg_to_m3</f>
        <v>0.23795918367346941</v>
      </c>
      <c r="BP776" t="s">
        <v>232</v>
      </c>
      <c r="BQ776" s="260" t="s">
        <v>3379</v>
      </c>
      <c r="BR776" t="s">
        <v>955</v>
      </c>
      <c r="BS776">
        <v>-223.4</v>
      </c>
      <c r="BT776" s="260">
        <v>-106.1</v>
      </c>
      <c r="BU776" s="144">
        <f>IFERROR(BT776/BS776,"")</f>
        <v>0.4749328558639212</v>
      </c>
      <c r="BV776">
        <f>BT776-BS776</f>
        <v>117.30000000000001</v>
      </c>
      <c r="BX776">
        <f>BV776/1000</f>
        <v>0.11730000000000002</v>
      </c>
      <c r="BY776">
        <f>IFERROR(BX776/BO776,"")</f>
        <v>0.49294168096054891</v>
      </c>
      <c r="BZ776">
        <v>1</v>
      </c>
      <c r="CA776">
        <v>0</v>
      </c>
      <c r="CB776">
        <v>0</v>
      </c>
      <c r="CC776">
        <v>0</v>
      </c>
      <c r="CD776">
        <v>0</v>
      </c>
      <c r="CE776">
        <v>1</v>
      </c>
      <c r="CF776">
        <v>0</v>
      </c>
      <c r="CG776">
        <v>1</v>
      </c>
      <c r="CH776">
        <v>0</v>
      </c>
      <c r="CI776">
        <v>0</v>
      </c>
      <c r="CJ776">
        <v>0</v>
      </c>
      <c r="CK776">
        <v>0</v>
      </c>
      <c r="CL776">
        <v>0</v>
      </c>
      <c r="CM776">
        <v>0</v>
      </c>
      <c r="CN776" t="str">
        <f>IF($BL776&lt;$BK776,"refNeedCorrection","refOK")</f>
        <v>refOK</v>
      </c>
      <c r="CO776">
        <f>IF($CN776="refOK",$BK776,$BL776)</f>
        <v>0</v>
      </c>
      <c r="CP776">
        <f>IF($CN776="refOK",$BL776,$BK776)</f>
        <v>116.6</v>
      </c>
      <c r="CQ776">
        <f>IF($CN776="refOK",$BO776,-$BO776)</f>
        <v>0.23795918367346941</v>
      </c>
      <c r="CR776">
        <f>IF($CN776="refOK",$BS776,$BT776)*IF($BP776="Emissions positive",-1,1)</f>
        <v>-223.4</v>
      </c>
      <c r="CS776">
        <f>IF($CN776="refOK",$BT776,$BS776)*IF($BP776="Emissions positive",-1,1)</f>
        <v>-106.1</v>
      </c>
      <c r="CT776">
        <f>IF($CN776="refNeedCorrection",-BX776,BX776)*IF($BP776="Emissions positive",-1,1)</f>
        <v>0.11730000000000002</v>
      </c>
      <c r="CU776">
        <f>IFERROR(CT776/CQ776,"")</f>
        <v>0.49294168096054891</v>
      </c>
      <c r="CV776" s="2">
        <f>IFERROR((CS776-CR776)/ABS(CR776),"")</f>
        <v>0.5250671441360788</v>
      </c>
      <c r="CW776" s="1" t="s">
        <v>263</v>
      </c>
      <c r="CX776" t="str">
        <f>IF(OR($CW776="prd",$CW776="std",$CW776="cit"),"loc",IF(OR($CW776="eur",$CW776="reg",$CW776="coy"),"reg",$CW776))</f>
        <v>loc</v>
      </c>
      <c r="CY776" s="309" t="s">
        <v>3423</v>
      </c>
      <c r="DB776">
        <v>0</v>
      </c>
      <c r="DC776" t="str">
        <f>IF(DB776=0,"0",IF(AND(DB776&gt;=1,DB776&lt;=30),"1-30",IF(AND(DB776&gt;30,DB776&lt;=70),"31-70",IF(AND(DB776&gt;70,DB776&lt;=100),"71-100",IF(DB776&gt;100,"+100")))))</f>
        <v>0</v>
      </c>
      <c r="DD776">
        <v>0</v>
      </c>
      <c r="DE776">
        <v>0</v>
      </c>
      <c r="DF776">
        <v>0</v>
      </c>
      <c r="DG776">
        <v>1</v>
      </c>
      <c r="DI776">
        <f>SUM(DD776:DG776)</f>
        <v>1</v>
      </c>
      <c r="DJ776" t="str">
        <f>IF(DI776=1,INDEX($DD$7:$DG$7,MATCH(1,$DD776:$DG776,0)),"mixedProduct")</f>
        <v>TimberInput</v>
      </c>
      <c r="DK776">
        <f>IF(DD776=1,DK$7,0)</f>
        <v>0</v>
      </c>
      <c r="DL776">
        <f>IF(DE776=1,DL$7,0)</f>
        <v>0</v>
      </c>
      <c r="DM776">
        <f>IF(DF776=1,DM$7,0)</f>
        <v>0</v>
      </c>
      <c r="DN776" t="str">
        <f>IF(DG776=1,DN$7,0)</f>
        <v>Timber</v>
      </c>
      <c r="DO776">
        <v>0</v>
      </c>
      <c r="DP776">
        <v>1</v>
      </c>
      <c r="DQ776">
        <v>0</v>
      </c>
      <c r="DR776">
        <v>0</v>
      </c>
      <c r="DS776">
        <v>0</v>
      </c>
      <c r="DT776">
        <f>SUM(DO776:DP776)</f>
        <v>1</v>
      </c>
      <c r="DU776" s="143" t="str">
        <f>IF(DO776=1,"self-calculated DF",IF(DP776=1,"external DF used","explicit C balance"))</f>
        <v>external DF used</v>
      </c>
      <c r="DV776">
        <v>0</v>
      </c>
      <c r="DW776">
        <v>0</v>
      </c>
      <c r="DX776">
        <v>0</v>
      </c>
      <c r="DY776">
        <v>0</v>
      </c>
      <c r="DZ776">
        <v>0</v>
      </c>
      <c r="EA776" s="143">
        <v>1</v>
      </c>
      <c r="EB776">
        <v>1</v>
      </c>
      <c r="EC776">
        <v>1</v>
      </c>
      <c r="ED776">
        <v>0</v>
      </c>
      <c r="EE776">
        <v>1</v>
      </c>
      <c r="EF776">
        <v>0</v>
      </c>
      <c r="EG776">
        <v>0</v>
      </c>
      <c r="EH776">
        <v>0</v>
      </c>
      <c r="EI776" s="2">
        <v>0</v>
      </c>
      <c r="EK776" t="str">
        <f>IF(AND(AND(AND(OR($DX776=1,$DW776=1),OR($EC776=1,$EA776=1)),SUM($DV776:$DZ776,$EF776)&gt;=4),SUM($EA776:$EE776)&gt;=2),"Whole sector","")</f>
        <v/>
      </c>
      <c r="EL776" t="str">
        <f>IF(AND(AND(OR($DX776=1,$DW776=1),AND($EC776=0,$EA776=0)),SUM($DV776:$DZ776,$EF776)&gt;=4),"Ecosystem approach","")</f>
        <v/>
      </c>
      <c r="EM776" s="2" t="str">
        <f>IF(AND(AND(AND($DX776=0,$DW776=0),OR($EC776=1,$EA776=1)),SUM($EB776:$EE776)&gt;=2),"Technology approach","")</f>
        <v>Technology approach</v>
      </c>
      <c r="EP776" t="str">
        <f>IF(ISNUMBER(BU776),IF(ABS(BU776-[4]QC_indicators!$B$2)&gt;3*[4]QC_indicators!$C$2,"C ratio",IF(ISNUMBER(BY776),IF(ABS(BY776-[4]QC_indicators!$B$1)&gt;3*[4]QC_indicators!$C$1,"DF","no"))),IF(ISNUMBER(BY776),IF(ABS(BY776-[4]QC_indicators!$B$1)&gt;3*[4]QC_indicators!$C$1,"DF","no")))</f>
        <v>no</v>
      </c>
      <c r="ER776" t="s">
        <v>959</v>
      </c>
      <c r="ET776" s="264" t="s">
        <v>3273</v>
      </c>
    </row>
    <row r="777" spans="1:150" ht="15" customHeight="1">
      <c r="A777" s="1" t="s">
        <v>1808</v>
      </c>
      <c r="B777" t="s">
        <v>2475</v>
      </c>
      <c r="C777" t="s">
        <v>2476</v>
      </c>
      <c r="D777" t="s">
        <v>2477</v>
      </c>
      <c r="E777" t="s">
        <v>2478</v>
      </c>
      <c r="F777" t="s">
        <v>2479</v>
      </c>
      <c r="G777" t="s">
        <v>1814</v>
      </c>
      <c r="H777" t="s">
        <v>254</v>
      </c>
      <c r="I777">
        <v>2010</v>
      </c>
      <c r="J777">
        <v>100</v>
      </c>
      <c r="K777" t="s">
        <v>2480</v>
      </c>
      <c r="M777" t="str">
        <f>LEFT($D777,FIND(",",$D777)-1)&amp;"_"&amp;I777&amp;L777</f>
        <v>Werner_2010</v>
      </c>
      <c r="N777" t="s">
        <v>222</v>
      </c>
      <c r="O777" s="145" t="s">
        <v>1154</v>
      </c>
      <c r="Q777" t="s">
        <v>256</v>
      </c>
      <c r="R777" s="262" t="s">
        <v>223</v>
      </c>
      <c r="S777" s="1" t="s">
        <v>2481</v>
      </c>
      <c r="T777" t="s">
        <v>2482</v>
      </c>
      <c r="U777" t="s">
        <v>2486</v>
      </c>
      <c r="V777">
        <v>1</v>
      </c>
      <c r="W777">
        <v>0</v>
      </c>
      <c r="X777">
        <v>2</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s="141">
        <f>COUNTIF(V777:AW777,"&lt;&gt;0")</f>
        <v>2</v>
      </c>
      <c r="AY777" s="141">
        <f>COUNTIF(V777:AL777,"&lt;&gt;0")</f>
        <v>2</v>
      </c>
      <c r="AZ777">
        <f>COUNTIF(V777:AC777,"&lt;&gt;0")</f>
        <v>2</v>
      </c>
      <c r="BA777">
        <f>COUNTIF(AD777:AI777,"&lt;&gt;0")</f>
        <v>0</v>
      </c>
      <c r="BB777">
        <f>COUNTIF(AJ777:AL777,"&lt;&gt;0")</f>
        <v>0</v>
      </c>
      <c r="BC777">
        <f>COUNTIF(AS777:AW777,"&lt;&gt;0")</f>
        <v>0</v>
      </c>
      <c r="BD777">
        <f>COUNTIF(AM777:AR777,"&lt;&gt;0")</f>
        <v>0</v>
      </c>
      <c r="BE777" t="str">
        <f t="array" ref="BE777">IF(AY777=1,INDEX($V$7:$AL$7,MATCH(TRUE,INDEX($V777:$AW777&lt;&gt;0,),0)),IF(AY777=0,INDEX($AM$7:$AW$7,MATCH(1,$AM777:$AW777,0)),IF(BF777="Multiple strategies","mixed drivers",IF(BF777="Supply chain","multiple supply","multiple silviculture"))))</f>
        <v>multiple silviculture</v>
      </c>
      <c r="BF777" s="2" t="str" cm="1">
        <f t="array" ref="BF777">IF(COUNTIF(AZ777:BB777,"&lt;&gt;0")=1,INDEX($V$4:$AW$4,MATCH(TRUE,INDEX($V777:$AW777&lt;&gt;0,),0)),IF(COUNTIF(AZ777:BB777,"&lt;&gt;0")=0,INDEX($AM$4:$AW$4,MATCH(1,$AM777:$AW777,0)),"Multiple strategies"))</f>
        <v>Silviculture for removals</v>
      </c>
      <c r="BG777" s="1" t="s">
        <v>321</v>
      </c>
      <c r="BH777" t="s">
        <v>2453</v>
      </c>
      <c r="BI777" s="264" t="s">
        <v>3252</v>
      </c>
      <c r="BJ777" t="s">
        <v>1323</v>
      </c>
      <c r="BK777">
        <v>300</v>
      </c>
      <c r="BL777">
        <v>712.5</v>
      </c>
      <c r="BM777" s="143">
        <f>BL777/BK777</f>
        <v>2.375</v>
      </c>
      <c r="BN777">
        <f>BL777-BK777</f>
        <v>412.5</v>
      </c>
      <c r="BO777">
        <f>BN777*1000000</f>
        <v>412500000</v>
      </c>
      <c r="BP777" t="s">
        <v>232</v>
      </c>
      <c r="BQ777" s="153" t="s">
        <v>3253</v>
      </c>
      <c r="BR777" t="s">
        <v>2325</v>
      </c>
      <c r="BS777">
        <v>728.49390504704797</v>
      </c>
      <c r="BT777">
        <v>932.44760479041895</v>
      </c>
      <c r="BU777" s="144">
        <f>IFERROR(BT777/BS777,"")</f>
        <v>1.2799662403904384</v>
      </c>
      <c r="BV777" s="144">
        <f>BT777-BS777</f>
        <v>203.95369974337098</v>
      </c>
      <c r="BW777" s="144"/>
      <c r="BX777">
        <f>BV777*10^6</f>
        <v>203953699.74337098</v>
      </c>
      <c r="BY777">
        <f>IFERROR(BX777/BO777,"")</f>
        <v>0.49443321149908115</v>
      </c>
      <c r="BZ777">
        <v>0</v>
      </c>
      <c r="CA777">
        <v>0</v>
      </c>
      <c r="CB777">
        <v>0</v>
      </c>
      <c r="CC777">
        <v>0</v>
      </c>
      <c r="CD777">
        <v>0</v>
      </c>
      <c r="CE777">
        <v>0</v>
      </c>
      <c r="CF777">
        <v>0</v>
      </c>
      <c r="CG777">
        <v>0</v>
      </c>
      <c r="CH777">
        <v>0</v>
      </c>
      <c r="CI777">
        <v>0</v>
      </c>
      <c r="CJ777">
        <v>0</v>
      </c>
      <c r="CK777">
        <v>0</v>
      </c>
      <c r="CL777">
        <v>0</v>
      </c>
      <c r="CM777">
        <v>1</v>
      </c>
      <c r="CN777" t="str">
        <f>IF($BL777&lt;$BK777,"refNeedCorrection","refOK")</f>
        <v>refOK</v>
      </c>
      <c r="CO777">
        <f>IF($CN777="refNeedCorrection",BL777,BK777)</f>
        <v>300</v>
      </c>
      <c r="CP777">
        <f>IF($CN777="refNeedCorrection",BK777,BL777)</f>
        <v>712.5</v>
      </c>
      <c r="CQ777">
        <f>IF($CN777="refOK",$BO777,-$BO777)</f>
        <v>412500000</v>
      </c>
      <c r="CR777">
        <f>IF($CN777="refOK",$BS777,$BT777)*IF($BP777="Emissions positive",-1,1)</f>
        <v>728.49390504704797</v>
      </c>
      <c r="CS777">
        <f>IF($CN777="refOK",$BT777,$BS777)*IF($BP777="Emissions positive",-1,1)</f>
        <v>932.44760479041895</v>
      </c>
      <c r="CT777">
        <f>IF($CN777="refNeedCorrection",-BX777,BX777)*IF($BP777="Emissions positive",-1,1)</f>
        <v>203953699.74337098</v>
      </c>
      <c r="CU777">
        <f>IFERROR(CT777/CQ777,"")</f>
        <v>0.49443321149908115</v>
      </c>
      <c r="CV777" s="2">
        <f>IFERROR((CS777-CR777)/ABS(CR777),"")</f>
        <v>0.27996624039043833</v>
      </c>
      <c r="CW777" s="1" t="s">
        <v>1203</v>
      </c>
      <c r="CX777" t="str">
        <f>IF(OR($CW777="prd",$CW777="std",$CW777="cit"),"loc",IF(OR($CW777="eur",$CW777="reg",$CW777="coy"),"reg",$CW777))</f>
        <v>reg</v>
      </c>
      <c r="CY777" t="s">
        <v>639</v>
      </c>
      <c r="CZ777">
        <v>2000</v>
      </c>
      <c r="DA777">
        <v>2090</v>
      </c>
      <c r="DB777">
        <f>DA777-CZ777</f>
        <v>90</v>
      </c>
      <c r="DC777" t="str">
        <f>IF(DB777=0,"0",IF(AND(DB777&gt;=1,DB777&lt;=30),"1-30",IF(AND(DB777&gt;30,DB777&lt;=70),"31-70",IF(AND(DB777&gt;70,DB777&lt;=100),"71-100",IF(DB777&gt;100,"+100")))))</f>
        <v>71-100</v>
      </c>
      <c r="DD777">
        <v>1</v>
      </c>
      <c r="DE777">
        <v>1</v>
      </c>
      <c r="DF777">
        <v>1</v>
      </c>
      <c r="DG777">
        <v>1</v>
      </c>
      <c r="DH777">
        <v>0</v>
      </c>
      <c r="DI777">
        <f>SUM(DD777:DG777)</f>
        <v>4</v>
      </c>
      <c r="DJ777" t="str">
        <f>IF(DI777=1,INDEX($DD$7:$DG$7,MATCH(1,$DD777:$DG777,0)),"mixedProduct")</f>
        <v>mixedProduct</v>
      </c>
      <c r="DK777" t="str">
        <f>IF(DD777=1,DK$7,0)</f>
        <v>Upstream</v>
      </c>
      <c r="DL777" t="str">
        <f>IF(DE777=1,DL$7,0)</f>
        <v>Energy</v>
      </c>
      <c r="DM777" t="str">
        <f>IF(DF777=1,DM$7,0)</f>
        <v>Pulp/Paper</v>
      </c>
      <c r="DN777" t="str">
        <f>IF(DG777=1,DN$7,0)</f>
        <v>Timber</v>
      </c>
      <c r="DO777">
        <v>0</v>
      </c>
      <c r="DP777">
        <v>1</v>
      </c>
      <c r="DQ777" t="s">
        <v>2483</v>
      </c>
      <c r="DR777" t="s">
        <v>2484</v>
      </c>
      <c r="DT777">
        <f>SUM(DO777:DP777)</f>
        <v>1</v>
      </c>
      <c r="DU777" s="143" t="str">
        <f>IF(DO777=1,"self-calculated DF",IF(DP777=1,"external DF used","explicit C balance"))</f>
        <v>external DF used</v>
      </c>
      <c r="DV777">
        <v>1</v>
      </c>
      <c r="DW777">
        <v>1</v>
      </c>
      <c r="DX777">
        <v>1</v>
      </c>
      <c r="DY777">
        <v>1</v>
      </c>
      <c r="DZ777">
        <v>1</v>
      </c>
      <c r="EA777" s="143">
        <v>1</v>
      </c>
      <c r="EB777">
        <v>1</v>
      </c>
      <c r="EC777">
        <v>1</v>
      </c>
      <c r="ED777">
        <v>0</v>
      </c>
      <c r="EE777">
        <v>0</v>
      </c>
      <c r="EF777">
        <v>1</v>
      </c>
      <c r="EG777">
        <v>0</v>
      </c>
      <c r="EH777">
        <v>0</v>
      </c>
      <c r="EI777" s="2">
        <v>0</v>
      </c>
      <c r="EK777" t="str">
        <f>IF(AND(AND(AND(OR($DX777=1,$DW777=1),OR($EC777=1,$EA777=1)),SUM($DV777:$DZ777,$EF777)&gt;=4),SUM($EA777:$EE777)&gt;=2),"Whole sector","")</f>
        <v>Whole sector</v>
      </c>
      <c r="EL777" t="str">
        <f>IF(AND(AND(OR($DX777=1,$DW777=1),AND($EC777=0,$EA777=0)),SUM($DV777:$DZ777,$EF777)&gt;=4),"Ecosystem approach","")</f>
        <v/>
      </c>
      <c r="EM777" s="2" t="str">
        <f>IF(AND(AND(AND($DX777=0,$DW777=0),OR($EC777=1,$EA777=1)),SUM($EB777:$EE777)&gt;=2),"Technology approach","")</f>
        <v/>
      </c>
      <c r="EN777" t="s">
        <v>2485</v>
      </c>
      <c r="EP777" t="str">
        <f>IF(ISNUMBER(BU777),IF(ABS(BU777-[1]QC_indicators!$B$2)&gt;3*[1]QC_indicators!$C$2,"C ratio",IF(ISNUMBER(BY777),IF(ABS(BY777-[1]QC_indicators!$B$1)&gt;3*[1]QC_indicators!$C$1,"DF","no"))),IF(ISNUMBER(BY777),IF(ABS(BY777-[1]QC_indicators!$B$1)&gt;3*[1]QC_indicators!$C$1,"DF","no")))</f>
        <v>no</v>
      </c>
      <c r="ET777" s="264" t="s">
        <v>3254</v>
      </c>
    </row>
    <row r="778" spans="1:150" ht="15" customHeight="1">
      <c r="A778" s="1" t="s">
        <v>656</v>
      </c>
      <c r="B778" t="s">
        <v>2080</v>
      </c>
      <c r="C778" t="s">
        <v>2081</v>
      </c>
      <c r="D778" t="s">
        <v>2082</v>
      </c>
      <c r="E778" t="s">
        <v>2083</v>
      </c>
      <c r="F778" t="s">
        <v>2084</v>
      </c>
      <c r="G778" t="s">
        <v>662</v>
      </c>
      <c r="H778" t="s">
        <v>254</v>
      </c>
      <c r="I778">
        <v>2020</v>
      </c>
      <c r="J778">
        <v>4</v>
      </c>
      <c r="K778" t="s">
        <v>2085</v>
      </c>
      <c r="M778" t="str">
        <f>LEFT($D778,FIND(",",$D778)-1)&amp;"_"&amp;I778&amp;L778</f>
        <v>Palus_2020</v>
      </c>
      <c r="N778" t="s">
        <v>222</v>
      </c>
      <c r="O778" s="157" t="s">
        <v>513</v>
      </c>
      <c r="P778" t="s">
        <v>223</v>
      </c>
      <c r="Q778" t="s">
        <v>389</v>
      </c>
      <c r="R778" s="255" t="s">
        <v>225</v>
      </c>
      <c r="T778" t="s">
        <v>1201</v>
      </c>
      <c r="U778" t="s">
        <v>1200</v>
      </c>
      <c r="V778">
        <v>0</v>
      </c>
      <c r="W778">
        <v>0</v>
      </c>
      <c r="X778">
        <v>0</v>
      </c>
      <c r="Y778">
        <v>0</v>
      </c>
      <c r="Z778">
        <v>0</v>
      </c>
      <c r="AA778">
        <v>0</v>
      </c>
      <c r="AB778">
        <v>0</v>
      </c>
      <c r="AC778">
        <v>0</v>
      </c>
      <c r="AD778">
        <v>0</v>
      </c>
      <c r="AE778">
        <v>0</v>
      </c>
      <c r="AF778">
        <v>1</v>
      </c>
      <c r="AG778">
        <v>0</v>
      </c>
      <c r="AH778">
        <v>0</v>
      </c>
      <c r="AI778">
        <v>0</v>
      </c>
      <c r="AJ778">
        <v>0</v>
      </c>
      <c r="AK778">
        <v>0</v>
      </c>
      <c r="AL778">
        <v>0</v>
      </c>
      <c r="AM778">
        <v>0</v>
      </c>
      <c r="AN778">
        <v>0</v>
      </c>
      <c r="AO778">
        <v>0</v>
      </c>
      <c r="AP778">
        <v>0</v>
      </c>
      <c r="AQ778">
        <v>0</v>
      </c>
      <c r="AR778">
        <v>0</v>
      </c>
      <c r="AS778">
        <v>1</v>
      </c>
      <c r="AT778">
        <v>0</v>
      </c>
      <c r="AU778">
        <v>0</v>
      </c>
      <c r="AV778">
        <v>0</v>
      </c>
      <c r="AW778">
        <v>0</v>
      </c>
      <c r="AX778" s="141">
        <f>COUNTIF(V778:AW778,"&lt;&gt;0")</f>
        <v>2</v>
      </c>
      <c r="AY778" s="141">
        <f>COUNTIF(V778:AL778,"&lt;&gt;0")</f>
        <v>1</v>
      </c>
      <c r="AZ778">
        <f>COUNTIF(V778:AC778,"&lt;&gt;0")</f>
        <v>0</v>
      </c>
      <c r="BA778">
        <f>COUNTIF(AD778:AI778,"&lt;&gt;0")</f>
        <v>1</v>
      </c>
      <c r="BB778">
        <f>COUNTIF(AJ778:AL778,"&lt;&gt;0")</f>
        <v>0</v>
      </c>
      <c r="BC778">
        <f>COUNTIF(AS778:AW778,"&lt;&gt;0")</f>
        <v>1</v>
      </c>
      <c r="BD778">
        <f>COUNTIF(AM778:AR778,"&lt;&gt;0")</f>
        <v>0</v>
      </c>
      <c r="BE778" t="str">
        <f t="array" ref="BE778">IF(AY778=1,INDEX($V$7:$AL$7,MATCH(TRUE,INDEX($V778:$AW778&lt;&gt;0,),0)),IF(AY778=0,INDEX($AM$7:$AW$7,MATCH(1,$AM778:$AW778,0)),IF(BF778="Multiple strategies","mixed drivers",IF(BF778="Supply chain","multiple supply","multiple silviculture"))))</f>
        <v>supply chain organization</v>
      </c>
      <c r="BF778" s="2" t="str" cm="1">
        <f t="array" ref="BF778">IF(COUNTIF(AZ778:BB778,"&lt;&gt;0")=1,INDEX($V$4:$AW$4,MATCH(TRUE,INDEX($V778:$AW778&lt;&gt;0,),0)),IF(COUNTIF(AZ778:BB778,"&lt;&gt;0")=0,INDEX($AM$4:$AW$4,MATCH(1,$AM778:$AW778,0)),"Multiple strategies"))</f>
        <v>Supply chain</v>
      </c>
      <c r="BG778" s="1" t="s">
        <v>321</v>
      </c>
      <c r="BH778" t="s">
        <v>832</v>
      </c>
      <c r="BI778" t="s">
        <v>699</v>
      </c>
      <c r="BJ778" t="s">
        <v>2086</v>
      </c>
      <c r="BK778">
        <v>7771.2</v>
      </c>
      <c r="BL778">
        <v>8988.9</v>
      </c>
      <c r="BM778">
        <f>IFERROR(BL778/BK778,"")</f>
        <v>1.1566939468807906</v>
      </c>
      <c r="BN778">
        <f>BL778-BK778</f>
        <v>1217.6999999999998</v>
      </c>
      <c r="BO778">
        <f>BN778*1000</f>
        <v>1217699.9999999998</v>
      </c>
      <c r="BP778" t="s">
        <v>395</v>
      </c>
      <c r="BQ778" s="260" t="s">
        <v>3389</v>
      </c>
      <c r="BR778" t="s">
        <v>2087</v>
      </c>
      <c r="BS778">
        <v>-547.41</v>
      </c>
      <c r="BT778">
        <v>-1154.32</v>
      </c>
      <c r="BU778" s="144"/>
      <c r="BV778">
        <f>BT778-BS778</f>
        <v>-606.91</v>
      </c>
      <c r="BX778">
        <f>BV778*1000</f>
        <v>-606910</v>
      </c>
      <c r="BY778">
        <f>IFERROR(BX778/BO778,"")</f>
        <v>-0.49840683255317414</v>
      </c>
      <c r="BZ778">
        <v>0</v>
      </c>
      <c r="CA778">
        <v>0</v>
      </c>
      <c r="CB778">
        <v>0</v>
      </c>
      <c r="CC778">
        <v>0</v>
      </c>
      <c r="CD778">
        <v>0</v>
      </c>
      <c r="CE778">
        <v>0</v>
      </c>
      <c r="CF778">
        <v>0</v>
      </c>
      <c r="CG778">
        <v>0</v>
      </c>
      <c r="CH778">
        <v>0</v>
      </c>
      <c r="CI778">
        <v>0</v>
      </c>
      <c r="CJ778">
        <v>0</v>
      </c>
      <c r="CK778">
        <v>0</v>
      </c>
      <c r="CL778">
        <v>0</v>
      </c>
      <c r="CM778">
        <v>0</v>
      </c>
      <c r="CN778" t="str">
        <f>IF($BL778&lt;$BK778,"refNeedCorrection","refOK")</f>
        <v>refOK</v>
      </c>
      <c r="CO778">
        <f>IF($CN778="refOK",$BK778,$BL778)</f>
        <v>7771.2</v>
      </c>
      <c r="CP778">
        <f>IF($CN778="refOK",$BL778,$BK778)</f>
        <v>8988.9</v>
      </c>
      <c r="CQ778">
        <f>IF($CN778="refOK",$BO778,-$BO778)</f>
        <v>1217699.9999999998</v>
      </c>
      <c r="CR778">
        <f>IF($CN778="refOK",$BS778,$BT778)*IF($BP778="Emissions positive",-1,1)</f>
        <v>547.41</v>
      </c>
      <c r="CS778">
        <f>IF($CN778="refOK",$BT778,$BS778)*IF($BP778="Emissions positive",-1,1)</f>
        <v>1154.32</v>
      </c>
      <c r="CT778">
        <f>IF($CN778="refNeedCorrection",-BX778,BX778)*IF($BP778="Emissions positive",-1,1)</f>
        <v>606910</v>
      </c>
      <c r="CU778">
        <f>IFERROR(CT778/CQ778,"")</f>
        <v>0.49840683255317414</v>
      </c>
      <c r="CV778" s="2">
        <f>IFERROR((CS778-CR778)/ABS(CR778),"")</f>
        <v>1.1086936665387919</v>
      </c>
      <c r="CW778" s="1" t="s">
        <v>1203</v>
      </c>
      <c r="CX778" t="str">
        <f>IF(OR($CW778="prd",$CW778="std",$CW778="cit"),"loc",IF(OR($CW778="eur",$CW778="reg",$CW778="coy"),"reg",$CW778))</f>
        <v>reg</v>
      </c>
      <c r="CY778" t="s">
        <v>2088</v>
      </c>
      <c r="CZ778">
        <v>2017</v>
      </c>
      <c r="DA778">
        <v>2035</v>
      </c>
      <c r="DB778">
        <f>DA778-CZ778</f>
        <v>18</v>
      </c>
      <c r="DC778" t="str">
        <f>IF(DB778=0,"0",IF(AND(DB778&gt;=1,DB778&lt;=30),"1-30",IF(AND(DB778&gt;30,DB778&lt;=70),"31-70",IF(AND(DB778&gt;70,DB778&lt;=100),"71-100",IF(DB778&gt;100,"+100")))))</f>
        <v>1-30</v>
      </c>
      <c r="DD778">
        <v>0</v>
      </c>
      <c r="DE778">
        <v>0</v>
      </c>
      <c r="DF778">
        <v>1</v>
      </c>
      <c r="DG778">
        <v>1</v>
      </c>
      <c r="DH778">
        <v>0</v>
      </c>
      <c r="DI778">
        <f>SUM(DD778:DH778)</f>
        <v>2</v>
      </c>
      <c r="DJ778" t="str">
        <f>IF(DI778=1,INDEX($DD$7:$DG$7,MATCH(1,$DD778:$DG778,0)),"mixedProduct")</f>
        <v>mixedProduct</v>
      </c>
      <c r="DK778">
        <f>IF(DD778=1,DK$7,0)</f>
        <v>0</v>
      </c>
      <c r="DL778">
        <f>IF(DE778=1,DL$7,0)</f>
        <v>0</v>
      </c>
      <c r="DM778" t="str">
        <f>IF(DF778=1,DM$7,0)</f>
        <v>Pulp/Paper</v>
      </c>
      <c r="DN778" t="str">
        <f>IF(DG778=1,DN$7,0)</f>
        <v>Timber</v>
      </c>
      <c r="DO778">
        <v>0</v>
      </c>
      <c r="DP778">
        <v>0</v>
      </c>
      <c r="DQ778">
        <v>0</v>
      </c>
      <c r="DR778">
        <v>0</v>
      </c>
      <c r="DS778">
        <v>0</v>
      </c>
      <c r="DT778"/>
      <c r="DU778" s="143" t="str">
        <f>IF(DO778=1,"self-calculated DF",IF(DP778=1,"external DF used","explicit C balance"))</f>
        <v>explicit C balance</v>
      </c>
      <c r="DV778">
        <v>0</v>
      </c>
      <c r="DW778">
        <v>0</v>
      </c>
      <c r="DX778">
        <v>0</v>
      </c>
      <c r="DY778">
        <v>1</v>
      </c>
      <c r="DZ778">
        <v>1</v>
      </c>
      <c r="EA778">
        <v>0</v>
      </c>
      <c r="EB778">
        <v>0</v>
      </c>
      <c r="EC778">
        <v>0</v>
      </c>
      <c r="ED778">
        <v>0</v>
      </c>
      <c r="EE778">
        <v>0</v>
      </c>
      <c r="EF778">
        <v>1</v>
      </c>
      <c r="EG778">
        <v>0</v>
      </c>
      <c r="EH778">
        <v>0</v>
      </c>
      <c r="EI778" s="2">
        <v>0</v>
      </c>
      <c r="EK778" t="str">
        <f>IF(AND(AND(AND(OR($DX778=1,$DW778=1),OR($EC778=1,$EA778=1)),SUM($DV778:$DZ778,$EF778)&gt;=4),SUM($EA778:$EE778)&gt;=2),"Whole sector","")</f>
        <v/>
      </c>
      <c r="EL778" t="str">
        <f>IF(AND(AND(OR($DX778=1,$DW778=1),AND($EC778=0,$EA778=0)),SUM($DV778:$DZ778,$EF778)&gt;=4),"Ecosystem approach","")</f>
        <v/>
      </c>
      <c r="EM778" s="2" t="str">
        <f>IF(AND(AND(AND($DX778=0,$DW778=0),OR($EC778=1,$EA778=1)),SUM($EB778:$EE778)&gt;=2),"Technology approach","")</f>
        <v/>
      </c>
      <c r="EP778" t="str">
        <f>IF(ISNUMBER(BU778),IF(ABS(BU778-[4]QC_indicators!$B$2)&gt;3*[4]QC_indicators!$C$2,"C ratio",IF(ISNUMBER(BY778),IF(ABS(BY778-[4]QC_indicators!$B$1)&gt;3*[4]QC_indicators!$C$1,"DF","no"))),IF(ISNUMBER(BY778),IF(ABS(BY778-[4]QC_indicators!$B$1)&gt;3*[4]QC_indicators!$C$1,"DF","no")))</f>
        <v>no</v>
      </c>
      <c r="ET778" s="264" t="s">
        <v>3273</v>
      </c>
    </row>
    <row r="779" spans="1:150" ht="15" customHeight="1">
      <c r="A779" s="1" t="s">
        <v>430</v>
      </c>
      <c r="B779" t="s">
        <v>431</v>
      </c>
      <c r="C779" t="s">
        <v>432</v>
      </c>
      <c r="D779" t="s">
        <v>433</v>
      </c>
      <c r="E779" t="s">
        <v>434</v>
      </c>
      <c r="F779" t="s">
        <v>435</v>
      </c>
      <c r="G779" t="s">
        <v>436</v>
      </c>
      <c r="H779" t="s">
        <v>254</v>
      </c>
      <c r="I779">
        <v>2000</v>
      </c>
      <c r="J779">
        <v>174</v>
      </c>
      <c r="K779" t="s">
        <v>437</v>
      </c>
      <c r="M779" t="str">
        <f>LEFT($D779,FIND(",",$D779)-1)&amp;"_"&amp;I779&amp;L779</f>
        <v>Borjesson_2000</v>
      </c>
      <c r="N779" t="s">
        <v>222</v>
      </c>
      <c r="O779" s="145" t="s">
        <v>223</v>
      </c>
      <c r="Q779" t="s">
        <v>256</v>
      </c>
      <c r="R779" s="255" t="s">
        <v>225</v>
      </c>
      <c r="S779" s="1" t="s">
        <v>438</v>
      </c>
      <c r="T779" t="s">
        <v>447</v>
      </c>
      <c r="U779" t="s">
        <v>452</v>
      </c>
      <c r="V779">
        <v>0</v>
      </c>
      <c r="W779">
        <v>0</v>
      </c>
      <c r="X779">
        <v>0</v>
      </c>
      <c r="Y779">
        <v>0</v>
      </c>
      <c r="Z779">
        <v>0</v>
      </c>
      <c r="AA779">
        <v>0</v>
      </c>
      <c r="AB779">
        <v>0</v>
      </c>
      <c r="AC779">
        <v>0</v>
      </c>
      <c r="AD779">
        <v>0</v>
      </c>
      <c r="AE779">
        <v>0</v>
      </c>
      <c r="AF779">
        <v>0</v>
      </c>
      <c r="AG779">
        <v>0</v>
      </c>
      <c r="AH779">
        <v>0</v>
      </c>
      <c r="AI779">
        <v>0</v>
      </c>
      <c r="AJ779">
        <v>0</v>
      </c>
      <c r="AK779">
        <v>1</v>
      </c>
      <c r="AL779">
        <v>0</v>
      </c>
      <c r="AM779">
        <v>0</v>
      </c>
      <c r="AN779">
        <v>0</v>
      </c>
      <c r="AO779">
        <v>0</v>
      </c>
      <c r="AP779">
        <v>0</v>
      </c>
      <c r="AQ779">
        <v>0</v>
      </c>
      <c r="AR779">
        <v>0</v>
      </c>
      <c r="AS779">
        <v>0</v>
      </c>
      <c r="AT779">
        <v>0</v>
      </c>
      <c r="AU779">
        <v>0</v>
      </c>
      <c r="AV779">
        <v>0</v>
      </c>
      <c r="AW779">
        <v>0</v>
      </c>
      <c r="AX779" s="141">
        <f>COUNTIF(V779:AW779,"&lt;&gt;0")</f>
        <v>1</v>
      </c>
      <c r="AY779" s="141">
        <f>COUNTIF(V779:AL779,"&lt;&gt;0")</f>
        <v>1</v>
      </c>
      <c r="AZ779">
        <f>COUNTIF(V779:AC779,"&lt;&gt;0")</f>
        <v>0</v>
      </c>
      <c r="BA779">
        <f>COUNTIF(AD779:AI779,"&lt;&gt;0")</f>
        <v>0</v>
      </c>
      <c r="BB779">
        <f>COUNTIF(AJ779:AL779,"&lt;&gt;0")</f>
        <v>1</v>
      </c>
      <c r="BC779">
        <f>COUNTIF(AS779:AW779,"&lt;&gt;0")</f>
        <v>0</v>
      </c>
      <c r="BD779">
        <f>COUNTIF(AM779:AR779,"&lt;&gt;0")</f>
        <v>0</v>
      </c>
      <c r="BE779" t="str">
        <f t="array" ref="BE779">IF(AY779=1,INDEX($V$7:$AL$7,MATCH(TRUE,INDEX($V779:$AW779&lt;&gt;0,),0)),IF(AY779=0,INDEX($AM$7:$AW$7,MATCH(1,$AM779:$AW779,0)),IF(BF779="Multiple strategies","mixed drivers",IF(BF779="Supply chain","multiple supply","multiple silviculture"))))</f>
        <v>technologies/design switch</v>
      </c>
      <c r="BF779" s="2" t="str" cm="1">
        <f t="array" ref="BF779">IF(COUNTIF(AZ779:BB779,"&lt;&gt;0")=1,INDEX($V$4:$AW$4,MATCH(TRUE,INDEX($V779:$AW779&lt;&gt;0,),0)),IF(COUNTIF(AZ779:BB779,"&lt;&gt;0")=0,INDEX($AM$4:$AW$4,MATCH(1,$AM779:$AW779,0)),"Multiple strategies"))</f>
        <v>Technology</v>
      </c>
      <c r="BG779" s="142" t="s">
        <v>229</v>
      </c>
      <c r="BH779" t="s">
        <v>441</v>
      </c>
      <c r="BI779" s="264" t="s">
        <v>3274</v>
      </c>
      <c r="BJ779" s="143" t="s">
        <v>442</v>
      </c>
      <c r="BK779">
        <v>0</v>
      </c>
      <c r="BL779">
        <f>3*44</f>
        <v>132</v>
      </c>
      <c r="BM779" s="143" t="e">
        <f>BL779/BK779</f>
        <v>#DIV/0!</v>
      </c>
      <c r="BN779">
        <f>BL779-BK779</f>
        <v>132</v>
      </c>
      <c r="BO779">
        <f>BN779*tC_to_m3</f>
        <v>573.16543638732094</v>
      </c>
      <c r="BP779" t="s">
        <v>232</v>
      </c>
      <c r="BQ779" s="260" t="s">
        <v>813</v>
      </c>
      <c r="BR779" t="s">
        <v>443</v>
      </c>
      <c r="BS779" s="141">
        <v>6</v>
      </c>
      <c r="BT779" s="141">
        <v>84</v>
      </c>
      <c r="BU779" s="144">
        <f>IFERROR(BT779/BS779,"")</f>
        <v>14</v>
      </c>
      <c r="BV779">
        <f>BT779-BS779</f>
        <v>78</v>
      </c>
      <c r="BX779">
        <f>BV779*C_to_CO2</f>
        <v>286.26</v>
      </c>
      <c r="BY779">
        <f>IFERROR(BX779/BO779,"")</f>
        <v>0.4994369545454545</v>
      </c>
      <c r="BZ779" s="143">
        <v>0</v>
      </c>
      <c r="CA779" s="143">
        <v>0</v>
      </c>
      <c r="CB779" s="143">
        <v>0</v>
      </c>
      <c r="CC779" s="143">
        <v>0</v>
      </c>
      <c r="CD779" s="143">
        <v>0</v>
      </c>
      <c r="CE779" s="143">
        <v>0</v>
      </c>
      <c r="CF779" s="143">
        <v>0</v>
      </c>
      <c r="CG779" s="143">
        <v>0</v>
      </c>
      <c r="CH779" s="143">
        <v>0</v>
      </c>
      <c r="CI779" s="143">
        <v>0</v>
      </c>
      <c r="CJ779" s="143">
        <v>0</v>
      </c>
      <c r="CK779" s="143">
        <v>0</v>
      </c>
      <c r="CL779" s="143">
        <v>0</v>
      </c>
      <c r="CM779">
        <v>0</v>
      </c>
      <c r="CN779" t="str">
        <f>IF($BL779&lt;$BK779,"refNeedCorrection","refOK")</f>
        <v>refOK</v>
      </c>
      <c r="CO779">
        <f>IF($CN779="refOK",$BK779,$BL779)</f>
        <v>0</v>
      </c>
      <c r="CP779">
        <f>IF($CN779="refOK",$BL779,$BK779)</f>
        <v>132</v>
      </c>
      <c r="CQ779">
        <f>IF($CN779="refOK",$BO779,-$BO779)</f>
        <v>573.16543638732094</v>
      </c>
      <c r="CR779">
        <f>IF($CN779="refOK",$BS779,$BT779)*IF($BP779="Emissions positive",-1,1)</f>
        <v>6</v>
      </c>
      <c r="CS779">
        <f>IF($CN779="refOK",$BT779,$BS779)*IF($BP779="Emissions positive",-1,1)</f>
        <v>84</v>
      </c>
      <c r="CT779">
        <f>IF($CN779="refNeedCorrection",-BX779,BX779)*IF($BP779="Emissions positive",-1,1)</f>
        <v>286.26</v>
      </c>
      <c r="CU779">
        <f>IFERROR(CT779/CQ779,"")</f>
        <v>0.4994369545454545</v>
      </c>
      <c r="CV779" s="2">
        <f>IFERROR((CS779-CR779)/ABS(CR779),"")</f>
        <v>13</v>
      </c>
      <c r="CW779" s="1" t="s">
        <v>263</v>
      </c>
      <c r="CX779" t="str">
        <f>IF(OR($CW779="prd",$CW779="std",$CW779="cit"),"loc",IF(OR($CW779="eur",$CW779="reg",$CW779="coy"),"reg",$CW779))</f>
        <v>loc</v>
      </c>
      <c r="CY779" t="s">
        <v>444</v>
      </c>
      <c r="DB779">
        <v>300</v>
      </c>
      <c r="DC779" t="str">
        <f>IF(DB779=0,"0",IF(AND(DB779&gt;=1,DB779&lt;=30),"1-30",IF(AND(DB779&gt;30,DB779&lt;=70),"31-70",IF(AND(DB779&gt;70,DB779&lt;=100),"71-100",IF(DB779&gt;100,"+100")))))</f>
        <v>+100</v>
      </c>
      <c r="DD779">
        <v>0</v>
      </c>
      <c r="DE779">
        <v>0</v>
      </c>
      <c r="DF779">
        <v>0</v>
      </c>
      <c r="DG779">
        <v>1</v>
      </c>
      <c r="DI779">
        <f>SUM(DD779:DG779)</f>
        <v>1</v>
      </c>
      <c r="DJ779" t="str">
        <f>IF(DI779=1,INDEX($DD$7:$DG$7,MATCH(1,$DD779:$DG779,0)),"mixedProduct")</f>
        <v>TimberInput</v>
      </c>
      <c r="DK779">
        <f>IF(DD779=1,DK$7,0)</f>
        <v>0</v>
      </c>
      <c r="DL779">
        <f>IF(DE779=1,DL$7,0)</f>
        <v>0</v>
      </c>
      <c r="DM779">
        <f>IF(DF779=1,DM$7,0)</f>
        <v>0</v>
      </c>
      <c r="DN779" t="str">
        <f>IF(DG779=1,DN$7,0)</f>
        <v>Timber</v>
      </c>
      <c r="DO779">
        <v>1</v>
      </c>
      <c r="DP779" s="143">
        <v>0</v>
      </c>
      <c r="DQ779" s="143">
        <v>0</v>
      </c>
      <c r="DR779" s="143">
        <v>0</v>
      </c>
      <c r="DS779">
        <v>0</v>
      </c>
      <c r="DT779">
        <f>SUM(DO779:DP779)</f>
        <v>1</v>
      </c>
      <c r="DU779" s="143" t="str">
        <f>IF(DO779=1,"self-calculated DF",IF(DP779=1,"external DF used","explicit C balance"))</f>
        <v>self-calculated DF</v>
      </c>
      <c r="DV779">
        <v>0</v>
      </c>
      <c r="DW779" s="143">
        <v>0</v>
      </c>
      <c r="DX779" s="143">
        <v>1</v>
      </c>
      <c r="DY779" s="143">
        <v>1</v>
      </c>
      <c r="DZ779">
        <v>1</v>
      </c>
      <c r="EA779" s="143">
        <v>1</v>
      </c>
      <c r="EB779">
        <v>0</v>
      </c>
      <c r="EC779" s="143">
        <v>1</v>
      </c>
      <c r="ED779" s="143">
        <v>0</v>
      </c>
      <c r="EE779">
        <v>0</v>
      </c>
      <c r="EF779">
        <v>0</v>
      </c>
      <c r="EG779" s="143">
        <v>0</v>
      </c>
      <c r="EH779" s="143">
        <v>0</v>
      </c>
      <c r="EI779" s="2">
        <v>0</v>
      </c>
      <c r="EK779" t="str">
        <f>IF(AND(AND(AND(OR($DX779=1,$DW779=1),OR($EC779=1,$EA779=1)),SUM($DV779:$DZ779,$EF779)&gt;=4),SUM($EA779:$EE779)&gt;=2),"Whole sector","")</f>
        <v/>
      </c>
      <c r="EL779" t="str">
        <f>IF(AND(AND(OR($DX779=1,$DW779=1),AND($EC779=0,$EA779=0)),SUM($DV779:$DZ779,$EF779)&gt;=4),"Ecosystem approach","")</f>
        <v/>
      </c>
      <c r="EM779" s="2" t="str">
        <f>IF(AND(AND(AND($DX779=0,$DW779=0),OR($EC779=1,$EA779=1)),SUM($EB779:$EE779)&gt;=2),"Technology approach","")</f>
        <v/>
      </c>
      <c r="EN779" t="s">
        <v>445</v>
      </c>
      <c r="EP779" t="str">
        <f>IF(ISNUMBER(BU779),IF(ABS(BU779-[4]QC_indicators!$B$2)&gt;3*[4]QC_indicators!$C$2,"C ratio",IF(ISNUMBER(BY779),IF(ABS(BY779-[4]QC_indicators!$B$1)&gt;3*[4]QC_indicators!$C$1,"DF","no"))),IF(ISNUMBER(BY779),IF(ABS(BY779-[4]QC_indicators!$B$1)&gt;3*[4]QC_indicators!$C$1,"DF","no")))</f>
        <v>no</v>
      </c>
      <c r="EQ779" t="s">
        <v>450</v>
      </c>
      <c r="ET779" s="264" t="s">
        <v>3273</v>
      </c>
    </row>
    <row r="780" spans="1:150" ht="15" customHeight="1">
      <c r="D780" t="s">
        <v>963</v>
      </c>
      <c r="E780" t="s">
        <v>1007</v>
      </c>
      <c r="G780" t="s">
        <v>1008</v>
      </c>
      <c r="I780">
        <v>2004</v>
      </c>
      <c r="K780" t="s">
        <v>1009</v>
      </c>
      <c r="M780" t="str">
        <f>LEFT($D780,FIND(",",$D780)-1)&amp;"_"&amp;I780&amp;L780</f>
        <v>Petersen_2004</v>
      </c>
      <c r="N780" t="s">
        <v>222</v>
      </c>
      <c r="O780" s="171" t="s">
        <v>513</v>
      </c>
      <c r="P780" s="141" t="s">
        <v>225</v>
      </c>
      <c r="Q780" t="s">
        <v>389</v>
      </c>
      <c r="R780" s="262" t="s">
        <v>223</v>
      </c>
      <c r="S780" s="1" t="s">
        <v>983</v>
      </c>
      <c r="T780" t="s">
        <v>1019</v>
      </c>
      <c r="U780" t="s">
        <v>1020</v>
      </c>
      <c r="V780">
        <v>0</v>
      </c>
      <c r="W780">
        <v>0</v>
      </c>
      <c r="X780">
        <v>0</v>
      </c>
      <c r="Y780">
        <v>0</v>
      </c>
      <c r="Z780">
        <v>0</v>
      </c>
      <c r="AA780">
        <v>0</v>
      </c>
      <c r="AB780">
        <v>0</v>
      </c>
      <c r="AC780">
        <v>0</v>
      </c>
      <c r="AD780">
        <v>0</v>
      </c>
      <c r="AE780">
        <v>0</v>
      </c>
      <c r="AF780">
        <v>0</v>
      </c>
      <c r="AG780">
        <v>0</v>
      </c>
      <c r="AH780">
        <v>0</v>
      </c>
      <c r="AI780">
        <v>0</v>
      </c>
      <c r="AJ780">
        <v>0</v>
      </c>
      <c r="AK780">
        <v>1</v>
      </c>
      <c r="AL780">
        <v>0</v>
      </c>
      <c r="AM780">
        <v>0</v>
      </c>
      <c r="AN780">
        <v>0</v>
      </c>
      <c r="AO780">
        <v>0</v>
      </c>
      <c r="AP780">
        <v>0</v>
      </c>
      <c r="AQ780">
        <v>0</v>
      </c>
      <c r="AR780">
        <v>0</v>
      </c>
      <c r="AS780">
        <v>0</v>
      </c>
      <c r="AT780">
        <v>0</v>
      </c>
      <c r="AU780">
        <v>0</v>
      </c>
      <c r="AV780">
        <v>0</v>
      </c>
      <c r="AW780">
        <v>0</v>
      </c>
      <c r="AX780" s="141">
        <f>COUNTIF(V780:AW780,"&lt;&gt;0")</f>
        <v>1</v>
      </c>
      <c r="AY780" s="141">
        <f>COUNTIF(V780:AL780,"&lt;&gt;0")</f>
        <v>1</v>
      </c>
      <c r="AZ780">
        <f>COUNTIF(V780:AC780,"&lt;&gt;0")</f>
        <v>0</v>
      </c>
      <c r="BA780">
        <f>COUNTIF(AD780:AI780,"&lt;&gt;0")</f>
        <v>0</v>
      </c>
      <c r="BB780">
        <f>COUNTIF(AJ780:AL780,"&lt;&gt;0")</f>
        <v>1</v>
      </c>
      <c r="BC780">
        <f>COUNTIF(AS780:AW780,"&lt;&gt;0")</f>
        <v>0</v>
      </c>
      <c r="BD780">
        <f>COUNTIF(AM780:AR780,"&lt;&gt;0")</f>
        <v>0</v>
      </c>
      <c r="BE780" t="str">
        <f t="array" ref="BE780">IF(AY780=1,INDEX($V$7:$AL$7,MATCH(TRUE,INDEX($V780:$AW780&lt;&gt;0,),0)),IF(AY780=0,INDEX($AM$7:$AW$7,MATCH(1,$AM780:$AW780,0)),IF(BF780="Multiple strategies","mixed drivers",IF(BF780="Supply chain","multiple supply","multiple silviculture"))))</f>
        <v>technologies/design switch</v>
      </c>
      <c r="BF780" s="2" t="str" cm="1">
        <f t="array" ref="BF780">IF(COUNTIF(AZ780:BB780,"&lt;&gt;0")=1,INDEX($V$4:$AW$4,MATCH(TRUE,INDEX($V780:$AW780&lt;&gt;0,),0)),IF(COUNTIF(AZ780:BB780,"&lt;&gt;0")=0,INDEX($AM$4:$AW$4,MATCH(1,$AM780:$AW780,0)),"Multiple strategies"))</f>
        <v>Technology</v>
      </c>
      <c r="BG780" s="142" t="s">
        <v>229</v>
      </c>
      <c r="BH780" t="s">
        <v>970</v>
      </c>
      <c r="BI780" t="s">
        <v>1012</v>
      </c>
      <c r="BJ780" t="s">
        <v>498</v>
      </c>
      <c r="BK780">
        <v>0</v>
      </c>
      <c r="BL780" s="143">
        <v>1</v>
      </c>
      <c r="BM780" t="str">
        <f>IFERROR(BL780/BK780,"")</f>
        <v/>
      </c>
      <c r="BN780">
        <f>BL780-BK780</f>
        <v>1</v>
      </c>
      <c r="BO780" s="159">
        <v>1</v>
      </c>
      <c r="BP780" t="s">
        <v>232</v>
      </c>
      <c r="BQ780" t="s">
        <v>1013</v>
      </c>
      <c r="BR780" t="s">
        <v>973</v>
      </c>
      <c r="BU780" s="144"/>
      <c r="BV780">
        <v>0.5</v>
      </c>
      <c r="BX780">
        <f>BV780</f>
        <v>0.5</v>
      </c>
      <c r="BY780">
        <f>IFERROR(BX780/BO780,"")</f>
        <v>0.5</v>
      </c>
      <c r="BZ780">
        <v>0</v>
      </c>
      <c r="CA780">
        <v>0</v>
      </c>
      <c r="CB780">
        <v>0</v>
      </c>
      <c r="CC780">
        <v>0</v>
      </c>
      <c r="CD780">
        <v>0</v>
      </c>
      <c r="CE780">
        <v>0</v>
      </c>
      <c r="CF780">
        <v>0</v>
      </c>
      <c r="CG780">
        <v>0</v>
      </c>
      <c r="CH780">
        <v>0</v>
      </c>
      <c r="CI780">
        <v>0</v>
      </c>
      <c r="CJ780">
        <v>0</v>
      </c>
      <c r="CK780">
        <v>0</v>
      </c>
      <c r="CL780">
        <v>0</v>
      </c>
      <c r="CM780">
        <v>0</v>
      </c>
      <c r="CN780" t="str">
        <f>IF($BL780&lt;$BK780,"refNeedCorrection","refOK")</f>
        <v>refOK</v>
      </c>
      <c r="CO780">
        <f>IF($CN780="refOK",$BK780,$BL780)</f>
        <v>0</v>
      </c>
      <c r="CP780">
        <f>IF($CN780="refOK",$BL780,$BK780)</f>
        <v>1</v>
      </c>
      <c r="CQ780">
        <f>IF($CN780="refOK",$BO780,-$BO780)</f>
        <v>1</v>
      </c>
      <c r="CR780">
        <f>IF($CN780="refOK",$BS780,$BT780)*IF($BP780="Emissions positive",-1,1)</f>
        <v>0</v>
      </c>
      <c r="CS780">
        <f>IF($CN780="refOK",$BT780,$BS780)*IF($BP780="Emissions positive",-1,1)</f>
        <v>0</v>
      </c>
      <c r="CT780">
        <f>IF($CN780="refNeedCorrection",-BX780,BX780)*IF($BP780="Emissions positive",-1,1)</f>
        <v>0.5</v>
      </c>
      <c r="CU780">
        <f>IFERROR(CT780/CQ780,"")</f>
        <v>0.5</v>
      </c>
      <c r="CV780" s="2" t="str">
        <f>IFERROR((CS780-CR780)/ABS(CR780),"")</f>
        <v/>
      </c>
      <c r="CW780" s="1" t="s">
        <v>263</v>
      </c>
      <c r="CX780" t="str">
        <f>IF(OR($CW780="prd",$CW780="std",$CW780="cit"),"loc",IF(OR($CW780="eur",$CW780="reg",$CW780="coy"),"reg",$CW780))</f>
        <v>loc</v>
      </c>
      <c r="CY780" t="s">
        <v>264</v>
      </c>
      <c r="DA780" s="143"/>
      <c r="DB780" s="143">
        <v>45</v>
      </c>
      <c r="DC780" t="str">
        <f>IF(DB780=0,"0",IF(AND(DB780&gt;=1,DB780&lt;=30),"1-30",IF(AND(DB780&gt;30,DB780&lt;=70),"31-70",IF(AND(DB780&gt;70,DB780&lt;=100),"71-100",IF(DB780&gt;100,"+100")))))</f>
        <v>31-70</v>
      </c>
      <c r="DD780">
        <v>0</v>
      </c>
      <c r="DE780">
        <v>0</v>
      </c>
      <c r="DF780">
        <v>0</v>
      </c>
      <c r="DG780">
        <v>1</v>
      </c>
      <c r="DH780">
        <v>0</v>
      </c>
      <c r="DI780">
        <f>SUM(DD780:DG780)</f>
        <v>1</v>
      </c>
      <c r="DJ780" t="str">
        <f>IF(DI780=1,INDEX($DD$7:$DG$7,MATCH(1,$DD780:$DG780,0)),"mixedProduct")</f>
        <v>TimberInput</v>
      </c>
      <c r="DK780">
        <f>IF(DD780=1,DK$7,0)</f>
        <v>0</v>
      </c>
      <c r="DL780">
        <f>IF(DE780=1,DL$7,0)</f>
        <v>0</v>
      </c>
      <c r="DM780">
        <f>IF(DF780=1,DM$7,0)</f>
        <v>0</v>
      </c>
      <c r="DN780" t="str">
        <f>IF(DG780=1,DN$7,0)</f>
        <v>Timber</v>
      </c>
      <c r="DO780">
        <v>1</v>
      </c>
      <c r="DP780">
        <v>0</v>
      </c>
      <c r="DQ780">
        <v>0</v>
      </c>
      <c r="DR780">
        <v>0</v>
      </c>
      <c r="DS780">
        <v>0</v>
      </c>
      <c r="DT780">
        <f>SUM(DO780:DP780)</f>
        <v>1</v>
      </c>
      <c r="DU780" s="143" t="str">
        <f>IF(DO780=1,"self-calculated DF",IF(DP780=1,"external DF used","explicit C balance"))</f>
        <v>self-calculated DF</v>
      </c>
      <c r="DV780" s="143">
        <v>0</v>
      </c>
      <c r="DW780" s="143">
        <v>0</v>
      </c>
      <c r="DX780" s="143">
        <v>0</v>
      </c>
      <c r="DY780" s="143">
        <v>0</v>
      </c>
      <c r="DZ780">
        <v>0</v>
      </c>
      <c r="EA780" s="143">
        <v>1</v>
      </c>
      <c r="EB780" s="143">
        <v>0</v>
      </c>
      <c r="EC780" s="143">
        <v>1</v>
      </c>
      <c r="ED780" s="143">
        <v>0</v>
      </c>
      <c r="EE780">
        <v>0</v>
      </c>
      <c r="EF780">
        <v>0</v>
      </c>
      <c r="EG780" s="143">
        <v>0</v>
      </c>
      <c r="EH780" s="143">
        <v>0</v>
      </c>
      <c r="EI780" s="2">
        <v>0</v>
      </c>
      <c r="EK780" t="str">
        <f>IF(AND(AND(AND(OR($DX780=1,$DW780=1),OR($EC780=1,$EA780=1)),SUM($DV780:$DZ780,$EF780)&gt;=4),SUM($EA780:$EE780)&gt;=2),"Whole sector","")</f>
        <v/>
      </c>
      <c r="EL780" t="str">
        <f>IF(AND(AND(OR($DX780=1,$DW780=1),AND($EC780=0,$EA780=0)),SUM($DV780:$DZ780,$EF780)&gt;=4),"Ecosystem approach","")</f>
        <v/>
      </c>
      <c r="EM780" s="2" t="str">
        <f>IF(AND(AND(AND($DX780=0,$DW780=0),OR($EC780=1,$EA780=1)),SUM($EB780:$EE780)&gt;=2),"Technology approach","")</f>
        <v/>
      </c>
      <c r="EP780" t="str">
        <f>IF(ISNUMBER(BU780),IF(ABS(BU780-[1]QC_indicators!$B$2)&gt;3*[1]QC_indicators!$C$2,"C ratio",IF(ISNUMBER(BY780),IF(ABS(BY780-[1]QC_indicators!$B$1)&gt;3*[1]QC_indicators!$C$1,"DF","no"))),IF(ISNUMBER(BY780),IF(ABS(BY780-[1]QC_indicators!$B$1)&gt;3*[1]QC_indicators!$C$1,"DF","no")))</f>
        <v>no</v>
      </c>
      <c r="ER780" t="s">
        <v>995</v>
      </c>
      <c r="ET780" s="264" t="s">
        <v>3212</v>
      </c>
    </row>
    <row r="781" spans="1:150" ht="15" customHeight="1">
      <c r="A781" s="1" t="s">
        <v>1233</v>
      </c>
      <c r="B781" t="s">
        <v>1234</v>
      </c>
      <c r="C781" t="s">
        <v>1235</v>
      </c>
      <c r="D781" t="s">
        <v>336</v>
      </c>
      <c r="E781" t="s">
        <v>1236</v>
      </c>
      <c r="F781" t="s">
        <v>1237</v>
      </c>
      <c r="G781" t="s">
        <v>1238</v>
      </c>
      <c r="I781">
        <v>2018</v>
      </c>
      <c r="K781" t="s">
        <v>1239</v>
      </c>
      <c r="M781" t="str">
        <f>LEFT($D781,FIND(",",$D781)-1)&amp;"_"&amp;I781&amp;L781</f>
        <v>Balasbaneh_2018</v>
      </c>
      <c r="N781" t="s">
        <v>222</v>
      </c>
      <c r="O781" s="140" t="s">
        <v>513</v>
      </c>
      <c r="Q781" t="s">
        <v>224</v>
      </c>
      <c r="R781" s="262" t="s">
        <v>223</v>
      </c>
      <c r="S781" s="1" t="s">
        <v>1264</v>
      </c>
      <c r="T781" s="264" t="s">
        <v>3115</v>
      </c>
      <c r="U781" s="264" t="s">
        <v>3111</v>
      </c>
      <c r="V781">
        <v>0</v>
      </c>
      <c r="W781">
        <v>0</v>
      </c>
      <c r="X781">
        <v>0</v>
      </c>
      <c r="Y781">
        <v>0</v>
      </c>
      <c r="Z781">
        <v>0</v>
      </c>
      <c r="AA781">
        <v>0</v>
      </c>
      <c r="AB781">
        <v>0</v>
      </c>
      <c r="AC781">
        <v>0</v>
      </c>
      <c r="AD781">
        <v>0</v>
      </c>
      <c r="AE781">
        <v>0</v>
      </c>
      <c r="AF781">
        <v>0</v>
      </c>
      <c r="AG781">
        <v>0</v>
      </c>
      <c r="AH781">
        <v>0</v>
      </c>
      <c r="AI781">
        <v>0</v>
      </c>
      <c r="AJ781">
        <v>0</v>
      </c>
      <c r="AK781">
        <v>1</v>
      </c>
      <c r="AL781">
        <v>0</v>
      </c>
      <c r="AM781">
        <v>0</v>
      </c>
      <c r="AN781">
        <v>0</v>
      </c>
      <c r="AO781">
        <v>0</v>
      </c>
      <c r="AP781">
        <v>0</v>
      </c>
      <c r="AQ781">
        <v>0</v>
      </c>
      <c r="AR781">
        <v>0</v>
      </c>
      <c r="AS781">
        <v>0</v>
      </c>
      <c r="AT781">
        <v>0</v>
      </c>
      <c r="AU781">
        <v>0</v>
      </c>
      <c r="AV781">
        <v>0</v>
      </c>
      <c r="AW781">
        <v>0</v>
      </c>
      <c r="AX781" s="141">
        <f>COUNTIF(V781:AW781,"&lt;&gt;0")</f>
        <v>1</v>
      </c>
      <c r="AY781" s="141">
        <f>COUNTIF(V781:AL781,"&lt;&gt;0")</f>
        <v>1</v>
      </c>
      <c r="AZ781">
        <f>COUNTIF(V781:AC781,"&lt;&gt;0")</f>
        <v>0</v>
      </c>
      <c r="BA781">
        <f>COUNTIF(AD781:AI781,"&lt;&gt;0")</f>
        <v>0</v>
      </c>
      <c r="BB781">
        <f>COUNTIF(AJ781:AL781,"&lt;&gt;0")</f>
        <v>1</v>
      </c>
      <c r="BC781">
        <f>COUNTIF(AS781:AW781,"&lt;&gt;0")</f>
        <v>0</v>
      </c>
      <c r="BD781">
        <f>COUNTIF(AM781:AR781,"&lt;&gt;0")</f>
        <v>0</v>
      </c>
      <c r="BE781" t="str">
        <f t="array" ref="BE781">IF(AY781=1,INDEX($V$7:$AL$7,MATCH(TRUE,INDEX($V781:$AW781&lt;&gt;0,),0)),IF(AY781=0,INDEX($AM$7:$AW$7,MATCH(1,$AM781:$AW781,0)),IF(BF781="Multiple strategies","mixed drivers",IF(BF781="Supply chain","multiple supply","multiple silviculture"))))</f>
        <v>technologies/design switch</v>
      </c>
      <c r="BF781" s="2" t="str" cm="1">
        <f t="array" ref="BF781">IF(COUNTIF(AZ781:BB781,"&lt;&gt;0")=1,INDEX($V$4:$AW$4,MATCH(TRUE,INDEX($V781:$AW781&lt;&gt;0,),0)),IF(COUNTIF(AZ781:BB781,"&lt;&gt;0")=0,INDEX($AM$4:$AW$4,MATCH(1,$AM781:$AW781,0)),"Multiple strategies"))</f>
        <v>Technology</v>
      </c>
      <c r="BG781" s="1" t="s">
        <v>229</v>
      </c>
      <c r="BH781" t="s">
        <v>229</v>
      </c>
      <c r="BJ781" t="s">
        <v>345</v>
      </c>
      <c r="BK781">
        <v>0</v>
      </c>
      <c r="BL781">
        <v>15468</v>
      </c>
      <c r="BM781" s="143"/>
      <c r="BN781">
        <f>BL781-BK781</f>
        <v>15468</v>
      </c>
      <c r="BO781" s="143">
        <f>BN781*kg_to_m3</f>
        <v>31.567346938775515</v>
      </c>
      <c r="BP781" t="s">
        <v>232</v>
      </c>
      <c r="BQ781" s="337" t="s">
        <v>1057</v>
      </c>
      <c r="BR781" t="s">
        <v>397</v>
      </c>
      <c r="BS781">
        <v>-21200</v>
      </c>
      <c r="BT781">
        <v>-5370</v>
      </c>
      <c r="BU781" s="144">
        <v>0.25330188679245286</v>
      </c>
      <c r="BV781">
        <v>15830</v>
      </c>
      <c r="BX781">
        <f>BV781/1000</f>
        <v>15.83</v>
      </c>
      <c r="BY781">
        <f>IFERROR(BX781/BO781,"")</f>
        <v>0.50146754590121534</v>
      </c>
      <c r="BZ781">
        <v>0</v>
      </c>
      <c r="CA781">
        <v>0</v>
      </c>
      <c r="CB781">
        <v>0</v>
      </c>
      <c r="CC781">
        <v>0</v>
      </c>
      <c r="CD781">
        <v>0</v>
      </c>
      <c r="CE781">
        <v>0</v>
      </c>
      <c r="CF781">
        <v>0</v>
      </c>
      <c r="CG781">
        <v>0</v>
      </c>
      <c r="CH781">
        <v>0</v>
      </c>
      <c r="CI781">
        <v>0</v>
      </c>
      <c r="CJ781">
        <v>0</v>
      </c>
      <c r="CK781">
        <v>0</v>
      </c>
      <c r="CL781">
        <v>0</v>
      </c>
      <c r="CM781">
        <v>0</v>
      </c>
      <c r="CN781" t="str">
        <f>IF($BL781&lt;$BK781,"refNeedCorrection","refOK")</f>
        <v>refOK</v>
      </c>
      <c r="CO781">
        <f>IF($CN781="refNeedCorrection",BL781,BK781)</f>
        <v>0</v>
      </c>
      <c r="CP781">
        <f>IF($CN781="refNeedCorrection",BK781,BL781)</f>
        <v>15468</v>
      </c>
      <c r="CQ781">
        <f>IF($CN781="refOK",$BO781,-$BO781)</f>
        <v>31.567346938775515</v>
      </c>
      <c r="CR781">
        <f>IF($CN781="refOK",$BS781,$BT781)*IF($BP781="Emissions positive",-1,1)</f>
        <v>-21200</v>
      </c>
      <c r="CS781">
        <f>IF($CN781="refOK",$BT781,$BS781)*IF($BP781="Emissions positive",-1,1)</f>
        <v>-5370</v>
      </c>
      <c r="CT781">
        <f>IF($CN781="refNeedCorrection",-BX781,BX781)*IF($BP781="Emissions positive",-1,1)</f>
        <v>15.83</v>
      </c>
      <c r="CU781">
        <f>IFERROR(CT781/CQ781,"")</f>
        <v>0.50146754590121534</v>
      </c>
      <c r="CV781" s="2">
        <f>IFERROR((CS781-CR781)/ABS(CR781),"")</f>
        <v>0.7466981132075472</v>
      </c>
      <c r="CW781" s="1" t="s">
        <v>1203</v>
      </c>
      <c r="CX781" t="str">
        <f>IF(OR($CW781="prd",$CW781="std",$CW781="cit"),"loc",IF(OR($CW781="eur",$CW781="reg",$CW781="coy"),"reg",$CW781))</f>
        <v>reg</v>
      </c>
      <c r="CY781" t="s">
        <v>348</v>
      </c>
      <c r="CZ781">
        <v>2014</v>
      </c>
      <c r="DA781">
        <v>2114</v>
      </c>
      <c r="DB781">
        <v>100</v>
      </c>
      <c r="DC781" t="str">
        <f>IF(DB781=0,"0",IF(AND(DB781&gt;=1,DB781&lt;=30),"1-30",IF(AND(DB781&gt;30,DB781&lt;=70),"31-70",IF(AND(DB781&gt;70,DB781&lt;=100),"71-100",IF(DB781&gt;100,"+100")))))</f>
        <v>71-100</v>
      </c>
      <c r="DD781">
        <v>0</v>
      </c>
      <c r="DE781">
        <v>0</v>
      </c>
      <c r="DF781">
        <v>0</v>
      </c>
      <c r="DG781">
        <v>1</v>
      </c>
      <c r="DI781">
        <f>SUM(DD781:DG781)</f>
        <v>1</v>
      </c>
      <c r="DJ781" t="str">
        <f>IF(DI781=1,INDEX($DD$7:$DG$7,MATCH(1,$DD781:$DG781,0)),"mixedProduct")</f>
        <v>TimberInput</v>
      </c>
      <c r="DK781">
        <f>IF(DD781=1,DK$7,0)</f>
        <v>0</v>
      </c>
      <c r="DL781">
        <f>IF(DE781=1,DL$7,0)</f>
        <v>0</v>
      </c>
      <c r="DM781">
        <f>IF(DF781=1,DM$7,0)</f>
        <v>0</v>
      </c>
      <c r="DN781" t="str">
        <f>IF(DG781=1,DN$7,0)</f>
        <v>Timber</v>
      </c>
      <c r="DO781">
        <v>0</v>
      </c>
      <c r="DP781">
        <v>0</v>
      </c>
      <c r="DQ781">
        <v>0</v>
      </c>
      <c r="DR781">
        <v>0</v>
      </c>
      <c r="DS781">
        <v>0</v>
      </c>
      <c r="DT781">
        <f>SUM(DO781:DP781)</f>
        <v>0</v>
      </c>
      <c r="DU781" s="143" t="str">
        <f>IF(DO781=1,"self-calculated DF",IF(DP781=1,"external DF used","explicit C balance"))</f>
        <v>explicit C balance</v>
      </c>
      <c r="DV781">
        <v>0</v>
      </c>
      <c r="DW781">
        <v>0</v>
      </c>
      <c r="DX781">
        <v>0</v>
      </c>
      <c r="DY781">
        <v>0</v>
      </c>
      <c r="DZ781">
        <v>0</v>
      </c>
      <c r="EA781" s="143">
        <v>1</v>
      </c>
      <c r="EB781">
        <v>0</v>
      </c>
      <c r="EC781">
        <v>1</v>
      </c>
      <c r="ED781">
        <v>1</v>
      </c>
      <c r="EE781">
        <v>1</v>
      </c>
      <c r="EF781">
        <v>0</v>
      </c>
      <c r="EG781">
        <v>0</v>
      </c>
      <c r="EH781">
        <v>0</v>
      </c>
      <c r="EI781" s="2">
        <v>0</v>
      </c>
      <c r="EK781" t="str">
        <f>IF(AND(AND(AND(OR($DX781=1,$DW781=1),OR($EC781=1,$EA781=1)),SUM($DV781:$DZ781,$EF781)&gt;=4),SUM($EA781:$EE781)&gt;=2),"Whole sector","")</f>
        <v/>
      </c>
      <c r="EL781" t="str">
        <f>IF(AND(AND(OR($DX781=1,$DW781=1),AND($EC781=0,$EA781=0)),SUM($DV781:$DZ781,$EF781)&gt;=4),"Ecosystem approach","")</f>
        <v/>
      </c>
      <c r="EM781" s="2" t="str">
        <f>IF(AND(AND(AND($DX781=0,$DW781=0),OR($EC781=1,$EA781=1)),SUM($EB781:$EE781)&gt;=2),"Technology approach","")</f>
        <v>Technology approach</v>
      </c>
      <c r="EP781" t="str">
        <f>IF(ISNUMBER(BU781),IF(ABS(BU781-[1]QC_indicators!$B$2)&gt;3*[1]QC_indicators!$C$2,"C ratio",IF(ISNUMBER(BY781),IF(ABS(BY781-[1]QC_indicators!$B$1)&gt;3*[1]QC_indicators!$C$1,"DF","no"))),IF(ISNUMBER(BY781),IF(ABS(BY781-[1]QC_indicators!$B$1)&gt;3*[1]QC_indicators!$C$1,"DF","no")))</f>
        <v>no</v>
      </c>
      <c r="ER781" s="149" t="s">
        <v>349</v>
      </c>
      <c r="ET781" s="264" t="s">
        <v>3273</v>
      </c>
    </row>
    <row r="782" spans="1:150" ht="15" customHeight="1">
      <c r="A782" s="1" t="s">
        <v>430</v>
      </c>
      <c r="B782" t="s">
        <v>431</v>
      </c>
      <c r="C782" t="s">
        <v>432</v>
      </c>
      <c r="D782" t="s">
        <v>433</v>
      </c>
      <c r="E782" t="s">
        <v>434</v>
      </c>
      <c r="F782" t="s">
        <v>435</v>
      </c>
      <c r="G782" t="s">
        <v>436</v>
      </c>
      <c r="H782" t="s">
        <v>254</v>
      </c>
      <c r="I782">
        <v>2000</v>
      </c>
      <c r="J782">
        <v>174</v>
      </c>
      <c r="K782" t="s">
        <v>437</v>
      </c>
      <c r="M782" t="str">
        <f>LEFT($D782,FIND(",",$D782)-1)&amp;"_"&amp;I782&amp;L782</f>
        <v>Borjesson_2000</v>
      </c>
      <c r="N782" t="s">
        <v>222</v>
      </c>
      <c r="O782" s="145" t="s">
        <v>223</v>
      </c>
      <c r="Q782" t="s">
        <v>256</v>
      </c>
      <c r="R782" s="255" t="s">
        <v>225</v>
      </c>
      <c r="S782" s="1" t="s">
        <v>475</v>
      </c>
      <c r="T782" t="s">
        <v>480</v>
      </c>
      <c r="U782" t="s">
        <v>485</v>
      </c>
      <c r="V782">
        <v>0</v>
      </c>
      <c r="W782">
        <v>0</v>
      </c>
      <c r="X782">
        <v>0</v>
      </c>
      <c r="Y782">
        <v>0</v>
      </c>
      <c r="Z782">
        <v>0</v>
      </c>
      <c r="AA782">
        <v>0</v>
      </c>
      <c r="AB782">
        <v>0</v>
      </c>
      <c r="AC782">
        <v>0</v>
      </c>
      <c r="AD782">
        <v>0</v>
      </c>
      <c r="AE782">
        <v>0</v>
      </c>
      <c r="AF782">
        <v>0</v>
      </c>
      <c r="AG782">
        <v>0</v>
      </c>
      <c r="AH782">
        <v>0</v>
      </c>
      <c r="AI782">
        <v>0</v>
      </c>
      <c r="AJ782">
        <v>0</v>
      </c>
      <c r="AK782">
        <v>1</v>
      </c>
      <c r="AL782">
        <v>0</v>
      </c>
      <c r="AM782">
        <v>0</v>
      </c>
      <c r="AN782">
        <v>0</v>
      </c>
      <c r="AO782">
        <v>0</v>
      </c>
      <c r="AP782">
        <v>0</v>
      </c>
      <c r="AQ782">
        <v>0</v>
      </c>
      <c r="AR782">
        <v>0</v>
      </c>
      <c r="AS782">
        <v>0</v>
      </c>
      <c r="AT782">
        <v>0</v>
      </c>
      <c r="AU782">
        <v>0</v>
      </c>
      <c r="AV782">
        <v>0</v>
      </c>
      <c r="AW782">
        <v>0</v>
      </c>
      <c r="AX782" s="141">
        <f>COUNTIF(V782:AW782,"&lt;&gt;0")</f>
        <v>1</v>
      </c>
      <c r="AY782" s="141">
        <f>COUNTIF(V782:AL782,"&lt;&gt;0")</f>
        <v>1</v>
      </c>
      <c r="AZ782">
        <f>COUNTIF(V782:AC782,"&lt;&gt;0")</f>
        <v>0</v>
      </c>
      <c r="BA782">
        <f>COUNTIF(AD782:AI782,"&lt;&gt;0")</f>
        <v>0</v>
      </c>
      <c r="BB782">
        <f>COUNTIF(AJ782:AL782,"&lt;&gt;0")</f>
        <v>1</v>
      </c>
      <c r="BC782">
        <f>COUNTIF(AS782:AW782,"&lt;&gt;0")</f>
        <v>0</v>
      </c>
      <c r="BD782">
        <f>COUNTIF(AM782:AR782,"&lt;&gt;0")</f>
        <v>0</v>
      </c>
      <c r="BE782" t="str">
        <f t="array" ref="BE782">IF(AY782=1,INDEX($V$7:$AL$7,MATCH(TRUE,INDEX($V782:$AW782&lt;&gt;0,),0)),IF(AY782=0,INDEX($AM$7:$AW$7,MATCH(1,$AM782:$AW782,0)),IF(BF782="Multiple strategies","mixed drivers",IF(BF782="Supply chain","multiple supply","multiple silviculture"))))</f>
        <v>technologies/design switch</v>
      </c>
      <c r="BF782" s="2" t="str" cm="1">
        <f t="array" ref="BF782">IF(COUNTIF(AZ782:BB782,"&lt;&gt;0")=1,INDEX($V$4:$AW$4,MATCH(TRUE,INDEX($V782:$AW782&lt;&gt;0,),0)),IF(COUNTIF(AZ782:BB782,"&lt;&gt;0")=0,INDEX($AM$4:$AW$4,MATCH(1,$AM782:$AW782,0)),"Multiple strategies"))</f>
        <v>Technology</v>
      </c>
      <c r="BG782" s="142" t="s">
        <v>321</v>
      </c>
      <c r="BH782" t="s">
        <v>478</v>
      </c>
      <c r="BI782" s="264" t="s">
        <v>3276</v>
      </c>
      <c r="BJ782" t="s">
        <v>442</v>
      </c>
      <c r="BK782">
        <v>0</v>
      </c>
      <c r="BL782">
        <v>45</v>
      </c>
      <c r="BM782" s="143"/>
      <c r="BN782">
        <f>BL782-BK782</f>
        <v>45</v>
      </c>
      <c r="BO782">
        <f>BN782*tC_to_m3</f>
        <v>195.39730785931394</v>
      </c>
      <c r="BP782" t="s">
        <v>232</v>
      </c>
      <c r="BQ782" s="260" t="s">
        <v>813</v>
      </c>
      <c r="BR782" t="s">
        <v>443</v>
      </c>
      <c r="BS782" s="141">
        <v>3</v>
      </c>
      <c r="BT782" s="141">
        <v>30</v>
      </c>
      <c r="BU782" s="144">
        <f>IFERROR(BT782/BS782,"")</f>
        <v>10</v>
      </c>
      <c r="BV782">
        <f>BT782-BS782</f>
        <v>27</v>
      </c>
      <c r="BX782">
        <f>BV782*C_to_CO2</f>
        <v>99.09</v>
      </c>
      <c r="BY782">
        <f>IFERROR(BX782/BO782,"")</f>
        <v>0.50712060000000003</v>
      </c>
      <c r="BZ782" s="143">
        <v>0</v>
      </c>
      <c r="CA782" s="143">
        <v>0</v>
      </c>
      <c r="CB782" s="143">
        <v>0</v>
      </c>
      <c r="CC782" s="143">
        <v>0</v>
      </c>
      <c r="CD782" s="143">
        <v>0</v>
      </c>
      <c r="CE782" s="143">
        <v>0</v>
      </c>
      <c r="CF782" s="143">
        <v>0</v>
      </c>
      <c r="CG782" s="143">
        <v>0</v>
      </c>
      <c r="CH782" s="143">
        <v>0</v>
      </c>
      <c r="CI782" s="143">
        <v>0</v>
      </c>
      <c r="CJ782" s="143">
        <v>0</v>
      </c>
      <c r="CK782" s="143">
        <v>0</v>
      </c>
      <c r="CL782" s="143">
        <v>0</v>
      </c>
      <c r="CM782">
        <v>0</v>
      </c>
      <c r="CN782" t="str">
        <f>IF($BL782&lt;$BK782,"refNeedCorrection","refOK")</f>
        <v>refOK</v>
      </c>
      <c r="CO782">
        <f>IF($CN782="refOK",$BK782,$BL782)</f>
        <v>0</v>
      </c>
      <c r="CP782">
        <f>IF($CN782="refOK",$BL782,$BK782)</f>
        <v>45</v>
      </c>
      <c r="CQ782">
        <f>IF($CN782="refOK",$BO782,-$BO782)</f>
        <v>195.39730785931394</v>
      </c>
      <c r="CR782">
        <f>IF($CN782="refOK",$BS782,$BT782)*IF($BP782="Emissions positive",-1,1)</f>
        <v>3</v>
      </c>
      <c r="CS782">
        <f>IF($CN782="refOK",$BT782,$BS782)*IF($BP782="Emissions positive",-1,1)</f>
        <v>30</v>
      </c>
      <c r="CT782">
        <f>IF($CN782="refNeedCorrection",-BX782,BX782)*IF($BP782="Emissions positive",-1,1)</f>
        <v>99.09</v>
      </c>
      <c r="CU782">
        <f>IFERROR(CT782/CQ782,"")</f>
        <v>0.50712060000000003</v>
      </c>
      <c r="CV782" s="2">
        <f>IFERROR((CS782-CR782)/ABS(CR782),"")</f>
        <v>9</v>
      </c>
      <c r="CW782" s="1" t="s">
        <v>263</v>
      </c>
      <c r="CX782" t="str">
        <f>IF(OR($CW782="prd",$CW782="std",$CW782="cit"),"loc",IF(OR($CW782="eur",$CW782="reg",$CW782="coy"),"reg",$CW782))</f>
        <v>loc</v>
      </c>
      <c r="CY782" t="s">
        <v>444</v>
      </c>
      <c r="DB782">
        <v>300</v>
      </c>
      <c r="DC782" t="str">
        <f>IF(DB782=0,"0",IF(AND(DB782&gt;=1,DB782&lt;=30),"1-30",IF(AND(DB782&gt;30,DB782&lt;=70),"31-70",IF(AND(DB782&gt;70,DB782&lt;=100),"71-100",IF(DB782&gt;100,"+100")))))</f>
        <v>+100</v>
      </c>
      <c r="DD782">
        <v>0</v>
      </c>
      <c r="DE782">
        <v>1</v>
      </c>
      <c r="DF782">
        <v>0</v>
      </c>
      <c r="DG782">
        <v>0</v>
      </c>
      <c r="DI782">
        <f>SUM(DD782:DG782)</f>
        <v>1</v>
      </c>
      <c r="DJ782" t="str">
        <f>IF(DI782=1,INDEX($DD$7:$DG$7,MATCH(1,$DD782:$DG782,0)),"mixedProduct")</f>
        <v>EnergyInput</v>
      </c>
      <c r="DK782">
        <f>IF(DD782=1,DK$7,0)</f>
        <v>0</v>
      </c>
      <c r="DL782" t="str">
        <f>IF(DE782=1,DL$7,0)</f>
        <v>Energy</v>
      </c>
      <c r="DM782">
        <f>IF(DF782=1,DM$7,0)</f>
        <v>0</v>
      </c>
      <c r="DN782">
        <f>IF(DG782=1,DN$7,0)</f>
        <v>0</v>
      </c>
      <c r="DO782">
        <v>1</v>
      </c>
      <c r="DP782" s="143">
        <v>0</v>
      </c>
      <c r="DQ782" s="143">
        <v>0</v>
      </c>
      <c r="DR782" s="143">
        <v>0</v>
      </c>
      <c r="DS782">
        <v>0</v>
      </c>
      <c r="DT782">
        <f>SUM(DO782:DP782)</f>
        <v>1</v>
      </c>
      <c r="DU782" s="143" t="str">
        <f>IF(DO782=1,"self-calculated DF",IF(DP782=1,"external DF used","explicit C balance"))</f>
        <v>self-calculated DF</v>
      </c>
      <c r="DV782">
        <v>0</v>
      </c>
      <c r="DW782" s="143">
        <v>0</v>
      </c>
      <c r="DX782" s="143">
        <v>1</v>
      </c>
      <c r="DY782" s="143">
        <v>1</v>
      </c>
      <c r="DZ782">
        <v>1</v>
      </c>
      <c r="EA782" s="143">
        <v>1</v>
      </c>
      <c r="EB782">
        <v>0</v>
      </c>
      <c r="EC782" s="143">
        <v>1</v>
      </c>
      <c r="ED782" s="143">
        <v>0</v>
      </c>
      <c r="EE782">
        <v>0</v>
      </c>
      <c r="EF782">
        <v>0</v>
      </c>
      <c r="EG782" s="143">
        <v>0</v>
      </c>
      <c r="EH782" s="143">
        <v>0</v>
      </c>
      <c r="EI782" s="2">
        <v>0</v>
      </c>
      <c r="EK782" t="str">
        <f>IF(AND(AND(AND(OR($DX782=1,$DW782=1),OR($EC782=1,$EA782=1)),SUM($DV782:$DZ782,$EF782)&gt;=4),SUM($EA782:$EE782)&gt;=2),"Whole sector","")</f>
        <v/>
      </c>
      <c r="EL782" t="str">
        <f>IF(AND(AND(OR($DX782=1,$DW782=1),AND($EC782=0,$EA782=0)),SUM($DV782:$DZ782,$EF782)&gt;=4),"Ecosystem approach","")</f>
        <v/>
      </c>
      <c r="EM782" s="2" t="str">
        <f>IF(AND(AND(AND($DX782=0,$DW782=0),OR($EC782=1,$EA782=1)),SUM($EB782:$EE782)&gt;=2),"Technology approach","")</f>
        <v/>
      </c>
      <c r="EP782" t="str">
        <f>IF(ISNUMBER(BU782),IF(ABS(BU782-[4]QC_indicators!$B$2)&gt;3*[4]QC_indicators!$C$2,"C ratio",IF(ISNUMBER(BY782),IF(ABS(BY782-[4]QC_indicators!$B$1)&gt;3*[4]QC_indicators!$C$1,"DF","no"))),IF(ISNUMBER(BY782),IF(ABS(BY782-[4]QC_indicators!$B$1)&gt;3*[4]QC_indicators!$C$1,"DF","no")))</f>
        <v>no</v>
      </c>
      <c r="ER782" t="s">
        <v>479</v>
      </c>
      <c r="ET782" s="264" t="s">
        <v>3273</v>
      </c>
    </row>
    <row r="783" spans="1:150" ht="15" customHeight="1">
      <c r="A783" s="1" t="s">
        <v>781</v>
      </c>
      <c r="B783" t="s">
        <v>1566</v>
      </c>
      <c r="C783" t="s">
        <v>1567</v>
      </c>
      <c r="D783" t="s">
        <v>1568</v>
      </c>
      <c r="E783" t="s">
        <v>1569</v>
      </c>
      <c r="F783" t="s">
        <v>1570</v>
      </c>
      <c r="G783" t="s">
        <v>1571</v>
      </c>
      <c r="H783" t="s">
        <v>254</v>
      </c>
      <c r="I783">
        <v>2010</v>
      </c>
      <c r="J783">
        <v>35</v>
      </c>
      <c r="K783" t="s">
        <v>1572</v>
      </c>
      <c r="M783" t="str">
        <f>LEFT($D783,FIND(",",$D783)-1)&amp;"_"&amp;I783&amp;L783</f>
        <v>Froese_2010</v>
      </c>
      <c r="N783" t="s">
        <v>222</v>
      </c>
      <c r="O783" s="145" t="s">
        <v>274</v>
      </c>
      <c r="Q783" t="s">
        <v>256</v>
      </c>
      <c r="R783" s="262" t="s">
        <v>223</v>
      </c>
      <c r="S783" s="1" t="s">
        <v>1573</v>
      </c>
      <c r="T783" t="s">
        <v>798</v>
      </c>
      <c r="U783" t="s">
        <v>1574</v>
      </c>
      <c r="V783">
        <v>0</v>
      </c>
      <c r="W783">
        <v>0</v>
      </c>
      <c r="X783">
        <v>0</v>
      </c>
      <c r="Y783">
        <v>0</v>
      </c>
      <c r="Z783">
        <v>0</v>
      </c>
      <c r="AA783">
        <v>0</v>
      </c>
      <c r="AB783">
        <v>0</v>
      </c>
      <c r="AC783">
        <v>0</v>
      </c>
      <c r="AD783">
        <v>0</v>
      </c>
      <c r="AE783">
        <v>0</v>
      </c>
      <c r="AF783">
        <v>0</v>
      </c>
      <c r="AG783">
        <v>0</v>
      </c>
      <c r="AH783">
        <v>0</v>
      </c>
      <c r="AI783">
        <v>0</v>
      </c>
      <c r="AJ783">
        <v>0</v>
      </c>
      <c r="AK783">
        <v>1</v>
      </c>
      <c r="AL783">
        <v>0</v>
      </c>
      <c r="AM783">
        <v>0</v>
      </c>
      <c r="AN783">
        <v>0</v>
      </c>
      <c r="AO783">
        <v>0</v>
      </c>
      <c r="AP783">
        <v>0</v>
      </c>
      <c r="AQ783">
        <v>0</v>
      </c>
      <c r="AR783">
        <v>0</v>
      </c>
      <c r="AS783">
        <v>0</v>
      </c>
      <c r="AT783">
        <v>0</v>
      </c>
      <c r="AU783">
        <v>0</v>
      </c>
      <c r="AV783">
        <v>0</v>
      </c>
      <c r="AW783">
        <v>0</v>
      </c>
      <c r="AX783" s="141">
        <f>COUNTIF(V783:AW783,"&lt;&gt;0")</f>
        <v>1</v>
      </c>
      <c r="AY783" s="141">
        <f>COUNTIF(V783:AL783,"&lt;&gt;0")</f>
        <v>1</v>
      </c>
      <c r="AZ783">
        <f>COUNTIF(V783:AC783,"&lt;&gt;0")</f>
        <v>0</v>
      </c>
      <c r="BA783">
        <f>COUNTIF(AD783:AI783,"&lt;&gt;0")</f>
        <v>0</v>
      </c>
      <c r="BB783">
        <f>COUNTIF(AJ783:AL783,"&lt;&gt;0")</f>
        <v>1</v>
      </c>
      <c r="BC783">
        <f>COUNTIF(AS783:AW783,"&lt;&gt;0")</f>
        <v>0</v>
      </c>
      <c r="BD783">
        <f>COUNTIF(AM783:AR783,"&lt;&gt;0")</f>
        <v>0</v>
      </c>
      <c r="BE783" t="str">
        <f t="array" ref="BE783">IF(AY783=1,INDEX($V$7:$AL$7,MATCH(TRUE,INDEX($V783:$AW783&lt;&gt;0,),0)),IF(AY783=0,INDEX($AM$7:$AW$7,MATCH(1,$AM783:$AW783,0)),IF(BF783="Multiple strategies","mixed drivers",IF(BF783="Supply chain","multiple supply","multiple silviculture"))))</f>
        <v>technologies/design switch</v>
      </c>
      <c r="BF783" s="2" t="str" cm="1">
        <f t="array" ref="BF783">IF(COUNTIF(AZ783:BB783,"&lt;&gt;0")=1,INDEX($V$4:$AW$4,MATCH(TRUE,INDEX($V783:$AW783&lt;&gt;0,),0)),IF(COUNTIF(AZ783:BB783,"&lt;&gt;0")=0,INDEX($AM$4:$AW$4,MATCH(1,$AM783:$AW783,0)),"Multiple strategies"))</f>
        <v>Technology</v>
      </c>
      <c r="BG783" s="1" t="s">
        <v>229</v>
      </c>
      <c r="BH783" t="s">
        <v>1575</v>
      </c>
      <c r="BJ783" s="264" t="s">
        <v>3139</v>
      </c>
      <c r="BK783">
        <v>0</v>
      </c>
      <c r="BL783">
        <f>1/(18.3*0.2778)</f>
        <v>0.1967055750294075</v>
      </c>
      <c r="BN783">
        <f>BL783-BK783</f>
        <v>0.1967055750294075</v>
      </c>
      <c r="BO783">
        <f>BN783*kg_to_m3</f>
        <v>4.0143994903960717E-4</v>
      </c>
      <c r="BP783" t="s">
        <v>232</v>
      </c>
      <c r="BQ783" s="153" t="s">
        <v>429</v>
      </c>
      <c r="BR783" t="s">
        <v>1576</v>
      </c>
      <c r="BS783">
        <v>-1.03</v>
      </c>
      <c r="BT783">
        <v>-0.82599999999999996</v>
      </c>
      <c r="BU783" s="144">
        <f>IFERROR(BT783/BS783,"")</f>
        <v>0.80194174757281544</v>
      </c>
      <c r="BV783">
        <f>BT783-BS783</f>
        <v>0.20400000000000007</v>
      </c>
      <c r="BX783">
        <f>BV783/1000</f>
        <v>2.0400000000000008E-4</v>
      </c>
      <c r="BY783">
        <f>IFERROR(BX783/BO783,"")</f>
        <v>0.50817065040000009</v>
      </c>
      <c r="BZ783">
        <v>0</v>
      </c>
      <c r="CA783">
        <v>0</v>
      </c>
      <c r="CB783">
        <v>0</v>
      </c>
      <c r="CC783">
        <v>0</v>
      </c>
      <c r="CD783">
        <v>0</v>
      </c>
      <c r="CE783">
        <v>0</v>
      </c>
      <c r="CF783">
        <v>0</v>
      </c>
      <c r="CG783">
        <v>0</v>
      </c>
      <c r="CH783">
        <v>0</v>
      </c>
      <c r="CI783">
        <v>0</v>
      </c>
      <c r="CJ783">
        <v>0</v>
      </c>
      <c r="CK783">
        <v>0</v>
      </c>
      <c r="CL783">
        <v>0</v>
      </c>
      <c r="CM783">
        <v>0</v>
      </c>
      <c r="CN783" t="str">
        <f>IF($BL783&lt;$BK783,"refNeedCorrection","refOK")</f>
        <v>refOK</v>
      </c>
      <c r="CO783">
        <f>IF($CN783="refOK",$BK783,$BL783)</f>
        <v>0</v>
      </c>
      <c r="CP783">
        <f>IF($CN783="refOK",$BL783,$BK783)</f>
        <v>0.1967055750294075</v>
      </c>
      <c r="CQ783">
        <f>IF($CN783="refOK",$BO783,-$BO783)</f>
        <v>4.0143994903960717E-4</v>
      </c>
      <c r="CR783">
        <f>IF($CN783="refOK",$BS783,$BT783)*IF($BP783="Emissions positive",-1,1)</f>
        <v>-1.03</v>
      </c>
      <c r="CS783">
        <f>IF($CN783="refOK",$BT783,$BS783)*IF($BP783="Emissions positive",-1,1)</f>
        <v>-0.82599999999999996</v>
      </c>
      <c r="CT783">
        <f>IF($CN783="refNeedCorrection",-BX783,BX783)*IF($BP783="Emissions positive",-1,1)</f>
        <v>2.0400000000000008E-4</v>
      </c>
      <c r="CU783">
        <f>IFERROR(CT783/CQ783,"")</f>
        <v>0.50817065040000009</v>
      </c>
      <c r="CV783" s="2">
        <f>IFERROR((CS783-CR783)/ABS(CR783),"")</f>
        <v>0.19805825242718453</v>
      </c>
      <c r="CW783" s="1" t="s">
        <v>1199</v>
      </c>
      <c r="CX783" t="str">
        <f>IF(OR($CW783="prd",$CW783="std",$CW783="cit"),"loc",IF(OR($CW783="eur",$CW783="reg",$CW783="coy"),"reg",$CW783))</f>
        <v>reg</v>
      </c>
      <c r="CY783" t="s">
        <v>428</v>
      </c>
      <c r="CZ783">
        <v>2010</v>
      </c>
      <c r="DB783">
        <v>0</v>
      </c>
      <c r="DC783" t="str">
        <f>IF(DB783=0,"0",IF(AND(DB783&gt;=1,DB783&lt;=30),"1-30",IF(AND(DB783&gt;30,DB783&lt;=70),"31-70",IF(AND(DB783&gt;70,DB783&lt;=100),"71-100",IF(DB783&gt;100,"+100")))))</f>
        <v>0</v>
      </c>
      <c r="DD783">
        <v>0</v>
      </c>
      <c r="DE783">
        <v>1</v>
      </c>
      <c r="DF783">
        <v>0</v>
      </c>
      <c r="DG783">
        <v>0</v>
      </c>
      <c r="DI783">
        <f>SUM(DD783:DG783)</f>
        <v>1</v>
      </c>
      <c r="DJ783" t="str">
        <f>IF(DI783=1,INDEX($DD$7:$DG$7,MATCH(1,$DD783:$DG783,0)),"mixedProduct")</f>
        <v>EnergyInput</v>
      </c>
      <c r="DK783">
        <f>IF(DD783=1,DK$7,0)</f>
        <v>0</v>
      </c>
      <c r="DL783" t="str">
        <f>IF(DE783=1,DL$7,0)</f>
        <v>Energy</v>
      </c>
      <c r="DM783">
        <f>IF(DF783=1,DM$7,0)</f>
        <v>0</v>
      </c>
      <c r="DN783">
        <f>IF(DG783=1,DN$7,0)</f>
        <v>0</v>
      </c>
      <c r="DO783">
        <v>0</v>
      </c>
      <c r="DP783">
        <v>0</v>
      </c>
      <c r="DQ783">
        <v>0</v>
      </c>
      <c r="DR783">
        <v>0</v>
      </c>
      <c r="DS783">
        <v>0</v>
      </c>
      <c r="DT783">
        <f>SUM(DO783:DP783)</f>
        <v>0</v>
      </c>
      <c r="DU783" s="143" t="str">
        <f>IF(DO783=1,"self-calculated DF",IF(DP783=1,"external DF used","explicit C balance"))</f>
        <v>explicit C balance</v>
      </c>
      <c r="DV783">
        <v>0</v>
      </c>
      <c r="DW783">
        <v>0</v>
      </c>
      <c r="DX783">
        <v>0</v>
      </c>
      <c r="DY783">
        <v>0</v>
      </c>
      <c r="DZ783">
        <v>0</v>
      </c>
      <c r="EA783" s="143">
        <v>0</v>
      </c>
      <c r="EB783">
        <v>0</v>
      </c>
      <c r="EC783">
        <v>1</v>
      </c>
      <c r="ED783">
        <v>0</v>
      </c>
      <c r="EE783">
        <v>1</v>
      </c>
      <c r="EF783">
        <v>0</v>
      </c>
      <c r="EG783">
        <v>0</v>
      </c>
      <c r="EH783">
        <v>0</v>
      </c>
      <c r="EI783" s="2">
        <v>0</v>
      </c>
      <c r="EK783" t="str">
        <f>IF(AND(AND(AND(OR($DX783=1,$DW783=1),OR($EC783=1,$EA783=1)),SUM($DV783:$DZ783,$EF783)&gt;=4),SUM($EA783:$EE783)&gt;=2),"Whole sector","")</f>
        <v/>
      </c>
      <c r="EL783" t="str">
        <f>IF(AND(AND(OR($DX783=1,$DW783=1),AND($EC783=0,$EA783=0)),SUM($DV783:$DZ783,$EF783)&gt;=4),"Ecosystem approach","")</f>
        <v/>
      </c>
      <c r="EM783" s="2" t="str">
        <f>IF(AND(AND(AND($DX783=0,$DW783=0),OR($EC783=1,$EA783=1)),SUM($EB783:$EE783)&gt;=2),"Technology approach","")</f>
        <v>Technology approach</v>
      </c>
      <c r="EN783" s="147" t="s">
        <v>3140</v>
      </c>
      <c r="EP783" t="str">
        <f>IF(ISNUMBER(BU783),IF(ABS(BU783-[1]QC_indicators!$B$2)&gt;3*[1]QC_indicators!$C$2,"C ratio",IF(ISNUMBER(BY783),IF(ABS(BY783-[1]QC_indicators!$B$1)&gt;3*[1]QC_indicators!$C$1,"DF","no"))),IF(ISNUMBER(BY783),IF(ABS(BY783-[1]QC_indicators!$B$1)&gt;3*[1]QC_indicators!$C$1,"DF","no")))</f>
        <v>no</v>
      </c>
      <c r="ER783" s="264" t="s">
        <v>1577</v>
      </c>
      <c r="ET783" s="264" t="s">
        <v>3141</v>
      </c>
    </row>
    <row r="784" spans="1:150" ht="15" customHeight="1">
      <c r="A784" s="1" t="s">
        <v>333</v>
      </c>
      <c r="B784" t="s">
        <v>334</v>
      </c>
      <c r="C784" t="s">
        <v>335</v>
      </c>
      <c r="D784" t="s">
        <v>336</v>
      </c>
      <c r="E784" t="s">
        <v>337</v>
      </c>
      <c r="F784" t="s">
        <v>338</v>
      </c>
      <c r="G784" t="s">
        <v>339</v>
      </c>
      <c r="I784">
        <v>2017</v>
      </c>
      <c r="K784" t="s">
        <v>340</v>
      </c>
      <c r="M784" t="str">
        <f>LEFT($D784,FIND(",",$D784)-1)&amp;"_"&amp;I784&amp;L784</f>
        <v>Balasbaneh_2017</v>
      </c>
      <c r="N784" t="s">
        <v>222</v>
      </c>
      <c r="O784" s="140" t="s">
        <v>341</v>
      </c>
      <c r="Q784" t="s">
        <v>224</v>
      </c>
      <c r="R784" s="262" t="s">
        <v>223</v>
      </c>
      <c r="S784" s="1" t="s">
        <v>375</v>
      </c>
      <c r="T784" t="s">
        <v>371</v>
      </c>
      <c r="U784" t="s">
        <v>357</v>
      </c>
      <c r="V784">
        <v>0</v>
      </c>
      <c r="W784">
        <v>0</v>
      </c>
      <c r="X784">
        <v>0</v>
      </c>
      <c r="Y784">
        <v>0</v>
      </c>
      <c r="Z784">
        <v>0</v>
      </c>
      <c r="AA784">
        <v>0</v>
      </c>
      <c r="AB784">
        <v>0</v>
      </c>
      <c r="AC784">
        <v>0</v>
      </c>
      <c r="AD784">
        <v>0</v>
      </c>
      <c r="AE784">
        <v>0</v>
      </c>
      <c r="AF784">
        <v>0</v>
      </c>
      <c r="AG784">
        <v>0</v>
      </c>
      <c r="AH784">
        <v>0</v>
      </c>
      <c r="AI784">
        <v>0</v>
      </c>
      <c r="AJ784">
        <v>0</v>
      </c>
      <c r="AK784">
        <v>1</v>
      </c>
      <c r="AL784">
        <v>0</v>
      </c>
      <c r="AM784">
        <v>0</v>
      </c>
      <c r="AN784">
        <v>0</v>
      </c>
      <c r="AO784">
        <v>0</v>
      </c>
      <c r="AP784">
        <v>0</v>
      </c>
      <c r="AQ784">
        <v>0</v>
      </c>
      <c r="AR784">
        <v>0</v>
      </c>
      <c r="AS784">
        <v>0</v>
      </c>
      <c r="AT784">
        <v>0</v>
      </c>
      <c r="AU784">
        <v>0</v>
      </c>
      <c r="AV784">
        <v>0</v>
      </c>
      <c r="AW784">
        <v>0</v>
      </c>
      <c r="AX784" s="141">
        <f>COUNTIF(V784:AW784,"&lt;&gt;0")</f>
        <v>1</v>
      </c>
      <c r="AY784" s="141">
        <f>COUNTIF(V784:AL784,"&lt;&gt;0")</f>
        <v>1</v>
      </c>
      <c r="AZ784">
        <f>COUNTIF(V784:AC784,"&lt;&gt;0")</f>
        <v>0</v>
      </c>
      <c r="BA784">
        <f>COUNTIF(AD784:AI784,"&lt;&gt;0")</f>
        <v>0</v>
      </c>
      <c r="BB784">
        <f>COUNTIF(AJ784:AL784,"&lt;&gt;0")</f>
        <v>1</v>
      </c>
      <c r="BC784">
        <f>COUNTIF(AS784:AW784,"&lt;&gt;0")</f>
        <v>0</v>
      </c>
      <c r="BD784">
        <f>COUNTIF(AM784:AR784,"&lt;&gt;0")</f>
        <v>0</v>
      </c>
      <c r="BE784" t="str">
        <f t="array" ref="BE784">IF(AY784=1,INDEX($V$7:$AL$7,MATCH(TRUE,INDEX($V784:$AW784&lt;&gt;0,),0)),IF(AY784=0,INDEX($AM$7:$AW$7,MATCH(1,$AM784:$AW784,0)),IF(BF784="Multiple strategies","mixed drivers",IF(BF784="Supply chain","multiple supply","multiple silviculture"))))</f>
        <v>technologies/design switch</v>
      </c>
      <c r="BF784" s="2" t="str" cm="1">
        <f t="array" ref="BF784">IF(COUNTIF(AZ784:BB784,"&lt;&gt;0")=1,INDEX($V$4:$AW$4,MATCH(TRUE,INDEX($V784:$AW784&lt;&gt;0,),0)),IF(COUNTIF(AZ784:BB784,"&lt;&gt;0")=0,INDEX($AM$4:$AW$4,MATCH(1,$AM784:$AW784,0)),"Multiple strategies"))</f>
        <v>Technology</v>
      </c>
      <c r="BG784" s="1" t="s">
        <v>229</v>
      </c>
      <c r="BH784" t="s">
        <v>229</v>
      </c>
      <c r="BI784" s="264" t="s">
        <v>410</v>
      </c>
      <c r="BJ784" t="s">
        <v>345</v>
      </c>
      <c r="BK784">
        <v>0</v>
      </c>
      <c r="BL784">
        <v>29276</v>
      </c>
      <c r="BM784" s="143"/>
      <c r="BN784">
        <f>BL784-BK784</f>
        <v>29276</v>
      </c>
      <c r="BO784" s="143">
        <f>BN784*kg_to_m3</f>
        <v>59.746938775510209</v>
      </c>
      <c r="BP784" t="s">
        <v>232</v>
      </c>
      <c r="BQ784" s="335" t="s">
        <v>396</v>
      </c>
      <c r="BR784" t="s">
        <v>346</v>
      </c>
      <c r="BS784">
        <v>-32500</v>
      </c>
      <c r="BT784">
        <v>-2080</v>
      </c>
      <c r="BU784" s="144">
        <v>6.4000000000000001E-2</v>
      </c>
      <c r="BV784">
        <f>BT784-BS784</f>
        <v>30420</v>
      </c>
      <c r="BX784">
        <f>BV784/1000</f>
        <v>30.42</v>
      </c>
      <c r="BY784">
        <f>IFERROR(BX784/BO784,"")</f>
        <v>0.50914742451154527</v>
      </c>
      <c r="BZ784">
        <v>0</v>
      </c>
      <c r="CA784">
        <v>0</v>
      </c>
      <c r="CB784">
        <v>0</v>
      </c>
      <c r="CC784">
        <v>0</v>
      </c>
      <c r="CD784">
        <v>0</v>
      </c>
      <c r="CE784">
        <v>0</v>
      </c>
      <c r="CF784">
        <v>0</v>
      </c>
      <c r="CG784">
        <v>0</v>
      </c>
      <c r="CH784">
        <v>0</v>
      </c>
      <c r="CI784">
        <v>0</v>
      </c>
      <c r="CJ784">
        <v>0</v>
      </c>
      <c r="CK784">
        <v>0</v>
      </c>
      <c r="CL784">
        <v>0</v>
      </c>
      <c r="CM784">
        <v>0</v>
      </c>
      <c r="CN784" t="str">
        <f>IF($BL784&lt;$BK784,"refNeedCorrection","refOK")</f>
        <v>refOK</v>
      </c>
      <c r="CO784">
        <f>IF($CN784="refNeedCorrection",BL784,BK784)</f>
        <v>0</v>
      </c>
      <c r="CP784">
        <f>IF($CN784="refNeedCorrection",BK784,BL784)</f>
        <v>29276</v>
      </c>
      <c r="CQ784">
        <f>IF($CN784="refOK",$BO784,-$BO784)</f>
        <v>59.746938775510209</v>
      </c>
      <c r="CR784">
        <f>IF($CN784="refOK",$BS784,$BT784)*IF($BP784="Emissions positive",-1,1)</f>
        <v>-32500</v>
      </c>
      <c r="CS784">
        <f>IF($CN784="refOK",$BT784,$BS784)*IF($BP784="Emissions positive",-1,1)</f>
        <v>-2080</v>
      </c>
      <c r="CT784">
        <f>IF($CN784="refNeedCorrection",-BX784,BX784)*IF($BP784="Emissions positive",-1,1)</f>
        <v>30.42</v>
      </c>
      <c r="CU784">
        <f>IFERROR(CT784/CQ784,"")</f>
        <v>0.50914742451154527</v>
      </c>
      <c r="CV784" s="2">
        <f>IFERROR((CS784-CR784)/ABS(CR784),"")</f>
        <v>0.93600000000000005</v>
      </c>
      <c r="CW784" s="1" t="s">
        <v>347</v>
      </c>
      <c r="CX784" t="str">
        <f>IF(OR($CW784="prd",$CW784="std",$CW784="cit"),"loc",IF(OR($CW784="eur",$CW784="reg",$CW784="coy"),"reg",$CW784))</f>
        <v>loc</v>
      </c>
      <c r="CY784" t="s">
        <v>348</v>
      </c>
      <c r="CZ784">
        <v>2014</v>
      </c>
      <c r="DA784">
        <v>2514</v>
      </c>
      <c r="DB784">
        <v>500</v>
      </c>
      <c r="DC784" t="str">
        <f>IF(DB784=0,"0",IF(AND(DB784&gt;=1,DB784&lt;=30),"1-30",IF(AND(DB784&gt;30,DB784&lt;=70),"31-70",IF(AND(DB784&gt;70,DB784&lt;=100),"71-100",IF(DB784&gt;100,"+100")))))</f>
        <v>+100</v>
      </c>
      <c r="DD784">
        <v>0</v>
      </c>
      <c r="DE784">
        <v>0</v>
      </c>
      <c r="DF784">
        <v>0</v>
      </c>
      <c r="DG784">
        <v>1</v>
      </c>
      <c r="DI784">
        <f>SUM(DD784:DG784)</f>
        <v>1</v>
      </c>
      <c r="DJ784" t="str">
        <f>IF(DI784=1,INDEX($DD$7:$DG$7,MATCH(1,$DD784:$DG784,0)),"mixedProduct")</f>
        <v>TimberInput</v>
      </c>
      <c r="DK784">
        <f>IF(DD784=1,DK$7,0)</f>
        <v>0</v>
      </c>
      <c r="DL784">
        <f>IF(DE784=1,DL$7,0)</f>
        <v>0</v>
      </c>
      <c r="DM784">
        <f>IF(DF784=1,DM$7,0)</f>
        <v>0</v>
      </c>
      <c r="DN784" t="str">
        <f>IF(DG784=1,DN$7,0)</f>
        <v>Timber</v>
      </c>
      <c r="DO784">
        <v>0</v>
      </c>
      <c r="DP784">
        <v>0</v>
      </c>
      <c r="DQ784">
        <v>0</v>
      </c>
      <c r="DR784">
        <v>0</v>
      </c>
      <c r="DS784">
        <v>0</v>
      </c>
      <c r="DT784">
        <f>SUM(DO784:DP784)</f>
        <v>0</v>
      </c>
      <c r="DU784" s="143" t="str">
        <f>IF(DO784=1,"self-calculated DF",IF(DP784=1,"external DF used","explicit C balance"))</f>
        <v>explicit C balance</v>
      </c>
      <c r="DV784">
        <v>0</v>
      </c>
      <c r="DW784">
        <v>0</v>
      </c>
      <c r="DX784">
        <v>0</v>
      </c>
      <c r="DY784">
        <v>1</v>
      </c>
      <c r="DZ784">
        <v>0</v>
      </c>
      <c r="EA784" s="143">
        <v>1</v>
      </c>
      <c r="EB784">
        <v>0</v>
      </c>
      <c r="EC784">
        <v>1</v>
      </c>
      <c r="ED784">
        <v>1</v>
      </c>
      <c r="EE784">
        <v>1</v>
      </c>
      <c r="EF784">
        <v>0</v>
      </c>
      <c r="EG784">
        <v>0</v>
      </c>
      <c r="EH784">
        <v>0</v>
      </c>
      <c r="EI784" s="2">
        <v>0</v>
      </c>
      <c r="EK784" t="str">
        <f>IF(AND(AND(AND(OR($DX784=1,$DW784=1),OR($EC784=1,$EA784=1)),SUM($DV784:$DZ784,$EF784)&gt;=4),SUM($EA784:$EE784)&gt;=2),"Whole sector","")</f>
        <v/>
      </c>
      <c r="EL784" t="str">
        <f>IF(AND(AND(OR($DX784=1,$DW784=1),AND($EC784=0,$EA784=0)),SUM($DV784:$DZ784,$EF784)&gt;=4),"Ecosystem approach","")</f>
        <v/>
      </c>
      <c r="EM784" s="2" t="str">
        <f>IF(AND(AND(AND($DX784=0,$DW784=0),OR($EC784=1,$EA784=1)),SUM($EB784:$EE784)&gt;=2),"Technology approach","")</f>
        <v>Technology approach</v>
      </c>
      <c r="EP784" t="str">
        <f>IF(ISNUMBER(BU784),IF(ABS(BU784-[1]QC_indicators!$B$2)&gt;3*[1]QC_indicators!$C$2,"C ratio",IF(ISNUMBER(BY784),IF(ABS(BY784-[1]QC_indicators!$B$1)&gt;3*[1]QC_indicators!$C$1,"DF","no"))),IF(ISNUMBER(BY784),IF(ABS(BY784-[1]QC_indicators!$B$1)&gt;3*[1]QC_indicators!$C$1,"DF","no")))</f>
        <v>no</v>
      </c>
      <c r="ER784" s="149" t="s">
        <v>349</v>
      </c>
      <c r="ET784" s="264" t="s">
        <v>3273</v>
      </c>
    </row>
    <row r="785" spans="1:150" ht="15" customHeight="1">
      <c r="A785" s="1" t="s">
        <v>1423</v>
      </c>
      <c r="B785" t="s">
        <v>2490</v>
      </c>
      <c r="C785" t="s">
        <v>2491</v>
      </c>
      <c r="D785" t="s">
        <v>2492</v>
      </c>
      <c r="E785" t="s">
        <v>2493</v>
      </c>
      <c r="F785" t="s">
        <v>2494</v>
      </c>
      <c r="G785" t="s">
        <v>1429</v>
      </c>
      <c r="H785" t="s">
        <v>254</v>
      </c>
      <c r="I785">
        <v>2016</v>
      </c>
      <c r="J785">
        <v>24</v>
      </c>
      <c r="K785" t="s">
        <v>2495</v>
      </c>
      <c r="M785" t="str">
        <f>LEFT($D785,FIND(",",$D785)-1)&amp;"_"&amp;I785&amp;L785</f>
        <v>Zubizarreta-Gerendiain_2016</v>
      </c>
      <c r="N785" t="s">
        <v>222</v>
      </c>
      <c r="O785" s="145" t="s">
        <v>1154</v>
      </c>
      <c r="Q785" t="s">
        <v>256</v>
      </c>
      <c r="R785" s="262" t="s">
        <v>223</v>
      </c>
      <c r="S785" s="1" t="s">
        <v>2518</v>
      </c>
      <c r="T785" t="s">
        <v>2498</v>
      </c>
      <c r="U785" t="s">
        <v>2519</v>
      </c>
      <c r="V785">
        <v>0</v>
      </c>
      <c r="W785">
        <v>0</v>
      </c>
      <c r="X785">
        <v>0</v>
      </c>
      <c r="Y785">
        <v>0</v>
      </c>
      <c r="Z785">
        <v>0</v>
      </c>
      <c r="AA785">
        <v>0</v>
      </c>
      <c r="AB785">
        <v>0</v>
      </c>
      <c r="AC785">
        <v>0</v>
      </c>
      <c r="AD785">
        <v>0</v>
      </c>
      <c r="AE785">
        <v>0</v>
      </c>
      <c r="AF785">
        <v>1</v>
      </c>
      <c r="AG785">
        <v>0</v>
      </c>
      <c r="AH785">
        <v>0</v>
      </c>
      <c r="AI785">
        <v>0</v>
      </c>
      <c r="AJ785">
        <v>0</v>
      </c>
      <c r="AK785">
        <v>0</v>
      </c>
      <c r="AL785">
        <v>0</v>
      </c>
      <c r="AM785">
        <v>0</v>
      </c>
      <c r="AN785">
        <v>0</v>
      </c>
      <c r="AO785">
        <v>0</v>
      </c>
      <c r="AP785">
        <v>0</v>
      </c>
      <c r="AQ785">
        <v>0</v>
      </c>
      <c r="AR785">
        <v>0</v>
      </c>
      <c r="AS785">
        <v>0</v>
      </c>
      <c r="AT785">
        <v>0</v>
      </c>
      <c r="AU785">
        <v>0</v>
      </c>
      <c r="AV785">
        <v>0</v>
      </c>
      <c r="AW785">
        <v>0</v>
      </c>
      <c r="AX785" s="141">
        <f>COUNTIF(V785:AW785,"&lt;&gt;0")</f>
        <v>1</v>
      </c>
      <c r="AY785" s="141">
        <f>COUNTIF(V785:AL785,"&lt;&gt;0")</f>
        <v>1</v>
      </c>
      <c r="AZ785">
        <f>COUNTIF(V785:AC785,"&lt;&gt;0")</f>
        <v>0</v>
      </c>
      <c r="BA785">
        <f>COUNTIF(AD785:AI785,"&lt;&gt;0")</f>
        <v>1</v>
      </c>
      <c r="BB785">
        <f>COUNTIF(AJ785:AL785,"&lt;&gt;0")</f>
        <v>0</v>
      </c>
      <c r="BC785">
        <f>COUNTIF(AS785:AW785,"&lt;&gt;0")</f>
        <v>0</v>
      </c>
      <c r="BD785">
        <f>COUNTIF(AM785:AR785,"&lt;&gt;0")</f>
        <v>0</v>
      </c>
      <c r="BE785" t="str">
        <f t="array" ref="BE785">IF(AY785=1,INDEX($V$7:$AL$7,MATCH(TRUE,INDEX($V785:$AW785&lt;&gt;0,),0)),IF(AY785=0,INDEX($AM$7:$AW$7,MATCH(1,$AM785:$AW785,0)),IF(BF785="Multiple strategies","mixed drivers",IF(BF785="Supply chain","multiple supply","multiple silviculture"))))</f>
        <v>supply chain organization</v>
      </c>
      <c r="BF785" s="2" t="str" cm="1">
        <f t="array" ref="BF785">IF(COUNTIF(AZ785:BB785,"&lt;&gt;0")=1,INDEX($V$4:$AW$4,MATCH(TRUE,INDEX($V785:$AW785&lt;&gt;0,),0)),IF(COUNTIF(AZ785:BB785,"&lt;&gt;0")=0,INDEX($AM$4:$AW$4,MATCH(1,$AM785:$AW785,0)),"Multiple strategies"))</f>
        <v>Supply chain</v>
      </c>
      <c r="BG785" s="1" t="s">
        <v>321</v>
      </c>
      <c r="BH785" t="s">
        <v>2499</v>
      </c>
      <c r="BI785" s="264" t="s">
        <v>2113</v>
      </c>
      <c r="BJ785" t="s">
        <v>2500</v>
      </c>
      <c r="BK785">
        <v>82.946708463949804</v>
      </c>
      <c r="BL785">
        <v>84.921630094043806</v>
      </c>
      <c r="BM785" s="143">
        <f>BL785/BK785</f>
        <v>1.0238095238095233</v>
      </c>
      <c r="BN785">
        <f>BL785-BK785</f>
        <v>1.974921630094002</v>
      </c>
      <c r="BO785">
        <f>BN785*1000*t_to_m3</f>
        <v>4030.4523063142901</v>
      </c>
      <c r="BP785" s="143" t="s">
        <v>232</v>
      </c>
      <c r="BQ785" s="143" t="s">
        <v>3256</v>
      </c>
      <c r="BR785" t="s">
        <v>1195</v>
      </c>
      <c r="BS785">
        <v>-114599.70703910608</v>
      </c>
      <c r="BT785">
        <v>-112538.56122905009</v>
      </c>
      <c r="BU785" s="144">
        <f>IFERROR(BT785/BS785,"")</f>
        <v>0.98201438848920752</v>
      </c>
      <c r="BV785" s="144">
        <f>BT785-BS785</f>
        <v>2061.1458100559976</v>
      </c>
      <c r="BW785" s="144"/>
      <c r="BX785" s="144">
        <f>BV785</f>
        <v>2061.1458100559976</v>
      </c>
      <c r="BY785">
        <f>IFERROR(BX785/BO785,"")</f>
        <v>0.51139317709501553</v>
      </c>
      <c r="BZ785">
        <v>0</v>
      </c>
      <c r="CA785">
        <v>0</v>
      </c>
      <c r="CB785">
        <v>0</v>
      </c>
      <c r="CC785">
        <v>0</v>
      </c>
      <c r="CD785">
        <v>0</v>
      </c>
      <c r="CE785">
        <v>0</v>
      </c>
      <c r="CF785">
        <v>0</v>
      </c>
      <c r="CG785">
        <v>0</v>
      </c>
      <c r="CH785">
        <v>0</v>
      </c>
      <c r="CI785">
        <v>0</v>
      </c>
      <c r="CJ785">
        <v>0</v>
      </c>
      <c r="CK785">
        <v>0</v>
      </c>
      <c r="CL785">
        <v>0</v>
      </c>
      <c r="CM785">
        <v>1</v>
      </c>
      <c r="CN785" t="str">
        <f>IF($BL785&lt;$BK785,"refNeedCorrection","refOK")</f>
        <v>refOK</v>
      </c>
      <c r="CO785">
        <f>IF($CN785="refOK",$BK785,$BL785)</f>
        <v>82.946708463949804</v>
      </c>
      <c r="CP785">
        <f>IF($CN785="refOK",$BL785,$BK785)</f>
        <v>84.921630094043806</v>
      </c>
      <c r="CQ785">
        <f>IF($CN785="refOK",$BO785,-$BO785)</f>
        <v>4030.4523063142901</v>
      </c>
      <c r="CR785">
        <f>IF($CN785="refOK",$BS785,$BT785)*IF($BP785="Emissions positive",-1,1)</f>
        <v>-114599.70703910608</v>
      </c>
      <c r="CS785">
        <f>IF($CN785="refOK",$BT785,$BS785)*IF($BP785="Emissions positive",-1,1)</f>
        <v>-112538.56122905009</v>
      </c>
      <c r="CT785">
        <f>IF($CN785="refNeedCorrection",-BX785,BX785)*IF($BP785="Emissions positive",-1,1)</f>
        <v>2061.1458100559976</v>
      </c>
      <c r="CU785">
        <f>IFERROR(CT785/CQ785,"")</f>
        <v>0.51139317709501553</v>
      </c>
      <c r="CV785" s="2">
        <f>IFERROR((CS785-CR785)/ABS(CR785),"")</f>
        <v>1.7985611510792525E-2</v>
      </c>
      <c r="CW785" s="1" t="s">
        <v>1199</v>
      </c>
      <c r="CX785" t="str">
        <f>IF(OR($CW785="prd",$CW785="std",$CW785="cit"),"loc",IF(OR($CW785="eur",$CW785="reg",$CW785="coy"),"reg",$CW785))</f>
        <v>reg</v>
      </c>
      <c r="CY785" t="s">
        <v>235</v>
      </c>
      <c r="CZ785">
        <v>2010</v>
      </c>
      <c r="DA785">
        <v>2070</v>
      </c>
      <c r="DB785">
        <f>DA785-CZ785</f>
        <v>60</v>
      </c>
      <c r="DC785" t="str">
        <f>IF(DB785=0,"0",IF(AND(DB785&gt;=1,DB785&lt;=30),"1-30",IF(AND(DB785&gt;30,DB785&lt;=70),"31-70",IF(AND(DB785&gt;70,DB785&lt;=100),"71-100",IF(DB785&gt;100,"+100")))))</f>
        <v>31-70</v>
      </c>
      <c r="DD785">
        <v>1</v>
      </c>
      <c r="DE785">
        <v>1</v>
      </c>
      <c r="DF785">
        <v>1</v>
      </c>
      <c r="DG785">
        <v>1</v>
      </c>
      <c r="DH785">
        <v>0</v>
      </c>
      <c r="DI785">
        <f>SUM(DD785:DG785)</f>
        <v>4</v>
      </c>
      <c r="DJ785" t="str">
        <f>IF(DI785=1,INDEX($DD$7:$DG$7,MATCH(1,$DD785:$DG785,0)),"mixedProduct")</f>
        <v>mixedProduct</v>
      </c>
      <c r="DK785" t="str">
        <f>IF(DD785=1,DK$7,0)</f>
        <v>Upstream</v>
      </c>
      <c r="DL785" t="str">
        <f>IF(DE785=1,DL$7,0)</f>
        <v>Energy</v>
      </c>
      <c r="DM785" t="str">
        <f>IF(DF785=1,DM$7,0)</f>
        <v>Pulp/Paper</v>
      </c>
      <c r="DN785" t="str">
        <f>IF(DG785=1,DN$7,0)</f>
        <v>Timber</v>
      </c>
      <c r="DO785">
        <v>0</v>
      </c>
      <c r="DP785">
        <v>0</v>
      </c>
      <c r="DQ785">
        <v>0</v>
      </c>
      <c r="DR785">
        <v>0</v>
      </c>
      <c r="DS785">
        <v>0</v>
      </c>
      <c r="DT785">
        <f>SUM(DO785:DP785)</f>
        <v>0</v>
      </c>
      <c r="DU785" s="143" t="str">
        <f>IF(DO785=1,"self-calculated DF",IF(DP785=1,"external DF used","explicit C balance"))</f>
        <v>explicit C balance</v>
      </c>
      <c r="DV785">
        <v>1</v>
      </c>
      <c r="DW785">
        <v>1</v>
      </c>
      <c r="DX785">
        <v>1</v>
      </c>
      <c r="DY785">
        <v>0</v>
      </c>
      <c r="DZ785">
        <v>0</v>
      </c>
      <c r="EA785" s="143">
        <v>0</v>
      </c>
      <c r="EB785">
        <v>1</v>
      </c>
      <c r="EC785">
        <v>1</v>
      </c>
      <c r="ED785">
        <v>0</v>
      </c>
      <c r="EE785">
        <v>0</v>
      </c>
      <c r="EF785">
        <v>1</v>
      </c>
      <c r="EG785">
        <v>0</v>
      </c>
      <c r="EH785">
        <v>0</v>
      </c>
      <c r="EI785" s="2">
        <v>0</v>
      </c>
      <c r="EK785" t="str">
        <f>IF(AND(AND(AND(OR($DX785=1,$DW785=1),OR($EC785=1,$EA785=1)),SUM($DV785:$DZ785,$EF785)&gt;=4),SUM($EA785:$EE785)&gt;=2),"Whole sector","")</f>
        <v>Whole sector</v>
      </c>
      <c r="EL785" t="str">
        <f>IF(AND(AND(OR($DX785=1,$DW785=1),AND($EC785=0,$EA785=0)),SUM($DV785:$DZ785,$EF785)&gt;=4),"Ecosystem approach","")</f>
        <v/>
      </c>
      <c r="EM785" s="2" t="str">
        <f>IF(AND(AND(AND($DX785=0,$DW785=0),OR($EC785=1,$EA785=1)),SUM($EB785:$EE785)&gt;=2),"Technology approach","")</f>
        <v/>
      </c>
      <c r="EN785" t="s">
        <v>2508</v>
      </c>
      <c r="EP785" t="str">
        <f>IF(ISNUMBER(BU785),IF(ABS(BU785-[1]QC_indicators!$B$2)&gt;3*[1]QC_indicators!$C$2,"C ratio",IF(ISNUMBER(BY785),IF(ABS(BY785-[1]QC_indicators!$B$1)&gt;3*[1]QC_indicators!$C$1,"DF","no"))),IF(ISNUMBER(BY785),IF(ABS(BY785-[1]QC_indicators!$B$1)&gt;3*[1]QC_indicators!$C$1,"DF","no")))</f>
        <v>no</v>
      </c>
      <c r="ET785" s="264" t="s">
        <v>3257</v>
      </c>
    </row>
    <row r="786" spans="1:150" ht="15" customHeight="1">
      <c r="A786" s="1" t="s">
        <v>333</v>
      </c>
      <c r="B786" t="s">
        <v>334</v>
      </c>
      <c r="C786" t="s">
        <v>335</v>
      </c>
      <c r="D786" t="s">
        <v>336</v>
      </c>
      <c r="E786" t="s">
        <v>337</v>
      </c>
      <c r="F786" t="s">
        <v>338</v>
      </c>
      <c r="G786" t="s">
        <v>339</v>
      </c>
      <c r="I786">
        <v>2017</v>
      </c>
      <c r="K786" t="s">
        <v>340</v>
      </c>
      <c r="M786" t="str">
        <f>LEFT($D786,FIND(",",$D786)-1)&amp;"_"&amp;I786&amp;L786</f>
        <v>Balasbaneh_2017</v>
      </c>
      <c r="N786" t="s">
        <v>222</v>
      </c>
      <c r="O786" s="140" t="s">
        <v>341</v>
      </c>
      <c r="Q786" t="s">
        <v>224</v>
      </c>
      <c r="R786" s="262" t="s">
        <v>223</v>
      </c>
      <c r="S786" s="1" t="s">
        <v>376</v>
      </c>
      <c r="T786" t="s">
        <v>371</v>
      </c>
      <c r="U786" t="s">
        <v>344</v>
      </c>
      <c r="V786">
        <v>0</v>
      </c>
      <c r="W786">
        <v>0</v>
      </c>
      <c r="X786">
        <v>0</v>
      </c>
      <c r="Y786">
        <v>0</v>
      </c>
      <c r="Z786">
        <v>0</v>
      </c>
      <c r="AA786">
        <v>0</v>
      </c>
      <c r="AB786">
        <v>0</v>
      </c>
      <c r="AC786">
        <v>0</v>
      </c>
      <c r="AD786">
        <v>0</v>
      </c>
      <c r="AE786">
        <v>0</v>
      </c>
      <c r="AF786">
        <v>0</v>
      </c>
      <c r="AG786">
        <v>0</v>
      </c>
      <c r="AH786">
        <v>0</v>
      </c>
      <c r="AI786">
        <v>0</v>
      </c>
      <c r="AJ786">
        <v>0</v>
      </c>
      <c r="AK786">
        <v>1</v>
      </c>
      <c r="AL786">
        <v>0</v>
      </c>
      <c r="AM786">
        <v>0</v>
      </c>
      <c r="AN786">
        <v>0</v>
      </c>
      <c r="AO786">
        <v>0</v>
      </c>
      <c r="AP786">
        <v>0</v>
      </c>
      <c r="AQ786">
        <v>0</v>
      </c>
      <c r="AR786">
        <v>0</v>
      </c>
      <c r="AS786">
        <v>0</v>
      </c>
      <c r="AT786">
        <v>0</v>
      </c>
      <c r="AU786">
        <v>0</v>
      </c>
      <c r="AV786">
        <v>0</v>
      </c>
      <c r="AW786">
        <v>0</v>
      </c>
      <c r="AX786" s="141">
        <f>COUNTIF(V786:AW786,"&lt;&gt;0")</f>
        <v>1</v>
      </c>
      <c r="AY786" s="141">
        <f>COUNTIF(V786:AL786,"&lt;&gt;0")</f>
        <v>1</v>
      </c>
      <c r="AZ786">
        <f>COUNTIF(V786:AC786,"&lt;&gt;0")</f>
        <v>0</v>
      </c>
      <c r="BA786">
        <f>COUNTIF(AD786:AI786,"&lt;&gt;0")</f>
        <v>0</v>
      </c>
      <c r="BB786">
        <f>COUNTIF(AJ786:AL786,"&lt;&gt;0")</f>
        <v>1</v>
      </c>
      <c r="BC786">
        <f>COUNTIF(AS786:AW786,"&lt;&gt;0")</f>
        <v>0</v>
      </c>
      <c r="BD786">
        <f>COUNTIF(AM786:AR786,"&lt;&gt;0")</f>
        <v>0</v>
      </c>
      <c r="BE786" t="str">
        <f t="array" ref="BE786">IF(AY786=1,INDEX($V$7:$AL$7,MATCH(TRUE,INDEX($V786:$AW786&lt;&gt;0,),0)),IF(AY786=0,INDEX($AM$7:$AW$7,MATCH(1,$AM786:$AW786,0)),IF(BF786="Multiple strategies","mixed drivers",IF(BF786="Supply chain","multiple supply","multiple silviculture"))))</f>
        <v>technologies/design switch</v>
      </c>
      <c r="BF786" s="2" t="str" cm="1">
        <f t="array" ref="BF786">IF(COUNTIF(AZ786:BB786,"&lt;&gt;0")=1,INDEX($V$4:$AW$4,MATCH(TRUE,INDEX($V786:$AW786&lt;&gt;0,),0)),IF(COUNTIF(AZ786:BB786,"&lt;&gt;0")=0,INDEX($AM$4:$AW$4,MATCH(1,$AM786:$AW786,0)),"Multiple strategies"))</f>
        <v>Technology</v>
      </c>
      <c r="BG786" s="1" t="s">
        <v>229</v>
      </c>
      <c r="BH786" t="s">
        <v>229</v>
      </c>
      <c r="BI786" s="264" t="s">
        <v>410</v>
      </c>
      <c r="BJ786" t="s">
        <v>345</v>
      </c>
      <c r="BK786">
        <v>0</v>
      </c>
      <c r="BL786">
        <v>23500</v>
      </c>
      <c r="BM786" s="143"/>
      <c r="BN786">
        <f>BL786-BK786</f>
        <v>23500</v>
      </c>
      <c r="BO786" s="143">
        <f>BN786*kg_to_m3</f>
        <v>47.95918367346939</v>
      </c>
      <c r="BP786" t="s">
        <v>232</v>
      </c>
      <c r="BQ786" s="335" t="s">
        <v>396</v>
      </c>
      <c r="BR786" t="s">
        <v>346</v>
      </c>
      <c r="BS786">
        <v>-30600</v>
      </c>
      <c r="BT786">
        <v>-6020</v>
      </c>
      <c r="BU786" s="144">
        <v>0.19673202614379084</v>
      </c>
      <c r="BV786">
        <f>BT786-BS786</f>
        <v>24580</v>
      </c>
      <c r="BX786">
        <f>BV786/1000</f>
        <v>24.58</v>
      </c>
      <c r="BY786">
        <f>IFERROR(BX786/BO786,"")</f>
        <v>0.51251914893617012</v>
      </c>
      <c r="BZ786">
        <v>0</v>
      </c>
      <c r="CA786">
        <v>0</v>
      </c>
      <c r="CB786">
        <v>0</v>
      </c>
      <c r="CC786">
        <v>0</v>
      </c>
      <c r="CD786">
        <v>0</v>
      </c>
      <c r="CE786">
        <v>0</v>
      </c>
      <c r="CF786">
        <v>0</v>
      </c>
      <c r="CG786">
        <v>0</v>
      </c>
      <c r="CH786">
        <v>0</v>
      </c>
      <c r="CI786">
        <v>0</v>
      </c>
      <c r="CJ786">
        <v>0</v>
      </c>
      <c r="CK786">
        <v>0</v>
      </c>
      <c r="CL786">
        <v>0</v>
      </c>
      <c r="CM786">
        <v>0</v>
      </c>
      <c r="CN786" t="str">
        <f>IF($BL786&lt;$BK786,"refNeedCorrection","refOK")</f>
        <v>refOK</v>
      </c>
      <c r="CO786">
        <f>IF($CN786="refNeedCorrection",BL786,BK786)</f>
        <v>0</v>
      </c>
      <c r="CP786">
        <f>IF($CN786="refNeedCorrection",BK786,BL786)</f>
        <v>23500</v>
      </c>
      <c r="CQ786">
        <f>IF($CN786="refOK",$BO786,-$BO786)</f>
        <v>47.95918367346939</v>
      </c>
      <c r="CR786">
        <f>IF($CN786="refOK",$BS786,$BT786)*IF($BP786="Emissions positive",-1,1)</f>
        <v>-30600</v>
      </c>
      <c r="CS786">
        <f>IF($CN786="refOK",$BT786,$BS786)*IF($BP786="Emissions positive",-1,1)</f>
        <v>-6020</v>
      </c>
      <c r="CT786">
        <f>IF($CN786="refNeedCorrection",-BX786,BX786)*IF($BP786="Emissions positive",-1,1)</f>
        <v>24.58</v>
      </c>
      <c r="CU786">
        <f>IFERROR(CT786/CQ786,"")</f>
        <v>0.51251914893617012</v>
      </c>
      <c r="CV786" s="2">
        <f>IFERROR((CS786-CR786)/ABS(CR786),"")</f>
        <v>0.80326797385620918</v>
      </c>
      <c r="CW786" s="1" t="s">
        <v>347</v>
      </c>
      <c r="CX786" t="str">
        <f>IF(OR($CW786="prd",$CW786="std",$CW786="cit"),"loc",IF(OR($CW786="eur",$CW786="reg",$CW786="coy"),"reg",$CW786))</f>
        <v>loc</v>
      </c>
      <c r="CY786" t="s">
        <v>348</v>
      </c>
      <c r="CZ786">
        <v>2014</v>
      </c>
      <c r="DA786">
        <v>2034</v>
      </c>
      <c r="DB786">
        <v>20</v>
      </c>
      <c r="DC786" t="str">
        <f>IF(DB786=0,"0",IF(AND(DB786&gt;=1,DB786&lt;=30),"1-30",IF(AND(DB786&gt;30,DB786&lt;=70),"31-70",IF(AND(DB786&gt;70,DB786&lt;=100),"71-100",IF(DB786&gt;100,"+100")))))</f>
        <v>1-30</v>
      </c>
      <c r="DD786">
        <v>0</v>
      </c>
      <c r="DE786">
        <v>0</v>
      </c>
      <c r="DF786">
        <v>0</v>
      </c>
      <c r="DG786">
        <v>1</v>
      </c>
      <c r="DI786">
        <f>SUM(DD786:DG786)</f>
        <v>1</v>
      </c>
      <c r="DJ786" t="str">
        <f>IF(DI786=1,INDEX($DD$7:$DG$7,MATCH(1,$DD786:$DG786,0)),"mixedProduct")</f>
        <v>TimberInput</v>
      </c>
      <c r="DK786">
        <f>IF(DD786=1,DK$7,0)</f>
        <v>0</v>
      </c>
      <c r="DL786">
        <f>IF(DE786=1,DL$7,0)</f>
        <v>0</v>
      </c>
      <c r="DM786">
        <f>IF(DF786=1,DM$7,0)</f>
        <v>0</v>
      </c>
      <c r="DN786" t="str">
        <f>IF(DG786=1,DN$7,0)</f>
        <v>Timber</v>
      </c>
      <c r="DO786">
        <v>0</v>
      </c>
      <c r="DP786">
        <v>0</v>
      </c>
      <c r="DQ786">
        <v>0</v>
      </c>
      <c r="DR786">
        <v>0</v>
      </c>
      <c r="DS786">
        <v>0</v>
      </c>
      <c r="DT786">
        <f>SUM(DO786:DP786)</f>
        <v>0</v>
      </c>
      <c r="DU786" s="143" t="str">
        <f>IF(DO786=1,"self-calculated DF",IF(DP786=1,"external DF used","explicit C balance"))</f>
        <v>explicit C balance</v>
      </c>
      <c r="DV786">
        <v>0</v>
      </c>
      <c r="DW786">
        <v>0</v>
      </c>
      <c r="DX786">
        <v>0</v>
      </c>
      <c r="DY786">
        <v>1</v>
      </c>
      <c r="DZ786">
        <v>0</v>
      </c>
      <c r="EA786" s="143">
        <v>1</v>
      </c>
      <c r="EB786">
        <v>0</v>
      </c>
      <c r="EC786">
        <v>1</v>
      </c>
      <c r="ED786">
        <v>1</v>
      </c>
      <c r="EE786">
        <v>1</v>
      </c>
      <c r="EF786">
        <v>0</v>
      </c>
      <c r="EG786">
        <v>0</v>
      </c>
      <c r="EH786">
        <v>0</v>
      </c>
      <c r="EI786" s="2">
        <v>0</v>
      </c>
      <c r="EK786" t="str">
        <f>IF(AND(AND(AND(OR($DX786=1,$DW786=1),OR($EC786=1,$EA786=1)),SUM($DV786:$DZ786,$EF786)&gt;=4),SUM($EA786:$EE786)&gt;=2),"Whole sector","")</f>
        <v/>
      </c>
      <c r="EL786" t="str">
        <f>IF(AND(AND(OR($DX786=1,$DW786=1),AND($EC786=0,$EA786=0)),SUM($DV786:$DZ786,$EF786)&gt;=4),"Ecosystem approach","")</f>
        <v/>
      </c>
      <c r="EM786" s="2" t="str">
        <f>IF(AND(AND(AND($DX786=0,$DW786=0),OR($EC786=1,$EA786=1)),SUM($EB786:$EE786)&gt;=2),"Technology approach","")</f>
        <v>Technology approach</v>
      </c>
      <c r="EP786" t="str">
        <f>IF(ISNUMBER(BU786),IF(ABS(BU786-[1]QC_indicators!$B$2)&gt;3*[1]QC_indicators!$C$2,"C ratio",IF(ISNUMBER(BY786),IF(ABS(BY786-[1]QC_indicators!$B$1)&gt;3*[1]QC_indicators!$C$1,"DF","no"))),IF(ISNUMBER(BY786),IF(ABS(BY786-[1]QC_indicators!$B$1)&gt;3*[1]QC_indicators!$C$1,"DF","no")))</f>
        <v>no</v>
      </c>
      <c r="ER786" s="149" t="s">
        <v>349</v>
      </c>
      <c r="ET786" s="264" t="s">
        <v>3273</v>
      </c>
    </row>
    <row r="787" spans="1:150" ht="15" customHeight="1">
      <c r="A787" s="1" t="s">
        <v>1233</v>
      </c>
      <c r="B787" t="s">
        <v>1234</v>
      </c>
      <c r="C787" t="s">
        <v>1235</v>
      </c>
      <c r="D787" t="s">
        <v>336</v>
      </c>
      <c r="E787" t="s">
        <v>1236</v>
      </c>
      <c r="F787" t="s">
        <v>1237</v>
      </c>
      <c r="G787" t="s">
        <v>1238</v>
      </c>
      <c r="I787">
        <v>2018</v>
      </c>
      <c r="K787" t="s">
        <v>1239</v>
      </c>
      <c r="M787" t="str">
        <f>LEFT($D787,FIND(",",$D787)-1)&amp;"_"&amp;I787&amp;L787</f>
        <v>Balasbaneh_2018</v>
      </c>
      <c r="N787" t="s">
        <v>222</v>
      </c>
      <c r="O787" s="140" t="s">
        <v>513</v>
      </c>
      <c r="Q787" t="s">
        <v>224</v>
      </c>
      <c r="R787" s="262" t="s">
        <v>223</v>
      </c>
      <c r="S787" s="1" t="s">
        <v>1265</v>
      </c>
      <c r="T787" s="264" t="s">
        <v>3110</v>
      </c>
      <c r="U787" s="264" t="s">
        <v>3116</v>
      </c>
      <c r="V787">
        <v>0</v>
      </c>
      <c r="W787">
        <v>0</v>
      </c>
      <c r="X787">
        <v>0</v>
      </c>
      <c r="Y787">
        <v>0</v>
      </c>
      <c r="Z787">
        <v>0</v>
      </c>
      <c r="AA787">
        <v>0</v>
      </c>
      <c r="AB787">
        <v>0</v>
      </c>
      <c r="AC787">
        <v>0</v>
      </c>
      <c r="AD787">
        <v>0</v>
      </c>
      <c r="AE787">
        <v>0</v>
      </c>
      <c r="AF787">
        <v>0</v>
      </c>
      <c r="AG787">
        <v>0</v>
      </c>
      <c r="AH787">
        <v>0</v>
      </c>
      <c r="AI787">
        <v>0</v>
      </c>
      <c r="AJ787">
        <v>0</v>
      </c>
      <c r="AK787">
        <v>1</v>
      </c>
      <c r="AL787">
        <v>0</v>
      </c>
      <c r="AM787">
        <v>0</v>
      </c>
      <c r="AN787">
        <v>0</v>
      </c>
      <c r="AO787">
        <v>0</v>
      </c>
      <c r="AP787">
        <v>0</v>
      </c>
      <c r="AQ787">
        <v>0</v>
      </c>
      <c r="AR787">
        <v>0</v>
      </c>
      <c r="AS787">
        <v>0</v>
      </c>
      <c r="AT787">
        <v>0</v>
      </c>
      <c r="AU787">
        <v>0</v>
      </c>
      <c r="AV787">
        <v>0</v>
      </c>
      <c r="AW787">
        <v>0</v>
      </c>
      <c r="AX787" s="141">
        <f>COUNTIF(V787:AW787,"&lt;&gt;0")</f>
        <v>1</v>
      </c>
      <c r="AY787" s="141">
        <f>COUNTIF(V787:AL787,"&lt;&gt;0")</f>
        <v>1</v>
      </c>
      <c r="AZ787">
        <f>COUNTIF(V787:AC787,"&lt;&gt;0")</f>
        <v>0</v>
      </c>
      <c r="BA787">
        <f>COUNTIF(AD787:AI787,"&lt;&gt;0")</f>
        <v>0</v>
      </c>
      <c r="BB787">
        <f>COUNTIF(AJ787:AL787,"&lt;&gt;0")</f>
        <v>1</v>
      </c>
      <c r="BC787">
        <f>COUNTIF(AS787:AW787,"&lt;&gt;0")</f>
        <v>0</v>
      </c>
      <c r="BD787">
        <f>COUNTIF(AM787:AR787,"&lt;&gt;0")</f>
        <v>0</v>
      </c>
      <c r="BE787" t="str">
        <f t="array" ref="BE787">IF(AY787=1,INDEX($V$7:$AL$7,MATCH(TRUE,INDEX($V787:$AW787&lt;&gt;0,),0)),IF(AY787=0,INDEX($AM$7:$AW$7,MATCH(1,$AM787:$AW787,0)),IF(BF787="Multiple strategies","mixed drivers",IF(BF787="Supply chain","multiple supply","multiple silviculture"))))</f>
        <v>technologies/design switch</v>
      </c>
      <c r="BF787" s="2" t="str" cm="1">
        <f t="array" ref="BF787">IF(COUNTIF(AZ787:BB787,"&lt;&gt;0")=1,INDEX($V$4:$AW$4,MATCH(TRUE,INDEX($V787:$AW787&lt;&gt;0,),0)),IF(COUNTIF(AZ787:BB787,"&lt;&gt;0")=0,INDEX($AM$4:$AW$4,MATCH(1,$AM787:$AW787,0)),"Multiple strategies"))</f>
        <v>Technology</v>
      </c>
      <c r="BG787" s="1" t="s">
        <v>229</v>
      </c>
      <c r="BH787" t="s">
        <v>229</v>
      </c>
      <c r="BJ787" t="s">
        <v>345</v>
      </c>
      <c r="BK787">
        <v>0</v>
      </c>
      <c r="BL787">
        <v>23436</v>
      </c>
      <c r="BM787" s="143"/>
      <c r="BN787">
        <f>BL787-BK787</f>
        <v>23436</v>
      </c>
      <c r="BO787" s="143">
        <f>BN787*kg_to_m3</f>
        <v>47.828571428571436</v>
      </c>
      <c r="BP787" t="s">
        <v>232</v>
      </c>
      <c r="BQ787" s="337" t="s">
        <v>1057</v>
      </c>
      <c r="BR787" t="s">
        <v>397</v>
      </c>
      <c r="BS787">
        <v>-25300</v>
      </c>
      <c r="BT787">
        <v>-702</v>
      </c>
      <c r="BU787" s="144">
        <v>2.7747035573122528E-2</v>
      </c>
      <c r="BV787">
        <v>24598</v>
      </c>
      <c r="BX787">
        <f>BV787/1000</f>
        <v>24.597999999999999</v>
      </c>
      <c r="BY787">
        <f>IFERROR(BX787/BO787,"")</f>
        <v>0.51429510155316593</v>
      </c>
      <c r="BZ787">
        <v>0</v>
      </c>
      <c r="CA787">
        <v>0</v>
      </c>
      <c r="CB787">
        <v>0</v>
      </c>
      <c r="CC787">
        <v>0</v>
      </c>
      <c r="CD787">
        <v>0</v>
      </c>
      <c r="CE787">
        <v>0</v>
      </c>
      <c r="CF787">
        <v>0</v>
      </c>
      <c r="CG787">
        <v>0</v>
      </c>
      <c r="CH787">
        <v>0</v>
      </c>
      <c r="CI787">
        <v>0</v>
      </c>
      <c r="CJ787">
        <v>0</v>
      </c>
      <c r="CK787">
        <v>0</v>
      </c>
      <c r="CL787">
        <v>0</v>
      </c>
      <c r="CM787">
        <v>0</v>
      </c>
      <c r="CN787" t="str">
        <f>IF($BL787&lt;$BK787,"refNeedCorrection","refOK")</f>
        <v>refOK</v>
      </c>
      <c r="CO787">
        <f>IF($CN787="refNeedCorrection",BL787,BK787)</f>
        <v>0</v>
      </c>
      <c r="CP787">
        <f>IF($CN787="refNeedCorrection",BK787,BL787)</f>
        <v>23436</v>
      </c>
      <c r="CQ787">
        <f>IF($CN787="refOK",$BO787,-$BO787)</f>
        <v>47.828571428571436</v>
      </c>
      <c r="CR787">
        <f>IF($CN787="refOK",$BS787,$BT787)*IF($BP787="Emissions positive",-1,1)</f>
        <v>-25300</v>
      </c>
      <c r="CS787">
        <f>IF($CN787="refOK",$BT787,$BS787)*IF($BP787="Emissions positive",-1,1)</f>
        <v>-702</v>
      </c>
      <c r="CT787">
        <f>IF($CN787="refNeedCorrection",-BX787,BX787)*IF($BP787="Emissions positive",-1,1)</f>
        <v>24.597999999999999</v>
      </c>
      <c r="CU787">
        <f>IFERROR(CT787/CQ787,"")</f>
        <v>0.51429510155316593</v>
      </c>
      <c r="CV787" s="2">
        <f>IFERROR((CS787-CR787)/ABS(CR787),"")</f>
        <v>0.97225296442687748</v>
      </c>
      <c r="CW787" s="1" t="s">
        <v>1203</v>
      </c>
      <c r="CX787" t="str">
        <f>IF(OR($CW787="prd",$CW787="std",$CW787="cit"),"loc",IF(OR($CW787="eur",$CW787="reg",$CW787="coy"),"reg",$CW787))</f>
        <v>reg</v>
      </c>
      <c r="CY787" t="s">
        <v>348</v>
      </c>
      <c r="CZ787">
        <v>2014</v>
      </c>
      <c r="DA787">
        <v>2114</v>
      </c>
      <c r="DB787">
        <v>100</v>
      </c>
      <c r="DC787" t="str">
        <f>IF(DB787=0,"0",IF(AND(DB787&gt;=1,DB787&lt;=30),"1-30",IF(AND(DB787&gt;30,DB787&lt;=70),"31-70",IF(AND(DB787&gt;70,DB787&lt;=100),"71-100",IF(DB787&gt;100,"+100")))))</f>
        <v>71-100</v>
      </c>
      <c r="DD787">
        <v>0</v>
      </c>
      <c r="DE787">
        <v>0</v>
      </c>
      <c r="DF787">
        <v>0</v>
      </c>
      <c r="DG787">
        <v>1</v>
      </c>
      <c r="DI787">
        <f>SUM(DD787:DG787)</f>
        <v>1</v>
      </c>
      <c r="DJ787" t="str">
        <f>IF(DI787=1,INDEX($DD$7:$DG$7,MATCH(1,$DD787:$DG787,0)),"mixedProduct")</f>
        <v>TimberInput</v>
      </c>
      <c r="DK787">
        <f>IF(DD787=1,DK$7,0)</f>
        <v>0</v>
      </c>
      <c r="DL787">
        <f>IF(DE787=1,DL$7,0)</f>
        <v>0</v>
      </c>
      <c r="DM787">
        <f>IF(DF787=1,DM$7,0)</f>
        <v>0</v>
      </c>
      <c r="DN787" t="str">
        <f>IF(DG787=1,DN$7,0)</f>
        <v>Timber</v>
      </c>
      <c r="DO787">
        <v>0</v>
      </c>
      <c r="DP787">
        <v>0</v>
      </c>
      <c r="DQ787">
        <v>0</v>
      </c>
      <c r="DR787">
        <v>0</v>
      </c>
      <c r="DS787">
        <v>0</v>
      </c>
      <c r="DT787">
        <f>SUM(DO787:DP787)</f>
        <v>0</v>
      </c>
      <c r="DU787" s="143" t="str">
        <f>IF(DO787=1,"self-calculated DF",IF(DP787=1,"external DF used","explicit C balance"))</f>
        <v>explicit C balance</v>
      </c>
      <c r="DV787">
        <v>0</v>
      </c>
      <c r="DW787">
        <v>0</v>
      </c>
      <c r="DX787">
        <v>0</v>
      </c>
      <c r="DY787">
        <v>0</v>
      </c>
      <c r="DZ787">
        <v>0</v>
      </c>
      <c r="EA787" s="143">
        <v>1</v>
      </c>
      <c r="EB787">
        <v>0</v>
      </c>
      <c r="EC787">
        <v>1</v>
      </c>
      <c r="ED787">
        <v>1</v>
      </c>
      <c r="EE787">
        <v>1</v>
      </c>
      <c r="EF787">
        <v>0</v>
      </c>
      <c r="EG787">
        <v>0</v>
      </c>
      <c r="EH787">
        <v>0</v>
      </c>
      <c r="EI787" s="2">
        <v>0</v>
      </c>
      <c r="EK787" t="str">
        <f>IF(AND(AND(AND(OR($DX787=1,$DW787=1),OR($EC787=1,$EA787=1)),SUM($DV787:$DZ787,$EF787)&gt;=4),SUM($EA787:$EE787)&gt;=2),"Whole sector","")</f>
        <v/>
      </c>
      <c r="EL787" t="str">
        <f>IF(AND(AND(OR($DX787=1,$DW787=1),AND($EC787=0,$EA787=0)),SUM($DV787:$DZ787,$EF787)&gt;=4),"Ecosystem approach","")</f>
        <v/>
      </c>
      <c r="EM787" s="2" t="str">
        <f>IF(AND(AND(AND($DX787=0,$DW787=0),OR($EC787=1,$EA787=1)),SUM($EB787:$EE787)&gt;=2),"Technology approach","")</f>
        <v>Technology approach</v>
      </c>
      <c r="EP787" t="str">
        <f>IF(ISNUMBER(BU787),IF(ABS(BU787-[1]QC_indicators!$B$2)&gt;3*[1]QC_indicators!$C$2,"C ratio",IF(ISNUMBER(BY787),IF(ABS(BY787-[1]QC_indicators!$B$1)&gt;3*[1]QC_indicators!$C$1,"DF","no"))),IF(ISNUMBER(BY787),IF(ABS(BY787-[1]QC_indicators!$B$1)&gt;3*[1]QC_indicators!$C$1,"DF","no")))</f>
        <v>no</v>
      </c>
      <c r="ER787" s="149" t="s">
        <v>349</v>
      </c>
      <c r="ET787" s="264" t="s">
        <v>3273</v>
      </c>
    </row>
    <row r="788" spans="1:150" ht="15" customHeight="1">
      <c r="A788" s="1" t="s">
        <v>430</v>
      </c>
      <c r="B788" t="s">
        <v>431</v>
      </c>
      <c r="C788" t="s">
        <v>432</v>
      </c>
      <c r="D788" t="s">
        <v>433</v>
      </c>
      <c r="E788" t="s">
        <v>434</v>
      </c>
      <c r="F788" t="s">
        <v>435</v>
      </c>
      <c r="G788" t="s">
        <v>436</v>
      </c>
      <c r="H788" t="s">
        <v>254</v>
      </c>
      <c r="I788">
        <v>2000</v>
      </c>
      <c r="J788">
        <v>174</v>
      </c>
      <c r="K788" t="s">
        <v>437</v>
      </c>
      <c r="M788" t="str">
        <f>LEFT($D788,FIND(",",$D788)-1)&amp;"_"&amp;I788&amp;L788</f>
        <v>Borjesson_2000</v>
      </c>
      <c r="N788" t="s">
        <v>222</v>
      </c>
      <c r="O788" s="145" t="s">
        <v>223</v>
      </c>
      <c r="Q788" t="s">
        <v>256</v>
      </c>
      <c r="R788" s="255" t="s">
        <v>225</v>
      </c>
      <c r="S788" s="1" t="s">
        <v>475</v>
      </c>
      <c r="T788" t="s">
        <v>476</v>
      </c>
      <c r="U788" t="s">
        <v>484</v>
      </c>
      <c r="V788">
        <v>0</v>
      </c>
      <c r="W788">
        <v>0</v>
      </c>
      <c r="X788">
        <v>0</v>
      </c>
      <c r="Y788">
        <v>0</v>
      </c>
      <c r="Z788">
        <v>0</v>
      </c>
      <c r="AA788">
        <v>0</v>
      </c>
      <c r="AB788">
        <v>0</v>
      </c>
      <c r="AC788">
        <v>0</v>
      </c>
      <c r="AD788">
        <v>0</v>
      </c>
      <c r="AE788">
        <v>0</v>
      </c>
      <c r="AF788">
        <v>0</v>
      </c>
      <c r="AG788">
        <v>0</v>
      </c>
      <c r="AH788">
        <v>0</v>
      </c>
      <c r="AI788">
        <v>0</v>
      </c>
      <c r="AJ788">
        <v>0</v>
      </c>
      <c r="AK788">
        <v>1</v>
      </c>
      <c r="AL788">
        <v>0</v>
      </c>
      <c r="AM788">
        <v>0</v>
      </c>
      <c r="AN788">
        <v>0</v>
      </c>
      <c r="AO788">
        <v>0</v>
      </c>
      <c r="AP788">
        <v>0</v>
      </c>
      <c r="AQ788">
        <v>0</v>
      </c>
      <c r="AR788">
        <v>0</v>
      </c>
      <c r="AS788">
        <v>0</v>
      </c>
      <c r="AT788">
        <v>0</v>
      </c>
      <c r="AU788">
        <v>0</v>
      </c>
      <c r="AV788">
        <v>0</v>
      </c>
      <c r="AW788">
        <v>0</v>
      </c>
      <c r="AX788" s="141">
        <f>COUNTIF(V788:AW788,"&lt;&gt;0")</f>
        <v>1</v>
      </c>
      <c r="AY788" s="141">
        <f>COUNTIF(V788:AL788,"&lt;&gt;0")</f>
        <v>1</v>
      </c>
      <c r="AZ788">
        <f>COUNTIF(V788:AC788,"&lt;&gt;0")</f>
        <v>0</v>
      </c>
      <c r="BA788">
        <f>COUNTIF(AD788:AI788,"&lt;&gt;0")</f>
        <v>0</v>
      </c>
      <c r="BB788">
        <f>COUNTIF(AJ788:AL788,"&lt;&gt;0")</f>
        <v>1</v>
      </c>
      <c r="BC788">
        <f>COUNTIF(AS788:AW788,"&lt;&gt;0")</f>
        <v>0</v>
      </c>
      <c r="BD788">
        <f>COUNTIF(AM788:AR788,"&lt;&gt;0")</f>
        <v>0</v>
      </c>
      <c r="BE788" t="str">
        <f t="array" ref="BE788">IF(AY788=1,INDEX($V$7:$AL$7,MATCH(TRUE,INDEX($V788:$AW788&lt;&gt;0,),0)),IF(AY788=0,INDEX($AM$7:$AW$7,MATCH(1,$AM788:$AW788,0)),IF(BF788="Multiple strategies","mixed drivers",IF(BF788="Supply chain","multiple supply","multiple silviculture"))))</f>
        <v>technologies/design switch</v>
      </c>
      <c r="BF788" s="2" t="str" cm="1">
        <f t="array" ref="BF788">IF(COUNTIF(AZ788:BB788,"&lt;&gt;0")=1,INDEX($V$4:$AW$4,MATCH(TRUE,INDEX($V788:$AW788&lt;&gt;0,),0)),IF(COUNTIF(AZ788:BB788,"&lt;&gt;0")=0,INDEX($AM$4:$AW$4,MATCH(1,$AM788:$AW788,0)),"Multiple strategies"))</f>
        <v>Technology</v>
      </c>
      <c r="BG788" s="142" t="s">
        <v>321</v>
      </c>
      <c r="BH788" t="s">
        <v>478</v>
      </c>
      <c r="BI788" s="264" t="s">
        <v>3275</v>
      </c>
      <c r="BJ788" t="s">
        <v>442</v>
      </c>
      <c r="BK788">
        <v>0</v>
      </c>
      <c r="BL788">
        <v>54</v>
      </c>
      <c r="BM788" s="143"/>
      <c r="BN788">
        <f>BL788-BK788</f>
        <v>54</v>
      </c>
      <c r="BO788">
        <f>BN788*tC_to_m3</f>
        <v>234.47676943117673</v>
      </c>
      <c r="BP788" t="s">
        <v>232</v>
      </c>
      <c r="BQ788" s="260" t="s">
        <v>813</v>
      </c>
      <c r="BR788" t="s">
        <v>443</v>
      </c>
      <c r="BS788" s="141">
        <v>6</v>
      </c>
      <c r="BT788" s="141">
        <v>39</v>
      </c>
      <c r="BU788" s="144">
        <f>IFERROR(BT788/BS788,"")</f>
        <v>6.5</v>
      </c>
      <c r="BV788">
        <f>BT788-BS788</f>
        <v>33</v>
      </c>
      <c r="BX788">
        <f>BV788*C_to_CO2</f>
        <v>121.11</v>
      </c>
      <c r="BY788">
        <f>IFERROR(BX788/BO788,"")</f>
        <v>0.51651172222222219</v>
      </c>
      <c r="BZ788" s="143">
        <v>0</v>
      </c>
      <c r="CA788" s="143">
        <v>0</v>
      </c>
      <c r="CB788" s="143">
        <v>0</v>
      </c>
      <c r="CC788" s="143">
        <v>0</v>
      </c>
      <c r="CD788" s="143">
        <v>0</v>
      </c>
      <c r="CE788" s="143">
        <v>0</v>
      </c>
      <c r="CF788" s="143">
        <v>0</v>
      </c>
      <c r="CG788" s="143">
        <v>0</v>
      </c>
      <c r="CH788" s="143">
        <v>0</v>
      </c>
      <c r="CI788" s="143">
        <v>0</v>
      </c>
      <c r="CJ788" s="143">
        <v>0</v>
      </c>
      <c r="CK788" s="143">
        <v>0</v>
      </c>
      <c r="CL788" s="143">
        <v>0</v>
      </c>
      <c r="CM788">
        <v>0</v>
      </c>
      <c r="CN788" t="str">
        <f>IF($BL788&lt;$BK788,"refNeedCorrection","refOK")</f>
        <v>refOK</v>
      </c>
      <c r="CO788">
        <f>IF($CN788="refOK",$BK788,$BL788)</f>
        <v>0</v>
      </c>
      <c r="CP788">
        <f>IF($CN788="refOK",$BL788,$BK788)</f>
        <v>54</v>
      </c>
      <c r="CQ788">
        <f>IF($CN788="refOK",$BO788,-$BO788)</f>
        <v>234.47676943117673</v>
      </c>
      <c r="CR788">
        <f>IF($CN788="refOK",$BS788,$BT788)*IF($BP788="Emissions positive",-1,1)</f>
        <v>6</v>
      </c>
      <c r="CS788">
        <f>IF($CN788="refOK",$BT788,$BS788)*IF($BP788="Emissions positive",-1,1)</f>
        <v>39</v>
      </c>
      <c r="CT788">
        <f>IF($CN788="refNeedCorrection",-BX788,BX788)*IF($BP788="Emissions positive",-1,1)</f>
        <v>121.11</v>
      </c>
      <c r="CU788">
        <f>IFERROR(CT788/CQ788,"")</f>
        <v>0.51651172222222219</v>
      </c>
      <c r="CV788" s="2">
        <f>IFERROR((CS788-CR788)/ABS(CR788),"")</f>
        <v>5.5</v>
      </c>
      <c r="CW788" s="1" t="s">
        <v>263</v>
      </c>
      <c r="CX788" t="str">
        <f>IF(OR($CW788="prd",$CW788="std",$CW788="cit"),"loc",IF(OR($CW788="eur",$CW788="reg",$CW788="coy"),"reg",$CW788))</f>
        <v>loc</v>
      </c>
      <c r="CY788" t="s">
        <v>444</v>
      </c>
      <c r="DB788">
        <v>300</v>
      </c>
      <c r="DC788" t="str">
        <f>IF(DB788=0,"0",IF(AND(DB788&gt;=1,DB788&lt;=30),"1-30",IF(AND(DB788&gt;30,DB788&lt;=70),"31-70",IF(AND(DB788&gt;70,DB788&lt;=100),"71-100",IF(DB788&gt;100,"+100")))))</f>
        <v>+100</v>
      </c>
      <c r="DD788">
        <v>0</v>
      </c>
      <c r="DE788">
        <v>1</v>
      </c>
      <c r="DF788">
        <v>0</v>
      </c>
      <c r="DG788">
        <v>0</v>
      </c>
      <c r="DI788">
        <f>SUM(DD788:DG788)</f>
        <v>1</v>
      </c>
      <c r="DJ788" t="str">
        <f>IF(DI788=1,INDEX($DD$7:$DG$7,MATCH(1,$DD788:$DG788,0)),"mixedProduct")</f>
        <v>EnergyInput</v>
      </c>
      <c r="DK788">
        <f>IF(DD788=1,DK$7,0)</f>
        <v>0</v>
      </c>
      <c r="DL788" t="str">
        <f>IF(DE788=1,DL$7,0)</f>
        <v>Energy</v>
      </c>
      <c r="DM788">
        <f>IF(DF788=1,DM$7,0)</f>
        <v>0</v>
      </c>
      <c r="DN788">
        <f>IF(DG788=1,DN$7,0)</f>
        <v>0</v>
      </c>
      <c r="DO788">
        <v>1</v>
      </c>
      <c r="DP788" s="143">
        <v>0</v>
      </c>
      <c r="DQ788" s="143">
        <v>0</v>
      </c>
      <c r="DR788" s="143">
        <v>0</v>
      </c>
      <c r="DS788">
        <v>0</v>
      </c>
      <c r="DT788">
        <f>SUM(DO788:DP788)</f>
        <v>1</v>
      </c>
      <c r="DU788" s="143" t="str">
        <f>IF(DO788=1,"self-calculated DF",IF(DP788=1,"external DF used","explicit C balance"))</f>
        <v>self-calculated DF</v>
      </c>
      <c r="DV788">
        <v>0</v>
      </c>
      <c r="DW788" s="143">
        <v>0</v>
      </c>
      <c r="DX788" s="143">
        <v>1</v>
      </c>
      <c r="DY788" s="143">
        <v>1</v>
      </c>
      <c r="DZ788">
        <v>1</v>
      </c>
      <c r="EA788" s="143">
        <v>1</v>
      </c>
      <c r="EB788">
        <v>0</v>
      </c>
      <c r="EC788" s="143">
        <v>1</v>
      </c>
      <c r="ED788" s="143">
        <v>0</v>
      </c>
      <c r="EE788">
        <v>0</v>
      </c>
      <c r="EF788">
        <v>0</v>
      </c>
      <c r="EG788" s="143">
        <v>0</v>
      </c>
      <c r="EH788" s="143">
        <v>0</v>
      </c>
      <c r="EI788" s="2">
        <v>0</v>
      </c>
      <c r="EK788" t="str">
        <f>IF(AND(AND(AND(OR($DX788=1,$DW788=1),OR($EC788=1,$EA788=1)),SUM($DV788:$DZ788,$EF788)&gt;=4),SUM($EA788:$EE788)&gt;=2),"Whole sector","")</f>
        <v/>
      </c>
      <c r="EL788" t="str">
        <f>IF(AND(AND(OR($DX788=1,$DW788=1),AND($EC788=0,$EA788=0)),SUM($DV788:$DZ788,$EF788)&gt;=4),"Ecosystem approach","")</f>
        <v/>
      </c>
      <c r="EM788" s="2" t="str">
        <f>IF(AND(AND(AND($DX788=0,$DW788=0),OR($EC788=1,$EA788=1)),SUM($EB788:$EE788)&gt;=2),"Technology approach","")</f>
        <v/>
      </c>
      <c r="EP788" t="str">
        <f>IF(ISNUMBER(BU788),IF(ABS(BU788-[4]QC_indicators!$B$2)&gt;3*[4]QC_indicators!$C$2,"C ratio",IF(ISNUMBER(BY788),IF(ABS(BY788-[4]QC_indicators!$B$1)&gt;3*[4]QC_indicators!$C$1,"DF","no"))),IF(ISNUMBER(BY788),IF(ABS(BY788-[4]QC_indicators!$B$1)&gt;3*[4]QC_indicators!$C$1,"DF","no")))</f>
        <v>no</v>
      </c>
      <c r="ER788" t="s">
        <v>479</v>
      </c>
      <c r="ET788" s="264" t="s">
        <v>3273</v>
      </c>
    </row>
    <row r="789" spans="1:150" ht="15" customHeight="1">
      <c r="A789" s="1" t="s">
        <v>333</v>
      </c>
      <c r="B789" t="s">
        <v>334</v>
      </c>
      <c r="C789" t="s">
        <v>335</v>
      </c>
      <c r="D789" t="s">
        <v>336</v>
      </c>
      <c r="E789" t="s">
        <v>337</v>
      </c>
      <c r="F789" t="s">
        <v>338</v>
      </c>
      <c r="G789" t="s">
        <v>339</v>
      </c>
      <c r="I789">
        <v>2017</v>
      </c>
      <c r="K789" t="s">
        <v>340</v>
      </c>
      <c r="M789" t="str">
        <f>LEFT($D789,FIND(",",$D789)-1)&amp;"_"&amp;I789&amp;L789</f>
        <v>Balasbaneh_2017</v>
      </c>
      <c r="N789" t="s">
        <v>222</v>
      </c>
      <c r="O789" s="140" t="s">
        <v>341</v>
      </c>
      <c r="Q789" t="s">
        <v>224</v>
      </c>
      <c r="R789" s="262" t="s">
        <v>223</v>
      </c>
      <c r="S789" s="1" t="s">
        <v>377</v>
      </c>
      <c r="T789" t="s">
        <v>371</v>
      </c>
      <c r="U789" t="s">
        <v>351</v>
      </c>
      <c r="V789">
        <v>0</v>
      </c>
      <c r="W789">
        <v>0</v>
      </c>
      <c r="X789">
        <v>0</v>
      </c>
      <c r="Y789">
        <v>0</v>
      </c>
      <c r="Z789">
        <v>0</v>
      </c>
      <c r="AA789">
        <v>0</v>
      </c>
      <c r="AB789">
        <v>0</v>
      </c>
      <c r="AC789">
        <v>0</v>
      </c>
      <c r="AD789">
        <v>0</v>
      </c>
      <c r="AE789">
        <v>0</v>
      </c>
      <c r="AF789">
        <v>0</v>
      </c>
      <c r="AG789">
        <v>0</v>
      </c>
      <c r="AH789">
        <v>0</v>
      </c>
      <c r="AI789">
        <v>0</v>
      </c>
      <c r="AJ789">
        <v>0</v>
      </c>
      <c r="AK789">
        <v>1</v>
      </c>
      <c r="AL789">
        <v>0</v>
      </c>
      <c r="AM789">
        <v>0</v>
      </c>
      <c r="AN789">
        <v>0</v>
      </c>
      <c r="AO789">
        <v>0</v>
      </c>
      <c r="AP789">
        <v>0</v>
      </c>
      <c r="AQ789">
        <v>0</v>
      </c>
      <c r="AR789">
        <v>0</v>
      </c>
      <c r="AS789">
        <v>0</v>
      </c>
      <c r="AT789">
        <v>0</v>
      </c>
      <c r="AU789">
        <v>0</v>
      </c>
      <c r="AV789">
        <v>0</v>
      </c>
      <c r="AW789">
        <v>0</v>
      </c>
      <c r="AX789" s="141">
        <f>COUNTIF(V789:AW789,"&lt;&gt;0")</f>
        <v>1</v>
      </c>
      <c r="AY789" s="141">
        <f>COUNTIF(V789:AL789,"&lt;&gt;0")</f>
        <v>1</v>
      </c>
      <c r="AZ789">
        <f>COUNTIF(V789:AC789,"&lt;&gt;0")</f>
        <v>0</v>
      </c>
      <c r="BA789">
        <f>COUNTIF(AD789:AI789,"&lt;&gt;0")</f>
        <v>0</v>
      </c>
      <c r="BB789">
        <f>COUNTIF(AJ789:AL789,"&lt;&gt;0")</f>
        <v>1</v>
      </c>
      <c r="BC789">
        <f>COUNTIF(AS789:AW789,"&lt;&gt;0")</f>
        <v>0</v>
      </c>
      <c r="BD789">
        <f>COUNTIF(AM789:AR789,"&lt;&gt;0")</f>
        <v>0</v>
      </c>
      <c r="BE789" t="str">
        <f t="array" ref="BE789">IF(AY789=1,INDEX($V$7:$AL$7,MATCH(TRUE,INDEX($V789:$AW789&lt;&gt;0,),0)),IF(AY789=0,INDEX($AM$7:$AW$7,MATCH(1,$AM789:$AW789,0)),IF(BF789="Multiple strategies","mixed drivers",IF(BF789="Supply chain","multiple supply","multiple silviculture"))))</f>
        <v>technologies/design switch</v>
      </c>
      <c r="BF789" s="2" t="str" cm="1">
        <f t="array" ref="BF789">IF(COUNTIF(AZ789:BB789,"&lt;&gt;0")=1,INDEX($V$4:$AW$4,MATCH(TRUE,INDEX($V789:$AW789&lt;&gt;0,),0)),IF(COUNTIF(AZ789:BB789,"&lt;&gt;0")=0,INDEX($AM$4:$AW$4,MATCH(1,$AM789:$AW789,0)),"Multiple strategies"))</f>
        <v>Technology</v>
      </c>
      <c r="BG789" s="1" t="s">
        <v>229</v>
      </c>
      <c r="BH789" t="s">
        <v>229</v>
      </c>
      <c r="BI789" s="264" t="s">
        <v>410</v>
      </c>
      <c r="BJ789" t="s">
        <v>345</v>
      </c>
      <c r="BK789">
        <v>0</v>
      </c>
      <c r="BL789">
        <v>23500</v>
      </c>
      <c r="BM789" s="143"/>
      <c r="BN789">
        <f>BL789-BK789</f>
        <v>23500</v>
      </c>
      <c r="BO789" s="143">
        <f>BN789*kg_to_m3</f>
        <v>47.95918367346939</v>
      </c>
      <c r="BP789" t="s">
        <v>232</v>
      </c>
      <c r="BQ789" s="335" t="s">
        <v>396</v>
      </c>
      <c r="BR789" t="s">
        <v>346</v>
      </c>
      <c r="BS789">
        <v>-30600</v>
      </c>
      <c r="BT789">
        <v>-5800</v>
      </c>
      <c r="BU789" s="144">
        <v>0.18954248366013071</v>
      </c>
      <c r="BV789">
        <f>BT789-BS789</f>
        <v>24800</v>
      </c>
      <c r="BX789">
        <f>BV789/1000</f>
        <v>24.8</v>
      </c>
      <c r="BY789">
        <f>IFERROR(BX789/BO789,"")</f>
        <v>0.51710638297872336</v>
      </c>
      <c r="BZ789">
        <v>0</v>
      </c>
      <c r="CA789">
        <v>0</v>
      </c>
      <c r="CB789">
        <v>0</v>
      </c>
      <c r="CC789">
        <v>0</v>
      </c>
      <c r="CD789">
        <v>0</v>
      </c>
      <c r="CE789">
        <v>0</v>
      </c>
      <c r="CF789">
        <v>0</v>
      </c>
      <c r="CG789">
        <v>0</v>
      </c>
      <c r="CH789">
        <v>0</v>
      </c>
      <c r="CI789">
        <v>0</v>
      </c>
      <c r="CJ789">
        <v>0</v>
      </c>
      <c r="CK789">
        <v>0</v>
      </c>
      <c r="CL789">
        <v>0</v>
      </c>
      <c r="CM789">
        <v>0</v>
      </c>
      <c r="CN789" t="str">
        <f>IF($BL789&lt;$BK789,"refNeedCorrection","refOK")</f>
        <v>refOK</v>
      </c>
      <c r="CO789">
        <f>IF($CN789="refNeedCorrection",BL789,BK789)</f>
        <v>0</v>
      </c>
      <c r="CP789">
        <f>IF($CN789="refNeedCorrection",BK789,BL789)</f>
        <v>23500</v>
      </c>
      <c r="CQ789">
        <f>IF($CN789="refOK",$BO789,-$BO789)</f>
        <v>47.95918367346939</v>
      </c>
      <c r="CR789">
        <f>IF($CN789="refOK",$BS789,$BT789)*IF($BP789="Emissions positive",-1,1)</f>
        <v>-30600</v>
      </c>
      <c r="CS789">
        <f>IF($CN789="refOK",$BT789,$BS789)*IF($BP789="Emissions positive",-1,1)</f>
        <v>-5800</v>
      </c>
      <c r="CT789">
        <f>IF($CN789="refNeedCorrection",-BX789,BX789)*IF($BP789="Emissions positive",-1,1)</f>
        <v>24.8</v>
      </c>
      <c r="CU789">
        <f>IFERROR(CT789/CQ789,"")</f>
        <v>0.51710638297872336</v>
      </c>
      <c r="CV789" s="2">
        <f>IFERROR((CS789-CR789)/ABS(CR789),"")</f>
        <v>0.81045751633986929</v>
      </c>
      <c r="CW789" s="1" t="s">
        <v>347</v>
      </c>
      <c r="CX789" t="str">
        <f>IF(OR($CW789="prd",$CW789="std",$CW789="cit"),"loc",IF(OR($CW789="eur",$CW789="reg",$CW789="coy"),"reg",$CW789))</f>
        <v>loc</v>
      </c>
      <c r="CY789" t="s">
        <v>348</v>
      </c>
      <c r="CZ789">
        <v>2014</v>
      </c>
      <c r="DA789">
        <v>2114</v>
      </c>
      <c r="DB789">
        <v>100</v>
      </c>
      <c r="DC789" t="str">
        <f>IF(DB789=0,"0",IF(AND(DB789&gt;=1,DB789&lt;=30),"1-30",IF(AND(DB789&gt;30,DB789&lt;=70),"31-70",IF(AND(DB789&gt;70,DB789&lt;=100),"71-100",IF(DB789&gt;100,"+100")))))</f>
        <v>71-100</v>
      </c>
      <c r="DD789">
        <v>0</v>
      </c>
      <c r="DE789">
        <v>0</v>
      </c>
      <c r="DF789">
        <v>0</v>
      </c>
      <c r="DG789">
        <v>1</v>
      </c>
      <c r="DI789">
        <f>SUM(DD789:DG789)</f>
        <v>1</v>
      </c>
      <c r="DJ789" t="str">
        <f>IF(DI789=1,INDEX($DD$7:$DG$7,MATCH(1,$DD789:$DG789,0)),"mixedProduct")</f>
        <v>TimberInput</v>
      </c>
      <c r="DK789">
        <f>IF(DD789=1,DK$7,0)</f>
        <v>0</v>
      </c>
      <c r="DL789">
        <f>IF(DE789=1,DL$7,0)</f>
        <v>0</v>
      </c>
      <c r="DM789">
        <f>IF(DF789=1,DM$7,0)</f>
        <v>0</v>
      </c>
      <c r="DN789" t="str">
        <f>IF(DG789=1,DN$7,0)</f>
        <v>Timber</v>
      </c>
      <c r="DO789">
        <v>0</v>
      </c>
      <c r="DP789">
        <v>0</v>
      </c>
      <c r="DQ789">
        <v>0</v>
      </c>
      <c r="DR789">
        <v>0</v>
      </c>
      <c r="DS789">
        <v>0</v>
      </c>
      <c r="DT789">
        <f>SUM(DO789:DP789)</f>
        <v>0</v>
      </c>
      <c r="DU789" s="143" t="str">
        <f>IF(DO789=1,"self-calculated DF",IF(DP789=1,"external DF used","explicit C balance"))</f>
        <v>explicit C balance</v>
      </c>
      <c r="DV789">
        <v>0</v>
      </c>
      <c r="DW789">
        <v>0</v>
      </c>
      <c r="DX789">
        <v>0</v>
      </c>
      <c r="DY789">
        <v>1</v>
      </c>
      <c r="DZ789">
        <v>0</v>
      </c>
      <c r="EA789" s="143">
        <v>1</v>
      </c>
      <c r="EB789">
        <v>0</v>
      </c>
      <c r="EC789">
        <v>1</v>
      </c>
      <c r="ED789">
        <v>1</v>
      </c>
      <c r="EE789">
        <v>1</v>
      </c>
      <c r="EF789">
        <v>0</v>
      </c>
      <c r="EG789">
        <v>0</v>
      </c>
      <c r="EH789">
        <v>0</v>
      </c>
      <c r="EI789" s="2">
        <v>0</v>
      </c>
      <c r="EK789" t="str">
        <f>IF(AND(AND(AND(OR($DX789=1,$DW789=1),OR($EC789=1,$EA789=1)),SUM($DV789:$DZ789,$EF789)&gt;=4),SUM($EA789:$EE789)&gt;=2),"Whole sector","")</f>
        <v/>
      </c>
      <c r="EL789" t="str">
        <f>IF(AND(AND(OR($DX789=1,$DW789=1),AND($EC789=0,$EA789=0)),SUM($DV789:$DZ789,$EF789)&gt;=4),"Ecosystem approach","")</f>
        <v/>
      </c>
      <c r="EM789" s="2" t="str">
        <f>IF(AND(AND(AND($DX789=0,$DW789=0),OR($EC789=1,$EA789=1)),SUM($EB789:$EE789)&gt;=2),"Technology approach","")</f>
        <v>Technology approach</v>
      </c>
      <c r="EP789" t="str">
        <f>IF(ISNUMBER(BU789),IF(ABS(BU789-[1]QC_indicators!$B$2)&gt;3*[1]QC_indicators!$C$2,"C ratio",IF(ISNUMBER(BY789),IF(ABS(BY789-[1]QC_indicators!$B$1)&gt;3*[1]QC_indicators!$C$1,"DF","no"))),IF(ISNUMBER(BY789),IF(ABS(BY789-[1]QC_indicators!$B$1)&gt;3*[1]QC_indicators!$C$1,"DF","no")))</f>
        <v>no</v>
      </c>
      <c r="ER789" s="149" t="s">
        <v>349</v>
      </c>
      <c r="ET789" s="264" t="s">
        <v>3273</v>
      </c>
    </row>
    <row r="790" spans="1:150" ht="15" customHeight="1">
      <c r="A790" s="1" t="s">
        <v>430</v>
      </c>
      <c r="B790" t="s">
        <v>431</v>
      </c>
      <c r="C790" t="s">
        <v>432</v>
      </c>
      <c r="D790" t="s">
        <v>433</v>
      </c>
      <c r="E790" t="s">
        <v>434</v>
      </c>
      <c r="F790" t="s">
        <v>435</v>
      </c>
      <c r="G790" t="s">
        <v>436</v>
      </c>
      <c r="H790" t="s">
        <v>254</v>
      </c>
      <c r="I790">
        <v>2000</v>
      </c>
      <c r="J790">
        <v>174</v>
      </c>
      <c r="K790" t="s">
        <v>437</v>
      </c>
      <c r="M790" t="str">
        <f>LEFT($D790,FIND(",",$D790)-1)&amp;"_"&amp;I790&amp;L790</f>
        <v>Borjesson_2000</v>
      </c>
      <c r="N790" t="s">
        <v>222</v>
      </c>
      <c r="O790" s="145" t="s">
        <v>223</v>
      </c>
      <c r="Q790" t="s">
        <v>256</v>
      </c>
      <c r="R790" s="255" t="s">
        <v>225</v>
      </c>
      <c r="S790" s="1" t="s">
        <v>438</v>
      </c>
      <c r="T790" t="s">
        <v>449</v>
      </c>
      <c r="U790" t="s">
        <v>452</v>
      </c>
      <c r="V790">
        <v>0</v>
      </c>
      <c r="W790">
        <v>0</v>
      </c>
      <c r="X790">
        <v>0</v>
      </c>
      <c r="Y790">
        <v>0</v>
      </c>
      <c r="Z790">
        <v>0</v>
      </c>
      <c r="AA790">
        <v>0</v>
      </c>
      <c r="AB790">
        <v>0</v>
      </c>
      <c r="AC790">
        <v>0</v>
      </c>
      <c r="AD790">
        <v>0</v>
      </c>
      <c r="AE790">
        <v>0</v>
      </c>
      <c r="AF790">
        <v>0</v>
      </c>
      <c r="AG790">
        <v>0</v>
      </c>
      <c r="AH790">
        <v>0</v>
      </c>
      <c r="AI790">
        <v>0</v>
      </c>
      <c r="AJ790">
        <v>0</v>
      </c>
      <c r="AK790">
        <v>1</v>
      </c>
      <c r="AL790">
        <v>0</v>
      </c>
      <c r="AM790">
        <v>0</v>
      </c>
      <c r="AN790">
        <v>0</v>
      </c>
      <c r="AO790">
        <v>0</v>
      </c>
      <c r="AP790">
        <v>0</v>
      </c>
      <c r="AQ790">
        <v>0</v>
      </c>
      <c r="AR790">
        <v>0</v>
      </c>
      <c r="AS790">
        <v>0</v>
      </c>
      <c r="AT790">
        <v>0</v>
      </c>
      <c r="AU790">
        <v>0</v>
      </c>
      <c r="AV790">
        <v>0</v>
      </c>
      <c r="AW790">
        <v>0</v>
      </c>
      <c r="AX790" s="141">
        <f>COUNTIF(V790:AW790,"&lt;&gt;0")</f>
        <v>1</v>
      </c>
      <c r="AY790" s="141">
        <f>COUNTIF(V790:AL790,"&lt;&gt;0")</f>
        <v>1</v>
      </c>
      <c r="AZ790">
        <f>COUNTIF(V790:AC790,"&lt;&gt;0")</f>
        <v>0</v>
      </c>
      <c r="BA790">
        <f>COUNTIF(AD790:AI790,"&lt;&gt;0")</f>
        <v>0</v>
      </c>
      <c r="BB790">
        <f>COUNTIF(AJ790:AL790,"&lt;&gt;0")</f>
        <v>1</v>
      </c>
      <c r="BC790">
        <f>COUNTIF(AS790:AW790,"&lt;&gt;0")</f>
        <v>0</v>
      </c>
      <c r="BD790">
        <f>COUNTIF(AM790:AR790,"&lt;&gt;0")</f>
        <v>0</v>
      </c>
      <c r="BE790" t="str">
        <f t="array" ref="BE790">IF(AY790=1,INDEX($V$7:$AL$7,MATCH(TRUE,INDEX($V790:$AW790&lt;&gt;0,),0)),IF(AY790=0,INDEX($AM$7:$AW$7,MATCH(1,$AM790:$AW790,0)),IF(BF790="Multiple strategies","mixed drivers",IF(BF790="Supply chain","multiple supply","multiple silviculture"))))</f>
        <v>technologies/design switch</v>
      </c>
      <c r="BF790" s="2" t="str" cm="1">
        <f t="array" ref="BF790">IF(COUNTIF(AZ790:BB790,"&lt;&gt;0")=1,INDEX($V$4:$AW$4,MATCH(TRUE,INDEX($V790:$AW790&lt;&gt;0,),0)),IF(COUNTIF(AZ790:BB790,"&lt;&gt;0")=0,INDEX($AM$4:$AW$4,MATCH(1,$AM790:$AW790,0)),"Multiple strategies"))</f>
        <v>Technology</v>
      </c>
      <c r="BG790" s="142" t="s">
        <v>229</v>
      </c>
      <c r="BH790" t="s">
        <v>441</v>
      </c>
      <c r="BI790" s="264" t="s">
        <v>3274</v>
      </c>
      <c r="BJ790" s="143" t="s">
        <v>442</v>
      </c>
      <c r="BK790">
        <v>0</v>
      </c>
      <c r="BL790">
        <f>3*44</f>
        <v>132</v>
      </c>
      <c r="BM790" s="143" t="e">
        <f>BL790/BK790</f>
        <v>#DIV/0!</v>
      </c>
      <c r="BN790">
        <f>BL790-BK790</f>
        <v>132</v>
      </c>
      <c r="BO790">
        <f>BN790*tC_to_m3</f>
        <v>573.16543638732094</v>
      </c>
      <c r="BP790" t="s">
        <v>232</v>
      </c>
      <c r="BQ790" s="260" t="s">
        <v>813</v>
      </c>
      <c r="BR790" t="s">
        <v>443</v>
      </c>
      <c r="BS790" s="141">
        <v>3</v>
      </c>
      <c r="BT790" s="141">
        <v>84</v>
      </c>
      <c r="BU790" s="144">
        <f>IFERROR(BT790/BS790,"")</f>
        <v>28</v>
      </c>
      <c r="BV790">
        <f>BT790-BS790</f>
        <v>81</v>
      </c>
      <c r="BX790">
        <f>BV790*C_to_CO2</f>
        <v>297.27</v>
      </c>
      <c r="BY790">
        <f>IFERROR(BX790/BO790,"")</f>
        <v>0.51864606818181813</v>
      </c>
      <c r="BZ790" s="143">
        <v>0</v>
      </c>
      <c r="CA790" s="143">
        <v>0</v>
      </c>
      <c r="CB790" s="143">
        <v>0</v>
      </c>
      <c r="CC790" s="143">
        <v>0</v>
      </c>
      <c r="CD790" s="143">
        <v>0</v>
      </c>
      <c r="CE790" s="143">
        <v>0</v>
      </c>
      <c r="CF790" s="143">
        <v>0</v>
      </c>
      <c r="CG790" s="143">
        <v>0</v>
      </c>
      <c r="CH790" s="143">
        <v>0</v>
      </c>
      <c r="CI790" s="143">
        <v>0</v>
      </c>
      <c r="CJ790" s="143">
        <v>0</v>
      </c>
      <c r="CK790" s="143">
        <v>0</v>
      </c>
      <c r="CL790" s="143">
        <v>0</v>
      </c>
      <c r="CM790">
        <v>0</v>
      </c>
      <c r="CN790" t="str">
        <f>IF($BL790&lt;$BK790,"refNeedCorrection","refOK")</f>
        <v>refOK</v>
      </c>
      <c r="CO790">
        <f>IF($CN790="refOK",$BK790,$BL790)</f>
        <v>0</v>
      </c>
      <c r="CP790">
        <f>IF($CN790="refOK",$BL790,$BK790)</f>
        <v>132</v>
      </c>
      <c r="CQ790">
        <f>IF($CN790="refOK",$BO790,-$BO790)</f>
        <v>573.16543638732094</v>
      </c>
      <c r="CR790">
        <f>IF($CN790="refOK",$BS790,$BT790)*IF($BP790="Emissions positive",-1,1)</f>
        <v>3</v>
      </c>
      <c r="CS790">
        <f>IF($CN790="refOK",$BT790,$BS790)*IF($BP790="Emissions positive",-1,1)</f>
        <v>84</v>
      </c>
      <c r="CT790">
        <f>IF($CN790="refNeedCorrection",-BX790,BX790)*IF($BP790="Emissions positive",-1,1)</f>
        <v>297.27</v>
      </c>
      <c r="CU790">
        <f>IFERROR(CT790/CQ790,"")</f>
        <v>0.51864606818181813</v>
      </c>
      <c r="CV790" s="2">
        <f>IFERROR((CS790-CR790)/ABS(CR790),"")</f>
        <v>27</v>
      </c>
      <c r="CW790" s="1" t="s">
        <v>263</v>
      </c>
      <c r="CX790" t="str">
        <f>IF(OR($CW790="prd",$CW790="std",$CW790="cit"),"loc",IF(OR($CW790="eur",$CW790="reg",$CW790="coy"),"reg",$CW790))</f>
        <v>loc</v>
      </c>
      <c r="CY790" t="s">
        <v>444</v>
      </c>
      <c r="DB790">
        <v>300</v>
      </c>
      <c r="DC790" t="str">
        <f>IF(DB790=0,"0",IF(AND(DB790&gt;=1,DB790&lt;=30),"1-30",IF(AND(DB790&gt;30,DB790&lt;=70),"31-70",IF(AND(DB790&gt;70,DB790&lt;=100),"71-100",IF(DB790&gt;100,"+100")))))</f>
        <v>+100</v>
      </c>
      <c r="DD790">
        <v>0</v>
      </c>
      <c r="DE790">
        <v>0</v>
      </c>
      <c r="DF790">
        <v>0</v>
      </c>
      <c r="DG790">
        <v>1</v>
      </c>
      <c r="DI790">
        <f>SUM(DD790:DG790)</f>
        <v>1</v>
      </c>
      <c r="DJ790" t="str">
        <f>IF(DI790=1,INDEX($DD$7:$DG$7,MATCH(1,$DD790:$DG790,0)),"mixedProduct")</f>
        <v>TimberInput</v>
      </c>
      <c r="DK790">
        <f>IF(DD790=1,DK$7,0)</f>
        <v>0</v>
      </c>
      <c r="DL790">
        <f>IF(DE790=1,DL$7,0)</f>
        <v>0</v>
      </c>
      <c r="DM790">
        <f>IF(DF790=1,DM$7,0)</f>
        <v>0</v>
      </c>
      <c r="DN790" t="str">
        <f>IF(DG790=1,DN$7,0)</f>
        <v>Timber</v>
      </c>
      <c r="DO790">
        <v>1</v>
      </c>
      <c r="DP790" s="143">
        <v>0</v>
      </c>
      <c r="DQ790" s="143">
        <v>0</v>
      </c>
      <c r="DR790" s="143">
        <v>0</v>
      </c>
      <c r="DS790">
        <v>0</v>
      </c>
      <c r="DT790">
        <f>SUM(DO790:DP790)</f>
        <v>1</v>
      </c>
      <c r="DU790" s="143" t="str">
        <f>IF(DO790=1,"self-calculated DF",IF(DP790=1,"external DF used","explicit C balance"))</f>
        <v>self-calculated DF</v>
      </c>
      <c r="DV790">
        <v>0</v>
      </c>
      <c r="DW790" s="143">
        <v>0</v>
      </c>
      <c r="DX790" s="143">
        <v>1</v>
      </c>
      <c r="DY790" s="143">
        <v>1</v>
      </c>
      <c r="DZ790">
        <v>1</v>
      </c>
      <c r="EA790" s="143">
        <v>1</v>
      </c>
      <c r="EB790">
        <v>0</v>
      </c>
      <c r="EC790" s="143">
        <v>1</v>
      </c>
      <c r="ED790" s="143">
        <v>0</v>
      </c>
      <c r="EE790">
        <v>0</v>
      </c>
      <c r="EF790">
        <v>0</v>
      </c>
      <c r="EG790" s="143">
        <v>0</v>
      </c>
      <c r="EH790" s="143">
        <v>0</v>
      </c>
      <c r="EI790" s="2">
        <v>0</v>
      </c>
      <c r="EK790" t="str">
        <f>IF(AND(AND(AND(OR($DX790=1,$DW790=1),OR($EC790=1,$EA790=1)),SUM($DV790:$DZ790,$EF790)&gt;=4),SUM($EA790:$EE790)&gt;=2),"Whole sector","")</f>
        <v/>
      </c>
      <c r="EL790" t="str">
        <f>IF(AND(AND(OR($DX790=1,$DW790=1),AND($EC790=0,$EA790=0)),SUM($DV790:$DZ790,$EF790)&gt;=4),"Ecosystem approach","")</f>
        <v/>
      </c>
      <c r="EM790" s="2" t="str">
        <f>IF(AND(AND(AND($DX790=0,$DW790=0),OR($EC790=1,$EA790=1)),SUM($EB790:$EE790)&gt;=2),"Technology approach","")</f>
        <v/>
      </c>
      <c r="EN790" t="s">
        <v>445</v>
      </c>
      <c r="EP790" t="str">
        <f>IF(ISNUMBER(BU790),IF(ABS(BU790-[4]QC_indicators!$B$2)&gt;3*[4]QC_indicators!$C$2,"C ratio",IF(ISNUMBER(BY790),IF(ABS(BY790-[4]QC_indicators!$B$1)&gt;3*[4]QC_indicators!$C$1,"DF","no"))),IF(ISNUMBER(BY790),IF(ABS(BY790-[4]QC_indicators!$B$1)&gt;3*[4]QC_indicators!$C$1,"DF","no")))</f>
        <v>C ratio</v>
      </c>
      <c r="EQ790" t="s">
        <v>450</v>
      </c>
      <c r="ET790" s="264" t="s">
        <v>3273</v>
      </c>
    </row>
    <row r="791" spans="1:150" ht="15" customHeight="1">
      <c r="D791" t="s">
        <v>691</v>
      </c>
      <c r="E791" t="s">
        <v>692</v>
      </c>
      <c r="G791" t="s">
        <v>693</v>
      </c>
      <c r="I791">
        <v>2007</v>
      </c>
      <c r="K791" s="295" t="s">
        <v>694</v>
      </c>
      <c r="M791" t="str">
        <f>LEFT($D791,FIND(",",$D791)-1)&amp;"_"&amp;I791&amp;L791</f>
        <v>Eriksson_2007</v>
      </c>
      <c r="N791" t="s">
        <v>222</v>
      </c>
      <c r="O791" t="s">
        <v>223</v>
      </c>
      <c r="Q791" s="264" t="s">
        <v>256</v>
      </c>
      <c r="R791" s="269" t="s">
        <v>1154</v>
      </c>
      <c r="S791" s="1" t="s">
        <v>695</v>
      </c>
      <c r="T791" t="s">
        <v>696</v>
      </c>
      <c r="U791" s="143" t="s">
        <v>697</v>
      </c>
      <c r="V791">
        <v>0</v>
      </c>
      <c r="W791">
        <v>0</v>
      </c>
      <c r="X791">
        <v>0</v>
      </c>
      <c r="Y791">
        <v>0</v>
      </c>
      <c r="Z791">
        <v>0</v>
      </c>
      <c r="AA791">
        <v>0</v>
      </c>
      <c r="AB791">
        <v>1</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s="141">
        <f>COUNTIF(V791:AW791,"&lt;&gt;0")</f>
        <v>1</v>
      </c>
      <c r="AY791" s="141">
        <f>COUNTIF(V791:AL791,"&lt;&gt;0")</f>
        <v>1</v>
      </c>
      <c r="AZ791">
        <f>COUNTIF(V791:AC791,"&lt;&gt;0")</f>
        <v>1</v>
      </c>
      <c r="BA791">
        <f>COUNTIF(AD791:AI791,"&lt;&gt;0")</f>
        <v>0</v>
      </c>
      <c r="BB791">
        <f>COUNTIF(AJ791:AL791,"&lt;&gt;0")</f>
        <v>0</v>
      </c>
      <c r="BC791">
        <f>COUNTIF(AS791:AW791,"&lt;&gt;0")</f>
        <v>0</v>
      </c>
      <c r="BD791">
        <f>COUNTIF(AM791:AR791,"&lt;&gt;0")</f>
        <v>0</v>
      </c>
      <c r="BE791" t="str" cm="1">
        <f t="array" ref="BE791">IF(AY791=1,INDEX($V$7:$AL$7,MATCH(TRUE,INDEX($V791:$AW791&lt;&gt;0,),0)),IF(AY791=0,INDEX($AM$7:$AW$7,MATCH(1,$AM791:$AW791,0)),IF(BF791="Multiple strategies","mixed drivers",IF(BF791="Supply chain","multiple supply","multiple silviculture"))))</f>
        <v>fertilisation</v>
      </c>
      <c r="BF791" s="2" t="str" cm="1">
        <f t="array" ref="BF791">IF(COUNTIF(AZ791:BB791,"&lt;&gt;0")=1,INDEX($V$4:$AW$4,MATCH(TRUE,INDEX($V791:$AW791&lt;&gt;0,),0)),IF(COUNTIF(AZ791:BB791,"&lt;&gt;0")=0,INDEX($AM$4:$AW$4,MATCH(1,$AM791:$AW791,0)),"Multiple strategies"))</f>
        <v>Silviculture for productivity</v>
      </c>
      <c r="BG791" s="142" t="s">
        <v>321</v>
      </c>
      <c r="BH791" t="s">
        <v>698</v>
      </c>
      <c r="BI791" s="264" t="s">
        <v>699</v>
      </c>
      <c r="BJ791" s="143" t="s">
        <v>700</v>
      </c>
      <c r="BK791">
        <v>7.3</v>
      </c>
      <c r="BL791" s="143">
        <v>10</v>
      </c>
      <c r="BM791" s="143">
        <f>BL791/BK791</f>
        <v>1.3698630136986301</v>
      </c>
      <c r="BN791">
        <f>BL791-BK791</f>
        <v>2.7</v>
      </c>
      <c r="BO791" s="143">
        <f>BN791</f>
        <v>2.7</v>
      </c>
      <c r="BP791" t="s">
        <v>232</v>
      </c>
      <c r="BQ791" s="153" t="s">
        <v>701</v>
      </c>
      <c r="BR791" t="s">
        <v>702</v>
      </c>
      <c r="BS791" s="151">
        <v>1.0063694267515921</v>
      </c>
      <c r="BT791" s="151">
        <v>1.3885350318471339</v>
      </c>
      <c r="BU791">
        <f>BT791/BS791</f>
        <v>1.3797468354430384</v>
      </c>
      <c r="BV791">
        <f>BT791-BS791</f>
        <v>0.38216560509554176</v>
      </c>
      <c r="BX791">
        <f>BV791*C_to_CO2</f>
        <v>1.4025477707006382</v>
      </c>
      <c r="BY791">
        <f>IFERROR(BX791/BO791,"")</f>
        <v>0.51946213729653268</v>
      </c>
      <c r="BZ791" s="143">
        <v>0</v>
      </c>
      <c r="CA791" s="143">
        <v>0</v>
      </c>
      <c r="CB791" s="143">
        <v>0</v>
      </c>
      <c r="CC791" s="143">
        <v>0</v>
      </c>
      <c r="CD791" s="143">
        <v>0</v>
      </c>
      <c r="CE791" s="143">
        <v>0</v>
      </c>
      <c r="CF791" s="143">
        <v>0</v>
      </c>
      <c r="CG791" s="143">
        <v>0</v>
      </c>
      <c r="CH791" s="143">
        <v>0</v>
      </c>
      <c r="CI791" s="143">
        <v>0</v>
      </c>
      <c r="CJ791" s="143">
        <v>0</v>
      </c>
      <c r="CK791" s="143">
        <v>0</v>
      </c>
      <c r="CL791" s="143">
        <v>0</v>
      </c>
      <c r="CM791">
        <v>0</v>
      </c>
      <c r="CN791" t="str">
        <f>IF($BL791&lt;$BK791,"refNeedCorrection","refOK")</f>
        <v>refOK</v>
      </c>
      <c r="CO791">
        <f>IF($CN791="refOK",$BK791,$BL791)</f>
        <v>7.3</v>
      </c>
      <c r="CP791">
        <f>IF($CN791="refOK",$BL791,$BK791)</f>
        <v>10</v>
      </c>
      <c r="CQ791">
        <f>IF($CN791="refOK",$BO791,-$BO791)</f>
        <v>2.7</v>
      </c>
      <c r="CR791">
        <f>IF($CN791="refOK",$BS791,$BT791)*IF($BP791="Emissions positive",-1,1)</f>
        <v>1.0063694267515921</v>
      </c>
      <c r="CS791">
        <f>IF($CN791="refOK",$BT791,$BS791)*IF($BP791="Emissions positive",-1,1)</f>
        <v>1.3885350318471339</v>
      </c>
      <c r="CT791">
        <f>IF($CN791="refNeedCorrection",-BX791,BX791)*IF($BP791="Emissions positive",-1,1)</f>
        <v>1.4025477707006382</v>
      </c>
      <c r="CU791">
        <f>IFERROR(CT791/CQ791,"")</f>
        <v>0.51946213729653268</v>
      </c>
      <c r="CV791" s="2">
        <f>IFERROR((CS791-CR791)/ABS(CR791),"")</f>
        <v>0.37974683544303839</v>
      </c>
      <c r="CW791" s="1" t="s">
        <v>234</v>
      </c>
      <c r="CX791" s="264" t="str">
        <f>IF(OR($CW791="prd",$CW791="std",$CW791="cit"),"loc",IF(OR($CW791="eur",$CW791="reg",$CW791="coy"),"reg",$CW791))</f>
        <v>loc</v>
      </c>
      <c r="CY791" t="s">
        <v>264</v>
      </c>
      <c r="DA791" s="143"/>
      <c r="DB791" s="143">
        <v>300</v>
      </c>
      <c r="DC791" t="str">
        <f>IF(DB791=0,"0",IF(AND(DB791&gt;=1,DB791&lt;=30),"1-30",IF(AND(DB791&gt;30,DB791&lt;=70),"31-70",IF(AND(DB791&gt;70,DB791&lt;=100),"71-100",IF(DB791&gt;100,"+100")))))</f>
        <v>+100</v>
      </c>
      <c r="DD791">
        <v>0</v>
      </c>
      <c r="DE791">
        <v>1</v>
      </c>
      <c r="DF791">
        <v>0</v>
      </c>
      <c r="DG791">
        <v>0</v>
      </c>
      <c r="DI791">
        <f>SUM(DD791:DG791)</f>
        <v>1</v>
      </c>
      <c r="DJ791" t="str">
        <f>IF(DI791=1,INDEX($DD$7:$DG$7,MATCH(1,$DD791:$DG791,0)),"mixedProduct")</f>
        <v>EnergyInput</v>
      </c>
      <c r="DK791">
        <f>IF(DD791=1,DK$7,0)</f>
        <v>0</v>
      </c>
      <c r="DL791" t="str">
        <f>IF(DE791=1,DL$7,0)</f>
        <v>Energy</v>
      </c>
      <c r="DM791">
        <f>IF(DF791=1,DM$7,0)</f>
        <v>0</v>
      </c>
      <c r="DN791">
        <f>IF(DG791=1,DN$7,0)</f>
        <v>0</v>
      </c>
      <c r="DO791">
        <v>1</v>
      </c>
      <c r="DP791" s="143">
        <v>0</v>
      </c>
      <c r="DQ791" s="143">
        <v>0</v>
      </c>
      <c r="DR791">
        <v>0</v>
      </c>
      <c r="DS791" s="143">
        <v>0</v>
      </c>
      <c r="DT791">
        <f>SUM(DO791:DP791)</f>
        <v>1</v>
      </c>
      <c r="DU791" s="143" t="str">
        <f>IF(DO791=1,"self-calculated DF",IF(DP791=1,"external DF used","explicit C balance"))</f>
        <v>self-calculated DF</v>
      </c>
      <c r="DV791" s="143">
        <v>1</v>
      </c>
      <c r="DW791" s="143">
        <v>1</v>
      </c>
      <c r="DX791" s="143">
        <v>0</v>
      </c>
      <c r="DY791" s="143">
        <v>0</v>
      </c>
      <c r="DZ791">
        <v>0</v>
      </c>
      <c r="EA791" s="143">
        <v>1</v>
      </c>
      <c r="EB791" s="143">
        <v>1</v>
      </c>
      <c r="EC791" s="143">
        <v>1</v>
      </c>
      <c r="ED791" s="143">
        <v>0</v>
      </c>
      <c r="EE791">
        <v>0</v>
      </c>
      <c r="EF791">
        <v>1</v>
      </c>
      <c r="EG791" s="143">
        <v>0</v>
      </c>
      <c r="EH791" s="143">
        <v>0</v>
      </c>
      <c r="EI791" s="2">
        <v>0</v>
      </c>
      <c r="EK791" t="str">
        <f>IF(AND(AND(AND(OR($DX791=1,$DW791=1),OR($EC791=1,$EA791=1)),SUM($DV791:$DZ791,$EF791)&gt;=4),SUM($EA791:$EE791)&gt;=2),"Whole sector","")</f>
        <v/>
      </c>
      <c r="EL791" t="str">
        <f>IF(AND(AND(OR($DX791=1,$DW791=1),AND($EC791=0,$EA791=0)),SUM($DV791:$DZ791,$EF791)&gt;=4),"Ecosystem approach","")</f>
        <v/>
      </c>
      <c r="EM791" s="2" t="str">
        <f>IF(AND(AND(AND($DX791=0,$DW791=0),OR($EC791=1,$EA791=1)),SUM($EB791:$EE791)&gt;=2),"Technology approach","")</f>
        <v/>
      </c>
      <c r="EP791" t="str">
        <f>IF(ISNUMBER(BU791),IF(ABS(BU791-[3]QC_indicators!$B$2)&gt;3*[3]QC_indicators!$C$2,"C ratio",IF(ISNUMBER(BY791),IF(ABS(BY791-[3]QC_indicators!$B$1)&gt;3*[3]QC_indicators!$C$1,"DF","no"))),IF(ISNUMBER(BY791),IF(ABS(BY791-[3]QC_indicators!$B$1)&gt;3*[3]QC_indicators!$C$1,"DF","no")))</f>
        <v>no</v>
      </c>
      <c r="ER791" s="264" t="s">
        <v>703</v>
      </c>
      <c r="ET791" s="264" t="s">
        <v>3407</v>
      </c>
    </row>
    <row r="792" spans="1:150" ht="15" customHeight="1">
      <c r="A792" s="1" t="s">
        <v>265</v>
      </c>
      <c r="B792" t="s">
        <v>266</v>
      </c>
      <c r="C792" t="s">
        <v>267</v>
      </c>
      <c r="D792" t="s">
        <v>268</v>
      </c>
      <c r="E792" t="s">
        <v>269</v>
      </c>
      <c r="F792" t="s">
        <v>270</v>
      </c>
      <c r="G792" t="s">
        <v>271</v>
      </c>
      <c r="H792" t="s">
        <v>254</v>
      </c>
      <c r="I792">
        <v>2022</v>
      </c>
      <c r="J792">
        <v>0</v>
      </c>
      <c r="K792" t="s">
        <v>272</v>
      </c>
      <c r="M792" t="str">
        <f>LEFT($D792,FIND(",",$D792)-1)&amp;"_"&amp;I792&amp;L792</f>
        <v>Aryapratama_2022</v>
      </c>
      <c r="N792" t="s">
        <v>222</v>
      </c>
      <c r="O792" s="145" t="s">
        <v>274</v>
      </c>
      <c r="Q792" t="s">
        <v>224</v>
      </c>
      <c r="R792" s="262" t="s">
        <v>223</v>
      </c>
      <c r="S792" s="263" t="s">
        <v>3105</v>
      </c>
      <c r="T792" t="s">
        <v>306</v>
      </c>
      <c r="U792" t="s">
        <v>288</v>
      </c>
      <c r="V792">
        <v>0</v>
      </c>
      <c r="W792">
        <v>0</v>
      </c>
      <c r="X792">
        <v>0</v>
      </c>
      <c r="Y792">
        <v>0</v>
      </c>
      <c r="Z792">
        <v>0</v>
      </c>
      <c r="AA792">
        <v>0</v>
      </c>
      <c r="AB792">
        <v>0</v>
      </c>
      <c r="AC792">
        <v>0</v>
      </c>
      <c r="AD792">
        <v>0</v>
      </c>
      <c r="AE792">
        <v>0</v>
      </c>
      <c r="AF792">
        <v>0</v>
      </c>
      <c r="AG792">
        <v>0</v>
      </c>
      <c r="AH792">
        <v>0</v>
      </c>
      <c r="AI792">
        <v>0</v>
      </c>
      <c r="AJ792">
        <v>0</v>
      </c>
      <c r="AK792">
        <v>1</v>
      </c>
      <c r="AL792">
        <v>0</v>
      </c>
      <c r="AM792">
        <v>0</v>
      </c>
      <c r="AN792">
        <v>0</v>
      </c>
      <c r="AO792">
        <v>0</v>
      </c>
      <c r="AP792">
        <v>0</v>
      </c>
      <c r="AQ792">
        <v>0</v>
      </c>
      <c r="AR792">
        <v>0</v>
      </c>
      <c r="AS792">
        <v>0</v>
      </c>
      <c r="AT792">
        <v>0</v>
      </c>
      <c r="AU792">
        <v>0</v>
      </c>
      <c r="AV792">
        <v>0</v>
      </c>
      <c r="AW792">
        <v>0</v>
      </c>
      <c r="AX792" s="141">
        <f>COUNTIF(V792:AW792,"&lt;&gt;0")</f>
        <v>1</v>
      </c>
      <c r="AY792" s="141">
        <f>COUNTIF(V792:AL792,"&lt;&gt;0")</f>
        <v>1</v>
      </c>
      <c r="AZ792">
        <f>COUNTIF(V792:AC792,"&lt;&gt;0")</f>
        <v>0</v>
      </c>
      <c r="BA792">
        <f>COUNTIF(AD792:AI792,"&lt;&gt;0")</f>
        <v>0</v>
      </c>
      <c r="BB792">
        <f>COUNTIF(AJ792:AL792,"&lt;&gt;0")</f>
        <v>1</v>
      </c>
      <c r="BC792">
        <f>COUNTIF(AS792:AW792,"&lt;&gt;0")</f>
        <v>0</v>
      </c>
      <c r="BD792">
        <f>COUNTIF(AM792:AR792,"&lt;&gt;0")</f>
        <v>0</v>
      </c>
      <c r="BE792" t="str">
        <f t="array" ref="BE792">IF(AY792=1,INDEX($V$7:$AL$7,MATCH(TRUE,INDEX($V792:$AW792&lt;&gt;0,),0)),IF(AY792=0,INDEX($AM$7:$AW$7,MATCH(1,$AM792:$AW792,0)),IF(BF792="Multiple strategies","mixed drivers",IF(BF792="Supply chain","multiple supply","multiple silviculture"))))</f>
        <v>technologies/design switch</v>
      </c>
      <c r="BF792" s="2" t="str" cm="1">
        <f t="array" ref="BF792">IF(COUNTIF(AZ792:BB792,"&lt;&gt;0")=1,INDEX($V$4:$AW$4,MATCH(TRUE,INDEX($V792:$AW792&lt;&gt;0,),0)),IF(COUNTIF(AZ792:BB792,"&lt;&gt;0")=0,INDEX($AM$4:$AW$4,MATCH(1,$AM792:$AW792,0)),"Multiple strategies"))</f>
        <v>Technology</v>
      </c>
      <c r="BG792" s="1" t="s">
        <v>229</v>
      </c>
      <c r="BH792" t="s">
        <v>277</v>
      </c>
      <c r="BI792" s="264" t="s">
        <v>3106</v>
      </c>
      <c r="BJ792" t="s">
        <v>278</v>
      </c>
      <c r="BK792">
        <v>0</v>
      </c>
      <c r="BL792">
        <v>164.02627088979997</v>
      </c>
      <c r="BN792">
        <f>BL792-BK792</f>
        <v>164.02627088979997</v>
      </c>
      <c r="BO792">
        <f>BN792*tC_to_m3</f>
        <v>712.22870555709937</v>
      </c>
      <c r="BP792" t="s">
        <v>232</v>
      </c>
      <c r="BQ792" s="337" t="s">
        <v>3107</v>
      </c>
      <c r="BR792" t="s">
        <v>279</v>
      </c>
      <c r="BS792">
        <v>-293.93651380696792</v>
      </c>
      <c r="BT792">
        <v>77.331302173432363</v>
      </c>
      <c r="BU792" s="144">
        <f>IFERROR(BT792/BS792,"")</f>
        <v>-0.26308845121643126</v>
      </c>
      <c r="BV792">
        <f>BT792-BS792</f>
        <v>371.26781598040031</v>
      </c>
      <c r="BX792">
        <f>BV792</f>
        <v>371.26781598040031</v>
      </c>
      <c r="BY792">
        <f>IFERROR(BX792/BO792,"")</f>
        <v>0.52127611971213339</v>
      </c>
      <c r="BZ792">
        <v>0</v>
      </c>
      <c r="CA792">
        <v>0</v>
      </c>
      <c r="CB792">
        <v>0</v>
      </c>
      <c r="CC792">
        <v>0</v>
      </c>
      <c r="CD792">
        <v>0</v>
      </c>
      <c r="CE792">
        <v>0</v>
      </c>
      <c r="CF792">
        <v>0</v>
      </c>
      <c r="CG792">
        <v>0</v>
      </c>
      <c r="CH792">
        <v>0</v>
      </c>
      <c r="CI792">
        <v>0</v>
      </c>
      <c r="CJ792">
        <v>0</v>
      </c>
      <c r="CK792">
        <v>0</v>
      </c>
      <c r="CL792">
        <v>0</v>
      </c>
      <c r="CM792">
        <v>0</v>
      </c>
      <c r="CN792" t="str">
        <f>IF($BL792&lt;$BK792,"refNeedCorrection","refOK")</f>
        <v>refOK</v>
      </c>
      <c r="CO792">
        <f>IF($CN792="refOK",$BK792,$BL792)</f>
        <v>0</v>
      </c>
      <c r="CP792">
        <f>IF($CN792="refOK",$BL792,$BK792)</f>
        <v>164.02627088979997</v>
      </c>
      <c r="CQ792">
        <f>IF($CN792="refOK",$BO792,-$BO792)</f>
        <v>712.22870555709937</v>
      </c>
      <c r="CR792">
        <f>IF($CN792="refOK",$BS792,$BT792)*IF($BP792="Emissions positive",-1,1)</f>
        <v>-293.93651380696792</v>
      </c>
      <c r="CS792">
        <f>IF($CN792="refOK",$BT792,$BS792)*IF($BP792="Emissions positive",-1,1)</f>
        <v>77.331302173432363</v>
      </c>
      <c r="CT792">
        <f>IF($CN792="refNeedCorrection",-BX792,BX792)*IF($BP792="Emissions positive",-1,1)</f>
        <v>371.26781598040031</v>
      </c>
      <c r="CU792">
        <f>IFERROR(CT792/CQ792,"")</f>
        <v>0.52127611971213339</v>
      </c>
      <c r="CV792" s="2">
        <f>IFERROR((CS792-CR792)/ABS(CR792),"")</f>
        <v>1.2630884512164313</v>
      </c>
      <c r="CW792" s="1" t="s">
        <v>234</v>
      </c>
      <c r="CX792" t="str">
        <f>IF(OR($CW792="prd",$CW792="std",$CW792="cit"),"loc",IF(OR($CW792="eur",$CW792="reg",$CW792="coy"),"reg",$CW792))</f>
        <v>loc</v>
      </c>
      <c r="CY792" t="s">
        <v>280</v>
      </c>
      <c r="DB792">
        <v>50</v>
      </c>
      <c r="DC792" t="str">
        <f>IF(DB792=0,"0",IF(AND(DB792&gt;=1,DB792&lt;=30),"1-30",IF(AND(DB792&gt;30,DB792&lt;=70),"31-70",IF(AND(DB792&gt;70,DB792&lt;=100),"71-100",IF(DB792&gt;100,"+100")))))</f>
        <v>31-70</v>
      </c>
      <c r="DD792">
        <v>0</v>
      </c>
      <c r="DE792">
        <v>0</v>
      </c>
      <c r="DF792">
        <v>0</v>
      </c>
      <c r="DG792">
        <v>1</v>
      </c>
      <c r="DI792">
        <f>SUM(DD792:DG792)</f>
        <v>1</v>
      </c>
      <c r="DJ792" t="str">
        <f>IF(DI792=1,INDEX($DD$7:$DG$7,MATCH(1,$DD792:$DG792,0)),"mixedProduct")</f>
        <v>TimberInput</v>
      </c>
      <c r="DK792">
        <f>IF(DD792=1,DK$7,0)</f>
        <v>0</v>
      </c>
      <c r="DL792">
        <f>IF(DE792=1,DL$7,0)</f>
        <v>0</v>
      </c>
      <c r="DM792">
        <f>IF(DF792=1,DM$7,0)</f>
        <v>0</v>
      </c>
      <c r="DN792" t="str">
        <f>IF(DG792=1,DN$7,0)</f>
        <v>Timber</v>
      </c>
      <c r="DO792">
        <v>0</v>
      </c>
      <c r="DP792">
        <v>1</v>
      </c>
      <c r="DQ792">
        <v>0</v>
      </c>
      <c r="DR792" t="s">
        <v>281</v>
      </c>
      <c r="DS792">
        <v>0</v>
      </c>
      <c r="DT792">
        <f>SUM(DO792:DP792)</f>
        <v>1</v>
      </c>
      <c r="DU792" s="143" t="str">
        <f>IF(DO792=1,"self-calculated DF",IF(DP792=1,"external DF used","explicit C balance"))</f>
        <v>external DF used</v>
      </c>
      <c r="DV792">
        <v>0</v>
      </c>
      <c r="DW792">
        <v>1</v>
      </c>
      <c r="DX792">
        <v>1</v>
      </c>
      <c r="DY792">
        <v>1</v>
      </c>
      <c r="DZ792">
        <v>1</v>
      </c>
      <c r="EA792" s="143">
        <v>0</v>
      </c>
      <c r="EB792">
        <v>1</v>
      </c>
      <c r="EC792">
        <v>1</v>
      </c>
      <c r="ED792">
        <v>0</v>
      </c>
      <c r="EE792">
        <v>1</v>
      </c>
      <c r="EF792">
        <v>1</v>
      </c>
      <c r="EG792">
        <v>1</v>
      </c>
      <c r="EH792">
        <v>0</v>
      </c>
      <c r="EI792" s="2">
        <v>0</v>
      </c>
      <c r="EK792" t="str">
        <f>IF(AND(AND(AND(OR($DX792=1,$DW792=1),OR($EC792=1,$EA792=1)),SUM($DV792:$DZ792,$EF792)&gt;=4),SUM($EA792:$EE792)&gt;=2),"Whole sector","")</f>
        <v>Whole sector</v>
      </c>
      <c r="EL792" t="str">
        <f>IF(AND(AND(OR($DX792=1,$DW792=1),AND($EC792=0,$EA792=0)),SUM($DV792:$DZ792,$EF792)&gt;=4),"Ecosystem approach","")</f>
        <v/>
      </c>
      <c r="EM792" s="2" t="str">
        <f>IF(AND(AND(AND($DX792=0,$DW792=0),OR($EC792=1,$EA792=1)),SUM($EB792:$EE792)&gt;=2),"Technology approach","")</f>
        <v/>
      </c>
      <c r="EP792" t="str">
        <f>IF(ISNUMBER(BU792),IF(ABS(BU792-[1]QC_indicators!$B$2)&gt;3*[1]QC_indicators!$C$2,"C ratio",IF(ISNUMBER(BY792),IF(ABS(BY792-[1]QC_indicators!$B$1)&gt;3*[1]QC_indicators!$C$1,"DF","no"))),IF(ISNUMBER(BY792),IF(ABS(BY792-[1]QC_indicators!$B$1)&gt;3*[1]QC_indicators!$C$1,"DF","no")))</f>
        <v>no</v>
      </c>
      <c r="EQ792" t="s">
        <v>286</v>
      </c>
      <c r="ER792" t="s">
        <v>296</v>
      </c>
      <c r="ET792" s="264" t="s">
        <v>3273</v>
      </c>
    </row>
    <row r="793" spans="1:150" ht="15" customHeight="1">
      <c r="D793" t="s">
        <v>963</v>
      </c>
      <c r="E793" t="s">
        <v>964</v>
      </c>
      <c r="G793" t="s">
        <v>965</v>
      </c>
      <c r="I793">
        <v>2002</v>
      </c>
      <c r="K793" s="295" t="s">
        <v>966</v>
      </c>
      <c r="M793" t="str">
        <f>LEFT($D793,FIND(",",$D793)-1)&amp;"_"&amp;I793&amp;L793</f>
        <v>Petersen_2002</v>
      </c>
      <c r="N793" t="s">
        <v>222</v>
      </c>
      <c r="O793" s="171" t="s">
        <v>513</v>
      </c>
      <c r="P793" s="141" t="s">
        <v>225</v>
      </c>
      <c r="Q793" s="264" t="s">
        <v>389</v>
      </c>
      <c r="R793" s="269" t="s">
        <v>1154</v>
      </c>
      <c r="S793" s="1" t="s">
        <v>986</v>
      </c>
      <c r="T793" s="264" t="s">
        <v>979</v>
      </c>
      <c r="U793" s="264" t="s">
        <v>980</v>
      </c>
      <c r="V793">
        <v>0</v>
      </c>
      <c r="W793">
        <v>0</v>
      </c>
      <c r="X793">
        <v>0</v>
      </c>
      <c r="Y793">
        <v>0</v>
      </c>
      <c r="Z793">
        <v>0</v>
      </c>
      <c r="AA793">
        <v>0</v>
      </c>
      <c r="AB793">
        <v>0</v>
      </c>
      <c r="AC793">
        <v>0</v>
      </c>
      <c r="AD793">
        <v>0</v>
      </c>
      <c r="AE793">
        <v>0</v>
      </c>
      <c r="AF793">
        <v>0</v>
      </c>
      <c r="AG793">
        <v>0</v>
      </c>
      <c r="AH793">
        <v>0</v>
      </c>
      <c r="AI793">
        <v>0</v>
      </c>
      <c r="AJ793">
        <v>0</v>
      </c>
      <c r="AK793">
        <v>1</v>
      </c>
      <c r="AL793">
        <v>0</v>
      </c>
      <c r="AM793">
        <v>0</v>
      </c>
      <c r="AN793">
        <v>0</v>
      </c>
      <c r="AO793">
        <v>0</v>
      </c>
      <c r="AP793">
        <v>0</v>
      </c>
      <c r="AQ793">
        <v>0</v>
      </c>
      <c r="AR793">
        <v>0</v>
      </c>
      <c r="AS793">
        <v>0</v>
      </c>
      <c r="AT793">
        <v>0</v>
      </c>
      <c r="AU793">
        <v>0</v>
      </c>
      <c r="AV793">
        <v>0</v>
      </c>
      <c r="AW793">
        <v>0</v>
      </c>
      <c r="AX793" s="141">
        <f>COUNTIF(V793:AW793,"&lt;&gt;0")</f>
        <v>1</v>
      </c>
      <c r="AY793" s="141">
        <f>COUNTIF(V793:AL793,"&lt;&gt;0")</f>
        <v>1</v>
      </c>
      <c r="AZ793">
        <f>COUNTIF(V793:AC793,"&lt;&gt;0")</f>
        <v>0</v>
      </c>
      <c r="BA793">
        <f>COUNTIF(AD793:AI793,"&lt;&gt;0")</f>
        <v>0</v>
      </c>
      <c r="BB793">
        <f>COUNTIF(AJ793:AL793,"&lt;&gt;0")</f>
        <v>1</v>
      </c>
      <c r="BC793">
        <f>COUNTIF(AS793:AW793,"&lt;&gt;0")</f>
        <v>0</v>
      </c>
      <c r="BD793">
        <f>COUNTIF(AM793:AR793,"&lt;&gt;0")</f>
        <v>0</v>
      </c>
      <c r="BE793" t="str" cm="1">
        <f t="array" ref="BE793">IF(AY793=1,INDEX($V$7:$AL$7,MATCH(TRUE,INDEX($V793:$AW793&lt;&gt;0,),0)),IF(AY793=0,INDEX($AM$7:$AW$7,MATCH(1,$AM793:$AW793,0)),IF(BF793="Multiple strategies","mixed drivers",IF(BF793="Supply chain","multiple supply","multiple silviculture"))))</f>
        <v>technologies/design switch</v>
      </c>
      <c r="BF793" s="2" t="str" cm="1">
        <f t="array" ref="BF793">IF(COUNTIF(AZ793:BB793,"&lt;&gt;0")=1,INDEX($V$4:$AW$4,MATCH(TRUE,INDEX($V793:$AW793&lt;&gt;0,),0)),IF(COUNTIF(AZ793:BB793,"&lt;&gt;0")=0,INDEX($AM$4:$AW$4,MATCH(1,$AM793:$AW793,0)),"Multiple strategies"))</f>
        <v>Technology</v>
      </c>
      <c r="BG793" s="142" t="s">
        <v>229</v>
      </c>
      <c r="BH793" t="s">
        <v>970</v>
      </c>
      <c r="BI793" t="s">
        <v>971</v>
      </c>
      <c r="BJ793" t="s">
        <v>498</v>
      </c>
      <c r="BK793">
        <v>0</v>
      </c>
      <c r="BL793">
        <v>1</v>
      </c>
      <c r="BM793" t="str">
        <f>IFERROR(BL793/BK793,"")</f>
        <v/>
      </c>
      <c r="BN793">
        <f>BL793-BK793</f>
        <v>1</v>
      </c>
      <c r="BO793">
        <v>1</v>
      </c>
      <c r="BP793" t="s">
        <v>232</v>
      </c>
      <c r="BQ793" t="s">
        <v>972</v>
      </c>
      <c r="BR793" s="264" t="s">
        <v>973</v>
      </c>
      <c r="BV793">
        <v>0.52300000000000002</v>
      </c>
      <c r="BX793">
        <f>BV793</f>
        <v>0.52300000000000002</v>
      </c>
      <c r="BY793">
        <f>IFERROR(BX793/BO793,"")</f>
        <v>0.52300000000000002</v>
      </c>
      <c r="BZ793">
        <v>0</v>
      </c>
      <c r="CA793">
        <v>0</v>
      </c>
      <c r="CB793">
        <v>0</v>
      </c>
      <c r="CC793">
        <v>0</v>
      </c>
      <c r="CD793">
        <v>0</v>
      </c>
      <c r="CE793">
        <v>0</v>
      </c>
      <c r="CF793">
        <v>0</v>
      </c>
      <c r="CG793">
        <v>0</v>
      </c>
      <c r="CH793">
        <v>0</v>
      </c>
      <c r="CI793">
        <v>0</v>
      </c>
      <c r="CJ793">
        <v>0</v>
      </c>
      <c r="CK793">
        <v>0</v>
      </c>
      <c r="CL793">
        <v>0</v>
      </c>
      <c r="CM793">
        <v>0</v>
      </c>
      <c r="CN793" t="str">
        <f>IF($BL793&lt;$BK793,"refNeedCorrection","refOK")</f>
        <v>refOK</v>
      </c>
      <c r="CO793">
        <f>IF($CN793="refOK",$BK793,$BL793)</f>
        <v>0</v>
      </c>
      <c r="CP793">
        <f>IF($CN793="refOK",$BL793,$BK793)</f>
        <v>1</v>
      </c>
      <c r="CQ793">
        <f>IF($CN793="refOK",$BO793,-$BO793)</f>
        <v>1</v>
      </c>
      <c r="CR793">
        <f>IF($CN793="refOK",$BS793,$BT793)*IF($BP793="Emissions positive",-1,1)</f>
        <v>0</v>
      </c>
      <c r="CS793">
        <f>IF($CN793="refOK",$BT793,$BS793)*IF($BP793="Emissions positive",-1,1)</f>
        <v>0</v>
      </c>
      <c r="CT793">
        <f>IF($CN793="refNeedCorrection",-BX793,BX793)*IF($BP793="Emissions positive",-1,1)</f>
        <v>0.52300000000000002</v>
      </c>
      <c r="CU793">
        <f>IFERROR(CT793/CQ793,"")</f>
        <v>0.52300000000000002</v>
      </c>
      <c r="CV793" s="2" t="str">
        <f>IFERROR((CS793-CR793)/ABS(CR793),"")</f>
        <v/>
      </c>
      <c r="CW793" s="1" t="s">
        <v>974</v>
      </c>
      <c r="CX793" s="264" t="str">
        <f>IF(OR($CW793="prd",$CW793="std",$CW793="cit"),"loc",IF(OR($CW793="eur",$CW793="reg",$CW793="coy"),"reg",$CW793))</f>
        <v>loc</v>
      </c>
      <c r="CY793" t="s">
        <v>264</v>
      </c>
      <c r="DB793">
        <v>50</v>
      </c>
      <c r="DC793" t="str">
        <f>IF(DB793=0,"0",IF(AND(DB793&gt;=1,DB793&lt;=30),"1-30",IF(AND(DB793&gt;30,DB793&lt;=70),"31-70",IF(AND(DB793&gt;70,DB793&lt;=100),"71-100",IF(DB793&gt;100,"+100")))))</f>
        <v>31-70</v>
      </c>
      <c r="DD793">
        <v>0</v>
      </c>
      <c r="DE793">
        <v>0</v>
      </c>
      <c r="DF793">
        <v>0</v>
      </c>
      <c r="DG793">
        <v>1</v>
      </c>
      <c r="DH793">
        <v>0</v>
      </c>
      <c r="DI793">
        <f>SUM(DD793:DG793)</f>
        <v>1</v>
      </c>
      <c r="DJ793" t="str">
        <f>IF(DI793=1,INDEX($DD$7:$DG$7,MATCH(1,$DD793:$DG793,0)),"mixedProduct")</f>
        <v>TimberInput</v>
      </c>
      <c r="DK793">
        <f>IF(DD793=1,DK$7,0)</f>
        <v>0</v>
      </c>
      <c r="DL793">
        <f>IF(DE793=1,DL$7,0)</f>
        <v>0</v>
      </c>
      <c r="DM793">
        <f>IF(DF793=1,DM$7,0)</f>
        <v>0</v>
      </c>
      <c r="DN793" t="str">
        <f>IF(DG793=1,DN$7,0)</f>
        <v>Timber</v>
      </c>
      <c r="DO793">
        <v>1</v>
      </c>
      <c r="DP793">
        <v>0</v>
      </c>
      <c r="DQ793">
        <v>0</v>
      </c>
      <c r="DR793">
        <v>0</v>
      </c>
      <c r="DS793">
        <v>0</v>
      </c>
      <c r="DT793">
        <f>SUM(DO793:DP793)</f>
        <v>1</v>
      </c>
      <c r="DU793" s="143" t="str">
        <f>IF(DO793=1,"self-calculated DF",IF(DP793=1,"external DF used","explicit C balance"))</f>
        <v>self-calculated DF</v>
      </c>
      <c r="DV793" s="143">
        <v>0</v>
      </c>
      <c r="DW793" s="143">
        <v>0</v>
      </c>
      <c r="DX793" s="143">
        <v>0</v>
      </c>
      <c r="DY793" s="143">
        <v>0</v>
      </c>
      <c r="DZ793">
        <v>0</v>
      </c>
      <c r="EA793" s="143">
        <v>1</v>
      </c>
      <c r="EB793" s="143">
        <v>0</v>
      </c>
      <c r="EC793" s="143">
        <v>1</v>
      </c>
      <c r="ED793" s="143">
        <v>0</v>
      </c>
      <c r="EE793">
        <v>1</v>
      </c>
      <c r="EF793">
        <v>0</v>
      </c>
      <c r="EG793" s="143">
        <v>0</v>
      </c>
      <c r="EH793" s="143">
        <v>0</v>
      </c>
      <c r="EI793" s="2">
        <v>0</v>
      </c>
      <c r="EK793" t="str">
        <f>IF(AND(AND(AND(OR($DX793=1,$DW793=1),OR($EC793=1,$EA793=1)),SUM($DV793:$DZ793,$EF793)&gt;=4),SUM($EA793:$EE793)&gt;=2),"Whole sector","")</f>
        <v/>
      </c>
      <c r="EL793" t="str">
        <f>IF(AND(AND(OR($DX793=1,$DW793=1),AND($EC793=0,$EA793=0)),SUM($DV793:$DZ793,$EF793)&gt;=4),"Ecosystem approach","")</f>
        <v/>
      </c>
      <c r="EM793" s="2" t="str">
        <f>IF(AND(AND(AND($DX793=0,$DW793=0),OR($EC793=1,$EA793=1)),SUM($EB793:$EE793)&gt;=2),"Technology approach","")</f>
        <v>Technology approach</v>
      </c>
      <c r="EN793" t="s">
        <v>987</v>
      </c>
      <c r="EP793" t="str">
        <f>IF(ISNUMBER(BU793),IF(ABS(BU793-[3]QC_indicators!$B$2)&gt;3*[3]QC_indicators!$C$2,"C ratio",IF(ISNUMBER(BY793),IF(ABS(BY793-[3]QC_indicators!$B$1)&gt;3*[3]QC_indicators!$C$1,"DF","no"))),IF(ISNUMBER(BY793),IF(ABS(BY793-[3]QC_indicators!$B$1)&gt;3*[3]QC_indicators!$C$1,"DF","no")))</f>
        <v>no</v>
      </c>
      <c r="ET793" s="264" t="s">
        <v>3407</v>
      </c>
    </row>
    <row r="794" spans="1:150" ht="15" customHeight="1">
      <c r="A794" s="1" t="s">
        <v>1102</v>
      </c>
      <c r="B794" t="s">
        <v>2381</v>
      </c>
      <c r="C794" t="s">
        <v>2382</v>
      </c>
      <c r="D794" t="s">
        <v>2383</v>
      </c>
      <c r="E794" t="s">
        <v>2384</v>
      </c>
      <c r="F794" t="s">
        <v>2385</v>
      </c>
      <c r="G794" t="s">
        <v>1108</v>
      </c>
      <c r="H794" t="s">
        <v>254</v>
      </c>
      <c r="I794">
        <v>2016</v>
      </c>
      <c r="J794">
        <v>13</v>
      </c>
      <c r="K794" t="s">
        <v>2386</v>
      </c>
      <c r="M794" t="str">
        <f>LEFT($D794,FIND(",",$D794)-1)&amp;"_"&amp;I794&amp;L794</f>
        <v>Torssonen_2016</v>
      </c>
      <c r="N794" t="s">
        <v>222</v>
      </c>
      <c r="O794" s="145" t="s">
        <v>1154</v>
      </c>
      <c r="Q794" s="264" t="s">
        <v>256</v>
      </c>
      <c r="R794" s="269" t="s">
        <v>341</v>
      </c>
      <c r="S794" s="1" t="s">
        <v>2404</v>
      </c>
      <c r="T794" s="264" t="s">
        <v>2409</v>
      </c>
      <c r="U794" t="s">
        <v>2411</v>
      </c>
      <c r="V794">
        <v>0</v>
      </c>
      <c r="W794">
        <v>0</v>
      </c>
      <c r="X794">
        <v>0</v>
      </c>
      <c r="Y794">
        <v>0</v>
      </c>
      <c r="Z794">
        <v>0</v>
      </c>
      <c r="AA794">
        <v>0</v>
      </c>
      <c r="AB794">
        <v>0</v>
      </c>
      <c r="AC794">
        <v>0</v>
      </c>
      <c r="AD794">
        <v>0</v>
      </c>
      <c r="AE794">
        <v>0</v>
      </c>
      <c r="AF794">
        <v>0</v>
      </c>
      <c r="AG794">
        <v>0</v>
      </c>
      <c r="AH794">
        <v>0</v>
      </c>
      <c r="AI794">
        <v>0</v>
      </c>
      <c r="AJ794">
        <v>0</v>
      </c>
      <c r="AK794">
        <v>0</v>
      </c>
      <c r="AL794">
        <v>0</v>
      </c>
      <c r="AM794">
        <v>0</v>
      </c>
      <c r="AN794">
        <v>1</v>
      </c>
      <c r="AO794">
        <v>1</v>
      </c>
      <c r="AP794">
        <v>0</v>
      </c>
      <c r="AQ794">
        <v>0</v>
      </c>
      <c r="AR794">
        <v>0</v>
      </c>
      <c r="AS794">
        <v>0</v>
      </c>
      <c r="AT794">
        <v>0</v>
      </c>
      <c r="AU794">
        <v>0</v>
      </c>
      <c r="AV794">
        <v>0</v>
      </c>
      <c r="AW794">
        <v>0</v>
      </c>
      <c r="AX794" s="141">
        <f>COUNTIF(V794:AW794,"&lt;&gt;0")</f>
        <v>2</v>
      </c>
      <c r="AY794" s="141">
        <f>COUNTIF(V794:AL794,"&lt;&gt;0")</f>
        <v>0</v>
      </c>
      <c r="AZ794">
        <f>COUNTIF(V794:AC794,"&lt;&gt;0")</f>
        <v>0</v>
      </c>
      <c r="BA794">
        <f>COUNTIF(AD794:AI794,"&lt;&gt;0")</f>
        <v>0</v>
      </c>
      <c r="BB794">
        <f>COUNTIF(AJ794:AL794,"&lt;&gt;0")</f>
        <v>0</v>
      </c>
      <c r="BC794">
        <f>COUNTIF(AS794:AW794,"&lt;&gt;0")</f>
        <v>0</v>
      </c>
      <c r="BD794">
        <f>COUNTIF(AM794:AR794,"&lt;&gt;0")</f>
        <v>2</v>
      </c>
      <c r="BE794" t="str" cm="1">
        <f t="array" ref="BE794">IF(AY794=1,INDEX($V$7:$AL$7,MATCH(TRUE,INDEX($V794:$AW794&lt;&gt;0,),0)),IF(AY794=0,INDEX($AM$7:$AW$7,MATCH(1,$AM794:$AW794,0)),IF(BF794="Multiple strategies","mixed drivers",IF(BF794="Supply chain","multiple supply","multiple silviculture"))))</f>
        <v>Temperature</v>
      </c>
      <c r="BF794" s="2" t="str" cm="1">
        <f t="array" ref="BF794">IF(COUNTIF(AZ794:BB794,"&lt;&gt;0")=1,INDEX($V$4:$AW$4,MATCH(TRUE,INDEX($V794:$AW794&lt;&gt;0,),0)),IF(COUNTIF(AZ794:BB794,"&lt;&gt;0")=0,INDEX($AM$4:$AW$4,MATCH(1,$AM794:$AW794,0)),"Multiple strategies"))</f>
        <v>Environmental change</v>
      </c>
      <c r="BG794" s="1" t="s">
        <v>229</v>
      </c>
      <c r="BH794" s="306" t="s">
        <v>2144</v>
      </c>
      <c r="BI794" s="264" t="s">
        <v>2391</v>
      </c>
      <c r="BJ794" s="306" t="s">
        <v>1058</v>
      </c>
      <c r="BK794">
        <v>7.9367346699999999</v>
      </c>
      <c r="BL794">
        <v>8.0979591590000002</v>
      </c>
      <c r="BM794" s="143">
        <f>BL794/BK794</f>
        <v>1.0203137052835358</v>
      </c>
      <c r="BN794">
        <f>BL794-BK794</f>
        <v>0.1612244890000003</v>
      </c>
      <c r="BO794">
        <f>BN794</f>
        <v>0.1612244890000003</v>
      </c>
      <c r="BP794" s="306" t="s">
        <v>395</v>
      </c>
      <c r="BQ794" s="153" t="s">
        <v>3421</v>
      </c>
      <c r="BR794" s="264" t="s">
        <v>2393</v>
      </c>
      <c r="BS794">
        <v>-402.90909090909099</v>
      </c>
      <c r="BT794">
        <v>-411.636363636363</v>
      </c>
      <c r="BU794" s="144"/>
      <c r="BV794" s="144">
        <f>BT794-BS794</f>
        <v>-8.727272727272009</v>
      </c>
      <c r="BW794" s="144"/>
      <c r="BX794" s="144">
        <f>BV794*10^4/10^6</f>
        <v>-8.7272727272720091E-2</v>
      </c>
      <c r="BY794">
        <f>IFERROR(BX794/BO794,"")</f>
        <v>-0.54131185537651128</v>
      </c>
      <c r="BZ794">
        <v>0</v>
      </c>
      <c r="CA794">
        <v>0</v>
      </c>
      <c r="CB794">
        <v>0</v>
      </c>
      <c r="CC794">
        <v>0</v>
      </c>
      <c r="CD794">
        <v>0</v>
      </c>
      <c r="CE794">
        <v>0</v>
      </c>
      <c r="CF794">
        <v>0</v>
      </c>
      <c r="CG794">
        <v>0</v>
      </c>
      <c r="CH794">
        <v>0</v>
      </c>
      <c r="CI794">
        <v>0</v>
      </c>
      <c r="CJ794">
        <v>0</v>
      </c>
      <c r="CK794">
        <v>0</v>
      </c>
      <c r="CL794">
        <v>0</v>
      </c>
      <c r="CM794">
        <v>1</v>
      </c>
      <c r="CN794" t="str">
        <f>IF($BL794&lt;$BK794,"refNeedCorrection","refOK")</f>
        <v>refOK</v>
      </c>
      <c r="CO794">
        <f>IF($CN794="refOK",$BK794,$BL794)</f>
        <v>7.9367346699999999</v>
      </c>
      <c r="CP794">
        <f>IF($CN794="refOK",$BL794,$BK794)</f>
        <v>8.0979591590000002</v>
      </c>
      <c r="CQ794">
        <f>IF($CN794="refOK",$BO794,-$BO794)</f>
        <v>0.1612244890000003</v>
      </c>
      <c r="CR794">
        <f>IF($CN794="refOK",$BS794,$BT794)*IF($BP794="Emissions positive",-1,1)</f>
        <v>402.90909090909099</v>
      </c>
      <c r="CS794">
        <f>IF($CN794="refOK",$BT794,$BS794)*IF($BP794="Emissions positive",-1,1)</f>
        <v>411.636363636363</v>
      </c>
      <c r="CT794">
        <f>IF($CN794="refNeedCorrection",-BX794,BX794)*IF($BP794="Emissions positive",-1,1)</f>
        <v>8.7272727272720091E-2</v>
      </c>
      <c r="CU794">
        <f>IFERROR(CT794/CQ794,"")</f>
        <v>0.54131185537651128</v>
      </c>
      <c r="CV794" s="2">
        <f>IFERROR((CS794-CR794)/ABS(CR794),"")</f>
        <v>2.1660649819492797E-2</v>
      </c>
      <c r="CW794" s="1" t="s">
        <v>1199</v>
      </c>
      <c r="CX794" s="264" t="str">
        <f>IF(OR($CW794="prd",$CW794="std",$CW794="cit"),"loc",IF(OR($CW794="eur",$CW794="reg",$CW794="coy"),"reg",$CW794))</f>
        <v>reg</v>
      </c>
      <c r="CY794" t="s">
        <v>235</v>
      </c>
      <c r="CZ794">
        <v>2020</v>
      </c>
      <c r="DA794">
        <v>2100</v>
      </c>
      <c r="DB794">
        <f>DA794-CZ794</f>
        <v>80</v>
      </c>
      <c r="DC794" t="str">
        <f>IF(DB794=0,"0",IF(AND(DB794&gt;=1,DB794&lt;=30),"1-30",IF(AND(DB794&gt;30,DB794&lt;=70),"31-70",IF(AND(DB794&gt;70,DB794&lt;=100),"71-100",IF(DB794&gt;100,"+100")))))</f>
        <v>71-100</v>
      </c>
      <c r="DD794">
        <v>0</v>
      </c>
      <c r="DE794">
        <v>1</v>
      </c>
      <c r="DF794">
        <v>0</v>
      </c>
      <c r="DG794">
        <v>1</v>
      </c>
      <c r="DI794">
        <f>SUM(DD794:DG794)</f>
        <v>2</v>
      </c>
      <c r="DJ794" t="str">
        <f>IF(DI794=1,INDEX($DD$7:$DG$7,MATCH(1,$DD794:$DG794,0)),"mixedProduct")</f>
        <v>mixedProduct</v>
      </c>
      <c r="DK794">
        <f>IF(DD794=1,DK$7,0)</f>
        <v>0</v>
      </c>
      <c r="DL794" t="str">
        <f>IF(DE794=1,DL$7,0)</f>
        <v>Energy</v>
      </c>
      <c r="DM794">
        <f>IF(DF794=1,DM$7,0)</f>
        <v>0</v>
      </c>
      <c r="DN794" t="str">
        <f>IF(DG794=1,DN$7,0)</f>
        <v>Timber</v>
      </c>
      <c r="DO794">
        <v>1</v>
      </c>
      <c r="DP794">
        <v>0</v>
      </c>
      <c r="DQ794">
        <v>0</v>
      </c>
      <c r="DR794">
        <v>0</v>
      </c>
      <c r="DS794">
        <v>0</v>
      </c>
      <c r="DT794">
        <f>SUM(DO794:DP794)</f>
        <v>1</v>
      </c>
      <c r="DU794" s="143" t="str">
        <f>IF(DO794=1,"self-calculated DF",IF(DP794=1,"external DF used","explicit C balance"))</f>
        <v>self-calculated DF</v>
      </c>
      <c r="DV794">
        <v>1</v>
      </c>
      <c r="DW794">
        <v>0</v>
      </c>
      <c r="DX794">
        <v>1</v>
      </c>
      <c r="DY794">
        <v>0</v>
      </c>
      <c r="DZ794">
        <v>0</v>
      </c>
      <c r="EA794" s="143">
        <v>0</v>
      </c>
      <c r="EB794">
        <v>0</v>
      </c>
      <c r="EC794">
        <v>0</v>
      </c>
      <c r="ED794">
        <v>0</v>
      </c>
      <c r="EE794">
        <v>0</v>
      </c>
      <c r="EF794">
        <v>1</v>
      </c>
      <c r="EG794">
        <v>0</v>
      </c>
      <c r="EH794">
        <v>0</v>
      </c>
      <c r="EI794" s="2">
        <v>0</v>
      </c>
      <c r="EK794" t="str">
        <f>IF(AND(AND(AND(OR($DX794=1,$DW794=1),OR($EC794=1,$EA794=1)),SUM($DV794:$DZ794,$EF794)&gt;=4),SUM($EA794:$EE794)&gt;=2),"Whole sector","")</f>
        <v/>
      </c>
      <c r="EL794" t="str">
        <f>IF(AND(AND(OR($DX794=1,$DW794=1),AND($EC794=0,$EA794=0)),SUM($DV794:$DZ794,$EF794)&gt;=4),"Ecosystem approach","")</f>
        <v/>
      </c>
      <c r="EM794" s="2" t="str">
        <f>IF(AND(AND(AND($DX794=0,$DW794=0),OR($EC794=1,$EA794=1)),SUM($EB794:$EE794)&gt;=2),"Technology approach","")</f>
        <v/>
      </c>
      <c r="EN794" t="s">
        <v>2403</v>
      </c>
      <c r="EP794" t="str">
        <f>IF(ISNUMBER(BU794),IF(ABS(BU794-[3]QC_indicators!$B$2)&gt;3*[3]QC_indicators!$C$2,"C ratio",IF(ISNUMBER(BY794),IF(ABS(BY794-[3]QC_indicators!$B$1)&gt;3*[3]QC_indicators!$C$1,"DF","no"))),IF(ISNUMBER(BY794),IF(ABS(BY794-[3]QC_indicators!$B$1)&gt;3*[3]QC_indicators!$C$1,"DF","no")))</f>
        <v>no</v>
      </c>
      <c r="ER794" s="264" t="s">
        <v>2394</v>
      </c>
      <c r="ET794" s="306" t="s">
        <v>3422</v>
      </c>
    </row>
    <row r="795" spans="1:150" ht="15" customHeight="1">
      <c r="D795" t="s">
        <v>1661</v>
      </c>
      <c r="E795" t="s">
        <v>1662</v>
      </c>
      <c r="G795" t="s">
        <v>1663</v>
      </c>
      <c r="I795">
        <v>2007</v>
      </c>
      <c r="K795" t="s">
        <v>1664</v>
      </c>
      <c r="M795" t="str">
        <f>LEFT($D795,FIND(",",$D795)-1)&amp;"_"&amp;I795&amp;L795</f>
        <v>Gustavsson_2007</v>
      </c>
      <c r="N795" t="s">
        <v>222</v>
      </c>
      <c r="O795" t="s">
        <v>223</v>
      </c>
      <c r="Q795" t="s">
        <v>256</v>
      </c>
      <c r="R795" s="269" t="s">
        <v>274</v>
      </c>
      <c r="S795" s="1" t="s">
        <v>1665</v>
      </c>
      <c r="T795" t="s">
        <v>1685</v>
      </c>
      <c r="U795" s="143" t="s">
        <v>1686</v>
      </c>
      <c r="V795">
        <v>0</v>
      </c>
      <c r="W795">
        <v>0</v>
      </c>
      <c r="X795">
        <v>0</v>
      </c>
      <c r="Y795">
        <v>0</v>
      </c>
      <c r="Z795">
        <v>0</v>
      </c>
      <c r="AA795">
        <v>0</v>
      </c>
      <c r="AB795">
        <v>0</v>
      </c>
      <c r="AC795">
        <v>0</v>
      </c>
      <c r="AD795">
        <v>0</v>
      </c>
      <c r="AE795">
        <v>0</v>
      </c>
      <c r="AF795">
        <v>0</v>
      </c>
      <c r="AG795">
        <v>0</v>
      </c>
      <c r="AH795">
        <v>0</v>
      </c>
      <c r="AI795">
        <v>0</v>
      </c>
      <c r="AJ795">
        <v>0</v>
      </c>
      <c r="AK795">
        <v>1</v>
      </c>
      <c r="AL795">
        <v>0</v>
      </c>
      <c r="AM795">
        <v>0</v>
      </c>
      <c r="AN795">
        <v>0</v>
      </c>
      <c r="AO795">
        <v>0</v>
      </c>
      <c r="AP795">
        <v>0</v>
      </c>
      <c r="AQ795">
        <v>0</v>
      </c>
      <c r="AR795">
        <v>0</v>
      </c>
      <c r="AS795">
        <v>0</v>
      </c>
      <c r="AT795">
        <v>0</v>
      </c>
      <c r="AU795">
        <v>0</v>
      </c>
      <c r="AV795">
        <v>0</v>
      </c>
      <c r="AW795">
        <v>0</v>
      </c>
      <c r="AX795" s="141">
        <f>COUNTIF(V795:AW795,"&lt;&gt;0")</f>
        <v>1</v>
      </c>
      <c r="AY795" s="141">
        <f>COUNTIF(V795:AL795,"&lt;&gt;0")</f>
        <v>1</v>
      </c>
      <c r="AZ795">
        <f>COUNTIF(V795:AC795,"&lt;&gt;0")</f>
        <v>0</v>
      </c>
      <c r="BA795">
        <f>COUNTIF(AD795:AI795,"&lt;&gt;0")</f>
        <v>0</v>
      </c>
      <c r="BB795">
        <f>COUNTIF(AJ795:AL795,"&lt;&gt;0")</f>
        <v>1</v>
      </c>
      <c r="BC795">
        <f>COUNTIF(AS795:AW795,"&lt;&gt;0")</f>
        <v>0</v>
      </c>
      <c r="BD795">
        <f>COUNTIF(AM795:AR795,"&lt;&gt;0")</f>
        <v>0</v>
      </c>
      <c r="BE795" t="str">
        <f t="array" ref="BE795">IF(AY795=1,INDEX($V$7:$AL$7,MATCH(TRUE,INDEX($V795:$AW795&lt;&gt;0,),0)),IF(AY795=0,INDEX($AM$7:$AW$7,MATCH(1,$AM795:$AW795,0)),IF(BF795="Multiple strategies","mixed drivers",IF(BF795="Supply chain","multiple supply","multiple silviculture"))))</f>
        <v>technologies/design switch</v>
      </c>
      <c r="BF795" s="2" t="str" cm="1">
        <f t="array" ref="BF795">IF(COUNTIF(AZ795:BB795,"&lt;&gt;0")=1,INDEX($V$4:$AW$4,MATCH(TRUE,INDEX($V795:$AW795&lt;&gt;0,),0)),IF(COUNTIF(AZ795:BB795,"&lt;&gt;0")=0,INDEX($AM$4:$AW$4,MATCH(1,$AM795:$AW795,0)),"Multiple strategies"))</f>
        <v>Technology</v>
      </c>
      <c r="BG795" s="142" t="s">
        <v>229</v>
      </c>
      <c r="BH795" t="s">
        <v>1667</v>
      </c>
      <c r="BI795" s="264" t="s">
        <v>1057</v>
      </c>
      <c r="BJ795" s="143" t="s">
        <v>3265</v>
      </c>
      <c r="BK795">
        <v>0</v>
      </c>
      <c r="BL795" s="143">
        <v>41.1</v>
      </c>
      <c r="BM795" s="143"/>
      <c r="BN795">
        <f>BL795-BK795</f>
        <v>41.1</v>
      </c>
      <c r="BO795" s="143">
        <f>1000*BL795/15.3/400</f>
        <v>6.7156862745098032</v>
      </c>
      <c r="BP795" t="s">
        <v>232</v>
      </c>
      <c r="BR795" t="s">
        <v>938</v>
      </c>
      <c r="BS795" s="143">
        <v>-1</v>
      </c>
      <c r="BT795" s="151">
        <v>0</v>
      </c>
      <c r="BU795">
        <v>0</v>
      </c>
      <c r="BV795">
        <v>1</v>
      </c>
      <c r="BX795">
        <f>BV795*C_to_CO2</f>
        <v>3.67</v>
      </c>
      <c r="BY795">
        <f>IFERROR(BX795/BO795,"")</f>
        <v>0.54648175182481762</v>
      </c>
      <c r="BZ795" s="143">
        <v>0</v>
      </c>
      <c r="CA795" s="143">
        <v>0</v>
      </c>
      <c r="CB795" s="143">
        <v>0</v>
      </c>
      <c r="CC795" s="143">
        <v>0</v>
      </c>
      <c r="CD795" s="143">
        <v>0</v>
      </c>
      <c r="CE795" s="143">
        <v>0</v>
      </c>
      <c r="CF795" s="143">
        <v>0</v>
      </c>
      <c r="CG795" s="143">
        <v>0</v>
      </c>
      <c r="CH795" s="143">
        <v>0</v>
      </c>
      <c r="CI795" s="143">
        <v>0</v>
      </c>
      <c r="CJ795" s="143">
        <v>0</v>
      </c>
      <c r="CK795" s="143">
        <v>0</v>
      </c>
      <c r="CL795" s="143">
        <v>0</v>
      </c>
      <c r="CM795">
        <v>1</v>
      </c>
      <c r="CN795" t="str">
        <f>IF($BL795&lt;$BK795,"refNeedCorrection","refOK")</f>
        <v>refOK</v>
      </c>
      <c r="CO795">
        <f>IF($CN795="refOK",$BK795,$BL795)</f>
        <v>0</v>
      </c>
      <c r="CP795">
        <f>IF($CN795="refOK",$BL795,$BK795)</f>
        <v>41.1</v>
      </c>
      <c r="CQ795">
        <f>IF($CN795="refOK",$BO795,-$BO795)</f>
        <v>6.7156862745098032</v>
      </c>
      <c r="CR795">
        <f>IF($CN795="refOK",$BS795,$BT795)*IF($BP795="Emissions positive",-1,1)</f>
        <v>-1</v>
      </c>
      <c r="CS795">
        <f>IF($CN795="refOK",$BT795,$BS795)*IF($BP795="Emissions positive",-1,1)</f>
        <v>0</v>
      </c>
      <c r="CT795">
        <f>IF($CN795="refNeedCorrection",-BX795,BX795)*IF($BP795="Emissions positive",-1,1)</f>
        <v>3.67</v>
      </c>
      <c r="CU795">
        <f>IFERROR(CT795/CQ795,"")</f>
        <v>0.54648175182481762</v>
      </c>
      <c r="CV795" s="2">
        <f>IFERROR((CS795-CR795)/ABS(CR795),"")</f>
        <v>1</v>
      </c>
      <c r="CW795" s="1" t="s">
        <v>1203</v>
      </c>
      <c r="CX795" t="str">
        <f>IF(OR($CW795="prd",$CW795="std",$CW795="cit"),"loc",IF(OR($CW795="eur",$CW795="reg",$CW795="coy"),"reg",$CW795))</f>
        <v>reg</v>
      </c>
      <c r="CY795" t="s">
        <v>444</v>
      </c>
      <c r="DA795" s="143"/>
      <c r="DB795" s="143">
        <v>0</v>
      </c>
      <c r="DC795" t="str">
        <f>IF(DB795=0,"0",IF(AND(DB795&gt;=1,DB795&lt;=30),"1-30",IF(AND(DB795&gt;30,DB795&lt;=70),"31-70",IF(AND(DB795&gt;70,DB795&lt;=100),"71-100",IF(DB795&gt;100,"+100")))))</f>
        <v>0</v>
      </c>
      <c r="DD795">
        <v>0</v>
      </c>
      <c r="DE795">
        <v>1</v>
      </c>
      <c r="DF795">
        <v>0</v>
      </c>
      <c r="DG795">
        <v>0</v>
      </c>
      <c r="DI795">
        <f>SUM(DD795:DG795)</f>
        <v>1</v>
      </c>
      <c r="DJ795" t="str">
        <f>IF(DI795=1,INDEX($DD$7:$DG$7,MATCH(1,$DD795:$DG795,0)),"mixedProduct")</f>
        <v>EnergyInput</v>
      </c>
      <c r="DK795">
        <f>IF(DD795=1,DK$7,0)</f>
        <v>0</v>
      </c>
      <c r="DL795" t="str">
        <f>IF(DE795=1,DL$7,0)</f>
        <v>Energy</v>
      </c>
      <c r="DM795">
        <f>IF(DF795=1,DM$7,0)</f>
        <v>0</v>
      </c>
      <c r="DN795">
        <f>IF(DG795=1,DN$7,0)</f>
        <v>0</v>
      </c>
      <c r="DO795">
        <v>0</v>
      </c>
      <c r="DP795" s="143">
        <v>0</v>
      </c>
      <c r="DQ795" s="143">
        <v>0</v>
      </c>
      <c r="DR795">
        <v>0</v>
      </c>
      <c r="DS795" s="143">
        <v>0</v>
      </c>
      <c r="DT795">
        <f>SUM(DO795:DP795)</f>
        <v>0</v>
      </c>
      <c r="DU795" s="143" t="str">
        <f>IF(DO795=1,"self-calculated DF",IF(DP795=1,"external DF used","explicit C balance"))</f>
        <v>explicit C balance</v>
      </c>
      <c r="DV795" s="143">
        <v>0</v>
      </c>
      <c r="DW795" s="143">
        <v>0</v>
      </c>
      <c r="DX795" s="143">
        <v>0</v>
      </c>
      <c r="DY795" s="143">
        <v>0</v>
      </c>
      <c r="DZ795">
        <v>0</v>
      </c>
      <c r="EA795" s="143">
        <v>0</v>
      </c>
      <c r="EB795" s="143">
        <v>0</v>
      </c>
      <c r="EC795" s="143">
        <v>1</v>
      </c>
      <c r="ED795" s="143">
        <v>0</v>
      </c>
      <c r="EE795">
        <v>0</v>
      </c>
      <c r="EF795">
        <v>0</v>
      </c>
      <c r="EG795" s="143">
        <v>0</v>
      </c>
      <c r="EH795" s="143">
        <v>0</v>
      </c>
      <c r="EI795" s="2">
        <v>0</v>
      </c>
      <c r="EK795" t="str">
        <f>IF(AND(AND(AND(OR($DX795=1,$DW795=1),OR($EC795=1,$EA795=1)),SUM($DV795:$DZ795,$EF795)&gt;=4),SUM($EA795:$EE795)&gt;=2),"Whole sector","")</f>
        <v/>
      </c>
      <c r="EL795" t="str">
        <f>IF(AND(AND(OR($DX795=1,$DW795=1),AND($EC795=0,$EA795=0)),SUM($DV795:$DZ795,$EF795)&gt;=4),"Ecosystem approach","")</f>
        <v/>
      </c>
      <c r="EM795" s="2" t="str">
        <f>IF(AND(AND(AND($DX795=0,$DW795=0),OR($EC795=1,$EA795=1)),SUM($EB795:$EE795)&gt;=2),"Technology approach","")</f>
        <v/>
      </c>
      <c r="EP795" t="str">
        <f>IF(ISNUMBER(BU795),IF(ABS(BU795-[2]QC_indicators!$B$2)&gt;3*[2]QC_indicators!$C$2,"C ratio",IF(ISNUMBER(BY795),IF(ABS(BY795-[2]QC_indicators!$B$1)&gt;3*[2]QC_indicators!$C$1,"DF","no"))),IF(ISNUMBER(BY795),IF(ABS(BY795-[2]QC_indicators!$B$1)&gt;3*[2]QC_indicators!$C$1,"DF","no")))</f>
        <v>no</v>
      </c>
      <c r="ER795" s="149" t="s">
        <v>349</v>
      </c>
      <c r="ET795" s="264" t="s">
        <v>3266</v>
      </c>
    </row>
    <row r="796" spans="1:150" ht="15" customHeight="1">
      <c r="A796" s="1" t="s">
        <v>926</v>
      </c>
      <c r="B796" t="s">
        <v>927</v>
      </c>
      <c r="C796" t="s">
        <v>928</v>
      </c>
      <c r="D796" t="s">
        <v>929</v>
      </c>
      <c r="E796" t="s">
        <v>930</v>
      </c>
      <c r="F796" t="s">
        <v>931</v>
      </c>
      <c r="G796" t="s">
        <v>932</v>
      </c>
      <c r="H796" t="s">
        <v>254</v>
      </c>
      <c r="I796">
        <v>2015</v>
      </c>
      <c r="J796">
        <v>19</v>
      </c>
      <c r="K796" t="s">
        <v>933</v>
      </c>
      <c r="M796" t="str">
        <f>LEFT($D796,FIND(",",$D796)-1)&amp;"_"&amp;I796&amp;L796</f>
        <v>Makipaa_2015</v>
      </c>
      <c r="N796" t="s">
        <v>222</v>
      </c>
      <c r="O796" s="145" t="s">
        <v>225</v>
      </c>
      <c r="Q796" t="s">
        <v>256</v>
      </c>
      <c r="R796" s="255" t="s">
        <v>223</v>
      </c>
      <c r="S796" s="1" t="s">
        <v>940</v>
      </c>
      <c r="T796" t="s">
        <v>943</v>
      </c>
      <c r="U796" s="143" t="s">
        <v>944</v>
      </c>
      <c r="V796">
        <v>0</v>
      </c>
      <c r="W796">
        <v>0</v>
      </c>
      <c r="X796">
        <v>0</v>
      </c>
      <c r="Y796">
        <v>0</v>
      </c>
      <c r="Z796">
        <v>0</v>
      </c>
      <c r="AA796">
        <v>0</v>
      </c>
      <c r="AB796">
        <v>0</v>
      </c>
      <c r="AC796">
        <v>0</v>
      </c>
      <c r="AD796">
        <v>0</v>
      </c>
      <c r="AE796">
        <v>0</v>
      </c>
      <c r="AF796">
        <v>0</v>
      </c>
      <c r="AG796">
        <v>0</v>
      </c>
      <c r="AH796">
        <v>0</v>
      </c>
      <c r="AI796">
        <v>0</v>
      </c>
      <c r="AJ796">
        <v>0</v>
      </c>
      <c r="AK796">
        <v>0</v>
      </c>
      <c r="AL796">
        <v>0</v>
      </c>
      <c r="AM796">
        <v>2</v>
      </c>
      <c r="AN796">
        <v>1</v>
      </c>
      <c r="AO796">
        <v>2</v>
      </c>
      <c r="AP796">
        <v>2</v>
      </c>
      <c r="AQ796">
        <v>0</v>
      </c>
      <c r="AR796">
        <v>0</v>
      </c>
      <c r="AS796">
        <v>0</v>
      </c>
      <c r="AT796">
        <v>0</v>
      </c>
      <c r="AU796">
        <v>0</v>
      </c>
      <c r="AV796">
        <v>0</v>
      </c>
      <c r="AW796">
        <v>0</v>
      </c>
      <c r="AX796" s="141">
        <f>COUNTIF(V796:AW796,"&lt;&gt;0")</f>
        <v>4</v>
      </c>
      <c r="AY796" s="141">
        <f>COUNTIF(V796:AL796,"&lt;&gt;0")</f>
        <v>0</v>
      </c>
      <c r="AZ796">
        <f>COUNTIF(V796:AC796,"&lt;&gt;0")</f>
        <v>0</v>
      </c>
      <c r="BA796">
        <f>COUNTIF(AD796:AI796,"&lt;&gt;0")</f>
        <v>0</v>
      </c>
      <c r="BB796">
        <f>COUNTIF(AJ796:AL796,"&lt;&gt;0")</f>
        <v>0</v>
      </c>
      <c r="BC796">
        <f>COUNTIF(AS796:AW796,"&lt;&gt;0")</f>
        <v>0</v>
      </c>
      <c r="BD796">
        <f>COUNTIF(AM796:AR796,"&lt;&gt;0")</f>
        <v>4</v>
      </c>
      <c r="BE796" t="str">
        <f t="array" ref="BE796">IF(AY796=1,INDEX($V$7:$AL$7,MATCH(TRUE,INDEX($V796:$AW796&lt;&gt;0,),0)),IF(AY796=0,INDEX($AM$7:$AW$7,MATCH(1,$AM796:$AW796,0)),IF(BF796="Multiple strategies","mixed drivers",IF(BF796="Supply chain","multiple supply","multiple silviculture"))))</f>
        <v>Temperature</v>
      </c>
      <c r="BF796" s="2" t="str" cm="1">
        <f t="array" ref="BF796">IF(COUNTIF(AZ796:BB796,"&lt;&gt;0")=1,INDEX($V$4:$AW$4,MATCH(TRUE,INDEX($V796:$AW796&lt;&gt;0,),0)),IF(COUNTIF(AZ796:BB796,"&lt;&gt;0")=0,INDEX($AM$4:$AW$4,MATCH(1,$AM796:$AW796,0)),"Multiple strategies"))</f>
        <v>Environmental change</v>
      </c>
      <c r="BG796" s="142" t="s">
        <v>321</v>
      </c>
      <c r="BH796" t="s">
        <v>937</v>
      </c>
      <c r="BI796" s="264" t="s">
        <v>424</v>
      </c>
      <c r="BJ796" s="143" t="s">
        <v>498</v>
      </c>
      <c r="BK796">
        <v>625.20000000000005</v>
      </c>
      <c r="BL796" s="143">
        <v>636.6</v>
      </c>
      <c r="BM796" s="163">
        <f>BL796/BK796</f>
        <v>1.0182341650671785</v>
      </c>
      <c r="BN796">
        <f>BL796-BK796</f>
        <v>11.399999999999977</v>
      </c>
      <c r="BO796" s="159">
        <f>BN796</f>
        <v>11.399999999999977</v>
      </c>
      <c r="BP796" t="s">
        <v>232</v>
      </c>
      <c r="BQ796" s="153" t="s">
        <v>429</v>
      </c>
      <c r="BR796" t="s">
        <v>938</v>
      </c>
      <c r="BS796" s="143">
        <v>139.5</v>
      </c>
      <c r="BT796">
        <v>141.19999999999999</v>
      </c>
      <c r="BU796" s="144">
        <f>IFERROR(BT796/BS796,"")</f>
        <v>1.0121863799283153</v>
      </c>
      <c r="BV796">
        <f>BT796-BS796</f>
        <v>1.6999999999999886</v>
      </c>
      <c r="BX796">
        <f>BV796*C_to_CO2</f>
        <v>6.2389999999999581</v>
      </c>
      <c r="BY796">
        <f>IFERROR(BX796/BO796,"")</f>
        <v>0.54728070175438337</v>
      </c>
      <c r="BZ796">
        <v>0</v>
      </c>
      <c r="CA796">
        <v>0</v>
      </c>
      <c r="CB796">
        <v>0</v>
      </c>
      <c r="CC796">
        <v>0</v>
      </c>
      <c r="CD796">
        <v>0</v>
      </c>
      <c r="CE796">
        <v>0</v>
      </c>
      <c r="CF796">
        <v>0</v>
      </c>
      <c r="CG796">
        <v>0</v>
      </c>
      <c r="CH796">
        <v>0</v>
      </c>
      <c r="CI796">
        <v>0</v>
      </c>
      <c r="CJ796">
        <v>0</v>
      </c>
      <c r="CK796">
        <v>0</v>
      </c>
      <c r="CL796">
        <v>0</v>
      </c>
      <c r="CM796">
        <v>0</v>
      </c>
      <c r="CN796" t="str">
        <f>IF($BL796&lt;$BK796,"refNeedCorrection","refOK")</f>
        <v>refOK</v>
      </c>
      <c r="CO796">
        <f>IF($CN796="refNeedCorrection",BL796,BK796)</f>
        <v>625.20000000000005</v>
      </c>
      <c r="CP796">
        <f>IF($CN796="refNeedCorrection",BK796,BL796)</f>
        <v>636.6</v>
      </c>
      <c r="CQ796">
        <f>IF($CN796="refOK",$BO796,-$BO796)</f>
        <v>11.399999999999977</v>
      </c>
      <c r="CR796">
        <f>IF($CN796="refOK",$BS796,$BT796)*IF($BP796="Emissions positive",-1,1)</f>
        <v>139.5</v>
      </c>
      <c r="CS796">
        <f>IF($CN796="refOK",$BT796,$BS796)*IF($BP796="Emissions positive",-1,1)</f>
        <v>141.19999999999999</v>
      </c>
      <c r="CT796">
        <f>IF($CN796="refNeedCorrection",-BX796,BX796)*IF($BP796="Emissions positive",-1,1)</f>
        <v>6.2389999999999581</v>
      </c>
      <c r="CU796">
        <f>IFERROR(CT796/CQ796,"")</f>
        <v>0.54728070175438337</v>
      </c>
      <c r="CV796" s="2">
        <f>IFERROR((CS796-CR796)/ABS(CR796),"")</f>
        <v>1.2186379928315332E-2</v>
      </c>
      <c r="CW796" s="1" t="s">
        <v>234</v>
      </c>
      <c r="CX796" t="str">
        <f>IF(OR($CW796="prd",$CW796="std",$CW796="cit"),"loc",IF(OR($CW796="eur",$CW796="reg",$CW796="coy"),"reg",$CW796))</f>
        <v>loc</v>
      </c>
      <c r="CY796" t="s">
        <v>235</v>
      </c>
      <c r="DA796" s="143"/>
      <c r="DB796" s="143">
        <v>80</v>
      </c>
      <c r="DC796" t="str">
        <f>IF(DB796=0,"0",IF(AND(DB796&gt;=1,DB796&lt;=30),"1-30",IF(AND(DB796&gt;30,DB796&lt;=70),"31-70",IF(AND(DB796&gt;70,DB796&lt;=100),"71-100",IF(DB796&gt;100,"+100")))))</f>
        <v>71-100</v>
      </c>
      <c r="DD796">
        <v>1</v>
      </c>
      <c r="DE796">
        <v>1</v>
      </c>
      <c r="DF796">
        <v>0</v>
      </c>
      <c r="DG796">
        <v>0</v>
      </c>
      <c r="DI796">
        <f>SUM(DD796:DG796)</f>
        <v>2</v>
      </c>
      <c r="DJ796" t="str">
        <f>IF(DI796=1,INDEX($DD$7:$DG$7,MATCH(1,$DD796:$DG796,0)),"mixedProduct")</f>
        <v>mixedProduct</v>
      </c>
      <c r="DK796" t="str">
        <f>IF(DD796=1,DK$7,0)</f>
        <v>Upstream</v>
      </c>
      <c r="DL796" t="str">
        <f>IF(DE796=1,DL$7,0)</f>
        <v>Energy</v>
      </c>
      <c r="DM796">
        <f>IF(DF796=1,DM$7,0)</f>
        <v>0</v>
      </c>
      <c r="DN796">
        <f>IF(DG796=1,DN$7,0)</f>
        <v>0</v>
      </c>
      <c r="DO796">
        <v>0</v>
      </c>
      <c r="DP796" s="143">
        <v>1</v>
      </c>
      <c r="DQ796" s="143" t="s">
        <v>939</v>
      </c>
      <c r="DR796">
        <v>0</v>
      </c>
      <c r="DS796" s="143">
        <v>0</v>
      </c>
      <c r="DT796">
        <f>SUM(DO796:DP796)</f>
        <v>1</v>
      </c>
      <c r="DU796" s="143" t="str">
        <f>IF(DO796=1,"self-calculated DF",IF(DP796=1,"external DF used","explicit C balance"))</f>
        <v>external DF used</v>
      </c>
      <c r="DV796" s="143">
        <v>1</v>
      </c>
      <c r="DW796" s="143">
        <v>1</v>
      </c>
      <c r="DX796" s="143">
        <v>1</v>
      </c>
      <c r="DY796" s="143">
        <v>0</v>
      </c>
      <c r="DZ796">
        <v>1</v>
      </c>
      <c r="EA796" s="143">
        <v>1</v>
      </c>
      <c r="EB796" s="143">
        <v>0</v>
      </c>
      <c r="EC796" s="143">
        <v>0</v>
      </c>
      <c r="ED796" s="143">
        <v>0</v>
      </c>
      <c r="EE796">
        <v>0</v>
      </c>
      <c r="EF796">
        <v>1</v>
      </c>
      <c r="EG796" s="143">
        <v>0</v>
      </c>
      <c r="EH796">
        <v>0</v>
      </c>
      <c r="EI796" s="2">
        <v>0</v>
      </c>
      <c r="EK796" t="str">
        <f>IF(AND(AND(AND(OR($DX796=1,$DW796=1),OR($EC796=1,$EA796=1)),SUM($DV796:$DZ796,$EF796)&gt;=4),SUM($EA796:$EE796)&gt;=2),"Whole sector","")</f>
        <v/>
      </c>
      <c r="EL796" t="str">
        <f>IF(AND(AND(OR($DX796=1,$DW796=1),AND($EC796=0,$EA796=0)),SUM($DV796:$DZ796,$EF796)&gt;=4),"Ecosystem approach","")</f>
        <v/>
      </c>
      <c r="EM796" s="2" t="str">
        <f>IF(AND(AND(AND($DX796=0,$DW796=0),OR($EC796=1,$EA796=1)),SUM($EB796:$EE796)&gt;=2),"Technology approach","")</f>
        <v/>
      </c>
      <c r="EP796" t="str">
        <f>IF(ISNUMBER(BU796),IF(ABS(BU796-[1]QC_indicators!$B$2)&gt;3*[1]QC_indicators!$C$2,"C ratio",IF(ISNUMBER(BY796),IF(ABS(BY796-[1]QC_indicators!$B$1)&gt;3*[1]QC_indicators!$C$1,"DF","no"))),IF(ISNUMBER(BY796),IF(ABS(BY796-[1]QC_indicators!$B$1)&gt;3*[1]QC_indicators!$C$1,"DF","no")))</f>
        <v>no</v>
      </c>
      <c r="ET796" s="264" t="s">
        <v>3095</v>
      </c>
    </row>
    <row r="797" spans="1:150" ht="15" customHeight="1">
      <c r="A797" s="1" t="s">
        <v>333</v>
      </c>
      <c r="B797" t="s">
        <v>334</v>
      </c>
      <c r="C797" t="s">
        <v>335</v>
      </c>
      <c r="D797" t="s">
        <v>336</v>
      </c>
      <c r="E797" t="s">
        <v>337</v>
      </c>
      <c r="F797" t="s">
        <v>338</v>
      </c>
      <c r="G797" t="s">
        <v>339</v>
      </c>
      <c r="I797">
        <v>2017</v>
      </c>
      <c r="K797" t="s">
        <v>340</v>
      </c>
      <c r="M797" t="str">
        <f>LEFT($D797,FIND(",",$D797)-1)&amp;"_"&amp;I797&amp;L797</f>
        <v>Balasbaneh_2017</v>
      </c>
      <c r="N797" t="s">
        <v>222</v>
      </c>
      <c r="O797" s="140" t="s">
        <v>341</v>
      </c>
      <c r="Q797" t="s">
        <v>224</v>
      </c>
      <c r="R797" s="262" t="s">
        <v>223</v>
      </c>
      <c r="S797" s="1" t="s">
        <v>378</v>
      </c>
      <c r="T797" t="s">
        <v>371</v>
      </c>
      <c r="U797" t="s">
        <v>344</v>
      </c>
      <c r="V797">
        <v>0</v>
      </c>
      <c r="W797">
        <v>0</v>
      </c>
      <c r="X797">
        <v>0</v>
      </c>
      <c r="Y797">
        <v>0</v>
      </c>
      <c r="Z797">
        <v>0</v>
      </c>
      <c r="AA797">
        <v>0</v>
      </c>
      <c r="AB797">
        <v>0</v>
      </c>
      <c r="AC797">
        <v>0</v>
      </c>
      <c r="AD797">
        <v>0</v>
      </c>
      <c r="AE797">
        <v>0</v>
      </c>
      <c r="AF797">
        <v>0</v>
      </c>
      <c r="AG797">
        <v>0</v>
      </c>
      <c r="AH797">
        <v>0</v>
      </c>
      <c r="AI797">
        <v>0</v>
      </c>
      <c r="AJ797">
        <v>0</v>
      </c>
      <c r="AK797">
        <v>1</v>
      </c>
      <c r="AL797">
        <v>0</v>
      </c>
      <c r="AM797">
        <v>0</v>
      </c>
      <c r="AN797">
        <v>0</v>
      </c>
      <c r="AO797">
        <v>0</v>
      </c>
      <c r="AP797">
        <v>0</v>
      </c>
      <c r="AQ797">
        <v>0</v>
      </c>
      <c r="AR797">
        <v>0</v>
      </c>
      <c r="AS797">
        <v>0</v>
      </c>
      <c r="AT797">
        <v>0</v>
      </c>
      <c r="AU797">
        <v>0</v>
      </c>
      <c r="AV797">
        <v>0</v>
      </c>
      <c r="AW797">
        <v>0</v>
      </c>
      <c r="AX797" s="141">
        <f>COUNTIF(V797:AW797,"&lt;&gt;0")</f>
        <v>1</v>
      </c>
      <c r="AY797" s="141">
        <f>COUNTIF(V797:AL797,"&lt;&gt;0")</f>
        <v>1</v>
      </c>
      <c r="AZ797">
        <f>COUNTIF(V797:AC797,"&lt;&gt;0")</f>
        <v>0</v>
      </c>
      <c r="BA797">
        <f>COUNTIF(AD797:AI797,"&lt;&gt;0")</f>
        <v>0</v>
      </c>
      <c r="BB797">
        <f>COUNTIF(AJ797:AL797,"&lt;&gt;0")</f>
        <v>1</v>
      </c>
      <c r="BC797">
        <f>COUNTIF(AS797:AW797,"&lt;&gt;0")</f>
        <v>0</v>
      </c>
      <c r="BD797">
        <f>COUNTIF(AM797:AR797,"&lt;&gt;0")</f>
        <v>0</v>
      </c>
      <c r="BE797" t="str">
        <f t="array" ref="BE797">IF(AY797=1,INDEX($V$7:$AL$7,MATCH(TRUE,INDEX($V797:$AW797&lt;&gt;0,),0)),IF(AY797=0,INDEX($AM$7:$AW$7,MATCH(1,$AM797:$AW797,0)),IF(BF797="Multiple strategies","mixed drivers",IF(BF797="Supply chain","multiple supply","multiple silviculture"))))</f>
        <v>technologies/design switch</v>
      </c>
      <c r="BF797" s="2" t="str" cm="1">
        <f t="array" ref="BF797">IF(COUNTIF(AZ797:BB797,"&lt;&gt;0")=1,INDEX($V$4:$AW$4,MATCH(TRUE,INDEX($V797:$AW797&lt;&gt;0,),0)),IF(COUNTIF(AZ797:BB797,"&lt;&gt;0")=0,INDEX($AM$4:$AW$4,MATCH(1,$AM797:$AW797,0)),"Multiple strategies"))</f>
        <v>Technology</v>
      </c>
      <c r="BG797" s="1" t="s">
        <v>229</v>
      </c>
      <c r="BH797" t="s">
        <v>229</v>
      </c>
      <c r="BI797" s="264" t="s">
        <v>410</v>
      </c>
      <c r="BJ797" t="s">
        <v>345</v>
      </c>
      <c r="BK797">
        <v>0</v>
      </c>
      <c r="BL797">
        <v>23500</v>
      </c>
      <c r="BM797" s="143"/>
      <c r="BN797">
        <f>BL797-BK797</f>
        <v>23500</v>
      </c>
      <c r="BO797" s="143">
        <f>BN797*kg_to_m3</f>
        <v>47.95918367346939</v>
      </c>
      <c r="BP797" t="s">
        <v>232</v>
      </c>
      <c r="BQ797" s="335" t="s">
        <v>396</v>
      </c>
      <c r="BR797" t="s">
        <v>346</v>
      </c>
      <c r="BS797">
        <v>-32500</v>
      </c>
      <c r="BT797">
        <v>-6250</v>
      </c>
      <c r="BU797" s="144">
        <v>0.19230769230769232</v>
      </c>
      <c r="BV797">
        <f>BT797-BS797</f>
        <v>26250</v>
      </c>
      <c r="BX797">
        <f>BV797/1000</f>
        <v>26.25</v>
      </c>
      <c r="BY797">
        <f>IFERROR(BX797/BO797,"")</f>
        <v>0.54734042553191486</v>
      </c>
      <c r="BZ797">
        <v>0</v>
      </c>
      <c r="CA797">
        <v>0</v>
      </c>
      <c r="CB797">
        <v>0</v>
      </c>
      <c r="CC797">
        <v>0</v>
      </c>
      <c r="CD797">
        <v>0</v>
      </c>
      <c r="CE797">
        <v>0</v>
      </c>
      <c r="CF797">
        <v>0</v>
      </c>
      <c r="CG797">
        <v>0</v>
      </c>
      <c r="CH797">
        <v>0</v>
      </c>
      <c r="CI797">
        <v>0</v>
      </c>
      <c r="CJ797">
        <v>0</v>
      </c>
      <c r="CK797">
        <v>0</v>
      </c>
      <c r="CL797">
        <v>0</v>
      </c>
      <c r="CM797">
        <v>0</v>
      </c>
      <c r="CN797" t="str">
        <f>IF($BL797&lt;$BK797,"refNeedCorrection","refOK")</f>
        <v>refOK</v>
      </c>
      <c r="CO797">
        <f>IF($CN797="refNeedCorrection",BL797,BK797)</f>
        <v>0</v>
      </c>
      <c r="CP797">
        <f>IF($CN797="refNeedCorrection",BK797,BL797)</f>
        <v>23500</v>
      </c>
      <c r="CQ797">
        <f>IF($CN797="refOK",$BO797,-$BO797)</f>
        <v>47.95918367346939</v>
      </c>
      <c r="CR797">
        <f>IF($CN797="refOK",$BS797,$BT797)*IF($BP797="Emissions positive",-1,1)</f>
        <v>-32500</v>
      </c>
      <c r="CS797">
        <f>IF($CN797="refOK",$BT797,$BS797)*IF($BP797="Emissions positive",-1,1)</f>
        <v>-6250</v>
      </c>
      <c r="CT797">
        <f>IF($CN797="refNeedCorrection",-BX797,BX797)*IF($BP797="Emissions positive",-1,1)</f>
        <v>26.25</v>
      </c>
      <c r="CU797">
        <f>IFERROR(CT797/CQ797,"")</f>
        <v>0.54734042553191486</v>
      </c>
      <c r="CV797" s="2">
        <f>IFERROR((CS797-CR797)/ABS(CR797),"")</f>
        <v>0.80769230769230771</v>
      </c>
      <c r="CW797" s="1" t="s">
        <v>347</v>
      </c>
      <c r="CX797" t="str">
        <f>IF(OR($CW797="prd",$CW797="std",$CW797="cit"),"loc",IF(OR($CW797="eur",$CW797="reg",$CW797="coy"),"reg",$CW797))</f>
        <v>loc</v>
      </c>
      <c r="CY797" t="s">
        <v>348</v>
      </c>
      <c r="CZ797">
        <v>2014</v>
      </c>
      <c r="DA797">
        <v>2034</v>
      </c>
      <c r="DB797">
        <v>20</v>
      </c>
      <c r="DC797" t="str">
        <f>IF(DB797=0,"0",IF(AND(DB797&gt;=1,DB797&lt;=30),"1-30",IF(AND(DB797&gt;30,DB797&lt;=70),"31-70",IF(AND(DB797&gt;70,DB797&lt;=100),"71-100",IF(DB797&gt;100,"+100")))))</f>
        <v>1-30</v>
      </c>
      <c r="DD797">
        <v>0</v>
      </c>
      <c r="DE797">
        <v>0</v>
      </c>
      <c r="DF797">
        <v>0</v>
      </c>
      <c r="DG797">
        <v>1</v>
      </c>
      <c r="DI797">
        <f>SUM(DD797:DG797)</f>
        <v>1</v>
      </c>
      <c r="DJ797" t="str">
        <f>IF(DI797=1,INDEX($DD$7:$DG$7,MATCH(1,$DD797:$DG797,0)),"mixedProduct")</f>
        <v>TimberInput</v>
      </c>
      <c r="DK797">
        <f>IF(DD797=1,DK$7,0)</f>
        <v>0</v>
      </c>
      <c r="DL797">
        <f>IF(DE797=1,DL$7,0)</f>
        <v>0</v>
      </c>
      <c r="DM797">
        <f>IF(DF797=1,DM$7,0)</f>
        <v>0</v>
      </c>
      <c r="DN797" t="str">
        <f>IF(DG797=1,DN$7,0)</f>
        <v>Timber</v>
      </c>
      <c r="DO797">
        <v>0</v>
      </c>
      <c r="DP797">
        <v>0</v>
      </c>
      <c r="DQ797">
        <v>0</v>
      </c>
      <c r="DR797">
        <v>0</v>
      </c>
      <c r="DS797">
        <v>0</v>
      </c>
      <c r="DT797">
        <f>SUM(DO797:DP797)</f>
        <v>0</v>
      </c>
      <c r="DU797" s="143" t="str">
        <f>IF(DO797=1,"self-calculated DF",IF(DP797=1,"external DF used","explicit C balance"))</f>
        <v>explicit C balance</v>
      </c>
      <c r="DV797">
        <v>0</v>
      </c>
      <c r="DW797">
        <v>0</v>
      </c>
      <c r="DX797">
        <v>0</v>
      </c>
      <c r="DY797">
        <v>1</v>
      </c>
      <c r="DZ797">
        <v>0</v>
      </c>
      <c r="EA797" s="143">
        <v>1</v>
      </c>
      <c r="EB797">
        <v>0</v>
      </c>
      <c r="EC797">
        <v>1</v>
      </c>
      <c r="ED797">
        <v>1</v>
      </c>
      <c r="EE797">
        <v>1</v>
      </c>
      <c r="EF797">
        <v>0</v>
      </c>
      <c r="EG797">
        <v>0</v>
      </c>
      <c r="EH797">
        <v>0</v>
      </c>
      <c r="EI797" s="2">
        <v>0</v>
      </c>
      <c r="EK797" t="str">
        <f>IF(AND(AND(AND(OR($DX797=1,$DW797=1),OR($EC797=1,$EA797=1)),SUM($DV797:$DZ797,$EF797)&gt;=4),SUM($EA797:$EE797)&gt;=2),"Whole sector","")</f>
        <v/>
      </c>
      <c r="EL797" t="str">
        <f>IF(AND(AND(OR($DX797=1,$DW797=1),AND($EC797=0,$EA797=0)),SUM($DV797:$DZ797,$EF797)&gt;=4),"Ecosystem approach","")</f>
        <v/>
      </c>
      <c r="EM797" s="2" t="str">
        <f>IF(AND(AND(AND($DX797=0,$DW797=0),OR($EC797=1,$EA797=1)),SUM($EB797:$EE797)&gt;=2),"Technology approach","")</f>
        <v>Technology approach</v>
      </c>
      <c r="EP797" t="str">
        <f>IF(ISNUMBER(BU797),IF(ABS(BU797-[1]QC_indicators!$B$2)&gt;3*[1]QC_indicators!$C$2,"C ratio",IF(ISNUMBER(BY797),IF(ABS(BY797-[1]QC_indicators!$B$1)&gt;3*[1]QC_indicators!$C$1,"DF","no"))),IF(ISNUMBER(BY797),IF(ABS(BY797-[1]QC_indicators!$B$1)&gt;3*[1]QC_indicators!$C$1,"DF","no")))</f>
        <v>no</v>
      </c>
      <c r="ER797" s="149" t="s">
        <v>349</v>
      </c>
      <c r="ET797" s="264" t="s">
        <v>3273</v>
      </c>
    </row>
    <row r="798" spans="1:150" ht="15" customHeight="1">
      <c r="A798" s="1" t="s">
        <v>1233</v>
      </c>
      <c r="B798" t="s">
        <v>1234</v>
      </c>
      <c r="C798" t="s">
        <v>1235</v>
      </c>
      <c r="D798" t="s">
        <v>336</v>
      </c>
      <c r="E798" t="s">
        <v>1236</v>
      </c>
      <c r="F798" t="s">
        <v>1237</v>
      </c>
      <c r="G798" t="s">
        <v>1238</v>
      </c>
      <c r="I798">
        <v>2018</v>
      </c>
      <c r="K798" t="s">
        <v>1239</v>
      </c>
      <c r="M798" t="str">
        <f>LEFT($D798,FIND(",",$D798)-1)&amp;"_"&amp;I798&amp;L798</f>
        <v>Balasbaneh_2018</v>
      </c>
      <c r="N798" t="s">
        <v>222</v>
      </c>
      <c r="O798" s="140" t="s">
        <v>513</v>
      </c>
      <c r="Q798" t="s">
        <v>224</v>
      </c>
      <c r="R798" s="262" t="s">
        <v>223</v>
      </c>
      <c r="S798" s="1" t="s">
        <v>1266</v>
      </c>
      <c r="T798" s="264" t="s">
        <v>3115</v>
      </c>
      <c r="U798" s="264" t="s">
        <v>3111</v>
      </c>
      <c r="V798">
        <v>0</v>
      </c>
      <c r="W798">
        <v>0</v>
      </c>
      <c r="X798">
        <v>0</v>
      </c>
      <c r="Y798">
        <v>0</v>
      </c>
      <c r="Z798">
        <v>0</v>
      </c>
      <c r="AA798">
        <v>0</v>
      </c>
      <c r="AB798">
        <v>0</v>
      </c>
      <c r="AC798">
        <v>0</v>
      </c>
      <c r="AD798">
        <v>0</v>
      </c>
      <c r="AE798">
        <v>0</v>
      </c>
      <c r="AF798">
        <v>0</v>
      </c>
      <c r="AG798">
        <v>0</v>
      </c>
      <c r="AH798">
        <v>0</v>
      </c>
      <c r="AI798">
        <v>0</v>
      </c>
      <c r="AJ798">
        <v>0</v>
      </c>
      <c r="AK798">
        <v>1</v>
      </c>
      <c r="AL798">
        <v>0</v>
      </c>
      <c r="AM798">
        <v>0</v>
      </c>
      <c r="AN798">
        <v>0</v>
      </c>
      <c r="AO798">
        <v>0</v>
      </c>
      <c r="AP798">
        <v>0</v>
      </c>
      <c r="AQ798">
        <v>0</v>
      </c>
      <c r="AR798">
        <v>0</v>
      </c>
      <c r="AS798">
        <v>0</v>
      </c>
      <c r="AT798">
        <v>0</v>
      </c>
      <c r="AU798">
        <v>0</v>
      </c>
      <c r="AV798">
        <v>0</v>
      </c>
      <c r="AW798">
        <v>0</v>
      </c>
      <c r="AX798" s="141">
        <f>COUNTIF(V798:AW798,"&lt;&gt;0")</f>
        <v>1</v>
      </c>
      <c r="AY798" s="141">
        <f>COUNTIF(V798:AL798,"&lt;&gt;0")</f>
        <v>1</v>
      </c>
      <c r="AZ798">
        <f>COUNTIF(V798:AC798,"&lt;&gt;0")</f>
        <v>0</v>
      </c>
      <c r="BA798">
        <f>COUNTIF(AD798:AI798,"&lt;&gt;0")</f>
        <v>0</v>
      </c>
      <c r="BB798">
        <f>COUNTIF(AJ798:AL798,"&lt;&gt;0")</f>
        <v>1</v>
      </c>
      <c r="BC798">
        <f>COUNTIF(AS798:AW798,"&lt;&gt;0")</f>
        <v>0</v>
      </c>
      <c r="BD798">
        <f>COUNTIF(AM798:AR798,"&lt;&gt;0")</f>
        <v>0</v>
      </c>
      <c r="BE798" t="str">
        <f t="array" ref="BE798">IF(AY798=1,INDEX($V$7:$AL$7,MATCH(TRUE,INDEX($V798:$AW798&lt;&gt;0,),0)),IF(AY798=0,INDEX($AM$7:$AW$7,MATCH(1,$AM798:$AW798,0)),IF(BF798="Multiple strategies","mixed drivers",IF(BF798="Supply chain","multiple supply","multiple silviculture"))))</f>
        <v>technologies/design switch</v>
      </c>
      <c r="BF798" s="2" t="str" cm="1">
        <f t="array" ref="BF798">IF(COUNTIF(AZ798:BB798,"&lt;&gt;0")=1,INDEX($V$4:$AW$4,MATCH(TRUE,INDEX($V798:$AW798&lt;&gt;0,),0)),IF(COUNTIF(AZ798:BB798,"&lt;&gt;0")=0,INDEX($AM$4:$AW$4,MATCH(1,$AM798:$AW798,0)),"Multiple strategies"))</f>
        <v>Technology</v>
      </c>
      <c r="BG798" s="1" t="s">
        <v>229</v>
      </c>
      <c r="BH798" t="s">
        <v>229</v>
      </c>
      <c r="BJ798" t="s">
        <v>345</v>
      </c>
      <c r="BK798">
        <v>0</v>
      </c>
      <c r="BL798">
        <v>15468</v>
      </c>
      <c r="BM798" s="143"/>
      <c r="BN798">
        <f>BL798-BK798</f>
        <v>15468</v>
      </c>
      <c r="BO798" s="143">
        <f>BN798*kg_to_m3</f>
        <v>31.567346938775515</v>
      </c>
      <c r="BP798" t="s">
        <v>232</v>
      </c>
      <c r="BQ798" s="337" t="s">
        <v>1057</v>
      </c>
      <c r="BR798" t="s">
        <v>397</v>
      </c>
      <c r="BS798">
        <v>-23200</v>
      </c>
      <c r="BT798">
        <v>-5840</v>
      </c>
      <c r="BU798" s="144">
        <v>0.25172413793103449</v>
      </c>
      <c r="BV798">
        <v>17360</v>
      </c>
      <c r="BX798">
        <f>BV798/1000</f>
        <v>17.36</v>
      </c>
      <c r="BY798">
        <f>IFERROR(BX798/BO798,"")</f>
        <v>0.54993535040082742</v>
      </c>
      <c r="BZ798">
        <v>0</v>
      </c>
      <c r="CA798">
        <v>0</v>
      </c>
      <c r="CB798">
        <v>0</v>
      </c>
      <c r="CC798">
        <v>0</v>
      </c>
      <c r="CD798">
        <v>0</v>
      </c>
      <c r="CE798">
        <v>0</v>
      </c>
      <c r="CF798">
        <v>0</v>
      </c>
      <c r="CG798">
        <v>0</v>
      </c>
      <c r="CH798">
        <v>0</v>
      </c>
      <c r="CI798">
        <v>0</v>
      </c>
      <c r="CJ798">
        <v>0</v>
      </c>
      <c r="CK798">
        <v>0</v>
      </c>
      <c r="CL798">
        <v>0</v>
      </c>
      <c r="CM798">
        <v>0</v>
      </c>
      <c r="CN798" t="str">
        <f>IF($BL798&lt;$BK798,"refNeedCorrection","refOK")</f>
        <v>refOK</v>
      </c>
      <c r="CO798">
        <f>IF($CN798="refNeedCorrection",BL798,BK798)</f>
        <v>0</v>
      </c>
      <c r="CP798">
        <f>IF($CN798="refNeedCorrection",BK798,BL798)</f>
        <v>15468</v>
      </c>
      <c r="CQ798">
        <f>IF($CN798="refOK",$BO798,-$BO798)</f>
        <v>31.567346938775515</v>
      </c>
      <c r="CR798">
        <f>IF($CN798="refOK",$BS798,$BT798)*IF($BP798="Emissions positive",-1,1)</f>
        <v>-23200</v>
      </c>
      <c r="CS798">
        <f>IF($CN798="refOK",$BT798,$BS798)*IF($BP798="Emissions positive",-1,1)</f>
        <v>-5840</v>
      </c>
      <c r="CT798">
        <f>IF($CN798="refNeedCorrection",-BX798,BX798)*IF($BP798="Emissions positive",-1,1)</f>
        <v>17.36</v>
      </c>
      <c r="CU798">
        <f>IFERROR(CT798/CQ798,"")</f>
        <v>0.54993535040082742</v>
      </c>
      <c r="CV798" s="2">
        <f>IFERROR((CS798-CR798)/ABS(CR798),"")</f>
        <v>0.74827586206896557</v>
      </c>
      <c r="CW798" s="1" t="s">
        <v>1203</v>
      </c>
      <c r="CX798" t="str">
        <f>IF(OR($CW798="prd",$CW798="std",$CW798="cit"),"loc",IF(OR($CW798="eur",$CW798="reg",$CW798="coy"),"reg",$CW798))</f>
        <v>reg</v>
      </c>
      <c r="CY798" t="s">
        <v>348</v>
      </c>
      <c r="CZ798">
        <v>2014</v>
      </c>
      <c r="DA798">
        <v>2034</v>
      </c>
      <c r="DB798">
        <v>20</v>
      </c>
      <c r="DC798" t="str">
        <f>IF(DB798=0,"0",IF(AND(DB798&gt;=1,DB798&lt;=30),"1-30",IF(AND(DB798&gt;30,DB798&lt;=70),"31-70",IF(AND(DB798&gt;70,DB798&lt;=100),"71-100",IF(DB798&gt;100,"+100")))))</f>
        <v>1-30</v>
      </c>
      <c r="DD798">
        <v>0</v>
      </c>
      <c r="DE798">
        <v>0</v>
      </c>
      <c r="DF798">
        <v>0</v>
      </c>
      <c r="DG798">
        <v>1</v>
      </c>
      <c r="DI798">
        <f>SUM(DD798:DG798)</f>
        <v>1</v>
      </c>
      <c r="DJ798" t="str">
        <f>IF(DI798=1,INDEX($DD$7:$DG$7,MATCH(1,$DD798:$DG798,0)),"mixedProduct")</f>
        <v>TimberInput</v>
      </c>
      <c r="DK798">
        <f>IF(DD798=1,DK$7,0)</f>
        <v>0</v>
      </c>
      <c r="DL798">
        <f>IF(DE798=1,DL$7,0)</f>
        <v>0</v>
      </c>
      <c r="DM798">
        <f>IF(DF798=1,DM$7,0)</f>
        <v>0</v>
      </c>
      <c r="DN798" t="str">
        <f>IF(DG798=1,DN$7,0)</f>
        <v>Timber</v>
      </c>
      <c r="DO798">
        <v>0</v>
      </c>
      <c r="DP798">
        <v>0</v>
      </c>
      <c r="DQ798">
        <v>0</v>
      </c>
      <c r="DR798">
        <v>0</v>
      </c>
      <c r="DS798">
        <v>0</v>
      </c>
      <c r="DT798">
        <f>SUM(DO798:DP798)</f>
        <v>0</v>
      </c>
      <c r="DU798" s="143" t="str">
        <f>IF(DO798=1,"self-calculated DF",IF(DP798=1,"external DF used","explicit C balance"))</f>
        <v>explicit C balance</v>
      </c>
      <c r="DV798">
        <v>0</v>
      </c>
      <c r="DW798">
        <v>0</v>
      </c>
      <c r="DX798">
        <v>0</v>
      </c>
      <c r="DY798">
        <v>0</v>
      </c>
      <c r="DZ798">
        <v>0</v>
      </c>
      <c r="EA798" s="143">
        <v>1</v>
      </c>
      <c r="EB798">
        <v>0</v>
      </c>
      <c r="EC798">
        <v>1</v>
      </c>
      <c r="ED798">
        <v>1</v>
      </c>
      <c r="EE798">
        <v>1</v>
      </c>
      <c r="EF798">
        <v>0</v>
      </c>
      <c r="EG798">
        <v>0</v>
      </c>
      <c r="EH798">
        <v>0</v>
      </c>
      <c r="EI798" s="2">
        <v>0</v>
      </c>
      <c r="EK798" t="str">
        <f>IF(AND(AND(AND(OR($DX798=1,$DW798=1),OR($EC798=1,$EA798=1)),SUM($DV798:$DZ798,$EF798)&gt;=4),SUM($EA798:$EE798)&gt;=2),"Whole sector","")</f>
        <v/>
      </c>
      <c r="EL798" t="str">
        <f>IF(AND(AND(OR($DX798=1,$DW798=1),AND($EC798=0,$EA798=0)),SUM($DV798:$DZ798,$EF798)&gt;=4),"Ecosystem approach","")</f>
        <v/>
      </c>
      <c r="EM798" s="2" t="str">
        <f>IF(AND(AND(AND($DX798=0,$DW798=0),OR($EC798=1,$EA798=1)),SUM($EB798:$EE798)&gt;=2),"Technology approach","")</f>
        <v>Technology approach</v>
      </c>
      <c r="EP798" t="str">
        <f>IF(ISNUMBER(BU798),IF(ABS(BU798-[1]QC_indicators!$B$2)&gt;3*[1]QC_indicators!$C$2,"C ratio",IF(ISNUMBER(BY798),IF(ABS(BY798-[1]QC_indicators!$B$1)&gt;3*[1]QC_indicators!$C$1,"DF","no"))),IF(ISNUMBER(BY798),IF(ABS(BY798-[1]QC_indicators!$B$1)&gt;3*[1]QC_indicators!$C$1,"DF","no")))</f>
        <v>no</v>
      </c>
      <c r="ER798" s="149" t="s">
        <v>349</v>
      </c>
      <c r="ET798" s="264" t="s">
        <v>3273</v>
      </c>
    </row>
    <row r="799" spans="1:150" ht="15" customHeight="1">
      <c r="A799" s="1" t="s">
        <v>1102</v>
      </c>
      <c r="B799" t="s">
        <v>2381</v>
      </c>
      <c r="C799" t="s">
        <v>2382</v>
      </c>
      <c r="D799" t="s">
        <v>2383</v>
      </c>
      <c r="E799" t="s">
        <v>2384</v>
      </c>
      <c r="F799" t="s">
        <v>2385</v>
      </c>
      <c r="G799" t="s">
        <v>1108</v>
      </c>
      <c r="H799" t="s">
        <v>254</v>
      </c>
      <c r="I799">
        <v>2016</v>
      </c>
      <c r="J799">
        <v>13</v>
      </c>
      <c r="K799" t="s">
        <v>2386</v>
      </c>
      <c r="M799" t="str">
        <f>LEFT($D799,FIND(",",$D799)-1)&amp;"_"&amp;I799&amp;L799</f>
        <v>Torssonen_2016</v>
      </c>
      <c r="N799" t="s">
        <v>222</v>
      </c>
      <c r="O799" s="145" t="s">
        <v>1154</v>
      </c>
      <c r="Q799" s="264" t="s">
        <v>256</v>
      </c>
      <c r="R799" s="269" t="s">
        <v>341</v>
      </c>
      <c r="S799" s="1" t="s">
        <v>2387</v>
      </c>
      <c r="T799" t="s">
        <v>2398</v>
      </c>
      <c r="U799" t="s">
        <v>2395</v>
      </c>
      <c r="V799">
        <v>0</v>
      </c>
      <c r="W799">
        <v>0</v>
      </c>
      <c r="X799">
        <v>0</v>
      </c>
      <c r="Y799">
        <v>1</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s="141">
        <f>COUNTIF(V799:AW799,"&lt;&gt;0")</f>
        <v>1</v>
      </c>
      <c r="AY799" s="141">
        <f>COUNTIF(V799:AL799,"&lt;&gt;0")</f>
        <v>1</v>
      </c>
      <c r="AZ799">
        <f>COUNTIF(V799:AC799,"&lt;&gt;0")</f>
        <v>1</v>
      </c>
      <c r="BA799">
        <f>COUNTIF(AD799:AI799,"&lt;&gt;0")</f>
        <v>0</v>
      </c>
      <c r="BB799">
        <f>COUNTIF(AJ799:AL799,"&lt;&gt;0")</f>
        <v>0</v>
      </c>
      <c r="BC799">
        <f>COUNTIF(AS799:AW799,"&lt;&gt;0")</f>
        <v>0</v>
      </c>
      <c r="BD799">
        <f>COUNTIF(AM799:AR799,"&lt;&gt;0")</f>
        <v>0</v>
      </c>
      <c r="BE799" t="str" cm="1">
        <f t="array" ref="BE799">IF(AY799=1,INDEX($V$7:$AL$7,MATCH(TRUE,INDEX($V799:$AW799&lt;&gt;0,),0)),IF(AY799=0,INDEX($AM$7:$AW$7,MATCH(1,$AM799:$AW799,0)),IF(BF799="Multiple strategies","mixed drivers",IF(BF799="Supply chain","multiple supply","multiple silviculture"))))</f>
        <v xml:space="preserve">cutting intensity </v>
      </c>
      <c r="BF799" s="2" t="str" cm="1">
        <f t="array" ref="BF799">IF(COUNTIF(AZ799:BB799,"&lt;&gt;0")=1,INDEX($V$4:$AW$4,MATCH(TRUE,INDEX($V799:$AW799&lt;&gt;0,),0)),IF(COUNTIF(AZ799:BB799,"&lt;&gt;0")=0,INDEX($AM$4:$AW$4,MATCH(1,$AM799:$AW799,0)),"Multiple strategies"))</f>
        <v>Silviculture for removals</v>
      </c>
      <c r="BG799" s="1" t="s">
        <v>229</v>
      </c>
      <c r="BH799" s="306" t="s">
        <v>2144</v>
      </c>
      <c r="BI799" s="264" t="s">
        <v>2391</v>
      </c>
      <c r="BJ799" s="306" t="s">
        <v>1058</v>
      </c>
      <c r="BK799">
        <v>6.697959172</v>
      </c>
      <c r="BL799">
        <v>7.9367346699999999</v>
      </c>
      <c r="BM799" s="143">
        <f>BL799/BK799</f>
        <v>1.1849482008159364</v>
      </c>
      <c r="BN799">
        <f>BL799-BK799</f>
        <v>1.2387754979999999</v>
      </c>
      <c r="BO799">
        <f>BN799</f>
        <v>1.2387754979999999</v>
      </c>
      <c r="BP799" s="306" t="s">
        <v>395</v>
      </c>
      <c r="BQ799" s="153" t="s">
        <v>3421</v>
      </c>
      <c r="BR799" s="264" t="s">
        <v>2393</v>
      </c>
      <c r="BS799" s="299">
        <v>-334.54545000000002</v>
      </c>
      <c r="BT799">
        <v>-402.90909090909099</v>
      </c>
      <c r="BU799" s="144"/>
      <c r="BV799" s="144">
        <f>BT799-BS799</f>
        <v>-68.363640909090975</v>
      </c>
      <c r="BW799" s="144"/>
      <c r="BX799" s="144">
        <f>BV799*10^4/10^6</f>
        <v>-0.68363640909090972</v>
      </c>
      <c r="BY799">
        <f>IFERROR(BX799/BO799,"")</f>
        <v>-0.55186465198467283</v>
      </c>
      <c r="BZ799">
        <v>0</v>
      </c>
      <c r="CA799">
        <v>0</v>
      </c>
      <c r="CB799">
        <v>0</v>
      </c>
      <c r="CC799">
        <v>0</v>
      </c>
      <c r="CD799">
        <v>0</v>
      </c>
      <c r="CE799">
        <v>0</v>
      </c>
      <c r="CF799">
        <v>0</v>
      </c>
      <c r="CG799">
        <v>0</v>
      </c>
      <c r="CH799">
        <v>0</v>
      </c>
      <c r="CI799">
        <v>0</v>
      </c>
      <c r="CJ799">
        <v>0</v>
      </c>
      <c r="CK799">
        <v>0</v>
      </c>
      <c r="CL799">
        <v>0</v>
      </c>
      <c r="CM799">
        <v>1</v>
      </c>
      <c r="CN799" t="str">
        <f>IF($BL799&lt;$BK799,"refNeedCorrection","refOK")</f>
        <v>refOK</v>
      </c>
      <c r="CO799">
        <f>IF($CN799="refOK",$BK799,$BL799)</f>
        <v>6.697959172</v>
      </c>
      <c r="CP799">
        <f>IF($CN799="refOK",$BL799,$BK799)</f>
        <v>7.9367346699999999</v>
      </c>
      <c r="CQ799">
        <f>IF($CN799="refOK",$BO799,-$BO799)</f>
        <v>1.2387754979999999</v>
      </c>
      <c r="CR799">
        <f>IF($CN799="refOK",$BS799,$BT799)*IF($BP799="Emissions positive",-1,1)</f>
        <v>334.54545000000002</v>
      </c>
      <c r="CS799">
        <f>IF($CN799="refOK",$BT799,$BS799)*IF($BP799="Emissions positive",-1,1)</f>
        <v>402.90909090909099</v>
      </c>
      <c r="CT799">
        <f>IF($CN799="refNeedCorrection",-BX799,BX799)*IF($BP799="Emissions positive",-1,1)</f>
        <v>0.68363640909090972</v>
      </c>
      <c r="CU799">
        <f>IFERROR(CT799/CQ799,"")</f>
        <v>0.55186465198467283</v>
      </c>
      <c r="CV799" s="2">
        <f>IFERROR((CS799-CR799)/ABS(CR799),"")</f>
        <v>0.20434784245037849</v>
      </c>
      <c r="CW799" s="1" t="s">
        <v>1199</v>
      </c>
      <c r="CX799" s="264" t="str">
        <f>IF(OR($CW799="prd",$CW799="std",$CW799="cit"),"loc",IF(OR($CW799="eur",$CW799="reg",$CW799="coy"),"reg",$CW799))</f>
        <v>reg</v>
      </c>
      <c r="CY799" t="s">
        <v>235</v>
      </c>
      <c r="CZ799">
        <v>2020</v>
      </c>
      <c r="DA799">
        <v>2100</v>
      </c>
      <c r="DB799">
        <f>DA799-CZ799</f>
        <v>80</v>
      </c>
      <c r="DC799" t="str">
        <f>IF(DB799=0,"0",IF(AND(DB799&gt;=1,DB799&lt;=30),"1-30",IF(AND(DB799&gt;30,DB799&lt;=70),"31-70",IF(AND(DB799&gt;70,DB799&lt;=100),"71-100",IF(DB799&gt;100,"+100")))))</f>
        <v>71-100</v>
      </c>
      <c r="DD799">
        <v>0</v>
      </c>
      <c r="DE799">
        <v>1</v>
      </c>
      <c r="DF799">
        <v>0</v>
      </c>
      <c r="DG799">
        <v>1</v>
      </c>
      <c r="DI799">
        <f>SUM(DD799:DG799)</f>
        <v>2</v>
      </c>
      <c r="DJ799" t="str">
        <f>IF(DI799=1,INDEX($DD$7:$DG$7,MATCH(1,$DD799:$DG799,0)),"mixedProduct")</f>
        <v>mixedProduct</v>
      </c>
      <c r="DK799">
        <f>IF(DD799=1,DK$7,0)</f>
        <v>0</v>
      </c>
      <c r="DL799" t="str">
        <f>IF(DE799=1,DL$7,0)</f>
        <v>Energy</v>
      </c>
      <c r="DM799">
        <f>IF(DF799=1,DM$7,0)</f>
        <v>0</v>
      </c>
      <c r="DN799" t="str">
        <f>IF(DG799=1,DN$7,0)</f>
        <v>Timber</v>
      </c>
      <c r="DO799">
        <v>1</v>
      </c>
      <c r="DP799">
        <v>0</v>
      </c>
      <c r="DQ799">
        <v>0</v>
      </c>
      <c r="DR799">
        <v>0</v>
      </c>
      <c r="DS799">
        <v>0</v>
      </c>
      <c r="DT799">
        <f>SUM(DO799:DP799)</f>
        <v>1</v>
      </c>
      <c r="DU799" s="143" t="str">
        <f>IF(DO799=1,"self-calculated DF",IF(DP799=1,"external DF used","explicit C balance"))</f>
        <v>self-calculated DF</v>
      </c>
      <c r="DV799">
        <v>1</v>
      </c>
      <c r="DW799">
        <v>0</v>
      </c>
      <c r="DX799">
        <v>1</v>
      </c>
      <c r="DY799">
        <v>0</v>
      </c>
      <c r="DZ799">
        <v>0</v>
      </c>
      <c r="EA799" s="143">
        <v>0</v>
      </c>
      <c r="EB799">
        <v>0</v>
      </c>
      <c r="EC799">
        <v>0</v>
      </c>
      <c r="ED799">
        <v>0</v>
      </c>
      <c r="EE799">
        <v>0</v>
      </c>
      <c r="EF799">
        <v>1</v>
      </c>
      <c r="EG799">
        <v>0</v>
      </c>
      <c r="EH799">
        <v>0</v>
      </c>
      <c r="EI799" s="2">
        <v>0</v>
      </c>
      <c r="EK799" t="str">
        <f>IF(AND(AND(AND(OR($DX799=1,$DW799=1),OR($EC799=1,$EA799=1)),SUM($DV799:$DZ799,$EF799)&gt;=4),SUM($EA799:$EE799)&gt;=2),"Whole sector","")</f>
        <v/>
      </c>
      <c r="EL799" t="str">
        <f>IF(AND(AND(OR($DX799=1,$DW799=1),AND($EC799=0,$EA799=0)),SUM($DV799:$DZ799,$EF799)&gt;=4),"Ecosystem approach","")</f>
        <v/>
      </c>
      <c r="EM799" s="2" t="str">
        <f>IF(AND(AND(AND($DX799=0,$DW799=0),OR($EC799=1,$EA799=1)),SUM($EB799:$EE799)&gt;=2),"Technology approach","")</f>
        <v/>
      </c>
      <c r="EP799" t="str">
        <f>IF(ISNUMBER(BU799),IF(ABS(BU799-[3]QC_indicators!$B$2)&gt;3*[3]QC_indicators!$C$2,"C ratio",IF(ISNUMBER(BY799),IF(ABS(BY799-[3]QC_indicators!$B$1)&gt;3*[3]QC_indicators!$C$1,"DF","no"))),IF(ISNUMBER(BY799),IF(ABS(BY799-[3]QC_indicators!$B$1)&gt;3*[3]QC_indicators!$C$1,"DF","no")))</f>
        <v>no</v>
      </c>
      <c r="ER799" s="264" t="s">
        <v>2394</v>
      </c>
      <c r="ET799" s="306" t="s">
        <v>3422</v>
      </c>
    </row>
    <row r="800" spans="1:150" ht="15" customHeight="1">
      <c r="A800" s="1" t="s">
        <v>1400</v>
      </c>
      <c r="B800" t="s">
        <v>1401</v>
      </c>
      <c r="C800" t="s">
        <v>1402</v>
      </c>
      <c r="D800" t="s">
        <v>1403</v>
      </c>
      <c r="E800" t="s">
        <v>1404</v>
      </c>
      <c r="F800" t="s">
        <v>1405</v>
      </c>
      <c r="G800" t="s">
        <v>1406</v>
      </c>
      <c r="H800" t="s">
        <v>254</v>
      </c>
      <c r="I800">
        <v>2021</v>
      </c>
      <c r="J800">
        <v>0</v>
      </c>
      <c r="K800" t="s">
        <v>1407</v>
      </c>
      <c r="M800" t="str">
        <f>LEFT($D800,FIND(",",$D800)-1)&amp;"_"&amp;I800&amp;L800</f>
        <v>Dugan_2021</v>
      </c>
      <c r="N800" t="s">
        <v>222</v>
      </c>
      <c r="O800" s="145" t="s">
        <v>274</v>
      </c>
      <c r="Q800" t="s">
        <v>256</v>
      </c>
      <c r="R800" s="255" t="s">
        <v>225</v>
      </c>
      <c r="S800" s="1" t="s">
        <v>314</v>
      </c>
      <c r="T800" t="s">
        <v>1413</v>
      </c>
      <c r="U800" t="s">
        <v>1111</v>
      </c>
      <c r="V800">
        <v>0</v>
      </c>
      <c r="W800">
        <v>0</v>
      </c>
      <c r="X800">
        <v>1</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s="141">
        <f>COUNTIF(V800:AW800,"&lt;&gt;0")</f>
        <v>1</v>
      </c>
      <c r="AY800" s="141">
        <f>COUNTIF(V800:AL800,"&lt;&gt;0")</f>
        <v>1</v>
      </c>
      <c r="AZ800">
        <f>COUNTIF(V800:AC800,"&lt;&gt;0")</f>
        <v>1</v>
      </c>
      <c r="BA800">
        <f>COUNTIF(AD800:AI800,"&lt;&gt;0")</f>
        <v>0</v>
      </c>
      <c r="BB800">
        <f>COUNTIF(AJ800:AL800,"&lt;&gt;0")</f>
        <v>0</v>
      </c>
      <c r="BC800">
        <f>COUNTIF(AS800:AW800,"&lt;&gt;0")</f>
        <v>0</v>
      </c>
      <c r="BD800">
        <f>COUNTIF(AM800:AR800,"&lt;&gt;0")</f>
        <v>0</v>
      </c>
      <c r="BE800" t="str">
        <f t="array" ref="BE800">IF(AY800=1,INDEX($V$7:$AL$7,MATCH(TRUE,INDEX($V800:$AW800&lt;&gt;0,),0)),IF(AY800=0,INDEX($AM$7:$AW$7,MATCH(1,$AM800:$AW800,0)),IF(BF800="Multiple strategies","mixed drivers",IF(BF800="Supply chain","multiple supply","multiple silviculture"))))</f>
        <v>rotation length</v>
      </c>
      <c r="BF800" s="2" t="str" cm="1">
        <f t="array" ref="BF800">IF(COUNTIF(AZ800:BB800,"&lt;&gt;0")=1,INDEX($V$4:$AW$4,MATCH(TRUE,INDEX($V800:$AW800&lt;&gt;0,),0)),IF(COUNTIF(AZ800:BB800,"&lt;&gt;0")=0,INDEX($AM$4:$AW$4,MATCH(1,$AM800:$AW800,0)),"Multiple strategies"))</f>
        <v>Silviculture for removals</v>
      </c>
      <c r="BG800" s="1" t="s">
        <v>321</v>
      </c>
      <c r="BH800" t="s">
        <v>1410</v>
      </c>
      <c r="BI800" s="260" t="s">
        <v>3318</v>
      </c>
      <c r="BJ800" t="s">
        <v>1359</v>
      </c>
      <c r="BK800" s="264">
        <f>0.9*BL800</f>
        <v>13.148999999999999</v>
      </c>
      <c r="BL800" s="264">
        <v>14.61</v>
      </c>
      <c r="BN800" s="227">
        <f>BL800-BK800</f>
        <v>1.4610000000000003</v>
      </c>
      <c r="BO800">
        <f>BN800*10^6*tC_to_m3</f>
        <v>6343899.2618323937</v>
      </c>
      <c r="BP800" t="s">
        <v>232</v>
      </c>
      <c r="BQ800" s="260" t="s">
        <v>3320</v>
      </c>
      <c r="BR800" t="s">
        <v>1300</v>
      </c>
      <c r="BS800" s="152"/>
      <c r="BT800" s="152"/>
      <c r="BU800" s="144"/>
      <c r="BV800" s="284">
        <v>3.5012647539369794</v>
      </c>
      <c r="BX800">
        <f>BV800*10^6</f>
        <v>3501264.7539369795</v>
      </c>
      <c r="BY800">
        <f>IFERROR(BX800/BO800,"")</f>
        <v>0.55191052212983316</v>
      </c>
      <c r="BZ800">
        <v>0</v>
      </c>
      <c r="CA800">
        <v>0</v>
      </c>
      <c r="CB800">
        <v>0</v>
      </c>
      <c r="CC800">
        <v>0</v>
      </c>
      <c r="CD800">
        <v>0</v>
      </c>
      <c r="CE800">
        <v>0</v>
      </c>
      <c r="CF800">
        <v>0</v>
      </c>
      <c r="CG800">
        <v>0</v>
      </c>
      <c r="CH800">
        <v>0</v>
      </c>
      <c r="CI800">
        <v>0</v>
      </c>
      <c r="CJ800">
        <v>0</v>
      </c>
      <c r="CK800">
        <v>0</v>
      </c>
      <c r="CL800">
        <v>0</v>
      </c>
      <c r="CM800">
        <v>0</v>
      </c>
      <c r="CN800" t="str">
        <f>IF(BL800&lt;BK800,"refNeedCorrection","refOK")</f>
        <v>refOK</v>
      </c>
      <c r="CO800"/>
      <c r="CP800"/>
      <c r="CQ800">
        <f>IF($CN800="refNeedCorrection",-BO800,BO800)</f>
        <v>6343899.2618323937</v>
      </c>
      <c r="CR800">
        <f>IF($CN800="refOK",$BS800,$BT800)*IF($BP800="Emissions positive",-1,1)</f>
        <v>0</v>
      </c>
      <c r="CS800">
        <f>IF($CN800="refOK",$BT800,$BS800)*IF($BP800="Emissions positive",-1,1)</f>
        <v>0</v>
      </c>
      <c r="CT800">
        <f>IF($CN800="refNeedCorrection",-BX800,BX800)*IF($BP800="Emissions positive",-1,1)</f>
        <v>3501264.7539369795</v>
      </c>
      <c r="CU800">
        <f>IFERROR(CT800/CQ800,"")</f>
        <v>0.55191052212983316</v>
      </c>
      <c r="CV800" s="2" t="str">
        <f>IFERROR((CS800-CR800)/ABS(CR800),"")</f>
        <v/>
      </c>
      <c r="CW800" s="1" t="s">
        <v>1199</v>
      </c>
      <c r="CX800" t="str">
        <f>IF(OR($CW800="prd",$CW800="std",$CW800="cit"),"loc",IF(OR($CW800="eur",$CW800="reg",$CW800="coy"),"reg",$CW800))</f>
        <v>reg</v>
      </c>
      <c r="CY800" t="s">
        <v>428</v>
      </c>
      <c r="CZ800">
        <v>2020</v>
      </c>
      <c r="DA800">
        <v>2050</v>
      </c>
      <c r="DB800">
        <v>30</v>
      </c>
      <c r="DC800" t="str">
        <f>IF(DB800=0,"0",IF(AND(DB800&gt;=1,DB800&lt;=30),"1-30",IF(AND(DB800&gt;30,DB800&lt;=70),"31-70",IF(AND(DB800&gt;70,DB800&lt;=100),"71-100",IF(DB800&gt;100,"+100")))))</f>
        <v>1-30</v>
      </c>
      <c r="DD800">
        <v>0</v>
      </c>
      <c r="DE800">
        <v>1</v>
      </c>
      <c r="DF800">
        <v>1</v>
      </c>
      <c r="DG800">
        <v>1</v>
      </c>
      <c r="DI800">
        <f>SUM(DD800:DG800)</f>
        <v>3</v>
      </c>
      <c r="DJ800" t="str">
        <f>IF(DI800=1,INDEX($DD$7:$DG$7,MATCH(1,$DD800:$DG800,0)),"mixedProduct")</f>
        <v>mixedProduct</v>
      </c>
      <c r="DK800">
        <f>IF(DD800=1,DK$7,0)</f>
        <v>0</v>
      </c>
      <c r="DL800" t="str">
        <f>IF(DE800=1,DL$7,0)</f>
        <v>Energy</v>
      </c>
      <c r="DM800" t="str">
        <f>IF(DF800=1,DM$7,0)</f>
        <v>Pulp/Paper</v>
      </c>
      <c r="DN800" t="str">
        <f>IF(DG800=1,DN$7,0)</f>
        <v>Timber</v>
      </c>
      <c r="DO800">
        <v>0</v>
      </c>
      <c r="DP800">
        <v>1</v>
      </c>
      <c r="DQ800" t="s">
        <v>1411</v>
      </c>
      <c r="DR800" t="s">
        <v>1412</v>
      </c>
      <c r="DS800">
        <v>0</v>
      </c>
      <c r="DT800">
        <f>SUM(DO800:DP800)</f>
        <v>1</v>
      </c>
      <c r="DU800" s="143" t="str">
        <f>IF(DO800=1,"self-calculated DF",IF(DP800=1,"external DF used","explicit C balance"))</f>
        <v>external DF used</v>
      </c>
      <c r="DV800">
        <v>1</v>
      </c>
      <c r="DW800">
        <v>1</v>
      </c>
      <c r="DX800">
        <v>1</v>
      </c>
      <c r="DY800">
        <v>1</v>
      </c>
      <c r="DZ800">
        <v>0</v>
      </c>
      <c r="EA800" s="143">
        <v>1</v>
      </c>
      <c r="EB800">
        <v>0</v>
      </c>
      <c r="EC800">
        <v>1</v>
      </c>
      <c r="ED800">
        <v>0</v>
      </c>
      <c r="EE800">
        <v>0</v>
      </c>
      <c r="EF800">
        <v>1</v>
      </c>
      <c r="EG800" s="143">
        <v>0</v>
      </c>
      <c r="EH800" s="143">
        <v>0</v>
      </c>
      <c r="EI800" s="2">
        <v>0</v>
      </c>
      <c r="EK800" t="str">
        <f>IF(AND(AND(AND(OR($DX800=1,$DW800=1),OR($EC800=1,$EA800=1)),SUM($DV800:$DZ800,$EF800)&gt;=4),SUM($EA800:$EE800)&gt;=2),"Whole sector","")</f>
        <v>Whole sector</v>
      </c>
      <c r="EL800" t="str">
        <f>IF(AND(AND(OR($DX800=1,$DW800=1),AND($EC800=0,$EA800=0)),SUM($DV800:$DZ800,$EF800)&gt;=4),"Ecosystem approach","")</f>
        <v/>
      </c>
      <c r="EM800" s="2" t="str">
        <f>IF(AND(AND(AND($DX800=0,$DW800=0),OR($EC800=1,$EA800=1)),SUM($EB800:$EE800)&gt;=2),"Technology approach","")</f>
        <v/>
      </c>
      <c r="EP800" t="str">
        <f>IF(ISNUMBER(BU800),IF(ABS(BU800-[4]QC_indicators!$B$2)&gt;3*[4]QC_indicators!$C$2,"C ratio",IF(ISNUMBER(BY800),IF(ABS(BY800-[4]QC_indicators!$B$1)&gt;3*[4]QC_indicators!$C$1,"DF","no"))),IF(ISNUMBER(BY800),IF(ABS(BY800-[4]QC_indicators!$B$1)&gt;3*[4]QC_indicators!$C$1,"DF","no")))</f>
        <v>no</v>
      </c>
      <c r="EQ800" t="s">
        <v>286</v>
      </c>
      <c r="ER800" s="149" t="s">
        <v>349</v>
      </c>
      <c r="ET800" s="264" t="s">
        <v>3273</v>
      </c>
    </row>
    <row r="801" spans="1:151" ht="15" customHeight="1">
      <c r="A801" s="1" t="s">
        <v>587</v>
      </c>
      <c r="B801" t="s">
        <v>2360</v>
      </c>
      <c r="C801" t="s">
        <v>2361</v>
      </c>
      <c r="D801" t="s">
        <v>2362</v>
      </c>
      <c r="E801" t="s">
        <v>2363</v>
      </c>
      <c r="F801" t="s">
        <v>2364</v>
      </c>
      <c r="G801" t="s">
        <v>593</v>
      </c>
      <c r="H801" t="s">
        <v>254</v>
      </c>
      <c r="I801">
        <v>2016</v>
      </c>
      <c r="J801">
        <v>32</v>
      </c>
      <c r="K801" t="s">
        <v>2365</v>
      </c>
      <c r="M801" t="str">
        <f>LEFT($D801,FIND(",",$D801)-1)&amp;"_"&amp;I801&amp;L801</f>
        <v>Taskhiri_2016</v>
      </c>
      <c r="N801" t="s">
        <v>222</v>
      </c>
      <c r="O801" s="145" t="s">
        <v>1154</v>
      </c>
      <c r="Q801" t="s">
        <v>256</v>
      </c>
      <c r="R801" s="255" t="s">
        <v>223</v>
      </c>
      <c r="S801" s="1" t="s">
        <v>2366</v>
      </c>
      <c r="T801" t="s">
        <v>1308</v>
      </c>
      <c r="U801" s="264" t="s">
        <v>3102</v>
      </c>
      <c r="V801">
        <v>0</v>
      </c>
      <c r="W801">
        <v>0</v>
      </c>
      <c r="X801">
        <v>0</v>
      </c>
      <c r="Y801">
        <v>0</v>
      </c>
      <c r="Z801">
        <v>0</v>
      </c>
      <c r="AA801">
        <v>0</v>
      </c>
      <c r="AB801">
        <v>0</v>
      </c>
      <c r="AC801">
        <v>0</v>
      </c>
      <c r="AD801">
        <v>0</v>
      </c>
      <c r="AE801">
        <v>0</v>
      </c>
      <c r="AF801">
        <v>0</v>
      </c>
      <c r="AG801">
        <v>1</v>
      </c>
      <c r="AH801">
        <v>0</v>
      </c>
      <c r="AI801">
        <v>0</v>
      </c>
      <c r="AJ801">
        <v>0</v>
      </c>
      <c r="AK801">
        <v>0</v>
      </c>
      <c r="AL801">
        <v>0</v>
      </c>
      <c r="AM801">
        <v>0</v>
      </c>
      <c r="AN801">
        <v>0</v>
      </c>
      <c r="AO801">
        <v>0</v>
      </c>
      <c r="AP801">
        <v>0</v>
      </c>
      <c r="AQ801">
        <v>0</v>
      </c>
      <c r="AR801">
        <v>0</v>
      </c>
      <c r="AS801">
        <v>0</v>
      </c>
      <c r="AT801">
        <v>0</v>
      </c>
      <c r="AU801">
        <v>0</v>
      </c>
      <c r="AV801">
        <v>0</v>
      </c>
      <c r="AW801">
        <v>0</v>
      </c>
      <c r="AX801" s="141">
        <f>COUNTIF(V801:AW801,"&lt;&gt;0")</f>
        <v>1</v>
      </c>
      <c r="AY801" s="141">
        <f>COUNTIF(V801:AL801,"&lt;&gt;0")</f>
        <v>1</v>
      </c>
      <c r="AZ801">
        <f>COUNTIF(V801:AC801,"&lt;&gt;0")</f>
        <v>0</v>
      </c>
      <c r="BA801">
        <f>COUNTIF(AD801:AI801,"&lt;&gt;0")</f>
        <v>1</v>
      </c>
      <c r="BB801">
        <f>COUNTIF(AJ801:AL801,"&lt;&gt;0")</f>
        <v>0</v>
      </c>
      <c r="BC801">
        <f>COUNTIF(AS801:AW801,"&lt;&gt;0")</f>
        <v>0</v>
      </c>
      <c r="BD801">
        <f>COUNTIF(AM801:AR801,"&lt;&gt;0")</f>
        <v>0</v>
      </c>
      <c r="BE801" t="str">
        <f t="array" ref="BE801">IF(AY801=1,INDEX($V$7:$AL$7,MATCH(TRUE,INDEX($V801:$AW801&lt;&gt;0,),0)),IF(AY801=0,INDEX($AM$7:$AW$7,MATCH(1,$AM801:$AW801,0)),IF(BF801="Multiple strategies","mixed drivers",IF(BF801="Supply chain","multiple supply","multiple silviculture"))))</f>
        <v>recycling</v>
      </c>
      <c r="BF801" s="2" t="str" cm="1">
        <f t="array" ref="BF801">IF(COUNTIF(AZ801:BB801,"&lt;&gt;0")=1,INDEX($V$4:$AW$4,MATCH(TRUE,INDEX($V801:$AW801&lt;&gt;0,),0)),IF(COUNTIF(AZ801:BB801,"&lt;&gt;0")=0,INDEX($AM$4:$AW$4,MATCH(1,$AM801:$AW801,0)),"Multiple strategies"))</f>
        <v>Supply chain</v>
      </c>
      <c r="BG801" s="1" t="s">
        <v>229</v>
      </c>
      <c r="BH801" t="s">
        <v>2367</v>
      </c>
      <c r="BI801" s="264" t="s">
        <v>3099</v>
      </c>
      <c r="BJ801" t="s">
        <v>1323</v>
      </c>
      <c r="BK801">
        <v>0</v>
      </c>
      <c r="BL801">
        <v>5.0000000000000001E-3</v>
      </c>
      <c r="BM801" s="143" t="e">
        <f>BL801/BK801</f>
        <v>#DIV/0!</v>
      </c>
      <c r="BN801">
        <f>BL801-BK801</f>
        <v>5.0000000000000001E-3</v>
      </c>
      <c r="BO801">
        <f>BN801*10^6</f>
        <v>5000</v>
      </c>
      <c r="BP801" t="s">
        <v>232</v>
      </c>
      <c r="BQ801" s="267" t="s">
        <v>783</v>
      </c>
      <c r="BR801" t="s">
        <v>1195</v>
      </c>
      <c r="BS801" s="198">
        <v>-32092.528180728899</v>
      </c>
      <c r="BT801" s="198">
        <v>-29322.470132498798</v>
      </c>
      <c r="BU801" s="144">
        <f>IFERROR(BT801/BS801,"")</f>
        <v>0.9136852655350014</v>
      </c>
      <c r="BV801" s="144">
        <f>BT801-BS801</f>
        <v>2770.0580482301011</v>
      </c>
      <c r="BW801" s="144"/>
      <c r="BX801" s="144">
        <f>BV801</f>
        <v>2770.0580482301011</v>
      </c>
      <c r="BY801">
        <f>IFERROR(BX801/BO801,"")</f>
        <v>0.55401160964602025</v>
      </c>
      <c r="BZ801">
        <v>0</v>
      </c>
      <c r="CA801">
        <v>0</v>
      </c>
      <c r="CB801">
        <v>0</v>
      </c>
      <c r="CC801">
        <v>0</v>
      </c>
      <c r="CD801">
        <v>0</v>
      </c>
      <c r="CE801">
        <v>0</v>
      </c>
      <c r="CF801">
        <v>0</v>
      </c>
      <c r="CG801">
        <v>0</v>
      </c>
      <c r="CH801">
        <v>0</v>
      </c>
      <c r="CI801">
        <v>0</v>
      </c>
      <c r="CJ801">
        <v>0</v>
      </c>
      <c r="CK801">
        <v>0</v>
      </c>
      <c r="CL801">
        <v>0</v>
      </c>
      <c r="CM801">
        <v>1</v>
      </c>
      <c r="CN801" t="str">
        <f>IF($BL801&lt;$BK801,"refNeedCorrection","refOK")</f>
        <v>refOK</v>
      </c>
      <c r="CO801">
        <f>IF($CN801="refOK",$BK801,$BL801)</f>
        <v>0</v>
      </c>
      <c r="CP801">
        <f>IF($CN801="refOK",$BL801,$BK801)</f>
        <v>5.0000000000000001E-3</v>
      </c>
      <c r="CQ801">
        <f>IF($CN801="refOK",$BO801,-$BO801)</f>
        <v>5000</v>
      </c>
      <c r="CR801">
        <f>IF($CN801="refOK",$BS801,$BT801)*IF($BP801="Emissions positive",-1,1)</f>
        <v>-32092.528180728899</v>
      </c>
      <c r="CS801">
        <f>IF($CN801="refOK",$BT801,$BS801)*IF($BP801="Emissions positive",-1,1)</f>
        <v>-29322.470132498798</v>
      </c>
      <c r="CT801">
        <f>IF($CN801="refNeedCorrection",-BX801,BX801)*IF($BP801="Emissions positive",-1,1)</f>
        <v>2770.0580482301011</v>
      </c>
      <c r="CU801">
        <f>IFERROR(CT801/CQ801,"")</f>
        <v>0.55401160964602025</v>
      </c>
      <c r="CV801" s="2">
        <f>IFERROR((CS801-CR801)/ABS(CR801),"")</f>
        <v>8.6314734464998655E-2</v>
      </c>
      <c r="CW801" s="1" t="s">
        <v>1199</v>
      </c>
      <c r="CX801" t="str">
        <f>IF(OR($CW801="prd",$CW801="std",$CW801="cit"),"loc",IF(OR($CW801="eur",$CW801="reg",$CW801="coy"),"reg",$CW801))</f>
        <v>reg</v>
      </c>
      <c r="CY801" t="s">
        <v>1301</v>
      </c>
      <c r="DB801">
        <v>0</v>
      </c>
      <c r="DC801" t="str">
        <f>IF(DB801=0,"0",IF(AND(DB801&gt;=1,DB801&lt;=30),"1-30",IF(AND(DB801&gt;30,DB801&lt;=70),"31-70",IF(AND(DB801&gt;70,DB801&lt;=100),"71-100",IF(DB801&gt;100,"+100")))))</f>
        <v>0</v>
      </c>
      <c r="DD801">
        <v>0</v>
      </c>
      <c r="DE801">
        <v>0</v>
      </c>
      <c r="DF801">
        <v>1</v>
      </c>
      <c r="DG801">
        <v>0</v>
      </c>
      <c r="DI801">
        <f>SUM(DD801:DG801)</f>
        <v>1</v>
      </c>
      <c r="DJ801" t="str">
        <f>IF(DI801=1,INDEX($DD$7:$DG$7,MATCH(1,$DD801:$DG801,0)),"mixedProduct")</f>
        <v>PulpPaperInput</v>
      </c>
      <c r="DK801">
        <f>IF(DD801=1,DK$7,0)</f>
        <v>0</v>
      </c>
      <c r="DL801">
        <f>IF(DE801=1,DL$7,0)</f>
        <v>0</v>
      </c>
      <c r="DM801" t="str">
        <f>IF(DF801=1,DM$7,0)</f>
        <v>Pulp/Paper</v>
      </c>
      <c r="DN801">
        <f>IF(DG801=1,DN$7,0)</f>
        <v>0</v>
      </c>
      <c r="DO801">
        <v>0</v>
      </c>
      <c r="DP801">
        <v>0</v>
      </c>
      <c r="DQ801">
        <v>0</v>
      </c>
      <c r="DR801">
        <v>0</v>
      </c>
      <c r="DS801">
        <v>0</v>
      </c>
      <c r="DT801">
        <f>SUM(DO801:DP801)</f>
        <v>0</v>
      </c>
      <c r="DU801" s="143" t="str">
        <f>IF(DO801=1,"self-calculated DF",IF(DP801=1,"external DF used","explicit C balance"))</f>
        <v>explicit C balance</v>
      </c>
      <c r="DV801">
        <v>0</v>
      </c>
      <c r="DW801">
        <v>0</v>
      </c>
      <c r="DX801">
        <v>0</v>
      </c>
      <c r="DY801">
        <v>0</v>
      </c>
      <c r="DZ801">
        <v>0</v>
      </c>
      <c r="EA801" s="143">
        <v>0</v>
      </c>
      <c r="EB801">
        <v>1</v>
      </c>
      <c r="EC801">
        <v>1</v>
      </c>
      <c r="ED801">
        <v>0</v>
      </c>
      <c r="EE801">
        <v>0</v>
      </c>
      <c r="EF801">
        <v>0</v>
      </c>
      <c r="EG801">
        <v>0</v>
      </c>
      <c r="EH801">
        <v>0</v>
      </c>
      <c r="EI801" s="2">
        <v>0</v>
      </c>
      <c r="EK801" t="str">
        <f>IF(AND(AND(AND(OR($DX801=1,$DW801=1),OR($EC801=1,$EA801=1)),SUM($DV801:$DZ801,$EF801)&gt;=4),SUM($EA801:$EE801)&gt;=2),"Whole sector","")</f>
        <v/>
      </c>
      <c r="EL801" t="str">
        <f>IF(AND(AND(OR($DX801=1,$DW801=1),AND($EC801=0,$EA801=0)),SUM($DV801:$DZ801,$EF801)&gt;=4),"Ecosystem approach","")</f>
        <v/>
      </c>
      <c r="EM801" s="2" t="str">
        <f>IF(AND(AND(AND($DX801=0,$DW801=0),OR($EC801=1,$EA801=1)),SUM($EB801:$EE801)&gt;=2),"Technology approach","")</f>
        <v>Technology approach</v>
      </c>
      <c r="EP801" t="str">
        <f>IF(ISNUMBER(BU801),IF(ABS(BU801-[1]QC_indicators!$B$2)&gt;3*[1]QC_indicators!$C$2,"C ratio",IF(ISNUMBER(BY801),IF(ABS(BY801-[1]QC_indicators!$B$1)&gt;3*[1]QC_indicators!$C$1,"DF","no"))),IF(ISNUMBER(BY801),IF(ABS(BY801-[1]QC_indicators!$B$1)&gt;3*[1]QC_indicators!$C$1,"DF","no")))</f>
        <v>no</v>
      </c>
      <c r="ET801" s="264" t="s">
        <v>3104</v>
      </c>
    </row>
    <row r="802" spans="1:151" ht="15" customHeight="1">
      <c r="A802" s="1" t="s">
        <v>333</v>
      </c>
      <c r="B802" t="s">
        <v>334</v>
      </c>
      <c r="C802" t="s">
        <v>335</v>
      </c>
      <c r="D802" t="s">
        <v>336</v>
      </c>
      <c r="E802" t="s">
        <v>337</v>
      </c>
      <c r="F802" t="s">
        <v>338</v>
      </c>
      <c r="G802" t="s">
        <v>339</v>
      </c>
      <c r="I802">
        <v>2017</v>
      </c>
      <c r="K802" t="s">
        <v>340</v>
      </c>
      <c r="M802" t="str">
        <f>LEFT($D802,FIND(",",$D802)-1)&amp;"_"&amp;I802&amp;L802</f>
        <v>Balasbaneh_2017</v>
      </c>
      <c r="N802" t="s">
        <v>222</v>
      </c>
      <c r="O802" s="140" t="s">
        <v>341</v>
      </c>
      <c r="Q802" t="s">
        <v>224</v>
      </c>
      <c r="R802" s="262" t="s">
        <v>223</v>
      </c>
      <c r="S802" s="1" t="s">
        <v>379</v>
      </c>
      <c r="T802" t="s">
        <v>371</v>
      </c>
      <c r="U802" t="s">
        <v>351</v>
      </c>
      <c r="V802">
        <v>0</v>
      </c>
      <c r="W802">
        <v>0</v>
      </c>
      <c r="X802">
        <v>0</v>
      </c>
      <c r="Y802">
        <v>0</v>
      </c>
      <c r="Z802">
        <v>0</v>
      </c>
      <c r="AA802">
        <v>0</v>
      </c>
      <c r="AB802">
        <v>0</v>
      </c>
      <c r="AC802">
        <v>0</v>
      </c>
      <c r="AD802">
        <v>0</v>
      </c>
      <c r="AE802">
        <v>0</v>
      </c>
      <c r="AF802">
        <v>0</v>
      </c>
      <c r="AG802">
        <v>0</v>
      </c>
      <c r="AH802">
        <v>0</v>
      </c>
      <c r="AI802">
        <v>0</v>
      </c>
      <c r="AJ802">
        <v>0</v>
      </c>
      <c r="AK802">
        <v>1</v>
      </c>
      <c r="AL802">
        <v>0</v>
      </c>
      <c r="AM802">
        <v>0</v>
      </c>
      <c r="AN802">
        <v>0</v>
      </c>
      <c r="AO802">
        <v>0</v>
      </c>
      <c r="AP802">
        <v>0</v>
      </c>
      <c r="AQ802">
        <v>0</v>
      </c>
      <c r="AR802">
        <v>0</v>
      </c>
      <c r="AS802">
        <v>0</v>
      </c>
      <c r="AT802">
        <v>0</v>
      </c>
      <c r="AU802">
        <v>0</v>
      </c>
      <c r="AV802">
        <v>0</v>
      </c>
      <c r="AW802">
        <v>0</v>
      </c>
      <c r="AX802" s="141">
        <f>COUNTIF(V802:AW802,"&lt;&gt;0")</f>
        <v>1</v>
      </c>
      <c r="AY802" s="141">
        <f>COUNTIF(V802:AL802,"&lt;&gt;0")</f>
        <v>1</v>
      </c>
      <c r="AZ802">
        <f>COUNTIF(V802:AC802,"&lt;&gt;0")</f>
        <v>0</v>
      </c>
      <c r="BA802">
        <f>COUNTIF(AD802:AI802,"&lt;&gt;0")</f>
        <v>0</v>
      </c>
      <c r="BB802">
        <f>COUNTIF(AJ802:AL802,"&lt;&gt;0")</f>
        <v>1</v>
      </c>
      <c r="BC802">
        <f>COUNTIF(AS802:AW802,"&lt;&gt;0")</f>
        <v>0</v>
      </c>
      <c r="BD802">
        <f>COUNTIF(AM802:AR802,"&lt;&gt;0")</f>
        <v>0</v>
      </c>
      <c r="BE802" t="str">
        <f t="array" ref="BE802">IF(AY802=1,INDEX($V$7:$AL$7,MATCH(TRUE,INDEX($V802:$AW802&lt;&gt;0,),0)),IF(AY802=0,INDEX($AM$7:$AW$7,MATCH(1,$AM802:$AW802,0)),IF(BF802="Multiple strategies","mixed drivers",IF(BF802="Supply chain","multiple supply","multiple silviculture"))))</f>
        <v>technologies/design switch</v>
      </c>
      <c r="BF802" s="2" t="str" cm="1">
        <f t="array" ref="BF802">IF(COUNTIF(AZ802:BB802,"&lt;&gt;0")=1,INDEX($V$4:$AW$4,MATCH(TRUE,INDEX($V802:$AW802&lt;&gt;0,),0)),IF(COUNTIF(AZ802:BB802,"&lt;&gt;0")=0,INDEX($AM$4:$AW$4,MATCH(1,$AM802:$AW802,0)),"Multiple strategies"))</f>
        <v>Technology</v>
      </c>
      <c r="BG802" s="1" t="s">
        <v>229</v>
      </c>
      <c r="BH802" t="s">
        <v>229</v>
      </c>
      <c r="BI802" s="264" t="s">
        <v>410</v>
      </c>
      <c r="BJ802" t="s">
        <v>345</v>
      </c>
      <c r="BK802">
        <v>0</v>
      </c>
      <c r="BL802">
        <v>23500</v>
      </c>
      <c r="BM802" s="143"/>
      <c r="BN802">
        <f>BL802-BK802</f>
        <v>23500</v>
      </c>
      <c r="BO802" s="143">
        <f>BN802*kg_to_m3</f>
        <v>47.95918367346939</v>
      </c>
      <c r="BP802" t="s">
        <v>232</v>
      </c>
      <c r="BQ802" s="335" t="s">
        <v>396</v>
      </c>
      <c r="BR802" t="s">
        <v>346</v>
      </c>
      <c r="BS802">
        <v>-32500</v>
      </c>
      <c r="BT802">
        <v>-5830</v>
      </c>
      <c r="BU802" s="144">
        <v>0.17938461538461539</v>
      </c>
      <c r="BV802">
        <f>BT802-BS802</f>
        <v>26670</v>
      </c>
      <c r="BX802">
        <f>BV802/1000</f>
        <v>26.67</v>
      </c>
      <c r="BY802">
        <f>IFERROR(BX802/BO802,"")</f>
        <v>0.55609787234042551</v>
      </c>
      <c r="BZ802">
        <v>0</v>
      </c>
      <c r="CA802">
        <v>0</v>
      </c>
      <c r="CB802">
        <v>0</v>
      </c>
      <c r="CC802">
        <v>0</v>
      </c>
      <c r="CD802">
        <v>0</v>
      </c>
      <c r="CE802">
        <v>0</v>
      </c>
      <c r="CF802">
        <v>0</v>
      </c>
      <c r="CG802">
        <v>0</v>
      </c>
      <c r="CH802">
        <v>0</v>
      </c>
      <c r="CI802">
        <v>0</v>
      </c>
      <c r="CJ802">
        <v>0</v>
      </c>
      <c r="CK802">
        <v>0</v>
      </c>
      <c r="CL802">
        <v>0</v>
      </c>
      <c r="CM802">
        <v>0</v>
      </c>
      <c r="CN802" t="str">
        <f>IF($BL802&lt;$BK802,"refNeedCorrection","refOK")</f>
        <v>refOK</v>
      </c>
      <c r="CO802">
        <f>IF($CN802="refNeedCorrection",BL802,BK802)</f>
        <v>0</v>
      </c>
      <c r="CP802">
        <f>IF($CN802="refNeedCorrection",BK802,BL802)</f>
        <v>23500</v>
      </c>
      <c r="CQ802">
        <f>IF($CN802="refOK",$BO802,-$BO802)</f>
        <v>47.95918367346939</v>
      </c>
      <c r="CR802">
        <f>IF($CN802="refOK",$BS802,$BT802)*IF($BP802="Emissions positive",-1,1)</f>
        <v>-32500</v>
      </c>
      <c r="CS802">
        <f>IF($CN802="refOK",$BT802,$BS802)*IF($BP802="Emissions positive",-1,1)</f>
        <v>-5830</v>
      </c>
      <c r="CT802">
        <f>IF($CN802="refNeedCorrection",-BX802,BX802)*IF($BP802="Emissions positive",-1,1)</f>
        <v>26.67</v>
      </c>
      <c r="CU802">
        <f>IFERROR(CT802/CQ802,"")</f>
        <v>0.55609787234042551</v>
      </c>
      <c r="CV802" s="2">
        <f>IFERROR((CS802-CR802)/ABS(CR802),"")</f>
        <v>0.82061538461538464</v>
      </c>
      <c r="CW802" s="1" t="s">
        <v>347</v>
      </c>
      <c r="CX802" t="str">
        <f>IF(OR($CW802="prd",$CW802="std",$CW802="cit"),"loc",IF(OR($CW802="eur",$CW802="reg",$CW802="coy"),"reg",$CW802))</f>
        <v>loc</v>
      </c>
      <c r="CY802" t="s">
        <v>348</v>
      </c>
      <c r="CZ802">
        <v>2014</v>
      </c>
      <c r="DA802">
        <v>2114</v>
      </c>
      <c r="DB802">
        <v>100</v>
      </c>
      <c r="DC802" t="str">
        <f>IF(DB802=0,"0",IF(AND(DB802&gt;=1,DB802&lt;=30),"1-30",IF(AND(DB802&gt;30,DB802&lt;=70),"31-70",IF(AND(DB802&gt;70,DB802&lt;=100),"71-100",IF(DB802&gt;100,"+100")))))</f>
        <v>71-100</v>
      </c>
      <c r="DD802">
        <v>0</v>
      </c>
      <c r="DE802">
        <v>0</v>
      </c>
      <c r="DF802">
        <v>0</v>
      </c>
      <c r="DG802">
        <v>1</v>
      </c>
      <c r="DI802">
        <f>SUM(DD802:DG802)</f>
        <v>1</v>
      </c>
      <c r="DJ802" t="str">
        <f>IF(DI802=1,INDEX($DD$7:$DG$7,MATCH(1,$DD802:$DG802,0)),"mixedProduct")</f>
        <v>TimberInput</v>
      </c>
      <c r="DK802">
        <f>IF(DD802=1,DK$7,0)</f>
        <v>0</v>
      </c>
      <c r="DL802">
        <f>IF(DE802=1,DL$7,0)</f>
        <v>0</v>
      </c>
      <c r="DM802">
        <f>IF(DF802=1,DM$7,0)</f>
        <v>0</v>
      </c>
      <c r="DN802" t="str">
        <f>IF(DG802=1,DN$7,0)</f>
        <v>Timber</v>
      </c>
      <c r="DO802">
        <v>0</v>
      </c>
      <c r="DP802">
        <v>0</v>
      </c>
      <c r="DQ802">
        <v>0</v>
      </c>
      <c r="DR802">
        <v>0</v>
      </c>
      <c r="DS802">
        <v>0</v>
      </c>
      <c r="DT802">
        <f>SUM(DO802:DP802)</f>
        <v>0</v>
      </c>
      <c r="DU802" s="143" t="str">
        <f>IF(DO802=1,"self-calculated DF",IF(DP802=1,"external DF used","explicit C balance"))</f>
        <v>explicit C balance</v>
      </c>
      <c r="DV802">
        <v>0</v>
      </c>
      <c r="DW802">
        <v>0</v>
      </c>
      <c r="DX802">
        <v>0</v>
      </c>
      <c r="DY802">
        <v>1</v>
      </c>
      <c r="DZ802">
        <v>0</v>
      </c>
      <c r="EA802" s="143">
        <v>1</v>
      </c>
      <c r="EB802">
        <v>0</v>
      </c>
      <c r="EC802">
        <v>1</v>
      </c>
      <c r="ED802">
        <v>1</v>
      </c>
      <c r="EE802">
        <v>1</v>
      </c>
      <c r="EF802">
        <v>0</v>
      </c>
      <c r="EG802">
        <v>0</v>
      </c>
      <c r="EH802">
        <v>0</v>
      </c>
      <c r="EI802" s="2">
        <v>0</v>
      </c>
      <c r="EK802" t="str">
        <f>IF(AND(AND(AND(OR($DX802=1,$DW802=1),OR($EC802=1,$EA802=1)),SUM($DV802:$DZ802,$EF802)&gt;=4),SUM($EA802:$EE802)&gt;=2),"Whole sector","")</f>
        <v/>
      </c>
      <c r="EL802" t="str">
        <f>IF(AND(AND(OR($DX802=1,$DW802=1),AND($EC802=0,$EA802=0)),SUM($DV802:$DZ802,$EF802)&gt;=4),"Ecosystem approach","")</f>
        <v/>
      </c>
      <c r="EM802" s="2" t="str">
        <f>IF(AND(AND(AND($DX802=0,$DW802=0),OR($EC802=1,$EA802=1)),SUM($EB802:$EE802)&gt;=2),"Technology approach","")</f>
        <v>Technology approach</v>
      </c>
      <c r="EP802" t="str">
        <f>IF(ISNUMBER(BU802),IF(ABS(BU802-[1]QC_indicators!$B$2)&gt;3*[1]QC_indicators!$C$2,"C ratio",IF(ISNUMBER(BY802),IF(ABS(BY802-[1]QC_indicators!$B$1)&gt;3*[1]QC_indicators!$C$1,"DF","no"))),IF(ISNUMBER(BY802),IF(ABS(BY802-[1]QC_indicators!$B$1)&gt;3*[1]QC_indicators!$C$1,"DF","no")))</f>
        <v>no</v>
      </c>
      <c r="ER802" s="149" t="s">
        <v>349</v>
      </c>
      <c r="ET802" s="264" t="s">
        <v>3273</v>
      </c>
    </row>
    <row r="803" spans="1:151" ht="15" customHeight="1">
      <c r="A803" s="1" t="s">
        <v>430</v>
      </c>
      <c r="B803" t="s">
        <v>431</v>
      </c>
      <c r="C803" t="s">
        <v>432</v>
      </c>
      <c r="D803" t="s">
        <v>433</v>
      </c>
      <c r="E803" t="s">
        <v>434</v>
      </c>
      <c r="F803" t="s">
        <v>435</v>
      </c>
      <c r="G803" t="s">
        <v>436</v>
      </c>
      <c r="H803" t="s">
        <v>254</v>
      </c>
      <c r="I803">
        <v>2000</v>
      </c>
      <c r="J803">
        <v>174</v>
      </c>
      <c r="K803" t="s">
        <v>437</v>
      </c>
      <c r="M803" t="str">
        <f>LEFT($D803,FIND(",",$D803)-1)&amp;"_"&amp;I803&amp;L803</f>
        <v>Borjesson_2000</v>
      </c>
      <c r="N803" t="s">
        <v>222</v>
      </c>
      <c r="O803" s="145" t="s">
        <v>223</v>
      </c>
      <c r="Q803" t="s">
        <v>256</v>
      </c>
      <c r="R803" s="255" t="s">
        <v>225</v>
      </c>
      <c r="S803" s="1" t="s">
        <v>438</v>
      </c>
      <c r="T803" t="s">
        <v>447</v>
      </c>
      <c r="U803" t="s">
        <v>456</v>
      </c>
      <c r="V803">
        <v>0</v>
      </c>
      <c r="W803">
        <v>0</v>
      </c>
      <c r="X803">
        <v>0</v>
      </c>
      <c r="Y803">
        <v>0</v>
      </c>
      <c r="Z803">
        <v>0</v>
      </c>
      <c r="AA803">
        <v>0</v>
      </c>
      <c r="AB803">
        <v>0</v>
      </c>
      <c r="AC803">
        <v>0</v>
      </c>
      <c r="AD803">
        <v>0</v>
      </c>
      <c r="AE803">
        <v>0</v>
      </c>
      <c r="AF803">
        <v>0</v>
      </c>
      <c r="AG803">
        <v>0</v>
      </c>
      <c r="AH803">
        <v>0</v>
      </c>
      <c r="AI803">
        <v>0</v>
      </c>
      <c r="AJ803">
        <v>0</v>
      </c>
      <c r="AK803">
        <v>1</v>
      </c>
      <c r="AL803">
        <v>0</v>
      </c>
      <c r="AM803">
        <v>0</v>
      </c>
      <c r="AN803">
        <v>0</v>
      </c>
      <c r="AO803">
        <v>0</v>
      </c>
      <c r="AP803">
        <v>0</v>
      </c>
      <c r="AQ803">
        <v>0</v>
      </c>
      <c r="AR803">
        <v>0</v>
      </c>
      <c r="AS803">
        <v>0</v>
      </c>
      <c r="AT803">
        <v>0</v>
      </c>
      <c r="AU803">
        <v>0</v>
      </c>
      <c r="AV803">
        <v>0</v>
      </c>
      <c r="AW803">
        <v>0</v>
      </c>
      <c r="AX803" s="141">
        <f>COUNTIF(V803:AW803,"&lt;&gt;0")</f>
        <v>1</v>
      </c>
      <c r="AY803" s="141">
        <f>COUNTIF(V803:AL803,"&lt;&gt;0")</f>
        <v>1</v>
      </c>
      <c r="AZ803">
        <f>COUNTIF(V803:AC803,"&lt;&gt;0")</f>
        <v>0</v>
      </c>
      <c r="BA803">
        <f>COUNTIF(AD803:AI803,"&lt;&gt;0")</f>
        <v>0</v>
      </c>
      <c r="BB803">
        <f>COUNTIF(AJ803:AL803,"&lt;&gt;0")</f>
        <v>1</v>
      </c>
      <c r="BC803">
        <f>COUNTIF(AS803:AW803,"&lt;&gt;0")</f>
        <v>0</v>
      </c>
      <c r="BD803">
        <f>COUNTIF(AM803:AR803,"&lt;&gt;0")</f>
        <v>0</v>
      </c>
      <c r="BE803" t="str">
        <f t="array" ref="BE803">IF(AY803=1,INDEX($V$7:$AL$7,MATCH(TRUE,INDEX($V803:$AW803&lt;&gt;0,),0)),IF(AY803=0,INDEX($AM$7:$AW$7,MATCH(1,$AM803:$AW803,0)),IF(BF803="Multiple strategies","mixed drivers",IF(BF803="Supply chain","multiple supply","multiple silviculture"))))</f>
        <v>technologies/design switch</v>
      </c>
      <c r="BF803" s="2" t="str" cm="1">
        <f t="array" ref="BF803">IF(COUNTIF(AZ803:BB803,"&lt;&gt;0")=1,INDEX($V$4:$AW$4,MATCH(TRUE,INDEX($V803:$AW803&lt;&gt;0,),0)),IF(COUNTIF(AZ803:BB803,"&lt;&gt;0")=0,INDEX($AM$4:$AW$4,MATCH(1,$AM803:$AW803,0)),"Multiple strategies"))</f>
        <v>Technology</v>
      </c>
      <c r="BG803" s="142" t="s">
        <v>229</v>
      </c>
      <c r="BH803" t="s">
        <v>441</v>
      </c>
      <c r="BI803" s="264" t="s">
        <v>3274</v>
      </c>
      <c r="BJ803" s="143" t="s">
        <v>442</v>
      </c>
      <c r="BK803">
        <v>0</v>
      </c>
      <c r="BL803">
        <f>3*44</f>
        <v>132</v>
      </c>
      <c r="BM803" s="143" t="e">
        <f>BL803/BK803</f>
        <v>#DIV/0!</v>
      </c>
      <c r="BN803">
        <f>BL803-BK803</f>
        <v>132</v>
      </c>
      <c r="BO803">
        <f>BN803*tC_to_m3</f>
        <v>573.16543638732094</v>
      </c>
      <c r="BP803" t="s">
        <v>232</v>
      </c>
      <c r="BQ803" s="260" t="s">
        <v>813</v>
      </c>
      <c r="BR803" t="s">
        <v>443</v>
      </c>
      <c r="BS803" s="141">
        <v>6</v>
      </c>
      <c r="BT803" s="141">
        <v>93</v>
      </c>
      <c r="BU803" s="144">
        <f>IFERROR(BT803/BS803,"")</f>
        <v>15.5</v>
      </c>
      <c r="BV803">
        <f>BT803-BS803</f>
        <v>87</v>
      </c>
      <c r="BX803">
        <f>BV803*C_to_CO2</f>
        <v>319.29000000000002</v>
      </c>
      <c r="BY803">
        <f>IFERROR(BX803/BO803,"")</f>
        <v>0.55706429545454539</v>
      </c>
      <c r="BZ803" s="143">
        <v>0</v>
      </c>
      <c r="CA803" s="143">
        <v>0</v>
      </c>
      <c r="CB803" s="143">
        <v>0</v>
      </c>
      <c r="CC803" s="143">
        <v>0</v>
      </c>
      <c r="CD803" s="143">
        <v>0</v>
      </c>
      <c r="CE803" s="143">
        <v>0</v>
      </c>
      <c r="CF803" s="143">
        <v>0</v>
      </c>
      <c r="CG803" s="143">
        <v>0</v>
      </c>
      <c r="CH803" s="143">
        <v>0</v>
      </c>
      <c r="CI803" s="143">
        <v>0</v>
      </c>
      <c r="CJ803" s="143">
        <v>0</v>
      </c>
      <c r="CK803" s="143">
        <v>0</v>
      </c>
      <c r="CL803" s="143">
        <v>0</v>
      </c>
      <c r="CM803">
        <v>0</v>
      </c>
      <c r="CN803" t="str">
        <f>IF($BL803&lt;$BK803,"refNeedCorrection","refOK")</f>
        <v>refOK</v>
      </c>
      <c r="CO803">
        <f>IF($CN803="refOK",$BK803,$BL803)</f>
        <v>0</v>
      </c>
      <c r="CP803">
        <f>IF($CN803="refOK",$BL803,$BK803)</f>
        <v>132</v>
      </c>
      <c r="CQ803">
        <f>IF($CN803="refOK",$BO803,-$BO803)</f>
        <v>573.16543638732094</v>
      </c>
      <c r="CR803">
        <f>IF($CN803="refOK",$BS803,$BT803)*IF($BP803="Emissions positive",-1,1)</f>
        <v>6</v>
      </c>
      <c r="CS803">
        <f>IF($CN803="refOK",$BT803,$BS803)*IF($BP803="Emissions positive",-1,1)</f>
        <v>93</v>
      </c>
      <c r="CT803">
        <f>IF($CN803="refNeedCorrection",-BX803,BX803)*IF($BP803="Emissions positive",-1,1)</f>
        <v>319.29000000000002</v>
      </c>
      <c r="CU803">
        <f>IFERROR(CT803/CQ803,"")</f>
        <v>0.55706429545454539</v>
      </c>
      <c r="CV803" s="2">
        <f>IFERROR((CS803-CR803)/ABS(CR803),"")</f>
        <v>14.5</v>
      </c>
      <c r="CW803" s="1" t="s">
        <v>263</v>
      </c>
      <c r="CX803" t="str">
        <f>IF(OR($CW803="prd",$CW803="std",$CW803="cit"),"loc",IF(OR($CW803="eur",$CW803="reg",$CW803="coy"),"reg",$CW803))</f>
        <v>loc</v>
      </c>
      <c r="CY803" t="s">
        <v>444</v>
      </c>
      <c r="DB803">
        <v>300</v>
      </c>
      <c r="DC803" t="str">
        <f>IF(DB803=0,"0",IF(AND(DB803&gt;=1,DB803&lt;=30),"1-30",IF(AND(DB803&gt;30,DB803&lt;=70),"31-70",IF(AND(DB803&gt;70,DB803&lt;=100),"71-100",IF(DB803&gt;100,"+100")))))</f>
        <v>+100</v>
      </c>
      <c r="DD803">
        <v>0</v>
      </c>
      <c r="DE803">
        <v>0</v>
      </c>
      <c r="DF803">
        <v>0</v>
      </c>
      <c r="DG803">
        <v>1</v>
      </c>
      <c r="DI803">
        <f>SUM(DD803:DG803)</f>
        <v>1</v>
      </c>
      <c r="DJ803" t="str">
        <f>IF(DI803=1,INDEX($DD$7:$DG$7,MATCH(1,$DD803:$DG803,0)),"mixedProduct")</f>
        <v>TimberInput</v>
      </c>
      <c r="DK803">
        <f>IF(DD803=1,DK$7,0)</f>
        <v>0</v>
      </c>
      <c r="DL803">
        <f>IF(DE803=1,DL$7,0)</f>
        <v>0</v>
      </c>
      <c r="DM803">
        <f>IF(DF803=1,DM$7,0)</f>
        <v>0</v>
      </c>
      <c r="DN803" t="str">
        <f>IF(DG803=1,DN$7,0)</f>
        <v>Timber</v>
      </c>
      <c r="DO803">
        <v>1</v>
      </c>
      <c r="DP803" s="143">
        <v>0</v>
      </c>
      <c r="DQ803" s="143">
        <v>0</v>
      </c>
      <c r="DR803" s="143">
        <v>0</v>
      </c>
      <c r="DS803">
        <v>0</v>
      </c>
      <c r="DT803">
        <f>SUM(DO803:DP803)</f>
        <v>1</v>
      </c>
      <c r="DU803" s="143" t="str">
        <f>IF(DO803=1,"self-calculated DF",IF(DP803=1,"external DF used","explicit C balance"))</f>
        <v>self-calculated DF</v>
      </c>
      <c r="DV803">
        <v>0</v>
      </c>
      <c r="DW803" s="143">
        <v>0</v>
      </c>
      <c r="DX803" s="143">
        <v>1</v>
      </c>
      <c r="DY803" s="143">
        <v>1</v>
      </c>
      <c r="DZ803">
        <v>1</v>
      </c>
      <c r="EA803" s="143">
        <v>1</v>
      </c>
      <c r="EB803">
        <v>0</v>
      </c>
      <c r="EC803" s="143">
        <v>1</v>
      </c>
      <c r="ED803" s="143">
        <v>0</v>
      </c>
      <c r="EE803">
        <v>0</v>
      </c>
      <c r="EF803">
        <v>0</v>
      </c>
      <c r="EG803" s="143">
        <v>0</v>
      </c>
      <c r="EH803" s="143">
        <v>0</v>
      </c>
      <c r="EI803" s="2">
        <v>0</v>
      </c>
      <c r="EK803" t="str">
        <f>IF(AND(AND(AND(OR($DX803=1,$DW803=1),OR($EC803=1,$EA803=1)),SUM($DV803:$DZ803,$EF803)&gt;=4),SUM($EA803:$EE803)&gt;=2),"Whole sector","")</f>
        <v/>
      </c>
      <c r="EL803" t="str">
        <f>IF(AND(AND(OR($DX803=1,$DW803=1),AND($EC803=0,$EA803=0)),SUM($DV803:$DZ803,$EF803)&gt;=4),"Ecosystem approach","")</f>
        <v/>
      </c>
      <c r="EM803" s="2" t="str">
        <f>IF(AND(AND(AND($DX803=0,$DW803=0),OR($EC803=1,$EA803=1)),SUM($EB803:$EE803)&gt;=2),"Technology approach","")</f>
        <v/>
      </c>
      <c r="EN803" t="s">
        <v>445</v>
      </c>
      <c r="EP803" t="str">
        <f>IF(ISNUMBER(BU803),IF(ABS(BU803-[4]QC_indicators!$B$2)&gt;3*[4]QC_indicators!$C$2,"C ratio",IF(ISNUMBER(BY803),IF(ABS(BY803-[4]QC_indicators!$B$1)&gt;3*[4]QC_indicators!$C$1,"DF","no"))),IF(ISNUMBER(BY803),IF(ABS(BY803-[4]QC_indicators!$B$1)&gt;3*[4]QC_indicators!$C$1,"DF","no")))</f>
        <v>no</v>
      </c>
      <c r="EQ803" t="s">
        <v>450</v>
      </c>
      <c r="ET803" s="264" t="s">
        <v>3273</v>
      </c>
    </row>
    <row r="804" spans="1:151" ht="15" customHeight="1">
      <c r="A804" s="1" t="s">
        <v>614</v>
      </c>
      <c r="B804" t="s">
        <v>1719</v>
      </c>
      <c r="C804" t="s">
        <v>1720</v>
      </c>
      <c r="D804" t="s">
        <v>1721</v>
      </c>
      <c r="E804" t="s">
        <v>1722</v>
      </c>
      <c r="F804" t="s">
        <v>1723</v>
      </c>
      <c r="G804" t="s">
        <v>620</v>
      </c>
      <c r="H804" t="s">
        <v>254</v>
      </c>
      <c r="I804">
        <v>2021</v>
      </c>
      <c r="J804">
        <v>2</v>
      </c>
      <c r="K804" t="s">
        <v>1724</v>
      </c>
      <c r="M804" t="str">
        <f>LEFT($D804,FIND(",",$D804)-1)&amp;"_"&amp;I804&amp;L804</f>
        <v>Hawkins_2021</v>
      </c>
      <c r="N804" t="s">
        <v>222</v>
      </c>
      <c r="O804" s="145" t="s">
        <v>513</v>
      </c>
      <c r="Q804" t="s">
        <v>256</v>
      </c>
      <c r="R804" s="2" t="s">
        <v>274</v>
      </c>
      <c r="S804" s="1" t="s">
        <v>1738</v>
      </c>
      <c r="T804" t="s">
        <v>1044</v>
      </c>
      <c r="U804" t="s">
        <v>1726</v>
      </c>
      <c r="V804">
        <v>0</v>
      </c>
      <c r="W804">
        <v>0</v>
      </c>
      <c r="X804">
        <v>0</v>
      </c>
      <c r="Y804">
        <v>0</v>
      </c>
      <c r="Z804">
        <v>0</v>
      </c>
      <c r="AA804">
        <v>0</v>
      </c>
      <c r="AB804">
        <v>0</v>
      </c>
      <c r="AC804">
        <v>0</v>
      </c>
      <c r="AD804">
        <v>0</v>
      </c>
      <c r="AE804">
        <v>0</v>
      </c>
      <c r="AF804">
        <v>0</v>
      </c>
      <c r="AG804">
        <v>0</v>
      </c>
      <c r="AH804">
        <v>0</v>
      </c>
      <c r="AI804">
        <v>0</v>
      </c>
      <c r="AJ804">
        <v>0</v>
      </c>
      <c r="AK804">
        <v>1</v>
      </c>
      <c r="AL804">
        <v>0</v>
      </c>
      <c r="AM804">
        <v>0</v>
      </c>
      <c r="AN804">
        <v>0</v>
      </c>
      <c r="AO804">
        <v>0</v>
      </c>
      <c r="AP804">
        <v>0</v>
      </c>
      <c r="AQ804">
        <v>0</v>
      </c>
      <c r="AR804">
        <v>0</v>
      </c>
      <c r="AS804">
        <v>0</v>
      </c>
      <c r="AT804">
        <v>0</v>
      </c>
      <c r="AU804">
        <v>0</v>
      </c>
      <c r="AV804">
        <v>0</v>
      </c>
      <c r="AW804">
        <v>0</v>
      </c>
      <c r="AX804" s="141">
        <f>COUNTIF(V804:AW804,"&lt;&gt;0")</f>
        <v>1</v>
      </c>
      <c r="AY804" s="141">
        <f>COUNTIF(V804:AL804,"&lt;&gt;0")</f>
        <v>1</v>
      </c>
      <c r="AZ804">
        <f>COUNTIF(V804:AC804,"&lt;&gt;0")</f>
        <v>0</v>
      </c>
      <c r="BA804">
        <f>COUNTIF(AD804:AI804,"&lt;&gt;0")</f>
        <v>0</v>
      </c>
      <c r="BB804">
        <f>COUNTIF(AJ804:AL804,"&lt;&gt;0")</f>
        <v>1</v>
      </c>
      <c r="BC804">
        <f>COUNTIF(AS804:AW804,"&lt;&gt;0")</f>
        <v>0</v>
      </c>
      <c r="BD804">
        <f>COUNTIF(AM804:AR804,"&lt;&gt;0")</f>
        <v>0</v>
      </c>
      <c r="BE804" t="str">
        <f t="array" ref="BE804">IF(AY804=1,INDEX($V$7:$AL$7,MATCH(TRUE,INDEX($V804:$AW804&lt;&gt;0,),0)),IF(AY804=0,INDEX($AM$7:$AW$7,MATCH(1,$AM804:$AW804,0)),IF(BF804="Multiple strategies","mixed drivers",IF(BF804="Supply chain","multiple supply","multiple silviculture"))))</f>
        <v>technologies/design switch</v>
      </c>
      <c r="BF804" s="2" t="str" cm="1">
        <f t="array" ref="BF804">IF(COUNTIF(AZ804:BB804,"&lt;&gt;0")=1,INDEX($V$4:$AW$4,MATCH(TRUE,INDEX($V804:$AW804&lt;&gt;0,),0)),IF(COUNTIF(AZ804:BB804,"&lt;&gt;0")=0,INDEX($AM$4:$AW$4,MATCH(1,$AM804:$AW804,0)),"Multiple strategies"))</f>
        <v>Technology</v>
      </c>
      <c r="BG804" s="1" t="s">
        <v>229</v>
      </c>
      <c r="BH804" t="s">
        <v>229</v>
      </c>
      <c r="BJ804" t="s">
        <v>756</v>
      </c>
      <c r="BK804">
        <v>0</v>
      </c>
      <c r="BL804">
        <v>1105.3</v>
      </c>
      <c r="BN804">
        <f>BL804-BK804</f>
        <v>1105.3</v>
      </c>
      <c r="BO804">
        <f>BN804*t_to_m3</f>
        <v>2255.7142857142858</v>
      </c>
      <c r="BP804" t="s">
        <v>232</v>
      </c>
      <c r="BQ804" s="264" t="s">
        <v>3261</v>
      </c>
      <c r="BR804" t="s">
        <v>728</v>
      </c>
      <c r="BS804" s="179">
        <v>-1250000</v>
      </c>
      <c r="BT804" s="179">
        <v>10200</v>
      </c>
      <c r="BU804" s="144">
        <f>IFERROR(BT804/BS804,"")</f>
        <v>-8.1600000000000006E-3</v>
      </c>
      <c r="BV804" s="179">
        <f>BT804-BS804</f>
        <v>1260200</v>
      </c>
      <c r="BW804" s="179"/>
      <c r="BX804">
        <f>BV804/1000</f>
        <v>1260.2</v>
      </c>
      <c r="BY804">
        <f>IFERROR(BX804/BO804,"")</f>
        <v>0.55867004433185563</v>
      </c>
      <c r="BZ804">
        <v>0</v>
      </c>
      <c r="CA804">
        <v>1</v>
      </c>
      <c r="CB804">
        <v>0</v>
      </c>
      <c r="CC804">
        <v>1</v>
      </c>
      <c r="CD804">
        <v>0</v>
      </c>
      <c r="CE804">
        <v>0</v>
      </c>
      <c r="CF804">
        <v>0</v>
      </c>
      <c r="CG804">
        <v>1</v>
      </c>
      <c r="CH804">
        <v>0</v>
      </c>
      <c r="CI804">
        <v>0</v>
      </c>
      <c r="CJ804">
        <v>0</v>
      </c>
      <c r="CK804">
        <v>0</v>
      </c>
      <c r="CL804">
        <v>0</v>
      </c>
      <c r="CM804">
        <v>0</v>
      </c>
      <c r="CN804" t="str">
        <f>IF($BL804&lt;$BK804,"refNeedCorrection","refOK")</f>
        <v>refOK</v>
      </c>
      <c r="CO804">
        <f>IF($CN804="refNeedCorrection",BL804,BK804)</f>
        <v>0</v>
      </c>
      <c r="CP804">
        <f>IF($CN804="refNeedCorrection",BK804,BL804)</f>
        <v>1105.3</v>
      </c>
      <c r="CQ804">
        <f>IF($CN804="refOK",$BO804,-$BO804)</f>
        <v>2255.7142857142858</v>
      </c>
      <c r="CR804" s="273">
        <f>IF($CN804="refOK",$BS804,$BT804)*IF($BP804="Emissions positive",-1,1)</f>
        <v>-1250000</v>
      </c>
      <c r="CS804" s="273">
        <f>IF($CN804="refOK",$BT804,$BS804)*IF($BP804="Emissions positive",-1,1)</f>
        <v>10200</v>
      </c>
      <c r="CT804">
        <f>IF($CN804="refNeedCorrection",-BX804,BX804)*IF($BP804="Emissions positive",-1,1)</f>
        <v>1260.2</v>
      </c>
      <c r="CU804">
        <f>IFERROR(CT804/CQ804,"")</f>
        <v>0.55867004433185563</v>
      </c>
      <c r="CV804" s="2">
        <f>IFERROR((CS804-CR804)/ABS(CR804),"")</f>
        <v>1.0081599999999999</v>
      </c>
      <c r="CW804" s="1" t="s">
        <v>1203</v>
      </c>
      <c r="CX804" t="str">
        <f>IF(OR($CW804="prd",$CW804="std",$CW804="cit"),"loc",IF(OR($CW804="eur",$CW804="reg",$CW804="coy"),"reg",$CW804))</f>
        <v>reg</v>
      </c>
      <c r="CY804" s="309" t="s">
        <v>3423</v>
      </c>
      <c r="DB804">
        <v>35</v>
      </c>
      <c r="DC804" t="str">
        <f>IF(DB804=0,"0",IF(AND(DB804&gt;=1,DB804&lt;=30),"1-30",IF(AND(DB804&gt;30,DB804&lt;=70),"31-70",IF(AND(DB804&gt;70,DB804&lt;=100),"71-100",IF(DB804&gt;100,"+100")))))</f>
        <v>31-70</v>
      </c>
      <c r="DD804">
        <v>0</v>
      </c>
      <c r="DE804">
        <v>0</v>
      </c>
      <c r="DF804">
        <v>0</v>
      </c>
      <c r="DG804">
        <v>1</v>
      </c>
      <c r="DI804">
        <f>SUM(DD804:DG804)</f>
        <v>1</v>
      </c>
      <c r="DJ804" t="str">
        <f>IF(DI804=1,INDEX($DD$7:$DG$7,MATCH(1,$DD804:$DG804,0)),"mixedProduct")</f>
        <v>TimberInput</v>
      </c>
      <c r="DK804">
        <f>IF(DD804=1,DK$7,0)</f>
        <v>0</v>
      </c>
      <c r="DL804">
        <f>IF(DE804=1,DL$7,0)</f>
        <v>0</v>
      </c>
      <c r="DM804">
        <f>IF(DF804=1,DM$7,0)</f>
        <v>0</v>
      </c>
      <c r="DN804" t="str">
        <f>IF(DG804=1,DN$7,0)</f>
        <v>Timber</v>
      </c>
      <c r="DO804">
        <v>0</v>
      </c>
      <c r="DP804">
        <v>0</v>
      </c>
      <c r="DQ804">
        <v>0</v>
      </c>
      <c r="DR804">
        <v>0</v>
      </c>
      <c r="DS804">
        <v>0</v>
      </c>
      <c r="DT804">
        <f>SUM(DO804:DP804)</f>
        <v>0</v>
      </c>
      <c r="DU804" s="143" t="str">
        <f>IF(DO804=1,"self-calculated DF",IF(DP804=1,"external DF used","explicit C balance"))</f>
        <v>explicit C balance</v>
      </c>
      <c r="DV804">
        <v>0</v>
      </c>
      <c r="DW804">
        <v>0</v>
      </c>
      <c r="DX804">
        <v>0</v>
      </c>
      <c r="DY804">
        <v>1</v>
      </c>
      <c r="DZ804">
        <v>0</v>
      </c>
      <c r="EA804" s="143">
        <v>0</v>
      </c>
      <c r="EB804">
        <v>1</v>
      </c>
      <c r="EC804">
        <v>1</v>
      </c>
      <c r="ED804">
        <v>1</v>
      </c>
      <c r="EE804">
        <v>1</v>
      </c>
      <c r="EF804">
        <v>1</v>
      </c>
      <c r="EG804">
        <v>1</v>
      </c>
      <c r="EH804">
        <v>0</v>
      </c>
      <c r="EI804" s="2">
        <v>0</v>
      </c>
      <c r="EK804" t="str">
        <f>IF(AND(AND(AND(OR($DX804=1,$DW804=1),OR($EC804=1,$EA804=1)),SUM($DV804:$DZ804,$EF804)&gt;=4),SUM($EA804:$EE804)&gt;=2),"Whole sector","")</f>
        <v/>
      </c>
      <c r="EL804" t="str">
        <f>IF(AND(AND(OR($DX804=1,$DW804=1),AND($EC804=0,$EA804=0)),SUM($DV804:$DZ804,$EF804)&gt;=4),"Ecosystem approach","")</f>
        <v/>
      </c>
      <c r="EM804" s="2" t="str">
        <f>IF(AND(AND(AND($DX804=0,$DW804=0),OR($EC804=1,$EA804=1)),SUM($EB804:$EE804)&gt;=2),"Technology approach","")</f>
        <v>Technology approach</v>
      </c>
      <c r="EP804" t="str">
        <f>IF(ISNUMBER(BU804),IF(ABS(BU804-[2]QC_indicators!$B$2)&gt;3*[2]QC_indicators!$C$2,"C ratio",IF(ISNUMBER(BY804),IF(ABS(BY804-[2]QC_indicators!$B$1)&gt;3*[2]QC_indicators!$C$1,"DF","no"))),IF(ISNUMBER(BY804),IF(ABS(BY804-[2]QC_indicators!$B$1)&gt;3*[2]QC_indicators!$C$1,"DF","no")))</f>
        <v>no</v>
      </c>
      <c r="ET804" s="264" t="s">
        <v>3151</v>
      </c>
      <c r="EU804" s="264"/>
    </row>
    <row r="805" spans="1:151" ht="15" customHeight="1">
      <c r="A805" s="1" t="s">
        <v>1423</v>
      </c>
      <c r="B805" t="s">
        <v>2490</v>
      </c>
      <c r="C805" t="s">
        <v>2491</v>
      </c>
      <c r="D805" t="s">
        <v>2492</v>
      </c>
      <c r="E805" t="s">
        <v>2493</v>
      </c>
      <c r="F805" t="s">
        <v>2494</v>
      </c>
      <c r="G805" t="s">
        <v>1429</v>
      </c>
      <c r="H805" t="s">
        <v>254</v>
      </c>
      <c r="I805">
        <v>2016</v>
      </c>
      <c r="J805">
        <v>24</v>
      </c>
      <c r="K805" t="s">
        <v>2495</v>
      </c>
      <c r="M805" t="str">
        <f>LEFT($D805,FIND(",",$D805)-1)&amp;"_"&amp;I805&amp;L805</f>
        <v>Zubizarreta-Gerendiain_2016</v>
      </c>
      <c r="N805" t="s">
        <v>222</v>
      </c>
      <c r="O805" s="145" t="s">
        <v>1154</v>
      </c>
      <c r="Q805" t="s">
        <v>256</v>
      </c>
      <c r="R805" s="262" t="s">
        <v>223</v>
      </c>
      <c r="S805" s="1" t="s">
        <v>2526</v>
      </c>
      <c r="T805" t="s">
        <v>2507</v>
      </c>
      <c r="U805" t="s">
        <v>2528</v>
      </c>
      <c r="V805">
        <v>0</v>
      </c>
      <c r="W805">
        <v>0</v>
      </c>
      <c r="X805">
        <v>0</v>
      </c>
      <c r="Y805">
        <v>1</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s="141">
        <f>COUNTIF(V805:AW805,"&lt;&gt;0")</f>
        <v>1</v>
      </c>
      <c r="AY805" s="141">
        <f>COUNTIF(V805:AL805,"&lt;&gt;0")</f>
        <v>1</v>
      </c>
      <c r="AZ805">
        <f>COUNTIF(V805:AC805,"&lt;&gt;0")</f>
        <v>1</v>
      </c>
      <c r="BA805">
        <f>COUNTIF(AD805:AI805,"&lt;&gt;0")</f>
        <v>0</v>
      </c>
      <c r="BB805">
        <f>COUNTIF(AJ805:AL805,"&lt;&gt;0")</f>
        <v>0</v>
      </c>
      <c r="BC805">
        <f>COUNTIF(AS805:AW805,"&lt;&gt;0")</f>
        <v>0</v>
      </c>
      <c r="BD805">
        <f>COUNTIF(AM805:AR805,"&lt;&gt;0")</f>
        <v>0</v>
      </c>
      <c r="BE805" t="str">
        <f t="array" ref="BE805">IF(AY805=1,INDEX($V$7:$AL$7,MATCH(TRUE,INDEX($V805:$AW805&lt;&gt;0,),0)),IF(AY805=0,INDEX($AM$7:$AW$7,MATCH(1,$AM805:$AW805,0)),IF(BF805="Multiple strategies","mixed drivers",IF(BF805="Supply chain","multiple supply","multiple silviculture"))))</f>
        <v xml:space="preserve">cutting intensity </v>
      </c>
      <c r="BF805" s="2" t="str" cm="1">
        <f t="array" ref="BF805">IF(COUNTIF(AZ805:BB805,"&lt;&gt;0")=1,INDEX($V$4:$AW$4,MATCH(TRUE,INDEX($V805:$AW805&lt;&gt;0,),0)),IF(COUNTIF(AZ805:BB805,"&lt;&gt;0")=0,INDEX($AM$4:$AW$4,MATCH(1,$AM805:$AW805,0)),"Multiple strategies"))</f>
        <v>Silviculture for removals</v>
      </c>
      <c r="BG805" s="1" t="s">
        <v>321</v>
      </c>
      <c r="BH805" t="s">
        <v>2499</v>
      </c>
      <c r="BI805" s="264" t="s">
        <v>2113</v>
      </c>
      <c r="BJ805" t="s">
        <v>2500</v>
      </c>
      <c r="BK805">
        <v>64.910485933503793</v>
      </c>
      <c r="BL805">
        <v>71.585677749360599</v>
      </c>
      <c r="BM805" s="143">
        <f>BL805/BK805</f>
        <v>1.1028368794326247</v>
      </c>
      <c r="BN805">
        <f>BL805-BK805</f>
        <v>6.675191815856806</v>
      </c>
      <c r="BO805">
        <f>BN805*1000*t_to_m3</f>
        <v>13622.840440524094</v>
      </c>
      <c r="BP805" t="s">
        <v>232</v>
      </c>
      <c r="BQ805" s="143" t="s">
        <v>3256</v>
      </c>
      <c r="BR805" t="s">
        <v>1195</v>
      </c>
      <c r="BS805">
        <v>120401.57301704831</v>
      </c>
      <c r="BT805">
        <v>128079.5993328375</v>
      </c>
      <c r="BU805" s="144">
        <f>IFERROR(BT805/BS805,"")</f>
        <v>1.0637701495370167</v>
      </c>
      <c r="BV805" s="144">
        <f>BT805-BS805</f>
        <v>7678.0263157891895</v>
      </c>
      <c r="BW805" s="144"/>
      <c r="BX805" s="144">
        <f>BV805</f>
        <v>7678.0263157891895</v>
      </c>
      <c r="BY805">
        <f>IFERROR(BX805/BO805,"")</f>
        <v>0.5636141999394807</v>
      </c>
      <c r="BZ805">
        <v>0</v>
      </c>
      <c r="CA805">
        <v>0</v>
      </c>
      <c r="CB805">
        <v>0</v>
      </c>
      <c r="CC805">
        <v>0</v>
      </c>
      <c r="CD805">
        <v>0</v>
      </c>
      <c r="CE805">
        <v>0</v>
      </c>
      <c r="CF805">
        <v>0</v>
      </c>
      <c r="CG805">
        <v>0</v>
      </c>
      <c r="CH805">
        <v>0</v>
      </c>
      <c r="CI805">
        <v>0</v>
      </c>
      <c r="CJ805">
        <v>0</v>
      </c>
      <c r="CK805">
        <v>0</v>
      </c>
      <c r="CL805">
        <v>0</v>
      </c>
      <c r="CM805">
        <v>1</v>
      </c>
      <c r="CN805" t="str">
        <f>IF($BL805&lt;$BK805,"refNeedCorrection","refOK")</f>
        <v>refOK</v>
      </c>
      <c r="CO805">
        <f>IF($CN805="refOK",$BK805,$BL805)</f>
        <v>64.910485933503793</v>
      </c>
      <c r="CP805">
        <f>IF($CN805="refOK",$BL805,$BK805)</f>
        <v>71.585677749360599</v>
      </c>
      <c r="CQ805">
        <f>IF($CN805="refOK",$BO805,-$BO805)</f>
        <v>13622.840440524094</v>
      </c>
      <c r="CR805">
        <f>IF($CN805="refOK",$BS805,$BT805)*IF($BP805="Emissions positive",-1,1)</f>
        <v>120401.57301704831</v>
      </c>
      <c r="CS805">
        <f>IF($CN805="refOK",$BT805,$BS805)*IF($BP805="Emissions positive",-1,1)</f>
        <v>128079.5993328375</v>
      </c>
      <c r="CT805">
        <f>IF($CN805="refNeedCorrection",-BX805,BX805)*IF($BP805="Emissions positive",-1,1)</f>
        <v>7678.0263157891895</v>
      </c>
      <c r="CU805">
        <f>IFERROR(CT805/CQ805,"")</f>
        <v>0.5636141999394807</v>
      </c>
      <c r="CV805" s="2">
        <f>IFERROR((CS805-CR805)/ABS(CR805),"")</f>
        <v>6.3770149537016568E-2</v>
      </c>
      <c r="CW805" s="1" t="s">
        <v>1199</v>
      </c>
      <c r="CX805" t="str">
        <f>IF(OR($CW805="prd",$CW805="std",$CW805="cit"),"loc",IF(OR($CW805="eur",$CW805="reg",$CW805="coy"),"reg",$CW805))</f>
        <v>reg</v>
      </c>
      <c r="CY805" t="s">
        <v>235</v>
      </c>
      <c r="CZ805">
        <v>2010</v>
      </c>
      <c r="DA805">
        <v>2070</v>
      </c>
      <c r="DB805">
        <f>DA805-CZ805</f>
        <v>60</v>
      </c>
      <c r="DC805" t="str">
        <f>IF(DB805=0,"0",IF(AND(DB805&gt;=1,DB805&lt;=30),"1-30",IF(AND(DB805&gt;30,DB805&lt;=70),"31-70",IF(AND(DB805&gt;70,DB805&lt;=100),"71-100",IF(DB805&gt;100,"+100")))))</f>
        <v>31-70</v>
      </c>
      <c r="DD805">
        <v>1</v>
      </c>
      <c r="DE805">
        <v>1</v>
      </c>
      <c r="DF805">
        <v>1</v>
      </c>
      <c r="DG805">
        <v>1</v>
      </c>
      <c r="DH805">
        <v>0</v>
      </c>
      <c r="DI805">
        <f>SUM(DD805:DG805)</f>
        <v>4</v>
      </c>
      <c r="DJ805" t="str">
        <f>IF(DI805=1,INDEX($DD$7:$DG$7,MATCH(1,$DD805:$DG805,0)),"mixedProduct")</f>
        <v>mixedProduct</v>
      </c>
      <c r="DK805" t="str">
        <f>IF(DD805=1,DK$7,0)</f>
        <v>Upstream</v>
      </c>
      <c r="DL805" t="str">
        <f>IF(DE805=1,DL$7,0)</f>
        <v>Energy</v>
      </c>
      <c r="DM805" t="str">
        <f>IF(DF805=1,DM$7,0)</f>
        <v>Pulp/Paper</v>
      </c>
      <c r="DN805" t="str">
        <f>IF(DG805=1,DN$7,0)</f>
        <v>Timber</v>
      </c>
      <c r="DO805">
        <v>0</v>
      </c>
      <c r="DP805">
        <v>1</v>
      </c>
      <c r="DQ805" t="s">
        <v>2524</v>
      </c>
      <c r="DR805" t="s">
        <v>2525</v>
      </c>
      <c r="DS805">
        <v>0</v>
      </c>
      <c r="DT805">
        <f>SUM(DO805:DP805)</f>
        <v>1</v>
      </c>
      <c r="DU805" s="143" t="str">
        <f>IF(DO805=1,"self-calculated DF",IF(DP805=1,"external DF used","explicit C balance"))</f>
        <v>external DF used</v>
      </c>
      <c r="DV805">
        <v>1</v>
      </c>
      <c r="DW805">
        <v>1</v>
      </c>
      <c r="DX805">
        <v>1</v>
      </c>
      <c r="DY805">
        <v>1</v>
      </c>
      <c r="DZ805">
        <v>0</v>
      </c>
      <c r="EA805" s="143">
        <v>1</v>
      </c>
      <c r="EB805">
        <v>1</v>
      </c>
      <c r="EC805">
        <v>1</v>
      </c>
      <c r="ED805">
        <v>0</v>
      </c>
      <c r="EE805">
        <v>0</v>
      </c>
      <c r="EF805">
        <v>1</v>
      </c>
      <c r="EG805">
        <v>0</v>
      </c>
      <c r="EH805">
        <v>0</v>
      </c>
      <c r="EI805" s="2">
        <v>0</v>
      </c>
      <c r="EK805" t="str">
        <f>IF(AND(AND(AND(OR($DX805=1,$DW805=1),OR($EC805=1,$EA805=1)),SUM($DV805:$DZ805,$EF805)&gt;=4),SUM($EA805:$EE805)&gt;=2),"Whole sector","")</f>
        <v>Whole sector</v>
      </c>
      <c r="EL805" t="str">
        <f>IF(AND(AND(OR($DX805=1,$DW805=1),AND($EC805=0,$EA805=0)),SUM($DV805:$DZ805,$EF805)&gt;=4),"Ecosystem approach","")</f>
        <v/>
      </c>
      <c r="EM805" s="2" t="str">
        <f>IF(AND(AND(AND($DX805=0,$DW805=0),OR($EC805=1,$EA805=1)),SUM($EB805:$EE805)&gt;=2),"Technology approach","")</f>
        <v/>
      </c>
      <c r="EP805" t="str">
        <f>IF(ISNUMBER(BU805),IF(ABS(BU805-[1]QC_indicators!$B$2)&gt;3*[1]QC_indicators!$C$2,"C ratio",IF(ISNUMBER(BY805),IF(ABS(BY805-[1]QC_indicators!$B$1)&gt;3*[1]QC_indicators!$C$1,"DF","no"))),IF(ISNUMBER(BY805),IF(ABS(BY805-[1]QC_indicators!$B$1)&gt;3*[1]QC_indicators!$C$1,"DF","no")))</f>
        <v>no</v>
      </c>
      <c r="ET805" s="264" t="s">
        <v>3259</v>
      </c>
    </row>
    <row r="806" spans="1:151" ht="15" customHeight="1">
      <c r="A806" s="1" t="s">
        <v>1636</v>
      </c>
      <c r="B806" t="s">
        <v>1637</v>
      </c>
      <c r="C806" t="s">
        <v>1638</v>
      </c>
      <c r="D806" t="s">
        <v>1639</v>
      </c>
      <c r="E806" t="s">
        <v>1640</v>
      </c>
      <c r="F806" t="s">
        <v>1641</v>
      </c>
      <c r="G806" t="s">
        <v>1642</v>
      </c>
      <c r="H806" t="s">
        <v>254</v>
      </c>
      <c r="I806">
        <v>2022</v>
      </c>
      <c r="J806">
        <v>0</v>
      </c>
      <c r="K806" t="s">
        <v>1643</v>
      </c>
      <c r="M806" t="str">
        <f>LEFT($D806,FIND(",",$D806)-1)&amp;"_"&amp;I806&amp;L806</f>
        <v>Gregor_2022</v>
      </c>
      <c r="N806" t="s">
        <v>222</v>
      </c>
      <c r="O806" s="161" t="s">
        <v>223</v>
      </c>
      <c r="Q806" s="264" t="s">
        <v>389</v>
      </c>
      <c r="R806" s="269" t="s">
        <v>1154</v>
      </c>
      <c r="S806" s="154" t="s">
        <v>1644</v>
      </c>
      <c r="T806" s="294" t="s">
        <v>1655</v>
      </c>
      <c r="U806" s="264" t="s">
        <v>1656</v>
      </c>
      <c r="V806">
        <v>0</v>
      </c>
      <c r="W806">
        <v>0</v>
      </c>
      <c r="X806">
        <v>0</v>
      </c>
      <c r="Y806">
        <v>0</v>
      </c>
      <c r="Z806">
        <v>0</v>
      </c>
      <c r="AA806">
        <v>0</v>
      </c>
      <c r="AB806">
        <v>0</v>
      </c>
      <c r="AC806">
        <v>0</v>
      </c>
      <c r="AD806">
        <v>0</v>
      </c>
      <c r="AE806">
        <v>0</v>
      </c>
      <c r="AF806">
        <v>0</v>
      </c>
      <c r="AG806">
        <v>0</v>
      </c>
      <c r="AH806">
        <v>0</v>
      </c>
      <c r="AI806">
        <v>0</v>
      </c>
      <c r="AJ806">
        <v>0</v>
      </c>
      <c r="AK806">
        <v>0</v>
      </c>
      <c r="AL806">
        <v>0</v>
      </c>
      <c r="AM806">
        <v>0</v>
      </c>
      <c r="AN806">
        <v>1</v>
      </c>
      <c r="AO806">
        <v>2</v>
      </c>
      <c r="AP806">
        <v>2</v>
      </c>
      <c r="AQ806">
        <v>2</v>
      </c>
      <c r="AR806">
        <v>0</v>
      </c>
      <c r="AS806">
        <v>0</v>
      </c>
      <c r="AT806">
        <v>0</v>
      </c>
      <c r="AU806">
        <v>0</v>
      </c>
      <c r="AV806">
        <v>0</v>
      </c>
      <c r="AW806">
        <v>0</v>
      </c>
      <c r="AX806" s="141">
        <f>COUNTIF(V806:AW806,"&lt;&gt;0")</f>
        <v>4</v>
      </c>
      <c r="AY806">
        <f>COUNTIF(V806:AL806,"&lt;&gt;0")</f>
        <v>0</v>
      </c>
      <c r="AZ806">
        <f>COUNTIF(V806:AC806,"&lt;&gt;0")</f>
        <v>0</v>
      </c>
      <c r="BA806">
        <f>COUNTIF(AD806:AI806,"&lt;&gt;0")</f>
        <v>0</v>
      </c>
      <c r="BB806">
        <f>COUNTIF(AJ806:AL806,"&lt;&gt;0")</f>
        <v>0</v>
      </c>
      <c r="BC806">
        <f>COUNTIF(AS806:AW806,"&lt;&gt;0")</f>
        <v>0</v>
      </c>
      <c r="BD806">
        <f>COUNTIF(AM806:AR806,"&lt;&gt;0")</f>
        <v>4</v>
      </c>
      <c r="BE806" t="str" cm="1">
        <f t="array" ref="BE806">IF(AY806=1,INDEX($V$7:$AL$7,MATCH(TRUE,INDEX($V806:$AW806&lt;&gt;0,),0)),IF(AY806=0,INDEX($AM$7:$AW$7,MATCH(1,$AM806:$AW806,0)),IF(BF806="Multiple strategies","mixed drivers",IF(BF806="Supply chain","multiple supply","multiple silviculture"))))</f>
        <v>Temperature</v>
      </c>
      <c r="BF806" s="2" t="str" cm="1">
        <f t="array" ref="BF806">IF(COUNTIF(AZ806:BB806,"&lt;&gt;0")=1,INDEX($V$4:$AW$4,MATCH(TRUE,INDEX($V806:$AW806&lt;&gt;0,),0)),IF(COUNTIF(AZ806:BB806,"&lt;&gt;0")=0,INDEX($AM$4:$AW$4,MATCH(1,$AM806:$AW806,0)),"Multiple strategies"))</f>
        <v>Environmental change</v>
      </c>
      <c r="BG806" s="1" t="s">
        <v>321</v>
      </c>
      <c r="BH806" s="264" t="s">
        <v>1647</v>
      </c>
      <c r="BI806" s="264" t="s">
        <v>1657</v>
      </c>
      <c r="BJ806" s="264" t="s">
        <v>1648</v>
      </c>
      <c r="BK806">
        <f>2.84*(2115-2020)</f>
        <v>269.8</v>
      </c>
      <c r="BL806">
        <f>3.25*(2115-2020)</f>
        <v>308.75</v>
      </c>
      <c r="BN806">
        <f>BL806-BK806</f>
        <v>38.949999999999989</v>
      </c>
      <c r="BO806">
        <f>BL806-BK806</f>
        <v>38.949999999999989</v>
      </c>
      <c r="BP806" s="264" t="s">
        <v>232</v>
      </c>
      <c r="BQ806" s="264" t="s">
        <v>1658</v>
      </c>
      <c r="BR806" s="264" t="s">
        <v>1650</v>
      </c>
      <c r="BS806" s="264">
        <f>1.5*10000</f>
        <v>15000</v>
      </c>
      <c r="BT806" s="264">
        <f>2.1*10000</f>
        <v>21000</v>
      </c>
      <c r="BV806">
        <f>BT806-BS806</f>
        <v>6000</v>
      </c>
      <c r="BX806">
        <f>BV806/1000*C_to_CO2</f>
        <v>22.02</v>
      </c>
      <c r="BY806">
        <f>IFERROR(BX806/BO806,"")</f>
        <v>0.56534017971758677</v>
      </c>
      <c r="BZ806">
        <v>0</v>
      </c>
      <c r="CA806">
        <v>0</v>
      </c>
      <c r="CB806">
        <v>0</v>
      </c>
      <c r="CC806">
        <v>0</v>
      </c>
      <c r="CD806">
        <v>0</v>
      </c>
      <c r="CE806">
        <v>0</v>
      </c>
      <c r="CF806">
        <v>0</v>
      </c>
      <c r="CG806">
        <v>0</v>
      </c>
      <c r="CH806">
        <v>0</v>
      </c>
      <c r="CI806">
        <v>0</v>
      </c>
      <c r="CJ806">
        <v>0</v>
      </c>
      <c r="CK806">
        <v>0</v>
      </c>
      <c r="CL806">
        <v>0</v>
      </c>
      <c r="CM806">
        <v>0</v>
      </c>
      <c r="CN806" t="str">
        <f>IF($BL806&lt;$BK806,"refNeedCorrection","refOK")</f>
        <v>refOK</v>
      </c>
      <c r="CO806">
        <f>IF($CN806="refOK",$BK806,$BL806)</f>
        <v>269.8</v>
      </c>
      <c r="CP806">
        <f>IF($CN806="refOK",$BL806,$BK806)</f>
        <v>308.75</v>
      </c>
      <c r="CQ806">
        <f>IF($CN806="refOK",$BO806,-$BO806)</f>
        <v>38.949999999999989</v>
      </c>
      <c r="CR806">
        <f>IF($CN806="refOK",$BS806,$BT806)*IF($BP806="Emissions positive",-1,1)</f>
        <v>15000</v>
      </c>
      <c r="CS806">
        <f>IF($CN806="refOK",$BT806,$BS806)*IF($BP806="Emissions positive",-1,1)</f>
        <v>21000</v>
      </c>
      <c r="CT806">
        <f>IF($CN806="refNeedCorrection",-BX806,BX806)*IF($BP806="Emissions positive",-1,1)</f>
        <v>22.02</v>
      </c>
      <c r="CU806">
        <f>IFERROR(CT806/CQ806,"")</f>
        <v>0.56534017971758677</v>
      </c>
      <c r="CV806" s="2">
        <f>IFERROR((CS806-CR806)/ABS(CR806),"")</f>
        <v>0.4</v>
      </c>
      <c r="CW806" s="162" t="s">
        <v>1462</v>
      </c>
      <c r="CX806" s="264" t="str">
        <f>IF(OR($CW806="prd",$CW806="std",$CW806="cit"),"loc",IF(OR($CW806="eur",$CW806="reg",$CW806="coy"),"reg",$CW806))</f>
        <v>reg</v>
      </c>
      <c r="CY806" s="155" t="s">
        <v>743</v>
      </c>
      <c r="CZ806">
        <v>2010</v>
      </c>
      <c r="DA806">
        <v>2115</v>
      </c>
      <c r="DB806">
        <f>DA806-CZ806</f>
        <v>105</v>
      </c>
      <c r="DC806" t="str">
        <f>IF(DB806=0,"0",IF(AND(DB806&gt;=1,DB806&lt;=30),"1-30",IF(AND(DB806&gt;30,DB806&lt;=70),"31-70",IF(AND(DB806&gt;70,DB806&lt;=100),"71-100",IF(DB806&gt;100,"+100")))))</f>
        <v>+100</v>
      </c>
      <c r="DD806">
        <v>0</v>
      </c>
      <c r="DE806">
        <v>1</v>
      </c>
      <c r="DF806">
        <v>1</v>
      </c>
      <c r="DG806">
        <v>1</v>
      </c>
      <c r="DH806">
        <v>0</v>
      </c>
      <c r="DI806">
        <f>SUM(DD806:DG806)</f>
        <v>3</v>
      </c>
      <c r="DJ806" t="str">
        <f>IF(DI806=1,INDEX($DD$7:$DG$7,MATCH(1,$DD806:$DG806,0)),"mixedProduct")</f>
        <v>mixedProduct</v>
      </c>
      <c r="DK806">
        <f>IF(DD806=1,DK$7,0)</f>
        <v>0</v>
      </c>
      <c r="DL806" t="str">
        <f>IF(DE806=1,DL$7,0)</f>
        <v>Energy</v>
      </c>
      <c r="DM806" t="str">
        <f>IF(DF806=1,DM$7,0)</f>
        <v>Pulp/Paper</v>
      </c>
      <c r="DN806" t="str">
        <f>IF(DG806=1,DN$7,0)</f>
        <v>Timber</v>
      </c>
      <c r="DO806">
        <v>0</v>
      </c>
      <c r="DP806">
        <v>1</v>
      </c>
      <c r="DQ806" s="264" t="s">
        <v>1651</v>
      </c>
      <c r="DR806" s="264" t="s">
        <v>1651</v>
      </c>
      <c r="DS806" s="264" t="s">
        <v>1651</v>
      </c>
      <c r="DT806">
        <f>SUM(DO806:DP806)</f>
        <v>1</v>
      </c>
      <c r="DU806" s="143" t="str">
        <f>IF(DO806=1,"self-calculated DF",IF(DP806=1,"external DF used","explicit C balance"))</f>
        <v>external DF used</v>
      </c>
      <c r="DV806">
        <v>1</v>
      </c>
      <c r="DW806">
        <v>1</v>
      </c>
      <c r="DX806">
        <v>1</v>
      </c>
      <c r="DY806">
        <v>1</v>
      </c>
      <c r="DZ806">
        <v>1</v>
      </c>
      <c r="EA806">
        <v>1</v>
      </c>
      <c r="EB806">
        <v>1</v>
      </c>
      <c r="EC806">
        <v>1</v>
      </c>
      <c r="ED806">
        <v>0</v>
      </c>
      <c r="EE806">
        <v>0</v>
      </c>
      <c r="EF806">
        <v>1</v>
      </c>
      <c r="EG806">
        <v>0</v>
      </c>
      <c r="EH806">
        <v>1</v>
      </c>
      <c r="EI806" s="2">
        <v>0</v>
      </c>
      <c r="EK806" t="str">
        <f>IF(AND(AND(AND(OR($DX806=1,$DW806=1),OR($EC806=1,$EA806=1)),SUM($DV806:$DZ806,$EF806)&gt;=4),SUM($EA806:$EE806)&gt;=2),"Whole sector","")</f>
        <v>Whole sector</v>
      </c>
      <c r="EL806" t="str">
        <f>IF(AND(AND(OR($DX806=1,$DW806=1),AND($EC806=0,$EA806=0)),SUM($DV806:$DZ806,$EF806)&gt;=4),"Ecosystem approach","")</f>
        <v/>
      </c>
      <c r="EM806" s="2" t="str">
        <f>IF(AND(AND(AND($DX806=0,$DW806=0),OR($EC806=1,$EA806=1)),SUM($EB806:$EE806)&gt;=2),"Technology approach","")</f>
        <v/>
      </c>
      <c r="EP806" t="str">
        <f>IF(ISNUMBER(BU806),IF(ABS(BU806-[3]QC_indicators!$B$2)&gt;3*[3]QC_indicators!$C$2,"C ratio",IF(ISNUMBER(BY806),IF(ABS(BY806-[3]QC_indicators!$B$1)&gt;3*[3]QC_indicators!$C$1,"DF","no"))),IF(ISNUMBER(BY806),IF(ABS(BY806-[3]QC_indicators!$B$1)&gt;3*[3]QC_indicators!$C$1,"DF","no")))</f>
        <v>no</v>
      </c>
      <c r="ET806" s="264" t="s">
        <v>3407</v>
      </c>
    </row>
    <row r="807" spans="1:151" ht="15" customHeight="1">
      <c r="A807" s="1" t="s">
        <v>781</v>
      </c>
      <c r="D807" t="s">
        <v>1156</v>
      </c>
      <c r="E807" t="s">
        <v>1157</v>
      </c>
      <c r="G807" t="s">
        <v>782</v>
      </c>
      <c r="I807">
        <v>2008</v>
      </c>
      <c r="K807" t="s">
        <v>1158</v>
      </c>
      <c r="M807" t="str">
        <f>LEFT($D807,FIND(",",$D807)-1)&amp;"_"&amp;I807&amp;L807</f>
        <v>Upton_2008</v>
      </c>
      <c r="N807" t="s">
        <v>222</v>
      </c>
      <c r="O807" s="145" t="s">
        <v>225</v>
      </c>
      <c r="Q807" t="s">
        <v>256</v>
      </c>
      <c r="R807" s="262" t="s">
        <v>223</v>
      </c>
      <c r="S807" s="1" t="s">
        <v>1159</v>
      </c>
      <c r="T807" t="s">
        <v>1160</v>
      </c>
      <c r="U807" t="s">
        <v>1161</v>
      </c>
      <c r="V807">
        <v>0</v>
      </c>
      <c r="W807">
        <v>0</v>
      </c>
      <c r="X807">
        <v>0</v>
      </c>
      <c r="Y807">
        <v>0</v>
      </c>
      <c r="Z807">
        <v>0</v>
      </c>
      <c r="AA807">
        <v>0</v>
      </c>
      <c r="AB807">
        <v>0</v>
      </c>
      <c r="AC807">
        <v>0</v>
      </c>
      <c r="AD807">
        <v>0</v>
      </c>
      <c r="AE807">
        <v>0</v>
      </c>
      <c r="AF807">
        <v>0</v>
      </c>
      <c r="AG807">
        <v>0</v>
      </c>
      <c r="AH807">
        <v>0</v>
      </c>
      <c r="AI807">
        <v>0</v>
      </c>
      <c r="AJ807">
        <v>0</v>
      </c>
      <c r="AK807">
        <v>1</v>
      </c>
      <c r="AL807">
        <v>0</v>
      </c>
      <c r="AM807">
        <v>0</v>
      </c>
      <c r="AN807">
        <v>0</v>
      </c>
      <c r="AO807">
        <v>0</v>
      </c>
      <c r="AP807">
        <v>0</v>
      </c>
      <c r="AQ807">
        <v>0</v>
      </c>
      <c r="AR807">
        <v>0</v>
      </c>
      <c r="AS807">
        <v>0</v>
      </c>
      <c r="AT807">
        <v>0</v>
      </c>
      <c r="AU807">
        <v>0</v>
      </c>
      <c r="AV807">
        <v>0</v>
      </c>
      <c r="AW807">
        <v>0</v>
      </c>
      <c r="AX807" s="141">
        <f>COUNTIF(V807:AW807,"&lt;&gt;0")</f>
        <v>1</v>
      </c>
      <c r="AY807" s="141">
        <f>COUNTIF(V807:AL807,"&lt;&gt;0")</f>
        <v>1</v>
      </c>
      <c r="AZ807">
        <f>COUNTIF(V807:AC807,"&lt;&gt;0")</f>
        <v>0</v>
      </c>
      <c r="BA807">
        <f>COUNTIF(AD807:AI807,"&lt;&gt;0")</f>
        <v>0</v>
      </c>
      <c r="BB807">
        <f>COUNTIF(AJ807:AL807,"&lt;&gt;0")</f>
        <v>1</v>
      </c>
      <c r="BC807">
        <f>COUNTIF(AS807:AW807,"&lt;&gt;0")</f>
        <v>0</v>
      </c>
      <c r="BD807">
        <f>COUNTIF(AM807:AR807,"&lt;&gt;0")</f>
        <v>0</v>
      </c>
      <c r="BE807" t="str">
        <f t="array" ref="BE807">IF(AY807=1,INDEX($V$7:$AL$7,MATCH(TRUE,INDEX($V807:$AW807&lt;&gt;0,),0)),IF(AY807=0,INDEX($AM$7:$AW$7,MATCH(1,$AM807:$AW807,0)),IF(BF807="Multiple strategies","mixed drivers",IF(BF807="Supply chain","multiple supply","multiple silviculture"))))</f>
        <v>technologies/design switch</v>
      </c>
      <c r="BF807" s="2" t="str" cm="1">
        <f t="array" ref="BF807">IF(COUNTIF(AZ807:BB807,"&lt;&gt;0")=1,INDEX($V$4:$AW$4,MATCH(TRUE,INDEX($V807:$AW807&lt;&gt;0,),0)),IF(COUNTIF(AZ807:BB807,"&lt;&gt;0")=0,INDEX($AM$4:$AW$4,MATCH(1,$AM807:$AW807,0)),"Multiple strategies"))</f>
        <v>Technology</v>
      </c>
      <c r="BG807" s="1" t="s">
        <v>229</v>
      </c>
      <c r="BH807" t="s">
        <v>1162</v>
      </c>
      <c r="BJ807" t="s">
        <v>598</v>
      </c>
      <c r="BK807">
        <v>1106</v>
      </c>
      <c r="BL807">
        <v>2051</v>
      </c>
      <c r="BN807">
        <f>BL807-BK807</f>
        <v>945</v>
      </c>
      <c r="BO807">
        <f>BN807/C_to_CO2*tC_to_m3*10^6</f>
        <v>1118077238.4320416</v>
      </c>
      <c r="BP807" t="s">
        <v>232</v>
      </c>
      <c r="BR807" t="s">
        <v>1163</v>
      </c>
      <c r="BS807">
        <v>-3731</v>
      </c>
      <c r="BT807">
        <v>-3095</v>
      </c>
      <c r="BU807" s="144">
        <v>0.82953631734119537</v>
      </c>
      <c r="BV807">
        <v>636</v>
      </c>
      <c r="BX807">
        <f>BV807*10^6</f>
        <v>636000000</v>
      </c>
      <c r="BY807">
        <f>IFERROR(BX807/BO807,"")</f>
        <v>0.56883368888888886</v>
      </c>
      <c r="BZ807">
        <v>0</v>
      </c>
      <c r="CA807">
        <v>1</v>
      </c>
      <c r="CB807">
        <v>0</v>
      </c>
      <c r="CC807">
        <v>0</v>
      </c>
      <c r="CD807">
        <v>0</v>
      </c>
      <c r="CE807">
        <v>0</v>
      </c>
      <c r="CF807">
        <v>0</v>
      </c>
      <c r="CG807">
        <v>0</v>
      </c>
      <c r="CH807">
        <v>0</v>
      </c>
      <c r="CI807">
        <v>0</v>
      </c>
      <c r="CJ807">
        <v>0</v>
      </c>
      <c r="CK807">
        <v>0</v>
      </c>
      <c r="CL807">
        <v>0</v>
      </c>
      <c r="CM807">
        <v>0</v>
      </c>
      <c r="CN807" t="str">
        <f>IF($BL807&lt;$BK807,"refNeedCorrection","refOK")</f>
        <v>refOK</v>
      </c>
      <c r="CO807">
        <f>IF($CN807="refNeedCorrection",BL807,BK807)</f>
        <v>1106</v>
      </c>
      <c r="CP807">
        <f>IF($CN807="refNeedCorrection",BK807,BL807)</f>
        <v>2051</v>
      </c>
      <c r="CQ807">
        <f>IF($CN807="refOK",$BO807,-$BO807)</f>
        <v>1118077238.4320416</v>
      </c>
      <c r="CR807">
        <f>IF($CN807="refOK",$BS807,$BT807)*IF($BP807="Emissions positive",-1,1)</f>
        <v>-3731</v>
      </c>
      <c r="CS807">
        <f>IF($CN807="refOK",$BT807,$BS807)*IF($BP807="Emissions positive",-1,1)</f>
        <v>-3095</v>
      </c>
      <c r="CT807">
        <f>IF($CN807="refNeedCorrection",-BX807,BX807)*IF($BP807="Emissions positive",-1,1)</f>
        <v>636000000</v>
      </c>
      <c r="CU807">
        <f>IFERROR(CT807/CQ807,"")</f>
        <v>0.56883368888888886</v>
      </c>
      <c r="CV807" s="2">
        <f>IFERROR((CS807-CR807)/ABS(CR807),"")</f>
        <v>0.1704636826588046</v>
      </c>
      <c r="CW807" s="1" t="s">
        <v>263</v>
      </c>
      <c r="CX807" t="str">
        <f>IF(OR($CW807="prd",$CW807="std",$CW807="cit"),"loc",IF(OR($CW807="eur",$CW807="reg",$CW807="coy"),"reg",$CW807))</f>
        <v>loc</v>
      </c>
      <c r="CY807" t="s">
        <v>428</v>
      </c>
      <c r="CZ807">
        <v>2008</v>
      </c>
      <c r="DA807">
        <f>CZ807+DB807</f>
        <v>2108</v>
      </c>
      <c r="DB807">
        <v>100</v>
      </c>
      <c r="DC807" t="str">
        <f>IF(DB807=0,"0",IF(AND(DB807&gt;=1,DB807&lt;=30),"1-30",IF(AND(DB807&gt;30,DB807&lt;=70),"31-70",IF(AND(DB807&gt;70,DB807&lt;=100),"71-100",IF(DB807&gt;100,"+100")))))</f>
        <v>71-100</v>
      </c>
      <c r="DD807">
        <v>0</v>
      </c>
      <c r="DE807">
        <v>0</v>
      </c>
      <c r="DF807">
        <v>0</v>
      </c>
      <c r="DG807">
        <v>1</v>
      </c>
      <c r="DI807">
        <f>SUM(DD807:DG807)</f>
        <v>1</v>
      </c>
      <c r="DJ807" t="str">
        <f>IF(DI807=1,INDEX($DD$7:$DG$7,MATCH(1,$DD807:$DG807,0)),"mixedProduct")</f>
        <v>TimberInput</v>
      </c>
      <c r="DK807">
        <f>IF(DD807=1,DK$7,0)</f>
        <v>0</v>
      </c>
      <c r="DL807">
        <f>IF(DE807=1,DL$7,0)</f>
        <v>0</v>
      </c>
      <c r="DM807">
        <f>IF(DF807=1,DM$7,0)</f>
        <v>0</v>
      </c>
      <c r="DN807" t="str">
        <f>IF(DG807=1,DN$7,0)</f>
        <v>Timber</v>
      </c>
      <c r="DO807">
        <v>0</v>
      </c>
      <c r="DP807" s="143">
        <v>0</v>
      </c>
      <c r="DQ807">
        <v>0</v>
      </c>
      <c r="DR807">
        <v>0</v>
      </c>
      <c r="DS807">
        <v>0</v>
      </c>
      <c r="DT807">
        <f>SUM(DO807:DP807)</f>
        <v>0</v>
      </c>
      <c r="DU807" s="143" t="str">
        <f>IF(DO807=1,"self-calculated DF",IF(DP807=1,"external DF used","explicit C balance"))</f>
        <v>explicit C balance</v>
      </c>
      <c r="DV807">
        <v>1</v>
      </c>
      <c r="DW807">
        <v>0</v>
      </c>
      <c r="DX807">
        <v>1</v>
      </c>
      <c r="DY807">
        <v>1</v>
      </c>
      <c r="DZ807">
        <v>1</v>
      </c>
      <c r="EA807">
        <v>0</v>
      </c>
      <c r="EB807">
        <v>1</v>
      </c>
      <c r="EC807">
        <v>1</v>
      </c>
      <c r="ED807">
        <v>0</v>
      </c>
      <c r="EE807">
        <v>1</v>
      </c>
      <c r="EF807">
        <v>0</v>
      </c>
      <c r="EG807">
        <v>0</v>
      </c>
      <c r="EH807">
        <v>0</v>
      </c>
      <c r="EI807" s="2">
        <v>0</v>
      </c>
      <c r="EK807" t="str">
        <f>IF(AND(AND(AND(OR($DX807=1,$DW807=1),OR($EC807=1,$EA807=1)),SUM($DV807:$DZ807,$EF807)&gt;=4),SUM($EA807:$EE807)&gt;=2),"Whole sector","")</f>
        <v>Whole sector</v>
      </c>
      <c r="EL807" t="str">
        <f>IF(AND(AND(OR($DX807=1,$DW807=1),AND($EC807=0,$EA807=0)),SUM($DV807:$DZ807,$EF807)&gt;=4),"Ecosystem approach","")</f>
        <v/>
      </c>
      <c r="EM807" s="2" t="str">
        <f>IF(AND(AND(AND($DX807=0,$DW807=0),OR($EC807=1,$EA807=1)),SUM($EB807:$EE807)&gt;=2),"Technology approach","")</f>
        <v/>
      </c>
      <c r="EP807" t="str">
        <f>IF(ISNUMBER(BU807),IF(ABS(BU807-[1]QC_indicators!$B$2)&gt;3*[1]QC_indicators!$C$2,"C ratio",IF(ISNUMBER(BY807),IF(ABS(BY807-[1]QC_indicators!$B$1)&gt;3*[1]QC_indicators!$C$1,"DF","no"))),IF(ISNUMBER(BY807),IF(ABS(BY807-[1]QC_indicators!$B$1)&gt;3*[1]QC_indicators!$C$1,"DF","no")))</f>
        <v>no</v>
      </c>
      <c r="EQ807" t="s">
        <v>1164</v>
      </c>
      <c r="ER807" t="s">
        <v>1165</v>
      </c>
      <c r="ET807" s="264" t="s">
        <v>3251</v>
      </c>
    </row>
    <row r="808" spans="1:151" ht="15" customHeight="1">
      <c r="A808" s="1" t="s">
        <v>1045</v>
      </c>
      <c r="B808" t="s">
        <v>1046</v>
      </c>
      <c r="C808" t="s">
        <v>1047</v>
      </c>
      <c r="D808" t="s">
        <v>1048</v>
      </c>
      <c r="E808" t="s">
        <v>1049</v>
      </c>
      <c r="F808" t="s">
        <v>1050</v>
      </c>
      <c r="G808" t="s">
        <v>1051</v>
      </c>
      <c r="H808" t="s">
        <v>254</v>
      </c>
      <c r="I808">
        <v>2014</v>
      </c>
      <c r="J808">
        <v>23</v>
      </c>
      <c r="K808" t="s">
        <v>1052</v>
      </c>
      <c r="M808" t="str">
        <f>LEFT($D808,FIND(",",$D808)-1)&amp;"_"&amp;I808&amp;L808</f>
        <v>Pyorala_2014</v>
      </c>
      <c r="N808" t="s">
        <v>222</v>
      </c>
      <c r="O808" s="171" t="s">
        <v>341</v>
      </c>
      <c r="P808" t="s">
        <v>225</v>
      </c>
      <c r="Q808" s="264" t="s">
        <v>389</v>
      </c>
      <c r="R808" s="269" t="s">
        <v>1154</v>
      </c>
      <c r="S808" s="263" t="s">
        <v>95</v>
      </c>
      <c r="T808" s="264" t="s">
        <v>1077</v>
      </c>
      <c r="U808" s="264" t="s">
        <v>1078</v>
      </c>
      <c r="V808">
        <v>0</v>
      </c>
      <c r="W808">
        <v>0</v>
      </c>
      <c r="X808">
        <v>0</v>
      </c>
      <c r="Y808">
        <v>0</v>
      </c>
      <c r="Z808">
        <v>0</v>
      </c>
      <c r="AA808">
        <v>0</v>
      </c>
      <c r="AB808">
        <v>0</v>
      </c>
      <c r="AC808">
        <v>1</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s="141">
        <f>COUNTIF(V808:AW808,"&lt;&gt;0")</f>
        <v>1</v>
      </c>
      <c r="AY808" s="141">
        <f>COUNTIF(V808:AL808,"&lt;&gt;0")</f>
        <v>1</v>
      </c>
      <c r="AZ808">
        <f>COUNTIF(V808:AC808,"&lt;&gt;0")</f>
        <v>1</v>
      </c>
      <c r="BA808">
        <f>COUNTIF(AD808:AI808,"&lt;&gt;0")</f>
        <v>0</v>
      </c>
      <c r="BB808">
        <f>COUNTIF(AJ808:AL808,"&lt;&gt;0")</f>
        <v>0</v>
      </c>
      <c r="BC808">
        <f>COUNTIF(AS808:AW808,"&lt;&gt;0")</f>
        <v>0</v>
      </c>
      <c r="BD808">
        <f>COUNTIF(AM808:AR808,"&lt;&gt;0")</f>
        <v>0</v>
      </c>
      <c r="BE808" t="str" cm="1">
        <f t="array" ref="BE808">IF(AY808=1,INDEX($V$7:$AL$7,MATCH(TRUE,INDEX($V808:$AW808&lt;&gt;0,),0)),IF(AY808=0,INDEX($AM$7:$AW$7,MATCH(1,$AM808:$AW808,0)),IF(BF808="Multiple strategies","mixed drivers",IF(BF808="Supply chain","multiple supply","multiple silviculture"))))</f>
        <v>site fertility</v>
      </c>
      <c r="BF808" s="2" t="str" cm="1">
        <f t="array" ref="BF808">IF(COUNTIF(AZ808:BB808,"&lt;&gt;0")=1,INDEX($V$4:$AW$4,MATCH(TRUE,INDEX($V808:$AW808&lt;&gt;0,),0)),IF(COUNTIF(AZ808:BB808,"&lt;&gt;0")=0,INDEX($AM$4:$AW$4,MATCH(1,$AM808:$AW808,0)),"Multiple strategies"))</f>
        <v>Silviculture for productivity</v>
      </c>
      <c r="BG808" s="1" t="s">
        <v>321</v>
      </c>
      <c r="BH808" t="s">
        <v>1056</v>
      </c>
      <c r="BI808" s="264" t="s">
        <v>1057</v>
      </c>
      <c r="BJ808" s="264" t="s">
        <v>1058</v>
      </c>
      <c r="BK808">
        <v>5.25</v>
      </c>
      <c r="BL808">
        <v>6.1</v>
      </c>
      <c r="BM808" t="str">
        <f>IFERROR(BK808/#REF!,"")</f>
        <v/>
      </c>
      <c r="BN808">
        <f>BL808-BK808</f>
        <v>0.84999999999999964</v>
      </c>
      <c r="BO808">
        <f>BN808*t_to_m3</f>
        <v>1.7346938775510197</v>
      </c>
      <c r="BP808" t="s">
        <v>395</v>
      </c>
      <c r="BQ808" t="s">
        <v>972</v>
      </c>
      <c r="BR808" t="s">
        <v>1059</v>
      </c>
      <c r="BS808" s="172">
        <v>-389.5</v>
      </c>
      <c r="BT808" s="172">
        <v>-489</v>
      </c>
      <c r="BU808" s="144"/>
      <c r="BV808">
        <f>BT808-BS808</f>
        <v>-99.5</v>
      </c>
      <c r="BX808">
        <f>BV808*10^-6*10^4</f>
        <v>-0.99499999999999988</v>
      </c>
      <c r="BY808">
        <f>IFERROR(BX808/BO808,"")</f>
        <v>-0.57358823529411784</v>
      </c>
      <c r="BZ808">
        <v>0</v>
      </c>
      <c r="CA808">
        <v>0</v>
      </c>
      <c r="CB808">
        <v>0</v>
      </c>
      <c r="CC808">
        <v>0</v>
      </c>
      <c r="CD808">
        <v>0</v>
      </c>
      <c r="CE808">
        <v>0</v>
      </c>
      <c r="CF808">
        <v>0</v>
      </c>
      <c r="CG808">
        <v>0</v>
      </c>
      <c r="CH808">
        <v>0</v>
      </c>
      <c r="CI808">
        <v>0</v>
      </c>
      <c r="CJ808">
        <v>0</v>
      </c>
      <c r="CK808">
        <v>0</v>
      </c>
      <c r="CL808">
        <v>0</v>
      </c>
      <c r="CM808">
        <v>0</v>
      </c>
      <c r="CN808" t="str">
        <f>IF($BL808&lt;$BK808,"refNeedCorrection","refOK")</f>
        <v>refOK</v>
      </c>
      <c r="CO808">
        <f>IF($CN808="refOK",$BK808,$BL808)</f>
        <v>5.25</v>
      </c>
      <c r="CP808">
        <f>IF($CN808="refOK",$BL808,$BK808)</f>
        <v>6.1</v>
      </c>
      <c r="CQ808">
        <f>IF($CN808="refOK",$BO808,-$BO808)</f>
        <v>1.7346938775510197</v>
      </c>
      <c r="CR808">
        <f>IF($CN808="refOK",$BS808,$BT808)*IF($BP808="Emissions positive",-1,1)</f>
        <v>389.5</v>
      </c>
      <c r="CS808">
        <f>IF($CN808="refOK",$BT808,$BS808)*IF($BP808="Emissions positive",-1,1)</f>
        <v>489</v>
      </c>
      <c r="CT808">
        <f>IF($CN808="refNeedCorrection",-BX808,BX808)*IF($BP808="Emissions positive",-1,1)</f>
        <v>0.99499999999999988</v>
      </c>
      <c r="CU808">
        <f>IFERROR(CT808/CQ808,"")</f>
        <v>0.57358823529411784</v>
      </c>
      <c r="CV808" s="2">
        <f>IFERROR((CS808-CR808)/ABS(CR808),"")</f>
        <v>0.25545571245186138</v>
      </c>
      <c r="CW808" s="1" t="s">
        <v>263</v>
      </c>
      <c r="CX808" s="264" t="str">
        <f>IF(OR($CW808="prd",$CW808="std",$CW808="cit"),"loc",IF(OR($CW808="eur",$CW808="reg",$CW808="coy"),"reg",$CW808))</f>
        <v>loc</v>
      </c>
      <c r="CY808" t="s">
        <v>235</v>
      </c>
      <c r="DB808">
        <v>80</v>
      </c>
      <c r="DC808" t="str">
        <f>IF(DB808=0,"0",IF(AND(DB808&gt;=1,DB808&lt;=30),"1-30",IF(AND(DB808&gt;30,DB808&lt;=70),"31-70",IF(AND(DB808&gt;70,DB808&lt;=100),"71-100",IF(DB808&gt;100,"+100")))))</f>
        <v>71-100</v>
      </c>
      <c r="DD808">
        <v>0</v>
      </c>
      <c r="DE808">
        <v>1</v>
      </c>
      <c r="DF808">
        <v>0</v>
      </c>
      <c r="DG808">
        <v>1</v>
      </c>
      <c r="DI808">
        <f>SUM(DD808:DG808)</f>
        <v>2</v>
      </c>
      <c r="DJ808" t="str">
        <f>IF(DI808=1,INDEX($DD$7:$DG$7,MATCH(1,$DD808:$DG808,0)),"mixedProduct")</f>
        <v>mixedProduct</v>
      </c>
      <c r="DK808">
        <f>IF(DD808=1,DK$7,0)</f>
        <v>0</v>
      </c>
      <c r="DL808" t="str">
        <f>IF(DE808=1,DL$7,0)</f>
        <v>Energy</v>
      </c>
      <c r="DM808">
        <f>IF(DF808=1,DM$7,0)</f>
        <v>0</v>
      </c>
      <c r="DN808" t="str">
        <f>IF(DG808=1,DN$7,0)</f>
        <v>Timber</v>
      </c>
      <c r="DO808">
        <v>0</v>
      </c>
      <c r="DP808">
        <v>1</v>
      </c>
      <c r="DQ808" t="s">
        <v>1060</v>
      </c>
      <c r="DT808">
        <f>SUM(DO808:DP808)</f>
        <v>1</v>
      </c>
      <c r="DU808" s="143" t="str">
        <f>IF(DO808=1,"self-calculated DF",IF(DP808=1,"external DF used","explicit C balance"))</f>
        <v>external DF used</v>
      </c>
      <c r="DV808">
        <v>1</v>
      </c>
      <c r="DW808">
        <v>1</v>
      </c>
      <c r="DX808">
        <v>1</v>
      </c>
      <c r="DY808" s="143">
        <v>0</v>
      </c>
      <c r="DZ808">
        <v>0</v>
      </c>
      <c r="EA808" s="143">
        <v>0</v>
      </c>
      <c r="EB808">
        <v>1</v>
      </c>
      <c r="EC808">
        <v>1</v>
      </c>
      <c r="ED808" s="143">
        <v>0</v>
      </c>
      <c r="EE808">
        <v>0</v>
      </c>
      <c r="EF808">
        <v>1</v>
      </c>
      <c r="EG808" s="143">
        <v>0</v>
      </c>
      <c r="EH808" s="143">
        <v>0</v>
      </c>
      <c r="EI808" s="2">
        <v>0</v>
      </c>
      <c r="EK808" t="str">
        <f>IF(AND(AND(AND(OR($DX808=1,$DW808=1),OR($EC808=1,$EA808=1)),SUM($DV808:$DZ808,$EF808)&gt;=4),SUM($EA808:$EE808)&gt;=2),"Whole sector","")</f>
        <v>Whole sector</v>
      </c>
      <c r="EL808" t="str">
        <f>IF(AND(AND(OR($DX808=1,$DW808=1),AND($EC808=0,$EA808=0)),SUM($DV808:$DZ808,$EF808)&gt;=4),"Ecosystem approach","")</f>
        <v/>
      </c>
      <c r="EM808" s="2" t="str">
        <f>IF(AND(AND(AND($DX808=0,$DW808=0),OR($EC808=1,$EA808=1)),SUM($EB808:$EE808)&gt;=2),"Technology approach","")</f>
        <v/>
      </c>
      <c r="EP808" t="str">
        <f>IF(ISNUMBER(BU808),IF(ABS(BU808-[3]QC_indicators!$B$2)&gt;3*[3]QC_indicators!$C$2,"C ratio",IF(ISNUMBER(BY808),IF(ABS(BY808-[3]QC_indicators!$B$1)&gt;3*[3]QC_indicators!$C$1,"DF","no"))),IF(ISNUMBER(BY808),IF(ABS(BY808-[3]QC_indicators!$B$1)&gt;3*[3]QC_indicators!$C$1,"DF","no")))</f>
        <v>no</v>
      </c>
      <c r="ER808" s="264" t="s">
        <v>1070</v>
      </c>
      <c r="ET808" s="264" t="s">
        <v>3407</v>
      </c>
    </row>
    <row r="809" spans="1:151" ht="15" customHeight="1">
      <c r="A809" s="1" t="s">
        <v>430</v>
      </c>
      <c r="B809" t="s">
        <v>431</v>
      </c>
      <c r="C809" t="s">
        <v>432</v>
      </c>
      <c r="D809" t="s">
        <v>433</v>
      </c>
      <c r="E809" t="s">
        <v>434</v>
      </c>
      <c r="F809" t="s">
        <v>435</v>
      </c>
      <c r="G809" t="s">
        <v>436</v>
      </c>
      <c r="H809" t="s">
        <v>254</v>
      </c>
      <c r="I809">
        <v>2000</v>
      </c>
      <c r="J809">
        <v>174</v>
      </c>
      <c r="K809" t="s">
        <v>437</v>
      </c>
      <c r="M809" t="str">
        <f>LEFT($D809,FIND(",",$D809)-1)&amp;"_"&amp;I809&amp;L809</f>
        <v>Borjesson_2000</v>
      </c>
      <c r="N809" t="s">
        <v>222</v>
      </c>
      <c r="O809" s="145" t="s">
        <v>223</v>
      </c>
      <c r="Q809" t="s">
        <v>256</v>
      </c>
      <c r="R809" s="255" t="s">
        <v>225</v>
      </c>
      <c r="S809" s="1" t="s">
        <v>438</v>
      </c>
      <c r="T809" t="s">
        <v>449</v>
      </c>
      <c r="U809" t="s">
        <v>456</v>
      </c>
      <c r="V809">
        <v>0</v>
      </c>
      <c r="W809">
        <v>0</v>
      </c>
      <c r="X809">
        <v>0</v>
      </c>
      <c r="Y809">
        <v>0</v>
      </c>
      <c r="Z809">
        <v>0</v>
      </c>
      <c r="AA809">
        <v>0</v>
      </c>
      <c r="AB809">
        <v>0</v>
      </c>
      <c r="AC809">
        <v>0</v>
      </c>
      <c r="AD809">
        <v>0</v>
      </c>
      <c r="AE809">
        <v>0</v>
      </c>
      <c r="AF809">
        <v>0</v>
      </c>
      <c r="AG809">
        <v>0</v>
      </c>
      <c r="AH809">
        <v>0</v>
      </c>
      <c r="AI809">
        <v>0</v>
      </c>
      <c r="AJ809">
        <v>0</v>
      </c>
      <c r="AK809">
        <v>1</v>
      </c>
      <c r="AL809">
        <v>0</v>
      </c>
      <c r="AM809">
        <v>0</v>
      </c>
      <c r="AN809">
        <v>0</v>
      </c>
      <c r="AO809">
        <v>0</v>
      </c>
      <c r="AP809">
        <v>0</v>
      </c>
      <c r="AQ809">
        <v>0</v>
      </c>
      <c r="AR809">
        <v>0</v>
      </c>
      <c r="AS809">
        <v>0</v>
      </c>
      <c r="AT809">
        <v>0</v>
      </c>
      <c r="AU809">
        <v>0</v>
      </c>
      <c r="AV809">
        <v>0</v>
      </c>
      <c r="AW809">
        <v>0</v>
      </c>
      <c r="AX809" s="141">
        <f>COUNTIF(V809:AW809,"&lt;&gt;0")</f>
        <v>1</v>
      </c>
      <c r="AY809" s="141">
        <f>COUNTIF(V809:AL809,"&lt;&gt;0")</f>
        <v>1</v>
      </c>
      <c r="AZ809">
        <f>COUNTIF(V809:AC809,"&lt;&gt;0")</f>
        <v>0</v>
      </c>
      <c r="BA809">
        <f>COUNTIF(AD809:AI809,"&lt;&gt;0")</f>
        <v>0</v>
      </c>
      <c r="BB809">
        <f>COUNTIF(AJ809:AL809,"&lt;&gt;0")</f>
        <v>1</v>
      </c>
      <c r="BC809">
        <f>COUNTIF(AS809:AW809,"&lt;&gt;0")</f>
        <v>0</v>
      </c>
      <c r="BD809">
        <f>COUNTIF(AM809:AR809,"&lt;&gt;0")</f>
        <v>0</v>
      </c>
      <c r="BE809" t="str">
        <f t="array" ref="BE809">IF(AY809=1,INDEX($V$7:$AL$7,MATCH(TRUE,INDEX($V809:$AW809&lt;&gt;0,),0)),IF(AY809=0,INDEX($AM$7:$AW$7,MATCH(1,$AM809:$AW809,0)),IF(BF809="Multiple strategies","mixed drivers",IF(BF809="Supply chain","multiple supply","multiple silviculture"))))</f>
        <v>technologies/design switch</v>
      </c>
      <c r="BF809" s="2" t="str" cm="1">
        <f t="array" ref="BF809">IF(COUNTIF(AZ809:BB809,"&lt;&gt;0")=1,INDEX($V$4:$AW$4,MATCH(TRUE,INDEX($V809:$AW809&lt;&gt;0,),0)),IF(COUNTIF(AZ809:BB809,"&lt;&gt;0")=0,INDEX($AM$4:$AW$4,MATCH(1,$AM809:$AW809,0)),"Multiple strategies"))</f>
        <v>Technology</v>
      </c>
      <c r="BG809" s="142" t="s">
        <v>229</v>
      </c>
      <c r="BH809" t="s">
        <v>441</v>
      </c>
      <c r="BI809" s="264" t="s">
        <v>3274</v>
      </c>
      <c r="BJ809" s="143" t="s">
        <v>442</v>
      </c>
      <c r="BK809">
        <v>0</v>
      </c>
      <c r="BL809">
        <f>3*44</f>
        <v>132</v>
      </c>
      <c r="BM809" s="143" t="e">
        <f>BL809/BK809</f>
        <v>#DIV/0!</v>
      </c>
      <c r="BN809">
        <f>BL809-BK809</f>
        <v>132</v>
      </c>
      <c r="BO809">
        <f>BN809*tC_to_m3</f>
        <v>573.16543638732094</v>
      </c>
      <c r="BP809" t="s">
        <v>232</v>
      </c>
      <c r="BQ809" s="260" t="s">
        <v>813</v>
      </c>
      <c r="BR809" t="s">
        <v>443</v>
      </c>
      <c r="BS809" s="141">
        <v>3</v>
      </c>
      <c r="BT809" s="141">
        <v>93</v>
      </c>
      <c r="BU809" s="144">
        <f>IFERROR(BT809/BS809,"")</f>
        <v>31</v>
      </c>
      <c r="BV809">
        <f>BT809-BS809</f>
        <v>90</v>
      </c>
      <c r="BX809">
        <f>BV809*C_to_CO2</f>
        <v>330.3</v>
      </c>
      <c r="BY809">
        <f>IFERROR(BX809/BO809,"")</f>
        <v>0.57627340909090907</v>
      </c>
      <c r="BZ809" s="143">
        <v>0</v>
      </c>
      <c r="CA809" s="143">
        <v>0</v>
      </c>
      <c r="CB809" s="143">
        <v>0</v>
      </c>
      <c r="CC809" s="143">
        <v>0</v>
      </c>
      <c r="CD809" s="143">
        <v>0</v>
      </c>
      <c r="CE809" s="143">
        <v>0</v>
      </c>
      <c r="CF809" s="143">
        <v>0</v>
      </c>
      <c r="CG809" s="143">
        <v>0</v>
      </c>
      <c r="CH809" s="143">
        <v>0</v>
      </c>
      <c r="CI809" s="143">
        <v>0</v>
      </c>
      <c r="CJ809" s="143">
        <v>0</v>
      </c>
      <c r="CK809" s="143">
        <v>0</v>
      </c>
      <c r="CL809" s="143">
        <v>0</v>
      </c>
      <c r="CM809">
        <v>0</v>
      </c>
      <c r="CN809" t="str">
        <f>IF($BL809&lt;$BK809,"refNeedCorrection","refOK")</f>
        <v>refOK</v>
      </c>
      <c r="CO809">
        <f>IF($CN809="refOK",$BK809,$BL809)</f>
        <v>0</v>
      </c>
      <c r="CP809">
        <f>IF($CN809="refOK",$BL809,$BK809)</f>
        <v>132</v>
      </c>
      <c r="CQ809">
        <f>IF($CN809="refOK",$BO809,-$BO809)</f>
        <v>573.16543638732094</v>
      </c>
      <c r="CR809">
        <f>IF($CN809="refOK",$BS809,$BT809)*IF($BP809="Emissions positive",-1,1)</f>
        <v>3</v>
      </c>
      <c r="CS809">
        <f>IF($CN809="refOK",$BT809,$BS809)*IF($BP809="Emissions positive",-1,1)</f>
        <v>93</v>
      </c>
      <c r="CT809">
        <f>IF($CN809="refNeedCorrection",-BX809,BX809)*IF($BP809="Emissions positive",-1,1)</f>
        <v>330.3</v>
      </c>
      <c r="CU809">
        <f>IFERROR(CT809/CQ809,"")</f>
        <v>0.57627340909090907</v>
      </c>
      <c r="CV809" s="2">
        <f>IFERROR((CS809-CR809)/ABS(CR809),"")</f>
        <v>30</v>
      </c>
      <c r="CW809" s="1" t="s">
        <v>263</v>
      </c>
      <c r="CX809" t="str">
        <f>IF(OR($CW809="prd",$CW809="std",$CW809="cit"),"loc",IF(OR($CW809="eur",$CW809="reg",$CW809="coy"),"reg",$CW809))</f>
        <v>loc</v>
      </c>
      <c r="CY809" t="s">
        <v>444</v>
      </c>
      <c r="DB809">
        <v>300</v>
      </c>
      <c r="DC809" t="str">
        <f>IF(DB809=0,"0",IF(AND(DB809&gt;=1,DB809&lt;=30),"1-30",IF(AND(DB809&gt;30,DB809&lt;=70),"31-70",IF(AND(DB809&gt;70,DB809&lt;=100),"71-100",IF(DB809&gt;100,"+100")))))</f>
        <v>+100</v>
      </c>
      <c r="DD809">
        <v>0</v>
      </c>
      <c r="DE809">
        <v>0</v>
      </c>
      <c r="DF809">
        <v>0</v>
      </c>
      <c r="DG809">
        <v>1</v>
      </c>
      <c r="DI809">
        <f>SUM(DD809:DG809)</f>
        <v>1</v>
      </c>
      <c r="DJ809" t="str">
        <f>IF(DI809=1,INDEX($DD$7:$DG$7,MATCH(1,$DD809:$DG809,0)),"mixedProduct")</f>
        <v>TimberInput</v>
      </c>
      <c r="DK809">
        <f>IF(DD809=1,DK$7,0)</f>
        <v>0</v>
      </c>
      <c r="DL809">
        <f>IF(DE809=1,DL$7,0)</f>
        <v>0</v>
      </c>
      <c r="DM809">
        <f>IF(DF809=1,DM$7,0)</f>
        <v>0</v>
      </c>
      <c r="DN809" t="str">
        <f>IF(DG809=1,DN$7,0)</f>
        <v>Timber</v>
      </c>
      <c r="DO809">
        <v>1</v>
      </c>
      <c r="DP809" s="143">
        <v>0</v>
      </c>
      <c r="DQ809" s="143">
        <v>0</v>
      </c>
      <c r="DR809" s="143">
        <v>0</v>
      </c>
      <c r="DS809">
        <v>0</v>
      </c>
      <c r="DT809">
        <f>SUM(DO809:DP809)</f>
        <v>1</v>
      </c>
      <c r="DU809" s="143" t="str">
        <f>IF(DO809=1,"self-calculated DF",IF(DP809=1,"external DF used","explicit C balance"))</f>
        <v>self-calculated DF</v>
      </c>
      <c r="DV809">
        <v>0</v>
      </c>
      <c r="DW809" s="143">
        <v>0</v>
      </c>
      <c r="DX809" s="143">
        <v>1</v>
      </c>
      <c r="DY809" s="143">
        <v>1</v>
      </c>
      <c r="DZ809">
        <v>1</v>
      </c>
      <c r="EA809" s="143">
        <v>1</v>
      </c>
      <c r="EB809">
        <v>0</v>
      </c>
      <c r="EC809" s="143">
        <v>1</v>
      </c>
      <c r="ED809" s="143">
        <v>0</v>
      </c>
      <c r="EE809">
        <v>0</v>
      </c>
      <c r="EF809">
        <v>0</v>
      </c>
      <c r="EG809" s="143">
        <v>0</v>
      </c>
      <c r="EH809" s="143">
        <v>0</v>
      </c>
      <c r="EI809" s="2">
        <v>0</v>
      </c>
      <c r="EK809" t="str">
        <f>IF(AND(AND(AND(OR($DX809=1,$DW809=1),OR($EC809=1,$EA809=1)),SUM($DV809:$DZ809,$EF809)&gt;=4),SUM($EA809:$EE809)&gt;=2),"Whole sector","")</f>
        <v/>
      </c>
      <c r="EL809" t="str">
        <f>IF(AND(AND(OR($DX809=1,$DW809=1),AND($EC809=0,$EA809=0)),SUM($DV809:$DZ809,$EF809)&gt;=4),"Ecosystem approach","")</f>
        <v/>
      </c>
      <c r="EM809" s="2" t="str">
        <f>IF(AND(AND(AND($DX809=0,$DW809=0),OR($EC809=1,$EA809=1)),SUM($EB809:$EE809)&gt;=2),"Technology approach","")</f>
        <v/>
      </c>
      <c r="EN809" t="s">
        <v>445</v>
      </c>
      <c r="EP809" t="str">
        <f>IF(ISNUMBER(BU809),IF(ABS(BU809-[4]QC_indicators!$B$2)&gt;3*[4]QC_indicators!$C$2,"C ratio",IF(ISNUMBER(BY809),IF(ABS(BY809-[4]QC_indicators!$B$1)&gt;3*[4]QC_indicators!$C$1,"DF","no"))),IF(ISNUMBER(BY809),IF(ABS(BY809-[4]QC_indicators!$B$1)&gt;3*[4]QC_indicators!$C$1,"DF","no")))</f>
        <v>C ratio</v>
      </c>
      <c r="EQ809" t="s">
        <v>450</v>
      </c>
      <c r="ET809" s="264" t="s">
        <v>3273</v>
      </c>
    </row>
    <row r="810" spans="1:151" ht="15" customHeight="1">
      <c r="A810" s="1" t="s">
        <v>265</v>
      </c>
      <c r="B810" t="s">
        <v>266</v>
      </c>
      <c r="C810" t="s">
        <v>267</v>
      </c>
      <c r="D810" t="s">
        <v>268</v>
      </c>
      <c r="E810" t="s">
        <v>269</v>
      </c>
      <c r="F810" t="s">
        <v>270</v>
      </c>
      <c r="G810" t="s">
        <v>271</v>
      </c>
      <c r="H810" t="s">
        <v>254</v>
      </c>
      <c r="I810">
        <v>2022</v>
      </c>
      <c r="J810">
        <v>0</v>
      </c>
      <c r="K810" t="s">
        <v>272</v>
      </c>
      <c r="M810" t="str">
        <f>LEFT($D810,FIND(",",$D810)-1)&amp;"_"&amp;I810&amp;L810</f>
        <v>Aryapratama_2022</v>
      </c>
      <c r="N810" t="s">
        <v>222</v>
      </c>
      <c r="O810" s="145" t="s">
        <v>274</v>
      </c>
      <c r="Q810" t="s">
        <v>224</v>
      </c>
      <c r="R810" s="262" t="s">
        <v>223</v>
      </c>
      <c r="S810" s="263" t="s">
        <v>3105</v>
      </c>
      <c r="T810" t="s">
        <v>307</v>
      </c>
      <c r="U810" t="s">
        <v>308</v>
      </c>
      <c r="V810">
        <v>0</v>
      </c>
      <c r="W810">
        <v>0</v>
      </c>
      <c r="X810">
        <v>0</v>
      </c>
      <c r="Y810">
        <v>0</v>
      </c>
      <c r="Z810">
        <v>0</v>
      </c>
      <c r="AA810">
        <v>0</v>
      </c>
      <c r="AB810">
        <v>0</v>
      </c>
      <c r="AC810">
        <v>0</v>
      </c>
      <c r="AD810">
        <v>0</v>
      </c>
      <c r="AE810">
        <v>0</v>
      </c>
      <c r="AF810">
        <v>0</v>
      </c>
      <c r="AG810">
        <v>0</v>
      </c>
      <c r="AH810">
        <v>0</v>
      </c>
      <c r="AI810">
        <v>0</v>
      </c>
      <c r="AJ810">
        <v>0</v>
      </c>
      <c r="AK810">
        <v>1</v>
      </c>
      <c r="AL810">
        <v>0</v>
      </c>
      <c r="AM810">
        <v>0</v>
      </c>
      <c r="AN810">
        <v>0</v>
      </c>
      <c r="AO810">
        <v>0</v>
      </c>
      <c r="AP810">
        <v>0</v>
      </c>
      <c r="AQ810">
        <v>0</v>
      </c>
      <c r="AR810">
        <v>0</v>
      </c>
      <c r="AS810">
        <v>0</v>
      </c>
      <c r="AT810">
        <v>0</v>
      </c>
      <c r="AU810">
        <v>0</v>
      </c>
      <c r="AV810">
        <v>0</v>
      </c>
      <c r="AW810">
        <v>0</v>
      </c>
      <c r="AX810" s="141">
        <f>COUNTIF(V810:AW810,"&lt;&gt;0")</f>
        <v>1</v>
      </c>
      <c r="AY810" s="141">
        <f>COUNTIF(V810:AL810,"&lt;&gt;0")</f>
        <v>1</v>
      </c>
      <c r="AZ810">
        <f>COUNTIF(V810:AC810,"&lt;&gt;0")</f>
        <v>0</v>
      </c>
      <c r="BA810">
        <f>COUNTIF(AD810:AI810,"&lt;&gt;0")</f>
        <v>0</v>
      </c>
      <c r="BB810">
        <f>COUNTIF(AJ810:AL810,"&lt;&gt;0")</f>
        <v>1</v>
      </c>
      <c r="BC810">
        <f>COUNTIF(AS810:AW810,"&lt;&gt;0")</f>
        <v>0</v>
      </c>
      <c r="BD810">
        <f>COUNTIF(AM810:AR810,"&lt;&gt;0")</f>
        <v>0</v>
      </c>
      <c r="BE810" t="str">
        <f t="array" ref="BE810">IF(AY810=1,INDEX($V$7:$AL$7,MATCH(TRUE,INDEX($V810:$AW810&lt;&gt;0,),0)),IF(AY810=0,INDEX($AM$7:$AW$7,MATCH(1,$AM810:$AW810,0)),IF(BF810="Multiple strategies","mixed drivers",IF(BF810="Supply chain","multiple supply","multiple silviculture"))))</f>
        <v>technologies/design switch</v>
      </c>
      <c r="BF810" s="2" t="str" cm="1">
        <f t="array" ref="BF810">IF(COUNTIF(AZ810:BB810,"&lt;&gt;0")=1,INDEX($V$4:$AW$4,MATCH(TRUE,INDEX($V810:$AW810&lt;&gt;0,),0)),IF(COUNTIF(AZ810:BB810,"&lt;&gt;0")=0,INDEX($AM$4:$AW$4,MATCH(1,$AM810:$AW810,0)),"Multiple strategies"))</f>
        <v>Technology</v>
      </c>
      <c r="BG810" s="1" t="s">
        <v>229</v>
      </c>
      <c r="BH810" t="s">
        <v>277</v>
      </c>
      <c r="BI810" s="264" t="s">
        <v>3106</v>
      </c>
      <c r="BJ810" t="s">
        <v>278</v>
      </c>
      <c r="BK810">
        <v>0</v>
      </c>
      <c r="BL810">
        <v>227.87378039612278</v>
      </c>
      <c r="BN810">
        <f>BL810-BK810</f>
        <v>227.87378039612278</v>
      </c>
      <c r="BO810">
        <f>BN810*tC_to_m3</f>
        <v>989.46496046948675</v>
      </c>
      <c r="BP810" t="s">
        <v>232</v>
      </c>
      <c r="BQ810" s="337" t="s">
        <v>3107</v>
      </c>
      <c r="BR810" t="s">
        <v>279</v>
      </c>
      <c r="BS810">
        <v>-385.00157645914061</v>
      </c>
      <c r="BT810">
        <v>185.53811788022131</v>
      </c>
      <c r="BU810" s="144">
        <f>IFERROR(BT810/BS810,"")</f>
        <v>-0.48191521600149101</v>
      </c>
      <c r="BV810">
        <f>BT810-BS810</f>
        <v>570.53969433936186</v>
      </c>
      <c r="BX810">
        <f>BV810</f>
        <v>570.53969433936186</v>
      </c>
      <c r="BY810">
        <f>IFERROR(BX810/BO810,"")</f>
        <v>0.57661434930313149</v>
      </c>
      <c r="BZ810">
        <v>0</v>
      </c>
      <c r="CA810">
        <v>0</v>
      </c>
      <c r="CB810">
        <v>0</v>
      </c>
      <c r="CC810">
        <v>0</v>
      </c>
      <c r="CD810">
        <v>0</v>
      </c>
      <c r="CE810">
        <v>0</v>
      </c>
      <c r="CF810">
        <v>0</v>
      </c>
      <c r="CG810">
        <v>0</v>
      </c>
      <c r="CH810">
        <v>0</v>
      </c>
      <c r="CI810">
        <v>0</v>
      </c>
      <c r="CJ810">
        <v>0</v>
      </c>
      <c r="CK810">
        <v>0</v>
      </c>
      <c r="CL810">
        <v>0</v>
      </c>
      <c r="CM810">
        <v>0</v>
      </c>
      <c r="CN810" t="str">
        <f>IF($BL810&lt;$BK810,"refNeedCorrection","refOK")</f>
        <v>refOK</v>
      </c>
      <c r="CO810">
        <f>IF($CN810="refOK",$BK810,$BL810)</f>
        <v>0</v>
      </c>
      <c r="CP810">
        <f>IF($CN810="refOK",$BL810,$BK810)</f>
        <v>227.87378039612278</v>
      </c>
      <c r="CQ810">
        <f>IF($CN810="refOK",$BO810,-$BO810)</f>
        <v>989.46496046948675</v>
      </c>
      <c r="CR810">
        <f>IF($CN810="refOK",$BS810,$BT810)*IF($BP810="Emissions positive",-1,1)</f>
        <v>-385.00157645914061</v>
      </c>
      <c r="CS810">
        <f>IF($CN810="refOK",$BT810,$BS810)*IF($BP810="Emissions positive",-1,1)</f>
        <v>185.53811788022131</v>
      </c>
      <c r="CT810">
        <f>IF($CN810="refNeedCorrection",-BX810,BX810)*IF($BP810="Emissions positive",-1,1)</f>
        <v>570.53969433936186</v>
      </c>
      <c r="CU810">
        <f>IFERROR(CT810/CQ810,"")</f>
        <v>0.57661434930313149</v>
      </c>
      <c r="CV810" s="2">
        <f>IFERROR((CS810-CR810)/ABS(CR810),"")</f>
        <v>1.4819152160014908</v>
      </c>
      <c r="CW810" s="1" t="s">
        <v>234</v>
      </c>
      <c r="CX810" t="str">
        <f>IF(OR($CW810="prd",$CW810="std",$CW810="cit"),"loc",IF(OR($CW810="eur",$CW810="reg",$CW810="coy"),"reg",$CW810))</f>
        <v>loc</v>
      </c>
      <c r="CY810" t="s">
        <v>280</v>
      </c>
      <c r="DB810">
        <v>100</v>
      </c>
      <c r="DC810" t="str">
        <f>IF(DB810=0,"0",IF(AND(DB810&gt;=1,DB810&lt;=30),"1-30",IF(AND(DB810&gt;30,DB810&lt;=70),"31-70",IF(AND(DB810&gt;70,DB810&lt;=100),"71-100",IF(DB810&gt;100,"+100")))))</f>
        <v>71-100</v>
      </c>
      <c r="DD810">
        <v>0</v>
      </c>
      <c r="DE810">
        <v>0</v>
      </c>
      <c r="DF810">
        <v>0</v>
      </c>
      <c r="DG810">
        <v>1</v>
      </c>
      <c r="DI810">
        <f>SUM(DD810:DG810)</f>
        <v>1</v>
      </c>
      <c r="DJ810" t="str">
        <f>IF(DI810=1,INDEX($DD$7:$DG$7,MATCH(1,$DD810:$DG810,0)),"mixedProduct")</f>
        <v>TimberInput</v>
      </c>
      <c r="DK810">
        <f>IF(DD810=1,DK$7,0)</f>
        <v>0</v>
      </c>
      <c r="DL810">
        <f>IF(DE810=1,DL$7,0)</f>
        <v>0</v>
      </c>
      <c r="DM810">
        <f>IF(DF810=1,DM$7,0)</f>
        <v>0</v>
      </c>
      <c r="DN810" t="str">
        <f>IF(DG810=1,DN$7,0)</f>
        <v>Timber</v>
      </c>
      <c r="DO810">
        <v>0</v>
      </c>
      <c r="DP810">
        <v>1</v>
      </c>
      <c r="DQ810" t="s">
        <v>304</v>
      </c>
      <c r="DR810">
        <v>0</v>
      </c>
      <c r="DS810">
        <v>0</v>
      </c>
      <c r="DT810">
        <f>SUM(DO810:DP810)</f>
        <v>1</v>
      </c>
      <c r="DU810" s="143" t="str">
        <f>IF(DO810=1,"self-calculated DF",IF(DP810=1,"external DF used","explicit C balance"))</f>
        <v>external DF used</v>
      </c>
      <c r="DV810">
        <v>0</v>
      </c>
      <c r="DW810">
        <v>1</v>
      </c>
      <c r="DX810">
        <v>1</v>
      </c>
      <c r="DY810">
        <v>1</v>
      </c>
      <c r="DZ810">
        <v>1</v>
      </c>
      <c r="EA810" s="143">
        <v>0</v>
      </c>
      <c r="EB810">
        <v>1</v>
      </c>
      <c r="EC810">
        <v>1</v>
      </c>
      <c r="ED810">
        <v>0</v>
      </c>
      <c r="EE810">
        <v>1</v>
      </c>
      <c r="EF810">
        <v>1</v>
      </c>
      <c r="EG810">
        <v>1</v>
      </c>
      <c r="EH810">
        <v>0</v>
      </c>
      <c r="EI810" s="2">
        <v>0</v>
      </c>
      <c r="EK810" t="str">
        <f>IF(AND(AND(AND(OR($DX810=1,$DW810=1),OR($EC810=1,$EA810=1)),SUM($DV810:$DZ810,$EF810)&gt;=4),SUM($EA810:$EE810)&gt;=2),"Whole sector","")</f>
        <v>Whole sector</v>
      </c>
      <c r="EL810" t="str">
        <f>IF(AND(AND(OR($DX810=1,$DW810=1),AND($EC810=0,$EA810=0)),SUM($DV810:$DZ810,$EF810)&gt;=4),"Ecosystem approach","")</f>
        <v/>
      </c>
      <c r="EM810" s="2" t="str">
        <f>IF(AND(AND(AND($DX810=0,$DW810=0),OR($EC810=1,$EA810=1)),SUM($EB810:$EE810)&gt;=2),"Technology approach","")</f>
        <v/>
      </c>
      <c r="EP810" t="str">
        <f>IF(ISNUMBER(BU810),IF(ABS(BU810-[1]QC_indicators!$B$2)&gt;3*[1]QC_indicators!$C$2,"C ratio",IF(ISNUMBER(BY810),IF(ABS(BY810-[1]QC_indicators!$B$1)&gt;3*[1]QC_indicators!$C$1,"DF","no"))),IF(ISNUMBER(BY810),IF(ABS(BY810-[1]QC_indicators!$B$1)&gt;3*[1]QC_indicators!$C$1,"DF","no")))</f>
        <v>no</v>
      </c>
      <c r="EQ810" t="s">
        <v>286</v>
      </c>
      <c r="ER810" t="s">
        <v>296</v>
      </c>
      <c r="ET810" s="264" t="s">
        <v>3273</v>
      </c>
    </row>
    <row r="811" spans="1:151" ht="15" customHeight="1">
      <c r="A811" s="1" t="s">
        <v>1233</v>
      </c>
      <c r="B811" t="s">
        <v>1234</v>
      </c>
      <c r="C811" t="s">
        <v>1235</v>
      </c>
      <c r="D811" t="s">
        <v>336</v>
      </c>
      <c r="E811" t="s">
        <v>1236</v>
      </c>
      <c r="F811" t="s">
        <v>1237</v>
      </c>
      <c r="G811" t="s">
        <v>1238</v>
      </c>
      <c r="I811">
        <v>2018</v>
      </c>
      <c r="K811" t="s">
        <v>1239</v>
      </c>
      <c r="M811" t="str">
        <f>LEFT($D811,FIND(",",$D811)-1)&amp;"_"&amp;I811&amp;L811</f>
        <v>Balasbaneh_2018</v>
      </c>
      <c r="N811" t="s">
        <v>222</v>
      </c>
      <c r="O811" s="140" t="s">
        <v>513</v>
      </c>
      <c r="Q811" t="s">
        <v>224</v>
      </c>
      <c r="R811" s="262" t="s">
        <v>223</v>
      </c>
      <c r="S811" s="1" t="s">
        <v>1267</v>
      </c>
      <c r="T811" s="264" t="s">
        <v>3110</v>
      </c>
      <c r="U811" s="264" t="s">
        <v>3116</v>
      </c>
      <c r="V811">
        <v>0</v>
      </c>
      <c r="W811">
        <v>0</v>
      </c>
      <c r="X811">
        <v>0</v>
      </c>
      <c r="Y811">
        <v>0</v>
      </c>
      <c r="Z811">
        <v>0</v>
      </c>
      <c r="AA811">
        <v>0</v>
      </c>
      <c r="AB811">
        <v>0</v>
      </c>
      <c r="AC811">
        <v>0</v>
      </c>
      <c r="AD811">
        <v>0</v>
      </c>
      <c r="AE811">
        <v>0</v>
      </c>
      <c r="AF811">
        <v>0</v>
      </c>
      <c r="AG811">
        <v>0</v>
      </c>
      <c r="AH811">
        <v>0</v>
      </c>
      <c r="AI811">
        <v>0</v>
      </c>
      <c r="AJ811">
        <v>0</v>
      </c>
      <c r="AK811">
        <v>1</v>
      </c>
      <c r="AL811">
        <v>0</v>
      </c>
      <c r="AM811">
        <v>0</v>
      </c>
      <c r="AN811">
        <v>0</v>
      </c>
      <c r="AO811">
        <v>0</v>
      </c>
      <c r="AP811">
        <v>0</v>
      </c>
      <c r="AQ811">
        <v>0</v>
      </c>
      <c r="AR811">
        <v>0</v>
      </c>
      <c r="AS811">
        <v>0</v>
      </c>
      <c r="AT811">
        <v>0</v>
      </c>
      <c r="AU811">
        <v>0</v>
      </c>
      <c r="AV811">
        <v>0</v>
      </c>
      <c r="AW811">
        <v>0</v>
      </c>
      <c r="AX811" s="141">
        <f>COUNTIF(V811:AW811,"&lt;&gt;0")</f>
        <v>1</v>
      </c>
      <c r="AY811" s="141">
        <f>COUNTIF(V811:AL811,"&lt;&gt;0")</f>
        <v>1</v>
      </c>
      <c r="AZ811">
        <f>COUNTIF(V811:AC811,"&lt;&gt;0")</f>
        <v>0</v>
      </c>
      <c r="BA811">
        <f>COUNTIF(AD811:AI811,"&lt;&gt;0")</f>
        <v>0</v>
      </c>
      <c r="BB811">
        <f>COUNTIF(AJ811:AL811,"&lt;&gt;0")</f>
        <v>1</v>
      </c>
      <c r="BC811">
        <f>COUNTIF(AS811:AW811,"&lt;&gt;0")</f>
        <v>0</v>
      </c>
      <c r="BD811">
        <f>COUNTIF(AM811:AR811,"&lt;&gt;0")</f>
        <v>0</v>
      </c>
      <c r="BE811" t="str">
        <f t="array" ref="BE811">IF(AY811=1,INDEX($V$7:$AL$7,MATCH(TRUE,INDEX($V811:$AW811&lt;&gt;0,),0)),IF(AY811=0,INDEX($AM$7:$AW$7,MATCH(1,$AM811:$AW811,0)),IF(BF811="Multiple strategies","mixed drivers",IF(BF811="Supply chain","multiple supply","multiple silviculture"))))</f>
        <v>technologies/design switch</v>
      </c>
      <c r="BF811" s="2" t="str" cm="1">
        <f t="array" ref="BF811">IF(COUNTIF(AZ811:BB811,"&lt;&gt;0")=1,INDEX($V$4:$AW$4,MATCH(TRUE,INDEX($V811:$AW811&lt;&gt;0,),0)),IF(COUNTIF(AZ811:BB811,"&lt;&gt;0")=0,INDEX($AM$4:$AW$4,MATCH(1,$AM811:$AW811,0)),"Multiple strategies"))</f>
        <v>Technology</v>
      </c>
      <c r="BG811" s="1" t="s">
        <v>229</v>
      </c>
      <c r="BH811" t="s">
        <v>229</v>
      </c>
      <c r="BJ811" t="s">
        <v>345</v>
      </c>
      <c r="BK811">
        <v>0</v>
      </c>
      <c r="BL811">
        <v>23436</v>
      </c>
      <c r="BM811" s="143"/>
      <c r="BN811">
        <f>BL811-BK811</f>
        <v>23436</v>
      </c>
      <c r="BO811" s="143">
        <f>BN811*kg_to_m3</f>
        <v>47.828571428571436</v>
      </c>
      <c r="BP811" t="s">
        <v>232</v>
      </c>
      <c r="BQ811" s="337" t="s">
        <v>1057</v>
      </c>
      <c r="BR811" t="s">
        <v>397</v>
      </c>
      <c r="BS811">
        <v>-28500</v>
      </c>
      <c r="BT811">
        <v>-711</v>
      </c>
      <c r="BU811" s="144">
        <v>2.4947368421052631E-2</v>
      </c>
      <c r="BV811">
        <v>27789</v>
      </c>
      <c r="BX811">
        <f>BV811/1000</f>
        <v>27.789000000000001</v>
      </c>
      <c r="BY811">
        <f>IFERROR(BX811/BO811,"")</f>
        <v>0.58101254480286735</v>
      </c>
      <c r="BZ811">
        <v>0</v>
      </c>
      <c r="CA811">
        <v>0</v>
      </c>
      <c r="CB811">
        <v>0</v>
      </c>
      <c r="CC811">
        <v>0</v>
      </c>
      <c r="CD811">
        <v>0</v>
      </c>
      <c r="CE811">
        <v>0</v>
      </c>
      <c r="CF811">
        <v>0</v>
      </c>
      <c r="CG811">
        <v>0</v>
      </c>
      <c r="CH811">
        <v>0</v>
      </c>
      <c r="CI811">
        <v>0</v>
      </c>
      <c r="CJ811">
        <v>0</v>
      </c>
      <c r="CK811">
        <v>0</v>
      </c>
      <c r="CL811">
        <v>0</v>
      </c>
      <c r="CM811">
        <v>0</v>
      </c>
      <c r="CN811" t="str">
        <f>IF($BL811&lt;$BK811,"refNeedCorrection","refOK")</f>
        <v>refOK</v>
      </c>
      <c r="CO811">
        <f>IF($CN811="refNeedCorrection",BL811,BK811)</f>
        <v>0</v>
      </c>
      <c r="CP811">
        <f>IF($CN811="refNeedCorrection",BK811,BL811)</f>
        <v>23436</v>
      </c>
      <c r="CQ811">
        <f>IF($CN811="refOK",$BO811,-$BO811)</f>
        <v>47.828571428571436</v>
      </c>
      <c r="CR811">
        <f>IF($CN811="refOK",$BS811,$BT811)*IF($BP811="Emissions positive",-1,1)</f>
        <v>-28500</v>
      </c>
      <c r="CS811">
        <f>IF($CN811="refOK",$BT811,$BS811)*IF($BP811="Emissions positive",-1,1)</f>
        <v>-711</v>
      </c>
      <c r="CT811">
        <f>IF($CN811="refNeedCorrection",-BX811,BX811)*IF($BP811="Emissions positive",-1,1)</f>
        <v>27.789000000000001</v>
      </c>
      <c r="CU811">
        <f>IFERROR(CT811/CQ811,"")</f>
        <v>0.58101254480286735</v>
      </c>
      <c r="CV811" s="2">
        <f>IFERROR((CS811-CR811)/ABS(CR811),"")</f>
        <v>0.97505263157894739</v>
      </c>
      <c r="CW811" s="1" t="s">
        <v>1203</v>
      </c>
      <c r="CX811" t="str">
        <f>IF(OR($CW811="prd",$CW811="std",$CW811="cit"),"loc",IF(OR($CW811="eur",$CW811="reg",$CW811="coy"),"reg",$CW811))</f>
        <v>reg</v>
      </c>
      <c r="CY811" t="s">
        <v>348</v>
      </c>
      <c r="CZ811">
        <v>2014</v>
      </c>
      <c r="DA811">
        <v>2034</v>
      </c>
      <c r="DB811">
        <v>20</v>
      </c>
      <c r="DC811" t="str">
        <f>IF(DB811=0,"0",IF(AND(DB811&gt;=1,DB811&lt;=30),"1-30",IF(AND(DB811&gt;30,DB811&lt;=70),"31-70",IF(AND(DB811&gt;70,DB811&lt;=100),"71-100",IF(DB811&gt;100,"+100")))))</f>
        <v>1-30</v>
      </c>
      <c r="DD811">
        <v>0</v>
      </c>
      <c r="DE811">
        <v>0</v>
      </c>
      <c r="DF811">
        <v>0</v>
      </c>
      <c r="DG811">
        <v>1</v>
      </c>
      <c r="DI811">
        <f>SUM(DD811:DG811)</f>
        <v>1</v>
      </c>
      <c r="DJ811" t="str">
        <f>IF(DI811=1,INDEX($DD$7:$DG$7,MATCH(1,$DD811:$DG811,0)),"mixedProduct")</f>
        <v>TimberInput</v>
      </c>
      <c r="DK811">
        <f>IF(DD811=1,DK$7,0)</f>
        <v>0</v>
      </c>
      <c r="DL811">
        <f>IF(DE811=1,DL$7,0)</f>
        <v>0</v>
      </c>
      <c r="DM811">
        <f>IF(DF811=1,DM$7,0)</f>
        <v>0</v>
      </c>
      <c r="DN811" t="str">
        <f>IF(DG811=1,DN$7,0)</f>
        <v>Timber</v>
      </c>
      <c r="DO811">
        <v>0</v>
      </c>
      <c r="DP811">
        <v>0</v>
      </c>
      <c r="DQ811">
        <v>0</v>
      </c>
      <c r="DR811">
        <v>0</v>
      </c>
      <c r="DS811">
        <v>0</v>
      </c>
      <c r="DT811">
        <f>SUM(DO811:DP811)</f>
        <v>0</v>
      </c>
      <c r="DU811" s="143" t="str">
        <f>IF(DO811=1,"self-calculated DF",IF(DP811=1,"external DF used","explicit C balance"))</f>
        <v>explicit C balance</v>
      </c>
      <c r="DV811">
        <v>0</v>
      </c>
      <c r="DW811">
        <v>0</v>
      </c>
      <c r="DX811">
        <v>0</v>
      </c>
      <c r="DY811">
        <v>0</v>
      </c>
      <c r="DZ811">
        <v>0</v>
      </c>
      <c r="EA811" s="143">
        <v>1</v>
      </c>
      <c r="EB811">
        <v>0</v>
      </c>
      <c r="EC811">
        <v>1</v>
      </c>
      <c r="ED811">
        <v>1</v>
      </c>
      <c r="EE811">
        <v>1</v>
      </c>
      <c r="EF811">
        <v>0</v>
      </c>
      <c r="EG811">
        <v>0</v>
      </c>
      <c r="EH811">
        <v>0</v>
      </c>
      <c r="EI811" s="2">
        <v>0</v>
      </c>
      <c r="EK811" t="str">
        <f>IF(AND(AND(AND(OR($DX811=1,$DW811=1),OR($EC811=1,$EA811=1)),SUM($DV811:$DZ811,$EF811)&gt;=4),SUM($EA811:$EE811)&gt;=2),"Whole sector","")</f>
        <v/>
      </c>
      <c r="EL811" t="str">
        <f>IF(AND(AND(OR($DX811=1,$DW811=1),AND($EC811=0,$EA811=0)),SUM($DV811:$DZ811,$EF811)&gt;=4),"Ecosystem approach","")</f>
        <v/>
      </c>
      <c r="EM811" s="2" t="str">
        <f>IF(AND(AND(AND($DX811=0,$DW811=0),OR($EC811=1,$EA811=1)),SUM($EB811:$EE811)&gt;=2),"Technology approach","")</f>
        <v>Technology approach</v>
      </c>
      <c r="EP811" t="str">
        <f>IF(ISNUMBER(BU811),IF(ABS(BU811-[1]QC_indicators!$B$2)&gt;3*[1]QC_indicators!$C$2,"C ratio",IF(ISNUMBER(BY811),IF(ABS(BY811-[1]QC_indicators!$B$1)&gt;3*[1]QC_indicators!$C$1,"DF","no"))),IF(ISNUMBER(BY811),IF(ABS(BY811-[1]QC_indicators!$B$1)&gt;3*[1]QC_indicators!$C$1,"DF","no")))</f>
        <v>no</v>
      </c>
      <c r="ER811" s="149" t="s">
        <v>349</v>
      </c>
      <c r="ET811" s="264" t="s">
        <v>3273</v>
      </c>
    </row>
    <row r="812" spans="1:151" ht="15" customHeight="1">
      <c r="D812" t="s">
        <v>691</v>
      </c>
      <c r="E812" t="s">
        <v>692</v>
      </c>
      <c r="G812" t="s">
        <v>693</v>
      </c>
      <c r="I812">
        <v>2007</v>
      </c>
      <c r="K812" s="295" t="s">
        <v>694</v>
      </c>
      <c r="M812" t="str">
        <f>LEFT($D812,FIND(",",$D812)-1)&amp;"_"&amp;I812&amp;L812</f>
        <v>Eriksson_2007</v>
      </c>
      <c r="N812" t="s">
        <v>222</v>
      </c>
      <c r="O812" t="s">
        <v>223</v>
      </c>
      <c r="Q812" s="264" t="s">
        <v>256</v>
      </c>
      <c r="R812" s="269" t="s">
        <v>1154</v>
      </c>
      <c r="S812" s="1" t="s">
        <v>695</v>
      </c>
      <c r="T812" t="s">
        <v>696</v>
      </c>
      <c r="U812" s="143" t="s">
        <v>704</v>
      </c>
      <c r="V812">
        <v>0</v>
      </c>
      <c r="W812">
        <v>0</v>
      </c>
      <c r="X812">
        <v>0</v>
      </c>
      <c r="Y812">
        <v>0</v>
      </c>
      <c r="Z812">
        <v>0</v>
      </c>
      <c r="AA812">
        <v>1</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s="141">
        <f>COUNTIF(V812:AW812,"&lt;&gt;0")</f>
        <v>1</v>
      </c>
      <c r="AY812" s="141">
        <f>COUNTIF(V812:AL812,"&lt;&gt;0")</f>
        <v>1</v>
      </c>
      <c r="AZ812">
        <f>COUNTIF(V812:AC812,"&lt;&gt;0")</f>
        <v>1</v>
      </c>
      <c r="BA812">
        <f>COUNTIF(AD812:AI812,"&lt;&gt;0")</f>
        <v>0</v>
      </c>
      <c r="BB812">
        <f>COUNTIF(AJ812:AL812,"&lt;&gt;0")</f>
        <v>0</v>
      </c>
      <c r="BC812">
        <f>COUNTIF(AS812:AW812,"&lt;&gt;0")</f>
        <v>0</v>
      </c>
      <c r="BD812">
        <f>COUNTIF(AM812:AR812,"&lt;&gt;0")</f>
        <v>0</v>
      </c>
      <c r="BE812" t="str" cm="1">
        <f t="array" ref="BE812">IF(AY812=1,INDEX($V$7:$AL$7,MATCH(TRUE,INDEX($V812:$AW812&lt;&gt;0,),0)),IF(AY812=0,INDEX($AM$7:$AW$7,MATCH(1,$AM812:$AW812,0)),IF(BF812="Multiple strategies","mixed drivers",IF(BF812="Supply chain","multiple supply","multiple silviculture"))))</f>
        <v>plantation density</v>
      </c>
      <c r="BF812" s="2" t="str" cm="1">
        <f t="array" ref="BF812">IF(COUNTIF(AZ812:BB812,"&lt;&gt;0")=1,INDEX($V$4:$AW$4,MATCH(TRUE,INDEX($V812:$AW812&lt;&gt;0,),0)),IF(COUNTIF(AZ812:BB812,"&lt;&gt;0")=0,INDEX($AM$4:$AW$4,MATCH(1,$AM812:$AW812,0)),"Multiple strategies"))</f>
        <v>Silviculture for productivity</v>
      </c>
      <c r="BG812" s="142" t="s">
        <v>321</v>
      </c>
      <c r="BH812" t="s">
        <v>698</v>
      </c>
      <c r="BI812" s="264" t="s">
        <v>699</v>
      </c>
      <c r="BJ812" s="143" t="s">
        <v>705</v>
      </c>
      <c r="BK812">
        <v>7.3</v>
      </c>
      <c r="BL812" s="143">
        <v>7.7</v>
      </c>
      <c r="BM812" s="143">
        <f>BL812/BK812</f>
        <v>1.0547945205479452</v>
      </c>
      <c r="BN812">
        <f>BL812-BK812</f>
        <v>0.40000000000000036</v>
      </c>
      <c r="BO812" s="143">
        <f>BN812</f>
        <v>0.40000000000000036</v>
      </c>
      <c r="BP812" t="s">
        <v>232</v>
      </c>
      <c r="BQ812" s="153" t="s">
        <v>701</v>
      </c>
      <c r="BR812" t="s">
        <v>702</v>
      </c>
      <c r="BS812" s="151">
        <v>1.0063694267515921</v>
      </c>
      <c r="BT812" s="151">
        <v>1.0700636942675161</v>
      </c>
      <c r="BU812">
        <f>BT812/BS812</f>
        <v>1.0632911392405067</v>
      </c>
      <c r="BV812">
        <f>BT812-BS812</f>
        <v>6.3694267515923997E-2</v>
      </c>
      <c r="BX812">
        <f>BV812*C_to_CO2</f>
        <v>0.23375796178344108</v>
      </c>
      <c r="BY812">
        <f>IFERROR(BX812/BO812,"")</f>
        <v>0.5843949044586022</v>
      </c>
      <c r="BZ812" s="143">
        <v>0</v>
      </c>
      <c r="CA812" s="143">
        <v>0</v>
      </c>
      <c r="CB812" s="143">
        <v>0</v>
      </c>
      <c r="CC812" s="143">
        <v>0</v>
      </c>
      <c r="CD812" s="143">
        <v>0</v>
      </c>
      <c r="CE812" s="143">
        <v>0</v>
      </c>
      <c r="CF812" s="143">
        <v>0</v>
      </c>
      <c r="CG812" s="143">
        <v>0</v>
      </c>
      <c r="CH812" s="143">
        <v>0</v>
      </c>
      <c r="CI812" s="143">
        <v>0</v>
      </c>
      <c r="CJ812" s="143">
        <v>0</v>
      </c>
      <c r="CK812" s="143">
        <v>0</v>
      </c>
      <c r="CL812" s="143">
        <v>0</v>
      </c>
      <c r="CM812">
        <v>0</v>
      </c>
      <c r="CN812" t="str">
        <f>IF($BL812&lt;$BK812,"refNeedCorrection","refOK")</f>
        <v>refOK</v>
      </c>
      <c r="CO812">
        <f>IF($CN812="refOK",$BK812,$BL812)</f>
        <v>7.3</v>
      </c>
      <c r="CP812">
        <f>IF($CN812="refOK",$BL812,$BK812)</f>
        <v>7.7</v>
      </c>
      <c r="CQ812">
        <f>IF($CN812="refOK",$BO812,-$BO812)</f>
        <v>0.40000000000000036</v>
      </c>
      <c r="CR812">
        <f>IF($CN812="refOK",$BS812,$BT812)*IF($BP812="Emissions positive",-1,1)</f>
        <v>1.0063694267515921</v>
      </c>
      <c r="CS812">
        <f>IF($CN812="refOK",$BT812,$BS812)*IF($BP812="Emissions positive",-1,1)</f>
        <v>1.0700636942675161</v>
      </c>
      <c r="CT812">
        <f>IF($CN812="refNeedCorrection",-BX812,BX812)*IF($BP812="Emissions positive",-1,1)</f>
        <v>0.23375796178344108</v>
      </c>
      <c r="CU812">
        <f>IFERROR(CT812/CQ812,"")</f>
        <v>0.5843949044586022</v>
      </c>
      <c r="CV812" s="2">
        <f>IFERROR((CS812-CR812)/ABS(CR812),"")</f>
        <v>6.3291139240506764E-2</v>
      </c>
      <c r="CW812" s="1" t="s">
        <v>234</v>
      </c>
      <c r="CX812" s="264" t="str">
        <f>IF(OR($CW812="prd",$CW812="std",$CW812="cit"),"loc",IF(OR($CW812="eur",$CW812="reg",$CW812="coy"),"reg",$CW812))</f>
        <v>loc</v>
      </c>
      <c r="CY812" t="s">
        <v>264</v>
      </c>
      <c r="DA812" s="143"/>
      <c r="DB812" s="143">
        <v>300</v>
      </c>
      <c r="DC812" t="str">
        <f>IF(DB812=0,"0",IF(AND(DB812&gt;=1,DB812&lt;=30),"1-30",IF(AND(DB812&gt;30,DB812&lt;=70),"31-70",IF(AND(DB812&gt;70,DB812&lt;=100),"71-100",IF(DB812&gt;100,"+100")))))</f>
        <v>+100</v>
      </c>
      <c r="DD812">
        <v>0</v>
      </c>
      <c r="DE812">
        <v>1</v>
      </c>
      <c r="DF812">
        <v>0</v>
      </c>
      <c r="DG812">
        <v>0</v>
      </c>
      <c r="DI812">
        <f>SUM(DD812:DG812)</f>
        <v>1</v>
      </c>
      <c r="DJ812" t="str">
        <f>IF(DI812=1,INDEX($DD$7:$DG$7,MATCH(1,$DD812:$DG812,0)),"mixedProduct")</f>
        <v>EnergyInput</v>
      </c>
      <c r="DK812">
        <f>IF(DD812=1,DK$7,0)</f>
        <v>0</v>
      </c>
      <c r="DL812" t="str">
        <f>IF(DE812=1,DL$7,0)</f>
        <v>Energy</v>
      </c>
      <c r="DM812">
        <f>IF(DF812=1,DM$7,0)</f>
        <v>0</v>
      </c>
      <c r="DN812">
        <f>IF(DG812=1,DN$7,0)</f>
        <v>0</v>
      </c>
      <c r="DO812">
        <v>1</v>
      </c>
      <c r="DP812" s="143">
        <v>0</v>
      </c>
      <c r="DQ812" s="143">
        <v>0</v>
      </c>
      <c r="DR812">
        <v>0</v>
      </c>
      <c r="DS812" s="143">
        <v>0</v>
      </c>
      <c r="DT812">
        <f>SUM(DO812:DP812)</f>
        <v>1</v>
      </c>
      <c r="DU812" s="143" t="str">
        <f>IF(DO812=1,"self-calculated DF",IF(DP812=1,"external DF used","explicit C balance"))</f>
        <v>self-calculated DF</v>
      </c>
      <c r="DV812" s="143">
        <v>1</v>
      </c>
      <c r="DW812" s="143">
        <v>1</v>
      </c>
      <c r="DX812" s="143">
        <v>0</v>
      </c>
      <c r="DY812" s="143">
        <v>0</v>
      </c>
      <c r="DZ812">
        <v>0</v>
      </c>
      <c r="EA812" s="143">
        <v>1</v>
      </c>
      <c r="EB812" s="143">
        <v>1</v>
      </c>
      <c r="EC812" s="143">
        <v>1</v>
      </c>
      <c r="ED812" s="143">
        <v>0</v>
      </c>
      <c r="EE812">
        <v>0</v>
      </c>
      <c r="EF812">
        <v>1</v>
      </c>
      <c r="EG812" s="143">
        <v>0</v>
      </c>
      <c r="EH812" s="143">
        <v>0</v>
      </c>
      <c r="EI812" s="2">
        <v>0</v>
      </c>
      <c r="EK812" t="str">
        <f>IF(AND(AND(AND(OR($DX812=1,$DW812=1),OR($EC812=1,$EA812=1)),SUM($DV812:$DZ812,$EF812)&gt;=4),SUM($EA812:$EE812)&gt;=2),"Whole sector","")</f>
        <v/>
      </c>
      <c r="EL812" t="str">
        <f>IF(AND(AND(OR($DX812=1,$DW812=1),AND($EC812=0,$EA812=0)),SUM($DV812:$DZ812,$EF812)&gt;=4),"Ecosystem approach","")</f>
        <v/>
      </c>
      <c r="EM812" s="2" t="str">
        <f>IF(AND(AND(AND($DX812=0,$DW812=0),OR($EC812=1,$EA812=1)),SUM($EB812:$EE812)&gt;=2),"Technology approach","")</f>
        <v/>
      </c>
      <c r="EP812" t="str">
        <f>IF(ISNUMBER(BU812),IF(ABS(BU812-[3]QC_indicators!$B$2)&gt;3*[3]QC_indicators!$C$2,"C ratio",IF(ISNUMBER(BY812),IF(ABS(BY812-[3]QC_indicators!$B$1)&gt;3*[3]QC_indicators!$C$1,"DF","no"))),IF(ISNUMBER(BY812),IF(ABS(BY812-[3]QC_indicators!$B$1)&gt;3*[3]QC_indicators!$C$1,"DF","no")))</f>
        <v>no</v>
      </c>
      <c r="ER812" s="264" t="s">
        <v>706</v>
      </c>
      <c r="ET812" s="264" t="s">
        <v>3407</v>
      </c>
    </row>
    <row r="813" spans="1:151" ht="15" customHeight="1">
      <c r="A813" s="1" t="s">
        <v>1045</v>
      </c>
      <c r="B813" t="s">
        <v>1046</v>
      </c>
      <c r="C813" t="s">
        <v>1047</v>
      </c>
      <c r="D813" t="s">
        <v>1048</v>
      </c>
      <c r="E813" t="s">
        <v>1049</v>
      </c>
      <c r="F813" t="s">
        <v>1050</v>
      </c>
      <c r="G813" t="s">
        <v>1051</v>
      </c>
      <c r="H813" t="s">
        <v>254</v>
      </c>
      <c r="I813">
        <v>2014</v>
      </c>
      <c r="J813">
        <v>23</v>
      </c>
      <c r="K813" t="s">
        <v>1052</v>
      </c>
      <c r="M813" t="str">
        <f>LEFT($D813,FIND(",",$D813)-1)&amp;"_"&amp;I813&amp;L813</f>
        <v>Pyorala_2014</v>
      </c>
      <c r="N813" t="s">
        <v>222</v>
      </c>
      <c r="O813" s="171" t="s">
        <v>341</v>
      </c>
      <c r="P813" t="s">
        <v>225</v>
      </c>
      <c r="Q813" s="264" t="s">
        <v>389</v>
      </c>
      <c r="R813" s="269" t="s">
        <v>1154</v>
      </c>
      <c r="S813" s="1" t="s">
        <v>1053</v>
      </c>
      <c r="T813" t="s">
        <v>1066</v>
      </c>
      <c r="U813" t="s">
        <v>1065</v>
      </c>
      <c r="V813">
        <v>0</v>
      </c>
      <c r="W813">
        <v>0</v>
      </c>
      <c r="X813">
        <v>0</v>
      </c>
      <c r="Y813">
        <v>1</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s="141">
        <f>COUNTIF(V813:AW813,"&lt;&gt;0")</f>
        <v>1</v>
      </c>
      <c r="AY813" s="141">
        <f>COUNTIF(V813:AL813,"&lt;&gt;0")</f>
        <v>1</v>
      </c>
      <c r="AZ813">
        <f>COUNTIF(V813:AC813,"&lt;&gt;0")</f>
        <v>1</v>
      </c>
      <c r="BA813">
        <f>COUNTIF(AD813:AI813,"&lt;&gt;0")</f>
        <v>0</v>
      </c>
      <c r="BB813">
        <f>COUNTIF(AJ813:AL813,"&lt;&gt;0")</f>
        <v>0</v>
      </c>
      <c r="BC813">
        <f>COUNTIF(AS813:AW813,"&lt;&gt;0")</f>
        <v>0</v>
      </c>
      <c r="BD813">
        <f>COUNTIF(AM813:AR813,"&lt;&gt;0")</f>
        <v>0</v>
      </c>
      <c r="BE813" t="str" cm="1">
        <f t="array" ref="BE813">IF(AY813=1,INDEX($V$7:$AL$7,MATCH(TRUE,INDEX($V813:$AW813&lt;&gt;0,),0)),IF(AY813=0,INDEX($AM$7:$AW$7,MATCH(1,$AM813:$AW813,0)),IF(BF813="Multiple strategies","mixed drivers",IF(BF813="Supply chain","multiple supply","multiple silviculture"))))</f>
        <v xml:space="preserve">cutting intensity </v>
      </c>
      <c r="BF813" s="2" t="str" cm="1">
        <f t="array" ref="BF813">IF(COUNTIF(AZ813:BB813,"&lt;&gt;0")=1,INDEX($V$4:$AW$4,MATCH(TRUE,INDEX($V813:$AW813&lt;&gt;0,),0)),IF(COUNTIF(AZ813:BB813,"&lt;&gt;0")=0,INDEX($AM$4:$AW$4,MATCH(1,$AM813:$AW813,0)),"Multiple strategies"))</f>
        <v>Silviculture for removals</v>
      </c>
      <c r="BG813" s="1" t="s">
        <v>321</v>
      </c>
      <c r="BH813" t="s">
        <v>1056</v>
      </c>
      <c r="BI813" s="264" t="s">
        <v>1057</v>
      </c>
      <c r="BJ813" s="264" t="s">
        <v>1058</v>
      </c>
      <c r="BK813">
        <v>3.75</v>
      </c>
      <c r="BL813">
        <v>3.8</v>
      </c>
      <c r="BM813">
        <f>IFERROR(BL813/BK813,"")</f>
        <v>1.0133333333333332</v>
      </c>
      <c r="BN813">
        <f>BL813-BK813</f>
        <v>4.9999999999999822E-2</v>
      </c>
      <c r="BO813">
        <f>BN813*t_to_m3</f>
        <v>0.10204081632653025</v>
      </c>
      <c r="BP813" t="s">
        <v>395</v>
      </c>
      <c r="BQ813" t="s">
        <v>972</v>
      </c>
      <c r="BR813" t="s">
        <v>1059</v>
      </c>
      <c r="BS813" s="172">
        <v>-183</v>
      </c>
      <c r="BT813" s="172">
        <v>-189</v>
      </c>
      <c r="BU813" s="144"/>
      <c r="BV813">
        <f>BT813-BS813</f>
        <v>-6</v>
      </c>
      <c r="BX813">
        <f>BV813*10^-6*10^4</f>
        <v>-6.0000000000000005E-2</v>
      </c>
      <c r="BY813">
        <f>IFERROR(BX813/BO813,"")</f>
        <v>-0.58800000000000208</v>
      </c>
      <c r="BZ813">
        <v>0</v>
      </c>
      <c r="CA813">
        <v>0</v>
      </c>
      <c r="CB813">
        <v>0</v>
      </c>
      <c r="CC813">
        <v>0</v>
      </c>
      <c r="CD813">
        <v>0</v>
      </c>
      <c r="CE813">
        <v>0</v>
      </c>
      <c r="CF813">
        <v>0</v>
      </c>
      <c r="CG813">
        <v>0</v>
      </c>
      <c r="CH813">
        <v>0</v>
      </c>
      <c r="CI813">
        <v>0</v>
      </c>
      <c r="CJ813">
        <v>0</v>
      </c>
      <c r="CK813">
        <v>0</v>
      </c>
      <c r="CL813">
        <v>0</v>
      </c>
      <c r="CM813">
        <v>0</v>
      </c>
      <c r="CN813" t="str">
        <f>IF($BL813&lt;$BK813,"refNeedCorrection","refOK")</f>
        <v>refOK</v>
      </c>
      <c r="CO813">
        <f>IF($CN813="refOK",$BK813,$BL813)</f>
        <v>3.75</v>
      </c>
      <c r="CP813">
        <f>IF($CN813="refOK",$BL813,$BK813)</f>
        <v>3.8</v>
      </c>
      <c r="CQ813">
        <f>IF($CN813="refOK",$BO813,-$BO813)</f>
        <v>0.10204081632653025</v>
      </c>
      <c r="CR813">
        <f>IF($CN813="refOK",$BS813,$BT813)*IF($BP813="Emissions positive",-1,1)</f>
        <v>183</v>
      </c>
      <c r="CS813">
        <f>IF($CN813="refOK",$BT813,$BS813)*IF($BP813="Emissions positive",-1,1)</f>
        <v>189</v>
      </c>
      <c r="CT813">
        <f>IF($CN813="refNeedCorrection",-BX813,BX813)*IF($BP813="Emissions positive",-1,1)</f>
        <v>6.0000000000000005E-2</v>
      </c>
      <c r="CU813">
        <f>IFERROR(CT813/CQ813,"")</f>
        <v>0.58800000000000208</v>
      </c>
      <c r="CV813" s="2">
        <f>IFERROR((CS813-CR813)/ABS(CR813),"")</f>
        <v>3.2786885245901641E-2</v>
      </c>
      <c r="CW813" s="1" t="s">
        <v>263</v>
      </c>
      <c r="CX813" s="264" t="str">
        <f>IF(OR($CW813="prd",$CW813="std",$CW813="cit"),"loc",IF(OR($CW813="eur",$CW813="reg",$CW813="coy"),"reg",$CW813))</f>
        <v>loc</v>
      </c>
      <c r="CY813" t="s">
        <v>235</v>
      </c>
      <c r="DB813">
        <v>50</v>
      </c>
      <c r="DC813" t="str">
        <f>IF(DB813=0,"0",IF(AND(DB813&gt;=1,DB813&lt;=30),"1-30",IF(AND(DB813&gt;30,DB813&lt;=70),"31-70",IF(AND(DB813&gt;70,DB813&lt;=100),"71-100",IF(DB813&gt;100,"+100")))))</f>
        <v>31-70</v>
      </c>
      <c r="DD813">
        <v>0</v>
      </c>
      <c r="DE813">
        <v>1</v>
      </c>
      <c r="DF813">
        <v>0</v>
      </c>
      <c r="DG813">
        <v>1</v>
      </c>
      <c r="DI813">
        <f>SUM(DD813:DG813)</f>
        <v>2</v>
      </c>
      <c r="DJ813" t="str">
        <f>IF(DI813=1,INDEX($DD$7:$DG$7,MATCH(1,$DD813:$DG813,0)),"mixedProduct")</f>
        <v>mixedProduct</v>
      </c>
      <c r="DK813">
        <f>IF(DD813=1,DK$7,0)</f>
        <v>0</v>
      </c>
      <c r="DL813" t="str">
        <f>IF(DE813=1,DL$7,0)</f>
        <v>Energy</v>
      </c>
      <c r="DM813">
        <f>IF(DF813=1,DM$7,0)</f>
        <v>0</v>
      </c>
      <c r="DN813" t="str">
        <f>IF(DG813=1,DN$7,0)</f>
        <v>Timber</v>
      </c>
      <c r="DO813">
        <v>0</v>
      </c>
      <c r="DP813">
        <v>1</v>
      </c>
      <c r="DQ813" t="s">
        <v>1060</v>
      </c>
      <c r="DT813">
        <f>SUM(DO813:DP813)</f>
        <v>1</v>
      </c>
      <c r="DU813" s="143" t="str">
        <f>IF(DO813=1,"self-calculated DF",IF(DP813=1,"external DF used","explicit C balance"))</f>
        <v>external DF used</v>
      </c>
      <c r="DV813">
        <v>1</v>
      </c>
      <c r="DW813">
        <v>1</v>
      </c>
      <c r="DX813">
        <v>1</v>
      </c>
      <c r="DY813">
        <v>0</v>
      </c>
      <c r="DZ813">
        <v>0</v>
      </c>
      <c r="EA813" s="143">
        <v>0</v>
      </c>
      <c r="EB813">
        <v>1</v>
      </c>
      <c r="EC813">
        <v>1</v>
      </c>
      <c r="ED813">
        <v>0</v>
      </c>
      <c r="EE813">
        <v>0</v>
      </c>
      <c r="EF813">
        <v>1</v>
      </c>
      <c r="EG813">
        <v>0</v>
      </c>
      <c r="EH813">
        <v>0</v>
      </c>
      <c r="EI813" s="2">
        <v>0</v>
      </c>
      <c r="EK813" t="str">
        <f>IF(AND(AND(AND(OR($DX813=1,$DW813=1),OR($EC813=1,$EA813=1)),SUM($DV813:$DZ813,$EF813)&gt;=4),SUM($EA813:$EE813)&gt;=2),"Whole sector","")</f>
        <v>Whole sector</v>
      </c>
      <c r="EL813" t="str">
        <f>IF(AND(AND(OR($DX813=1,$DW813=1),AND($EC813=0,$EA813=0)),SUM($DV813:$DZ813,$EF813)&gt;=4),"Ecosystem approach","")</f>
        <v/>
      </c>
      <c r="EM813" s="2" t="str">
        <f>IF(AND(AND(AND($DX813=0,$DW813=0),OR($EC813=1,$EA813=1)),SUM($EB813:$EE813)&gt;=2),"Technology approach","")</f>
        <v/>
      </c>
      <c r="EP813" t="str">
        <f>IF(ISNUMBER(BU813),IF(ABS(BU813-[3]QC_indicators!$B$2)&gt;3*[3]QC_indicators!$C$2,"C ratio",IF(ISNUMBER(BY813),IF(ABS(BY813-[3]QC_indicators!$B$1)&gt;3*[3]QC_indicators!$C$1,"DF","no"))),IF(ISNUMBER(BY813),IF(ABS(BY813-[3]QC_indicators!$B$1)&gt;3*[3]QC_indicators!$C$1,"DF","no")))</f>
        <v>no</v>
      </c>
      <c r="ER813" s="264" t="s">
        <v>1061</v>
      </c>
      <c r="ET813" s="264" t="s">
        <v>3407</v>
      </c>
    </row>
    <row r="814" spans="1:151" ht="15" customHeight="1">
      <c r="A814" s="1" t="s">
        <v>430</v>
      </c>
      <c r="B814" t="s">
        <v>431</v>
      </c>
      <c r="C814" t="s">
        <v>432</v>
      </c>
      <c r="D814" t="s">
        <v>433</v>
      </c>
      <c r="E814" t="s">
        <v>434</v>
      </c>
      <c r="F814" t="s">
        <v>435</v>
      </c>
      <c r="G814" t="s">
        <v>436</v>
      </c>
      <c r="H814" t="s">
        <v>254</v>
      </c>
      <c r="I814">
        <v>2000</v>
      </c>
      <c r="J814">
        <v>174</v>
      </c>
      <c r="K814" t="s">
        <v>437</v>
      </c>
      <c r="M814" t="str">
        <f>LEFT($D814,FIND(",",$D814)-1)&amp;"_"&amp;I814&amp;L814</f>
        <v>Borjesson_2000</v>
      </c>
      <c r="N814" t="s">
        <v>222</v>
      </c>
      <c r="O814" s="145" t="s">
        <v>223</v>
      </c>
      <c r="Q814" t="s">
        <v>256</v>
      </c>
      <c r="R814" s="255" t="s">
        <v>225</v>
      </c>
      <c r="S814" s="1" t="s">
        <v>454</v>
      </c>
      <c r="T814" t="s">
        <v>449</v>
      </c>
      <c r="U814" t="s">
        <v>455</v>
      </c>
      <c r="V814">
        <v>0</v>
      </c>
      <c r="W814">
        <v>0</v>
      </c>
      <c r="X814">
        <v>0</v>
      </c>
      <c r="Y814">
        <v>0</v>
      </c>
      <c r="Z814">
        <v>0</v>
      </c>
      <c r="AA814">
        <v>0</v>
      </c>
      <c r="AB814">
        <v>0</v>
      </c>
      <c r="AC814">
        <v>0</v>
      </c>
      <c r="AD814">
        <v>0</v>
      </c>
      <c r="AE814">
        <v>0</v>
      </c>
      <c r="AF814">
        <v>0</v>
      </c>
      <c r="AG814">
        <v>0</v>
      </c>
      <c r="AH814">
        <v>0</v>
      </c>
      <c r="AI814">
        <v>0</v>
      </c>
      <c r="AJ814">
        <v>0</v>
      </c>
      <c r="AK814">
        <v>1</v>
      </c>
      <c r="AL814">
        <v>0</v>
      </c>
      <c r="AM814">
        <v>0</v>
      </c>
      <c r="AN814">
        <v>0</v>
      </c>
      <c r="AO814">
        <v>0</v>
      </c>
      <c r="AP814">
        <v>0</v>
      </c>
      <c r="AQ814">
        <v>0</v>
      </c>
      <c r="AR814">
        <v>0</v>
      </c>
      <c r="AS814">
        <v>0</v>
      </c>
      <c r="AT814">
        <v>0</v>
      </c>
      <c r="AU814">
        <v>0</v>
      </c>
      <c r="AV814">
        <v>0</v>
      </c>
      <c r="AW814">
        <v>0</v>
      </c>
      <c r="AX814" s="141">
        <f>COUNTIF(V814:AW814,"&lt;&gt;0")</f>
        <v>1</v>
      </c>
      <c r="AY814" s="141">
        <f>COUNTIF(V814:AL814,"&lt;&gt;0")</f>
        <v>1</v>
      </c>
      <c r="AZ814">
        <f>COUNTIF(V814:AC814,"&lt;&gt;0")</f>
        <v>0</v>
      </c>
      <c r="BA814">
        <f>COUNTIF(AD814:AI814,"&lt;&gt;0")</f>
        <v>0</v>
      </c>
      <c r="BB814">
        <f>COUNTIF(AJ814:AL814,"&lt;&gt;0")</f>
        <v>1</v>
      </c>
      <c r="BC814">
        <f>COUNTIF(AS814:AW814,"&lt;&gt;0")</f>
        <v>0</v>
      </c>
      <c r="BD814">
        <f>COUNTIF(AM814:AR814,"&lt;&gt;0")</f>
        <v>0</v>
      </c>
      <c r="BE814" t="str">
        <f t="array" ref="BE814">IF(AY814=1,INDEX($V$7:$AL$7,MATCH(TRUE,INDEX($V814:$AW814&lt;&gt;0,),0)),IF(AY814=0,INDEX($AM$7:$AW$7,MATCH(1,$AM814:$AW814,0)),IF(BF814="Multiple strategies","mixed drivers",IF(BF814="Supply chain","multiple supply","multiple silviculture"))))</f>
        <v>technologies/design switch</v>
      </c>
      <c r="BF814" s="2" t="str" cm="1">
        <f t="array" ref="BF814">IF(COUNTIF(AZ814:BB814,"&lt;&gt;0")=1,INDEX($V$4:$AW$4,MATCH(TRUE,INDEX($V814:$AW814&lt;&gt;0,),0)),IF(COUNTIF(AZ814:BB814,"&lt;&gt;0")=0,INDEX($AM$4:$AW$4,MATCH(1,$AM814:$AW814,0)),"Multiple strategies"))</f>
        <v>Technology</v>
      </c>
      <c r="BG814" s="142" t="s">
        <v>229</v>
      </c>
      <c r="BH814" t="s">
        <v>441</v>
      </c>
      <c r="BI814" s="264" t="s">
        <v>3274</v>
      </c>
      <c r="BJ814" t="s">
        <v>442</v>
      </c>
      <c r="BK814">
        <v>0</v>
      </c>
      <c r="BL814">
        <v>44</v>
      </c>
      <c r="BM814" s="143"/>
      <c r="BN814">
        <f>BL814-BK814</f>
        <v>44</v>
      </c>
      <c r="BO814">
        <f>BN814*tC_to_m3</f>
        <v>191.05514546244029</v>
      </c>
      <c r="BP814" t="s">
        <v>232</v>
      </c>
      <c r="BQ814" s="260" t="s">
        <v>813</v>
      </c>
      <c r="BR814" t="s">
        <v>443</v>
      </c>
      <c r="BS814" s="141">
        <v>33</v>
      </c>
      <c r="BT814" s="141">
        <v>64</v>
      </c>
      <c r="BU814" s="144">
        <f>IFERROR(BT814/BS814,"")</f>
        <v>1.9393939393939394</v>
      </c>
      <c r="BV814">
        <f>BT814-BS814</f>
        <v>31</v>
      </c>
      <c r="BX814">
        <f>BV814*C_to_CO2</f>
        <v>113.77</v>
      </c>
      <c r="BY814">
        <f>IFERROR(BX814/BO814,"")</f>
        <v>0.59548252272727276</v>
      </c>
      <c r="BZ814" s="143">
        <v>0</v>
      </c>
      <c r="CA814" s="143">
        <v>0</v>
      </c>
      <c r="CB814" s="143">
        <v>0</v>
      </c>
      <c r="CC814" s="143">
        <v>0</v>
      </c>
      <c r="CD814" s="143">
        <v>0</v>
      </c>
      <c r="CE814" s="143">
        <v>0</v>
      </c>
      <c r="CF814" s="143">
        <v>0</v>
      </c>
      <c r="CG814" s="143">
        <v>0</v>
      </c>
      <c r="CH814" s="143">
        <v>0</v>
      </c>
      <c r="CI814" s="143">
        <v>0</v>
      </c>
      <c r="CJ814" s="143">
        <v>0</v>
      </c>
      <c r="CK814" s="143">
        <v>0</v>
      </c>
      <c r="CL814" s="143">
        <v>0</v>
      </c>
      <c r="CM814">
        <v>0</v>
      </c>
      <c r="CN814" t="str">
        <f>IF($BL814&lt;$BK814,"refNeedCorrection","refOK")</f>
        <v>refOK</v>
      </c>
      <c r="CO814">
        <f>IF($CN814="refOK",$BK814,$BL814)</f>
        <v>0</v>
      </c>
      <c r="CP814">
        <f>IF($CN814="refOK",$BL814,$BK814)</f>
        <v>44</v>
      </c>
      <c r="CQ814">
        <f>IF($CN814="refOK",$BO814,-$BO814)</f>
        <v>191.05514546244029</v>
      </c>
      <c r="CR814">
        <f>IF($CN814="refOK",$BS814,$BT814)*IF($BP814="Emissions positive",-1,1)</f>
        <v>33</v>
      </c>
      <c r="CS814">
        <f>IF($CN814="refOK",$BT814,$BS814)*IF($BP814="Emissions positive",-1,1)</f>
        <v>64</v>
      </c>
      <c r="CT814">
        <f>IF($CN814="refNeedCorrection",-BX814,BX814)*IF($BP814="Emissions positive",-1,1)</f>
        <v>113.77</v>
      </c>
      <c r="CU814">
        <f>IFERROR(CT814/CQ814,"")</f>
        <v>0.59548252272727276</v>
      </c>
      <c r="CV814" s="2">
        <f>IFERROR((CS814-CR814)/ABS(CR814),"")</f>
        <v>0.93939393939393945</v>
      </c>
      <c r="CW814" s="1" t="s">
        <v>263</v>
      </c>
      <c r="CX814" t="str">
        <f>IF(OR($CW814="prd",$CW814="std",$CW814="cit"),"loc",IF(OR($CW814="eur",$CW814="reg",$CW814="coy"),"reg",$CW814))</f>
        <v>loc</v>
      </c>
      <c r="CY814" t="s">
        <v>444</v>
      </c>
      <c r="DB814">
        <v>100</v>
      </c>
      <c r="DC814" t="str">
        <f>IF(DB814=0,"0",IF(AND(DB814&gt;=1,DB814&lt;=30),"1-30",IF(AND(DB814&gt;30,DB814&lt;=70),"31-70",IF(AND(DB814&gt;70,DB814&lt;=100),"71-100",IF(DB814&gt;100,"+100")))))</f>
        <v>71-100</v>
      </c>
      <c r="DD814">
        <v>0</v>
      </c>
      <c r="DE814">
        <v>0</v>
      </c>
      <c r="DF814">
        <v>0</v>
      </c>
      <c r="DG814">
        <v>1</v>
      </c>
      <c r="DI814">
        <f>SUM(DD814:DG814)</f>
        <v>1</v>
      </c>
      <c r="DJ814" t="str">
        <f>IF(DI814=1,INDEX($DD$7:$DG$7,MATCH(1,$DD814:$DG814,0)),"mixedProduct")</f>
        <v>TimberInput</v>
      </c>
      <c r="DK814">
        <f>IF(DD814=1,DK$7,0)</f>
        <v>0</v>
      </c>
      <c r="DL814">
        <f>IF(DE814=1,DL$7,0)</f>
        <v>0</v>
      </c>
      <c r="DM814">
        <f>IF(DF814=1,DM$7,0)</f>
        <v>0</v>
      </c>
      <c r="DN814" t="str">
        <f>IF(DG814=1,DN$7,0)</f>
        <v>Timber</v>
      </c>
      <c r="DO814">
        <v>1</v>
      </c>
      <c r="DP814" s="143">
        <v>0</v>
      </c>
      <c r="DQ814" s="143">
        <v>0</v>
      </c>
      <c r="DR814" s="143">
        <v>0</v>
      </c>
      <c r="DS814">
        <v>0</v>
      </c>
      <c r="DT814">
        <f>SUM(DO814:DP814)</f>
        <v>1</v>
      </c>
      <c r="DU814" s="143" t="str">
        <f>IF(DO814=1,"self-calculated DF",IF(DP814=1,"external DF used","explicit C balance"))</f>
        <v>self-calculated DF</v>
      </c>
      <c r="DV814">
        <v>0</v>
      </c>
      <c r="DW814" s="143">
        <v>0</v>
      </c>
      <c r="DX814" s="143">
        <v>1</v>
      </c>
      <c r="DY814" s="143">
        <v>1</v>
      </c>
      <c r="DZ814">
        <v>1</v>
      </c>
      <c r="EA814" s="143">
        <v>1</v>
      </c>
      <c r="EB814">
        <v>0</v>
      </c>
      <c r="EC814" s="143">
        <v>1</v>
      </c>
      <c r="ED814" s="143">
        <v>0</v>
      </c>
      <c r="EE814">
        <v>0</v>
      </c>
      <c r="EF814">
        <v>0</v>
      </c>
      <c r="EG814" s="143">
        <v>0</v>
      </c>
      <c r="EH814" s="143">
        <v>0</v>
      </c>
      <c r="EI814" s="2">
        <v>0</v>
      </c>
      <c r="EK814" t="str">
        <f>IF(AND(AND(AND(OR($DX814=1,$DW814=1),OR($EC814=1,$EA814=1)),SUM($DV814:$DZ814,$EF814)&gt;=4),SUM($EA814:$EE814)&gt;=2),"Whole sector","")</f>
        <v/>
      </c>
      <c r="EL814" t="str">
        <f>IF(AND(AND(OR($DX814=1,$DW814=1),AND($EC814=0,$EA814=0)),SUM($DV814:$DZ814,$EF814)&gt;=4),"Ecosystem approach","")</f>
        <v/>
      </c>
      <c r="EM814" s="2" t="str">
        <f>IF(AND(AND(AND($DX814=0,$DW814=0),OR($EC814=1,$EA814=1)),SUM($EB814:$EE814)&gt;=2),"Technology approach","")</f>
        <v/>
      </c>
      <c r="EP814" t="str">
        <f>IF(ISNUMBER(BU814),IF(ABS(BU814-[4]QC_indicators!$B$2)&gt;3*[4]QC_indicators!$C$2,"C ratio",IF(ISNUMBER(BY814),IF(ABS(BY814-[4]QC_indicators!$B$1)&gt;3*[4]QC_indicators!$C$1,"DF","no"))),IF(ISNUMBER(BY814),IF(ABS(BY814-[4]QC_indicators!$B$1)&gt;3*[4]QC_indicators!$C$1,"DF","no")))</f>
        <v>no</v>
      </c>
      <c r="ET814" s="264" t="s">
        <v>3273</v>
      </c>
    </row>
    <row r="815" spans="1:151" ht="15" customHeight="1">
      <c r="D815" t="s">
        <v>963</v>
      </c>
      <c r="E815" t="s">
        <v>1007</v>
      </c>
      <c r="G815" t="s">
        <v>1008</v>
      </c>
      <c r="I815">
        <v>2004</v>
      </c>
      <c r="K815" t="s">
        <v>1009</v>
      </c>
      <c r="M815" t="str">
        <f>LEFT($D815,FIND(",",$D815)-1)&amp;"_"&amp;I815&amp;L815</f>
        <v>Petersen_2004</v>
      </c>
      <c r="N815" t="s">
        <v>222</v>
      </c>
      <c r="O815" s="171" t="s">
        <v>513</v>
      </c>
      <c r="P815" s="141" t="s">
        <v>225</v>
      </c>
      <c r="Q815" t="s">
        <v>389</v>
      </c>
      <c r="R815" s="262" t="s">
        <v>223</v>
      </c>
      <c r="S815" s="1" t="s">
        <v>983</v>
      </c>
      <c r="T815" t="s">
        <v>1017</v>
      </c>
      <c r="U815" t="s">
        <v>1020</v>
      </c>
      <c r="V815">
        <v>0</v>
      </c>
      <c r="W815">
        <v>0</v>
      </c>
      <c r="X815">
        <v>0</v>
      </c>
      <c r="Y815">
        <v>0</v>
      </c>
      <c r="Z815">
        <v>0</v>
      </c>
      <c r="AA815">
        <v>0</v>
      </c>
      <c r="AB815">
        <v>0</v>
      </c>
      <c r="AC815">
        <v>0</v>
      </c>
      <c r="AD815">
        <v>0</v>
      </c>
      <c r="AE815">
        <v>0</v>
      </c>
      <c r="AF815">
        <v>0</v>
      </c>
      <c r="AG815">
        <v>0</v>
      </c>
      <c r="AH815">
        <v>0</v>
      </c>
      <c r="AI815">
        <v>0</v>
      </c>
      <c r="AJ815">
        <v>0</v>
      </c>
      <c r="AK815">
        <v>1</v>
      </c>
      <c r="AL815">
        <v>0</v>
      </c>
      <c r="AM815">
        <v>0</v>
      </c>
      <c r="AN815">
        <v>0</v>
      </c>
      <c r="AO815">
        <v>0</v>
      </c>
      <c r="AP815">
        <v>0</v>
      </c>
      <c r="AQ815">
        <v>0</v>
      </c>
      <c r="AR815">
        <v>0</v>
      </c>
      <c r="AS815">
        <v>0</v>
      </c>
      <c r="AT815">
        <v>0</v>
      </c>
      <c r="AU815">
        <v>0</v>
      </c>
      <c r="AV815">
        <v>0</v>
      </c>
      <c r="AW815">
        <v>0</v>
      </c>
      <c r="AX815" s="141">
        <f>COUNTIF(V815:AW815,"&lt;&gt;0")</f>
        <v>1</v>
      </c>
      <c r="AY815" s="141">
        <f>COUNTIF(V815:AL815,"&lt;&gt;0")</f>
        <v>1</v>
      </c>
      <c r="AZ815">
        <f>COUNTIF(V815:AC815,"&lt;&gt;0")</f>
        <v>0</v>
      </c>
      <c r="BA815">
        <f>COUNTIF(AD815:AI815,"&lt;&gt;0")</f>
        <v>0</v>
      </c>
      <c r="BB815">
        <f>COUNTIF(AJ815:AL815,"&lt;&gt;0")</f>
        <v>1</v>
      </c>
      <c r="BC815">
        <f>COUNTIF(AS815:AW815,"&lt;&gt;0")</f>
        <v>0</v>
      </c>
      <c r="BD815">
        <f>COUNTIF(AM815:AR815,"&lt;&gt;0")</f>
        <v>0</v>
      </c>
      <c r="BE815" t="str">
        <f t="array" ref="BE815">IF(AY815=1,INDEX($V$7:$AL$7,MATCH(TRUE,INDEX($V815:$AW815&lt;&gt;0,),0)),IF(AY815=0,INDEX($AM$7:$AW$7,MATCH(1,$AM815:$AW815,0)),IF(BF815="Multiple strategies","mixed drivers",IF(BF815="Supply chain","multiple supply","multiple silviculture"))))</f>
        <v>technologies/design switch</v>
      </c>
      <c r="BF815" s="2" t="str" cm="1">
        <f t="array" ref="BF815">IF(COUNTIF(AZ815:BB815,"&lt;&gt;0")=1,INDEX($V$4:$AW$4,MATCH(TRUE,INDEX($V815:$AW815&lt;&gt;0,),0)),IF(COUNTIF(AZ815:BB815,"&lt;&gt;0")=0,INDEX($AM$4:$AW$4,MATCH(1,$AM815:$AW815,0)),"Multiple strategies"))</f>
        <v>Technology</v>
      </c>
      <c r="BG815" s="142" t="s">
        <v>229</v>
      </c>
      <c r="BH815" t="s">
        <v>970</v>
      </c>
      <c r="BI815" t="s">
        <v>1012</v>
      </c>
      <c r="BJ815" t="s">
        <v>498</v>
      </c>
      <c r="BK815">
        <v>0</v>
      </c>
      <c r="BL815" s="143">
        <v>1</v>
      </c>
      <c r="BM815" t="str">
        <f>IFERROR(BL815/BK815,"")</f>
        <v/>
      </c>
      <c r="BN815">
        <f>BL815-BK815</f>
        <v>1</v>
      </c>
      <c r="BO815" s="159">
        <v>1</v>
      </c>
      <c r="BP815" t="s">
        <v>232</v>
      </c>
      <c r="BQ815" t="s">
        <v>1013</v>
      </c>
      <c r="BR815" t="s">
        <v>973</v>
      </c>
      <c r="BU815" s="144"/>
      <c r="BV815">
        <v>0.6</v>
      </c>
      <c r="BX815">
        <f>BV815</f>
        <v>0.6</v>
      </c>
      <c r="BY815">
        <f>IFERROR(BX815/BO815,"")</f>
        <v>0.6</v>
      </c>
      <c r="BZ815">
        <v>0</v>
      </c>
      <c r="CA815">
        <v>0</v>
      </c>
      <c r="CB815">
        <v>0</v>
      </c>
      <c r="CC815">
        <v>0</v>
      </c>
      <c r="CD815">
        <v>0</v>
      </c>
      <c r="CE815">
        <v>0</v>
      </c>
      <c r="CF815">
        <v>0</v>
      </c>
      <c r="CG815">
        <v>0</v>
      </c>
      <c r="CH815">
        <v>0</v>
      </c>
      <c r="CI815">
        <v>0</v>
      </c>
      <c r="CJ815">
        <v>0</v>
      </c>
      <c r="CK815">
        <v>0</v>
      </c>
      <c r="CL815">
        <v>0</v>
      </c>
      <c r="CM815">
        <v>0</v>
      </c>
      <c r="CN815" t="str">
        <f>IF($BL815&lt;$BK815,"refNeedCorrection","refOK")</f>
        <v>refOK</v>
      </c>
      <c r="CO815">
        <f>IF($CN815="refOK",$BK815,$BL815)</f>
        <v>0</v>
      </c>
      <c r="CP815">
        <f>IF($CN815="refOK",$BL815,$BK815)</f>
        <v>1</v>
      </c>
      <c r="CQ815">
        <f>IF($CN815="refOK",$BO815,-$BO815)</f>
        <v>1</v>
      </c>
      <c r="CR815">
        <f>IF($CN815="refOK",$BS815,$BT815)*IF($BP815="Emissions positive",-1,1)</f>
        <v>0</v>
      </c>
      <c r="CS815">
        <f>IF($CN815="refOK",$BT815,$BS815)*IF($BP815="Emissions positive",-1,1)</f>
        <v>0</v>
      </c>
      <c r="CT815">
        <f>IF($CN815="refNeedCorrection",-BX815,BX815)*IF($BP815="Emissions positive",-1,1)</f>
        <v>0.6</v>
      </c>
      <c r="CU815">
        <f>IFERROR(CT815/CQ815,"")</f>
        <v>0.6</v>
      </c>
      <c r="CV815" s="2" t="str">
        <f>IFERROR((CS815-CR815)/ABS(CR815),"")</f>
        <v/>
      </c>
      <c r="CW815" s="1" t="s">
        <v>263</v>
      </c>
      <c r="CX815" t="str">
        <f>IF(OR($CW815="prd",$CW815="std",$CW815="cit"),"loc",IF(OR($CW815="eur",$CW815="reg",$CW815="coy"),"reg",$CW815))</f>
        <v>loc</v>
      </c>
      <c r="CY815" t="s">
        <v>264</v>
      </c>
      <c r="DA815" s="143"/>
      <c r="DB815" s="143">
        <v>45</v>
      </c>
      <c r="DC815" t="str">
        <f>IF(DB815=0,"0",IF(AND(DB815&gt;=1,DB815&lt;=30),"1-30",IF(AND(DB815&gt;30,DB815&lt;=70),"31-70",IF(AND(DB815&gt;70,DB815&lt;=100),"71-100",IF(DB815&gt;100,"+100")))))</f>
        <v>31-70</v>
      </c>
      <c r="DD815">
        <v>0</v>
      </c>
      <c r="DE815">
        <v>0</v>
      </c>
      <c r="DF815">
        <v>0</v>
      </c>
      <c r="DG815">
        <v>1</v>
      </c>
      <c r="DH815">
        <v>0</v>
      </c>
      <c r="DI815">
        <f>SUM(DD815:DG815)</f>
        <v>1</v>
      </c>
      <c r="DJ815" t="str">
        <f>IF(DI815=1,INDEX($DD$7:$DG$7,MATCH(1,$DD815:$DG815,0)),"mixedProduct")</f>
        <v>TimberInput</v>
      </c>
      <c r="DK815">
        <f>IF(DD815=1,DK$7,0)</f>
        <v>0</v>
      </c>
      <c r="DL815">
        <f>IF(DE815=1,DL$7,0)</f>
        <v>0</v>
      </c>
      <c r="DM815">
        <f>IF(DF815=1,DM$7,0)</f>
        <v>0</v>
      </c>
      <c r="DN815" t="str">
        <f>IF(DG815=1,DN$7,0)</f>
        <v>Timber</v>
      </c>
      <c r="DO815">
        <v>1</v>
      </c>
      <c r="DP815">
        <v>0</v>
      </c>
      <c r="DQ815">
        <v>0</v>
      </c>
      <c r="DR815">
        <v>0</v>
      </c>
      <c r="DS815">
        <v>0</v>
      </c>
      <c r="DT815">
        <f>SUM(DO815:DP815)</f>
        <v>1</v>
      </c>
      <c r="DU815" s="143" t="str">
        <f>IF(DO815=1,"self-calculated DF",IF(DP815=1,"external DF used","explicit C balance"))</f>
        <v>self-calculated DF</v>
      </c>
      <c r="DV815" s="143">
        <v>0</v>
      </c>
      <c r="DW815" s="143">
        <v>0</v>
      </c>
      <c r="DX815" s="143">
        <v>0</v>
      </c>
      <c r="DY815" s="143">
        <v>0</v>
      </c>
      <c r="DZ815">
        <v>0</v>
      </c>
      <c r="EA815" s="143">
        <v>1</v>
      </c>
      <c r="EB815" s="143">
        <v>0</v>
      </c>
      <c r="EC815" s="143">
        <v>1</v>
      </c>
      <c r="ED815" s="143">
        <v>0</v>
      </c>
      <c r="EE815">
        <v>0</v>
      </c>
      <c r="EF815">
        <v>0</v>
      </c>
      <c r="EG815" s="143">
        <v>0</v>
      </c>
      <c r="EH815" s="143">
        <v>0</v>
      </c>
      <c r="EI815" s="2">
        <v>0</v>
      </c>
      <c r="EK815" t="str">
        <f>IF(AND(AND(AND(OR($DX815=1,$DW815=1),OR($EC815=1,$EA815=1)),SUM($DV815:$DZ815,$EF815)&gt;=4),SUM($EA815:$EE815)&gt;=2),"Whole sector","")</f>
        <v/>
      </c>
      <c r="EL815" t="str">
        <f>IF(AND(AND(OR($DX815=1,$DW815=1),AND($EC815=0,$EA815=0)),SUM($DV815:$DZ815,$EF815)&gt;=4),"Ecosystem approach","")</f>
        <v/>
      </c>
      <c r="EM815" s="2" t="str">
        <f>IF(AND(AND(AND($DX815=0,$DW815=0),OR($EC815=1,$EA815=1)),SUM($EB815:$EE815)&gt;=2),"Technology approach","")</f>
        <v/>
      </c>
      <c r="EP815" t="str">
        <f>IF(ISNUMBER(BU815),IF(ABS(BU815-[1]QC_indicators!$B$2)&gt;3*[1]QC_indicators!$C$2,"C ratio",IF(ISNUMBER(BY815),IF(ABS(BY815-[1]QC_indicators!$B$1)&gt;3*[1]QC_indicators!$C$1,"DF","no"))),IF(ISNUMBER(BY815),IF(ABS(BY815-[1]QC_indicators!$B$1)&gt;3*[1]QC_indicators!$C$1,"DF","no")))</f>
        <v>no</v>
      </c>
      <c r="ER815" t="s">
        <v>995</v>
      </c>
      <c r="ET815" s="264" t="s">
        <v>3212</v>
      </c>
    </row>
    <row r="816" spans="1:151" ht="15" customHeight="1">
      <c r="A816" s="1" t="s">
        <v>1360</v>
      </c>
      <c r="B816" t="s">
        <v>2135</v>
      </c>
      <c r="C816" t="s">
        <v>2136</v>
      </c>
      <c r="D816" t="s">
        <v>2137</v>
      </c>
      <c r="E816" t="s">
        <v>2138</v>
      </c>
      <c r="F816" t="s">
        <v>2139</v>
      </c>
      <c r="G816" t="s">
        <v>1366</v>
      </c>
      <c r="H816" t="s">
        <v>254</v>
      </c>
      <c r="I816">
        <v>2012</v>
      </c>
      <c r="J816">
        <v>21</v>
      </c>
      <c r="K816" t="s">
        <v>2140</v>
      </c>
      <c r="L816" s="192"/>
      <c r="M816" t="str">
        <f>LEFT($D816,FIND(",",$D816)-1)&amp;"_"&amp;I816&amp;L816</f>
        <v>Pyorala_2012</v>
      </c>
      <c r="N816" t="s">
        <v>222</v>
      </c>
      <c r="O816" s="145" t="s">
        <v>341</v>
      </c>
      <c r="P816" s="180" t="s">
        <v>223</v>
      </c>
      <c r="Q816" s="264" t="s">
        <v>256</v>
      </c>
      <c r="R816" s="269" t="s">
        <v>1154</v>
      </c>
      <c r="S816" s="263" t="s">
        <v>2150</v>
      </c>
      <c r="T816" s="264" t="s">
        <v>2143</v>
      </c>
      <c r="U816" s="264" t="s">
        <v>2148</v>
      </c>
      <c r="V816">
        <v>0</v>
      </c>
      <c r="W816">
        <v>0</v>
      </c>
      <c r="X816">
        <v>0</v>
      </c>
      <c r="Y816">
        <v>1</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s="141">
        <f>COUNTIF(V816:AW816,"&lt;&gt;0")</f>
        <v>1</v>
      </c>
      <c r="AY816" s="141">
        <f>COUNTIF(V816:AL816,"&lt;&gt;0")</f>
        <v>1</v>
      </c>
      <c r="AZ816">
        <f>COUNTIF(V816:AC816,"&lt;&gt;0")</f>
        <v>1</v>
      </c>
      <c r="BA816">
        <f>COUNTIF(AD816:AI816,"&lt;&gt;0")</f>
        <v>0</v>
      </c>
      <c r="BB816">
        <f>COUNTIF(AJ816:AL816,"&lt;&gt;0")</f>
        <v>0</v>
      </c>
      <c r="BC816">
        <f>COUNTIF(AS816:AW816,"&lt;&gt;0")</f>
        <v>0</v>
      </c>
      <c r="BD816">
        <f>COUNTIF(AM816:AR816,"&lt;&gt;0")</f>
        <v>0</v>
      </c>
      <c r="BE816" t="str" cm="1">
        <f t="array" ref="BE816">IF(AY816=1,INDEX($V$7:$AL$7,MATCH(TRUE,INDEX($V816:$AW816&lt;&gt;0,),0)),IF(AY816=0,INDEX($AM$7:$AW$7,MATCH(1,$AM816:$AW816,0)),IF(BF816="Multiple strategies","mixed drivers",IF(BF816="Supply chain","multiple supply","multiple silviculture"))))</f>
        <v xml:space="preserve">cutting intensity </v>
      </c>
      <c r="BF816" s="2" t="str" cm="1">
        <f t="array" ref="BF816">IF(COUNTIF(AZ816:BB816,"&lt;&gt;0")=1,INDEX($V$4:$AW$4,MATCH(TRUE,INDEX($V816:$AW816&lt;&gt;0,),0)),IF(COUNTIF(AZ816:BB816,"&lt;&gt;0")=0,INDEX($AM$4:$AW$4,MATCH(1,$AM816:$AW816,0)),"Multiple strategies"))</f>
        <v>Silviculture for removals</v>
      </c>
      <c r="BG816" s="178" t="s">
        <v>321</v>
      </c>
      <c r="BH816" s="264" t="s">
        <v>2144</v>
      </c>
      <c r="BI816" s="264" t="s">
        <v>701</v>
      </c>
      <c r="BJ816" s="160" t="s">
        <v>700</v>
      </c>
      <c r="BK816">
        <v>6.5</v>
      </c>
      <c r="BL816">
        <v>6.8</v>
      </c>
      <c r="BN816">
        <f>BL816-BK816</f>
        <v>0.29999999999999982</v>
      </c>
      <c r="BO816">
        <f>BN816</f>
        <v>0.29999999999999982</v>
      </c>
      <c r="BP816" s="155" t="s">
        <v>232</v>
      </c>
      <c r="BQ816" s="335" t="s">
        <v>429</v>
      </c>
      <c r="BR816" s="270" t="s">
        <v>2145</v>
      </c>
      <c r="BS816" s="264">
        <f>99.4/80</f>
        <v>1.2425000000000002</v>
      </c>
      <c r="BT816" s="264">
        <f>113.9/80</f>
        <v>1.4237500000000001</v>
      </c>
      <c r="BU816" s="144"/>
      <c r="BV816">
        <f>BT816-BS816</f>
        <v>0.18124999999999991</v>
      </c>
      <c r="BX816">
        <f>BV816</f>
        <v>0.18124999999999991</v>
      </c>
      <c r="BY816">
        <f>IFERROR(BX816/BO816,"")</f>
        <v>0.60416666666666674</v>
      </c>
      <c r="BZ816">
        <v>0</v>
      </c>
      <c r="CA816">
        <v>0</v>
      </c>
      <c r="CB816">
        <v>0</v>
      </c>
      <c r="CC816">
        <v>0</v>
      </c>
      <c r="CD816">
        <v>0</v>
      </c>
      <c r="CE816">
        <v>0</v>
      </c>
      <c r="CF816">
        <v>0</v>
      </c>
      <c r="CG816">
        <v>0</v>
      </c>
      <c r="CH816">
        <v>0</v>
      </c>
      <c r="CI816">
        <v>0</v>
      </c>
      <c r="CJ816">
        <v>0</v>
      </c>
      <c r="CK816">
        <v>0</v>
      </c>
      <c r="CL816">
        <v>0</v>
      </c>
      <c r="CM816">
        <v>0</v>
      </c>
      <c r="CN816" t="str">
        <f>IF($BL816&lt;$BK816,"refNeedCorrection","refOK")</f>
        <v>refOK</v>
      </c>
      <c r="CO816">
        <f>IF($CN816="refOK",$BK816,$BL816)</f>
        <v>6.5</v>
      </c>
      <c r="CP816">
        <f>IF($CN816="refOK",$BL816,$BK816)</f>
        <v>6.8</v>
      </c>
      <c r="CQ816">
        <f>IF($CN816="refOK",$BO816,-$BO816)</f>
        <v>0.29999999999999982</v>
      </c>
      <c r="CR816">
        <f>IF($CN816="refOK",$BS816,$BT816)*IF($BP816="Emissions positive",-1,1)</f>
        <v>1.2425000000000002</v>
      </c>
      <c r="CS816">
        <f>IF($CN816="refOK",$BT816,$BS816)*IF($BP816="Emissions positive",-1,1)</f>
        <v>1.4237500000000001</v>
      </c>
      <c r="CT816">
        <f>IF($CN816="refNeedCorrection",-BX816,BX816)*IF($BP816="Emissions positive",-1,1)</f>
        <v>0.18124999999999991</v>
      </c>
      <c r="CU816">
        <f>IFERROR(CT816/CQ816,"")</f>
        <v>0.60416666666666674</v>
      </c>
      <c r="CV816" s="2">
        <f>IFERROR((CS816-CR816)/ABS(CR816),"")</f>
        <v>0.14587525150905423</v>
      </c>
      <c r="CW816" s="1" t="s">
        <v>1199</v>
      </c>
      <c r="CX816" s="264" t="str">
        <f>IF(OR($CW816="prd",$CW816="std",$CW816="cit"),"loc",IF(OR($CW816="eur",$CW816="reg",$CW816="coy"),"reg",$CW816))</f>
        <v>reg</v>
      </c>
      <c r="CY816" t="s">
        <v>235</v>
      </c>
      <c r="DB816">
        <v>80</v>
      </c>
      <c r="DC816" t="str">
        <f>IF(DB816=0,"0",IF(AND(DB816&gt;=1,DB816&lt;=30),"1-30",IF(AND(DB816&gt;30,DB816&lt;=70),"31-70",IF(AND(DB816&gt;70,DB816&lt;=100),"71-100",IF(DB816&gt;100,"+100")))))</f>
        <v>71-100</v>
      </c>
      <c r="DD816">
        <v>0</v>
      </c>
      <c r="DE816">
        <v>1</v>
      </c>
      <c r="DF816">
        <v>1</v>
      </c>
      <c r="DG816">
        <v>1</v>
      </c>
      <c r="DI816">
        <f>SUM(DD816:DG816)</f>
        <v>3</v>
      </c>
      <c r="DJ816" t="str">
        <f>IF(DI816=1,INDEX($DD$7:$DG$7,MATCH(1,$DD816:$DG816,0)),"mixedProduct")</f>
        <v>mixedProduct</v>
      </c>
      <c r="DK816">
        <f>IF(DD816=1,DK$7,0)</f>
        <v>0</v>
      </c>
      <c r="DL816" t="str">
        <f>IF(DE816=1,DL$7,0)</f>
        <v>Energy</v>
      </c>
      <c r="DM816" t="str">
        <f>IF(DF816=1,DM$7,0)</f>
        <v>Pulp/Paper</v>
      </c>
      <c r="DN816" t="str">
        <f>IF(DG816=1,DN$7,0)</f>
        <v>Timber</v>
      </c>
      <c r="DO816">
        <v>0</v>
      </c>
      <c r="DP816">
        <v>1</v>
      </c>
      <c r="DQ816" t="s">
        <v>2146</v>
      </c>
      <c r="DR816">
        <v>0</v>
      </c>
      <c r="DS816">
        <v>0</v>
      </c>
      <c r="DT816">
        <f>SUM(DO816:DP816)</f>
        <v>1</v>
      </c>
      <c r="DU816" s="143" t="str">
        <f>IF(DO816=1,"self-calculated DF",IF(DP816=1,"external DF used","explicit C balance"))</f>
        <v>external DF used</v>
      </c>
      <c r="DV816">
        <v>1</v>
      </c>
      <c r="DW816">
        <v>1</v>
      </c>
      <c r="DX816">
        <v>1</v>
      </c>
      <c r="DY816">
        <v>0</v>
      </c>
      <c r="DZ816">
        <v>0</v>
      </c>
      <c r="EA816" s="143">
        <v>0</v>
      </c>
      <c r="EB816">
        <v>0</v>
      </c>
      <c r="EC816">
        <v>0</v>
      </c>
      <c r="ED816">
        <v>0</v>
      </c>
      <c r="EE816">
        <v>0</v>
      </c>
      <c r="EF816">
        <v>1</v>
      </c>
      <c r="EG816">
        <v>0</v>
      </c>
      <c r="EH816">
        <v>0</v>
      </c>
      <c r="EI816" s="2">
        <v>0</v>
      </c>
      <c r="EK816" t="str">
        <f>IF(AND(AND(AND(OR($DX816=1,$DW816=1),OR($EC816=1,$EA816=1)),SUM($DV816:$DZ816,$EF816)&gt;=4),SUM($EA816:$EE816)&gt;=2),"Whole sector","")</f>
        <v/>
      </c>
      <c r="EL816" t="str">
        <f>IF(AND(AND(OR($DX816=1,$DW816=1),AND($EC816=0,$EA816=0)),SUM($DV816:$DZ816,$EF816)&gt;=4),"Ecosystem approach","")</f>
        <v>Ecosystem approach</v>
      </c>
      <c r="EM816" s="2" t="str">
        <f>IF(AND(AND(AND($DX816=0,$DW816=0),OR($EC816=1,$EA816=1)),SUM($EB816:$EE816)&gt;=2),"Technology approach","")</f>
        <v/>
      </c>
      <c r="EP816" t="str">
        <f>IF(ISNUMBER(BU816),IF(ABS(BU816-[3]QC_indicators!$B$2)&gt;3*[3]QC_indicators!$C$2,"C ratio",IF(ISNUMBER(BY816),IF(ABS(BY816-[3]QC_indicators!$B$1)&gt;3*[3]QC_indicators!$C$1,"DF","no"))),IF(ISNUMBER(BY816),IF(ABS(BY816-[3]QC_indicators!$B$1)&gt;3*[3]QC_indicators!$C$1,"DF","no")))</f>
        <v>no</v>
      </c>
      <c r="ET816" s="264" t="s">
        <v>3407</v>
      </c>
    </row>
    <row r="817" spans="1:151" ht="15" customHeight="1">
      <c r="A817" s="1" t="s">
        <v>333</v>
      </c>
      <c r="B817" t="s">
        <v>1081</v>
      </c>
      <c r="C817" t="s">
        <v>1082</v>
      </c>
      <c r="D817" t="s">
        <v>1083</v>
      </c>
      <c r="E817" t="s">
        <v>1084</v>
      </c>
      <c r="F817" t="s">
        <v>1085</v>
      </c>
      <c r="G817" t="s">
        <v>339</v>
      </c>
      <c r="H817" t="s">
        <v>254</v>
      </c>
      <c r="I817">
        <v>2022</v>
      </c>
      <c r="J817">
        <v>3</v>
      </c>
      <c r="K817" t="s">
        <v>1086</v>
      </c>
      <c r="M817" t="str">
        <f>LEFT($D817,FIND(",",$D817)-1)&amp;"_"&amp;I817&amp;L817</f>
        <v>Robati_2022</v>
      </c>
      <c r="N817" t="s">
        <v>222</v>
      </c>
      <c r="O817" s="264" t="s">
        <v>223</v>
      </c>
      <c r="Q817" s="264" t="s">
        <v>389</v>
      </c>
      <c r="R817" s="269" t="s">
        <v>1154</v>
      </c>
      <c r="S817" s="263" t="s">
        <v>1095</v>
      </c>
      <c r="T817" s="264" t="s">
        <v>1096</v>
      </c>
      <c r="U817" s="264" t="s">
        <v>1089</v>
      </c>
      <c r="V817">
        <v>0</v>
      </c>
      <c r="W817">
        <v>0</v>
      </c>
      <c r="X817">
        <v>0</v>
      </c>
      <c r="Y817">
        <v>0</v>
      </c>
      <c r="Z817">
        <v>0</v>
      </c>
      <c r="AA817">
        <v>0</v>
      </c>
      <c r="AB817">
        <v>0</v>
      </c>
      <c r="AC817">
        <v>0</v>
      </c>
      <c r="AD817">
        <v>0</v>
      </c>
      <c r="AE817">
        <v>0</v>
      </c>
      <c r="AF817">
        <v>0</v>
      </c>
      <c r="AG817">
        <v>0</v>
      </c>
      <c r="AH817">
        <v>0</v>
      </c>
      <c r="AI817">
        <v>0</v>
      </c>
      <c r="AJ817">
        <v>0</v>
      </c>
      <c r="AK817">
        <v>1</v>
      </c>
      <c r="AL817">
        <v>0</v>
      </c>
      <c r="AM817">
        <v>0</v>
      </c>
      <c r="AN817">
        <v>0</v>
      </c>
      <c r="AO817">
        <v>0</v>
      </c>
      <c r="AP817">
        <v>0</v>
      </c>
      <c r="AQ817">
        <v>0</v>
      </c>
      <c r="AR817">
        <v>0</v>
      </c>
      <c r="AS817">
        <v>0</v>
      </c>
      <c r="AT817">
        <v>0</v>
      </c>
      <c r="AU817">
        <v>0</v>
      </c>
      <c r="AV817">
        <v>0</v>
      </c>
      <c r="AW817">
        <v>0</v>
      </c>
      <c r="AX817" s="141">
        <f>COUNTIF(V817:AW817,"&lt;&gt;0")</f>
        <v>1</v>
      </c>
      <c r="AY817" s="141">
        <f>COUNTIF(V817:AL817,"&lt;&gt;0")</f>
        <v>1</v>
      </c>
      <c r="AZ817">
        <f>COUNTIF(V817:AC817,"&lt;&gt;0")</f>
        <v>0</v>
      </c>
      <c r="BA817">
        <f>COUNTIF(AD817:AI817,"&lt;&gt;0")</f>
        <v>0</v>
      </c>
      <c r="BB817">
        <f>COUNTIF(AJ817:AL817,"&lt;&gt;0")</f>
        <v>1</v>
      </c>
      <c r="BC817">
        <f>COUNTIF(AS817:AW817,"&lt;&gt;0")</f>
        <v>0</v>
      </c>
      <c r="BD817">
        <f>COUNTIF(AM817:AR817,"&lt;&gt;0")</f>
        <v>0</v>
      </c>
      <c r="BE817" t="str" cm="1">
        <f t="array" ref="BE817">IF(AY817=1,INDEX($V$7:$AL$7,MATCH(TRUE,INDEX($V817:$AW817&lt;&gt;0,),0)),IF(AY817=0,INDEX($AM$7:$AW$7,MATCH(1,$AM817:$AW817,0)),IF(BF817="Multiple strategies","mixed drivers",IF(BF817="Supply chain","multiple supply","multiple silviculture"))))</f>
        <v>technologies/design switch</v>
      </c>
      <c r="BF817" s="2" t="str" cm="1">
        <f t="array" ref="BF817">IF(COUNTIF(AZ817:BB817,"&lt;&gt;0")=1,INDEX($V$4:$AW$4,MATCH(TRUE,INDEX($V817:$AW817&lt;&gt;0,),0)),IF(COUNTIF(AZ817:BB817,"&lt;&gt;0")=0,INDEX($AM$4:$AW$4,MATCH(1,$AM817:$AW817,0)),"Multiple strategies"))</f>
        <v>Technology</v>
      </c>
      <c r="BG817" s="1" t="s">
        <v>229</v>
      </c>
      <c r="BH817" s="264" t="s">
        <v>1090</v>
      </c>
      <c r="BI817" s="264" t="s">
        <v>716</v>
      </c>
      <c r="BJ817" s="264" t="s">
        <v>1091</v>
      </c>
      <c r="BK817">
        <f>(6.17+4901.94+10375.04)/43229</f>
        <v>0.35353929075389212</v>
      </c>
      <c r="BL817">
        <f>(6.17+4901.94+10375.04+8069.52+1195.9)/43229</f>
        <v>0.56787272432857583</v>
      </c>
      <c r="BN817">
        <f>BL817-BK817</f>
        <v>0.21433343357468371</v>
      </c>
      <c r="BO817">
        <f>BL817-BK817</f>
        <v>0.21433343357468371</v>
      </c>
      <c r="BP817" s="264" t="s">
        <v>395</v>
      </c>
      <c r="BQ817" s="264" t="s">
        <v>785</v>
      </c>
      <c r="BR817" s="264" t="s">
        <v>1092</v>
      </c>
      <c r="BS817">
        <f>379+0.18</f>
        <v>379.18</v>
      </c>
      <c r="BT817">
        <f>350.8-104.9</f>
        <v>245.9</v>
      </c>
      <c r="BU817" s="144">
        <f>IFERROR(BT817/BS817,"")</f>
        <v>0.64850466796771977</v>
      </c>
      <c r="BV817">
        <f>BT817-BS817</f>
        <v>-133.28</v>
      </c>
      <c r="BX817">
        <f>BV817/1000</f>
        <v>-0.13328000000000001</v>
      </c>
      <c r="BY817">
        <f>IFERROR(BX817/BO817,"")</f>
        <v>-0.62183485691959983</v>
      </c>
      <c r="BZ817">
        <v>0</v>
      </c>
      <c r="CA817">
        <v>0</v>
      </c>
      <c r="CB817">
        <v>0</v>
      </c>
      <c r="CC817">
        <v>0</v>
      </c>
      <c r="CD817">
        <v>0</v>
      </c>
      <c r="CE817">
        <v>0</v>
      </c>
      <c r="CF817">
        <v>0</v>
      </c>
      <c r="CG817">
        <v>0</v>
      </c>
      <c r="CH817">
        <v>0</v>
      </c>
      <c r="CI817">
        <v>0</v>
      </c>
      <c r="CJ817">
        <v>0</v>
      </c>
      <c r="CK817">
        <v>0</v>
      </c>
      <c r="CL817">
        <v>0</v>
      </c>
      <c r="CM817">
        <v>0</v>
      </c>
      <c r="CN817" t="str">
        <f>IF($BL817&lt;$BK817,"refNeedCorrection","refOK")</f>
        <v>refOK</v>
      </c>
      <c r="CO817">
        <f>IF($CN817="refOK",$BK817,$BL817)</f>
        <v>0.35353929075389212</v>
      </c>
      <c r="CP817">
        <f>IF($CN817="refOK",$BL817,$BK817)</f>
        <v>0.56787272432857583</v>
      </c>
      <c r="CQ817">
        <f>IF($CN817="refOK",$BO817,-$BO817)</f>
        <v>0.21433343357468371</v>
      </c>
      <c r="CR817">
        <f>IF($CN817="refOK",$BS817,$BT817)*IF($BP817="Emissions positive",-1,1)</f>
        <v>-379.18</v>
      </c>
      <c r="CS817">
        <f>IF($CN817="refOK",$BT817,$BS817)*IF($BP817="Emissions positive",-1,1)</f>
        <v>-245.9</v>
      </c>
      <c r="CT817">
        <f>IF($CN817="refNeedCorrection",-BX817,BX817)*IF($BP817="Emissions positive",-1,1)</f>
        <v>0.13328000000000001</v>
      </c>
      <c r="CU817">
        <f>IFERROR(CT817/CQ817,"")</f>
        <v>0.62183485691959983</v>
      </c>
      <c r="CV817" s="2">
        <f>IFERROR((CS817-CR817)/ABS(CR817),"")</f>
        <v>0.35149533203228017</v>
      </c>
      <c r="CW817" s="263" t="s">
        <v>263</v>
      </c>
      <c r="CX817" s="264" t="str">
        <f>IF(OR($CW817="prd",$CW817="std",$CW817="cit"),"loc",IF(OR($CW817="eur",$CW817="reg",$CW817="coy"),"reg",$CW817))</f>
        <v>loc</v>
      </c>
      <c r="CY817" s="264" t="s">
        <v>574</v>
      </c>
      <c r="DB817">
        <v>0</v>
      </c>
      <c r="DC817" t="str">
        <f>IF(DB817=0,"0",IF(AND(DB817&gt;=1,DB817&lt;=30),"1-30",IF(AND(DB817&gt;30,DB817&lt;=70),"31-70",IF(AND(DB817&gt;70,DB817&lt;=100),"71-100",IF(DB817&gt;100,"+100")))))</f>
        <v>0</v>
      </c>
      <c r="DD817">
        <v>0</v>
      </c>
      <c r="DE817">
        <v>0</v>
      </c>
      <c r="DF817">
        <v>0</v>
      </c>
      <c r="DG817">
        <v>1</v>
      </c>
      <c r="DH817">
        <v>0</v>
      </c>
      <c r="DI817">
        <f>SUM(DD817:DG817)</f>
        <v>1</v>
      </c>
      <c r="DJ817" t="str">
        <f>IF(DI817=1,INDEX($DD$7:$DG$7,MATCH(1,$DD817:$DG817,0)),"mixedProduct")</f>
        <v>TimberInput</v>
      </c>
      <c r="DK817">
        <f>IF(DD817=1,DK$7,0)</f>
        <v>0</v>
      </c>
      <c r="DL817">
        <f>IF(DE817=1,DL$7,0)</f>
        <v>0</v>
      </c>
      <c r="DM817">
        <f>IF(DF817=1,DM$7,0)</f>
        <v>0</v>
      </c>
      <c r="DN817" t="str">
        <f>IF(DG817=1,DN$7,0)</f>
        <v>Timber</v>
      </c>
      <c r="DO817">
        <v>0</v>
      </c>
      <c r="DP817">
        <v>0</v>
      </c>
      <c r="DQ817">
        <v>0</v>
      </c>
      <c r="DR817">
        <v>0</v>
      </c>
      <c r="DS817">
        <v>0</v>
      </c>
      <c r="DT817">
        <f>SUM(DO817:DP817)</f>
        <v>0</v>
      </c>
      <c r="DU817" s="143" t="str">
        <f>IF(DO817=1,"self-calculated DF",IF(DP817=1,"external DF used","explicit C balance"))</f>
        <v>explicit C balance</v>
      </c>
      <c r="DV817">
        <v>0</v>
      </c>
      <c r="DW817">
        <v>1</v>
      </c>
      <c r="DX817">
        <v>0</v>
      </c>
      <c r="DY817">
        <v>1</v>
      </c>
      <c r="DZ817">
        <v>0</v>
      </c>
      <c r="EA817">
        <v>0</v>
      </c>
      <c r="EB817">
        <v>1</v>
      </c>
      <c r="EC817">
        <v>1</v>
      </c>
      <c r="ED817">
        <v>0</v>
      </c>
      <c r="EE817">
        <v>0</v>
      </c>
      <c r="EF817">
        <v>0</v>
      </c>
      <c r="EG817">
        <v>0</v>
      </c>
      <c r="EH817">
        <v>0</v>
      </c>
      <c r="EI817" s="2">
        <v>0</v>
      </c>
      <c r="EK817" t="str">
        <f>IF(AND(AND(AND(OR($DX817=1,$DW817=1),OR($EC817=1,$EA817=1)),SUM($DV817:$DZ817,$EF817)&gt;=4),SUM($EA817:$EE817)&gt;=2),"Whole sector","")</f>
        <v/>
      </c>
      <c r="EL817" t="str">
        <f>IF(AND(AND(OR($DX817=1,$DW817=1),AND($EC817=0,$EA817=0)),SUM($DV817:$DZ817,$EF817)&gt;=4),"Ecosystem approach","")</f>
        <v/>
      </c>
      <c r="EM817" s="2" t="str">
        <f>IF(AND(AND(AND($DX817=0,$DW817=0),OR($EC817=1,$EA817=1)),SUM($EB817:$EE817)&gt;=2),"Technology approach","")</f>
        <v/>
      </c>
      <c r="EP817" t="str">
        <f>IF(ISNUMBER(BU817),IF(ABS(BU817-[3]QC_indicators!$B$2)&gt;3*[3]QC_indicators!$C$2,"C ratio",IF(ISNUMBER(BY817),IF(ABS(BY817-[3]QC_indicators!$B$1)&gt;3*[3]QC_indicators!$C$1,"DF","no"))),IF(ISNUMBER(BY817),IF(ABS(BY817-[3]QC_indicators!$B$1)&gt;3*[3]QC_indicators!$C$1,"DF","no")))</f>
        <v>no</v>
      </c>
      <c r="ET817" s="264" t="s">
        <v>3407</v>
      </c>
    </row>
    <row r="818" spans="1:151" ht="15" customHeight="1">
      <c r="D818" t="s">
        <v>757</v>
      </c>
      <c r="E818" t="s">
        <v>758</v>
      </c>
      <c r="G818" t="s">
        <v>759</v>
      </c>
      <c r="I818">
        <v>2006</v>
      </c>
      <c r="K818" s="296" t="s">
        <v>760</v>
      </c>
      <c r="M818" t="str">
        <f>LEFT($D818,FIND(",",$D818)-1)&amp;"_"&amp;I818&amp;L818</f>
        <v>Gustavsson_2006</v>
      </c>
      <c r="N818" t="s">
        <v>222</v>
      </c>
      <c r="O818" t="s">
        <v>223</v>
      </c>
      <c r="Q818" s="264" t="s">
        <v>256</v>
      </c>
      <c r="R818" s="269" t="s">
        <v>1154</v>
      </c>
      <c r="S818" s="263" t="s">
        <v>765</v>
      </c>
      <c r="T818" t="s">
        <v>753</v>
      </c>
      <c r="U818" s="143" t="s">
        <v>754</v>
      </c>
      <c r="V818">
        <v>0</v>
      </c>
      <c r="W818">
        <v>0</v>
      </c>
      <c r="X818">
        <v>0</v>
      </c>
      <c r="Y818">
        <v>0</v>
      </c>
      <c r="Z818">
        <v>0</v>
      </c>
      <c r="AA818">
        <v>0</v>
      </c>
      <c r="AB818">
        <v>0</v>
      </c>
      <c r="AC818">
        <v>0</v>
      </c>
      <c r="AD818">
        <v>0</v>
      </c>
      <c r="AE818">
        <v>0</v>
      </c>
      <c r="AF818">
        <v>0</v>
      </c>
      <c r="AG818">
        <v>0</v>
      </c>
      <c r="AH818">
        <v>0</v>
      </c>
      <c r="AI818">
        <v>0</v>
      </c>
      <c r="AJ818">
        <v>0</v>
      </c>
      <c r="AK818">
        <v>1</v>
      </c>
      <c r="AL818">
        <v>0</v>
      </c>
      <c r="AM818">
        <v>0</v>
      </c>
      <c r="AN818">
        <v>0</v>
      </c>
      <c r="AO818">
        <v>0</v>
      </c>
      <c r="AP818">
        <v>0</v>
      </c>
      <c r="AQ818">
        <v>0</v>
      </c>
      <c r="AR818">
        <v>0</v>
      </c>
      <c r="AS818">
        <v>0</v>
      </c>
      <c r="AT818">
        <v>0</v>
      </c>
      <c r="AU818">
        <v>0</v>
      </c>
      <c r="AV818">
        <v>0</v>
      </c>
      <c r="AW818">
        <v>0</v>
      </c>
      <c r="AX818" s="141">
        <f>COUNTIF(V818:AW818,"&lt;&gt;0")</f>
        <v>1</v>
      </c>
      <c r="AY818" s="141">
        <f>COUNTIF(V818:AL818,"&lt;&gt;0")</f>
        <v>1</v>
      </c>
      <c r="AZ818">
        <f>COUNTIF(V818:AC818,"&lt;&gt;0")</f>
        <v>0</v>
      </c>
      <c r="BA818">
        <f>COUNTIF(AD818:AI818,"&lt;&gt;0")</f>
        <v>0</v>
      </c>
      <c r="BB818">
        <f>COUNTIF(AJ818:AL818,"&lt;&gt;0")</f>
        <v>1</v>
      </c>
      <c r="BC818">
        <f>COUNTIF(AS818:AW818,"&lt;&gt;0")</f>
        <v>0</v>
      </c>
      <c r="BD818">
        <f>COUNTIF(AM818:AR818,"&lt;&gt;0")</f>
        <v>0</v>
      </c>
      <c r="BE818" t="str" cm="1">
        <f t="array" ref="BE818">IF(AY818=1,INDEX($V$7:$AL$7,MATCH(TRUE,INDEX($V818:$AW818&lt;&gt;0,),0)),IF(AY818=0,INDEX($AM$7:$AW$7,MATCH(1,$AM818:$AW818,0)),IF(BF818="Multiple strategies","mixed drivers",IF(BF818="Supply chain","multiple supply","multiple silviculture"))))</f>
        <v>technologies/design switch</v>
      </c>
      <c r="BF818" s="2" t="str" cm="1">
        <f t="array" ref="BF818">IF(COUNTIF(AZ818:BB818,"&lt;&gt;0")=1,INDEX($V$4:$AW$4,MATCH(TRUE,INDEX($V818:$AW818&lt;&gt;0,),0)),IF(COUNTIF(AZ818:BB818,"&lt;&gt;0")=0,INDEX($AM$4:$AW$4,MATCH(1,$AM818:$AW818,0)),"Multiple strategies"))</f>
        <v>Technology</v>
      </c>
      <c r="BG818" s="142" t="s">
        <v>229</v>
      </c>
      <c r="BH818" t="s">
        <v>393</v>
      </c>
      <c r="BI818" s="264" t="s">
        <v>762</v>
      </c>
      <c r="BJ818" s="143" t="s">
        <v>763</v>
      </c>
      <c r="BK818">
        <v>70</v>
      </c>
      <c r="BL818" s="143">
        <v>98</v>
      </c>
      <c r="BM818" s="143"/>
      <c r="BN818">
        <f>BL818-BK818</f>
        <v>28</v>
      </c>
      <c r="BO818" s="143">
        <f>BN818*t_to_m3</f>
        <v>57.142857142857146</v>
      </c>
      <c r="BP818" s="264" t="s">
        <v>232</v>
      </c>
      <c r="BQ818" s="155" t="s">
        <v>764</v>
      </c>
      <c r="BR818" t="s">
        <v>442</v>
      </c>
      <c r="BS818" s="143">
        <v>-72.400000000000006</v>
      </c>
      <c r="BT818" s="151">
        <v>-62.6</v>
      </c>
      <c r="BV818">
        <f>BT818-BS818</f>
        <v>9.8000000000000043</v>
      </c>
      <c r="BX818">
        <f>BV818*C_to_CO2</f>
        <v>35.966000000000015</v>
      </c>
      <c r="BY818">
        <f>IFERROR(BX818/BO818,"")</f>
        <v>0.62940500000000021</v>
      </c>
      <c r="BZ818" s="143">
        <v>0</v>
      </c>
      <c r="CA818" s="143">
        <v>0</v>
      </c>
      <c r="CB818" s="143">
        <v>0</v>
      </c>
      <c r="CC818" s="143">
        <v>0</v>
      </c>
      <c r="CD818" s="143">
        <v>0</v>
      </c>
      <c r="CE818" s="143">
        <v>0</v>
      </c>
      <c r="CF818" s="143">
        <v>0</v>
      </c>
      <c r="CG818" s="143">
        <v>0</v>
      </c>
      <c r="CH818" s="143">
        <v>0</v>
      </c>
      <c r="CI818" s="143">
        <v>0</v>
      </c>
      <c r="CJ818" s="143">
        <v>0</v>
      </c>
      <c r="CK818" s="143">
        <v>0</v>
      </c>
      <c r="CL818" s="143">
        <v>0</v>
      </c>
      <c r="CM818">
        <v>0</v>
      </c>
      <c r="CN818" t="str">
        <f>IF($BL818&lt;$BK818,"refNeedCorrection","refOK")</f>
        <v>refOK</v>
      </c>
      <c r="CO818">
        <f>IF($CN818="refOK",$BK818,$BL818)</f>
        <v>70</v>
      </c>
      <c r="CP818">
        <f>IF($CN818="refOK",$BL818,$BK818)</f>
        <v>98</v>
      </c>
      <c r="CQ818">
        <f>IF($CN818="refOK",$BO818,-$BO818)</f>
        <v>57.142857142857146</v>
      </c>
      <c r="CR818">
        <f>IF($CN818="refOK",$BS818,$BT818)*IF($BP818="Emissions positive",-1,1)</f>
        <v>-72.400000000000006</v>
      </c>
      <c r="CS818">
        <f>IF($CN818="refOK",$BT818,$BS818)*IF($BP818="Emissions positive",-1,1)</f>
        <v>-62.6</v>
      </c>
      <c r="CT818">
        <f>IF($CN818="refNeedCorrection",-BX818,BX818)*IF($BP818="Emissions positive",-1,1)</f>
        <v>35.966000000000015</v>
      </c>
      <c r="CU818">
        <f>IFERROR(CT818/CQ818,"")</f>
        <v>0.62940500000000021</v>
      </c>
      <c r="CV818" s="2">
        <f>IFERROR((CS818-CR818)/ABS(CR818),"")</f>
        <v>0.13535911602209949</v>
      </c>
      <c r="CW818" s="1" t="s">
        <v>263</v>
      </c>
      <c r="CX818" s="264" t="str">
        <f>IF(OR($CW818="prd",$CW818="std",$CW818="cit"),"loc",IF(OR($CW818="eur",$CW818="reg",$CW818="coy"),"reg",$CW818))</f>
        <v>loc</v>
      </c>
      <c r="CY818" t="s">
        <v>235</v>
      </c>
      <c r="DA818" s="143"/>
      <c r="DB818" s="143">
        <v>0</v>
      </c>
      <c r="DC818" t="str">
        <f>IF(DB818=0,"0",IF(AND(DB818&gt;=1,DB818&lt;=30),"1-30",IF(AND(DB818&gt;30,DB818&lt;=70),"31-70",IF(AND(DB818&gt;70,DB818&lt;=100),"71-100",IF(DB818&gt;100,"+100")))))</f>
        <v>0</v>
      </c>
      <c r="DD818">
        <v>0</v>
      </c>
      <c r="DE818">
        <v>0</v>
      </c>
      <c r="DF818">
        <v>0</v>
      </c>
      <c r="DG818">
        <v>1</v>
      </c>
      <c r="DI818">
        <f>SUM(DD818:DG818)</f>
        <v>1</v>
      </c>
      <c r="DJ818" t="str">
        <f>IF(DI818=1,INDEX($DD$7:$DG$7,MATCH(1,$DD818:$DG818,0)),"mixedProduct")</f>
        <v>TimberInput</v>
      </c>
      <c r="DK818">
        <f>IF(DD818=1,DK$7,0)</f>
        <v>0</v>
      </c>
      <c r="DL818">
        <f>IF(DE818=1,DL$7,0)</f>
        <v>0</v>
      </c>
      <c r="DM818">
        <f>IF(DF818=1,DM$7,0)</f>
        <v>0</v>
      </c>
      <c r="DN818" t="str">
        <f>IF(DG818=1,DN$7,0)</f>
        <v>Timber</v>
      </c>
      <c r="DO818">
        <v>1</v>
      </c>
      <c r="DP818" s="143">
        <v>0</v>
      </c>
      <c r="DQ818" s="143">
        <v>0</v>
      </c>
      <c r="DR818">
        <v>0</v>
      </c>
      <c r="DS818" s="143">
        <v>0</v>
      </c>
      <c r="DT818">
        <f>SUM(DO818:DP818)</f>
        <v>1</v>
      </c>
      <c r="DU818" s="143" t="str">
        <f>IF(DO818=1,"self-calculated DF",IF(DP818=1,"external DF used","explicit C balance"))</f>
        <v>self-calculated DF</v>
      </c>
      <c r="DV818" s="143">
        <v>0</v>
      </c>
      <c r="DW818" s="143">
        <v>0</v>
      </c>
      <c r="DX818" s="143">
        <v>0</v>
      </c>
      <c r="DY818" s="143">
        <v>0</v>
      </c>
      <c r="DZ818">
        <v>0</v>
      </c>
      <c r="EA818" s="143">
        <v>1</v>
      </c>
      <c r="EB818" s="143">
        <v>1</v>
      </c>
      <c r="EC818" s="143">
        <v>1</v>
      </c>
      <c r="ED818" s="143">
        <v>0</v>
      </c>
      <c r="EE818">
        <v>0</v>
      </c>
      <c r="EF818">
        <v>0</v>
      </c>
      <c r="EG818" s="143">
        <v>0</v>
      </c>
      <c r="EH818" s="143">
        <v>0</v>
      </c>
      <c r="EI818" s="2">
        <v>0</v>
      </c>
      <c r="EK818" t="str">
        <f>IF(AND(AND(AND(OR($DX818=1,$DW818=1),OR($EC818=1,$EA818=1)),SUM($DV818:$DZ818,$EF818)&gt;=4),SUM($EA818:$EE818)&gt;=2),"Whole sector","")</f>
        <v/>
      </c>
      <c r="EL818" t="str">
        <f>IF(AND(AND(OR($DX818=1,$DW818=1),AND($EC818=0,$EA818=0)),SUM($DV818:$DZ818,$EF818)&gt;=4),"Ecosystem approach","")</f>
        <v/>
      </c>
      <c r="EM818" s="2" t="str">
        <f>IF(AND(AND(AND($DX818=0,$DW818=0),OR($EC818=1,$EA818=1)),SUM($EB818:$EE818)&gt;=2),"Technology approach","")</f>
        <v>Technology approach</v>
      </c>
      <c r="EP818" t="str">
        <f>IF(ISNUMBER(BU818),IF(ABS(BU818-[3]QC_indicators!$B$2)&gt;3*[3]QC_indicators!$C$2,"C ratio",IF(ISNUMBER(BY818),IF(ABS(BY818-[3]QC_indicators!$B$1)&gt;3*[3]QC_indicators!$C$1,"DF","no"))),IF(ISNUMBER(BY818),IF(ABS(BY818-[3]QC_indicators!$B$1)&gt;3*[3]QC_indicators!$C$1,"DF","no")))</f>
        <v>no</v>
      </c>
      <c r="ER818" s="294" t="s">
        <v>349</v>
      </c>
      <c r="ET818" s="264" t="s">
        <v>3407</v>
      </c>
    </row>
    <row r="819" spans="1:151" ht="15" customHeight="1">
      <c r="A819" s="1" t="s">
        <v>1233</v>
      </c>
      <c r="B819" t="s">
        <v>1234</v>
      </c>
      <c r="C819" t="s">
        <v>1235</v>
      </c>
      <c r="D819" t="s">
        <v>336</v>
      </c>
      <c r="E819" t="s">
        <v>1236</v>
      </c>
      <c r="F819" t="s">
        <v>1237</v>
      </c>
      <c r="G819" t="s">
        <v>1238</v>
      </c>
      <c r="I819">
        <v>2018</v>
      </c>
      <c r="K819" t="s">
        <v>1239</v>
      </c>
      <c r="M819" t="str">
        <f>LEFT($D819,FIND(",",$D819)-1)&amp;"_"&amp;I819&amp;L819</f>
        <v>Balasbaneh_2018</v>
      </c>
      <c r="N819" t="s">
        <v>222</v>
      </c>
      <c r="O819" s="140" t="s">
        <v>513</v>
      </c>
      <c r="Q819" t="s">
        <v>224</v>
      </c>
      <c r="R819" s="262" t="s">
        <v>223</v>
      </c>
      <c r="S819" s="1" t="s">
        <v>1268</v>
      </c>
      <c r="T819" s="264" t="s">
        <v>3110</v>
      </c>
      <c r="U819" s="264" t="s">
        <v>3111</v>
      </c>
      <c r="V819">
        <v>0</v>
      </c>
      <c r="W819">
        <v>0</v>
      </c>
      <c r="X819">
        <v>0</v>
      </c>
      <c r="Y819">
        <v>0</v>
      </c>
      <c r="Z819">
        <v>0</v>
      </c>
      <c r="AA819">
        <v>0</v>
      </c>
      <c r="AB819">
        <v>0</v>
      </c>
      <c r="AC819">
        <v>0</v>
      </c>
      <c r="AD819">
        <v>0</v>
      </c>
      <c r="AE819">
        <v>0</v>
      </c>
      <c r="AF819">
        <v>0</v>
      </c>
      <c r="AG819">
        <v>0</v>
      </c>
      <c r="AH819">
        <v>0</v>
      </c>
      <c r="AI819">
        <v>0</v>
      </c>
      <c r="AJ819">
        <v>0</v>
      </c>
      <c r="AK819">
        <v>1</v>
      </c>
      <c r="AL819">
        <v>0</v>
      </c>
      <c r="AM819">
        <v>0</v>
      </c>
      <c r="AN819">
        <v>0</v>
      </c>
      <c r="AO819">
        <v>0</v>
      </c>
      <c r="AP819">
        <v>0</v>
      </c>
      <c r="AQ819">
        <v>0</v>
      </c>
      <c r="AR819">
        <v>0</v>
      </c>
      <c r="AS819">
        <v>0</v>
      </c>
      <c r="AT819">
        <v>0</v>
      </c>
      <c r="AU819">
        <v>0</v>
      </c>
      <c r="AV819">
        <v>0</v>
      </c>
      <c r="AW819">
        <v>0</v>
      </c>
      <c r="AX819" s="141">
        <f>COUNTIF(V819:AW819,"&lt;&gt;0")</f>
        <v>1</v>
      </c>
      <c r="AY819" s="141">
        <f>COUNTIF(V819:AL819,"&lt;&gt;0")</f>
        <v>1</v>
      </c>
      <c r="AZ819">
        <f>COUNTIF(V819:AC819,"&lt;&gt;0")</f>
        <v>0</v>
      </c>
      <c r="BA819">
        <f>COUNTIF(AD819:AI819,"&lt;&gt;0")</f>
        <v>0</v>
      </c>
      <c r="BB819">
        <f>COUNTIF(AJ819:AL819,"&lt;&gt;0")</f>
        <v>1</v>
      </c>
      <c r="BC819">
        <f>COUNTIF(AS819:AW819,"&lt;&gt;0")</f>
        <v>0</v>
      </c>
      <c r="BD819">
        <f>COUNTIF(AM819:AR819,"&lt;&gt;0")</f>
        <v>0</v>
      </c>
      <c r="BE819" t="str">
        <f t="array" ref="BE819">IF(AY819=1,INDEX($V$7:$AL$7,MATCH(TRUE,INDEX($V819:$AW819&lt;&gt;0,),0)),IF(AY819=0,INDEX($AM$7:$AW$7,MATCH(1,$AM819:$AW819,0)),IF(BF819="Multiple strategies","mixed drivers",IF(BF819="Supply chain","multiple supply","multiple silviculture"))))</f>
        <v>technologies/design switch</v>
      </c>
      <c r="BF819" s="2" t="str" cm="1">
        <f t="array" ref="BF819">IF(COUNTIF(AZ819:BB819,"&lt;&gt;0")=1,INDEX($V$4:$AW$4,MATCH(TRUE,INDEX($V819:$AW819&lt;&gt;0,),0)),IF(COUNTIF(AZ819:BB819,"&lt;&gt;0")=0,INDEX($AM$4:$AW$4,MATCH(1,$AM819:$AW819,0)),"Multiple strategies"))</f>
        <v>Technology</v>
      </c>
      <c r="BG819" s="1" t="s">
        <v>229</v>
      </c>
      <c r="BH819" t="s">
        <v>229</v>
      </c>
      <c r="BJ819" t="s">
        <v>345</v>
      </c>
      <c r="BK819">
        <v>0</v>
      </c>
      <c r="BL819">
        <v>15468</v>
      </c>
      <c r="BM819" s="143"/>
      <c r="BN819">
        <f>BL819-BK819</f>
        <v>15468</v>
      </c>
      <c r="BO819" s="143">
        <f>BN819*kg_to_m3</f>
        <v>31.567346938775515</v>
      </c>
      <c r="BP819" t="s">
        <v>232</v>
      </c>
      <c r="BQ819" s="337" t="s">
        <v>1057</v>
      </c>
      <c r="BR819" t="s">
        <v>397</v>
      </c>
      <c r="BS819">
        <v>-25300</v>
      </c>
      <c r="BT819">
        <v>-5370</v>
      </c>
      <c r="BU819" s="144">
        <v>0.21225296442687747</v>
      </c>
      <c r="BV819">
        <v>19930</v>
      </c>
      <c r="BX819">
        <f>BV819/1000</f>
        <v>19.93</v>
      </c>
      <c r="BY819">
        <f>IFERROR(BX819/BO819,"")</f>
        <v>0.63134859063873794</v>
      </c>
      <c r="BZ819">
        <v>0</v>
      </c>
      <c r="CA819">
        <v>0</v>
      </c>
      <c r="CB819">
        <v>0</v>
      </c>
      <c r="CC819">
        <v>0</v>
      </c>
      <c r="CD819">
        <v>0</v>
      </c>
      <c r="CE819">
        <v>0</v>
      </c>
      <c r="CF819">
        <v>0</v>
      </c>
      <c r="CG819">
        <v>0</v>
      </c>
      <c r="CH819">
        <v>0</v>
      </c>
      <c r="CI819">
        <v>0</v>
      </c>
      <c r="CJ819">
        <v>0</v>
      </c>
      <c r="CK819">
        <v>0</v>
      </c>
      <c r="CL819">
        <v>0</v>
      </c>
      <c r="CM819">
        <v>0</v>
      </c>
      <c r="CN819" t="str">
        <f>IF($BL819&lt;$BK819,"refNeedCorrection","refOK")</f>
        <v>refOK</v>
      </c>
      <c r="CO819">
        <f>IF($CN819="refNeedCorrection",BL819,BK819)</f>
        <v>0</v>
      </c>
      <c r="CP819">
        <f>IF($CN819="refNeedCorrection",BK819,BL819)</f>
        <v>15468</v>
      </c>
      <c r="CQ819">
        <f>IF($CN819="refOK",$BO819,-$BO819)</f>
        <v>31.567346938775515</v>
      </c>
      <c r="CR819">
        <f>IF($CN819="refOK",$BS819,$BT819)*IF($BP819="Emissions positive",-1,1)</f>
        <v>-25300</v>
      </c>
      <c r="CS819">
        <f>IF($CN819="refOK",$BT819,$BS819)*IF($BP819="Emissions positive",-1,1)</f>
        <v>-5370</v>
      </c>
      <c r="CT819">
        <f>IF($CN819="refNeedCorrection",-BX819,BX819)*IF($BP819="Emissions positive",-1,1)</f>
        <v>19.93</v>
      </c>
      <c r="CU819">
        <f>IFERROR(CT819/CQ819,"")</f>
        <v>0.63134859063873794</v>
      </c>
      <c r="CV819" s="2">
        <f>IFERROR((CS819-CR819)/ABS(CR819),"")</f>
        <v>0.78774703557312253</v>
      </c>
      <c r="CW819" s="1" t="s">
        <v>1203</v>
      </c>
      <c r="CX819" t="str">
        <f>IF(OR($CW819="prd",$CW819="std",$CW819="cit"),"loc",IF(OR($CW819="eur",$CW819="reg",$CW819="coy"),"reg",$CW819))</f>
        <v>reg</v>
      </c>
      <c r="CY819" t="s">
        <v>348</v>
      </c>
      <c r="CZ819">
        <v>2014</v>
      </c>
      <c r="DA819">
        <v>2114</v>
      </c>
      <c r="DB819">
        <v>100</v>
      </c>
      <c r="DC819" t="str">
        <f>IF(DB819=0,"0",IF(AND(DB819&gt;=1,DB819&lt;=30),"1-30",IF(AND(DB819&gt;30,DB819&lt;=70),"31-70",IF(AND(DB819&gt;70,DB819&lt;=100),"71-100",IF(DB819&gt;100,"+100")))))</f>
        <v>71-100</v>
      </c>
      <c r="DD819">
        <v>0</v>
      </c>
      <c r="DE819">
        <v>0</v>
      </c>
      <c r="DF819">
        <v>0</v>
      </c>
      <c r="DG819">
        <v>1</v>
      </c>
      <c r="DI819">
        <f>SUM(DD819:DG819)</f>
        <v>1</v>
      </c>
      <c r="DJ819" t="str">
        <f>IF(DI819=1,INDEX($DD$7:$DG$7,MATCH(1,$DD819:$DG819,0)),"mixedProduct")</f>
        <v>TimberInput</v>
      </c>
      <c r="DK819">
        <f>IF(DD819=1,DK$7,0)</f>
        <v>0</v>
      </c>
      <c r="DL819">
        <f>IF(DE819=1,DL$7,0)</f>
        <v>0</v>
      </c>
      <c r="DM819">
        <f>IF(DF819=1,DM$7,0)</f>
        <v>0</v>
      </c>
      <c r="DN819" t="str">
        <f>IF(DG819=1,DN$7,0)</f>
        <v>Timber</v>
      </c>
      <c r="DO819">
        <v>0</v>
      </c>
      <c r="DP819">
        <v>0</v>
      </c>
      <c r="DQ819">
        <v>0</v>
      </c>
      <c r="DR819">
        <v>0</v>
      </c>
      <c r="DS819">
        <v>0</v>
      </c>
      <c r="DT819">
        <f>SUM(DO819:DP819)</f>
        <v>0</v>
      </c>
      <c r="DU819" s="143" t="str">
        <f>IF(DO819=1,"self-calculated DF",IF(DP819=1,"external DF used","explicit C balance"))</f>
        <v>explicit C balance</v>
      </c>
      <c r="DV819">
        <v>0</v>
      </c>
      <c r="DW819">
        <v>0</v>
      </c>
      <c r="DX819">
        <v>0</v>
      </c>
      <c r="DY819">
        <v>0</v>
      </c>
      <c r="DZ819">
        <v>0</v>
      </c>
      <c r="EA819" s="143">
        <v>1</v>
      </c>
      <c r="EB819">
        <v>0</v>
      </c>
      <c r="EC819">
        <v>1</v>
      </c>
      <c r="ED819">
        <v>1</v>
      </c>
      <c r="EE819">
        <v>1</v>
      </c>
      <c r="EF819">
        <v>0</v>
      </c>
      <c r="EG819">
        <v>0</v>
      </c>
      <c r="EH819">
        <v>0</v>
      </c>
      <c r="EI819" s="2">
        <v>0</v>
      </c>
      <c r="EK819" t="str">
        <f>IF(AND(AND(AND(OR($DX819=1,$DW819=1),OR($EC819=1,$EA819=1)),SUM($DV819:$DZ819,$EF819)&gt;=4),SUM($EA819:$EE819)&gt;=2),"Whole sector","")</f>
        <v/>
      </c>
      <c r="EL819" t="str">
        <f>IF(AND(AND(OR($DX819=1,$DW819=1),AND($EC819=0,$EA819=0)),SUM($DV819:$DZ819,$EF819)&gt;=4),"Ecosystem approach","")</f>
        <v/>
      </c>
      <c r="EM819" s="2" t="str">
        <f>IF(AND(AND(AND($DX819=0,$DW819=0),OR($EC819=1,$EA819=1)),SUM($EB819:$EE819)&gt;=2),"Technology approach","")</f>
        <v>Technology approach</v>
      </c>
      <c r="EP819" t="str">
        <f>IF(ISNUMBER(BU819),IF(ABS(BU819-[1]QC_indicators!$B$2)&gt;3*[1]QC_indicators!$C$2,"C ratio",IF(ISNUMBER(BY819),IF(ABS(BY819-[1]QC_indicators!$B$1)&gt;3*[1]QC_indicators!$C$1,"DF","no"))),IF(ISNUMBER(BY819),IF(ABS(BY819-[1]QC_indicators!$B$1)&gt;3*[1]QC_indicators!$C$1,"DF","no")))</f>
        <v>no</v>
      </c>
      <c r="ER819" s="149" t="s">
        <v>349</v>
      </c>
      <c r="ET819" s="264" t="s">
        <v>3273</v>
      </c>
    </row>
    <row r="820" spans="1:151" ht="15" customHeight="1">
      <c r="A820" s="1" t="s">
        <v>398</v>
      </c>
      <c r="B820" t="s">
        <v>681</v>
      </c>
      <c r="C820" t="s">
        <v>682</v>
      </c>
      <c r="D820" t="s">
        <v>683</v>
      </c>
      <c r="E820" t="s">
        <v>684</v>
      </c>
      <c r="F820" t="s">
        <v>685</v>
      </c>
      <c r="G820" t="s">
        <v>404</v>
      </c>
      <c r="H820" t="s">
        <v>254</v>
      </c>
      <c r="I820">
        <v>2022</v>
      </c>
      <c r="J820">
        <v>1</v>
      </c>
      <c r="K820" t="s">
        <v>686</v>
      </c>
      <c r="M820" t="str">
        <f>LEFT($D820,FIND(",",$D820)-1)&amp;"_"&amp;I820&amp;L820</f>
        <v>Duan_2022</v>
      </c>
      <c r="N820" t="s">
        <v>222</v>
      </c>
      <c r="O820" s="145" t="s">
        <v>223</v>
      </c>
      <c r="Q820" t="s">
        <v>389</v>
      </c>
      <c r="R820" s="283" t="s">
        <v>225</v>
      </c>
      <c r="S820" s="1" t="s">
        <v>607</v>
      </c>
      <c r="T820" s="151" t="s">
        <v>810</v>
      </c>
      <c r="U820" t="s">
        <v>259</v>
      </c>
      <c r="V820">
        <v>0</v>
      </c>
      <c r="W820">
        <v>0</v>
      </c>
      <c r="X820">
        <v>0</v>
      </c>
      <c r="Y820">
        <v>0</v>
      </c>
      <c r="Z820">
        <v>0</v>
      </c>
      <c r="AA820">
        <v>0</v>
      </c>
      <c r="AB820">
        <v>0</v>
      </c>
      <c r="AC820">
        <v>0</v>
      </c>
      <c r="AD820">
        <v>0</v>
      </c>
      <c r="AE820">
        <v>0</v>
      </c>
      <c r="AF820">
        <v>0</v>
      </c>
      <c r="AG820">
        <v>0</v>
      </c>
      <c r="AH820">
        <v>0</v>
      </c>
      <c r="AI820">
        <v>0</v>
      </c>
      <c r="AJ820">
        <v>0</v>
      </c>
      <c r="AK820">
        <v>1</v>
      </c>
      <c r="AL820">
        <v>0</v>
      </c>
      <c r="AM820">
        <v>0</v>
      </c>
      <c r="AN820">
        <v>0</v>
      </c>
      <c r="AO820">
        <v>0</v>
      </c>
      <c r="AP820">
        <v>0</v>
      </c>
      <c r="AQ820">
        <v>0</v>
      </c>
      <c r="AR820">
        <v>0</v>
      </c>
      <c r="AS820">
        <v>0</v>
      </c>
      <c r="AT820">
        <v>0</v>
      </c>
      <c r="AU820">
        <v>0</v>
      </c>
      <c r="AV820">
        <v>0</v>
      </c>
      <c r="AW820">
        <v>0</v>
      </c>
      <c r="AX820" s="141">
        <f>COUNTIF(V820:AW820,"&lt;&gt;0")</f>
        <v>1</v>
      </c>
      <c r="AY820" s="141">
        <f>COUNTIF(V820:AL820,"&lt;&gt;0")</f>
        <v>1</v>
      </c>
      <c r="AZ820">
        <f>COUNTIF(V820:AC820,"&lt;&gt;0")</f>
        <v>0</v>
      </c>
      <c r="BA820">
        <f>COUNTIF(AD820:AI820,"&lt;&gt;0")</f>
        <v>0</v>
      </c>
      <c r="BB820">
        <f>COUNTIF(AJ820:AL820,"&lt;&gt;0")</f>
        <v>1</v>
      </c>
      <c r="BC820">
        <f>COUNTIF(AS820:AW820,"&lt;&gt;0")</f>
        <v>0</v>
      </c>
      <c r="BD820">
        <f>COUNTIF(AM820:AR820,"&lt;&gt;0")</f>
        <v>0</v>
      </c>
      <c r="BE820" t="str">
        <f t="array" ref="BE820">IF(AY820=1,INDEX($V$7:$AL$7,MATCH(TRUE,INDEX($V820:$AW820&lt;&gt;0,),0)),IF(AY820=0,INDEX($AM$7:$AW$7,MATCH(1,$AM820:$AW820,0)),IF(BF820="Multiple strategies","mixed drivers",IF(BF820="Supply chain","multiple supply","multiple silviculture"))))</f>
        <v>technologies/design switch</v>
      </c>
      <c r="BF820" s="2" t="str" cm="1">
        <f t="array" ref="BF820">IF(COUNTIF(AZ820:BB820,"&lt;&gt;0")=1,INDEX($V$4:$AW$4,MATCH(TRUE,INDEX($V820:$AW820&lt;&gt;0,),0)),IF(COUNTIF(AZ820:BB820,"&lt;&gt;0")=0,INDEX($AM$4:$AW$4,MATCH(1,$AM820:$AW820,0)),"Multiple strategies"))</f>
        <v>Technology</v>
      </c>
      <c r="BG820" s="1" t="s">
        <v>229</v>
      </c>
      <c r="BH820" t="s">
        <v>687</v>
      </c>
      <c r="BI820" s="141" t="s">
        <v>688</v>
      </c>
      <c r="BJ820" t="s">
        <v>651</v>
      </c>
      <c r="BK820">
        <f>25.35</f>
        <v>25.35</v>
      </c>
      <c r="BL820">
        <f>25.35+3.2+500.73</f>
        <v>529.28</v>
      </c>
      <c r="BN820">
        <f>BL820-BK820</f>
        <v>503.92999999999995</v>
      </c>
      <c r="BO820">
        <f>BN820*t_to_m3</f>
        <v>1028.4285714285713</v>
      </c>
      <c r="BP820" t="s">
        <v>395</v>
      </c>
      <c r="BQ820" t="s">
        <v>3076</v>
      </c>
      <c r="BR820" t="s">
        <v>262</v>
      </c>
      <c r="BS820">
        <f>(-101.91+769.2+1193.28)*2347</f>
        <v>4366757.79</v>
      </c>
      <c r="BT820">
        <f>(-173.12+411.39+1343.23)*2347</f>
        <v>3711780.5</v>
      </c>
      <c r="BU820" s="144">
        <f>IFERROR(BT820/BS820,"")</f>
        <v>0.85000833078035221</v>
      </c>
      <c r="BV820">
        <f>BT820-BS820</f>
        <v>-654977.29</v>
      </c>
      <c r="BX820">
        <f>BV820/1000</f>
        <v>-654.97729000000004</v>
      </c>
      <c r="BY820">
        <f>IFERROR(BX820/BO820,"")</f>
        <v>-0.63687193082372562</v>
      </c>
      <c r="BZ820">
        <v>0</v>
      </c>
      <c r="CA820">
        <v>0</v>
      </c>
      <c r="CB820">
        <v>0</v>
      </c>
      <c r="CC820">
        <v>0</v>
      </c>
      <c r="CD820">
        <v>0</v>
      </c>
      <c r="CE820">
        <v>0</v>
      </c>
      <c r="CF820">
        <v>0</v>
      </c>
      <c r="CG820">
        <v>0</v>
      </c>
      <c r="CH820">
        <v>0</v>
      </c>
      <c r="CI820">
        <v>0</v>
      </c>
      <c r="CJ820">
        <v>0</v>
      </c>
      <c r="CK820">
        <v>0</v>
      </c>
      <c r="CL820">
        <v>0</v>
      </c>
      <c r="CM820">
        <v>0</v>
      </c>
      <c r="CN820" t="str">
        <f>IF($BL820&lt;$BK820,"refNeedCorrection","refOK")</f>
        <v>refOK</v>
      </c>
      <c r="CO820"/>
      <c r="CP820"/>
      <c r="CQ820">
        <f>IF($CN820="refOK",$BO820,-$BO820)</f>
        <v>1028.4285714285713</v>
      </c>
      <c r="CR820">
        <f>IF($CN820="refOK",$BS820,$BT820)*IF($BP820="Emissions positive",-1,1)</f>
        <v>-4366757.79</v>
      </c>
      <c r="CS820">
        <f>IF($CN820="refOK",$BT820,$BS820)*IF($BP820="Emissions positive",-1,1)</f>
        <v>-3711780.5</v>
      </c>
      <c r="CT820">
        <f>IF($CN820="refNeedCorrection",-BX820,BX820)*IF($BP820="Emissions positive",-1,1)</f>
        <v>654.97729000000004</v>
      </c>
      <c r="CU820">
        <f>IFERROR(CT820/CQ820,"")</f>
        <v>0.63687193082372562</v>
      </c>
      <c r="CV820" s="2">
        <f>IFERROR((CS820-CR820)/ABS(CR820),"")</f>
        <v>0.14999166921964774</v>
      </c>
      <c r="CW820" s="1" t="s">
        <v>263</v>
      </c>
      <c r="CX820" t="str">
        <f>IF(OR($CW820="prd",$CW820="std",$CW820="cit"),"loc",IF(OR($CW820="eur",$CW820="reg",$CW820="coy"),"reg",$CW820))</f>
        <v>loc</v>
      </c>
      <c r="CY820" t="s">
        <v>690</v>
      </c>
      <c r="DB820">
        <v>0</v>
      </c>
      <c r="DC820" t="str">
        <f>IF(DB820=0,"0",IF(AND(DB820&gt;=1,DB820&lt;=30),"1-30",IF(AND(DB820&gt;30,DB820&lt;=70),"31-70",IF(AND(DB820&gt;70,DB820&lt;=100),"71-100",IF(DB820&gt;100,"+100")))))</f>
        <v>0</v>
      </c>
      <c r="DD820">
        <v>0</v>
      </c>
      <c r="DE820">
        <v>0</v>
      </c>
      <c r="DF820">
        <v>0</v>
      </c>
      <c r="DG820">
        <v>1</v>
      </c>
      <c r="DH820">
        <v>0</v>
      </c>
      <c r="DI820">
        <f>SUM(DD820:DH820)</f>
        <v>1</v>
      </c>
      <c r="DJ820" t="str">
        <f>IF(DI820=1,INDEX($DD$7:$DG$7,MATCH(1,$DD820:$DG820,0)),"mixedProduct")</f>
        <v>TimberInput</v>
      </c>
      <c r="DK820">
        <f>IF(DD820=1,DK$7,0)</f>
        <v>0</v>
      </c>
      <c r="DL820">
        <f>IF(DE820=1,DL$7,0)</f>
        <v>0</v>
      </c>
      <c r="DM820">
        <f>IF(DF820=1,DM$7,0)</f>
        <v>0</v>
      </c>
      <c r="DN820" t="str">
        <f>IF(DG820=1,DN$7,0)</f>
        <v>Timber</v>
      </c>
      <c r="DO820">
        <v>0</v>
      </c>
      <c r="DP820">
        <v>0</v>
      </c>
      <c r="DQ820">
        <v>0</v>
      </c>
      <c r="DR820">
        <v>0</v>
      </c>
      <c r="DS820">
        <v>0</v>
      </c>
      <c r="DT820">
        <f>SUM(DO820:DP820)</f>
        <v>0</v>
      </c>
      <c r="DU820" t="str">
        <f>IF(DO820=1,"self-calculated DF",IF(DP820=1,"external DF used","explicit C balance"))</f>
        <v>explicit C balance</v>
      </c>
      <c r="DV820">
        <v>0</v>
      </c>
      <c r="DW820">
        <v>0</v>
      </c>
      <c r="DX820">
        <v>0</v>
      </c>
      <c r="DY820">
        <v>0</v>
      </c>
      <c r="DZ820">
        <v>0</v>
      </c>
      <c r="EA820" s="143">
        <v>1</v>
      </c>
      <c r="EB820">
        <v>1</v>
      </c>
      <c r="EC820">
        <v>1</v>
      </c>
      <c r="ED820">
        <v>1</v>
      </c>
      <c r="EE820">
        <v>1</v>
      </c>
      <c r="EF820">
        <v>0</v>
      </c>
      <c r="EG820">
        <v>0</v>
      </c>
      <c r="EH820">
        <v>0</v>
      </c>
      <c r="EI820" s="2">
        <v>0</v>
      </c>
      <c r="EK820" t="str">
        <f>IF(AND(AND(AND(OR($DX820=1,$DW820=1),OR($EC820=1,$EA820=1)),SUM($DV820:$DZ820,$EF820)&gt;=4),SUM($EA820:$EE820)&gt;=2),"Whole sector","")</f>
        <v/>
      </c>
      <c r="EL820" t="str">
        <f>IF(AND(AND(OR($DX820=1,$DW820=1),AND($EC820=0,$EA820=0)),SUM($DV820:$DZ820,$EF820)&gt;=4),"Ecosystem approach","")</f>
        <v/>
      </c>
      <c r="EM820" s="2" t="str">
        <f>IF(AND(AND(AND($DX820=0,$DW820=0),OR($EC820=1,$EA820=1)),SUM($EB820:$EE820)&gt;=2),"Technology approach","")</f>
        <v>Technology approach</v>
      </c>
      <c r="EP820" t="str">
        <f>IF(ISNUMBER(BU820),IF(ABS(BU820-[4]QC_indicators!$B$2)&gt;3*[4]QC_indicators!$C$2,"C ratio",IF(ISNUMBER(BY820),IF(ABS(BY820-[4]QC_indicators!$B$1)&gt;3*[4]QC_indicators!$C$1,"DF","no"))),IF(ISNUMBER(BY820),IF(ABS(BY820-[4]QC_indicators!$B$1)&gt;3*[4]QC_indicators!$C$1,"DF","no")))</f>
        <v>no</v>
      </c>
      <c r="ET820" t="s">
        <v>3273</v>
      </c>
    </row>
    <row r="821" spans="1:151" ht="15" customHeight="1">
      <c r="A821" s="1" t="s">
        <v>614</v>
      </c>
      <c r="B821" t="s">
        <v>615</v>
      </c>
      <c r="C821" t="s">
        <v>616</v>
      </c>
      <c r="D821" t="s">
        <v>617</v>
      </c>
      <c r="E821" t="s">
        <v>618</v>
      </c>
      <c r="F821" t="s">
        <v>619</v>
      </c>
      <c r="G821" t="s">
        <v>620</v>
      </c>
      <c r="H821" t="s">
        <v>254</v>
      </c>
      <c r="I821">
        <v>2020</v>
      </c>
      <c r="J821">
        <v>3</v>
      </c>
      <c r="K821" t="s">
        <v>621</v>
      </c>
      <c r="M821" t="str">
        <f>LEFT($D821,FIND(",",$D821)-1)&amp;"_"&amp;I821&amp;L821</f>
        <v>Demertzi_2020</v>
      </c>
      <c r="N821" t="s">
        <v>222</v>
      </c>
      <c r="O821" s="145" t="s">
        <v>223</v>
      </c>
      <c r="Q821" t="s">
        <v>256</v>
      </c>
      <c r="R821" s="2" t="s">
        <v>274</v>
      </c>
      <c r="S821" s="1" t="s">
        <v>622</v>
      </c>
      <c r="T821" t="s">
        <v>623</v>
      </c>
      <c r="U821" t="s">
        <v>624</v>
      </c>
      <c r="V821">
        <v>0</v>
      </c>
      <c r="W821">
        <v>0</v>
      </c>
      <c r="X821">
        <v>0</v>
      </c>
      <c r="Y821">
        <v>0</v>
      </c>
      <c r="Z821">
        <v>0</v>
      </c>
      <c r="AA821">
        <v>0</v>
      </c>
      <c r="AB821">
        <v>0</v>
      </c>
      <c r="AC821">
        <v>0</v>
      </c>
      <c r="AD821">
        <v>0</v>
      </c>
      <c r="AE821">
        <v>0</v>
      </c>
      <c r="AF821">
        <v>0</v>
      </c>
      <c r="AG821">
        <v>0</v>
      </c>
      <c r="AH821">
        <v>0</v>
      </c>
      <c r="AI821">
        <v>0</v>
      </c>
      <c r="AJ821">
        <v>0</v>
      </c>
      <c r="AK821">
        <v>1</v>
      </c>
      <c r="AL821">
        <v>0</v>
      </c>
      <c r="AM821">
        <v>0</v>
      </c>
      <c r="AN821">
        <v>0</v>
      </c>
      <c r="AO821">
        <v>0</v>
      </c>
      <c r="AP821">
        <v>0</v>
      </c>
      <c r="AQ821">
        <v>0</v>
      </c>
      <c r="AR821">
        <v>0</v>
      </c>
      <c r="AS821">
        <v>0</v>
      </c>
      <c r="AT821">
        <v>0</v>
      </c>
      <c r="AU821">
        <v>0</v>
      </c>
      <c r="AV821">
        <v>0</v>
      </c>
      <c r="AW821">
        <v>0</v>
      </c>
      <c r="AX821" s="141">
        <f>COUNTIF(V821:AW821,"&lt;&gt;0")</f>
        <v>1</v>
      </c>
      <c r="AY821" s="141">
        <f>COUNTIF(V821:AL821,"&lt;&gt;0")</f>
        <v>1</v>
      </c>
      <c r="AZ821">
        <f>COUNTIF(V821:AC821,"&lt;&gt;0")</f>
        <v>0</v>
      </c>
      <c r="BA821">
        <f>COUNTIF(AD821:AI821,"&lt;&gt;0")</f>
        <v>0</v>
      </c>
      <c r="BB821">
        <f>COUNTIF(AJ821:AL821,"&lt;&gt;0")</f>
        <v>1</v>
      </c>
      <c r="BC821">
        <f>COUNTIF(AS821:AW821,"&lt;&gt;0")</f>
        <v>0</v>
      </c>
      <c r="BD821">
        <f>COUNTIF(AM821:AR821,"&lt;&gt;0")</f>
        <v>0</v>
      </c>
      <c r="BE821" t="str">
        <f t="array" ref="BE821">IF(AY821=1,INDEX($V$7:$AL$7,MATCH(TRUE,INDEX($V821:$AW821&lt;&gt;0,),0)),IF(AY821=0,INDEX($AM$7:$AW$7,MATCH(1,$AM821:$AW821,0)),IF(BF821="Multiple strategies","mixed drivers",IF(BF821="Supply chain","multiple supply","multiple silviculture"))))</f>
        <v>technologies/design switch</v>
      </c>
      <c r="BF821" s="2" t="str" cm="1">
        <f t="array" ref="BF821">IF(COUNTIF(AZ821:BB821,"&lt;&gt;0")=1,INDEX($V$4:$AW$4,MATCH(TRUE,INDEX($V821:$AW821&lt;&gt;0,),0)),IF(COUNTIF(AZ821:BB821,"&lt;&gt;0")=0,INDEX($AM$4:$AW$4,MATCH(1,$AM821:$AW821,0)),"Multiple strategies"))</f>
        <v>Technology</v>
      </c>
      <c r="BG821" s="1" t="s">
        <v>229</v>
      </c>
      <c r="BH821" t="s">
        <v>625</v>
      </c>
      <c r="BJ821" t="s">
        <v>261</v>
      </c>
      <c r="BK821">
        <v>0</v>
      </c>
      <c r="BL821">
        <v>54</v>
      </c>
      <c r="BN821">
        <f>BL821-BK821</f>
        <v>54</v>
      </c>
      <c r="BO821">
        <f>BN821*kg_to_m3</f>
        <v>0.11020408163265308</v>
      </c>
      <c r="BP821" t="s">
        <v>232</v>
      </c>
      <c r="BR821" t="s">
        <v>397</v>
      </c>
      <c r="BS821">
        <v>-71.7</v>
      </c>
      <c r="BT821">
        <v>-1.36</v>
      </c>
      <c r="BU821" s="144">
        <v>1.8967921896792191E-2</v>
      </c>
      <c r="BV821">
        <v>70.34</v>
      </c>
      <c r="BX821">
        <f>BV821/1000</f>
        <v>7.034E-2</v>
      </c>
      <c r="BY821">
        <f>IFERROR(BX821/BO821,"")</f>
        <v>0.63827037037037027</v>
      </c>
      <c r="BZ821">
        <v>1</v>
      </c>
      <c r="CA821">
        <v>0</v>
      </c>
      <c r="CB821">
        <v>0</v>
      </c>
      <c r="CC821">
        <v>0</v>
      </c>
      <c r="CD821">
        <v>0</v>
      </c>
      <c r="CE821">
        <v>0</v>
      </c>
      <c r="CF821">
        <v>0</v>
      </c>
      <c r="CG821">
        <v>0</v>
      </c>
      <c r="CH821">
        <v>0</v>
      </c>
      <c r="CI821">
        <v>0</v>
      </c>
      <c r="CJ821">
        <v>0</v>
      </c>
      <c r="CK821">
        <v>0</v>
      </c>
      <c r="CL821">
        <v>0</v>
      </c>
      <c r="CM821">
        <v>0</v>
      </c>
      <c r="CN821" t="str">
        <f>IF($BL821&lt;$BK821,"refNeedCorrection","refOK")</f>
        <v>refOK</v>
      </c>
      <c r="CO821">
        <f>IF($CN821="refOK",$BK821,$BL821)</f>
        <v>0</v>
      </c>
      <c r="CP821">
        <f>IF($CN821="refOK",$BL821,$BK821)</f>
        <v>54</v>
      </c>
      <c r="CQ821">
        <f>IF($CN821="refOK",$BO821,-$BO821)</f>
        <v>0.11020408163265308</v>
      </c>
      <c r="CR821">
        <f>IF($CN821="refOK",$BS821,$BT821)*IF($BP821="Emissions positive",-1,1)</f>
        <v>-71.7</v>
      </c>
      <c r="CS821">
        <f>IF($CN821="refOK",$BT821,$BS821)*IF($BP821="Emissions positive",-1,1)</f>
        <v>-1.36</v>
      </c>
      <c r="CT821">
        <f>IF($CN821="refNeedCorrection",-BX821,BX821)*IF($BP821="Emissions positive",-1,1)</f>
        <v>7.034E-2</v>
      </c>
      <c r="CU821">
        <f>IFERROR(CT821/CQ821,"")</f>
        <v>0.63827037037037027</v>
      </c>
      <c r="CV821" s="2">
        <f>IFERROR((CS821-CR821)/ABS(CR821),"")</f>
        <v>0.98103207810320781</v>
      </c>
      <c r="CW821" s="1" t="s">
        <v>263</v>
      </c>
      <c r="CX821" t="str">
        <f>IF(OR($CW821="prd",$CW821="std",$CW821="cit"),"loc",IF(OR($CW821="eur",$CW821="reg",$CW821="coy"),"reg",$CW821))</f>
        <v>loc</v>
      </c>
      <c r="CY821" t="s">
        <v>626</v>
      </c>
      <c r="DB821">
        <v>0</v>
      </c>
      <c r="DC821" t="str">
        <f>IF(DB821=0,"0",IF(AND(DB821&gt;=1,DB821&lt;=30),"1-30",IF(AND(DB821&gt;30,DB821&lt;=70),"31-70",IF(AND(DB821&gt;70,DB821&lt;=100),"71-100",IF(DB821&gt;100,"+100")))))</f>
        <v>0</v>
      </c>
      <c r="DD821">
        <v>0</v>
      </c>
      <c r="DE821">
        <v>0</v>
      </c>
      <c r="DF821">
        <v>0</v>
      </c>
      <c r="DG821">
        <v>1</v>
      </c>
      <c r="DI821">
        <f>SUM(DD821:DG821)</f>
        <v>1</v>
      </c>
      <c r="DJ821" t="str">
        <f>IF(DI821=1,INDEX($DD$7:$DG$7,MATCH(1,$DD821:$DG821,0)),"mixedProduct")</f>
        <v>TimberInput</v>
      </c>
      <c r="DK821">
        <f>IF(DD821=1,DK$7,0)</f>
        <v>0</v>
      </c>
      <c r="DL821">
        <f>IF(DE821=1,DL$7,0)</f>
        <v>0</v>
      </c>
      <c r="DM821">
        <f>IF(DF821=1,DM$7,0)</f>
        <v>0</v>
      </c>
      <c r="DN821" t="str">
        <f>IF(DG821=1,DN$7,0)</f>
        <v>Timber</v>
      </c>
      <c r="DO821">
        <v>0</v>
      </c>
      <c r="DP821">
        <v>0</v>
      </c>
      <c r="DQ821">
        <v>0</v>
      </c>
      <c r="DR821">
        <v>0</v>
      </c>
      <c r="DS821">
        <v>0</v>
      </c>
      <c r="DT821">
        <f>SUM(DO821:DP821)</f>
        <v>0</v>
      </c>
      <c r="DU821" s="143" t="str">
        <f>IF(DO821=1,"self-calculated DF",IF(DP821=1,"external DF used","explicit C balance"))</f>
        <v>explicit C balance</v>
      </c>
      <c r="DV821">
        <v>0</v>
      </c>
      <c r="DW821">
        <v>0</v>
      </c>
      <c r="DX821">
        <v>0</v>
      </c>
      <c r="DY821">
        <v>0</v>
      </c>
      <c r="DZ821">
        <v>0</v>
      </c>
      <c r="EA821" s="143">
        <v>0</v>
      </c>
      <c r="EB821">
        <v>0</v>
      </c>
      <c r="EC821">
        <v>1</v>
      </c>
      <c r="ED821">
        <v>0</v>
      </c>
      <c r="EE821">
        <v>0</v>
      </c>
      <c r="EF821">
        <v>0</v>
      </c>
      <c r="EG821">
        <v>0</v>
      </c>
      <c r="EH821">
        <v>0</v>
      </c>
      <c r="EI821" s="2">
        <v>0</v>
      </c>
      <c r="EK821" t="str">
        <f>IF(AND(AND(AND(OR($DX821=1,$DW821=1),OR($EC821=1,$EA821=1)),SUM($DV821:$DZ821,$EF821)&gt;=4),SUM($EA821:$EE821)&gt;=2),"Whole sector","")</f>
        <v/>
      </c>
      <c r="EL821" t="str">
        <f>IF(AND(AND(OR($DX821=1,$DW821=1),AND($EC821=0,$EA821=0)),SUM($DV821:$DZ821,$EF821)&gt;=4),"Ecosystem approach","")</f>
        <v/>
      </c>
      <c r="EM821" s="2" t="str">
        <f>IF(AND(AND(AND($DX821=0,$DW821=0),OR($EC821=1,$EA821=1)),SUM($EB821:$EE821)&gt;=2),"Technology approach","")</f>
        <v/>
      </c>
      <c r="EP821" t="str">
        <f>IF(ISNUMBER(BU821),IF(ABS(BU821-[2]QC_indicators!$B$2)&gt;3*[2]QC_indicators!$C$2,"C ratio",IF(ISNUMBER(BY821),IF(ABS(BY821-[2]QC_indicators!$B$1)&gt;3*[2]QC_indicators!$C$1,"DF","no"))),IF(ISNUMBER(BY821),IF(ABS(BY821-[2]QC_indicators!$B$1)&gt;3*[2]QC_indicators!$C$1,"DF","no")))</f>
        <v>no</v>
      </c>
      <c r="ER821" s="149" t="s">
        <v>349</v>
      </c>
      <c r="ET821" s="264" t="s">
        <v>3151</v>
      </c>
    </row>
    <row r="822" spans="1:151" ht="15" customHeight="1">
      <c r="A822" s="1" t="s">
        <v>333</v>
      </c>
      <c r="B822" t="s">
        <v>945</v>
      </c>
      <c r="C822" t="s">
        <v>946</v>
      </c>
      <c r="D822" t="s">
        <v>947</v>
      </c>
      <c r="E822" t="s">
        <v>948</v>
      </c>
      <c r="F822" t="s">
        <v>949</v>
      </c>
      <c r="G822" t="s">
        <v>339</v>
      </c>
      <c r="H822" t="s">
        <v>254</v>
      </c>
      <c r="I822">
        <v>2021</v>
      </c>
      <c r="J822">
        <v>0</v>
      </c>
      <c r="K822" t="s">
        <v>950</v>
      </c>
      <c r="M822" t="str">
        <f>LEFT($D822,FIND(",",$D822)-1)&amp;"_"&amp;I822&amp;L822</f>
        <v>Morris_2021</v>
      </c>
      <c r="N822" t="s">
        <v>222</v>
      </c>
      <c r="O822" t="s">
        <v>223</v>
      </c>
      <c r="Q822" t="s">
        <v>256</v>
      </c>
      <c r="R822" s="255" t="s">
        <v>225</v>
      </c>
      <c r="S822" s="1" t="s">
        <v>956</v>
      </c>
      <c r="T822" t="s">
        <v>795</v>
      </c>
      <c r="U822" t="s">
        <v>957</v>
      </c>
      <c r="V822">
        <v>0</v>
      </c>
      <c r="W822">
        <v>0</v>
      </c>
      <c r="X822">
        <v>0</v>
      </c>
      <c r="Y822">
        <v>0</v>
      </c>
      <c r="Z822">
        <v>0</v>
      </c>
      <c r="AA822">
        <v>0</v>
      </c>
      <c r="AB822">
        <v>0</v>
      </c>
      <c r="AC822">
        <v>0</v>
      </c>
      <c r="AD822">
        <v>0</v>
      </c>
      <c r="AE822">
        <v>0</v>
      </c>
      <c r="AF822">
        <v>0</v>
      </c>
      <c r="AG822">
        <v>0</v>
      </c>
      <c r="AH822">
        <v>0</v>
      </c>
      <c r="AI822">
        <v>0</v>
      </c>
      <c r="AJ822">
        <v>0</v>
      </c>
      <c r="AK822">
        <v>1</v>
      </c>
      <c r="AL822">
        <v>0</v>
      </c>
      <c r="AM822">
        <v>0</v>
      </c>
      <c r="AN822">
        <v>0</v>
      </c>
      <c r="AO822">
        <v>0</v>
      </c>
      <c r="AP822">
        <v>0</v>
      </c>
      <c r="AQ822">
        <v>0</v>
      </c>
      <c r="AR822">
        <v>0</v>
      </c>
      <c r="AS822">
        <v>0</v>
      </c>
      <c r="AT822">
        <v>0</v>
      </c>
      <c r="AU822">
        <v>0</v>
      </c>
      <c r="AV822">
        <v>0</v>
      </c>
      <c r="AW822">
        <v>0</v>
      </c>
      <c r="AX822" s="141">
        <f>COUNTIF(V822:AW822,"&lt;&gt;0")</f>
        <v>1</v>
      </c>
      <c r="AY822" s="141">
        <f>COUNTIF(V822:AL822,"&lt;&gt;0")</f>
        <v>1</v>
      </c>
      <c r="AZ822">
        <f>COUNTIF(V822:AC822,"&lt;&gt;0")</f>
        <v>0</v>
      </c>
      <c r="BA822">
        <f>COUNTIF(AD822:AI822,"&lt;&gt;0")</f>
        <v>0</v>
      </c>
      <c r="BB822">
        <f>COUNTIF(AJ822:AL822,"&lt;&gt;0")</f>
        <v>1</v>
      </c>
      <c r="BC822">
        <f>COUNTIF(AS822:AW822,"&lt;&gt;0")</f>
        <v>0</v>
      </c>
      <c r="BD822">
        <f>COUNTIF(AM822:AR822,"&lt;&gt;0")</f>
        <v>0</v>
      </c>
      <c r="BE822" t="str">
        <f t="array" ref="BE822">IF(AY822=1,INDEX($V$7:$AL$7,MATCH(TRUE,INDEX($V822:$AW822&lt;&gt;0,),0)),IF(AY822=0,INDEX($AM$7:$AW$7,MATCH(1,$AM822:$AW822,0)),IF(BF822="Multiple strategies","mixed drivers",IF(BF822="Supply chain","multiple supply","multiple silviculture"))))</f>
        <v>technologies/design switch</v>
      </c>
      <c r="BF822" s="2" t="str" cm="1">
        <f t="array" ref="BF822">IF(COUNTIF(AZ822:BB822,"&lt;&gt;0")=1,INDEX($V$4:$AW$4,MATCH(TRUE,INDEX($V822:$AW822&lt;&gt;0,),0)),IF(COUNTIF(AZ822:BB822,"&lt;&gt;0")=0,INDEX($AM$4:$AW$4,MATCH(1,$AM822:$AW822,0)),"Multiple strategies"))</f>
        <v>Technology</v>
      </c>
      <c r="BG822" s="1" t="s">
        <v>229</v>
      </c>
      <c r="BH822" t="s">
        <v>954</v>
      </c>
      <c r="BI822" s="260" t="s">
        <v>3373</v>
      </c>
      <c r="BJ822" t="s">
        <v>345</v>
      </c>
      <c r="BK822">
        <v>0</v>
      </c>
      <c r="BL822">
        <v>116.6</v>
      </c>
      <c r="BN822">
        <f>BL822-BK822</f>
        <v>116.6</v>
      </c>
      <c r="BO822">
        <f>BN822*kg_to_m3</f>
        <v>0.23795918367346941</v>
      </c>
      <c r="BP822" t="s">
        <v>232</v>
      </c>
      <c r="BQ822" s="260" t="s">
        <v>3380</v>
      </c>
      <c r="BR822" t="s">
        <v>955</v>
      </c>
      <c r="BS822">
        <v>-223.9</v>
      </c>
      <c r="BT822">
        <v>-71.3</v>
      </c>
      <c r="BU822" s="144">
        <f>IFERROR(BT822/BS822,"")</f>
        <v>0.31844573470299237</v>
      </c>
      <c r="BV822">
        <f>BT822-BS822</f>
        <v>152.60000000000002</v>
      </c>
      <c r="BX822">
        <f>BV822/1000</f>
        <v>0.15260000000000001</v>
      </c>
      <c r="BY822">
        <f>IFERROR(BX822/BO822,"")</f>
        <v>0.64128644939965695</v>
      </c>
      <c r="BZ822">
        <v>1</v>
      </c>
      <c r="CA822">
        <v>0</v>
      </c>
      <c r="CB822">
        <v>0</v>
      </c>
      <c r="CC822">
        <v>0</v>
      </c>
      <c r="CD822">
        <v>0</v>
      </c>
      <c r="CE822">
        <v>1</v>
      </c>
      <c r="CF822">
        <v>0</v>
      </c>
      <c r="CG822">
        <v>1</v>
      </c>
      <c r="CH822">
        <v>0</v>
      </c>
      <c r="CI822">
        <v>0</v>
      </c>
      <c r="CJ822">
        <v>0</v>
      </c>
      <c r="CK822">
        <v>0</v>
      </c>
      <c r="CL822">
        <v>0</v>
      </c>
      <c r="CM822">
        <v>0</v>
      </c>
      <c r="CN822" t="str">
        <f>IF($BL822&lt;$BK822,"refNeedCorrection","refOK")</f>
        <v>refOK</v>
      </c>
      <c r="CO822">
        <f>IF($CN822="refOK",$BK822,$BL822)</f>
        <v>0</v>
      </c>
      <c r="CP822">
        <f>IF($CN822="refOK",$BL822,$BK822)</f>
        <v>116.6</v>
      </c>
      <c r="CQ822">
        <f>IF($CN822="refOK",$BO822,-$BO822)</f>
        <v>0.23795918367346941</v>
      </c>
      <c r="CR822">
        <f>IF($CN822="refOK",$BS822,$BT822)*IF($BP822="Emissions positive",-1,1)</f>
        <v>-223.9</v>
      </c>
      <c r="CS822">
        <f>IF($CN822="refOK",$BT822,$BS822)*IF($BP822="Emissions positive",-1,1)</f>
        <v>-71.3</v>
      </c>
      <c r="CT822">
        <f>IF($CN822="refNeedCorrection",-BX822,BX822)*IF($BP822="Emissions positive",-1,1)</f>
        <v>0.15260000000000001</v>
      </c>
      <c r="CU822">
        <f>IFERROR(CT822/CQ822,"")</f>
        <v>0.64128644939965695</v>
      </c>
      <c r="CV822" s="2">
        <f>IFERROR((CS822-CR822)/ABS(CR822),"")</f>
        <v>0.68155426529700769</v>
      </c>
      <c r="CW822" s="1" t="s">
        <v>263</v>
      </c>
      <c r="CX822" t="str">
        <f>IF(OR($CW822="prd",$CW822="std",$CW822="cit"),"loc",IF(OR($CW822="eur",$CW822="reg",$CW822="coy"),"reg",$CW822))</f>
        <v>loc</v>
      </c>
      <c r="CY822" s="309" t="s">
        <v>3423</v>
      </c>
      <c r="DB822">
        <v>0</v>
      </c>
      <c r="DC822" t="str">
        <f>IF(DB822=0,"0",IF(AND(DB822&gt;=1,DB822&lt;=30),"1-30",IF(AND(DB822&gt;30,DB822&lt;=70),"31-70",IF(AND(DB822&gt;70,DB822&lt;=100),"71-100",IF(DB822&gt;100,"+100")))))</f>
        <v>0</v>
      </c>
      <c r="DD822">
        <v>0</v>
      </c>
      <c r="DE822">
        <v>0</v>
      </c>
      <c r="DF822">
        <v>0</v>
      </c>
      <c r="DG822">
        <v>1</v>
      </c>
      <c r="DI822">
        <f>SUM(DD822:DG822)</f>
        <v>1</v>
      </c>
      <c r="DJ822" t="str">
        <f>IF(DI822=1,INDEX($DD$7:$DG$7,MATCH(1,$DD822:$DG822,0)),"mixedProduct")</f>
        <v>TimberInput</v>
      </c>
      <c r="DK822">
        <f>IF(DD822=1,DK$7,0)</f>
        <v>0</v>
      </c>
      <c r="DL822">
        <f>IF(DE822=1,DL$7,0)</f>
        <v>0</v>
      </c>
      <c r="DM822">
        <f>IF(DF822=1,DM$7,0)</f>
        <v>0</v>
      </c>
      <c r="DN822" t="str">
        <f>IF(DG822=1,DN$7,0)</f>
        <v>Timber</v>
      </c>
      <c r="DO822">
        <v>0</v>
      </c>
      <c r="DP822">
        <v>0</v>
      </c>
      <c r="DQ822">
        <v>0</v>
      </c>
      <c r="DR822">
        <v>0</v>
      </c>
      <c r="DS822">
        <v>0</v>
      </c>
      <c r="DT822">
        <f>SUM(DO822:DP822)</f>
        <v>0</v>
      </c>
      <c r="DU822" s="143" t="str">
        <f>IF(DO822=1,"self-calculated DF",IF(DP822=1,"external DF used","explicit C balance"))</f>
        <v>explicit C balance</v>
      </c>
      <c r="DV822">
        <v>0</v>
      </c>
      <c r="DW822">
        <v>0</v>
      </c>
      <c r="DX822">
        <v>0</v>
      </c>
      <c r="DY822">
        <v>1</v>
      </c>
      <c r="DZ822">
        <v>0</v>
      </c>
      <c r="EA822" s="143">
        <v>1</v>
      </c>
      <c r="EB822">
        <v>1</v>
      </c>
      <c r="EC822">
        <v>1</v>
      </c>
      <c r="ED822">
        <v>0</v>
      </c>
      <c r="EE822">
        <v>1</v>
      </c>
      <c r="EF822">
        <v>0</v>
      </c>
      <c r="EG822">
        <v>0</v>
      </c>
      <c r="EH822">
        <v>0</v>
      </c>
      <c r="EI822" s="2">
        <v>0</v>
      </c>
      <c r="EK822" t="str">
        <f>IF(AND(AND(AND(OR($DX822=1,$DW822=1),OR($EC822=1,$EA822=1)),SUM($DV822:$DZ822,$EF822)&gt;=4),SUM($EA822:$EE822)&gt;=2),"Whole sector","")</f>
        <v/>
      </c>
      <c r="EL822" t="str">
        <f>IF(AND(AND(OR($DX822=1,$DW822=1),AND($EC822=0,$EA822=0)),SUM($DV822:$DZ822,$EF822)&gt;=4),"Ecosystem approach","")</f>
        <v/>
      </c>
      <c r="EM822" s="2" t="str">
        <f>IF(AND(AND(AND($DX822=0,$DW822=0),OR($EC822=1,$EA822=1)),SUM($EB822:$EE822)&gt;=2),"Technology approach","")</f>
        <v>Technology approach</v>
      </c>
      <c r="EP822" t="str">
        <f>IF(ISNUMBER(BU822),IF(ABS(BU822-[4]QC_indicators!$B$2)&gt;3*[4]QC_indicators!$C$2,"C ratio",IF(ISNUMBER(BY822),IF(ABS(BY822-[4]QC_indicators!$B$1)&gt;3*[4]QC_indicators!$C$1,"DF","no"))),IF(ISNUMBER(BY822),IF(ABS(BY822-[4]QC_indicators!$B$1)&gt;3*[4]QC_indicators!$C$1,"DF","no")))</f>
        <v>no</v>
      </c>
      <c r="ER822" t="s">
        <v>959</v>
      </c>
      <c r="ET822" s="264" t="s">
        <v>3273</v>
      </c>
    </row>
    <row r="823" spans="1:151" ht="15" customHeight="1">
      <c r="A823" s="1" t="s">
        <v>333</v>
      </c>
      <c r="B823" t="s">
        <v>945</v>
      </c>
      <c r="C823" t="s">
        <v>946</v>
      </c>
      <c r="D823" t="s">
        <v>947</v>
      </c>
      <c r="E823" t="s">
        <v>948</v>
      </c>
      <c r="F823" t="s">
        <v>949</v>
      </c>
      <c r="G823" t="s">
        <v>339</v>
      </c>
      <c r="H823" t="s">
        <v>254</v>
      </c>
      <c r="I823">
        <v>2021</v>
      </c>
      <c r="J823">
        <v>0</v>
      </c>
      <c r="K823" t="s">
        <v>950</v>
      </c>
      <c r="M823" t="str">
        <f>LEFT($D823,FIND(",",$D823)-1)&amp;"_"&amp;I823&amp;L823</f>
        <v>Morris_2021</v>
      </c>
      <c r="N823" t="s">
        <v>222</v>
      </c>
      <c r="O823" t="s">
        <v>223</v>
      </c>
      <c r="Q823" t="s">
        <v>256</v>
      </c>
      <c r="R823" s="255" t="s">
        <v>225</v>
      </c>
      <c r="S823" s="1" t="s">
        <v>956</v>
      </c>
      <c r="T823" t="s">
        <v>795</v>
      </c>
      <c r="U823" t="s">
        <v>957</v>
      </c>
      <c r="V823">
        <v>0</v>
      </c>
      <c r="W823">
        <v>0</v>
      </c>
      <c r="X823">
        <v>0</v>
      </c>
      <c r="Y823">
        <v>0</v>
      </c>
      <c r="Z823">
        <v>0</v>
      </c>
      <c r="AA823">
        <v>0</v>
      </c>
      <c r="AB823">
        <v>0</v>
      </c>
      <c r="AC823">
        <v>0</v>
      </c>
      <c r="AD823">
        <v>0</v>
      </c>
      <c r="AE823">
        <v>0</v>
      </c>
      <c r="AF823">
        <v>0</v>
      </c>
      <c r="AG823">
        <v>0</v>
      </c>
      <c r="AH823">
        <v>0</v>
      </c>
      <c r="AI823">
        <v>0</v>
      </c>
      <c r="AJ823">
        <v>0</v>
      </c>
      <c r="AK823">
        <v>1</v>
      </c>
      <c r="AL823">
        <v>0</v>
      </c>
      <c r="AM823">
        <v>0</v>
      </c>
      <c r="AN823">
        <v>0</v>
      </c>
      <c r="AO823">
        <v>0</v>
      </c>
      <c r="AP823">
        <v>0</v>
      </c>
      <c r="AQ823">
        <v>0</v>
      </c>
      <c r="AR823">
        <v>0</v>
      </c>
      <c r="AS823">
        <v>0</v>
      </c>
      <c r="AT823">
        <v>0</v>
      </c>
      <c r="AU823">
        <v>0</v>
      </c>
      <c r="AV823">
        <v>0</v>
      </c>
      <c r="AW823">
        <v>0</v>
      </c>
      <c r="AX823" s="141">
        <f>COUNTIF(V823:AW823,"&lt;&gt;0")</f>
        <v>1</v>
      </c>
      <c r="AY823" s="141">
        <f>COUNTIF(V823:AL823,"&lt;&gt;0")</f>
        <v>1</v>
      </c>
      <c r="AZ823">
        <f>COUNTIF(V823:AC823,"&lt;&gt;0")</f>
        <v>0</v>
      </c>
      <c r="BA823">
        <f>COUNTIF(AD823:AI823,"&lt;&gt;0")</f>
        <v>0</v>
      </c>
      <c r="BB823">
        <f>COUNTIF(AJ823:AL823,"&lt;&gt;0")</f>
        <v>1</v>
      </c>
      <c r="BC823">
        <f>COUNTIF(AS823:AW823,"&lt;&gt;0")</f>
        <v>0</v>
      </c>
      <c r="BD823">
        <f>COUNTIF(AM823:AR823,"&lt;&gt;0")</f>
        <v>0</v>
      </c>
      <c r="BE823" t="str">
        <f t="array" ref="BE823">IF(AY823=1,INDEX($V$7:$AL$7,MATCH(TRUE,INDEX($V823:$AW823&lt;&gt;0,),0)),IF(AY823=0,INDEX($AM$7:$AW$7,MATCH(1,$AM823:$AW823,0)),IF(BF823="Multiple strategies","mixed drivers",IF(BF823="Supply chain","multiple supply","multiple silviculture"))))</f>
        <v>technologies/design switch</v>
      </c>
      <c r="BF823" s="2" t="str" cm="1">
        <f t="array" ref="BF823">IF(COUNTIF(AZ823:BB823,"&lt;&gt;0")=1,INDEX($V$4:$AW$4,MATCH(TRUE,INDEX($V823:$AW823&lt;&gt;0,),0)),IF(COUNTIF(AZ823:BB823,"&lt;&gt;0")=0,INDEX($AM$4:$AW$4,MATCH(1,$AM823:$AW823,0)),"Multiple strategies"))</f>
        <v>Technology</v>
      </c>
      <c r="BG823" s="1" t="s">
        <v>229</v>
      </c>
      <c r="BH823" t="s">
        <v>954</v>
      </c>
      <c r="BI823" s="260" t="s">
        <v>3373</v>
      </c>
      <c r="BJ823" t="s">
        <v>345</v>
      </c>
      <c r="BK823">
        <v>0</v>
      </c>
      <c r="BL823">
        <v>116.6</v>
      </c>
      <c r="BN823">
        <f>BL823-BK823</f>
        <v>116.6</v>
      </c>
      <c r="BO823">
        <f>BN823*kg_to_m3</f>
        <v>0.23795918367346941</v>
      </c>
      <c r="BP823" t="s">
        <v>232</v>
      </c>
      <c r="BQ823" s="260" t="s">
        <v>3380</v>
      </c>
      <c r="BR823" t="s">
        <v>955</v>
      </c>
      <c r="BS823">
        <v>-141.19999999999999</v>
      </c>
      <c r="BT823">
        <v>13.8</v>
      </c>
      <c r="BU823" s="144">
        <f>IFERROR(BT823/BS823,"")</f>
        <v>-9.7733711048158659E-2</v>
      </c>
      <c r="BV823">
        <f>BT823-BS823</f>
        <v>155</v>
      </c>
      <c r="BX823">
        <f>BV823/1000</f>
        <v>0.155</v>
      </c>
      <c r="BY823">
        <f>IFERROR(BX823/BO823,"")</f>
        <v>0.6513722126929673</v>
      </c>
      <c r="BZ823">
        <v>1</v>
      </c>
      <c r="CA823">
        <v>0</v>
      </c>
      <c r="CB823">
        <v>0</v>
      </c>
      <c r="CC823">
        <v>0</v>
      </c>
      <c r="CD823">
        <v>0</v>
      </c>
      <c r="CE823">
        <v>1</v>
      </c>
      <c r="CF823">
        <v>0</v>
      </c>
      <c r="CG823">
        <v>1</v>
      </c>
      <c r="CH823">
        <v>0</v>
      </c>
      <c r="CI823">
        <v>0</v>
      </c>
      <c r="CJ823">
        <v>0</v>
      </c>
      <c r="CK823">
        <v>0</v>
      </c>
      <c r="CL823">
        <v>0</v>
      </c>
      <c r="CM823">
        <v>0</v>
      </c>
      <c r="CN823" t="str">
        <f>IF($BL823&lt;$BK823,"refNeedCorrection","refOK")</f>
        <v>refOK</v>
      </c>
      <c r="CO823">
        <f>IF($CN823="refOK",$BK823,$BL823)</f>
        <v>0</v>
      </c>
      <c r="CP823">
        <f>IF($CN823="refOK",$BL823,$BK823)</f>
        <v>116.6</v>
      </c>
      <c r="CQ823">
        <f>IF($CN823="refOK",$BO823,-$BO823)</f>
        <v>0.23795918367346941</v>
      </c>
      <c r="CR823">
        <f>IF($CN823="refOK",$BS823,$BT823)*IF($BP823="Emissions positive",-1,1)</f>
        <v>-141.19999999999999</v>
      </c>
      <c r="CS823">
        <f>IF($CN823="refOK",$BT823,$BS823)*IF($BP823="Emissions positive",-1,1)</f>
        <v>13.8</v>
      </c>
      <c r="CT823">
        <f>IF($CN823="refNeedCorrection",-BX823,BX823)*IF($BP823="Emissions positive",-1,1)</f>
        <v>0.155</v>
      </c>
      <c r="CU823">
        <f>IFERROR(CT823/CQ823,"")</f>
        <v>0.6513722126929673</v>
      </c>
      <c r="CV823" s="2">
        <f>IFERROR((CS823-CR823)/ABS(CR823),"")</f>
        <v>1.0977337110481586</v>
      </c>
      <c r="CW823" s="1" t="s">
        <v>263</v>
      </c>
      <c r="CX823" t="str">
        <f>IF(OR($CW823="prd",$CW823="std",$CW823="cit"),"loc",IF(OR($CW823="eur",$CW823="reg",$CW823="coy"),"reg",$CW823))</f>
        <v>loc</v>
      </c>
      <c r="CY823" s="309" t="s">
        <v>3423</v>
      </c>
      <c r="DB823">
        <v>0</v>
      </c>
      <c r="DC823" t="str">
        <f>IF(DB823=0,"0",IF(AND(DB823&gt;=1,DB823&lt;=30),"1-30",IF(AND(DB823&gt;30,DB823&lt;=70),"31-70",IF(AND(DB823&gt;70,DB823&lt;=100),"71-100",IF(DB823&gt;100,"+100")))))</f>
        <v>0</v>
      </c>
      <c r="DD823">
        <v>0</v>
      </c>
      <c r="DE823">
        <v>0</v>
      </c>
      <c r="DF823">
        <v>0</v>
      </c>
      <c r="DG823">
        <v>1</v>
      </c>
      <c r="DI823">
        <f>SUM(DD823:DG823)</f>
        <v>1</v>
      </c>
      <c r="DJ823" t="str">
        <f>IF(DI823=1,INDEX($DD$7:$DG$7,MATCH(1,$DD823:$DG823,0)),"mixedProduct")</f>
        <v>TimberInput</v>
      </c>
      <c r="DK823">
        <f>IF(DD823=1,DK$7,0)</f>
        <v>0</v>
      </c>
      <c r="DL823">
        <f>IF(DE823=1,DL$7,0)</f>
        <v>0</v>
      </c>
      <c r="DM823">
        <f>IF(DF823=1,DM$7,0)</f>
        <v>0</v>
      </c>
      <c r="DN823" t="str">
        <f>IF(DG823=1,DN$7,0)</f>
        <v>Timber</v>
      </c>
      <c r="DO823">
        <v>0</v>
      </c>
      <c r="DP823">
        <v>1</v>
      </c>
      <c r="DQ823">
        <v>0</v>
      </c>
      <c r="DR823">
        <v>0</v>
      </c>
      <c r="DS823">
        <v>0</v>
      </c>
      <c r="DT823">
        <f>SUM(DO823:DP823)</f>
        <v>1</v>
      </c>
      <c r="DU823" s="143" t="str">
        <f>IF(DO823=1,"self-calculated DF",IF(DP823=1,"external DF used","explicit C balance"))</f>
        <v>external DF used</v>
      </c>
      <c r="DV823">
        <v>0</v>
      </c>
      <c r="DW823">
        <v>0</v>
      </c>
      <c r="DX823">
        <v>0</v>
      </c>
      <c r="DY823">
        <v>1</v>
      </c>
      <c r="DZ823">
        <v>0</v>
      </c>
      <c r="EA823" s="143">
        <v>1</v>
      </c>
      <c r="EB823">
        <v>1</v>
      </c>
      <c r="EC823">
        <v>1</v>
      </c>
      <c r="ED823">
        <v>0</v>
      </c>
      <c r="EE823">
        <v>1</v>
      </c>
      <c r="EF823">
        <v>0</v>
      </c>
      <c r="EG823">
        <v>0</v>
      </c>
      <c r="EH823">
        <v>0</v>
      </c>
      <c r="EI823" s="2">
        <v>0</v>
      </c>
      <c r="EK823" t="str">
        <f>IF(AND(AND(AND(OR($DX823=1,$DW823=1),OR($EC823=1,$EA823=1)),SUM($DV823:$DZ823,$EF823)&gt;=4),SUM($EA823:$EE823)&gt;=2),"Whole sector","")</f>
        <v/>
      </c>
      <c r="EL823" t="str">
        <f>IF(AND(AND(OR($DX823=1,$DW823=1),AND($EC823=0,$EA823=0)),SUM($DV823:$DZ823,$EF823)&gt;=4),"Ecosystem approach","")</f>
        <v/>
      </c>
      <c r="EM823" s="2" t="str">
        <f>IF(AND(AND(AND($DX823=0,$DW823=0),OR($EC823=1,$EA823=1)),SUM($EB823:$EE823)&gt;=2),"Technology approach","")</f>
        <v>Technology approach</v>
      </c>
      <c r="EP823" t="str">
        <f>IF(ISNUMBER(BU823),IF(ABS(BU823-[4]QC_indicators!$B$2)&gt;3*[4]QC_indicators!$C$2,"C ratio",IF(ISNUMBER(BY823),IF(ABS(BY823-[4]QC_indicators!$B$1)&gt;3*[4]QC_indicators!$C$1,"DF","no"))),IF(ISNUMBER(BY823),IF(ABS(BY823-[4]QC_indicators!$B$1)&gt;3*[4]QC_indicators!$C$1,"DF","no")))</f>
        <v>no</v>
      </c>
      <c r="ER823" s="149" t="s">
        <v>349</v>
      </c>
      <c r="ET823" s="264" t="s">
        <v>3273</v>
      </c>
    </row>
    <row r="824" spans="1:151" ht="15" customHeight="1">
      <c r="A824" s="1" t="s">
        <v>265</v>
      </c>
      <c r="B824" t="s">
        <v>266</v>
      </c>
      <c r="C824" t="s">
        <v>267</v>
      </c>
      <c r="D824" t="s">
        <v>268</v>
      </c>
      <c r="E824" t="s">
        <v>269</v>
      </c>
      <c r="F824" t="s">
        <v>270</v>
      </c>
      <c r="G824" t="s">
        <v>271</v>
      </c>
      <c r="H824" t="s">
        <v>254</v>
      </c>
      <c r="I824">
        <v>2022</v>
      </c>
      <c r="J824">
        <v>0</v>
      </c>
      <c r="K824" t="s">
        <v>272</v>
      </c>
      <c r="M824" t="str">
        <f>LEFT($D824,FIND(",",$D824)-1)&amp;"_"&amp;I824&amp;L824</f>
        <v>Aryapratama_2022</v>
      </c>
      <c r="N824" t="s">
        <v>222</v>
      </c>
      <c r="O824" s="145" t="s">
        <v>274</v>
      </c>
      <c r="Q824" t="s">
        <v>224</v>
      </c>
      <c r="R824" s="262" t="s">
        <v>223</v>
      </c>
      <c r="S824" s="263" t="s">
        <v>3105</v>
      </c>
      <c r="T824" t="s">
        <v>331</v>
      </c>
      <c r="U824" t="s">
        <v>332</v>
      </c>
      <c r="V824">
        <v>0</v>
      </c>
      <c r="W824">
        <v>0</v>
      </c>
      <c r="X824">
        <v>0</v>
      </c>
      <c r="Y824">
        <v>0</v>
      </c>
      <c r="Z824">
        <v>0</v>
      </c>
      <c r="AA824">
        <v>0</v>
      </c>
      <c r="AB824">
        <v>0</v>
      </c>
      <c r="AC824">
        <v>0</v>
      </c>
      <c r="AD824">
        <v>0</v>
      </c>
      <c r="AE824">
        <v>0</v>
      </c>
      <c r="AF824">
        <v>0</v>
      </c>
      <c r="AG824">
        <v>0</v>
      </c>
      <c r="AH824">
        <v>0</v>
      </c>
      <c r="AI824">
        <v>0</v>
      </c>
      <c r="AJ824">
        <v>0</v>
      </c>
      <c r="AK824">
        <v>1</v>
      </c>
      <c r="AL824">
        <v>0</v>
      </c>
      <c r="AM824">
        <v>0</v>
      </c>
      <c r="AN824">
        <v>0</v>
      </c>
      <c r="AO824">
        <v>0</v>
      </c>
      <c r="AP824">
        <v>0</v>
      </c>
      <c r="AQ824">
        <v>0</v>
      </c>
      <c r="AR824">
        <v>0</v>
      </c>
      <c r="AS824">
        <v>0</v>
      </c>
      <c r="AT824">
        <v>0</v>
      </c>
      <c r="AU824">
        <v>0</v>
      </c>
      <c r="AV824">
        <v>0</v>
      </c>
      <c r="AW824">
        <v>0</v>
      </c>
      <c r="AX824" s="141">
        <f>COUNTIF(V824:AW824,"&lt;&gt;0")</f>
        <v>1</v>
      </c>
      <c r="AY824" s="141">
        <f>COUNTIF(V824:AL824,"&lt;&gt;0")</f>
        <v>1</v>
      </c>
      <c r="AZ824">
        <f>COUNTIF(V824:AC824,"&lt;&gt;0")</f>
        <v>0</v>
      </c>
      <c r="BA824">
        <f>COUNTIF(AD824:AI824,"&lt;&gt;0")</f>
        <v>0</v>
      </c>
      <c r="BB824">
        <f>COUNTIF(AJ824:AL824,"&lt;&gt;0")</f>
        <v>1</v>
      </c>
      <c r="BC824">
        <f>COUNTIF(AS824:AW824,"&lt;&gt;0")</f>
        <v>0</v>
      </c>
      <c r="BD824">
        <f>COUNTIF(AM824:AR824,"&lt;&gt;0")</f>
        <v>0</v>
      </c>
      <c r="BE824" t="str">
        <f t="array" ref="BE824">IF(AY824=1,INDEX($V$7:$AL$7,MATCH(TRUE,INDEX($V824:$AW824&lt;&gt;0,),0)),IF(AY824=0,INDEX($AM$7:$AW$7,MATCH(1,$AM824:$AW824,0)),IF(BF824="Multiple strategies","mixed drivers",IF(BF824="Supply chain","multiple supply","multiple silviculture"))))</f>
        <v>technologies/design switch</v>
      </c>
      <c r="BF824" s="2" t="str" cm="1">
        <f t="array" ref="BF824">IF(COUNTIF(AZ824:BB824,"&lt;&gt;0")=1,INDEX($V$4:$AW$4,MATCH(TRUE,INDEX($V824:$AW824&lt;&gt;0,),0)),IF(COUNTIF(AZ824:BB824,"&lt;&gt;0")=0,INDEX($AM$4:$AW$4,MATCH(1,$AM824:$AW824,0)),"Multiple strategies"))</f>
        <v>Technology</v>
      </c>
      <c r="BG824" s="1" t="s">
        <v>229</v>
      </c>
      <c r="BH824" t="s">
        <v>277</v>
      </c>
      <c r="BI824" s="264" t="s">
        <v>3106</v>
      </c>
      <c r="BJ824" t="s">
        <v>278</v>
      </c>
      <c r="BK824">
        <v>0</v>
      </c>
      <c r="BL824">
        <v>192.41056603773589</v>
      </c>
      <c r="BN824">
        <f>BL824-BK824</f>
        <v>192.41056603773589</v>
      </c>
      <c r="BO824">
        <f>BN824*tC_to_m3</f>
        <v>835.47792461022971</v>
      </c>
      <c r="BP824" t="s">
        <v>232</v>
      </c>
      <c r="BQ824" s="337" t="s">
        <v>3107</v>
      </c>
      <c r="BR824" t="s">
        <v>279</v>
      </c>
      <c r="BS824">
        <v>-543.07789336691178</v>
      </c>
      <c r="BT824">
        <v>2.2086925350061422</v>
      </c>
      <c r="BU824" s="144">
        <f>IFERROR(BT824/BS824,"")</f>
        <v>-4.0669903194050939E-3</v>
      </c>
      <c r="BV824">
        <f>BT824-BS824</f>
        <v>545.28658590191787</v>
      </c>
      <c r="BX824">
        <f>BV824</f>
        <v>545.28658590191787</v>
      </c>
      <c r="BY824">
        <f>IFERROR(BX824/BO824,"")</f>
        <v>0.65266426537398581</v>
      </c>
      <c r="BZ824">
        <v>0</v>
      </c>
      <c r="CA824">
        <v>0</v>
      </c>
      <c r="CB824">
        <v>0</v>
      </c>
      <c r="CC824">
        <v>0</v>
      </c>
      <c r="CD824">
        <v>0</v>
      </c>
      <c r="CE824">
        <v>0</v>
      </c>
      <c r="CF824">
        <v>0</v>
      </c>
      <c r="CG824">
        <v>0</v>
      </c>
      <c r="CH824">
        <v>0</v>
      </c>
      <c r="CI824">
        <v>0</v>
      </c>
      <c r="CJ824">
        <v>0</v>
      </c>
      <c r="CK824">
        <v>0</v>
      </c>
      <c r="CL824">
        <v>0</v>
      </c>
      <c r="CM824">
        <v>0</v>
      </c>
      <c r="CN824" t="str">
        <f>IF($BL824&lt;$BK824,"refNeedCorrection","refOK")</f>
        <v>refOK</v>
      </c>
      <c r="CO824">
        <f>IF($CN824="refOK",$BK824,$BL824)</f>
        <v>0</v>
      </c>
      <c r="CP824">
        <f>IF($CN824="refOK",$BL824,$BK824)</f>
        <v>192.41056603773589</v>
      </c>
      <c r="CQ824">
        <f>IF($CN824="refOK",$BO824,-$BO824)</f>
        <v>835.47792461022971</v>
      </c>
      <c r="CR824">
        <f>IF($CN824="refOK",$BS824,$BT824)*IF($BP824="Emissions positive",-1,1)</f>
        <v>-543.07789336691178</v>
      </c>
      <c r="CS824">
        <f>IF($CN824="refOK",$BT824,$BS824)*IF($BP824="Emissions positive",-1,1)</f>
        <v>2.2086925350061422</v>
      </c>
      <c r="CT824">
        <f>IF($CN824="refNeedCorrection",-BX824,BX824)*IF($BP824="Emissions positive",-1,1)</f>
        <v>545.28658590191787</v>
      </c>
      <c r="CU824">
        <f>IFERROR(CT824/CQ824,"")</f>
        <v>0.65266426537398581</v>
      </c>
      <c r="CV824" s="2">
        <f>IFERROR((CS824-CR824)/ABS(CR824),"")</f>
        <v>1.0040669903194051</v>
      </c>
      <c r="CW824" s="1" t="s">
        <v>234</v>
      </c>
      <c r="CX824" t="str">
        <f>IF(OR($CW824="prd",$CW824="std",$CW824="cit"),"loc",IF(OR($CW824="eur",$CW824="reg",$CW824="coy"),"reg",$CW824))</f>
        <v>loc</v>
      </c>
      <c r="CY824" t="s">
        <v>280</v>
      </c>
      <c r="DB824">
        <v>200</v>
      </c>
      <c r="DC824" t="str">
        <f>IF(DB824=0,"0",IF(AND(DB824&gt;=1,DB824&lt;=30),"1-30",IF(AND(DB824&gt;30,DB824&lt;=70),"31-70",IF(AND(DB824&gt;70,DB824&lt;=100),"71-100",IF(DB824&gt;100,"+100")))))</f>
        <v>+100</v>
      </c>
      <c r="DD824">
        <v>0</v>
      </c>
      <c r="DE824">
        <v>1</v>
      </c>
      <c r="DF824">
        <v>0</v>
      </c>
      <c r="DG824">
        <v>0</v>
      </c>
      <c r="DI824">
        <f>SUM(DD824:DG824)</f>
        <v>1</v>
      </c>
      <c r="DJ824" t="str">
        <f>IF(DI824=1,INDEX($DD$7:$DG$7,MATCH(1,$DD824:$DG824,0)),"mixedProduct")</f>
        <v>EnergyInput</v>
      </c>
      <c r="DK824">
        <f>IF(DD824=1,DK$7,0)</f>
        <v>0</v>
      </c>
      <c r="DL824" t="str">
        <f>IF(DE824=1,DL$7,0)</f>
        <v>Energy</v>
      </c>
      <c r="DM824">
        <f>IF(DF824=1,DM$7,0)</f>
        <v>0</v>
      </c>
      <c r="DN824">
        <f>IF(DG824=1,DN$7,0)</f>
        <v>0</v>
      </c>
      <c r="DO824">
        <v>0</v>
      </c>
      <c r="DP824">
        <v>1</v>
      </c>
      <c r="DQ824" t="s">
        <v>304</v>
      </c>
      <c r="DR824">
        <v>0</v>
      </c>
      <c r="DS824">
        <v>0</v>
      </c>
      <c r="DT824">
        <f>SUM(DO824:DP824)</f>
        <v>1</v>
      </c>
      <c r="DU824" s="143" t="str">
        <f>IF(DO824=1,"self-calculated DF",IF(DP824=1,"external DF used","explicit C balance"))</f>
        <v>external DF used</v>
      </c>
      <c r="DV824">
        <v>0</v>
      </c>
      <c r="DW824">
        <v>1</v>
      </c>
      <c r="DX824">
        <v>1</v>
      </c>
      <c r="DY824">
        <v>1</v>
      </c>
      <c r="DZ824">
        <v>1</v>
      </c>
      <c r="EA824" s="143">
        <v>0</v>
      </c>
      <c r="EB824">
        <v>1</v>
      </c>
      <c r="EC824">
        <v>1</v>
      </c>
      <c r="ED824">
        <v>0</v>
      </c>
      <c r="EE824">
        <v>1</v>
      </c>
      <c r="EF824">
        <v>1</v>
      </c>
      <c r="EG824">
        <v>1</v>
      </c>
      <c r="EH824">
        <v>0</v>
      </c>
      <c r="EI824" s="2">
        <v>0</v>
      </c>
      <c r="EK824" t="str">
        <f>IF(AND(AND(AND(OR($DX824=1,$DW824=1),OR($EC824=1,$EA824=1)),SUM($DV824:$DZ824,$EF824)&gt;=4),SUM($EA824:$EE824)&gt;=2),"Whole sector","")</f>
        <v>Whole sector</v>
      </c>
      <c r="EL824" t="str">
        <f>IF(AND(AND(OR($DX824=1,$DW824=1),AND($EC824=0,$EA824=0)),SUM($DV824:$DZ824,$EF824)&gt;=4),"Ecosystem approach","")</f>
        <v/>
      </c>
      <c r="EM824" s="2" t="str">
        <f>IF(AND(AND(AND($DX824=0,$DW824=0),OR($EC824=1,$EA824=1)),SUM($EB824:$EE824)&gt;=2),"Technology approach","")</f>
        <v/>
      </c>
      <c r="EP824" t="str">
        <f>IF(ISNUMBER(BU824),IF(ABS(BU824-[1]QC_indicators!$B$2)&gt;3*[1]QC_indicators!$C$2,"C ratio",IF(ISNUMBER(BY824),IF(ABS(BY824-[1]QC_indicators!$B$1)&gt;3*[1]QC_indicators!$C$1,"DF","no"))),IF(ISNUMBER(BY824),IF(ABS(BY824-[1]QC_indicators!$B$1)&gt;3*[1]QC_indicators!$C$1,"DF","no")))</f>
        <v>no</v>
      </c>
      <c r="EQ824" t="s">
        <v>286</v>
      </c>
      <c r="ET824" s="264" t="s">
        <v>3273</v>
      </c>
    </row>
    <row r="825" spans="1:151" ht="15" customHeight="1">
      <c r="A825" s="1" t="s">
        <v>1270</v>
      </c>
      <c r="B825" t="s">
        <v>1271</v>
      </c>
      <c r="C825" t="s">
        <v>1272</v>
      </c>
      <c r="D825" t="s">
        <v>1273</v>
      </c>
      <c r="E825" t="s">
        <v>1274</v>
      </c>
      <c r="F825" t="s">
        <v>1275</v>
      </c>
      <c r="G825" t="s">
        <v>1276</v>
      </c>
      <c r="I825">
        <v>2019</v>
      </c>
      <c r="K825" t="s">
        <v>1277</v>
      </c>
      <c r="M825" t="str">
        <f>LEFT($D825,FIND(",",$D825)-1)&amp;"_"&amp;I825&amp;L825</f>
        <v>Baskent_2019</v>
      </c>
      <c r="N825" t="s">
        <v>222</v>
      </c>
      <c r="O825" s="140" t="s">
        <v>513</v>
      </c>
      <c r="Q825" t="s">
        <v>224</v>
      </c>
      <c r="R825" s="269" t="s">
        <v>274</v>
      </c>
      <c r="S825" s="1" t="s">
        <v>1278</v>
      </c>
      <c r="T825" t="s">
        <v>1111</v>
      </c>
      <c r="U825" s="143" t="s">
        <v>1285</v>
      </c>
      <c r="V825" s="143">
        <v>0</v>
      </c>
      <c r="W825" s="143">
        <v>0</v>
      </c>
      <c r="X825" s="143">
        <v>0</v>
      </c>
      <c r="Y825" s="143">
        <v>1</v>
      </c>
      <c r="Z825" s="143">
        <v>2</v>
      </c>
      <c r="AA825" s="143">
        <v>0</v>
      </c>
      <c r="AB825" s="143">
        <v>0</v>
      </c>
      <c r="AC825" s="143">
        <v>0</v>
      </c>
      <c r="AD825">
        <v>0</v>
      </c>
      <c r="AE825">
        <v>0</v>
      </c>
      <c r="AF825">
        <v>2</v>
      </c>
      <c r="AG825">
        <v>0</v>
      </c>
      <c r="AH825">
        <v>0</v>
      </c>
      <c r="AI825">
        <v>0</v>
      </c>
      <c r="AJ825">
        <v>2</v>
      </c>
      <c r="AK825">
        <v>0</v>
      </c>
      <c r="AL825">
        <v>0</v>
      </c>
      <c r="AM825">
        <v>0</v>
      </c>
      <c r="AN825">
        <v>2</v>
      </c>
      <c r="AO825">
        <v>2</v>
      </c>
      <c r="AP825">
        <v>0</v>
      </c>
      <c r="AQ825">
        <v>0</v>
      </c>
      <c r="AR825">
        <v>0</v>
      </c>
      <c r="AS825">
        <v>2</v>
      </c>
      <c r="AT825">
        <v>0</v>
      </c>
      <c r="AU825">
        <v>0</v>
      </c>
      <c r="AV825">
        <v>0</v>
      </c>
      <c r="AW825">
        <v>2</v>
      </c>
      <c r="AX825" s="141">
        <f>COUNTIF(V825:AW825,"&lt;&gt;0")</f>
        <v>8</v>
      </c>
      <c r="AY825" s="141">
        <f>COUNTIF(V825:AL825,"&lt;&gt;0")</f>
        <v>4</v>
      </c>
      <c r="AZ825">
        <f>COUNTIF(V825:AC825,"&lt;&gt;0")</f>
        <v>2</v>
      </c>
      <c r="BA825">
        <f>COUNTIF(AD825:AI825,"&lt;&gt;0")</f>
        <v>1</v>
      </c>
      <c r="BB825">
        <f>COUNTIF(AJ825:AL825,"&lt;&gt;0")</f>
        <v>1</v>
      </c>
      <c r="BC825">
        <f>COUNTIF(AS825:AW825,"&lt;&gt;0")</f>
        <v>2</v>
      </c>
      <c r="BD825">
        <f>COUNTIF(AM825:AR825,"&lt;&gt;0")</f>
        <v>2</v>
      </c>
      <c r="BE825" t="str">
        <f t="array" ref="BE825">IF(AY825=1,INDEX($V$7:$AL$7,MATCH(TRUE,INDEX($V825:$AW825&lt;&gt;0,),0)),IF(AY825=0,INDEX($AM$7:$AW$7,MATCH(1,$AM825:$AW825,0)),IF(BF825="Multiple strategies","mixed drivers",IF(BF825="Supply chain","multiple supply","multiple silviculture"))))</f>
        <v>mixed drivers</v>
      </c>
      <c r="BF825" s="2" t="str" cm="1">
        <f t="array" ref="BF825">IF(COUNTIF(AZ825:BB825,"&lt;&gt;0")=1,INDEX($V$4:$AW$4,MATCH(TRUE,INDEX($V825:$AW825&lt;&gt;0,),0)),IF(COUNTIF(AZ825:BB825,"&lt;&gt;0")=0,INDEX($AM$4:$AW$4,MATCH(1,$AM825:$AW825,0)),"Multiple strategies"))</f>
        <v>Multiple strategies</v>
      </c>
      <c r="BG825" s="1" t="s">
        <v>321</v>
      </c>
      <c r="BH825" t="s">
        <v>1280</v>
      </c>
      <c r="BJ825" s="143" t="s">
        <v>278</v>
      </c>
      <c r="BK825">
        <v>10.270935960591125</v>
      </c>
      <c r="BL825">
        <v>11.20689655172413</v>
      </c>
      <c r="BM825" s="143">
        <f>BL825/BK825</f>
        <v>1.091127098321343</v>
      </c>
      <c r="BN825">
        <f>BL825-BK825</f>
        <v>0.93596059113300534</v>
      </c>
      <c r="BO825" s="143">
        <f>BN825*tC_to_m3</f>
        <v>4.0640928837733625</v>
      </c>
      <c r="BP825" t="s">
        <v>232</v>
      </c>
      <c r="BQ825" s="333" t="s">
        <v>787</v>
      </c>
      <c r="BR825" s="143" t="s">
        <v>278</v>
      </c>
      <c r="BS825">
        <v>38.33684792940457</v>
      </c>
      <c r="BT825">
        <v>39.060818992069535</v>
      </c>
      <c r="BU825" s="144">
        <f>IFERROR(BT825/BS825,"")</f>
        <v>1.0188844702099171</v>
      </c>
      <c r="BV825">
        <f>BT825-BS825</f>
        <v>0.72397106266496536</v>
      </c>
      <c r="BX825">
        <f>BV825*C_to_CO2</f>
        <v>2.6569737999804226</v>
      </c>
      <c r="BY825">
        <f>IFERROR(BX825/BO825,"")</f>
        <v>0.65376798118686674</v>
      </c>
      <c r="BZ825" s="143">
        <v>0</v>
      </c>
      <c r="CA825" s="143">
        <v>0</v>
      </c>
      <c r="CB825" s="143">
        <v>0</v>
      </c>
      <c r="CC825" s="143">
        <v>0</v>
      </c>
      <c r="CD825" s="143">
        <v>0</v>
      </c>
      <c r="CE825" s="143">
        <v>0</v>
      </c>
      <c r="CF825" s="143">
        <v>0</v>
      </c>
      <c r="CG825" s="143">
        <v>1</v>
      </c>
      <c r="CH825" s="143">
        <v>0</v>
      </c>
      <c r="CI825" s="143">
        <v>1</v>
      </c>
      <c r="CJ825" s="143">
        <v>1</v>
      </c>
      <c r="CK825" s="143">
        <v>0</v>
      </c>
      <c r="CL825" s="143">
        <v>1</v>
      </c>
      <c r="CM825" s="143">
        <v>0</v>
      </c>
      <c r="CN825" t="str">
        <f>IF($BL825&lt;$BK825,"refNeedCorrection","refOK")</f>
        <v>refOK</v>
      </c>
      <c r="CO825">
        <f>IF($CN825="refOK",$BK825,$BL825)</f>
        <v>10.270935960591125</v>
      </c>
      <c r="CP825">
        <f>IF($CN825="refOK",$BL825,$BK825)</f>
        <v>11.20689655172413</v>
      </c>
      <c r="CQ825">
        <f>IF($CN825="refOK",$BO825,-$BO825)</f>
        <v>4.0640928837733625</v>
      </c>
      <c r="CR825">
        <f>IF($CN825="refOK",$BS825,$BT825)*IF($BP825="Emissions positive",-1,1)</f>
        <v>38.33684792940457</v>
      </c>
      <c r="CS825">
        <f>IF($CN825="refOK",$BT825,$BS825)*IF($BP825="Emissions positive",-1,1)</f>
        <v>39.060818992069535</v>
      </c>
      <c r="CT825">
        <f>IF($CN825="refNeedCorrection",-BX825,BX825)*IF($BP825="Emissions positive",-1,1)</f>
        <v>2.6569737999804226</v>
      </c>
      <c r="CU825">
        <f>IFERROR(CT825/CQ825,"")</f>
        <v>0.65376798118686674</v>
      </c>
      <c r="CV825" s="2">
        <f>IFERROR((CS825-CR825)/ABS(CR825),"")</f>
        <v>1.8884470209917171E-2</v>
      </c>
      <c r="CW825" s="1" t="s">
        <v>1199</v>
      </c>
      <c r="CX825" t="str">
        <f>IF(OR($CW825="prd",$CW825="std",$CW825="cit"),"loc",IF(OR($CW825="eur",$CW825="reg",$CW825="coy"),"reg",$CW825))</f>
        <v>reg</v>
      </c>
      <c r="CY825" t="s">
        <v>1281</v>
      </c>
      <c r="CZ825">
        <v>2010</v>
      </c>
      <c r="DA825" s="143">
        <v>2060</v>
      </c>
      <c r="DB825" s="143">
        <f>DA825-CZ825</f>
        <v>50</v>
      </c>
      <c r="DC825" t="str">
        <f>IF(DB825=0,"0",IF(AND(DB825&gt;=1,DB825&lt;=30),"1-30",IF(AND(DB825&gt;30,DB825&lt;=70),"31-70",IF(AND(DB825&gt;70,DB825&lt;=100),"71-100",IF(DB825&gt;100,"+100")))))</f>
        <v>31-70</v>
      </c>
      <c r="DD825">
        <v>1</v>
      </c>
      <c r="DE825">
        <v>1</v>
      </c>
      <c r="DF825">
        <v>1</v>
      </c>
      <c r="DG825">
        <v>1</v>
      </c>
      <c r="DI825">
        <f>SUM(DD825:DG825)</f>
        <v>4</v>
      </c>
      <c r="DJ825" t="str">
        <f>IF(DI825=1,INDEX($DD$7:$DG$7,MATCH(1,$DD825:$DG825,0)),"mixedProduct")</f>
        <v>mixedProduct</v>
      </c>
      <c r="DK825" t="str">
        <f>IF(DD825=1,DK$7,0)</f>
        <v>Upstream</v>
      </c>
      <c r="DL825" t="str">
        <f>IF(DE825=1,DL$7,0)</f>
        <v>Energy</v>
      </c>
      <c r="DM825" t="str">
        <f>IF(DF825=1,DM$7,0)</f>
        <v>Pulp/Paper</v>
      </c>
      <c r="DN825" t="str">
        <f>IF(DG825=1,DN$7,0)</f>
        <v>Timber</v>
      </c>
      <c r="DO825" s="143">
        <v>1</v>
      </c>
      <c r="DP825">
        <v>0</v>
      </c>
      <c r="DQ825" s="143">
        <v>0</v>
      </c>
      <c r="DR825" s="143">
        <v>0</v>
      </c>
      <c r="DS825" s="143" t="s">
        <v>1282</v>
      </c>
      <c r="DT825">
        <f>SUM(DO825:DP825)</f>
        <v>1</v>
      </c>
      <c r="DU825" s="143" t="str">
        <f>IF(DO825=1,"self-calculated DF",IF(DP825=1,"external DF used","explicit C balance"))</f>
        <v>self-calculated DF</v>
      </c>
      <c r="DV825" s="143">
        <v>0</v>
      </c>
      <c r="DW825">
        <v>1</v>
      </c>
      <c r="DX825" s="143">
        <v>1</v>
      </c>
      <c r="DY825" s="143">
        <v>1</v>
      </c>
      <c r="DZ825">
        <v>1</v>
      </c>
      <c r="EA825">
        <v>1</v>
      </c>
      <c r="EB825" s="143">
        <v>0</v>
      </c>
      <c r="EC825">
        <v>0</v>
      </c>
      <c r="ED825" s="143">
        <v>0</v>
      </c>
      <c r="EE825">
        <v>0</v>
      </c>
      <c r="EF825">
        <v>1</v>
      </c>
      <c r="EG825" s="143">
        <v>0</v>
      </c>
      <c r="EH825">
        <v>0</v>
      </c>
      <c r="EI825" s="2">
        <v>0</v>
      </c>
      <c r="EK825" t="str">
        <f>IF(AND(AND(AND(OR($DX825=1,$DW825=1),OR($EC825=1,$EA825=1)),SUM($DV825:$DZ825,$EF825)&gt;=4),SUM($EA825:$EE825)&gt;=2),"Whole sector","")</f>
        <v/>
      </c>
      <c r="EL825" t="str">
        <f>IF(AND(AND(OR($DX825=1,$DW825=1),AND($EC825=0,$EA825=0)),SUM($DV825:$DZ825,$EF825)&gt;=4),"Ecosystem approach","")</f>
        <v/>
      </c>
      <c r="EM825" s="2" t="str">
        <f>IF(AND(AND(AND($DX825=0,$DW825=0),OR($EC825=1,$EA825=1)),SUM($EB825:$EE825)&gt;=2),"Technology approach","")</f>
        <v/>
      </c>
      <c r="EN825" t="s">
        <v>1283</v>
      </c>
      <c r="EP825" t="str">
        <f>IF(ISNUMBER(BU825),IF(ABS(BU825-[2]QC_indicators!$B$2)&gt;3*[2]QC_indicators!$C$2,"C ratio",IF(ISNUMBER(BY825),IF(ABS(BY825-[2]QC_indicators!$B$1)&gt;3*[2]QC_indicators!$C$1,"DF","no"))),IF(ISNUMBER(BY825),IF(ABS(BY825-[2]QC_indicators!$B$1)&gt;3*[2]QC_indicators!$C$1,"DF","no")))</f>
        <v>no</v>
      </c>
      <c r="EQ825" t="s">
        <v>286</v>
      </c>
      <c r="ER825" t="s">
        <v>1284</v>
      </c>
      <c r="ET825" s="264" t="s">
        <v>3273</v>
      </c>
    </row>
    <row r="826" spans="1:151" ht="15" customHeight="1">
      <c r="A826" s="1" t="s">
        <v>265</v>
      </c>
      <c r="B826" t="s">
        <v>266</v>
      </c>
      <c r="C826" t="s">
        <v>267</v>
      </c>
      <c r="D826" t="s">
        <v>268</v>
      </c>
      <c r="E826" t="s">
        <v>269</v>
      </c>
      <c r="F826" t="s">
        <v>270</v>
      </c>
      <c r="G826" t="s">
        <v>271</v>
      </c>
      <c r="H826" t="s">
        <v>254</v>
      </c>
      <c r="I826">
        <v>2022</v>
      </c>
      <c r="J826">
        <v>0</v>
      </c>
      <c r="K826" t="s">
        <v>272</v>
      </c>
      <c r="M826" t="str">
        <f>LEFT($D826,FIND(",",$D826)-1)&amp;"_"&amp;I826&amp;L826</f>
        <v>Aryapratama_2022</v>
      </c>
      <c r="N826" t="s">
        <v>222</v>
      </c>
      <c r="O826" s="145" t="s">
        <v>274</v>
      </c>
      <c r="Q826" t="s">
        <v>224</v>
      </c>
      <c r="R826" s="262" t="s">
        <v>223</v>
      </c>
      <c r="S826" s="263" t="s">
        <v>3105</v>
      </c>
      <c r="T826" t="s">
        <v>309</v>
      </c>
      <c r="U826" t="s">
        <v>310</v>
      </c>
      <c r="V826">
        <v>0</v>
      </c>
      <c r="W826">
        <v>0</v>
      </c>
      <c r="X826">
        <v>0</v>
      </c>
      <c r="Y826">
        <v>0</v>
      </c>
      <c r="Z826">
        <v>0</v>
      </c>
      <c r="AA826">
        <v>0</v>
      </c>
      <c r="AB826">
        <v>0</v>
      </c>
      <c r="AC826">
        <v>0</v>
      </c>
      <c r="AD826">
        <v>0</v>
      </c>
      <c r="AE826">
        <v>0</v>
      </c>
      <c r="AF826">
        <v>0</v>
      </c>
      <c r="AG826">
        <v>0</v>
      </c>
      <c r="AH826">
        <v>0</v>
      </c>
      <c r="AI826">
        <v>0</v>
      </c>
      <c r="AJ826">
        <v>0</v>
      </c>
      <c r="AK826">
        <v>1</v>
      </c>
      <c r="AL826">
        <v>0</v>
      </c>
      <c r="AM826">
        <v>0</v>
      </c>
      <c r="AN826">
        <v>0</v>
      </c>
      <c r="AO826">
        <v>0</v>
      </c>
      <c r="AP826">
        <v>0</v>
      </c>
      <c r="AQ826">
        <v>0</v>
      </c>
      <c r="AR826">
        <v>0</v>
      </c>
      <c r="AS826">
        <v>0</v>
      </c>
      <c r="AT826">
        <v>0</v>
      </c>
      <c r="AU826">
        <v>0</v>
      </c>
      <c r="AV826">
        <v>0</v>
      </c>
      <c r="AW826">
        <v>0</v>
      </c>
      <c r="AX826" s="141">
        <f>COUNTIF(V826:AW826,"&lt;&gt;0")</f>
        <v>1</v>
      </c>
      <c r="AY826" s="141">
        <f>COUNTIF(V826:AL826,"&lt;&gt;0")</f>
        <v>1</v>
      </c>
      <c r="AZ826">
        <f>COUNTIF(V826:AC826,"&lt;&gt;0")</f>
        <v>0</v>
      </c>
      <c r="BA826">
        <f>COUNTIF(AD826:AI826,"&lt;&gt;0")</f>
        <v>0</v>
      </c>
      <c r="BB826">
        <f>COUNTIF(AJ826:AL826,"&lt;&gt;0")</f>
        <v>1</v>
      </c>
      <c r="BC826">
        <f>COUNTIF(AS826:AW826,"&lt;&gt;0")</f>
        <v>0</v>
      </c>
      <c r="BD826">
        <f>COUNTIF(AM826:AR826,"&lt;&gt;0")</f>
        <v>0</v>
      </c>
      <c r="BE826" t="str">
        <f t="array" ref="BE826">IF(AY826=1,INDEX($V$7:$AL$7,MATCH(TRUE,INDEX($V826:$AW826&lt;&gt;0,),0)),IF(AY826=0,INDEX($AM$7:$AW$7,MATCH(1,$AM826:$AW826,0)),IF(BF826="Multiple strategies","mixed drivers",IF(BF826="Supply chain","multiple supply","multiple silviculture"))))</f>
        <v>technologies/design switch</v>
      </c>
      <c r="BF826" s="2" t="str" cm="1">
        <f t="array" ref="BF826">IF(COUNTIF(AZ826:BB826,"&lt;&gt;0")=1,INDEX($V$4:$AW$4,MATCH(TRUE,INDEX($V826:$AW826&lt;&gt;0,),0)),IF(COUNTIF(AZ826:BB826,"&lt;&gt;0")=0,INDEX($AM$4:$AW$4,MATCH(1,$AM826:$AW826,0)),"Multiple strategies"))</f>
        <v>Technology</v>
      </c>
      <c r="BG826" s="1" t="s">
        <v>229</v>
      </c>
      <c r="BH826" t="s">
        <v>277</v>
      </c>
      <c r="BI826" s="264" t="s">
        <v>3106</v>
      </c>
      <c r="BJ826" t="s">
        <v>278</v>
      </c>
      <c r="BK826">
        <v>0</v>
      </c>
      <c r="BL826">
        <v>173.90219514484585</v>
      </c>
      <c r="BN826">
        <f>BL826-BK826</f>
        <v>173.90219514484585</v>
      </c>
      <c r="BO826">
        <f>BN826*tC_to_m3</f>
        <v>755.11157249173186</v>
      </c>
      <c r="BP826" t="s">
        <v>232</v>
      </c>
      <c r="BQ826" s="337" t="s">
        <v>3107</v>
      </c>
      <c r="BR826" t="s">
        <v>279</v>
      </c>
      <c r="BS826">
        <v>-276.3051877599944</v>
      </c>
      <c r="BT826">
        <v>218.48492658306861</v>
      </c>
      <c r="BU826" s="144">
        <f>IFERROR(BT826/BS826,"")</f>
        <v>-0.79073769245639391</v>
      </c>
      <c r="BV826">
        <f>BT826-BS826</f>
        <v>494.79011434306301</v>
      </c>
      <c r="BX826">
        <f>BV826</f>
        <v>494.79011434306301</v>
      </c>
      <c r="BY826">
        <f>IFERROR(BX826/BO826,"")</f>
        <v>0.65525431256515509</v>
      </c>
      <c r="BZ826">
        <v>0</v>
      </c>
      <c r="CA826">
        <v>0</v>
      </c>
      <c r="CB826">
        <v>0</v>
      </c>
      <c r="CC826">
        <v>0</v>
      </c>
      <c r="CD826">
        <v>0</v>
      </c>
      <c r="CE826">
        <v>0</v>
      </c>
      <c r="CF826">
        <v>0</v>
      </c>
      <c r="CG826">
        <v>0</v>
      </c>
      <c r="CH826">
        <v>0</v>
      </c>
      <c r="CI826">
        <v>0</v>
      </c>
      <c r="CJ826">
        <v>0</v>
      </c>
      <c r="CK826">
        <v>0</v>
      </c>
      <c r="CL826">
        <v>0</v>
      </c>
      <c r="CM826">
        <v>0</v>
      </c>
      <c r="CN826" t="str">
        <f>IF($BL826&lt;$BK826,"refNeedCorrection","refOK")</f>
        <v>refOK</v>
      </c>
      <c r="CO826">
        <f>IF($CN826="refOK",$BK826,$BL826)</f>
        <v>0</v>
      </c>
      <c r="CP826">
        <f>IF($CN826="refOK",$BL826,$BK826)</f>
        <v>173.90219514484585</v>
      </c>
      <c r="CQ826">
        <f>IF($CN826="refOK",$BO826,-$BO826)</f>
        <v>755.11157249173186</v>
      </c>
      <c r="CR826">
        <f>IF($CN826="refOK",$BS826,$BT826)*IF($BP826="Emissions positive",-1,1)</f>
        <v>-276.3051877599944</v>
      </c>
      <c r="CS826">
        <f>IF($CN826="refOK",$BT826,$BS826)*IF($BP826="Emissions positive",-1,1)</f>
        <v>218.48492658306861</v>
      </c>
      <c r="CT826">
        <f>IF($CN826="refNeedCorrection",-BX826,BX826)*IF($BP826="Emissions positive",-1,1)</f>
        <v>494.79011434306301</v>
      </c>
      <c r="CU826">
        <f>IFERROR(CT826/CQ826,"")</f>
        <v>0.65525431256515509</v>
      </c>
      <c r="CV826" s="2">
        <f>IFERROR((CS826-CR826)/ABS(CR826),"")</f>
        <v>1.7907376924563938</v>
      </c>
      <c r="CW826" s="1" t="s">
        <v>234</v>
      </c>
      <c r="CX826" t="str">
        <f>IF(OR($CW826="prd",$CW826="std",$CW826="cit"),"loc",IF(OR($CW826="eur",$CW826="reg",$CW826="coy"),"reg",$CW826))</f>
        <v>loc</v>
      </c>
      <c r="CY826" t="s">
        <v>280</v>
      </c>
      <c r="DB826">
        <v>200</v>
      </c>
      <c r="DC826" t="str">
        <f>IF(DB826=0,"0",IF(AND(DB826&gt;=1,DB826&lt;=30),"1-30",IF(AND(DB826&gt;30,DB826&lt;=70),"31-70",IF(AND(DB826&gt;70,DB826&lt;=100),"71-100",IF(DB826&gt;100,"+100")))))</f>
        <v>+100</v>
      </c>
      <c r="DD826">
        <v>0</v>
      </c>
      <c r="DE826">
        <v>0</v>
      </c>
      <c r="DF826">
        <v>0</v>
      </c>
      <c r="DG826">
        <v>1</v>
      </c>
      <c r="DI826">
        <f>SUM(DD826:DG826)</f>
        <v>1</v>
      </c>
      <c r="DJ826" t="str">
        <f>IF(DI826=1,INDEX($DD$7:$DG$7,MATCH(1,$DD826:$DG826,0)),"mixedProduct")</f>
        <v>TimberInput</v>
      </c>
      <c r="DK826">
        <f>IF(DD826=1,DK$7,0)</f>
        <v>0</v>
      </c>
      <c r="DL826">
        <f>IF(DE826=1,DL$7,0)</f>
        <v>0</v>
      </c>
      <c r="DM826">
        <f>IF(DF826=1,DM$7,0)</f>
        <v>0</v>
      </c>
      <c r="DN826" t="str">
        <f>IF(DG826=1,DN$7,0)</f>
        <v>Timber</v>
      </c>
      <c r="DO826">
        <v>0</v>
      </c>
      <c r="DP826">
        <v>1</v>
      </c>
      <c r="DQ826" t="s">
        <v>304</v>
      </c>
      <c r="DR826">
        <v>0</v>
      </c>
      <c r="DS826">
        <v>0</v>
      </c>
      <c r="DT826">
        <f>SUM(DO826:DP826)</f>
        <v>1</v>
      </c>
      <c r="DU826" s="143" t="str">
        <f>IF(DO826=1,"self-calculated DF",IF(DP826=1,"external DF used","explicit C balance"))</f>
        <v>external DF used</v>
      </c>
      <c r="DV826">
        <v>0</v>
      </c>
      <c r="DW826">
        <v>1</v>
      </c>
      <c r="DX826">
        <v>1</v>
      </c>
      <c r="DY826">
        <v>1</v>
      </c>
      <c r="DZ826">
        <v>1</v>
      </c>
      <c r="EA826" s="143">
        <v>0</v>
      </c>
      <c r="EB826">
        <v>1</v>
      </c>
      <c r="EC826">
        <v>1</v>
      </c>
      <c r="ED826">
        <v>0</v>
      </c>
      <c r="EE826">
        <v>1</v>
      </c>
      <c r="EF826">
        <v>1</v>
      </c>
      <c r="EG826">
        <v>1</v>
      </c>
      <c r="EH826">
        <v>0</v>
      </c>
      <c r="EI826" s="2">
        <v>0</v>
      </c>
      <c r="EK826" t="str">
        <f>IF(AND(AND(AND(OR($DX826=1,$DW826=1),OR($EC826=1,$EA826=1)),SUM($DV826:$DZ826,$EF826)&gt;=4),SUM($EA826:$EE826)&gt;=2),"Whole sector","")</f>
        <v>Whole sector</v>
      </c>
      <c r="EL826" t="str">
        <f>IF(AND(AND(OR($DX826=1,$DW826=1),AND($EC826=0,$EA826=0)),SUM($DV826:$DZ826,$EF826)&gt;=4),"Ecosystem approach","")</f>
        <v/>
      </c>
      <c r="EM826" s="2" t="str">
        <f>IF(AND(AND(AND($DX826=0,$DW826=0),OR($EC826=1,$EA826=1)),SUM($EB826:$EE826)&gt;=2),"Technology approach","")</f>
        <v/>
      </c>
      <c r="EP826" t="str">
        <f>IF(ISNUMBER(BU826),IF(ABS(BU826-[1]QC_indicators!$B$2)&gt;3*[1]QC_indicators!$C$2,"C ratio",IF(ISNUMBER(BY826),IF(ABS(BY826-[1]QC_indicators!$B$1)&gt;3*[1]QC_indicators!$C$1,"DF","no"))),IF(ISNUMBER(BY826),IF(ABS(BY826-[1]QC_indicators!$B$1)&gt;3*[1]QC_indicators!$C$1,"DF","no")))</f>
        <v>no</v>
      </c>
      <c r="EQ826" t="s">
        <v>286</v>
      </c>
      <c r="ET826" s="264" t="s">
        <v>3273</v>
      </c>
    </row>
    <row r="827" spans="1:151" ht="15" customHeight="1">
      <c r="A827" s="1" t="s">
        <v>333</v>
      </c>
      <c r="B827" t="s">
        <v>945</v>
      </c>
      <c r="C827" t="s">
        <v>946</v>
      </c>
      <c r="D827" t="s">
        <v>947</v>
      </c>
      <c r="E827" t="s">
        <v>948</v>
      </c>
      <c r="F827" t="s">
        <v>949</v>
      </c>
      <c r="G827" t="s">
        <v>339</v>
      </c>
      <c r="H827" t="s">
        <v>254</v>
      </c>
      <c r="I827">
        <v>2021</v>
      </c>
      <c r="J827">
        <v>0</v>
      </c>
      <c r="K827" t="s">
        <v>950</v>
      </c>
      <c r="M827" t="str">
        <f>LEFT($D827,FIND(",",$D827)-1)&amp;"_"&amp;I827&amp;L827</f>
        <v>Morris_2021</v>
      </c>
      <c r="N827" t="s">
        <v>222</v>
      </c>
      <c r="O827" t="s">
        <v>223</v>
      </c>
      <c r="Q827" t="s">
        <v>256</v>
      </c>
      <c r="R827" s="255" t="s">
        <v>225</v>
      </c>
      <c r="S827" s="1" t="s">
        <v>956</v>
      </c>
      <c r="T827" t="s">
        <v>795</v>
      </c>
      <c r="U827" t="s">
        <v>957</v>
      </c>
      <c r="V827">
        <v>0</v>
      </c>
      <c r="W827">
        <v>0</v>
      </c>
      <c r="X827">
        <v>0</v>
      </c>
      <c r="Y827">
        <v>0</v>
      </c>
      <c r="Z827">
        <v>0</v>
      </c>
      <c r="AA827">
        <v>0</v>
      </c>
      <c r="AB827">
        <v>0</v>
      </c>
      <c r="AC827">
        <v>0</v>
      </c>
      <c r="AD827">
        <v>0</v>
      </c>
      <c r="AE827">
        <v>0</v>
      </c>
      <c r="AF827">
        <v>0</v>
      </c>
      <c r="AG827">
        <v>0</v>
      </c>
      <c r="AH827">
        <v>0</v>
      </c>
      <c r="AI827">
        <v>0</v>
      </c>
      <c r="AJ827">
        <v>0</v>
      </c>
      <c r="AK827">
        <v>1</v>
      </c>
      <c r="AL827">
        <v>0</v>
      </c>
      <c r="AM827">
        <v>0</v>
      </c>
      <c r="AN827">
        <v>0</v>
      </c>
      <c r="AO827">
        <v>0</v>
      </c>
      <c r="AP827">
        <v>0</v>
      </c>
      <c r="AQ827">
        <v>0</v>
      </c>
      <c r="AR827">
        <v>0</v>
      </c>
      <c r="AS827">
        <v>0</v>
      </c>
      <c r="AT827">
        <v>0</v>
      </c>
      <c r="AU827">
        <v>0</v>
      </c>
      <c r="AV827">
        <v>0</v>
      </c>
      <c r="AW827">
        <v>0</v>
      </c>
      <c r="AX827" s="141">
        <f>COUNTIF(V827:AW827,"&lt;&gt;0")</f>
        <v>1</v>
      </c>
      <c r="AY827" s="141">
        <f>COUNTIF(V827:AL827,"&lt;&gt;0")</f>
        <v>1</v>
      </c>
      <c r="AZ827">
        <f>COUNTIF(V827:AC827,"&lt;&gt;0")</f>
        <v>0</v>
      </c>
      <c r="BA827">
        <f>COUNTIF(AD827:AI827,"&lt;&gt;0")</f>
        <v>0</v>
      </c>
      <c r="BB827">
        <f>COUNTIF(AJ827:AL827,"&lt;&gt;0")</f>
        <v>1</v>
      </c>
      <c r="BC827">
        <f>COUNTIF(AS827:AW827,"&lt;&gt;0")</f>
        <v>0</v>
      </c>
      <c r="BD827">
        <f>COUNTIF(AM827:AR827,"&lt;&gt;0")</f>
        <v>0</v>
      </c>
      <c r="BE827" t="str">
        <f t="array" ref="BE827">IF(AY827=1,INDEX($V$7:$AL$7,MATCH(TRUE,INDEX($V827:$AW827&lt;&gt;0,),0)),IF(AY827=0,INDEX($AM$7:$AW$7,MATCH(1,$AM827:$AW827,0)),IF(BF827="Multiple strategies","mixed drivers",IF(BF827="Supply chain","multiple supply","multiple silviculture"))))</f>
        <v>technologies/design switch</v>
      </c>
      <c r="BF827" s="2" t="str" cm="1">
        <f t="array" ref="BF827">IF(COUNTIF(AZ827:BB827,"&lt;&gt;0")=1,INDEX($V$4:$AW$4,MATCH(TRUE,INDEX($V827:$AW827&lt;&gt;0,),0)),IF(COUNTIF(AZ827:BB827,"&lt;&gt;0")=0,INDEX($AM$4:$AW$4,MATCH(1,$AM827:$AW827,0)),"Multiple strategies"))</f>
        <v>Technology</v>
      </c>
      <c r="BG827" s="1" t="s">
        <v>229</v>
      </c>
      <c r="BH827" t="s">
        <v>954</v>
      </c>
      <c r="BI827" s="260" t="s">
        <v>3373</v>
      </c>
      <c r="BJ827" t="s">
        <v>345</v>
      </c>
      <c r="BK827">
        <v>0</v>
      </c>
      <c r="BL827">
        <v>116.6</v>
      </c>
      <c r="BN827">
        <f>BL827-BK827</f>
        <v>116.6</v>
      </c>
      <c r="BO827">
        <f>BN827*kg_to_m3</f>
        <v>0.23795918367346941</v>
      </c>
      <c r="BP827" t="s">
        <v>232</v>
      </c>
      <c r="BQ827" s="260" t="s">
        <v>3379</v>
      </c>
      <c r="BR827" t="s">
        <v>955</v>
      </c>
      <c r="BS827">
        <v>-223.4</v>
      </c>
      <c r="BT827">
        <v>-67.400000000000006</v>
      </c>
      <c r="BU827" s="144">
        <f>IFERROR(BT827/BS827,"")</f>
        <v>0.30170098478066248</v>
      </c>
      <c r="BV827">
        <f>BT827-BS827</f>
        <v>156</v>
      </c>
      <c r="BX827">
        <f>BV827/1000</f>
        <v>0.156</v>
      </c>
      <c r="BY827">
        <f>IFERROR(BX827/BO827,"")</f>
        <v>0.65557461406518003</v>
      </c>
      <c r="BZ827">
        <v>1</v>
      </c>
      <c r="CA827">
        <v>0</v>
      </c>
      <c r="CB827">
        <v>0</v>
      </c>
      <c r="CC827">
        <v>0</v>
      </c>
      <c r="CD827">
        <v>0</v>
      </c>
      <c r="CE827">
        <v>1</v>
      </c>
      <c r="CF827">
        <v>0</v>
      </c>
      <c r="CG827">
        <v>1</v>
      </c>
      <c r="CH827">
        <v>0</v>
      </c>
      <c r="CI827">
        <v>0</v>
      </c>
      <c r="CJ827">
        <v>0</v>
      </c>
      <c r="CK827">
        <v>0</v>
      </c>
      <c r="CL827">
        <v>0</v>
      </c>
      <c r="CM827">
        <v>0</v>
      </c>
      <c r="CN827" t="str">
        <f>IF($BL827&lt;$BK827,"refNeedCorrection","refOK")</f>
        <v>refOK</v>
      </c>
      <c r="CO827">
        <f>IF($CN827="refOK",$BK827,$BL827)</f>
        <v>0</v>
      </c>
      <c r="CP827">
        <f>IF($CN827="refOK",$BL827,$BK827)</f>
        <v>116.6</v>
      </c>
      <c r="CQ827">
        <f>IF($CN827="refOK",$BO827,-$BO827)</f>
        <v>0.23795918367346941</v>
      </c>
      <c r="CR827">
        <f>IF($CN827="refOK",$BS827,$BT827)*IF($BP827="Emissions positive",-1,1)</f>
        <v>-223.4</v>
      </c>
      <c r="CS827">
        <f>IF($CN827="refOK",$BT827,$BS827)*IF($BP827="Emissions positive",-1,1)</f>
        <v>-67.400000000000006</v>
      </c>
      <c r="CT827">
        <f>IF($CN827="refNeedCorrection",-BX827,BX827)*IF($BP827="Emissions positive",-1,1)</f>
        <v>0.156</v>
      </c>
      <c r="CU827">
        <f>IFERROR(CT827/CQ827,"")</f>
        <v>0.65557461406518003</v>
      </c>
      <c r="CV827" s="2">
        <f>IFERROR((CS827-CR827)/ABS(CR827),"")</f>
        <v>0.69829901521933746</v>
      </c>
      <c r="CW827" s="1" t="s">
        <v>263</v>
      </c>
      <c r="CX827" t="str">
        <f>IF(OR($CW827="prd",$CW827="std",$CW827="cit"),"loc",IF(OR($CW827="eur",$CW827="reg",$CW827="coy"),"reg",$CW827))</f>
        <v>loc</v>
      </c>
      <c r="CY827" s="309" t="s">
        <v>3423</v>
      </c>
      <c r="DB827">
        <v>0</v>
      </c>
      <c r="DC827" t="str">
        <f>IF(DB827=0,"0",IF(AND(DB827&gt;=1,DB827&lt;=30),"1-30",IF(AND(DB827&gt;30,DB827&lt;=70),"31-70",IF(AND(DB827&gt;70,DB827&lt;=100),"71-100",IF(DB827&gt;100,"+100")))))</f>
        <v>0</v>
      </c>
      <c r="DD827">
        <v>0</v>
      </c>
      <c r="DE827">
        <v>0</v>
      </c>
      <c r="DF827">
        <v>0</v>
      </c>
      <c r="DG827">
        <v>1</v>
      </c>
      <c r="DI827">
        <f>SUM(DD827:DG827)</f>
        <v>1</v>
      </c>
      <c r="DJ827" t="str">
        <f>IF(DI827=1,INDEX($DD$7:$DG$7,MATCH(1,$DD827:$DG827,0)),"mixedProduct")</f>
        <v>TimberInput</v>
      </c>
      <c r="DK827">
        <f>IF(DD827=1,DK$7,0)</f>
        <v>0</v>
      </c>
      <c r="DL827">
        <f>IF(DE827=1,DL$7,0)</f>
        <v>0</v>
      </c>
      <c r="DM827">
        <f>IF(DF827=1,DM$7,0)</f>
        <v>0</v>
      </c>
      <c r="DN827" t="str">
        <f>IF(DG827=1,DN$7,0)</f>
        <v>Timber</v>
      </c>
      <c r="DO827">
        <v>0</v>
      </c>
      <c r="DP827">
        <v>1</v>
      </c>
      <c r="DQ827">
        <v>0</v>
      </c>
      <c r="DR827">
        <v>0</v>
      </c>
      <c r="DS827">
        <v>0</v>
      </c>
      <c r="DT827">
        <f>SUM(DO827:DP827)</f>
        <v>1</v>
      </c>
      <c r="DU827" s="143" t="str">
        <f>IF(DO827=1,"self-calculated DF",IF(DP827=1,"external DF used","explicit C balance"))</f>
        <v>external DF used</v>
      </c>
      <c r="DV827">
        <v>0</v>
      </c>
      <c r="DW827">
        <v>0</v>
      </c>
      <c r="DX827">
        <v>0</v>
      </c>
      <c r="DY827">
        <v>0</v>
      </c>
      <c r="DZ827">
        <v>0</v>
      </c>
      <c r="EA827" s="143">
        <v>1</v>
      </c>
      <c r="EB827">
        <v>1</v>
      </c>
      <c r="EC827">
        <v>1</v>
      </c>
      <c r="ED827">
        <v>0</v>
      </c>
      <c r="EE827">
        <v>1</v>
      </c>
      <c r="EF827">
        <v>0</v>
      </c>
      <c r="EG827">
        <v>0</v>
      </c>
      <c r="EH827">
        <v>0</v>
      </c>
      <c r="EI827" s="2">
        <v>0</v>
      </c>
      <c r="EK827" t="str">
        <f>IF(AND(AND(AND(OR($DX827=1,$DW827=1),OR($EC827=1,$EA827=1)),SUM($DV827:$DZ827,$EF827)&gt;=4),SUM($EA827:$EE827)&gt;=2),"Whole sector","")</f>
        <v/>
      </c>
      <c r="EL827" t="str">
        <f>IF(AND(AND(OR($DX827=1,$DW827=1),AND($EC827=0,$EA827=0)),SUM($DV827:$DZ827,$EF827)&gt;=4),"Ecosystem approach","")</f>
        <v/>
      </c>
      <c r="EM827" s="2" t="str">
        <f>IF(AND(AND(AND($DX827=0,$DW827=0),OR($EC827=1,$EA827=1)),SUM($EB827:$EE827)&gt;=2),"Technology approach","")</f>
        <v>Technology approach</v>
      </c>
      <c r="EP827" t="str">
        <f>IF(ISNUMBER(BU827),IF(ABS(BU827-[4]QC_indicators!$B$2)&gt;3*[4]QC_indicators!$C$2,"C ratio",IF(ISNUMBER(BY827),IF(ABS(BY827-[4]QC_indicators!$B$1)&gt;3*[4]QC_indicators!$C$1,"DF","no"))),IF(ISNUMBER(BY827),IF(ABS(BY827-[4]QC_indicators!$B$1)&gt;3*[4]QC_indicators!$C$1,"DF","no")))</f>
        <v>no</v>
      </c>
      <c r="ER827" t="s">
        <v>959</v>
      </c>
      <c r="ET827" s="264" t="s">
        <v>3273</v>
      </c>
    </row>
    <row r="828" spans="1:151" ht="15" customHeight="1">
      <c r="A828" s="1" t="s">
        <v>614</v>
      </c>
      <c r="B828" t="s">
        <v>1719</v>
      </c>
      <c r="C828" t="s">
        <v>1720</v>
      </c>
      <c r="D828" t="s">
        <v>1721</v>
      </c>
      <c r="E828" t="s">
        <v>1722</v>
      </c>
      <c r="F828" t="s">
        <v>1723</v>
      </c>
      <c r="G828" t="s">
        <v>620</v>
      </c>
      <c r="H828" t="s">
        <v>254</v>
      </c>
      <c r="I828">
        <v>2021</v>
      </c>
      <c r="J828">
        <v>2</v>
      </c>
      <c r="K828" t="s">
        <v>1724</v>
      </c>
      <c r="M828" t="str">
        <f>LEFT($D828,FIND(",",$D828)-1)&amp;"_"&amp;I828&amp;L828</f>
        <v>Hawkins_2021</v>
      </c>
      <c r="N828" t="s">
        <v>222</v>
      </c>
      <c r="O828" s="145" t="s">
        <v>513</v>
      </c>
      <c r="Q828" t="s">
        <v>256</v>
      </c>
      <c r="R828" s="2" t="s">
        <v>274</v>
      </c>
      <c r="S828" s="1" t="s">
        <v>1739</v>
      </c>
      <c r="T828" t="s">
        <v>665</v>
      </c>
      <c r="U828" t="s">
        <v>1726</v>
      </c>
      <c r="V828">
        <v>0</v>
      </c>
      <c r="W828">
        <v>0</v>
      </c>
      <c r="X828">
        <v>0</v>
      </c>
      <c r="Y828">
        <v>0</v>
      </c>
      <c r="Z828">
        <v>0</v>
      </c>
      <c r="AA828">
        <v>0</v>
      </c>
      <c r="AB828">
        <v>0</v>
      </c>
      <c r="AC828">
        <v>0</v>
      </c>
      <c r="AD828">
        <v>0</v>
      </c>
      <c r="AE828">
        <v>0</v>
      </c>
      <c r="AF828">
        <v>0</v>
      </c>
      <c r="AG828">
        <v>0</v>
      </c>
      <c r="AH828">
        <v>0</v>
      </c>
      <c r="AI828">
        <v>0</v>
      </c>
      <c r="AJ828">
        <v>0</v>
      </c>
      <c r="AK828">
        <v>1</v>
      </c>
      <c r="AL828">
        <v>0</v>
      </c>
      <c r="AM828">
        <v>0</v>
      </c>
      <c r="AN828">
        <v>0</v>
      </c>
      <c r="AO828">
        <v>0</v>
      </c>
      <c r="AP828">
        <v>0</v>
      </c>
      <c r="AQ828">
        <v>0</v>
      </c>
      <c r="AR828">
        <v>0</v>
      </c>
      <c r="AS828">
        <v>0</v>
      </c>
      <c r="AT828">
        <v>0</v>
      </c>
      <c r="AU828">
        <v>0</v>
      </c>
      <c r="AV828">
        <v>0</v>
      </c>
      <c r="AW828">
        <v>0</v>
      </c>
      <c r="AX828" s="141">
        <f>COUNTIF(V828:AW828,"&lt;&gt;0")</f>
        <v>1</v>
      </c>
      <c r="AY828" s="141">
        <f>COUNTIF(V828:AL828,"&lt;&gt;0")</f>
        <v>1</v>
      </c>
      <c r="AZ828">
        <f>COUNTIF(V828:AC828,"&lt;&gt;0")</f>
        <v>0</v>
      </c>
      <c r="BA828">
        <f>COUNTIF(AD828:AI828,"&lt;&gt;0")</f>
        <v>0</v>
      </c>
      <c r="BB828">
        <f>COUNTIF(AJ828:AL828,"&lt;&gt;0")</f>
        <v>1</v>
      </c>
      <c r="BC828">
        <f>COUNTIF(AS828:AW828,"&lt;&gt;0")</f>
        <v>0</v>
      </c>
      <c r="BD828">
        <f>COUNTIF(AM828:AR828,"&lt;&gt;0")</f>
        <v>0</v>
      </c>
      <c r="BE828" t="str">
        <f t="array" ref="BE828">IF(AY828=1,INDEX($V$7:$AL$7,MATCH(TRUE,INDEX($V828:$AW828&lt;&gt;0,),0)),IF(AY828=0,INDEX($AM$7:$AW$7,MATCH(1,$AM828:$AW828,0)),IF(BF828="Multiple strategies","mixed drivers",IF(BF828="Supply chain","multiple supply","multiple silviculture"))))</f>
        <v>technologies/design switch</v>
      </c>
      <c r="BF828" s="2" t="str" cm="1">
        <f t="array" ref="BF828">IF(COUNTIF(AZ828:BB828,"&lt;&gt;0")=1,INDEX($V$4:$AW$4,MATCH(TRUE,INDEX($V828:$AW828&lt;&gt;0,),0)),IF(COUNTIF(AZ828:BB828,"&lt;&gt;0")=0,INDEX($AM$4:$AW$4,MATCH(1,$AM828:$AW828,0)),"Multiple strategies"))</f>
        <v>Technology</v>
      </c>
      <c r="BG828" s="1" t="s">
        <v>229</v>
      </c>
      <c r="BH828" t="s">
        <v>229</v>
      </c>
      <c r="BJ828" t="s">
        <v>756</v>
      </c>
      <c r="BK828">
        <v>0</v>
      </c>
      <c r="BL828">
        <v>1105.3</v>
      </c>
      <c r="BN828">
        <f>BL828-BK828</f>
        <v>1105.3</v>
      </c>
      <c r="BO828">
        <f>BN828*t_to_m3</f>
        <v>2255.7142857142858</v>
      </c>
      <c r="BP828" t="s">
        <v>232</v>
      </c>
      <c r="BQ828" s="264" t="s">
        <v>3261</v>
      </c>
      <c r="BR828" t="s">
        <v>728</v>
      </c>
      <c r="BS828" s="179">
        <v>-2790000</v>
      </c>
      <c r="BT828" s="179">
        <v>-1310000</v>
      </c>
      <c r="BU828" s="144">
        <f>IFERROR(BT828/BS828,"")</f>
        <v>0.46953405017921146</v>
      </c>
      <c r="BV828" s="179">
        <f>BT828-BS828</f>
        <v>1480000</v>
      </c>
      <c r="BW828" s="179"/>
      <c r="BX828">
        <f>BV828/1000</f>
        <v>1480</v>
      </c>
      <c r="BY828">
        <f>IFERROR(BX828/BO828,"")</f>
        <v>0.6561114629512349</v>
      </c>
      <c r="BZ828">
        <v>0</v>
      </c>
      <c r="CA828">
        <v>1</v>
      </c>
      <c r="CB828">
        <v>0</v>
      </c>
      <c r="CC828">
        <v>1</v>
      </c>
      <c r="CD828">
        <v>0</v>
      </c>
      <c r="CE828">
        <v>0</v>
      </c>
      <c r="CF828">
        <v>0</v>
      </c>
      <c r="CG828">
        <v>1</v>
      </c>
      <c r="CH828">
        <v>0</v>
      </c>
      <c r="CI828">
        <v>0</v>
      </c>
      <c r="CJ828">
        <v>0</v>
      </c>
      <c r="CK828">
        <v>0</v>
      </c>
      <c r="CL828">
        <v>0</v>
      </c>
      <c r="CM828">
        <v>0</v>
      </c>
      <c r="CN828" t="str">
        <f>IF($BL828&lt;$BK828,"refNeedCorrection","refOK")</f>
        <v>refOK</v>
      </c>
      <c r="CO828">
        <f>IF($CN828="refNeedCorrection",BL828,BK828)</f>
        <v>0</v>
      </c>
      <c r="CP828">
        <f>IF($CN828="refNeedCorrection",BK828,BL828)</f>
        <v>1105.3</v>
      </c>
      <c r="CQ828">
        <f>IF($CN828="refOK",$BO828,-$BO828)</f>
        <v>2255.7142857142858</v>
      </c>
      <c r="CR828" s="273">
        <f>IF($CN828="refOK",$BS828,$BT828)*IF($BP828="Emissions positive",-1,1)</f>
        <v>-2790000</v>
      </c>
      <c r="CS828" s="273">
        <f>IF($CN828="refOK",$BT828,$BS828)*IF($BP828="Emissions positive",-1,1)</f>
        <v>-1310000</v>
      </c>
      <c r="CT828">
        <f>IF($CN828="refNeedCorrection",-BX828,BX828)*IF($BP828="Emissions positive",-1,1)</f>
        <v>1480</v>
      </c>
      <c r="CU828">
        <f>IFERROR(CT828/CQ828,"")</f>
        <v>0.6561114629512349</v>
      </c>
      <c r="CV828" s="2">
        <f>IFERROR((CS828-CR828)/ABS(CR828),"")</f>
        <v>0.53046594982078854</v>
      </c>
      <c r="CW828" s="1" t="s">
        <v>1203</v>
      </c>
      <c r="CX828" t="str">
        <f>IF(OR($CW828="prd",$CW828="std",$CW828="cit"),"loc",IF(OR($CW828="eur",$CW828="reg",$CW828="coy"),"reg",$CW828))</f>
        <v>reg</v>
      </c>
      <c r="CY828" s="309" t="s">
        <v>3423</v>
      </c>
      <c r="DB828">
        <v>2</v>
      </c>
      <c r="DC828" t="str">
        <f>IF(DB828=0,"0",IF(AND(DB828&gt;=1,DB828&lt;=30),"1-30",IF(AND(DB828&gt;30,DB828&lt;=70),"31-70",IF(AND(DB828&gt;70,DB828&lt;=100),"71-100",IF(DB828&gt;100,"+100")))))</f>
        <v>1-30</v>
      </c>
      <c r="DD828">
        <v>0</v>
      </c>
      <c r="DE828">
        <v>0</v>
      </c>
      <c r="DF828">
        <v>0</v>
      </c>
      <c r="DG828">
        <v>1</v>
      </c>
      <c r="DI828">
        <f>SUM(DD828:DG828)</f>
        <v>1</v>
      </c>
      <c r="DJ828" t="str">
        <f>IF(DI828=1,INDEX($DD$7:$DG$7,MATCH(1,$DD828:$DG828,0)),"mixedProduct")</f>
        <v>TimberInput</v>
      </c>
      <c r="DK828">
        <f>IF(DD828=1,DK$7,0)</f>
        <v>0</v>
      </c>
      <c r="DL828">
        <f>IF(DE828=1,DL$7,0)</f>
        <v>0</v>
      </c>
      <c r="DM828">
        <f>IF(DF828=1,DM$7,0)</f>
        <v>0</v>
      </c>
      <c r="DN828" t="str">
        <f>IF(DG828=1,DN$7,0)</f>
        <v>Timber</v>
      </c>
      <c r="DO828">
        <v>0</v>
      </c>
      <c r="DP828">
        <v>0</v>
      </c>
      <c r="DQ828">
        <v>0</v>
      </c>
      <c r="DR828">
        <v>0</v>
      </c>
      <c r="DS828">
        <v>0</v>
      </c>
      <c r="DT828">
        <f>SUM(DO828:DP828)</f>
        <v>0</v>
      </c>
      <c r="DU828" s="143" t="str">
        <f>IF(DO828=1,"self-calculated DF",IF(DP828=1,"external DF used","explicit C balance"))</f>
        <v>explicit C balance</v>
      </c>
      <c r="DV828">
        <v>0</v>
      </c>
      <c r="DW828">
        <v>0</v>
      </c>
      <c r="DX828">
        <v>0</v>
      </c>
      <c r="DY828">
        <v>1</v>
      </c>
      <c r="DZ828">
        <v>0</v>
      </c>
      <c r="EA828" s="143">
        <v>0</v>
      </c>
      <c r="EB828">
        <v>1</v>
      </c>
      <c r="EC828">
        <v>1</v>
      </c>
      <c r="ED828">
        <v>1</v>
      </c>
      <c r="EE828">
        <v>1</v>
      </c>
      <c r="EF828">
        <v>1</v>
      </c>
      <c r="EG828">
        <v>1</v>
      </c>
      <c r="EH828">
        <v>0</v>
      </c>
      <c r="EI828" s="2">
        <v>0</v>
      </c>
      <c r="EK828" t="str">
        <f>IF(AND(AND(AND(OR($DX828=1,$DW828=1),OR($EC828=1,$EA828=1)),SUM($DV828:$DZ828,$EF828)&gt;=4),SUM($EA828:$EE828)&gt;=2),"Whole sector","")</f>
        <v/>
      </c>
      <c r="EL828" t="str">
        <f>IF(AND(AND(OR($DX828=1,$DW828=1),AND($EC828=0,$EA828=0)),SUM($DV828:$DZ828,$EF828)&gt;=4),"Ecosystem approach","")</f>
        <v/>
      </c>
      <c r="EM828" s="2" t="str">
        <f>IF(AND(AND(AND($DX828=0,$DW828=0),OR($EC828=1,$EA828=1)),SUM($EB828:$EE828)&gt;=2),"Technology approach","")</f>
        <v>Technology approach</v>
      </c>
      <c r="EP828" t="str">
        <f>IF(ISNUMBER(BU828),IF(ABS(BU828-[2]QC_indicators!$B$2)&gt;3*[2]QC_indicators!$C$2,"C ratio",IF(ISNUMBER(BY828),IF(ABS(BY828-[2]QC_indicators!$B$1)&gt;3*[2]QC_indicators!$C$1,"DF","no"))),IF(ISNUMBER(BY828),IF(ABS(BY828-[2]QC_indicators!$B$1)&gt;3*[2]QC_indicators!$C$1,"DF","no")))</f>
        <v>no</v>
      </c>
      <c r="ET828" s="264" t="s">
        <v>3151</v>
      </c>
      <c r="EU828" s="264"/>
    </row>
    <row r="829" spans="1:151" ht="15" customHeight="1">
      <c r="A829" s="1" t="s">
        <v>545</v>
      </c>
      <c r="B829" t="s">
        <v>546</v>
      </c>
      <c r="C829" t="s">
        <v>547</v>
      </c>
      <c r="D829" t="s">
        <v>548</v>
      </c>
      <c r="E829" t="s">
        <v>549</v>
      </c>
      <c r="F829" t="s">
        <v>550</v>
      </c>
      <c r="G829" t="s">
        <v>551</v>
      </c>
      <c r="H829" t="s">
        <v>254</v>
      </c>
      <c r="I829">
        <v>2017</v>
      </c>
      <c r="J829">
        <v>3</v>
      </c>
      <c r="K829" t="s">
        <v>552</v>
      </c>
      <c r="M829" t="str">
        <f>LEFT($D829,FIND(",",$D829)-1)&amp;"_"&amp;I829&amp;L829</f>
        <v>Crafford_2017</v>
      </c>
      <c r="N829" t="s">
        <v>222</v>
      </c>
      <c r="O829" s="145" t="s">
        <v>223</v>
      </c>
      <c r="Q829" t="s">
        <v>256</v>
      </c>
      <c r="R829" s="255" t="s">
        <v>225</v>
      </c>
      <c r="S829" s="1" t="s">
        <v>559</v>
      </c>
      <c r="T829" t="s">
        <v>560</v>
      </c>
      <c r="U829" t="s">
        <v>554</v>
      </c>
      <c r="V829">
        <v>0</v>
      </c>
      <c r="W829">
        <v>0</v>
      </c>
      <c r="X829">
        <v>0</v>
      </c>
      <c r="Y829">
        <v>0</v>
      </c>
      <c r="Z829">
        <v>0</v>
      </c>
      <c r="AA829">
        <v>0</v>
      </c>
      <c r="AB829">
        <v>0</v>
      </c>
      <c r="AC829">
        <v>0</v>
      </c>
      <c r="AD829">
        <v>0</v>
      </c>
      <c r="AE829">
        <v>0</v>
      </c>
      <c r="AF829">
        <v>0</v>
      </c>
      <c r="AG829">
        <v>0</v>
      </c>
      <c r="AH829">
        <v>0</v>
      </c>
      <c r="AI829">
        <v>0</v>
      </c>
      <c r="AJ829">
        <v>0</v>
      </c>
      <c r="AK829">
        <v>1</v>
      </c>
      <c r="AL829">
        <v>0</v>
      </c>
      <c r="AM829">
        <v>0</v>
      </c>
      <c r="AN829">
        <v>0</v>
      </c>
      <c r="AO829">
        <v>0</v>
      </c>
      <c r="AP829">
        <v>0</v>
      </c>
      <c r="AQ829">
        <v>0</v>
      </c>
      <c r="AR829">
        <v>0</v>
      </c>
      <c r="AS829">
        <v>0</v>
      </c>
      <c r="AT829">
        <v>0</v>
      </c>
      <c r="AU829">
        <v>0</v>
      </c>
      <c r="AV829">
        <v>0</v>
      </c>
      <c r="AW829">
        <v>0</v>
      </c>
      <c r="AX829" s="141">
        <f>COUNTIF(V829:AW829,"&lt;&gt;0")</f>
        <v>1</v>
      </c>
      <c r="AY829" s="141">
        <f>COUNTIF(V829:AL829,"&lt;&gt;0")</f>
        <v>1</v>
      </c>
      <c r="AZ829">
        <f>COUNTIF(V829:AC829,"&lt;&gt;0")</f>
        <v>0</v>
      </c>
      <c r="BA829">
        <f>COUNTIF(AD829:AI829,"&lt;&gt;0")</f>
        <v>0</v>
      </c>
      <c r="BB829">
        <f>COUNTIF(AJ829:AL829,"&lt;&gt;0")</f>
        <v>1</v>
      </c>
      <c r="BC829">
        <f>COUNTIF(AS829:AW829,"&lt;&gt;0")</f>
        <v>0</v>
      </c>
      <c r="BD829">
        <f>COUNTIF(AM829:AR829,"&lt;&gt;0")</f>
        <v>0</v>
      </c>
      <c r="BE829" t="str">
        <f t="array" ref="BE829">IF(AY829=1,INDEX($V$7:$AL$7,MATCH(TRUE,INDEX($V829:$AW829&lt;&gt;0,),0)),IF(AY829=0,INDEX($AM$7:$AW$7,MATCH(1,$AM829:$AW829,0)),IF(BF829="Multiple strategies","mixed drivers",IF(BF829="Supply chain","multiple supply","multiple silviculture"))))</f>
        <v>technologies/design switch</v>
      </c>
      <c r="BF829" s="2" t="str" cm="1">
        <f t="array" ref="BF829">IF(COUNTIF(AZ829:BB829,"&lt;&gt;0")=1,INDEX($V$4:$AW$4,MATCH(TRUE,INDEX($V829:$AW829&lt;&gt;0,),0)),IF(COUNTIF(AZ829:BB829,"&lt;&gt;0")=0,INDEX($AM$4:$AW$4,MATCH(1,$AM829:$AW829,0)),"Multiple strategies"))</f>
        <v>Technology</v>
      </c>
      <c r="BG829" s="1" t="s">
        <v>229</v>
      </c>
      <c r="BH829" t="s">
        <v>556</v>
      </c>
      <c r="BI829" t="s">
        <v>424</v>
      </c>
      <c r="BJ829" t="s">
        <v>498</v>
      </c>
      <c r="BK829">
        <v>0</v>
      </c>
      <c r="BL829">
        <v>1.33</v>
      </c>
      <c r="BN829">
        <f>BL829-BK829</f>
        <v>1.33</v>
      </c>
      <c r="BO829">
        <f>BN829</f>
        <v>1.33</v>
      </c>
      <c r="BP829" t="s">
        <v>232</v>
      </c>
      <c r="BQ829" s="260" t="s">
        <v>3292</v>
      </c>
      <c r="BR829" t="s">
        <v>397</v>
      </c>
      <c r="BS829">
        <v>-1038</v>
      </c>
      <c r="BT829">
        <v>-164</v>
      </c>
      <c r="BU829" s="144">
        <v>0.15799614643545279</v>
      </c>
      <c r="BV829">
        <v>874</v>
      </c>
      <c r="BX829">
        <f>BV829/1000</f>
        <v>0.874</v>
      </c>
      <c r="BY829">
        <f>IFERROR(BX829/BO829,"")</f>
        <v>0.65714285714285714</v>
      </c>
      <c r="BZ829">
        <v>1</v>
      </c>
      <c r="CA829">
        <v>0</v>
      </c>
      <c r="CB829">
        <v>0</v>
      </c>
      <c r="CC829">
        <v>0</v>
      </c>
      <c r="CD829">
        <v>0</v>
      </c>
      <c r="CE829">
        <v>0</v>
      </c>
      <c r="CF829">
        <v>0</v>
      </c>
      <c r="CG829">
        <v>0</v>
      </c>
      <c r="CH829">
        <v>0</v>
      </c>
      <c r="CI829">
        <v>0</v>
      </c>
      <c r="CJ829">
        <v>0</v>
      </c>
      <c r="CK829">
        <v>0</v>
      </c>
      <c r="CL829">
        <v>0</v>
      </c>
      <c r="CM829">
        <v>0</v>
      </c>
      <c r="CN829" t="str">
        <f>IF($BL829&lt;$BK829,"refNeedCorrection","refOK")</f>
        <v>refOK</v>
      </c>
      <c r="CO829">
        <f>IF($CN829="refOK",$BK829,$BL829)</f>
        <v>0</v>
      </c>
      <c r="CP829">
        <f>IF($CN829="refOK",$BL829,$BK829)</f>
        <v>1.33</v>
      </c>
      <c r="CQ829">
        <f>IF($CN829="refOK",$BO829,-$BO829)</f>
        <v>1.33</v>
      </c>
      <c r="CR829">
        <f>IF($CN829="refOK",$BS829,$BT829)*IF($BP829="Emissions positive",-1,1)</f>
        <v>-1038</v>
      </c>
      <c r="CS829">
        <f>IF($CN829="refOK",$BT829,$BS829)*IF($BP829="Emissions positive",-1,1)</f>
        <v>-164</v>
      </c>
      <c r="CT829">
        <f>IF($CN829="refNeedCorrection",-BX829,BX829)*IF($BP829="Emissions positive",-1,1)</f>
        <v>0.874</v>
      </c>
      <c r="CU829">
        <f>IFERROR(CT829/CQ829,"")</f>
        <v>0.65714285714285714</v>
      </c>
      <c r="CV829" s="2">
        <f>IFERROR((CS829-CR829)/ABS(CR829),"")</f>
        <v>0.84200385356454721</v>
      </c>
      <c r="CW829" s="1" t="s">
        <v>263</v>
      </c>
      <c r="CX829" t="str">
        <f>IF(OR($CW829="prd",$CW829="std",$CW829="cit"),"loc",IF(OR($CW829="eur",$CW829="reg",$CW829="coy"),"reg",$CW829))</f>
        <v>loc</v>
      </c>
      <c r="CY829" t="s">
        <v>557</v>
      </c>
      <c r="DB829">
        <v>0</v>
      </c>
      <c r="DC829" t="str">
        <f>IF(DB829=0,"0",IF(AND(DB829&gt;=1,DB829&lt;=30),"1-30",IF(AND(DB829&gt;30,DB829&lt;=70),"31-70",IF(AND(DB829&gt;70,DB829&lt;=100),"71-100",IF(DB829&gt;100,"+100")))))</f>
        <v>0</v>
      </c>
      <c r="DD829">
        <v>0</v>
      </c>
      <c r="DE829">
        <v>0</v>
      </c>
      <c r="DF829">
        <v>0</v>
      </c>
      <c r="DG829">
        <v>1</v>
      </c>
      <c r="DI829">
        <f>SUM(DD829:DG829)</f>
        <v>1</v>
      </c>
      <c r="DJ829" t="str">
        <f>IF(DI829=1,INDEX($DD$7:$DG$7,MATCH(1,$DD829:$DG829,0)),"mixedProduct")</f>
        <v>TimberInput</v>
      </c>
      <c r="DK829">
        <f>IF(DD829=1,DK$7,0)</f>
        <v>0</v>
      </c>
      <c r="DL829">
        <f>IF(DE829=1,DL$7,0)</f>
        <v>0</v>
      </c>
      <c r="DM829">
        <f>IF(DF829=1,DM$7,0)</f>
        <v>0</v>
      </c>
      <c r="DN829" t="str">
        <f>IF(DG829=1,DN$7,0)</f>
        <v>Timber</v>
      </c>
      <c r="DO829">
        <v>0</v>
      </c>
      <c r="DP829">
        <v>0</v>
      </c>
      <c r="DQ829">
        <v>0</v>
      </c>
      <c r="DR829">
        <v>0</v>
      </c>
      <c r="DS829">
        <v>0</v>
      </c>
      <c r="DT829">
        <f>SUM(DO829:DP829)</f>
        <v>0</v>
      </c>
      <c r="DU829" s="143" t="str">
        <f>IF(DO829=1,"self-calculated DF",IF(DP829=1,"external DF used","explicit C balance"))</f>
        <v>explicit C balance</v>
      </c>
      <c r="DV829">
        <v>0</v>
      </c>
      <c r="DW829">
        <v>0</v>
      </c>
      <c r="DX829">
        <v>0</v>
      </c>
      <c r="DY829">
        <v>1</v>
      </c>
      <c r="DZ829">
        <v>1</v>
      </c>
      <c r="EA829" s="143">
        <v>0</v>
      </c>
      <c r="EB829">
        <v>0</v>
      </c>
      <c r="EC829">
        <v>1</v>
      </c>
      <c r="ED829">
        <v>0</v>
      </c>
      <c r="EE829">
        <v>1</v>
      </c>
      <c r="EF829">
        <v>0</v>
      </c>
      <c r="EG829">
        <v>0</v>
      </c>
      <c r="EH829">
        <v>0</v>
      </c>
      <c r="EI829" s="2">
        <v>0</v>
      </c>
      <c r="EK829" t="str">
        <f>IF(AND(AND(AND(OR($DX829=1,$DW829=1),OR($EC829=1,$EA829=1)),SUM($DV829:$DZ829,$EF829)&gt;=4),SUM($EA829:$EE829)&gt;=2),"Whole sector","")</f>
        <v/>
      </c>
      <c r="EL829" t="str">
        <f>IF(AND(AND(OR($DX829=1,$DW829=1),AND($EC829=0,$EA829=0)),SUM($DV829:$DZ829,$EF829)&gt;=4),"Ecosystem approach","")</f>
        <v/>
      </c>
      <c r="EM829" s="2" t="str">
        <f>IF(AND(AND(AND($DX829=0,$DW829=0),OR($EC829=1,$EA829=1)),SUM($EB829:$EE829)&gt;=2),"Technology approach","")</f>
        <v>Technology approach</v>
      </c>
      <c r="EP829" t="str">
        <f>IF(ISNUMBER(BU829),IF(ABS(BU829-[4]QC_indicators!$B$2)&gt;3*[4]QC_indicators!$C$2,"C ratio",IF(ISNUMBER(BY829),IF(ABS(BY829-[4]QC_indicators!$B$1)&gt;3*[4]QC_indicators!$C$1,"DF","no"))),IF(ISNUMBER(BY829),IF(ABS(BY829-[4]QC_indicators!$B$1)&gt;3*[4]QC_indicators!$C$1,"DF","no")))</f>
        <v>no</v>
      </c>
      <c r="ER829" s="149" t="s">
        <v>349</v>
      </c>
      <c r="ET829" s="264" t="s">
        <v>3273</v>
      </c>
    </row>
    <row r="830" spans="1:151" ht="15" customHeight="1">
      <c r="A830" s="1" t="s">
        <v>265</v>
      </c>
      <c r="B830" t="s">
        <v>266</v>
      </c>
      <c r="C830" t="s">
        <v>267</v>
      </c>
      <c r="D830" t="s">
        <v>268</v>
      </c>
      <c r="E830" t="s">
        <v>269</v>
      </c>
      <c r="F830" t="s">
        <v>270</v>
      </c>
      <c r="G830" t="s">
        <v>271</v>
      </c>
      <c r="H830" t="s">
        <v>254</v>
      </c>
      <c r="I830">
        <v>2022</v>
      </c>
      <c r="J830">
        <v>0</v>
      </c>
      <c r="K830" t="s">
        <v>272</v>
      </c>
      <c r="M830" t="str">
        <f>LEFT($D830,FIND(",",$D830)-1)&amp;"_"&amp;I830&amp;L830</f>
        <v>Aryapratama_2022</v>
      </c>
      <c r="N830" t="s">
        <v>222</v>
      </c>
      <c r="O830" s="145" t="s">
        <v>274</v>
      </c>
      <c r="Q830" t="s">
        <v>224</v>
      </c>
      <c r="R830" s="262" t="s">
        <v>223</v>
      </c>
      <c r="S830" s="263" t="s">
        <v>3105</v>
      </c>
      <c r="T830" t="s">
        <v>331</v>
      </c>
      <c r="U830" t="s">
        <v>332</v>
      </c>
      <c r="V830">
        <v>0</v>
      </c>
      <c r="W830">
        <v>0</v>
      </c>
      <c r="X830">
        <v>0</v>
      </c>
      <c r="Y830">
        <v>0</v>
      </c>
      <c r="Z830">
        <v>0</v>
      </c>
      <c r="AA830">
        <v>0</v>
      </c>
      <c r="AB830">
        <v>0</v>
      </c>
      <c r="AC830">
        <v>0</v>
      </c>
      <c r="AD830">
        <v>0</v>
      </c>
      <c r="AE830">
        <v>0</v>
      </c>
      <c r="AF830">
        <v>0</v>
      </c>
      <c r="AG830">
        <v>0</v>
      </c>
      <c r="AH830">
        <v>0</v>
      </c>
      <c r="AI830">
        <v>0</v>
      </c>
      <c r="AJ830">
        <v>0</v>
      </c>
      <c r="AK830">
        <v>1</v>
      </c>
      <c r="AL830">
        <v>0</v>
      </c>
      <c r="AM830">
        <v>0</v>
      </c>
      <c r="AN830">
        <v>0</v>
      </c>
      <c r="AO830">
        <v>0</v>
      </c>
      <c r="AP830">
        <v>0</v>
      </c>
      <c r="AQ830">
        <v>0</v>
      </c>
      <c r="AR830">
        <v>0</v>
      </c>
      <c r="AS830">
        <v>0</v>
      </c>
      <c r="AT830">
        <v>0</v>
      </c>
      <c r="AU830">
        <v>0</v>
      </c>
      <c r="AV830">
        <v>0</v>
      </c>
      <c r="AW830">
        <v>0</v>
      </c>
      <c r="AX830" s="141">
        <f>COUNTIF(V830:AW830,"&lt;&gt;0")</f>
        <v>1</v>
      </c>
      <c r="AY830" s="141">
        <f>COUNTIF(V830:AL830,"&lt;&gt;0")</f>
        <v>1</v>
      </c>
      <c r="AZ830">
        <f>COUNTIF(V830:AC830,"&lt;&gt;0")</f>
        <v>0</v>
      </c>
      <c r="BA830">
        <f>COUNTIF(AD830:AI830,"&lt;&gt;0")</f>
        <v>0</v>
      </c>
      <c r="BB830">
        <f>COUNTIF(AJ830:AL830,"&lt;&gt;0")</f>
        <v>1</v>
      </c>
      <c r="BC830">
        <f>COUNTIF(AS830:AW830,"&lt;&gt;0")</f>
        <v>0</v>
      </c>
      <c r="BD830">
        <f>COUNTIF(AM830:AR830,"&lt;&gt;0")</f>
        <v>0</v>
      </c>
      <c r="BE830" t="str">
        <f t="array" ref="BE830">IF(AY830=1,INDEX($V$7:$AL$7,MATCH(TRUE,INDEX($V830:$AW830&lt;&gt;0,),0)),IF(AY830=0,INDEX($AM$7:$AW$7,MATCH(1,$AM830:$AW830,0)),IF(BF830="Multiple strategies","mixed drivers",IF(BF830="Supply chain","multiple supply","multiple silviculture"))))</f>
        <v>technologies/design switch</v>
      </c>
      <c r="BF830" s="2" t="str" cm="1">
        <f t="array" ref="BF830">IF(COUNTIF(AZ830:BB830,"&lt;&gt;0")=1,INDEX($V$4:$AW$4,MATCH(TRUE,INDEX($V830:$AW830&lt;&gt;0,),0)),IF(COUNTIF(AZ830:BB830,"&lt;&gt;0")=0,INDEX($AM$4:$AW$4,MATCH(1,$AM830:$AW830,0)),"Multiple strategies"))</f>
        <v>Technology</v>
      </c>
      <c r="BG830" s="1" t="s">
        <v>229</v>
      </c>
      <c r="BH830" t="s">
        <v>277</v>
      </c>
      <c r="BI830" s="264" t="s">
        <v>3106</v>
      </c>
      <c r="BJ830" t="s">
        <v>278</v>
      </c>
      <c r="BK830">
        <v>0</v>
      </c>
      <c r="BL830">
        <v>96.205283018867945</v>
      </c>
      <c r="BN830">
        <f>BL830-BK830</f>
        <v>96.205283018867945</v>
      </c>
      <c r="BO830">
        <f>BN830*tC_to_m3</f>
        <v>417.73896230511485</v>
      </c>
      <c r="BP830" t="s">
        <v>232</v>
      </c>
      <c r="BQ830" s="337" t="s">
        <v>3107</v>
      </c>
      <c r="BR830" t="s">
        <v>279</v>
      </c>
      <c r="BS830">
        <v>-235.2392539982188</v>
      </c>
      <c r="BT830">
        <v>42.123869249720393</v>
      </c>
      <c r="BU830" s="144">
        <f>IFERROR(BT830/BS830,"")</f>
        <v>-0.17906819773386695</v>
      </c>
      <c r="BV830">
        <f>BT830-BS830</f>
        <v>277.3631232479392</v>
      </c>
      <c r="BX830">
        <f>BV830</f>
        <v>277.3631232479392</v>
      </c>
      <c r="BY830">
        <f>IFERROR(BX830/BO830,"")</f>
        <v>0.663962781248435</v>
      </c>
      <c r="BZ830">
        <v>0</v>
      </c>
      <c r="CA830">
        <v>0</v>
      </c>
      <c r="CB830">
        <v>0</v>
      </c>
      <c r="CC830">
        <v>0</v>
      </c>
      <c r="CD830">
        <v>0</v>
      </c>
      <c r="CE830">
        <v>0</v>
      </c>
      <c r="CF830">
        <v>0</v>
      </c>
      <c r="CG830">
        <v>0</v>
      </c>
      <c r="CH830">
        <v>0</v>
      </c>
      <c r="CI830">
        <v>0</v>
      </c>
      <c r="CJ830">
        <v>0</v>
      </c>
      <c r="CK830">
        <v>0</v>
      </c>
      <c r="CL830">
        <v>0</v>
      </c>
      <c r="CM830">
        <v>0</v>
      </c>
      <c r="CN830" t="str">
        <f>IF($BL830&lt;$BK830,"refNeedCorrection","refOK")</f>
        <v>refOK</v>
      </c>
      <c r="CO830">
        <f>IF($CN830="refOK",$BK830,$BL830)</f>
        <v>0</v>
      </c>
      <c r="CP830">
        <f>IF($CN830="refOK",$BL830,$BK830)</f>
        <v>96.205283018867945</v>
      </c>
      <c r="CQ830">
        <f>IF($CN830="refOK",$BO830,-$BO830)</f>
        <v>417.73896230511485</v>
      </c>
      <c r="CR830">
        <f>IF($CN830="refOK",$BS830,$BT830)*IF($BP830="Emissions positive",-1,1)</f>
        <v>-235.2392539982188</v>
      </c>
      <c r="CS830">
        <f>IF($CN830="refOK",$BT830,$BS830)*IF($BP830="Emissions positive",-1,1)</f>
        <v>42.123869249720393</v>
      </c>
      <c r="CT830">
        <f>IF($CN830="refNeedCorrection",-BX830,BX830)*IF($BP830="Emissions positive",-1,1)</f>
        <v>277.3631232479392</v>
      </c>
      <c r="CU830">
        <f>IFERROR(CT830/CQ830,"")</f>
        <v>0.663962781248435</v>
      </c>
      <c r="CV830" s="2">
        <f>IFERROR((CS830-CR830)/ABS(CR830),"")</f>
        <v>1.1790681977338671</v>
      </c>
      <c r="CW830" s="1" t="s">
        <v>234</v>
      </c>
      <c r="CX830" t="str">
        <f>IF(OR($CW830="prd",$CW830="std",$CW830="cit"),"loc",IF(OR($CW830="eur",$CW830="reg",$CW830="coy"),"reg",$CW830))</f>
        <v>loc</v>
      </c>
      <c r="CY830" t="s">
        <v>280</v>
      </c>
      <c r="DB830">
        <v>100</v>
      </c>
      <c r="DC830" t="str">
        <f>IF(DB830=0,"0",IF(AND(DB830&gt;=1,DB830&lt;=30),"1-30",IF(AND(DB830&gt;30,DB830&lt;=70),"31-70",IF(AND(DB830&gt;70,DB830&lt;=100),"71-100",IF(DB830&gt;100,"+100")))))</f>
        <v>71-100</v>
      </c>
      <c r="DD830">
        <v>0</v>
      </c>
      <c r="DE830">
        <v>1</v>
      </c>
      <c r="DF830">
        <v>0</v>
      </c>
      <c r="DG830">
        <v>0</v>
      </c>
      <c r="DI830">
        <f>SUM(DD830:DG830)</f>
        <v>1</v>
      </c>
      <c r="DJ830" t="str">
        <f>IF(DI830=1,INDEX($DD$7:$DG$7,MATCH(1,$DD830:$DG830,0)),"mixedProduct")</f>
        <v>EnergyInput</v>
      </c>
      <c r="DK830">
        <f>IF(DD830=1,DK$7,0)</f>
        <v>0</v>
      </c>
      <c r="DL830" t="str">
        <f>IF(DE830=1,DL$7,0)</f>
        <v>Energy</v>
      </c>
      <c r="DM830">
        <f>IF(DF830=1,DM$7,0)</f>
        <v>0</v>
      </c>
      <c r="DN830">
        <f>IF(DG830=1,DN$7,0)</f>
        <v>0</v>
      </c>
      <c r="DO830">
        <v>0</v>
      </c>
      <c r="DP830">
        <v>1</v>
      </c>
      <c r="DQ830" t="s">
        <v>304</v>
      </c>
      <c r="DR830">
        <v>0</v>
      </c>
      <c r="DS830">
        <v>0</v>
      </c>
      <c r="DT830">
        <f>SUM(DO830:DP830)</f>
        <v>1</v>
      </c>
      <c r="DU830" s="143" t="str">
        <f>IF(DO830=1,"self-calculated DF",IF(DP830=1,"external DF used","explicit C balance"))</f>
        <v>external DF used</v>
      </c>
      <c r="DV830">
        <v>0</v>
      </c>
      <c r="DW830">
        <v>1</v>
      </c>
      <c r="DX830">
        <v>1</v>
      </c>
      <c r="DY830">
        <v>1</v>
      </c>
      <c r="DZ830">
        <v>1</v>
      </c>
      <c r="EA830" s="143">
        <v>0</v>
      </c>
      <c r="EB830">
        <v>1</v>
      </c>
      <c r="EC830">
        <v>1</v>
      </c>
      <c r="ED830">
        <v>0</v>
      </c>
      <c r="EE830">
        <v>1</v>
      </c>
      <c r="EF830">
        <v>1</v>
      </c>
      <c r="EG830">
        <v>1</v>
      </c>
      <c r="EH830">
        <v>0</v>
      </c>
      <c r="EI830" s="2">
        <v>0</v>
      </c>
      <c r="EK830" t="str">
        <f>IF(AND(AND(AND(OR($DX830=1,$DW830=1),OR($EC830=1,$EA830=1)),SUM($DV830:$DZ830,$EF830)&gt;=4),SUM($EA830:$EE830)&gt;=2),"Whole sector","")</f>
        <v>Whole sector</v>
      </c>
      <c r="EL830" t="str">
        <f>IF(AND(AND(OR($DX830=1,$DW830=1),AND($EC830=0,$EA830=0)),SUM($DV830:$DZ830,$EF830)&gt;=4),"Ecosystem approach","")</f>
        <v/>
      </c>
      <c r="EM830" s="2" t="str">
        <f>IF(AND(AND(AND($DX830=0,$DW830=0),OR($EC830=1,$EA830=1)),SUM($EB830:$EE830)&gt;=2),"Technology approach","")</f>
        <v/>
      </c>
      <c r="EP830" t="str">
        <f>IF(ISNUMBER(BU830),IF(ABS(BU830-[1]QC_indicators!$B$2)&gt;3*[1]QC_indicators!$C$2,"C ratio",IF(ISNUMBER(BY830),IF(ABS(BY830-[1]QC_indicators!$B$1)&gt;3*[1]QC_indicators!$C$1,"DF","no"))),IF(ISNUMBER(BY830),IF(ABS(BY830-[1]QC_indicators!$B$1)&gt;3*[1]QC_indicators!$C$1,"DF","no")))</f>
        <v>no</v>
      </c>
      <c r="EQ830" t="s">
        <v>286</v>
      </c>
      <c r="ET830" s="264" t="s">
        <v>3273</v>
      </c>
    </row>
    <row r="831" spans="1:151" ht="15" customHeight="1">
      <c r="A831" s="1" t="s">
        <v>1360</v>
      </c>
      <c r="B831" t="s">
        <v>2135</v>
      </c>
      <c r="C831" t="s">
        <v>2136</v>
      </c>
      <c r="D831" t="s">
        <v>2137</v>
      </c>
      <c r="E831" t="s">
        <v>2138</v>
      </c>
      <c r="F831" t="s">
        <v>2139</v>
      </c>
      <c r="G831" t="s">
        <v>1366</v>
      </c>
      <c r="H831" t="s">
        <v>254</v>
      </c>
      <c r="I831">
        <v>2012</v>
      </c>
      <c r="J831">
        <v>21</v>
      </c>
      <c r="K831" t="s">
        <v>2140</v>
      </c>
      <c r="L831" s="192"/>
      <c r="M831" t="str">
        <f>LEFT($D831,FIND(",",$D831)-1)&amp;"_"&amp;I831&amp;L831</f>
        <v>Pyorala_2012</v>
      </c>
      <c r="N831" t="s">
        <v>222</v>
      </c>
      <c r="O831" s="145" t="s">
        <v>341</v>
      </c>
      <c r="P831" s="180" t="s">
        <v>223</v>
      </c>
      <c r="Q831" s="264" t="s">
        <v>256</v>
      </c>
      <c r="R831" s="269" t="s">
        <v>1154</v>
      </c>
      <c r="S831" s="263" t="s">
        <v>2147</v>
      </c>
      <c r="T831" s="264" t="s">
        <v>2143</v>
      </c>
      <c r="U831" s="264" t="s">
        <v>2148</v>
      </c>
      <c r="V831">
        <v>0</v>
      </c>
      <c r="W831">
        <v>0</v>
      </c>
      <c r="X831">
        <v>0</v>
      </c>
      <c r="Y831">
        <v>1</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s="141">
        <f>COUNTIF(V831:AW831,"&lt;&gt;0")</f>
        <v>1</v>
      </c>
      <c r="AY831" s="141">
        <f>COUNTIF(V831:AL831,"&lt;&gt;0")</f>
        <v>1</v>
      </c>
      <c r="AZ831">
        <f>COUNTIF(V831:AC831,"&lt;&gt;0")</f>
        <v>1</v>
      </c>
      <c r="BA831">
        <f>COUNTIF(AD831:AI831,"&lt;&gt;0")</f>
        <v>0</v>
      </c>
      <c r="BB831">
        <f>COUNTIF(AJ831:AL831,"&lt;&gt;0")</f>
        <v>0</v>
      </c>
      <c r="BC831">
        <f>COUNTIF(AS831:AW831,"&lt;&gt;0")</f>
        <v>0</v>
      </c>
      <c r="BD831">
        <f>COUNTIF(AM831:AR831,"&lt;&gt;0")</f>
        <v>0</v>
      </c>
      <c r="BE831" t="str" cm="1">
        <f t="array" ref="BE831">IF(AY831=1,INDEX($V$7:$AL$7,MATCH(TRUE,INDEX($V831:$AW831&lt;&gt;0,),0)),IF(AY831=0,INDEX($AM$7:$AW$7,MATCH(1,$AM831:$AW831,0)),IF(BF831="Multiple strategies","mixed drivers",IF(BF831="Supply chain","multiple supply","multiple silviculture"))))</f>
        <v xml:space="preserve">cutting intensity </v>
      </c>
      <c r="BF831" s="2" t="str" cm="1">
        <f t="array" ref="BF831">IF(COUNTIF(AZ831:BB831,"&lt;&gt;0")=1,INDEX($V$4:$AW$4,MATCH(TRUE,INDEX($V831:$AW831&lt;&gt;0,),0)),IF(COUNTIF(AZ831:BB831,"&lt;&gt;0")=0,INDEX($AM$4:$AW$4,MATCH(1,$AM831:$AW831,0)),"Multiple strategies"))</f>
        <v>Silviculture for removals</v>
      </c>
      <c r="BG831" s="178" t="s">
        <v>321</v>
      </c>
      <c r="BH831" s="264" t="s">
        <v>2144</v>
      </c>
      <c r="BI831" s="264" t="s">
        <v>701</v>
      </c>
      <c r="BJ831" s="160" t="s">
        <v>700</v>
      </c>
      <c r="BK831">
        <v>7.6</v>
      </c>
      <c r="BL831">
        <v>7.9</v>
      </c>
      <c r="BN831">
        <f>BL831-BK831</f>
        <v>0.30000000000000071</v>
      </c>
      <c r="BO831">
        <f>BN831</f>
        <v>0.30000000000000071</v>
      </c>
      <c r="BP831" s="155" t="s">
        <v>395</v>
      </c>
      <c r="BQ831" s="264" t="s">
        <v>783</v>
      </c>
      <c r="BR831" s="155" t="s">
        <v>279</v>
      </c>
      <c r="BS831">
        <v>0.6</v>
      </c>
      <c r="BT831">
        <v>0.4</v>
      </c>
      <c r="BU831" s="144"/>
      <c r="BV831">
        <f>BT831-BS831</f>
        <v>-0.19999999999999996</v>
      </c>
      <c r="BX831">
        <f>BV831</f>
        <v>-0.19999999999999996</v>
      </c>
      <c r="BY831">
        <f>IFERROR(BX831/BO831,"")</f>
        <v>-0.66666666666666496</v>
      </c>
      <c r="BZ831">
        <v>0</v>
      </c>
      <c r="CA831">
        <v>0</v>
      </c>
      <c r="CB831">
        <v>0</v>
      </c>
      <c r="CC831">
        <v>0</v>
      </c>
      <c r="CD831">
        <v>0</v>
      </c>
      <c r="CE831">
        <v>0</v>
      </c>
      <c r="CF831">
        <v>0</v>
      </c>
      <c r="CG831">
        <v>0</v>
      </c>
      <c r="CH831">
        <v>0</v>
      </c>
      <c r="CI831">
        <v>0</v>
      </c>
      <c r="CJ831">
        <v>0</v>
      </c>
      <c r="CK831">
        <v>0</v>
      </c>
      <c r="CL831">
        <v>0</v>
      </c>
      <c r="CM831">
        <v>0</v>
      </c>
      <c r="CN831" t="str">
        <f>IF($BL831&lt;$BK831,"refNeedCorrection","refOK")</f>
        <v>refOK</v>
      </c>
      <c r="CO831">
        <f>IF($CN831="refOK",$BK831,$BL831)</f>
        <v>7.6</v>
      </c>
      <c r="CP831">
        <f>IF($CN831="refOK",$BL831,$BK831)</f>
        <v>7.9</v>
      </c>
      <c r="CQ831">
        <f>IF($CN831="refOK",$BO831,-$BO831)</f>
        <v>0.30000000000000071</v>
      </c>
      <c r="CR831">
        <f>IF($CN831="refOK",$BS831,$BT831)*IF($BP831="Emissions positive",-1,1)</f>
        <v>-0.6</v>
      </c>
      <c r="CS831">
        <f>IF($CN831="refOK",$BT831,$BS831)*IF($BP831="Emissions positive",-1,1)</f>
        <v>-0.4</v>
      </c>
      <c r="CT831">
        <f>IF($CN831="refNeedCorrection",-BX831,BX831)*IF($BP831="Emissions positive",-1,1)</f>
        <v>0.19999999999999996</v>
      </c>
      <c r="CU831">
        <f>IFERROR(CT831/CQ831,"")</f>
        <v>0.66666666666666496</v>
      </c>
      <c r="CV831" s="2">
        <f>IFERROR((CS831-CR831)/ABS(CR831),"")</f>
        <v>0.33333333333333326</v>
      </c>
      <c r="CW831" s="1" t="s">
        <v>1199</v>
      </c>
      <c r="CX831" s="264" t="str">
        <f>IF(OR($CW831="prd",$CW831="std",$CW831="cit"),"loc",IF(OR($CW831="eur",$CW831="reg",$CW831="coy"),"reg",$CW831))</f>
        <v>reg</v>
      </c>
      <c r="CY831" t="s">
        <v>235</v>
      </c>
      <c r="DB831">
        <v>50</v>
      </c>
      <c r="DC831" t="str">
        <f>IF(DB831=0,"0",IF(AND(DB831&gt;=1,DB831&lt;=30),"1-30",IF(AND(DB831&gt;30,DB831&lt;=70),"31-70",IF(AND(DB831&gt;70,DB831&lt;=100),"71-100",IF(DB831&gt;100,"+100")))))</f>
        <v>31-70</v>
      </c>
      <c r="DD831">
        <v>0</v>
      </c>
      <c r="DE831">
        <v>1</v>
      </c>
      <c r="DF831">
        <v>1</v>
      </c>
      <c r="DG831">
        <v>1</v>
      </c>
      <c r="DI831">
        <f>SUM(DD831:DG831)</f>
        <v>3</v>
      </c>
      <c r="DJ831" t="str">
        <f>IF(DI831=1,INDEX($DD$7:$DG$7,MATCH(1,$DD831:$DG831,0)),"mixedProduct")</f>
        <v>mixedProduct</v>
      </c>
      <c r="DK831">
        <f>IF(DD831=1,DK$7,0)</f>
        <v>0</v>
      </c>
      <c r="DL831" t="str">
        <f>IF(DE831=1,DL$7,0)</f>
        <v>Energy</v>
      </c>
      <c r="DM831" t="str">
        <f>IF(DF831=1,DM$7,0)</f>
        <v>Pulp/Paper</v>
      </c>
      <c r="DN831" t="str">
        <f>IF(DG831=1,DN$7,0)</f>
        <v>Timber</v>
      </c>
      <c r="DO831">
        <v>0</v>
      </c>
      <c r="DP831">
        <v>1</v>
      </c>
      <c r="DQ831" t="s">
        <v>2146</v>
      </c>
      <c r="DR831">
        <v>0</v>
      </c>
      <c r="DS831">
        <v>0</v>
      </c>
      <c r="DT831">
        <f>SUM(DO831:DP831)</f>
        <v>1</v>
      </c>
      <c r="DU831" s="143" t="str">
        <f>IF(DO831=1,"self-calculated DF",IF(DP831=1,"external DF used","explicit C balance"))</f>
        <v>external DF used</v>
      </c>
      <c r="DV831">
        <v>1</v>
      </c>
      <c r="DW831">
        <v>1</v>
      </c>
      <c r="DX831">
        <v>1</v>
      </c>
      <c r="DY831">
        <v>0</v>
      </c>
      <c r="DZ831">
        <v>1</v>
      </c>
      <c r="EA831">
        <v>0</v>
      </c>
      <c r="EB831">
        <v>1</v>
      </c>
      <c r="EC831">
        <v>1</v>
      </c>
      <c r="ED831">
        <v>0</v>
      </c>
      <c r="EE831">
        <v>0</v>
      </c>
      <c r="EF831">
        <v>1</v>
      </c>
      <c r="EG831">
        <v>0</v>
      </c>
      <c r="EH831">
        <v>0</v>
      </c>
      <c r="EI831" s="2">
        <v>0</v>
      </c>
      <c r="EK831" t="str">
        <f>IF(AND(AND(AND(OR($DX831=1,$DW831=1),OR($EC831=1,$EA831=1)),SUM($DV831:$DZ831,$EF831)&gt;=4),SUM($EA831:$EE831)&gt;=2),"Whole sector","")</f>
        <v>Whole sector</v>
      </c>
      <c r="EL831" t="str">
        <f>IF(AND(AND(OR($DX831=1,$DW831=1),AND($EC831=0,$EA831=0)),SUM($DV831:$DZ831,$EF831)&gt;=4),"Ecosystem approach","")</f>
        <v/>
      </c>
      <c r="EM831" s="2" t="str">
        <f>IF(AND(AND(AND($DX831=0,$DW831=0),OR($EC831=1,$EA831=1)),SUM($EB831:$EE831)&gt;=2),"Technology approach","")</f>
        <v/>
      </c>
      <c r="EP831" t="str">
        <f>IF(ISNUMBER(BU831),IF(ABS(BU831-[3]QC_indicators!$B$2)&gt;3*[3]QC_indicators!$C$2,"C ratio",IF(ISNUMBER(BY831),IF(ABS(BY831-[3]QC_indicators!$B$1)&gt;3*[3]QC_indicators!$C$1,"DF","no"))),IF(ISNUMBER(BY831),IF(ABS(BY831-[3]QC_indicators!$B$1)&gt;3*[3]QC_indicators!$C$1,"DF","no")))</f>
        <v>no</v>
      </c>
      <c r="ET831" s="264" t="s">
        <v>3407</v>
      </c>
    </row>
    <row r="832" spans="1:151" ht="15" customHeight="1">
      <c r="A832" s="1" t="s">
        <v>265</v>
      </c>
      <c r="B832" t="s">
        <v>2013</v>
      </c>
      <c r="C832" t="s">
        <v>2014</v>
      </c>
      <c r="D832" t="s">
        <v>2015</v>
      </c>
      <c r="E832" t="s">
        <v>2016</v>
      </c>
      <c r="F832" t="s">
        <v>2017</v>
      </c>
      <c r="G832" t="s">
        <v>271</v>
      </c>
      <c r="H832" t="s">
        <v>254</v>
      </c>
      <c r="I832">
        <v>2022</v>
      </c>
      <c r="J832">
        <v>0</v>
      </c>
      <c r="K832" t="s">
        <v>2018</v>
      </c>
      <c r="M832" t="str">
        <f>LEFT($D832,FIND(",",$D832)-1)&amp;"_"&amp;I832&amp;L832</f>
        <v>Nandimandalam_2022</v>
      </c>
      <c r="N832" t="s">
        <v>222</v>
      </c>
      <c r="O832" s="157" t="s">
        <v>274</v>
      </c>
      <c r="P832" t="s">
        <v>960</v>
      </c>
      <c r="Q832" t="s">
        <v>389</v>
      </c>
      <c r="R832" s="262" t="s">
        <v>223</v>
      </c>
      <c r="S832" s="1" t="s">
        <v>2019</v>
      </c>
      <c r="T832" t="s">
        <v>2020</v>
      </c>
      <c r="U832" t="s">
        <v>2024</v>
      </c>
      <c r="V832">
        <v>0</v>
      </c>
      <c r="W832">
        <v>0</v>
      </c>
      <c r="X832">
        <v>0</v>
      </c>
      <c r="Y832">
        <v>0</v>
      </c>
      <c r="Z832">
        <v>0</v>
      </c>
      <c r="AA832">
        <v>0</v>
      </c>
      <c r="AB832">
        <v>0</v>
      </c>
      <c r="AC832">
        <v>0</v>
      </c>
      <c r="AD832">
        <v>1</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s="141">
        <f>COUNTIF(V832:AW832,"&lt;&gt;0")</f>
        <v>1</v>
      </c>
      <c r="AY832" s="141">
        <f>COUNTIF(V832:AL832,"&lt;&gt;0")</f>
        <v>1</v>
      </c>
      <c r="AZ832">
        <f>COUNTIF(V832:AC832,"&lt;&gt;0")</f>
        <v>0</v>
      </c>
      <c r="BA832">
        <f>COUNTIF(AD832:AI832,"&lt;&gt;0")</f>
        <v>1</v>
      </c>
      <c r="BB832">
        <f>COUNTIF(AJ832:AL832,"&lt;&gt;0")</f>
        <v>0</v>
      </c>
      <c r="BC832">
        <f>COUNTIF(AS832:AW832,"&lt;&gt;0")</f>
        <v>0</v>
      </c>
      <c r="BD832">
        <f>COUNTIF(AM832:AR832,"&lt;&gt;0")</f>
        <v>0</v>
      </c>
      <c r="BE832" t="str">
        <f t="array" ref="BE832">IF(AY832=1,INDEX($V$7:$AL$7,MATCH(TRUE,INDEX($V832:$AW832&lt;&gt;0,),0)),IF(AY832=0,INDEX($AM$7:$AW$7,MATCH(1,$AM832:$AW832,0)),IF(BF832="Multiple strategies","mixed drivers",IF(BF832="Supply chain","multiple supply","multiple silviculture"))))</f>
        <v>harvesting system</v>
      </c>
      <c r="BF832" s="2" t="str" cm="1">
        <f t="array" ref="BF832">IF(COUNTIF(AZ832:BB832,"&lt;&gt;0")=1,INDEX($V$4:$AW$4,MATCH(TRUE,INDEX($V832:$AW832&lt;&gt;0,),0)),IF(COUNTIF(AZ832:BB832,"&lt;&gt;0")=0,INDEX($AM$4:$AW$4,MATCH(1,$AM832:$AW832,0)),"Multiple strategies"))</f>
        <v>Supply chain</v>
      </c>
      <c r="BG832" s="1" t="s">
        <v>321</v>
      </c>
      <c r="BH832" t="s">
        <v>2022</v>
      </c>
      <c r="BI832" s="264" t="s">
        <v>3184</v>
      </c>
      <c r="BJ832" s="264" t="s">
        <v>3185</v>
      </c>
      <c r="BK832">
        <v>352.14772479999999</v>
      </c>
      <c r="BL832">
        <v>18066.118399999999</v>
      </c>
      <c r="BM832">
        <v>51.302669668703764</v>
      </c>
      <c r="BN832">
        <f>BL832-BK832</f>
        <v>17713.970675199998</v>
      </c>
      <c r="BO832">
        <f>BN832</f>
        <v>17713.970675199998</v>
      </c>
      <c r="BP832" t="s">
        <v>395</v>
      </c>
      <c r="BQ832" s="264" t="s">
        <v>3186</v>
      </c>
      <c r="BR832" t="s">
        <v>2023</v>
      </c>
      <c r="BS832">
        <f>0.0011646</f>
        <v>1.1646E-3</v>
      </c>
      <c r="BT832" s="264">
        <f>0.0011461</f>
        <v>1.1460999999999999E-3</v>
      </c>
      <c r="BU832" s="144">
        <v>0.9841147174995708</v>
      </c>
      <c r="BV832">
        <f>BT832-BS832</f>
        <v>-1.850000000000007E-5</v>
      </c>
      <c r="BX832">
        <f>BV832*(11.3+35.4+2.7+4.3)*12*10^6</f>
        <v>-11921.400000000045</v>
      </c>
      <c r="BY832">
        <f>IFERROR(BX832/BO832,"")</f>
        <v>-0.67299422690646671</v>
      </c>
      <c r="BZ832">
        <v>0</v>
      </c>
      <c r="CA832">
        <v>0</v>
      </c>
      <c r="CB832">
        <v>0</v>
      </c>
      <c r="CC832">
        <v>0</v>
      </c>
      <c r="CD832">
        <v>0</v>
      </c>
      <c r="CE832">
        <v>0</v>
      </c>
      <c r="CF832">
        <v>0</v>
      </c>
      <c r="CG832">
        <v>0</v>
      </c>
      <c r="CH832">
        <v>0</v>
      </c>
      <c r="CI832">
        <v>0</v>
      </c>
      <c r="CJ832">
        <v>0</v>
      </c>
      <c r="CK832">
        <v>0</v>
      </c>
      <c r="CL832">
        <v>0</v>
      </c>
      <c r="CM832">
        <v>0</v>
      </c>
      <c r="CN832" t="str">
        <f>IF($BL832&lt;$BK832,"refNeedCorrection","refOK")</f>
        <v>refOK</v>
      </c>
      <c r="CO832">
        <f>IF($CN832="refOK",$BK832,$BL832)</f>
        <v>352.14772479999999</v>
      </c>
      <c r="CP832">
        <f>IF($CN832="refOK",$BL832,$BK832)</f>
        <v>18066.118399999999</v>
      </c>
      <c r="CQ832">
        <f>IF($CN832="refOK",$BO832,-$BO832)</f>
        <v>17713.970675199998</v>
      </c>
      <c r="CR832">
        <f>IF($CN832="refOK",$BS832,$BT832)*IF($BP832="Emissions positive",-1,1)</f>
        <v>-1.1646E-3</v>
      </c>
      <c r="CS832">
        <f>IF($CN832="refOK",$BT832,$BS832)*IF($BP832="Emissions positive",-1,1)</f>
        <v>-1.1460999999999999E-3</v>
      </c>
      <c r="CT832">
        <f>IF($CN832="refNeedCorrection",-BX832,BX832)*IF($BP832="Emissions positive",-1,1)</f>
        <v>11921.400000000045</v>
      </c>
      <c r="CU832">
        <f>IFERROR(CT832/CQ832,"")</f>
        <v>0.67299422690646671</v>
      </c>
      <c r="CV832" s="2">
        <f>IFERROR((CS832-CR832)/ABS(CR832),"")</f>
        <v>1.5885282500429393E-2</v>
      </c>
      <c r="CW832" s="1" t="s">
        <v>1199</v>
      </c>
      <c r="CX832" t="str">
        <f>IF(OR($CW832="prd",$CW832="std",$CW832="cit"),"loc",IF(OR($CW832="eur",$CW832="reg",$CW832="coy"),"reg",$CW832))</f>
        <v>reg</v>
      </c>
      <c r="CY832" t="s">
        <v>428</v>
      </c>
      <c r="CZ832">
        <v>2010</v>
      </c>
      <c r="DA832">
        <v>2018</v>
      </c>
      <c r="DB832">
        <v>1</v>
      </c>
      <c r="DC832" t="str">
        <f>IF(DB832=0,"0",IF(AND(DB832&gt;=1,DB832&lt;=30),"1-30",IF(AND(DB832&gt;30,DB832&lt;=70),"31-70",IF(AND(DB832&gt;70,DB832&lt;=100),"71-100",IF(DB832&gt;100,"+100")))))</f>
        <v>1-30</v>
      </c>
      <c r="DD832">
        <v>0</v>
      </c>
      <c r="DE832">
        <v>1</v>
      </c>
      <c r="DF832">
        <v>0</v>
      </c>
      <c r="DG832">
        <v>0</v>
      </c>
      <c r="DH832">
        <v>0</v>
      </c>
      <c r="DI832">
        <v>1</v>
      </c>
      <c r="DJ832" t="str">
        <f>IF(DI832=1,INDEX($DD$7:$DG$7,MATCH(1,$DD832:$DG832,0)),"mixedProduct")</f>
        <v>EnergyInput</v>
      </c>
      <c r="DK832">
        <f>IF(DD832=1,DK$7,0)</f>
        <v>0</v>
      </c>
      <c r="DL832" t="str">
        <f>IF(DE832=1,DL$7,0)</f>
        <v>Energy</v>
      </c>
      <c r="DM832">
        <f>IF(DF832=1,DM$7,0)</f>
        <v>0</v>
      </c>
      <c r="DN832">
        <f>IF(DG832=1,DN$7,0)</f>
        <v>0</v>
      </c>
      <c r="DO832">
        <v>0</v>
      </c>
      <c r="DP832">
        <v>0</v>
      </c>
      <c r="DQ832">
        <v>0</v>
      </c>
      <c r="DR832">
        <v>0</v>
      </c>
      <c r="DS832">
        <v>0</v>
      </c>
      <c r="DT832">
        <f>SUM(DO832:DP832)</f>
        <v>0</v>
      </c>
      <c r="DU832" s="143" t="s">
        <v>962</v>
      </c>
      <c r="DV832">
        <v>0</v>
      </c>
      <c r="DW832">
        <v>1</v>
      </c>
      <c r="DX832">
        <v>0</v>
      </c>
      <c r="DY832">
        <v>0</v>
      </c>
      <c r="DZ832">
        <v>0</v>
      </c>
      <c r="EA832" s="143">
        <v>0</v>
      </c>
      <c r="EB832">
        <v>1</v>
      </c>
      <c r="EC832">
        <v>1</v>
      </c>
      <c r="ED832">
        <v>0</v>
      </c>
      <c r="EE832">
        <v>0</v>
      </c>
      <c r="EF832">
        <v>0</v>
      </c>
      <c r="EG832">
        <v>0</v>
      </c>
      <c r="EH832">
        <v>0</v>
      </c>
      <c r="EI832" s="2">
        <v>0</v>
      </c>
      <c r="EK832" t="str">
        <f>IF(AND(AND(AND(OR($DX832=1,$DW832=1),OR($EC832=1,$EA832=1)),SUM($DV832:$DZ832,$EF832)&gt;=4),SUM($EA832:$EE832)&gt;=2),"Whole sector","")</f>
        <v/>
      </c>
      <c r="EL832" t="str">
        <f>IF(AND(AND(OR($DX832=1,$DW832=1),AND($EC832=0,$EA832=0)),SUM($DV832:$DZ832,$EF832)&gt;=4),"Ecosystem approach","")</f>
        <v/>
      </c>
      <c r="EM832" s="2" t="str">
        <f>IF(AND(AND(AND($DX832=0,$DW832=0),OR($EC832=1,$EA832=1)),SUM($EB832:$EE832)&gt;=2),"Technology approach","")</f>
        <v/>
      </c>
      <c r="EP832" t="str">
        <f>IF(ISNUMBER(BU832),IF(ABS(BU832-[1]QC_indicators!$B$2)&gt;3*[1]QC_indicators!$C$2,"C ratio",IF(ISNUMBER(BY832),IF(ABS(BY832-[1]QC_indicators!$B$1)&gt;3*[1]QC_indicators!$C$1,"DF","no"))),IF(ISNUMBER(BY832),IF(ABS(BY832-[1]QC_indicators!$B$1)&gt;3*[1]QC_indicators!$C$1,"DF","no")))</f>
        <v>no</v>
      </c>
      <c r="ET832" s="264" t="s">
        <v>3187</v>
      </c>
    </row>
    <row r="833" spans="1:151" ht="15" customHeight="1">
      <c r="A833" s="1" t="s">
        <v>1972</v>
      </c>
      <c r="B833" t="s">
        <v>2316</v>
      </c>
      <c r="C833" t="s">
        <v>2317</v>
      </c>
      <c r="D833" t="s">
        <v>2318</v>
      </c>
      <c r="E833" t="s">
        <v>2319</v>
      </c>
      <c r="F833" t="s">
        <v>2320</v>
      </c>
      <c r="G833" t="s">
        <v>1978</v>
      </c>
      <c r="H833" t="s">
        <v>254</v>
      </c>
      <c r="I833">
        <v>2020</v>
      </c>
      <c r="J833">
        <v>7</v>
      </c>
      <c r="K833" t="s">
        <v>2321</v>
      </c>
      <c r="M833" t="str">
        <f>LEFT($D833,FIND(",",$D833)-1)&amp;"_"&amp;I833&amp;L833</f>
        <v>Smyth_2020</v>
      </c>
      <c r="N833" t="s">
        <v>222</v>
      </c>
      <c r="O833" s="145" t="s">
        <v>341</v>
      </c>
      <c r="Q833" t="s">
        <v>256</v>
      </c>
      <c r="R833" s="290" t="s">
        <v>225</v>
      </c>
      <c r="S833" s="1" t="s">
        <v>2344</v>
      </c>
      <c r="T833" t="s">
        <v>1155</v>
      </c>
      <c r="U833" t="s">
        <v>2345</v>
      </c>
      <c r="V833">
        <v>0</v>
      </c>
      <c r="W833">
        <v>0</v>
      </c>
      <c r="X833">
        <v>0</v>
      </c>
      <c r="Y833">
        <v>0</v>
      </c>
      <c r="Z833">
        <v>0</v>
      </c>
      <c r="AA833">
        <v>0</v>
      </c>
      <c r="AB833">
        <v>0</v>
      </c>
      <c r="AC833">
        <v>0</v>
      </c>
      <c r="AD833">
        <v>0</v>
      </c>
      <c r="AE833">
        <v>0</v>
      </c>
      <c r="AF833">
        <v>1</v>
      </c>
      <c r="AG833">
        <v>0</v>
      </c>
      <c r="AH833">
        <v>0</v>
      </c>
      <c r="AI833">
        <v>0</v>
      </c>
      <c r="AJ833">
        <v>0</v>
      </c>
      <c r="AK833">
        <v>0</v>
      </c>
      <c r="AL833">
        <v>0</v>
      </c>
      <c r="AM833">
        <v>0</v>
      </c>
      <c r="AN833">
        <v>0</v>
      </c>
      <c r="AO833">
        <v>0</v>
      </c>
      <c r="AP833">
        <v>0</v>
      </c>
      <c r="AQ833">
        <v>0</v>
      </c>
      <c r="AR833">
        <v>0</v>
      </c>
      <c r="AS833">
        <v>0</v>
      </c>
      <c r="AT833">
        <v>0</v>
      </c>
      <c r="AU833">
        <v>0</v>
      </c>
      <c r="AV833">
        <v>0</v>
      </c>
      <c r="AW833">
        <v>0</v>
      </c>
      <c r="AX833" s="141">
        <f>COUNTIF(V833:AW833,"&lt;&gt;0")</f>
        <v>1</v>
      </c>
      <c r="AY833" s="141">
        <f>COUNTIF(V833:AL833,"&lt;&gt;0")</f>
        <v>1</v>
      </c>
      <c r="AZ833">
        <f>COUNTIF(V833:AC833,"&lt;&gt;0")</f>
        <v>0</v>
      </c>
      <c r="BA833">
        <f>COUNTIF(AD833:AI833,"&lt;&gt;0")</f>
        <v>1</v>
      </c>
      <c r="BB833">
        <f>COUNTIF(AJ833:AL833,"&lt;&gt;0")</f>
        <v>0</v>
      </c>
      <c r="BC833">
        <f>COUNTIF(AS833:AW833,"&lt;&gt;0")</f>
        <v>0</v>
      </c>
      <c r="BD833">
        <f>COUNTIF(AM833:AR833,"&lt;&gt;0")</f>
        <v>0</v>
      </c>
      <c r="BE833" t="str">
        <f t="array" ref="BE833">IF(AY833=1,INDEX($V$7:$AL$7,MATCH(TRUE,INDEX($V833:$AW833&lt;&gt;0,),0)),IF(AY833=0,INDEX($AM$7:$AW$7,MATCH(1,$AM833:$AW833,0)),IF(BF833="Multiple strategies","mixed drivers",IF(BF833="Supply chain","multiple supply","multiple silviculture"))))</f>
        <v>supply chain organization</v>
      </c>
      <c r="BF833" s="2" t="str" cm="1">
        <f t="array" ref="BF833">IF(COUNTIF(AZ833:BB833,"&lt;&gt;0")=1,INDEX($V$4:$AW$4,MATCH(TRUE,INDEX($V833:$AW833&lt;&gt;0,),0)),IF(COUNTIF(AZ833:BB833,"&lt;&gt;0")=0,INDEX($AM$4:$AW$4,MATCH(1,$AM833:$AW833,0)),"Multiple strategies"))</f>
        <v>Supply chain</v>
      </c>
      <c r="BG833" s="1" t="s">
        <v>321</v>
      </c>
      <c r="BH833" t="s">
        <v>2324</v>
      </c>
      <c r="BI833" s="260" t="s">
        <v>3394</v>
      </c>
      <c r="BJ833" t="s">
        <v>1359</v>
      </c>
      <c r="BK833">
        <v>457</v>
      </c>
      <c r="BL833" s="291">
        <f>BK833+(4.2/tC_to_m3*55)</f>
        <v>510.19929999999999</v>
      </c>
      <c r="BM833">
        <f>BL833/BK833</f>
        <v>1.1164098468271335</v>
      </c>
      <c r="BN833">
        <f>BL833-BK833</f>
        <v>53.199299999999994</v>
      </c>
      <c r="BO833">
        <f>BN833*10^6*tC_to_m3</f>
        <v>230999999.99999997</v>
      </c>
      <c r="BP833" t="s">
        <v>232</v>
      </c>
      <c r="BQ833" s="260" t="s">
        <v>3391</v>
      </c>
      <c r="BR833" t="s">
        <v>2325</v>
      </c>
      <c r="BU833" s="144"/>
      <c r="BV833">
        <v>156</v>
      </c>
      <c r="BX833">
        <f>BV833*10^6</f>
        <v>156000000</v>
      </c>
      <c r="BY833">
        <f>IFERROR(BX833/BO833,"")</f>
        <v>0.67532467532467544</v>
      </c>
      <c r="BZ833">
        <v>0</v>
      </c>
      <c r="CA833">
        <v>1</v>
      </c>
      <c r="CB833">
        <v>1</v>
      </c>
      <c r="CC833">
        <v>1</v>
      </c>
      <c r="CD833">
        <v>0</v>
      </c>
      <c r="CE833">
        <v>0</v>
      </c>
      <c r="CF833">
        <v>0</v>
      </c>
      <c r="CG833">
        <v>0</v>
      </c>
      <c r="CH833">
        <v>0</v>
      </c>
      <c r="CI833">
        <v>0</v>
      </c>
      <c r="CJ833">
        <v>0</v>
      </c>
      <c r="CK833">
        <v>0</v>
      </c>
      <c r="CL833">
        <v>0</v>
      </c>
      <c r="CM833">
        <v>0</v>
      </c>
      <c r="CN833" t="str">
        <f>IF(BL833&lt;BK833,"refNeedCorrection","refOK")</f>
        <v>refOK</v>
      </c>
      <c r="CO833"/>
      <c r="CP833"/>
      <c r="CQ833">
        <f>IF($CN833="refOK",$BO833,-$BO833)</f>
        <v>230999999.99999997</v>
      </c>
      <c r="CR833">
        <f>IF($CN833="refOK",$BS833,$BT833)*IF($BP833="Emissions positive",-1,1)</f>
        <v>0</v>
      </c>
      <c r="CS833">
        <f>IF($CN833="refOK",$BT833,$BS833)*IF($BP833="Emissions positive",-1,1)</f>
        <v>0</v>
      </c>
      <c r="CT833">
        <f>IF($CN833="refNeedCorrection",-BX833,BX833)*IF($BP833="Emissions positive",-1,1)</f>
        <v>156000000</v>
      </c>
      <c r="CU833">
        <f>IFERROR(CT833/CQ833,"")</f>
        <v>0.67532467532467544</v>
      </c>
      <c r="CV833" s="2" t="str">
        <f>IFERROR((CS833-CR833)/ABS(CR833),"")</f>
        <v/>
      </c>
      <c r="CW833" s="1" t="s">
        <v>1199</v>
      </c>
      <c r="CX833" t="str">
        <f>IF(OR($CW833="prd",$CW833="std",$CW833="cit"),"loc",IF(OR($CW833="eur",$CW833="reg",$CW833="coy"),"reg",$CW833))</f>
        <v>reg</v>
      </c>
      <c r="CY833" t="s">
        <v>540</v>
      </c>
      <c r="CZ833">
        <v>2015</v>
      </c>
      <c r="DA833">
        <v>2070</v>
      </c>
      <c r="DB833">
        <v>45</v>
      </c>
      <c r="DC833" t="str">
        <f>IF(DB833=0,"0",IF(AND(DB833&gt;=1,DB833&lt;=30),"1-30",IF(AND(DB833&gt;30,DB833&lt;=70),"31-70",IF(AND(DB833&gt;70,DB833&lt;=100),"71-100",IF(DB833&gt;100,"+100")))))</f>
        <v>31-70</v>
      </c>
      <c r="DD833">
        <v>0</v>
      </c>
      <c r="DE833">
        <v>1</v>
      </c>
      <c r="DF833">
        <v>1</v>
      </c>
      <c r="DG833">
        <v>1</v>
      </c>
      <c r="DI833">
        <f>SUM(DD833:DG833)</f>
        <v>3</v>
      </c>
      <c r="DJ833" t="str">
        <f>IF(DI833=1,INDEX($DD$7:$DG$7,MATCH(1,$DD833:$DG833,0)),"mixedProduct")</f>
        <v>mixedProduct</v>
      </c>
      <c r="DK833">
        <f>IF(DD833=1,DK$7,0)</f>
        <v>0</v>
      </c>
      <c r="DL833" t="str">
        <f>IF(DE833=1,DL$7,0)</f>
        <v>Energy</v>
      </c>
      <c r="DM833" t="str">
        <f>IF(DF833=1,DM$7,0)</f>
        <v>Pulp/Paper</v>
      </c>
      <c r="DN833" t="str">
        <f>IF(DG833=1,DN$7,0)</f>
        <v>Timber</v>
      </c>
      <c r="DO833">
        <v>1</v>
      </c>
      <c r="DP833">
        <v>1</v>
      </c>
      <c r="DQ833" t="s">
        <v>2315</v>
      </c>
      <c r="DR833">
        <v>0</v>
      </c>
      <c r="DS833">
        <v>0</v>
      </c>
      <c r="DT833">
        <f>SUM(DO833:DP833)</f>
        <v>2</v>
      </c>
      <c r="DU833" s="143" t="str">
        <f>IF(DO833=1,"self-calculated DF",IF(DP833=1,"external DF used","explicit C balance"))</f>
        <v>self-calculated DF</v>
      </c>
      <c r="DV833">
        <v>1</v>
      </c>
      <c r="DW833">
        <v>1</v>
      </c>
      <c r="DX833">
        <v>1</v>
      </c>
      <c r="DY833">
        <v>1</v>
      </c>
      <c r="DZ833">
        <v>1</v>
      </c>
      <c r="EA833" s="143">
        <v>1</v>
      </c>
      <c r="EB833">
        <v>1</v>
      </c>
      <c r="EC833">
        <v>1</v>
      </c>
      <c r="ED833">
        <v>1</v>
      </c>
      <c r="EE833">
        <v>1</v>
      </c>
      <c r="EF833">
        <v>1</v>
      </c>
      <c r="EG833">
        <v>1</v>
      </c>
      <c r="EH833">
        <v>0</v>
      </c>
      <c r="EI833" s="2">
        <v>0</v>
      </c>
      <c r="EK833" t="str">
        <f>IF(AND(AND(AND(OR($DX833=1,$DW833=1),OR($EC833=1,$EA833=1)),SUM($DV833:$DZ833,$EF833)&gt;=4),SUM($EA833:$EE833)&gt;=2),"Whole sector","")</f>
        <v>Whole sector</v>
      </c>
      <c r="EL833" t="str">
        <f>IF(AND(AND(OR($DX833=1,$DW833=1),AND($EC833=0,$EA833=0)),SUM($DV833:$DZ833,$EF833)&gt;=4),"Ecosystem approach","")</f>
        <v/>
      </c>
      <c r="EM833" s="2" t="str">
        <f>IF(AND(AND(AND($DX833=0,$DW833=0),OR($EC833=1,$EA833=1)),SUM($EB833:$EE833)&gt;=2),"Technology approach","")</f>
        <v/>
      </c>
      <c r="EP833" t="str">
        <f>IF(ISNUMBER(BU833),IF(ABS(BU833-[4]QC_indicators!$B$2)&gt;3*[4]QC_indicators!$C$2,"C ratio",IF(ISNUMBER(BY833),IF(ABS(BY833-[4]QC_indicators!$B$1)&gt;3*[4]QC_indicators!$C$1,"DF","no"))),IF(ISNUMBER(BY833),IF(ABS(BY833-[4]QC_indicators!$B$1)&gt;3*[4]QC_indicators!$C$1,"DF","no")))</f>
        <v>no</v>
      </c>
      <c r="ER833" s="149" t="s">
        <v>2326</v>
      </c>
      <c r="ET833" s="264" t="s">
        <v>3273</v>
      </c>
    </row>
    <row r="834" spans="1:151" ht="15" customHeight="1">
      <c r="D834" t="s">
        <v>963</v>
      </c>
      <c r="E834" t="s">
        <v>988</v>
      </c>
      <c r="G834" t="s">
        <v>693</v>
      </c>
      <c r="I834">
        <v>2003</v>
      </c>
      <c r="K834" s="295" t="s">
        <v>989</v>
      </c>
      <c r="M834" t="str">
        <f>LEFT($D834,FIND(",",$D834)-1)&amp;"_"&amp;I834&amp;L834</f>
        <v>Petersen_2003</v>
      </c>
      <c r="N834" t="s">
        <v>222</v>
      </c>
      <c r="O834" s="171" t="s">
        <v>513</v>
      </c>
      <c r="P834" s="141" t="s">
        <v>225</v>
      </c>
      <c r="Q834" s="264" t="s">
        <v>389</v>
      </c>
      <c r="R834" s="269" t="s">
        <v>1154</v>
      </c>
      <c r="S834" s="263" t="s">
        <v>1004</v>
      </c>
      <c r="T834" s="264" t="s">
        <v>999</v>
      </c>
      <c r="U834" s="264" t="s">
        <v>1000</v>
      </c>
      <c r="V834">
        <v>0</v>
      </c>
      <c r="W834">
        <v>0</v>
      </c>
      <c r="X834">
        <v>0</v>
      </c>
      <c r="Y834">
        <v>0</v>
      </c>
      <c r="Z834">
        <v>0</v>
      </c>
      <c r="AA834">
        <v>0</v>
      </c>
      <c r="AB834">
        <v>0</v>
      </c>
      <c r="AC834">
        <v>0</v>
      </c>
      <c r="AD834">
        <v>0</v>
      </c>
      <c r="AE834">
        <v>0</v>
      </c>
      <c r="AF834">
        <v>0</v>
      </c>
      <c r="AG834">
        <v>0</v>
      </c>
      <c r="AH834">
        <v>0</v>
      </c>
      <c r="AI834">
        <v>0</v>
      </c>
      <c r="AJ834">
        <v>0</v>
      </c>
      <c r="AK834">
        <v>1</v>
      </c>
      <c r="AL834">
        <v>0</v>
      </c>
      <c r="AM834">
        <v>0</v>
      </c>
      <c r="AN834">
        <v>0</v>
      </c>
      <c r="AO834">
        <v>0</v>
      </c>
      <c r="AP834">
        <v>0</v>
      </c>
      <c r="AQ834">
        <v>0</v>
      </c>
      <c r="AR834">
        <v>0</v>
      </c>
      <c r="AS834">
        <v>0</v>
      </c>
      <c r="AT834">
        <v>0</v>
      </c>
      <c r="AU834">
        <v>0</v>
      </c>
      <c r="AV834">
        <v>0</v>
      </c>
      <c r="AW834">
        <v>0</v>
      </c>
      <c r="AX834" s="141">
        <f>COUNTIF(V834:AW834,"&lt;&gt;0")</f>
        <v>1</v>
      </c>
      <c r="AY834" s="141">
        <f>COUNTIF(V834:AL834,"&lt;&gt;0")</f>
        <v>1</v>
      </c>
      <c r="AZ834">
        <f>COUNTIF(V834:AC834,"&lt;&gt;0")</f>
        <v>0</v>
      </c>
      <c r="BA834">
        <f>COUNTIF(AD834:AI834,"&lt;&gt;0")</f>
        <v>0</v>
      </c>
      <c r="BB834">
        <f>COUNTIF(AJ834:AL834,"&lt;&gt;0")</f>
        <v>1</v>
      </c>
      <c r="BC834">
        <f>COUNTIF(AS834:AW834,"&lt;&gt;0")</f>
        <v>0</v>
      </c>
      <c r="BD834">
        <f>COUNTIF(AM834:AR834,"&lt;&gt;0")</f>
        <v>0</v>
      </c>
      <c r="BE834" t="str" cm="1">
        <f t="array" ref="BE834">IF(AY834=1,INDEX($V$7:$AL$7,MATCH(TRUE,INDEX($V834:$AW834&lt;&gt;0,),0)),IF(AY834=0,INDEX($AM$7:$AW$7,MATCH(1,$AM834:$AW834,0)),IF(BF834="Multiple strategies","mixed drivers",IF(BF834="Supply chain","multiple supply","multiple silviculture"))))</f>
        <v>technologies/design switch</v>
      </c>
      <c r="BF834" s="2" t="str" cm="1">
        <f t="array" ref="BF834">IF(COUNTIF(AZ834:BB834,"&lt;&gt;0")=1,INDEX($V$4:$AW$4,MATCH(TRUE,INDEX($V834:$AW834&lt;&gt;0,),0)),IF(COUNTIF(AZ834:BB834,"&lt;&gt;0")=0,INDEX($AM$4:$AW$4,MATCH(1,$AM834:$AW834,0)),"Multiple strategies"))</f>
        <v>Technology</v>
      </c>
      <c r="BG834" s="142" t="s">
        <v>229</v>
      </c>
      <c r="BH834" t="s">
        <v>970</v>
      </c>
      <c r="BI834" t="s">
        <v>993</v>
      </c>
      <c r="BJ834" t="s">
        <v>498</v>
      </c>
      <c r="BK834">
        <v>0</v>
      </c>
      <c r="BL834">
        <v>1</v>
      </c>
      <c r="BM834" t="str">
        <f>IFERROR(BL834/BK834,"")</f>
        <v/>
      </c>
      <c r="BN834">
        <f>BL834-BK834</f>
        <v>1</v>
      </c>
      <c r="BO834">
        <v>1</v>
      </c>
      <c r="BP834" t="s">
        <v>232</v>
      </c>
      <c r="BQ834" t="s">
        <v>742</v>
      </c>
      <c r="BR834" s="264" t="s">
        <v>973</v>
      </c>
      <c r="BV834">
        <v>0.7</v>
      </c>
      <c r="BX834">
        <f>BV834</f>
        <v>0.7</v>
      </c>
      <c r="BY834">
        <f>IFERROR(BX834/BO834,"")</f>
        <v>0.7</v>
      </c>
      <c r="BZ834">
        <v>0</v>
      </c>
      <c r="CA834">
        <v>0</v>
      </c>
      <c r="CB834">
        <v>0</v>
      </c>
      <c r="CC834">
        <v>0</v>
      </c>
      <c r="CD834">
        <v>0</v>
      </c>
      <c r="CE834">
        <v>0</v>
      </c>
      <c r="CF834">
        <v>0</v>
      </c>
      <c r="CG834">
        <v>0</v>
      </c>
      <c r="CH834">
        <v>0</v>
      </c>
      <c r="CI834">
        <v>0</v>
      </c>
      <c r="CJ834">
        <v>0</v>
      </c>
      <c r="CK834">
        <v>0</v>
      </c>
      <c r="CL834">
        <v>0</v>
      </c>
      <c r="CM834">
        <v>0</v>
      </c>
      <c r="CN834" t="str">
        <f>IF($BL834&lt;$BK834,"refNeedCorrection","refOK")</f>
        <v>refOK</v>
      </c>
      <c r="CO834">
        <f>IF($CN834="refOK",$BK834,$BL834)</f>
        <v>0</v>
      </c>
      <c r="CP834">
        <f>IF($CN834="refOK",$BL834,$BK834)</f>
        <v>1</v>
      </c>
      <c r="CQ834">
        <f>IF($CN834="refOK",$BO834,-$BO834)</f>
        <v>1</v>
      </c>
      <c r="CR834">
        <f>IF($CN834="refOK",$BS834,$BT834)*IF($BP834="Emissions positive",-1,1)</f>
        <v>0</v>
      </c>
      <c r="CS834">
        <f>IF($CN834="refOK",$BT834,$BS834)*IF($BP834="Emissions positive",-1,1)</f>
        <v>0</v>
      </c>
      <c r="CT834">
        <f>IF($CN834="refNeedCorrection",-BX834,BX834)*IF($BP834="Emissions positive",-1,1)</f>
        <v>0.7</v>
      </c>
      <c r="CU834">
        <f>IFERROR(CT834/CQ834,"")</f>
        <v>0.7</v>
      </c>
      <c r="CV834" s="2" t="str">
        <f>IFERROR((CS834-CR834)/ABS(CR834),"")</f>
        <v/>
      </c>
      <c r="CW834" s="1" t="s">
        <v>263</v>
      </c>
      <c r="CX834" s="264" t="str">
        <f>IF(OR($CW834="prd",$CW834="std",$CW834="cit"),"loc",IF(OR($CW834="eur",$CW834="reg",$CW834="coy"),"reg",$CW834))</f>
        <v>loc</v>
      </c>
      <c r="CY834" t="s">
        <v>264</v>
      </c>
      <c r="DA834" s="143"/>
      <c r="DB834" s="143">
        <v>45</v>
      </c>
      <c r="DC834" t="str">
        <f>IF(DB834=0,"0",IF(AND(DB834&gt;=1,DB834&lt;=30),"1-30",IF(AND(DB834&gt;30,DB834&lt;=70),"31-70",IF(AND(DB834&gt;70,DB834&lt;=100),"71-100",IF(DB834&gt;100,"+100")))))</f>
        <v>31-70</v>
      </c>
      <c r="DD834">
        <v>0</v>
      </c>
      <c r="DE834">
        <v>0</v>
      </c>
      <c r="DF834">
        <v>0</v>
      </c>
      <c r="DG834">
        <v>1</v>
      </c>
      <c r="DH834">
        <v>0</v>
      </c>
      <c r="DI834">
        <f>SUM(DD834:DG834)</f>
        <v>1</v>
      </c>
      <c r="DJ834" t="str">
        <f>IF(DI834=1,INDEX($DD$7:$DG$7,MATCH(1,$DD834:$DG834,0)),"mixedProduct")</f>
        <v>TimberInput</v>
      </c>
      <c r="DK834">
        <f>IF(DD834=1,DK$7,0)</f>
        <v>0</v>
      </c>
      <c r="DL834">
        <f>IF(DE834=1,DL$7,0)</f>
        <v>0</v>
      </c>
      <c r="DM834">
        <f>IF(DF834=1,DM$7,0)</f>
        <v>0</v>
      </c>
      <c r="DN834" t="str">
        <f>IF(DG834=1,DN$7,0)</f>
        <v>Timber</v>
      </c>
      <c r="DO834">
        <v>1</v>
      </c>
      <c r="DP834">
        <v>0</v>
      </c>
      <c r="DQ834">
        <v>0</v>
      </c>
      <c r="DR834">
        <v>0</v>
      </c>
      <c r="DS834">
        <v>0</v>
      </c>
      <c r="DT834">
        <f>SUM(DO834:DP834)</f>
        <v>1</v>
      </c>
      <c r="DU834" s="143" t="str">
        <f>IF(DO834=1,"self-calculated DF",IF(DP834=1,"external DF used","explicit C balance"))</f>
        <v>self-calculated DF</v>
      </c>
      <c r="DV834" s="143">
        <v>0</v>
      </c>
      <c r="DW834" s="143">
        <v>0</v>
      </c>
      <c r="DX834" s="143">
        <v>0</v>
      </c>
      <c r="DY834" s="143">
        <v>0</v>
      </c>
      <c r="DZ834">
        <v>0</v>
      </c>
      <c r="EA834" s="143">
        <v>0</v>
      </c>
      <c r="EB834" s="143">
        <v>0</v>
      </c>
      <c r="EC834" s="143">
        <v>1</v>
      </c>
      <c r="ED834" s="143">
        <v>0</v>
      </c>
      <c r="EE834">
        <v>1</v>
      </c>
      <c r="EF834">
        <v>0</v>
      </c>
      <c r="EG834" s="143">
        <v>0</v>
      </c>
      <c r="EH834" s="143">
        <v>0</v>
      </c>
      <c r="EI834" s="2">
        <v>0</v>
      </c>
      <c r="EK834" t="str">
        <f>IF(AND(AND(AND(OR($DX834=1,$DW834=1),OR($EC834=1,$EA834=1)),SUM($DV834:$DZ834,$EF834)&gt;=4),SUM($EA834:$EE834)&gt;=2),"Whole sector","")</f>
        <v/>
      </c>
      <c r="EL834" t="str">
        <f>IF(AND(AND(OR($DX834=1,$DW834=1),AND($EC834=0,$EA834=0)),SUM($DV834:$DZ834,$EF834)&gt;=4),"Ecosystem approach","")</f>
        <v/>
      </c>
      <c r="EM834" s="2" t="str">
        <f>IF(AND(AND(AND($DX834=0,$DW834=0),OR($EC834=1,$EA834=1)),SUM($EB834:$EE834)&gt;=2),"Technology approach","")</f>
        <v>Technology approach</v>
      </c>
      <c r="EN834" t="s">
        <v>1005</v>
      </c>
      <c r="EP834" t="str">
        <f>IF(ISNUMBER(BU834),IF(ABS(BU834-[3]QC_indicators!$B$2)&gt;3*[3]QC_indicators!$C$2,"C ratio",IF(ISNUMBER(BY834),IF(ABS(BY834-[3]QC_indicators!$B$1)&gt;3*[3]QC_indicators!$C$1,"DF","no"))),IF(ISNUMBER(BY834),IF(ABS(BY834-[3]QC_indicators!$B$1)&gt;3*[3]QC_indicators!$C$1,"DF","no")))</f>
        <v>no</v>
      </c>
      <c r="ER834" s="264" t="s">
        <v>995</v>
      </c>
      <c r="ET834" s="264" t="s">
        <v>3407</v>
      </c>
    </row>
    <row r="835" spans="1:151" ht="15" customHeight="1">
      <c r="A835" s="1" t="s">
        <v>614</v>
      </c>
      <c r="B835" t="s">
        <v>1719</v>
      </c>
      <c r="C835" t="s">
        <v>1720</v>
      </c>
      <c r="D835" t="s">
        <v>1721</v>
      </c>
      <c r="E835" t="s">
        <v>1722</v>
      </c>
      <c r="F835" t="s">
        <v>1723</v>
      </c>
      <c r="G835" t="s">
        <v>620</v>
      </c>
      <c r="H835" t="s">
        <v>254</v>
      </c>
      <c r="I835">
        <v>2021</v>
      </c>
      <c r="J835">
        <v>2</v>
      </c>
      <c r="K835" t="s">
        <v>1724</v>
      </c>
      <c r="M835" t="str">
        <f>LEFT($D835,FIND(",",$D835)-1)&amp;"_"&amp;I835&amp;L835</f>
        <v>Hawkins_2021</v>
      </c>
      <c r="N835" t="s">
        <v>222</v>
      </c>
      <c r="O835" s="145" t="s">
        <v>513</v>
      </c>
      <c r="Q835" t="s">
        <v>256</v>
      </c>
      <c r="R835" s="2" t="s">
        <v>274</v>
      </c>
      <c r="S835" s="1" t="s">
        <v>1740</v>
      </c>
      <c r="T835" t="s">
        <v>665</v>
      </c>
      <c r="U835" t="s">
        <v>1726</v>
      </c>
      <c r="V835">
        <v>0</v>
      </c>
      <c r="W835">
        <v>0</v>
      </c>
      <c r="X835">
        <v>0</v>
      </c>
      <c r="Y835">
        <v>0</v>
      </c>
      <c r="Z835">
        <v>0</v>
      </c>
      <c r="AA835">
        <v>0</v>
      </c>
      <c r="AB835">
        <v>0</v>
      </c>
      <c r="AC835">
        <v>0</v>
      </c>
      <c r="AD835">
        <v>0</v>
      </c>
      <c r="AE835">
        <v>0</v>
      </c>
      <c r="AF835">
        <v>0</v>
      </c>
      <c r="AG835">
        <v>0</v>
      </c>
      <c r="AH835">
        <v>0</v>
      </c>
      <c r="AI835">
        <v>0</v>
      </c>
      <c r="AJ835">
        <v>0</v>
      </c>
      <c r="AK835">
        <v>1</v>
      </c>
      <c r="AL835">
        <v>0</v>
      </c>
      <c r="AM835">
        <v>0</v>
      </c>
      <c r="AN835">
        <v>0</v>
      </c>
      <c r="AO835">
        <v>0</v>
      </c>
      <c r="AP835">
        <v>0</v>
      </c>
      <c r="AQ835">
        <v>0</v>
      </c>
      <c r="AR835">
        <v>0</v>
      </c>
      <c r="AS835">
        <v>0</v>
      </c>
      <c r="AT835">
        <v>0</v>
      </c>
      <c r="AU835">
        <v>0</v>
      </c>
      <c r="AV835">
        <v>0</v>
      </c>
      <c r="AW835">
        <v>0</v>
      </c>
      <c r="AX835" s="141">
        <f>COUNTIF(V835:AW835,"&lt;&gt;0")</f>
        <v>1</v>
      </c>
      <c r="AY835" s="141">
        <f>COUNTIF(V835:AL835,"&lt;&gt;0")</f>
        <v>1</v>
      </c>
      <c r="AZ835">
        <f>COUNTIF(V835:AC835,"&lt;&gt;0")</f>
        <v>0</v>
      </c>
      <c r="BA835">
        <f>COUNTIF(AD835:AI835,"&lt;&gt;0")</f>
        <v>0</v>
      </c>
      <c r="BB835">
        <f>COUNTIF(AJ835:AL835,"&lt;&gt;0")</f>
        <v>1</v>
      </c>
      <c r="BC835">
        <f>COUNTIF(AS835:AW835,"&lt;&gt;0")</f>
        <v>0</v>
      </c>
      <c r="BD835">
        <f>COUNTIF(AM835:AR835,"&lt;&gt;0")</f>
        <v>0</v>
      </c>
      <c r="BE835" t="str">
        <f t="array" ref="BE835">IF(AY835=1,INDEX($V$7:$AL$7,MATCH(TRUE,INDEX($V835:$AW835&lt;&gt;0,),0)),IF(AY835=0,INDEX($AM$7:$AW$7,MATCH(1,$AM835:$AW835,0)),IF(BF835="Multiple strategies","mixed drivers",IF(BF835="Supply chain","multiple supply","multiple silviculture"))))</f>
        <v>technologies/design switch</v>
      </c>
      <c r="BF835" s="2" t="str" cm="1">
        <f t="array" ref="BF835">IF(COUNTIF(AZ835:BB835,"&lt;&gt;0")=1,INDEX($V$4:$AW$4,MATCH(TRUE,INDEX($V835:$AW835&lt;&gt;0,),0)),IF(COUNTIF(AZ835:BB835,"&lt;&gt;0")=0,INDEX($AM$4:$AW$4,MATCH(1,$AM835:$AW835,0)),"Multiple strategies"))</f>
        <v>Technology</v>
      </c>
      <c r="BG835" s="1" t="s">
        <v>229</v>
      </c>
      <c r="BH835" t="s">
        <v>229</v>
      </c>
      <c r="BJ835" t="s">
        <v>756</v>
      </c>
      <c r="BK835">
        <v>0</v>
      </c>
      <c r="BL835">
        <v>1105.3</v>
      </c>
      <c r="BN835">
        <f>BL835-BK835</f>
        <v>1105.3</v>
      </c>
      <c r="BO835">
        <f>BN835*t_to_m3</f>
        <v>2255.7142857142858</v>
      </c>
      <c r="BP835" t="s">
        <v>232</v>
      </c>
      <c r="BQ835" s="264" t="s">
        <v>3261</v>
      </c>
      <c r="BR835" t="s">
        <v>728</v>
      </c>
      <c r="BS835" s="179">
        <v>-1580000</v>
      </c>
      <c r="BT835" s="179">
        <v>10200</v>
      </c>
      <c r="BU835" s="144">
        <f>IFERROR(BT835/BS835,"")</f>
        <v>-6.4556962025316455E-3</v>
      </c>
      <c r="BV835" s="179">
        <f>BT835-BS835</f>
        <v>1590200</v>
      </c>
      <c r="BW835" s="179"/>
      <c r="BX835">
        <f>BV835/1000</f>
        <v>1590.2</v>
      </c>
      <c r="BY835">
        <f>IFERROR(BX835/BO835,"")</f>
        <v>0.7049651678277391</v>
      </c>
      <c r="BZ835">
        <v>0</v>
      </c>
      <c r="CA835">
        <v>1</v>
      </c>
      <c r="CB835">
        <v>0</v>
      </c>
      <c r="CC835">
        <v>1</v>
      </c>
      <c r="CD835">
        <v>0</v>
      </c>
      <c r="CE835">
        <v>0</v>
      </c>
      <c r="CF835">
        <v>0</v>
      </c>
      <c r="CG835">
        <v>1</v>
      </c>
      <c r="CH835">
        <v>0</v>
      </c>
      <c r="CI835">
        <v>0</v>
      </c>
      <c r="CJ835">
        <v>0</v>
      </c>
      <c r="CK835">
        <v>0</v>
      </c>
      <c r="CL835">
        <v>0</v>
      </c>
      <c r="CM835">
        <v>0</v>
      </c>
      <c r="CN835" t="str">
        <f>IF($BL835&lt;$BK835,"refNeedCorrection","refOK")</f>
        <v>refOK</v>
      </c>
      <c r="CO835">
        <f>IF($CN835="refNeedCorrection",BL835,BK835)</f>
        <v>0</v>
      </c>
      <c r="CP835">
        <f>IF($CN835="refNeedCorrection",BK835,BL835)</f>
        <v>1105.3</v>
      </c>
      <c r="CQ835">
        <f>IF($CN835="refOK",$BO835,-$BO835)</f>
        <v>2255.7142857142858</v>
      </c>
      <c r="CR835" s="273">
        <f>IF($CN835="refOK",$BS835,$BT835)*IF($BP835="Emissions positive",-1,1)</f>
        <v>-1580000</v>
      </c>
      <c r="CS835" s="273">
        <f>IF($CN835="refOK",$BT835,$BS835)*IF($BP835="Emissions positive",-1,1)</f>
        <v>10200</v>
      </c>
      <c r="CT835">
        <f>IF($CN835="refNeedCorrection",-BX835,BX835)*IF($BP835="Emissions positive",-1,1)</f>
        <v>1590.2</v>
      </c>
      <c r="CU835">
        <f>IFERROR(CT835/CQ835,"")</f>
        <v>0.7049651678277391</v>
      </c>
      <c r="CV835" s="2">
        <f>IFERROR((CS835-CR835)/ABS(CR835),"")</f>
        <v>1.0064556962025317</v>
      </c>
      <c r="CW835" s="1" t="s">
        <v>1203</v>
      </c>
      <c r="CX835" t="str">
        <f>IF(OR($CW835="prd",$CW835="std",$CW835="cit"),"loc",IF(OR($CW835="eur",$CW835="reg",$CW835="coy"),"reg",$CW835))</f>
        <v>reg</v>
      </c>
      <c r="CY835" s="309" t="s">
        <v>3423</v>
      </c>
      <c r="DB835">
        <v>35</v>
      </c>
      <c r="DC835" t="str">
        <f>IF(DB835=0,"0",IF(AND(DB835&gt;=1,DB835&lt;=30),"1-30",IF(AND(DB835&gt;30,DB835&lt;=70),"31-70",IF(AND(DB835&gt;70,DB835&lt;=100),"71-100",IF(DB835&gt;100,"+100")))))</f>
        <v>31-70</v>
      </c>
      <c r="DD835">
        <v>0</v>
      </c>
      <c r="DE835">
        <v>0</v>
      </c>
      <c r="DF835">
        <v>0</v>
      </c>
      <c r="DG835">
        <v>1</v>
      </c>
      <c r="DI835">
        <f>SUM(DD835:DG835)</f>
        <v>1</v>
      </c>
      <c r="DJ835" t="str">
        <f>IF(DI835=1,INDEX($DD$7:$DG$7,MATCH(1,$DD835:$DG835,0)),"mixedProduct")</f>
        <v>TimberInput</v>
      </c>
      <c r="DK835">
        <f>IF(DD835=1,DK$7,0)</f>
        <v>0</v>
      </c>
      <c r="DL835">
        <f>IF(DE835=1,DL$7,0)</f>
        <v>0</v>
      </c>
      <c r="DM835">
        <f>IF(DF835=1,DM$7,0)</f>
        <v>0</v>
      </c>
      <c r="DN835" t="str">
        <f>IF(DG835=1,DN$7,0)</f>
        <v>Timber</v>
      </c>
      <c r="DO835">
        <v>0</v>
      </c>
      <c r="DP835">
        <v>0</v>
      </c>
      <c r="DQ835">
        <v>0</v>
      </c>
      <c r="DR835">
        <v>0</v>
      </c>
      <c r="DS835">
        <v>0</v>
      </c>
      <c r="DT835">
        <f>SUM(DO835:DP835)</f>
        <v>0</v>
      </c>
      <c r="DU835" s="143" t="str">
        <f>IF(DO835=1,"self-calculated DF",IF(DP835=1,"external DF used","explicit C balance"))</f>
        <v>explicit C balance</v>
      </c>
      <c r="DV835">
        <v>0</v>
      </c>
      <c r="DW835">
        <v>0</v>
      </c>
      <c r="DX835">
        <v>0</v>
      </c>
      <c r="DY835">
        <v>1</v>
      </c>
      <c r="DZ835">
        <v>0</v>
      </c>
      <c r="EA835" s="143">
        <v>0</v>
      </c>
      <c r="EB835">
        <v>1</v>
      </c>
      <c r="EC835">
        <v>1</v>
      </c>
      <c r="ED835">
        <v>1</v>
      </c>
      <c r="EE835">
        <v>1</v>
      </c>
      <c r="EF835">
        <v>1</v>
      </c>
      <c r="EG835">
        <v>1</v>
      </c>
      <c r="EH835">
        <v>0</v>
      </c>
      <c r="EI835" s="2">
        <v>0</v>
      </c>
      <c r="EK835" t="str">
        <f>IF(AND(AND(AND(OR($DX835=1,$DW835=1),OR($EC835=1,$EA835=1)),SUM($DV835:$DZ835,$EF835)&gt;=4),SUM($EA835:$EE835)&gt;=2),"Whole sector","")</f>
        <v/>
      </c>
      <c r="EL835" t="str">
        <f>IF(AND(AND(OR($DX835=1,$DW835=1),AND($EC835=0,$EA835=0)),SUM($DV835:$DZ835,$EF835)&gt;=4),"Ecosystem approach","")</f>
        <v/>
      </c>
      <c r="EM835" s="2" t="str">
        <f>IF(AND(AND(AND($DX835=0,$DW835=0),OR($EC835=1,$EA835=1)),SUM($EB835:$EE835)&gt;=2),"Technology approach","")</f>
        <v>Technology approach</v>
      </c>
      <c r="EP835" t="str">
        <f>IF(ISNUMBER(BU835),IF(ABS(BU835-[2]QC_indicators!$B$2)&gt;3*[2]QC_indicators!$C$2,"C ratio",IF(ISNUMBER(BY835),IF(ABS(BY835-[2]QC_indicators!$B$1)&gt;3*[2]QC_indicators!$C$1,"DF","no"))),IF(ISNUMBER(BY835),IF(ABS(BY835-[2]QC_indicators!$B$1)&gt;3*[2]QC_indicators!$C$1,"DF","no")))</f>
        <v>no</v>
      </c>
      <c r="ET835" s="264" t="s">
        <v>3151</v>
      </c>
      <c r="EU835" s="264"/>
    </row>
    <row r="836" spans="1:151" ht="15" customHeight="1">
      <c r="A836" s="1" t="s">
        <v>265</v>
      </c>
      <c r="B836" t="s">
        <v>2013</v>
      </c>
      <c r="C836" t="s">
        <v>2014</v>
      </c>
      <c r="D836" t="s">
        <v>2015</v>
      </c>
      <c r="E836" t="s">
        <v>2016</v>
      </c>
      <c r="F836" t="s">
        <v>2017</v>
      </c>
      <c r="G836" t="s">
        <v>271</v>
      </c>
      <c r="H836" t="s">
        <v>254</v>
      </c>
      <c r="I836">
        <v>2022</v>
      </c>
      <c r="J836">
        <v>0</v>
      </c>
      <c r="K836" t="s">
        <v>2018</v>
      </c>
      <c r="M836" t="str">
        <f>LEFT($D836,FIND(",",$D836)-1)&amp;"_"&amp;I836&amp;L836</f>
        <v>Nandimandalam_2022</v>
      </c>
      <c r="N836" t="s">
        <v>222</v>
      </c>
      <c r="O836" s="157" t="s">
        <v>274</v>
      </c>
      <c r="P836" t="s">
        <v>960</v>
      </c>
      <c r="Q836" t="s">
        <v>389</v>
      </c>
      <c r="R836" s="262" t="s">
        <v>223</v>
      </c>
      <c r="S836" s="1" t="s">
        <v>2019</v>
      </c>
      <c r="T836" t="s">
        <v>2020</v>
      </c>
      <c r="U836" t="s">
        <v>2021</v>
      </c>
      <c r="V836">
        <v>0</v>
      </c>
      <c r="W836">
        <v>0</v>
      </c>
      <c r="X836">
        <v>0</v>
      </c>
      <c r="Y836">
        <v>0</v>
      </c>
      <c r="Z836">
        <v>0</v>
      </c>
      <c r="AA836">
        <v>0</v>
      </c>
      <c r="AB836">
        <v>0</v>
      </c>
      <c r="AC836">
        <v>0</v>
      </c>
      <c r="AD836">
        <v>1</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s="141">
        <f>COUNTIF(V836:AW836,"&lt;&gt;0")</f>
        <v>1</v>
      </c>
      <c r="AY836" s="141">
        <f>COUNTIF(V836:AL836,"&lt;&gt;0")</f>
        <v>1</v>
      </c>
      <c r="AZ836">
        <f>COUNTIF(V836:AC836,"&lt;&gt;0")</f>
        <v>0</v>
      </c>
      <c r="BA836">
        <f>COUNTIF(AD836:AI836,"&lt;&gt;0")</f>
        <v>1</v>
      </c>
      <c r="BB836">
        <f>COUNTIF(AJ836:AL836,"&lt;&gt;0")</f>
        <v>0</v>
      </c>
      <c r="BC836">
        <f>COUNTIF(AS836:AW836,"&lt;&gt;0")</f>
        <v>0</v>
      </c>
      <c r="BD836">
        <f>COUNTIF(AM836:AR836,"&lt;&gt;0")</f>
        <v>0</v>
      </c>
      <c r="BE836" t="str">
        <f t="array" ref="BE836">IF(AY836=1,INDEX($V$7:$AL$7,MATCH(TRUE,INDEX($V836:$AW836&lt;&gt;0,),0)),IF(AY836=0,INDEX($AM$7:$AW$7,MATCH(1,$AM836:$AW836,0)),IF(BF836="Multiple strategies","mixed drivers",IF(BF836="Supply chain","multiple supply","multiple silviculture"))))</f>
        <v>harvesting system</v>
      </c>
      <c r="BF836" s="2" t="str" cm="1">
        <f t="array" ref="BF836">IF(COUNTIF(AZ836:BB836,"&lt;&gt;0")=1,INDEX($V$4:$AW$4,MATCH(TRUE,INDEX($V836:$AW836&lt;&gt;0,),0)),IF(COUNTIF(AZ836:BB836,"&lt;&gt;0")=0,INDEX($AM$4:$AW$4,MATCH(1,$AM836:$AW836,0)),"Multiple strategies"))</f>
        <v>Supply chain</v>
      </c>
      <c r="BG836" s="1" t="s">
        <v>321</v>
      </c>
      <c r="BH836" t="s">
        <v>2022</v>
      </c>
      <c r="BI836" s="264" t="s">
        <v>3184</v>
      </c>
      <c r="BJ836" s="264" t="s">
        <v>3185</v>
      </c>
      <c r="BK836">
        <v>352.14772479999999</v>
      </c>
      <c r="BL836">
        <v>18066.118399999999</v>
      </c>
      <c r="BM836">
        <v>51.302669668703764</v>
      </c>
      <c r="BN836">
        <f>BL836-BK836</f>
        <v>17713.970675199998</v>
      </c>
      <c r="BO836">
        <f>BN836</f>
        <v>17713.970675199998</v>
      </c>
      <c r="BP836" t="s">
        <v>395</v>
      </c>
      <c r="BQ836" s="264" t="s">
        <v>3186</v>
      </c>
      <c r="BR836" t="s">
        <v>2023</v>
      </c>
      <c r="BS836" s="264">
        <f>0.0011646</f>
        <v>1.1646E-3</v>
      </c>
      <c r="BT836" s="264">
        <f>0.0011452</f>
        <v>1.1452000000000001E-3</v>
      </c>
      <c r="BU836" s="144">
        <v>0.98334191997252296</v>
      </c>
      <c r="BV836">
        <f>BT836-BS836</f>
        <v>-1.9399999999999929E-5</v>
      </c>
      <c r="BX836">
        <f>BV836*(11.3+35.4+2.7+4.3)*12*10^6</f>
        <v>-12501.359999999955</v>
      </c>
      <c r="BY836">
        <f>IFERROR(BX836/BO836,"")</f>
        <v>-0.70573448659380311</v>
      </c>
      <c r="BZ836">
        <v>0</v>
      </c>
      <c r="CA836">
        <v>0</v>
      </c>
      <c r="CB836">
        <v>0</v>
      </c>
      <c r="CC836">
        <v>0</v>
      </c>
      <c r="CD836">
        <v>0</v>
      </c>
      <c r="CE836">
        <v>0</v>
      </c>
      <c r="CF836">
        <v>0</v>
      </c>
      <c r="CG836">
        <v>0</v>
      </c>
      <c r="CH836">
        <v>0</v>
      </c>
      <c r="CI836">
        <v>0</v>
      </c>
      <c r="CJ836">
        <v>0</v>
      </c>
      <c r="CK836">
        <v>0</v>
      </c>
      <c r="CL836">
        <v>0</v>
      </c>
      <c r="CM836">
        <v>0</v>
      </c>
      <c r="CN836" t="str">
        <f>IF($BL836&lt;$BK836,"refNeedCorrection","refOK")</f>
        <v>refOK</v>
      </c>
      <c r="CO836">
        <f>IF($CN836="refOK",$BK836,$BL836)</f>
        <v>352.14772479999999</v>
      </c>
      <c r="CP836">
        <f>IF($CN836="refOK",$BL836,$BK836)</f>
        <v>18066.118399999999</v>
      </c>
      <c r="CQ836">
        <f>IF($CN836="refOK",$BO836,-$BO836)</f>
        <v>17713.970675199998</v>
      </c>
      <c r="CR836">
        <f>IF($CN836="refOK",$BS836,$BT836)*IF($BP836="Emissions positive",-1,1)</f>
        <v>-1.1646E-3</v>
      </c>
      <c r="CS836">
        <f>IF($CN836="refOK",$BT836,$BS836)*IF($BP836="Emissions positive",-1,1)</f>
        <v>-1.1452000000000001E-3</v>
      </c>
      <c r="CT836">
        <f>IF($CN836="refNeedCorrection",-BX836,BX836)*IF($BP836="Emissions positive",-1,1)</f>
        <v>12501.359999999955</v>
      </c>
      <c r="CU836">
        <f>IFERROR(CT836/CQ836,"")</f>
        <v>0.70573448659380311</v>
      </c>
      <c r="CV836" s="2">
        <f>IFERROR((CS836-CR836)/ABS(CR836),"")</f>
        <v>1.6658080027477186E-2</v>
      </c>
      <c r="CW836" s="1" t="s">
        <v>1199</v>
      </c>
      <c r="CX836" t="str">
        <f>IF(OR($CW836="prd",$CW836="std",$CW836="cit"),"loc",IF(OR($CW836="eur",$CW836="reg",$CW836="coy"),"reg",$CW836))</f>
        <v>reg</v>
      </c>
      <c r="CY836" t="s">
        <v>428</v>
      </c>
      <c r="CZ836">
        <v>2010</v>
      </c>
      <c r="DA836">
        <v>2018</v>
      </c>
      <c r="DB836">
        <v>1</v>
      </c>
      <c r="DC836" t="str">
        <f>IF(DB836=0,"0",IF(AND(DB836&gt;=1,DB836&lt;=30),"1-30",IF(AND(DB836&gt;30,DB836&lt;=70),"31-70",IF(AND(DB836&gt;70,DB836&lt;=100),"71-100",IF(DB836&gt;100,"+100")))))</f>
        <v>1-30</v>
      </c>
      <c r="DD836">
        <v>0</v>
      </c>
      <c r="DE836">
        <v>1</v>
      </c>
      <c r="DF836">
        <v>0</v>
      </c>
      <c r="DG836">
        <v>0</v>
      </c>
      <c r="DH836">
        <v>0</v>
      </c>
      <c r="DI836">
        <v>1</v>
      </c>
      <c r="DJ836" t="str">
        <f>IF(DI836=1,INDEX($DD$7:$DG$7,MATCH(1,$DD836:$DG836,0)),"mixedProduct")</f>
        <v>EnergyInput</v>
      </c>
      <c r="DK836">
        <f>IF(DD836=1,DK$7,0)</f>
        <v>0</v>
      </c>
      <c r="DL836" t="str">
        <f>IF(DE836=1,DL$7,0)</f>
        <v>Energy</v>
      </c>
      <c r="DM836">
        <f>IF(DF836=1,DM$7,0)</f>
        <v>0</v>
      </c>
      <c r="DN836">
        <f>IF(DG836=1,DN$7,0)</f>
        <v>0</v>
      </c>
      <c r="DO836">
        <v>0</v>
      </c>
      <c r="DP836">
        <v>0</v>
      </c>
      <c r="DQ836">
        <v>0</v>
      </c>
      <c r="DR836">
        <v>0</v>
      </c>
      <c r="DS836">
        <v>0</v>
      </c>
      <c r="DT836">
        <f>SUM(DO836:DP836)</f>
        <v>0</v>
      </c>
      <c r="DU836" s="143" t="s">
        <v>962</v>
      </c>
      <c r="DV836">
        <v>0</v>
      </c>
      <c r="DW836">
        <v>1</v>
      </c>
      <c r="DX836">
        <v>0</v>
      </c>
      <c r="DY836">
        <v>0</v>
      </c>
      <c r="DZ836">
        <v>0</v>
      </c>
      <c r="EA836" s="143">
        <v>0</v>
      </c>
      <c r="EB836">
        <v>1</v>
      </c>
      <c r="EC836">
        <v>1</v>
      </c>
      <c r="ED836">
        <v>0</v>
      </c>
      <c r="EE836">
        <v>0</v>
      </c>
      <c r="EF836">
        <v>0</v>
      </c>
      <c r="EG836">
        <v>0</v>
      </c>
      <c r="EH836">
        <v>0</v>
      </c>
      <c r="EI836" s="2">
        <v>0</v>
      </c>
      <c r="EK836" t="str">
        <f>IF(AND(AND(AND(OR($DX836=1,$DW836=1),OR($EC836=1,$EA836=1)),SUM($DV836:$DZ836,$EF836)&gt;=4),SUM($EA836:$EE836)&gt;=2),"Whole sector","")</f>
        <v/>
      </c>
      <c r="EL836" t="str">
        <f>IF(AND(AND(OR($DX836=1,$DW836=1),AND($EC836=0,$EA836=0)),SUM($DV836:$DZ836,$EF836)&gt;=4),"Ecosystem approach","")</f>
        <v/>
      </c>
      <c r="EM836" s="2" t="str">
        <f>IF(AND(AND(AND($DX836=0,$DW836=0),OR($EC836=1,$EA836=1)),SUM($EB836:$EE836)&gt;=2),"Technology approach","")</f>
        <v/>
      </c>
      <c r="EP836" t="str">
        <f>IF(ISNUMBER(BU836),IF(ABS(BU836-[1]QC_indicators!$B$2)&gt;3*[1]QC_indicators!$C$2,"C ratio",IF(ISNUMBER(BY836),IF(ABS(BY836-[1]QC_indicators!$B$1)&gt;3*[1]QC_indicators!$C$1,"DF","no"))),IF(ISNUMBER(BY836),IF(ABS(BY836-[1]QC_indicators!$B$1)&gt;3*[1]QC_indicators!$C$1,"DF","no")))</f>
        <v>no</v>
      </c>
      <c r="ET836" s="264" t="s">
        <v>3187</v>
      </c>
    </row>
    <row r="837" spans="1:151" ht="15" customHeight="1">
      <c r="D837" t="s">
        <v>1661</v>
      </c>
      <c r="E837" t="s">
        <v>1662</v>
      </c>
      <c r="G837" t="s">
        <v>1663</v>
      </c>
      <c r="I837">
        <v>2007</v>
      </c>
      <c r="K837" t="s">
        <v>1664</v>
      </c>
      <c r="M837" t="str">
        <f>LEFT($D837,FIND(",",$D837)-1)&amp;"_"&amp;I837&amp;L837</f>
        <v>Gustavsson_2007</v>
      </c>
      <c r="N837" t="s">
        <v>222</v>
      </c>
      <c r="O837" t="s">
        <v>223</v>
      </c>
      <c r="Q837" t="s">
        <v>256</v>
      </c>
      <c r="R837" s="269" t="s">
        <v>274</v>
      </c>
      <c r="S837" s="1" t="s">
        <v>1665</v>
      </c>
      <c r="T837" t="s">
        <v>1668</v>
      </c>
      <c r="U837" s="143" t="s">
        <v>1687</v>
      </c>
      <c r="V837">
        <v>0</v>
      </c>
      <c r="W837">
        <v>0</v>
      </c>
      <c r="X837">
        <v>0</v>
      </c>
      <c r="Y837">
        <v>0</v>
      </c>
      <c r="Z837">
        <v>0</v>
      </c>
      <c r="AA837">
        <v>0</v>
      </c>
      <c r="AB837">
        <v>0</v>
      </c>
      <c r="AC837">
        <v>0</v>
      </c>
      <c r="AD837">
        <v>0</v>
      </c>
      <c r="AE837">
        <v>0</v>
      </c>
      <c r="AF837">
        <v>0</v>
      </c>
      <c r="AG837">
        <v>0</v>
      </c>
      <c r="AH837">
        <v>0</v>
      </c>
      <c r="AI837">
        <v>0</v>
      </c>
      <c r="AJ837">
        <v>0</v>
      </c>
      <c r="AK837">
        <v>1</v>
      </c>
      <c r="AL837">
        <v>0</v>
      </c>
      <c r="AM837">
        <v>0</v>
      </c>
      <c r="AN837">
        <v>0</v>
      </c>
      <c r="AO837">
        <v>0</v>
      </c>
      <c r="AP837">
        <v>0</v>
      </c>
      <c r="AQ837">
        <v>0</v>
      </c>
      <c r="AR837">
        <v>0</v>
      </c>
      <c r="AS837">
        <v>0</v>
      </c>
      <c r="AT837">
        <v>0</v>
      </c>
      <c r="AU837">
        <v>0</v>
      </c>
      <c r="AV837">
        <v>0</v>
      </c>
      <c r="AW837">
        <v>0</v>
      </c>
      <c r="AX837" s="141">
        <f>COUNTIF(V837:AW837,"&lt;&gt;0")</f>
        <v>1</v>
      </c>
      <c r="AY837" s="141">
        <f>COUNTIF(V837:AL837,"&lt;&gt;0")</f>
        <v>1</v>
      </c>
      <c r="AZ837">
        <f>COUNTIF(V837:AC837,"&lt;&gt;0")</f>
        <v>0</v>
      </c>
      <c r="BA837">
        <f>COUNTIF(AD837:AI837,"&lt;&gt;0")</f>
        <v>0</v>
      </c>
      <c r="BB837">
        <f>COUNTIF(AJ837:AL837,"&lt;&gt;0")</f>
        <v>1</v>
      </c>
      <c r="BC837">
        <f>COUNTIF(AS837:AW837,"&lt;&gt;0")</f>
        <v>0</v>
      </c>
      <c r="BD837">
        <f>COUNTIF(AM837:AR837,"&lt;&gt;0")</f>
        <v>0</v>
      </c>
      <c r="BE837" t="str">
        <f t="array" ref="BE837">IF(AY837=1,INDEX($V$7:$AL$7,MATCH(TRUE,INDEX($V837:$AW837&lt;&gt;0,),0)),IF(AY837=0,INDEX($AM$7:$AW$7,MATCH(1,$AM837:$AW837,0)),IF(BF837="Multiple strategies","mixed drivers",IF(BF837="Supply chain","multiple supply","multiple silviculture"))))</f>
        <v>technologies/design switch</v>
      </c>
      <c r="BF837" s="2" t="str" cm="1">
        <f t="array" ref="BF837">IF(COUNTIF(AZ837:BB837,"&lt;&gt;0")=1,INDEX($V$4:$AW$4,MATCH(TRUE,INDEX($V837:$AW837&lt;&gt;0,),0)),IF(COUNTIF(AZ837:BB837,"&lt;&gt;0")=0,INDEX($AM$4:$AW$4,MATCH(1,$AM837:$AW837,0)),"Multiple strategies"))</f>
        <v>Technology</v>
      </c>
      <c r="BG837" s="142" t="s">
        <v>229</v>
      </c>
      <c r="BH837" t="s">
        <v>1667</v>
      </c>
      <c r="BI837" s="264" t="s">
        <v>1057</v>
      </c>
      <c r="BJ837" s="143" t="s">
        <v>3265</v>
      </c>
      <c r="BK837">
        <v>0</v>
      </c>
      <c r="BL837" s="143">
        <v>31.6</v>
      </c>
      <c r="BM837" s="143"/>
      <c r="BN837">
        <f>BL837-BK837</f>
        <v>31.6</v>
      </c>
      <c r="BO837" s="143">
        <f>1000*BL837/15.3/400</f>
        <v>5.1633986928104569</v>
      </c>
      <c r="BP837" t="s">
        <v>232</v>
      </c>
      <c r="BR837" t="s">
        <v>938</v>
      </c>
      <c r="BS837" s="143">
        <v>-1</v>
      </c>
      <c r="BT837" s="151">
        <v>0</v>
      </c>
      <c r="BU837">
        <v>0</v>
      </c>
      <c r="BV837">
        <v>1</v>
      </c>
      <c r="BX837">
        <f>BV837*C_to_CO2</f>
        <v>3.67</v>
      </c>
      <c r="BY837">
        <f>IFERROR(BX837/BO837,"")</f>
        <v>0.71077215189873422</v>
      </c>
      <c r="BZ837" s="143">
        <v>0</v>
      </c>
      <c r="CA837" s="143">
        <v>0</v>
      </c>
      <c r="CB837" s="143">
        <v>0</v>
      </c>
      <c r="CC837" s="143">
        <v>0</v>
      </c>
      <c r="CD837" s="143">
        <v>0</v>
      </c>
      <c r="CE837" s="143">
        <v>0</v>
      </c>
      <c r="CF837" s="143">
        <v>0</v>
      </c>
      <c r="CG837" s="143">
        <v>0</v>
      </c>
      <c r="CH837" s="143">
        <v>0</v>
      </c>
      <c r="CI837" s="143">
        <v>0</v>
      </c>
      <c r="CJ837" s="143">
        <v>0</v>
      </c>
      <c r="CK837" s="143">
        <v>0</v>
      </c>
      <c r="CL837" s="143">
        <v>0</v>
      </c>
      <c r="CM837">
        <v>1</v>
      </c>
      <c r="CN837" t="str">
        <f>IF($BL837&lt;$BK837,"refNeedCorrection","refOK")</f>
        <v>refOK</v>
      </c>
      <c r="CO837">
        <f>IF($CN837="refOK",$BK837,$BL837)</f>
        <v>0</v>
      </c>
      <c r="CP837">
        <f>IF($CN837="refOK",$BL837,$BK837)</f>
        <v>31.6</v>
      </c>
      <c r="CQ837">
        <f>IF($CN837="refOK",$BO837,-$BO837)</f>
        <v>5.1633986928104569</v>
      </c>
      <c r="CR837">
        <f>IF($CN837="refOK",$BS837,$BT837)*IF($BP837="Emissions positive",-1,1)</f>
        <v>-1</v>
      </c>
      <c r="CS837">
        <f>IF($CN837="refOK",$BT837,$BS837)*IF($BP837="Emissions positive",-1,1)</f>
        <v>0</v>
      </c>
      <c r="CT837">
        <f>IF($CN837="refNeedCorrection",-BX837,BX837)*IF($BP837="Emissions positive",-1,1)</f>
        <v>3.67</v>
      </c>
      <c r="CU837">
        <f>IFERROR(CT837/CQ837,"")</f>
        <v>0.71077215189873422</v>
      </c>
      <c r="CV837" s="2">
        <f>IFERROR((CS837-CR837)/ABS(CR837),"")</f>
        <v>1</v>
      </c>
      <c r="CW837" s="1" t="s">
        <v>1203</v>
      </c>
      <c r="CX837" t="str">
        <f>IF(OR($CW837="prd",$CW837="std",$CW837="cit"),"loc",IF(OR($CW837="eur",$CW837="reg",$CW837="coy"),"reg",$CW837))</f>
        <v>reg</v>
      </c>
      <c r="CY837" t="s">
        <v>444</v>
      </c>
      <c r="DA837" s="143"/>
      <c r="DB837" s="143">
        <v>0</v>
      </c>
      <c r="DC837" t="str">
        <f>IF(DB837=0,"0",IF(AND(DB837&gt;=1,DB837&lt;=30),"1-30",IF(AND(DB837&gt;30,DB837&lt;=70),"31-70",IF(AND(DB837&gt;70,DB837&lt;=100),"71-100",IF(DB837&gt;100,"+100")))))</f>
        <v>0</v>
      </c>
      <c r="DD837">
        <v>0</v>
      </c>
      <c r="DE837">
        <v>1</v>
      </c>
      <c r="DF837">
        <v>0</v>
      </c>
      <c r="DG837">
        <v>0</v>
      </c>
      <c r="DI837">
        <f>SUM(DD837:DG837)</f>
        <v>1</v>
      </c>
      <c r="DJ837" t="str">
        <f>IF(DI837=1,INDEX($DD$7:$DG$7,MATCH(1,$DD837:$DG837,0)),"mixedProduct")</f>
        <v>EnergyInput</v>
      </c>
      <c r="DK837">
        <f>IF(DD837=1,DK$7,0)</f>
        <v>0</v>
      </c>
      <c r="DL837" t="str">
        <f>IF(DE837=1,DL$7,0)</f>
        <v>Energy</v>
      </c>
      <c r="DM837">
        <f>IF(DF837=1,DM$7,0)</f>
        <v>0</v>
      </c>
      <c r="DN837">
        <f>IF(DG837=1,DN$7,0)</f>
        <v>0</v>
      </c>
      <c r="DO837">
        <v>0</v>
      </c>
      <c r="DP837" s="143">
        <v>0</v>
      </c>
      <c r="DQ837" s="143">
        <v>0</v>
      </c>
      <c r="DR837">
        <v>0</v>
      </c>
      <c r="DS837" s="143">
        <v>0</v>
      </c>
      <c r="DT837">
        <f>SUM(DO837:DP837)</f>
        <v>0</v>
      </c>
      <c r="DU837" s="143" t="str">
        <f>IF(DO837=1,"self-calculated DF",IF(DP837=1,"external DF used","explicit C balance"))</f>
        <v>explicit C balance</v>
      </c>
      <c r="DV837" s="143">
        <v>0</v>
      </c>
      <c r="DW837" s="143">
        <v>0</v>
      </c>
      <c r="DX837" s="143">
        <v>0</v>
      </c>
      <c r="DY837" s="143">
        <v>0</v>
      </c>
      <c r="DZ837">
        <v>0</v>
      </c>
      <c r="EA837" s="143">
        <v>0</v>
      </c>
      <c r="EB837" s="143">
        <v>0</v>
      </c>
      <c r="EC837" s="143">
        <v>1</v>
      </c>
      <c r="ED837" s="143">
        <v>0</v>
      </c>
      <c r="EE837">
        <v>0</v>
      </c>
      <c r="EF837">
        <v>0</v>
      </c>
      <c r="EG837" s="143">
        <v>0</v>
      </c>
      <c r="EH837" s="143">
        <v>0</v>
      </c>
      <c r="EI837" s="2">
        <v>0</v>
      </c>
      <c r="EK837" t="str">
        <f>IF(AND(AND(AND(OR($DX837=1,$DW837=1),OR($EC837=1,$EA837=1)),SUM($DV837:$DZ837,$EF837)&gt;=4),SUM($EA837:$EE837)&gt;=2),"Whole sector","")</f>
        <v/>
      </c>
      <c r="EL837" t="str">
        <f>IF(AND(AND(OR($DX837=1,$DW837=1),AND($EC837=0,$EA837=0)),SUM($DV837:$DZ837,$EF837)&gt;=4),"Ecosystem approach","")</f>
        <v/>
      </c>
      <c r="EM837" s="2" t="str">
        <f>IF(AND(AND(AND($DX837=0,$DW837=0),OR($EC837=1,$EA837=1)),SUM($EB837:$EE837)&gt;=2),"Technology approach","")</f>
        <v/>
      </c>
      <c r="EP837" t="str">
        <f>IF(ISNUMBER(BU837),IF(ABS(BU837-[2]QC_indicators!$B$2)&gt;3*[2]QC_indicators!$C$2,"C ratio",IF(ISNUMBER(BY837),IF(ABS(BY837-[2]QC_indicators!$B$1)&gt;3*[2]QC_indicators!$C$1,"DF","no"))),IF(ISNUMBER(BY837),IF(ABS(BY837-[2]QC_indicators!$B$1)&gt;3*[2]QC_indicators!$C$1,"DF","no")))</f>
        <v>no</v>
      </c>
      <c r="ER837" s="149" t="s">
        <v>349</v>
      </c>
      <c r="ET837" s="264" t="s">
        <v>3266</v>
      </c>
    </row>
    <row r="838" spans="1:151" ht="15" customHeight="1">
      <c r="A838" s="1" t="s">
        <v>265</v>
      </c>
      <c r="B838" t="s">
        <v>266</v>
      </c>
      <c r="C838" t="s">
        <v>267</v>
      </c>
      <c r="D838" t="s">
        <v>268</v>
      </c>
      <c r="E838" t="s">
        <v>269</v>
      </c>
      <c r="F838" t="s">
        <v>270</v>
      </c>
      <c r="G838" t="s">
        <v>271</v>
      </c>
      <c r="H838" t="s">
        <v>254</v>
      </c>
      <c r="I838">
        <v>2022</v>
      </c>
      <c r="J838">
        <v>0</v>
      </c>
      <c r="K838" t="s">
        <v>272</v>
      </c>
      <c r="M838" t="str">
        <f>LEFT($D838,FIND(",",$D838)-1)&amp;"_"&amp;I838&amp;L838</f>
        <v>Aryapratama_2022</v>
      </c>
      <c r="N838" t="s">
        <v>222</v>
      </c>
      <c r="O838" s="145" t="s">
        <v>274</v>
      </c>
      <c r="Q838" t="s">
        <v>224</v>
      </c>
      <c r="R838" s="262" t="s">
        <v>223</v>
      </c>
      <c r="S838" s="263" t="s">
        <v>3105</v>
      </c>
      <c r="T838" t="s">
        <v>331</v>
      </c>
      <c r="U838" t="s">
        <v>332</v>
      </c>
      <c r="V838">
        <v>0</v>
      </c>
      <c r="W838">
        <v>0</v>
      </c>
      <c r="X838">
        <v>0</v>
      </c>
      <c r="Y838">
        <v>0</v>
      </c>
      <c r="Z838">
        <v>0</v>
      </c>
      <c r="AA838">
        <v>0</v>
      </c>
      <c r="AB838">
        <v>0</v>
      </c>
      <c r="AC838">
        <v>0</v>
      </c>
      <c r="AD838">
        <v>0</v>
      </c>
      <c r="AE838">
        <v>0</v>
      </c>
      <c r="AF838">
        <v>0</v>
      </c>
      <c r="AG838">
        <v>0</v>
      </c>
      <c r="AH838">
        <v>0</v>
      </c>
      <c r="AI838">
        <v>0</v>
      </c>
      <c r="AJ838">
        <v>0</v>
      </c>
      <c r="AK838">
        <v>1</v>
      </c>
      <c r="AL838">
        <v>0</v>
      </c>
      <c r="AM838">
        <v>0</v>
      </c>
      <c r="AN838">
        <v>0</v>
      </c>
      <c r="AO838">
        <v>0</v>
      </c>
      <c r="AP838">
        <v>0</v>
      </c>
      <c r="AQ838">
        <v>0</v>
      </c>
      <c r="AR838">
        <v>0</v>
      </c>
      <c r="AS838">
        <v>0</v>
      </c>
      <c r="AT838">
        <v>0</v>
      </c>
      <c r="AU838">
        <v>0</v>
      </c>
      <c r="AV838">
        <v>0</v>
      </c>
      <c r="AW838">
        <v>0</v>
      </c>
      <c r="AX838" s="141">
        <f>COUNTIF(V838:AW838,"&lt;&gt;0")</f>
        <v>1</v>
      </c>
      <c r="AY838" s="141">
        <f>COUNTIF(V838:AL838,"&lt;&gt;0")</f>
        <v>1</v>
      </c>
      <c r="AZ838">
        <f>COUNTIF(V838:AC838,"&lt;&gt;0")</f>
        <v>0</v>
      </c>
      <c r="BA838">
        <f>COUNTIF(AD838:AI838,"&lt;&gt;0")</f>
        <v>0</v>
      </c>
      <c r="BB838">
        <f>COUNTIF(AJ838:AL838,"&lt;&gt;0")</f>
        <v>1</v>
      </c>
      <c r="BC838">
        <f>COUNTIF(AS838:AW838,"&lt;&gt;0")</f>
        <v>0</v>
      </c>
      <c r="BD838">
        <f>COUNTIF(AM838:AR838,"&lt;&gt;0")</f>
        <v>0</v>
      </c>
      <c r="BE838" t="str">
        <f t="array" ref="BE838">IF(AY838=1,INDEX($V$7:$AL$7,MATCH(TRUE,INDEX($V838:$AW838&lt;&gt;0,),0)),IF(AY838=0,INDEX($AM$7:$AW$7,MATCH(1,$AM838:$AW838,0)),IF(BF838="Multiple strategies","mixed drivers",IF(BF838="Supply chain","multiple supply","multiple silviculture"))))</f>
        <v>technologies/design switch</v>
      </c>
      <c r="BF838" s="2" t="str" cm="1">
        <f t="array" ref="BF838">IF(COUNTIF(AZ838:BB838,"&lt;&gt;0")=1,INDEX($V$4:$AW$4,MATCH(TRUE,INDEX($V838:$AW838&lt;&gt;0,),0)),IF(COUNTIF(AZ838:BB838,"&lt;&gt;0")=0,INDEX($AM$4:$AW$4,MATCH(1,$AM838:$AW838,0)),"Multiple strategies"))</f>
        <v>Technology</v>
      </c>
      <c r="BG838" s="1" t="s">
        <v>229</v>
      </c>
      <c r="BH838" t="s">
        <v>277</v>
      </c>
      <c r="BI838" s="264" t="s">
        <v>3106</v>
      </c>
      <c r="BJ838" t="s">
        <v>278</v>
      </c>
      <c r="BK838">
        <v>0</v>
      </c>
      <c r="BL838">
        <v>48.102641509433973</v>
      </c>
      <c r="BN838">
        <f>BL838-BK838</f>
        <v>48.102641509433973</v>
      </c>
      <c r="BO838">
        <f>BN838*tC_to_m3</f>
        <v>208.86948115255743</v>
      </c>
      <c r="BP838" t="s">
        <v>232</v>
      </c>
      <c r="BQ838" s="337" t="s">
        <v>3107</v>
      </c>
      <c r="BR838" t="s">
        <v>279</v>
      </c>
      <c r="BS838">
        <v>-79.816497751704446</v>
      </c>
      <c r="BT838">
        <v>69.07494766906801</v>
      </c>
      <c r="BU838" s="144">
        <f>IFERROR(BT838/BS838,"")</f>
        <v>-0.86542193174083415</v>
      </c>
      <c r="BV838">
        <f>BT838-BS838</f>
        <v>148.89144542077247</v>
      </c>
      <c r="BX838">
        <f>BV838</f>
        <v>148.89144542077247</v>
      </c>
      <c r="BY838">
        <f>IFERROR(BX838/BO838,"")</f>
        <v>0.71284442609412502</v>
      </c>
      <c r="BZ838">
        <v>0</v>
      </c>
      <c r="CA838">
        <v>0</v>
      </c>
      <c r="CB838">
        <v>0</v>
      </c>
      <c r="CC838">
        <v>0</v>
      </c>
      <c r="CD838">
        <v>0</v>
      </c>
      <c r="CE838">
        <v>0</v>
      </c>
      <c r="CF838">
        <v>0</v>
      </c>
      <c r="CG838">
        <v>0</v>
      </c>
      <c r="CH838">
        <v>0</v>
      </c>
      <c r="CI838">
        <v>0</v>
      </c>
      <c r="CJ838">
        <v>0</v>
      </c>
      <c r="CK838">
        <v>0</v>
      </c>
      <c r="CL838">
        <v>0</v>
      </c>
      <c r="CM838">
        <v>0</v>
      </c>
      <c r="CN838" t="str">
        <f>IF($BL838&lt;$BK838,"refNeedCorrection","refOK")</f>
        <v>refOK</v>
      </c>
      <c r="CO838">
        <f>IF($CN838="refOK",$BK838,$BL838)</f>
        <v>0</v>
      </c>
      <c r="CP838">
        <f>IF($CN838="refOK",$BL838,$BK838)</f>
        <v>48.102641509433973</v>
      </c>
      <c r="CQ838">
        <f>IF($CN838="refOK",$BO838,-$BO838)</f>
        <v>208.86948115255743</v>
      </c>
      <c r="CR838">
        <f>IF($CN838="refOK",$BS838,$BT838)*IF($BP838="Emissions positive",-1,1)</f>
        <v>-79.816497751704446</v>
      </c>
      <c r="CS838">
        <f>IF($CN838="refOK",$BT838,$BS838)*IF($BP838="Emissions positive",-1,1)</f>
        <v>69.07494766906801</v>
      </c>
      <c r="CT838">
        <f>IF($CN838="refNeedCorrection",-BX838,BX838)*IF($BP838="Emissions positive",-1,1)</f>
        <v>148.89144542077247</v>
      </c>
      <c r="CU838">
        <f>IFERROR(CT838/CQ838,"")</f>
        <v>0.71284442609412502</v>
      </c>
      <c r="CV838" s="2">
        <f>IFERROR((CS838-CR838)/ABS(CR838),"")</f>
        <v>1.8654219317408343</v>
      </c>
      <c r="CW838" s="1" t="s">
        <v>234</v>
      </c>
      <c r="CX838" t="str">
        <f>IF(OR($CW838="prd",$CW838="std",$CW838="cit"),"loc",IF(OR($CW838="eur",$CW838="reg",$CW838="coy"),"reg",$CW838))</f>
        <v>loc</v>
      </c>
      <c r="CY838" t="s">
        <v>280</v>
      </c>
      <c r="DB838">
        <v>50</v>
      </c>
      <c r="DC838" t="str">
        <f>IF(DB838=0,"0",IF(AND(DB838&gt;=1,DB838&lt;=30),"1-30",IF(AND(DB838&gt;30,DB838&lt;=70),"31-70",IF(AND(DB838&gt;70,DB838&lt;=100),"71-100",IF(DB838&gt;100,"+100")))))</f>
        <v>31-70</v>
      </c>
      <c r="DD838">
        <v>0</v>
      </c>
      <c r="DE838">
        <v>1</v>
      </c>
      <c r="DF838">
        <v>0</v>
      </c>
      <c r="DG838">
        <v>0</v>
      </c>
      <c r="DI838">
        <f>SUM(DD838:DG838)</f>
        <v>1</v>
      </c>
      <c r="DJ838" t="str">
        <f>IF(DI838=1,INDEX($DD$7:$DG$7,MATCH(1,$DD838:$DG838,0)),"mixedProduct")</f>
        <v>EnergyInput</v>
      </c>
      <c r="DK838">
        <f>IF(DD838=1,DK$7,0)</f>
        <v>0</v>
      </c>
      <c r="DL838" t="str">
        <f>IF(DE838=1,DL$7,0)</f>
        <v>Energy</v>
      </c>
      <c r="DM838">
        <f>IF(DF838=1,DM$7,0)</f>
        <v>0</v>
      </c>
      <c r="DN838">
        <f>IF(DG838=1,DN$7,0)</f>
        <v>0</v>
      </c>
      <c r="DO838">
        <v>0</v>
      </c>
      <c r="DP838">
        <v>1</v>
      </c>
      <c r="DQ838" t="s">
        <v>304</v>
      </c>
      <c r="DR838">
        <v>0</v>
      </c>
      <c r="DS838">
        <v>0</v>
      </c>
      <c r="DT838">
        <f>SUM(DO838:DP838)</f>
        <v>1</v>
      </c>
      <c r="DU838" s="143" t="str">
        <f>IF(DO838=1,"self-calculated DF",IF(DP838=1,"external DF used","explicit C balance"))</f>
        <v>external DF used</v>
      </c>
      <c r="DV838">
        <v>0</v>
      </c>
      <c r="DW838">
        <v>1</v>
      </c>
      <c r="DX838">
        <v>1</v>
      </c>
      <c r="DY838">
        <v>1</v>
      </c>
      <c r="DZ838">
        <v>1</v>
      </c>
      <c r="EA838" s="143">
        <v>0</v>
      </c>
      <c r="EB838">
        <v>1</v>
      </c>
      <c r="EC838">
        <v>1</v>
      </c>
      <c r="ED838">
        <v>0</v>
      </c>
      <c r="EE838">
        <v>1</v>
      </c>
      <c r="EF838">
        <v>1</v>
      </c>
      <c r="EG838">
        <v>1</v>
      </c>
      <c r="EH838">
        <v>0</v>
      </c>
      <c r="EI838" s="2">
        <v>0</v>
      </c>
      <c r="EK838" t="str">
        <f>IF(AND(AND(AND(OR($DX838=1,$DW838=1),OR($EC838=1,$EA838=1)),SUM($DV838:$DZ838,$EF838)&gt;=4),SUM($EA838:$EE838)&gt;=2),"Whole sector","")</f>
        <v>Whole sector</v>
      </c>
      <c r="EL838" t="str">
        <f>IF(AND(AND(OR($DX838=1,$DW838=1),AND($EC838=0,$EA838=0)),SUM($DV838:$DZ838,$EF838)&gt;=4),"Ecosystem approach","")</f>
        <v/>
      </c>
      <c r="EM838" s="2" t="str">
        <f>IF(AND(AND(AND($DX838=0,$DW838=0),OR($EC838=1,$EA838=1)),SUM($EB838:$EE838)&gt;=2),"Technology approach","")</f>
        <v/>
      </c>
      <c r="EP838" t="str">
        <f>IF(ISNUMBER(BU838),IF(ABS(BU838-[1]QC_indicators!$B$2)&gt;3*[1]QC_indicators!$C$2,"C ratio",IF(ISNUMBER(BY838),IF(ABS(BY838-[1]QC_indicators!$B$1)&gt;3*[1]QC_indicators!$C$1,"DF","no"))),IF(ISNUMBER(BY838),IF(ABS(BY838-[1]QC_indicators!$B$1)&gt;3*[1]QC_indicators!$C$1,"DF","no")))</f>
        <v>no</v>
      </c>
      <c r="EQ838" t="s">
        <v>286</v>
      </c>
      <c r="ET838" s="264" t="s">
        <v>3273</v>
      </c>
    </row>
    <row r="839" spans="1:151" ht="15" customHeight="1">
      <c r="D839" t="s">
        <v>757</v>
      </c>
      <c r="E839" t="s">
        <v>758</v>
      </c>
      <c r="G839" t="s">
        <v>759</v>
      </c>
      <c r="I839">
        <v>2006</v>
      </c>
      <c r="K839" s="296" t="s">
        <v>760</v>
      </c>
      <c r="M839" t="str">
        <f>LEFT($D839,FIND(",",$D839)-1)&amp;"_"&amp;I839&amp;L839</f>
        <v>Gustavsson_2006</v>
      </c>
      <c r="N839" t="s">
        <v>222</v>
      </c>
      <c r="O839" t="s">
        <v>223</v>
      </c>
      <c r="Q839" s="264" t="s">
        <v>256</v>
      </c>
      <c r="R839" s="269" t="s">
        <v>1154</v>
      </c>
      <c r="S839" s="263" t="s">
        <v>766</v>
      </c>
      <c r="T839" t="s">
        <v>753</v>
      </c>
      <c r="U839" s="143" t="s">
        <v>754</v>
      </c>
      <c r="V839">
        <v>0</v>
      </c>
      <c r="W839">
        <v>0</v>
      </c>
      <c r="X839">
        <v>0</v>
      </c>
      <c r="Y839">
        <v>0</v>
      </c>
      <c r="Z839">
        <v>0</v>
      </c>
      <c r="AA839">
        <v>0</v>
      </c>
      <c r="AB839">
        <v>0</v>
      </c>
      <c r="AC839">
        <v>0</v>
      </c>
      <c r="AD839">
        <v>0</v>
      </c>
      <c r="AE839">
        <v>0</v>
      </c>
      <c r="AF839">
        <v>0</v>
      </c>
      <c r="AG839">
        <v>0</v>
      </c>
      <c r="AH839">
        <v>0</v>
      </c>
      <c r="AI839">
        <v>0</v>
      </c>
      <c r="AJ839">
        <v>0</v>
      </c>
      <c r="AK839">
        <v>1</v>
      </c>
      <c r="AL839">
        <v>0</v>
      </c>
      <c r="AM839">
        <v>0</v>
      </c>
      <c r="AN839">
        <v>0</v>
      </c>
      <c r="AO839">
        <v>0</v>
      </c>
      <c r="AP839">
        <v>0</v>
      </c>
      <c r="AQ839">
        <v>0</v>
      </c>
      <c r="AR839">
        <v>0</v>
      </c>
      <c r="AS839">
        <v>0</v>
      </c>
      <c r="AT839">
        <v>0</v>
      </c>
      <c r="AU839">
        <v>0</v>
      </c>
      <c r="AV839">
        <v>0</v>
      </c>
      <c r="AW839">
        <v>0</v>
      </c>
      <c r="AX839" s="141">
        <f>COUNTIF(V839:AW839,"&lt;&gt;0")</f>
        <v>1</v>
      </c>
      <c r="AY839" s="141">
        <f>COUNTIF(V839:AL839,"&lt;&gt;0")</f>
        <v>1</v>
      </c>
      <c r="AZ839">
        <f>COUNTIF(V839:AC839,"&lt;&gt;0")</f>
        <v>0</v>
      </c>
      <c r="BA839">
        <f>COUNTIF(AD839:AI839,"&lt;&gt;0")</f>
        <v>0</v>
      </c>
      <c r="BB839">
        <f>COUNTIF(AJ839:AL839,"&lt;&gt;0")</f>
        <v>1</v>
      </c>
      <c r="BC839">
        <f>COUNTIF(AS839:AW839,"&lt;&gt;0")</f>
        <v>0</v>
      </c>
      <c r="BD839">
        <f>COUNTIF(AM839:AR839,"&lt;&gt;0")</f>
        <v>0</v>
      </c>
      <c r="BE839" t="str" cm="1">
        <f t="array" ref="BE839">IF(AY839=1,INDEX($V$7:$AL$7,MATCH(TRUE,INDEX($V839:$AW839&lt;&gt;0,),0)),IF(AY839=0,INDEX($AM$7:$AW$7,MATCH(1,$AM839:$AW839,0)),IF(BF839="Multiple strategies","mixed drivers",IF(BF839="Supply chain","multiple supply","multiple silviculture"))))</f>
        <v>technologies/design switch</v>
      </c>
      <c r="BF839" s="2" t="str" cm="1">
        <f t="array" ref="BF839">IF(COUNTIF(AZ839:BB839,"&lt;&gt;0")=1,INDEX($V$4:$AW$4,MATCH(TRUE,INDEX($V839:$AW839&lt;&gt;0,),0)),IF(COUNTIF(AZ839:BB839,"&lt;&gt;0")=0,INDEX($AM$4:$AW$4,MATCH(1,$AM839:$AW839,0)),"Multiple strategies"))</f>
        <v>Technology</v>
      </c>
      <c r="BG839" s="142" t="s">
        <v>229</v>
      </c>
      <c r="BH839" t="s">
        <v>393</v>
      </c>
      <c r="BI839" s="264" t="s">
        <v>762</v>
      </c>
      <c r="BJ839" s="143" t="s">
        <v>763</v>
      </c>
      <c r="BK839">
        <v>325</v>
      </c>
      <c r="BL839" s="143">
        <v>428</v>
      </c>
      <c r="BM839" s="143"/>
      <c r="BN839">
        <f>BL839-BK839</f>
        <v>103</v>
      </c>
      <c r="BO839" s="143">
        <f>BN839*t_to_m3</f>
        <v>210.20408163265307</v>
      </c>
      <c r="BP839" s="264" t="s">
        <v>232</v>
      </c>
      <c r="BQ839" s="155" t="s">
        <v>764</v>
      </c>
      <c r="BR839" t="s">
        <v>442</v>
      </c>
      <c r="BS839" s="143">
        <v>35.299999999999997</v>
      </c>
      <c r="BT839" s="151">
        <v>76.2</v>
      </c>
      <c r="BV839">
        <f>BT839-BS839</f>
        <v>40.900000000000006</v>
      </c>
      <c r="BX839">
        <f>BV839*C_to_CO2</f>
        <v>150.10300000000001</v>
      </c>
      <c r="BY839">
        <f>IFERROR(BX839/BO839,"")</f>
        <v>0.71408223300970874</v>
      </c>
      <c r="BZ839" s="143">
        <v>0</v>
      </c>
      <c r="CA839" s="143">
        <v>0</v>
      </c>
      <c r="CB839" s="143">
        <v>0</v>
      </c>
      <c r="CC839" s="143">
        <v>0</v>
      </c>
      <c r="CD839" s="143">
        <v>0</v>
      </c>
      <c r="CE839" s="143">
        <v>0</v>
      </c>
      <c r="CF839" s="143">
        <v>0</v>
      </c>
      <c r="CG839" s="143">
        <v>0</v>
      </c>
      <c r="CH839" s="143">
        <v>0</v>
      </c>
      <c r="CI839" s="143">
        <v>0</v>
      </c>
      <c r="CJ839" s="143">
        <v>0</v>
      </c>
      <c r="CK839" s="143">
        <v>0</v>
      </c>
      <c r="CL839" s="143">
        <v>0</v>
      </c>
      <c r="CM839">
        <v>0</v>
      </c>
      <c r="CN839" t="str">
        <f>IF($BL839&lt;$BK839,"refNeedCorrection","refOK")</f>
        <v>refOK</v>
      </c>
      <c r="CO839">
        <f>IF($CN839="refOK",$BK839,$BL839)</f>
        <v>325</v>
      </c>
      <c r="CP839">
        <f>IF($CN839="refOK",$BL839,$BK839)</f>
        <v>428</v>
      </c>
      <c r="CQ839">
        <f>IF($CN839="refOK",$BO839,-$BO839)</f>
        <v>210.20408163265307</v>
      </c>
      <c r="CR839">
        <f>IF($CN839="refOK",$BS839,$BT839)*IF($BP839="Emissions positive",-1,1)</f>
        <v>35.299999999999997</v>
      </c>
      <c r="CS839">
        <f>IF($CN839="refOK",$BT839,$BS839)*IF($BP839="Emissions positive",-1,1)</f>
        <v>76.2</v>
      </c>
      <c r="CT839">
        <f>IF($CN839="refNeedCorrection",-BX839,BX839)*IF($BP839="Emissions positive",-1,1)</f>
        <v>150.10300000000001</v>
      </c>
      <c r="CU839">
        <f>IFERROR(CT839/CQ839,"")</f>
        <v>0.71408223300970874</v>
      </c>
      <c r="CV839" s="2">
        <f>IFERROR((CS839-CR839)/ABS(CR839),"")</f>
        <v>1.1586402266288955</v>
      </c>
      <c r="CW839" s="1" t="s">
        <v>263</v>
      </c>
      <c r="CX839" s="264" t="str">
        <f>IF(OR($CW839="prd",$CW839="std",$CW839="cit"),"loc",IF(OR($CW839="eur",$CW839="reg",$CW839="coy"),"reg",$CW839))</f>
        <v>loc</v>
      </c>
      <c r="CY839" t="s">
        <v>235</v>
      </c>
      <c r="DA839" s="143"/>
      <c r="DB839" s="143">
        <v>100</v>
      </c>
      <c r="DC839" t="str">
        <f>IF(DB839=0,"0",IF(AND(DB839&gt;=1,DB839&lt;=30),"1-30",IF(AND(DB839&gt;30,DB839&lt;=70),"31-70",IF(AND(DB839&gt;70,DB839&lt;=100),"71-100",IF(DB839&gt;100,"+100")))))</f>
        <v>71-100</v>
      </c>
      <c r="DD839">
        <v>0</v>
      </c>
      <c r="DE839">
        <v>0</v>
      </c>
      <c r="DF839">
        <v>0</v>
      </c>
      <c r="DG839">
        <v>1</v>
      </c>
      <c r="DI839">
        <f>SUM(DD839:DG839)</f>
        <v>1</v>
      </c>
      <c r="DJ839" t="str">
        <f>IF(DI839=1,INDEX($DD$7:$DG$7,MATCH(1,$DD839:$DG839,0)),"mixedProduct")</f>
        <v>TimberInput</v>
      </c>
      <c r="DK839">
        <f>IF(DD839=1,DK$7,0)</f>
        <v>0</v>
      </c>
      <c r="DL839">
        <f>IF(DE839=1,DL$7,0)</f>
        <v>0</v>
      </c>
      <c r="DM839">
        <f>IF(DF839=1,DM$7,0)</f>
        <v>0</v>
      </c>
      <c r="DN839" t="str">
        <f>IF(DG839=1,DN$7,0)</f>
        <v>Timber</v>
      </c>
      <c r="DO839">
        <v>1</v>
      </c>
      <c r="DP839" s="143">
        <v>0</v>
      </c>
      <c r="DQ839" s="143">
        <v>0</v>
      </c>
      <c r="DR839">
        <v>0</v>
      </c>
      <c r="DS839" s="143">
        <v>0</v>
      </c>
      <c r="DT839">
        <f>SUM(DO839:DP839)</f>
        <v>1</v>
      </c>
      <c r="DU839" s="143" t="str">
        <f>IF(DO839=1,"self-calculated DF",IF(DP839=1,"external DF used","explicit C balance"))</f>
        <v>self-calculated DF</v>
      </c>
      <c r="DV839" s="143">
        <v>0</v>
      </c>
      <c r="DW839" s="143">
        <v>0</v>
      </c>
      <c r="DX839" s="143">
        <v>0</v>
      </c>
      <c r="DY839" s="143">
        <v>1</v>
      </c>
      <c r="DZ839">
        <v>0</v>
      </c>
      <c r="EA839" s="143">
        <v>1</v>
      </c>
      <c r="EB839" s="143">
        <v>1</v>
      </c>
      <c r="EC839" s="143">
        <v>1</v>
      </c>
      <c r="ED839" s="143">
        <v>0</v>
      </c>
      <c r="EE839">
        <v>0</v>
      </c>
      <c r="EF839">
        <v>0</v>
      </c>
      <c r="EG839" s="143">
        <v>0</v>
      </c>
      <c r="EH839" s="143">
        <v>0</v>
      </c>
      <c r="EI839" s="2">
        <v>0</v>
      </c>
      <c r="EK839" t="str">
        <f>IF(AND(AND(AND(OR($DX839=1,$DW839=1),OR($EC839=1,$EA839=1)),SUM($DV839:$DZ839,$EF839)&gt;=4),SUM($EA839:$EE839)&gt;=2),"Whole sector","")</f>
        <v/>
      </c>
      <c r="EL839" t="str">
        <f>IF(AND(AND(OR($DX839=1,$DW839=1),AND($EC839=0,$EA839=0)),SUM($DV839:$DZ839,$EF839)&gt;=4),"Ecosystem approach","")</f>
        <v/>
      </c>
      <c r="EM839" s="2" t="str">
        <f>IF(AND(AND(AND($DX839=0,$DW839=0),OR($EC839=1,$EA839=1)),SUM($EB839:$EE839)&gt;=2),"Technology approach","")</f>
        <v>Technology approach</v>
      </c>
      <c r="EN839" t="s">
        <v>769</v>
      </c>
      <c r="EP839" t="str">
        <f>IF(ISNUMBER(BU839),IF(ABS(BU839-[3]QC_indicators!$B$2)&gt;3*[3]QC_indicators!$C$2,"C ratio",IF(ISNUMBER(BY839),IF(ABS(BY839-[3]QC_indicators!$B$1)&gt;3*[3]QC_indicators!$C$1,"DF","no"))),IF(ISNUMBER(BY839),IF(ABS(BY839-[3]QC_indicators!$B$1)&gt;3*[3]QC_indicators!$C$1,"DF","no")))</f>
        <v>no</v>
      </c>
      <c r="EQ839" t="s">
        <v>286</v>
      </c>
      <c r="ER839" s="294" t="s">
        <v>349</v>
      </c>
      <c r="ET839" s="264" t="s">
        <v>3407</v>
      </c>
    </row>
    <row r="840" spans="1:151" ht="15" customHeight="1">
      <c r="A840" s="1" t="s">
        <v>545</v>
      </c>
      <c r="B840" t="s">
        <v>546</v>
      </c>
      <c r="C840" t="s">
        <v>547</v>
      </c>
      <c r="D840" t="s">
        <v>548</v>
      </c>
      <c r="E840" t="s">
        <v>549</v>
      </c>
      <c r="F840" t="s">
        <v>550</v>
      </c>
      <c r="G840" t="s">
        <v>551</v>
      </c>
      <c r="H840" t="s">
        <v>254</v>
      </c>
      <c r="I840">
        <v>2017</v>
      </c>
      <c r="J840">
        <v>3</v>
      </c>
      <c r="K840" t="s">
        <v>552</v>
      </c>
      <c r="M840" t="str">
        <f>LEFT($D840,FIND(",",$D840)-1)&amp;"_"&amp;I840&amp;L840</f>
        <v>Crafford_2017</v>
      </c>
      <c r="N840" t="s">
        <v>222</v>
      </c>
      <c r="O840" s="145" t="s">
        <v>223</v>
      </c>
      <c r="Q840" t="s">
        <v>256</v>
      </c>
      <c r="R840" s="255" t="s">
        <v>225</v>
      </c>
      <c r="S840" s="1" t="s">
        <v>559</v>
      </c>
      <c r="T840" t="s">
        <v>560</v>
      </c>
      <c r="U840" t="s">
        <v>555</v>
      </c>
      <c r="V840">
        <v>0</v>
      </c>
      <c r="W840">
        <v>0</v>
      </c>
      <c r="X840">
        <v>0</v>
      </c>
      <c r="Y840">
        <v>0</v>
      </c>
      <c r="Z840">
        <v>0</v>
      </c>
      <c r="AA840">
        <v>0</v>
      </c>
      <c r="AB840">
        <v>0</v>
      </c>
      <c r="AC840">
        <v>0</v>
      </c>
      <c r="AD840">
        <v>0</v>
      </c>
      <c r="AE840">
        <v>0</v>
      </c>
      <c r="AF840">
        <v>0</v>
      </c>
      <c r="AG840">
        <v>0</v>
      </c>
      <c r="AH840">
        <v>0</v>
      </c>
      <c r="AI840">
        <v>0</v>
      </c>
      <c r="AJ840">
        <v>0</v>
      </c>
      <c r="AK840">
        <v>1</v>
      </c>
      <c r="AL840">
        <v>0</v>
      </c>
      <c r="AM840">
        <v>0</v>
      </c>
      <c r="AN840">
        <v>0</v>
      </c>
      <c r="AO840">
        <v>0</v>
      </c>
      <c r="AP840">
        <v>0</v>
      </c>
      <c r="AQ840">
        <v>0</v>
      </c>
      <c r="AR840">
        <v>0</v>
      </c>
      <c r="AS840">
        <v>0</v>
      </c>
      <c r="AT840">
        <v>0</v>
      </c>
      <c r="AU840">
        <v>0</v>
      </c>
      <c r="AV840">
        <v>0</v>
      </c>
      <c r="AW840">
        <v>0</v>
      </c>
      <c r="AX840" s="141">
        <f>COUNTIF(V840:AW840,"&lt;&gt;0")</f>
        <v>1</v>
      </c>
      <c r="AY840" s="141">
        <f>COUNTIF(V840:AL840,"&lt;&gt;0")</f>
        <v>1</v>
      </c>
      <c r="AZ840">
        <f>COUNTIF(V840:AC840,"&lt;&gt;0")</f>
        <v>0</v>
      </c>
      <c r="BA840">
        <f>COUNTIF(AD840:AI840,"&lt;&gt;0")</f>
        <v>0</v>
      </c>
      <c r="BB840">
        <f>COUNTIF(AJ840:AL840,"&lt;&gt;0")</f>
        <v>1</v>
      </c>
      <c r="BC840">
        <f>COUNTIF(AS840:AW840,"&lt;&gt;0")</f>
        <v>0</v>
      </c>
      <c r="BD840">
        <f>COUNTIF(AM840:AR840,"&lt;&gt;0")</f>
        <v>0</v>
      </c>
      <c r="BE840" t="str">
        <f t="array" ref="BE840">IF(AY840=1,INDEX($V$7:$AL$7,MATCH(TRUE,INDEX($V840:$AW840&lt;&gt;0,),0)),IF(AY840=0,INDEX($AM$7:$AW$7,MATCH(1,$AM840:$AW840,0)),IF(BF840="Multiple strategies","mixed drivers",IF(BF840="Supply chain","multiple supply","multiple silviculture"))))</f>
        <v>technologies/design switch</v>
      </c>
      <c r="BF840" s="2" t="str" cm="1">
        <f t="array" ref="BF840">IF(COUNTIF(AZ840:BB840,"&lt;&gt;0")=1,INDEX($V$4:$AW$4,MATCH(TRUE,INDEX($V840:$AW840&lt;&gt;0,),0)),IF(COUNTIF(AZ840:BB840,"&lt;&gt;0")=0,INDEX($AM$4:$AW$4,MATCH(1,$AM840:$AW840,0)),"Multiple strategies"))</f>
        <v>Technology</v>
      </c>
      <c r="BG840" s="1" t="s">
        <v>229</v>
      </c>
      <c r="BH840" t="s">
        <v>556</v>
      </c>
      <c r="BI840" t="s">
        <v>424</v>
      </c>
      <c r="BJ840" t="s">
        <v>498</v>
      </c>
      <c r="BK840">
        <v>0</v>
      </c>
      <c r="BL840">
        <v>1.33</v>
      </c>
      <c r="BN840">
        <f>BL840-BK840</f>
        <v>1.33</v>
      </c>
      <c r="BO840">
        <f>BN840</f>
        <v>1.33</v>
      </c>
      <c r="BP840" t="s">
        <v>232</v>
      </c>
      <c r="BQ840" s="260" t="s">
        <v>3293</v>
      </c>
      <c r="BR840" t="s">
        <v>397</v>
      </c>
      <c r="BS840">
        <v>-1038</v>
      </c>
      <c r="BT840">
        <v>-85</v>
      </c>
      <c r="BU840" s="144">
        <v>8.1888246628131017E-2</v>
      </c>
      <c r="BV840">
        <v>953</v>
      </c>
      <c r="BX840">
        <f>BV840/1000</f>
        <v>0.95299999999999996</v>
      </c>
      <c r="BY840">
        <f>IFERROR(BX840/BO840,"")</f>
        <v>0.71654135338345859</v>
      </c>
      <c r="BZ840">
        <v>1</v>
      </c>
      <c r="CA840">
        <v>0</v>
      </c>
      <c r="CB840">
        <v>0</v>
      </c>
      <c r="CC840">
        <v>0</v>
      </c>
      <c r="CD840">
        <v>0</v>
      </c>
      <c r="CE840">
        <v>0</v>
      </c>
      <c r="CF840">
        <v>0</v>
      </c>
      <c r="CG840">
        <v>0</v>
      </c>
      <c r="CH840">
        <v>0</v>
      </c>
      <c r="CI840">
        <v>0</v>
      </c>
      <c r="CJ840">
        <v>0</v>
      </c>
      <c r="CK840">
        <v>0</v>
      </c>
      <c r="CL840">
        <v>0</v>
      </c>
      <c r="CM840">
        <v>0</v>
      </c>
      <c r="CN840" t="str">
        <f>IF($BL840&lt;$BK840,"refNeedCorrection","refOK")</f>
        <v>refOK</v>
      </c>
      <c r="CO840">
        <f>IF($CN840="refOK",$BK840,$BL840)</f>
        <v>0</v>
      </c>
      <c r="CP840">
        <f>IF($CN840="refOK",$BL840,$BK840)</f>
        <v>1.33</v>
      </c>
      <c r="CQ840">
        <f>IF($CN840="refOK",$BO840,-$BO840)</f>
        <v>1.33</v>
      </c>
      <c r="CR840">
        <f>IF($CN840="refOK",$BS840,$BT840)*IF($BP840="Emissions positive",-1,1)</f>
        <v>-1038</v>
      </c>
      <c r="CS840">
        <f>IF($CN840="refOK",$BT840,$BS840)*IF($BP840="Emissions positive",-1,1)</f>
        <v>-85</v>
      </c>
      <c r="CT840">
        <f>IF($CN840="refNeedCorrection",-BX840,BX840)*IF($BP840="Emissions positive",-1,1)</f>
        <v>0.95299999999999996</v>
      </c>
      <c r="CU840">
        <f>IFERROR(CT840/CQ840,"")</f>
        <v>0.71654135338345859</v>
      </c>
      <c r="CV840" s="2">
        <f>IFERROR((CS840-CR840)/ABS(CR840),"")</f>
        <v>0.91811175337186901</v>
      </c>
      <c r="CW840" s="1" t="s">
        <v>263</v>
      </c>
      <c r="CX840" t="str">
        <f>IF(OR($CW840="prd",$CW840="std",$CW840="cit"),"loc",IF(OR($CW840="eur",$CW840="reg",$CW840="coy"),"reg",$CW840))</f>
        <v>loc</v>
      </c>
      <c r="CY840" t="s">
        <v>557</v>
      </c>
      <c r="DB840">
        <v>0</v>
      </c>
      <c r="DC840" t="str">
        <f>IF(DB840=0,"0",IF(AND(DB840&gt;=1,DB840&lt;=30),"1-30",IF(AND(DB840&gt;30,DB840&lt;=70),"31-70",IF(AND(DB840&gt;70,DB840&lt;=100),"71-100",IF(DB840&gt;100,"+100")))))</f>
        <v>0</v>
      </c>
      <c r="DD840">
        <v>0</v>
      </c>
      <c r="DE840">
        <v>0</v>
      </c>
      <c r="DF840">
        <v>0</v>
      </c>
      <c r="DG840">
        <v>1</v>
      </c>
      <c r="DI840">
        <f>SUM(DD840:DG840)</f>
        <v>1</v>
      </c>
      <c r="DJ840" t="str">
        <f>IF(DI840=1,INDEX($DD$7:$DG$7,MATCH(1,$DD840:$DG840,0)),"mixedProduct")</f>
        <v>TimberInput</v>
      </c>
      <c r="DK840">
        <f>IF(DD840=1,DK$7,0)</f>
        <v>0</v>
      </c>
      <c r="DL840">
        <f>IF(DE840=1,DL$7,0)</f>
        <v>0</v>
      </c>
      <c r="DM840">
        <f>IF(DF840=1,DM$7,0)</f>
        <v>0</v>
      </c>
      <c r="DN840" t="str">
        <f>IF(DG840=1,DN$7,0)</f>
        <v>Timber</v>
      </c>
      <c r="DO840">
        <v>0</v>
      </c>
      <c r="DP840">
        <v>0</v>
      </c>
      <c r="DQ840">
        <v>0</v>
      </c>
      <c r="DR840">
        <v>0</v>
      </c>
      <c r="DS840">
        <v>0</v>
      </c>
      <c r="DT840">
        <f>SUM(DO840:DP840)</f>
        <v>0</v>
      </c>
      <c r="DU840" s="143" t="str">
        <f>IF(DO840=1,"self-calculated DF",IF(DP840=1,"external DF used","explicit C balance"))</f>
        <v>explicit C balance</v>
      </c>
      <c r="DV840">
        <v>0</v>
      </c>
      <c r="DW840">
        <v>0</v>
      </c>
      <c r="DX840">
        <v>0</v>
      </c>
      <c r="DY840">
        <v>1</v>
      </c>
      <c r="DZ840">
        <v>1</v>
      </c>
      <c r="EA840" s="143">
        <v>0</v>
      </c>
      <c r="EB840">
        <v>0</v>
      </c>
      <c r="EC840">
        <v>1</v>
      </c>
      <c r="ED840">
        <v>0</v>
      </c>
      <c r="EE840">
        <v>1</v>
      </c>
      <c r="EF840">
        <v>0</v>
      </c>
      <c r="EG840">
        <v>0</v>
      </c>
      <c r="EH840">
        <v>0</v>
      </c>
      <c r="EI840" s="2">
        <v>0</v>
      </c>
      <c r="EK840" t="str">
        <f>IF(AND(AND(AND(OR($DX840=1,$DW840=1),OR($EC840=1,$EA840=1)),SUM($DV840:$DZ840,$EF840)&gt;=4),SUM($EA840:$EE840)&gt;=2),"Whole sector","")</f>
        <v/>
      </c>
      <c r="EL840" t="str">
        <f>IF(AND(AND(OR($DX840=1,$DW840=1),AND($EC840=0,$EA840=0)),SUM($DV840:$DZ840,$EF840)&gt;=4),"Ecosystem approach","")</f>
        <v/>
      </c>
      <c r="EM840" s="2" t="str">
        <f>IF(AND(AND(AND($DX840=0,$DW840=0),OR($EC840=1,$EA840=1)),SUM($EB840:$EE840)&gt;=2),"Technology approach","")</f>
        <v>Technology approach</v>
      </c>
      <c r="EP840" t="str">
        <f>IF(ISNUMBER(BU840),IF(ABS(BU840-[4]QC_indicators!$B$2)&gt;3*[4]QC_indicators!$C$2,"C ratio",IF(ISNUMBER(BY840),IF(ABS(BY840-[4]QC_indicators!$B$1)&gt;3*[4]QC_indicators!$C$1,"DF","no"))),IF(ISNUMBER(BY840),IF(ABS(BY840-[4]QC_indicators!$B$1)&gt;3*[4]QC_indicators!$C$1,"DF","no")))</f>
        <v>no</v>
      </c>
      <c r="ER840" s="149" t="s">
        <v>349</v>
      </c>
      <c r="ET840" s="264" t="s">
        <v>3273</v>
      </c>
    </row>
    <row r="841" spans="1:151" ht="15" customHeight="1">
      <c r="A841" s="1" t="s">
        <v>1233</v>
      </c>
      <c r="B841" t="s">
        <v>1234</v>
      </c>
      <c r="C841" t="s">
        <v>1235</v>
      </c>
      <c r="D841" t="s">
        <v>336</v>
      </c>
      <c r="E841" t="s">
        <v>1236</v>
      </c>
      <c r="F841" t="s">
        <v>1237</v>
      </c>
      <c r="G841" t="s">
        <v>1238</v>
      </c>
      <c r="I841">
        <v>2018</v>
      </c>
      <c r="K841" t="s">
        <v>1239</v>
      </c>
      <c r="M841" t="str">
        <f>LEFT($D841,FIND(",",$D841)-1)&amp;"_"&amp;I841&amp;L841</f>
        <v>Balasbaneh_2018</v>
      </c>
      <c r="N841" t="s">
        <v>222</v>
      </c>
      <c r="O841" s="140" t="s">
        <v>513</v>
      </c>
      <c r="Q841" t="s">
        <v>224</v>
      </c>
      <c r="R841" s="262" t="s">
        <v>223</v>
      </c>
      <c r="S841" s="1" t="s">
        <v>1269</v>
      </c>
      <c r="T841" s="264" t="s">
        <v>3110</v>
      </c>
      <c r="U841" s="264" t="s">
        <v>3111</v>
      </c>
      <c r="V841">
        <v>0</v>
      </c>
      <c r="W841">
        <v>0</v>
      </c>
      <c r="X841">
        <v>0</v>
      </c>
      <c r="Y841">
        <v>0</v>
      </c>
      <c r="Z841">
        <v>0</v>
      </c>
      <c r="AA841">
        <v>0</v>
      </c>
      <c r="AB841">
        <v>0</v>
      </c>
      <c r="AC841">
        <v>0</v>
      </c>
      <c r="AD841">
        <v>0</v>
      </c>
      <c r="AE841">
        <v>0</v>
      </c>
      <c r="AF841">
        <v>0</v>
      </c>
      <c r="AG841">
        <v>0</v>
      </c>
      <c r="AH841">
        <v>0</v>
      </c>
      <c r="AI841">
        <v>0</v>
      </c>
      <c r="AJ841">
        <v>0</v>
      </c>
      <c r="AK841">
        <v>1</v>
      </c>
      <c r="AL841">
        <v>0</v>
      </c>
      <c r="AM841">
        <v>0</v>
      </c>
      <c r="AN841">
        <v>0</v>
      </c>
      <c r="AO841">
        <v>0</v>
      </c>
      <c r="AP841">
        <v>0</v>
      </c>
      <c r="AQ841">
        <v>0</v>
      </c>
      <c r="AR841">
        <v>0</v>
      </c>
      <c r="AS841">
        <v>0</v>
      </c>
      <c r="AT841">
        <v>0</v>
      </c>
      <c r="AU841">
        <v>0</v>
      </c>
      <c r="AV841">
        <v>0</v>
      </c>
      <c r="AW841">
        <v>0</v>
      </c>
      <c r="AX841" s="141">
        <f>COUNTIF(V841:AW841,"&lt;&gt;0")</f>
        <v>1</v>
      </c>
      <c r="AY841" s="141">
        <f>COUNTIF(V841:AL841,"&lt;&gt;0")</f>
        <v>1</v>
      </c>
      <c r="AZ841">
        <f>COUNTIF(V841:AC841,"&lt;&gt;0")</f>
        <v>0</v>
      </c>
      <c r="BA841">
        <f>COUNTIF(AD841:AI841,"&lt;&gt;0")</f>
        <v>0</v>
      </c>
      <c r="BB841">
        <f>COUNTIF(AJ841:AL841,"&lt;&gt;0")</f>
        <v>1</v>
      </c>
      <c r="BC841">
        <f>COUNTIF(AS841:AW841,"&lt;&gt;0")</f>
        <v>0</v>
      </c>
      <c r="BD841">
        <f>COUNTIF(AM841:AR841,"&lt;&gt;0")</f>
        <v>0</v>
      </c>
      <c r="BE841" t="str">
        <f t="array" ref="BE841">IF(AY841=1,INDEX($V$7:$AL$7,MATCH(TRUE,INDEX($V841:$AW841&lt;&gt;0,),0)),IF(AY841=0,INDEX($AM$7:$AW$7,MATCH(1,$AM841:$AW841,0)),IF(BF841="Multiple strategies","mixed drivers",IF(BF841="Supply chain","multiple supply","multiple silviculture"))))</f>
        <v>technologies/design switch</v>
      </c>
      <c r="BF841" s="2" t="str" cm="1">
        <f t="array" ref="BF841">IF(COUNTIF(AZ841:BB841,"&lt;&gt;0")=1,INDEX($V$4:$AW$4,MATCH(TRUE,INDEX($V841:$AW841&lt;&gt;0,),0)),IF(COUNTIF(AZ841:BB841,"&lt;&gt;0")=0,INDEX($AM$4:$AW$4,MATCH(1,$AM841:$AW841,0)),"Multiple strategies"))</f>
        <v>Technology</v>
      </c>
      <c r="BG841" s="1" t="s">
        <v>229</v>
      </c>
      <c r="BH841" t="s">
        <v>229</v>
      </c>
      <c r="BJ841" t="s">
        <v>345</v>
      </c>
      <c r="BK841">
        <v>0</v>
      </c>
      <c r="BL841">
        <v>15468</v>
      </c>
      <c r="BM841" s="143"/>
      <c r="BN841">
        <f>BL841-BK841</f>
        <v>15468</v>
      </c>
      <c r="BO841" s="143">
        <f>BN841*kg_to_m3</f>
        <v>31.567346938775515</v>
      </c>
      <c r="BP841" t="s">
        <v>232</v>
      </c>
      <c r="BQ841" s="337" t="s">
        <v>1057</v>
      </c>
      <c r="BR841" t="s">
        <v>397</v>
      </c>
      <c r="BS841">
        <v>-28500</v>
      </c>
      <c r="BT841">
        <v>-5840</v>
      </c>
      <c r="BU841" s="144">
        <v>0.20491228070175438</v>
      </c>
      <c r="BV841">
        <v>22660</v>
      </c>
      <c r="BX841">
        <f>BV841/1000</f>
        <v>22.66</v>
      </c>
      <c r="BY841">
        <f>IFERROR(BX841/BO841,"")</f>
        <v>0.71783035945177132</v>
      </c>
      <c r="BZ841">
        <v>0</v>
      </c>
      <c r="CA841">
        <v>0</v>
      </c>
      <c r="CB841">
        <v>0</v>
      </c>
      <c r="CC841">
        <v>0</v>
      </c>
      <c r="CD841">
        <v>0</v>
      </c>
      <c r="CE841">
        <v>0</v>
      </c>
      <c r="CF841">
        <v>0</v>
      </c>
      <c r="CG841">
        <v>0</v>
      </c>
      <c r="CH841">
        <v>0</v>
      </c>
      <c r="CI841">
        <v>0</v>
      </c>
      <c r="CJ841">
        <v>0</v>
      </c>
      <c r="CK841">
        <v>0</v>
      </c>
      <c r="CL841">
        <v>0</v>
      </c>
      <c r="CM841">
        <v>0</v>
      </c>
      <c r="CN841" t="str">
        <f>IF($BL841&lt;$BK841,"refNeedCorrection","refOK")</f>
        <v>refOK</v>
      </c>
      <c r="CO841">
        <f>IF($CN841="refNeedCorrection",BL841,BK841)</f>
        <v>0</v>
      </c>
      <c r="CP841">
        <f>IF($CN841="refNeedCorrection",BK841,BL841)</f>
        <v>15468</v>
      </c>
      <c r="CQ841">
        <f>IF($CN841="refOK",$BO841,-$BO841)</f>
        <v>31.567346938775515</v>
      </c>
      <c r="CR841">
        <f>IF($CN841="refOK",$BS841,$BT841)*IF($BP841="Emissions positive",-1,1)</f>
        <v>-28500</v>
      </c>
      <c r="CS841">
        <f>IF($CN841="refOK",$BT841,$BS841)*IF($BP841="Emissions positive",-1,1)</f>
        <v>-5840</v>
      </c>
      <c r="CT841">
        <f>IF($CN841="refNeedCorrection",-BX841,BX841)*IF($BP841="Emissions positive",-1,1)</f>
        <v>22.66</v>
      </c>
      <c r="CU841">
        <f>IFERROR(CT841/CQ841,"")</f>
        <v>0.71783035945177132</v>
      </c>
      <c r="CV841" s="2">
        <f>IFERROR((CS841-CR841)/ABS(CR841),"")</f>
        <v>0.79508771929824562</v>
      </c>
      <c r="CW841" s="1" t="s">
        <v>1203</v>
      </c>
      <c r="CX841" t="str">
        <f>IF(OR($CW841="prd",$CW841="std",$CW841="cit"),"loc",IF(OR($CW841="eur",$CW841="reg",$CW841="coy"),"reg",$CW841))</f>
        <v>reg</v>
      </c>
      <c r="CY841" t="s">
        <v>348</v>
      </c>
      <c r="CZ841">
        <v>2014</v>
      </c>
      <c r="DA841">
        <v>2034</v>
      </c>
      <c r="DB841">
        <v>20</v>
      </c>
      <c r="DC841" t="str">
        <f>IF(DB841=0,"0",IF(AND(DB841&gt;=1,DB841&lt;=30),"1-30",IF(AND(DB841&gt;30,DB841&lt;=70),"31-70",IF(AND(DB841&gt;70,DB841&lt;=100),"71-100",IF(DB841&gt;100,"+100")))))</f>
        <v>1-30</v>
      </c>
      <c r="DD841">
        <v>0</v>
      </c>
      <c r="DE841">
        <v>0</v>
      </c>
      <c r="DF841">
        <v>0</v>
      </c>
      <c r="DG841">
        <v>1</v>
      </c>
      <c r="DI841">
        <f>SUM(DD841:DG841)</f>
        <v>1</v>
      </c>
      <c r="DJ841" t="str">
        <f>IF(DI841=1,INDEX($DD$7:$DG$7,MATCH(1,$DD841:$DG841,0)),"mixedProduct")</f>
        <v>TimberInput</v>
      </c>
      <c r="DK841">
        <f>IF(DD841=1,DK$7,0)</f>
        <v>0</v>
      </c>
      <c r="DL841">
        <f>IF(DE841=1,DL$7,0)</f>
        <v>0</v>
      </c>
      <c r="DM841">
        <f>IF(DF841=1,DM$7,0)</f>
        <v>0</v>
      </c>
      <c r="DN841" t="str">
        <f>IF(DG841=1,DN$7,0)</f>
        <v>Timber</v>
      </c>
      <c r="DO841">
        <v>0</v>
      </c>
      <c r="DP841">
        <v>0</v>
      </c>
      <c r="DQ841">
        <v>0</v>
      </c>
      <c r="DR841">
        <v>0</v>
      </c>
      <c r="DS841">
        <v>0</v>
      </c>
      <c r="DT841">
        <f>SUM(DO841:DP841)</f>
        <v>0</v>
      </c>
      <c r="DU841" s="143" t="str">
        <f>IF(DO841=1,"self-calculated DF",IF(DP841=1,"external DF used","explicit C balance"))</f>
        <v>explicit C balance</v>
      </c>
      <c r="DV841">
        <v>0</v>
      </c>
      <c r="DW841">
        <v>0</v>
      </c>
      <c r="DX841">
        <v>0</v>
      </c>
      <c r="DY841">
        <v>0</v>
      </c>
      <c r="DZ841">
        <v>0</v>
      </c>
      <c r="EA841" s="143">
        <v>1</v>
      </c>
      <c r="EB841">
        <v>0</v>
      </c>
      <c r="EC841">
        <v>1</v>
      </c>
      <c r="ED841">
        <v>1</v>
      </c>
      <c r="EE841">
        <v>1</v>
      </c>
      <c r="EF841">
        <v>0</v>
      </c>
      <c r="EG841">
        <v>0</v>
      </c>
      <c r="EH841">
        <v>0</v>
      </c>
      <c r="EI841" s="2">
        <v>0</v>
      </c>
      <c r="EK841" t="str">
        <f>IF(AND(AND(AND(OR($DX841=1,$DW841=1),OR($EC841=1,$EA841=1)),SUM($DV841:$DZ841,$EF841)&gt;=4),SUM($EA841:$EE841)&gt;=2),"Whole sector","")</f>
        <v/>
      </c>
      <c r="EL841" t="str">
        <f>IF(AND(AND(OR($DX841=1,$DW841=1),AND($EC841=0,$EA841=0)),SUM($DV841:$DZ841,$EF841)&gt;=4),"Ecosystem approach","")</f>
        <v/>
      </c>
      <c r="EM841" s="2" t="str">
        <f>IF(AND(AND(AND($DX841=0,$DW841=0),OR($EC841=1,$EA841=1)),SUM($EB841:$EE841)&gt;=2),"Technology approach","")</f>
        <v>Technology approach</v>
      </c>
      <c r="EP841" t="str">
        <f>IF(ISNUMBER(BU841),IF(ABS(BU841-[1]QC_indicators!$B$2)&gt;3*[1]QC_indicators!$C$2,"C ratio",IF(ISNUMBER(BY841),IF(ABS(BY841-[1]QC_indicators!$B$1)&gt;3*[1]QC_indicators!$C$1,"DF","no"))),IF(ISNUMBER(BY841),IF(ABS(BY841-[1]QC_indicators!$B$1)&gt;3*[1]QC_indicators!$C$1,"DF","no")))</f>
        <v>no</v>
      </c>
      <c r="ER841" s="149" t="s">
        <v>349</v>
      </c>
      <c r="ET841" s="264" t="s">
        <v>3273</v>
      </c>
    </row>
    <row r="842" spans="1:151" ht="15" customHeight="1">
      <c r="A842" s="1" t="s">
        <v>1760</v>
      </c>
      <c r="B842" t="s">
        <v>1761</v>
      </c>
      <c r="C842" t="s">
        <v>1762</v>
      </c>
      <c r="D842" t="s">
        <v>1763</v>
      </c>
      <c r="E842" t="s">
        <v>1764</v>
      </c>
      <c r="F842" t="s">
        <v>1765</v>
      </c>
      <c r="G842" t="s">
        <v>1766</v>
      </c>
      <c r="H842" t="s">
        <v>254</v>
      </c>
      <c r="I842">
        <v>2021</v>
      </c>
      <c r="J842">
        <v>6</v>
      </c>
      <c r="K842" t="s">
        <v>1767</v>
      </c>
      <c r="M842" t="str">
        <f>LEFT($D842,FIND(",",$D842)-1)&amp;"_"&amp;I842&amp;L842</f>
        <v>Jonsson_2021</v>
      </c>
      <c r="N842" t="s">
        <v>222</v>
      </c>
      <c r="O842" s="145" t="s">
        <v>513</v>
      </c>
      <c r="Q842" t="s">
        <v>256</v>
      </c>
      <c r="R842" s="2" t="s">
        <v>274</v>
      </c>
      <c r="S842" s="1" t="s">
        <v>1776</v>
      </c>
      <c r="T842" t="s">
        <v>1111</v>
      </c>
      <c r="U842" t="s">
        <v>1775</v>
      </c>
      <c r="V842">
        <v>0</v>
      </c>
      <c r="W842">
        <v>1</v>
      </c>
      <c r="X842">
        <v>0</v>
      </c>
      <c r="Y842">
        <v>0</v>
      </c>
      <c r="Z842">
        <v>0</v>
      </c>
      <c r="AA842">
        <v>0</v>
      </c>
      <c r="AB842">
        <v>0</v>
      </c>
      <c r="AC842">
        <v>0</v>
      </c>
      <c r="AD842">
        <v>0</v>
      </c>
      <c r="AE842">
        <v>0</v>
      </c>
      <c r="AF842">
        <v>2</v>
      </c>
      <c r="AG842">
        <v>0</v>
      </c>
      <c r="AH842">
        <v>0</v>
      </c>
      <c r="AI842">
        <v>0</v>
      </c>
      <c r="AJ842">
        <v>0</v>
      </c>
      <c r="AK842">
        <v>0</v>
      </c>
      <c r="AL842">
        <v>0</v>
      </c>
      <c r="AM842">
        <v>0</v>
      </c>
      <c r="AN842">
        <v>0</v>
      </c>
      <c r="AO842">
        <v>0</v>
      </c>
      <c r="AP842">
        <v>0</v>
      </c>
      <c r="AQ842">
        <v>0</v>
      </c>
      <c r="AR842">
        <v>0</v>
      </c>
      <c r="AS842">
        <v>0</v>
      </c>
      <c r="AT842">
        <v>0</v>
      </c>
      <c r="AU842">
        <v>0</v>
      </c>
      <c r="AV842">
        <v>0</v>
      </c>
      <c r="AW842">
        <v>0</v>
      </c>
      <c r="AX842" s="141">
        <f>COUNTIF(V842:AW842,"&lt;&gt;0")</f>
        <v>2</v>
      </c>
      <c r="AY842" s="141">
        <f>COUNTIF(V842:AL842,"&lt;&gt;0")</f>
        <v>2</v>
      </c>
      <c r="AZ842">
        <f>COUNTIF(V842:AC842,"&lt;&gt;0")</f>
        <v>1</v>
      </c>
      <c r="BA842">
        <f>COUNTIF(AD842:AI842,"&lt;&gt;0")</f>
        <v>1</v>
      </c>
      <c r="BB842">
        <f>COUNTIF(AJ842:AL842,"&lt;&gt;0")</f>
        <v>0</v>
      </c>
      <c r="BC842">
        <f>COUNTIF(AS842:AW842,"&lt;&gt;0")</f>
        <v>0</v>
      </c>
      <c r="BD842">
        <f>COUNTIF(AM842:AR842,"&lt;&gt;0")</f>
        <v>0</v>
      </c>
      <c r="BE842" t="str">
        <f t="array" ref="BE842">IF(AY842=1,INDEX($V$7:$AL$7,MATCH(TRUE,INDEX($V842:$AW842&lt;&gt;0,),0)),IF(AY842=0,INDEX($AM$7:$AW$7,MATCH(1,$AM842:$AW842,0)),IF(BF842="Multiple strategies","mixed drivers",IF(BF842="Supply chain","multiple supply","multiple silviculture"))))</f>
        <v>mixed drivers</v>
      </c>
      <c r="BF842" s="2" t="str" cm="1">
        <f t="array" ref="BF842">IF(COUNTIF(AZ842:BB842,"&lt;&gt;0")=1,INDEX($V$4:$AW$4,MATCH(TRUE,INDEX($V842:$AW842&lt;&gt;0,),0)),IF(COUNTIF(AZ842:BB842,"&lt;&gt;0")=0,INDEX($AM$4:$AW$4,MATCH(1,$AM842:$AW842,0)),"Multiple strategies"))</f>
        <v>Multiple strategies</v>
      </c>
      <c r="BG842" s="1" t="s">
        <v>229</v>
      </c>
      <c r="BH842" t="s">
        <v>229</v>
      </c>
      <c r="BI842" s="264" t="s">
        <v>2128</v>
      </c>
      <c r="BJ842" t="s">
        <v>1770</v>
      </c>
      <c r="BK842">
        <v>284950</v>
      </c>
      <c r="BL842">
        <v>333260</v>
      </c>
      <c r="BM842" t="e">
        <f>#REF!</f>
        <v>#REF!</v>
      </c>
      <c r="BN842">
        <f>BL842-BK842</f>
        <v>48310</v>
      </c>
      <c r="BO842">
        <f>BN842*1000</f>
        <v>48310000</v>
      </c>
      <c r="BP842" t="s">
        <v>232</v>
      </c>
      <c r="BQ842" s="264" t="s">
        <v>2128</v>
      </c>
      <c r="BR842" t="s">
        <v>1300</v>
      </c>
      <c r="BS842">
        <v>72</v>
      </c>
      <c r="BT842">
        <v>107</v>
      </c>
      <c r="BU842" s="144">
        <f>IFERROR(BT842/BS842,"")</f>
        <v>1.4861111111111112</v>
      </c>
      <c r="BV842">
        <f>BT842-BS842</f>
        <v>35</v>
      </c>
      <c r="BX842">
        <f>BV842*10^6</f>
        <v>35000000</v>
      </c>
      <c r="BY842">
        <f>IFERROR(BX842/BO842,"")</f>
        <v>0.724487683709377</v>
      </c>
      <c r="BZ842">
        <v>0</v>
      </c>
      <c r="CA842">
        <v>0</v>
      </c>
      <c r="CB842">
        <v>0</v>
      </c>
      <c r="CC842">
        <v>0</v>
      </c>
      <c r="CD842">
        <v>0</v>
      </c>
      <c r="CE842">
        <v>0</v>
      </c>
      <c r="CF842">
        <v>0</v>
      </c>
      <c r="CG842">
        <v>0</v>
      </c>
      <c r="CH842">
        <v>0</v>
      </c>
      <c r="CI842">
        <v>0</v>
      </c>
      <c r="CJ842">
        <v>0</v>
      </c>
      <c r="CK842">
        <v>0</v>
      </c>
      <c r="CL842">
        <v>0</v>
      </c>
      <c r="CM842">
        <v>1</v>
      </c>
      <c r="CN842" t="str">
        <f>IF($BL842&lt;$BK842,"refNeedCorrection","refOK")</f>
        <v>refOK</v>
      </c>
      <c r="CO842">
        <f>IF($CN842="refNeedCorrection",BL842,BK842)</f>
        <v>284950</v>
      </c>
      <c r="CP842">
        <f>IF($CN842="refNeedCorrection",BK842,BL842)</f>
        <v>333260</v>
      </c>
      <c r="CQ842">
        <f>IF($CN842="refOK",$BO842,-$BO842)</f>
        <v>48310000</v>
      </c>
      <c r="CR842">
        <f>IF($CN842="refOK",$BS842,$BT842)*IF($BP842="Emissions positive",-1,1)</f>
        <v>72</v>
      </c>
      <c r="CS842">
        <f>IF($CN842="refOK",$BT842,$BS842)*IF($BP842="Emissions positive",-1,1)</f>
        <v>107</v>
      </c>
      <c r="CT842">
        <f>IF($CN842="refNeedCorrection",-BX842,BX842)*IF($BP842="Emissions positive",-1,1)</f>
        <v>35000000</v>
      </c>
      <c r="CU842">
        <f>IFERROR(CT842/CQ842,"")</f>
        <v>0.724487683709377</v>
      </c>
      <c r="CV842" s="2">
        <f>IFERROR((CS842-CR842)/ABS(CR842),"")</f>
        <v>0.4861111111111111</v>
      </c>
      <c r="CW842" s="1" t="s">
        <v>1231</v>
      </c>
      <c r="CX842" t="str">
        <f>IF(OR($CW842="prd",$CW842="std",$CW842="cit"),"loc",IF(OR($CW842="eur",$CW842="reg",$CW842="coy"),"reg",$CW842))</f>
        <v>reg</v>
      </c>
      <c r="CY842" t="s">
        <v>743</v>
      </c>
      <c r="CZ842">
        <v>2000</v>
      </c>
      <c r="DA842">
        <v>2030</v>
      </c>
      <c r="DB842">
        <v>30</v>
      </c>
      <c r="DC842" t="str">
        <f>IF(DB842=0,"0",IF(AND(DB842&gt;=1,DB842&lt;=30),"1-30",IF(AND(DB842&gt;30,DB842&lt;=70),"31-70",IF(AND(DB842&gt;70,DB842&lt;=100),"71-100",IF(DB842&gt;100,"+100")))))</f>
        <v>1-30</v>
      </c>
      <c r="DD842">
        <v>0</v>
      </c>
      <c r="DE842">
        <v>1</v>
      </c>
      <c r="DF842">
        <v>0</v>
      </c>
      <c r="DG842">
        <v>1</v>
      </c>
      <c r="DH842">
        <v>1</v>
      </c>
      <c r="DI842">
        <f>SUM(DD842:DG842)</f>
        <v>2</v>
      </c>
      <c r="DJ842" t="str">
        <f>IF(DI842=1,INDEX($DD$7:$DG$7,MATCH(1,$DD842:$DG842,0)),"mixedProduct")</f>
        <v>mixedProduct</v>
      </c>
      <c r="DK842">
        <f>IF(DD842=1,DK$7,0)</f>
        <v>0</v>
      </c>
      <c r="DL842" t="str">
        <f>IF(DE842=1,DL$7,0)</f>
        <v>Energy</v>
      </c>
      <c r="DM842">
        <f>IF(DF842=1,DM$7,0)</f>
        <v>0</v>
      </c>
      <c r="DN842" t="str">
        <f>IF(DG842=1,DN$7,0)</f>
        <v>Timber</v>
      </c>
      <c r="DO842">
        <v>0</v>
      </c>
      <c r="DP842">
        <v>1</v>
      </c>
      <c r="DQ842" t="s">
        <v>1771</v>
      </c>
      <c r="DR842" t="s">
        <v>1771</v>
      </c>
      <c r="DS842">
        <v>0</v>
      </c>
      <c r="DT842">
        <f>SUM(DO842:DP842)</f>
        <v>1</v>
      </c>
      <c r="DU842" s="143" t="str">
        <f>IF(DO842=1,"self-calculated DF",IF(DP842=1,"external DF used","explicit C balance"))</f>
        <v>external DF used</v>
      </c>
      <c r="DV842">
        <v>0</v>
      </c>
      <c r="DW842">
        <v>0</v>
      </c>
      <c r="DX842">
        <v>0</v>
      </c>
      <c r="DY842">
        <v>1</v>
      </c>
      <c r="DZ842">
        <v>0</v>
      </c>
      <c r="EA842" s="143">
        <v>0</v>
      </c>
      <c r="EB842">
        <v>0</v>
      </c>
      <c r="EC842">
        <v>0</v>
      </c>
      <c r="ED842">
        <v>0</v>
      </c>
      <c r="EE842">
        <v>0</v>
      </c>
      <c r="EF842">
        <v>1</v>
      </c>
      <c r="EG842">
        <v>0</v>
      </c>
      <c r="EH842">
        <v>0</v>
      </c>
      <c r="EI842" s="2">
        <v>0</v>
      </c>
      <c r="EJ842" s="1" t="s">
        <v>1772</v>
      </c>
      <c r="EK842" t="str">
        <f>IF(AND(AND(AND(OR($DX842=1,$DW842=1),OR($EC842=1,$EA842=1)),SUM($DV842:$DZ842,$EF842)&gt;=4),SUM($EA842:$EE842)&gt;=2),"Whole sector","")</f>
        <v/>
      </c>
      <c r="EL842" t="str">
        <f>IF(AND(AND(OR($DX842=1,$DW842=1),AND($EC842=0,$EA842=0)),SUM($DV842:$DZ842,$EF842)&gt;=4),"Ecosystem approach","")</f>
        <v/>
      </c>
      <c r="EM842" s="2" t="str">
        <f>IF(AND(AND(AND($DX842=0,$DW842=0),OR($EC842=1,$EA842=1)),SUM($EB842:$EE842)&gt;=2),"Technology approach","")</f>
        <v/>
      </c>
      <c r="EP842" t="str">
        <f>IF(ISNUMBER(BU842),IF(ABS(BU842-[2]QC_indicators!$B$2)&gt;3*[2]QC_indicators!$C$2,"C ratio",IF(ISNUMBER(BY842),IF(ABS(BY842-[2]QC_indicators!$B$1)&gt;3*[2]QC_indicators!$C$1,"DF","no"))),IF(ISNUMBER(BY842),IF(ABS(BY842-[2]QC_indicators!$B$1)&gt;3*[2]QC_indicators!$C$1,"DF","no")))</f>
        <v>no</v>
      </c>
      <c r="ET842" s="264" t="s">
        <v>3270</v>
      </c>
    </row>
    <row r="843" spans="1:151" ht="15" customHeight="1">
      <c r="A843" s="1" t="s">
        <v>1270</v>
      </c>
      <c r="B843" t="s">
        <v>1271</v>
      </c>
      <c r="C843" t="s">
        <v>1272</v>
      </c>
      <c r="D843" t="s">
        <v>1273</v>
      </c>
      <c r="E843" t="s">
        <v>1274</v>
      </c>
      <c r="F843" t="s">
        <v>1275</v>
      </c>
      <c r="G843" t="s">
        <v>1276</v>
      </c>
      <c r="I843">
        <v>2019</v>
      </c>
      <c r="K843" t="s">
        <v>1277</v>
      </c>
      <c r="M843" t="str">
        <f>LEFT($D843,FIND(",",$D843)-1)&amp;"_"&amp;I843&amp;L843</f>
        <v>Baskent_2019</v>
      </c>
      <c r="N843" t="s">
        <v>222</v>
      </c>
      <c r="O843" s="140" t="s">
        <v>513</v>
      </c>
      <c r="Q843" t="s">
        <v>224</v>
      </c>
      <c r="R843" s="269" t="s">
        <v>274</v>
      </c>
      <c r="S843" s="1" t="s">
        <v>1278</v>
      </c>
      <c r="T843" t="s">
        <v>1111</v>
      </c>
      <c r="U843" s="143" t="s">
        <v>1285</v>
      </c>
      <c r="V843" s="143">
        <v>0</v>
      </c>
      <c r="W843" s="143">
        <v>0</v>
      </c>
      <c r="X843" s="143">
        <v>0</v>
      </c>
      <c r="Y843" s="143">
        <v>1</v>
      </c>
      <c r="Z843" s="143">
        <v>2</v>
      </c>
      <c r="AA843" s="143">
        <v>0</v>
      </c>
      <c r="AB843" s="143">
        <v>0</v>
      </c>
      <c r="AC843" s="143">
        <v>0</v>
      </c>
      <c r="AD843">
        <v>0</v>
      </c>
      <c r="AE843">
        <v>0</v>
      </c>
      <c r="AF843">
        <v>2</v>
      </c>
      <c r="AG843">
        <v>0</v>
      </c>
      <c r="AH843">
        <v>0</v>
      </c>
      <c r="AI843">
        <v>0</v>
      </c>
      <c r="AJ843">
        <v>2</v>
      </c>
      <c r="AK843">
        <v>0</v>
      </c>
      <c r="AL843">
        <v>0</v>
      </c>
      <c r="AM843">
        <v>0</v>
      </c>
      <c r="AN843">
        <v>2</v>
      </c>
      <c r="AO843">
        <v>2</v>
      </c>
      <c r="AP843">
        <v>0</v>
      </c>
      <c r="AQ843">
        <v>0</v>
      </c>
      <c r="AR843">
        <v>0</v>
      </c>
      <c r="AS843">
        <v>2</v>
      </c>
      <c r="AT843">
        <v>0</v>
      </c>
      <c r="AU843">
        <v>0</v>
      </c>
      <c r="AV843">
        <v>0</v>
      </c>
      <c r="AW843">
        <v>2</v>
      </c>
      <c r="AX843" s="141">
        <f>COUNTIF(V843:AW843,"&lt;&gt;0")</f>
        <v>8</v>
      </c>
      <c r="AY843" s="141">
        <f>COUNTIF(V843:AL843,"&lt;&gt;0")</f>
        <v>4</v>
      </c>
      <c r="AZ843">
        <f>COUNTIF(V843:AC843,"&lt;&gt;0")</f>
        <v>2</v>
      </c>
      <c r="BA843">
        <f>COUNTIF(AD843:AI843,"&lt;&gt;0")</f>
        <v>1</v>
      </c>
      <c r="BB843">
        <f>COUNTIF(AJ843:AL843,"&lt;&gt;0")</f>
        <v>1</v>
      </c>
      <c r="BC843">
        <f>COUNTIF(AS843:AW843,"&lt;&gt;0")</f>
        <v>2</v>
      </c>
      <c r="BD843">
        <f>COUNTIF(AM843:AR843,"&lt;&gt;0")</f>
        <v>2</v>
      </c>
      <c r="BE843" t="str">
        <f t="array" ref="BE843">IF(AY843=1,INDEX($V$7:$AL$7,MATCH(TRUE,INDEX($V843:$AW843&lt;&gt;0,),0)),IF(AY843=0,INDEX($AM$7:$AW$7,MATCH(1,$AM843:$AW843,0)),IF(BF843="Multiple strategies","mixed drivers",IF(BF843="Supply chain","multiple supply","multiple silviculture"))))</f>
        <v>mixed drivers</v>
      </c>
      <c r="BF843" s="2" t="str" cm="1">
        <f t="array" ref="BF843">IF(COUNTIF(AZ843:BB843,"&lt;&gt;0")=1,INDEX($V$4:$AW$4,MATCH(TRUE,INDEX($V843:$AW843&lt;&gt;0,),0)),IF(COUNTIF(AZ843:BB843,"&lt;&gt;0")=0,INDEX($AM$4:$AW$4,MATCH(1,$AM843:$AW843,0)),"Multiple strategies"))</f>
        <v>Multiple strategies</v>
      </c>
      <c r="BG843" s="1" t="s">
        <v>321</v>
      </c>
      <c r="BH843" t="s">
        <v>1280</v>
      </c>
      <c r="BJ843" s="143" t="s">
        <v>278</v>
      </c>
      <c r="BK843">
        <v>22.204433497536925</v>
      </c>
      <c r="BL843">
        <v>22.426108374384221</v>
      </c>
      <c r="BM843" s="143">
        <f>BL843/BK843</f>
        <v>1.0099833610648921</v>
      </c>
      <c r="BN843">
        <f>BL843-BK843</f>
        <v>0.22167487684729537</v>
      </c>
      <c r="BO843" s="143">
        <f>BN843*tC_to_m3</f>
        <v>0.96254831457792178</v>
      </c>
      <c r="BP843" t="s">
        <v>232</v>
      </c>
      <c r="BQ843" s="333" t="s">
        <v>787</v>
      </c>
      <c r="BR843" s="143" t="s">
        <v>278</v>
      </c>
      <c r="BS843">
        <v>33.994657876790122</v>
      </c>
      <c r="BT843">
        <v>34.185894521482062</v>
      </c>
      <c r="BU843" s="144">
        <f>IFERROR(BT843/BS843,"")</f>
        <v>1.0056254910811298</v>
      </c>
      <c r="BV843">
        <f>BT843-BS843</f>
        <v>0.19123664469194068</v>
      </c>
      <c r="BX843">
        <f>BV843*C_to_CO2</f>
        <v>0.70183848601942234</v>
      </c>
      <c r="BY843">
        <f>IFERROR(BX843/BO843,"")</f>
        <v>0.7291462416898824</v>
      </c>
      <c r="BZ843" s="143">
        <v>0</v>
      </c>
      <c r="CA843" s="143">
        <v>0</v>
      </c>
      <c r="CB843" s="143">
        <v>0</v>
      </c>
      <c r="CC843" s="143">
        <v>0</v>
      </c>
      <c r="CD843" s="143">
        <v>0</v>
      </c>
      <c r="CE843" s="143">
        <v>0</v>
      </c>
      <c r="CF843" s="143">
        <v>0</v>
      </c>
      <c r="CG843" s="143">
        <v>1</v>
      </c>
      <c r="CH843" s="143">
        <v>0</v>
      </c>
      <c r="CI843" s="143">
        <v>1</v>
      </c>
      <c r="CJ843" s="143">
        <v>1</v>
      </c>
      <c r="CK843" s="143">
        <v>0</v>
      </c>
      <c r="CL843" s="143">
        <v>1</v>
      </c>
      <c r="CM843" s="143">
        <v>0</v>
      </c>
      <c r="CN843" t="str">
        <f>IF($BL843&lt;$BK843,"refNeedCorrection","refOK")</f>
        <v>refOK</v>
      </c>
      <c r="CO843">
        <f>IF($CN843="refOK",$BK843,$BL843)</f>
        <v>22.204433497536925</v>
      </c>
      <c r="CP843">
        <f>IF($CN843="refOK",$BL843,$BK843)</f>
        <v>22.426108374384221</v>
      </c>
      <c r="CQ843">
        <f>IF($CN843="refOK",$BO843,-$BO843)</f>
        <v>0.96254831457792178</v>
      </c>
      <c r="CR843">
        <f>IF($CN843="refOK",$BS843,$BT843)*IF($BP843="Emissions positive",-1,1)</f>
        <v>33.994657876790122</v>
      </c>
      <c r="CS843">
        <f>IF($CN843="refOK",$BT843,$BS843)*IF($BP843="Emissions positive",-1,1)</f>
        <v>34.185894521482062</v>
      </c>
      <c r="CT843">
        <f>IF($CN843="refNeedCorrection",-BX843,BX843)*IF($BP843="Emissions positive",-1,1)</f>
        <v>0.70183848601942234</v>
      </c>
      <c r="CU843">
        <f>IFERROR(CT843/CQ843,"")</f>
        <v>0.7291462416898824</v>
      </c>
      <c r="CV843" s="2">
        <f>IFERROR((CS843-CR843)/ABS(CR843),"")</f>
        <v>5.6254910811297694E-3</v>
      </c>
      <c r="CW843" s="1" t="s">
        <v>1199</v>
      </c>
      <c r="CX843" t="str">
        <f>IF(OR($CW843="prd",$CW843="std",$CW843="cit"),"loc",IF(OR($CW843="eur",$CW843="reg",$CW843="coy"),"reg",$CW843))</f>
        <v>reg</v>
      </c>
      <c r="CY843" t="s">
        <v>1281</v>
      </c>
      <c r="CZ843">
        <v>2010</v>
      </c>
      <c r="DA843" s="143">
        <v>2100</v>
      </c>
      <c r="DB843" s="143">
        <f>DA843-CZ843</f>
        <v>90</v>
      </c>
      <c r="DC843" t="str">
        <f>IF(DB843=0,"0",IF(AND(DB843&gt;=1,DB843&lt;=30),"1-30",IF(AND(DB843&gt;30,DB843&lt;=70),"31-70",IF(AND(DB843&gt;70,DB843&lt;=100),"71-100",IF(DB843&gt;100,"+100")))))</f>
        <v>71-100</v>
      </c>
      <c r="DD843">
        <v>1</v>
      </c>
      <c r="DE843">
        <v>1</v>
      </c>
      <c r="DF843">
        <v>1</v>
      </c>
      <c r="DG843">
        <v>1</v>
      </c>
      <c r="DI843">
        <f>SUM(DD843:DG843)</f>
        <v>4</v>
      </c>
      <c r="DJ843" t="str">
        <f>IF(DI843=1,INDEX($DD$7:$DG$7,MATCH(1,$DD843:$DG843,0)),"mixedProduct")</f>
        <v>mixedProduct</v>
      </c>
      <c r="DK843" t="str">
        <f>IF(DD843=1,DK$7,0)</f>
        <v>Upstream</v>
      </c>
      <c r="DL843" t="str">
        <f>IF(DE843=1,DL$7,0)</f>
        <v>Energy</v>
      </c>
      <c r="DM843" t="str">
        <f>IF(DF843=1,DM$7,0)</f>
        <v>Pulp/Paper</v>
      </c>
      <c r="DN843" t="str">
        <f>IF(DG843=1,DN$7,0)</f>
        <v>Timber</v>
      </c>
      <c r="DO843" s="143">
        <v>1</v>
      </c>
      <c r="DP843">
        <v>0</v>
      </c>
      <c r="DQ843" s="143">
        <v>0</v>
      </c>
      <c r="DR843" s="143">
        <v>0</v>
      </c>
      <c r="DS843" s="143" t="s">
        <v>1282</v>
      </c>
      <c r="DT843">
        <f>SUM(DO843:DP843)</f>
        <v>1</v>
      </c>
      <c r="DU843" s="143" t="str">
        <f>IF(DO843=1,"self-calculated DF",IF(DP843=1,"external DF used","explicit C balance"))</f>
        <v>self-calculated DF</v>
      </c>
      <c r="DV843" s="143">
        <v>0</v>
      </c>
      <c r="DW843">
        <v>1</v>
      </c>
      <c r="DX843" s="143">
        <v>1</v>
      </c>
      <c r="DY843" s="143">
        <v>1</v>
      </c>
      <c r="DZ843">
        <v>1</v>
      </c>
      <c r="EA843">
        <v>0</v>
      </c>
      <c r="EB843" s="143">
        <v>0</v>
      </c>
      <c r="EC843">
        <v>0</v>
      </c>
      <c r="ED843" s="143">
        <v>0</v>
      </c>
      <c r="EE843">
        <v>0</v>
      </c>
      <c r="EF843">
        <v>1</v>
      </c>
      <c r="EG843" s="143">
        <v>0</v>
      </c>
      <c r="EH843">
        <v>0</v>
      </c>
      <c r="EI843" s="2">
        <v>0</v>
      </c>
      <c r="EK843" t="str">
        <f>IF(AND(AND(AND(OR($DX843=1,$DW843=1),OR($EC843=1,$EA843=1)),SUM($DV843:$DZ843,$EF843)&gt;=4),SUM($EA843:$EE843)&gt;=2),"Whole sector","")</f>
        <v/>
      </c>
      <c r="EL843" t="str">
        <f>IF(AND(AND(OR($DX843=1,$DW843=1),AND($EC843=0,$EA843=0)),SUM($DV843:$DZ843,$EF843)&gt;=4),"Ecosystem approach","")</f>
        <v>Ecosystem approach</v>
      </c>
      <c r="EM843" s="2" t="str">
        <f>IF(AND(AND(AND($DX843=0,$DW843=0),OR($EC843=1,$EA843=1)),SUM($EB843:$EE843)&gt;=2),"Technology approach","")</f>
        <v/>
      </c>
      <c r="EN843" t="s">
        <v>1283</v>
      </c>
      <c r="EP843" t="str">
        <f>IF(ISNUMBER(BU843),IF(ABS(BU843-[2]QC_indicators!$B$2)&gt;3*[2]QC_indicators!$C$2,"C ratio",IF(ISNUMBER(BY843),IF(ABS(BY843-[2]QC_indicators!$B$1)&gt;3*[2]QC_indicators!$C$1,"DF","no"))),IF(ISNUMBER(BY843),IF(ABS(BY843-[2]QC_indicators!$B$1)&gt;3*[2]QC_indicators!$C$1,"DF","no")))</f>
        <v>no</v>
      </c>
      <c r="EQ843" t="s">
        <v>286</v>
      </c>
      <c r="ER843" t="s">
        <v>1284</v>
      </c>
      <c r="ET843" s="264" t="s">
        <v>3273</v>
      </c>
    </row>
    <row r="844" spans="1:151" ht="15" customHeight="1">
      <c r="A844" s="1" t="s">
        <v>1972</v>
      </c>
      <c r="B844" t="s">
        <v>2316</v>
      </c>
      <c r="C844" t="s">
        <v>2317</v>
      </c>
      <c r="D844" t="s">
        <v>2318</v>
      </c>
      <c r="E844" t="s">
        <v>2319</v>
      </c>
      <c r="F844" t="s">
        <v>2320</v>
      </c>
      <c r="G844" t="s">
        <v>1978</v>
      </c>
      <c r="H844" t="s">
        <v>254</v>
      </c>
      <c r="I844">
        <v>2020</v>
      </c>
      <c r="J844">
        <v>7</v>
      </c>
      <c r="K844" t="s">
        <v>2321</v>
      </c>
      <c r="M844" t="str">
        <f>LEFT($D844,FIND(",",$D844)-1)&amp;"_"&amp;I844&amp;L844</f>
        <v>Smyth_2020</v>
      </c>
      <c r="N844" t="s">
        <v>222</v>
      </c>
      <c r="O844" s="145" t="s">
        <v>341</v>
      </c>
      <c r="Q844" t="s">
        <v>256</v>
      </c>
      <c r="R844" s="290" t="s">
        <v>225</v>
      </c>
      <c r="S844" s="1" t="s">
        <v>2335</v>
      </c>
      <c r="T844" t="s">
        <v>1155</v>
      </c>
      <c r="U844" t="s">
        <v>2336</v>
      </c>
      <c r="V844">
        <v>0</v>
      </c>
      <c r="W844">
        <v>0</v>
      </c>
      <c r="X844">
        <v>0</v>
      </c>
      <c r="Y844">
        <v>1</v>
      </c>
      <c r="Z844">
        <v>0</v>
      </c>
      <c r="AA844">
        <v>0</v>
      </c>
      <c r="AB844">
        <v>0</v>
      </c>
      <c r="AC844">
        <v>0</v>
      </c>
      <c r="AD844">
        <v>0</v>
      </c>
      <c r="AE844">
        <v>0</v>
      </c>
      <c r="AF844">
        <v>1</v>
      </c>
      <c r="AG844">
        <v>0</v>
      </c>
      <c r="AH844">
        <v>0</v>
      </c>
      <c r="AI844">
        <v>1</v>
      </c>
      <c r="AJ844">
        <v>0</v>
      </c>
      <c r="AK844">
        <v>0</v>
      </c>
      <c r="AL844">
        <v>0</v>
      </c>
      <c r="AM844">
        <v>0</v>
      </c>
      <c r="AN844">
        <v>0</v>
      </c>
      <c r="AO844">
        <v>0</v>
      </c>
      <c r="AP844">
        <v>0</v>
      </c>
      <c r="AQ844">
        <v>0</v>
      </c>
      <c r="AR844">
        <v>0</v>
      </c>
      <c r="AS844">
        <v>0</v>
      </c>
      <c r="AT844">
        <v>0</v>
      </c>
      <c r="AU844">
        <v>0</v>
      </c>
      <c r="AV844">
        <v>0</v>
      </c>
      <c r="AW844">
        <v>0</v>
      </c>
      <c r="AX844" s="141">
        <f>COUNTIF(V844:AW844,"&lt;&gt;0")</f>
        <v>3</v>
      </c>
      <c r="AY844" s="141">
        <f>COUNTIF(V844:AL844,"&lt;&gt;0")</f>
        <v>3</v>
      </c>
      <c r="AZ844">
        <f>COUNTIF(V844:AC844,"&lt;&gt;0")</f>
        <v>1</v>
      </c>
      <c r="BA844">
        <f>COUNTIF(AD844:AI844,"&lt;&gt;0")</f>
        <v>2</v>
      </c>
      <c r="BB844">
        <f>COUNTIF(AJ844:AL844,"&lt;&gt;0")</f>
        <v>0</v>
      </c>
      <c r="BC844">
        <f>COUNTIF(AS844:AW844,"&lt;&gt;0")</f>
        <v>0</v>
      </c>
      <c r="BD844">
        <f>COUNTIF(AM844:AR844,"&lt;&gt;0")</f>
        <v>0</v>
      </c>
      <c r="BE844" t="str">
        <f t="array" ref="BE844">IF(AY844=1,INDEX($V$7:$AL$7,MATCH(TRUE,INDEX($V844:$AW844&lt;&gt;0,),0)),IF(AY844=0,INDEX($AM$7:$AW$7,MATCH(1,$AM844:$AW844,0)),IF(BF844="Multiple strategies","mixed drivers",IF(BF844="Supply chain","multiple supply","multiple silviculture"))))</f>
        <v>mixed drivers</v>
      </c>
      <c r="BF844" s="2" t="str" cm="1">
        <f t="array" ref="BF844">IF(COUNTIF(AZ844:BB844,"&lt;&gt;0")=1,INDEX($V$4:$AW$4,MATCH(TRUE,INDEX($V844:$AW844&lt;&gt;0,),0)),IF(COUNTIF(AZ844:BB844,"&lt;&gt;0")=0,INDEX($AM$4:$AW$4,MATCH(1,$AM844:$AW844,0)),"Multiple strategies"))</f>
        <v>Multiple strategies</v>
      </c>
      <c r="BG844" s="1" t="s">
        <v>321</v>
      </c>
      <c r="BH844" t="s">
        <v>2324</v>
      </c>
      <c r="BI844" s="260" t="s">
        <v>3393</v>
      </c>
      <c r="BJ844" t="s">
        <v>1359</v>
      </c>
      <c r="BK844">
        <v>457</v>
      </c>
      <c r="BL844" s="291">
        <f>488+(4.2/tC_to_m3*55)</f>
        <v>541.19929999999999</v>
      </c>
      <c r="BM844">
        <f>BL844/BK844</f>
        <v>1.1842435448577679</v>
      </c>
      <c r="BN844">
        <f>BL844-BK844</f>
        <v>84.199299999999994</v>
      </c>
      <c r="BO844">
        <f>BN844*10^6*tC_to_m3</f>
        <v>365607034.30308294</v>
      </c>
      <c r="BP844" t="s">
        <v>232</v>
      </c>
      <c r="BQ844" s="260" t="s">
        <v>3391</v>
      </c>
      <c r="BR844" t="s">
        <v>2325</v>
      </c>
      <c r="BU844" s="144"/>
      <c r="BV844">
        <v>268</v>
      </c>
      <c r="BX844">
        <f>BV844*10^6</f>
        <v>268000000</v>
      </c>
      <c r="BY844">
        <f>IFERROR(BX844/BO844,"")</f>
        <v>0.7330274717248243</v>
      </c>
      <c r="BZ844">
        <v>0</v>
      </c>
      <c r="CA844">
        <v>1</v>
      </c>
      <c r="CB844">
        <v>1</v>
      </c>
      <c r="CC844">
        <v>1</v>
      </c>
      <c r="CD844">
        <v>0</v>
      </c>
      <c r="CE844">
        <v>0</v>
      </c>
      <c r="CF844">
        <v>0</v>
      </c>
      <c r="CG844">
        <v>0</v>
      </c>
      <c r="CH844">
        <v>0</v>
      </c>
      <c r="CI844">
        <v>0</v>
      </c>
      <c r="CJ844">
        <v>0</v>
      </c>
      <c r="CK844">
        <v>0</v>
      </c>
      <c r="CL844">
        <v>0</v>
      </c>
      <c r="CM844">
        <v>0</v>
      </c>
      <c r="CN844" t="str">
        <f>IF(BL844&lt;BK844,"refNeedCorrection","refOK")</f>
        <v>refOK</v>
      </c>
      <c r="CO844"/>
      <c r="CP844"/>
      <c r="CQ844">
        <f>IF($CN844="refOK",$BO844,-$BO844)</f>
        <v>365607034.30308294</v>
      </c>
      <c r="CR844">
        <f>IF($CN844="refOK",$BS844,$BT844)*IF($BP844="Emissions positive",-1,1)</f>
        <v>0</v>
      </c>
      <c r="CS844">
        <f>IF($CN844="refOK",$BT844,$BS844)*IF($BP844="Emissions positive",-1,1)</f>
        <v>0</v>
      </c>
      <c r="CT844">
        <f>IF($CN844="refNeedCorrection",-BX844,BX844)*IF($BP844="Emissions positive",-1,1)</f>
        <v>268000000</v>
      </c>
      <c r="CU844">
        <f>IFERROR(CT844/CQ844,"")</f>
        <v>0.7330274717248243</v>
      </c>
      <c r="CV844" s="2" t="str">
        <f>IFERROR((CS844-CR844)/ABS(CR844),"")</f>
        <v/>
      </c>
      <c r="CW844" s="1" t="s">
        <v>1199</v>
      </c>
      <c r="CX844" t="str">
        <f>IF(OR($CW844="prd",$CW844="std",$CW844="cit"),"loc",IF(OR($CW844="eur",$CW844="reg",$CW844="coy"),"reg",$CW844))</f>
        <v>reg</v>
      </c>
      <c r="CY844" t="s">
        <v>540</v>
      </c>
      <c r="CZ844">
        <v>2015</v>
      </c>
      <c r="DA844">
        <v>2070</v>
      </c>
      <c r="DB844">
        <v>45</v>
      </c>
      <c r="DC844" t="str">
        <f>IF(DB844=0,"0",IF(AND(DB844&gt;=1,DB844&lt;=30),"1-30",IF(AND(DB844&gt;30,DB844&lt;=70),"31-70",IF(AND(DB844&gt;70,DB844&lt;=100),"71-100",IF(DB844&gt;100,"+100")))))</f>
        <v>31-70</v>
      </c>
      <c r="DD844">
        <v>0</v>
      </c>
      <c r="DE844">
        <v>1</v>
      </c>
      <c r="DF844">
        <v>1</v>
      </c>
      <c r="DG844">
        <v>1</v>
      </c>
      <c r="DI844">
        <f>SUM(DD844:DG844)</f>
        <v>3</v>
      </c>
      <c r="DJ844" t="str">
        <f>IF(DI844=1,INDEX($DD$7:$DG$7,MATCH(1,$DD844:$DG844,0)),"mixedProduct")</f>
        <v>mixedProduct</v>
      </c>
      <c r="DK844">
        <f>IF(DD844=1,DK$7,0)</f>
        <v>0</v>
      </c>
      <c r="DL844" t="str">
        <f>IF(DE844=1,DL$7,0)</f>
        <v>Energy</v>
      </c>
      <c r="DM844" t="str">
        <f>IF(DF844=1,DM$7,0)</f>
        <v>Pulp/Paper</v>
      </c>
      <c r="DN844" t="str">
        <f>IF(DG844=1,DN$7,0)</f>
        <v>Timber</v>
      </c>
      <c r="DO844">
        <v>1</v>
      </c>
      <c r="DP844">
        <v>1</v>
      </c>
      <c r="DQ844" t="s">
        <v>2315</v>
      </c>
      <c r="DR844">
        <v>0</v>
      </c>
      <c r="DS844">
        <v>0</v>
      </c>
      <c r="DT844">
        <f>SUM(DO844:DP844)</f>
        <v>2</v>
      </c>
      <c r="DU844" s="143" t="str">
        <f>IF(DO844=1,"self-calculated DF",IF(DP844=1,"external DF used","explicit C balance"))</f>
        <v>self-calculated DF</v>
      </c>
      <c r="DV844">
        <v>1</v>
      </c>
      <c r="DW844">
        <v>1</v>
      </c>
      <c r="DX844">
        <v>1</v>
      </c>
      <c r="DY844">
        <v>1</v>
      </c>
      <c r="DZ844">
        <v>1</v>
      </c>
      <c r="EA844" s="143">
        <v>1</v>
      </c>
      <c r="EB844">
        <v>1</v>
      </c>
      <c r="EC844">
        <v>1</v>
      </c>
      <c r="ED844">
        <v>1</v>
      </c>
      <c r="EE844">
        <v>1</v>
      </c>
      <c r="EF844">
        <v>1</v>
      </c>
      <c r="EG844">
        <v>1</v>
      </c>
      <c r="EH844">
        <v>0</v>
      </c>
      <c r="EI844" s="2">
        <v>0</v>
      </c>
      <c r="EK844" t="str">
        <f>IF(AND(AND(AND(OR($DX844=1,$DW844=1),OR($EC844=1,$EA844=1)),SUM($DV844:$DZ844,$EF844)&gt;=4),SUM($EA844:$EE844)&gt;=2),"Whole sector","")</f>
        <v>Whole sector</v>
      </c>
      <c r="EL844" t="str">
        <f>IF(AND(AND(OR($DX844=1,$DW844=1),AND($EC844=0,$EA844=0)),SUM($DV844:$DZ844,$EF844)&gt;=4),"Ecosystem approach","")</f>
        <v/>
      </c>
      <c r="EM844" s="2" t="str">
        <f>IF(AND(AND(AND($DX844=0,$DW844=0),OR($EC844=1,$EA844=1)),SUM($EB844:$EE844)&gt;=2),"Technology approach","")</f>
        <v/>
      </c>
      <c r="EP844" t="str">
        <f>IF(ISNUMBER(BU844),IF(ABS(BU844-[4]QC_indicators!$B$2)&gt;3*[4]QC_indicators!$C$2,"C ratio",IF(ISNUMBER(BY844),IF(ABS(BY844-[4]QC_indicators!$B$1)&gt;3*[4]QC_indicators!$C$1,"DF","no"))),IF(ISNUMBER(BY844),IF(ABS(BY844-[4]QC_indicators!$B$1)&gt;3*[4]QC_indicators!$C$1,"DF","no")))</f>
        <v>no</v>
      </c>
      <c r="ER844" s="149" t="s">
        <v>2326</v>
      </c>
      <c r="ET844" s="264" t="s">
        <v>3273</v>
      </c>
    </row>
    <row r="845" spans="1:151" ht="15" customHeight="1">
      <c r="A845" s="1" t="s">
        <v>1423</v>
      </c>
      <c r="B845" t="s">
        <v>2490</v>
      </c>
      <c r="C845" t="s">
        <v>2491</v>
      </c>
      <c r="D845" t="s">
        <v>2492</v>
      </c>
      <c r="E845" t="s">
        <v>2493</v>
      </c>
      <c r="F845" t="s">
        <v>2494</v>
      </c>
      <c r="G845" t="s">
        <v>1429</v>
      </c>
      <c r="H845" t="s">
        <v>254</v>
      </c>
      <c r="I845">
        <v>2016</v>
      </c>
      <c r="J845">
        <v>24</v>
      </c>
      <c r="K845" t="s">
        <v>2495</v>
      </c>
      <c r="M845" t="str">
        <f>LEFT($D845,FIND(",",$D845)-1)&amp;"_"&amp;I845&amp;L845</f>
        <v>Zubizarreta-Gerendiain_2016</v>
      </c>
      <c r="N845" t="s">
        <v>222</v>
      </c>
      <c r="O845" s="145" t="s">
        <v>1154</v>
      </c>
      <c r="Q845" t="s">
        <v>256</v>
      </c>
      <c r="R845" s="262" t="s">
        <v>223</v>
      </c>
      <c r="S845" s="1" t="s">
        <v>2526</v>
      </c>
      <c r="T845" t="s">
        <v>2507</v>
      </c>
      <c r="U845" t="s">
        <v>2528</v>
      </c>
      <c r="V845">
        <v>0</v>
      </c>
      <c r="W845">
        <v>0</v>
      </c>
      <c r="X845">
        <v>0</v>
      </c>
      <c r="Y845">
        <v>1</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s="141">
        <f>COUNTIF(V845:AW845,"&lt;&gt;0")</f>
        <v>1</v>
      </c>
      <c r="AY845" s="141">
        <f>COUNTIF(V845:AL845,"&lt;&gt;0")</f>
        <v>1</v>
      </c>
      <c r="AZ845">
        <f>COUNTIF(V845:AC845,"&lt;&gt;0")</f>
        <v>1</v>
      </c>
      <c r="BA845">
        <f>COUNTIF(AD845:AI845,"&lt;&gt;0")</f>
        <v>0</v>
      </c>
      <c r="BB845">
        <f>COUNTIF(AJ845:AL845,"&lt;&gt;0")</f>
        <v>0</v>
      </c>
      <c r="BC845">
        <f>COUNTIF(AS845:AW845,"&lt;&gt;0")</f>
        <v>0</v>
      </c>
      <c r="BD845">
        <f>COUNTIF(AM845:AR845,"&lt;&gt;0")</f>
        <v>0</v>
      </c>
      <c r="BE845" t="str">
        <f t="array" ref="BE845">IF(AY845=1,INDEX($V$7:$AL$7,MATCH(TRUE,INDEX($V845:$AW845&lt;&gt;0,),0)),IF(AY845=0,INDEX($AM$7:$AW$7,MATCH(1,$AM845:$AW845,0)),IF(BF845="Multiple strategies","mixed drivers",IF(BF845="Supply chain","multiple supply","multiple silviculture"))))</f>
        <v xml:space="preserve">cutting intensity </v>
      </c>
      <c r="BF845" s="2" t="str" cm="1">
        <f t="array" ref="BF845">IF(COUNTIF(AZ845:BB845,"&lt;&gt;0")=1,INDEX($V$4:$AW$4,MATCH(TRUE,INDEX($V845:$AW845&lt;&gt;0,),0)),IF(COUNTIF(AZ845:BB845,"&lt;&gt;0")=0,INDEX($AM$4:$AW$4,MATCH(1,$AM845:$AW845,0)),"Multiple strategies"))</f>
        <v>Silviculture for removals</v>
      </c>
      <c r="BG845" s="1" t="s">
        <v>321</v>
      </c>
      <c r="BH845" t="s">
        <v>2499</v>
      </c>
      <c r="BI845" s="264" t="s">
        <v>2113</v>
      </c>
      <c r="BJ845" t="s">
        <v>2500</v>
      </c>
      <c r="BK845">
        <v>64.910485933503793</v>
      </c>
      <c r="BL845">
        <v>71.585677749360599</v>
      </c>
      <c r="BM845" s="143">
        <f>BL845/BK845</f>
        <v>1.1028368794326247</v>
      </c>
      <c r="BN845">
        <f>BL845-BK845</f>
        <v>6.675191815856806</v>
      </c>
      <c r="BO845">
        <f>BN845*1000*t_to_m3</f>
        <v>13622.840440524094</v>
      </c>
      <c r="BP845" t="s">
        <v>232</v>
      </c>
      <c r="BQ845" s="143" t="s">
        <v>3256</v>
      </c>
      <c r="BR845" t="s">
        <v>1195</v>
      </c>
      <c r="BS845">
        <v>103859.82747603832</v>
      </c>
      <c r="BT845">
        <v>113884.90734824278</v>
      </c>
      <c r="BU845" s="144">
        <f>IFERROR(BT845/BS845,"")</f>
        <v>1.0965250965250963</v>
      </c>
      <c r="BV845" s="144">
        <f>BT845-BS845</f>
        <v>10025.079872204456</v>
      </c>
      <c r="BW845" s="144"/>
      <c r="BX845" s="144">
        <f>BV845</f>
        <v>10025.079872204456</v>
      </c>
      <c r="BY845">
        <f>IFERROR(BX845/BO845,"")</f>
        <v>0.7359023190481393</v>
      </c>
      <c r="BZ845">
        <v>0</v>
      </c>
      <c r="CA845">
        <v>0</v>
      </c>
      <c r="CB845">
        <v>0</v>
      </c>
      <c r="CC845">
        <v>0</v>
      </c>
      <c r="CD845">
        <v>0</v>
      </c>
      <c r="CE845">
        <v>0</v>
      </c>
      <c r="CF845">
        <v>0</v>
      </c>
      <c r="CG845">
        <v>0</v>
      </c>
      <c r="CH845">
        <v>0</v>
      </c>
      <c r="CI845">
        <v>0</v>
      </c>
      <c r="CJ845">
        <v>0</v>
      </c>
      <c r="CK845">
        <v>0</v>
      </c>
      <c r="CL845">
        <v>0</v>
      </c>
      <c r="CM845">
        <v>1</v>
      </c>
      <c r="CN845" t="str">
        <f>IF($BL845&lt;$BK845,"refNeedCorrection","refOK")</f>
        <v>refOK</v>
      </c>
      <c r="CO845">
        <f>IF($CN845="refOK",$BK845,$BL845)</f>
        <v>64.910485933503793</v>
      </c>
      <c r="CP845">
        <f>IF($CN845="refOK",$BL845,$BK845)</f>
        <v>71.585677749360599</v>
      </c>
      <c r="CQ845">
        <f>IF($CN845="refOK",$BO845,-$BO845)</f>
        <v>13622.840440524094</v>
      </c>
      <c r="CR845">
        <f>IF($CN845="refOK",$BS845,$BT845)*IF($BP845="Emissions positive",-1,1)</f>
        <v>103859.82747603832</v>
      </c>
      <c r="CS845">
        <f>IF($CN845="refOK",$BT845,$BS845)*IF($BP845="Emissions positive",-1,1)</f>
        <v>113884.90734824278</v>
      </c>
      <c r="CT845">
        <f>IF($CN845="refNeedCorrection",-BX845,BX845)*IF($BP845="Emissions positive",-1,1)</f>
        <v>10025.079872204456</v>
      </c>
      <c r="CU845">
        <f>IFERROR(CT845/CQ845,"")</f>
        <v>0.7359023190481393</v>
      </c>
      <c r="CV845" s="2">
        <f>IFERROR((CS845-CR845)/ABS(CR845),"")</f>
        <v>9.6525096525096388E-2</v>
      </c>
      <c r="CW845" s="1" t="s">
        <v>1199</v>
      </c>
      <c r="CX845" t="str">
        <f>IF(OR($CW845="prd",$CW845="std",$CW845="cit"),"loc",IF(OR($CW845="eur",$CW845="reg",$CW845="coy"),"reg",$CW845))</f>
        <v>reg</v>
      </c>
      <c r="CY845" t="s">
        <v>235</v>
      </c>
      <c r="CZ845">
        <v>2010</v>
      </c>
      <c r="DA845">
        <v>2070</v>
      </c>
      <c r="DB845">
        <f>DA845-CZ845</f>
        <v>60</v>
      </c>
      <c r="DC845" t="str">
        <f>IF(DB845=0,"0",IF(AND(DB845&gt;=1,DB845&lt;=30),"1-30",IF(AND(DB845&gt;30,DB845&lt;=70),"31-70",IF(AND(DB845&gt;70,DB845&lt;=100),"71-100",IF(DB845&gt;100,"+100")))))</f>
        <v>31-70</v>
      </c>
      <c r="DD845">
        <v>1</v>
      </c>
      <c r="DE845">
        <v>1</v>
      </c>
      <c r="DF845">
        <v>1</v>
      </c>
      <c r="DG845">
        <v>1</v>
      </c>
      <c r="DH845">
        <v>0</v>
      </c>
      <c r="DI845">
        <f>SUM(DD845:DG845)</f>
        <v>4</v>
      </c>
      <c r="DJ845" t="str">
        <f>IF(DI845=1,INDEX($DD$7:$DG$7,MATCH(1,$DD845:$DG845,0)),"mixedProduct")</f>
        <v>mixedProduct</v>
      </c>
      <c r="DK845" t="str">
        <f>IF(DD845=1,DK$7,0)</f>
        <v>Upstream</v>
      </c>
      <c r="DL845" t="str">
        <f>IF(DE845=1,DL$7,0)</f>
        <v>Energy</v>
      </c>
      <c r="DM845" t="str">
        <f>IF(DF845=1,DM$7,0)</f>
        <v>Pulp/Paper</v>
      </c>
      <c r="DN845" t="str">
        <f>IF(DG845=1,DN$7,0)</f>
        <v>Timber</v>
      </c>
      <c r="DO845">
        <v>0</v>
      </c>
      <c r="DP845">
        <v>0</v>
      </c>
      <c r="DQ845">
        <v>0</v>
      </c>
      <c r="DR845">
        <v>0</v>
      </c>
      <c r="DS845">
        <v>0</v>
      </c>
      <c r="DT845">
        <f>SUM(DO845:DP845)</f>
        <v>0</v>
      </c>
      <c r="DU845" s="143" t="str">
        <f>IF(DO845=1,"self-calculated DF",IF(DP845=1,"external DF used","explicit C balance"))</f>
        <v>explicit C balance</v>
      </c>
      <c r="DV845">
        <v>1</v>
      </c>
      <c r="DW845">
        <v>1</v>
      </c>
      <c r="DX845">
        <v>1</v>
      </c>
      <c r="DY845">
        <v>1</v>
      </c>
      <c r="DZ845">
        <v>0</v>
      </c>
      <c r="EA845" s="143">
        <v>0</v>
      </c>
      <c r="EB845">
        <v>0</v>
      </c>
      <c r="EC845">
        <v>0</v>
      </c>
      <c r="ED845">
        <v>0</v>
      </c>
      <c r="EE845">
        <v>0</v>
      </c>
      <c r="EF845">
        <v>1</v>
      </c>
      <c r="EG845">
        <v>0</v>
      </c>
      <c r="EH845">
        <v>0</v>
      </c>
      <c r="EI845" s="2">
        <v>0</v>
      </c>
      <c r="EK845" t="str">
        <f>IF(AND(AND(AND(OR($DX845=1,$DW845=1),OR($EC845=1,$EA845=1)),SUM($DV845:$DZ845,$EF845)&gt;=4),SUM($EA845:$EE845)&gt;=2),"Whole sector","")</f>
        <v/>
      </c>
      <c r="EL845" t="str">
        <f>IF(AND(AND(OR($DX845=1,$DW845=1),AND($EC845=0,$EA845=0)),SUM($DV845:$DZ845,$EF845)&gt;=4),"Ecosystem approach","")</f>
        <v>Ecosystem approach</v>
      </c>
      <c r="EM845" s="2" t="str">
        <f>IF(AND(AND(AND($DX845=0,$DW845=0),OR($EC845=1,$EA845=1)),SUM($EB845:$EE845)&gt;=2),"Technology approach","")</f>
        <v/>
      </c>
      <c r="EP845" t="str">
        <f>IF(ISNUMBER(BU845),IF(ABS(BU845-[1]QC_indicators!$B$2)&gt;3*[1]QC_indicators!$C$2,"C ratio",IF(ISNUMBER(BY845),IF(ABS(BY845-[1]QC_indicators!$B$1)&gt;3*[1]QC_indicators!$C$1,"DF","no"))),IF(ISNUMBER(BY845),IF(ABS(BY845-[1]QC_indicators!$B$1)&gt;3*[1]QC_indicators!$C$1,"DF","no")))</f>
        <v>no</v>
      </c>
      <c r="ET845" s="264" t="s">
        <v>3258</v>
      </c>
    </row>
    <row r="846" spans="1:151" ht="15" customHeight="1">
      <c r="A846" s="1" t="s">
        <v>1760</v>
      </c>
      <c r="B846" t="s">
        <v>1761</v>
      </c>
      <c r="C846" t="s">
        <v>1762</v>
      </c>
      <c r="D846" t="s">
        <v>1763</v>
      </c>
      <c r="E846" t="s">
        <v>1764</v>
      </c>
      <c r="F846" t="s">
        <v>1765</v>
      </c>
      <c r="G846" t="s">
        <v>1766</v>
      </c>
      <c r="H846" t="s">
        <v>254</v>
      </c>
      <c r="I846">
        <v>2021</v>
      </c>
      <c r="J846">
        <v>6</v>
      </c>
      <c r="K846" t="s">
        <v>1767</v>
      </c>
      <c r="M846" t="str">
        <f>LEFT($D846,FIND(",",$D846)-1)&amp;"_"&amp;I846&amp;L846</f>
        <v>Jonsson_2021</v>
      </c>
      <c r="N846" t="s">
        <v>222</v>
      </c>
      <c r="O846" s="145" t="s">
        <v>513</v>
      </c>
      <c r="Q846" t="s">
        <v>256</v>
      </c>
      <c r="R846" s="2" t="s">
        <v>274</v>
      </c>
      <c r="S846" s="1" t="s">
        <v>1773</v>
      </c>
      <c r="T846" t="s">
        <v>1111</v>
      </c>
      <c r="U846" t="s">
        <v>1769</v>
      </c>
      <c r="V846">
        <v>0</v>
      </c>
      <c r="W846">
        <v>1</v>
      </c>
      <c r="X846">
        <v>0</v>
      </c>
      <c r="Y846">
        <v>0</v>
      </c>
      <c r="Z846">
        <v>0</v>
      </c>
      <c r="AA846">
        <v>0</v>
      </c>
      <c r="AB846">
        <v>0</v>
      </c>
      <c r="AC846">
        <v>0</v>
      </c>
      <c r="AD846">
        <v>0</v>
      </c>
      <c r="AE846">
        <v>0</v>
      </c>
      <c r="AF846">
        <v>2</v>
      </c>
      <c r="AG846">
        <v>0</v>
      </c>
      <c r="AH846">
        <v>0</v>
      </c>
      <c r="AI846">
        <v>0</v>
      </c>
      <c r="AJ846">
        <v>0</v>
      </c>
      <c r="AK846">
        <v>0</v>
      </c>
      <c r="AL846">
        <v>0</v>
      </c>
      <c r="AM846">
        <v>0</v>
      </c>
      <c r="AN846">
        <v>0</v>
      </c>
      <c r="AO846">
        <v>0</v>
      </c>
      <c r="AP846">
        <v>0</v>
      </c>
      <c r="AQ846">
        <v>0</v>
      </c>
      <c r="AR846">
        <v>0</v>
      </c>
      <c r="AS846">
        <v>0</v>
      </c>
      <c r="AT846">
        <v>0</v>
      </c>
      <c r="AU846">
        <v>0</v>
      </c>
      <c r="AV846">
        <v>0</v>
      </c>
      <c r="AW846">
        <v>0</v>
      </c>
      <c r="AX846" s="141">
        <f>COUNTIF(V846:AW846,"&lt;&gt;0")</f>
        <v>2</v>
      </c>
      <c r="AY846" s="141">
        <f>COUNTIF(V846:AL846,"&lt;&gt;0")</f>
        <v>2</v>
      </c>
      <c r="AZ846">
        <f>COUNTIF(V846:AC846,"&lt;&gt;0")</f>
        <v>1</v>
      </c>
      <c r="BA846">
        <f>COUNTIF(AD846:AI846,"&lt;&gt;0")</f>
        <v>1</v>
      </c>
      <c r="BB846">
        <f>COUNTIF(AJ846:AL846,"&lt;&gt;0")</f>
        <v>0</v>
      </c>
      <c r="BC846">
        <f>COUNTIF(AS846:AW846,"&lt;&gt;0")</f>
        <v>0</v>
      </c>
      <c r="BD846">
        <f>COUNTIF(AM846:AR846,"&lt;&gt;0")</f>
        <v>0</v>
      </c>
      <c r="BE846" t="str">
        <f t="array" ref="BE846">IF(AY846=1,INDEX($V$7:$AL$7,MATCH(TRUE,INDEX($V846:$AW846&lt;&gt;0,),0)),IF(AY846=0,INDEX($AM$7:$AW$7,MATCH(1,$AM846:$AW846,0)),IF(BF846="Multiple strategies","mixed drivers",IF(BF846="Supply chain","multiple supply","multiple silviculture"))))</f>
        <v>mixed drivers</v>
      </c>
      <c r="BF846" s="2" t="str" cm="1">
        <f t="array" ref="BF846">IF(COUNTIF(AZ846:BB846,"&lt;&gt;0")=1,INDEX($V$4:$AW$4,MATCH(TRUE,INDEX($V846:$AW846&lt;&gt;0,),0)),IF(COUNTIF(AZ846:BB846,"&lt;&gt;0")=0,INDEX($AM$4:$AW$4,MATCH(1,$AM846:$AW846,0)),"Multiple strategies"))</f>
        <v>Multiple strategies</v>
      </c>
      <c r="BG846" s="1" t="s">
        <v>229</v>
      </c>
      <c r="BH846" t="s">
        <v>229</v>
      </c>
      <c r="BI846" s="264" t="s">
        <v>2128</v>
      </c>
      <c r="BJ846" t="s">
        <v>1770</v>
      </c>
      <c r="BK846">
        <v>284950</v>
      </c>
      <c r="BL846">
        <v>322592</v>
      </c>
      <c r="BM846" t="e">
        <f>#REF!</f>
        <v>#REF!</v>
      </c>
      <c r="BN846">
        <f>BL846-BK846</f>
        <v>37642</v>
      </c>
      <c r="BO846">
        <f>BN846*1000</f>
        <v>37642000</v>
      </c>
      <c r="BP846" t="s">
        <v>232</v>
      </c>
      <c r="BQ846" s="264" t="s">
        <v>2128</v>
      </c>
      <c r="BR846" t="s">
        <v>1300</v>
      </c>
      <c r="BS846">
        <v>72</v>
      </c>
      <c r="BT846">
        <v>100</v>
      </c>
      <c r="BU846" s="144">
        <f>IFERROR(BT846/BS846,"")</f>
        <v>1.3888888888888888</v>
      </c>
      <c r="BV846">
        <f>BT846-BS846</f>
        <v>28</v>
      </c>
      <c r="BX846">
        <f>BV846*10^6</f>
        <v>28000000</v>
      </c>
      <c r="BY846">
        <f>IFERROR(BX846/BO846,"")</f>
        <v>0.74384995483768135</v>
      </c>
      <c r="BZ846">
        <v>0</v>
      </c>
      <c r="CA846">
        <v>0</v>
      </c>
      <c r="CB846">
        <v>0</v>
      </c>
      <c r="CC846">
        <v>0</v>
      </c>
      <c r="CD846">
        <v>0</v>
      </c>
      <c r="CE846">
        <v>0</v>
      </c>
      <c r="CF846">
        <v>0</v>
      </c>
      <c r="CG846">
        <v>0</v>
      </c>
      <c r="CH846">
        <v>0</v>
      </c>
      <c r="CI846">
        <v>0</v>
      </c>
      <c r="CJ846">
        <v>0</v>
      </c>
      <c r="CK846">
        <v>0</v>
      </c>
      <c r="CL846">
        <v>0</v>
      </c>
      <c r="CM846">
        <v>1</v>
      </c>
      <c r="CN846" t="str">
        <f>IF($BL846&lt;$BK846,"refNeedCorrection","refOK")</f>
        <v>refOK</v>
      </c>
      <c r="CO846">
        <f>IF($CN846="refNeedCorrection",BL846,BK846)</f>
        <v>284950</v>
      </c>
      <c r="CP846">
        <f>IF($CN846="refNeedCorrection",BK846,BL846)</f>
        <v>322592</v>
      </c>
      <c r="CQ846">
        <f>IF($CN846="refOK",$BO846,-$BO846)</f>
        <v>37642000</v>
      </c>
      <c r="CR846">
        <f>IF($CN846="refOK",$BS846,$BT846)*IF($BP846="Emissions positive",-1,1)</f>
        <v>72</v>
      </c>
      <c r="CS846">
        <f>IF($CN846="refOK",$BT846,$BS846)*IF($BP846="Emissions positive",-1,1)</f>
        <v>100</v>
      </c>
      <c r="CT846">
        <f>IF($CN846="refNeedCorrection",-BX846,BX846)*IF($BP846="Emissions positive",-1,1)</f>
        <v>28000000</v>
      </c>
      <c r="CU846">
        <f>IFERROR(CT846/CQ846,"")</f>
        <v>0.74384995483768135</v>
      </c>
      <c r="CV846" s="2">
        <f>IFERROR((CS846-CR846)/ABS(CR846),"")</f>
        <v>0.3888888888888889</v>
      </c>
      <c r="CW846" s="1" t="s">
        <v>1231</v>
      </c>
      <c r="CX846" t="str">
        <f>IF(OR($CW846="prd",$CW846="std",$CW846="cit"),"loc",IF(OR($CW846="eur",$CW846="reg",$CW846="coy"),"reg",$CW846))</f>
        <v>reg</v>
      </c>
      <c r="CY846" t="s">
        <v>743</v>
      </c>
      <c r="CZ846">
        <v>2000</v>
      </c>
      <c r="DA846">
        <v>2030</v>
      </c>
      <c r="DB846">
        <v>30</v>
      </c>
      <c r="DC846" t="str">
        <f>IF(DB846=0,"0",IF(AND(DB846&gt;=1,DB846&lt;=30),"1-30",IF(AND(DB846&gt;30,DB846&lt;=70),"31-70",IF(AND(DB846&gt;70,DB846&lt;=100),"71-100",IF(DB846&gt;100,"+100")))))</f>
        <v>1-30</v>
      </c>
      <c r="DD846">
        <v>0</v>
      </c>
      <c r="DE846">
        <v>0</v>
      </c>
      <c r="DF846">
        <v>0</v>
      </c>
      <c r="DG846">
        <v>1</v>
      </c>
      <c r="DH846">
        <v>1</v>
      </c>
      <c r="DI846">
        <f>SUM(DD846:DG846)</f>
        <v>1</v>
      </c>
      <c r="DJ846" t="str">
        <f>IF(DI846=1,INDEX($DD$7:$DG$7,MATCH(1,$DD846:$DG846,0)),"mixedProduct")</f>
        <v>TimberInput</v>
      </c>
      <c r="DK846">
        <f>IF(DD846=1,DK$7,0)</f>
        <v>0</v>
      </c>
      <c r="DL846">
        <f>IF(DE846=1,DL$7,0)</f>
        <v>0</v>
      </c>
      <c r="DM846">
        <f>IF(DF846=1,DM$7,0)</f>
        <v>0</v>
      </c>
      <c r="DN846" t="str">
        <f>IF(DG846=1,DN$7,0)</f>
        <v>Timber</v>
      </c>
      <c r="DO846">
        <v>0</v>
      </c>
      <c r="DP846">
        <v>1</v>
      </c>
      <c r="DQ846" t="s">
        <v>1771</v>
      </c>
      <c r="DR846" t="s">
        <v>1771</v>
      </c>
      <c r="DS846">
        <v>0</v>
      </c>
      <c r="DT846">
        <f>SUM(DO846:DP846)</f>
        <v>1</v>
      </c>
      <c r="DU846" s="143" t="str">
        <f>IF(DO846=1,"self-calculated DF",IF(DP846=1,"external DF used","explicit C balance"))</f>
        <v>external DF used</v>
      </c>
      <c r="DV846">
        <v>0</v>
      </c>
      <c r="DW846">
        <v>0</v>
      </c>
      <c r="DX846">
        <v>0</v>
      </c>
      <c r="DY846">
        <v>1</v>
      </c>
      <c r="DZ846">
        <v>0</v>
      </c>
      <c r="EA846" s="143">
        <v>0</v>
      </c>
      <c r="EB846">
        <v>0</v>
      </c>
      <c r="EC846">
        <v>0</v>
      </c>
      <c r="ED846">
        <v>0</v>
      </c>
      <c r="EE846">
        <v>0</v>
      </c>
      <c r="EF846">
        <v>1</v>
      </c>
      <c r="EG846">
        <v>0</v>
      </c>
      <c r="EH846">
        <v>0</v>
      </c>
      <c r="EI846" s="2">
        <v>0</v>
      </c>
      <c r="EJ846" s="1" t="s">
        <v>1772</v>
      </c>
      <c r="EK846" t="str">
        <f>IF(AND(AND(AND(OR($DX846=1,$DW846=1),OR($EC846=1,$EA846=1)),SUM($DV846:$DZ846,$EF846)&gt;=4),SUM($EA846:$EE846)&gt;=2),"Whole sector","")</f>
        <v/>
      </c>
      <c r="EL846" t="str">
        <f>IF(AND(AND(OR($DX846=1,$DW846=1),AND($EC846=0,$EA846=0)),SUM($DV846:$DZ846,$EF846)&gt;=4),"Ecosystem approach","")</f>
        <v/>
      </c>
      <c r="EM846" s="2" t="str">
        <f>IF(AND(AND(AND($DX846=0,$DW846=0),OR($EC846=1,$EA846=1)),SUM($EB846:$EE846)&gt;=2),"Technology approach","")</f>
        <v/>
      </c>
      <c r="EP846" t="str">
        <f>IF(ISNUMBER(BU846),IF(ABS(BU846-[2]QC_indicators!$B$2)&gt;3*[2]QC_indicators!$C$2,"C ratio",IF(ISNUMBER(BY846),IF(ABS(BY846-[2]QC_indicators!$B$1)&gt;3*[2]QC_indicators!$C$1,"DF","no"))),IF(ISNUMBER(BY846),IF(ABS(BY846-[2]QC_indicators!$B$1)&gt;3*[2]QC_indicators!$C$1,"DF","no")))</f>
        <v>no</v>
      </c>
      <c r="ET846" s="264" t="s">
        <v>3270</v>
      </c>
    </row>
    <row r="847" spans="1:151" ht="15" customHeight="1">
      <c r="D847" t="s">
        <v>917</v>
      </c>
      <c r="E847" t="s">
        <v>918</v>
      </c>
      <c r="G847" t="s">
        <v>919</v>
      </c>
      <c r="I847">
        <v>2004</v>
      </c>
      <c r="K847" t="s">
        <v>920</v>
      </c>
      <c r="M847" t="str">
        <f>LEFT($D847,FIND(",",$D847)-1)&amp;"_"&amp;I847&amp;L847</f>
        <v>Lippke_2004</v>
      </c>
      <c r="N847" t="s">
        <v>222</v>
      </c>
      <c r="O847" t="s">
        <v>223</v>
      </c>
      <c r="Q847" t="s">
        <v>256</v>
      </c>
      <c r="R847" s="255" t="s">
        <v>225</v>
      </c>
      <c r="S847" s="1" t="s">
        <v>752</v>
      </c>
      <c r="T847" t="s">
        <v>921</v>
      </c>
      <c r="U847" s="264" t="s">
        <v>922</v>
      </c>
      <c r="V847">
        <v>0</v>
      </c>
      <c r="W847">
        <v>0</v>
      </c>
      <c r="X847">
        <v>0</v>
      </c>
      <c r="Y847">
        <v>0</v>
      </c>
      <c r="Z847">
        <v>0</v>
      </c>
      <c r="AA847">
        <v>0</v>
      </c>
      <c r="AB847">
        <v>0</v>
      </c>
      <c r="AC847">
        <v>0</v>
      </c>
      <c r="AD847">
        <v>0</v>
      </c>
      <c r="AE847">
        <v>0</v>
      </c>
      <c r="AF847">
        <v>0</v>
      </c>
      <c r="AG847">
        <v>0</v>
      </c>
      <c r="AH847">
        <v>0</v>
      </c>
      <c r="AI847">
        <v>0</v>
      </c>
      <c r="AJ847">
        <v>0</v>
      </c>
      <c r="AK847">
        <v>1</v>
      </c>
      <c r="AL847">
        <v>0</v>
      </c>
      <c r="AM847">
        <v>0</v>
      </c>
      <c r="AN847">
        <v>0</v>
      </c>
      <c r="AO847">
        <v>0</v>
      </c>
      <c r="AP847">
        <v>0</v>
      </c>
      <c r="AQ847">
        <v>0</v>
      </c>
      <c r="AR847">
        <v>0</v>
      </c>
      <c r="AS847">
        <v>0</v>
      </c>
      <c r="AT847">
        <v>0</v>
      </c>
      <c r="AU847">
        <v>0</v>
      </c>
      <c r="AV847">
        <v>0</v>
      </c>
      <c r="AW847">
        <v>0</v>
      </c>
      <c r="AX847" s="141">
        <f>COUNTIF(V847:AW847,"&lt;&gt;0")</f>
        <v>1</v>
      </c>
      <c r="AY847" s="141">
        <f>COUNTIF(V847:AL847,"&lt;&gt;0")</f>
        <v>1</v>
      </c>
      <c r="AZ847">
        <f>COUNTIF(V847:AC847,"&lt;&gt;0")</f>
        <v>0</v>
      </c>
      <c r="BA847">
        <f>COUNTIF(AD847:AI847,"&lt;&gt;0")</f>
        <v>0</v>
      </c>
      <c r="BB847">
        <f>COUNTIF(AJ847:AL847,"&lt;&gt;0")</f>
        <v>1</v>
      </c>
      <c r="BC847">
        <f>COUNTIF(AS847:AW847,"&lt;&gt;0")</f>
        <v>0</v>
      </c>
      <c r="BD847">
        <f>COUNTIF(AM847:AR847,"&lt;&gt;0")</f>
        <v>0</v>
      </c>
      <c r="BE847" t="str">
        <f t="array" ref="BE847">IF(AY847=1,INDEX($V$7:$AL$7,MATCH(TRUE,INDEX($V847:$AW847&lt;&gt;0,),0)),IF(AY847=0,INDEX($AM$7:$AW$7,MATCH(1,$AM847:$AW847,0)),IF(BF847="Multiple strategies","mixed drivers",IF(BF847="Supply chain","multiple supply","multiple silviculture"))))</f>
        <v>technologies/design switch</v>
      </c>
      <c r="BF847" s="2" t="str" cm="1">
        <f t="array" ref="BF847">IF(COUNTIF(AZ847:BB847,"&lt;&gt;0")=1,INDEX($V$4:$AW$4,MATCH(TRUE,INDEX($V847:$AW847&lt;&gt;0,),0)),IF(COUNTIF(AZ847:BB847,"&lt;&gt;0")=0,INDEX($AM$4:$AW$4,MATCH(1,$AM847:$AW847,0)),"Multiple strategies"))</f>
        <v>Technology</v>
      </c>
      <c r="BG847" s="1" t="s">
        <v>229</v>
      </c>
      <c r="BH847" t="s">
        <v>923</v>
      </c>
      <c r="BI847" s="260" t="s">
        <v>3370</v>
      </c>
      <c r="BJ847" s="264" t="s">
        <v>345</v>
      </c>
      <c r="BK847">
        <v>6595</v>
      </c>
      <c r="BL847" s="264">
        <v>12993</v>
      </c>
      <c r="BM847" s="264">
        <f>BL847/BK847</f>
        <v>1.9701288855193329</v>
      </c>
      <c r="BN847">
        <f>BL847-BK847</f>
        <v>6398</v>
      </c>
      <c r="BO847" s="264">
        <f>BN847*kg_to_m3</f>
        <v>13.057142857142859</v>
      </c>
      <c r="BP847" t="s">
        <v>232</v>
      </c>
      <c r="BQ847" s="260" t="s">
        <v>813</v>
      </c>
      <c r="BR847" t="s">
        <v>728</v>
      </c>
      <c r="BS847" s="264">
        <v>-46826</v>
      </c>
      <c r="BT847">
        <v>-37047</v>
      </c>
      <c r="BU847" s="144">
        <f>IFERROR(BT847/BS847,"")</f>
        <v>0.79116302908640501</v>
      </c>
      <c r="BV847">
        <f>BT847-BS847</f>
        <v>9779</v>
      </c>
      <c r="BX847">
        <f>BV847/1000</f>
        <v>9.7789999999999999</v>
      </c>
      <c r="BY847">
        <f>IFERROR(BX847/BO847,"")</f>
        <v>0.74893873085339158</v>
      </c>
      <c r="BZ847">
        <v>0</v>
      </c>
      <c r="CA847">
        <v>0</v>
      </c>
      <c r="CB847">
        <v>0</v>
      </c>
      <c r="CC847">
        <v>0</v>
      </c>
      <c r="CD847">
        <v>0</v>
      </c>
      <c r="CE847">
        <v>0</v>
      </c>
      <c r="CF847">
        <v>0</v>
      </c>
      <c r="CG847">
        <v>0</v>
      </c>
      <c r="CH847">
        <v>0</v>
      </c>
      <c r="CI847">
        <v>0</v>
      </c>
      <c r="CJ847">
        <v>1</v>
      </c>
      <c r="CK847">
        <v>0</v>
      </c>
      <c r="CL847">
        <v>0</v>
      </c>
      <c r="CM847">
        <v>0</v>
      </c>
      <c r="CN847" t="str">
        <f>IF($BL847&lt;$BK847,"refNeedCorrection","refOK")</f>
        <v>refOK</v>
      </c>
      <c r="CO847">
        <f>IF($CN847="refNeedCorrection",BL847,BK847)</f>
        <v>6595</v>
      </c>
      <c r="CP847">
        <f>IF($CN847="refNeedCorrection",BK847,BL847)</f>
        <v>12993</v>
      </c>
      <c r="CQ847">
        <f>IF($CN847="refOK",$BO847,-$BO847)</f>
        <v>13.057142857142859</v>
      </c>
      <c r="CR847">
        <f>IF($CN847="refOK",$BS847,$BT847)*IF($BP847="Emissions positive",-1,1)</f>
        <v>-46826</v>
      </c>
      <c r="CS847">
        <f>IF($CN847="refOK",$BT847,$BS847)*IF($BP847="Emissions positive",-1,1)</f>
        <v>-37047</v>
      </c>
      <c r="CT847">
        <f>IF($CN847="refNeedCorrection",-BX847,BX847)*IF($BP847="Emissions positive",-1,1)</f>
        <v>9.7789999999999999</v>
      </c>
      <c r="CU847">
        <f>IFERROR(CT847/CQ847,"")</f>
        <v>0.74893873085339158</v>
      </c>
      <c r="CV847" s="2">
        <f>IFERROR((CS847-CR847)/ABS(CR847),"")</f>
        <v>0.20883697091359502</v>
      </c>
      <c r="CW847" s="1" t="s">
        <v>263</v>
      </c>
      <c r="CX847" t="str">
        <f>IF(OR($CW847="prd",$CW847="std",$CW847="cit"),"loc",IF(OR($CW847="eur",$CW847="reg",$CW847="coy"),"reg",$CW847))</f>
        <v>loc</v>
      </c>
      <c r="CY847" t="s">
        <v>428</v>
      </c>
      <c r="DA847" s="143"/>
      <c r="DB847" s="264">
        <v>0</v>
      </c>
      <c r="DC847" t="str">
        <f>IF(DB847=0,"0",IF(AND(DB847&gt;=1,DB847&lt;=30),"1-30",IF(AND(DB847&gt;30,DB847&lt;=70),"31-70",IF(AND(DB847&gt;70,DB847&lt;=100),"71-100",IF(DB847&gt;100,"+100")))))</f>
        <v>0</v>
      </c>
      <c r="DD847">
        <v>0</v>
      </c>
      <c r="DE847">
        <v>0</v>
      </c>
      <c r="DF847">
        <v>0</v>
      </c>
      <c r="DG847">
        <v>1</v>
      </c>
      <c r="DI847">
        <f>SUM(DD847:DG847)</f>
        <v>1</v>
      </c>
      <c r="DJ847" t="str">
        <f>IF(DI847=1,INDEX($DD$7:$DG$7,MATCH(1,$DD847:$DG847,0)),"mixedProduct")</f>
        <v>TimberInput</v>
      </c>
      <c r="DK847">
        <f>IF(DD847=1,DK$7,0)</f>
        <v>0</v>
      </c>
      <c r="DL847">
        <f>IF(DE847=1,DL$7,0)</f>
        <v>0</v>
      </c>
      <c r="DM847">
        <f>IF(DF847=1,DM$7,0)</f>
        <v>0</v>
      </c>
      <c r="DN847" t="str">
        <f>IF(DG847=1,DN$7,0)</f>
        <v>Timber</v>
      </c>
      <c r="DO847">
        <v>0</v>
      </c>
      <c r="DP847" s="143">
        <v>0</v>
      </c>
      <c r="DQ847" s="143">
        <v>0</v>
      </c>
      <c r="DR847">
        <v>0</v>
      </c>
      <c r="DS847" s="143">
        <v>0</v>
      </c>
      <c r="DT847">
        <f>SUM(DO847:DP847)</f>
        <v>0</v>
      </c>
      <c r="DU847" s="143" t="str">
        <f>IF(DO847=1,"self-calculated DF",IF(DP847=1,"external DF used","explicit C balance"))</f>
        <v>explicit C balance</v>
      </c>
      <c r="DV847" s="143">
        <v>0</v>
      </c>
      <c r="DW847" s="143">
        <v>0</v>
      </c>
      <c r="DX847">
        <v>0</v>
      </c>
      <c r="DY847">
        <v>0</v>
      </c>
      <c r="DZ847">
        <v>0</v>
      </c>
      <c r="EA847" s="143">
        <v>0</v>
      </c>
      <c r="EB847" s="143">
        <v>0</v>
      </c>
      <c r="EC847">
        <v>1</v>
      </c>
      <c r="ED847" s="143">
        <v>0</v>
      </c>
      <c r="EE847">
        <v>1</v>
      </c>
      <c r="EF847">
        <v>0</v>
      </c>
      <c r="EG847" s="143">
        <v>0</v>
      </c>
      <c r="EH847">
        <v>0</v>
      </c>
      <c r="EI847" s="2">
        <v>0</v>
      </c>
      <c r="EK847" t="str">
        <f>IF(AND(AND(AND(OR($DX847=1,$DW847=1),OR($EC847=1,$EA847=1)),SUM($DV847:$DZ847,$EF847)&gt;=4),SUM($EA847:$EE847)&gt;=2),"Whole sector","")</f>
        <v/>
      </c>
      <c r="EL847" t="str">
        <f>IF(AND(AND(OR($DX847=1,$DW847=1),AND($EC847=0,$EA847=0)),SUM($DV847:$DZ847,$EF847)&gt;=4),"Ecosystem approach","")</f>
        <v/>
      </c>
      <c r="EM847" s="2" t="str">
        <f>IF(AND(AND(AND($DX847=0,$DW847=0),OR($EC847=1,$EA847=1)),SUM($EB847:$EE847)&gt;=2),"Technology approach","")</f>
        <v>Technology approach</v>
      </c>
      <c r="EN847" t="s">
        <v>924</v>
      </c>
      <c r="EP847" t="str">
        <f>IF(ISNUMBER(BU847),IF(ABS(BU847-[4]QC_indicators!$B$2)&gt;3*[4]QC_indicators!$C$2,"C ratio",IF(ISNUMBER(BY847),IF(ABS(BY847-[4]QC_indicators!$B$1)&gt;3*[4]QC_indicators!$C$1,"DF","no"))),IF(ISNUMBER(BY847),IF(ABS(BY847-[4]QC_indicators!$B$1)&gt;3*[4]QC_indicators!$C$1,"DF","no")))</f>
        <v>no</v>
      </c>
      <c r="ER847" s="149" t="s">
        <v>349</v>
      </c>
      <c r="ET847" s="264" t="s">
        <v>3273</v>
      </c>
    </row>
    <row r="848" spans="1:151" ht="15" customHeight="1">
      <c r="A848" s="1" t="s">
        <v>430</v>
      </c>
      <c r="B848" t="s">
        <v>431</v>
      </c>
      <c r="C848" t="s">
        <v>432</v>
      </c>
      <c r="D848" t="s">
        <v>433</v>
      </c>
      <c r="E848" t="s">
        <v>434</v>
      </c>
      <c r="F848" t="s">
        <v>435</v>
      </c>
      <c r="G848" t="s">
        <v>436</v>
      </c>
      <c r="H848" t="s">
        <v>254</v>
      </c>
      <c r="I848">
        <v>2000</v>
      </c>
      <c r="J848">
        <v>174</v>
      </c>
      <c r="K848" t="s">
        <v>437</v>
      </c>
      <c r="M848" t="str">
        <f>LEFT($D848,FIND(",",$D848)-1)&amp;"_"&amp;I848&amp;L848</f>
        <v>Borjesson_2000</v>
      </c>
      <c r="N848" t="s">
        <v>222</v>
      </c>
      <c r="O848" s="145" t="s">
        <v>223</v>
      </c>
      <c r="Q848" t="s">
        <v>256</v>
      </c>
      <c r="R848" s="255" t="s">
        <v>225</v>
      </c>
      <c r="S848" s="1" t="s">
        <v>454</v>
      </c>
      <c r="T848" t="s">
        <v>451</v>
      </c>
      <c r="U848" t="s">
        <v>455</v>
      </c>
      <c r="V848">
        <v>0</v>
      </c>
      <c r="W848">
        <v>0</v>
      </c>
      <c r="X848">
        <v>0</v>
      </c>
      <c r="Y848">
        <v>0</v>
      </c>
      <c r="Z848">
        <v>0</v>
      </c>
      <c r="AA848">
        <v>0</v>
      </c>
      <c r="AB848">
        <v>0</v>
      </c>
      <c r="AC848">
        <v>0</v>
      </c>
      <c r="AD848">
        <v>0</v>
      </c>
      <c r="AE848">
        <v>0</v>
      </c>
      <c r="AF848">
        <v>0</v>
      </c>
      <c r="AG848">
        <v>0</v>
      </c>
      <c r="AH848">
        <v>0</v>
      </c>
      <c r="AI848">
        <v>0</v>
      </c>
      <c r="AJ848">
        <v>0</v>
      </c>
      <c r="AK848">
        <v>1</v>
      </c>
      <c r="AL848">
        <v>0</v>
      </c>
      <c r="AM848">
        <v>0</v>
      </c>
      <c r="AN848">
        <v>0</v>
      </c>
      <c r="AO848">
        <v>0</v>
      </c>
      <c r="AP848">
        <v>0</v>
      </c>
      <c r="AQ848">
        <v>0</v>
      </c>
      <c r="AR848">
        <v>0</v>
      </c>
      <c r="AS848">
        <v>0</v>
      </c>
      <c r="AT848">
        <v>0</v>
      </c>
      <c r="AU848">
        <v>0</v>
      </c>
      <c r="AV848">
        <v>0</v>
      </c>
      <c r="AW848">
        <v>0</v>
      </c>
      <c r="AX848" s="141">
        <f>COUNTIF(V848:AW848,"&lt;&gt;0")</f>
        <v>1</v>
      </c>
      <c r="AY848" s="141">
        <f>COUNTIF(V848:AL848,"&lt;&gt;0")</f>
        <v>1</v>
      </c>
      <c r="AZ848">
        <f>COUNTIF(V848:AC848,"&lt;&gt;0")</f>
        <v>0</v>
      </c>
      <c r="BA848">
        <f>COUNTIF(AD848:AI848,"&lt;&gt;0")</f>
        <v>0</v>
      </c>
      <c r="BB848">
        <f>COUNTIF(AJ848:AL848,"&lt;&gt;0")</f>
        <v>1</v>
      </c>
      <c r="BC848">
        <f>COUNTIF(AS848:AW848,"&lt;&gt;0")</f>
        <v>0</v>
      </c>
      <c r="BD848">
        <f>COUNTIF(AM848:AR848,"&lt;&gt;0")</f>
        <v>0</v>
      </c>
      <c r="BE848" t="str">
        <f t="array" ref="BE848">IF(AY848=1,INDEX($V$7:$AL$7,MATCH(TRUE,INDEX($V848:$AW848&lt;&gt;0,),0)),IF(AY848=0,INDEX($AM$7:$AW$7,MATCH(1,$AM848:$AW848,0)),IF(BF848="Multiple strategies","mixed drivers",IF(BF848="Supply chain","multiple supply","multiple silviculture"))))</f>
        <v>technologies/design switch</v>
      </c>
      <c r="BF848" s="2" t="str" cm="1">
        <f t="array" ref="BF848">IF(COUNTIF(AZ848:BB848,"&lt;&gt;0")=1,INDEX($V$4:$AW$4,MATCH(TRUE,INDEX($V848:$AW848&lt;&gt;0,),0)),IF(COUNTIF(AZ848:BB848,"&lt;&gt;0")=0,INDEX($AM$4:$AW$4,MATCH(1,$AM848:$AW848,0)),"Multiple strategies"))</f>
        <v>Technology</v>
      </c>
      <c r="BG848" s="142" t="s">
        <v>229</v>
      </c>
      <c r="BH848" t="s">
        <v>441</v>
      </c>
      <c r="BI848" s="264" t="s">
        <v>3274</v>
      </c>
      <c r="BJ848" t="s">
        <v>442</v>
      </c>
      <c r="BK848">
        <v>0</v>
      </c>
      <c r="BL848">
        <v>44</v>
      </c>
      <c r="BM848" s="143"/>
      <c r="BN848">
        <f>BL848-BK848</f>
        <v>44</v>
      </c>
      <c r="BO848">
        <f>BN848*tC_to_m3</f>
        <v>191.05514546244029</v>
      </c>
      <c r="BP848" t="s">
        <v>232</v>
      </c>
      <c r="BQ848" s="260" t="s">
        <v>813</v>
      </c>
      <c r="BR848" t="s">
        <v>443</v>
      </c>
      <c r="BS848" s="141">
        <v>25</v>
      </c>
      <c r="BT848" s="141">
        <v>64</v>
      </c>
      <c r="BU848" s="144">
        <f>IFERROR(BT848/BS848,"")</f>
        <v>2.56</v>
      </c>
      <c r="BV848">
        <f>BT848-BS848</f>
        <v>39</v>
      </c>
      <c r="BX848">
        <f>BV848*C_to_CO2</f>
        <v>143.13</v>
      </c>
      <c r="BY848">
        <f>IFERROR(BX848/BO848,"")</f>
        <v>0.74915543181818178</v>
      </c>
      <c r="BZ848" s="143">
        <v>0</v>
      </c>
      <c r="CA848" s="143">
        <v>0</v>
      </c>
      <c r="CB848" s="143">
        <v>0</v>
      </c>
      <c r="CC848" s="143">
        <v>0</v>
      </c>
      <c r="CD848" s="143">
        <v>0</v>
      </c>
      <c r="CE848" s="143">
        <v>0</v>
      </c>
      <c r="CF848" s="143">
        <v>0</v>
      </c>
      <c r="CG848" s="143">
        <v>0</v>
      </c>
      <c r="CH848" s="143">
        <v>0</v>
      </c>
      <c r="CI848" s="143">
        <v>0</v>
      </c>
      <c r="CJ848" s="143">
        <v>0</v>
      </c>
      <c r="CK848" s="143">
        <v>0</v>
      </c>
      <c r="CL848" s="143">
        <v>0</v>
      </c>
      <c r="CM848">
        <v>0</v>
      </c>
      <c r="CN848" t="str">
        <f>IF($BL848&lt;$BK848,"refNeedCorrection","refOK")</f>
        <v>refOK</v>
      </c>
      <c r="CO848">
        <f>IF($CN848="refOK",$BK848,$BL848)</f>
        <v>0</v>
      </c>
      <c r="CP848">
        <f>IF($CN848="refOK",$BL848,$BK848)</f>
        <v>44</v>
      </c>
      <c r="CQ848">
        <f>IF($CN848="refOK",$BO848,-$BO848)</f>
        <v>191.05514546244029</v>
      </c>
      <c r="CR848">
        <f>IF($CN848="refOK",$BS848,$BT848)*IF($BP848="Emissions positive",-1,1)</f>
        <v>25</v>
      </c>
      <c r="CS848">
        <f>IF($CN848="refOK",$BT848,$BS848)*IF($BP848="Emissions positive",-1,1)</f>
        <v>64</v>
      </c>
      <c r="CT848">
        <f>IF($CN848="refNeedCorrection",-BX848,BX848)*IF($BP848="Emissions positive",-1,1)</f>
        <v>143.13</v>
      </c>
      <c r="CU848">
        <f>IFERROR(CT848/CQ848,"")</f>
        <v>0.74915543181818178</v>
      </c>
      <c r="CV848" s="2">
        <f>IFERROR((CS848-CR848)/ABS(CR848),"")</f>
        <v>1.56</v>
      </c>
      <c r="CW848" s="1" t="s">
        <v>263</v>
      </c>
      <c r="CX848" t="str">
        <f>IF(OR($CW848="prd",$CW848="std",$CW848="cit"),"loc",IF(OR($CW848="eur",$CW848="reg",$CW848="coy"),"reg",$CW848))</f>
        <v>loc</v>
      </c>
      <c r="CY848" t="s">
        <v>444</v>
      </c>
      <c r="DB848">
        <v>100</v>
      </c>
      <c r="DC848" t="str">
        <f>IF(DB848=0,"0",IF(AND(DB848&gt;=1,DB848&lt;=30),"1-30",IF(AND(DB848&gt;30,DB848&lt;=70),"31-70",IF(AND(DB848&gt;70,DB848&lt;=100),"71-100",IF(DB848&gt;100,"+100")))))</f>
        <v>71-100</v>
      </c>
      <c r="DD848">
        <v>0</v>
      </c>
      <c r="DE848">
        <v>0</v>
      </c>
      <c r="DF848">
        <v>0</v>
      </c>
      <c r="DG848">
        <v>1</v>
      </c>
      <c r="DI848">
        <f>SUM(DD848:DG848)</f>
        <v>1</v>
      </c>
      <c r="DJ848" t="str">
        <f>IF(DI848=1,INDEX($DD$7:$DG$7,MATCH(1,$DD848:$DG848,0)),"mixedProduct")</f>
        <v>TimberInput</v>
      </c>
      <c r="DK848">
        <f>IF(DD848=1,DK$7,0)</f>
        <v>0</v>
      </c>
      <c r="DL848">
        <f>IF(DE848=1,DL$7,0)</f>
        <v>0</v>
      </c>
      <c r="DM848">
        <f>IF(DF848=1,DM$7,0)</f>
        <v>0</v>
      </c>
      <c r="DN848" t="str">
        <f>IF(DG848=1,DN$7,0)</f>
        <v>Timber</v>
      </c>
      <c r="DO848">
        <v>1</v>
      </c>
      <c r="DP848" s="143">
        <v>0</v>
      </c>
      <c r="DQ848" s="143">
        <v>0</v>
      </c>
      <c r="DR848" s="143">
        <v>0</v>
      </c>
      <c r="DS848">
        <v>0</v>
      </c>
      <c r="DT848">
        <f>SUM(DO848:DP848)</f>
        <v>1</v>
      </c>
      <c r="DU848" s="143" t="str">
        <f>IF(DO848=1,"self-calculated DF",IF(DP848=1,"external DF used","explicit C balance"))</f>
        <v>self-calculated DF</v>
      </c>
      <c r="DV848">
        <v>0</v>
      </c>
      <c r="DW848" s="143">
        <v>0</v>
      </c>
      <c r="DX848" s="143">
        <v>1</v>
      </c>
      <c r="DY848" s="143">
        <v>1</v>
      </c>
      <c r="DZ848">
        <v>1</v>
      </c>
      <c r="EA848" s="143">
        <v>1</v>
      </c>
      <c r="EB848">
        <v>0</v>
      </c>
      <c r="EC848" s="143">
        <v>1</v>
      </c>
      <c r="ED848" s="143">
        <v>0</v>
      </c>
      <c r="EE848">
        <v>0</v>
      </c>
      <c r="EF848">
        <v>0</v>
      </c>
      <c r="EG848" s="143">
        <v>0</v>
      </c>
      <c r="EH848" s="143">
        <v>0</v>
      </c>
      <c r="EI848" s="2">
        <v>0</v>
      </c>
      <c r="EK848" t="str">
        <f>IF(AND(AND(AND(OR($DX848=1,$DW848=1),OR($EC848=1,$EA848=1)),SUM($DV848:$DZ848,$EF848)&gt;=4),SUM($EA848:$EE848)&gt;=2),"Whole sector","")</f>
        <v/>
      </c>
      <c r="EL848" t="str">
        <f>IF(AND(AND(OR($DX848=1,$DW848=1),AND($EC848=0,$EA848=0)),SUM($DV848:$DZ848,$EF848)&gt;=4),"Ecosystem approach","")</f>
        <v/>
      </c>
      <c r="EM848" s="2" t="str">
        <f>IF(AND(AND(AND($DX848=0,$DW848=0),OR($EC848=1,$EA848=1)),SUM($EB848:$EE848)&gt;=2),"Technology approach","")</f>
        <v/>
      </c>
      <c r="EP848" t="str">
        <f>IF(ISNUMBER(BU848),IF(ABS(BU848-[4]QC_indicators!$B$2)&gt;3*[4]QC_indicators!$C$2,"C ratio",IF(ISNUMBER(BY848),IF(ABS(BY848-[4]QC_indicators!$B$1)&gt;3*[4]QC_indicators!$C$1,"DF","no"))),IF(ISNUMBER(BY848),IF(ABS(BY848-[4]QC_indicators!$B$1)&gt;3*[4]QC_indicators!$C$1,"DF","no")))</f>
        <v>no</v>
      </c>
      <c r="ET848" s="264" t="s">
        <v>3273</v>
      </c>
    </row>
    <row r="849" spans="1:150" ht="15" customHeight="1">
      <c r="A849" s="1" t="s">
        <v>656</v>
      </c>
      <c r="B849" t="s">
        <v>2080</v>
      </c>
      <c r="C849" t="s">
        <v>2081</v>
      </c>
      <c r="D849" t="s">
        <v>2082</v>
      </c>
      <c r="E849" t="s">
        <v>2083</v>
      </c>
      <c r="F849" t="s">
        <v>2084</v>
      </c>
      <c r="G849" t="s">
        <v>662</v>
      </c>
      <c r="H849" t="s">
        <v>254</v>
      </c>
      <c r="I849">
        <v>2020</v>
      </c>
      <c r="J849">
        <v>4</v>
      </c>
      <c r="K849" t="s">
        <v>2085</v>
      </c>
      <c r="M849" t="str">
        <f>LEFT($D849,FIND(",",$D849)-1)&amp;"_"&amp;I849&amp;L849</f>
        <v>Palus_2020</v>
      </c>
      <c r="N849" t="s">
        <v>222</v>
      </c>
      <c r="O849" s="157" t="s">
        <v>513</v>
      </c>
      <c r="P849" t="s">
        <v>223</v>
      </c>
      <c r="Q849" t="s">
        <v>389</v>
      </c>
      <c r="R849" s="255" t="s">
        <v>225</v>
      </c>
      <c r="T849" t="s">
        <v>1201</v>
      </c>
      <c r="U849" t="s">
        <v>1200</v>
      </c>
      <c r="V849">
        <v>0</v>
      </c>
      <c r="W849">
        <v>0</v>
      </c>
      <c r="X849">
        <v>0</v>
      </c>
      <c r="Y849">
        <v>0</v>
      </c>
      <c r="Z849">
        <v>0</v>
      </c>
      <c r="AA849">
        <v>0</v>
      </c>
      <c r="AB849">
        <v>0</v>
      </c>
      <c r="AC849">
        <v>0</v>
      </c>
      <c r="AD849">
        <v>0</v>
      </c>
      <c r="AE849">
        <v>0</v>
      </c>
      <c r="AF849">
        <v>1</v>
      </c>
      <c r="AG849">
        <v>0</v>
      </c>
      <c r="AH849">
        <v>0</v>
      </c>
      <c r="AI849">
        <v>0</v>
      </c>
      <c r="AJ849">
        <v>0</v>
      </c>
      <c r="AK849">
        <v>0</v>
      </c>
      <c r="AL849">
        <v>0</v>
      </c>
      <c r="AM849">
        <v>0</v>
      </c>
      <c r="AN849">
        <v>0</v>
      </c>
      <c r="AO849">
        <v>0</v>
      </c>
      <c r="AP849">
        <v>0</v>
      </c>
      <c r="AQ849">
        <v>0</v>
      </c>
      <c r="AR849">
        <v>0</v>
      </c>
      <c r="AS849">
        <v>1</v>
      </c>
      <c r="AT849">
        <v>0</v>
      </c>
      <c r="AU849">
        <v>0</v>
      </c>
      <c r="AV849">
        <v>0</v>
      </c>
      <c r="AW849">
        <v>0</v>
      </c>
      <c r="AX849" s="141">
        <f>COUNTIF(V849:AW849,"&lt;&gt;0")</f>
        <v>2</v>
      </c>
      <c r="AY849" s="141">
        <f>COUNTIF(V849:AL849,"&lt;&gt;0")</f>
        <v>1</v>
      </c>
      <c r="AZ849">
        <f>COUNTIF(V849:AC849,"&lt;&gt;0")</f>
        <v>0</v>
      </c>
      <c r="BA849">
        <f>COUNTIF(AD849:AI849,"&lt;&gt;0")</f>
        <v>1</v>
      </c>
      <c r="BB849">
        <f>COUNTIF(AJ849:AL849,"&lt;&gt;0")</f>
        <v>0</v>
      </c>
      <c r="BC849">
        <f>COUNTIF(AS849:AW849,"&lt;&gt;0")</f>
        <v>1</v>
      </c>
      <c r="BD849">
        <f>COUNTIF(AM849:AR849,"&lt;&gt;0")</f>
        <v>0</v>
      </c>
      <c r="BE849" t="str">
        <f t="array" ref="BE849">IF(AY849=1,INDEX($V$7:$AL$7,MATCH(TRUE,INDEX($V849:$AW849&lt;&gt;0,),0)),IF(AY849=0,INDEX($AM$7:$AW$7,MATCH(1,$AM849:$AW849,0)),IF(BF849="Multiple strategies","mixed drivers",IF(BF849="Supply chain","multiple supply","multiple silviculture"))))</f>
        <v>supply chain organization</v>
      </c>
      <c r="BF849" s="2" t="str" cm="1">
        <f t="array" ref="BF849">IF(COUNTIF(AZ849:BB849,"&lt;&gt;0")=1,INDEX($V$4:$AW$4,MATCH(TRUE,INDEX($V849:$AW849&lt;&gt;0,),0)),IF(COUNTIF(AZ849:BB849,"&lt;&gt;0")=0,INDEX($AM$4:$AW$4,MATCH(1,$AM849:$AW849,0)),"Multiple strategies"))</f>
        <v>Supply chain</v>
      </c>
      <c r="BG849" s="1" t="s">
        <v>321</v>
      </c>
      <c r="BH849" t="s">
        <v>832</v>
      </c>
      <c r="BI849" t="s">
        <v>699</v>
      </c>
      <c r="BJ849" t="s">
        <v>2086</v>
      </c>
      <c r="BK849">
        <v>8091.4</v>
      </c>
      <c r="BL849">
        <v>9394.9</v>
      </c>
      <c r="BM849">
        <f>IFERROR(BL849/BK849,"")</f>
        <v>1.1610969671503077</v>
      </c>
      <c r="BN849">
        <f>BL849-BK849</f>
        <v>1303.5</v>
      </c>
      <c r="BO849">
        <f>BN849*1000</f>
        <v>1303500</v>
      </c>
      <c r="BP849" t="s">
        <v>395</v>
      </c>
      <c r="BQ849" s="260" t="s">
        <v>3389</v>
      </c>
      <c r="BR849" t="s">
        <v>2087</v>
      </c>
      <c r="BS849">
        <v>-1535.25</v>
      </c>
      <c r="BT849">
        <v>-2515.0300000000002</v>
      </c>
      <c r="BU849" s="144"/>
      <c r="BV849">
        <f>BT849-BS849</f>
        <v>-979.7800000000002</v>
      </c>
      <c r="BX849">
        <f>BV849*1000</f>
        <v>-979780.00000000023</v>
      </c>
      <c r="BY849">
        <f>IFERROR(BX849/BO849,"")</f>
        <v>-0.75165324127349464</v>
      </c>
      <c r="BZ849">
        <v>0</v>
      </c>
      <c r="CA849">
        <v>0</v>
      </c>
      <c r="CB849">
        <v>0</v>
      </c>
      <c r="CC849">
        <v>0</v>
      </c>
      <c r="CD849">
        <v>0</v>
      </c>
      <c r="CE849">
        <v>0</v>
      </c>
      <c r="CF849">
        <v>0</v>
      </c>
      <c r="CG849">
        <v>0</v>
      </c>
      <c r="CH849">
        <v>0</v>
      </c>
      <c r="CI849">
        <v>0</v>
      </c>
      <c r="CJ849">
        <v>0</v>
      </c>
      <c r="CK849">
        <v>0</v>
      </c>
      <c r="CL849">
        <v>0</v>
      </c>
      <c r="CM849">
        <v>0</v>
      </c>
      <c r="CN849" t="str">
        <f>IF($BL849&lt;$BK849,"refNeedCorrection","refOK")</f>
        <v>refOK</v>
      </c>
      <c r="CO849">
        <f>IF($CN849="refOK",$BK849,$BL849)</f>
        <v>8091.4</v>
      </c>
      <c r="CP849">
        <f>IF($CN849="refOK",$BL849,$BK849)</f>
        <v>9394.9</v>
      </c>
      <c r="CQ849">
        <f>IF($CN849="refOK",$BO849,-$BO849)</f>
        <v>1303500</v>
      </c>
      <c r="CR849">
        <f>IF($CN849="refOK",$BS849,$BT849)*IF($BP849="Emissions positive",-1,1)</f>
        <v>1535.25</v>
      </c>
      <c r="CS849">
        <f>IF($CN849="refOK",$BT849,$BS849)*IF($BP849="Emissions positive",-1,1)</f>
        <v>2515.0300000000002</v>
      </c>
      <c r="CT849">
        <f>IF($CN849="refNeedCorrection",-BX849,BX849)*IF($BP849="Emissions positive",-1,1)</f>
        <v>979780.00000000023</v>
      </c>
      <c r="CU849">
        <f>IFERROR(CT849/CQ849,"")</f>
        <v>0.75165324127349464</v>
      </c>
      <c r="CV849" s="2">
        <f>IFERROR((CS849-CR849)/ABS(CR849),"")</f>
        <v>0.63818921999674338</v>
      </c>
      <c r="CW849" s="1" t="s">
        <v>1203</v>
      </c>
      <c r="CX849" t="str">
        <f>IF(OR($CW849="prd",$CW849="std",$CW849="cit"),"loc",IF(OR($CW849="eur",$CW849="reg",$CW849="coy"),"reg",$CW849))</f>
        <v>reg</v>
      </c>
      <c r="CY849" t="s">
        <v>2088</v>
      </c>
      <c r="CZ849">
        <v>2017</v>
      </c>
      <c r="DA849">
        <v>2017</v>
      </c>
      <c r="DB849">
        <f>DA849-CZ849</f>
        <v>0</v>
      </c>
      <c r="DC849" t="str">
        <f>IF(DB849=0,"0",IF(AND(DB849&gt;=1,DB849&lt;=30),"1-30",IF(AND(DB849&gt;30,DB849&lt;=70),"31-70",IF(AND(DB849&gt;70,DB849&lt;=100),"71-100",IF(DB849&gt;100,"+100")))))</f>
        <v>0</v>
      </c>
      <c r="DD849">
        <v>0</v>
      </c>
      <c r="DE849">
        <v>0</v>
      </c>
      <c r="DF849">
        <v>1</v>
      </c>
      <c r="DG849">
        <v>1</v>
      </c>
      <c r="DH849">
        <v>0</v>
      </c>
      <c r="DI849">
        <f>SUM(DD849:DH849)</f>
        <v>2</v>
      </c>
      <c r="DJ849" t="str">
        <f>IF(DI849=1,INDEX($DD$7:$DG$7,MATCH(1,$DD849:$DG849,0)),"mixedProduct")</f>
        <v>mixedProduct</v>
      </c>
      <c r="DK849">
        <f>IF(DD849=1,DK$7,0)</f>
        <v>0</v>
      </c>
      <c r="DL849">
        <f>IF(DE849=1,DL$7,0)</f>
        <v>0</v>
      </c>
      <c r="DM849" t="str">
        <f>IF(DF849=1,DM$7,0)</f>
        <v>Pulp/Paper</v>
      </c>
      <c r="DN849" t="str">
        <f>IF(DG849=1,DN$7,0)</f>
        <v>Timber</v>
      </c>
      <c r="DO849">
        <v>0</v>
      </c>
      <c r="DP849">
        <v>0</v>
      </c>
      <c r="DQ849">
        <v>0</v>
      </c>
      <c r="DR849">
        <v>0</v>
      </c>
      <c r="DS849">
        <v>0</v>
      </c>
      <c r="DT849"/>
      <c r="DU849" s="143" t="str">
        <f>IF(DO849=1,"self-calculated DF",IF(DP849=1,"external DF used","explicit C balance"))</f>
        <v>explicit C balance</v>
      </c>
      <c r="DV849">
        <v>0</v>
      </c>
      <c r="DW849">
        <v>0</v>
      </c>
      <c r="DX849">
        <v>0</v>
      </c>
      <c r="DY849">
        <v>1</v>
      </c>
      <c r="DZ849">
        <v>1</v>
      </c>
      <c r="EA849">
        <v>0</v>
      </c>
      <c r="EB849">
        <v>0</v>
      </c>
      <c r="EC849">
        <v>0</v>
      </c>
      <c r="ED849">
        <v>0</v>
      </c>
      <c r="EE849">
        <v>0</v>
      </c>
      <c r="EF849">
        <v>1</v>
      </c>
      <c r="EG849">
        <v>0</v>
      </c>
      <c r="EH849">
        <v>0</v>
      </c>
      <c r="EI849" s="2">
        <v>0</v>
      </c>
      <c r="EK849" t="str">
        <f>IF(AND(AND(AND(OR($DX849=1,$DW849=1),OR($EC849=1,$EA849=1)),SUM($DV849:$DZ849,$EF849)&gt;=4),SUM($EA849:$EE849)&gt;=2),"Whole sector","")</f>
        <v/>
      </c>
      <c r="EL849" t="str">
        <f>IF(AND(AND(OR($DX849=1,$DW849=1),AND($EC849=0,$EA849=0)),SUM($DV849:$DZ849,$EF849)&gt;=4),"Ecosystem approach","")</f>
        <v/>
      </c>
      <c r="EM849" s="2" t="str">
        <f>IF(AND(AND(AND($DX849=0,$DW849=0),OR($EC849=1,$EA849=1)),SUM($EB849:$EE849)&gt;=2),"Technology approach","")</f>
        <v/>
      </c>
      <c r="EP849" t="str">
        <f>IF(ISNUMBER(BU849),IF(ABS(BU849-[4]QC_indicators!$B$2)&gt;3*[4]QC_indicators!$C$2,"C ratio",IF(ISNUMBER(BY849),IF(ABS(BY849-[4]QC_indicators!$B$1)&gt;3*[4]QC_indicators!$C$1,"DF","no"))),IF(ISNUMBER(BY849),IF(ABS(BY849-[4]QC_indicators!$B$1)&gt;3*[4]QC_indicators!$C$1,"DF","no")))</f>
        <v>no</v>
      </c>
      <c r="ET849" s="264" t="s">
        <v>3273</v>
      </c>
    </row>
    <row r="850" spans="1:150" ht="15" customHeight="1">
      <c r="D850" t="s">
        <v>773</v>
      </c>
      <c r="E850" t="s">
        <v>774</v>
      </c>
      <c r="G850" t="s">
        <v>775</v>
      </c>
      <c r="I850">
        <v>2015</v>
      </c>
      <c r="K850" s="150" t="s">
        <v>776</v>
      </c>
      <c r="M850" t="str">
        <f>LEFT($D850,FIND(",",$D850)-1)&amp;"_"&amp;I850&amp;L850</f>
        <v>Gustavsson_2015</v>
      </c>
      <c r="N850" t="s">
        <v>222</v>
      </c>
      <c r="O850" s="141" t="s">
        <v>223</v>
      </c>
      <c r="Q850" t="s">
        <v>256</v>
      </c>
      <c r="R850" s="255" t="s">
        <v>225</v>
      </c>
      <c r="S850" s="1" t="s">
        <v>777</v>
      </c>
      <c r="T850" t="s">
        <v>778</v>
      </c>
      <c r="U850" s="143" t="s">
        <v>779</v>
      </c>
      <c r="V850">
        <v>0</v>
      </c>
      <c r="W850">
        <v>0</v>
      </c>
      <c r="X850">
        <v>0</v>
      </c>
      <c r="Y850">
        <v>1</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s="141">
        <f>COUNTIF(V850:AW850,"&lt;&gt;0")</f>
        <v>1</v>
      </c>
      <c r="AY850" s="141">
        <f>COUNTIF(V850:AL850,"&lt;&gt;0")</f>
        <v>1</v>
      </c>
      <c r="AZ850">
        <f>COUNTIF(V850:AC850,"&lt;&gt;0")</f>
        <v>1</v>
      </c>
      <c r="BA850">
        <f>COUNTIF(AD850:AI850,"&lt;&gt;0")</f>
        <v>0</v>
      </c>
      <c r="BB850">
        <f>COUNTIF(AJ850:AL850,"&lt;&gt;0")</f>
        <v>0</v>
      </c>
      <c r="BC850">
        <f>COUNTIF(AS850:AW850,"&lt;&gt;0")</f>
        <v>0</v>
      </c>
      <c r="BD850">
        <f>COUNTIF(AM850:AR850,"&lt;&gt;0")</f>
        <v>0</v>
      </c>
      <c r="BE850" t="str">
        <f t="array" ref="BE850">IF(AY850=1,INDEX($V$7:$AL$7,MATCH(TRUE,INDEX($V850:$AW850&lt;&gt;0,),0)),IF(AY850=0,INDEX($AM$7:$AW$7,MATCH(1,$AM850:$AW850,0)),IF(BF850="Multiple strategies","mixed drivers",IF(BF850="Supply chain","multiple supply","multiple silviculture"))))</f>
        <v xml:space="preserve">cutting intensity </v>
      </c>
      <c r="BF850" s="2" t="str" cm="1">
        <f t="array" ref="BF850">IF(COUNTIF(AZ850:BB850,"&lt;&gt;0")=1,INDEX($V$4:$AW$4,MATCH(TRUE,INDEX($V850:$AW850&lt;&gt;0,),0)),IF(COUNTIF(AZ850:BB850,"&lt;&gt;0")=0,INDEX($AM$4:$AW$4,MATCH(1,$AM850:$AW850,0)),"Multiple strategies"))</f>
        <v>Silviculture for removals</v>
      </c>
      <c r="BG850" s="142" t="s">
        <v>321</v>
      </c>
      <c r="BH850" t="s">
        <v>780</v>
      </c>
      <c r="BI850" s="260" t="s">
        <v>3339</v>
      </c>
      <c r="BJ850" s="264" t="s">
        <v>651</v>
      </c>
      <c r="BK850">
        <v>0</v>
      </c>
      <c r="BL850" s="143">
        <v>1</v>
      </c>
      <c r="BM850" s="143" t="e">
        <f>BL850/BK850</f>
        <v>#DIV/0!</v>
      </c>
      <c r="BN850">
        <f>BL850-BK850</f>
        <v>1</v>
      </c>
      <c r="BO850" s="143">
        <f>BN850*t_to_m3</f>
        <v>2.0408163265306123</v>
      </c>
      <c r="BP850" t="s">
        <v>232</v>
      </c>
      <c r="BQ850" s="304" t="s">
        <v>2113</v>
      </c>
      <c r="BR850" t="s">
        <v>728</v>
      </c>
      <c r="BS850" s="264">
        <v>-3416</v>
      </c>
      <c r="BT850" s="264">
        <v>-1870</v>
      </c>
      <c r="BU850">
        <v>0.54742388758782201</v>
      </c>
      <c r="BV850">
        <v>1546</v>
      </c>
      <c r="BX850">
        <f>BV850/1000</f>
        <v>1.546</v>
      </c>
      <c r="BY850">
        <f>IFERROR(BX850/BO850,"")</f>
        <v>0.75753999999999999</v>
      </c>
      <c r="BZ850" s="143">
        <v>0</v>
      </c>
      <c r="CA850" s="143">
        <v>0</v>
      </c>
      <c r="CB850" s="143">
        <v>0</v>
      </c>
      <c r="CC850" s="143">
        <v>0</v>
      </c>
      <c r="CD850" s="143">
        <v>0</v>
      </c>
      <c r="CE850" s="143">
        <v>0</v>
      </c>
      <c r="CF850" s="143">
        <v>0</v>
      </c>
      <c r="CG850" s="143">
        <v>0</v>
      </c>
      <c r="CH850" s="143">
        <v>0</v>
      </c>
      <c r="CI850" s="143">
        <v>0</v>
      </c>
      <c r="CJ850" s="143">
        <v>0</v>
      </c>
      <c r="CK850" s="143">
        <v>0</v>
      </c>
      <c r="CL850" s="143">
        <v>0</v>
      </c>
      <c r="CM850">
        <v>0</v>
      </c>
      <c r="CN850" t="str">
        <f>IF($BL850&lt;$BK850,"refNeedCorrection","refOK")</f>
        <v>refOK</v>
      </c>
      <c r="CO850">
        <f>IF($CN850="refOK",$BK850,$BL850)</f>
        <v>0</v>
      </c>
      <c r="CP850">
        <f>IF($CN850="refOK",$BL850,$BK850)</f>
        <v>1</v>
      </c>
      <c r="CQ850">
        <f>IF($CN850="refOK",$BO850,-$BO850)</f>
        <v>2.0408163265306123</v>
      </c>
      <c r="CR850">
        <f>IF($CN850="refOK",$BS850,$BT850)*IF($BP850="Emissions positive",-1,1)</f>
        <v>-3416</v>
      </c>
      <c r="CS850">
        <f>IF($CN850="refOK",$BT850,$BS850)*IF($BP850="Emissions positive",-1,1)</f>
        <v>-1870</v>
      </c>
      <c r="CT850">
        <f>IF($CN850="refNeedCorrection",-BX850,BX850)*IF($BP850="Emissions positive",-1,1)</f>
        <v>1.546</v>
      </c>
      <c r="CU850">
        <f>IFERROR(CT850/CQ850,"")</f>
        <v>0.75753999999999999</v>
      </c>
      <c r="CV850" s="2">
        <f>IFERROR((CS850-CR850)/ABS(CR850),"")</f>
        <v>0.45257611241217799</v>
      </c>
      <c r="CW850" s="1" t="s">
        <v>263</v>
      </c>
      <c r="CX850" t="str">
        <f>IF(OR($CW850="prd",$CW850="std",$CW850="cit"),"loc",IF(OR($CW850="eur",$CW850="reg",$CW850="coy"),"reg",$CW850))</f>
        <v>loc</v>
      </c>
      <c r="CY850" t="s">
        <v>444</v>
      </c>
      <c r="DA850" s="143"/>
      <c r="DB850" s="143">
        <v>50</v>
      </c>
      <c r="DC850" t="str">
        <f>IF(DB850=0,"0",IF(AND(DB850&gt;=1,DB850&lt;=30),"1-30",IF(AND(DB850&gt;30,DB850&lt;=70),"31-70",IF(AND(DB850&gt;70,DB850&lt;=100),"71-100",IF(DB850&gt;100,"+100")))))</f>
        <v>31-70</v>
      </c>
      <c r="DD850">
        <v>0</v>
      </c>
      <c r="DE850">
        <v>1</v>
      </c>
      <c r="DF850">
        <v>0</v>
      </c>
      <c r="DG850">
        <v>0</v>
      </c>
      <c r="DI850">
        <f>SUM(DD850:DG850)</f>
        <v>1</v>
      </c>
      <c r="DJ850" t="str">
        <f>IF(DI850=1,INDEX($DD$7:$DG$7,MATCH(1,$DD850:$DG850,0)),"mixedProduct")</f>
        <v>EnergyInput</v>
      </c>
      <c r="DK850">
        <f>IF(DD850=1,DK$7,0)</f>
        <v>0</v>
      </c>
      <c r="DL850" t="str">
        <f>IF(DE850=1,DL$7,0)</f>
        <v>Energy</v>
      </c>
      <c r="DM850">
        <f>IF(DF850=1,DM$7,0)</f>
        <v>0</v>
      </c>
      <c r="DN850">
        <f>IF(DG850=1,DN$7,0)</f>
        <v>0</v>
      </c>
      <c r="DO850">
        <v>0</v>
      </c>
      <c r="DP850" s="143">
        <v>0</v>
      </c>
      <c r="DQ850" s="143">
        <v>0</v>
      </c>
      <c r="DR850">
        <v>0</v>
      </c>
      <c r="DS850" s="143">
        <v>0</v>
      </c>
      <c r="DT850">
        <f>SUM(DO850:DP850)</f>
        <v>0</v>
      </c>
      <c r="DU850" s="143" t="str">
        <f>IF(DO850=1,"self-calculated DF",IF(DP850=1,"external DF used","explicit C balance"))</f>
        <v>explicit C balance</v>
      </c>
      <c r="DV850" s="143">
        <v>0</v>
      </c>
      <c r="DW850" s="264">
        <v>1</v>
      </c>
      <c r="DX850" s="264">
        <v>0</v>
      </c>
      <c r="DY850" s="264">
        <v>0</v>
      </c>
      <c r="DZ850" s="264">
        <v>1</v>
      </c>
      <c r="EA850" s="264">
        <v>0</v>
      </c>
      <c r="EB850" s="264">
        <v>1</v>
      </c>
      <c r="EC850" s="264">
        <v>0</v>
      </c>
      <c r="ED850" s="143">
        <v>0</v>
      </c>
      <c r="EE850">
        <v>0</v>
      </c>
      <c r="EF850">
        <v>1</v>
      </c>
      <c r="EG850" s="143">
        <v>0</v>
      </c>
      <c r="EH850" s="143">
        <v>0</v>
      </c>
      <c r="EI850" s="2">
        <v>0</v>
      </c>
      <c r="EK850" t="str">
        <f>IF(AND(AND(AND(OR($DX850=1,$DW850=1),OR($EC850=1,$EA850=1)),SUM($DV850:$DZ850,$EF850)&gt;=4),SUM($EA850:$EE850)&gt;=2),"Whole sector","")</f>
        <v/>
      </c>
      <c r="EL850" t="str">
        <f>IF(AND(AND(OR($DX850=1,$DW850=1),AND($EC850=0,$EA850=0)),SUM($DV850:$DZ850,$EF850)&gt;=4),"Ecosystem approach","")</f>
        <v/>
      </c>
      <c r="EM850" s="2" t="str">
        <f>IF(AND(AND(AND($DX850=0,$DW850=0),OR($EC850=1,$EA850=1)),SUM($EB850:$EE850)&gt;=2),"Technology approach","")</f>
        <v/>
      </c>
      <c r="EP850" t="str">
        <f>IF(ISNUMBER(BU850),IF(ABS(BU850-[4]QC_indicators!$B$2)&gt;3*[4]QC_indicators!$C$2,"C ratio",IF(ISNUMBER(BY850),IF(ABS(BY850-[4]QC_indicators!$B$1)&gt;3*[4]QC_indicators!$C$1,"DF","no"))),IF(ISNUMBER(BY850),IF(ABS(BY850-[4]QC_indicators!$B$1)&gt;3*[4]QC_indicators!$C$1,"DF","no")))</f>
        <v>no</v>
      </c>
      <c r="ER850" s="149" t="s">
        <v>349</v>
      </c>
      <c r="ET850" s="264" t="s">
        <v>3273</v>
      </c>
    </row>
    <row r="851" spans="1:150" ht="15" customHeight="1">
      <c r="D851" t="s">
        <v>757</v>
      </c>
      <c r="E851" t="s">
        <v>758</v>
      </c>
      <c r="G851" t="s">
        <v>759</v>
      </c>
      <c r="I851">
        <v>2006</v>
      </c>
      <c r="K851" s="296" t="s">
        <v>760</v>
      </c>
      <c r="M851" t="str">
        <f>LEFT($D851,FIND(",",$D851)-1)&amp;"_"&amp;I851&amp;L851</f>
        <v>Gustavsson_2006</v>
      </c>
      <c r="N851" t="s">
        <v>222</v>
      </c>
      <c r="O851" t="s">
        <v>223</v>
      </c>
      <c r="Q851" s="264" t="s">
        <v>256</v>
      </c>
      <c r="R851" s="269" t="s">
        <v>1154</v>
      </c>
      <c r="S851" s="263" t="s">
        <v>766</v>
      </c>
      <c r="T851" t="s">
        <v>753</v>
      </c>
      <c r="U851" s="143" t="s">
        <v>754</v>
      </c>
      <c r="V851">
        <v>0</v>
      </c>
      <c r="W851">
        <v>0</v>
      </c>
      <c r="X851">
        <v>0</v>
      </c>
      <c r="Y851">
        <v>0</v>
      </c>
      <c r="Z851">
        <v>0</v>
      </c>
      <c r="AA851">
        <v>0</v>
      </c>
      <c r="AB851">
        <v>0</v>
      </c>
      <c r="AC851">
        <v>0</v>
      </c>
      <c r="AD851">
        <v>0</v>
      </c>
      <c r="AE851">
        <v>0</v>
      </c>
      <c r="AF851">
        <v>0</v>
      </c>
      <c r="AG851">
        <v>0</v>
      </c>
      <c r="AH851">
        <v>0</v>
      </c>
      <c r="AI851">
        <v>0</v>
      </c>
      <c r="AJ851">
        <v>0</v>
      </c>
      <c r="AK851">
        <v>1</v>
      </c>
      <c r="AL851">
        <v>0</v>
      </c>
      <c r="AM851">
        <v>0</v>
      </c>
      <c r="AN851">
        <v>0</v>
      </c>
      <c r="AO851">
        <v>0</v>
      </c>
      <c r="AP851">
        <v>0</v>
      </c>
      <c r="AQ851">
        <v>0</v>
      </c>
      <c r="AR851">
        <v>0</v>
      </c>
      <c r="AS851">
        <v>0</v>
      </c>
      <c r="AT851">
        <v>0</v>
      </c>
      <c r="AU851">
        <v>0</v>
      </c>
      <c r="AV851">
        <v>0</v>
      </c>
      <c r="AW851">
        <v>0</v>
      </c>
      <c r="AX851" s="141">
        <f>COUNTIF(V851:AW851,"&lt;&gt;0")</f>
        <v>1</v>
      </c>
      <c r="AY851" s="141">
        <f>COUNTIF(V851:AL851,"&lt;&gt;0")</f>
        <v>1</v>
      </c>
      <c r="AZ851">
        <f>COUNTIF(V851:AC851,"&lt;&gt;0")</f>
        <v>0</v>
      </c>
      <c r="BA851">
        <f>COUNTIF(AD851:AI851,"&lt;&gt;0")</f>
        <v>0</v>
      </c>
      <c r="BB851">
        <f>COUNTIF(AJ851:AL851,"&lt;&gt;0")</f>
        <v>1</v>
      </c>
      <c r="BC851">
        <f>COUNTIF(AS851:AW851,"&lt;&gt;0")</f>
        <v>0</v>
      </c>
      <c r="BD851">
        <f>COUNTIF(AM851:AR851,"&lt;&gt;0")</f>
        <v>0</v>
      </c>
      <c r="BE851" t="str" cm="1">
        <f t="array" ref="BE851">IF(AY851=1,INDEX($V$7:$AL$7,MATCH(TRUE,INDEX($V851:$AW851&lt;&gt;0,),0)),IF(AY851=0,INDEX($AM$7:$AW$7,MATCH(1,$AM851:$AW851,0)),IF(BF851="Multiple strategies","mixed drivers",IF(BF851="Supply chain","multiple supply","multiple silviculture"))))</f>
        <v>technologies/design switch</v>
      </c>
      <c r="BF851" s="2" t="str" cm="1">
        <f t="array" ref="BF851">IF(COUNTIF(AZ851:BB851,"&lt;&gt;0")=1,INDEX($V$4:$AW$4,MATCH(TRUE,INDEX($V851:$AW851&lt;&gt;0,),0)),IF(COUNTIF(AZ851:BB851,"&lt;&gt;0")=0,INDEX($AM$4:$AW$4,MATCH(1,$AM851:$AW851,0)),"Multiple strategies"))</f>
        <v>Technology</v>
      </c>
      <c r="BG851" s="142" t="s">
        <v>229</v>
      </c>
      <c r="BH851" t="s">
        <v>393</v>
      </c>
      <c r="BI851" s="264" t="s">
        <v>762</v>
      </c>
      <c r="BJ851" s="143" t="s">
        <v>763</v>
      </c>
      <c r="BK851">
        <v>325</v>
      </c>
      <c r="BL851" s="143">
        <v>428</v>
      </c>
      <c r="BM851" s="143"/>
      <c r="BN851">
        <f>BL851-BK851</f>
        <v>103</v>
      </c>
      <c r="BO851" s="143">
        <f>BN851*t_to_m3</f>
        <v>210.20408163265307</v>
      </c>
      <c r="BP851" s="264" t="s">
        <v>232</v>
      </c>
      <c r="BQ851" s="155" t="s">
        <v>764</v>
      </c>
      <c r="BR851" t="s">
        <v>442</v>
      </c>
      <c r="BS851" s="143">
        <v>-180.2</v>
      </c>
      <c r="BT851" s="151">
        <v>-136.69999999999999</v>
      </c>
      <c r="BV851">
        <f>BT851-BS851</f>
        <v>43.5</v>
      </c>
      <c r="BX851">
        <f>BV851*C_to_CO2</f>
        <v>159.64500000000001</v>
      </c>
      <c r="BY851">
        <f>IFERROR(BX851/BO851,"")</f>
        <v>0.75947621359223305</v>
      </c>
      <c r="BZ851" s="143">
        <v>0</v>
      </c>
      <c r="CA851" s="143">
        <v>0</v>
      </c>
      <c r="CB851" s="143">
        <v>0</v>
      </c>
      <c r="CC851" s="143">
        <v>0</v>
      </c>
      <c r="CD851" s="143">
        <v>0</v>
      </c>
      <c r="CE851" s="143">
        <v>0</v>
      </c>
      <c r="CF851" s="143">
        <v>0</v>
      </c>
      <c r="CG851" s="143">
        <v>0</v>
      </c>
      <c r="CH851" s="143">
        <v>0</v>
      </c>
      <c r="CI851" s="143">
        <v>0</v>
      </c>
      <c r="CJ851" s="143">
        <v>0</v>
      </c>
      <c r="CK851" s="143">
        <v>0</v>
      </c>
      <c r="CL851" s="143">
        <v>0</v>
      </c>
      <c r="CM851">
        <v>0</v>
      </c>
      <c r="CN851" t="str">
        <f>IF($BL851&lt;$BK851,"refNeedCorrection","refOK")</f>
        <v>refOK</v>
      </c>
      <c r="CO851">
        <f>IF($CN851="refOK",$BK851,$BL851)</f>
        <v>325</v>
      </c>
      <c r="CP851">
        <f>IF($CN851="refOK",$BL851,$BK851)</f>
        <v>428</v>
      </c>
      <c r="CQ851">
        <f>IF($CN851="refOK",$BO851,-$BO851)</f>
        <v>210.20408163265307</v>
      </c>
      <c r="CR851">
        <f>IF($CN851="refOK",$BS851,$BT851)*IF($BP851="Emissions positive",-1,1)</f>
        <v>-180.2</v>
      </c>
      <c r="CS851">
        <f>IF($CN851="refOK",$BT851,$BS851)*IF($BP851="Emissions positive",-1,1)</f>
        <v>-136.69999999999999</v>
      </c>
      <c r="CT851">
        <f>IF($CN851="refNeedCorrection",-BX851,BX851)*IF($BP851="Emissions positive",-1,1)</f>
        <v>159.64500000000001</v>
      </c>
      <c r="CU851">
        <f>IFERROR(CT851/CQ851,"")</f>
        <v>0.75947621359223305</v>
      </c>
      <c r="CV851" s="2">
        <f>IFERROR((CS851-CR851)/ABS(CR851),"")</f>
        <v>0.24139844617092121</v>
      </c>
      <c r="CW851" s="1" t="s">
        <v>263</v>
      </c>
      <c r="CX851" s="264" t="str">
        <f>IF(OR($CW851="prd",$CW851="std",$CW851="cit"),"loc",IF(OR($CW851="eur",$CW851="reg",$CW851="coy"),"reg",$CW851))</f>
        <v>loc</v>
      </c>
      <c r="CY851" t="s">
        <v>235</v>
      </c>
      <c r="DA851" s="143"/>
      <c r="DB851" s="143">
        <v>0</v>
      </c>
      <c r="DC851" t="str">
        <f>IF(DB851=0,"0",IF(AND(DB851&gt;=1,DB851&lt;=30),"1-30",IF(AND(DB851&gt;30,DB851&lt;=70),"31-70",IF(AND(DB851&gt;70,DB851&lt;=100),"71-100",IF(DB851&gt;100,"+100")))))</f>
        <v>0</v>
      </c>
      <c r="DD851">
        <v>0</v>
      </c>
      <c r="DE851">
        <v>0</v>
      </c>
      <c r="DF851">
        <v>0</v>
      </c>
      <c r="DG851">
        <v>1</v>
      </c>
      <c r="DI851">
        <f>SUM(DD851:DG851)</f>
        <v>1</v>
      </c>
      <c r="DJ851" t="str">
        <f>IF(DI851=1,INDEX($DD$7:$DG$7,MATCH(1,$DD851:$DG851,0)),"mixedProduct")</f>
        <v>TimberInput</v>
      </c>
      <c r="DK851">
        <f>IF(DD851=1,DK$7,0)</f>
        <v>0</v>
      </c>
      <c r="DL851">
        <f>IF(DE851=1,DL$7,0)</f>
        <v>0</v>
      </c>
      <c r="DM851">
        <f>IF(DF851=1,DM$7,0)</f>
        <v>0</v>
      </c>
      <c r="DN851" t="str">
        <f>IF(DG851=1,DN$7,0)</f>
        <v>Timber</v>
      </c>
      <c r="DO851">
        <v>1</v>
      </c>
      <c r="DP851" s="143">
        <v>0</v>
      </c>
      <c r="DQ851" s="143">
        <v>0</v>
      </c>
      <c r="DR851">
        <v>0</v>
      </c>
      <c r="DS851" s="143">
        <v>0</v>
      </c>
      <c r="DT851">
        <f>SUM(DO851:DP851)</f>
        <v>1</v>
      </c>
      <c r="DU851" s="143" t="str">
        <f>IF(DO851=1,"self-calculated DF",IF(DP851=1,"external DF used","explicit C balance"))</f>
        <v>self-calculated DF</v>
      </c>
      <c r="DV851" s="143">
        <v>0</v>
      </c>
      <c r="DW851" s="143">
        <v>1</v>
      </c>
      <c r="DX851" s="143">
        <v>0</v>
      </c>
      <c r="DY851" s="143">
        <v>1</v>
      </c>
      <c r="DZ851">
        <v>0</v>
      </c>
      <c r="EA851" s="143">
        <v>1</v>
      </c>
      <c r="EB851" s="143">
        <v>1</v>
      </c>
      <c r="EC851" s="143">
        <v>1</v>
      </c>
      <c r="ED851" s="143">
        <v>0</v>
      </c>
      <c r="EE851">
        <v>0</v>
      </c>
      <c r="EF851">
        <v>0</v>
      </c>
      <c r="EG851" s="143">
        <v>0</v>
      </c>
      <c r="EH851" s="143">
        <v>0</v>
      </c>
      <c r="EI851" s="2">
        <v>0</v>
      </c>
      <c r="EK851" t="str">
        <f>IF(AND(AND(AND(OR($DX851=1,$DW851=1),OR($EC851=1,$EA851=1)),SUM($DV851:$DZ851,$EF851)&gt;=4),SUM($EA851:$EE851)&gt;=2),"Whole sector","")</f>
        <v/>
      </c>
      <c r="EL851" t="str">
        <f>IF(AND(AND(OR($DX851=1,$DW851=1),AND($EC851=0,$EA851=0)),SUM($DV851:$DZ851,$EF851)&gt;=4),"Ecosystem approach","")</f>
        <v/>
      </c>
      <c r="EM851" s="2" t="str">
        <f>IF(AND(AND(AND($DX851=0,$DW851=0),OR($EC851=1,$EA851=1)),SUM($EB851:$EE851)&gt;=2),"Technology approach","")</f>
        <v/>
      </c>
      <c r="EP851" t="str">
        <f>IF(ISNUMBER(BU851),IF(ABS(BU851-[3]QC_indicators!$B$2)&gt;3*[3]QC_indicators!$C$2,"C ratio",IF(ISNUMBER(BY851),IF(ABS(BY851-[3]QC_indicators!$B$1)&gt;3*[3]QC_indicators!$C$1,"DF","no"))),IF(ISNUMBER(BY851),IF(ABS(BY851-[3]QC_indicators!$B$1)&gt;3*[3]QC_indicators!$C$1,"DF","no")))</f>
        <v>no</v>
      </c>
      <c r="ER851" s="294" t="s">
        <v>349</v>
      </c>
      <c r="ET851" s="264" t="s">
        <v>3407</v>
      </c>
    </row>
    <row r="852" spans="1:150" ht="15" customHeight="1">
      <c r="A852" s="1" t="s">
        <v>562</v>
      </c>
      <c r="B852" t="s">
        <v>544</v>
      </c>
      <c r="C852" t="s">
        <v>1593</v>
      </c>
      <c r="D852" t="s">
        <v>1594</v>
      </c>
      <c r="E852" t="s">
        <v>1595</v>
      </c>
      <c r="F852" t="s">
        <v>1596</v>
      </c>
      <c r="G852" t="s">
        <v>567</v>
      </c>
      <c r="H852" t="s">
        <v>254</v>
      </c>
      <c r="I852">
        <v>2019</v>
      </c>
      <c r="J852">
        <v>15</v>
      </c>
      <c r="K852" t="s">
        <v>1597</v>
      </c>
      <c r="M852" t="str">
        <f>LEFT($D852,FIND(",",$D852)-1)&amp;"_"&amp;I852&amp;L852</f>
        <v>Geng_2019</v>
      </c>
      <c r="N852" t="s">
        <v>222</v>
      </c>
      <c r="O852" s="181" t="s">
        <v>225</v>
      </c>
      <c r="Q852" s="264" t="s">
        <v>256</v>
      </c>
      <c r="R852" s="269" t="s">
        <v>1154</v>
      </c>
      <c r="S852" s="1" t="s">
        <v>1598</v>
      </c>
      <c r="T852" t="s">
        <v>1607</v>
      </c>
      <c r="V852">
        <v>0</v>
      </c>
      <c r="W852">
        <v>0</v>
      </c>
      <c r="X852">
        <v>0</v>
      </c>
      <c r="Y852">
        <v>0</v>
      </c>
      <c r="Z852">
        <v>0</v>
      </c>
      <c r="AA852">
        <v>0</v>
      </c>
      <c r="AB852">
        <v>0</v>
      </c>
      <c r="AC852">
        <v>0</v>
      </c>
      <c r="AD852">
        <v>0</v>
      </c>
      <c r="AE852">
        <v>0</v>
      </c>
      <c r="AF852">
        <v>0</v>
      </c>
      <c r="AG852">
        <v>0</v>
      </c>
      <c r="AH852">
        <v>0</v>
      </c>
      <c r="AI852">
        <v>0</v>
      </c>
      <c r="AJ852">
        <v>0</v>
      </c>
      <c r="AK852">
        <v>1</v>
      </c>
      <c r="AL852">
        <v>0</v>
      </c>
      <c r="AM852">
        <v>0</v>
      </c>
      <c r="AN852">
        <v>0</v>
      </c>
      <c r="AO852">
        <v>0</v>
      </c>
      <c r="AP852">
        <v>0</v>
      </c>
      <c r="AQ852">
        <v>0</v>
      </c>
      <c r="AR852">
        <v>0</v>
      </c>
      <c r="AS852">
        <v>0</v>
      </c>
      <c r="AT852">
        <v>0</v>
      </c>
      <c r="AU852">
        <v>0</v>
      </c>
      <c r="AV852">
        <v>0</v>
      </c>
      <c r="AW852">
        <v>0</v>
      </c>
      <c r="AX852" s="141">
        <f>COUNTIF(V852:AW852,"&lt;&gt;0")</f>
        <v>1</v>
      </c>
      <c r="AY852" s="141">
        <f>COUNTIF(V852:AL852,"&lt;&gt;0")</f>
        <v>1</v>
      </c>
      <c r="AZ852">
        <f>COUNTIF(V852:AC852,"&lt;&gt;0")</f>
        <v>0</v>
      </c>
      <c r="BA852">
        <f>COUNTIF(AD852:AI852,"&lt;&gt;0")</f>
        <v>0</v>
      </c>
      <c r="BB852">
        <f>COUNTIF(AJ852:AL852,"&lt;&gt;0")</f>
        <v>1</v>
      </c>
      <c r="BC852">
        <f>COUNTIF(AS852:AW852,"&lt;&gt;0")</f>
        <v>0</v>
      </c>
      <c r="BD852">
        <f>COUNTIF(AM852:AR852,"&lt;&gt;0")</f>
        <v>0</v>
      </c>
      <c r="BE852" t="str" cm="1">
        <f t="array" ref="BE852">IF(AY852=1,INDEX($V$7:$AL$7,MATCH(TRUE,INDEX($V852:$AW852&lt;&gt;0,),0)),IF(AY852=0,INDEX($AM$7:$AW$7,MATCH(1,$AM852:$AW852,0)),IF(BF852="Multiple strategies","mixed drivers",IF(BF852="Supply chain","multiple supply","multiple silviculture"))))</f>
        <v>technologies/design switch</v>
      </c>
      <c r="BF852" s="2" t="str" cm="1">
        <f t="array" ref="BF852">IF(COUNTIF(AZ852:BB852,"&lt;&gt;0")=1,INDEX($V$4:$AW$4,MATCH(TRUE,INDEX($V852:$AW852&lt;&gt;0,),0)),IF(COUNTIF(AZ852:BB852,"&lt;&gt;0")=0,INDEX($AM$4:$AW$4,MATCH(1,$AM852:$AW852,0)),"Multiple strategies"))</f>
        <v>Technology</v>
      </c>
      <c r="BG852" s="1" t="s">
        <v>229</v>
      </c>
      <c r="BH852" t="s">
        <v>1600</v>
      </c>
      <c r="BJ852" t="s">
        <v>1601</v>
      </c>
      <c r="BK852">
        <v>34.049999999999997</v>
      </c>
      <c r="BL852">
        <v>64.510000000000005</v>
      </c>
      <c r="BM852">
        <f>BL852/BK852</f>
        <v>1.894566813509545</v>
      </c>
      <c r="BN852">
        <f>BL852-BK852</f>
        <v>30.460000000000008</v>
      </c>
      <c r="BO852">
        <f>BN852*kg_to_m3</f>
        <v>6.216326530612247E-2</v>
      </c>
      <c r="BP852" t="s">
        <v>232</v>
      </c>
      <c r="BR852" t="s">
        <v>1602</v>
      </c>
      <c r="BU852" s="144" t="str">
        <f>IFERROR(BT852/BS852,"")</f>
        <v/>
      </c>
      <c r="BV852">
        <v>47.38</v>
      </c>
      <c r="BX852">
        <f>BV852/1000</f>
        <v>4.7380000000000005E-2</v>
      </c>
      <c r="BY852">
        <f>IFERROR(BX852/BO852,"")</f>
        <v>0.76218647406434648</v>
      </c>
      <c r="BZ852">
        <v>0</v>
      </c>
      <c r="CA852">
        <v>0</v>
      </c>
      <c r="CB852">
        <v>0</v>
      </c>
      <c r="CC852">
        <v>0</v>
      </c>
      <c r="CD852">
        <v>0</v>
      </c>
      <c r="CE852">
        <v>0</v>
      </c>
      <c r="CF852">
        <v>0</v>
      </c>
      <c r="CG852">
        <v>0</v>
      </c>
      <c r="CH852">
        <v>0</v>
      </c>
      <c r="CI852">
        <v>0</v>
      </c>
      <c r="CJ852">
        <v>0</v>
      </c>
      <c r="CK852">
        <v>0</v>
      </c>
      <c r="CL852">
        <v>0</v>
      </c>
      <c r="CM852">
        <v>0</v>
      </c>
      <c r="CN852" t="str">
        <f>IF(BL852&lt;BK852,"refNeedCorrection","refOK")</f>
        <v>refOK</v>
      </c>
      <c r="CO852">
        <f>IF($CN852="refOK",$BK852,$BL852)</f>
        <v>34.049999999999997</v>
      </c>
      <c r="CP852">
        <f>IF($CN852="refOK",$BL852,$BK852)</f>
        <v>64.510000000000005</v>
      </c>
      <c r="CQ852">
        <f>IF($CN852="refOK",$BO852,-$BO852)</f>
        <v>6.216326530612247E-2</v>
      </c>
      <c r="CR852">
        <f>IF($CN852="refOK",$BS852,$BT852)*IF($BP852="Emissions positive",-1,1)</f>
        <v>0</v>
      </c>
      <c r="CS852">
        <f>IF($CN852="refOK",$BT852,$BS852)*IF($BP852="Emissions positive",-1,1)</f>
        <v>0</v>
      </c>
      <c r="CT852">
        <f>IF($CN852="refNeedCorrection",-BX852,BX852)*IF($BP852="Emissions positive",-1,1)</f>
        <v>4.7380000000000005E-2</v>
      </c>
      <c r="CU852">
        <f>IFERROR(CT852/CQ852,"")</f>
        <v>0.76218647406434648</v>
      </c>
      <c r="CV852" s="2" t="str">
        <f>IFERROR((CS852-CR852)/ABS(CR852),"")</f>
        <v/>
      </c>
      <c r="CW852" s="1" t="s">
        <v>1203</v>
      </c>
      <c r="CX852" s="264" t="str">
        <f>IF(OR($CW852="prd",$CW852="std",$CW852="cit"),"loc",IF(OR($CW852="eur",$CW852="reg",$CW852="coy"),"reg",$CW852))</f>
        <v>reg</v>
      </c>
      <c r="CY852" t="s">
        <v>690</v>
      </c>
      <c r="CZ852">
        <v>2019</v>
      </c>
      <c r="DB852">
        <v>0</v>
      </c>
      <c r="DC852" t="str">
        <f>IF(DB852=0,"0",IF(AND(DB852&gt;=1,DB852&lt;=30),"1-30",IF(AND(DB852&gt;30,DB852&lt;=70),"31-70",IF(AND(DB852&gt;70,DB852&lt;=100),"71-100",IF(DB852&gt;100,"+100")))))</f>
        <v>0</v>
      </c>
      <c r="DD852">
        <v>0</v>
      </c>
      <c r="DE852">
        <v>0</v>
      </c>
      <c r="DF852">
        <v>0</v>
      </c>
      <c r="DG852">
        <v>1</v>
      </c>
      <c r="DI852">
        <f>SUM(DD852:DG852)</f>
        <v>1</v>
      </c>
      <c r="DJ852" t="str">
        <f>IF(DI852=1,INDEX($DD$7:$DG$7,MATCH(1,$DD852:$DG852,0)),"mixedProduct")</f>
        <v>TimberInput</v>
      </c>
      <c r="DK852">
        <f>IF(DD852=1,DK$7,0)</f>
        <v>0</v>
      </c>
      <c r="DL852">
        <f>IF(DE852=1,DL$7,0)</f>
        <v>0</v>
      </c>
      <c r="DM852">
        <f>IF(DF852=1,DM$7,0)</f>
        <v>0</v>
      </c>
      <c r="DN852" t="str">
        <f>IF(DG852=1,DN$7,0)</f>
        <v>Timber</v>
      </c>
      <c r="DO852">
        <v>1</v>
      </c>
      <c r="DP852">
        <v>0</v>
      </c>
      <c r="DQ852">
        <v>0</v>
      </c>
      <c r="DR852">
        <v>0</v>
      </c>
      <c r="DS852">
        <v>0</v>
      </c>
      <c r="DT852">
        <f>SUM(DO852:DP852)</f>
        <v>1</v>
      </c>
      <c r="DU852" s="143" t="str">
        <f>IF(DO852=1,"self-calculated DF",IF(DP852=1,"external DF used","explicit C balance"))</f>
        <v>self-calculated DF</v>
      </c>
      <c r="DV852">
        <v>0</v>
      </c>
      <c r="DW852">
        <v>0</v>
      </c>
      <c r="DX852">
        <v>0</v>
      </c>
      <c r="DY852">
        <v>0</v>
      </c>
      <c r="DZ852">
        <v>0</v>
      </c>
      <c r="EA852" s="143">
        <v>1</v>
      </c>
      <c r="EB852">
        <v>0</v>
      </c>
      <c r="EC852">
        <v>1</v>
      </c>
      <c r="ED852">
        <v>0</v>
      </c>
      <c r="EE852">
        <v>0</v>
      </c>
      <c r="EF852">
        <v>0</v>
      </c>
      <c r="EG852">
        <v>0</v>
      </c>
      <c r="EH852">
        <v>0</v>
      </c>
      <c r="EI852" s="2">
        <v>0</v>
      </c>
      <c r="EK852" t="str">
        <f>IF(AND(AND(AND(OR($DX852=1,$DW852=1),OR($EC852=1,$EA852=1)),SUM($DV852:$DZ852,$EF852)&gt;=4),SUM($EA852:$EE852)&gt;=2),"Whole sector","")</f>
        <v/>
      </c>
      <c r="EL852" t="str">
        <f>IF(AND(AND(OR($DX852=1,$DW852=1),AND($EC852=0,$EA852=0)),SUM($DV852:$DZ852,$EF852)&gt;=4),"Ecosystem approach","")</f>
        <v/>
      </c>
      <c r="EM852" s="2" t="str">
        <f>IF(AND(AND(AND($DX852=0,$DW852=0),OR($EC852=1,$EA852=1)),SUM($EB852:$EE852)&gt;=2),"Technology approach","")</f>
        <v/>
      </c>
      <c r="EN852" t="s">
        <v>1603</v>
      </c>
      <c r="EP852" t="str">
        <f>IF(ISNUMBER(BU852),IF(ABS(BU852-[3]QC_indicators!$B$2)&gt;3*[3]QC_indicators!$C$2,"C ratio",IF(ISNUMBER(BY852),IF(ABS(BY852-[3]QC_indicators!$B$1)&gt;3*[3]QC_indicators!$C$1,"DF","no"))),IF(ISNUMBER(BY852),IF(ABS(BY852-[3]QC_indicators!$B$1)&gt;3*[3]QC_indicators!$C$1,"DF","no")))</f>
        <v>no</v>
      </c>
      <c r="ER852" t="s">
        <v>1604</v>
      </c>
      <c r="ET852" s="264" t="s">
        <v>3407</v>
      </c>
    </row>
    <row r="853" spans="1:150" ht="15" customHeight="1">
      <c r="A853" s="1" t="s">
        <v>587</v>
      </c>
      <c r="B853" t="s">
        <v>588</v>
      </c>
      <c r="C853" t="s">
        <v>589</v>
      </c>
      <c r="D853" t="s">
        <v>590</v>
      </c>
      <c r="E853" t="s">
        <v>591</v>
      </c>
      <c r="F853" t="s">
        <v>592</v>
      </c>
      <c r="G853" t="s">
        <v>593</v>
      </c>
      <c r="H853" t="s">
        <v>254</v>
      </c>
      <c r="I853">
        <v>2021</v>
      </c>
      <c r="J853">
        <v>17</v>
      </c>
      <c r="K853" t="s">
        <v>594</v>
      </c>
      <c r="M853" t="str">
        <f>LEFT($D853,FIND(",",$D853)-1)&amp;"_"&amp;I853&amp;L853</f>
        <v>D'Amico_2021</v>
      </c>
      <c r="N853" t="s">
        <v>222</v>
      </c>
      <c r="O853" s="145" t="s">
        <v>223</v>
      </c>
      <c r="Q853" s="264" t="s">
        <v>256</v>
      </c>
      <c r="R853" s="269" t="s">
        <v>1154</v>
      </c>
      <c r="S853" s="1" t="s">
        <v>595</v>
      </c>
      <c r="T853" t="s">
        <v>258</v>
      </c>
      <c r="U853" t="s">
        <v>259</v>
      </c>
      <c r="V853">
        <v>0</v>
      </c>
      <c r="W853">
        <v>0</v>
      </c>
      <c r="X853">
        <v>0</v>
      </c>
      <c r="Y853">
        <v>0</v>
      </c>
      <c r="Z853">
        <v>0</v>
      </c>
      <c r="AA853">
        <v>0</v>
      </c>
      <c r="AB853">
        <v>0</v>
      </c>
      <c r="AC853">
        <v>0</v>
      </c>
      <c r="AD853">
        <v>0</v>
      </c>
      <c r="AE853">
        <v>0</v>
      </c>
      <c r="AF853">
        <v>0</v>
      </c>
      <c r="AG853">
        <v>0</v>
      </c>
      <c r="AH853">
        <v>0</v>
      </c>
      <c r="AI853">
        <v>0</v>
      </c>
      <c r="AJ853">
        <v>0</v>
      </c>
      <c r="AK853">
        <v>1</v>
      </c>
      <c r="AL853">
        <v>0</v>
      </c>
      <c r="AM853">
        <v>0</v>
      </c>
      <c r="AN853">
        <v>0</v>
      </c>
      <c r="AO853">
        <v>0</v>
      </c>
      <c r="AP853">
        <v>0</v>
      </c>
      <c r="AQ853">
        <v>0</v>
      </c>
      <c r="AR853">
        <v>0</v>
      </c>
      <c r="AS853">
        <v>0</v>
      </c>
      <c r="AT853">
        <v>0</v>
      </c>
      <c r="AU853">
        <v>0</v>
      </c>
      <c r="AV853">
        <v>0</v>
      </c>
      <c r="AW853">
        <v>0</v>
      </c>
      <c r="AX853" s="141">
        <f>COUNTIF(V853:AW853,"&lt;&gt;0")</f>
        <v>1</v>
      </c>
      <c r="AY853" s="141">
        <f>COUNTIF(V853:AL853,"&lt;&gt;0")</f>
        <v>1</v>
      </c>
      <c r="AZ853">
        <f>COUNTIF(V853:AC853,"&lt;&gt;0")</f>
        <v>0</v>
      </c>
      <c r="BA853">
        <f>COUNTIF(AD853:AI853,"&lt;&gt;0")</f>
        <v>0</v>
      </c>
      <c r="BB853">
        <f>COUNTIF(AJ853:AL853,"&lt;&gt;0")</f>
        <v>1</v>
      </c>
      <c r="BC853">
        <f>COUNTIF(AS853:AW853,"&lt;&gt;0")</f>
        <v>0</v>
      </c>
      <c r="BD853">
        <f>COUNTIF(AM853:AR853,"&lt;&gt;0")</f>
        <v>0</v>
      </c>
      <c r="BE853" t="str" cm="1">
        <f t="array" ref="BE853">IF(AY853=1,INDEX($V$7:$AL$7,MATCH(TRUE,INDEX($V853:$AW853&lt;&gt;0,),0)),IF(AY853=0,INDEX($AM$7:$AW$7,MATCH(1,$AM853:$AW853,0)),IF(BF853="Multiple strategies","mixed drivers",IF(BF853="Supply chain","multiple supply","multiple silviculture"))))</f>
        <v>technologies/design switch</v>
      </c>
      <c r="BF853" s="2" t="str" cm="1">
        <f t="array" ref="BF853">IF(COUNTIF(AZ853:BB853,"&lt;&gt;0")=1,INDEX($V$4:$AW$4,MATCH(TRUE,INDEX($V853:$AW853&lt;&gt;0,),0)),IF(COUNTIF(AZ853:BB853,"&lt;&gt;0")=0,INDEX($AM$4:$AW$4,MATCH(1,$AM853:$AW853,0)),"Multiple strategies"))</f>
        <v>Technology</v>
      </c>
      <c r="BG853" s="1" t="s">
        <v>229</v>
      </c>
      <c r="BH853" t="s">
        <v>596</v>
      </c>
      <c r="BJ853" t="s">
        <v>597</v>
      </c>
      <c r="BK853">
        <v>0</v>
      </c>
      <c r="BL853">
        <v>33</v>
      </c>
      <c r="BN853">
        <f>BL853-BK853</f>
        <v>33</v>
      </c>
      <c r="BO853">
        <f>BN853*10^6*t_to_m3</f>
        <v>67346938.775510207</v>
      </c>
      <c r="BP853" s="264" t="s">
        <v>232</v>
      </c>
      <c r="BQ853" s="264"/>
      <c r="BR853" t="s">
        <v>598</v>
      </c>
      <c r="BS853">
        <v>-237</v>
      </c>
      <c r="BT853">
        <v>-185.5</v>
      </c>
      <c r="BU853" s="144">
        <v>0.78270042194092826</v>
      </c>
      <c r="BV853">
        <v>51.5</v>
      </c>
      <c r="BX853">
        <f>BV853*10^6</f>
        <v>51500000</v>
      </c>
      <c r="BY853">
        <f>IFERROR(BX853/BO853,"")</f>
        <v>0.76469696969696965</v>
      </c>
      <c r="BZ853">
        <v>0</v>
      </c>
      <c r="CA853">
        <v>0</v>
      </c>
      <c r="CB853">
        <v>0</v>
      </c>
      <c r="CC853">
        <v>0</v>
      </c>
      <c r="CD853">
        <v>0</v>
      </c>
      <c r="CE853">
        <v>0</v>
      </c>
      <c r="CF853">
        <v>0</v>
      </c>
      <c r="CG853">
        <v>0</v>
      </c>
      <c r="CH853">
        <v>0</v>
      </c>
      <c r="CI853">
        <v>0</v>
      </c>
      <c r="CJ853">
        <v>0</v>
      </c>
      <c r="CK853">
        <v>0</v>
      </c>
      <c r="CL853">
        <v>0</v>
      </c>
      <c r="CM853">
        <v>0</v>
      </c>
      <c r="CN853" t="str">
        <f>IF($BL853&lt;$BK853,"refNeedCorrection","refOK")</f>
        <v>refOK</v>
      </c>
      <c r="CO853">
        <f>IF($CN853="refOK",$BK853,$BL853)</f>
        <v>0</v>
      </c>
      <c r="CP853">
        <f>IF($CN853="refOK",$BL853,$BK853)</f>
        <v>33</v>
      </c>
      <c r="CQ853">
        <f>IF($CN853="refOK",$BO853,-$BO853)</f>
        <v>67346938.775510207</v>
      </c>
      <c r="CR853">
        <f>IF($CN853="refOK",$BS853,$BT853)*IF($BP853="Emissions positive",-1,1)</f>
        <v>-237</v>
      </c>
      <c r="CS853">
        <f>IF($CN853="refOK",$BT853,$BS853)*IF($BP853="Emissions positive",-1,1)</f>
        <v>-185.5</v>
      </c>
      <c r="CT853">
        <f>IF($CN853="refNeedCorrection",-BX853,BX853)*IF($BP853="Emissions positive",-1,1)</f>
        <v>51500000</v>
      </c>
      <c r="CU853">
        <f>IFERROR(CT853/CQ853,"")</f>
        <v>0.76469696969696965</v>
      </c>
      <c r="CV853" s="2">
        <f>IFERROR((CS853-CR853)/ABS(CR853),"")</f>
        <v>0.21729957805907174</v>
      </c>
      <c r="CW853" s="1" t="s">
        <v>263</v>
      </c>
      <c r="CX853" s="264" t="str">
        <f>IF(OR($CW853="prd",$CW853="std",$CW853="cit"),"loc",IF(OR($CW853="eur",$CW853="reg",$CW853="coy"),"reg",$CW853))</f>
        <v>loc</v>
      </c>
      <c r="CY853" s="309" t="s">
        <v>3423</v>
      </c>
      <c r="CZ853">
        <v>2020</v>
      </c>
      <c r="DA853">
        <v>2050</v>
      </c>
      <c r="DB853">
        <f>DA853-CZ853</f>
        <v>30</v>
      </c>
      <c r="DC853" t="str">
        <f>IF(DB853=0,"0",IF(AND(DB853&gt;=1,DB853&lt;=30),"1-30",IF(AND(DB853&gt;30,DB853&lt;=70),"31-70",IF(AND(DB853&gt;70,DB853&lt;=100),"71-100",IF(DB853&gt;100,"+100")))))</f>
        <v>1-30</v>
      </c>
      <c r="DD853">
        <v>0</v>
      </c>
      <c r="DE853">
        <v>0</v>
      </c>
      <c r="DF853">
        <v>0</v>
      </c>
      <c r="DG853">
        <v>1</v>
      </c>
      <c r="DI853">
        <f>SUM(DD853:DG853)</f>
        <v>1</v>
      </c>
      <c r="DJ853" t="str">
        <f>IF(DI853=1,INDEX($DD$7:$DG$7,MATCH(1,$DD853:$DG853,0)),"mixedProduct")</f>
        <v>TimberInput</v>
      </c>
      <c r="DK853">
        <f>IF(DD853=1,DK$7,0)</f>
        <v>0</v>
      </c>
      <c r="DL853">
        <f>IF(DE853=1,DL$7,0)</f>
        <v>0</v>
      </c>
      <c r="DM853">
        <f>IF(DF853=1,DM$7,0)</f>
        <v>0</v>
      </c>
      <c r="DN853" t="str">
        <f>IF(DG853=1,DN$7,0)</f>
        <v>Timber</v>
      </c>
      <c r="DO853">
        <v>0</v>
      </c>
      <c r="DP853">
        <v>0</v>
      </c>
      <c r="DQ853">
        <v>0</v>
      </c>
      <c r="DR853">
        <v>0</v>
      </c>
      <c r="DS853">
        <v>0</v>
      </c>
      <c r="DT853">
        <f>SUM(DO853:DP853)</f>
        <v>0</v>
      </c>
      <c r="DU853" s="143" t="str">
        <f>IF(DO853=1,"self-calculated DF",IF(DP853=1,"external DF used","explicit C balance"))</f>
        <v>explicit C balance</v>
      </c>
      <c r="DV853">
        <v>0</v>
      </c>
      <c r="DW853">
        <v>0</v>
      </c>
      <c r="DX853">
        <v>0</v>
      </c>
      <c r="DY853">
        <v>0</v>
      </c>
      <c r="DZ853">
        <v>0</v>
      </c>
      <c r="EA853" s="143">
        <v>0</v>
      </c>
      <c r="EB853">
        <v>1</v>
      </c>
      <c r="EC853">
        <v>1</v>
      </c>
      <c r="ED853">
        <v>0</v>
      </c>
      <c r="EE853">
        <v>1</v>
      </c>
      <c r="EF853">
        <v>0</v>
      </c>
      <c r="EG853">
        <v>0</v>
      </c>
      <c r="EH853">
        <v>0</v>
      </c>
      <c r="EI853" s="2">
        <v>0</v>
      </c>
      <c r="EK853" t="str">
        <f>IF(AND(AND(AND(OR($DX853=1,$DW853=1),OR($EC853=1,$EA853=1)),SUM($DV853:$DZ853,$EF853)&gt;=4),SUM($EA853:$EE853)&gt;=2),"Whole sector","")</f>
        <v/>
      </c>
      <c r="EL853" t="str">
        <f>IF(AND(AND(OR($DX853=1,$DW853=1),AND($EC853=0,$EA853=0)),SUM($DV853:$DZ853,$EF853)&gt;=4),"Ecosystem approach","")</f>
        <v/>
      </c>
      <c r="EM853" s="2" t="str">
        <f>IF(AND(AND(AND($DX853=0,$DW853=0),OR($EC853=1,$EA853=1)),SUM($EB853:$EE853)&gt;=2),"Technology approach","")</f>
        <v>Technology approach</v>
      </c>
      <c r="EP853" t="str">
        <f>IF(ISNUMBER(BU853),IF(ABS(BU853-[3]QC_indicators!$B$2)&gt;3*[3]QC_indicators!$C$2,"C ratio",IF(ISNUMBER(BY853),IF(ABS(BY853-[3]QC_indicators!$B$1)&gt;3*[3]QC_indicators!$C$1,"DF","no"))),IF(ISNUMBER(BY853),IF(ABS(BY853-[3]QC_indicators!$B$1)&gt;3*[3]QC_indicators!$C$1,"DF","no")))</f>
        <v>no</v>
      </c>
      <c r="ER853" s="294" t="s">
        <v>349</v>
      </c>
      <c r="ET853" s="264" t="s">
        <v>3407</v>
      </c>
    </row>
    <row r="854" spans="1:150" ht="15" customHeight="1">
      <c r="A854" s="1" t="s">
        <v>2554</v>
      </c>
      <c r="B854" t="s">
        <v>2555</v>
      </c>
      <c r="C854" t="s">
        <v>2556</v>
      </c>
      <c r="D854" t="s">
        <v>2557</v>
      </c>
      <c r="E854" t="s">
        <v>2558</v>
      </c>
      <c r="F854" t="s">
        <v>2559</v>
      </c>
      <c r="G854" t="s">
        <v>2560</v>
      </c>
      <c r="H854" t="s">
        <v>254</v>
      </c>
      <c r="I854">
        <v>2015</v>
      </c>
      <c r="J854">
        <v>20</v>
      </c>
      <c r="K854" t="s">
        <v>2561</v>
      </c>
      <c r="M854" t="str">
        <f>LEFT($D854,FIND(",",$D854)-1)&amp;"_"&amp;I854&amp;L854</f>
        <v>Meiyappan_2015</v>
      </c>
      <c r="N854" t="s">
        <v>222</v>
      </c>
      <c r="O854" s="145" t="s">
        <v>225</v>
      </c>
      <c r="Q854" s="264" t="s">
        <v>256</v>
      </c>
      <c r="R854" s="269" t="s">
        <v>1154</v>
      </c>
      <c r="S854" s="1" t="s">
        <v>2562</v>
      </c>
      <c r="T854" t="s">
        <v>2563</v>
      </c>
      <c r="U854" s="143" t="s">
        <v>2568</v>
      </c>
      <c r="V854">
        <v>2</v>
      </c>
      <c r="W854">
        <v>0</v>
      </c>
      <c r="X854">
        <v>0</v>
      </c>
      <c r="Y854">
        <v>0</v>
      </c>
      <c r="Z854">
        <v>0</v>
      </c>
      <c r="AA854">
        <v>0</v>
      </c>
      <c r="AB854">
        <v>0</v>
      </c>
      <c r="AC854">
        <v>0</v>
      </c>
      <c r="AD854">
        <v>0</v>
      </c>
      <c r="AE854">
        <v>0</v>
      </c>
      <c r="AF854">
        <v>0</v>
      </c>
      <c r="AG854">
        <v>0</v>
      </c>
      <c r="AH854">
        <v>0</v>
      </c>
      <c r="AI854">
        <v>0</v>
      </c>
      <c r="AJ854">
        <v>0</v>
      </c>
      <c r="AK854">
        <v>0</v>
      </c>
      <c r="AL854">
        <v>0</v>
      </c>
      <c r="AM854">
        <v>0</v>
      </c>
      <c r="AN854">
        <v>1</v>
      </c>
      <c r="AO854">
        <v>2</v>
      </c>
      <c r="AP854">
        <v>2</v>
      </c>
      <c r="AQ854">
        <v>0</v>
      </c>
      <c r="AR854">
        <v>2</v>
      </c>
      <c r="AS854">
        <v>0</v>
      </c>
      <c r="AT854">
        <v>0</v>
      </c>
      <c r="AU854">
        <v>0</v>
      </c>
      <c r="AV854">
        <v>0</v>
      </c>
      <c r="AW854">
        <v>0</v>
      </c>
      <c r="AX854" s="141">
        <f>COUNTIF(V854:AW854,"&lt;&gt;0")</f>
        <v>5</v>
      </c>
      <c r="AY854" s="141">
        <f>COUNTIF(V854:AL854,"&lt;&gt;0")</f>
        <v>1</v>
      </c>
      <c r="AZ854">
        <f>COUNTIF(V854:AC854,"&lt;&gt;0")</f>
        <v>1</v>
      </c>
      <c r="BA854">
        <f>COUNTIF(AD854:AI854,"&lt;&gt;0")</f>
        <v>0</v>
      </c>
      <c r="BB854">
        <f>COUNTIF(AJ854:AL854,"&lt;&gt;0")</f>
        <v>0</v>
      </c>
      <c r="BC854">
        <f>COUNTIF(AS854:AW854,"&lt;&gt;0")</f>
        <v>0</v>
      </c>
      <c r="BD854">
        <f>COUNTIF(AM854:AR854,"&lt;&gt;0")</f>
        <v>4</v>
      </c>
      <c r="BE854" t="str" cm="1">
        <f t="array" ref="BE854">IF(AY854=1,INDEX($V$7:$AL$7,MATCH(TRUE,INDEX($V854:$AW854&lt;&gt;0,),0)),IF(AY854=0,INDEX($AM$7:$AW$7,MATCH(1,$AM854:$AW854,0)),IF(BF854="Multiple strategies","mixed drivers",IF(BF854="Supply chain","multiple supply","multiple silviculture"))))</f>
        <v>area subject to harvest</v>
      </c>
      <c r="BF854" s="2" t="str" cm="1">
        <f t="array" ref="BF854">IF(COUNTIF(AZ854:BB854,"&lt;&gt;0")=1,INDEX($V$4:$AW$4,MATCH(TRUE,INDEX($V854:$AW854&lt;&gt;0,),0)),IF(COUNTIF(AZ854:BB854,"&lt;&gt;0")=0,INDEX($AM$4:$AW$4,MATCH(1,$AM854:$AW854,0)),"Multiple strategies"))</f>
        <v>Silviculture for removals</v>
      </c>
      <c r="BG854" s="142" t="s">
        <v>321</v>
      </c>
      <c r="BH854" t="s">
        <v>2565</v>
      </c>
      <c r="BJ854" s="143" t="s">
        <v>2566</v>
      </c>
      <c r="BK854" s="143">
        <v>69</v>
      </c>
      <c r="BL854" s="143">
        <v>113</v>
      </c>
      <c r="BM854">
        <f>BL854/BK854</f>
        <v>1.6376811594202898</v>
      </c>
      <c r="BN854">
        <f>BL854-BK854</f>
        <v>44</v>
      </c>
      <c r="BO854" s="143">
        <f>BN854*10^9*tC_to_m3</f>
        <v>191055145462.44031</v>
      </c>
      <c r="BP854" s="264" t="s">
        <v>232</v>
      </c>
      <c r="BQ854" s="264"/>
      <c r="BR854" t="s">
        <v>2567</v>
      </c>
      <c r="BS854" s="143">
        <v>-163</v>
      </c>
      <c r="BT854">
        <v>-123</v>
      </c>
      <c r="BU854" s="144">
        <v>0.754601226993865</v>
      </c>
      <c r="BV854">
        <v>40</v>
      </c>
      <c r="BX854">
        <f>BV854*10^9*C_to_CO2</f>
        <v>146800000000</v>
      </c>
      <c r="BY854">
        <f>IFERROR(BX854/BO854,"")</f>
        <v>0.76836454545454536</v>
      </c>
      <c r="BZ854">
        <v>0</v>
      </c>
      <c r="CA854">
        <v>0</v>
      </c>
      <c r="CB854">
        <v>0</v>
      </c>
      <c r="CC854">
        <v>0</v>
      </c>
      <c r="CD854">
        <v>0</v>
      </c>
      <c r="CE854">
        <v>0</v>
      </c>
      <c r="CF854">
        <v>0</v>
      </c>
      <c r="CG854">
        <v>0</v>
      </c>
      <c r="CH854">
        <v>0</v>
      </c>
      <c r="CI854">
        <v>0</v>
      </c>
      <c r="CJ854">
        <v>0</v>
      </c>
      <c r="CK854">
        <v>0</v>
      </c>
      <c r="CL854">
        <v>0</v>
      </c>
      <c r="CM854">
        <v>0</v>
      </c>
      <c r="CN854" t="str">
        <f>IF($BL854&lt;$BK854,"refNeedCorrection","refOK")</f>
        <v>refOK</v>
      </c>
      <c r="CO854">
        <f>IF($CN854="refOK",$BK854,$BL854)</f>
        <v>69</v>
      </c>
      <c r="CP854">
        <f>IF($CN854="refOK",$BL854,$BK854)</f>
        <v>113</v>
      </c>
      <c r="CQ854">
        <f>IF($CN854="refOK",$BO854,-$BO854)</f>
        <v>191055145462.44031</v>
      </c>
      <c r="CR854">
        <f>IF($CN854="refOK",$BS854,$BT854)*IF($BP854="Emissions positive",-1,1)</f>
        <v>-163</v>
      </c>
      <c r="CS854">
        <f>IF($CN854="refOK",$BT854,$BS854)*IF($BP854="Emissions positive",-1,1)</f>
        <v>-123</v>
      </c>
      <c r="CT854">
        <f>IF($CN854="refNeedCorrection",-BX854,BX854)*IF($BP854="Emissions positive",-1,1)</f>
        <v>146800000000</v>
      </c>
      <c r="CU854">
        <f>IFERROR(CT854/CQ854,"")</f>
        <v>0.76836454545454536</v>
      </c>
      <c r="CV854" s="2">
        <f>IFERROR((CS854-CR854)/ABS(CR854),"")</f>
        <v>0.24539877300613497</v>
      </c>
      <c r="CW854" s="1" t="s">
        <v>2539</v>
      </c>
      <c r="CX854" s="264" t="str">
        <f>IF(OR($CW854="prd",$CW854="std",$CW854="cit"),"loc",IF(OR($CW854="eur",$CW854="reg",$CW854="coy"),"reg",$CW854))</f>
        <v>w</v>
      </c>
      <c r="CY854" s="264" t="s">
        <v>2540</v>
      </c>
      <c r="CZ854">
        <v>1901</v>
      </c>
      <c r="DA854" s="143">
        <v>2100</v>
      </c>
      <c r="DB854" s="143">
        <v>200</v>
      </c>
      <c r="DC854" t="str">
        <f>IF(DB854=0,"0",IF(AND(DB854&gt;=1,DB854&lt;=30),"1-30",IF(AND(DB854&gt;30,DB854&lt;=70),"31-70",IF(AND(DB854&gt;70,DB854&lt;=100),"71-100",IF(DB854&gt;100,"+100")))))</f>
        <v>+100</v>
      </c>
      <c r="DD854">
        <v>1</v>
      </c>
      <c r="DE854">
        <v>0</v>
      </c>
      <c r="DF854">
        <v>0</v>
      </c>
      <c r="DG854">
        <v>0</v>
      </c>
      <c r="DI854">
        <f>SUM(DD854:DG854)</f>
        <v>1</v>
      </c>
      <c r="DJ854" t="str">
        <f>IF(DI854=1,INDEX($DD$7:$DG$7,MATCH(1,$DD854:$DG854,0)),"mixedProduct")</f>
        <v>UpstreamInput</v>
      </c>
      <c r="DK854" t="str">
        <f>IF(DD854=1,DK$7,0)</f>
        <v>Upstream</v>
      </c>
      <c r="DL854">
        <f>IF(DE854=1,DL$7,0)</f>
        <v>0</v>
      </c>
      <c r="DM854">
        <f>IF(DF854=1,DM$7,0)</f>
        <v>0</v>
      </c>
      <c r="DN854">
        <f>IF(DG854=1,DN$7,0)</f>
        <v>0</v>
      </c>
      <c r="DO854">
        <v>0</v>
      </c>
      <c r="DP854" s="143">
        <v>0</v>
      </c>
      <c r="DQ854" s="143">
        <v>0</v>
      </c>
      <c r="DR854">
        <v>0</v>
      </c>
      <c r="DS854" s="143">
        <v>0</v>
      </c>
      <c r="DT854">
        <f>SUM(DO854:DP854)</f>
        <v>0</v>
      </c>
      <c r="DU854" s="143" t="str">
        <f>IF(DO854=1,"self-calculated DF",IF(DP854=1,"external DF used","explicit C balance"))</f>
        <v>explicit C balance</v>
      </c>
      <c r="DV854" s="143">
        <v>1</v>
      </c>
      <c r="DW854" s="143">
        <v>1</v>
      </c>
      <c r="DX854" s="143">
        <v>1</v>
      </c>
      <c r="DY854" s="143">
        <v>1</v>
      </c>
      <c r="DZ854">
        <v>1</v>
      </c>
      <c r="EA854" s="143">
        <v>0</v>
      </c>
      <c r="EB854" s="143">
        <v>0</v>
      </c>
      <c r="EC854" s="143">
        <v>0</v>
      </c>
      <c r="ED854" s="143">
        <v>0</v>
      </c>
      <c r="EE854">
        <v>0</v>
      </c>
      <c r="EF854">
        <v>0</v>
      </c>
      <c r="EG854" s="143">
        <v>0</v>
      </c>
      <c r="EH854">
        <v>0</v>
      </c>
      <c r="EI854" s="2">
        <v>0</v>
      </c>
      <c r="EK854" t="str">
        <f>IF(AND(AND(AND(OR($DX854=1,$DW854=1),OR($EC854=1,$EA854=1)),SUM($DV854:$DZ854,$EF854)&gt;=4),SUM($EA854:$EE854)&gt;=2),"Whole sector","")</f>
        <v/>
      </c>
      <c r="EL854" t="str">
        <f>IF(AND(AND(OR($DX854=1,$DW854=1),AND($EC854=0,$EA854=0)),SUM($DV854:$DZ854,$EF854)&gt;=4),"Ecosystem approach","")</f>
        <v>Ecosystem approach</v>
      </c>
      <c r="EM854" s="2" t="str">
        <f>IF(AND(AND(AND($DX854=0,$DW854=0),OR($EC854=1,$EA854=1)),SUM($EB854:$EE854)&gt;=2),"Technology approach","")</f>
        <v/>
      </c>
      <c r="EP854" t="str">
        <f>IF(ISNUMBER(BU854),IF(ABS(BU854-[3]QC_indicators!$B$2)&gt;3*[3]QC_indicators!$C$2,"C ratio",IF(ISNUMBER(BY854),IF(ABS(BY854-[3]QC_indicators!$B$1)&gt;3*[3]QC_indicators!$C$1,"DF","no"))),IF(ISNUMBER(BY854),IF(ABS(BY854-[3]QC_indicators!$B$1)&gt;3*[3]QC_indicators!$C$1,"DF","no")))</f>
        <v>no</v>
      </c>
      <c r="ER854" s="294" t="s">
        <v>349</v>
      </c>
      <c r="ET854" s="264" t="s">
        <v>3407</v>
      </c>
    </row>
    <row r="855" spans="1:150" ht="15" customHeight="1">
      <c r="A855" s="1" t="s">
        <v>1102</v>
      </c>
      <c r="B855" t="s">
        <v>2381</v>
      </c>
      <c r="C855" t="s">
        <v>2382</v>
      </c>
      <c r="D855" t="s">
        <v>2383</v>
      </c>
      <c r="E855" t="s">
        <v>2384</v>
      </c>
      <c r="F855" t="s">
        <v>2385</v>
      </c>
      <c r="G855" t="s">
        <v>1108</v>
      </c>
      <c r="H855" t="s">
        <v>254</v>
      </c>
      <c r="I855">
        <v>2016</v>
      </c>
      <c r="J855">
        <v>13</v>
      </c>
      <c r="K855" t="s">
        <v>2386</v>
      </c>
      <c r="M855" t="str">
        <f>LEFT($D855,FIND(",",$D855)-1)&amp;"_"&amp;I855&amp;L855</f>
        <v>Torssonen_2016</v>
      </c>
      <c r="N855" t="s">
        <v>222</v>
      </c>
      <c r="O855" s="145" t="s">
        <v>1154</v>
      </c>
      <c r="Q855" s="264" t="s">
        <v>256</v>
      </c>
      <c r="R855" s="269" t="s">
        <v>341</v>
      </c>
      <c r="S855" s="1" t="s">
        <v>2387</v>
      </c>
      <c r="T855" t="s">
        <v>2388</v>
      </c>
      <c r="U855" t="s">
        <v>2389</v>
      </c>
      <c r="V855">
        <v>0</v>
      </c>
      <c r="W855">
        <v>0</v>
      </c>
      <c r="X855">
        <v>0</v>
      </c>
      <c r="Y855">
        <v>1</v>
      </c>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s="141">
        <f>COUNTIF(V855:AW855,"&lt;&gt;0")</f>
        <v>1</v>
      </c>
      <c r="AY855" s="141">
        <f>COUNTIF(V855:AL855,"&lt;&gt;0")</f>
        <v>1</v>
      </c>
      <c r="AZ855">
        <f>COUNTIF(V855:AC855,"&lt;&gt;0")</f>
        <v>1</v>
      </c>
      <c r="BA855">
        <f>COUNTIF(AD855:AI855,"&lt;&gt;0")</f>
        <v>0</v>
      </c>
      <c r="BB855">
        <f>COUNTIF(AJ855:AL855,"&lt;&gt;0")</f>
        <v>0</v>
      </c>
      <c r="BC855">
        <f>COUNTIF(AS855:AW855,"&lt;&gt;0")</f>
        <v>0</v>
      </c>
      <c r="BD855">
        <f>COUNTIF(AM855:AR855,"&lt;&gt;0")</f>
        <v>0</v>
      </c>
      <c r="BE855" t="str" cm="1">
        <f t="array" ref="BE855">IF(AY855=1,INDEX($V$7:$AL$7,MATCH(TRUE,INDEX($V855:$AW855&lt;&gt;0,),0)),IF(AY855=0,INDEX($AM$7:$AW$7,MATCH(1,$AM855:$AW855,0)),IF(BF855="Multiple strategies","mixed drivers",IF(BF855="Supply chain","multiple supply","multiple silviculture"))))</f>
        <v xml:space="preserve">cutting intensity </v>
      </c>
      <c r="BF855" s="2" t="str" cm="1">
        <f t="array" ref="BF855">IF(COUNTIF(AZ855:BB855,"&lt;&gt;0")=1,INDEX($V$4:$AW$4,MATCH(TRUE,INDEX($V855:$AW855&lt;&gt;0,),0)),IF(COUNTIF(AZ855:BB855,"&lt;&gt;0")=0,INDEX($AM$4:$AW$4,MATCH(1,$AM855:$AW855,0)),"Multiple strategies"))</f>
        <v>Silviculture for removals</v>
      </c>
      <c r="BG855" s="1" t="s">
        <v>229</v>
      </c>
      <c r="BH855" t="s">
        <v>2390</v>
      </c>
      <c r="BI855" s="264" t="s">
        <v>2391</v>
      </c>
      <c r="BJ855" t="s">
        <v>2392</v>
      </c>
      <c r="BK855">
        <v>0</v>
      </c>
      <c r="BL855">
        <v>0.35</v>
      </c>
      <c r="BM855" s="143" t="e">
        <f>BL855/BK855</f>
        <v>#DIV/0!</v>
      </c>
      <c r="BN855">
        <f>BL855-BK855</f>
        <v>0.35</v>
      </c>
      <c r="BO855">
        <f>+BL855*t_to_m3</f>
        <v>0.7142857142857143</v>
      </c>
      <c r="BP855" s="306" t="s">
        <v>395</v>
      </c>
      <c r="BQ855" s="153" t="s">
        <v>3421</v>
      </c>
      <c r="BR855" s="264" t="s">
        <v>2393</v>
      </c>
      <c r="BS855">
        <v>-247.272727272727</v>
      </c>
      <c r="BT855">
        <v>-302.54545454545399</v>
      </c>
      <c r="BU855" s="144"/>
      <c r="BV855" s="144">
        <f>BT855-BS855</f>
        <v>-55.272727272726996</v>
      </c>
      <c r="BW855" s="144"/>
      <c r="BX855" s="144">
        <f>BV855*10^4/10^6</f>
        <v>-0.55272727272726996</v>
      </c>
      <c r="BY855">
        <f>IFERROR(BX855/BO855,"")</f>
        <v>-0.77381818181817796</v>
      </c>
      <c r="BZ855">
        <v>0</v>
      </c>
      <c r="CA855">
        <v>0</v>
      </c>
      <c r="CB855">
        <v>0</v>
      </c>
      <c r="CC855">
        <v>0</v>
      </c>
      <c r="CD855">
        <v>0</v>
      </c>
      <c r="CE855">
        <v>0</v>
      </c>
      <c r="CF855">
        <v>0</v>
      </c>
      <c r="CG855">
        <v>0</v>
      </c>
      <c r="CH855">
        <v>0</v>
      </c>
      <c r="CI855">
        <v>0</v>
      </c>
      <c r="CJ855">
        <v>0</v>
      </c>
      <c r="CK855">
        <v>0</v>
      </c>
      <c r="CL855">
        <v>0</v>
      </c>
      <c r="CM855">
        <v>1</v>
      </c>
      <c r="CN855" t="str">
        <f>IF($BL855&lt;$BK855,"refNeedCorrection","refOK")</f>
        <v>refOK</v>
      </c>
      <c r="CO855">
        <f>IF($CN855="refOK",$BK855,$BL855)</f>
        <v>0</v>
      </c>
      <c r="CP855">
        <f>IF($CN855="refOK",$BL855,$BK855)</f>
        <v>0.35</v>
      </c>
      <c r="CQ855">
        <f>IF($CN855="refOK",$BO855,-$BO855)</f>
        <v>0.7142857142857143</v>
      </c>
      <c r="CR855">
        <f>IF($CN855="refOK",$BS855,$BT855)*IF($BP855="Emissions positive",-1,1)</f>
        <v>247.272727272727</v>
      </c>
      <c r="CS855">
        <f>IF($CN855="refOK",$BT855,$BS855)*IF($BP855="Emissions positive",-1,1)</f>
        <v>302.54545454545399</v>
      </c>
      <c r="CT855">
        <f>IF($CN855="refNeedCorrection",-BX855,BX855)*IF($BP855="Emissions positive",-1,1)</f>
        <v>0.55272727272726996</v>
      </c>
      <c r="CU855">
        <f>IFERROR(CT855/CQ855,"")</f>
        <v>0.77381818181817796</v>
      </c>
      <c r="CV855" s="2">
        <f>IFERROR((CS855-CR855)/ABS(CR855),"")</f>
        <v>0.223529411764705</v>
      </c>
      <c r="CW855" s="1" t="s">
        <v>1199</v>
      </c>
      <c r="CX855" s="264" t="str">
        <f>IF(OR($CW855="prd",$CW855="std",$CW855="cit"),"loc",IF(OR($CW855="eur",$CW855="reg",$CW855="coy"),"reg",$CW855))</f>
        <v>reg</v>
      </c>
      <c r="CY855" t="s">
        <v>235</v>
      </c>
      <c r="CZ855">
        <v>2020</v>
      </c>
      <c r="DA855">
        <v>2100</v>
      </c>
      <c r="DB855">
        <f>DA855-CZ855</f>
        <v>80</v>
      </c>
      <c r="DC855" t="str">
        <f>IF(DB855=0,"0",IF(AND(DB855&gt;=1,DB855&lt;=30),"1-30",IF(AND(DB855&gt;30,DB855&lt;=70),"31-70",IF(AND(DB855&gt;70,DB855&lt;=100),"71-100",IF(DB855&gt;100,"+100")))))</f>
        <v>71-100</v>
      </c>
      <c r="DD855">
        <v>0</v>
      </c>
      <c r="DE855">
        <v>1</v>
      </c>
      <c r="DF855">
        <v>0</v>
      </c>
      <c r="DG855">
        <v>0</v>
      </c>
      <c r="DI855">
        <f>SUM(DD855:DG855)</f>
        <v>1</v>
      </c>
      <c r="DJ855" t="str">
        <f>IF(DI855=1,INDEX($DD$7:$DG$7,MATCH(1,$DD855:$DG855,0)),"mixedProduct")</f>
        <v>EnergyInput</v>
      </c>
      <c r="DK855">
        <f>IF(DD855=1,DK$7,0)</f>
        <v>0</v>
      </c>
      <c r="DL855" t="str">
        <f>IF(DE855=1,DL$7,0)</f>
        <v>Energy</v>
      </c>
      <c r="DM855">
        <f>IF(DF855=1,DM$7,0)</f>
        <v>0</v>
      </c>
      <c r="DN855">
        <f>IF(DG855=1,DN$7,0)</f>
        <v>0</v>
      </c>
      <c r="DO855">
        <v>1</v>
      </c>
      <c r="DP855">
        <v>0</v>
      </c>
      <c r="DQ855">
        <v>0</v>
      </c>
      <c r="DR855">
        <v>0</v>
      </c>
      <c r="DS855">
        <v>0</v>
      </c>
      <c r="DT855">
        <f>SUM(DO855:DP855)</f>
        <v>1</v>
      </c>
      <c r="DU855" s="143" t="str">
        <f>IF(DO855=1,"self-calculated DF",IF(DP855=1,"external DF used","explicit C balance"))</f>
        <v>self-calculated DF</v>
      </c>
      <c r="DV855">
        <v>1</v>
      </c>
      <c r="DW855">
        <v>0</v>
      </c>
      <c r="DX855">
        <v>1</v>
      </c>
      <c r="DY855">
        <v>0</v>
      </c>
      <c r="DZ855">
        <v>0</v>
      </c>
      <c r="EA855" s="143">
        <v>0</v>
      </c>
      <c r="EB855">
        <v>0</v>
      </c>
      <c r="EC855">
        <v>0</v>
      </c>
      <c r="ED855">
        <v>0</v>
      </c>
      <c r="EE855">
        <v>0</v>
      </c>
      <c r="EF855">
        <v>1</v>
      </c>
      <c r="EG855">
        <v>0</v>
      </c>
      <c r="EH855">
        <v>0</v>
      </c>
      <c r="EI855" s="2">
        <v>0</v>
      </c>
      <c r="EK855" t="str">
        <f>IF(AND(AND(AND(OR($DX855=1,$DW855=1),OR($EC855=1,$EA855=1)),SUM($DV855:$DZ855,$EF855)&gt;=4),SUM($EA855:$EE855)&gt;=2),"Whole sector","")</f>
        <v/>
      </c>
      <c r="EL855" t="str">
        <f>IF(AND(AND(OR($DX855=1,$DW855=1),AND($EC855=0,$EA855=0)),SUM($DV855:$DZ855,$EF855)&gt;=4),"Ecosystem approach","")</f>
        <v/>
      </c>
      <c r="EM855" s="2" t="str">
        <f>IF(AND(AND(AND($DX855=0,$DW855=0),OR($EC855=1,$EA855=1)),SUM($EB855:$EE855)&gt;=2),"Technology approach","")</f>
        <v/>
      </c>
      <c r="EP855" t="str">
        <f>IF(ISNUMBER(BU855),IF(ABS(BU855-[3]QC_indicators!$B$2)&gt;3*[3]QC_indicators!$C$2,"C ratio",IF(ISNUMBER(BY855),IF(ABS(BY855-[3]QC_indicators!$B$1)&gt;3*[3]QC_indicators!$C$1,"DF","no"))),IF(ISNUMBER(BY855),IF(ABS(BY855-[3]QC_indicators!$B$1)&gt;3*[3]QC_indicators!$C$1,"DF","no")))</f>
        <v>no</v>
      </c>
      <c r="ER855" s="264" t="s">
        <v>2394</v>
      </c>
      <c r="ET855" s="306" t="s">
        <v>3422</v>
      </c>
    </row>
    <row r="856" spans="1:150" ht="15" customHeight="1">
      <c r="D856" t="s">
        <v>733</v>
      </c>
      <c r="E856" t="s">
        <v>734</v>
      </c>
      <c r="G856" t="s">
        <v>735</v>
      </c>
      <c r="I856">
        <v>2005</v>
      </c>
      <c r="K856" s="156" t="s">
        <v>736</v>
      </c>
      <c r="M856" t="str">
        <f>LEFT($D856,FIND(",",$D856)-1)&amp;"_"&amp;I856&amp;L856</f>
        <v>Gustavsson_2005</v>
      </c>
      <c r="N856" t="s">
        <v>222</v>
      </c>
      <c r="O856" t="s">
        <v>223</v>
      </c>
      <c r="Q856" t="s">
        <v>256</v>
      </c>
      <c r="R856" s="255" t="s">
        <v>225</v>
      </c>
      <c r="S856" s="1" t="s">
        <v>744</v>
      </c>
      <c r="T856" t="s">
        <v>738</v>
      </c>
      <c r="U856" s="264" t="s">
        <v>739</v>
      </c>
      <c r="V856">
        <v>0</v>
      </c>
      <c r="W856">
        <v>0</v>
      </c>
      <c r="X856">
        <v>0</v>
      </c>
      <c r="Y856">
        <v>0</v>
      </c>
      <c r="Z856">
        <v>0</v>
      </c>
      <c r="AA856">
        <v>0</v>
      </c>
      <c r="AB856">
        <v>0</v>
      </c>
      <c r="AC856">
        <v>0</v>
      </c>
      <c r="AD856">
        <v>0</v>
      </c>
      <c r="AE856">
        <v>0</v>
      </c>
      <c r="AF856">
        <v>0</v>
      </c>
      <c r="AG856">
        <v>0</v>
      </c>
      <c r="AH856">
        <v>1</v>
      </c>
      <c r="AI856">
        <v>0</v>
      </c>
      <c r="AJ856">
        <v>0</v>
      </c>
      <c r="AK856">
        <v>0</v>
      </c>
      <c r="AL856">
        <v>0</v>
      </c>
      <c r="AM856">
        <v>0</v>
      </c>
      <c r="AN856">
        <v>0</v>
      </c>
      <c r="AO856">
        <v>0</v>
      </c>
      <c r="AP856">
        <v>0</v>
      </c>
      <c r="AQ856">
        <v>0</v>
      </c>
      <c r="AR856">
        <v>0</v>
      </c>
      <c r="AS856">
        <v>0</v>
      </c>
      <c r="AT856">
        <v>0</v>
      </c>
      <c r="AU856">
        <v>0</v>
      </c>
      <c r="AV856">
        <v>0</v>
      </c>
      <c r="AW856">
        <v>0</v>
      </c>
      <c r="AX856" s="141">
        <f>COUNTIF(V856:AW856,"&lt;&gt;0")</f>
        <v>1</v>
      </c>
      <c r="AY856" s="141">
        <f>COUNTIF(V856:AL856,"&lt;&gt;0")</f>
        <v>1</v>
      </c>
      <c r="AZ856">
        <f>COUNTIF(V856:AC856,"&lt;&gt;0")</f>
        <v>0</v>
      </c>
      <c r="BA856">
        <f>COUNTIF(AD856:AI856,"&lt;&gt;0")</f>
        <v>1</v>
      </c>
      <c r="BB856">
        <f>COUNTIF(AJ856:AL856,"&lt;&gt;0")</f>
        <v>0</v>
      </c>
      <c r="BC856">
        <f>COUNTIF(AS856:AW856,"&lt;&gt;0")</f>
        <v>0</v>
      </c>
      <c r="BD856">
        <f>COUNTIF(AM856:AR856,"&lt;&gt;0")</f>
        <v>0</v>
      </c>
      <c r="BE856" t="str">
        <f t="array" ref="BE856">IF(AY856=1,INDEX($V$7:$AL$7,MATCH(TRUE,INDEX($V856:$AW856&lt;&gt;0,),0)),IF(AY856=0,INDEX($AM$7:$AW$7,MATCH(1,$AM856:$AW856,0)),IF(BF856="Multiple strategies","mixed drivers",IF(BF856="Supply chain","multiple supply","multiple silviculture"))))</f>
        <v xml:space="preserve">end of life disposal </v>
      </c>
      <c r="BF856" s="2" t="str" cm="1">
        <f t="array" ref="BF856">IF(COUNTIF(AZ856:BB856,"&lt;&gt;0")=1,INDEX($V$4:$AW$4,MATCH(TRUE,INDEX($V856:$AW856&lt;&gt;0,),0)),IF(COUNTIF(AZ856:BB856,"&lt;&gt;0")=0,INDEX($AM$4:$AW$4,MATCH(1,$AM856:$AW856,0)),"Multiple strategies"))</f>
        <v>Supply chain</v>
      </c>
      <c r="BG856" s="263" t="s">
        <v>321</v>
      </c>
      <c r="BH856" s="264" t="s">
        <v>740</v>
      </c>
      <c r="BI856" s="260" t="s">
        <v>3334</v>
      </c>
      <c r="BJ856" s="264" t="s">
        <v>741</v>
      </c>
      <c r="BK856" s="264">
        <f>BL856-8.2-69.1</f>
        <v>130.20000000000002</v>
      </c>
      <c r="BL856" s="264">
        <v>207.5</v>
      </c>
      <c r="BM856" s="264">
        <f>BL856/BK856</f>
        <v>1.5937019969278032</v>
      </c>
      <c r="BN856" s="264">
        <f>BL856-BK856</f>
        <v>77.299999999999983</v>
      </c>
      <c r="BO856" s="264">
        <f>BN856*t_to_m3</f>
        <v>157.7551020408163</v>
      </c>
      <c r="BP856" t="s">
        <v>232</v>
      </c>
      <c r="BQ856" s="304" t="s">
        <v>3333</v>
      </c>
      <c r="BR856" t="s">
        <v>442</v>
      </c>
      <c r="BS856" s="264">
        <v>10.7</v>
      </c>
      <c r="BT856" s="151">
        <v>44.2</v>
      </c>
      <c r="BV856">
        <v>33.5</v>
      </c>
      <c r="BX856">
        <f>BV856*C_to_CO2</f>
        <v>122.94499999999999</v>
      </c>
      <c r="BY856">
        <f>IFERROR(BX856/BO856,"")</f>
        <v>0.77934087968952148</v>
      </c>
      <c r="BZ856" s="143">
        <v>0</v>
      </c>
      <c r="CA856" s="143">
        <v>0</v>
      </c>
      <c r="CB856" s="143">
        <v>0</v>
      </c>
      <c r="CC856" s="143">
        <v>0</v>
      </c>
      <c r="CD856" s="143">
        <v>0</v>
      </c>
      <c r="CE856" s="143">
        <v>0</v>
      </c>
      <c r="CF856" s="143">
        <v>0</v>
      </c>
      <c r="CG856" s="143">
        <v>0</v>
      </c>
      <c r="CH856" s="143">
        <v>0</v>
      </c>
      <c r="CI856" s="143">
        <v>0</v>
      </c>
      <c r="CJ856" s="143">
        <v>0</v>
      </c>
      <c r="CK856" s="143">
        <v>0</v>
      </c>
      <c r="CL856" s="143">
        <v>0</v>
      </c>
      <c r="CM856">
        <v>0</v>
      </c>
      <c r="CN856" t="str">
        <f>IF($BL856&lt;$BK856,"refNeedCorrection","refOK")</f>
        <v>refOK</v>
      </c>
      <c r="CO856">
        <f>IF($CN856="refOK",$BK856,$BL856)</f>
        <v>130.20000000000002</v>
      </c>
      <c r="CP856">
        <f>IF($CN856="refOK",$BL856,$BK856)</f>
        <v>207.5</v>
      </c>
      <c r="CQ856">
        <f>IF($CN856="refOK",$BO856,-$BO856)</f>
        <v>157.7551020408163</v>
      </c>
      <c r="CR856">
        <f>IF($CN856="refOK",$BS856,$BT856)*IF($BP856="Emissions positive",-1,1)</f>
        <v>10.7</v>
      </c>
      <c r="CS856">
        <f>IF($CN856="refOK",$BT856,$BS856)*IF($BP856="Emissions positive",-1,1)</f>
        <v>44.2</v>
      </c>
      <c r="CT856">
        <f>IF($CN856="refNeedCorrection",-BX856,BX856)*IF($BP856="Emissions positive",-1,1)</f>
        <v>122.94499999999999</v>
      </c>
      <c r="CU856">
        <f>IFERROR(CT856/CQ856,"")</f>
        <v>0.77934087968952148</v>
      </c>
      <c r="CV856" s="2">
        <f>IFERROR((CS856-CR856)/ABS(CR856),"")</f>
        <v>3.1308411214953273</v>
      </c>
      <c r="CW856" s="1" t="s">
        <v>263</v>
      </c>
      <c r="CX856" t="str">
        <f>IF(OR($CW856="prd",$CW856="std",$CW856="cit"),"loc",IF(OR($CW856="eur",$CW856="reg",$CW856="coy"),"reg",$CW856))</f>
        <v>loc</v>
      </c>
      <c r="CY856" t="s">
        <v>743</v>
      </c>
      <c r="DA856" s="143"/>
      <c r="DB856" s="143">
        <v>0</v>
      </c>
      <c r="DC856" t="str">
        <f>IF(DB856=0,"0",IF(AND(DB856&gt;=1,DB856&lt;=30),"1-30",IF(AND(DB856&gt;30,DB856&lt;=70),"31-70",IF(AND(DB856&gt;70,DB856&lt;=100),"71-100",IF(DB856&gt;100,"+100")))))</f>
        <v>0</v>
      </c>
      <c r="DD856">
        <v>0</v>
      </c>
      <c r="DE856">
        <v>0</v>
      </c>
      <c r="DF856">
        <v>0</v>
      </c>
      <c r="DG856">
        <v>1</v>
      </c>
      <c r="DI856">
        <f>SUM(DD856:DG856)</f>
        <v>1</v>
      </c>
      <c r="DJ856" t="str">
        <f>IF(DI856=1,INDEX($DD$7:$DG$7,MATCH(1,$DD856:$DG856,0)),"mixedProduct")</f>
        <v>TimberInput</v>
      </c>
      <c r="DK856">
        <f>IF(DD856=1,DK$7,0)</f>
        <v>0</v>
      </c>
      <c r="DL856">
        <f>IF(DE856=1,DL$7,0)</f>
        <v>0</v>
      </c>
      <c r="DM856">
        <f>IF(DF856=1,DM$7,0)</f>
        <v>0</v>
      </c>
      <c r="DN856" t="str">
        <f>IF(DG856=1,DN$7,0)</f>
        <v>Timber</v>
      </c>
      <c r="DO856">
        <v>1</v>
      </c>
      <c r="DP856" s="143">
        <v>0</v>
      </c>
      <c r="DQ856" s="143">
        <v>0</v>
      </c>
      <c r="DR856">
        <v>0</v>
      </c>
      <c r="DS856" s="143">
        <v>0</v>
      </c>
      <c r="DT856">
        <f>SUM(DO856:DP856)</f>
        <v>1</v>
      </c>
      <c r="DU856" s="143" t="str">
        <f>IF(DO856=1,"self-calculated DF",IF(DP856=1,"external DF used","explicit C balance"))</f>
        <v>self-calculated DF</v>
      </c>
      <c r="DV856" s="143">
        <v>0</v>
      </c>
      <c r="DW856" s="264">
        <v>1</v>
      </c>
      <c r="DX856" s="264">
        <v>1</v>
      </c>
      <c r="DY856" s="264">
        <v>0</v>
      </c>
      <c r="DZ856" s="264">
        <v>0</v>
      </c>
      <c r="EA856" s="264">
        <v>1</v>
      </c>
      <c r="EB856" s="264">
        <v>1</v>
      </c>
      <c r="EC856" s="264">
        <v>1</v>
      </c>
      <c r="ED856" s="143">
        <v>0</v>
      </c>
      <c r="EE856">
        <v>0</v>
      </c>
      <c r="EF856">
        <v>0</v>
      </c>
      <c r="EG856" s="143">
        <v>0</v>
      </c>
      <c r="EH856" s="143">
        <v>0</v>
      </c>
      <c r="EI856" s="2">
        <v>0</v>
      </c>
      <c r="EK856" t="str">
        <f>IF(AND(AND(AND(OR($DX856=1,$DW856=1),OR($EC856=1,$EA856=1)),SUM($DV856:$DZ856,$EF856)&gt;=4),SUM($EA856:$EE856)&gt;=2),"Whole sector","")</f>
        <v/>
      </c>
      <c r="EL856" t="str">
        <f>IF(AND(AND(OR($DX856=1,$DW856=1),AND($EC856=0,$EA856=0)),SUM($DV856:$DZ856,$EF856)&gt;=4),"Ecosystem approach","")</f>
        <v/>
      </c>
      <c r="EM856" s="2" t="str">
        <f>IF(AND(AND(AND($DX856=0,$DW856=0),OR($EC856=1,$EA856=1)),SUM($EB856:$EE856)&gt;=2),"Technology approach","")</f>
        <v/>
      </c>
      <c r="EP856" t="str">
        <f>IF(ISNUMBER(BU856),IF(ABS(BU856-[4]QC_indicators!$B$2)&gt;3*[4]QC_indicators!$C$2,"C ratio",IF(ISNUMBER(BY856),IF(ABS(BY856-[4]QC_indicators!$B$1)&gt;3*[4]QC_indicators!$C$1,"DF","no"))),IF(ISNUMBER(BY856),IF(ABS(BY856-[4]QC_indicators!$B$1)&gt;3*[4]QC_indicators!$C$1,"DF","no")))</f>
        <v>no</v>
      </c>
      <c r="ER856" s="149" t="s">
        <v>349</v>
      </c>
      <c r="ET856" s="264" t="s">
        <v>3273</v>
      </c>
    </row>
    <row r="857" spans="1:150" ht="15" customHeight="1">
      <c r="A857" s="1" t="s">
        <v>2431</v>
      </c>
      <c r="B857" t="s">
        <v>2432</v>
      </c>
      <c r="C857" t="s">
        <v>2433</v>
      </c>
      <c r="D857" t="s">
        <v>2434</v>
      </c>
      <c r="E857" t="s">
        <v>2435</v>
      </c>
      <c r="F857" t="s">
        <v>2436</v>
      </c>
      <c r="G857" t="s">
        <v>2437</v>
      </c>
      <c r="H857" t="s">
        <v>254</v>
      </c>
      <c r="I857">
        <v>2010</v>
      </c>
      <c r="J857">
        <v>21</v>
      </c>
      <c r="K857" t="s">
        <v>2438</v>
      </c>
      <c r="M857" t="str">
        <f>LEFT($D857,FIND(",",$D857)-1)&amp;"_"&amp;I857&amp;L857</f>
        <v>Tsunetsugu_2010</v>
      </c>
      <c r="N857" t="s">
        <v>222</v>
      </c>
      <c r="O857" s="145" t="s">
        <v>1154</v>
      </c>
      <c r="Q857" t="s">
        <v>256</v>
      </c>
      <c r="R857" s="262" t="s">
        <v>223</v>
      </c>
      <c r="S857" s="1" t="s">
        <v>2439</v>
      </c>
      <c r="T857" t="s">
        <v>1155</v>
      </c>
      <c r="U857" t="s">
        <v>2440</v>
      </c>
      <c r="V857">
        <v>0</v>
      </c>
      <c r="W857">
        <v>0</v>
      </c>
      <c r="X857">
        <v>0</v>
      </c>
      <c r="Y857">
        <v>0</v>
      </c>
      <c r="Z857">
        <v>0</v>
      </c>
      <c r="AA857">
        <v>0</v>
      </c>
      <c r="AB857">
        <v>0</v>
      </c>
      <c r="AC857">
        <v>0</v>
      </c>
      <c r="AD857">
        <v>0</v>
      </c>
      <c r="AE857">
        <v>0</v>
      </c>
      <c r="AF857">
        <v>0</v>
      </c>
      <c r="AG857">
        <v>0</v>
      </c>
      <c r="AH857">
        <v>0</v>
      </c>
      <c r="AI857">
        <v>0</v>
      </c>
      <c r="AJ857">
        <v>0</v>
      </c>
      <c r="AK857">
        <v>1</v>
      </c>
      <c r="AL857">
        <v>0</v>
      </c>
      <c r="AM857">
        <v>0</v>
      </c>
      <c r="AN857">
        <v>0</v>
      </c>
      <c r="AO857">
        <v>0</v>
      </c>
      <c r="AP857">
        <v>0</v>
      </c>
      <c r="AQ857">
        <v>0</v>
      </c>
      <c r="AR857">
        <v>0</v>
      </c>
      <c r="AS857">
        <v>0</v>
      </c>
      <c r="AT857">
        <v>0</v>
      </c>
      <c r="AU857">
        <v>0</v>
      </c>
      <c r="AV857">
        <v>0</v>
      </c>
      <c r="AW857">
        <v>0</v>
      </c>
      <c r="AX857" s="141">
        <f>COUNTIF(V857:AW857,"&lt;&gt;0")</f>
        <v>1</v>
      </c>
      <c r="AY857" s="141">
        <f>COUNTIF(V857:AL857,"&lt;&gt;0")</f>
        <v>1</v>
      </c>
      <c r="AZ857">
        <f>COUNTIF(V857:AC857,"&lt;&gt;0")</f>
        <v>0</v>
      </c>
      <c r="BA857">
        <f>COUNTIF(AD857:AI857,"&lt;&gt;0")</f>
        <v>0</v>
      </c>
      <c r="BB857">
        <f>COUNTIF(AJ857:AL857,"&lt;&gt;0")</f>
        <v>1</v>
      </c>
      <c r="BC857">
        <f>COUNTIF(AS857:AW857,"&lt;&gt;0")</f>
        <v>0</v>
      </c>
      <c r="BD857">
        <f>COUNTIF(AM857:AR857,"&lt;&gt;0")</f>
        <v>0</v>
      </c>
      <c r="BE857" t="str">
        <f t="array" ref="BE857">IF(AY857=1,INDEX($V$7:$AL$7,MATCH(TRUE,INDEX($V857:$AW857&lt;&gt;0,),0)),IF(AY857=0,INDEX($AM$7:$AW$7,MATCH(1,$AM857:$AW857,0)),IF(BF857="Multiple strategies","mixed drivers",IF(BF857="Supply chain","multiple supply","multiple silviculture"))))</f>
        <v>technologies/design switch</v>
      </c>
      <c r="BF857" s="2" t="str" cm="1">
        <f t="array" ref="BF857">IF(COUNTIF(AZ857:BB857,"&lt;&gt;0")=1,INDEX($V$4:$AW$4,MATCH(TRUE,INDEX($V857:$AW857&lt;&gt;0,),0)),IF(COUNTIF(AZ857:BB857,"&lt;&gt;0")=0,INDEX($AM$4:$AW$4,MATCH(1,$AM857:$AW857,0)),"Multiple strategies"))</f>
        <v>Technology</v>
      </c>
      <c r="BG857" s="1" t="s">
        <v>321</v>
      </c>
      <c r="BH857" t="s">
        <v>2441</v>
      </c>
      <c r="BI857" s="264" t="s">
        <v>3248</v>
      </c>
      <c r="BJ857" t="s">
        <v>2442</v>
      </c>
      <c r="BK857">
        <v>25</v>
      </c>
      <c r="BL857">
        <v>42</v>
      </c>
      <c r="BM857" s="143">
        <f>BL857/BK857</f>
        <v>1.68</v>
      </c>
      <c r="BN857">
        <f>BL857-BK857</f>
        <v>17</v>
      </c>
      <c r="BO857">
        <f>+BN857*10^6</f>
        <v>17000000</v>
      </c>
      <c r="BP857" t="s">
        <v>232</v>
      </c>
      <c r="BQ857" s="153" t="s">
        <v>3249</v>
      </c>
      <c r="BR857" t="s">
        <v>2443</v>
      </c>
      <c r="BS857">
        <v>1.2916666666666601</v>
      </c>
      <c r="BT857">
        <v>4.9488372093022104</v>
      </c>
      <c r="BU857" s="144">
        <f>IFERROR(BT857/BS857,"")</f>
        <v>3.8313578394597951</v>
      </c>
      <c r="BV857" s="144">
        <f>BT857-BS857</f>
        <v>3.6571705426355505</v>
      </c>
      <c r="BW857" s="144"/>
      <c r="BX857">
        <f>BV857*10^6*C_to_CO2</f>
        <v>13421815.89147247</v>
      </c>
      <c r="BY857">
        <f>IFERROR(BX857/BO857,"")</f>
        <v>0.78951858185132173</v>
      </c>
      <c r="BZ857">
        <v>0</v>
      </c>
      <c r="CA857">
        <v>0</v>
      </c>
      <c r="CB857">
        <v>0</v>
      </c>
      <c r="CC857">
        <v>0</v>
      </c>
      <c r="CD857">
        <v>0</v>
      </c>
      <c r="CE857">
        <v>0</v>
      </c>
      <c r="CF857">
        <v>0</v>
      </c>
      <c r="CG857">
        <v>0</v>
      </c>
      <c r="CH857">
        <v>0</v>
      </c>
      <c r="CI857">
        <v>0</v>
      </c>
      <c r="CJ857">
        <v>0</v>
      </c>
      <c r="CK857">
        <v>0</v>
      </c>
      <c r="CL857">
        <v>0</v>
      </c>
      <c r="CM857">
        <v>0</v>
      </c>
      <c r="CN857" t="str">
        <f>IF($BL857&lt;$BK857,"refNeedCorrection","refOK")</f>
        <v>refOK</v>
      </c>
      <c r="CO857">
        <f>IF($CN857="refOK",$BK857,$BL857)</f>
        <v>25</v>
      </c>
      <c r="CP857">
        <f>IF($CN857="refOK",$BL857,$BK857)</f>
        <v>42</v>
      </c>
      <c r="CQ857">
        <f>IF($CN857="refOK",$BO857,-$BO857)</f>
        <v>17000000</v>
      </c>
      <c r="CR857">
        <f>IF($CN857="refOK",$BS857,$BT857)*IF($BP857="Emissions positive",-1,1)</f>
        <v>1.2916666666666601</v>
      </c>
      <c r="CS857">
        <f>IF($CN857="refOK",$BT857,$BS857)*IF($BP857="Emissions positive",-1,1)</f>
        <v>4.9488372093022104</v>
      </c>
      <c r="CT857">
        <f>IF($CN857="refNeedCorrection",-BX857,BX857)*IF($BP857="Emissions positive",-1,1)</f>
        <v>13421815.89147247</v>
      </c>
      <c r="CU857">
        <f>IFERROR(CT857/CQ857,"")</f>
        <v>0.78951858185132173</v>
      </c>
      <c r="CV857" s="2">
        <f>IFERROR((CS857-CR857)/ABS(CR857),"")</f>
        <v>2.8313578394597956</v>
      </c>
      <c r="CW857" s="1" t="s">
        <v>1203</v>
      </c>
      <c r="CX857" t="str">
        <f>IF(OR($CW857="prd",$CW857="std",$CW857="cit"),"loc",IF(OR($CW857="eur",$CW857="reg",$CW857="coy"),"reg",$CW857))</f>
        <v>reg</v>
      </c>
      <c r="CY857" t="s">
        <v>961</v>
      </c>
      <c r="CZ857">
        <v>2007</v>
      </c>
      <c r="DA857">
        <v>2050</v>
      </c>
      <c r="DB857">
        <f>DA857-CZ857</f>
        <v>43</v>
      </c>
      <c r="DC857" t="str">
        <f>IF(DB857=0,"0",IF(AND(DB857&gt;=1,DB857&lt;=30),"1-30",IF(AND(DB857&gt;30,DB857&lt;=70),"31-70",IF(AND(DB857&gt;70,DB857&lt;=100),"71-100",IF(DB857&gt;100,"+100")))))</f>
        <v>31-70</v>
      </c>
      <c r="DD857">
        <v>0</v>
      </c>
      <c r="DE857">
        <v>0</v>
      </c>
      <c r="DF857">
        <v>1</v>
      </c>
      <c r="DG857">
        <v>1</v>
      </c>
      <c r="DI857">
        <f>SUM(DD857:DG857)</f>
        <v>2</v>
      </c>
      <c r="DJ857" t="str">
        <f>IF(DI857=1,INDEX($DD$7:$DG$7,MATCH(1,$DD857:$DG857,0)),"mixedProduct")</f>
        <v>mixedProduct</v>
      </c>
      <c r="DK857">
        <f>IF(DD857=1,DK$7,0)</f>
        <v>0</v>
      </c>
      <c r="DL857">
        <f>IF(DE857=1,DL$7,0)</f>
        <v>0</v>
      </c>
      <c r="DM857" t="str">
        <f>IF(DF857=1,DM$7,0)</f>
        <v>Pulp/Paper</v>
      </c>
      <c r="DN857" t="str">
        <f>IF(DG857=1,DN$7,0)</f>
        <v>Timber</v>
      </c>
      <c r="DO857">
        <v>1</v>
      </c>
      <c r="DP857">
        <v>0</v>
      </c>
      <c r="DQ857">
        <v>0</v>
      </c>
      <c r="DR857">
        <v>0</v>
      </c>
      <c r="DS857">
        <v>0</v>
      </c>
      <c r="DT857">
        <f>SUM(DO857:DP857)</f>
        <v>1</v>
      </c>
      <c r="DU857" s="143" t="str">
        <f>IF(DO857=1,"self-calculated DF",IF(DP857=1,"external DF used","explicit C balance"))</f>
        <v>self-calculated DF</v>
      </c>
      <c r="DV857">
        <v>0</v>
      </c>
      <c r="DW857">
        <v>0</v>
      </c>
      <c r="DX857">
        <v>0</v>
      </c>
      <c r="DY857">
        <v>1</v>
      </c>
      <c r="DZ857">
        <v>0</v>
      </c>
      <c r="EA857" s="143">
        <v>1</v>
      </c>
      <c r="EB857">
        <v>1</v>
      </c>
      <c r="EC857">
        <v>1</v>
      </c>
      <c r="ED857">
        <v>0</v>
      </c>
      <c r="EE857">
        <v>0</v>
      </c>
      <c r="EF857">
        <v>0</v>
      </c>
      <c r="EG857">
        <v>0</v>
      </c>
      <c r="EH857">
        <v>0</v>
      </c>
      <c r="EI857" s="2">
        <v>0</v>
      </c>
      <c r="EK857" t="str">
        <f>IF(AND(AND(AND(OR($DX857=1,$DW857=1),OR($EC857=1,$EA857=1)),SUM($DV857:$DZ857,$EF857)&gt;=4),SUM($EA857:$EE857)&gt;=2),"Whole sector","")</f>
        <v/>
      </c>
      <c r="EL857" t="str">
        <f>IF(AND(AND(OR($DX857=1,$DW857=1),AND($EC857=0,$EA857=0)),SUM($DV857:$DZ857,$EF857)&gt;=4),"Ecosystem approach","")</f>
        <v/>
      </c>
      <c r="EM857" s="2" t="str">
        <f>IF(AND(AND(AND($DX857=0,$DW857=0),OR($EC857=1,$EA857=1)),SUM($EB857:$EE857)&gt;=2),"Technology approach","")</f>
        <v>Technology approach</v>
      </c>
      <c r="EP857" t="str">
        <f>IF(ISNUMBER(BU857),IF(ABS(BU857-[1]QC_indicators!$B$2)&gt;3*[1]QC_indicators!$C$2,"C ratio",IF(ISNUMBER(BY857),IF(ABS(BY857-[1]QC_indicators!$B$1)&gt;3*[1]QC_indicators!$C$1,"DF","no"))),IF(ISNUMBER(BY857),IF(ABS(BY857-[1]QC_indicators!$B$1)&gt;3*[1]QC_indicators!$C$1,"DF","no")))</f>
        <v>no</v>
      </c>
      <c r="ET857" s="264" t="s">
        <v>3250</v>
      </c>
    </row>
    <row r="858" spans="1:150" ht="15" customHeight="1">
      <c r="D858" t="s">
        <v>733</v>
      </c>
      <c r="E858" t="s">
        <v>734</v>
      </c>
      <c r="G858" t="s">
        <v>735</v>
      </c>
      <c r="I858">
        <v>2005</v>
      </c>
      <c r="K858" s="156" t="s">
        <v>736</v>
      </c>
      <c r="M858" t="str">
        <f>LEFT($D858,FIND(",",$D858)-1)&amp;"_"&amp;I858&amp;L858</f>
        <v>Gustavsson_2005</v>
      </c>
      <c r="N858" t="s">
        <v>222</v>
      </c>
      <c r="O858" t="s">
        <v>223</v>
      </c>
      <c r="Q858" t="s">
        <v>256</v>
      </c>
      <c r="R858" s="255" t="s">
        <v>225</v>
      </c>
      <c r="S858" s="1" t="s">
        <v>737</v>
      </c>
      <c r="T858" t="s">
        <v>738</v>
      </c>
      <c r="U858" s="264" t="s">
        <v>739</v>
      </c>
      <c r="V858">
        <v>0</v>
      </c>
      <c r="W858">
        <v>0</v>
      </c>
      <c r="X858">
        <v>0</v>
      </c>
      <c r="Y858">
        <v>1</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s="141">
        <f>COUNTIF(V858:AW858,"&lt;&gt;0")</f>
        <v>1</v>
      </c>
      <c r="AY858" s="141">
        <f>COUNTIF(V858:AL858,"&lt;&gt;0")</f>
        <v>1</v>
      </c>
      <c r="AZ858">
        <f>COUNTIF(V858:AC858,"&lt;&gt;0")</f>
        <v>1</v>
      </c>
      <c r="BA858">
        <f>COUNTIF(AD858:AI858,"&lt;&gt;0")</f>
        <v>0</v>
      </c>
      <c r="BB858">
        <f>COUNTIF(AJ858:AL858,"&lt;&gt;0")</f>
        <v>0</v>
      </c>
      <c r="BC858">
        <f>COUNTIF(AS858:AW858,"&lt;&gt;0")</f>
        <v>0</v>
      </c>
      <c r="BD858">
        <f>COUNTIF(AM858:AR858,"&lt;&gt;0")</f>
        <v>0</v>
      </c>
      <c r="BE858" t="str">
        <f t="array" ref="BE858">IF(AY858=1,INDEX($V$7:$AL$7,MATCH(TRUE,INDEX($V858:$AW858&lt;&gt;0,),0)),IF(AY858=0,INDEX($AM$7:$AW$7,MATCH(1,$AM858:$AW858,0)),IF(BF858="Multiple strategies","mixed drivers",IF(BF858="Supply chain","multiple supply","multiple silviculture"))))</f>
        <v xml:space="preserve">cutting intensity </v>
      </c>
      <c r="BF858" s="2" t="str" cm="1">
        <f t="array" ref="BF858">IF(COUNTIF(AZ858:BB858,"&lt;&gt;0")=1,INDEX($V$4:$AW$4,MATCH(TRUE,INDEX($V858:$AW858&lt;&gt;0,),0)),IF(COUNTIF(AZ858:BB858,"&lt;&gt;0")=0,INDEX($AM$4:$AW$4,MATCH(1,$AM858:$AW858,0)),"Multiple strategies"))</f>
        <v>Silviculture for removals</v>
      </c>
      <c r="BG858" s="263" t="s">
        <v>321</v>
      </c>
      <c r="BH858" s="264" t="s">
        <v>740</v>
      </c>
      <c r="BI858" s="260" t="s">
        <v>424</v>
      </c>
      <c r="BJ858" s="264" t="s">
        <v>741</v>
      </c>
      <c r="BK858" s="264">
        <v>166.8</v>
      </c>
      <c r="BL858" s="264">
        <v>207.5</v>
      </c>
      <c r="BM858" s="264">
        <f>BL858/BK858</f>
        <v>1.2440047961630694</v>
      </c>
      <c r="BN858" s="264">
        <f>BL858-BK858</f>
        <v>40.699999999999989</v>
      </c>
      <c r="BO858" s="264">
        <f>BN858*t_to_m3</f>
        <v>83.06122448979589</v>
      </c>
      <c r="BP858" t="s">
        <v>232</v>
      </c>
      <c r="BQ858" s="304" t="s">
        <v>3333</v>
      </c>
      <c r="BR858" t="s">
        <v>442</v>
      </c>
      <c r="BS858" s="264">
        <v>26.2</v>
      </c>
      <c r="BT858" s="151">
        <v>44.2</v>
      </c>
      <c r="BV858">
        <v>18.000000000000004</v>
      </c>
      <c r="BX858">
        <f>BV858*C_to_CO2</f>
        <v>66.060000000000016</v>
      </c>
      <c r="BY858">
        <f>IFERROR(BX858/BO858,"")</f>
        <v>0.79531695331695373</v>
      </c>
      <c r="BZ858" s="143">
        <v>0</v>
      </c>
      <c r="CA858" s="143">
        <v>0</v>
      </c>
      <c r="CB858" s="143">
        <v>0</v>
      </c>
      <c r="CC858" s="143">
        <v>0</v>
      </c>
      <c r="CD858" s="143">
        <v>0</v>
      </c>
      <c r="CE858" s="143">
        <v>0</v>
      </c>
      <c r="CF858" s="143">
        <v>0</v>
      </c>
      <c r="CG858" s="143">
        <v>0</v>
      </c>
      <c r="CH858" s="143">
        <v>0</v>
      </c>
      <c r="CI858" s="143">
        <v>0</v>
      </c>
      <c r="CJ858" s="143">
        <v>0</v>
      </c>
      <c r="CK858" s="143">
        <v>0</v>
      </c>
      <c r="CL858" s="143">
        <v>0</v>
      </c>
      <c r="CM858">
        <v>0</v>
      </c>
      <c r="CN858" t="str">
        <f>IF($BL858&lt;$BK858,"refNeedCorrection","refOK")</f>
        <v>refOK</v>
      </c>
      <c r="CO858">
        <f>IF($CN858="refOK",$BK858,$BL858)</f>
        <v>166.8</v>
      </c>
      <c r="CP858">
        <f>IF($CN858="refOK",$BL858,$BK858)</f>
        <v>207.5</v>
      </c>
      <c r="CQ858">
        <f>IF($CN858="refOK",$BO858,-$BO858)</f>
        <v>83.06122448979589</v>
      </c>
      <c r="CR858">
        <f>IF($CN858="refOK",$BS858,$BT858)*IF($BP858="Emissions positive",-1,1)</f>
        <v>26.2</v>
      </c>
      <c r="CS858">
        <f>IF($CN858="refOK",$BT858,$BS858)*IF($BP858="Emissions positive",-1,1)</f>
        <v>44.2</v>
      </c>
      <c r="CT858">
        <f>IF($CN858="refNeedCorrection",-BX858,BX858)*IF($BP858="Emissions positive",-1,1)</f>
        <v>66.060000000000016</v>
      </c>
      <c r="CU858">
        <f>IFERROR(CT858/CQ858,"")</f>
        <v>0.79531695331695373</v>
      </c>
      <c r="CV858" s="2">
        <f>IFERROR((CS858-CR858)/ABS(CR858),"")</f>
        <v>0.68702290076335892</v>
      </c>
      <c r="CW858" s="1" t="s">
        <v>263</v>
      </c>
      <c r="CX858" t="str">
        <f>IF(OR($CW858="prd",$CW858="std",$CW858="cit"),"loc",IF(OR($CW858="eur",$CW858="reg",$CW858="coy"),"reg",$CW858))</f>
        <v>loc</v>
      </c>
      <c r="CY858" t="s">
        <v>743</v>
      </c>
      <c r="DA858" s="143"/>
      <c r="DB858" s="143">
        <v>0</v>
      </c>
      <c r="DC858" t="str">
        <f>IF(DB858=0,"0",IF(AND(DB858&gt;=1,DB858&lt;=30),"1-30",IF(AND(DB858&gt;30,DB858&lt;=70),"31-70",IF(AND(DB858&gt;70,DB858&lt;=100),"71-100",IF(DB858&gt;100,"+100")))))</f>
        <v>0</v>
      </c>
      <c r="DD858">
        <v>0</v>
      </c>
      <c r="DE858">
        <v>0</v>
      </c>
      <c r="DF858">
        <v>0</v>
      </c>
      <c r="DG858">
        <v>1</v>
      </c>
      <c r="DI858">
        <f>SUM(DD858:DG858)</f>
        <v>1</v>
      </c>
      <c r="DJ858" t="str">
        <f>IF(DI858=1,INDEX($DD$7:$DG$7,MATCH(1,$DD858:$DG858,0)),"mixedProduct")</f>
        <v>TimberInput</v>
      </c>
      <c r="DK858">
        <f>IF(DD858=1,DK$7,0)</f>
        <v>0</v>
      </c>
      <c r="DL858">
        <f>IF(DE858=1,DL$7,0)</f>
        <v>0</v>
      </c>
      <c r="DM858">
        <f>IF(DF858=1,DM$7,0)</f>
        <v>0</v>
      </c>
      <c r="DN858" t="str">
        <f>IF(DG858=1,DN$7,0)</f>
        <v>Timber</v>
      </c>
      <c r="DO858">
        <v>1</v>
      </c>
      <c r="DP858" s="143">
        <v>0</v>
      </c>
      <c r="DQ858" s="143">
        <v>0</v>
      </c>
      <c r="DR858">
        <v>0</v>
      </c>
      <c r="DS858" s="143">
        <v>0</v>
      </c>
      <c r="DT858">
        <f>SUM(DO858:DP858)</f>
        <v>1</v>
      </c>
      <c r="DU858" s="143" t="str">
        <f>IF(DO858=1,"self-calculated DF",IF(DP858=1,"external DF used","explicit C balance"))</f>
        <v>self-calculated DF</v>
      </c>
      <c r="DV858" s="143">
        <v>0</v>
      </c>
      <c r="DW858" s="264">
        <v>1</v>
      </c>
      <c r="DX858" s="264">
        <v>1</v>
      </c>
      <c r="DY858" s="264">
        <v>0</v>
      </c>
      <c r="DZ858" s="264">
        <v>0</v>
      </c>
      <c r="EA858" s="264">
        <v>1</v>
      </c>
      <c r="EB858" s="264">
        <v>1</v>
      </c>
      <c r="EC858" s="264">
        <v>1</v>
      </c>
      <c r="ED858" s="143">
        <v>0</v>
      </c>
      <c r="EE858">
        <v>0</v>
      </c>
      <c r="EF858">
        <v>0</v>
      </c>
      <c r="EG858" s="143">
        <v>0</v>
      </c>
      <c r="EH858" s="143">
        <v>0</v>
      </c>
      <c r="EI858" s="2">
        <v>0</v>
      </c>
      <c r="EK858" t="str">
        <f>IF(AND(AND(AND(OR($DX858=1,$DW858=1),OR($EC858=1,$EA858=1)),SUM($DV858:$DZ858,$EF858)&gt;=4),SUM($EA858:$EE858)&gt;=2),"Whole sector","")</f>
        <v/>
      </c>
      <c r="EL858" t="str">
        <f>IF(AND(AND(OR($DX858=1,$DW858=1),AND($EC858=0,$EA858=0)),SUM($DV858:$DZ858,$EF858)&gt;=4),"Ecosystem approach","")</f>
        <v/>
      </c>
      <c r="EM858" s="2" t="str">
        <f>IF(AND(AND(AND($DX858=0,$DW858=0),OR($EC858=1,$EA858=1)),SUM($EB858:$EE858)&gt;=2),"Technology approach","")</f>
        <v/>
      </c>
      <c r="EP858" t="str">
        <f>IF(ISNUMBER(BU858),IF(ABS(BU858-[4]QC_indicators!$B$2)&gt;3*[4]QC_indicators!$C$2,"C ratio",IF(ISNUMBER(BY858),IF(ABS(BY858-[4]QC_indicators!$B$1)&gt;3*[4]QC_indicators!$C$1,"DF","no"))),IF(ISNUMBER(BY858),IF(ABS(BY858-[4]QC_indicators!$B$1)&gt;3*[4]QC_indicators!$C$1,"DF","no")))</f>
        <v>no</v>
      </c>
      <c r="ER858" s="149" t="s">
        <v>349</v>
      </c>
      <c r="ET858" s="264" t="s">
        <v>3273</v>
      </c>
    </row>
    <row r="859" spans="1:150" ht="15" customHeight="1">
      <c r="A859" s="1" t="s">
        <v>1360</v>
      </c>
      <c r="B859" t="s">
        <v>2135</v>
      </c>
      <c r="C859" t="s">
        <v>2136</v>
      </c>
      <c r="D859" t="s">
        <v>2137</v>
      </c>
      <c r="E859" t="s">
        <v>2138</v>
      </c>
      <c r="F859" t="s">
        <v>2139</v>
      </c>
      <c r="G859" t="s">
        <v>1366</v>
      </c>
      <c r="H859" t="s">
        <v>254</v>
      </c>
      <c r="I859">
        <v>2012</v>
      </c>
      <c r="J859">
        <v>21</v>
      </c>
      <c r="K859" t="s">
        <v>2140</v>
      </c>
      <c r="L859" s="192"/>
      <c r="M859" t="str">
        <f>LEFT($D859,FIND(",",$D859)-1)&amp;"_"&amp;I859&amp;L859</f>
        <v>Pyorala_2012</v>
      </c>
      <c r="N859" t="s">
        <v>222</v>
      </c>
      <c r="O859" s="145" t="s">
        <v>341</v>
      </c>
      <c r="P859" s="180" t="s">
        <v>223</v>
      </c>
      <c r="Q859" s="264" t="s">
        <v>2160</v>
      </c>
      <c r="R859" s="269" t="s">
        <v>1154</v>
      </c>
      <c r="S859" s="263" t="s">
        <v>2161</v>
      </c>
      <c r="T859" s="264" t="s">
        <v>2157</v>
      </c>
      <c r="U859" s="264" t="s">
        <v>2158</v>
      </c>
      <c r="V859">
        <v>0</v>
      </c>
      <c r="W859">
        <v>0</v>
      </c>
      <c r="X859">
        <v>0</v>
      </c>
      <c r="Y859">
        <v>0</v>
      </c>
      <c r="Z859">
        <v>0</v>
      </c>
      <c r="AA859">
        <v>0</v>
      </c>
      <c r="AB859">
        <v>0</v>
      </c>
      <c r="AC859">
        <v>1</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s="141">
        <f>COUNTIF(V859:AW859,"&lt;&gt;0")</f>
        <v>1</v>
      </c>
      <c r="AY859" s="141">
        <f>COUNTIF(V859:AL859,"&lt;&gt;0")</f>
        <v>1</v>
      </c>
      <c r="AZ859">
        <f>COUNTIF(V859:AC859,"&lt;&gt;0")</f>
        <v>1</v>
      </c>
      <c r="BA859">
        <f>COUNTIF(AD859:AI859,"&lt;&gt;0")</f>
        <v>0</v>
      </c>
      <c r="BB859">
        <f>COUNTIF(AJ859:AL859,"&lt;&gt;0")</f>
        <v>0</v>
      </c>
      <c r="BC859">
        <f>COUNTIF(AS859:AW859,"&lt;&gt;0")</f>
        <v>0</v>
      </c>
      <c r="BD859">
        <f>COUNTIF(AM859:AR859,"&lt;&gt;0")</f>
        <v>0</v>
      </c>
      <c r="BE859" t="str" cm="1">
        <f t="array" ref="BE859">IF(AY859=1,INDEX($V$7:$AL$7,MATCH(TRUE,INDEX($V859:$AW859&lt;&gt;0,),0)),IF(AY859=0,INDEX($AM$7:$AW$7,MATCH(1,$AM859:$AW859,0)),IF(BF859="Multiple strategies","mixed drivers",IF(BF859="Supply chain","multiple supply","multiple silviculture"))))</f>
        <v>site fertility</v>
      </c>
      <c r="BF859" s="2" t="str" cm="1">
        <f t="array" ref="BF859">IF(COUNTIF(AZ859:BB859,"&lt;&gt;0")=1,INDEX($V$4:$AW$4,MATCH(TRUE,INDEX($V859:$AW859&lt;&gt;0,),0)),IF(COUNTIF(AZ859:BB859,"&lt;&gt;0")=0,INDEX($AM$4:$AW$4,MATCH(1,$AM859:$AW859,0)),"Multiple strategies"))</f>
        <v>Silviculture for productivity</v>
      </c>
      <c r="BG859" s="178" t="s">
        <v>321</v>
      </c>
      <c r="BH859" s="264" t="s">
        <v>2144</v>
      </c>
      <c r="BI859" s="264" t="s">
        <v>2159</v>
      </c>
      <c r="BJ859" s="160" t="s">
        <v>700</v>
      </c>
      <c r="BK859">
        <v>8.3000000000000007</v>
      </c>
      <c r="BL859">
        <v>9.1</v>
      </c>
      <c r="BN859">
        <f>BL859-BK859</f>
        <v>0.79999999999999893</v>
      </c>
      <c r="BO859">
        <f>BN859</f>
        <v>0.79999999999999893</v>
      </c>
      <c r="BP859" s="155" t="s">
        <v>232</v>
      </c>
      <c r="BQ859" s="264" t="s">
        <v>786</v>
      </c>
      <c r="BR859" s="270" t="s">
        <v>2145</v>
      </c>
      <c r="BS859" s="264">
        <f>169.6/50</f>
        <v>3.3919999999999999</v>
      </c>
      <c r="BT859" s="264">
        <f>201.5/50</f>
        <v>4.03</v>
      </c>
      <c r="BU859" s="144"/>
      <c r="BV859">
        <f>BT859-BS859</f>
        <v>0.63800000000000034</v>
      </c>
      <c r="BX859">
        <f>BV859</f>
        <v>0.63800000000000034</v>
      </c>
      <c r="BY859">
        <f>IFERROR(BX859/BO859,"")</f>
        <v>0.79750000000000154</v>
      </c>
      <c r="BZ859">
        <v>0</v>
      </c>
      <c r="CA859">
        <v>0</v>
      </c>
      <c r="CB859">
        <v>0</v>
      </c>
      <c r="CC859">
        <v>0</v>
      </c>
      <c r="CD859">
        <v>0</v>
      </c>
      <c r="CE859">
        <v>0</v>
      </c>
      <c r="CF859">
        <v>0</v>
      </c>
      <c r="CG859">
        <v>0</v>
      </c>
      <c r="CH859">
        <v>0</v>
      </c>
      <c r="CI859">
        <v>0</v>
      </c>
      <c r="CJ859">
        <v>0</v>
      </c>
      <c r="CK859">
        <v>0</v>
      </c>
      <c r="CL859">
        <v>0</v>
      </c>
      <c r="CM859">
        <v>0</v>
      </c>
      <c r="CN859" t="str">
        <f>IF($BL859&lt;$BK859,"refNeedCorrection","refOK")</f>
        <v>refOK</v>
      </c>
      <c r="CO859">
        <f>IF($CN859="refOK",$BK859,$BL859)</f>
        <v>8.3000000000000007</v>
      </c>
      <c r="CP859">
        <f>IF($CN859="refOK",$BL859,$BK859)</f>
        <v>9.1</v>
      </c>
      <c r="CQ859">
        <f>IF($CN859="refOK",$BO859,-$BO859)</f>
        <v>0.79999999999999893</v>
      </c>
      <c r="CR859">
        <f>IF($CN859="refOK",$BS859,$BT859)*IF($BP859="Emissions positive",-1,1)</f>
        <v>3.3919999999999999</v>
      </c>
      <c r="CS859">
        <f>IF($CN859="refOK",$BT859,$BS859)*IF($BP859="Emissions positive",-1,1)</f>
        <v>4.03</v>
      </c>
      <c r="CT859">
        <f>IF($CN859="refNeedCorrection",-BX859,BX859)*IF($BP859="Emissions positive",-1,1)</f>
        <v>0.63800000000000034</v>
      </c>
      <c r="CU859">
        <f>IFERROR(CT859/CQ859,"")</f>
        <v>0.79750000000000154</v>
      </c>
      <c r="CV859" s="2">
        <f>IFERROR((CS859-CR859)/ABS(CR859),"")</f>
        <v>0.18808962264150955</v>
      </c>
      <c r="CW859" s="1" t="s">
        <v>1199</v>
      </c>
      <c r="CX859" s="264" t="str">
        <f>IF(OR($CW859="prd",$CW859="std",$CW859="cit"),"loc",IF(OR($CW859="eur",$CW859="reg",$CW859="coy"),"reg",$CW859))</f>
        <v>reg</v>
      </c>
      <c r="CY859" t="s">
        <v>235</v>
      </c>
      <c r="DB859">
        <v>50</v>
      </c>
      <c r="DC859" t="str">
        <f>IF(DB859=0,"0",IF(AND(DB859&gt;=1,DB859&lt;=30),"1-30",IF(AND(DB859&gt;30,DB859&lt;=70),"31-70",IF(AND(DB859&gt;70,DB859&lt;=100),"71-100",IF(DB859&gt;100,"+100")))))</f>
        <v>31-70</v>
      </c>
      <c r="DD859">
        <v>0</v>
      </c>
      <c r="DE859">
        <v>1</v>
      </c>
      <c r="DF859">
        <v>1</v>
      </c>
      <c r="DG859">
        <v>1</v>
      </c>
      <c r="DI859">
        <f>SUM(DD859:DG859)</f>
        <v>3</v>
      </c>
      <c r="DJ859" t="str">
        <f>IF(DI859=1,INDEX($DD$7:$DG$7,MATCH(1,$DD859:$DG859,0)),"mixedProduct")</f>
        <v>mixedProduct</v>
      </c>
      <c r="DK859">
        <f>IF(DD859=1,DK$7,0)</f>
        <v>0</v>
      </c>
      <c r="DL859" t="str">
        <f>IF(DE859=1,DL$7,0)</f>
        <v>Energy</v>
      </c>
      <c r="DM859" t="str">
        <f>IF(DF859=1,DM$7,0)</f>
        <v>Pulp/Paper</v>
      </c>
      <c r="DN859" t="str">
        <f>IF(DG859=1,DN$7,0)</f>
        <v>Timber</v>
      </c>
      <c r="DO859">
        <v>0</v>
      </c>
      <c r="DP859">
        <v>1</v>
      </c>
      <c r="DQ859" t="s">
        <v>2146</v>
      </c>
      <c r="DR859">
        <v>0</v>
      </c>
      <c r="DS859">
        <v>0</v>
      </c>
      <c r="DT859">
        <f>SUM(DO859:DP859)</f>
        <v>1</v>
      </c>
      <c r="DU859" s="143" t="str">
        <f>IF(DO859=1,"self-calculated DF",IF(DP859=1,"external DF used","explicit C balance"))</f>
        <v>external DF used</v>
      </c>
      <c r="DV859">
        <v>1</v>
      </c>
      <c r="DW859">
        <v>1</v>
      </c>
      <c r="DX859">
        <v>1</v>
      </c>
      <c r="DY859">
        <v>0</v>
      </c>
      <c r="DZ859">
        <v>0</v>
      </c>
      <c r="EA859" s="143">
        <v>0</v>
      </c>
      <c r="EB859">
        <v>0</v>
      </c>
      <c r="EC859">
        <v>0</v>
      </c>
      <c r="ED859">
        <v>0</v>
      </c>
      <c r="EE859">
        <v>0</v>
      </c>
      <c r="EF859">
        <v>1</v>
      </c>
      <c r="EG859">
        <v>0</v>
      </c>
      <c r="EH859">
        <v>0</v>
      </c>
      <c r="EI859" s="2">
        <v>0</v>
      </c>
      <c r="EK859" t="str">
        <f>IF(AND(AND(AND(OR($DX859=1,$DW859=1),OR($EC859=1,$EA859=1)),SUM($DV859:$DZ859,$EF859)&gt;=4),SUM($EA859:$EE859)&gt;=2),"Whole sector","")</f>
        <v/>
      </c>
      <c r="EL859" t="str">
        <f>IF(AND(AND(OR($DX859=1,$DW859=1),AND($EC859=0,$EA859=0)),SUM($DV859:$DZ859,$EF859)&gt;=4),"Ecosystem approach","")</f>
        <v>Ecosystem approach</v>
      </c>
      <c r="EM859" s="2" t="str">
        <f>IF(AND(AND(AND($DX859=0,$DW859=0),OR($EC859=1,$EA859=1)),SUM($EB859:$EE859)&gt;=2),"Technology approach","")</f>
        <v/>
      </c>
      <c r="EP859" t="str">
        <f>IF(ISNUMBER(BU859),IF(ABS(BU859-[3]QC_indicators!$B$2)&gt;3*[3]QC_indicators!$C$2,"C ratio",IF(ISNUMBER(BY859),IF(ABS(BY859-[3]QC_indicators!$B$1)&gt;3*[3]QC_indicators!$C$1,"DF","no"))),IF(ISNUMBER(BY859),IF(ABS(BY859-[3]QC_indicators!$B$1)&gt;3*[3]QC_indicators!$C$1,"DF","no")))</f>
        <v>no</v>
      </c>
      <c r="ET859" s="264" t="s">
        <v>3407</v>
      </c>
    </row>
    <row r="860" spans="1:150" ht="15" customHeight="1">
      <c r="D860" t="s">
        <v>757</v>
      </c>
      <c r="E860" t="s">
        <v>758</v>
      </c>
      <c r="G860" t="s">
        <v>759</v>
      </c>
      <c r="I860">
        <v>2006</v>
      </c>
      <c r="K860" s="296" t="s">
        <v>760</v>
      </c>
      <c r="M860" t="str">
        <f>LEFT($D860,FIND(",",$D860)-1)&amp;"_"&amp;I860&amp;L860</f>
        <v>Gustavsson_2006</v>
      </c>
      <c r="N860" t="s">
        <v>222</v>
      </c>
      <c r="O860" t="s">
        <v>223</v>
      </c>
      <c r="Q860" s="264" t="s">
        <v>256</v>
      </c>
      <c r="R860" s="269" t="s">
        <v>1154</v>
      </c>
      <c r="S860" s="263" t="s">
        <v>765</v>
      </c>
      <c r="T860" t="s">
        <v>753</v>
      </c>
      <c r="U860" s="143" t="s">
        <v>754</v>
      </c>
      <c r="V860">
        <v>0</v>
      </c>
      <c r="W860">
        <v>0</v>
      </c>
      <c r="X860">
        <v>0</v>
      </c>
      <c r="Y860">
        <v>0</v>
      </c>
      <c r="Z860">
        <v>0</v>
      </c>
      <c r="AA860">
        <v>0</v>
      </c>
      <c r="AB860">
        <v>0</v>
      </c>
      <c r="AC860">
        <v>0</v>
      </c>
      <c r="AD860">
        <v>0</v>
      </c>
      <c r="AE860">
        <v>0</v>
      </c>
      <c r="AF860">
        <v>0</v>
      </c>
      <c r="AG860">
        <v>0</v>
      </c>
      <c r="AH860">
        <v>0</v>
      </c>
      <c r="AI860">
        <v>0</v>
      </c>
      <c r="AJ860">
        <v>0</v>
      </c>
      <c r="AK860">
        <v>1</v>
      </c>
      <c r="AL860">
        <v>0</v>
      </c>
      <c r="AM860">
        <v>0</v>
      </c>
      <c r="AN860">
        <v>0</v>
      </c>
      <c r="AO860">
        <v>0</v>
      </c>
      <c r="AP860">
        <v>0</v>
      </c>
      <c r="AQ860">
        <v>0</v>
      </c>
      <c r="AR860">
        <v>0</v>
      </c>
      <c r="AS860">
        <v>0</v>
      </c>
      <c r="AT860">
        <v>0</v>
      </c>
      <c r="AU860">
        <v>0</v>
      </c>
      <c r="AV860">
        <v>0</v>
      </c>
      <c r="AW860">
        <v>0</v>
      </c>
      <c r="AX860" s="141">
        <f>COUNTIF(V860:AW860,"&lt;&gt;0")</f>
        <v>1</v>
      </c>
      <c r="AY860" s="141">
        <f>COUNTIF(V860:AL860,"&lt;&gt;0")</f>
        <v>1</v>
      </c>
      <c r="AZ860">
        <f>COUNTIF(V860:AC860,"&lt;&gt;0")</f>
        <v>0</v>
      </c>
      <c r="BA860">
        <f>COUNTIF(AD860:AI860,"&lt;&gt;0")</f>
        <v>0</v>
      </c>
      <c r="BB860">
        <f>COUNTIF(AJ860:AL860,"&lt;&gt;0")</f>
        <v>1</v>
      </c>
      <c r="BC860">
        <f>COUNTIF(AS860:AW860,"&lt;&gt;0")</f>
        <v>0</v>
      </c>
      <c r="BD860">
        <f>COUNTIF(AM860:AR860,"&lt;&gt;0")</f>
        <v>0</v>
      </c>
      <c r="BE860" t="str" cm="1">
        <f t="array" ref="BE860">IF(AY860=1,INDEX($V$7:$AL$7,MATCH(TRUE,INDEX($V860:$AW860&lt;&gt;0,),0)),IF(AY860=0,INDEX($AM$7:$AW$7,MATCH(1,$AM860:$AW860,0)),IF(BF860="Multiple strategies","mixed drivers",IF(BF860="Supply chain","multiple supply","multiple silviculture"))))</f>
        <v>technologies/design switch</v>
      </c>
      <c r="BF860" s="2" t="str" cm="1">
        <f t="array" ref="BF860">IF(COUNTIF(AZ860:BB860,"&lt;&gt;0")=1,INDEX($V$4:$AW$4,MATCH(TRUE,INDEX($V860:$AW860&lt;&gt;0,),0)),IF(COUNTIF(AZ860:BB860,"&lt;&gt;0")=0,INDEX($AM$4:$AW$4,MATCH(1,$AM860:$AW860,0)),"Multiple strategies"))</f>
        <v>Technology</v>
      </c>
      <c r="BG860" s="142" t="s">
        <v>229</v>
      </c>
      <c r="BH860" t="s">
        <v>393</v>
      </c>
      <c r="BI860" s="264" t="s">
        <v>762</v>
      </c>
      <c r="BJ860" s="143" t="s">
        <v>763</v>
      </c>
      <c r="BK860">
        <v>87</v>
      </c>
      <c r="BL860" s="143">
        <v>428</v>
      </c>
      <c r="BM860" s="143"/>
      <c r="BN860">
        <f>BL860-BK860</f>
        <v>341</v>
      </c>
      <c r="BO860" s="143">
        <f>BN860*t_to_m3</f>
        <v>695.91836734693879</v>
      </c>
      <c r="BP860" s="264" t="s">
        <v>232</v>
      </c>
      <c r="BQ860" s="155" t="s">
        <v>764</v>
      </c>
      <c r="BR860" t="s">
        <v>442</v>
      </c>
      <c r="BS860" s="143">
        <v>-75.3</v>
      </c>
      <c r="BT860" s="151">
        <v>76.2</v>
      </c>
      <c r="BV860">
        <f>BT860-BS860</f>
        <v>151.5</v>
      </c>
      <c r="BX860">
        <f>BV860*C_to_CO2</f>
        <v>556.005</v>
      </c>
      <c r="BY860">
        <f>IFERROR(BX860/BO860,"")</f>
        <v>0.79895146627565983</v>
      </c>
      <c r="BZ860" s="143">
        <v>0</v>
      </c>
      <c r="CA860" s="143">
        <v>0</v>
      </c>
      <c r="CB860" s="143">
        <v>0</v>
      </c>
      <c r="CC860" s="143">
        <v>0</v>
      </c>
      <c r="CD860" s="143">
        <v>0</v>
      </c>
      <c r="CE860" s="143">
        <v>0</v>
      </c>
      <c r="CF860" s="143">
        <v>0</v>
      </c>
      <c r="CG860" s="143">
        <v>0</v>
      </c>
      <c r="CH860" s="143">
        <v>0</v>
      </c>
      <c r="CI860" s="143">
        <v>0</v>
      </c>
      <c r="CJ860" s="143">
        <v>0</v>
      </c>
      <c r="CK860" s="143">
        <v>0</v>
      </c>
      <c r="CL860" s="143">
        <v>0</v>
      </c>
      <c r="CM860">
        <v>0</v>
      </c>
      <c r="CN860" t="str">
        <f>IF($BL860&lt;$BK860,"refNeedCorrection","refOK")</f>
        <v>refOK</v>
      </c>
      <c r="CO860">
        <f>IF($CN860="refOK",$BK860,$BL860)</f>
        <v>87</v>
      </c>
      <c r="CP860">
        <f>IF($CN860="refOK",$BL860,$BK860)</f>
        <v>428</v>
      </c>
      <c r="CQ860">
        <f>IF($CN860="refOK",$BO860,-$BO860)</f>
        <v>695.91836734693879</v>
      </c>
      <c r="CR860">
        <f>IF($CN860="refOK",$BS860,$BT860)*IF($BP860="Emissions positive",-1,1)</f>
        <v>-75.3</v>
      </c>
      <c r="CS860">
        <f>IF($CN860="refOK",$BT860,$BS860)*IF($BP860="Emissions positive",-1,1)</f>
        <v>76.2</v>
      </c>
      <c r="CT860">
        <f>IF($CN860="refNeedCorrection",-BX860,BX860)*IF($BP860="Emissions positive",-1,1)</f>
        <v>556.005</v>
      </c>
      <c r="CU860">
        <f>IFERROR(CT860/CQ860,"")</f>
        <v>0.79895146627565983</v>
      </c>
      <c r="CV860" s="2">
        <f>IFERROR((CS860-CR860)/ABS(CR860),"")</f>
        <v>2.0119521912350598</v>
      </c>
      <c r="CW860" s="1" t="s">
        <v>263</v>
      </c>
      <c r="CX860" s="264" t="str">
        <f>IF(OR($CW860="prd",$CW860="std",$CW860="cit"),"loc",IF(OR($CW860="eur",$CW860="reg",$CW860="coy"),"reg",$CW860))</f>
        <v>loc</v>
      </c>
      <c r="CY860" t="s">
        <v>235</v>
      </c>
      <c r="DA860" s="143"/>
      <c r="DB860" s="143">
        <v>100</v>
      </c>
      <c r="DC860" t="str">
        <f>IF(DB860=0,"0",IF(AND(DB860&gt;=1,DB860&lt;=30),"1-30",IF(AND(DB860&gt;30,DB860&lt;=70),"31-70",IF(AND(DB860&gt;70,DB860&lt;=100),"71-100",IF(DB860&gt;100,"+100")))))</f>
        <v>71-100</v>
      </c>
      <c r="DD860">
        <v>0</v>
      </c>
      <c r="DE860">
        <v>0</v>
      </c>
      <c r="DF860">
        <v>0</v>
      </c>
      <c r="DG860">
        <v>1</v>
      </c>
      <c r="DI860">
        <f>SUM(DD860:DG860)</f>
        <v>1</v>
      </c>
      <c r="DJ860" t="str">
        <f>IF(DI860=1,INDEX($DD$7:$DG$7,MATCH(1,$DD860:$DG860,0)),"mixedProduct")</f>
        <v>TimberInput</v>
      </c>
      <c r="DK860">
        <f>IF(DD860=1,DK$7,0)</f>
        <v>0</v>
      </c>
      <c r="DL860">
        <f>IF(DE860=1,DL$7,0)</f>
        <v>0</v>
      </c>
      <c r="DM860">
        <f>IF(DF860=1,DM$7,0)</f>
        <v>0</v>
      </c>
      <c r="DN860" t="str">
        <f>IF(DG860=1,DN$7,0)</f>
        <v>Timber</v>
      </c>
      <c r="DO860">
        <v>1</v>
      </c>
      <c r="DP860" s="143">
        <v>0</v>
      </c>
      <c r="DQ860" s="143">
        <v>0</v>
      </c>
      <c r="DR860">
        <v>0</v>
      </c>
      <c r="DS860" s="143">
        <v>0</v>
      </c>
      <c r="DT860">
        <f>SUM(DO860:DP860)</f>
        <v>1</v>
      </c>
      <c r="DU860" s="143" t="str">
        <f>IF(DO860=1,"self-calculated DF",IF(DP860=1,"external DF used","explicit C balance"))</f>
        <v>self-calculated DF</v>
      </c>
      <c r="DV860" s="143">
        <v>0</v>
      </c>
      <c r="DW860" s="143">
        <v>0</v>
      </c>
      <c r="DX860" s="143">
        <v>1</v>
      </c>
      <c r="DY860" s="143">
        <v>1</v>
      </c>
      <c r="DZ860">
        <v>0</v>
      </c>
      <c r="EA860" s="143">
        <v>1</v>
      </c>
      <c r="EB860" s="143">
        <v>1</v>
      </c>
      <c r="EC860" s="143">
        <v>1</v>
      </c>
      <c r="ED860" s="143">
        <v>0</v>
      </c>
      <c r="EE860">
        <v>0</v>
      </c>
      <c r="EF860">
        <v>1</v>
      </c>
      <c r="EG860" s="143">
        <v>0</v>
      </c>
      <c r="EH860" s="143">
        <v>0</v>
      </c>
      <c r="EI860" s="2">
        <v>0</v>
      </c>
      <c r="EK860" t="str">
        <f>IF(AND(AND(AND(OR($DX860=1,$DW860=1),OR($EC860=1,$EA860=1)),SUM($DV860:$DZ860,$EF860)&gt;=4),SUM($EA860:$EE860)&gt;=2),"Whole sector","")</f>
        <v/>
      </c>
      <c r="EL860" t="str">
        <f>IF(AND(AND(OR($DX860=1,$DW860=1),AND($EC860=0,$EA860=0)),SUM($DV860:$DZ860,$EF860)&gt;=4),"Ecosystem approach","")</f>
        <v/>
      </c>
      <c r="EM860" s="2" t="str">
        <f>IF(AND(AND(AND($DX860=0,$DW860=0),OR($EC860=1,$EA860=1)),SUM($EB860:$EE860)&gt;=2),"Technology approach","")</f>
        <v/>
      </c>
      <c r="EN860" t="s">
        <v>769</v>
      </c>
      <c r="EP860" t="str">
        <f>IF(ISNUMBER(BU860),IF(ABS(BU860-[3]QC_indicators!$B$2)&gt;3*[3]QC_indicators!$C$2,"C ratio",IF(ISNUMBER(BY860),IF(ABS(BY860-[3]QC_indicators!$B$1)&gt;3*[3]QC_indicators!$C$1,"DF","no"))),IF(ISNUMBER(BY860),IF(ABS(BY860-[3]QC_indicators!$B$1)&gt;3*[3]QC_indicators!$C$1,"DF","no")))</f>
        <v>no</v>
      </c>
      <c r="EQ860" t="s">
        <v>286</v>
      </c>
      <c r="ER860" s="264" t="s">
        <v>770</v>
      </c>
      <c r="ES860" t="s">
        <v>771</v>
      </c>
      <c r="ET860" s="264" t="s">
        <v>3407</v>
      </c>
    </row>
    <row r="861" spans="1:150" ht="15" customHeight="1">
      <c r="D861" t="s">
        <v>963</v>
      </c>
      <c r="E861" t="s">
        <v>1007</v>
      </c>
      <c r="G861" t="s">
        <v>1008</v>
      </c>
      <c r="I861">
        <v>2004</v>
      </c>
      <c r="K861" t="s">
        <v>1009</v>
      </c>
      <c r="M861" t="str">
        <f>LEFT($D861,FIND(",",$D861)-1)&amp;"_"&amp;I861&amp;L861</f>
        <v>Petersen_2004</v>
      </c>
      <c r="N861" t="s">
        <v>222</v>
      </c>
      <c r="O861" s="171" t="s">
        <v>513</v>
      </c>
      <c r="P861" s="141" t="s">
        <v>225</v>
      </c>
      <c r="Q861" t="s">
        <v>389</v>
      </c>
      <c r="R861" s="262" t="s">
        <v>223</v>
      </c>
      <c r="S861" s="1" t="s">
        <v>983</v>
      </c>
      <c r="T861" t="s">
        <v>1021</v>
      </c>
      <c r="U861" t="s">
        <v>1020</v>
      </c>
      <c r="V861">
        <v>0</v>
      </c>
      <c r="W861">
        <v>0</v>
      </c>
      <c r="X861">
        <v>0</v>
      </c>
      <c r="Y861">
        <v>0</v>
      </c>
      <c r="Z861">
        <v>0</v>
      </c>
      <c r="AA861">
        <v>0</v>
      </c>
      <c r="AB861">
        <v>0</v>
      </c>
      <c r="AC861">
        <v>0</v>
      </c>
      <c r="AD861">
        <v>0</v>
      </c>
      <c r="AE861">
        <v>0</v>
      </c>
      <c r="AF861">
        <v>0</v>
      </c>
      <c r="AG861">
        <v>0</v>
      </c>
      <c r="AH861">
        <v>0</v>
      </c>
      <c r="AI861">
        <v>0</v>
      </c>
      <c r="AJ861">
        <v>0</v>
      </c>
      <c r="AK861">
        <v>1</v>
      </c>
      <c r="AL861">
        <v>0</v>
      </c>
      <c r="AM861">
        <v>0</v>
      </c>
      <c r="AN861">
        <v>0</v>
      </c>
      <c r="AO861">
        <v>0</v>
      </c>
      <c r="AP861">
        <v>0</v>
      </c>
      <c r="AQ861">
        <v>0</v>
      </c>
      <c r="AR861">
        <v>0</v>
      </c>
      <c r="AS861">
        <v>0</v>
      </c>
      <c r="AT861">
        <v>0</v>
      </c>
      <c r="AU861">
        <v>0</v>
      </c>
      <c r="AV861">
        <v>0</v>
      </c>
      <c r="AW861">
        <v>0</v>
      </c>
      <c r="AX861" s="141">
        <f>COUNTIF(V861:AW861,"&lt;&gt;0")</f>
        <v>1</v>
      </c>
      <c r="AY861" s="141">
        <f>COUNTIF(V861:AL861,"&lt;&gt;0")</f>
        <v>1</v>
      </c>
      <c r="AZ861">
        <f>COUNTIF(V861:AC861,"&lt;&gt;0")</f>
        <v>0</v>
      </c>
      <c r="BA861">
        <f>COUNTIF(AD861:AI861,"&lt;&gt;0")</f>
        <v>0</v>
      </c>
      <c r="BB861">
        <f>COUNTIF(AJ861:AL861,"&lt;&gt;0")</f>
        <v>1</v>
      </c>
      <c r="BC861">
        <f>COUNTIF(AS861:AW861,"&lt;&gt;0")</f>
        <v>0</v>
      </c>
      <c r="BD861">
        <f>COUNTIF(AM861:AR861,"&lt;&gt;0")</f>
        <v>0</v>
      </c>
      <c r="BE861" t="str">
        <f t="array" ref="BE861">IF(AY861=1,INDEX($V$7:$AL$7,MATCH(TRUE,INDEX($V861:$AW861&lt;&gt;0,),0)),IF(AY861=0,INDEX($AM$7:$AW$7,MATCH(1,$AM861:$AW861,0)),IF(BF861="Multiple strategies","mixed drivers",IF(BF861="Supply chain","multiple supply","multiple silviculture"))))</f>
        <v>technologies/design switch</v>
      </c>
      <c r="BF861" s="2" t="str" cm="1">
        <f t="array" ref="BF861">IF(COUNTIF(AZ861:BB861,"&lt;&gt;0")=1,INDEX($V$4:$AW$4,MATCH(TRUE,INDEX($V861:$AW861&lt;&gt;0,),0)),IF(COUNTIF(AZ861:BB861,"&lt;&gt;0")=0,INDEX($AM$4:$AW$4,MATCH(1,$AM861:$AW861,0)),"Multiple strategies"))</f>
        <v>Technology</v>
      </c>
      <c r="BG861" s="142" t="s">
        <v>229</v>
      </c>
      <c r="BH861" t="s">
        <v>970</v>
      </c>
      <c r="BI861" t="s">
        <v>1012</v>
      </c>
      <c r="BJ861" t="s">
        <v>498</v>
      </c>
      <c r="BK861">
        <v>0</v>
      </c>
      <c r="BL861" s="143">
        <v>1</v>
      </c>
      <c r="BM861" t="str">
        <f>IFERROR(BL861/BK861,"")</f>
        <v/>
      </c>
      <c r="BN861">
        <f>BL861-BK861</f>
        <v>1</v>
      </c>
      <c r="BO861" s="159">
        <v>1</v>
      </c>
      <c r="BP861" t="s">
        <v>232</v>
      </c>
      <c r="BQ861" t="s">
        <v>1013</v>
      </c>
      <c r="BR861" t="s">
        <v>973</v>
      </c>
      <c r="BU861" s="144"/>
      <c r="BV861">
        <v>0.8</v>
      </c>
      <c r="BX861">
        <f>BV861</f>
        <v>0.8</v>
      </c>
      <c r="BY861">
        <f>IFERROR(BX861/BO861,"")</f>
        <v>0.8</v>
      </c>
      <c r="BZ861">
        <v>0</v>
      </c>
      <c r="CA861">
        <v>0</v>
      </c>
      <c r="CB861">
        <v>0</v>
      </c>
      <c r="CC861">
        <v>0</v>
      </c>
      <c r="CD861">
        <v>0</v>
      </c>
      <c r="CE861">
        <v>0</v>
      </c>
      <c r="CF861">
        <v>0</v>
      </c>
      <c r="CG861">
        <v>0</v>
      </c>
      <c r="CH861">
        <v>0</v>
      </c>
      <c r="CI861">
        <v>0</v>
      </c>
      <c r="CJ861">
        <v>0</v>
      </c>
      <c r="CK861">
        <v>0</v>
      </c>
      <c r="CL861">
        <v>0</v>
      </c>
      <c r="CM861">
        <v>0</v>
      </c>
      <c r="CN861" t="str">
        <f>IF($BL861&lt;$BK861,"refNeedCorrection","refOK")</f>
        <v>refOK</v>
      </c>
      <c r="CO861">
        <f>IF($CN861="refOK",$BK861,$BL861)</f>
        <v>0</v>
      </c>
      <c r="CP861">
        <f>IF($CN861="refOK",$BL861,$BK861)</f>
        <v>1</v>
      </c>
      <c r="CQ861">
        <f>IF($CN861="refOK",$BO861,-$BO861)</f>
        <v>1</v>
      </c>
      <c r="CR861">
        <f>IF($CN861="refOK",$BS861,$BT861)*IF($BP861="Emissions positive",-1,1)</f>
        <v>0</v>
      </c>
      <c r="CS861">
        <f>IF($CN861="refOK",$BT861,$BS861)*IF($BP861="Emissions positive",-1,1)</f>
        <v>0</v>
      </c>
      <c r="CT861">
        <f>IF($CN861="refNeedCorrection",-BX861,BX861)*IF($BP861="Emissions positive",-1,1)</f>
        <v>0.8</v>
      </c>
      <c r="CU861">
        <f>IFERROR(CT861/CQ861,"")</f>
        <v>0.8</v>
      </c>
      <c r="CV861" s="2" t="str">
        <f>IFERROR((CS861-CR861)/ABS(CR861),"")</f>
        <v/>
      </c>
      <c r="CW861" s="1" t="s">
        <v>263</v>
      </c>
      <c r="CX861" t="str">
        <f>IF(OR($CW861="prd",$CW861="std",$CW861="cit"),"loc",IF(OR($CW861="eur",$CW861="reg",$CW861="coy"),"reg",$CW861))</f>
        <v>loc</v>
      </c>
      <c r="CY861" t="s">
        <v>264</v>
      </c>
      <c r="DA861" s="143"/>
      <c r="DB861" s="143">
        <v>45</v>
      </c>
      <c r="DC861" t="str">
        <f>IF(DB861=0,"0",IF(AND(DB861&gt;=1,DB861&lt;=30),"1-30",IF(AND(DB861&gt;30,DB861&lt;=70),"31-70",IF(AND(DB861&gt;70,DB861&lt;=100),"71-100",IF(DB861&gt;100,"+100")))))</f>
        <v>31-70</v>
      </c>
      <c r="DD861">
        <v>0</v>
      </c>
      <c r="DE861">
        <v>0</v>
      </c>
      <c r="DF861">
        <v>0</v>
      </c>
      <c r="DG861">
        <v>1</v>
      </c>
      <c r="DH861">
        <v>0</v>
      </c>
      <c r="DI861">
        <f>SUM(DD861:DG861)</f>
        <v>1</v>
      </c>
      <c r="DJ861" t="str">
        <f>IF(DI861=1,INDEX($DD$7:$DG$7,MATCH(1,$DD861:$DG861,0)),"mixedProduct")</f>
        <v>TimberInput</v>
      </c>
      <c r="DK861">
        <f>IF(DD861=1,DK$7,0)</f>
        <v>0</v>
      </c>
      <c r="DL861">
        <f>IF(DE861=1,DL$7,0)</f>
        <v>0</v>
      </c>
      <c r="DM861">
        <f>IF(DF861=1,DM$7,0)</f>
        <v>0</v>
      </c>
      <c r="DN861" t="str">
        <f>IF(DG861=1,DN$7,0)</f>
        <v>Timber</v>
      </c>
      <c r="DO861">
        <v>1</v>
      </c>
      <c r="DP861">
        <v>0</v>
      </c>
      <c r="DQ861">
        <v>0</v>
      </c>
      <c r="DR861">
        <v>0</v>
      </c>
      <c r="DS861">
        <v>0</v>
      </c>
      <c r="DT861">
        <f>SUM(DO861:DP861)</f>
        <v>1</v>
      </c>
      <c r="DU861" s="143" t="str">
        <f>IF(DO861=1,"self-calculated DF",IF(DP861=1,"external DF used","explicit C balance"))</f>
        <v>self-calculated DF</v>
      </c>
      <c r="DV861" s="143">
        <v>0</v>
      </c>
      <c r="DW861" s="143">
        <v>0</v>
      </c>
      <c r="DX861" s="143">
        <v>0</v>
      </c>
      <c r="DY861" s="143">
        <v>0</v>
      </c>
      <c r="DZ861">
        <v>0</v>
      </c>
      <c r="EA861" s="143">
        <v>1</v>
      </c>
      <c r="EB861" s="143">
        <v>0</v>
      </c>
      <c r="EC861" s="143">
        <v>1</v>
      </c>
      <c r="ED861" s="143">
        <v>0</v>
      </c>
      <c r="EE861">
        <v>0</v>
      </c>
      <c r="EF861">
        <v>0</v>
      </c>
      <c r="EG861" s="143">
        <v>0</v>
      </c>
      <c r="EH861" s="143">
        <v>0</v>
      </c>
      <c r="EI861" s="2">
        <v>0</v>
      </c>
      <c r="EK861" t="str">
        <f>IF(AND(AND(AND(OR($DX861=1,$DW861=1),OR($EC861=1,$EA861=1)),SUM($DV861:$DZ861,$EF861)&gt;=4),SUM($EA861:$EE861)&gt;=2),"Whole sector","")</f>
        <v/>
      </c>
      <c r="EL861" t="str">
        <f>IF(AND(AND(OR($DX861=1,$DW861=1),AND($EC861=0,$EA861=0)),SUM($DV861:$DZ861,$EF861)&gt;=4),"Ecosystem approach","")</f>
        <v/>
      </c>
      <c r="EM861" s="2" t="str">
        <f>IF(AND(AND(AND($DX861=0,$DW861=0),OR($EC861=1,$EA861=1)),SUM($EB861:$EE861)&gt;=2),"Technology approach","")</f>
        <v/>
      </c>
      <c r="EP861" t="str">
        <f>IF(ISNUMBER(BU861),IF(ABS(BU861-[1]QC_indicators!$B$2)&gt;3*[1]QC_indicators!$C$2,"C ratio",IF(ISNUMBER(BY861),IF(ABS(BY861-[1]QC_indicators!$B$1)&gt;3*[1]QC_indicators!$C$1,"DF","no"))),IF(ISNUMBER(BY861),IF(ABS(BY861-[1]QC_indicators!$B$1)&gt;3*[1]QC_indicators!$C$1,"DF","no")))</f>
        <v>no</v>
      </c>
      <c r="ER861" t="s">
        <v>995</v>
      </c>
      <c r="ET861" s="264" t="s">
        <v>3212</v>
      </c>
    </row>
    <row r="862" spans="1:150" ht="15" customHeight="1">
      <c r="D862" t="s">
        <v>757</v>
      </c>
      <c r="E862" t="s">
        <v>758</v>
      </c>
      <c r="G862" t="s">
        <v>759</v>
      </c>
      <c r="I862">
        <v>2006</v>
      </c>
      <c r="K862" s="296" t="s">
        <v>760</v>
      </c>
      <c r="M862" t="str">
        <f>LEFT($D862,FIND(",",$D862)-1)&amp;"_"&amp;I862&amp;L862</f>
        <v>Gustavsson_2006</v>
      </c>
      <c r="N862" t="s">
        <v>222</v>
      </c>
      <c r="O862" t="s">
        <v>223</v>
      </c>
      <c r="Q862" s="264" t="s">
        <v>256</v>
      </c>
      <c r="R862" s="269" t="s">
        <v>1154</v>
      </c>
      <c r="S862" s="263" t="s">
        <v>765</v>
      </c>
      <c r="T862" t="s">
        <v>753</v>
      </c>
      <c r="U862" s="143" t="s">
        <v>754</v>
      </c>
      <c r="V862">
        <v>0</v>
      </c>
      <c r="W862">
        <v>0</v>
      </c>
      <c r="X862">
        <v>0</v>
      </c>
      <c r="Y862">
        <v>0</v>
      </c>
      <c r="Z862">
        <v>0</v>
      </c>
      <c r="AA862">
        <v>0</v>
      </c>
      <c r="AB862">
        <v>0</v>
      </c>
      <c r="AC862">
        <v>0</v>
      </c>
      <c r="AD862">
        <v>0</v>
      </c>
      <c r="AE862">
        <v>0</v>
      </c>
      <c r="AF862">
        <v>0</v>
      </c>
      <c r="AG862">
        <v>0</v>
      </c>
      <c r="AH862">
        <v>0</v>
      </c>
      <c r="AI862">
        <v>0</v>
      </c>
      <c r="AJ862">
        <v>0</v>
      </c>
      <c r="AK862">
        <v>1</v>
      </c>
      <c r="AL862">
        <v>0</v>
      </c>
      <c r="AM862">
        <v>0</v>
      </c>
      <c r="AN862">
        <v>0</v>
      </c>
      <c r="AO862">
        <v>0</v>
      </c>
      <c r="AP862">
        <v>0</v>
      </c>
      <c r="AQ862">
        <v>0</v>
      </c>
      <c r="AR862">
        <v>0</v>
      </c>
      <c r="AS862">
        <v>0</v>
      </c>
      <c r="AT862">
        <v>0</v>
      </c>
      <c r="AU862">
        <v>0</v>
      </c>
      <c r="AV862">
        <v>0</v>
      </c>
      <c r="AW862">
        <v>0</v>
      </c>
      <c r="AX862" s="141">
        <f>COUNTIF(V862:AW862,"&lt;&gt;0")</f>
        <v>1</v>
      </c>
      <c r="AY862" s="141">
        <f>COUNTIF(V862:AL862,"&lt;&gt;0")</f>
        <v>1</v>
      </c>
      <c r="AZ862">
        <f>COUNTIF(V862:AC862,"&lt;&gt;0")</f>
        <v>0</v>
      </c>
      <c r="BA862">
        <f>COUNTIF(AD862:AI862,"&lt;&gt;0")</f>
        <v>0</v>
      </c>
      <c r="BB862">
        <f>COUNTIF(AJ862:AL862,"&lt;&gt;0")</f>
        <v>1</v>
      </c>
      <c r="BC862">
        <f>COUNTIF(AS862:AW862,"&lt;&gt;0")</f>
        <v>0</v>
      </c>
      <c r="BD862">
        <f>COUNTIF(AM862:AR862,"&lt;&gt;0")</f>
        <v>0</v>
      </c>
      <c r="BE862" t="str" cm="1">
        <f t="array" ref="BE862">IF(AY862=1,INDEX($V$7:$AL$7,MATCH(TRUE,INDEX($V862:$AW862&lt;&gt;0,),0)),IF(AY862=0,INDEX($AM$7:$AW$7,MATCH(1,$AM862:$AW862,0)),IF(BF862="Multiple strategies","mixed drivers",IF(BF862="Supply chain","multiple supply","multiple silviculture"))))</f>
        <v>technologies/design switch</v>
      </c>
      <c r="BF862" s="2" t="str" cm="1">
        <f t="array" ref="BF862">IF(COUNTIF(AZ862:BB862,"&lt;&gt;0")=1,INDEX($V$4:$AW$4,MATCH(TRUE,INDEX($V862:$AW862&lt;&gt;0,),0)),IF(COUNTIF(AZ862:BB862,"&lt;&gt;0")=0,INDEX($AM$4:$AW$4,MATCH(1,$AM862:$AW862,0)),"Multiple strategies"))</f>
        <v>Technology</v>
      </c>
      <c r="BG862" s="142" t="s">
        <v>229</v>
      </c>
      <c r="BH862" t="s">
        <v>393</v>
      </c>
      <c r="BI862" s="264" t="s">
        <v>762</v>
      </c>
      <c r="BJ862" s="143" t="s">
        <v>763</v>
      </c>
      <c r="BK862">
        <v>32</v>
      </c>
      <c r="BL862" s="143">
        <v>145</v>
      </c>
      <c r="BM862" s="143"/>
      <c r="BN862">
        <f>BL862-BK862</f>
        <v>113</v>
      </c>
      <c r="BO862" s="143">
        <f>BN862*t_to_m3</f>
        <v>230.61224489795919</v>
      </c>
      <c r="BP862" s="264" t="s">
        <v>232</v>
      </c>
      <c r="BQ862" s="155" t="s">
        <v>764</v>
      </c>
      <c r="BR862" t="s">
        <v>442</v>
      </c>
      <c r="BS862" s="143">
        <f>-119.4+14.5</f>
        <v>-104.9</v>
      </c>
      <c r="BT862" s="151">
        <f>-136.7+82.5</f>
        <v>-54.199999999999989</v>
      </c>
      <c r="BV862">
        <f>BT862-BS862</f>
        <v>50.700000000000017</v>
      </c>
      <c r="BX862">
        <f>BV862*C_to_CO2</f>
        <v>186.06900000000005</v>
      </c>
      <c r="BY862">
        <f>IFERROR(BX862/BO862,"")</f>
        <v>0.80684787610619491</v>
      </c>
      <c r="BZ862" s="143">
        <v>0</v>
      </c>
      <c r="CA862" s="143">
        <v>0</v>
      </c>
      <c r="CB862" s="143">
        <v>0</v>
      </c>
      <c r="CC862" s="143">
        <v>0</v>
      </c>
      <c r="CD862" s="143">
        <v>0</v>
      </c>
      <c r="CE862" s="143">
        <v>0</v>
      </c>
      <c r="CF862" s="143">
        <v>0</v>
      </c>
      <c r="CG862" s="143">
        <v>0</v>
      </c>
      <c r="CH862" s="143">
        <v>0</v>
      </c>
      <c r="CI862" s="143">
        <v>0</v>
      </c>
      <c r="CJ862" s="143">
        <v>0</v>
      </c>
      <c r="CK862" s="143">
        <v>0</v>
      </c>
      <c r="CL862" s="143">
        <v>0</v>
      </c>
      <c r="CM862">
        <v>0</v>
      </c>
      <c r="CN862" t="str">
        <f>IF($BL862&lt;$BK862,"refNeedCorrection","refOK")</f>
        <v>refOK</v>
      </c>
      <c r="CO862">
        <f>IF($CN862="refOK",$BK862,$BL862)</f>
        <v>32</v>
      </c>
      <c r="CP862">
        <f>IF($CN862="refOK",$BL862,$BK862)</f>
        <v>145</v>
      </c>
      <c r="CQ862">
        <f>IF($CN862="refOK",$BO862,-$BO862)</f>
        <v>230.61224489795919</v>
      </c>
      <c r="CR862">
        <f>IF($CN862="refOK",$BS862,$BT862)*IF($BP862="Emissions positive",-1,1)</f>
        <v>-104.9</v>
      </c>
      <c r="CS862">
        <f>IF($CN862="refOK",$BT862,$BS862)*IF($BP862="Emissions positive",-1,1)</f>
        <v>-54.199999999999989</v>
      </c>
      <c r="CT862">
        <f>IF($CN862="refNeedCorrection",-BX862,BX862)*IF($BP862="Emissions positive",-1,1)</f>
        <v>186.06900000000005</v>
      </c>
      <c r="CU862">
        <f>IFERROR(CT862/CQ862,"")</f>
        <v>0.80684787610619491</v>
      </c>
      <c r="CV862" s="2">
        <f>IFERROR((CS862-CR862)/ABS(CR862),"")</f>
        <v>0.48331744518589148</v>
      </c>
      <c r="CW862" s="1" t="s">
        <v>263</v>
      </c>
      <c r="CX862" s="264" t="str">
        <f>IF(OR($CW862="prd",$CW862="std",$CW862="cit"),"loc",IF(OR($CW862="eur",$CW862="reg",$CW862="coy"),"reg",$CW862))</f>
        <v>loc</v>
      </c>
      <c r="CY862" t="s">
        <v>235</v>
      </c>
      <c r="DA862" s="143"/>
      <c r="DB862" s="143">
        <v>0</v>
      </c>
      <c r="DC862" t="str">
        <f>IF(DB862=0,"0",IF(AND(DB862&gt;=1,DB862&lt;=30),"1-30",IF(AND(DB862&gt;30,DB862&lt;=70),"31-70",IF(AND(DB862&gt;70,DB862&lt;=100),"71-100",IF(DB862&gt;100,"+100")))))</f>
        <v>0</v>
      </c>
      <c r="DD862">
        <v>0</v>
      </c>
      <c r="DE862">
        <v>0</v>
      </c>
      <c r="DF862">
        <v>0</v>
      </c>
      <c r="DG862">
        <v>1</v>
      </c>
      <c r="DI862">
        <f>SUM(DD862:DG862)</f>
        <v>1</v>
      </c>
      <c r="DJ862" t="str">
        <f>IF(DI862=1,INDEX($DD$7:$DG$7,MATCH(1,$DD862:$DG862,0)),"mixedProduct")</f>
        <v>TimberInput</v>
      </c>
      <c r="DK862">
        <f>IF(DD862=1,DK$7,0)</f>
        <v>0</v>
      </c>
      <c r="DL862">
        <f>IF(DE862=1,DL$7,0)</f>
        <v>0</v>
      </c>
      <c r="DM862">
        <f>IF(DF862=1,DM$7,0)</f>
        <v>0</v>
      </c>
      <c r="DN862" t="str">
        <f>IF(DG862=1,DN$7,0)</f>
        <v>Timber</v>
      </c>
      <c r="DO862">
        <v>1</v>
      </c>
      <c r="DP862" s="143">
        <v>0</v>
      </c>
      <c r="DQ862" s="143">
        <v>0</v>
      </c>
      <c r="DR862">
        <v>0</v>
      </c>
      <c r="DS862" s="143">
        <v>0</v>
      </c>
      <c r="DT862">
        <f>SUM(DO862:DP862)</f>
        <v>1</v>
      </c>
      <c r="DU862" s="143" t="str">
        <f>IF(DO862=1,"self-calculated DF",IF(DP862=1,"external DF used","explicit C balance"))</f>
        <v>self-calculated DF</v>
      </c>
      <c r="DV862" s="143">
        <v>0</v>
      </c>
      <c r="DW862" s="143">
        <v>0</v>
      </c>
      <c r="DX862" s="143">
        <v>1</v>
      </c>
      <c r="DY862" s="143">
        <v>1</v>
      </c>
      <c r="DZ862">
        <v>0</v>
      </c>
      <c r="EA862" s="143">
        <v>1</v>
      </c>
      <c r="EB862" s="143">
        <v>1</v>
      </c>
      <c r="EC862" s="143">
        <v>1</v>
      </c>
      <c r="ED862" s="143">
        <v>0</v>
      </c>
      <c r="EE862">
        <v>0</v>
      </c>
      <c r="EF862">
        <v>1</v>
      </c>
      <c r="EG862" s="143">
        <v>0</v>
      </c>
      <c r="EH862" s="143">
        <v>0</v>
      </c>
      <c r="EI862" s="2">
        <v>0</v>
      </c>
      <c r="EK862" t="str">
        <f>IF(AND(AND(AND(OR($DX862=1,$DW862=1),OR($EC862=1,$EA862=1)),SUM($DV862:$DZ862,$EF862)&gt;=4),SUM($EA862:$EE862)&gt;=2),"Whole sector","")</f>
        <v/>
      </c>
      <c r="EL862" t="str">
        <f>IF(AND(AND(OR($DX862=1,$DW862=1),AND($EC862=0,$EA862=0)),SUM($DV862:$DZ862,$EF862)&gt;=4),"Ecosystem approach","")</f>
        <v/>
      </c>
      <c r="EM862" s="2" t="str">
        <f>IF(AND(AND(AND($DX862=0,$DW862=0),OR($EC862=1,$EA862=1)),SUM($EB862:$EE862)&gt;=2),"Technology approach","")</f>
        <v/>
      </c>
      <c r="EP862" t="str">
        <f>IF(ISNUMBER(BU862),IF(ABS(BU862-[3]QC_indicators!$B$2)&gt;3*[3]QC_indicators!$C$2,"C ratio",IF(ISNUMBER(BY862),IF(ABS(BY862-[3]QC_indicators!$B$1)&gt;3*[3]QC_indicators!$C$1,"DF","no"))),IF(ISNUMBER(BY862),IF(ABS(BY862-[3]QC_indicators!$B$1)&gt;3*[3]QC_indicators!$C$1,"DF","no")))</f>
        <v>no</v>
      </c>
      <c r="ER862" s="294" t="s">
        <v>349</v>
      </c>
      <c r="ET862" s="264" t="s">
        <v>3407</v>
      </c>
    </row>
    <row r="863" spans="1:150" ht="15" customHeight="1">
      <c r="A863" s="1" t="s">
        <v>1360</v>
      </c>
      <c r="B863" t="s">
        <v>2135</v>
      </c>
      <c r="C863" t="s">
        <v>2136</v>
      </c>
      <c r="D863" t="s">
        <v>2137</v>
      </c>
      <c r="E863" t="s">
        <v>2138</v>
      </c>
      <c r="F863" t="s">
        <v>2139</v>
      </c>
      <c r="G863" t="s">
        <v>1366</v>
      </c>
      <c r="H863" t="s">
        <v>254</v>
      </c>
      <c r="I863">
        <v>2012</v>
      </c>
      <c r="J863">
        <v>21</v>
      </c>
      <c r="K863" t="s">
        <v>2140</v>
      </c>
      <c r="L863" s="192"/>
      <c r="M863" t="str">
        <f>LEFT($D863,FIND(",",$D863)-1)&amp;"_"&amp;I863&amp;L863</f>
        <v>Pyorala_2012</v>
      </c>
      <c r="N863" t="s">
        <v>222</v>
      </c>
      <c r="O863" s="145" t="s">
        <v>341</v>
      </c>
      <c r="P863" s="180" t="s">
        <v>223</v>
      </c>
      <c r="Q863" s="264" t="s">
        <v>256</v>
      </c>
      <c r="R863" s="269" t="s">
        <v>1154</v>
      </c>
      <c r="S863" s="263" t="s">
        <v>2165</v>
      </c>
      <c r="T863" s="264" t="s">
        <v>2157</v>
      </c>
      <c r="U863" s="264" t="s">
        <v>2158</v>
      </c>
      <c r="V863">
        <v>0</v>
      </c>
      <c r="W863">
        <v>0</v>
      </c>
      <c r="X863">
        <v>0</v>
      </c>
      <c r="Y863">
        <v>0</v>
      </c>
      <c r="Z863">
        <v>0</v>
      </c>
      <c r="AA863">
        <v>0</v>
      </c>
      <c r="AB863">
        <v>0</v>
      </c>
      <c r="AC863">
        <v>1</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s="141">
        <f>COUNTIF(V863:AW863,"&lt;&gt;0")</f>
        <v>1</v>
      </c>
      <c r="AY863" s="141">
        <f>COUNTIF(V863:AL863,"&lt;&gt;0")</f>
        <v>1</v>
      </c>
      <c r="AZ863">
        <f>COUNTIF(V863:AC863,"&lt;&gt;0")</f>
        <v>1</v>
      </c>
      <c r="BA863">
        <f>COUNTIF(AD863:AI863,"&lt;&gt;0")</f>
        <v>0</v>
      </c>
      <c r="BB863">
        <f>COUNTIF(AJ863:AL863,"&lt;&gt;0")</f>
        <v>0</v>
      </c>
      <c r="BC863">
        <f>COUNTIF(AS863:AW863,"&lt;&gt;0")</f>
        <v>0</v>
      </c>
      <c r="BD863">
        <f>COUNTIF(AM863:AR863,"&lt;&gt;0")</f>
        <v>0</v>
      </c>
      <c r="BE863" t="str" cm="1">
        <f t="array" ref="BE863">IF(AY863=1,INDEX($V$7:$AL$7,MATCH(TRUE,INDEX($V863:$AW863&lt;&gt;0,),0)),IF(AY863=0,INDEX($AM$7:$AW$7,MATCH(1,$AM863:$AW863,0)),IF(BF863="Multiple strategies","mixed drivers",IF(BF863="Supply chain","multiple supply","multiple silviculture"))))</f>
        <v>site fertility</v>
      </c>
      <c r="BF863" s="2" t="str" cm="1">
        <f t="array" ref="BF863">IF(COUNTIF(AZ863:BB863,"&lt;&gt;0")=1,INDEX($V$4:$AW$4,MATCH(TRUE,INDEX($V863:$AW863&lt;&gt;0,),0)),IF(COUNTIF(AZ863:BB863,"&lt;&gt;0")=0,INDEX($AM$4:$AW$4,MATCH(1,$AM863:$AW863,0)),"Multiple strategies"))</f>
        <v>Silviculture for productivity</v>
      </c>
      <c r="BG863" s="178" t="s">
        <v>321</v>
      </c>
      <c r="BH863" s="264" t="s">
        <v>2144</v>
      </c>
      <c r="BI863" s="264" t="s">
        <v>2159</v>
      </c>
      <c r="BJ863" s="160" t="s">
        <v>700</v>
      </c>
      <c r="BK863">
        <v>7.6</v>
      </c>
      <c r="BL863">
        <v>7.8</v>
      </c>
      <c r="BN863">
        <f>BL863-BK863</f>
        <v>0.20000000000000018</v>
      </c>
      <c r="BO863">
        <f>BN863</f>
        <v>0.20000000000000018</v>
      </c>
      <c r="BP863" s="155" t="s">
        <v>232</v>
      </c>
      <c r="BQ863" s="264" t="s">
        <v>786</v>
      </c>
      <c r="BR863" s="270" t="s">
        <v>2145</v>
      </c>
      <c r="BS863" s="264">
        <f>147.4/50</f>
        <v>2.948</v>
      </c>
      <c r="BT863" s="264">
        <f>155.5/50</f>
        <v>3.11</v>
      </c>
      <c r="BU863" s="144"/>
      <c r="BV863">
        <f>BT863-BS863</f>
        <v>0.16199999999999992</v>
      </c>
      <c r="BX863">
        <f>BV863</f>
        <v>0.16199999999999992</v>
      </c>
      <c r="BY863">
        <f>IFERROR(BX863/BO863,"")</f>
        <v>0.80999999999999894</v>
      </c>
      <c r="BZ863">
        <v>0</v>
      </c>
      <c r="CA863">
        <v>0</v>
      </c>
      <c r="CB863">
        <v>0</v>
      </c>
      <c r="CC863">
        <v>0</v>
      </c>
      <c r="CD863">
        <v>0</v>
      </c>
      <c r="CE863">
        <v>0</v>
      </c>
      <c r="CF863">
        <v>0</v>
      </c>
      <c r="CG863">
        <v>0</v>
      </c>
      <c r="CH863">
        <v>0</v>
      </c>
      <c r="CI863">
        <v>0</v>
      </c>
      <c r="CJ863">
        <v>0</v>
      </c>
      <c r="CK863">
        <v>0</v>
      </c>
      <c r="CL863">
        <v>0</v>
      </c>
      <c r="CM863">
        <v>0</v>
      </c>
      <c r="CN863" t="str">
        <f>IF($BL863&lt;$BK863,"refNeedCorrection","refOK")</f>
        <v>refOK</v>
      </c>
      <c r="CO863">
        <f>IF($CN863="refOK",$BK863,$BL863)</f>
        <v>7.6</v>
      </c>
      <c r="CP863">
        <f>IF($CN863="refOK",$BL863,$BK863)</f>
        <v>7.8</v>
      </c>
      <c r="CQ863">
        <f>IF($CN863="refOK",$BO863,-$BO863)</f>
        <v>0.20000000000000018</v>
      </c>
      <c r="CR863">
        <f>IF($CN863="refOK",$BS863,$BT863)*IF($BP863="Emissions positive",-1,1)</f>
        <v>2.948</v>
      </c>
      <c r="CS863">
        <f>IF($CN863="refOK",$BT863,$BS863)*IF($BP863="Emissions positive",-1,1)</f>
        <v>3.11</v>
      </c>
      <c r="CT863">
        <f>IF($CN863="refNeedCorrection",-BX863,BX863)*IF($BP863="Emissions positive",-1,1)</f>
        <v>0.16199999999999992</v>
      </c>
      <c r="CU863">
        <f>IFERROR(CT863/CQ863,"")</f>
        <v>0.80999999999999894</v>
      </c>
      <c r="CV863" s="2">
        <f>IFERROR((CS863-CR863)/ABS(CR863),"")</f>
        <v>5.4952510176390745E-2</v>
      </c>
      <c r="CW863" s="1" t="s">
        <v>1199</v>
      </c>
      <c r="CX863" s="264" t="str">
        <f>IF(OR($CW863="prd",$CW863="std",$CW863="cit"),"loc",IF(OR($CW863="eur",$CW863="reg",$CW863="coy"),"reg",$CW863))</f>
        <v>reg</v>
      </c>
      <c r="CY863" t="s">
        <v>235</v>
      </c>
      <c r="DB863">
        <v>50</v>
      </c>
      <c r="DC863" t="str">
        <f>IF(DB863=0,"0",IF(AND(DB863&gt;=1,DB863&lt;=30),"1-30",IF(AND(DB863&gt;30,DB863&lt;=70),"31-70",IF(AND(DB863&gt;70,DB863&lt;=100),"71-100",IF(DB863&gt;100,"+100")))))</f>
        <v>31-70</v>
      </c>
      <c r="DD863">
        <v>0</v>
      </c>
      <c r="DE863">
        <v>1</v>
      </c>
      <c r="DF863">
        <v>1</v>
      </c>
      <c r="DG863">
        <v>1</v>
      </c>
      <c r="DI863">
        <f>SUM(DD863:DG863)</f>
        <v>3</v>
      </c>
      <c r="DJ863" t="str">
        <f>IF(DI863=1,INDEX($DD$7:$DG$7,MATCH(1,$DD863:$DG863,0)),"mixedProduct")</f>
        <v>mixedProduct</v>
      </c>
      <c r="DK863">
        <f>IF(DD863=1,DK$7,0)</f>
        <v>0</v>
      </c>
      <c r="DL863" t="str">
        <f>IF(DE863=1,DL$7,0)</f>
        <v>Energy</v>
      </c>
      <c r="DM863" t="str">
        <f>IF(DF863=1,DM$7,0)</f>
        <v>Pulp/Paper</v>
      </c>
      <c r="DN863" t="str">
        <f>IF(DG863=1,DN$7,0)</f>
        <v>Timber</v>
      </c>
      <c r="DO863">
        <v>0</v>
      </c>
      <c r="DP863">
        <v>1</v>
      </c>
      <c r="DQ863" t="s">
        <v>2146</v>
      </c>
      <c r="DR863">
        <v>0</v>
      </c>
      <c r="DS863">
        <v>0</v>
      </c>
      <c r="DT863">
        <f>SUM(DO863:DP863)</f>
        <v>1</v>
      </c>
      <c r="DU863" s="143" t="str">
        <f>IF(DO863=1,"self-calculated DF",IF(DP863=1,"external DF used","explicit C balance"))</f>
        <v>external DF used</v>
      </c>
      <c r="DV863">
        <v>1</v>
      </c>
      <c r="DW863">
        <v>1</v>
      </c>
      <c r="DX863">
        <v>1</v>
      </c>
      <c r="DY863">
        <v>0</v>
      </c>
      <c r="DZ863">
        <v>0</v>
      </c>
      <c r="EA863" s="143">
        <v>0</v>
      </c>
      <c r="EB863">
        <v>0</v>
      </c>
      <c r="EC863">
        <v>0</v>
      </c>
      <c r="ED863">
        <v>0</v>
      </c>
      <c r="EE863">
        <v>0</v>
      </c>
      <c r="EF863">
        <v>1</v>
      </c>
      <c r="EG863">
        <v>0</v>
      </c>
      <c r="EH863">
        <v>0</v>
      </c>
      <c r="EI863" s="2">
        <v>0</v>
      </c>
      <c r="EK863" t="str">
        <f>IF(AND(AND(AND(OR($DX863=1,$DW863=1),OR($EC863=1,$EA863=1)),SUM($DV863:$DZ863,$EF863)&gt;=4),SUM($EA863:$EE863)&gt;=2),"Whole sector","")</f>
        <v/>
      </c>
      <c r="EL863" t="str">
        <f>IF(AND(AND(OR($DX863=1,$DW863=1),AND($EC863=0,$EA863=0)),SUM($DV863:$DZ863,$EF863)&gt;=4),"Ecosystem approach","")</f>
        <v>Ecosystem approach</v>
      </c>
      <c r="EM863" s="2" t="str">
        <f>IF(AND(AND(AND($DX863=0,$DW863=0),OR($EC863=1,$EA863=1)),SUM($EB863:$EE863)&gt;=2),"Technology approach","")</f>
        <v/>
      </c>
      <c r="EP863" t="str">
        <f>IF(ISNUMBER(BU863),IF(ABS(BU863-[3]QC_indicators!$B$2)&gt;3*[3]QC_indicators!$C$2,"C ratio",IF(ISNUMBER(BY863),IF(ABS(BY863-[3]QC_indicators!$B$1)&gt;3*[3]QC_indicators!$C$1,"DF","no"))),IF(ISNUMBER(BY863),IF(ABS(BY863-[3]QC_indicators!$B$1)&gt;3*[3]QC_indicators!$C$1,"DF","no")))</f>
        <v>no</v>
      </c>
      <c r="ET863" s="264" t="s">
        <v>3407</v>
      </c>
    </row>
    <row r="864" spans="1:150" ht="15" customHeight="1">
      <c r="A864" s="1" t="s">
        <v>398</v>
      </c>
      <c r="B864" t="s">
        <v>681</v>
      </c>
      <c r="C864" t="s">
        <v>682</v>
      </c>
      <c r="D864" t="s">
        <v>683</v>
      </c>
      <c r="E864" t="s">
        <v>684</v>
      </c>
      <c r="F864" t="s">
        <v>685</v>
      </c>
      <c r="G864" t="s">
        <v>404</v>
      </c>
      <c r="H864" t="s">
        <v>254</v>
      </c>
      <c r="I864">
        <v>2022</v>
      </c>
      <c r="J864">
        <v>1</v>
      </c>
      <c r="K864" t="s">
        <v>686</v>
      </c>
      <c r="M864" t="str">
        <f>LEFT($D864,FIND(",",$D864)-1)&amp;"_"&amp;I864&amp;L864</f>
        <v>Duan_2022</v>
      </c>
      <c r="N864" t="s">
        <v>222</v>
      </c>
      <c r="O864" s="145" t="s">
        <v>223</v>
      </c>
      <c r="Q864" t="s">
        <v>389</v>
      </c>
      <c r="R864" s="283" t="s">
        <v>225</v>
      </c>
      <c r="S864" s="1" t="s">
        <v>607</v>
      </c>
      <c r="T864" s="151" t="s">
        <v>810</v>
      </c>
      <c r="U864" t="s">
        <v>259</v>
      </c>
      <c r="V864">
        <v>0</v>
      </c>
      <c r="W864">
        <v>0</v>
      </c>
      <c r="X864">
        <v>0</v>
      </c>
      <c r="Y864">
        <v>0</v>
      </c>
      <c r="Z864">
        <v>0</v>
      </c>
      <c r="AA864">
        <v>0</v>
      </c>
      <c r="AB864">
        <v>0</v>
      </c>
      <c r="AC864">
        <v>0</v>
      </c>
      <c r="AD864">
        <v>0</v>
      </c>
      <c r="AE864">
        <v>0</v>
      </c>
      <c r="AF864">
        <v>0</v>
      </c>
      <c r="AG864">
        <v>0</v>
      </c>
      <c r="AH864">
        <v>0</v>
      </c>
      <c r="AI864">
        <v>0</v>
      </c>
      <c r="AJ864">
        <v>0</v>
      </c>
      <c r="AK864">
        <v>1</v>
      </c>
      <c r="AL864">
        <v>0</v>
      </c>
      <c r="AM864">
        <v>0</v>
      </c>
      <c r="AN864">
        <v>0</v>
      </c>
      <c r="AO864">
        <v>0</v>
      </c>
      <c r="AP864">
        <v>0</v>
      </c>
      <c r="AQ864">
        <v>0</v>
      </c>
      <c r="AR864">
        <v>0</v>
      </c>
      <c r="AS864">
        <v>0</v>
      </c>
      <c r="AT864">
        <v>0</v>
      </c>
      <c r="AU864">
        <v>0</v>
      </c>
      <c r="AV864">
        <v>0</v>
      </c>
      <c r="AW864">
        <v>0</v>
      </c>
      <c r="AX864" s="141">
        <f>COUNTIF(V864:AW864,"&lt;&gt;0")</f>
        <v>1</v>
      </c>
      <c r="AY864" s="141">
        <f>COUNTIF(V864:AL864,"&lt;&gt;0")</f>
        <v>1</v>
      </c>
      <c r="AZ864">
        <f>COUNTIF(V864:AC864,"&lt;&gt;0")</f>
        <v>0</v>
      </c>
      <c r="BA864">
        <f>COUNTIF(AD864:AI864,"&lt;&gt;0")</f>
        <v>0</v>
      </c>
      <c r="BB864">
        <f>COUNTIF(AJ864:AL864,"&lt;&gt;0")</f>
        <v>1</v>
      </c>
      <c r="BC864">
        <f>COUNTIF(AS864:AW864,"&lt;&gt;0")</f>
        <v>0</v>
      </c>
      <c r="BD864">
        <f>COUNTIF(AM864:AR864,"&lt;&gt;0")</f>
        <v>0</v>
      </c>
      <c r="BE864" t="str">
        <f t="array" ref="BE864">IF(AY864=1,INDEX($V$7:$AL$7,MATCH(TRUE,INDEX($V864:$AW864&lt;&gt;0,),0)),IF(AY864=0,INDEX($AM$7:$AW$7,MATCH(1,$AM864:$AW864,0)),IF(BF864="Multiple strategies","mixed drivers",IF(BF864="Supply chain","multiple supply","multiple silviculture"))))</f>
        <v>technologies/design switch</v>
      </c>
      <c r="BF864" s="2" t="str" cm="1">
        <f t="array" ref="BF864">IF(COUNTIF(AZ864:BB864,"&lt;&gt;0")=1,INDEX($V$4:$AW$4,MATCH(TRUE,INDEX($V864:$AW864&lt;&gt;0,),0)),IF(COUNTIF(AZ864:BB864,"&lt;&gt;0")=0,INDEX($AM$4:$AW$4,MATCH(1,$AM864:$AW864,0)),"Multiple strategies"))</f>
        <v>Technology</v>
      </c>
      <c r="BG864" s="1" t="s">
        <v>229</v>
      </c>
      <c r="BH864" t="s">
        <v>687</v>
      </c>
      <c r="BI864" s="141" t="s">
        <v>688</v>
      </c>
      <c r="BJ864" t="s">
        <v>651</v>
      </c>
      <c r="BK864">
        <f>25.35</f>
        <v>25.35</v>
      </c>
      <c r="BL864">
        <f>25.35+3.2+500.73</f>
        <v>529.28</v>
      </c>
      <c r="BN864">
        <f>BL864-BK864</f>
        <v>503.92999999999995</v>
      </c>
      <c r="BO864">
        <f>BN864*t_to_m3</f>
        <v>1028.4285714285713</v>
      </c>
      <c r="BP864" t="s">
        <v>395</v>
      </c>
      <c r="BQ864" t="s">
        <v>3075</v>
      </c>
      <c r="BR864" t="s">
        <v>262</v>
      </c>
      <c r="BS864">
        <f>769.2*2347</f>
        <v>1805312.4000000001</v>
      </c>
      <c r="BT864">
        <f>411.39*2347</f>
        <v>965532.33</v>
      </c>
      <c r="BU864" s="144">
        <f>IFERROR(BT864/BS864,"")</f>
        <v>0.53482839313572539</v>
      </c>
      <c r="BV864">
        <f>BT864-BS864</f>
        <v>-839780.07000000018</v>
      </c>
      <c r="BX864">
        <f>BV864/1000</f>
        <v>-839.78007000000014</v>
      </c>
      <c r="BY864">
        <f>IFERROR(BX864/BO864,"")</f>
        <v>-0.81656625781358538</v>
      </c>
      <c r="BZ864">
        <v>0</v>
      </c>
      <c r="CA864">
        <v>0</v>
      </c>
      <c r="CB864">
        <v>0</v>
      </c>
      <c r="CC864">
        <v>0</v>
      </c>
      <c r="CD864">
        <v>0</v>
      </c>
      <c r="CE864">
        <v>0</v>
      </c>
      <c r="CF864">
        <v>0</v>
      </c>
      <c r="CG864">
        <v>0</v>
      </c>
      <c r="CH864">
        <v>0</v>
      </c>
      <c r="CI864">
        <v>0</v>
      </c>
      <c r="CJ864">
        <v>0</v>
      </c>
      <c r="CK864">
        <v>0</v>
      </c>
      <c r="CL864">
        <v>0</v>
      </c>
      <c r="CM864">
        <v>0</v>
      </c>
      <c r="CN864" t="str">
        <f>IF($BL864&lt;$BK864,"refNeedCorrection","refOK")</f>
        <v>refOK</v>
      </c>
      <c r="CO864"/>
      <c r="CP864"/>
      <c r="CQ864">
        <f>IF($CN864="refOK",$BO864,-$BO864)</f>
        <v>1028.4285714285713</v>
      </c>
      <c r="CR864">
        <f>IF($CN864="refOK",$BS864,$BT864)*IF($BP864="Emissions positive",-1,1)</f>
        <v>-1805312.4000000001</v>
      </c>
      <c r="CS864">
        <f>IF($CN864="refOK",$BT864,$BS864)*IF($BP864="Emissions positive",-1,1)</f>
        <v>-965532.33</v>
      </c>
      <c r="CT864">
        <f>IF($CN864="refNeedCorrection",-BX864,BX864)*IF($BP864="Emissions positive",-1,1)</f>
        <v>839.78007000000014</v>
      </c>
      <c r="CU864">
        <f>IFERROR(CT864/CQ864,"")</f>
        <v>0.81656625781358538</v>
      </c>
      <c r="CV864" s="2">
        <f>IFERROR((CS864-CR864)/ABS(CR864),"")</f>
        <v>0.46517160686427461</v>
      </c>
      <c r="CW864" s="1" t="s">
        <v>263</v>
      </c>
      <c r="CX864" t="str">
        <f>IF(OR($CW864="prd",$CW864="std",$CW864="cit"),"loc",IF(OR($CW864="eur",$CW864="reg",$CW864="coy"),"reg",$CW864))</f>
        <v>loc</v>
      </c>
      <c r="CY864" t="s">
        <v>690</v>
      </c>
      <c r="DB864">
        <v>0</v>
      </c>
      <c r="DC864" t="str">
        <f>IF(DB864=0,"0",IF(AND(DB864&gt;=1,DB864&lt;=30),"1-30",IF(AND(DB864&gt;30,DB864&lt;=70),"31-70",IF(AND(DB864&gt;70,DB864&lt;=100),"71-100",IF(DB864&gt;100,"+100")))))</f>
        <v>0</v>
      </c>
      <c r="DD864">
        <v>0</v>
      </c>
      <c r="DE864">
        <v>0</v>
      </c>
      <c r="DF864">
        <v>0</v>
      </c>
      <c r="DG864">
        <v>1</v>
      </c>
      <c r="DH864">
        <v>0</v>
      </c>
      <c r="DI864">
        <f>SUM(DD864:DH864)</f>
        <v>1</v>
      </c>
      <c r="DJ864" t="str">
        <f>IF(DI864=1,INDEX($DD$7:$DG$7,MATCH(1,$DD864:$DG864,0)),"mixedProduct")</f>
        <v>TimberInput</v>
      </c>
      <c r="DK864">
        <f>IF(DD864=1,DK$7,0)</f>
        <v>0</v>
      </c>
      <c r="DL864">
        <f>IF(DE864=1,DL$7,0)</f>
        <v>0</v>
      </c>
      <c r="DM864">
        <f>IF(DF864=1,DM$7,0)</f>
        <v>0</v>
      </c>
      <c r="DN864" t="str">
        <f>IF(DG864=1,DN$7,0)</f>
        <v>Timber</v>
      </c>
      <c r="DO864">
        <v>0</v>
      </c>
      <c r="DP864">
        <v>0</v>
      </c>
      <c r="DQ864">
        <v>0</v>
      </c>
      <c r="DR864">
        <v>0</v>
      </c>
      <c r="DS864">
        <v>0</v>
      </c>
      <c r="DT864">
        <f>SUM(DO864:DP864)</f>
        <v>0</v>
      </c>
      <c r="DU864" t="str">
        <f>IF(DO864=1,"self-calculated DF",IF(DP864=1,"external DF used","explicit C balance"))</f>
        <v>explicit C balance</v>
      </c>
      <c r="DV864">
        <v>0</v>
      </c>
      <c r="DW864">
        <v>0</v>
      </c>
      <c r="DX864">
        <v>0</v>
      </c>
      <c r="DY864">
        <v>0</v>
      </c>
      <c r="DZ864">
        <v>0</v>
      </c>
      <c r="EA864" s="143">
        <v>0</v>
      </c>
      <c r="EB864">
        <v>1</v>
      </c>
      <c r="EC864">
        <v>1</v>
      </c>
      <c r="ED864">
        <v>0</v>
      </c>
      <c r="EE864">
        <v>0</v>
      </c>
      <c r="EF864">
        <v>0</v>
      </c>
      <c r="EG864">
        <v>0</v>
      </c>
      <c r="EH864">
        <v>0</v>
      </c>
      <c r="EI864" s="2">
        <v>0</v>
      </c>
      <c r="EK864" t="str">
        <f>IF(AND(AND(AND(OR($DX864=1,$DW864=1),OR($EC864=1,$EA864=1)),SUM($DV864:$DZ864,$EF864)&gt;=4),SUM($EA864:$EE864)&gt;=2),"Whole sector","")</f>
        <v/>
      </c>
      <c r="EL864" t="str">
        <f>IF(AND(AND(OR($DX864=1,$DW864=1),AND($EC864=0,$EA864=0)),SUM($DV864:$DZ864,$EF864)&gt;=4),"Ecosystem approach","")</f>
        <v/>
      </c>
      <c r="EM864" s="2" t="str">
        <f>IF(AND(AND(AND($DX864=0,$DW864=0),OR($EC864=1,$EA864=1)),SUM($EB864:$EE864)&gt;=2),"Technology approach","")</f>
        <v>Technology approach</v>
      </c>
      <c r="EP864" t="str">
        <f>IF(ISNUMBER(BU864),IF(ABS(BU864-[4]QC_indicators!$B$2)&gt;3*[4]QC_indicators!$C$2,"C ratio",IF(ISNUMBER(BY864),IF(ABS(BY864-[4]QC_indicators!$B$1)&gt;3*[4]QC_indicators!$C$1,"DF","no"))),IF(ISNUMBER(BY864),IF(ABS(BY864-[4]QC_indicators!$B$1)&gt;3*[4]QC_indicators!$C$1,"DF","no")))</f>
        <v>no</v>
      </c>
      <c r="ET864" t="s">
        <v>3273</v>
      </c>
    </row>
    <row r="865" spans="1:150" ht="15" customHeight="1">
      <c r="A865" s="1" t="s">
        <v>1972</v>
      </c>
      <c r="B865" t="s">
        <v>2316</v>
      </c>
      <c r="C865" t="s">
        <v>2317</v>
      </c>
      <c r="D865" t="s">
        <v>2318</v>
      </c>
      <c r="E865" t="s">
        <v>2319</v>
      </c>
      <c r="F865" t="s">
        <v>2320</v>
      </c>
      <c r="G865" t="s">
        <v>1978</v>
      </c>
      <c r="H865" t="s">
        <v>254</v>
      </c>
      <c r="I865">
        <v>2020</v>
      </c>
      <c r="J865">
        <v>7</v>
      </c>
      <c r="K865" t="s">
        <v>2321</v>
      </c>
      <c r="M865" t="str">
        <f>LEFT($D865,FIND(",",$D865)-1)&amp;"_"&amp;I865&amp;L865</f>
        <v>Smyth_2020</v>
      </c>
      <c r="N865" t="s">
        <v>222</v>
      </c>
      <c r="O865" s="145" t="s">
        <v>341</v>
      </c>
      <c r="Q865" t="s">
        <v>256</v>
      </c>
      <c r="R865" s="290" t="s">
        <v>225</v>
      </c>
      <c r="S865" s="1" t="s">
        <v>2346</v>
      </c>
      <c r="T865" t="s">
        <v>1155</v>
      </c>
      <c r="U865" t="s">
        <v>2347</v>
      </c>
      <c r="V865">
        <v>0</v>
      </c>
      <c r="W865">
        <v>0</v>
      </c>
      <c r="X865">
        <v>0</v>
      </c>
      <c r="Y865">
        <v>0</v>
      </c>
      <c r="Z865">
        <v>0</v>
      </c>
      <c r="AA865">
        <v>0</v>
      </c>
      <c r="AB865">
        <v>0</v>
      </c>
      <c r="AC865">
        <v>0</v>
      </c>
      <c r="AD865">
        <v>0</v>
      </c>
      <c r="AE865">
        <v>0</v>
      </c>
      <c r="AF865">
        <v>1</v>
      </c>
      <c r="AG865">
        <v>0</v>
      </c>
      <c r="AH865">
        <v>0</v>
      </c>
      <c r="AI865">
        <v>0</v>
      </c>
      <c r="AJ865">
        <v>0</v>
      </c>
      <c r="AK865">
        <v>0</v>
      </c>
      <c r="AL865">
        <v>0</v>
      </c>
      <c r="AM865">
        <v>0</v>
      </c>
      <c r="AN865">
        <v>0</v>
      </c>
      <c r="AO865">
        <v>0</v>
      </c>
      <c r="AP865">
        <v>0</v>
      </c>
      <c r="AQ865">
        <v>0</v>
      </c>
      <c r="AR865">
        <v>0</v>
      </c>
      <c r="AS865">
        <v>0</v>
      </c>
      <c r="AT865">
        <v>0</v>
      </c>
      <c r="AU865">
        <v>0</v>
      </c>
      <c r="AV865">
        <v>0</v>
      </c>
      <c r="AW865">
        <v>0</v>
      </c>
      <c r="AX865" s="141">
        <f>COUNTIF(V865:AW865,"&lt;&gt;0")</f>
        <v>1</v>
      </c>
      <c r="AY865" s="141">
        <f>COUNTIF(V865:AL865,"&lt;&gt;0")</f>
        <v>1</v>
      </c>
      <c r="AZ865">
        <f>COUNTIF(V865:AC865,"&lt;&gt;0")</f>
        <v>0</v>
      </c>
      <c r="BA865">
        <f>COUNTIF(AD865:AI865,"&lt;&gt;0")</f>
        <v>1</v>
      </c>
      <c r="BB865">
        <f>COUNTIF(AJ865:AL865,"&lt;&gt;0")</f>
        <v>0</v>
      </c>
      <c r="BC865">
        <f>COUNTIF(AS865:AW865,"&lt;&gt;0")</f>
        <v>0</v>
      </c>
      <c r="BD865">
        <f>COUNTIF(AM865:AR865,"&lt;&gt;0")</f>
        <v>0</v>
      </c>
      <c r="BE865" t="str">
        <f t="array" ref="BE865">IF(AY865=1,INDEX($V$7:$AL$7,MATCH(TRUE,INDEX($V865:$AW865&lt;&gt;0,),0)),IF(AY865=0,INDEX($AM$7:$AW$7,MATCH(1,$AM865:$AW865,0)),IF(BF865="Multiple strategies","mixed drivers",IF(BF865="Supply chain","multiple supply","multiple silviculture"))))</f>
        <v>supply chain organization</v>
      </c>
      <c r="BF865" s="2" t="str" cm="1">
        <f t="array" ref="BF865">IF(COUNTIF(AZ865:BB865,"&lt;&gt;0")=1,INDEX($V$4:$AW$4,MATCH(TRUE,INDEX($V865:$AW865&lt;&gt;0,),0)),IF(COUNTIF(AZ865:BB865,"&lt;&gt;0")=0,INDEX($AM$4:$AW$4,MATCH(1,$AM865:$AW865,0)),"Multiple strategies"))</f>
        <v>Supply chain</v>
      </c>
      <c r="BG865" s="1" t="s">
        <v>321</v>
      </c>
      <c r="BH865" t="s">
        <v>2324</v>
      </c>
      <c r="BI865" s="260" t="s">
        <v>3394</v>
      </c>
      <c r="BJ865" t="s">
        <v>1359</v>
      </c>
      <c r="BK865">
        <v>457</v>
      </c>
      <c r="BL865" s="291">
        <f>BK865+(4.2/tC_to_m3*55)</f>
        <v>510.19929999999999</v>
      </c>
      <c r="BM865">
        <f>BL865/BK865</f>
        <v>1.1164098468271335</v>
      </c>
      <c r="BN865">
        <f>BL865-BK865</f>
        <v>53.199299999999994</v>
      </c>
      <c r="BO865">
        <f>BN865*10^6*tC_to_m3</f>
        <v>230999999.99999997</v>
      </c>
      <c r="BP865" t="s">
        <v>232</v>
      </c>
      <c r="BQ865" s="260" t="s">
        <v>3392</v>
      </c>
      <c r="BR865" t="s">
        <v>2325</v>
      </c>
      <c r="BU865" s="144"/>
      <c r="BV865">
        <v>191</v>
      </c>
      <c r="BX865">
        <f>BV865*10^6</f>
        <v>191000000</v>
      </c>
      <c r="BY865">
        <f>IFERROR(BX865/BO865,"")</f>
        <v>0.82683982683982693</v>
      </c>
      <c r="BZ865">
        <v>0</v>
      </c>
      <c r="CA865">
        <v>1</v>
      </c>
      <c r="CB865">
        <v>1</v>
      </c>
      <c r="CC865">
        <v>1</v>
      </c>
      <c r="CD865">
        <v>0</v>
      </c>
      <c r="CE865">
        <v>0</v>
      </c>
      <c r="CF865">
        <v>0</v>
      </c>
      <c r="CG865">
        <v>0</v>
      </c>
      <c r="CH865">
        <v>0</v>
      </c>
      <c r="CI865">
        <v>0</v>
      </c>
      <c r="CJ865">
        <v>0</v>
      </c>
      <c r="CK865">
        <v>0</v>
      </c>
      <c r="CL865">
        <v>0</v>
      </c>
      <c r="CM865">
        <v>0</v>
      </c>
      <c r="CN865" t="str">
        <f>IF(BL865&lt;BK865,"refNeedCorrection","refOK")</f>
        <v>refOK</v>
      </c>
      <c r="CO865"/>
      <c r="CP865"/>
      <c r="CQ865">
        <f>IF($CN865="refOK",$BO865,-$BO865)</f>
        <v>230999999.99999997</v>
      </c>
      <c r="CR865">
        <f>IF($CN865="refOK",$BS865,$BT865)*IF($BP865="Emissions positive",-1,1)</f>
        <v>0</v>
      </c>
      <c r="CS865">
        <f>IF($CN865="refOK",$BT865,$BS865)*IF($BP865="Emissions positive",-1,1)</f>
        <v>0</v>
      </c>
      <c r="CT865">
        <f>IF($CN865="refNeedCorrection",-BX865,BX865)*IF($BP865="Emissions positive",-1,1)</f>
        <v>191000000</v>
      </c>
      <c r="CU865">
        <f>IFERROR(CT865/CQ865,"")</f>
        <v>0.82683982683982693</v>
      </c>
      <c r="CV865" s="2" t="str">
        <f>IFERROR((CS865-CR865)/ABS(CR865),"")</f>
        <v/>
      </c>
      <c r="CW865" s="1" t="s">
        <v>1199</v>
      </c>
      <c r="CX865" t="str">
        <f>IF(OR($CW865="prd",$CW865="std",$CW865="cit"),"loc",IF(OR($CW865="eur",$CW865="reg",$CW865="coy"),"reg",$CW865))</f>
        <v>reg</v>
      </c>
      <c r="CY865" t="s">
        <v>540</v>
      </c>
      <c r="CZ865">
        <v>2015</v>
      </c>
      <c r="DA865">
        <v>2070</v>
      </c>
      <c r="DB865">
        <v>45</v>
      </c>
      <c r="DC865" t="str">
        <f>IF(DB865=0,"0",IF(AND(DB865&gt;=1,DB865&lt;=30),"1-30",IF(AND(DB865&gt;30,DB865&lt;=70),"31-70",IF(AND(DB865&gt;70,DB865&lt;=100),"71-100",IF(DB865&gt;100,"+100")))))</f>
        <v>31-70</v>
      </c>
      <c r="DD865">
        <v>0</v>
      </c>
      <c r="DE865">
        <v>1</v>
      </c>
      <c r="DF865">
        <v>1</v>
      </c>
      <c r="DG865">
        <v>1</v>
      </c>
      <c r="DI865">
        <f>SUM(DD865:DG865)</f>
        <v>3</v>
      </c>
      <c r="DJ865" t="str">
        <f>IF(DI865=1,INDEX($DD$7:$DG$7,MATCH(1,$DD865:$DG865,0)),"mixedProduct")</f>
        <v>mixedProduct</v>
      </c>
      <c r="DK865">
        <f>IF(DD865=1,DK$7,0)</f>
        <v>0</v>
      </c>
      <c r="DL865" t="str">
        <f>IF(DE865=1,DL$7,0)</f>
        <v>Energy</v>
      </c>
      <c r="DM865" t="str">
        <f>IF(DF865=1,DM$7,0)</f>
        <v>Pulp/Paper</v>
      </c>
      <c r="DN865" t="str">
        <f>IF(DG865=1,DN$7,0)</f>
        <v>Timber</v>
      </c>
      <c r="DO865">
        <v>1</v>
      </c>
      <c r="DP865">
        <v>1</v>
      </c>
      <c r="DQ865" t="s">
        <v>2315</v>
      </c>
      <c r="DR865">
        <v>0</v>
      </c>
      <c r="DS865">
        <v>0</v>
      </c>
      <c r="DT865">
        <f>SUM(DO865:DP865)</f>
        <v>2</v>
      </c>
      <c r="DU865" s="143" t="str">
        <f>IF(DO865=1,"self-calculated DF",IF(DP865=1,"external DF used","explicit C balance"))</f>
        <v>self-calculated DF</v>
      </c>
      <c r="DV865">
        <v>1</v>
      </c>
      <c r="DW865">
        <v>1</v>
      </c>
      <c r="DX865">
        <v>1</v>
      </c>
      <c r="DY865">
        <v>1</v>
      </c>
      <c r="DZ865">
        <v>1</v>
      </c>
      <c r="EA865" s="143">
        <v>1</v>
      </c>
      <c r="EB865">
        <v>1</v>
      </c>
      <c r="EC865">
        <v>1</v>
      </c>
      <c r="ED865">
        <v>1</v>
      </c>
      <c r="EE865">
        <v>1</v>
      </c>
      <c r="EF865">
        <v>1</v>
      </c>
      <c r="EG865">
        <v>1</v>
      </c>
      <c r="EH865">
        <v>0</v>
      </c>
      <c r="EI865" s="2">
        <v>0</v>
      </c>
      <c r="EK865" t="str">
        <f>IF(AND(AND(AND(OR($DX865=1,$DW865=1),OR($EC865=1,$EA865=1)),SUM($DV865:$DZ865,$EF865)&gt;=4),SUM($EA865:$EE865)&gt;=2),"Whole sector","")</f>
        <v>Whole sector</v>
      </c>
      <c r="EL865" t="str">
        <f>IF(AND(AND(OR($DX865=1,$DW865=1),AND($EC865=0,$EA865=0)),SUM($DV865:$DZ865,$EF865)&gt;=4),"Ecosystem approach","")</f>
        <v/>
      </c>
      <c r="EM865" s="2" t="str">
        <f>IF(AND(AND(AND($DX865=0,$DW865=0),OR($EC865=1,$EA865=1)),SUM($EB865:$EE865)&gt;=2),"Technology approach","")</f>
        <v/>
      </c>
      <c r="EP865" t="str">
        <f>IF(ISNUMBER(BU865),IF(ABS(BU865-[4]QC_indicators!$B$2)&gt;3*[4]QC_indicators!$C$2,"C ratio",IF(ISNUMBER(BY865),IF(ABS(BY865-[4]QC_indicators!$B$1)&gt;3*[4]QC_indicators!$C$1,"DF","no"))),IF(ISNUMBER(BY865),IF(ABS(BY865-[4]QC_indicators!$B$1)&gt;3*[4]QC_indicators!$C$1,"DF","no")))</f>
        <v>no</v>
      </c>
      <c r="ER865" s="149" t="s">
        <v>2326</v>
      </c>
      <c r="ET865" s="264" t="s">
        <v>3273</v>
      </c>
    </row>
    <row r="866" spans="1:150" ht="15" customHeight="1">
      <c r="D866" t="s">
        <v>1661</v>
      </c>
      <c r="E866" t="s">
        <v>1662</v>
      </c>
      <c r="G866" t="s">
        <v>1663</v>
      </c>
      <c r="I866">
        <v>2007</v>
      </c>
      <c r="K866" t="s">
        <v>1664</v>
      </c>
      <c r="M866" t="str">
        <f>LEFT($D866,FIND(",",$D866)-1)&amp;"_"&amp;I866&amp;L866</f>
        <v>Gustavsson_2007</v>
      </c>
      <c r="N866" t="s">
        <v>222</v>
      </c>
      <c r="O866" t="s">
        <v>223</v>
      </c>
      <c r="Q866" t="s">
        <v>256</v>
      </c>
      <c r="R866" s="269" t="s">
        <v>274</v>
      </c>
      <c r="S866" s="1" t="s">
        <v>1665</v>
      </c>
      <c r="T866" t="s">
        <v>1677</v>
      </c>
      <c r="U866" s="143" t="s">
        <v>1683</v>
      </c>
      <c r="V866">
        <v>0</v>
      </c>
      <c r="W866">
        <v>0</v>
      </c>
      <c r="X866">
        <v>0</v>
      </c>
      <c r="Y866">
        <v>0</v>
      </c>
      <c r="Z866">
        <v>0</v>
      </c>
      <c r="AA866">
        <v>0</v>
      </c>
      <c r="AB866">
        <v>0</v>
      </c>
      <c r="AC866">
        <v>0</v>
      </c>
      <c r="AD866">
        <v>0</v>
      </c>
      <c r="AE866">
        <v>0</v>
      </c>
      <c r="AF866">
        <v>0</v>
      </c>
      <c r="AG866">
        <v>0</v>
      </c>
      <c r="AH866">
        <v>0</v>
      </c>
      <c r="AI866">
        <v>0</v>
      </c>
      <c r="AJ866">
        <v>0</v>
      </c>
      <c r="AK866">
        <v>1</v>
      </c>
      <c r="AL866">
        <v>0</v>
      </c>
      <c r="AM866">
        <v>0</v>
      </c>
      <c r="AN866">
        <v>0</v>
      </c>
      <c r="AO866">
        <v>0</v>
      </c>
      <c r="AP866">
        <v>0</v>
      </c>
      <c r="AQ866">
        <v>0</v>
      </c>
      <c r="AR866">
        <v>0</v>
      </c>
      <c r="AS866">
        <v>0</v>
      </c>
      <c r="AT866">
        <v>0</v>
      </c>
      <c r="AU866">
        <v>0</v>
      </c>
      <c r="AV866">
        <v>0</v>
      </c>
      <c r="AW866">
        <v>0</v>
      </c>
      <c r="AX866" s="141">
        <f>COUNTIF(V866:AW866,"&lt;&gt;0")</f>
        <v>1</v>
      </c>
      <c r="AY866" s="141">
        <f>COUNTIF(V866:AL866,"&lt;&gt;0")</f>
        <v>1</v>
      </c>
      <c r="AZ866">
        <f>COUNTIF(V866:AC866,"&lt;&gt;0")</f>
        <v>0</v>
      </c>
      <c r="BA866">
        <f>COUNTIF(AD866:AI866,"&lt;&gt;0")</f>
        <v>0</v>
      </c>
      <c r="BB866">
        <f>COUNTIF(AJ866:AL866,"&lt;&gt;0")</f>
        <v>1</v>
      </c>
      <c r="BC866">
        <f>COUNTIF(AS866:AW866,"&lt;&gt;0")</f>
        <v>0</v>
      </c>
      <c r="BD866">
        <f>COUNTIF(AM866:AR866,"&lt;&gt;0")</f>
        <v>0</v>
      </c>
      <c r="BE866" t="str">
        <f t="array" ref="BE866">IF(AY866=1,INDEX($V$7:$AL$7,MATCH(TRUE,INDEX($V866:$AW866&lt;&gt;0,),0)),IF(AY866=0,INDEX($AM$7:$AW$7,MATCH(1,$AM866:$AW866,0)),IF(BF866="Multiple strategies","mixed drivers",IF(BF866="Supply chain","multiple supply","multiple silviculture"))))</f>
        <v>technologies/design switch</v>
      </c>
      <c r="BF866" s="2" t="str" cm="1">
        <f t="array" ref="BF866">IF(COUNTIF(AZ866:BB866,"&lt;&gt;0")=1,INDEX($V$4:$AW$4,MATCH(TRUE,INDEX($V866:$AW866&lt;&gt;0,),0)),IF(COUNTIF(AZ866:BB866,"&lt;&gt;0")=0,INDEX($AM$4:$AW$4,MATCH(1,$AM866:$AW866,0)),"Multiple strategies"))</f>
        <v>Technology</v>
      </c>
      <c r="BG866" s="142" t="s">
        <v>229</v>
      </c>
      <c r="BH866" t="s">
        <v>1667</v>
      </c>
      <c r="BI866" s="264" t="s">
        <v>1057</v>
      </c>
      <c r="BJ866" s="143" t="s">
        <v>3265</v>
      </c>
      <c r="BK866">
        <v>0</v>
      </c>
      <c r="BL866" s="143">
        <v>27.1</v>
      </c>
      <c r="BM866" s="143"/>
      <c r="BN866">
        <f>BL866-BK866</f>
        <v>27.1</v>
      </c>
      <c r="BO866" s="143">
        <f>1000*BL866/15.3/400</f>
        <v>4.4281045751633989</v>
      </c>
      <c r="BP866" t="s">
        <v>232</v>
      </c>
      <c r="BR866" t="s">
        <v>938</v>
      </c>
      <c r="BS866" s="143">
        <v>-1</v>
      </c>
      <c r="BT866" s="151">
        <v>0</v>
      </c>
      <c r="BU866">
        <v>0</v>
      </c>
      <c r="BV866">
        <v>1</v>
      </c>
      <c r="BX866">
        <f>BV866*C_to_CO2</f>
        <v>3.67</v>
      </c>
      <c r="BY866">
        <f>IFERROR(BX866/BO866,"")</f>
        <v>0.82879704797047959</v>
      </c>
      <c r="BZ866" s="143">
        <v>0</v>
      </c>
      <c r="CA866" s="143">
        <v>0</v>
      </c>
      <c r="CB866" s="143">
        <v>0</v>
      </c>
      <c r="CC866" s="143">
        <v>0</v>
      </c>
      <c r="CD866" s="143">
        <v>0</v>
      </c>
      <c r="CE866" s="143">
        <v>0</v>
      </c>
      <c r="CF866" s="143">
        <v>0</v>
      </c>
      <c r="CG866" s="143">
        <v>0</v>
      </c>
      <c r="CH866" s="143">
        <v>0</v>
      </c>
      <c r="CI866" s="143">
        <v>0</v>
      </c>
      <c r="CJ866" s="143">
        <v>0</v>
      </c>
      <c r="CK866" s="143">
        <v>0</v>
      </c>
      <c r="CL866" s="143">
        <v>0</v>
      </c>
      <c r="CM866">
        <v>1</v>
      </c>
      <c r="CN866" t="str">
        <f>IF($BL866&lt;$BK866,"refNeedCorrection","refOK")</f>
        <v>refOK</v>
      </c>
      <c r="CO866">
        <f>IF($CN866="refOK",$BK866,$BL866)</f>
        <v>0</v>
      </c>
      <c r="CP866">
        <f>IF($CN866="refOK",$BL866,$BK866)</f>
        <v>27.1</v>
      </c>
      <c r="CQ866">
        <f>IF($CN866="refOK",$BO866,-$BO866)</f>
        <v>4.4281045751633989</v>
      </c>
      <c r="CR866">
        <f>IF($CN866="refOK",$BS866,$BT866)*IF($BP866="Emissions positive",-1,1)</f>
        <v>-1</v>
      </c>
      <c r="CS866">
        <f>IF($CN866="refOK",$BT866,$BS866)*IF($BP866="Emissions positive",-1,1)</f>
        <v>0</v>
      </c>
      <c r="CT866">
        <f>IF($CN866="refNeedCorrection",-BX866,BX866)*IF($BP866="Emissions positive",-1,1)</f>
        <v>3.67</v>
      </c>
      <c r="CU866">
        <f>IFERROR(CT866/CQ866,"")</f>
        <v>0.82879704797047959</v>
      </c>
      <c r="CV866" s="2">
        <f>IFERROR((CS866-CR866)/ABS(CR866),"")</f>
        <v>1</v>
      </c>
      <c r="CW866" s="1" t="s">
        <v>1203</v>
      </c>
      <c r="CX866" t="str">
        <f>IF(OR($CW866="prd",$CW866="std",$CW866="cit"),"loc",IF(OR($CW866="eur",$CW866="reg",$CW866="coy"),"reg",$CW866))</f>
        <v>reg</v>
      </c>
      <c r="CY866" t="s">
        <v>444</v>
      </c>
      <c r="DA866" s="143"/>
      <c r="DB866" s="143">
        <v>0</v>
      </c>
      <c r="DC866" t="str">
        <f>IF(DB866=0,"0",IF(AND(DB866&gt;=1,DB866&lt;=30),"1-30",IF(AND(DB866&gt;30,DB866&lt;=70),"31-70",IF(AND(DB866&gt;70,DB866&lt;=100),"71-100",IF(DB866&gt;100,"+100")))))</f>
        <v>0</v>
      </c>
      <c r="DD866">
        <v>0</v>
      </c>
      <c r="DE866">
        <v>1</v>
      </c>
      <c r="DF866">
        <v>0</v>
      </c>
      <c r="DG866">
        <v>0</v>
      </c>
      <c r="DI866">
        <f>SUM(DD866:DG866)</f>
        <v>1</v>
      </c>
      <c r="DJ866" t="str">
        <f>IF(DI866=1,INDEX($DD$7:$DG$7,MATCH(1,$DD866:$DG866,0)),"mixedProduct")</f>
        <v>EnergyInput</v>
      </c>
      <c r="DK866">
        <f>IF(DD866=1,DK$7,0)</f>
        <v>0</v>
      </c>
      <c r="DL866" t="str">
        <f>IF(DE866=1,DL$7,0)</f>
        <v>Energy</v>
      </c>
      <c r="DM866">
        <f>IF(DF866=1,DM$7,0)</f>
        <v>0</v>
      </c>
      <c r="DN866">
        <f>IF(DG866=1,DN$7,0)</f>
        <v>0</v>
      </c>
      <c r="DO866">
        <v>0</v>
      </c>
      <c r="DP866" s="143">
        <v>0</v>
      </c>
      <c r="DQ866" s="143">
        <v>0</v>
      </c>
      <c r="DR866">
        <v>0</v>
      </c>
      <c r="DS866" s="143">
        <v>0</v>
      </c>
      <c r="DT866">
        <f>SUM(DO866:DP866)</f>
        <v>0</v>
      </c>
      <c r="DU866" s="143" t="str">
        <f>IF(DO866=1,"self-calculated DF",IF(DP866=1,"external DF used","explicit C balance"))</f>
        <v>explicit C balance</v>
      </c>
      <c r="DV866" s="143">
        <v>0</v>
      </c>
      <c r="DW866" s="143">
        <v>0</v>
      </c>
      <c r="DX866" s="143">
        <v>0</v>
      </c>
      <c r="DY866" s="143">
        <v>0</v>
      </c>
      <c r="DZ866">
        <v>0</v>
      </c>
      <c r="EA866" s="143">
        <v>0</v>
      </c>
      <c r="EB866" s="143">
        <v>0</v>
      </c>
      <c r="EC866" s="143">
        <v>1</v>
      </c>
      <c r="ED866" s="143">
        <v>0</v>
      </c>
      <c r="EE866">
        <v>0</v>
      </c>
      <c r="EF866">
        <v>0</v>
      </c>
      <c r="EG866" s="143">
        <v>0</v>
      </c>
      <c r="EH866" s="143">
        <v>0</v>
      </c>
      <c r="EI866" s="2">
        <v>0</v>
      </c>
      <c r="EK866" t="str">
        <f>IF(AND(AND(AND(OR($DX866=1,$DW866=1),OR($EC866=1,$EA866=1)),SUM($DV866:$DZ866,$EF866)&gt;=4),SUM($EA866:$EE866)&gt;=2),"Whole sector","")</f>
        <v/>
      </c>
      <c r="EL866" t="str">
        <f>IF(AND(AND(OR($DX866=1,$DW866=1),AND($EC866=0,$EA866=0)),SUM($DV866:$DZ866,$EF866)&gt;=4),"Ecosystem approach","")</f>
        <v/>
      </c>
      <c r="EM866" s="2" t="str">
        <f>IF(AND(AND(AND($DX866=0,$DW866=0),OR($EC866=1,$EA866=1)),SUM($EB866:$EE866)&gt;=2),"Technology approach","")</f>
        <v/>
      </c>
      <c r="EP866" t="str">
        <f>IF(ISNUMBER(BU866),IF(ABS(BU866-[2]QC_indicators!$B$2)&gt;3*[2]QC_indicators!$C$2,"C ratio",IF(ISNUMBER(BY866),IF(ABS(BY866-[2]QC_indicators!$B$1)&gt;3*[2]QC_indicators!$C$1,"DF","no"))),IF(ISNUMBER(BY866),IF(ABS(BY866-[2]QC_indicators!$B$1)&gt;3*[2]QC_indicators!$C$1,"DF","no")))</f>
        <v>no</v>
      </c>
      <c r="ER866" s="149" t="s">
        <v>349</v>
      </c>
      <c r="ET866" s="264" t="s">
        <v>3266</v>
      </c>
    </row>
    <row r="867" spans="1:150" ht="15" customHeight="1">
      <c r="A867" s="1" t="s">
        <v>656</v>
      </c>
      <c r="B867" t="s">
        <v>1141</v>
      </c>
      <c r="C867" t="s">
        <v>1142</v>
      </c>
      <c r="D867" t="s">
        <v>1143</v>
      </c>
      <c r="E867" t="s">
        <v>1144</v>
      </c>
      <c r="F867" t="s">
        <v>1145</v>
      </c>
      <c r="G867" t="s">
        <v>662</v>
      </c>
      <c r="H867" t="s">
        <v>254</v>
      </c>
      <c r="I867">
        <v>2022</v>
      </c>
      <c r="J867">
        <v>1</v>
      </c>
      <c r="K867" t="s">
        <v>1146</v>
      </c>
      <c r="M867" t="str">
        <f>LEFT($D867,FIND(",",$D867)-1)&amp;"_"&amp;I867&amp;L867</f>
        <v>Su_2022</v>
      </c>
      <c r="N867" t="s">
        <v>222</v>
      </c>
      <c r="O867" s="264" t="s">
        <v>223</v>
      </c>
      <c r="Q867" s="264" t="s">
        <v>389</v>
      </c>
      <c r="R867" s="269" t="s">
        <v>1154</v>
      </c>
      <c r="S867" s="263" t="s">
        <v>257</v>
      </c>
      <c r="T867" s="264" t="s">
        <v>810</v>
      </c>
      <c r="U867" s="264" t="s">
        <v>259</v>
      </c>
      <c r="V867">
        <v>0</v>
      </c>
      <c r="W867">
        <v>0</v>
      </c>
      <c r="X867">
        <v>0</v>
      </c>
      <c r="Y867">
        <v>0</v>
      </c>
      <c r="Z867">
        <v>0</v>
      </c>
      <c r="AA867">
        <v>0</v>
      </c>
      <c r="AB867">
        <v>0</v>
      </c>
      <c r="AC867">
        <v>0</v>
      </c>
      <c r="AD867">
        <v>0</v>
      </c>
      <c r="AE867">
        <v>0</v>
      </c>
      <c r="AF867">
        <v>0</v>
      </c>
      <c r="AG867">
        <v>0</v>
      </c>
      <c r="AH867">
        <v>0</v>
      </c>
      <c r="AI867">
        <v>0</v>
      </c>
      <c r="AJ867">
        <v>0</v>
      </c>
      <c r="AK867">
        <v>1</v>
      </c>
      <c r="AL867">
        <v>0</v>
      </c>
      <c r="AM867">
        <v>0</v>
      </c>
      <c r="AN867">
        <v>0</v>
      </c>
      <c r="AO867">
        <v>0</v>
      </c>
      <c r="AP867">
        <v>0</v>
      </c>
      <c r="AQ867">
        <v>0</v>
      </c>
      <c r="AR867">
        <v>0</v>
      </c>
      <c r="AS867">
        <v>0</v>
      </c>
      <c r="AT867">
        <v>0</v>
      </c>
      <c r="AU867">
        <v>0</v>
      </c>
      <c r="AV867">
        <v>0</v>
      </c>
      <c r="AW867">
        <v>0</v>
      </c>
      <c r="AX867" s="141">
        <f>COUNTIF(V867:AW867,"&lt;&gt;0")</f>
        <v>1</v>
      </c>
      <c r="AY867" s="141">
        <f>COUNTIF(V867:AL867,"&lt;&gt;0")</f>
        <v>1</v>
      </c>
      <c r="AZ867">
        <f>COUNTIF(V867:AC867,"&lt;&gt;0")</f>
        <v>0</v>
      </c>
      <c r="BA867">
        <f>COUNTIF(AD867:AI867,"&lt;&gt;0")</f>
        <v>0</v>
      </c>
      <c r="BB867">
        <f>COUNTIF(AJ867:AL867,"&lt;&gt;0")</f>
        <v>1</v>
      </c>
      <c r="BC867">
        <f>COUNTIF(AS867:AW867,"&lt;&gt;0")</f>
        <v>0</v>
      </c>
      <c r="BD867">
        <f>COUNTIF(AM867:AR867,"&lt;&gt;0")</f>
        <v>0</v>
      </c>
      <c r="BE867" t="str" cm="1">
        <f t="array" ref="BE867">IF(AY867=1,INDEX($V$7:$AL$7,MATCH(TRUE,INDEX($V867:$AW867&lt;&gt;0,),0)),IF(AY867=0,INDEX($AM$7:$AW$7,MATCH(1,$AM867:$AW867,0)),IF(BF867="Multiple strategies","mixed drivers",IF(BF867="Supply chain","multiple supply","multiple silviculture"))))</f>
        <v>technologies/design switch</v>
      </c>
      <c r="BF867" s="2" t="str" cm="1">
        <f t="array" ref="BF867">IF(COUNTIF(AZ867:BB867,"&lt;&gt;0")=1,INDEX($V$4:$AW$4,MATCH(TRUE,INDEX($V867:$AW867&lt;&gt;0,),0)),IF(COUNTIF(AZ867:BB867,"&lt;&gt;0")=0,INDEX($AM$4:$AW$4,MATCH(1,$AM867:$AW867,0)),"Multiple strategies"))</f>
        <v>Technology</v>
      </c>
      <c r="BG867" s="1" t="s">
        <v>229</v>
      </c>
      <c r="BH867" t="s">
        <v>1147</v>
      </c>
      <c r="BI867" s="264" t="s">
        <v>1148</v>
      </c>
      <c r="BJ867" s="264" t="s">
        <v>1149</v>
      </c>
      <c r="BK867">
        <f>2332/3000</f>
        <v>0.77733333333333332</v>
      </c>
      <c r="BL867">
        <f>(565731+64622+51138+7369)/3000</f>
        <v>229.62</v>
      </c>
      <c r="BN867">
        <f>BL867-BK867</f>
        <v>228.84266666666667</v>
      </c>
      <c r="BO867">
        <f>BN867*kg_to_m3</f>
        <v>0.46702585034013611</v>
      </c>
      <c r="BP867" s="264" t="s">
        <v>395</v>
      </c>
      <c r="BQ867" s="264" t="s">
        <v>1150</v>
      </c>
      <c r="BR867" s="264" t="s">
        <v>1151</v>
      </c>
      <c r="BS867">
        <v>221</v>
      </c>
      <c r="BT867">
        <v>-174</v>
      </c>
      <c r="BV867">
        <f>BT867-BS867</f>
        <v>-395</v>
      </c>
      <c r="BX867">
        <f>BV867/1000</f>
        <v>-0.39500000000000002</v>
      </c>
      <c r="BY867">
        <f>IFERROR(BX867/BO867,"")</f>
        <v>-0.84577759392187934</v>
      </c>
      <c r="BZ867">
        <v>0</v>
      </c>
      <c r="CA867">
        <v>0</v>
      </c>
      <c r="CB867">
        <v>0</v>
      </c>
      <c r="CC867">
        <v>0</v>
      </c>
      <c r="CD867">
        <v>0</v>
      </c>
      <c r="CE867">
        <v>0</v>
      </c>
      <c r="CF867">
        <v>0</v>
      </c>
      <c r="CG867">
        <v>0</v>
      </c>
      <c r="CH867">
        <v>0</v>
      </c>
      <c r="CI867">
        <v>0</v>
      </c>
      <c r="CJ867">
        <v>0</v>
      </c>
      <c r="CK867">
        <v>0</v>
      </c>
      <c r="CL867">
        <v>0</v>
      </c>
      <c r="CM867">
        <v>0</v>
      </c>
      <c r="CN867" t="str">
        <f>IF($BL867&lt;$BK867,"refNeedCorrection","refOK")</f>
        <v>refOK</v>
      </c>
      <c r="CO867">
        <f>IF($CN867="refOK",$BK867,$BL867)</f>
        <v>0.77733333333333332</v>
      </c>
      <c r="CP867">
        <f>IF($CN867="refOK",$BL867,$BK867)</f>
        <v>229.62</v>
      </c>
      <c r="CQ867">
        <f>IF($CN867="refOK",$BO867,-$BO867)</f>
        <v>0.46702585034013611</v>
      </c>
      <c r="CR867">
        <f>IF($CN867="refOK",$BS867,$BT867)*IF($BP867="Emissions positive",-1,1)</f>
        <v>-221</v>
      </c>
      <c r="CS867">
        <f>IF($CN867="refOK",$BT867,$BS867)*IF($BP867="Emissions positive",-1,1)</f>
        <v>174</v>
      </c>
      <c r="CT867">
        <f>IF($CN867="refNeedCorrection",-BX867,BX867)*IF($BP867="Emissions positive",-1,1)</f>
        <v>0.39500000000000002</v>
      </c>
      <c r="CU867">
        <f>IFERROR(CT867/CQ867,"")</f>
        <v>0.84577759392187934</v>
      </c>
      <c r="CV867" s="2">
        <f>IFERROR((CS867-CR867)/ABS(CR867),"")</f>
        <v>1.7873303167420815</v>
      </c>
      <c r="CW867" s="263" t="s">
        <v>263</v>
      </c>
      <c r="CX867" s="264" t="str">
        <f>IF(OR($CW867="prd",$CW867="std",$CW867="cit"),"loc",IF(OR($CW867="eur",$CW867="reg",$CW867="coy"),"reg",$CW867))</f>
        <v>loc</v>
      </c>
      <c r="CY867" s="264" t="s">
        <v>690</v>
      </c>
      <c r="DB867">
        <v>0</v>
      </c>
      <c r="DC867" t="str">
        <f>IF(DB867=0,"0",IF(AND(DB867&gt;=1,DB867&lt;=30),"1-30",IF(AND(DB867&gt;30,DB867&lt;=70),"31-70",IF(AND(DB867&gt;70,DB867&lt;=100),"71-100",IF(DB867&gt;100,"+100")))))</f>
        <v>0</v>
      </c>
      <c r="DD867">
        <v>0</v>
      </c>
      <c r="DE867">
        <v>0</v>
      </c>
      <c r="DF867">
        <v>0</v>
      </c>
      <c r="DG867">
        <v>1</v>
      </c>
      <c r="DH867">
        <v>0</v>
      </c>
      <c r="DI867">
        <f>SUM(DD867:DG867)</f>
        <v>1</v>
      </c>
      <c r="DJ867" t="str">
        <f>IF(DI867=1,INDEX($DD$7:$DG$7,MATCH(1,$DD867:$DG867,0)),"mixedProduct")</f>
        <v>TimberInput</v>
      </c>
      <c r="DK867">
        <f>IF(DD867=1,DK$7,0)</f>
        <v>0</v>
      </c>
      <c r="DL867">
        <f>IF(DE867=1,DL$7,0)</f>
        <v>0</v>
      </c>
      <c r="DM867">
        <f>IF(DF867=1,DM$7,0)</f>
        <v>0</v>
      </c>
      <c r="DN867" t="str">
        <f>IF(DG867=1,DN$7,0)</f>
        <v>Timber</v>
      </c>
      <c r="DO867">
        <v>0</v>
      </c>
      <c r="DP867">
        <v>0</v>
      </c>
      <c r="DQ867">
        <v>0</v>
      </c>
      <c r="DR867">
        <v>0</v>
      </c>
      <c r="DS867">
        <v>0</v>
      </c>
      <c r="DT867">
        <f>SUM(DO867:DP867)</f>
        <v>0</v>
      </c>
      <c r="DU867" s="143" t="str">
        <f>IF(DO867=1,"self-calculated DF",IF(DP867=1,"external DF used","explicit C balance"))</f>
        <v>explicit C balance</v>
      </c>
      <c r="DV867">
        <v>0</v>
      </c>
      <c r="DW867">
        <v>0</v>
      </c>
      <c r="DX867">
        <v>0</v>
      </c>
      <c r="DY867">
        <v>1</v>
      </c>
      <c r="DZ867">
        <v>0</v>
      </c>
      <c r="EA867">
        <v>1</v>
      </c>
      <c r="EB867">
        <v>1</v>
      </c>
      <c r="EC867">
        <v>1</v>
      </c>
      <c r="ED867">
        <v>1</v>
      </c>
      <c r="EE867">
        <v>1</v>
      </c>
      <c r="EF867">
        <v>0</v>
      </c>
      <c r="EG867">
        <v>0</v>
      </c>
      <c r="EH867">
        <v>0</v>
      </c>
      <c r="EI867" s="2">
        <v>0</v>
      </c>
      <c r="EK867" t="str">
        <f>IF(AND(AND(AND(OR($DX867=1,$DW867=1),OR($EC867=1,$EA867=1)),SUM($DV867:$DZ867,$EF867)&gt;=4),SUM($EA867:$EE867)&gt;=2),"Whole sector","")</f>
        <v/>
      </c>
      <c r="EL867" t="str">
        <f>IF(AND(AND(OR($DX867=1,$DW867=1),AND($EC867=0,$EA867=0)),SUM($DV867:$DZ867,$EF867)&gt;=4),"Ecosystem approach","")</f>
        <v/>
      </c>
      <c r="EM867" s="2" t="str">
        <f>IF(AND(AND(AND($DX867=0,$DW867=0),OR($EC867=1,$EA867=1)),SUM($EB867:$EE867)&gt;=2),"Technology approach","")</f>
        <v>Technology approach</v>
      </c>
      <c r="EP867" t="str">
        <f>IF(ISNUMBER(BU867),IF(ABS(BU867-[3]QC_indicators!$B$2)&gt;3*[3]QC_indicators!$C$2,"C ratio",IF(ISNUMBER(BY867),IF(ABS(BY867-[3]QC_indicators!$B$1)&gt;3*[3]QC_indicators!$C$1,"DF","no"))),IF(ISNUMBER(BY867),IF(ABS(BY867-[3]QC_indicators!$B$1)&gt;3*[3]QC_indicators!$C$1,"DF","no")))</f>
        <v>no</v>
      </c>
      <c r="ET867" s="264" t="s">
        <v>3407</v>
      </c>
    </row>
    <row r="868" spans="1:150" ht="15" customHeight="1">
      <c r="D868" t="s">
        <v>963</v>
      </c>
      <c r="E868" t="s">
        <v>988</v>
      </c>
      <c r="G868" t="s">
        <v>693</v>
      </c>
      <c r="I868">
        <v>2003</v>
      </c>
      <c r="K868" s="295" t="s">
        <v>989</v>
      </c>
      <c r="M868" t="str">
        <f>LEFT($D868,FIND(",",$D868)-1)&amp;"_"&amp;I868&amp;L868</f>
        <v>Petersen_2003</v>
      </c>
      <c r="N868" t="s">
        <v>222</v>
      </c>
      <c r="O868" s="171" t="s">
        <v>513</v>
      </c>
      <c r="P868" s="141" t="s">
        <v>225</v>
      </c>
      <c r="Q868" s="264" t="s">
        <v>389</v>
      </c>
      <c r="R868" s="269" t="s">
        <v>1154</v>
      </c>
      <c r="S868" s="263" t="s">
        <v>1006</v>
      </c>
      <c r="T868" s="264" t="s">
        <v>999</v>
      </c>
      <c r="U868" s="264" t="s">
        <v>1000</v>
      </c>
      <c r="V868">
        <v>0</v>
      </c>
      <c r="W868">
        <v>0</v>
      </c>
      <c r="X868">
        <v>0</v>
      </c>
      <c r="Y868">
        <v>0</v>
      </c>
      <c r="Z868">
        <v>0</v>
      </c>
      <c r="AA868">
        <v>0</v>
      </c>
      <c r="AB868">
        <v>0</v>
      </c>
      <c r="AC868">
        <v>0</v>
      </c>
      <c r="AD868">
        <v>0</v>
      </c>
      <c r="AE868">
        <v>0</v>
      </c>
      <c r="AF868">
        <v>0</v>
      </c>
      <c r="AG868">
        <v>0</v>
      </c>
      <c r="AH868">
        <v>0</v>
      </c>
      <c r="AI868">
        <v>0</v>
      </c>
      <c r="AJ868">
        <v>0</v>
      </c>
      <c r="AK868">
        <v>1</v>
      </c>
      <c r="AL868">
        <v>0</v>
      </c>
      <c r="AM868">
        <v>0</v>
      </c>
      <c r="AN868">
        <v>0</v>
      </c>
      <c r="AO868">
        <v>0</v>
      </c>
      <c r="AP868">
        <v>0</v>
      </c>
      <c r="AQ868">
        <v>0</v>
      </c>
      <c r="AR868">
        <v>0</v>
      </c>
      <c r="AS868">
        <v>0</v>
      </c>
      <c r="AT868">
        <v>0</v>
      </c>
      <c r="AU868">
        <v>0</v>
      </c>
      <c r="AV868">
        <v>0</v>
      </c>
      <c r="AW868">
        <v>0</v>
      </c>
      <c r="AX868" s="141">
        <f>COUNTIF(V868:AW868,"&lt;&gt;0")</f>
        <v>1</v>
      </c>
      <c r="AY868" s="141">
        <f>COUNTIF(V868:AL868,"&lt;&gt;0")</f>
        <v>1</v>
      </c>
      <c r="AZ868">
        <f>COUNTIF(V868:AC868,"&lt;&gt;0")</f>
        <v>0</v>
      </c>
      <c r="BA868">
        <f>COUNTIF(AD868:AI868,"&lt;&gt;0")</f>
        <v>0</v>
      </c>
      <c r="BB868">
        <f>COUNTIF(AJ868:AL868,"&lt;&gt;0")</f>
        <v>1</v>
      </c>
      <c r="BC868">
        <f>COUNTIF(AS868:AW868,"&lt;&gt;0")</f>
        <v>0</v>
      </c>
      <c r="BD868">
        <f>COUNTIF(AM868:AR868,"&lt;&gt;0")</f>
        <v>0</v>
      </c>
      <c r="BE868" t="str" cm="1">
        <f t="array" ref="BE868">IF(AY868=1,INDEX($V$7:$AL$7,MATCH(TRUE,INDEX($V868:$AW868&lt;&gt;0,),0)),IF(AY868=0,INDEX($AM$7:$AW$7,MATCH(1,$AM868:$AW868,0)),IF(BF868="Multiple strategies","mixed drivers",IF(BF868="Supply chain","multiple supply","multiple silviculture"))))</f>
        <v>technologies/design switch</v>
      </c>
      <c r="BF868" s="2" t="str" cm="1">
        <f t="array" ref="BF868">IF(COUNTIF(AZ868:BB868,"&lt;&gt;0")=1,INDEX($V$4:$AW$4,MATCH(TRUE,INDEX($V868:$AW868&lt;&gt;0,),0)),IF(COUNTIF(AZ868:BB868,"&lt;&gt;0")=0,INDEX($AM$4:$AW$4,MATCH(1,$AM868:$AW868,0)),"Multiple strategies"))</f>
        <v>Technology</v>
      </c>
      <c r="BG868" s="142" t="s">
        <v>229</v>
      </c>
      <c r="BH868" t="s">
        <v>970</v>
      </c>
      <c r="BI868" t="s">
        <v>993</v>
      </c>
      <c r="BJ868" t="s">
        <v>498</v>
      </c>
      <c r="BK868">
        <v>0</v>
      </c>
      <c r="BL868">
        <v>1</v>
      </c>
      <c r="BM868" t="str">
        <f>IFERROR(BL868/BK868,"")</f>
        <v/>
      </c>
      <c r="BN868">
        <f>BL868-BK868</f>
        <v>1</v>
      </c>
      <c r="BO868">
        <v>1</v>
      </c>
      <c r="BP868" t="s">
        <v>232</v>
      </c>
      <c r="BQ868" t="s">
        <v>742</v>
      </c>
      <c r="BR868" s="264" t="s">
        <v>973</v>
      </c>
      <c r="BV868">
        <v>0.84599999999999997</v>
      </c>
      <c r="BX868">
        <f>BV868</f>
        <v>0.84599999999999997</v>
      </c>
      <c r="BY868">
        <f>IFERROR(BX868/BO868,"")</f>
        <v>0.84599999999999997</v>
      </c>
      <c r="BZ868">
        <v>0</v>
      </c>
      <c r="CA868">
        <v>0</v>
      </c>
      <c r="CB868">
        <v>0</v>
      </c>
      <c r="CC868">
        <v>0</v>
      </c>
      <c r="CD868">
        <v>0</v>
      </c>
      <c r="CE868">
        <v>0</v>
      </c>
      <c r="CF868">
        <v>0</v>
      </c>
      <c r="CG868">
        <v>0</v>
      </c>
      <c r="CH868">
        <v>0</v>
      </c>
      <c r="CI868">
        <v>0</v>
      </c>
      <c r="CJ868">
        <v>0</v>
      </c>
      <c r="CK868">
        <v>0</v>
      </c>
      <c r="CL868">
        <v>0</v>
      </c>
      <c r="CM868">
        <v>0</v>
      </c>
      <c r="CN868" t="str">
        <f>IF($BL868&lt;$BK868,"refNeedCorrection","refOK")</f>
        <v>refOK</v>
      </c>
      <c r="CO868">
        <f>IF($CN868="refOK",$BK868,$BL868)</f>
        <v>0</v>
      </c>
      <c r="CP868">
        <f>IF($CN868="refOK",$BL868,$BK868)</f>
        <v>1</v>
      </c>
      <c r="CQ868">
        <f>IF($CN868="refOK",$BO868,-$BO868)</f>
        <v>1</v>
      </c>
      <c r="CR868">
        <f>IF($CN868="refOK",$BS868,$BT868)*IF($BP868="Emissions positive",-1,1)</f>
        <v>0</v>
      </c>
      <c r="CS868">
        <f>IF($CN868="refOK",$BT868,$BS868)*IF($BP868="Emissions positive",-1,1)</f>
        <v>0</v>
      </c>
      <c r="CT868">
        <f>IF($CN868="refNeedCorrection",-BX868,BX868)*IF($BP868="Emissions positive",-1,1)</f>
        <v>0.84599999999999997</v>
      </c>
      <c r="CU868">
        <f>IFERROR(CT868/CQ868,"")</f>
        <v>0.84599999999999997</v>
      </c>
      <c r="CV868" s="2" t="str">
        <f>IFERROR((CS868-CR868)/ABS(CR868),"")</f>
        <v/>
      </c>
      <c r="CW868" s="1" t="s">
        <v>263</v>
      </c>
      <c r="CX868" s="264" t="str">
        <f>IF(OR($CW868="prd",$CW868="std",$CW868="cit"),"loc",IF(OR($CW868="eur",$CW868="reg",$CW868="coy"),"reg",$CW868))</f>
        <v>loc</v>
      </c>
      <c r="CY868" t="s">
        <v>264</v>
      </c>
      <c r="DA868" s="143"/>
      <c r="DB868" s="143">
        <v>45</v>
      </c>
      <c r="DC868" t="str">
        <f>IF(DB868=0,"0",IF(AND(DB868&gt;=1,DB868&lt;=30),"1-30",IF(AND(DB868&gt;30,DB868&lt;=70),"31-70",IF(AND(DB868&gt;70,DB868&lt;=100),"71-100",IF(DB868&gt;100,"+100")))))</f>
        <v>31-70</v>
      </c>
      <c r="DD868">
        <v>0</v>
      </c>
      <c r="DE868">
        <v>0</v>
      </c>
      <c r="DF868">
        <v>0</v>
      </c>
      <c r="DG868">
        <v>1</v>
      </c>
      <c r="DH868">
        <v>0</v>
      </c>
      <c r="DI868">
        <f>SUM(DD868:DG868)</f>
        <v>1</v>
      </c>
      <c r="DJ868" t="str">
        <f>IF(DI868=1,INDEX($DD$7:$DG$7,MATCH(1,$DD868:$DG868,0)),"mixedProduct")</f>
        <v>TimberInput</v>
      </c>
      <c r="DK868">
        <f>IF(DD868=1,DK$7,0)</f>
        <v>0</v>
      </c>
      <c r="DL868">
        <f>IF(DE868=1,DL$7,0)</f>
        <v>0</v>
      </c>
      <c r="DM868">
        <f>IF(DF868=1,DM$7,0)</f>
        <v>0</v>
      </c>
      <c r="DN868" t="str">
        <f>IF(DG868=1,DN$7,0)</f>
        <v>Timber</v>
      </c>
      <c r="DO868">
        <v>1</v>
      </c>
      <c r="DP868">
        <v>0</v>
      </c>
      <c r="DQ868">
        <v>0</v>
      </c>
      <c r="DR868">
        <v>0</v>
      </c>
      <c r="DS868">
        <v>0</v>
      </c>
      <c r="DT868">
        <f>SUM(DO868:DP868)</f>
        <v>1</v>
      </c>
      <c r="DU868" s="143" t="str">
        <f>IF(DO868=1,"self-calculated DF",IF(DP868=1,"external DF used","explicit C balance"))</f>
        <v>self-calculated DF</v>
      </c>
      <c r="DV868" s="143">
        <v>0</v>
      </c>
      <c r="DW868" s="143">
        <v>0</v>
      </c>
      <c r="DX868" s="143">
        <v>0</v>
      </c>
      <c r="DY868" s="143">
        <v>0</v>
      </c>
      <c r="DZ868">
        <v>0</v>
      </c>
      <c r="EA868" s="143">
        <v>0</v>
      </c>
      <c r="EB868" s="143">
        <v>0</v>
      </c>
      <c r="EC868" s="143">
        <v>1</v>
      </c>
      <c r="ED868" s="143">
        <v>0</v>
      </c>
      <c r="EE868">
        <v>0</v>
      </c>
      <c r="EF868">
        <v>0</v>
      </c>
      <c r="EG868" s="143">
        <v>0</v>
      </c>
      <c r="EH868" s="143">
        <v>0</v>
      </c>
      <c r="EI868" s="2">
        <v>0</v>
      </c>
      <c r="EK868" t="str">
        <f>IF(AND(AND(AND(OR($DX868=1,$DW868=1),OR($EC868=1,$EA868=1)),SUM($DV868:$DZ868,$EF868)&gt;=4),SUM($EA868:$EE868)&gt;=2),"Whole sector","")</f>
        <v/>
      </c>
      <c r="EL868" t="str">
        <f>IF(AND(AND(OR($DX868=1,$DW868=1),AND($EC868=0,$EA868=0)),SUM($DV868:$DZ868,$EF868)&gt;=4),"Ecosystem approach","")</f>
        <v/>
      </c>
      <c r="EM868" s="2" t="str">
        <f>IF(AND(AND(AND($DX868=0,$DW868=0),OR($EC868=1,$EA868=1)),SUM($EB868:$EE868)&gt;=2),"Technology approach","")</f>
        <v/>
      </c>
      <c r="EN868" t="s">
        <v>1005</v>
      </c>
      <c r="EP868" t="str">
        <f>IF(ISNUMBER(BU868),IF(ABS(BU868-[3]QC_indicators!$B$2)&gt;3*[3]QC_indicators!$C$2,"C ratio",IF(ISNUMBER(BY868),IF(ABS(BY868-[3]QC_indicators!$B$1)&gt;3*[3]QC_indicators!$C$1,"DF","no"))),IF(ISNUMBER(BY868),IF(ABS(BY868-[3]QC_indicators!$B$1)&gt;3*[3]QC_indicators!$C$1,"DF","no")))</f>
        <v>no</v>
      </c>
      <c r="ER868" s="264" t="s">
        <v>995</v>
      </c>
      <c r="ET868" s="264" t="s">
        <v>3407</v>
      </c>
    </row>
    <row r="869" spans="1:150" ht="15" customHeight="1">
      <c r="A869" s="1" t="s">
        <v>1102</v>
      </c>
      <c r="B869" t="s">
        <v>2381</v>
      </c>
      <c r="C869" t="s">
        <v>2382</v>
      </c>
      <c r="D869" t="s">
        <v>2383</v>
      </c>
      <c r="E869" t="s">
        <v>2384</v>
      </c>
      <c r="F869" t="s">
        <v>2385</v>
      </c>
      <c r="G869" t="s">
        <v>1108</v>
      </c>
      <c r="H869" t="s">
        <v>254</v>
      </c>
      <c r="I869">
        <v>2016</v>
      </c>
      <c r="J869">
        <v>13</v>
      </c>
      <c r="K869" t="s">
        <v>2386</v>
      </c>
      <c r="M869" t="str">
        <f>LEFT($D869,FIND(",",$D869)-1)&amp;"_"&amp;I869&amp;L869</f>
        <v>Torssonen_2016</v>
      </c>
      <c r="N869" t="s">
        <v>222</v>
      </c>
      <c r="O869" s="145" t="s">
        <v>1154</v>
      </c>
      <c r="Q869" s="264" t="s">
        <v>256</v>
      </c>
      <c r="R869" s="269" t="s">
        <v>341</v>
      </c>
      <c r="S869" s="1" t="s">
        <v>2387</v>
      </c>
      <c r="T869" t="s">
        <v>2388</v>
      </c>
      <c r="U869" t="s">
        <v>2395</v>
      </c>
      <c r="V869">
        <v>0</v>
      </c>
      <c r="W869">
        <v>0</v>
      </c>
      <c r="X869">
        <v>0</v>
      </c>
      <c r="Y869">
        <v>1</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s="141">
        <f>COUNTIF(V869:AW869,"&lt;&gt;0")</f>
        <v>1</v>
      </c>
      <c r="AY869" s="141">
        <f>COUNTIF(V869:AL869,"&lt;&gt;0")</f>
        <v>1</v>
      </c>
      <c r="AZ869">
        <f>COUNTIF(V869:AC869,"&lt;&gt;0")</f>
        <v>1</v>
      </c>
      <c r="BA869">
        <f>COUNTIF(AD869:AI869,"&lt;&gt;0")</f>
        <v>0</v>
      </c>
      <c r="BB869">
        <f>COUNTIF(AJ869:AL869,"&lt;&gt;0")</f>
        <v>0</v>
      </c>
      <c r="BC869">
        <f>COUNTIF(AS869:AW869,"&lt;&gt;0")</f>
        <v>0</v>
      </c>
      <c r="BD869">
        <f>COUNTIF(AM869:AR869,"&lt;&gt;0")</f>
        <v>0</v>
      </c>
      <c r="BE869" t="str" cm="1">
        <f t="array" ref="BE869">IF(AY869=1,INDEX($V$7:$AL$7,MATCH(TRUE,INDEX($V869:$AW869&lt;&gt;0,),0)),IF(AY869=0,INDEX($AM$7:$AW$7,MATCH(1,$AM869:$AW869,0)),IF(BF869="Multiple strategies","mixed drivers",IF(BF869="Supply chain","multiple supply","multiple silviculture"))))</f>
        <v xml:space="preserve">cutting intensity </v>
      </c>
      <c r="BF869" s="2" t="str" cm="1">
        <f t="array" ref="BF869">IF(COUNTIF(AZ869:BB869,"&lt;&gt;0")=1,INDEX($V$4:$AW$4,MATCH(TRUE,INDEX($V869:$AW869&lt;&gt;0,),0)),IF(COUNTIF(AZ869:BB869,"&lt;&gt;0")=0,INDEX($AM$4:$AW$4,MATCH(1,$AM869:$AW869,0)),"Multiple strategies"))</f>
        <v>Silviculture for removals</v>
      </c>
      <c r="BG869" s="1" t="s">
        <v>229</v>
      </c>
      <c r="BH869" t="s">
        <v>2390</v>
      </c>
      <c r="BI869" s="264" t="s">
        <v>2391</v>
      </c>
      <c r="BJ869" t="s">
        <v>2392</v>
      </c>
      <c r="BK869">
        <v>0</v>
      </c>
      <c r="BL869">
        <v>0.9</v>
      </c>
      <c r="BM869" s="143" t="e">
        <f>BL869/BK869</f>
        <v>#DIV/0!</v>
      </c>
      <c r="BN869">
        <f>BL869-BK869</f>
        <v>0.9</v>
      </c>
      <c r="BO869">
        <f>+BL869*t_to_m3</f>
        <v>1.8367346938775511</v>
      </c>
      <c r="BP869" s="306" t="s">
        <v>395</v>
      </c>
      <c r="BQ869" s="153" t="s">
        <v>3421</v>
      </c>
      <c r="BR869" s="264" t="s">
        <v>2393</v>
      </c>
      <c r="BS869">
        <v>-247.272727272727</v>
      </c>
      <c r="BT869">
        <v>-402.90909090909099</v>
      </c>
      <c r="BU869" s="144"/>
      <c r="BV869" s="144">
        <f>BT869-BS869</f>
        <v>-155.636363636364</v>
      </c>
      <c r="BW869" s="144"/>
      <c r="BX869" s="144">
        <f>BV869*10^4/10^6</f>
        <v>-1.5563636363636399</v>
      </c>
      <c r="BY869">
        <f>IFERROR(BX869/BO869,"")</f>
        <v>-0.8473535353535373</v>
      </c>
      <c r="BZ869">
        <v>0</v>
      </c>
      <c r="CA869">
        <v>0</v>
      </c>
      <c r="CB869">
        <v>0</v>
      </c>
      <c r="CC869">
        <v>0</v>
      </c>
      <c r="CD869">
        <v>0</v>
      </c>
      <c r="CE869">
        <v>0</v>
      </c>
      <c r="CF869">
        <v>0</v>
      </c>
      <c r="CG869">
        <v>0</v>
      </c>
      <c r="CH869">
        <v>0</v>
      </c>
      <c r="CI869">
        <v>0</v>
      </c>
      <c r="CJ869">
        <v>0</v>
      </c>
      <c r="CK869">
        <v>0</v>
      </c>
      <c r="CL869">
        <v>0</v>
      </c>
      <c r="CM869">
        <v>1</v>
      </c>
      <c r="CN869" t="str">
        <f>IF($BL869&lt;$BK869,"refNeedCorrection","refOK")</f>
        <v>refOK</v>
      </c>
      <c r="CO869">
        <f>IF($CN869="refOK",$BK869,$BL869)</f>
        <v>0</v>
      </c>
      <c r="CP869">
        <f>IF($CN869="refOK",$BL869,$BK869)</f>
        <v>0.9</v>
      </c>
      <c r="CQ869">
        <f>IF($CN869="refOK",$BO869,-$BO869)</f>
        <v>1.8367346938775511</v>
      </c>
      <c r="CR869">
        <f>IF($CN869="refOK",$BS869,$BT869)*IF($BP869="Emissions positive",-1,1)</f>
        <v>247.272727272727</v>
      </c>
      <c r="CS869">
        <f>IF($CN869="refOK",$BT869,$BS869)*IF($BP869="Emissions positive",-1,1)</f>
        <v>402.90909090909099</v>
      </c>
      <c r="CT869">
        <f>IF($CN869="refNeedCorrection",-BX869,BX869)*IF($BP869="Emissions positive",-1,1)</f>
        <v>1.5563636363636399</v>
      </c>
      <c r="CU869">
        <f>IFERROR(CT869/CQ869,"")</f>
        <v>0.8473535353535373</v>
      </c>
      <c r="CV869" s="2">
        <f>IFERROR((CS869-CR869)/ABS(CR869),"")</f>
        <v>0.62941176470588456</v>
      </c>
      <c r="CW869" s="1" t="s">
        <v>1199</v>
      </c>
      <c r="CX869" s="264" t="str">
        <f>IF(OR($CW869="prd",$CW869="std",$CW869="cit"),"loc",IF(OR($CW869="eur",$CW869="reg",$CW869="coy"),"reg",$CW869))</f>
        <v>reg</v>
      </c>
      <c r="CY869" t="s">
        <v>235</v>
      </c>
      <c r="CZ869">
        <v>2020</v>
      </c>
      <c r="DA869">
        <v>2100</v>
      </c>
      <c r="DB869">
        <f>DA869-CZ869</f>
        <v>80</v>
      </c>
      <c r="DC869" t="str">
        <f>IF(DB869=0,"0",IF(AND(DB869&gt;=1,DB869&lt;=30),"1-30",IF(AND(DB869&gt;30,DB869&lt;=70),"31-70",IF(AND(DB869&gt;70,DB869&lt;=100),"71-100",IF(DB869&gt;100,"+100")))))</f>
        <v>71-100</v>
      </c>
      <c r="DD869">
        <v>0</v>
      </c>
      <c r="DE869">
        <v>1</v>
      </c>
      <c r="DF869">
        <v>0</v>
      </c>
      <c r="DG869">
        <v>0</v>
      </c>
      <c r="DI869">
        <f>SUM(DD869:DG869)</f>
        <v>1</v>
      </c>
      <c r="DJ869" t="str">
        <f>IF(DI869=1,INDEX($DD$7:$DG$7,MATCH(1,$DD869:$DG869,0)),"mixedProduct")</f>
        <v>EnergyInput</v>
      </c>
      <c r="DK869">
        <f>IF(DD869=1,DK$7,0)</f>
        <v>0</v>
      </c>
      <c r="DL869" t="str">
        <f>IF(DE869=1,DL$7,0)</f>
        <v>Energy</v>
      </c>
      <c r="DM869">
        <f>IF(DF869=1,DM$7,0)</f>
        <v>0</v>
      </c>
      <c r="DN869">
        <f>IF(DG869=1,DN$7,0)</f>
        <v>0</v>
      </c>
      <c r="DO869">
        <v>1</v>
      </c>
      <c r="DP869">
        <v>0</v>
      </c>
      <c r="DQ869">
        <v>0</v>
      </c>
      <c r="DR869">
        <v>0</v>
      </c>
      <c r="DS869">
        <v>0</v>
      </c>
      <c r="DT869">
        <f>SUM(DO869:DP869)</f>
        <v>1</v>
      </c>
      <c r="DU869" s="143" t="str">
        <f>IF(DO869=1,"self-calculated DF",IF(DP869=1,"external DF used","explicit C balance"))</f>
        <v>self-calculated DF</v>
      </c>
      <c r="DV869">
        <v>1</v>
      </c>
      <c r="DW869">
        <v>0</v>
      </c>
      <c r="DX869">
        <v>1</v>
      </c>
      <c r="DY869">
        <v>0</v>
      </c>
      <c r="DZ869">
        <v>0</v>
      </c>
      <c r="EA869" s="143">
        <v>0</v>
      </c>
      <c r="EB869">
        <v>0</v>
      </c>
      <c r="EC869">
        <v>0</v>
      </c>
      <c r="ED869">
        <v>0</v>
      </c>
      <c r="EE869">
        <v>0</v>
      </c>
      <c r="EF869">
        <v>1</v>
      </c>
      <c r="EG869">
        <v>0</v>
      </c>
      <c r="EH869">
        <v>0</v>
      </c>
      <c r="EI869" s="2">
        <v>0</v>
      </c>
      <c r="EK869" t="str">
        <f>IF(AND(AND(AND(OR($DX869=1,$DW869=1),OR($EC869=1,$EA869=1)),SUM($DV869:$DZ869,$EF869)&gt;=4),SUM($EA869:$EE869)&gt;=2),"Whole sector","")</f>
        <v/>
      </c>
      <c r="EL869" t="str">
        <f>IF(AND(AND(OR($DX869=1,$DW869=1),AND($EC869=0,$EA869=0)),SUM($DV869:$DZ869,$EF869)&gt;=4),"Ecosystem approach","")</f>
        <v/>
      </c>
      <c r="EM869" s="2" t="str">
        <f>IF(AND(AND(AND($DX869=0,$DW869=0),OR($EC869=1,$EA869=1)),SUM($EB869:$EE869)&gt;=2),"Technology approach","")</f>
        <v/>
      </c>
      <c r="EP869" t="str">
        <f>IF(ISNUMBER(BU869),IF(ABS(BU869-[3]QC_indicators!$B$2)&gt;3*[3]QC_indicators!$C$2,"C ratio",IF(ISNUMBER(BY869),IF(ABS(BY869-[3]QC_indicators!$B$1)&gt;3*[3]QC_indicators!$C$1,"DF","no"))),IF(ISNUMBER(BY869),IF(ABS(BY869-[3]QC_indicators!$B$1)&gt;3*[3]QC_indicators!$C$1,"DF","no")))</f>
        <v>no</v>
      </c>
      <c r="ER869" s="264" t="s">
        <v>2394</v>
      </c>
      <c r="ET869" s="306" t="s">
        <v>3422</v>
      </c>
    </row>
    <row r="870" spans="1:150" ht="15" customHeight="1">
      <c r="A870" s="1" t="s">
        <v>878</v>
      </c>
      <c r="B870" t="s">
        <v>1791</v>
      </c>
      <c r="C870" t="s">
        <v>1792</v>
      </c>
      <c r="D870" t="s">
        <v>1793</v>
      </c>
      <c r="E870" t="s">
        <v>1794</v>
      </c>
      <c r="F870" t="s">
        <v>1795</v>
      </c>
      <c r="G870" t="s">
        <v>1184</v>
      </c>
      <c r="H870" t="s">
        <v>254</v>
      </c>
      <c r="I870">
        <v>2011</v>
      </c>
      <c r="J870">
        <v>6</v>
      </c>
      <c r="K870" t="s">
        <v>1796</v>
      </c>
      <c r="M870" t="str">
        <f>LEFT($D870,FIND(",",$D870)-1)&amp;"_"&amp;I870&amp;L870</f>
        <v>Kayo_2011</v>
      </c>
      <c r="N870" t="s">
        <v>222</v>
      </c>
      <c r="O870" s="145" t="s">
        <v>513</v>
      </c>
      <c r="Q870" t="s">
        <v>256</v>
      </c>
      <c r="R870" s="255" t="s">
        <v>225</v>
      </c>
      <c r="S870" s="263" t="s">
        <v>3354</v>
      </c>
      <c r="T870" t="s">
        <v>1797</v>
      </c>
      <c r="U870" s="264" t="s">
        <v>1798</v>
      </c>
      <c r="V870">
        <v>0</v>
      </c>
      <c r="W870">
        <v>0</v>
      </c>
      <c r="X870">
        <v>1</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s="141">
        <f>COUNTIF(V870:AW870,"&lt;&gt;0")</f>
        <v>1</v>
      </c>
      <c r="AY870" s="141">
        <f>COUNTIF(V870:AL870,"&lt;&gt;0")</f>
        <v>1</v>
      </c>
      <c r="AZ870">
        <f>COUNTIF(V870:AC870,"&lt;&gt;0")</f>
        <v>1</v>
      </c>
      <c r="BA870">
        <f>COUNTIF(AD870:AI870,"&lt;&gt;0")</f>
        <v>0</v>
      </c>
      <c r="BB870">
        <f>COUNTIF(AJ870:AL870,"&lt;&gt;0")</f>
        <v>0</v>
      </c>
      <c r="BC870">
        <f>COUNTIF(AS870:AW870,"&lt;&gt;0")</f>
        <v>0</v>
      </c>
      <c r="BD870">
        <f>COUNTIF(AM870:AR870,"&lt;&gt;0")</f>
        <v>0</v>
      </c>
      <c r="BE870" t="str">
        <f t="array" ref="BE870">IF(AY870=1,INDEX($V$7:$AL$7,MATCH(TRUE,INDEX($V870:$AW870&lt;&gt;0,),0)),IF(AY870=0,INDEX($AM$7:$AW$7,MATCH(1,$AM870:$AW870,0)),IF(BF870="Multiple strategies","mixed drivers",IF(BF870="Supply chain","multiple supply","multiple silviculture"))))</f>
        <v>rotation length</v>
      </c>
      <c r="BF870" s="2" t="str" cm="1">
        <f t="array" ref="BF870">IF(COUNTIF(AZ870:BB870,"&lt;&gt;0")=1,INDEX($V$4:$AW$4,MATCH(TRUE,INDEX($V870:$AW870&lt;&gt;0,),0)),IF(COUNTIF(AZ870:BB870,"&lt;&gt;0")=0,INDEX($AM$4:$AW$4,MATCH(1,$AM870:$AW870,0)),"Multiple strategies"))</f>
        <v>Silviculture for removals</v>
      </c>
      <c r="BG870" s="1" t="s">
        <v>229</v>
      </c>
      <c r="BH870" t="s">
        <v>1799</v>
      </c>
      <c r="BI870" s="260" t="s">
        <v>3346</v>
      </c>
      <c r="BJ870" s="260" t="s">
        <v>3347</v>
      </c>
      <c r="BK870">
        <v>20</v>
      </c>
      <c r="BL870">
        <v>24</v>
      </c>
      <c r="BM870">
        <f>BL870/BK870</f>
        <v>1.2</v>
      </c>
      <c r="BN870">
        <f>BL870-BK870</f>
        <v>4</v>
      </c>
      <c r="BO870">
        <f>BN870*10^6*t_to_m3</f>
        <v>8163265.3061224492</v>
      </c>
      <c r="BP870" t="s">
        <v>232</v>
      </c>
      <c r="BQ870" s="260" t="s">
        <v>3353</v>
      </c>
      <c r="BR870" t="s">
        <v>1300</v>
      </c>
      <c r="BU870" s="144"/>
      <c r="BV870">
        <v>7</v>
      </c>
      <c r="BX870">
        <f>BV870*10^6</f>
        <v>7000000</v>
      </c>
      <c r="BY870">
        <f>IFERROR(BX870/BO870,"")</f>
        <v>0.85749999999999993</v>
      </c>
      <c r="BZ870">
        <v>0</v>
      </c>
      <c r="CA870">
        <v>0</v>
      </c>
      <c r="CB870">
        <v>0</v>
      </c>
      <c r="CC870">
        <v>0</v>
      </c>
      <c r="CD870">
        <v>0</v>
      </c>
      <c r="CE870">
        <v>0</v>
      </c>
      <c r="CF870">
        <v>0</v>
      </c>
      <c r="CG870">
        <v>0</v>
      </c>
      <c r="CH870">
        <v>0</v>
      </c>
      <c r="CI870">
        <v>0</v>
      </c>
      <c r="CJ870">
        <v>0</v>
      </c>
      <c r="CK870">
        <v>0</v>
      </c>
      <c r="CL870">
        <v>0</v>
      </c>
      <c r="CM870">
        <v>0</v>
      </c>
      <c r="CN870" t="str">
        <f>IF(BL870&lt;BK870,"refNeedCorrection","refOK")</f>
        <v>refOK</v>
      </c>
      <c r="CO870">
        <f>IF($CN870="refOK",$BK870,$BL870)</f>
        <v>20</v>
      </c>
      <c r="CP870">
        <f>IF($CN870="refOK",$BL870,$BK870)</f>
        <v>24</v>
      </c>
      <c r="CQ870">
        <f>IF($CN870="refOK",$BO870,-$BO870)</f>
        <v>8163265.3061224492</v>
      </c>
      <c r="CR870">
        <f>IF($CN870="refOK",$BS870,#REF!)*IF($BP870="Emissions positive",-1,1)</f>
        <v>0</v>
      </c>
      <c r="CS870" t="e">
        <f>IF($CN870="refOK",#REF!,$BS870)*IF($BP870="Emissions positive",-1,1)</f>
        <v>#REF!</v>
      </c>
      <c r="CT870">
        <f>IF($CN870="refNeedCorrection",-BX870,BX870)*IF($BP870="Emissions positive",-1,1)</f>
        <v>7000000</v>
      </c>
      <c r="CU870">
        <f>IFERROR(CT870/CQ870,"")</f>
        <v>0.85749999999999993</v>
      </c>
      <c r="CV870" s="2" t="str">
        <f>IFERROR((CS870-CR870)/ABS(CR870),"")</f>
        <v/>
      </c>
      <c r="CW870" s="1" t="s">
        <v>1203</v>
      </c>
      <c r="CX870" t="str">
        <f>IF(OR($CW870="prd",$CW870="std",$CW870="cit"),"loc",IF(OR($CW870="eur",$CW870="reg",$CW870="coy"),"reg",$CW870))</f>
        <v>reg</v>
      </c>
      <c r="CY870" t="s">
        <v>961</v>
      </c>
      <c r="CZ870">
        <v>2005</v>
      </c>
      <c r="DA870">
        <v>2050</v>
      </c>
      <c r="DB870">
        <v>45</v>
      </c>
      <c r="DC870" t="str">
        <f>IF(DB870=0,"0",IF(AND(DB870&gt;=1,DB870&lt;=30),"1-30",IF(AND(DB870&gt;30,DB870&lt;=70),"31-70",IF(AND(DB870&gt;70,DB870&lt;=100),"71-100",IF(DB870&gt;100,"+100")))))</f>
        <v>31-70</v>
      </c>
      <c r="DD870">
        <v>0</v>
      </c>
      <c r="DE870">
        <v>1</v>
      </c>
      <c r="DF870">
        <v>0</v>
      </c>
      <c r="DG870">
        <v>0</v>
      </c>
      <c r="DI870">
        <f>SUM(DD870:DG870)</f>
        <v>1</v>
      </c>
      <c r="DJ870" t="str">
        <f>IF(DI870=1,INDEX($DD$7:$DG$7,MATCH(1,$DD870:$DG870,0)),"mixedProduct")</f>
        <v>EnergyInput</v>
      </c>
      <c r="DK870">
        <f>IF(DD870=1,DK$7,0)</f>
        <v>0</v>
      </c>
      <c r="DL870" t="str">
        <f>IF(DE870=1,DL$7,0)</f>
        <v>Energy</v>
      </c>
      <c r="DM870">
        <f>IF(DF870=1,DM$7,0)</f>
        <v>0</v>
      </c>
      <c r="DN870">
        <f>IF(DG870=1,DN$7,0)</f>
        <v>0</v>
      </c>
      <c r="DO870">
        <v>0</v>
      </c>
      <c r="DP870">
        <v>0</v>
      </c>
      <c r="DQ870">
        <v>0</v>
      </c>
      <c r="DR870">
        <v>0</v>
      </c>
      <c r="DS870">
        <v>0</v>
      </c>
      <c r="DT870">
        <f>SUM(DO870:DP870)</f>
        <v>0</v>
      </c>
      <c r="DU870" s="143" t="str">
        <f>IF(DO870=1,"self-calculated DF",IF(DP870=1,"external DF used","explicit C balance"))</f>
        <v>explicit C balance</v>
      </c>
      <c r="DV870">
        <v>0</v>
      </c>
      <c r="DW870">
        <v>1</v>
      </c>
      <c r="DX870">
        <v>1</v>
      </c>
      <c r="DY870">
        <v>0</v>
      </c>
      <c r="DZ870">
        <v>0</v>
      </c>
      <c r="EA870" s="143">
        <v>1</v>
      </c>
      <c r="EB870">
        <v>1</v>
      </c>
      <c r="EC870">
        <v>0</v>
      </c>
      <c r="ED870">
        <v>0</v>
      </c>
      <c r="EE870">
        <v>0</v>
      </c>
      <c r="EF870">
        <v>1</v>
      </c>
      <c r="EG870">
        <v>1</v>
      </c>
      <c r="EH870">
        <v>0</v>
      </c>
      <c r="EI870" s="2">
        <v>0</v>
      </c>
      <c r="EK870" t="str">
        <f>IF(AND(AND(AND(OR($DX870=1,$DW870=1),OR($EC870=1,$EA870=1)),SUM($DV870:$DZ870,$EF870)&gt;=4),SUM($EA870:$EE870)&gt;=2),"Whole sector","")</f>
        <v/>
      </c>
      <c r="EL870" t="str">
        <f>IF(AND(AND(OR($DX870=1,$DW870=1),AND($EC870=0,$EA870=0)),SUM($DV870:$DZ870,$EF870)&gt;=4),"Ecosystem approach","")</f>
        <v/>
      </c>
      <c r="EM870" s="2" t="str">
        <f>IF(AND(AND(AND($DX870=0,$DW870=0),OR($EC870=1,$EA870=1)),SUM($EB870:$EE870)&gt;=2),"Technology approach","")</f>
        <v/>
      </c>
      <c r="EP870" t="str">
        <f>IF(ISNUMBER(BU870),IF(ABS(BU870-[4]QC_indicators!$B$2)&gt;3*[4]QC_indicators!$C$2,"C ratio",IF(ISNUMBER(BY870),IF(ABS(BY870-[4]QC_indicators!$B$1)&gt;3*[4]QC_indicators!$C$1,"DF","no"))),IF(ISNUMBER(BY870),IF(ABS(BY870-[4]QC_indicators!$B$1)&gt;3*[4]QC_indicators!$C$1,"DF","no")))</f>
        <v>no</v>
      </c>
      <c r="ET870" s="264" t="s">
        <v>3273</v>
      </c>
    </row>
    <row r="871" spans="1:150" ht="15" customHeight="1">
      <c r="A871" s="1" t="s">
        <v>878</v>
      </c>
      <c r="B871" t="s">
        <v>1791</v>
      </c>
      <c r="C871" t="s">
        <v>1792</v>
      </c>
      <c r="D871" t="s">
        <v>1793</v>
      </c>
      <c r="E871" t="s">
        <v>1794</v>
      </c>
      <c r="F871" t="s">
        <v>1795</v>
      </c>
      <c r="G871" t="s">
        <v>1184</v>
      </c>
      <c r="H871" t="s">
        <v>254</v>
      </c>
      <c r="I871">
        <v>2011</v>
      </c>
      <c r="J871">
        <v>6</v>
      </c>
      <c r="K871" t="s">
        <v>1796</v>
      </c>
      <c r="M871" t="str">
        <f>LEFT($D871,FIND(",",$D871)-1)&amp;"_"&amp;I871&amp;L871</f>
        <v>Kayo_2011</v>
      </c>
      <c r="N871" t="s">
        <v>222</v>
      </c>
      <c r="O871" s="145" t="s">
        <v>513</v>
      </c>
      <c r="Q871" t="s">
        <v>256</v>
      </c>
      <c r="R871" s="255" t="s">
        <v>225</v>
      </c>
      <c r="S871" s="263" t="s">
        <v>3351</v>
      </c>
      <c r="T871" t="s">
        <v>1800</v>
      </c>
      <c r="U871" t="s">
        <v>1801</v>
      </c>
      <c r="V871">
        <v>0</v>
      </c>
      <c r="W871">
        <v>0</v>
      </c>
      <c r="X871">
        <v>1</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s="141">
        <f>COUNTIF(V871:AW871,"&lt;&gt;0")</f>
        <v>1</v>
      </c>
      <c r="AY871" s="141">
        <f>COUNTIF(V871:AL871,"&lt;&gt;0")</f>
        <v>1</v>
      </c>
      <c r="AZ871">
        <f>COUNTIF(V871:AC871,"&lt;&gt;0")</f>
        <v>1</v>
      </c>
      <c r="BA871">
        <f>COUNTIF(AD871:AI871,"&lt;&gt;0")</f>
        <v>0</v>
      </c>
      <c r="BB871">
        <f>COUNTIF(AJ871:AL871,"&lt;&gt;0")</f>
        <v>0</v>
      </c>
      <c r="BC871">
        <f>COUNTIF(AS871:AW871,"&lt;&gt;0")</f>
        <v>0</v>
      </c>
      <c r="BD871">
        <f>COUNTIF(AM871:AR871,"&lt;&gt;0")</f>
        <v>0</v>
      </c>
      <c r="BE871" t="str">
        <f t="array" ref="BE871">IF(AY871=1,INDEX($V$7:$AL$7,MATCH(TRUE,INDEX($V871:$AW871&lt;&gt;0,),0)),IF(AY871=0,INDEX($AM$7:$AW$7,MATCH(1,$AM871:$AW871,0)),IF(BF871="Multiple strategies","mixed drivers",IF(BF871="Supply chain","multiple supply","multiple silviculture"))))</f>
        <v>rotation length</v>
      </c>
      <c r="BF871" s="2" t="str" cm="1">
        <f t="array" ref="BF871">IF(COUNTIF(AZ871:BB871,"&lt;&gt;0")=1,INDEX($V$4:$AW$4,MATCH(TRUE,INDEX($V871:$AW871&lt;&gt;0,),0)),IF(COUNTIF(AZ871:BB871,"&lt;&gt;0")=0,INDEX($AM$4:$AW$4,MATCH(1,$AM871:$AW871,0)),"Multiple strategies"))</f>
        <v>Silviculture for removals</v>
      </c>
      <c r="BG871" s="1" t="s">
        <v>229</v>
      </c>
      <c r="BH871" t="s">
        <v>1799</v>
      </c>
      <c r="BI871" s="260" t="s">
        <v>3346</v>
      </c>
      <c r="BJ871" s="260" t="s">
        <v>3347</v>
      </c>
      <c r="BK871">
        <v>15</v>
      </c>
      <c r="BL871">
        <v>32</v>
      </c>
      <c r="BM871">
        <f>BL871/BK871</f>
        <v>2.1333333333333333</v>
      </c>
      <c r="BN871">
        <f>BL871-BK871</f>
        <v>17</v>
      </c>
      <c r="BO871">
        <f>BN871*10^6*t_to_m3</f>
        <v>34693877.551020406</v>
      </c>
      <c r="BP871" t="s">
        <v>232</v>
      </c>
      <c r="BQ871" s="260" t="s">
        <v>3355</v>
      </c>
      <c r="BR871" t="s">
        <v>1300</v>
      </c>
      <c r="BT871" s="260"/>
      <c r="BU871" s="144"/>
      <c r="BV871" s="260">
        <v>30</v>
      </c>
      <c r="BX871">
        <f>BV871*10^6</f>
        <v>30000000</v>
      </c>
      <c r="BY871">
        <f>IFERROR(BX871/BO871,"")</f>
        <v>0.86470588235294121</v>
      </c>
      <c r="BZ871">
        <v>0</v>
      </c>
      <c r="CA871">
        <v>0</v>
      </c>
      <c r="CB871">
        <v>0</v>
      </c>
      <c r="CC871">
        <v>0</v>
      </c>
      <c r="CD871">
        <v>0</v>
      </c>
      <c r="CE871">
        <v>0</v>
      </c>
      <c r="CF871">
        <v>0</v>
      </c>
      <c r="CG871">
        <v>0</v>
      </c>
      <c r="CH871">
        <v>0</v>
      </c>
      <c r="CI871">
        <v>0</v>
      </c>
      <c r="CJ871">
        <v>0</v>
      </c>
      <c r="CK871">
        <v>0</v>
      </c>
      <c r="CL871">
        <v>0</v>
      </c>
      <c r="CM871">
        <v>0</v>
      </c>
      <c r="CN871" t="str">
        <f>IF(BL871&lt;BK871,"refNeedCorrection","refOK")</f>
        <v>refOK</v>
      </c>
      <c r="CO871">
        <f>IF($CN871="refOK",$BK871,$BL871)</f>
        <v>15</v>
      </c>
      <c r="CP871">
        <f>IF($CN871="refOK",$BL871,$BK871)</f>
        <v>32</v>
      </c>
      <c r="CQ871">
        <f>IF($CN871="refOK",$BO871,-$BO871)</f>
        <v>34693877.551020406</v>
      </c>
      <c r="CR871">
        <f>IF($CN871="refOK",$BS871,$BT871)*IF($BP871="Emissions positive",-1,1)</f>
        <v>0</v>
      </c>
      <c r="CS871">
        <f>IF($CN871="refOK",$BT871,$BS871)*IF($BP871="Emissions positive",-1,1)</f>
        <v>0</v>
      </c>
      <c r="CT871">
        <f>IF($CN871="refNeedCorrection",-BX871,BX871)*IF($BP871="Emissions positive",-1,1)</f>
        <v>30000000</v>
      </c>
      <c r="CU871">
        <f>IFERROR(CT871/CQ871,"")</f>
        <v>0.86470588235294121</v>
      </c>
      <c r="CV871" s="2" t="str">
        <f>IFERROR((CS871-CR871)/ABS(CR871),"")</f>
        <v/>
      </c>
      <c r="CW871" s="1" t="s">
        <v>1203</v>
      </c>
      <c r="CX871" t="str">
        <f>IF(OR($CW871="prd",$CW871="std",$CW871="cit"),"loc",IF(OR($CW871="eur",$CW871="reg",$CW871="coy"),"reg",$CW871))</f>
        <v>reg</v>
      </c>
      <c r="CY871" t="s">
        <v>961</v>
      </c>
      <c r="CZ871">
        <v>2005</v>
      </c>
      <c r="DA871">
        <v>2050</v>
      </c>
      <c r="DB871">
        <v>45</v>
      </c>
      <c r="DC871" t="str">
        <f>IF(DB871=0,"0",IF(AND(DB871&gt;=1,DB871&lt;=30),"1-30",IF(AND(DB871&gt;30,DB871&lt;=70),"31-70",IF(AND(DB871&gt;70,DB871&lt;=100),"71-100",IF(DB871&gt;100,"+100")))))</f>
        <v>31-70</v>
      </c>
      <c r="DD871">
        <v>0</v>
      </c>
      <c r="DE871">
        <v>1</v>
      </c>
      <c r="DF871">
        <v>0</v>
      </c>
      <c r="DG871">
        <v>0</v>
      </c>
      <c r="DI871">
        <f>SUM(DD871:DG871)</f>
        <v>1</v>
      </c>
      <c r="DJ871" t="str">
        <f>IF(DI871=1,INDEX($DD$7:$DG$7,MATCH(1,$DD871:$DG871,0)),"mixedProduct")</f>
        <v>EnergyInput</v>
      </c>
      <c r="DK871">
        <f>IF(DD871=1,DK$7,0)</f>
        <v>0</v>
      </c>
      <c r="DL871" t="str">
        <f>IF(DE871=1,DL$7,0)</f>
        <v>Energy</v>
      </c>
      <c r="DM871">
        <f>IF(DF871=1,DM$7,0)</f>
        <v>0</v>
      </c>
      <c r="DN871">
        <f>IF(DG871=1,DN$7,0)</f>
        <v>0</v>
      </c>
      <c r="DO871">
        <v>0</v>
      </c>
      <c r="DP871">
        <v>0</v>
      </c>
      <c r="DQ871">
        <v>0</v>
      </c>
      <c r="DR871">
        <v>0</v>
      </c>
      <c r="DS871">
        <v>0</v>
      </c>
      <c r="DT871">
        <f>SUM(DO871:DP871)</f>
        <v>0</v>
      </c>
      <c r="DU871" s="143" t="str">
        <f>IF(DO871=1,"self-calculated DF",IF(DP871=1,"external DF used","explicit C balance"))</f>
        <v>explicit C balance</v>
      </c>
      <c r="DV871">
        <v>0</v>
      </c>
      <c r="DW871">
        <v>1</v>
      </c>
      <c r="DX871">
        <v>1</v>
      </c>
      <c r="DY871">
        <v>0</v>
      </c>
      <c r="DZ871">
        <v>0</v>
      </c>
      <c r="EA871" s="143">
        <v>1</v>
      </c>
      <c r="EB871">
        <v>1</v>
      </c>
      <c r="EC871">
        <v>0</v>
      </c>
      <c r="ED871">
        <v>0</v>
      </c>
      <c r="EE871">
        <v>0</v>
      </c>
      <c r="EF871">
        <v>1</v>
      </c>
      <c r="EG871">
        <v>1</v>
      </c>
      <c r="EH871">
        <v>0</v>
      </c>
      <c r="EI871" s="2">
        <v>0</v>
      </c>
      <c r="EK871" t="str">
        <f>IF(AND(AND(AND(OR($DX871=1,$DW871=1),OR($EC871=1,$EA871=1)),SUM($DV871:$DZ871,$EF871)&gt;=4),SUM($EA871:$EE871)&gt;=2),"Whole sector","")</f>
        <v/>
      </c>
      <c r="EL871" t="str">
        <f>IF(AND(AND(OR($DX871=1,$DW871=1),AND($EC871=0,$EA871=0)),SUM($DV871:$DZ871,$EF871)&gt;=4),"Ecosystem approach","")</f>
        <v/>
      </c>
      <c r="EM871" s="2" t="str">
        <f>IF(AND(AND(AND($DX871=0,$DW871=0),OR($EC871=1,$EA871=1)),SUM($EB871:$EE871)&gt;=2),"Technology approach","")</f>
        <v/>
      </c>
      <c r="EP871" t="str">
        <f>IF(ISNUMBER(BU871),IF(ABS(BU871-[4]QC_indicators!$B$2)&gt;3*[4]QC_indicators!$C$2,"C ratio",IF(ISNUMBER(BY871),IF(ABS(BY871-[4]QC_indicators!$B$1)&gt;3*[4]QC_indicators!$C$1,"DF","no"))),IF(ISNUMBER(BY871),IF(ABS(BY871-[4]QC_indicators!$B$1)&gt;3*[4]QC_indicators!$C$1,"DF","no")))</f>
        <v>no</v>
      </c>
      <c r="ET871" s="264" t="s">
        <v>3273</v>
      </c>
    </row>
    <row r="872" spans="1:150" ht="15" customHeight="1">
      <c r="A872" s="1" t="s">
        <v>380</v>
      </c>
      <c r="B872" t="s">
        <v>381</v>
      </c>
      <c r="C872" t="s">
        <v>382</v>
      </c>
      <c r="D872" t="s">
        <v>383</v>
      </c>
      <c r="E872" t="s">
        <v>384</v>
      </c>
      <c r="F872" t="s">
        <v>385</v>
      </c>
      <c r="G872" t="s">
        <v>386</v>
      </c>
      <c r="H872" t="s">
        <v>254</v>
      </c>
      <c r="I872">
        <v>2022</v>
      </c>
      <c r="J872">
        <v>1</v>
      </c>
      <c r="K872" t="s">
        <v>387</v>
      </c>
      <c r="L872" t="s">
        <v>388</v>
      </c>
      <c r="M872" t="str">
        <f>LEFT($D872,FIND(",",$D872)-1)&amp;"_"&amp;I872&amp;L872</f>
        <v>Balasbaneh_2022a</v>
      </c>
      <c r="N872" t="s">
        <v>222</v>
      </c>
      <c r="O872" s="145" t="s">
        <v>223</v>
      </c>
      <c r="Q872" s="264" t="s">
        <v>389</v>
      </c>
      <c r="R872" s="269" t="s">
        <v>341</v>
      </c>
      <c r="S872" s="263" t="s">
        <v>390</v>
      </c>
      <c r="T872" s="264" t="s">
        <v>391</v>
      </c>
      <c r="U872" s="264" t="s">
        <v>392</v>
      </c>
      <c r="V872">
        <v>0</v>
      </c>
      <c r="W872">
        <v>0</v>
      </c>
      <c r="X872">
        <v>0</v>
      </c>
      <c r="Y872">
        <v>0</v>
      </c>
      <c r="Z872">
        <v>0</v>
      </c>
      <c r="AA872">
        <v>0</v>
      </c>
      <c r="AB872">
        <v>0</v>
      </c>
      <c r="AC872">
        <v>0</v>
      </c>
      <c r="AD872">
        <v>0</v>
      </c>
      <c r="AE872">
        <v>0</v>
      </c>
      <c r="AF872">
        <v>0</v>
      </c>
      <c r="AG872">
        <v>0</v>
      </c>
      <c r="AH872">
        <v>0</v>
      </c>
      <c r="AI872">
        <v>0</v>
      </c>
      <c r="AJ872">
        <v>0</v>
      </c>
      <c r="AK872">
        <v>1</v>
      </c>
      <c r="AL872">
        <v>0</v>
      </c>
      <c r="AM872">
        <v>0</v>
      </c>
      <c r="AN872">
        <v>0</v>
      </c>
      <c r="AO872">
        <v>0</v>
      </c>
      <c r="AP872">
        <v>0</v>
      </c>
      <c r="AQ872">
        <v>0</v>
      </c>
      <c r="AR872">
        <v>0</v>
      </c>
      <c r="AS872">
        <v>0</v>
      </c>
      <c r="AT872">
        <v>0</v>
      </c>
      <c r="AU872">
        <v>0</v>
      </c>
      <c r="AV872">
        <v>0</v>
      </c>
      <c r="AW872">
        <v>0</v>
      </c>
      <c r="AX872" s="141">
        <f>COUNTIF(V872:AW872,"&lt;&gt;0")</f>
        <v>1</v>
      </c>
      <c r="AY872" s="141">
        <f>COUNTIF(V872:AL872,"&lt;&gt;0")</f>
        <v>1</v>
      </c>
      <c r="AZ872">
        <f>COUNTIF(V872:AC872,"&lt;&gt;0")</f>
        <v>0</v>
      </c>
      <c r="BA872">
        <f>COUNTIF(AD872:AI872,"&lt;&gt;0")</f>
        <v>0</v>
      </c>
      <c r="BB872">
        <f>COUNTIF(AJ872:AL872,"&lt;&gt;0")</f>
        <v>1</v>
      </c>
      <c r="BC872">
        <f>COUNTIF(AS872:AW872,"&lt;&gt;0")</f>
        <v>0</v>
      </c>
      <c r="BD872">
        <f>COUNTIF(AM872:AR872,"&lt;&gt;0")</f>
        <v>0</v>
      </c>
      <c r="BE872" t="str" cm="1">
        <f t="array" ref="BE872">IF(AY872=1,INDEX($V$7:$AL$7,MATCH(TRUE,INDEX($V872:$AW872&lt;&gt;0,),0)),IF(AY872=0,INDEX($AM$7:$AW$7,MATCH(1,$AM872:$AW872,0)),IF(BF872="Multiple strategies","mixed drivers",IF(BF872="Supply chain","multiple supply","multiple silviculture"))))</f>
        <v>technologies/design switch</v>
      </c>
      <c r="BF872" s="2" t="str" cm="1">
        <f t="array" ref="BF872">IF(COUNTIF(AZ872:BB872,"&lt;&gt;0")=1,INDEX($V$4:$AW$4,MATCH(TRUE,INDEX($V872:$AW872&lt;&gt;0,),0)),IF(COUNTIF(AZ872:BB872,"&lt;&gt;0")=0,INDEX($AM$4:$AW$4,MATCH(1,$AM872:$AW872,0)),"Multiple strategies"))</f>
        <v>Technology</v>
      </c>
      <c r="BG872" s="1" t="s">
        <v>229</v>
      </c>
      <c r="BH872" s="264" t="s">
        <v>393</v>
      </c>
      <c r="BI872" s="264" t="s">
        <v>394</v>
      </c>
      <c r="BJ872" s="264" t="s">
        <v>345</v>
      </c>
      <c r="BK872">
        <v>0</v>
      </c>
      <c r="BL872">
        <f>500+9300</f>
        <v>9800</v>
      </c>
      <c r="BN872">
        <f>BL872-BK872</f>
        <v>9800</v>
      </c>
      <c r="BO872">
        <f>BN872*kg_to_m3</f>
        <v>20.000000000000004</v>
      </c>
      <c r="BP872" s="264" t="s">
        <v>395</v>
      </c>
      <c r="BQ872" s="335" t="s">
        <v>396</v>
      </c>
      <c r="BR872" s="264" t="s">
        <v>397</v>
      </c>
      <c r="BS872">
        <v>26513</v>
      </c>
      <c r="BT872">
        <v>9005</v>
      </c>
      <c r="BU872" s="144">
        <f>IFERROR(BT872/BS872,"")</f>
        <v>0.33964470259872515</v>
      </c>
      <c r="BV872">
        <f>BT872-BS872</f>
        <v>-17508</v>
      </c>
      <c r="BX872">
        <f>BV872/1000</f>
        <v>-17.507999999999999</v>
      </c>
      <c r="BY872">
        <f>IFERROR(BX872/BO872,"")</f>
        <v>-0.87539999999999984</v>
      </c>
      <c r="BZ872">
        <v>1</v>
      </c>
      <c r="CA872">
        <v>0</v>
      </c>
      <c r="CB872">
        <v>0</v>
      </c>
      <c r="CC872">
        <v>0</v>
      </c>
      <c r="CD872">
        <v>0</v>
      </c>
      <c r="CE872">
        <v>0</v>
      </c>
      <c r="CF872">
        <v>0</v>
      </c>
      <c r="CG872">
        <v>0</v>
      </c>
      <c r="CH872">
        <v>0</v>
      </c>
      <c r="CI872">
        <v>0</v>
      </c>
      <c r="CJ872">
        <v>0</v>
      </c>
      <c r="CK872">
        <v>0</v>
      </c>
      <c r="CL872">
        <v>0</v>
      </c>
      <c r="CM872">
        <v>0</v>
      </c>
      <c r="CN872" t="str">
        <f>IF($BL872&lt;$BK872,"refNeedCorrection","refOK")</f>
        <v>refOK</v>
      </c>
      <c r="CO872"/>
      <c r="CP872"/>
      <c r="CQ872">
        <f>IF($CN872="refOK",$BO872,-$BO872)</f>
        <v>20.000000000000004</v>
      </c>
      <c r="CR872">
        <f>IF($CN872="refOK",$BS872,$BT872)*IF($BP872="Emissions positive",-1,1)</f>
        <v>-26513</v>
      </c>
      <c r="CS872">
        <f>IF($CN872="refOK",$BT872,$BS872)*IF($BP872="Emissions positive",-1,1)</f>
        <v>-9005</v>
      </c>
      <c r="CT872">
        <f>IF($CN872="refNeedCorrection",-BX872,BX872)*IF($BP872="Emissions positive",-1,1)</f>
        <v>17.507999999999999</v>
      </c>
      <c r="CU872">
        <f>IFERROR(CT872/CQ872,"")</f>
        <v>0.87539999999999984</v>
      </c>
      <c r="CV872" s="2">
        <f>IFERROR((CS872-CR872)/ABS(CR872),"")</f>
        <v>0.66035529740127485</v>
      </c>
      <c r="CW872" s="263" t="s">
        <v>263</v>
      </c>
      <c r="CX872" s="264" t="str">
        <f>IF(OR($CW872="prd",$CW872="std",$CW872="cit"),"loc",IF(OR($CW872="eur",$CW872="reg",$CW872="coy"),"reg",$CW872))</f>
        <v>loc</v>
      </c>
      <c r="CY872" s="264" t="s">
        <v>348</v>
      </c>
      <c r="DB872">
        <v>0</v>
      </c>
      <c r="DC872" t="str">
        <f>IF(DB872=0,"0",IF(AND(DB872&gt;=1,DB872&lt;=30),"1-30",IF(AND(DB872&gt;30,DB872&lt;=70),"31-70",IF(AND(DB872&gt;70,DB872&lt;=100),"71-100",IF(DB872&gt;100,"+100")))))</f>
        <v>0</v>
      </c>
      <c r="DD872">
        <v>0</v>
      </c>
      <c r="DE872">
        <v>0</v>
      </c>
      <c r="DF872">
        <v>0</v>
      </c>
      <c r="DG872">
        <v>1</v>
      </c>
      <c r="DH872">
        <v>0</v>
      </c>
      <c r="DI872">
        <f>SUM(DD872:DH872)</f>
        <v>1</v>
      </c>
      <c r="DJ872" t="str">
        <f>IF(DI872=1,INDEX($DD$7:$DG$7,MATCH(1,$DD872:$DG872,0)),"mixedProduct")</f>
        <v>TimberInput</v>
      </c>
      <c r="DK872">
        <f>IF(DD872=1,DK$7,0)</f>
        <v>0</v>
      </c>
      <c r="DL872">
        <f>IF(DE872=1,DL$7,0)</f>
        <v>0</v>
      </c>
      <c r="DM872">
        <f>IF(DF872=1,DM$7,0)</f>
        <v>0</v>
      </c>
      <c r="DN872" t="str">
        <f>IF(DG872=1,DN$7,0)</f>
        <v>Timber</v>
      </c>
      <c r="DO872">
        <v>0</v>
      </c>
      <c r="DP872">
        <v>0</v>
      </c>
      <c r="DQ872">
        <v>0</v>
      </c>
      <c r="DR872">
        <v>0</v>
      </c>
      <c r="DS872">
        <v>0</v>
      </c>
      <c r="DT872">
        <f>SUM(DO872:DP872)</f>
        <v>0</v>
      </c>
      <c r="DU872" t="str">
        <f>IF(DO872=1,"self-calculated DF",IF(DP872=1,"external DF used","explicit C balance"))</f>
        <v>explicit C balance</v>
      </c>
      <c r="DV872">
        <v>0</v>
      </c>
      <c r="DW872">
        <v>0</v>
      </c>
      <c r="DX872">
        <v>0</v>
      </c>
      <c r="DY872">
        <v>0</v>
      </c>
      <c r="DZ872">
        <v>0</v>
      </c>
      <c r="EA872" s="143">
        <v>1</v>
      </c>
      <c r="EB872">
        <v>1</v>
      </c>
      <c r="EC872">
        <v>1</v>
      </c>
      <c r="ED872">
        <v>1</v>
      </c>
      <c r="EE872">
        <v>1</v>
      </c>
      <c r="EF872">
        <v>0</v>
      </c>
      <c r="EG872">
        <v>0</v>
      </c>
      <c r="EH872">
        <v>0</v>
      </c>
      <c r="EI872" s="2">
        <v>0</v>
      </c>
      <c r="EK872" t="str">
        <f>IF(AND(AND(AND(OR($DX872=1,$DW872=1),OR($EC872=1,$EA872=1)),SUM($DV872:$DZ872,$EF872)&gt;=4),SUM($EA872:$EE872)&gt;=2),"Whole sector","")</f>
        <v/>
      </c>
      <c r="EL872" t="str">
        <f>IF(AND(AND(OR($DX872=1,$DW872=1),AND($EC872=0,$EA872=0)),SUM($DV872:$DZ872,$EF872)&gt;=4),"Ecosystem approach","")</f>
        <v/>
      </c>
      <c r="EM872" s="2" t="str">
        <f>IF(AND(AND(AND($DX872=0,$DW872=0),OR($EC872=1,$EA872=1)),SUM($EB872:$EE872)&gt;=2),"Technology approach","")</f>
        <v>Technology approach</v>
      </c>
      <c r="EP872" t="str">
        <f>IF(ISNUMBER(BU872),IF(ABS(BU872-[3]QC_indicators!$B$2)&gt;3*[3]QC_indicators!$C$2,"C ratio",IF(ISNUMBER(BY872),IF(ABS(BY872-[3]QC_indicators!$B$1)&gt;3*[3]QC_indicators!$C$1,"DF","no"))),IF(ISNUMBER(BY872),IF(ABS(BY872-[3]QC_indicators!$B$1)&gt;3*[3]QC_indicators!$C$1,"DF","no")))</f>
        <v>no</v>
      </c>
      <c r="ET872" s="306" t="s">
        <v>1164</v>
      </c>
    </row>
    <row r="873" spans="1:150" ht="15" customHeight="1">
      <c r="A873" s="1" t="s">
        <v>599</v>
      </c>
      <c r="B873" t="s">
        <v>788</v>
      </c>
      <c r="C873" t="s">
        <v>789</v>
      </c>
      <c r="D873" t="s">
        <v>790</v>
      </c>
      <c r="E873" t="s">
        <v>791</v>
      </c>
      <c r="F873" t="s">
        <v>792</v>
      </c>
      <c r="G873" t="s">
        <v>605</v>
      </c>
      <c r="H873" t="s">
        <v>254</v>
      </c>
      <c r="I873">
        <v>2022</v>
      </c>
      <c r="J873">
        <v>2</v>
      </c>
      <c r="K873" t="s">
        <v>793</v>
      </c>
      <c r="M873" t="str">
        <f>LEFT($D873,FIND(",",$D873)-1)&amp;"_"&amp;I873&amp;L873</f>
        <v>Hegeir_2022</v>
      </c>
      <c r="N873" t="s">
        <v>222</v>
      </c>
      <c r="O873" s="161" t="s">
        <v>223</v>
      </c>
      <c r="Q873" t="s">
        <v>389</v>
      </c>
      <c r="R873" s="2" t="s">
        <v>274</v>
      </c>
      <c r="S873" s="154" t="s">
        <v>794</v>
      </c>
      <c r="T873" s="149" t="s">
        <v>629</v>
      </c>
      <c r="U873" t="s">
        <v>624</v>
      </c>
      <c r="V873">
        <v>0</v>
      </c>
      <c r="W873">
        <v>0</v>
      </c>
      <c r="X873">
        <v>0</v>
      </c>
      <c r="Y873">
        <v>0</v>
      </c>
      <c r="Z873">
        <v>0</v>
      </c>
      <c r="AA873">
        <v>0</v>
      </c>
      <c r="AB873">
        <v>0</v>
      </c>
      <c r="AC873">
        <v>0</v>
      </c>
      <c r="AD873">
        <v>0</v>
      </c>
      <c r="AE873">
        <v>0</v>
      </c>
      <c r="AF873">
        <v>0</v>
      </c>
      <c r="AG873">
        <v>0</v>
      </c>
      <c r="AH873">
        <v>0</v>
      </c>
      <c r="AI873">
        <v>0</v>
      </c>
      <c r="AJ873">
        <v>0</v>
      </c>
      <c r="AK873">
        <v>1</v>
      </c>
      <c r="AL873">
        <v>0</v>
      </c>
      <c r="AM873">
        <v>0</v>
      </c>
      <c r="AN873">
        <v>0</v>
      </c>
      <c r="AO873">
        <v>0</v>
      </c>
      <c r="AP873">
        <v>0</v>
      </c>
      <c r="AQ873">
        <v>0</v>
      </c>
      <c r="AR873">
        <v>0</v>
      </c>
      <c r="AS873">
        <v>0</v>
      </c>
      <c r="AT873">
        <v>0</v>
      </c>
      <c r="AU873">
        <v>0</v>
      </c>
      <c r="AV873">
        <v>0</v>
      </c>
      <c r="AW873">
        <v>0</v>
      </c>
      <c r="AX873" s="141">
        <f>COUNTIF(V873:AW873,"&lt;&gt;0")</f>
        <v>1</v>
      </c>
      <c r="AY873" s="141">
        <f>COUNTIF(V873:AL873,"&lt;&gt;0")</f>
        <v>1</v>
      </c>
      <c r="AZ873">
        <f>COUNTIF(V873:AC873,"&lt;&gt;0")</f>
        <v>0</v>
      </c>
      <c r="BA873">
        <f>COUNTIF(AD873:AI873,"&lt;&gt;0")</f>
        <v>0</v>
      </c>
      <c r="BB873">
        <f>COUNTIF(AJ873:AL873,"&lt;&gt;0")</f>
        <v>1</v>
      </c>
      <c r="BC873">
        <f>COUNTIF(AS873:AW873,"&lt;&gt;0")</f>
        <v>0</v>
      </c>
      <c r="BD873">
        <f>COUNTIF(AM873:AR873,"&lt;&gt;0")</f>
        <v>0</v>
      </c>
      <c r="BE873" t="str">
        <f t="array" ref="BE873">IF(AY873=1,INDEX($V$7:$AL$7,MATCH(TRUE,INDEX($V873:$AW873&lt;&gt;0,),0)),IF(AY873=0,INDEX($AM$7:$AW$7,MATCH(1,$AM873:$AW873,0)),IF(BF873="Multiple strategies","mixed drivers",IF(BF873="Supply chain","multiple supply","multiple silviculture"))))</f>
        <v>technologies/design switch</v>
      </c>
      <c r="BF873" s="2" t="str" cm="1">
        <f t="array" ref="BF873">IF(COUNTIF(AZ873:BB873,"&lt;&gt;0")=1,INDEX($V$4:$AW$4,MATCH(TRUE,INDEX($V873:$AW873&lt;&gt;0,),0)),IF(COUNTIF(AZ873:BB873,"&lt;&gt;0")=0,INDEX($AM$4:$AW$4,MATCH(1,$AM873:$AW873,0)),"Multiple strategies"))</f>
        <v>Technology</v>
      </c>
      <c r="BG873" s="1" t="s">
        <v>229</v>
      </c>
      <c r="BH873" t="s">
        <v>796</v>
      </c>
      <c r="BJ873" t="s">
        <v>797</v>
      </c>
      <c r="BK873">
        <v>0</v>
      </c>
      <c r="BL873">
        <f>94.91/(25*42)</f>
        <v>9.0390476190476188E-2</v>
      </c>
      <c r="BN873">
        <f>BL873-BK873</f>
        <v>9.0390476190476188E-2</v>
      </c>
      <c r="BO873">
        <f>BL873-BK873</f>
        <v>9.0390476190476188E-2</v>
      </c>
      <c r="BP873" t="s">
        <v>395</v>
      </c>
      <c r="BR873" t="s">
        <v>262</v>
      </c>
      <c r="BS873">
        <v>39.29</v>
      </c>
      <c r="BT873">
        <v>-39.9</v>
      </c>
      <c r="BV873">
        <f>BT873-BS873</f>
        <v>-79.19</v>
      </c>
      <c r="BX873">
        <f>BV873/1000</f>
        <v>-7.9189999999999997E-2</v>
      </c>
      <c r="BY873">
        <f>IFERROR(BX873/BO873,"")</f>
        <v>-0.87608787272152566</v>
      </c>
      <c r="BZ873">
        <v>0</v>
      </c>
      <c r="CA873">
        <v>0</v>
      </c>
      <c r="CB873">
        <v>0</v>
      </c>
      <c r="CC873">
        <v>0</v>
      </c>
      <c r="CD873">
        <v>0</v>
      </c>
      <c r="CE873">
        <v>0</v>
      </c>
      <c r="CF873">
        <v>0</v>
      </c>
      <c r="CG873">
        <v>0</v>
      </c>
      <c r="CH873">
        <v>0</v>
      </c>
      <c r="CI873">
        <v>0</v>
      </c>
      <c r="CJ873">
        <v>0</v>
      </c>
      <c r="CK873">
        <v>0</v>
      </c>
      <c r="CL873">
        <v>0</v>
      </c>
      <c r="CM873">
        <v>0</v>
      </c>
      <c r="CN873" t="str">
        <f>IF($BL873&lt;$BK873,"refNeedCorrection","refOK")</f>
        <v>refOK</v>
      </c>
      <c r="CO873">
        <f>IF($CN873="refOK",$BK873,$BL873)</f>
        <v>0</v>
      </c>
      <c r="CP873">
        <f>IF($CN873="refOK",$BL873,$BK873)</f>
        <v>9.0390476190476188E-2</v>
      </c>
      <c r="CQ873">
        <f>IF($CN873="refOK",$BO873,-$BO873)</f>
        <v>9.0390476190476188E-2</v>
      </c>
      <c r="CR873">
        <f>IF($CN873="refOK",$BS873,$BT873)*IF($BP873="Emissions positive",-1,1)</f>
        <v>-39.29</v>
      </c>
      <c r="CS873">
        <f>IF($CN873="refOK",$BT873,$BS873)*IF($BP873="Emissions positive",-1,1)</f>
        <v>39.9</v>
      </c>
      <c r="CT873">
        <f>IF($CN873="refNeedCorrection",-BX873,BX873)*IF($BP873="Emissions positive",-1,1)</f>
        <v>7.9189999999999997E-2</v>
      </c>
      <c r="CU873">
        <f>IFERROR(CT873/CQ873,"")</f>
        <v>0.87608787272152566</v>
      </c>
      <c r="CV873" s="2">
        <f>IFERROR((CS873-CR873)/ABS(CR873),"")</f>
        <v>2.0155255790277424</v>
      </c>
      <c r="CW873" s="162" t="s">
        <v>263</v>
      </c>
      <c r="CX873" t="str">
        <f>IF(OR($CW873="prd",$CW873="std",$CW873="cit"),"loc",IF(OR($CW873="eur",$CW873="reg",$CW873="coy"),"reg",$CW873))</f>
        <v>loc</v>
      </c>
      <c r="CY873" t="s">
        <v>264</v>
      </c>
      <c r="DB873">
        <v>0</v>
      </c>
      <c r="DC873" t="str">
        <f>IF(DB873=0,"0",IF(AND(DB873&gt;=1,DB873&lt;=30),"1-30",IF(AND(DB873&gt;30,DB873&lt;=70),"31-70",IF(AND(DB873&gt;70,DB873&lt;=100),"71-100",IF(DB873&gt;100,"+100")))))</f>
        <v>0</v>
      </c>
      <c r="DD873">
        <v>0</v>
      </c>
      <c r="DE873">
        <v>0</v>
      </c>
      <c r="DF873">
        <v>0</v>
      </c>
      <c r="DG873">
        <v>1</v>
      </c>
      <c r="DH873">
        <v>0</v>
      </c>
      <c r="DI873">
        <f>SUM(DD873:DG873)</f>
        <v>1</v>
      </c>
      <c r="DJ873" t="str">
        <f>IF(DI873=1,INDEX($DD$7:$DG$7,MATCH(1,$DD873:$DG873,0)),"mixedProduct")</f>
        <v>TimberInput</v>
      </c>
      <c r="DK873">
        <f>IF(DD873=1,DK$7,0)</f>
        <v>0</v>
      </c>
      <c r="DL873">
        <f>IF(DE873=1,DL$7,0)</f>
        <v>0</v>
      </c>
      <c r="DM873">
        <f>IF(DF873=1,DM$7,0)</f>
        <v>0</v>
      </c>
      <c r="DN873" t="str">
        <f>IF(DG873=1,DN$7,0)</f>
        <v>Timber</v>
      </c>
      <c r="DO873">
        <v>0</v>
      </c>
      <c r="DP873">
        <v>0</v>
      </c>
      <c r="DQ873">
        <v>0</v>
      </c>
      <c r="DR873">
        <v>0</v>
      </c>
      <c r="DS873">
        <v>0</v>
      </c>
      <c r="DT873">
        <f>SUM(DO873:DP873)</f>
        <v>0</v>
      </c>
      <c r="DU873" s="143" t="str">
        <f>IF(DO873=1,"self-calculated DF",IF(DP873=1,"external DF used","explicit C balance"))</f>
        <v>explicit C balance</v>
      </c>
      <c r="DV873">
        <v>0</v>
      </c>
      <c r="DW873">
        <v>0</v>
      </c>
      <c r="DX873">
        <v>0</v>
      </c>
      <c r="DY873">
        <v>1</v>
      </c>
      <c r="DZ873">
        <v>0</v>
      </c>
      <c r="EA873">
        <v>0</v>
      </c>
      <c r="EB873">
        <v>1</v>
      </c>
      <c r="EC873">
        <v>1</v>
      </c>
      <c r="ED873">
        <v>0</v>
      </c>
      <c r="EE873">
        <v>0</v>
      </c>
      <c r="EF873">
        <v>0</v>
      </c>
      <c r="EG873">
        <v>0</v>
      </c>
      <c r="EH873">
        <v>0</v>
      </c>
      <c r="EI873" s="2">
        <v>0</v>
      </c>
      <c r="EK873" t="str">
        <f>IF(AND(AND(AND(OR($DX873=1,$DW873=1),OR($EC873=1,$EA873=1)),SUM($DV873:$DZ873,$EF873)&gt;=4),SUM($EA873:$EE873)&gt;=2),"Whole sector","")</f>
        <v/>
      </c>
      <c r="EL873" t="str">
        <f>IF(AND(AND(OR($DX873=1,$DW873=1),AND($EC873=0,$EA873=0)),SUM($DV873:$DZ873,$EF873)&gt;=4),"Ecosystem approach","")</f>
        <v/>
      </c>
      <c r="EM873" s="2" t="str">
        <f>IF(AND(AND(AND($DX873=0,$DW873=0),OR($EC873=1,$EA873=1)),SUM($EB873:$EE873)&gt;=2),"Technology approach","")</f>
        <v>Technology approach</v>
      </c>
      <c r="EP873" t="str">
        <f>IF(ISNUMBER(BU873),IF(ABS(BU873-[2]QC_indicators!$B$2)&gt;3*[2]QC_indicators!$C$2,"C ratio",IF(ISNUMBER(BY873),IF(ABS(BY873-[2]QC_indicators!$B$1)&gt;3*[2]QC_indicators!$C$1,"DF","no"))),IF(ISNUMBER(BY873),IF(ABS(BY873-[2]QC_indicators!$B$1)&gt;3*[2]QC_indicators!$C$1,"DF","no")))</f>
        <v>no</v>
      </c>
      <c r="ET873" s="264" t="s">
        <v>3151</v>
      </c>
    </row>
    <row r="874" spans="1:150" ht="15" customHeight="1">
      <c r="A874" s="1" t="s">
        <v>1102</v>
      </c>
      <c r="B874" t="s">
        <v>2381</v>
      </c>
      <c r="C874" t="s">
        <v>2382</v>
      </c>
      <c r="D874" t="s">
        <v>2383</v>
      </c>
      <c r="E874" t="s">
        <v>2384</v>
      </c>
      <c r="F874" t="s">
        <v>2385</v>
      </c>
      <c r="G874" t="s">
        <v>1108</v>
      </c>
      <c r="H874" t="s">
        <v>254</v>
      </c>
      <c r="I874">
        <v>2016</v>
      </c>
      <c r="J874">
        <v>13</v>
      </c>
      <c r="K874" t="s">
        <v>2386</v>
      </c>
      <c r="M874" t="str">
        <f>LEFT($D874,FIND(",",$D874)-1)&amp;"_"&amp;I874&amp;L874</f>
        <v>Torssonen_2016</v>
      </c>
      <c r="N874" t="s">
        <v>222</v>
      </c>
      <c r="O874" s="145" t="s">
        <v>1154</v>
      </c>
      <c r="Q874" s="264" t="s">
        <v>256</v>
      </c>
      <c r="R874" s="269" t="s">
        <v>341</v>
      </c>
      <c r="S874" s="1" t="s">
        <v>2387</v>
      </c>
      <c r="T874" t="s">
        <v>2398</v>
      </c>
      <c r="U874" t="s">
        <v>2396</v>
      </c>
      <c r="V874">
        <v>0</v>
      </c>
      <c r="W874">
        <v>0</v>
      </c>
      <c r="X874">
        <v>0</v>
      </c>
      <c r="Y874">
        <v>1</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s="141">
        <v>1</v>
      </c>
      <c r="AY874" s="141">
        <f>COUNTIF(V874:AL874,"&lt;&gt;0")</f>
        <v>1</v>
      </c>
      <c r="AZ874">
        <f>COUNTIF(V874:AC874,"&lt;&gt;0")</f>
        <v>1</v>
      </c>
      <c r="BA874">
        <f>COUNTIF(AD874:AI874,"&lt;&gt;0")</f>
        <v>0</v>
      </c>
      <c r="BB874">
        <f>COUNTIF(AJ874:AL874,"&lt;&gt;0")</f>
        <v>0</v>
      </c>
      <c r="BC874">
        <f>COUNTIF(AS874:AW874,"&lt;&gt;0")</f>
        <v>0</v>
      </c>
      <c r="BD874">
        <f>COUNTIF(AM874:AR874,"&lt;&gt;0")</f>
        <v>0</v>
      </c>
      <c r="BE874" t="str" cm="1">
        <f t="array" ref="BE874">IF(AY874=1,INDEX($V$7:$AL$7,MATCH(TRUE,INDEX($V874:$AW874&lt;&gt;0,),0)),IF(AY874=0,INDEX($AM$7:$AW$7,MATCH(1,$AM874:$AW874,0)),IF(BF874="Multiple strategies","mixed drivers",IF(BF874="Supply chain","multiple supply","multiple silviculture"))))</f>
        <v xml:space="preserve">cutting intensity </v>
      </c>
      <c r="BF874" s="2" t="str" cm="1">
        <f t="array" ref="BF874">IF(COUNTIF(AZ874:BB874,"&lt;&gt;0")=1,INDEX($V$4:$AW$4,MATCH(TRUE,INDEX($V874:$AW874&lt;&gt;0,),0)),IF(COUNTIF(AZ874:BB874,"&lt;&gt;0")=0,INDEX($AM$4:$AW$4,MATCH(1,$AM874:$AW874,0)),"Multiple strategies"))</f>
        <v>Silviculture for removals</v>
      </c>
      <c r="BG874" s="1" t="s">
        <v>229</v>
      </c>
      <c r="BH874" s="306" t="s">
        <v>2144</v>
      </c>
      <c r="BI874" s="264" t="s">
        <v>2391</v>
      </c>
      <c r="BJ874" s="306" t="s">
        <v>1058</v>
      </c>
      <c r="BK874">
        <v>6.697959172</v>
      </c>
      <c r="BL874">
        <v>8.0857142559999993</v>
      </c>
      <c r="BM874" s="143">
        <f>BL874/BK874</f>
        <v>1.2071907350228916</v>
      </c>
      <c r="BN874">
        <f>BL874-BK874</f>
        <v>1.3877550839999993</v>
      </c>
      <c r="BO874">
        <f>BN874</f>
        <v>1.3877550839999993</v>
      </c>
      <c r="BP874" s="306" t="s">
        <v>395</v>
      </c>
      <c r="BQ874" s="153" t="s">
        <v>3421</v>
      </c>
      <c r="BR874" s="264" t="s">
        <v>2393</v>
      </c>
      <c r="BS874" s="299">
        <v>-334.54545000000002</v>
      </c>
      <c r="BT874">
        <v>-456.72727272727298</v>
      </c>
      <c r="BU874" s="144"/>
      <c r="BV874" s="144">
        <f>BT874-BS874</f>
        <v>-122.18182272727296</v>
      </c>
      <c r="BW874" s="144"/>
      <c r="BX874" s="144">
        <f>BV874*10^4/10^6</f>
        <v>-1.2218182272727296</v>
      </c>
      <c r="BY874">
        <f>IFERROR(BX874/BO874,"")</f>
        <v>-0.88042785168620596</v>
      </c>
      <c r="BZ874">
        <v>0</v>
      </c>
      <c r="CA874">
        <v>0</v>
      </c>
      <c r="CB874">
        <v>0</v>
      </c>
      <c r="CC874">
        <v>0</v>
      </c>
      <c r="CD874">
        <v>0</v>
      </c>
      <c r="CE874">
        <v>0</v>
      </c>
      <c r="CF874">
        <v>0</v>
      </c>
      <c r="CG874">
        <v>0</v>
      </c>
      <c r="CH874">
        <v>0</v>
      </c>
      <c r="CI874">
        <v>0</v>
      </c>
      <c r="CJ874">
        <v>0</v>
      </c>
      <c r="CK874">
        <v>0</v>
      </c>
      <c r="CL874">
        <v>0</v>
      </c>
      <c r="CM874">
        <v>1</v>
      </c>
      <c r="CN874" t="str">
        <f>IF($BL874&lt;$BK874,"refNeedCorrection","refOK")</f>
        <v>refOK</v>
      </c>
      <c r="CO874">
        <f>IF($CN874="refOK",$BK874,$BL874)</f>
        <v>6.697959172</v>
      </c>
      <c r="CP874">
        <f>IF($CN874="refOK",$BL874,$BK874)</f>
        <v>8.0857142559999993</v>
      </c>
      <c r="CQ874">
        <f>IF($CN874="refOK",$BO874,-$BO874)</f>
        <v>1.3877550839999993</v>
      </c>
      <c r="CR874">
        <f>IF($CN874="refOK",$BS874,$BT874)*IF($BP874="Emissions positive",-1,1)</f>
        <v>334.54545000000002</v>
      </c>
      <c r="CS874">
        <f>IF($CN874="refOK",$BT874,$BS874)*IF($BP874="Emissions positive",-1,1)</f>
        <v>456.72727272727298</v>
      </c>
      <c r="CT874">
        <f>IF($CN874="refNeedCorrection",-BX874,BX874)*IF($BP874="Emissions positive",-1,1)</f>
        <v>1.2218182272727296</v>
      </c>
      <c r="CU874">
        <f>IFERROR(CT874/CQ874,"")</f>
        <v>0.88042785168620596</v>
      </c>
      <c r="CV874" s="2">
        <f>IFERROR((CS874-CR874)/ABS(CR874),"")</f>
        <v>0.3652174098534981</v>
      </c>
      <c r="CW874" s="1" t="s">
        <v>1199</v>
      </c>
      <c r="CX874" s="264" t="str">
        <f>IF(OR($CW874="prd",$CW874="std",$CW874="cit"),"loc",IF(OR($CW874="eur",$CW874="reg",$CW874="coy"),"reg",$CW874))</f>
        <v>reg</v>
      </c>
      <c r="CY874" t="s">
        <v>235</v>
      </c>
      <c r="CZ874">
        <v>2020</v>
      </c>
      <c r="DA874">
        <v>2100</v>
      </c>
      <c r="DB874">
        <f>DA874-CZ874</f>
        <v>80</v>
      </c>
      <c r="DC874" t="str">
        <f>IF(DB874=0,"0",IF(AND(DB874&gt;=1,DB874&lt;=30),"1-30",IF(AND(DB874&gt;30,DB874&lt;=70),"31-70",IF(AND(DB874&gt;70,DB874&lt;=100),"71-100",IF(DB874&gt;100,"+100")))))</f>
        <v>71-100</v>
      </c>
      <c r="DD874">
        <v>0</v>
      </c>
      <c r="DE874">
        <v>1</v>
      </c>
      <c r="DF874">
        <v>0</v>
      </c>
      <c r="DG874">
        <v>1</v>
      </c>
      <c r="DI874">
        <f>SUM(DD874:DG874)</f>
        <v>2</v>
      </c>
      <c r="DJ874" t="str">
        <f>IF(DI874=1,INDEX($DD$7:$DG$7,MATCH(1,$DD874:$DG874,0)),"mixedProduct")</f>
        <v>mixedProduct</v>
      </c>
      <c r="DK874">
        <f>IF(DD874=1,DK$7,0)</f>
        <v>0</v>
      </c>
      <c r="DL874" t="str">
        <f>IF(DE874=1,DL$7,0)</f>
        <v>Energy</v>
      </c>
      <c r="DM874">
        <f>IF(DF874=1,DM$7,0)</f>
        <v>0</v>
      </c>
      <c r="DN874" t="str">
        <f>IF(DG874=1,DN$7,0)</f>
        <v>Timber</v>
      </c>
      <c r="DO874">
        <v>1</v>
      </c>
      <c r="DP874">
        <v>0</v>
      </c>
      <c r="DQ874">
        <v>0</v>
      </c>
      <c r="DR874">
        <v>0</v>
      </c>
      <c r="DS874">
        <v>0</v>
      </c>
      <c r="DT874">
        <f>SUM(DO874:DP874)</f>
        <v>1</v>
      </c>
      <c r="DU874" s="143" t="str">
        <f>IF(DO874=1,"self-calculated DF",IF(DP874=1,"external DF used","explicit C balance"))</f>
        <v>self-calculated DF</v>
      </c>
      <c r="DV874">
        <v>1</v>
      </c>
      <c r="DW874">
        <v>0</v>
      </c>
      <c r="DX874">
        <v>1</v>
      </c>
      <c r="DY874">
        <v>0</v>
      </c>
      <c r="DZ874">
        <v>0</v>
      </c>
      <c r="EA874" s="143">
        <v>0</v>
      </c>
      <c r="EB874">
        <v>0</v>
      </c>
      <c r="EC874">
        <v>0</v>
      </c>
      <c r="ED874">
        <v>0</v>
      </c>
      <c r="EE874">
        <v>0</v>
      </c>
      <c r="EF874">
        <v>1</v>
      </c>
      <c r="EG874">
        <v>0</v>
      </c>
      <c r="EH874">
        <v>0</v>
      </c>
      <c r="EI874" s="2">
        <v>0</v>
      </c>
      <c r="EK874" t="str">
        <f>IF(AND(AND(AND(OR($DX874=1,$DW874=1),OR($EC874=1,$EA874=1)),SUM($DV874:$DZ874,$EF874)&gt;=4),SUM($EA874:$EE874)&gt;=2),"Whole sector","")</f>
        <v/>
      </c>
      <c r="EL874" t="str">
        <f>IF(AND(AND(OR($DX874=1,$DW874=1),AND($EC874=0,$EA874=0)),SUM($DV874:$DZ874,$EF874)&gt;=4),"Ecosystem approach","")</f>
        <v/>
      </c>
      <c r="EM874" s="2" t="str">
        <f>IF(AND(AND(AND($DX874=0,$DW874=0),OR($EC874=1,$EA874=1)),SUM($EB874:$EE874)&gt;=2),"Technology approach","")</f>
        <v/>
      </c>
      <c r="EP874" t="str">
        <f>IF(ISNUMBER(BU874),IF(ABS(BU874-[3]QC_indicators!$B$2)&gt;3*[3]QC_indicators!$C$2,"C ratio",IF(ISNUMBER(BY874),IF(ABS(BY874-[3]QC_indicators!$B$1)&gt;3*[3]QC_indicators!$C$1,"DF","no"))),IF(ISNUMBER(BY874),IF(ABS(BY874-[3]QC_indicators!$B$1)&gt;3*[3]QC_indicators!$C$1,"DF","no")))</f>
        <v>no</v>
      </c>
      <c r="ER874" s="264" t="s">
        <v>2394</v>
      </c>
      <c r="ET874" s="306" t="s">
        <v>3422</v>
      </c>
    </row>
    <row r="875" spans="1:150" ht="15" customHeight="1">
      <c r="A875" s="1" t="s">
        <v>1045</v>
      </c>
      <c r="B875" t="s">
        <v>1046</v>
      </c>
      <c r="C875" t="s">
        <v>1047</v>
      </c>
      <c r="D875" t="s">
        <v>1048</v>
      </c>
      <c r="E875" t="s">
        <v>1049</v>
      </c>
      <c r="F875" t="s">
        <v>1050</v>
      </c>
      <c r="G875" t="s">
        <v>1051</v>
      </c>
      <c r="H875" t="s">
        <v>254</v>
      </c>
      <c r="I875">
        <v>2014</v>
      </c>
      <c r="J875">
        <v>23</v>
      </c>
      <c r="K875" t="s">
        <v>1052</v>
      </c>
      <c r="M875" t="str">
        <f>LEFT($D875,FIND(",",$D875)-1)&amp;"_"&amp;I875&amp;L875</f>
        <v>Pyorala_2014</v>
      </c>
      <c r="N875" t="s">
        <v>222</v>
      </c>
      <c r="O875" s="171" t="s">
        <v>341</v>
      </c>
      <c r="P875" t="s">
        <v>225</v>
      </c>
      <c r="Q875" s="264" t="s">
        <v>389</v>
      </c>
      <c r="R875" s="269" t="s">
        <v>1154</v>
      </c>
      <c r="S875" s="1" t="s">
        <v>1067</v>
      </c>
      <c r="T875" t="s">
        <v>1054</v>
      </c>
      <c r="U875" t="s">
        <v>1066</v>
      </c>
      <c r="V875">
        <v>0</v>
      </c>
      <c r="W875">
        <v>0</v>
      </c>
      <c r="X875">
        <v>0</v>
      </c>
      <c r="Y875">
        <v>0</v>
      </c>
      <c r="Z875">
        <v>0</v>
      </c>
      <c r="AA875">
        <v>0</v>
      </c>
      <c r="AB875">
        <v>1</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s="141">
        <f>COUNTIF(V875:AW875,"&lt;&gt;0")</f>
        <v>1</v>
      </c>
      <c r="AY875" s="141">
        <f>COUNTIF(V875:AL875,"&lt;&gt;0")</f>
        <v>1</v>
      </c>
      <c r="AZ875">
        <f>COUNTIF(V875:AC875,"&lt;&gt;0")</f>
        <v>1</v>
      </c>
      <c r="BA875">
        <f>COUNTIF(AD875:AI875,"&lt;&gt;0")</f>
        <v>0</v>
      </c>
      <c r="BB875">
        <f>COUNTIF(AJ875:AL875,"&lt;&gt;0")</f>
        <v>0</v>
      </c>
      <c r="BC875">
        <f>COUNTIF(AS875:AW875,"&lt;&gt;0")</f>
        <v>0</v>
      </c>
      <c r="BD875">
        <f>COUNTIF(AM875:AR875,"&lt;&gt;0")</f>
        <v>0</v>
      </c>
      <c r="BE875" t="str" cm="1">
        <f t="array" ref="BE875">IF(AY875=1,INDEX($V$7:$AL$7,MATCH(TRUE,INDEX($V875:$AW875&lt;&gt;0,),0)),IF(AY875=0,INDEX($AM$7:$AW$7,MATCH(1,$AM875:$AW875,0)),IF(BF875="Multiple strategies","mixed drivers",IF(BF875="Supply chain","multiple supply","multiple silviculture"))))</f>
        <v>fertilisation</v>
      </c>
      <c r="BF875" s="2" t="str" cm="1">
        <f t="array" ref="BF875">IF(COUNTIF(AZ875:BB875,"&lt;&gt;0")=1,INDEX($V$4:$AW$4,MATCH(TRUE,INDEX($V875:$AW875&lt;&gt;0,),0)),IF(COUNTIF(AZ875:BB875,"&lt;&gt;0")=0,INDEX($AM$4:$AW$4,MATCH(1,$AM875:$AW875,0)),"Multiple strategies"))</f>
        <v>Silviculture for productivity</v>
      </c>
      <c r="BG875" s="1" t="s">
        <v>321</v>
      </c>
      <c r="BH875" t="s">
        <v>1056</v>
      </c>
      <c r="BI875" s="264" t="s">
        <v>1057</v>
      </c>
      <c r="BJ875" s="264" t="s">
        <v>1058</v>
      </c>
      <c r="BK875">
        <v>3.45</v>
      </c>
      <c r="BL875">
        <v>3.75</v>
      </c>
      <c r="BM875">
        <f>IFERROR(BL875/BK875,"")</f>
        <v>1.0869565217391304</v>
      </c>
      <c r="BN875">
        <f>BL875-BK875</f>
        <v>0.29999999999999982</v>
      </c>
      <c r="BO875">
        <f>BN875*t_to_m3</f>
        <v>0.61224489795918335</v>
      </c>
      <c r="BP875" t="s">
        <v>395</v>
      </c>
      <c r="BQ875" t="s">
        <v>972</v>
      </c>
      <c r="BR875" t="s">
        <v>1059</v>
      </c>
      <c r="BS875" s="172">
        <v>-129</v>
      </c>
      <c r="BT875" s="172">
        <v>-183</v>
      </c>
      <c r="BU875" s="144"/>
      <c r="BV875">
        <f>BT875-BS875</f>
        <v>-54</v>
      </c>
      <c r="BX875">
        <f>BV875*10^-6*10^4</f>
        <v>-0.53999999999999992</v>
      </c>
      <c r="BY875">
        <f>IFERROR(BX875/BO875,"")</f>
        <v>-0.88200000000000034</v>
      </c>
      <c r="BZ875">
        <v>0</v>
      </c>
      <c r="CA875">
        <v>0</v>
      </c>
      <c r="CB875">
        <v>0</v>
      </c>
      <c r="CC875">
        <v>0</v>
      </c>
      <c r="CD875">
        <v>0</v>
      </c>
      <c r="CE875">
        <v>0</v>
      </c>
      <c r="CF875">
        <v>0</v>
      </c>
      <c r="CG875">
        <v>0</v>
      </c>
      <c r="CH875">
        <v>0</v>
      </c>
      <c r="CI875">
        <v>0</v>
      </c>
      <c r="CJ875">
        <v>0</v>
      </c>
      <c r="CK875">
        <v>0</v>
      </c>
      <c r="CL875">
        <v>0</v>
      </c>
      <c r="CM875">
        <v>0</v>
      </c>
      <c r="CN875" t="str">
        <f>IF($BL875&lt;$BK875,"refNeedCorrection","refOK")</f>
        <v>refOK</v>
      </c>
      <c r="CO875">
        <f>IF($CN875="refOK",$BK875,$BL875)</f>
        <v>3.45</v>
      </c>
      <c r="CP875">
        <f>IF($CN875="refOK",$BL875,$BK875)</f>
        <v>3.75</v>
      </c>
      <c r="CQ875">
        <f>IF($CN875="refOK",$BO875,-$BO875)</f>
        <v>0.61224489795918335</v>
      </c>
      <c r="CR875">
        <f>IF($CN875="refOK",$BS875,$BT875)*IF($BP875="Emissions positive",-1,1)</f>
        <v>129</v>
      </c>
      <c r="CS875">
        <f>IF($CN875="refOK",$BT875,$BS875)*IF($BP875="Emissions positive",-1,1)</f>
        <v>183</v>
      </c>
      <c r="CT875">
        <f>IF($CN875="refNeedCorrection",-BX875,BX875)*IF($BP875="Emissions positive",-1,1)</f>
        <v>0.53999999999999992</v>
      </c>
      <c r="CU875">
        <f>IFERROR(CT875/CQ875,"")</f>
        <v>0.88200000000000034</v>
      </c>
      <c r="CV875" s="2">
        <f>IFERROR((CS875-CR875)/ABS(CR875),"")</f>
        <v>0.41860465116279072</v>
      </c>
      <c r="CW875" s="1" t="s">
        <v>263</v>
      </c>
      <c r="CX875" s="264" t="str">
        <f>IF(OR($CW875="prd",$CW875="std",$CW875="cit"),"loc",IF(OR($CW875="eur",$CW875="reg",$CW875="coy"),"reg",$CW875))</f>
        <v>loc</v>
      </c>
      <c r="CY875" t="s">
        <v>235</v>
      </c>
      <c r="DB875">
        <v>50</v>
      </c>
      <c r="DC875" t="str">
        <f>IF(DB875=0,"0",IF(AND(DB875&gt;=1,DB875&lt;=30),"1-30",IF(AND(DB875&gt;30,DB875&lt;=70),"31-70",IF(AND(DB875&gt;70,DB875&lt;=100),"71-100",IF(DB875&gt;100,"+100")))))</f>
        <v>31-70</v>
      </c>
      <c r="DD875">
        <v>0</v>
      </c>
      <c r="DE875">
        <v>1</v>
      </c>
      <c r="DF875">
        <v>0</v>
      </c>
      <c r="DG875">
        <v>1</v>
      </c>
      <c r="DI875">
        <f>SUM(DD875:DG875)</f>
        <v>2</v>
      </c>
      <c r="DJ875" t="str">
        <f>IF(DI875=1,INDEX($DD$7:$DG$7,MATCH(1,$DD875:$DG875,0)),"mixedProduct")</f>
        <v>mixedProduct</v>
      </c>
      <c r="DK875">
        <f>IF(DD875=1,DK$7,0)</f>
        <v>0</v>
      </c>
      <c r="DL875" t="str">
        <f>IF(DE875=1,DL$7,0)</f>
        <v>Energy</v>
      </c>
      <c r="DM875">
        <f>IF(DF875=1,DM$7,0)</f>
        <v>0</v>
      </c>
      <c r="DN875" t="str">
        <f>IF(DG875=1,DN$7,0)</f>
        <v>Timber</v>
      </c>
      <c r="DO875">
        <v>0</v>
      </c>
      <c r="DP875">
        <v>1</v>
      </c>
      <c r="DQ875" t="s">
        <v>1060</v>
      </c>
      <c r="DT875">
        <f>SUM(DO875:DP875)</f>
        <v>1</v>
      </c>
      <c r="DU875" s="143" t="str">
        <f>IF(DO875=1,"self-calculated DF",IF(DP875=1,"external DF used","explicit C balance"))</f>
        <v>external DF used</v>
      </c>
      <c r="DV875">
        <v>1</v>
      </c>
      <c r="DW875">
        <v>1</v>
      </c>
      <c r="DX875">
        <v>1</v>
      </c>
      <c r="DY875" s="143">
        <v>0</v>
      </c>
      <c r="DZ875">
        <v>0</v>
      </c>
      <c r="EA875" s="143">
        <v>0</v>
      </c>
      <c r="EB875">
        <v>1</v>
      </c>
      <c r="EC875">
        <v>1</v>
      </c>
      <c r="ED875" s="143">
        <v>0</v>
      </c>
      <c r="EE875">
        <v>0</v>
      </c>
      <c r="EF875">
        <v>1</v>
      </c>
      <c r="EG875">
        <v>0</v>
      </c>
      <c r="EH875">
        <v>0</v>
      </c>
      <c r="EI875" s="2">
        <v>0</v>
      </c>
      <c r="EK875" t="str">
        <f>IF(AND(AND(AND(OR($DX875=1,$DW875=1),OR($EC875=1,$EA875=1)),SUM($DV875:$DZ875,$EF875)&gt;=4),SUM($EA875:$EE875)&gt;=2),"Whole sector","")</f>
        <v>Whole sector</v>
      </c>
      <c r="EL875" t="str">
        <f>IF(AND(AND(OR($DX875=1,$DW875=1),AND($EC875=0,$EA875=0)),SUM($DV875:$DZ875,$EF875)&gt;=4),"Ecosystem approach","")</f>
        <v/>
      </c>
      <c r="EM875" s="2" t="str">
        <f>IF(AND(AND(AND($DX875=0,$DW875=0),OR($EC875=1,$EA875=1)),SUM($EB875:$EE875)&gt;=2),"Technology approach","")</f>
        <v/>
      </c>
      <c r="EP875" t="str">
        <f>IF(ISNUMBER(BU875),IF(ABS(BU875-[3]QC_indicators!$B$2)&gt;3*[3]QC_indicators!$C$2,"C ratio",IF(ISNUMBER(BY875),IF(ABS(BY875-[3]QC_indicators!$B$1)&gt;3*[3]QC_indicators!$C$1,"DF","no"))),IF(ISNUMBER(BY875),IF(ABS(BY875-[3]QC_indicators!$B$1)&gt;3*[3]QC_indicators!$C$1,"DF","no")))</f>
        <v>no</v>
      </c>
      <c r="ER875" s="264" t="s">
        <v>1061</v>
      </c>
      <c r="ET875" s="264" t="s">
        <v>3407</v>
      </c>
    </row>
    <row r="876" spans="1:150" ht="15" customHeight="1">
      <c r="A876" s="1" t="s">
        <v>430</v>
      </c>
      <c r="B876" t="s">
        <v>431</v>
      </c>
      <c r="C876" t="s">
        <v>432</v>
      </c>
      <c r="D876" t="s">
        <v>433</v>
      </c>
      <c r="E876" t="s">
        <v>434</v>
      </c>
      <c r="F876" t="s">
        <v>435</v>
      </c>
      <c r="G876" t="s">
        <v>436</v>
      </c>
      <c r="H876" t="s">
        <v>254</v>
      </c>
      <c r="I876">
        <v>2000</v>
      </c>
      <c r="J876">
        <v>174</v>
      </c>
      <c r="K876" t="s">
        <v>437</v>
      </c>
      <c r="M876" t="str">
        <f>LEFT($D876,FIND(",",$D876)-1)&amp;"_"&amp;I876&amp;L876</f>
        <v>Borjesson_2000</v>
      </c>
      <c r="N876" t="s">
        <v>222</v>
      </c>
      <c r="O876" s="145" t="s">
        <v>223</v>
      </c>
      <c r="Q876" t="s">
        <v>256</v>
      </c>
      <c r="R876" s="255" t="s">
        <v>225</v>
      </c>
      <c r="S876" s="1" t="s">
        <v>454</v>
      </c>
      <c r="T876" t="s">
        <v>457</v>
      </c>
      <c r="U876" t="s">
        <v>455</v>
      </c>
      <c r="V876">
        <v>0</v>
      </c>
      <c r="W876">
        <v>0</v>
      </c>
      <c r="X876">
        <v>0</v>
      </c>
      <c r="Y876">
        <v>0</v>
      </c>
      <c r="Z876">
        <v>0</v>
      </c>
      <c r="AA876">
        <v>0</v>
      </c>
      <c r="AB876">
        <v>0</v>
      </c>
      <c r="AC876">
        <v>0</v>
      </c>
      <c r="AD876">
        <v>0</v>
      </c>
      <c r="AE876">
        <v>0</v>
      </c>
      <c r="AF876">
        <v>0</v>
      </c>
      <c r="AG876">
        <v>0</v>
      </c>
      <c r="AH876">
        <v>0</v>
      </c>
      <c r="AI876">
        <v>0</v>
      </c>
      <c r="AJ876">
        <v>0</v>
      </c>
      <c r="AK876">
        <v>1</v>
      </c>
      <c r="AL876">
        <v>0</v>
      </c>
      <c r="AM876">
        <v>0</v>
      </c>
      <c r="AN876">
        <v>0</v>
      </c>
      <c r="AO876">
        <v>0</v>
      </c>
      <c r="AP876">
        <v>0</v>
      </c>
      <c r="AQ876">
        <v>0</v>
      </c>
      <c r="AR876">
        <v>0</v>
      </c>
      <c r="AS876">
        <v>0</v>
      </c>
      <c r="AT876">
        <v>0</v>
      </c>
      <c r="AU876">
        <v>0</v>
      </c>
      <c r="AV876">
        <v>0</v>
      </c>
      <c r="AW876">
        <v>0</v>
      </c>
      <c r="AX876" s="141">
        <f>COUNTIF(V876:AW876,"&lt;&gt;0")</f>
        <v>1</v>
      </c>
      <c r="AY876" s="141">
        <f>COUNTIF(V876:AL876,"&lt;&gt;0")</f>
        <v>1</v>
      </c>
      <c r="AZ876">
        <f>COUNTIF(V876:AC876,"&lt;&gt;0")</f>
        <v>0</v>
      </c>
      <c r="BA876">
        <f>COUNTIF(AD876:AI876,"&lt;&gt;0")</f>
        <v>0</v>
      </c>
      <c r="BB876">
        <f>COUNTIF(AJ876:AL876,"&lt;&gt;0")</f>
        <v>1</v>
      </c>
      <c r="BC876">
        <f>COUNTIF(AS876:AW876,"&lt;&gt;0")</f>
        <v>0</v>
      </c>
      <c r="BD876">
        <f>COUNTIF(AM876:AR876,"&lt;&gt;0")</f>
        <v>0</v>
      </c>
      <c r="BE876" t="str">
        <f t="array" ref="BE876">IF(AY876=1,INDEX($V$7:$AL$7,MATCH(TRUE,INDEX($V876:$AW876&lt;&gt;0,),0)),IF(AY876=0,INDEX($AM$7:$AW$7,MATCH(1,$AM876:$AW876,0)),IF(BF876="Multiple strategies","mixed drivers",IF(BF876="Supply chain","multiple supply","multiple silviculture"))))</f>
        <v>technologies/design switch</v>
      </c>
      <c r="BF876" s="2" t="str" cm="1">
        <f t="array" ref="BF876">IF(COUNTIF(AZ876:BB876,"&lt;&gt;0")=1,INDEX($V$4:$AW$4,MATCH(TRUE,INDEX($V876:$AW876&lt;&gt;0,),0)),IF(COUNTIF(AZ876:BB876,"&lt;&gt;0")=0,INDEX($AM$4:$AW$4,MATCH(1,$AM876:$AW876,0)),"Multiple strategies"))</f>
        <v>Technology</v>
      </c>
      <c r="BG876" s="142" t="s">
        <v>229</v>
      </c>
      <c r="BH876" t="s">
        <v>441</v>
      </c>
      <c r="BI876" s="264" t="s">
        <v>3274</v>
      </c>
      <c r="BJ876" t="s">
        <v>442</v>
      </c>
      <c r="BK876">
        <v>0</v>
      </c>
      <c r="BL876">
        <v>44</v>
      </c>
      <c r="BM876" s="143"/>
      <c r="BN876">
        <f>BL876-BK876</f>
        <v>44</v>
      </c>
      <c r="BO876">
        <f>BN876*tC_to_m3</f>
        <v>191.05514546244029</v>
      </c>
      <c r="BP876" t="s">
        <v>232</v>
      </c>
      <c r="BQ876" s="260" t="s">
        <v>813</v>
      </c>
      <c r="BR876" t="s">
        <v>443</v>
      </c>
      <c r="BS876" s="141">
        <v>18</v>
      </c>
      <c r="BT876" s="141">
        <v>64</v>
      </c>
      <c r="BU876" s="144">
        <f>IFERROR(BT876/BS876,"")</f>
        <v>3.5555555555555554</v>
      </c>
      <c r="BV876">
        <f>BT876-BS876</f>
        <v>46</v>
      </c>
      <c r="BX876">
        <f>BV876*C_to_CO2</f>
        <v>168.82</v>
      </c>
      <c r="BY876">
        <f>IFERROR(BX876/BO876,"")</f>
        <v>0.88361922727272724</v>
      </c>
      <c r="BZ876" s="143">
        <v>0</v>
      </c>
      <c r="CA876" s="143">
        <v>0</v>
      </c>
      <c r="CB876" s="143">
        <v>0</v>
      </c>
      <c r="CC876" s="143">
        <v>0</v>
      </c>
      <c r="CD876" s="143">
        <v>0</v>
      </c>
      <c r="CE876" s="143">
        <v>0</v>
      </c>
      <c r="CF876" s="143">
        <v>0</v>
      </c>
      <c r="CG876" s="143">
        <v>0</v>
      </c>
      <c r="CH876" s="143">
        <v>0</v>
      </c>
      <c r="CI876" s="143">
        <v>0</v>
      </c>
      <c r="CJ876" s="143">
        <v>0</v>
      </c>
      <c r="CK876" s="143">
        <v>0</v>
      </c>
      <c r="CL876" s="143">
        <v>0</v>
      </c>
      <c r="CM876">
        <v>0</v>
      </c>
      <c r="CN876" t="str">
        <f>IF($BL876&lt;$BK876,"refNeedCorrection","refOK")</f>
        <v>refOK</v>
      </c>
      <c r="CO876">
        <f>IF($CN876="refOK",$BK876,$BL876)</f>
        <v>0</v>
      </c>
      <c r="CP876">
        <f>IF($CN876="refOK",$BL876,$BK876)</f>
        <v>44</v>
      </c>
      <c r="CQ876">
        <f>IF($CN876="refOK",$BO876,-$BO876)</f>
        <v>191.05514546244029</v>
      </c>
      <c r="CR876">
        <f>IF($CN876="refOK",$BS876,$BT876)*IF($BP876="Emissions positive",-1,1)</f>
        <v>18</v>
      </c>
      <c r="CS876">
        <f>IF($CN876="refOK",$BT876,$BS876)*IF($BP876="Emissions positive",-1,1)</f>
        <v>64</v>
      </c>
      <c r="CT876">
        <f>IF($CN876="refNeedCorrection",-BX876,BX876)*IF($BP876="Emissions positive",-1,1)</f>
        <v>168.82</v>
      </c>
      <c r="CU876">
        <f>IFERROR(CT876/CQ876,"")</f>
        <v>0.88361922727272724</v>
      </c>
      <c r="CV876" s="2">
        <f>IFERROR((CS876-CR876)/ABS(CR876),"")</f>
        <v>2.5555555555555554</v>
      </c>
      <c r="CW876" s="1" t="s">
        <v>263</v>
      </c>
      <c r="CX876" t="str">
        <f>IF(OR($CW876="prd",$CW876="std",$CW876="cit"),"loc",IF(OR($CW876="eur",$CW876="reg",$CW876="coy"),"reg",$CW876))</f>
        <v>loc</v>
      </c>
      <c r="CY876" t="s">
        <v>444</v>
      </c>
      <c r="DB876">
        <v>100</v>
      </c>
      <c r="DC876" t="str">
        <f>IF(DB876=0,"0",IF(AND(DB876&gt;=1,DB876&lt;=30),"1-30",IF(AND(DB876&gt;30,DB876&lt;=70),"31-70",IF(AND(DB876&gt;70,DB876&lt;=100),"71-100",IF(DB876&gt;100,"+100")))))</f>
        <v>71-100</v>
      </c>
      <c r="DD876">
        <v>0</v>
      </c>
      <c r="DE876">
        <v>0</v>
      </c>
      <c r="DF876">
        <v>0</v>
      </c>
      <c r="DG876">
        <v>1</v>
      </c>
      <c r="DI876">
        <f>SUM(DD876:DG876)</f>
        <v>1</v>
      </c>
      <c r="DJ876" t="str">
        <f>IF(DI876=1,INDEX($DD$7:$DG$7,MATCH(1,$DD876:$DG876,0)),"mixedProduct")</f>
        <v>TimberInput</v>
      </c>
      <c r="DK876">
        <f>IF(DD876=1,DK$7,0)</f>
        <v>0</v>
      </c>
      <c r="DL876">
        <f>IF(DE876=1,DL$7,0)</f>
        <v>0</v>
      </c>
      <c r="DM876">
        <f>IF(DF876=1,DM$7,0)</f>
        <v>0</v>
      </c>
      <c r="DN876" t="str">
        <f>IF(DG876=1,DN$7,0)</f>
        <v>Timber</v>
      </c>
      <c r="DO876">
        <v>1</v>
      </c>
      <c r="DP876" s="143">
        <v>0</v>
      </c>
      <c r="DQ876" s="143">
        <v>0</v>
      </c>
      <c r="DR876" s="143">
        <v>0</v>
      </c>
      <c r="DS876">
        <v>0</v>
      </c>
      <c r="DT876">
        <f>SUM(DO876:DP876)</f>
        <v>1</v>
      </c>
      <c r="DU876" s="143" t="str">
        <f>IF(DO876=1,"self-calculated DF",IF(DP876=1,"external DF used","explicit C balance"))</f>
        <v>self-calculated DF</v>
      </c>
      <c r="DV876">
        <v>0</v>
      </c>
      <c r="DW876" s="143">
        <v>0</v>
      </c>
      <c r="DX876" s="143">
        <v>1</v>
      </c>
      <c r="DY876" s="143">
        <v>1</v>
      </c>
      <c r="DZ876">
        <v>1</v>
      </c>
      <c r="EA876" s="143">
        <v>1</v>
      </c>
      <c r="EB876">
        <v>0</v>
      </c>
      <c r="EC876" s="143">
        <v>1</v>
      </c>
      <c r="ED876" s="143">
        <v>0</v>
      </c>
      <c r="EE876">
        <v>0</v>
      </c>
      <c r="EF876">
        <v>0</v>
      </c>
      <c r="EG876" s="143">
        <v>0</v>
      </c>
      <c r="EH876" s="143">
        <v>0</v>
      </c>
      <c r="EI876" s="2">
        <v>0</v>
      </c>
      <c r="EK876" t="str">
        <f>IF(AND(AND(AND(OR($DX876=1,$DW876=1),OR($EC876=1,$EA876=1)),SUM($DV876:$DZ876,$EF876)&gt;=4),SUM($EA876:$EE876)&gt;=2),"Whole sector","")</f>
        <v/>
      </c>
      <c r="EL876" t="str">
        <f>IF(AND(AND(OR($DX876=1,$DW876=1),AND($EC876=0,$EA876=0)),SUM($DV876:$DZ876,$EF876)&gt;=4),"Ecosystem approach","")</f>
        <v/>
      </c>
      <c r="EM876" s="2" t="str">
        <f>IF(AND(AND(AND($DX876=0,$DW876=0),OR($EC876=1,$EA876=1)),SUM($EB876:$EE876)&gt;=2),"Technology approach","")</f>
        <v/>
      </c>
      <c r="EP876" t="str">
        <f>IF(ISNUMBER(BU876),IF(ABS(BU876-[4]QC_indicators!$B$2)&gt;3*[4]QC_indicators!$C$2,"C ratio",IF(ISNUMBER(BY876),IF(ABS(BY876-[4]QC_indicators!$B$1)&gt;3*[4]QC_indicators!$C$1,"DF","no"))),IF(ISNUMBER(BY876),IF(ABS(BY876-[4]QC_indicators!$B$1)&gt;3*[4]QC_indicators!$C$1,"DF","no")))</f>
        <v>no</v>
      </c>
      <c r="ET876" s="264" t="s">
        <v>3273</v>
      </c>
    </row>
    <row r="877" spans="1:150" ht="15" customHeight="1">
      <c r="D877" t="s">
        <v>1661</v>
      </c>
      <c r="E877" t="s">
        <v>1662</v>
      </c>
      <c r="G877" t="s">
        <v>1663</v>
      </c>
      <c r="I877">
        <v>2007</v>
      </c>
      <c r="K877" t="s">
        <v>1664</v>
      </c>
      <c r="M877" t="str">
        <f>LEFT($D877,FIND(",",$D877)-1)&amp;"_"&amp;I877&amp;L877</f>
        <v>Gustavsson_2007</v>
      </c>
      <c r="N877" t="s">
        <v>222</v>
      </c>
      <c r="O877" t="s">
        <v>223</v>
      </c>
      <c r="Q877" t="s">
        <v>256</v>
      </c>
      <c r="R877" s="269" t="s">
        <v>274</v>
      </c>
      <c r="S877" s="1" t="s">
        <v>1665</v>
      </c>
      <c r="T877" t="s">
        <v>1679</v>
      </c>
      <c r="U877" s="143" t="s">
        <v>1683</v>
      </c>
      <c r="V877">
        <v>0</v>
      </c>
      <c r="W877">
        <v>0</v>
      </c>
      <c r="X877">
        <v>0</v>
      </c>
      <c r="Y877">
        <v>0</v>
      </c>
      <c r="Z877">
        <v>0</v>
      </c>
      <c r="AA877">
        <v>0</v>
      </c>
      <c r="AB877">
        <v>0</v>
      </c>
      <c r="AC877">
        <v>0</v>
      </c>
      <c r="AD877">
        <v>0</v>
      </c>
      <c r="AE877">
        <v>0</v>
      </c>
      <c r="AF877">
        <v>0</v>
      </c>
      <c r="AG877">
        <v>0</v>
      </c>
      <c r="AH877">
        <v>0</v>
      </c>
      <c r="AI877">
        <v>0</v>
      </c>
      <c r="AJ877">
        <v>0</v>
      </c>
      <c r="AK877">
        <v>1</v>
      </c>
      <c r="AL877">
        <v>0</v>
      </c>
      <c r="AM877">
        <v>0</v>
      </c>
      <c r="AN877">
        <v>0</v>
      </c>
      <c r="AO877">
        <v>0</v>
      </c>
      <c r="AP877">
        <v>0</v>
      </c>
      <c r="AQ877">
        <v>0</v>
      </c>
      <c r="AR877">
        <v>0</v>
      </c>
      <c r="AS877">
        <v>0</v>
      </c>
      <c r="AT877">
        <v>0</v>
      </c>
      <c r="AU877">
        <v>0</v>
      </c>
      <c r="AV877">
        <v>0</v>
      </c>
      <c r="AW877">
        <v>0</v>
      </c>
      <c r="AX877" s="141">
        <f>COUNTIF(V877:AW877,"&lt;&gt;0")</f>
        <v>1</v>
      </c>
      <c r="AY877" s="141">
        <f>COUNTIF(V877:AL877,"&lt;&gt;0")</f>
        <v>1</v>
      </c>
      <c r="AZ877">
        <f>COUNTIF(V877:AC877,"&lt;&gt;0")</f>
        <v>0</v>
      </c>
      <c r="BA877">
        <f>COUNTIF(AD877:AI877,"&lt;&gt;0")</f>
        <v>0</v>
      </c>
      <c r="BB877">
        <f>COUNTIF(AJ877:AL877,"&lt;&gt;0")</f>
        <v>1</v>
      </c>
      <c r="BC877">
        <f>COUNTIF(AS877:AW877,"&lt;&gt;0")</f>
        <v>0</v>
      </c>
      <c r="BD877">
        <f>COUNTIF(AM877:AR877,"&lt;&gt;0")</f>
        <v>0</v>
      </c>
      <c r="BE877" t="str">
        <f t="array" ref="BE877">IF(AY877=1,INDEX($V$7:$AL$7,MATCH(TRUE,INDEX($V877:$AW877&lt;&gt;0,),0)),IF(AY877=0,INDEX($AM$7:$AW$7,MATCH(1,$AM877:$AW877,0)),IF(BF877="Multiple strategies","mixed drivers",IF(BF877="Supply chain","multiple supply","multiple silviculture"))))</f>
        <v>technologies/design switch</v>
      </c>
      <c r="BF877" s="2" t="str" cm="1">
        <f t="array" ref="BF877">IF(COUNTIF(AZ877:BB877,"&lt;&gt;0")=1,INDEX($V$4:$AW$4,MATCH(TRUE,INDEX($V877:$AW877&lt;&gt;0,),0)),IF(COUNTIF(AZ877:BB877,"&lt;&gt;0")=0,INDEX($AM$4:$AW$4,MATCH(1,$AM877:$AW877,0)),"Multiple strategies"))</f>
        <v>Technology</v>
      </c>
      <c r="BG877" s="142" t="s">
        <v>229</v>
      </c>
      <c r="BH877" t="s">
        <v>1667</v>
      </c>
      <c r="BI877" s="264" t="s">
        <v>1057</v>
      </c>
      <c r="BJ877" s="143" t="s">
        <v>3265</v>
      </c>
      <c r="BK877">
        <v>0</v>
      </c>
      <c r="BL877" s="143">
        <v>25.3</v>
      </c>
      <c r="BM877" s="143"/>
      <c r="BN877">
        <f>BL877-BK877</f>
        <v>25.3</v>
      </c>
      <c r="BO877" s="143">
        <f>1000*BL877/15.3/400</f>
        <v>4.1339869281045747</v>
      </c>
      <c r="BP877" t="s">
        <v>232</v>
      </c>
      <c r="BR877" t="s">
        <v>938</v>
      </c>
      <c r="BS877" s="143">
        <v>-1</v>
      </c>
      <c r="BT877" s="151">
        <v>0</v>
      </c>
      <c r="BU877">
        <v>0</v>
      </c>
      <c r="BV877">
        <v>1</v>
      </c>
      <c r="BX877">
        <f>BV877*C_to_CO2</f>
        <v>3.67</v>
      </c>
      <c r="BY877">
        <f>IFERROR(BX877/BO877,"")</f>
        <v>0.88776284584980247</v>
      </c>
      <c r="BZ877" s="143">
        <v>0</v>
      </c>
      <c r="CA877" s="143">
        <v>0</v>
      </c>
      <c r="CB877" s="143">
        <v>0</v>
      </c>
      <c r="CC877" s="143">
        <v>0</v>
      </c>
      <c r="CD877" s="143">
        <v>0</v>
      </c>
      <c r="CE877" s="143">
        <v>0</v>
      </c>
      <c r="CF877" s="143">
        <v>0</v>
      </c>
      <c r="CG877" s="143">
        <v>0</v>
      </c>
      <c r="CH877" s="143">
        <v>0</v>
      </c>
      <c r="CI877" s="143">
        <v>0</v>
      </c>
      <c r="CJ877" s="143">
        <v>0</v>
      </c>
      <c r="CK877" s="143">
        <v>0</v>
      </c>
      <c r="CL877" s="143">
        <v>0</v>
      </c>
      <c r="CM877">
        <v>1</v>
      </c>
      <c r="CN877" t="str">
        <f>IF($BL877&lt;$BK877,"refNeedCorrection","refOK")</f>
        <v>refOK</v>
      </c>
      <c r="CO877">
        <f>IF($CN877="refOK",$BK877,$BL877)</f>
        <v>0</v>
      </c>
      <c r="CP877">
        <f>IF($CN877="refOK",$BL877,$BK877)</f>
        <v>25.3</v>
      </c>
      <c r="CQ877">
        <f>IF($CN877="refOK",$BO877,-$BO877)</f>
        <v>4.1339869281045747</v>
      </c>
      <c r="CR877">
        <f>IF($CN877="refOK",$BS877,$BT877)*IF($BP877="Emissions positive",-1,1)</f>
        <v>-1</v>
      </c>
      <c r="CS877">
        <f>IF($CN877="refOK",$BT877,$BS877)*IF($BP877="Emissions positive",-1,1)</f>
        <v>0</v>
      </c>
      <c r="CT877">
        <f>IF($CN877="refNeedCorrection",-BX877,BX877)*IF($BP877="Emissions positive",-1,1)</f>
        <v>3.67</v>
      </c>
      <c r="CU877">
        <f>IFERROR(CT877/CQ877,"")</f>
        <v>0.88776284584980247</v>
      </c>
      <c r="CV877" s="2">
        <f>IFERROR((CS877-CR877)/ABS(CR877),"")</f>
        <v>1</v>
      </c>
      <c r="CW877" s="1" t="s">
        <v>1203</v>
      </c>
      <c r="CX877" t="str">
        <f>IF(OR($CW877="prd",$CW877="std",$CW877="cit"),"loc",IF(OR($CW877="eur",$CW877="reg",$CW877="coy"),"reg",$CW877))</f>
        <v>reg</v>
      </c>
      <c r="CY877" t="s">
        <v>444</v>
      </c>
      <c r="DA877" s="143"/>
      <c r="DB877" s="143">
        <v>0</v>
      </c>
      <c r="DC877" t="str">
        <f>IF(DB877=0,"0",IF(AND(DB877&gt;=1,DB877&lt;=30),"1-30",IF(AND(DB877&gt;30,DB877&lt;=70),"31-70",IF(AND(DB877&gt;70,DB877&lt;=100),"71-100",IF(DB877&gt;100,"+100")))))</f>
        <v>0</v>
      </c>
      <c r="DD877">
        <v>0</v>
      </c>
      <c r="DE877">
        <v>1</v>
      </c>
      <c r="DF877">
        <v>0</v>
      </c>
      <c r="DG877">
        <v>0</v>
      </c>
      <c r="DI877">
        <f>SUM(DD877:DG877)</f>
        <v>1</v>
      </c>
      <c r="DJ877" t="str">
        <f>IF(DI877=1,INDEX($DD$7:$DG$7,MATCH(1,$DD877:$DG877,0)),"mixedProduct")</f>
        <v>EnergyInput</v>
      </c>
      <c r="DK877">
        <f>IF(DD877=1,DK$7,0)</f>
        <v>0</v>
      </c>
      <c r="DL877" t="str">
        <f>IF(DE877=1,DL$7,0)</f>
        <v>Energy</v>
      </c>
      <c r="DM877">
        <f>IF(DF877=1,DM$7,0)</f>
        <v>0</v>
      </c>
      <c r="DN877">
        <f>IF(DG877=1,DN$7,0)</f>
        <v>0</v>
      </c>
      <c r="DO877">
        <v>0</v>
      </c>
      <c r="DP877" s="143">
        <v>0</v>
      </c>
      <c r="DQ877" s="143">
        <v>0</v>
      </c>
      <c r="DR877">
        <v>0</v>
      </c>
      <c r="DS877" s="143">
        <v>0</v>
      </c>
      <c r="DT877">
        <f>SUM(DO877:DP877)</f>
        <v>0</v>
      </c>
      <c r="DU877" s="143" t="str">
        <f>IF(DO877=1,"self-calculated DF",IF(DP877=1,"external DF used","explicit C balance"))</f>
        <v>explicit C balance</v>
      </c>
      <c r="DV877" s="143">
        <v>0</v>
      </c>
      <c r="DW877" s="143">
        <v>0</v>
      </c>
      <c r="DX877" s="143">
        <v>0</v>
      </c>
      <c r="DY877" s="143">
        <v>0</v>
      </c>
      <c r="DZ877">
        <v>0</v>
      </c>
      <c r="EA877" s="143">
        <v>0</v>
      </c>
      <c r="EB877" s="143">
        <v>0</v>
      </c>
      <c r="EC877" s="143">
        <v>1</v>
      </c>
      <c r="ED877" s="143">
        <v>0</v>
      </c>
      <c r="EE877">
        <v>0</v>
      </c>
      <c r="EF877">
        <v>0</v>
      </c>
      <c r="EG877" s="143">
        <v>0</v>
      </c>
      <c r="EH877" s="143">
        <v>0</v>
      </c>
      <c r="EI877" s="2">
        <v>0</v>
      </c>
      <c r="EK877" t="str">
        <f>IF(AND(AND(AND(OR($DX877=1,$DW877=1),OR($EC877=1,$EA877=1)),SUM($DV877:$DZ877,$EF877)&gt;=4),SUM($EA877:$EE877)&gt;=2),"Whole sector","")</f>
        <v/>
      </c>
      <c r="EL877" t="str">
        <f>IF(AND(AND(OR($DX877=1,$DW877=1),AND($EC877=0,$EA877=0)),SUM($DV877:$DZ877,$EF877)&gt;=4),"Ecosystem approach","")</f>
        <v/>
      </c>
      <c r="EM877" s="2" t="str">
        <f>IF(AND(AND(AND($DX877=0,$DW877=0),OR($EC877=1,$EA877=1)),SUM($EB877:$EE877)&gt;=2),"Technology approach","")</f>
        <v/>
      </c>
      <c r="EP877" t="str">
        <f>IF(ISNUMBER(BU877),IF(ABS(BU877-[2]QC_indicators!$B$2)&gt;3*[2]QC_indicators!$C$2,"C ratio",IF(ISNUMBER(BY877),IF(ABS(BY877-[2]QC_indicators!$B$1)&gt;3*[2]QC_indicators!$C$1,"DF","no"))),IF(ISNUMBER(BY877),IF(ABS(BY877-[2]QC_indicators!$B$1)&gt;3*[2]QC_indicators!$C$1,"DF","no")))</f>
        <v>no</v>
      </c>
      <c r="ER877" s="149" t="s">
        <v>349</v>
      </c>
      <c r="ET877" s="264" t="s">
        <v>3266</v>
      </c>
    </row>
    <row r="878" spans="1:150" ht="15" customHeight="1">
      <c r="D878" t="s">
        <v>1661</v>
      </c>
      <c r="E878" t="s">
        <v>1662</v>
      </c>
      <c r="G878" t="s">
        <v>1663</v>
      </c>
      <c r="I878">
        <v>2007</v>
      </c>
      <c r="K878" t="s">
        <v>1664</v>
      </c>
      <c r="M878" t="str">
        <f>LEFT($D878,FIND(",",$D878)-1)&amp;"_"&amp;I878&amp;L878</f>
        <v>Gustavsson_2007</v>
      </c>
      <c r="N878" t="s">
        <v>222</v>
      </c>
      <c r="O878" t="s">
        <v>223</v>
      </c>
      <c r="Q878" t="s">
        <v>256</v>
      </c>
      <c r="R878" s="269" t="s">
        <v>274</v>
      </c>
      <c r="S878" s="1" t="s">
        <v>1665</v>
      </c>
      <c r="T878" t="s">
        <v>1684</v>
      </c>
      <c r="U878" s="143" t="s">
        <v>1683</v>
      </c>
      <c r="V878">
        <v>0</v>
      </c>
      <c r="W878">
        <v>0</v>
      </c>
      <c r="X878">
        <v>0</v>
      </c>
      <c r="Y878">
        <v>0</v>
      </c>
      <c r="Z878">
        <v>0</v>
      </c>
      <c r="AA878">
        <v>0</v>
      </c>
      <c r="AB878">
        <v>0</v>
      </c>
      <c r="AC878">
        <v>0</v>
      </c>
      <c r="AD878">
        <v>0</v>
      </c>
      <c r="AE878">
        <v>0</v>
      </c>
      <c r="AF878">
        <v>0</v>
      </c>
      <c r="AG878">
        <v>0</v>
      </c>
      <c r="AH878">
        <v>0</v>
      </c>
      <c r="AI878">
        <v>0</v>
      </c>
      <c r="AJ878">
        <v>0</v>
      </c>
      <c r="AK878">
        <v>1</v>
      </c>
      <c r="AL878">
        <v>0</v>
      </c>
      <c r="AM878">
        <v>0</v>
      </c>
      <c r="AN878">
        <v>0</v>
      </c>
      <c r="AO878">
        <v>0</v>
      </c>
      <c r="AP878">
        <v>0</v>
      </c>
      <c r="AQ878">
        <v>0</v>
      </c>
      <c r="AR878">
        <v>0</v>
      </c>
      <c r="AS878">
        <v>0</v>
      </c>
      <c r="AT878">
        <v>0</v>
      </c>
      <c r="AU878">
        <v>0</v>
      </c>
      <c r="AV878">
        <v>0</v>
      </c>
      <c r="AW878">
        <v>0</v>
      </c>
      <c r="AX878" s="141">
        <f>COUNTIF(V878:AW878,"&lt;&gt;0")</f>
        <v>1</v>
      </c>
      <c r="AY878" s="141">
        <f>COUNTIF(V878:AL878,"&lt;&gt;0")</f>
        <v>1</v>
      </c>
      <c r="AZ878">
        <f>COUNTIF(V878:AC878,"&lt;&gt;0")</f>
        <v>0</v>
      </c>
      <c r="BA878">
        <f>COUNTIF(AD878:AI878,"&lt;&gt;0")</f>
        <v>0</v>
      </c>
      <c r="BB878">
        <f>COUNTIF(AJ878:AL878,"&lt;&gt;0")</f>
        <v>1</v>
      </c>
      <c r="BC878">
        <f>COUNTIF(AS878:AW878,"&lt;&gt;0")</f>
        <v>0</v>
      </c>
      <c r="BD878">
        <f>COUNTIF(AM878:AR878,"&lt;&gt;0")</f>
        <v>0</v>
      </c>
      <c r="BE878" t="str">
        <f t="array" ref="BE878">IF(AY878=1,INDEX($V$7:$AL$7,MATCH(TRUE,INDEX($V878:$AW878&lt;&gt;0,),0)),IF(AY878=0,INDEX($AM$7:$AW$7,MATCH(1,$AM878:$AW878,0)),IF(BF878="Multiple strategies","mixed drivers",IF(BF878="Supply chain","multiple supply","multiple silviculture"))))</f>
        <v>technologies/design switch</v>
      </c>
      <c r="BF878" s="2" t="str" cm="1">
        <f t="array" ref="BF878">IF(COUNTIF(AZ878:BB878,"&lt;&gt;0")=1,INDEX($V$4:$AW$4,MATCH(TRUE,INDEX($V878:$AW878&lt;&gt;0,),0)),IF(COUNTIF(AZ878:BB878,"&lt;&gt;0")=0,INDEX($AM$4:$AW$4,MATCH(1,$AM878:$AW878,0)),"Multiple strategies"))</f>
        <v>Technology</v>
      </c>
      <c r="BG878" s="142" t="s">
        <v>229</v>
      </c>
      <c r="BH878" t="s">
        <v>1667</v>
      </c>
      <c r="BI878" s="264" t="s">
        <v>1057</v>
      </c>
      <c r="BJ878" s="143" t="s">
        <v>3265</v>
      </c>
      <c r="BK878">
        <v>0</v>
      </c>
      <c r="BL878" s="143">
        <v>25.2</v>
      </c>
      <c r="BM878" s="143"/>
      <c r="BN878">
        <f>BL878-BK878</f>
        <v>25.2</v>
      </c>
      <c r="BO878" s="143">
        <f>1000*BL878/15.3/400</f>
        <v>4.117647058823529</v>
      </c>
      <c r="BP878" t="s">
        <v>232</v>
      </c>
      <c r="BR878" t="s">
        <v>938</v>
      </c>
      <c r="BS878" s="143">
        <v>-1</v>
      </c>
      <c r="BT878" s="151">
        <v>0</v>
      </c>
      <c r="BU878">
        <v>0</v>
      </c>
      <c r="BV878">
        <v>1</v>
      </c>
      <c r="BX878">
        <f>BV878*C_to_CO2</f>
        <v>3.67</v>
      </c>
      <c r="BY878">
        <f>IFERROR(BX878/BO878,"")</f>
        <v>0.89128571428571435</v>
      </c>
      <c r="BZ878" s="143">
        <v>0</v>
      </c>
      <c r="CA878" s="143">
        <v>0</v>
      </c>
      <c r="CB878" s="143">
        <v>0</v>
      </c>
      <c r="CC878" s="143">
        <v>0</v>
      </c>
      <c r="CD878" s="143">
        <v>0</v>
      </c>
      <c r="CE878" s="143">
        <v>0</v>
      </c>
      <c r="CF878" s="143">
        <v>0</v>
      </c>
      <c r="CG878" s="143">
        <v>0</v>
      </c>
      <c r="CH878" s="143">
        <v>0</v>
      </c>
      <c r="CI878" s="143">
        <v>0</v>
      </c>
      <c r="CJ878" s="143">
        <v>0</v>
      </c>
      <c r="CK878" s="143">
        <v>0</v>
      </c>
      <c r="CL878" s="143">
        <v>0</v>
      </c>
      <c r="CM878">
        <v>1</v>
      </c>
      <c r="CN878" t="str">
        <f>IF($BL878&lt;$BK878,"refNeedCorrection","refOK")</f>
        <v>refOK</v>
      </c>
      <c r="CO878">
        <f>IF($CN878="refOK",$BK878,$BL878)</f>
        <v>0</v>
      </c>
      <c r="CP878">
        <f>IF($CN878="refOK",$BL878,$BK878)</f>
        <v>25.2</v>
      </c>
      <c r="CQ878">
        <f>IF($CN878="refOK",$BO878,-$BO878)</f>
        <v>4.117647058823529</v>
      </c>
      <c r="CR878">
        <f>IF($CN878="refOK",$BS878,$BT878)*IF($BP878="Emissions positive",-1,1)</f>
        <v>-1</v>
      </c>
      <c r="CS878">
        <f>IF($CN878="refOK",$BT878,$BS878)*IF($BP878="Emissions positive",-1,1)</f>
        <v>0</v>
      </c>
      <c r="CT878">
        <f>IF($CN878="refNeedCorrection",-BX878,BX878)*IF($BP878="Emissions positive",-1,1)</f>
        <v>3.67</v>
      </c>
      <c r="CU878">
        <f>IFERROR(CT878/CQ878,"")</f>
        <v>0.89128571428571435</v>
      </c>
      <c r="CV878" s="2">
        <f>IFERROR((CS878-CR878)/ABS(CR878),"")</f>
        <v>1</v>
      </c>
      <c r="CW878" s="1" t="s">
        <v>1203</v>
      </c>
      <c r="CX878" t="str">
        <f>IF(OR($CW878="prd",$CW878="std",$CW878="cit"),"loc",IF(OR($CW878="eur",$CW878="reg",$CW878="coy"),"reg",$CW878))</f>
        <v>reg</v>
      </c>
      <c r="CY878" t="s">
        <v>444</v>
      </c>
      <c r="DA878" s="143"/>
      <c r="DB878" s="143">
        <v>0</v>
      </c>
      <c r="DC878" t="str">
        <f>IF(DB878=0,"0",IF(AND(DB878&gt;=1,DB878&lt;=30),"1-30",IF(AND(DB878&gt;30,DB878&lt;=70),"31-70",IF(AND(DB878&gt;70,DB878&lt;=100),"71-100",IF(DB878&gt;100,"+100")))))</f>
        <v>0</v>
      </c>
      <c r="DD878">
        <v>0</v>
      </c>
      <c r="DE878">
        <v>1</v>
      </c>
      <c r="DF878">
        <v>0</v>
      </c>
      <c r="DG878">
        <v>0</v>
      </c>
      <c r="DI878">
        <f>SUM(DD878:DG878)</f>
        <v>1</v>
      </c>
      <c r="DJ878" t="str">
        <f>IF(DI878=1,INDEX($DD$7:$DG$7,MATCH(1,$DD878:$DG878,0)),"mixedProduct")</f>
        <v>EnergyInput</v>
      </c>
      <c r="DK878">
        <f>IF(DD878=1,DK$7,0)</f>
        <v>0</v>
      </c>
      <c r="DL878" t="str">
        <f>IF(DE878=1,DL$7,0)</f>
        <v>Energy</v>
      </c>
      <c r="DM878">
        <f>IF(DF878=1,DM$7,0)</f>
        <v>0</v>
      </c>
      <c r="DN878">
        <f>IF(DG878=1,DN$7,0)</f>
        <v>0</v>
      </c>
      <c r="DO878">
        <v>0</v>
      </c>
      <c r="DP878" s="143">
        <v>0</v>
      </c>
      <c r="DQ878" s="143">
        <v>0</v>
      </c>
      <c r="DR878">
        <v>0</v>
      </c>
      <c r="DS878" s="143">
        <v>0</v>
      </c>
      <c r="DT878">
        <f>SUM(DO878:DP878)</f>
        <v>0</v>
      </c>
      <c r="DU878" s="143" t="str">
        <f>IF(DO878=1,"self-calculated DF",IF(DP878=1,"external DF used","explicit C balance"))</f>
        <v>explicit C balance</v>
      </c>
      <c r="DV878" s="143">
        <v>0</v>
      </c>
      <c r="DW878" s="143">
        <v>0</v>
      </c>
      <c r="DX878" s="143">
        <v>0</v>
      </c>
      <c r="DY878" s="143">
        <v>0</v>
      </c>
      <c r="DZ878">
        <v>0</v>
      </c>
      <c r="EA878" s="143">
        <v>0</v>
      </c>
      <c r="EB878" s="143">
        <v>0</v>
      </c>
      <c r="EC878" s="143">
        <v>1</v>
      </c>
      <c r="ED878" s="143">
        <v>0</v>
      </c>
      <c r="EE878">
        <v>0</v>
      </c>
      <c r="EF878">
        <v>0</v>
      </c>
      <c r="EG878" s="143">
        <v>0</v>
      </c>
      <c r="EH878" s="143">
        <v>0</v>
      </c>
      <c r="EI878" s="2">
        <v>0</v>
      </c>
      <c r="EK878" t="str">
        <f>IF(AND(AND(AND(OR($DX878=1,$DW878=1),OR($EC878=1,$EA878=1)),SUM($DV878:$DZ878,$EF878)&gt;=4),SUM($EA878:$EE878)&gt;=2),"Whole sector","")</f>
        <v/>
      </c>
      <c r="EL878" t="str">
        <f>IF(AND(AND(OR($DX878=1,$DW878=1),AND($EC878=0,$EA878=0)),SUM($DV878:$DZ878,$EF878)&gt;=4),"Ecosystem approach","")</f>
        <v/>
      </c>
      <c r="EM878" s="2" t="str">
        <f>IF(AND(AND(AND($DX878=0,$DW878=0),OR($EC878=1,$EA878=1)),SUM($EB878:$EE878)&gt;=2),"Technology approach","")</f>
        <v/>
      </c>
      <c r="EP878" t="str">
        <f>IF(ISNUMBER(BU878),IF(ABS(BU878-[2]QC_indicators!$B$2)&gt;3*[2]QC_indicators!$C$2,"C ratio",IF(ISNUMBER(BY878),IF(ABS(BY878-[2]QC_indicators!$B$1)&gt;3*[2]QC_indicators!$C$1,"DF","no"))),IF(ISNUMBER(BY878),IF(ABS(BY878-[2]QC_indicators!$B$1)&gt;3*[2]QC_indicators!$C$1,"DF","no")))</f>
        <v>no</v>
      </c>
      <c r="ER878" s="149" t="s">
        <v>349</v>
      </c>
      <c r="ET878" s="264" t="s">
        <v>3266</v>
      </c>
    </row>
    <row r="879" spans="1:150" ht="15" customHeight="1">
      <c r="A879" s="1" t="s">
        <v>2114</v>
      </c>
      <c r="B879" t="s">
        <v>544</v>
      </c>
      <c r="C879" t="s">
        <v>2277</v>
      </c>
      <c r="D879" t="s">
        <v>2278</v>
      </c>
      <c r="E879" t="s">
        <v>2279</v>
      </c>
      <c r="F879" t="s">
        <v>2280</v>
      </c>
      <c r="G879" t="s">
        <v>2115</v>
      </c>
      <c r="H879" t="s">
        <v>254</v>
      </c>
      <c r="I879">
        <v>2014</v>
      </c>
      <c r="J879">
        <v>96</v>
      </c>
      <c r="K879" t="s">
        <v>2281</v>
      </c>
      <c r="M879" t="str">
        <f>LEFT($D879,FIND(",",$D879)-1)&amp;"_"&amp;I879&amp;L879</f>
        <v>Smyth_2014</v>
      </c>
      <c r="N879" t="s">
        <v>222</v>
      </c>
      <c r="O879" s="145" t="s">
        <v>341</v>
      </c>
      <c r="Q879" t="s">
        <v>256</v>
      </c>
      <c r="R879" s="262" t="s">
        <v>223</v>
      </c>
      <c r="S879" s="1" t="s">
        <v>2292</v>
      </c>
      <c r="T879" t="s">
        <v>1155</v>
      </c>
      <c r="U879" t="s">
        <v>2293</v>
      </c>
      <c r="V879">
        <v>0</v>
      </c>
      <c r="W879">
        <v>0</v>
      </c>
      <c r="X879">
        <v>0</v>
      </c>
      <c r="Y879">
        <v>1</v>
      </c>
      <c r="Z879">
        <v>0</v>
      </c>
      <c r="AA879">
        <v>0</v>
      </c>
      <c r="AB879">
        <v>0</v>
      </c>
      <c r="AC879">
        <v>0</v>
      </c>
      <c r="AD879">
        <v>0</v>
      </c>
      <c r="AE879">
        <v>0</v>
      </c>
      <c r="AF879">
        <v>0</v>
      </c>
      <c r="AG879">
        <v>0</v>
      </c>
      <c r="AH879">
        <v>0</v>
      </c>
      <c r="AI879">
        <v>0</v>
      </c>
      <c r="AJ879">
        <v>2</v>
      </c>
      <c r="AK879">
        <v>0</v>
      </c>
      <c r="AL879">
        <v>0</v>
      </c>
      <c r="AM879">
        <v>0</v>
      </c>
      <c r="AN879">
        <v>0</v>
      </c>
      <c r="AO879">
        <v>0</v>
      </c>
      <c r="AP879">
        <v>0</v>
      </c>
      <c r="AQ879">
        <v>0</v>
      </c>
      <c r="AR879">
        <v>0</v>
      </c>
      <c r="AS879">
        <v>0</v>
      </c>
      <c r="AT879">
        <v>0</v>
      </c>
      <c r="AU879">
        <v>0</v>
      </c>
      <c r="AV879">
        <v>0</v>
      </c>
      <c r="AW879">
        <v>0</v>
      </c>
      <c r="AX879" s="141">
        <f>COUNTIF(V879:AW879,"&lt;&gt;0")</f>
        <v>2</v>
      </c>
      <c r="AY879" s="141">
        <f>COUNTIF(V879:AL879,"&lt;&gt;0")</f>
        <v>2</v>
      </c>
      <c r="AZ879">
        <f>COUNTIF(V879:AC879,"&lt;&gt;0")</f>
        <v>1</v>
      </c>
      <c r="BA879">
        <f>COUNTIF(AD879:AI879,"&lt;&gt;0")</f>
        <v>0</v>
      </c>
      <c r="BB879">
        <f>COUNTIF(AJ879:AL879,"&lt;&gt;0")</f>
        <v>1</v>
      </c>
      <c r="BC879">
        <f>COUNTIF(AS879:AW879,"&lt;&gt;0")</f>
        <v>0</v>
      </c>
      <c r="BD879">
        <f>COUNTIF(AM879:AR879,"&lt;&gt;0")</f>
        <v>0</v>
      </c>
      <c r="BE879" t="str">
        <f t="array" ref="BE879">IF(AY879=1,INDEX($V$7:$AL$7,MATCH(TRUE,INDEX($V879:$AW879&lt;&gt;0,),0)),IF(AY879=0,INDEX($AM$7:$AW$7,MATCH(1,$AM879:$AW879,0)),IF(BF879="Multiple strategies","mixed drivers",IF(BF879="Supply chain","multiple supply","multiple silviculture"))))</f>
        <v>mixed drivers</v>
      </c>
      <c r="BF879" s="2" t="str" cm="1">
        <f t="array" ref="BF879">IF(COUNTIF(AZ879:BB879,"&lt;&gt;0")=1,INDEX($V$4:$AW$4,MATCH(TRUE,INDEX($V879:$AW879&lt;&gt;0,),0)),IF(COUNTIF(AZ879:BB879,"&lt;&gt;0")=0,INDEX($AM$4:$AW$4,MATCH(1,$AM879:$AW879,0)),"Multiple strategies"))</f>
        <v>Multiple strategies</v>
      </c>
      <c r="BG879" s="1" t="s">
        <v>321</v>
      </c>
      <c r="BH879" t="s">
        <v>2294</v>
      </c>
      <c r="BI879" s="264" t="s">
        <v>1036</v>
      </c>
      <c r="BJ879" t="s">
        <v>2288</v>
      </c>
      <c r="BK879">
        <v>0</v>
      </c>
      <c r="BL879">
        <v>9.9</v>
      </c>
      <c r="BN879">
        <f>BL879-BK879</f>
        <v>9.9</v>
      </c>
      <c r="BO879">
        <f>BN879*10^6*tC_to_m3</f>
        <v>42987407.729049072</v>
      </c>
      <c r="BP879" t="s">
        <v>232</v>
      </c>
      <c r="BQ879" s="267" t="s">
        <v>3243</v>
      </c>
      <c r="BR879" s="264" t="s">
        <v>3244</v>
      </c>
      <c r="BU879" s="144"/>
      <c r="BV879">
        <f>1341/35</f>
        <v>38.314285714285717</v>
      </c>
      <c r="BX879">
        <f>BV879*10^6</f>
        <v>38314285.714285716</v>
      </c>
      <c r="BY879">
        <f>IFERROR(BX879/BO879,"")</f>
        <v>0.89129090909090902</v>
      </c>
      <c r="BZ879">
        <v>0</v>
      </c>
      <c r="CA879">
        <v>1</v>
      </c>
      <c r="CB879">
        <v>1</v>
      </c>
      <c r="CC879">
        <v>1</v>
      </c>
      <c r="CD879">
        <v>0</v>
      </c>
      <c r="CE879">
        <v>0</v>
      </c>
      <c r="CF879">
        <v>0</v>
      </c>
      <c r="CG879">
        <v>0</v>
      </c>
      <c r="CH879">
        <v>0</v>
      </c>
      <c r="CI879">
        <v>0</v>
      </c>
      <c r="CJ879">
        <v>0</v>
      </c>
      <c r="CK879">
        <v>0</v>
      </c>
      <c r="CL879">
        <v>0</v>
      </c>
      <c r="CM879">
        <v>0</v>
      </c>
      <c r="CN879" t="str">
        <f>IF($BL879&lt;$BK879,"refNeedCorrection","refOK")</f>
        <v>refOK</v>
      </c>
      <c r="CO879">
        <f>IF($CN879="refOK",$BK879,$BL879)</f>
        <v>0</v>
      </c>
      <c r="CP879">
        <f>IF($CN879="refOK",$BL879,$BK879)</f>
        <v>9.9</v>
      </c>
      <c r="CQ879">
        <f>IF($CN879="refOK",$BO879,-$BO879)</f>
        <v>42987407.729049072</v>
      </c>
      <c r="CR879">
        <f>IF($CN879="refOK",$BS879,$BT879)*IF($BP879="Emissions positive",-1,1)</f>
        <v>0</v>
      </c>
      <c r="CS879">
        <f>IF($CN879="refOK",$BT879,$BS879)*IF($BP879="Emissions positive",-1,1)</f>
        <v>0</v>
      </c>
      <c r="CT879">
        <f>IF($CN879="refNeedCorrection",-BX879,BX879)*IF($BP879="Emissions positive",-1,1)</f>
        <v>38314285.714285716</v>
      </c>
      <c r="CU879">
        <f>IFERROR(CT879/CQ879,"")</f>
        <v>0.89129090909090902</v>
      </c>
      <c r="CV879" s="2" t="str">
        <f>IFERROR((CS879-CR879)/ABS(CR879),"")</f>
        <v/>
      </c>
      <c r="CW879" s="1" t="s">
        <v>1203</v>
      </c>
      <c r="CX879" t="str">
        <f>IF(OR($CW879="prd",$CW879="std",$CW879="cit"),"loc",IF(OR($CW879="eur",$CW879="reg",$CW879="coy"),"reg",$CW879))</f>
        <v>reg</v>
      </c>
      <c r="CY879" t="s">
        <v>540</v>
      </c>
      <c r="CZ879">
        <v>2015</v>
      </c>
      <c r="DA879">
        <v>2050</v>
      </c>
      <c r="DB879">
        <v>35</v>
      </c>
      <c r="DC879" t="str">
        <f>IF(DB879=0,"0",IF(AND(DB879&gt;=1,DB879&lt;=30),"1-30",IF(AND(DB879&gt;30,DB879&lt;=70),"31-70",IF(AND(DB879&gt;70,DB879&lt;=100),"71-100",IF(DB879&gt;100,"+100")))))</f>
        <v>31-70</v>
      </c>
      <c r="DD879">
        <v>0</v>
      </c>
      <c r="DE879">
        <v>1</v>
      </c>
      <c r="DF879">
        <v>1</v>
      </c>
      <c r="DG879">
        <v>1</v>
      </c>
      <c r="DI879">
        <f>SUM(DD879:DG879)</f>
        <v>3</v>
      </c>
      <c r="DJ879" t="str">
        <f>IF(DI879=1,INDEX($DD$7:$DG$7,MATCH(1,$DD879:$DG879,0)),"mixedProduct")</f>
        <v>mixedProduct</v>
      </c>
      <c r="DK879">
        <f>IF(DD879=1,DK$7,0)</f>
        <v>0</v>
      </c>
      <c r="DL879" t="str">
        <f>IF(DE879=1,DL$7,0)</f>
        <v>Energy</v>
      </c>
      <c r="DM879" t="str">
        <f>IF(DF879=1,DM$7,0)</f>
        <v>Pulp/Paper</v>
      </c>
      <c r="DN879" t="str">
        <f>IF(DG879=1,DN$7,0)</f>
        <v>Timber</v>
      </c>
      <c r="DO879">
        <v>0</v>
      </c>
      <c r="DP879">
        <v>0</v>
      </c>
      <c r="DR879">
        <v>0</v>
      </c>
      <c r="DS879">
        <v>0</v>
      </c>
      <c r="DT879">
        <f>SUM(DO879:DP879)</f>
        <v>0</v>
      </c>
      <c r="DU879" s="143" t="str">
        <f>IF(DO879=1,"self-calculated DF",IF(DP879=1,"external DF used","explicit C balance"))</f>
        <v>explicit C balance</v>
      </c>
      <c r="DV879">
        <v>1</v>
      </c>
      <c r="DW879">
        <v>1</v>
      </c>
      <c r="DX879">
        <v>1</v>
      </c>
      <c r="DY879">
        <v>0</v>
      </c>
      <c r="DZ879">
        <v>0</v>
      </c>
      <c r="EA879">
        <v>0</v>
      </c>
      <c r="EB879">
        <v>0</v>
      </c>
      <c r="EC879">
        <v>0</v>
      </c>
      <c r="ED879">
        <v>0</v>
      </c>
      <c r="EE879">
        <v>0</v>
      </c>
      <c r="EF879">
        <v>1</v>
      </c>
      <c r="EG879">
        <v>0</v>
      </c>
      <c r="EH879">
        <v>0</v>
      </c>
      <c r="EI879" s="2">
        <v>0</v>
      </c>
      <c r="EK879" t="str">
        <f>IF(AND(AND(AND(OR($DX879=1,$DW879=1),OR($EC879=1,$EA879=1)),SUM($DV879:$DZ879,$EF879)&gt;=4),SUM($EA879:$EE879)&gt;=2),"Whole sector","")</f>
        <v/>
      </c>
      <c r="EL879" t="str">
        <f>IF(AND(AND(OR($DX879=1,$DW879=1),AND($EC879=0,$EA879=0)),SUM($DV879:$DZ879,$EF879)&gt;=4),"Ecosystem approach","")</f>
        <v>Ecosystem approach</v>
      </c>
      <c r="EM879" s="2" t="str">
        <f>IF(AND(AND(AND($DX879=0,$DW879=0),OR($EC879=1,$EA879=1)),SUM($EB879:$EE879)&gt;=2),"Technology approach","")</f>
        <v/>
      </c>
      <c r="EP879" t="str">
        <f>IF(ISNUMBER(BU879),IF(ABS(BU879-[1]QC_indicators!$B$2)&gt;3*[1]QC_indicators!$C$2,"C ratio",IF(ISNUMBER(BY879),IF(ABS(BY879-[1]QC_indicators!$B$1)&gt;3*[1]QC_indicators!$C$1,"DF","no"))),IF(ISNUMBER(BY879),IF(ABS(BY879-[1]QC_indicators!$B$1)&gt;3*[1]QC_indicators!$C$1,"DF","no")))</f>
        <v>no</v>
      </c>
      <c r="ET879" s="268" t="s">
        <v>3242</v>
      </c>
    </row>
    <row r="880" spans="1:150" ht="15" customHeight="1">
      <c r="A880" s="1" t="s">
        <v>505</v>
      </c>
      <c r="B880" t="s">
        <v>506</v>
      </c>
      <c r="C880" t="s">
        <v>507</v>
      </c>
      <c r="D880" t="s">
        <v>508</v>
      </c>
      <c r="E880" t="s">
        <v>509</v>
      </c>
      <c r="F880" t="s">
        <v>510</v>
      </c>
      <c r="G880" t="s">
        <v>511</v>
      </c>
      <c r="H880" t="s">
        <v>254</v>
      </c>
      <c r="I880">
        <v>2021</v>
      </c>
      <c r="J880">
        <v>7</v>
      </c>
      <c r="K880" t="s">
        <v>512</v>
      </c>
      <c r="M880" t="str">
        <f>LEFT($D880,FIND(",",$D880)-1)&amp;"_"&amp;I880&amp;L880</f>
        <v>Caldas_2021</v>
      </c>
      <c r="N880" t="s">
        <v>222</v>
      </c>
      <c r="O880" s="145" t="s">
        <v>223</v>
      </c>
      <c r="P880" t="s">
        <v>513</v>
      </c>
      <c r="Q880" s="264" t="s">
        <v>256</v>
      </c>
      <c r="R880" s="269" t="s">
        <v>1154</v>
      </c>
      <c r="S880" s="1" t="s">
        <v>517</v>
      </c>
      <c r="T880" t="s">
        <v>526</v>
      </c>
      <c r="U880" t="s">
        <v>527</v>
      </c>
      <c r="V880">
        <v>0</v>
      </c>
      <c r="W880">
        <v>0</v>
      </c>
      <c r="X880">
        <v>0</v>
      </c>
      <c r="Y880">
        <v>0</v>
      </c>
      <c r="Z880">
        <v>0</v>
      </c>
      <c r="AA880">
        <v>0</v>
      </c>
      <c r="AB880">
        <v>0</v>
      </c>
      <c r="AC880">
        <v>0</v>
      </c>
      <c r="AD880">
        <v>0</v>
      </c>
      <c r="AE880">
        <v>0</v>
      </c>
      <c r="AF880">
        <v>0</v>
      </c>
      <c r="AG880">
        <v>0</v>
      </c>
      <c r="AH880">
        <v>0</v>
      </c>
      <c r="AI880">
        <v>0</v>
      </c>
      <c r="AJ880">
        <v>0</v>
      </c>
      <c r="AK880">
        <v>1</v>
      </c>
      <c r="AL880">
        <v>0</v>
      </c>
      <c r="AM880">
        <v>0</v>
      </c>
      <c r="AN880">
        <v>0</v>
      </c>
      <c r="AO880">
        <v>0</v>
      </c>
      <c r="AP880">
        <v>0</v>
      </c>
      <c r="AQ880">
        <v>0</v>
      </c>
      <c r="AR880">
        <v>0</v>
      </c>
      <c r="AS880">
        <v>0</v>
      </c>
      <c r="AT880">
        <v>0</v>
      </c>
      <c r="AU880">
        <v>0</v>
      </c>
      <c r="AV880">
        <v>0</v>
      </c>
      <c r="AW880">
        <v>0</v>
      </c>
      <c r="AX880" s="141">
        <f>COUNTIF(V880:AW880,"&lt;&gt;0")</f>
        <v>1</v>
      </c>
      <c r="AY880" s="141">
        <f>COUNTIF(V880:AL880,"&lt;&gt;0")</f>
        <v>1</v>
      </c>
      <c r="AZ880">
        <f>COUNTIF(V880:AC880,"&lt;&gt;0")</f>
        <v>0</v>
      </c>
      <c r="BA880">
        <f>COUNTIF(AD880:AI880,"&lt;&gt;0")</f>
        <v>0</v>
      </c>
      <c r="BB880">
        <f>COUNTIF(AJ880:AL880,"&lt;&gt;0")</f>
        <v>1</v>
      </c>
      <c r="BC880">
        <f>COUNTIF(AS880:AW880,"&lt;&gt;0")</f>
        <v>0</v>
      </c>
      <c r="BD880">
        <f>COUNTIF(AM880:AR880,"&lt;&gt;0")</f>
        <v>0</v>
      </c>
      <c r="BE880" t="str" cm="1">
        <f t="array" ref="BE880">IF(AY880=1,INDEX($V$7:$AL$7,MATCH(TRUE,INDEX($V880:$AW880&lt;&gt;0,),0)),IF(AY880=0,INDEX($AM$7:$AW$7,MATCH(1,$AM880:$AW880,0)),IF(BF880="Multiple strategies","mixed drivers",IF(BF880="Supply chain","multiple supply","multiple silviculture"))))</f>
        <v>technologies/design switch</v>
      </c>
      <c r="BF880" s="2" t="str" cm="1">
        <f t="array" ref="BF880">IF(COUNTIF(AZ880:BB880,"&lt;&gt;0")=1,INDEX($V$4:$AW$4,MATCH(TRUE,INDEX($V880:$AW880&lt;&gt;0,),0)),IF(COUNTIF(AZ880:BB880,"&lt;&gt;0")=0,INDEX($AM$4:$AW$4,MATCH(1,$AM880:$AW880,0)),"Multiple strategies"))</f>
        <v>Technology</v>
      </c>
      <c r="BG880" s="1" t="s">
        <v>229</v>
      </c>
      <c r="BH880" t="s">
        <v>517</v>
      </c>
      <c r="BJ880" t="s">
        <v>518</v>
      </c>
      <c r="BK880">
        <v>140</v>
      </c>
      <c r="BL880">
        <v>247</v>
      </c>
      <c r="BN880">
        <f>BL880-BK880</f>
        <v>107</v>
      </c>
      <c r="BO880">
        <f>BN880*kg_to_m3</f>
        <v>0.21836734693877552</v>
      </c>
      <c r="BP880" s="264" t="s">
        <v>232</v>
      </c>
      <c r="BQ880" s="264"/>
      <c r="BR880" t="s">
        <v>519</v>
      </c>
      <c r="BS880">
        <v>-298.96907216494799</v>
      </c>
      <c r="BT880">
        <v>-103.092783505154</v>
      </c>
      <c r="BU880" s="144">
        <v>0.34482758620689496</v>
      </c>
      <c r="BV880">
        <v>195.876288659794</v>
      </c>
      <c r="BX880">
        <f>BV880/1000</f>
        <v>0.19587628865979401</v>
      </c>
      <c r="BY880">
        <f>IFERROR(BX880/BO880,"")</f>
        <v>0.89700356489064537</v>
      </c>
      <c r="BZ880" s="143">
        <v>0</v>
      </c>
      <c r="CA880" s="143">
        <v>0</v>
      </c>
      <c r="CB880" s="143">
        <v>0</v>
      </c>
      <c r="CC880" s="143">
        <v>0</v>
      </c>
      <c r="CD880" s="143">
        <v>0</v>
      </c>
      <c r="CE880" s="143">
        <v>0</v>
      </c>
      <c r="CF880" s="143">
        <v>0</v>
      </c>
      <c r="CG880" s="143">
        <v>0</v>
      </c>
      <c r="CH880" s="143">
        <v>0</v>
      </c>
      <c r="CI880" s="143">
        <v>0</v>
      </c>
      <c r="CJ880" s="143">
        <v>0</v>
      </c>
      <c r="CK880" s="143">
        <v>0</v>
      </c>
      <c r="CL880" s="143">
        <v>0</v>
      </c>
      <c r="CM880">
        <v>0</v>
      </c>
      <c r="CN880" t="str">
        <f>IF($BL880&lt;$BK880,"refNeedCorrection","refOK")</f>
        <v>refOK</v>
      </c>
      <c r="CO880">
        <f>IF($CN880="refOK",$BK880,$BL880)</f>
        <v>140</v>
      </c>
      <c r="CP880">
        <f>IF($CN880="refOK",$BL880,$BK880)</f>
        <v>247</v>
      </c>
      <c r="CQ880">
        <f>IF($CN880="refOK",$BO880,-$BO880)</f>
        <v>0.21836734693877552</v>
      </c>
      <c r="CR880">
        <f>IF($CN880="refOK",$BS880,$BT880)*IF($BP880="Emissions positive",-1,1)</f>
        <v>-298.96907216494799</v>
      </c>
      <c r="CS880">
        <f>IF($CN880="refOK",$BT880,$BS880)*IF($BP880="Emissions positive",-1,1)</f>
        <v>-103.092783505154</v>
      </c>
      <c r="CT880">
        <f>IF($CN880="refNeedCorrection",-BX880,BX880)*IF($BP880="Emissions positive",-1,1)</f>
        <v>0.19587628865979401</v>
      </c>
      <c r="CU880">
        <f>IFERROR(CT880/CQ880,"")</f>
        <v>0.89700356489064537</v>
      </c>
      <c r="CV880" s="2">
        <f>IFERROR((CS880-CR880)/ABS(CR880),"")</f>
        <v>0.65517241379310509</v>
      </c>
      <c r="CW880" s="1" t="s">
        <v>263</v>
      </c>
      <c r="CX880" s="264" t="str">
        <f>IF(OR($CW880="prd",$CW880="std",$CW880="cit"),"loc",IF(OR($CW880="eur",$CW880="reg",$CW880="coy"),"reg",$CW880))</f>
        <v>loc</v>
      </c>
      <c r="CY880" t="s">
        <v>520</v>
      </c>
      <c r="CZ880">
        <v>2014</v>
      </c>
      <c r="DA880">
        <v>2014</v>
      </c>
      <c r="DB880">
        <f>DA880-CZ880</f>
        <v>0</v>
      </c>
      <c r="DC880" t="str">
        <f>IF(DB880=0,"0",IF(AND(DB880&gt;=1,DB880&lt;=30),"1-30",IF(AND(DB880&gt;30,DB880&lt;=70),"31-70",IF(AND(DB880&gt;70,DB880&lt;=100),"71-100",IF(DB880&gt;100,"+100")))))</f>
        <v>0</v>
      </c>
      <c r="DD880">
        <v>0</v>
      </c>
      <c r="DE880">
        <v>0</v>
      </c>
      <c r="DF880">
        <v>0</v>
      </c>
      <c r="DG880">
        <v>1</v>
      </c>
      <c r="DI880">
        <f>SUM(DD880:DG880)</f>
        <v>1</v>
      </c>
      <c r="DJ880" t="str">
        <f>IF(DI880=1,INDEX($DD$7:$DG$7,MATCH(1,$DD880:$DG880,0)),"mixedProduct")</f>
        <v>TimberInput</v>
      </c>
      <c r="DK880">
        <f>IF(DD880=1,DK$7,0)</f>
        <v>0</v>
      </c>
      <c r="DL880">
        <f>IF(DE880=1,DL$7,0)</f>
        <v>0</v>
      </c>
      <c r="DM880">
        <f>IF(DF880=1,DM$7,0)</f>
        <v>0</v>
      </c>
      <c r="DN880" t="str">
        <f>IF(DG880=1,DN$7,0)</f>
        <v>Timber</v>
      </c>
      <c r="DO880">
        <v>0</v>
      </c>
      <c r="DP880" s="143">
        <v>0</v>
      </c>
      <c r="DQ880" s="143">
        <v>0</v>
      </c>
      <c r="DR880" s="143">
        <v>0</v>
      </c>
      <c r="DS880">
        <v>0</v>
      </c>
      <c r="DT880">
        <f>SUM(DO880:DP880)</f>
        <v>0</v>
      </c>
      <c r="DU880" s="143" t="str">
        <f>IF(DO880=1,"self-calculated DF",IF(DP880=1,"external DF used","explicit C balance"))</f>
        <v>explicit C balance</v>
      </c>
      <c r="DV880">
        <v>0</v>
      </c>
      <c r="DW880" s="143">
        <v>0</v>
      </c>
      <c r="DX880" s="143">
        <v>0</v>
      </c>
      <c r="DY880" s="143">
        <v>0</v>
      </c>
      <c r="DZ880">
        <v>1</v>
      </c>
      <c r="EA880" s="143">
        <v>1</v>
      </c>
      <c r="EB880">
        <v>0</v>
      </c>
      <c r="EC880" s="143">
        <v>1</v>
      </c>
      <c r="ED880" s="143">
        <v>0</v>
      </c>
      <c r="EE880">
        <v>0</v>
      </c>
      <c r="EF880">
        <v>0</v>
      </c>
      <c r="EG880" s="143">
        <v>0</v>
      </c>
      <c r="EH880" s="143">
        <v>0</v>
      </c>
      <c r="EI880" s="2">
        <v>0</v>
      </c>
      <c r="EK880" t="str">
        <f>IF(AND(AND(AND(OR($DX880=1,$DW880=1),OR($EC880=1,$EA880=1)),SUM($DV880:$DZ880,$EF880)&gt;=4),SUM($EA880:$EE880)&gt;=2),"Whole sector","")</f>
        <v/>
      </c>
      <c r="EL880" t="str">
        <f>IF(AND(AND(OR($DX880=1,$DW880=1),AND($EC880=0,$EA880=0)),SUM($DV880:$DZ880,$EF880)&gt;=4),"Ecosystem approach","")</f>
        <v/>
      </c>
      <c r="EM880" s="2" t="str">
        <f>IF(AND(AND(AND($DX880=0,$DW880=0),OR($EC880=1,$EA880=1)),SUM($EB880:$EE880)&gt;=2),"Technology approach","")</f>
        <v/>
      </c>
      <c r="EP880" t="str">
        <f>IF(ISNUMBER(BU880),IF(ABS(BU880-[3]QC_indicators!$B$2)&gt;3*[3]QC_indicators!$C$2,"C ratio",IF(ISNUMBER(BY880),IF(ABS(BY880-[3]QC_indicators!$B$1)&gt;3*[3]QC_indicators!$C$1,"DF","no"))),IF(ISNUMBER(BY880),IF(ABS(BY880-[3]QC_indicators!$B$1)&gt;3*[3]QC_indicators!$C$1,"DF","no")))</f>
        <v>no</v>
      </c>
      <c r="ER880" s="294" t="s">
        <v>349</v>
      </c>
      <c r="ET880" s="264" t="s">
        <v>3407</v>
      </c>
    </row>
    <row r="881" spans="1:150" ht="15" customHeight="1">
      <c r="A881" s="1" t="s">
        <v>1102</v>
      </c>
      <c r="B881" t="s">
        <v>2381</v>
      </c>
      <c r="C881" t="s">
        <v>2382</v>
      </c>
      <c r="D881" t="s">
        <v>2383</v>
      </c>
      <c r="E881" t="s">
        <v>2384</v>
      </c>
      <c r="F881" t="s">
        <v>2385</v>
      </c>
      <c r="G881" t="s">
        <v>1108</v>
      </c>
      <c r="H881" t="s">
        <v>254</v>
      </c>
      <c r="I881">
        <v>2016</v>
      </c>
      <c r="J881">
        <v>13</v>
      </c>
      <c r="K881" t="s">
        <v>2386</v>
      </c>
      <c r="M881" t="str">
        <f>LEFT($D881,FIND(",",$D881)-1)&amp;"_"&amp;I881&amp;L881</f>
        <v>Torssonen_2016</v>
      </c>
      <c r="N881" t="s">
        <v>222</v>
      </c>
      <c r="O881" s="145" t="s">
        <v>1154</v>
      </c>
      <c r="Q881" s="264" t="s">
        <v>256</v>
      </c>
      <c r="R881" s="269" t="s">
        <v>341</v>
      </c>
      <c r="S881" s="1" t="s">
        <v>2387</v>
      </c>
      <c r="T881" t="s">
        <v>2396</v>
      </c>
      <c r="U881" s="264" t="s">
        <v>2418</v>
      </c>
      <c r="V881">
        <v>0</v>
      </c>
      <c r="W881">
        <v>0</v>
      </c>
      <c r="X881">
        <v>0</v>
      </c>
      <c r="Y881">
        <v>0</v>
      </c>
      <c r="Z881">
        <v>0</v>
      </c>
      <c r="AA881">
        <v>0</v>
      </c>
      <c r="AB881">
        <v>1</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s="141">
        <f>COUNTIF(V881:AW881,"&lt;&gt;0")</f>
        <v>1</v>
      </c>
      <c r="AY881" s="141">
        <f>COUNTIF(V881:AL881,"&lt;&gt;0")</f>
        <v>1</v>
      </c>
      <c r="AZ881">
        <f>COUNTIF(V881:AC881,"&lt;&gt;0")</f>
        <v>1</v>
      </c>
      <c r="BA881">
        <f>COUNTIF(AD881:AI881,"&lt;&gt;0")</f>
        <v>0</v>
      </c>
      <c r="BB881">
        <f>COUNTIF(AJ881:AL881,"&lt;&gt;0")</f>
        <v>0</v>
      </c>
      <c r="BC881">
        <f>COUNTIF(AS881:AW881,"&lt;&gt;0")</f>
        <v>0</v>
      </c>
      <c r="BD881">
        <f>COUNTIF(AM881:AR881,"&lt;&gt;0")</f>
        <v>0</v>
      </c>
      <c r="BE881" t="str" cm="1">
        <f t="array" ref="BE881">IF(AY881=1,INDEX($V$7:$AL$7,MATCH(TRUE,INDEX($V881:$AW881&lt;&gt;0,),0)),IF(AY881=0,INDEX($AM$7:$AW$7,MATCH(1,$AM881:$AW881,0)),IF(BF881="Multiple strategies","mixed drivers",IF(BF881="Supply chain","multiple supply","multiple silviculture"))))</f>
        <v>fertilisation</v>
      </c>
      <c r="BF881" s="2" t="str" cm="1">
        <f t="array" ref="BF881">IF(COUNTIF(AZ881:BB881,"&lt;&gt;0")=1,INDEX($V$4:$AW$4,MATCH(TRUE,INDEX($V881:$AW881&lt;&gt;0,),0)),IF(COUNTIF(AZ881:BB881,"&lt;&gt;0")=0,INDEX($AM$4:$AW$4,MATCH(1,$AM881:$AW881,0)),"Multiple strategies"))</f>
        <v>Silviculture for productivity</v>
      </c>
      <c r="BG881" s="1" t="s">
        <v>229</v>
      </c>
      <c r="BH881" s="306" t="s">
        <v>2144</v>
      </c>
      <c r="BI881" s="264" t="s">
        <v>2391</v>
      </c>
      <c r="BJ881" s="306" t="s">
        <v>1058</v>
      </c>
      <c r="BK881">
        <v>8.0857142559999993</v>
      </c>
      <c r="BL881">
        <v>8.3265305820000002</v>
      </c>
      <c r="BM881" s="143">
        <f>BL881/BK881</f>
        <v>1.0297829379539727</v>
      </c>
      <c r="BN881">
        <f>BL881-BK881</f>
        <v>0.24081632600000091</v>
      </c>
      <c r="BO881">
        <f>BN881</f>
        <v>0.24081632600000091</v>
      </c>
      <c r="BP881" s="306" t="s">
        <v>395</v>
      </c>
      <c r="BQ881" s="153" t="s">
        <v>3421</v>
      </c>
      <c r="BR881" s="264" t="s">
        <v>2393</v>
      </c>
      <c r="BS881">
        <v>-456.72727272727298</v>
      </c>
      <c r="BT881">
        <v>-478.54545454545399</v>
      </c>
      <c r="BU881" s="144"/>
      <c r="BV881" s="144">
        <f>BT881-BS881</f>
        <v>-21.818181818181017</v>
      </c>
      <c r="BW881" s="144"/>
      <c r="BX881" s="144">
        <f>BV881*10^4/10^6</f>
        <v>-0.21818181818181018</v>
      </c>
      <c r="BY881">
        <f>IFERROR(BX881/BO881,"")</f>
        <v>-0.90600924698855068</v>
      </c>
      <c r="BZ881">
        <v>0</v>
      </c>
      <c r="CA881">
        <v>0</v>
      </c>
      <c r="CB881">
        <v>0</v>
      </c>
      <c r="CC881">
        <v>0</v>
      </c>
      <c r="CD881">
        <v>0</v>
      </c>
      <c r="CE881">
        <v>0</v>
      </c>
      <c r="CF881">
        <v>0</v>
      </c>
      <c r="CG881">
        <v>0</v>
      </c>
      <c r="CH881">
        <v>0</v>
      </c>
      <c r="CI881">
        <v>0</v>
      </c>
      <c r="CJ881">
        <v>0</v>
      </c>
      <c r="CK881">
        <v>0</v>
      </c>
      <c r="CL881">
        <v>0</v>
      </c>
      <c r="CM881">
        <v>1</v>
      </c>
      <c r="CN881" t="str">
        <f>IF($BL881&lt;$BK881,"refNeedCorrection","refOK")</f>
        <v>refOK</v>
      </c>
      <c r="CO881">
        <f>IF($CN881="refOK",$BK881,$BL881)</f>
        <v>8.0857142559999993</v>
      </c>
      <c r="CP881">
        <f>IF($CN881="refOK",$BL881,$BK881)</f>
        <v>8.3265305820000002</v>
      </c>
      <c r="CQ881">
        <f>IF($CN881="refOK",$BO881,-$BO881)</f>
        <v>0.24081632600000091</v>
      </c>
      <c r="CR881">
        <f>IF($CN881="refOK",$BS881,$BT881)*IF($BP881="Emissions positive",-1,1)</f>
        <v>456.72727272727298</v>
      </c>
      <c r="CS881">
        <f>IF($CN881="refOK",$BT881,$BS881)*IF($BP881="Emissions positive",-1,1)</f>
        <v>478.54545454545399</v>
      </c>
      <c r="CT881">
        <f>IF($CN881="refNeedCorrection",-BX881,BX881)*IF($BP881="Emissions positive",-1,1)</f>
        <v>0.21818181818181018</v>
      </c>
      <c r="CU881">
        <f>IFERROR(CT881/CQ881,"")</f>
        <v>0.90600924698855068</v>
      </c>
      <c r="CV881" s="2">
        <f>IFERROR((CS881-CR881)/ABS(CR881),"")</f>
        <v>4.7770700636940895E-2</v>
      </c>
      <c r="CW881" s="1" t="s">
        <v>1199</v>
      </c>
      <c r="CX881" s="264" t="str">
        <f>IF(OR($CW881="prd",$CW881="std",$CW881="cit"),"loc",IF(OR($CW881="eur",$CW881="reg",$CW881="coy"),"reg",$CW881))</f>
        <v>reg</v>
      </c>
      <c r="CY881" t="s">
        <v>235</v>
      </c>
      <c r="CZ881">
        <v>2020</v>
      </c>
      <c r="DA881">
        <v>2100</v>
      </c>
      <c r="DB881">
        <f>DA881-CZ881</f>
        <v>80</v>
      </c>
      <c r="DC881" t="str">
        <f>IF(DB881=0,"0",IF(AND(DB881&gt;=1,DB881&lt;=30),"1-30",IF(AND(DB881&gt;30,DB881&lt;=70),"31-70",IF(AND(DB881&gt;70,DB881&lt;=100),"71-100",IF(DB881&gt;100,"+100")))))</f>
        <v>71-100</v>
      </c>
      <c r="DD881">
        <v>0</v>
      </c>
      <c r="DE881">
        <v>1</v>
      </c>
      <c r="DF881">
        <v>0</v>
      </c>
      <c r="DG881">
        <v>1</v>
      </c>
      <c r="DI881">
        <f>SUM(DD881:DG881)</f>
        <v>2</v>
      </c>
      <c r="DJ881" t="str">
        <f>IF(DI881=1,INDEX($DD$7:$DG$7,MATCH(1,$DD881:$DG881,0)),"mixedProduct")</f>
        <v>mixedProduct</v>
      </c>
      <c r="DK881">
        <f>IF(DD881=1,DK$7,0)</f>
        <v>0</v>
      </c>
      <c r="DL881" t="str">
        <f>IF(DE881=1,DL$7,0)</f>
        <v>Energy</v>
      </c>
      <c r="DM881">
        <f>IF(DF881=1,DM$7,0)</f>
        <v>0</v>
      </c>
      <c r="DN881" t="str">
        <f>IF(DG881=1,DN$7,0)</f>
        <v>Timber</v>
      </c>
      <c r="DO881">
        <v>1</v>
      </c>
      <c r="DP881">
        <v>0</v>
      </c>
      <c r="DQ881">
        <v>0</v>
      </c>
      <c r="DR881">
        <v>0</v>
      </c>
      <c r="DS881">
        <v>0</v>
      </c>
      <c r="DT881">
        <f>SUM(DO881:DP881)</f>
        <v>1</v>
      </c>
      <c r="DU881" s="143" t="str">
        <f>IF(DO881=1,"self-calculated DF",IF(DP881=1,"external DF used","explicit C balance"))</f>
        <v>self-calculated DF</v>
      </c>
      <c r="DV881">
        <v>1</v>
      </c>
      <c r="DW881">
        <v>0</v>
      </c>
      <c r="DX881">
        <v>1</v>
      </c>
      <c r="DY881">
        <v>0</v>
      </c>
      <c r="DZ881">
        <v>0</v>
      </c>
      <c r="EA881" s="143">
        <v>0</v>
      </c>
      <c r="EB881">
        <v>0</v>
      </c>
      <c r="EC881">
        <v>0</v>
      </c>
      <c r="ED881">
        <v>0</v>
      </c>
      <c r="EE881">
        <v>0</v>
      </c>
      <c r="EF881">
        <v>1</v>
      </c>
      <c r="EG881">
        <v>0</v>
      </c>
      <c r="EH881">
        <v>0</v>
      </c>
      <c r="EI881" s="2">
        <v>0</v>
      </c>
      <c r="EK881" t="str">
        <f>IF(AND(AND(AND(OR($DX881=1,$DW881=1),OR($EC881=1,$EA881=1)),SUM($DV881:$DZ881,$EF881)&gt;=4),SUM($EA881:$EE881)&gt;=2),"Whole sector","")</f>
        <v/>
      </c>
      <c r="EL881" t="str">
        <f>IF(AND(AND(OR($DX881=1,$DW881=1),AND($EC881=0,$EA881=0)),SUM($DV881:$DZ881,$EF881)&gt;=4),"Ecosystem approach","")</f>
        <v/>
      </c>
      <c r="EM881" s="2" t="str">
        <f>IF(AND(AND(AND($DX881=0,$DW881=0),OR($EC881=1,$EA881=1)),SUM($EB881:$EE881)&gt;=2),"Technology approach","")</f>
        <v/>
      </c>
      <c r="EP881" t="str">
        <f>IF(ISNUMBER(BU881),IF(ABS(BU881-[3]QC_indicators!$B$2)&gt;3*[3]QC_indicators!$C$2,"C ratio",IF(ISNUMBER(BY881),IF(ABS(BY881-[3]QC_indicators!$B$1)&gt;3*[3]QC_indicators!$C$1,"DF","no"))),IF(ISNUMBER(BY881),IF(ABS(BY881-[3]QC_indicators!$B$1)&gt;3*[3]QC_indicators!$C$1,"DF","no")))</f>
        <v>no</v>
      </c>
      <c r="ER881" s="264" t="s">
        <v>2416</v>
      </c>
      <c r="ET881" s="306" t="s">
        <v>3422</v>
      </c>
    </row>
    <row r="882" spans="1:150" ht="15" customHeight="1">
      <c r="A882" s="1" t="s">
        <v>1360</v>
      </c>
      <c r="B882" t="s">
        <v>2135</v>
      </c>
      <c r="C882" t="s">
        <v>2136</v>
      </c>
      <c r="D882" t="s">
        <v>2137</v>
      </c>
      <c r="E882" t="s">
        <v>2138</v>
      </c>
      <c r="F882" t="s">
        <v>2139</v>
      </c>
      <c r="G882" t="s">
        <v>1366</v>
      </c>
      <c r="H882" t="s">
        <v>254</v>
      </c>
      <c r="I882">
        <v>2012</v>
      </c>
      <c r="J882">
        <v>21</v>
      </c>
      <c r="K882" t="s">
        <v>2140</v>
      </c>
      <c r="L882" s="192"/>
      <c r="M882" t="str">
        <f>LEFT($D882,FIND(",",$D882)-1)&amp;"_"&amp;I882&amp;L882</f>
        <v>Pyorala_2012</v>
      </c>
      <c r="N882" t="s">
        <v>222</v>
      </c>
      <c r="O882" s="145" t="s">
        <v>341</v>
      </c>
      <c r="P882" s="180" t="s">
        <v>223</v>
      </c>
      <c r="Q882" s="264" t="s">
        <v>256</v>
      </c>
      <c r="R882" s="269" t="s">
        <v>1154</v>
      </c>
      <c r="S882" s="263" t="s">
        <v>2150</v>
      </c>
      <c r="T882" s="264" t="s">
        <v>2143</v>
      </c>
      <c r="U882" s="264" t="s">
        <v>2142</v>
      </c>
      <c r="V882">
        <v>0</v>
      </c>
      <c r="W882">
        <v>0</v>
      </c>
      <c r="X882">
        <v>0</v>
      </c>
      <c r="Y882">
        <v>1</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s="141">
        <f>COUNTIF(V882:AW882,"&lt;&gt;0")</f>
        <v>1</v>
      </c>
      <c r="AY882" s="141">
        <f>COUNTIF(V882:AL882,"&lt;&gt;0")</f>
        <v>1</v>
      </c>
      <c r="AZ882">
        <f>COUNTIF(V882:AC882,"&lt;&gt;0")</f>
        <v>1</v>
      </c>
      <c r="BA882">
        <f>COUNTIF(AD882:AI882,"&lt;&gt;0")</f>
        <v>0</v>
      </c>
      <c r="BB882">
        <f>COUNTIF(AJ882:AL882,"&lt;&gt;0")</f>
        <v>0</v>
      </c>
      <c r="BC882">
        <f>COUNTIF(AS882:AW882,"&lt;&gt;0")</f>
        <v>0</v>
      </c>
      <c r="BD882">
        <f>COUNTIF(AM882:AR882,"&lt;&gt;0")</f>
        <v>0</v>
      </c>
      <c r="BE882" t="str" cm="1">
        <f t="array" ref="BE882">IF(AY882=1,INDEX($V$7:$AL$7,MATCH(TRUE,INDEX($V882:$AW882&lt;&gt;0,),0)),IF(AY882=0,INDEX($AM$7:$AW$7,MATCH(1,$AM882:$AW882,0)),IF(BF882="Multiple strategies","mixed drivers",IF(BF882="Supply chain","multiple supply","multiple silviculture"))))</f>
        <v xml:space="preserve">cutting intensity </v>
      </c>
      <c r="BF882" s="2" t="str" cm="1">
        <f t="array" ref="BF882">IF(COUNTIF(AZ882:BB882,"&lt;&gt;0")=1,INDEX($V$4:$AW$4,MATCH(TRUE,INDEX($V882:$AW882&lt;&gt;0,),0)),IF(COUNTIF(AZ882:BB882,"&lt;&gt;0")=0,INDEX($AM$4:$AW$4,MATCH(1,$AM882:$AW882,0)),"Multiple strategies"))</f>
        <v>Silviculture for removals</v>
      </c>
      <c r="BG882" s="178" t="s">
        <v>321</v>
      </c>
      <c r="BH882" s="264" t="s">
        <v>2144</v>
      </c>
      <c r="BI882" s="264" t="s">
        <v>701</v>
      </c>
      <c r="BJ882" s="160" t="s">
        <v>700</v>
      </c>
      <c r="BK882">
        <v>6.5</v>
      </c>
      <c r="BL882">
        <v>6.7</v>
      </c>
      <c r="BN882">
        <f>BL882-BK882</f>
        <v>0.20000000000000018</v>
      </c>
      <c r="BO882">
        <f>BN882</f>
        <v>0.20000000000000018</v>
      </c>
      <c r="BP882" s="155" t="s">
        <v>232</v>
      </c>
      <c r="BQ882" s="335" t="s">
        <v>786</v>
      </c>
      <c r="BR882" s="270" t="s">
        <v>2145</v>
      </c>
      <c r="BS882" s="264">
        <f>99.4/80</f>
        <v>1.2425000000000002</v>
      </c>
      <c r="BT882" s="264">
        <f>113.9/80</f>
        <v>1.4237500000000001</v>
      </c>
      <c r="BU882" s="144"/>
      <c r="BV882">
        <f>BT882-BS882</f>
        <v>0.18124999999999991</v>
      </c>
      <c r="BX882">
        <f>BV882</f>
        <v>0.18124999999999991</v>
      </c>
      <c r="BY882">
        <f>IFERROR(BX882/BO882,"")</f>
        <v>0.90624999999999878</v>
      </c>
      <c r="BZ882">
        <v>0</v>
      </c>
      <c r="CA882">
        <v>0</v>
      </c>
      <c r="CB882">
        <v>0</v>
      </c>
      <c r="CC882">
        <v>0</v>
      </c>
      <c r="CD882">
        <v>0</v>
      </c>
      <c r="CE882">
        <v>0</v>
      </c>
      <c r="CF882">
        <v>0</v>
      </c>
      <c r="CG882">
        <v>0</v>
      </c>
      <c r="CH882">
        <v>0</v>
      </c>
      <c r="CI882">
        <v>0</v>
      </c>
      <c r="CJ882">
        <v>0</v>
      </c>
      <c r="CK882">
        <v>0</v>
      </c>
      <c r="CL882">
        <v>0</v>
      </c>
      <c r="CM882">
        <v>0</v>
      </c>
      <c r="CN882" t="str">
        <f>IF($BL882&lt;$BK882,"refNeedCorrection","refOK")</f>
        <v>refOK</v>
      </c>
      <c r="CO882">
        <f>IF($CN882="refOK",$BK882,$BL882)</f>
        <v>6.5</v>
      </c>
      <c r="CP882">
        <f>IF($CN882="refOK",$BL882,$BK882)</f>
        <v>6.7</v>
      </c>
      <c r="CQ882">
        <f>IF($CN882="refOK",$BO882,-$BO882)</f>
        <v>0.20000000000000018</v>
      </c>
      <c r="CR882">
        <f>IF($CN882="refOK",$BS882,$BT882)*IF($BP882="Emissions positive",-1,1)</f>
        <v>1.2425000000000002</v>
      </c>
      <c r="CS882">
        <f>IF($CN882="refOK",$BT882,$BS882)*IF($BP882="Emissions positive",-1,1)</f>
        <v>1.4237500000000001</v>
      </c>
      <c r="CT882">
        <f>IF($CN882="refNeedCorrection",-BX882,BX882)*IF($BP882="Emissions positive",-1,1)</f>
        <v>0.18124999999999991</v>
      </c>
      <c r="CU882">
        <f>IFERROR(CT882/CQ882,"")</f>
        <v>0.90624999999999878</v>
      </c>
      <c r="CV882" s="2">
        <f>IFERROR((CS882-CR882)/ABS(CR882),"")</f>
        <v>0.14587525150905423</v>
      </c>
      <c r="CW882" s="1" t="s">
        <v>1199</v>
      </c>
      <c r="CX882" s="264" t="str">
        <f>IF(OR($CW882="prd",$CW882="std",$CW882="cit"),"loc",IF(OR($CW882="eur",$CW882="reg",$CW882="coy"),"reg",$CW882))</f>
        <v>reg</v>
      </c>
      <c r="CY882" t="s">
        <v>235</v>
      </c>
      <c r="DB882">
        <v>80</v>
      </c>
      <c r="DC882" t="str">
        <f>IF(DB882=0,"0",IF(AND(DB882&gt;=1,DB882&lt;=30),"1-30",IF(AND(DB882&gt;30,DB882&lt;=70),"31-70",IF(AND(DB882&gt;70,DB882&lt;=100),"71-100",IF(DB882&gt;100,"+100")))))</f>
        <v>71-100</v>
      </c>
      <c r="DD882">
        <v>0</v>
      </c>
      <c r="DE882">
        <v>1</v>
      </c>
      <c r="DF882">
        <v>1</v>
      </c>
      <c r="DG882">
        <v>1</v>
      </c>
      <c r="DI882">
        <f>SUM(DD882:DG882)</f>
        <v>3</v>
      </c>
      <c r="DJ882" t="str">
        <f>IF(DI882=1,INDEX($DD$7:$DG$7,MATCH(1,$DD882:$DG882,0)),"mixedProduct")</f>
        <v>mixedProduct</v>
      </c>
      <c r="DK882">
        <f>IF(DD882=1,DK$7,0)</f>
        <v>0</v>
      </c>
      <c r="DL882" t="str">
        <f>IF(DE882=1,DL$7,0)</f>
        <v>Energy</v>
      </c>
      <c r="DM882" t="str">
        <f>IF(DF882=1,DM$7,0)</f>
        <v>Pulp/Paper</v>
      </c>
      <c r="DN882" t="str">
        <f>IF(DG882=1,DN$7,0)</f>
        <v>Timber</v>
      </c>
      <c r="DO882">
        <v>0</v>
      </c>
      <c r="DP882">
        <v>1</v>
      </c>
      <c r="DQ882" t="s">
        <v>2146</v>
      </c>
      <c r="DR882">
        <v>0</v>
      </c>
      <c r="DS882">
        <v>0</v>
      </c>
      <c r="DT882">
        <f>SUM(DO882:DP882)</f>
        <v>1</v>
      </c>
      <c r="DU882" s="143" t="str">
        <f>IF(DO882=1,"self-calculated DF",IF(DP882=1,"external DF used","explicit C balance"))</f>
        <v>external DF used</v>
      </c>
      <c r="DV882">
        <v>1</v>
      </c>
      <c r="DW882">
        <v>1</v>
      </c>
      <c r="DX882">
        <v>1</v>
      </c>
      <c r="DY882">
        <v>0</v>
      </c>
      <c r="DZ882">
        <v>0</v>
      </c>
      <c r="EA882" s="143">
        <v>0</v>
      </c>
      <c r="EB882">
        <v>0</v>
      </c>
      <c r="EC882">
        <v>0</v>
      </c>
      <c r="ED882">
        <v>0</v>
      </c>
      <c r="EE882">
        <v>0</v>
      </c>
      <c r="EF882">
        <v>1</v>
      </c>
      <c r="EG882">
        <v>0</v>
      </c>
      <c r="EH882">
        <v>0</v>
      </c>
      <c r="EI882" s="2">
        <v>0</v>
      </c>
      <c r="EK882" t="str">
        <f>IF(AND(AND(AND(OR($DX882=1,$DW882=1),OR($EC882=1,$EA882=1)),SUM($DV882:$DZ882,$EF882)&gt;=4),SUM($EA882:$EE882)&gt;=2),"Whole sector","")</f>
        <v/>
      </c>
      <c r="EL882" t="str">
        <f>IF(AND(AND(OR($DX882=1,$DW882=1),AND($EC882=0,$EA882=0)),SUM($DV882:$DZ882,$EF882)&gt;=4),"Ecosystem approach","")</f>
        <v>Ecosystem approach</v>
      </c>
      <c r="EM882" s="2" t="str">
        <f>IF(AND(AND(AND($DX882=0,$DW882=0),OR($EC882=1,$EA882=1)),SUM($EB882:$EE882)&gt;=2),"Technology approach","")</f>
        <v/>
      </c>
      <c r="EP882" t="str">
        <f>IF(ISNUMBER(BU882),IF(ABS(BU882-[3]QC_indicators!$B$2)&gt;3*[3]QC_indicators!$C$2,"C ratio",IF(ISNUMBER(BY882),IF(ABS(BY882-[3]QC_indicators!$B$1)&gt;3*[3]QC_indicators!$C$1,"DF","no"))),IF(ISNUMBER(BY882),IF(ABS(BY882-[3]QC_indicators!$B$1)&gt;3*[3]QC_indicators!$C$1,"DF","no")))</f>
        <v>no</v>
      </c>
      <c r="ET882" s="264" t="s">
        <v>3407</v>
      </c>
    </row>
    <row r="883" spans="1:150" ht="15" customHeight="1">
      <c r="A883" s="1" t="s">
        <v>545</v>
      </c>
      <c r="B883" t="s">
        <v>546</v>
      </c>
      <c r="C883" t="s">
        <v>547</v>
      </c>
      <c r="D883" t="s">
        <v>548</v>
      </c>
      <c r="E883" t="s">
        <v>549</v>
      </c>
      <c r="F883" t="s">
        <v>550</v>
      </c>
      <c r="G883" t="s">
        <v>551</v>
      </c>
      <c r="H883" t="s">
        <v>254</v>
      </c>
      <c r="I883">
        <v>2017</v>
      </c>
      <c r="J883">
        <v>3</v>
      </c>
      <c r="K883" t="s">
        <v>552</v>
      </c>
      <c r="M883" t="str">
        <f>LEFT($D883,FIND(",",$D883)-1)&amp;"_"&amp;I883&amp;L883</f>
        <v>Crafford_2017</v>
      </c>
      <c r="N883" t="s">
        <v>222</v>
      </c>
      <c r="O883" s="145" t="s">
        <v>223</v>
      </c>
      <c r="Q883" t="s">
        <v>256</v>
      </c>
      <c r="R883" s="255" t="s">
        <v>225</v>
      </c>
      <c r="S883" s="1" t="s">
        <v>561</v>
      </c>
      <c r="T883" t="s">
        <v>560</v>
      </c>
      <c r="U883" t="s">
        <v>554</v>
      </c>
      <c r="V883">
        <v>0</v>
      </c>
      <c r="W883">
        <v>0</v>
      </c>
      <c r="X883">
        <v>0</v>
      </c>
      <c r="Y883">
        <v>0</v>
      </c>
      <c r="Z883">
        <v>0</v>
      </c>
      <c r="AA883">
        <v>0</v>
      </c>
      <c r="AB883">
        <v>0</v>
      </c>
      <c r="AC883">
        <v>0</v>
      </c>
      <c r="AD883">
        <v>0</v>
      </c>
      <c r="AE883">
        <v>0</v>
      </c>
      <c r="AF883">
        <v>0</v>
      </c>
      <c r="AG883">
        <v>0</v>
      </c>
      <c r="AH883">
        <v>0</v>
      </c>
      <c r="AI883">
        <v>0</v>
      </c>
      <c r="AJ883">
        <v>0</v>
      </c>
      <c r="AK883">
        <v>1</v>
      </c>
      <c r="AL883">
        <v>0</v>
      </c>
      <c r="AM883">
        <v>0</v>
      </c>
      <c r="AN883">
        <v>0</v>
      </c>
      <c r="AO883">
        <v>0</v>
      </c>
      <c r="AP883">
        <v>0</v>
      </c>
      <c r="AQ883">
        <v>0</v>
      </c>
      <c r="AR883">
        <v>0</v>
      </c>
      <c r="AS883">
        <v>0</v>
      </c>
      <c r="AT883">
        <v>0</v>
      </c>
      <c r="AU883">
        <v>0</v>
      </c>
      <c r="AV883">
        <v>0</v>
      </c>
      <c r="AW883">
        <v>0</v>
      </c>
      <c r="AX883" s="141">
        <f>COUNTIF(V883:AW883,"&lt;&gt;0")</f>
        <v>1</v>
      </c>
      <c r="AY883" s="141">
        <f>COUNTIF(V883:AL883,"&lt;&gt;0")</f>
        <v>1</v>
      </c>
      <c r="AZ883">
        <f>COUNTIF(V883:AC883,"&lt;&gt;0")</f>
        <v>0</v>
      </c>
      <c r="BA883">
        <f>COUNTIF(AD883:AI883,"&lt;&gt;0")</f>
        <v>0</v>
      </c>
      <c r="BB883">
        <f>COUNTIF(AJ883:AL883,"&lt;&gt;0")</f>
        <v>1</v>
      </c>
      <c r="BC883">
        <f>COUNTIF(AS883:AW883,"&lt;&gt;0")</f>
        <v>0</v>
      </c>
      <c r="BD883">
        <f>COUNTIF(AM883:AR883,"&lt;&gt;0")</f>
        <v>0</v>
      </c>
      <c r="BE883" t="str">
        <f t="array" ref="BE883">IF(AY883=1,INDEX($V$7:$AL$7,MATCH(TRUE,INDEX($V883:$AW883&lt;&gt;0,),0)),IF(AY883=0,INDEX($AM$7:$AW$7,MATCH(1,$AM883:$AW883,0)),IF(BF883="Multiple strategies","mixed drivers",IF(BF883="Supply chain","multiple supply","multiple silviculture"))))</f>
        <v>technologies/design switch</v>
      </c>
      <c r="BF883" s="2" t="str" cm="1">
        <f t="array" ref="BF883">IF(COUNTIF(AZ883:BB883,"&lt;&gt;0")=1,INDEX($V$4:$AW$4,MATCH(TRUE,INDEX($V883:$AW883&lt;&gt;0,),0)),IF(COUNTIF(AZ883:BB883,"&lt;&gt;0")=0,INDEX($AM$4:$AW$4,MATCH(1,$AM883:$AW883,0)),"Multiple strategies"))</f>
        <v>Technology</v>
      </c>
      <c r="BG883" s="1" t="s">
        <v>229</v>
      </c>
      <c r="BH883" t="s">
        <v>556</v>
      </c>
      <c r="BI883" t="s">
        <v>424</v>
      </c>
      <c r="BJ883" t="s">
        <v>498</v>
      </c>
      <c r="BK883">
        <v>0</v>
      </c>
      <c r="BL883">
        <v>6.05</v>
      </c>
      <c r="BN883">
        <f>BL883-BK883</f>
        <v>6.05</v>
      </c>
      <c r="BO883">
        <f>BN883</f>
        <v>6.05</v>
      </c>
      <c r="BP883" t="s">
        <v>232</v>
      </c>
      <c r="BQ883" s="260" t="s">
        <v>3294</v>
      </c>
      <c r="BR883" t="s">
        <v>397</v>
      </c>
      <c r="BS883">
        <v>-6769</v>
      </c>
      <c r="BT883">
        <v>-1242</v>
      </c>
      <c r="BU883" s="144">
        <v>0.18348352784754027</v>
      </c>
      <c r="BV883">
        <v>5527</v>
      </c>
      <c r="BX883">
        <f>BV883/1000</f>
        <v>5.5270000000000001</v>
      </c>
      <c r="BY883">
        <f>IFERROR(BX883/BO883,"")</f>
        <v>0.91355371900826454</v>
      </c>
      <c r="BZ883">
        <v>1</v>
      </c>
      <c r="CA883">
        <v>0</v>
      </c>
      <c r="CB883">
        <v>0</v>
      </c>
      <c r="CC883">
        <v>0</v>
      </c>
      <c r="CD883">
        <v>0</v>
      </c>
      <c r="CE883">
        <v>0</v>
      </c>
      <c r="CF883">
        <v>0</v>
      </c>
      <c r="CG883">
        <v>0</v>
      </c>
      <c r="CH883">
        <v>0</v>
      </c>
      <c r="CI883">
        <v>0</v>
      </c>
      <c r="CJ883">
        <v>0</v>
      </c>
      <c r="CK883">
        <v>0</v>
      </c>
      <c r="CL883">
        <v>0</v>
      </c>
      <c r="CM883">
        <v>0</v>
      </c>
      <c r="CN883" t="str">
        <f>IF($BL883&lt;$BK883,"refNeedCorrection","refOK")</f>
        <v>refOK</v>
      </c>
      <c r="CO883">
        <f>IF($CN883="refOK",$BK883,$BL883)</f>
        <v>0</v>
      </c>
      <c r="CP883">
        <f>IF($CN883="refOK",$BL883,$BK883)</f>
        <v>6.05</v>
      </c>
      <c r="CQ883">
        <f>IF($CN883="refOK",$BO883,-$BO883)</f>
        <v>6.05</v>
      </c>
      <c r="CR883">
        <f>IF($CN883="refOK",$BS883,$BT883)*IF($BP883="Emissions positive",-1,1)</f>
        <v>-6769</v>
      </c>
      <c r="CS883">
        <f>IF($CN883="refOK",$BT883,$BS883)*IF($BP883="Emissions positive",-1,1)</f>
        <v>-1242</v>
      </c>
      <c r="CT883">
        <f>IF($CN883="refNeedCorrection",-BX883,BX883)*IF($BP883="Emissions positive",-1,1)</f>
        <v>5.5270000000000001</v>
      </c>
      <c r="CU883">
        <f>IFERROR(CT883/CQ883,"")</f>
        <v>0.91355371900826454</v>
      </c>
      <c r="CV883" s="2">
        <f>IFERROR((CS883-CR883)/ABS(CR883),"")</f>
        <v>0.8165164721524597</v>
      </c>
      <c r="CW883" s="1" t="s">
        <v>263</v>
      </c>
      <c r="CX883" t="str">
        <f>IF(OR($CW883="prd",$CW883="std",$CW883="cit"),"loc",IF(OR($CW883="eur",$CW883="reg",$CW883="coy"),"reg",$CW883))</f>
        <v>loc</v>
      </c>
      <c r="CY883" t="s">
        <v>557</v>
      </c>
      <c r="DB883">
        <v>0</v>
      </c>
      <c r="DC883" t="str">
        <f>IF(DB883=0,"0",IF(AND(DB883&gt;=1,DB883&lt;=30),"1-30",IF(AND(DB883&gt;30,DB883&lt;=70),"31-70",IF(AND(DB883&gt;70,DB883&lt;=100),"71-100",IF(DB883&gt;100,"+100")))))</f>
        <v>0</v>
      </c>
      <c r="DD883">
        <v>0</v>
      </c>
      <c r="DE883">
        <v>0</v>
      </c>
      <c r="DF883">
        <v>0</v>
      </c>
      <c r="DG883">
        <v>1</v>
      </c>
      <c r="DI883">
        <f>SUM(DD883:DG883)</f>
        <v>1</v>
      </c>
      <c r="DJ883" t="str">
        <f>IF(DI883=1,INDEX($DD$7:$DG$7,MATCH(1,$DD883:$DG883,0)),"mixedProduct")</f>
        <v>TimberInput</v>
      </c>
      <c r="DK883">
        <f>IF(DD883=1,DK$7,0)</f>
        <v>0</v>
      </c>
      <c r="DL883">
        <f>IF(DE883=1,DL$7,0)</f>
        <v>0</v>
      </c>
      <c r="DM883">
        <f>IF(DF883=1,DM$7,0)</f>
        <v>0</v>
      </c>
      <c r="DN883" t="str">
        <f>IF(DG883=1,DN$7,0)</f>
        <v>Timber</v>
      </c>
      <c r="DO883">
        <v>0</v>
      </c>
      <c r="DP883">
        <v>0</v>
      </c>
      <c r="DQ883">
        <v>0</v>
      </c>
      <c r="DR883">
        <v>0</v>
      </c>
      <c r="DS883">
        <v>0</v>
      </c>
      <c r="DT883">
        <f>SUM(DO883:DP883)</f>
        <v>0</v>
      </c>
      <c r="DU883" s="143" t="str">
        <f>IF(DO883=1,"self-calculated DF",IF(DP883=1,"external DF used","explicit C balance"))</f>
        <v>explicit C balance</v>
      </c>
      <c r="DV883">
        <v>0</v>
      </c>
      <c r="DW883">
        <v>0</v>
      </c>
      <c r="DX883">
        <v>0</v>
      </c>
      <c r="DY883">
        <v>1</v>
      </c>
      <c r="DZ883">
        <v>1</v>
      </c>
      <c r="EA883" s="143">
        <v>0</v>
      </c>
      <c r="EB883">
        <v>0</v>
      </c>
      <c r="EC883">
        <v>1</v>
      </c>
      <c r="ED883">
        <v>0</v>
      </c>
      <c r="EE883">
        <v>1</v>
      </c>
      <c r="EF883">
        <v>0</v>
      </c>
      <c r="EG883">
        <v>0</v>
      </c>
      <c r="EH883">
        <v>0</v>
      </c>
      <c r="EI883" s="2">
        <v>0</v>
      </c>
      <c r="EK883" t="str">
        <f>IF(AND(AND(AND(OR($DX883=1,$DW883=1),OR($EC883=1,$EA883=1)),SUM($DV883:$DZ883,$EF883)&gt;=4),SUM($EA883:$EE883)&gt;=2),"Whole sector","")</f>
        <v/>
      </c>
      <c r="EL883" t="str">
        <f>IF(AND(AND(OR($DX883=1,$DW883=1),AND($EC883=0,$EA883=0)),SUM($DV883:$DZ883,$EF883)&gt;=4),"Ecosystem approach","")</f>
        <v/>
      </c>
      <c r="EM883" s="2" t="str">
        <f>IF(AND(AND(AND($DX883=0,$DW883=0),OR($EC883=1,$EA883=1)),SUM($EB883:$EE883)&gt;=2),"Technology approach","")</f>
        <v>Technology approach</v>
      </c>
      <c r="EP883" t="str">
        <f>IF(ISNUMBER(BU883),IF(ABS(BU883-[4]QC_indicators!$B$2)&gt;3*[4]QC_indicators!$C$2,"C ratio",IF(ISNUMBER(BY883),IF(ABS(BY883-[4]QC_indicators!$B$1)&gt;3*[4]QC_indicators!$C$1,"DF","no"))),IF(ISNUMBER(BY883),IF(ABS(BY883-[4]QC_indicators!$B$1)&gt;3*[4]QC_indicators!$C$1,"DF","no")))</f>
        <v>no</v>
      </c>
      <c r="ER883" s="149" t="s">
        <v>349</v>
      </c>
      <c r="ET883" s="264" t="s">
        <v>3273</v>
      </c>
    </row>
    <row r="884" spans="1:150" ht="15" customHeight="1">
      <c r="A884" s="1" t="s">
        <v>1972</v>
      </c>
      <c r="B884" t="s">
        <v>2316</v>
      </c>
      <c r="C884" t="s">
        <v>2317</v>
      </c>
      <c r="D884" t="s">
        <v>2318</v>
      </c>
      <c r="E884" t="s">
        <v>2319</v>
      </c>
      <c r="F884" t="s">
        <v>2320</v>
      </c>
      <c r="G884" t="s">
        <v>1978</v>
      </c>
      <c r="H884" t="s">
        <v>254</v>
      </c>
      <c r="I884">
        <v>2020</v>
      </c>
      <c r="J884">
        <v>7</v>
      </c>
      <c r="K884" t="s">
        <v>2321</v>
      </c>
      <c r="M884" t="str">
        <f>LEFT($D884,FIND(",",$D884)-1)&amp;"_"&amp;I884&amp;L884</f>
        <v>Smyth_2020</v>
      </c>
      <c r="N884" t="s">
        <v>222</v>
      </c>
      <c r="O884" s="145" t="s">
        <v>341</v>
      </c>
      <c r="Q884" t="s">
        <v>256</v>
      </c>
      <c r="R884" s="290" t="s">
        <v>225</v>
      </c>
      <c r="S884" s="1" t="s">
        <v>2333</v>
      </c>
      <c r="T884" t="s">
        <v>1155</v>
      </c>
      <c r="U884" t="s">
        <v>2334</v>
      </c>
      <c r="V884">
        <v>0</v>
      </c>
      <c r="W884">
        <v>0</v>
      </c>
      <c r="X884">
        <v>0</v>
      </c>
      <c r="Y884">
        <v>0</v>
      </c>
      <c r="Z884">
        <v>0</v>
      </c>
      <c r="AA884">
        <v>0</v>
      </c>
      <c r="AB884">
        <v>0</v>
      </c>
      <c r="AC884">
        <v>0</v>
      </c>
      <c r="AD884">
        <v>0</v>
      </c>
      <c r="AE884">
        <v>0</v>
      </c>
      <c r="AF884">
        <v>1</v>
      </c>
      <c r="AG884">
        <v>0</v>
      </c>
      <c r="AH884">
        <v>0</v>
      </c>
      <c r="AI884">
        <v>0</v>
      </c>
      <c r="AJ884">
        <v>0</v>
      </c>
      <c r="AK884">
        <v>0</v>
      </c>
      <c r="AL884">
        <v>0</v>
      </c>
      <c r="AM884">
        <v>0</v>
      </c>
      <c r="AN884">
        <v>0</v>
      </c>
      <c r="AO884">
        <v>0</v>
      </c>
      <c r="AP884">
        <v>0</v>
      </c>
      <c r="AQ884">
        <v>0</v>
      </c>
      <c r="AR884">
        <v>0</v>
      </c>
      <c r="AS884">
        <v>0</v>
      </c>
      <c r="AT884">
        <v>0</v>
      </c>
      <c r="AU884">
        <v>0</v>
      </c>
      <c r="AV884">
        <v>0</v>
      </c>
      <c r="AW884">
        <v>0</v>
      </c>
      <c r="AX884" s="141">
        <f>COUNTIF(V884:AW884,"&lt;&gt;0")</f>
        <v>1</v>
      </c>
      <c r="AY884" s="141">
        <f>COUNTIF(V884:AL884,"&lt;&gt;0")</f>
        <v>1</v>
      </c>
      <c r="AZ884">
        <f>COUNTIF(V884:AC884,"&lt;&gt;0")</f>
        <v>0</v>
      </c>
      <c r="BA884">
        <f>COUNTIF(AD884:AI884,"&lt;&gt;0")</f>
        <v>1</v>
      </c>
      <c r="BB884">
        <f>COUNTIF(AJ884:AL884,"&lt;&gt;0")</f>
        <v>0</v>
      </c>
      <c r="BC884">
        <f>COUNTIF(AS884:AW884,"&lt;&gt;0")</f>
        <v>0</v>
      </c>
      <c r="BD884">
        <f>COUNTIF(AM884:AR884,"&lt;&gt;0")</f>
        <v>0</v>
      </c>
      <c r="BE884" t="str">
        <f t="array" ref="BE884">IF(AY884=1,INDEX($V$7:$AL$7,MATCH(TRUE,INDEX($V884:$AW884&lt;&gt;0,),0)),IF(AY884=0,INDEX($AM$7:$AW$7,MATCH(1,$AM884:$AW884,0)),IF(BF884="Multiple strategies","mixed drivers",IF(BF884="Supply chain","multiple supply","multiple silviculture"))))</f>
        <v>supply chain organization</v>
      </c>
      <c r="BF884" s="2" t="str" cm="1">
        <f t="array" ref="BF884">IF(COUNTIF(AZ884:BB884,"&lt;&gt;0")=1,INDEX($V$4:$AW$4,MATCH(TRUE,INDEX($V884:$AW884&lt;&gt;0,),0)),IF(COUNTIF(AZ884:BB884,"&lt;&gt;0")=0,INDEX($AM$4:$AW$4,MATCH(1,$AM884:$AW884,0)),"Multiple strategies"))</f>
        <v>Supply chain</v>
      </c>
      <c r="BG884" s="1" t="s">
        <v>321</v>
      </c>
      <c r="BH884" t="s">
        <v>2324</v>
      </c>
      <c r="BI884" s="260" t="s">
        <v>3390</v>
      </c>
      <c r="BJ884" t="s">
        <v>1359</v>
      </c>
      <c r="BK884">
        <v>457</v>
      </c>
      <c r="BL884">
        <v>488</v>
      </c>
      <c r="BM884">
        <f>BL884/BK884</f>
        <v>1.0678336980306347</v>
      </c>
      <c r="BN884">
        <f>BL884-BK884</f>
        <v>31</v>
      </c>
      <c r="BO884">
        <f>BN884*10^6*tC_to_m3</f>
        <v>134607034.30308294</v>
      </c>
      <c r="BP884" t="s">
        <v>232</v>
      </c>
      <c r="BQ884" s="260" t="s">
        <v>3391</v>
      </c>
      <c r="BR884" t="s">
        <v>2325</v>
      </c>
      <c r="BU884" s="144"/>
      <c r="BV884">
        <v>123</v>
      </c>
      <c r="BX884">
        <f>BV884*10^6</f>
        <v>123000000</v>
      </c>
      <c r="BY884">
        <f>IFERROR(BX884/BO884,"")</f>
        <v>0.91377096774193545</v>
      </c>
      <c r="BZ884">
        <v>0</v>
      </c>
      <c r="CA884">
        <v>1</v>
      </c>
      <c r="CB884">
        <v>1</v>
      </c>
      <c r="CC884">
        <v>1</v>
      </c>
      <c r="CD884">
        <v>0</v>
      </c>
      <c r="CE884">
        <v>0</v>
      </c>
      <c r="CF884">
        <v>0</v>
      </c>
      <c r="CG884">
        <v>0</v>
      </c>
      <c r="CH884">
        <v>0</v>
      </c>
      <c r="CI884">
        <v>0</v>
      </c>
      <c r="CJ884">
        <v>0</v>
      </c>
      <c r="CK884">
        <v>0</v>
      </c>
      <c r="CL884">
        <v>0</v>
      </c>
      <c r="CM884">
        <v>0</v>
      </c>
      <c r="CN884" t="str">
        <f>IF(BL884&lt;BK884,"refNeedCorrection","refOK")</f>
        <v>refOK</v>
      </c>
      <c r="CO884"/>
      <c r="CP884"/>
      <c r="CQ884">
        <f>IF($CN884="refOK",$BO884,-$BO884)</f>
        <v>134607034.30308294</v>
      </c>
      <c r="CR884">
        <f>IF($CN884="refOK",$BS884,$BT884)*IF($BP884="Emissions positive",-1,1)</f>
        <v>0</v>
      </c>
      <c r="CS884">
        <f>IF($CN884="refOK",$BT884,$BS884)*IF($BP884="Emissions positive",-1,1)</f>
        <v>0</v>
      </c>
      <c r="CT884">
        <f>IF($CN884="refNeedCorrection",-BX884,BX884)*IF($BP884="Emissions positive",-1,1)</f>
        <v>123000000</v>
      </c>
      <c r="CU884">
        <f>IFERROR(CT884/CQ884,"")</f>
        <v>0.91377096774193545</v>
      </c>
      <c r="CV884" s="2" t="str">
        <f>IFERROR((CS884-CR884)/ABS(CR884),"")</f>
        <v/>
      </c>
      <c r="CW884" s="1" t="s">
        <v>1199</v>
      </c>
      <c r="CX884" t="str">
        <f>IF(OR($CW884="prd",$CW884="std",$CW884="cit"),"loc",IF(OR($CW884="eur",$CW884="reg",$CW884="coy"),"reg",$CW884))</f>
        <v>reg</v>
      </c>
      <c r="CY884" t="s">
        <v>540</v>
      </c>
      <c r="CZ884">
        <v>2015</v>
      </c>
      <c r="DA884">
        <v>2070</v>
      </c>
      <c r="DB884">
        <v>45</v>
      </c>
      <c r="DC884" t="str">
        <f>IF(DB884=0,"0",IF(AND(DB884&gt;=1,DB884&lt;=30),"1-30",IF(AND(DB884&gt;30,DB884&lt;=70),"31-70",IF(AND(DB884&gt;70,DB884&lt;=100),"71-100",IF(DB884&gt;100,"+100")))))</f>
        <v>31-70</v>
      </c>
      <c r="DD884">
        <v>0</v>
      </c>
      <c r="DE884">
        <v>1</v>
      </c>
      <c r="DF884">
        <v>1</v>
      </c>
      <c r="DG884">
        <v>1</v>
      </c>
      <c r="DI884">
        <f>SUM(DD884:DG884)</f>
        <v>3</v>
      </c>
      <c r="DJ884" t="str">
        <f>IF(DI884=1,INDEX($DD$7:$DG$7,MATCH(1,$DD884:$DG884,0)),"mixedProduct")</f>
        <v>mixedProduct</v>
      </c>
      <c r="DK884">
        <f>IF(DD884=1,DK$7,0)</f>
        <v>0</v>
      </c>
      <c r="DL884" t="str">
        <f>IF(DE884=1,DL$7,0)</f>
        <v>Energy</v>
      </c>
      <c r="DM884" t="str">
        <f>IF(DF884=1,DM$7,0)</f>
        <v>Pulp/Paper</v>
      </c>
      <c r="DN884" t="str">
        <f>IF(DG884=1,DN$7,0)</f>
        <v>Timber</v>
      </c>
      <c r="DO884">
        <v>1</v>
      </c>
      <c r="DP884">
        <v>1</v>
      </c>
      <c r="DQ884" t="s">
        <v>2315</v>
      </c>
      <c r="DR884">
        <v>0</v>
      </c>
      <c r="DS884">
        <v>0</v>
      </c>
      <c r="DT884">
        <f>SUM(DO884:DP884)</f>
        <v>2</v>
      </c>
      <c r="DU884" s="143" t="str">
        <f>IF(DO884=1,"self-calculated DF",IF(DP884=1,"external DF used","explicit C balance"))</f>
        <v>self-calculated DF</v>
      </c>
      <c r="DV884">
        <v>1</v>
      </c>
      <c r="DW884">
        <v>1</v>
      </c>
      <c r="DX884">
        <v>1</v>
      </c>
      <c r="DY884">
        <v>1</v>
      </c>
      <c r="DZ884">
        <v>1</v>
      </c>
      <c r="EA884" s="143">
        <v>1</v>
      </c>
      <c r="EB884">
        <v>1</v>
      </c>
      <c r="EC884">
        <v>1</v>
      </c>
      <c r="ED884">
        <v>1</v>
      </c>
      <c r="EE884">
        <v>1</v>
      </c>
      <c r="EF884">
        <v>1</v>
      </c>
      <c r="EG884">
        <v>1</v>
      </c>
      <c r="EH884">
        <v>0</v>
      </c>
      <c r="EI884" s="2">
        <v>0</v>
      </c>
      <c r="EK884" t="str">
        <f>IF(AND(AND(AND(OR($DX884=1,$DW884=1),OR($EC884=1,$EA884=1)),SUM($DV884:$DZ884,$EF884)&gt;=4),SUM($EA884:$EE884)&gt;=2),"Whole sector","")</f>
        <v>Whole sector</v>
      </c>
      <c r="EL884" t="str">
        <f>IF(AND(AND(OR($DX884=1,$DW884=1),AND($EC884=0,$EA884=0)),SUM($DV884:$DZ884,$EF884)&gt;=4),"Ecosystem approach","")</f>
        <v/>
      </c>
      <c r="EM884" s="2" t="str">
        <f>IF(AND(AND(AND($DX884=0,$DW884=0),OR($EC884=1,$EA884=1)),SUM($EB884:$EE884)&gt;=2),"Technology approach","")</f>
        <v/>
      </c>
      <c r="EP884" t="str">
        <f>IF(ISNUMBER(BU884),IF(ABS(BU884-[4]QC_indicators!$B$2)&gt;3*[4]QC_indicators!$C$2,"C ratio",IF(ISNUMBER(BY884),IF(ABS(BY884-[4]QC_indicators!$B$1)&gt;3*[4]QC_indicators!$C$1,"DF","no"))),IF(ISNUMBER(BY884),IF(ABS(BY884-[4]QC_indicators!$B$1)&gt;3*[4]QC_indicators!$C$1,"DF","no")))</f>
        <v>no</v>
      </c>
      <c r="ER884" s="149" t="s">
        <v>2326</v>
      </c>
      <c r="ET884" s="264" t="s">
        <v>3273</v>
      </c>
    </row>
    <row r="885" spans="1:150" ht="15" customHeight="1">
      <c r="A885" s="1" t="s">
        <v>1102</v>
      </c>
      <c r="B885" t="s">
        <v>2381</v>
      </c>
      <c r="C885" t="s">
        <v>2382</v>
      </c>
      <c r="D885" t="s">
        <v>2383</v>
      </c>
      <c r="E885" t="s">
        <v>2384</v>
      </c>
      <c r="F885" t="s">
        <v>2385</v>
      </c>
      <c r="G885" t="s">
        <v>1108</v>
      </c>
      <c r="H885" t="s">
        <v>254</v>
      </c>
      <c r="I885">
        <v>2016</v>
      </c>
      <c r="J885">
        <v>13</v>
      </c>
      <c r="K885" t="s">
        <v>2386</v>
      </c>
      <c r="M885" t="str">
        <f>LEFT($D885,FIND(",",$D885)-1)&amp;"_"&amp;I885&amp;L885</f>
        <v>Torssonen_2016</v>
      </c>
      <c r="N885" t="s">
        <v>222</v>
      </c>
      <c r="O885" s="145" t="s">
        <v>1154</v>
      </c>
      <c r="Q885" s="264" t="s">
        <v>256</v>
      </c>
      <c r="R885" s="269" t="s">
        <v>341</v>
      </c>
      <c r="S885" s="1" t="s">
        <v>2387</v>
      </c>
      <c r="T885" t="s">
        <v>2388</v>
      </c>
      <c r="U885" t="s">
        <v>2396</v>
      </c>
      <c r="V885">
        <v>0</v>
      </c>
      <c r="W885">
        <v>0</v>
      </c>
      <c r="X885">
        <v>0</v>
      </c>
      <c r="Y885">
        <v>1</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s="141">
        <v>1</v>
      </c>
      <c r="AY885" s="141">
        <f>COUNTIF(V885:AL885,"&lt;&gt;0")</f>
        <v>1</v>
      </c>
      <c r="AZ885">
        <f>COUNTIF(V885:AC885,"&lt;&gt;0")</f>
        <v>1</v>
      </c>
      <c r="BA885">
        <f>COUNTIF(AD885:AI885,"&lt;&gt;0")</f>
        <v>0</v>
      </c>
      <c r="BB885">
        <f>COUNTIF(AJ885:AL885,"&lt;&gt;0")</f>
        <v>0</v>
      </c>
      <c r="BC885">
        <f>COUNTIF(AS885:AW885,"&lt;&gt;0")</f>
        <v>0</v>
      </c>
      <c r="BD885">
        <f>COUNTIF(AM885:AR885,"&lt;&gt;0")</f>
        <v>0</v>
      </c>
      <c r="BE885" t="str" cm="1">
        <f t="array" ref="BE885">IF(AY885=1,INDEX($V$7:$AL$7,MATCH(TRUE,INDEX($V885:$AW885&lt;&gt;0,),0)),IF(AY885=0,INDEX($AM$7:$AW$7,MATCH(1,$AM885:$AW885,0)),IF(BF885="Multiple strategies","mixed drivers",IF(BF885="Supply chain","multiple supply","multiple silviculture"))))</f>
        <v xml:space="preserve">cutting intensity </v>
      </c>
      <c r="BF885" s="2" t="str" cm="1">
        <f t="array" ref="BF885">IF(COUNTIF(AZ885:BB885,"&lt;&gt;0")=1,INDEX($V$4:$AW$4,MATCH(TRUE,INDEX($V885:$AW885&lt;&gt;0,),0)),IF(COUNTIF(AZ885:BB885,"&lt;&gt;0")=0,INDEX($AM$4:$AW$4,MATCH(1,$AM885:$AW885,0)),"Multiple strategies"))</f>
        <v>Silviculture for removals</v>
      </c>
      <c r="BG885" s="1" t="s">
        <v>229</v>
      </c>
      <c r="BH885" t="s">
        <v>2390</v>
      </c>
      <c r="BI885" s="264" t="s">
        <v>2391</v>
      </c>
      <c r="BJ885" t="s">
        <v>2392</v>
      </c>
      <c r="BK885">
        <v>0</v>
      </c>
      <c r="BL885">
        <v>1.1200000000000001</v>
      </c>
      <c r="BM885" s="143" t="e">
        <f>BL885/BK885</f>
        <v>#DIV/0!</v>
      </c>
      <c r="BN885">
        <f>BL885-BK885</f>
        <v>1.1200000000000001</v>
      </c>
      <c r="BO885">
        <f>+BL885*t_to_m3</f>
        <v>2.285714285714286</v>
      </c>
      <c r="BP885" s="306" t="s">
        <v>395</v>
      </c>
      <c r="BQ885" s="153" t="s">
        <v>3421</v>
      </c>
      <c r="BR885" s="264" t="s">
        <v>2393</v>
      </c>
      <c r="BS885">
        <v>-247.272727272727</v>
      </c>
      <c r="BT885">
        <v>-456.72727272727298</v>
      </c>
      <c r="BU885" s="144"/>
      <c r="BV885" s="144">
        <f>BT885-BS885</f>
        <v>-209.45454545454598</v>
      </c>
      <c r="BW885" s="144"/>
      <c r="BX885" s="144">
        <f>BV885*10^4/10^6</f>
        <v>-2.0945454545454596</v>
      </c>
      <c r="BY885">
        <f>IFERROR(BX885/BO885,"")</f>
        <v>-0.91636363636363849</v>
      </c>
      <c r="BZ885">
        <v>0</v>
      </c>
      <c r="CA885">
        <v>0</v>
      </c>
      <c r="CB885">
        <v>0</v>
      </c>
      <c r="CC885">
        <v>0</v>
      </c>
      <c r="CD885">
        <v>0</v>
      </c>
      <c r="CE885">
        <v>0</v>
      </c>
      <c r="CF885">
        <v>0</v>
      </c>
      <c r="CG885">
        <v>0</v>
      </c>
      <c r="CH885">
        <v>0</v>
      </c>
      <c r="CI885">
        <v>0</v>
      </c>
      <c r="CJ885">
        <v>0</v>
      </c>
      <c r="CK885">
        <v>0</v>
      </c>
      <c r="CL885">
        <v>0</v>
      </c>
      <c r="CM885">
        <v>1</v>
      </c>
      <c r="CN885" t="str">
        <f>IF($BL885&lt;$BK885,"refNeedCorrection","refOK")</f>
        <v>refOK</v>
      </c>
      <c r="CO885">
        <f>IF($CN885="refOK",$BK885,$BL885)</f>
        <v>0</v>
      </c>
      <c r="CP885">
        <f>IF($CN885="refOK",$BL885,$BK885)</f>
        <v>1.1200000000000001</v>
      </c>
      <c r="CQ885">
        <f>IF($CN885="refOK",$BO885,-$BO885)</f>
        <v>2.285714285714286</v>
      </c>
      <c r="CR885">
        <f>IF($CN885="refOK",$BS885,$BT885)*IF($BP885="Emissions positive",-1,1)</f>
        <v>247.272727272727</v>
      </c>
      <c r="CS885">
        <f>IF($CN885="refOK",$BT885,$BS885)*IF($BP885="Emissions positive",-1,1)</f>
        <v>456.72727272727298</v>
      </c>
      <c r="CT885">
        <f>IF($CN885="refNeedCorrection",-BX885,BX885)*IF($BP885="Emissions positive",-1,1)</f>
        <v>2.0945454545454596</v>
      </c>
      <c r="CU885">
        <f>IFERROR(CT885/CQ885,"")</f>
        <v>0.91636363636363849</v>
      </c>
      <c r="CV885" s="2">
        <f>IFERROR((CS885-CR885)/ABS(CR885),"")</f>
        <v>0.84705882352941486</v>
      </c>
      <c r="CW885" s="1" t="s">
        <v>1199</v>
      </c>
      <c r="CX885" s="264" t="str">
        <f>IF(OR($CW885="prd",$CW885="std",$CW885="cit"),"loc",IF(OR($CW885="eur",$CW885="reg",$CW885="coy"),"reg",$CW885))</f>
        <v>reg</v>
      </c>
      <c r="CY885" t="s">
        <v>235</v>
      </c>
      <c r="CZ885">
        <v>2020</v>
      </c>
      <c r="DA885">
        <v>2100</v>
      </c>
      <c r="DB885">
        <f>DA885-CZ885</f>
        <v>80</v>
      </c>
      <c r="DC885" t="str">
        <f>IF(DB885=0,"0",IF(AND(DB885&gt;=1,DB885&lt;=30),"1-30",IF(AND(DB885&gt;30,DB885&lt;=70),"31-70",IF(AND(DB885&gt;70,DB885&lt;=100),"71-100",IF(DB885&gt;100,"+100")))))</f>
        <v>71-100</v>
      </c>
      <c r="DD885">
        <v>0</v>
      </c>
      <c r="DE885">
        <v>1</v>
      </c>
      <c r="DF885">
        <v>0</v>
      </c>
      <c r="DG885">
        <v>0</v>
      </c>
      <c r="DI885">
        <f>SUM(DD885:DG885)</f>
        <v>1</v>
      </c>
      <c r="DJ885" t="str">
        <f>IF(DI885=1,INDEX($DD$7:$DG$7,MATCH(1,$DD885:$DG885,0)),"mixedProduct")</f>
        <v>EnergyInput</v>
      </c>
      <c r="DK885">
        <f>IF(DD885=1,DK$7,0)</f>
        <v>0</v>
      </c>
      <c r="DL885" t="str">
        <f>IF(DE885=1,DL$7,0)</f>
        <v>Energy</v>
      </c>
      <c r="DM885">
        <f>IF(DF885=1,DM$7,0)</f>
        <v>0</v>
      </c>
      <c r="DN885">
        <f>IF(DG885=1,DN$7,0)</f>
        <v>0</v>
      </c>
      <c r="DO885">
        <v>1</v>
      </c>
      <c r="DP885">
        <v>0</v>
      </c>
      <c r="DQ885">
        <v>0</v>
      </c>
      <c r="DR885">
        <v>0</v>
      </c>
      <c r="DS885">
        <v>0</v>
      </c>
      <c r="DT885">
        <f>SUM(DO885:DP885)</f>
        <v>1</v>
      </c>
      <c r="DU885" s="143" t="str">
        <f>IF(DO885=1,"self-calculated DF",IF(DP885=1,"external DF used","explicit C balance"))</f>
        <v>self-calculated DF</v>
      </c>
      <c r="DV885">
        <v>1</v>
      </c>
      <c r="DW885">
        <v>0</v>
      </c>
      <c r="DX885">
        <v>1</v>
      </c>
      <c r="DY885">
        <v>0</v>
      </c>
      <c r="DZ885">
        <v>0</v>
      </c>
      <c r="EA885" s="143">
        <v>0</v>
      </c>
      <c r="EB885">
        <v>0</v>
      </c>
      <c r="EC885">
        <v>0</v>
      </c>
      <c r="ED885">
        <v>0</v>
      </c>
      <c r="EE885">
        <v>0</v>
      </c>
      <c r="EF885">
        <v>1</v>
      </c>
      <c r="EG885">
        <v>0</v>
      </c>
      <c r="EH885">
        <v>0</v>
      </c>
      <c r="EI885" s="2">
        <v>0</v>
      </c>
      <c r="EK885" t="str">
        <f>IF(AND(AND(AND(OR($DX885=1,$DW885=1),OR($EC885=1,$EA885=1)),SUM($DV885:$DZ885,$EF885)&gt;=4),SUM($EA885:$EE885)&gt;=2),"Whole sector","")</f>
        <v/>
      </c>
      <c r="EL885" t="str">
        <f>IF(AND(AND(OR($DX885=1,$DW885=1),AND($EC885=0,$EA885=0)),SUM($DV885:$DZ885,$EF885)&gt;=4),"Ecosystem approach","")</f>
        <v/>
      </c>
      <c r="EM885" s="2" t="str">
        <f>IF(AND(AND(AND($DX885=0,$DW885=0),OR($EC885=1,$EA885=1)),SUM($EB885:$EE885)&gt;=2),"Technology approach","")</f>
        <v/>
      </c>
      <c r="EP885" t="str">
        <f>IF(ISNUMBER(BU885),IF(ABS(BU885-[3]QC_indicators!$B$2)&gt;3*[3]QC_indicators!$C$2,"C ratio",IF(ISNUMBER(BY885),IF(ABS(BY885-[3]QC_indicators!$B$1)&gt;3*[3]QC_indicators!$C$1,"DF","no"))),IF(ISNUMBER(BY885),IF(ABS(BY885-[3]QC_indicators!$B$1)&gt;3*[3]QC_indicators!$C$1,"DF","no")))</f>
        <v>no</v>
      </c>
      <c r="ER885" s="264" t="s">
        <v>2394</v>
      </c>
      <c r="ET885" s="306" t="s">
        <v>3422</v>
      </c>
    </row>
    <row r="886" spans="1:150" ht="15" customHeight="1">
      <c r="A886" s="1" t="s">
        <v>1045</v>
      </c>
      <c r="B886" t="s">
        <v>1046</v>
      </c>
      <c r="C886" t="s">
        <v>1047</v>
      </c>
      <c r="D886" t="s">
        <v>1048</v>
      </c>
      <c r="E886" t="s">
        <v>1049</v>
      </c>
      <c r="F886" t="s">
        <v>1050</v>
      </c>
      <c r="G886" t="s">
        <v>1051</v>
      </c>
      <c r="H886" t="s">
        <v>254</v>
      </c>
      <c r="I886">
        <v>2014</v>
      </c>
      <c r="J886">
        <v>23</v>
      </c>
      <c r="K886" t="s">
        <v>1052</v>
      </c>
      <c r="M886" t="str">
        <f>LEFT($D886,FIND(",",$D886)-1)&amp;"_"&amp;I886&amp;L886</f>
        <v>Pyorala_2014</v>
      </c>
      <c r="N886" t="s">
        <v>222</v>
      </c>
      <c r="O886" s="171" t="s">
        <v>341</v>
      </c>
      <c r="P886" t="s">
        <v>225</v>
      </c>
      <c r="Q886" s="264" t="s">
        <v>389</v>
      </c>
      <c r="R886" s="269" t="s">
        <v>1154</v>
      </c>
      <c r="S886" s="1" t="s">
        <v>1067</v>
      </c>
      <c r="T886" t="s">
        <v>1062</v>
      </c>
      <c r="U886" t="s">
        <v>1064</v>
      </c>
      <c r="V886">
        <v>0</v>
      </c>
      <c r="W886">
        <v>0</v>
      </c>
      <c r="X886">
        <v>0</v>
      </c>
      <c r="Y886">
        <v>0</v>
      </c>
      <c r="Z886">
        <v>0</v>
      </c>
      <c r="AA886">
        <v>0</v>
      </c>
      <c r="AB886">
        <v>1</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s="141">
        <f>COUNTIF(V886:AW886,"&lt;&gt;0")</f>
        <v>1</v>
      </c>
      <c r="AY886" s="141">
        <f>COUNTIF(V886:AL886,"&lt;&gt;0")</f>
        <v>1</v>
      </c>
      <c r="AZ886">
        <f>COUNTIF(V886:AC886,"&lt;&gt;0")</f>
        <v>1</v>
      </c>
      <c r="BA886">
        <f>COUNTIF(AD886:AI886,"&lt;&gt;0")</f>
        <v>0</v>
      </c>
      <c r="BB886">
        <f>COUNTIF(AJ886:AL886,"&lt;&gt;0")</f>
        <v>0</v>
      </c>
      <c r="BC886">
        <f>COUNTIF(AS886:AW886,"&lt;&gt;0")</f>
        <v>0</v>
      </c>
      <c r="BD886">
        <f>COUNTIF(AM886:AR886,"&lt;&gt;0")</f>
        <v>0</v>
      </c>
      <c r="BE886" t="str" cm="1">
        <f t="array" ref="BE886">IF(AY886=1,INDEX($V$7:$AL$7,MATCH(TRUE,INDEX($V886:$AW886&lt;&gt;0,),0)),IF(AY886=0,INDEX($AM$7:$AW$7,MATCH(1,$AM886:$AW886,0)),IF(BF886="Multiple strategies","mixed drivers",IF(BF886="Supply chain","multiple supply","multiple silviculture"))))</f>
        <v>fertilisation</v>
      </c>
      <c r="BF886" s="2" t="str" cm="1">
        <f t="array" ref="BF886">IF(COUNTIF(AZ886:BB886,"&lt;&gt;0")=1,INDEX($V$4:$AW$4,MATCH(TRUE,INDEX($V886:$AW886&lt;&gt;0,),0)),IF(COUNTIF(AZ886:BB886,"&lt;&gt;0")=0,INDEX($AM$4:$AW$4,MATCH(1,$AM886:$AW886,0)),"Multiple strategies"))</f>
        <v>Silviculture for productivity</v>
      </c>
      <c r="BG886" s="1" t="s">
        <v>321</v>
      </c>
      <c r="BH886" t="s">
        <v>1056</v>
      </c>
      <c r="BI886" s="264" t="s">
        <v>1057</v>
      </c>
      <c r="BJ886" s="264" t="s">
        <v>1058</v>
      </c>
      <c r="BK886">
        <v>3.3</v>
      </c>
      <c r="BL886">
        <v>3.65</v>
      </c>
      <c r="BM886">
        <f>IFERROR(BL886/BK886,"")</f>
        <v>1.1060606060606062</v>
      </c>
      <c r="BN886">
        <f>BL886-BK886</f>
        <v>0.35000000000000009</v>
      </c>
      <c r="BO886">
        <f>BN886*t_to_m3</f>
        <v>0.71428571428571452</v>
      </c>
      <c r="BP886" t="s">
        <v>395</v>
      </c>
      <c r="BQ886" t="s">
        <v>972</v>
      </c>
      <c r="BR886" t="s">
        <v>1059</v>
      </c>
      <c r="BS886" s="172">
        <v>-171</v>
      </c>
      <c r="BT886" s="172">
        <v>-236.5</v>
      </c>
      <c r="BU886" s="144"/>
      <c r="BV886">
        <f>BT886-BS886</f>
        <v>-65.5</v>
      </c>
      <c r="BX886">
        <f>BV886*10^-6*10^4</f>
        <v>-0.65499999999999992</v>
      </c>
      <c r="BY886">
        <f>IFERROR(BX886/BO886,"")</f>
        <v>-0.91699999999999959</v>
      </c>
      <c r="BZ886">
        <v>0</v>
      </c>
      <c r="CA886">
        <v>0</v>
      </c>
      <c r="CB886">
        <v>0</v>
      </c>
      <c r="CC886">
        <v>0</v>
      </c>
      <c r="CD886">
        <v>0</v>
      </c>
      <c r="CE886">
        <v>0</v>
      </c>
      <c r="CF886">
        <v>0</v>
      </c>
      <c r="CG886">
        <v>0</v>
      </c>
      <c r="CH886">
        <v>0</v>
      </c>
      <c r="CI886">
        <v>0</v>
      </c>
      <c r="CJ886">
        <v>0</v>
      </c>
      <c r="CK886">
        <v>0</v>
      </c>
      <c r="CL886">
        <v>0</v>
      </c>
      <c r="CM886">
        <v>0</v>
      </c>
      <c r="CN886" t="str">
        <f>IF($BL886&lt;$BK886,"refNeedCorrection","refOK")</f>
        <v>refOK</v>
      </c>
      <c r="CO886">
        <f>IF($CN886="refOK",$BK886,$BL886)</f>
        <v>3.3</v>
      </c>
      <c r="CP886">
        <f>IF($CN886="refOK",$BL886,$BK886)</f>
        <v>3.65</v>
      </c>
      <c r="CQ886">
        <f>IF($CN886="refOK",$BO886,-$BO886)</f>
        <v>0.71428571428571452</v>
      </c>
      <c r="CR886">
        <f>IF($CN886="refOK",$BS886,$BT886)*IF($BP886="Emissions positive",-1,1)</f>
        <v>171</v>
      </c>
      <c r="CS886">
        <f>IF($CN886="refOK",$BT886,$BS886)*IF($BP886="Emissions positive",-1,1)</f>
        <v>236.5</v>
      </c>
      <c r="CT886">
        <f>IF($CN886="refNeedCorrection",-BX886,BX886)*IF($BP886="Emissions positive",-1,1)</f>
        <v>0.65499999999999992</v>
      </c>
      <c r="CU886">
        <f>IFERROR(CT886/CQ886,"")</f>
        <v>0.91699999999999959</v>
      </c>
      <c r="CV886" s="2">
        <f>IFERROR((CS886-CR886)/ABS(CR886),"")</f>
        <v>0.38304093567251463</v>
      </c>
      <c r="CW886" s="1" t="s">
        <v>263</v>
      </c>
      <c r="CX886" s="264" t="str">
        <f>IF(OR($CW886="prd",$CW886="std",$CW886="cit"),"loc",IF(OR($CW886="eur",$CW886="reg",$CW886="coy"),"reg",$CW886))</f>
        <v>loc</v>
      </c>
      <c r="CY886" t="s">
        <v>235</v>
      </c>
      <c r="DB886">
        <v>50</v>
      </c>
      <c r="DC886" t="str">
        <f>IF(DB886=0,"0",IF(AND(DB886&gt;=1,DB886&lt;=30),"1-30",IF(AND(DB886&gt;30,DB886&lt;=70),"31-70",IF(AND(DB886&gt;70,DB886&lt;=100),"71-100",IF(DB886&gt;100,"+100")))))</f>
        <v>31-70</v>
      </c>
      <c r="DD886">
        <v>0</v>
      </c>
      <c r="DE886">
        <v>1</v>
      </c>
      <c r="DF886">
        <v>0</v>
      </c>
      <c r="DG886">
        <v>1</v>
      </c>
      <c r="DI886">
        <f>SUM(DD886:DG886)</f>
        <v>2</v>
      </c>
      <c r="DJ886" t="str">
        <f>IF(DI886=1,INDEX($DD$7:$DG$7,MATCH(1,$DD886:$DG886,0)),"mixedProduct")</f>
        <v>mixedProduct</v>
      </c>
      <c r="DK886">
        <f>IF(DD886=1,DK$7,0)</f>
        <v>0</v>
      </c>
      <c r="DL886" t="str">
        <f>IF(DE886=1,DL$7,0)</f>
        <v>Energy</v>
      </c>
      <c r="DM886">
        <f>IF(DF886=1,DM$7,0)</f>
        <v>0</v>
      </c>
      <c r="DN886" t="str">
        <f>IF(DG886=1,DN$7,0)</f>
        <v>Timber</v>
      </c>
      <c r="DO886">
        <v>0</v>
      </c>
      <c r="DP886">
        <v>1</v>
      </c>
      <c r="DQ886" t="s">
        <v>1060</v>
      </c>
      <c r="DT886">
        <f>SUM(DO886:DP886)</f>
        <v>1</v>
      </c>
      <c r="DU886" s="143" t="str">
        <f>IF(DO886=1,"self-calculated DF",IF(DP886=1,"external DF used","explicit C balance"))</f>
        <v>external DF used</v>
      </c>
      <c r="DV886">
        <v>1</v>
      </c>
      <c r="DW886">
        <v>1</v>
      </c>
      <c r="DX886">
        <v>1</v>
      </c>
      <c r="DY886" s="143">
        <v>0</v>
      </c>
      <c r="DZ886">
        <v>0</v>
      </c>
      <c r="EA886" s="143">
        <v>0</v>
      </c>
      <c r="EB886">
        <v>1</v>
      </c>
      <c r="EC886">
        <v>1</v>
      </c>
      <c r="ED886" s="143">
        <v>0</v>
      </c>
      <c r="EE886">
        <v>0</v>
      </c>
      <c r="EF886">
        <v>1</v>
      </c>
      <c r="EG886">
        <v>0</v>
      </c>
      <c r="EH886">
        <v>0</v>
      </c>
      <c r="EI886" s="2">
        <v>0</v>
      </c>
      <c r="EK886" t="str">
        <f>IF(AND(AND(AND(OR($DX886=1,$DW886=1),OR($EC886=1,$EA886=1)),SUM($DV886:$DZ886,$EF886)&gt;=4),SUM($EA886:$EE886)&gt;=2),"Whole sector","")</f>
        <v>Whole sector</v>
      </c>
      <c r="EL886" t="str">
        <f>IF(AND(AND(OR($DX886=1,$DW886=1),AND($EC886=0,$EA886=0)),SUM($DV886:$DZ886,$EF886)&gt;=4),"Ecosystem approach","")</f>
        <v/>
      </c>
      <c r="EM886" s="2" t="str">
        <f>IF(AND(AND(AND($DX886=0,$DW886=0),OR($EC886=1,$EA886=1)),SUM($EB886:$EE886)&gt;=2),"Technology approach","")</f>
        <v/>
      </c>
      <c r="EP886" t="str">
        <f>IF(ISNUMBER(BU886),IF(ABS(BU886-[3]QC_indicators!$B$2)&gt;3*[3]QC_indicators!$C$2,"C ratio",IF(ISNUMBER(BY886),IF(ABS(BY886-[3]QC_indicators!$B$1)&gt;3*[3]QC_indicators!$C$1,"DF","no"))),IF(ISNUMBER(BY886),IF(ABS(BY886-[3]QC_indicators!$B$1)&gt;3*[3]QC_indicators!$C$1,"DF","no")))</f>
        <v>no</v>
      </c>
      <c r="ER886" s="264" t="s">
        <v>1061</v>
      </c>
      <c r="ET886" s="264" t="s">
        <v>3407</v>
      </c>
    </row>
    <row r="887" spans="1:150" ht="15" customHeight="1">
      <c r="D887" t="s">
        <v>1661</v>
      </c>
      <c r="E887" t="s">
        <v>1662</v>
      </c>
      <c r="G887" t="s">
        <v>1663</v>
      </c>
      <c r="I887">
        <v>2007</v>
      </c>
      <c r="K887" t="s">
        <v>1664</v>
      </c>
      <c r="M887" t="str">
        <f>LEFT($D887,FIND(",",$D887)-1)&amp;"_"&amp;I887&amp;L887</f>
        <v>Gustavsson_2007</v>
      </c>
      <c r="N887" t="s">
        <v>222</v>
      </c>
      <c r="O887" t="s">
        <v>223</v>
      </c>
      <c r="Q887" t="s">
        <v>256</v>
      </c>
      <c r="R887" s="269" t="s">
        <v>274</v>
      </c>
      <c r="S887" s="1" t="s">
        <v>1665</v>
      </c>
      <c r="T887" t="s">
        <v>1688</v>
      </c>
      <c r="U887" s="143" t="s">
        <v>1683</v>
      </c>
      <c r="V887">
        <v>0</v>
      </c>
      <c r="W887">
        <v>0</v>
      </c>
      <c r="X887">
        <v>0</v>
      </c>
      <c r="Y887">
        <v>0</v>
      </c>
      <c r="Z887">
        <v>0</v>
      </c>
      <c r="AA887">
        <v>0</v>
      </c>
      <c r="AB887">
        <v>0</v>
      </c>
      <c r="AC887">
        <v>0</v>
      </c>
      <c r="AD887">
        <v>0</v>
      </c>
      <c r="AE887">
        <v>0</v>
      </c>
      <c r="AF887">
        <v>0</v>
      </c>
      <c r="AG887">
        <v>0</v>
      </c>
      <c r="AH887">
        <v>0</v>
      </c>
      <c r="AI887">
        <v>0</v>
      </c>
      <c r="AJ887">
        <v>0</v>
      </c>
      <c r="AK887">
        <v>1</v>
      </c>
      <c r="AL887">
        <v>0</v>
      </c>
      <c r="AM887">
        <v>0</v>
      </c>
      <c r="AN887">
        <v>0</v>
      </c>
      <c r="AO887">
        <v>0</v>
      </c>
      <c r="AP887">
        <v>0</v>
      </c>
      <c r="AQ887">
        <v>0</v>
      </c>
      <c r="AR887">
        <v>0</v>
      </c>
      <c r="AS887">
        <v>0</v>
      </c>
      <c r="AT887">
        <v>0</v>
      </c>
      <c r="AU887">
        <v>0</v>
      </c>
      <c r="AV887">
        <v>0</v>
      </c>
      <c r="AW887">
        <v>0</v>
      </c>
      <c r="AX887" s="141">
        <f>COUNTIF(V887:AW887,"&lt;&gt;0")</f>
        <v>1</v>
      </c>
      <c r="AY887" s="141">
        <f>COUNTIF(V887:AL887,"&lt;&gt;0")</f>
        <v>1</v>
      </c>
      <c r="AZ887">
        <f>COUNTIF(V887:AC887,"&lt;&gt;0")</f>
        <v>0</v>
      </c>
      <c r="BA887">
        <f>COUNTIF(AD887:AI887,"&lt;&gt;0")</f>
        <v>0</v>
      </c>
      <c r="BB887">
        <f>COUNTIF(AJ887:AL887,"&lt;&gt;0")</f>
        <v>1</v>
      </c>
      <c r="BC887">
        <f>COUNTIF(AS887:AW887,"&lt;&gt;0")</f>
        <v>0</v>
      </c>
      <c r="BD887">
        <f>COUNTIF(AM887:AR887,"&lt;&gt;0")</f>
        <v>0</v>
      </c>
      <c r="BE887" t="str">
        <f t="array" ref="BE887">IF(AY887=1,INDEX($V$7:$AL$7,MATCH(TRUE,INDEX($V887:$AW887&lt;&gt;0,),0)),IF(AY887=0,INDEX($AM$7:$AW$7,MATCH(1,$AM887:$AW887,0)),IF(BF887="Multiple strategies","mixed drivers",IF(BF887="Supply chain","multiple supply","multiple silviculture"))))</f>
        <v>technologies/design switch</v>
      </c>
      <c r="BF887" s="2" t="str" cm="1">
        <f t="array" ref="BF887">IF(COUNTIF(AZ887:BB887,"&lt;&gt;0")=1,INDEX($V$4:$AW$4,MATCH(TRUE,INDEX($V887:$AW887&lt;&gt;0,),0)),IF(COUNTIF(AZ887:BB887,"&lt;&gt;0")=0,INDEX($AM$4:$AW$4,MATCH(1,$AM887:$AW887,0)),"Multiple strategies"))</f>
        <v>Technology</v>
      </c>
      <c r="BG887" s="142" t="s">
        <v>229</v>
      </c>
      <c r="BH887" t="s">
        <v>1667</v>
      </c>
      <c r="BI887" s="264" t="s">
        <v>1057</v>
      </c>
      <c r="BJ887" s="143" t="s">
        <v>3265</v>
      </c>
      <c r="BK887">
        <v>0</v>
      </c>
      <c r="BL887" s="143">
        <v>24.4</v>
      </c>
      <c r="BM887" s="143"/>
      <c r="BN887">
        <f>BL887-BK887</f>
        <v>24.4</v>
      </c>
      <c r="BO887" s="143">
        <f>1000*BL887/15.3/400</f>
        <v>3.986928104575163</v>
      </c>
      <c r="BP887" t="s">
        <v>232</v>
      </c>
      <c r="BR887" t="s">
        <v>938</v>
      </c>
      <c r="BS887" s="143">
        <v>-1</v>
      </c>
      <c r="BT887" s="151">
        <v>0</v>
      </c>
      <c r="BU887">
        <v>0</v>
      </c>
      <c r="BV887">
        <v>1</v>
      </c>
      <c r="BX887">
        <f>BV887*C_to_CO2</f>
        <v>3.67</v>
      </c>
      <c r="BY887">
        <f>IFERROR(BX887/BO887,"")</f>
        <v>0.92050819672131157</v>
      </c>
      <c r="BZ887" s="143">
        <v>0</v>
      </c>
      <c r="CA887" s="143">
        <v>0</v>
      </c>
      <c r="CB887" s="143">
        <v>0</v>
      </c>
      <c r="CC887" s="143">
        <v>0</v>
      </c>
      <c r="CD887" s="143">
        <v>0</v>
      </c>
      <c r="CE887" s="143">
        <v>0</v>
      </c>
      <c r="CF887" s="143">
        <v>0</v>
      </c>
      <c r="CG887" s="143">
        <v>0</v>
      </c>
      <c r="CH887" s="143">
        <v>0</v>
      </c>
      <c r="CI887" s="143">
        <v>0</v>
      </c>
      <c r="CJ887" s="143">
        <v>0</v>
      </c>
      <c r="CK887" s="143">
        <v>0</v>
      </c>
      <c r="CL887" s="143">
        <v>0</v>
      </c>
      <c r="CM887">
        <v>1</v>
      </c>
      <c r="CN887" t="str">
        <f>IF($BL887&lt;$BK887,"refNeedCorrection","refOK")</f>
        <v>refOK</v>
      </c>
      <c r="CO887">
        <f>IF($CN887="refOK",$BK887,$BL887)</f>
        <v>0</v>
      </c>
      <c r="CP887">
        <f>IF($CN887="refOK",$BL887,$BK887)</f>
        <v>24.4</v>
      </c>
      <c r="CQ887">
        <f>IF($CN887="refOK",$BO887,-$BO887)</f>
        <v>3.986928104575163</v>
      </c>
      <c r="CR887">
        <f>IF($CN887="refOK",$BS887,$BT887)*IF($BP887="Emissions positive",-1,1)</f>
        <v>-1</v>
      </c>
      <c r="CS887">
        <f>IF($CN887="refOK",$BT887,$BS887)*IF($BP887="Emissions positive",-1,1)</f>
        <v>0</v>
      </c>
      <c r="CT887">
        <f>IF($CN887="refNeedCorrection",-BX887,BX887)*IF($BP887="Emissions positive",-1,1)</f>
        <v>3.67</v>
      </c>
      <c r="CU887">
        <f>IFERROR(CT887/CQ887,"")</f>
        <v>0.92050819672131157</v>
      </c>
      <c r="CV887" s="2">
        <f>IFERROR((CS887-CR887)/ABS(CR887),"")</f>
        <v>1</v>
      </c>
      <c r="CW887" s="1" t="s">
        <v>1203</v>
      </c>
      <c r="CX887" t="str">
        <f>IF(OR($CW887="prd",$CW887="std",$CW887="cit"),"loc",IF(OR($CW887="eur",$CW887="reg",$CW887="coy"),"reg",$CW887))</f>
        <v>reg</v>
      </c>
      <c r="CY887" t="s">
        <v>444</v>
      </c>
      <c r="DA887" s="143"/>
      <c r="DB887" s="143">
        <v>0</v>
      </c>
      <c r="DC887" t="str">
        <f>IF(DB887=0,"0",IF(AND(DB887&gt;=1,DB887&lt;=30),"1-30",IF(AND(DB887&gt;30,DB887&lt;=70),"31-70",IF(AND(DB887&gt;70,DB887&lt;=100),"71-100",IF(DB887&gt;100,"+100")))))</f>
        <v>0</v>
      </c>
      <c r="DD887">
        <v>0</v>
      </c>
      <c r="DE887">
        <v>1</v>
      </c>
      <c r="DF887">
        <v>0</v>
      </c>
      <c r="DG887">
        <v>0</v>
      </c>
      <c r="DI887">
        <f>SUM(DD887:DG887)</f>
        <v>1</v>
      </c>
      <c r="DJ887" t="str">
        <f>IF(DI887=1,INDEX($DD$7:$DG$7,MATCH(1,$DD887:$DG887,0)),"mixedProduct")</f>
        <v>EnergyInput</v>
      </c>
      <c r="DK887">
        <f>IF(DD887=1,DK$7,0)</f>
        <v>0</v>
      </c>
      <c r="DL887" t="str">
        <f>IF(DE887=1,DL$7,0)</f>
        <v>Energy</v>
      </c>
      <c r="DM887">
        <f>IF(DF887=1,DM$7,0)</f>
        <v>0</v>
      </c>
      <c r="DN887">
        <f>IF(DG887=1,DN$7,0)</f>
        <v>0</v>
      </c>
      <c r="DO887">
        <v>0</v>
      </c>
      <c r="DP887" s="143">
        <v>0</v>
      </c>
      <c r="DQ887" s="143">
        <v>0</v>
      </c>
      <c r="DR887">
        <v>0</v>
      </c>
      <c r="DS887" s="143">
        <v>0</v>
      </c>
      <c r="DT887">
        <f>SUM(DO887:DP887)</f>
        <v>0</v>
      </c>
      <c r="DU887" s="143" t="str">
        <f>IF(DO887=1,"self-calculated DF",IF(DP887=1,"external DF used","explicit C balance"))</f>
        <v>explicit C balance</v>
      </c>
      <c r="DV887" s="143">
        <v>0</v>
      </c>
      <c r="DW887" s="143">
        <v>0</v>
      </c>
      <c r="DX887" s="143">
        <v>0</v>
      </c>
      <c r="DY887" s="143">
        <v>0</v>
      </c>
      <c r="DZ887">
        <v>0</v>
      </c>
      <c r="EA887" s="143">
        <v>0</v>
      </c>
      <c r="EB887" s="143">
        <v>0</v>
      </c>
      <c r="EC887" s="143">
        <v>1</v>
      </c>
      <c r="ED887" s="143">
        <v>0</v>
      </c>
      <c r="EE887">
        <v>0</v>
      </c>
      <c r="EF887">
        <v>0</v>
      </c>
      <c r="EG887" s="143">
        <v>0</v>
      </c>
      <c r="EH887" s="143">
        <v>0</v>
      </c>
      <c r="EI887" s="2">
        <v>0</v>
      </c>
      <c r="EK887" t="str">
        <f>IF(AND(AND(AND(OR($DX887=1,$DW887=1),OR($EC887=1,$EA887=1)),SUM($DV887:$DZ887,$EF887)&gt;=4),SUM($EA887:$EE887)&gt;=2),"Whole sector","")</f>
        <v/>
      </c>
      <c r="EL887" t="str">
        <f>IF(AND(AND(OR($DX887=1,$DW887=1),AND($EC887=0,$EA887=0)),SUM($DV887:$DZ887,$EF887)&gt;=4),"Ecosystem approach","")</f>
        <v/>
      </c>
      <c r="EM887" s="2" t="str">
        <f>IF(AND(AND(AND($DX887=0,$DW887=0),OR($EC887=1,$EA887=1)),SUM($EB887:$EE887)&gt;=2),"Technology approach","")</f>
        <v/>
      </c>
      <c r="EP887" t="str">
        <f>IF(ISNUMBER(BU887),IF(ABS(BU887-[2]QC_indicators!$B$2)&gt;3*[2]QC_indicators!$C$2,"C ratio",IF(ISNUMBER(BY887),IF(ABS(BY887-[2]QC_indicators!$B$1)&gt;3*[2]QC_indicators!$C$1,"DF","no"))),IF(ISNUMBER(BY887),IF(ABS(BY887-[2]QC_indicators!$B$1)&gt;3*[2]QC_indicators!$C$1,"DF","no")))</f>
        <v>no</v>
      </c>
      <c r="ER887" s="149" t="s">
        <v>349</v>
      </c>
      <c r="ET887" s="264" t="s">
        <v>3266</v>
      </c>
    </row>
    <row r="888" spans="1:150" ht="15" customHeight="1">
      <c r="A888" s="1" t="s">
        <v>1270</v>
      </c>
      <c r="B888" t="s">
        <v>1869</v>
      </c>
      <c r="C888" t="s">
        <v>1870</v>
      </c>
      <c r="D888" t="s">
        <v>1871</v>
      </c>
      <c r="E888" t="s">
        <v>1872</v>
      </c>
      <c r="F888" t="s">
        <v>1873</v>
      </c>
      <c r="G888" t="s">
        <v>1276</v>
      </c>
      <c r="H888" t="s">
        <v>254</v>
      </c>
      <c r="I888">
        <v>2019</v>
      </c>
      <c r="J888">
        <v>2</v>
      </c>
      <c r="K888" t="s">
        <v>1874</v>
      </c>
      <c r="M888" t="str">
        <f>LEFT($D888,FIND(",",$D888)-1)&amp;"_"&amp;I888&amp;L888</f>
        <v>Kucuker_2019</v>
      </c>
      <c r="N888" t="s">
        <v>222</v>
      </c>
      <c r="O888" s="145" t="s">
        <v>225</v>
      </c>
      <c r="Q888" s="264" t="s">
        <v>256</v>
      </c>
      <c r="R888" s="269" t="s">
        <v>1154</v>
      </c>
      <c r="S888" s="1" t="s">
        <v>1883</v>
      </c>
      <c r="T888" t="s">
        <v>1890</v>
      </c>
      <c r="U888" t="s">
        <v>1889</v>
      </c>
      <c r="V888">
        <v>0</v>
      </c>
      <c r="W888">
        <v>0</v>
      </c>
      <c r="X888">
        <v>0</v>
      </c>
      <c r="Y888">
        <v>0</v>
      </c>
      <c r="Z888">
        <v>1</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s="141">
        <f>COUNTIF(V888:AW888,"&lt;&gt;0")</f>
        <v>1</v>
      </c>
      <c r="AY888" s="141">
        <f>COUNTIF(V888:AL888,"&lt;&gt;0")</f>
        <v>1</v>
      </c>
      <c r="AZ888">
        <f>COUNTIF(V888:AC888,"&lt;&gt;0")</f>
        <v>1</v>
      </c>
      <c r="BA888">
        <f>COUNTIF(AD888:AI888,"&lt;&gt;0")</f>
        <v>0</v>
      </c>
      <c r="BB888">
        <f>COUNTIF(AJ888:AL888,"&lt;&gt;0")</f>
        <v>0</v>
      </c>
      <c r="BC888">
        <f>COUNTIF(AS888:AW888,"&lt;&gt;0")</f>
        <v>0</v>
      </c>
      <c r="BD888">
        <f>COUNTIF(AM888:AR888,"&lt;&gt;0")</f>
        <v>0</v>
      </c>
      <c r="BE888" t="str" cm="1">
        <f t="array" ref="BE888">IF(AY888=1,INDEX($V$7:$AL$7,MATCH(TRUE,INDEX($V888:$AW888&lt;&gt;0,),0)),IF(AY888=0,INDEX($AM$7:$AW$7,MATCH(1,$AM888:$AW888,0)),IF(BF888="Multiple strategies","mixed drivers",IF(BF888="Supply chain","multiple supply","multiple silviculture"))))</f>
        <v>species</v>
      </c>
      <c r="BF888" s="2" t="str" cm="1">
        <f t="array" ref="BF888">IF(COUNTIF(AZ888:BB888,"&lt;&gt;0")=1,INDEX($V$4:$AW$4,MATCH(TRUE,INDEX($V888:$AW888&lt;&gt;0,),0)),IF(COUNTIF(AZ888:BB888,"&lt;&gt;0")=0,INDEX($AM$4:$AW$4,MATCH(1,$AM888:$AW888,0)),"Multiple strategies"))</f>
        <v>Silviculture for productivity</v>
      </c>
      <c r="BG888" s="173" t="s">
        <v>321</v>
      </c>
      <c r="BH888" t="s">
        <v>182</v>
      </c>
      <c r="BJ888" t="s">
        <v>1770</v>
      </c>
      <c r="BK888" s="143">
        <v>7115</v>
      </c>
      <c r="BL888">
        <v>7420</v>
      </c>
      <c r="BM888" s="264">
        <f>BL888/BK888</f>
        <v>1.0428671820098383</v>
      </c>
      <c r="BN888">
        <f>BL888-BK888</f>
        <v>305</v>
      </c>
      <c r="BO888" s="143">
        <f>BN888*10^3</f>
        <v>305000</v>
      </c>
      <c r="BP888" t="s">
        <v>232</v>
      </c>
      <c r="BR888" t="s">
        <v>1877</v>
      </c>
      <c r="BS888">
        <v>2691</v>
      </c>
      <c r="BT888" s="143">
        <v>2768</v>
      </c>
      <c r="BU888" s="144">
        <f>IFERROR(BT888/BS888,"")</f>
        <v>1.0286138981791155</v>
      </c>
      <c r="BV888">
        <f>BT888-BS888</f>
        <v>77</v>
      </c>
      <c r="BX888">
        <f>BV888*10^9/10^6*C_to_CO2</f>
        <v>282590</v>
      </c>
      <c r="BY888">
        <f>IFERROR(BX888/BO888,"")</f>
        <v>0.9265245901639344</v>
      </c>
      <c r="BZ888">
        <v>0</v>
      </c>
      <c r="CA888">
        <v>0</v>
      </c>
      <c r="CB888">
        <v>0</v>
      </c>
      <c r="CC888">
        <v>0</v>
      </c>
      <c r="CD888">
        <v>0</v>
      </c>
      <c r="CE888">
        <v>0</v>
      </c>
      <c r="CF888">
        <v>0</v>
      </c>
      <c r="CG888">
        <v>0</v>
      </c>
      <c r="CH888">
        <v>0</v>
      </c>
      <c r="CI888">
        <v>0</v>
      </c>
      <c r="CJ888">
        <v>0</v>
      </c>
      <c r="CK888">
        <v>0</v>
      </c>
      <c r="CL888">
        <v>0</v>
      </c>
      <c r="CM888">
        <v>0</v>
      </c>
      <c r="CN888" t="str">
        <f>IF($BL888&lt;$BK888,"refNeedCorrection","refOK")</f>
        <v>refOK</v>
      </c>
      <c r="CO888">
        <f>IF($CN888="refNeedCorrection",BK888,BL888)</f>
        <v>7420</v>
      </c>
      <c r="CP888">
        <f>IF($CN888="refNeedCorrection",BL888,BK888)</f>
        <v>7115</v>
      </c>
      <c r="CQ888">
        <f>IF($CN888="refOK",$BO888,-$BO888)</f>
        <v>305000</v>
      </c>
      <c r="CR888">
        <f>IF($CN888="refOK",$BS888,$BT888)*IF($BP888="Emissions positive",-1,1)</f>
        <v>2691</v>
      </c>
      <c r="CS888">
        <f>IF($CN888="refOK",$BT888,$BS888)*IF($BP888="Emissions positive",-1,1)</f>
        <v>2768</v>
      </c>
      <c r="CT888">
        <f>IF($CN888="refNeedCorrection",-BX888,BX888)*IF($BP888="Emissions positive",-1,1)</f>
        <v>282590</v>
      </c>
      <c r="CU888">
        <f>IFERROR(CT888/CQ888,"")</f>
        <v>0.9265245901639344</v>
      </c>
      <c r="CV888" s="2">
        <f>IFERROR((CS888-CR888)/ABS(CR888),"")</f>
        <v>2.8613898179115572E-2</v>
      </c>
      <c r="CW888" s="1" t="s">
        <v>1203</v>
      </c>
      <c r="CX888" s="264" t="str">
        <f>IF(OR($CW888="prd",$CW888="std",$CW888="cit"),"loc",IF(OR($CW888="eur",$CW888="reg",$CW888="coy"),"reg",$CW888))</f>
        <v>reg</v>
      </c>
      <c r="CY888" t="s">
        <v>1281</v>
      </c>
      <c r="DA888" s="143"/>
      <c r="DB888">
        <v>100</v>
      </c>
      <c r="DC888" t="str">
        <f>IF(DB888=0,"0",IF(AND(DB888&gt;=1,DB888&lt;=30),"1-30",IF(AND(DB888&gt;30,DB888&lt;=70),"31-70",IF(AND(DB888&gt;70,DB888&lt;=100),"71-100",IF(DB888&gt;100,"+100")))))</f>
        <v>71-100</v>
      </c>
      <c r="DD888">
        <v>0</v>
      </c>
      <c r="DE888">
        <v>0</v>
      </c>
      <c r="DF888">
        <v>0</v>
      </c>
      <c r="DG888">
        <v>1</v>
      </c>
      <c r="DI888">
        <f>SUM(DD888:DG888)</f>
        <v>1</v>
      </c>
      <c r="DJ888" t="str">
        <f>IF(DI888=1,INDEX($DD$7:$DG$7,MATCH(1,$DD888:$DG888,0)),"mixedProduct")</f>
        <v>TimberInput</v>
      </c>
      <c r="DK888">
        <f>IF(DD888=1,DK$7,0)</f>
        <v>0</v>
      </c>
      <c r="DL888">
        <f>IF(DE888=1,DL$7,0)</f>
        <v>0</v>
      </c>
      <c r="DM888">
        <f>IF(DF888=1,DM$7,0)</f>
        <v>0</v>
      </c>
      <c r="DN888" t="str">
        <f>IF(DG888=1,DN$7,0)</f>
        <v>Timber</v>
      </c>
      <c r="DO888">
        <v>0</v>
      </c>
      <c r="DP888" s="143">
        <v>0</v>
      </c>
      <c r="DQ888" s="143">
        <v>0</v>
      </c>
      <c r="DR888">
        <v>0</v>
      </c>
      <c r="DS888" s="143">
        <v>0</v>
      </c>
      <c r="DT888">
        <f>SUM(DO888:DP888)</f>
        <v>0</v>
      </c>
      <c r="DU888" s="143" t="str">
        <f>IF(DO888=1,"self-calculated DF",IF(DP888=1,"external DF used","explicit C balance"))</f>
        <v>explicit C balance</v>
      </c>
      <c r="DV888" s="143">
        <v>0</v>
      </c>
      <c r="DW888" s="143">
        <v>0</v>
      </c>
      <c r="DX888" s="143">
        <v>1</v>
      </c>
      <c r="DY888" s="143">
        <v>0</v>
      </c>
      <c r="DZ888">
        <v>0</v>
      </c>
      <c r="EA888" s="143">
        <v>0</v>
      </c>
      <c r="EB888" s="143">
        <v>0</v>
      </c>
      <c r="EC888" s="143">
        <v>0</v>
      </c>
      <c r="ED888" s="143">
        <v>0</v>
      </c>
      <c r="EE888">
        <v>0</v>
      </c>
      <c r="EF888">
        <v>0</v>
      </c>
      <c r="EG888" s="143">
        <v>0</v>
      </c>
      <c r="EH888">
        <v>0</v>
      </c>
      <c r="EI888" s="2">
        <v>0</v>
      </c>
      <c r="EK888" t="str">
        <f>IF(AND(AND(AND(OR($DX888=1,$DW888=1),OR($EC888=1,$EA888=1)),SUM($DV888:$DZ888,$EF888)&gt;=4),SUM($EA888:$EE888)&gt;=2),"Whole sector","")</f>
        <v/>
      </c>
      <c r="EL888" t="str">
        <f>IF(AND(AND(OR($DX888=1,$DW888=1),AND($EC888=0,$EA888=0)),SUM($DV888:$DZ888,$EF888)&gt;=4),"Ecosystem approach","")</f>
        <v/>
      </c>
      <c r="EM888" s="2" t="str">
        <f>IF(AND(AND(AND($DX888=0,$DW888=0),OR($EC888=1,$EA888=1)),SUM($EB888:$EE888)&gt;=2),"Technology approach","")</f>
        <v/>
      </c>
      <c r="EP888" t="str">
        <f>IF(ISNUMBER(BU888),IF(ABS(BU888-[3]QC_indicators!$B$2)&gt;3*[3]QC_indicators!$C$2,"C ratio",IF(ISNUMBER(BY888),IF(ABS(BY888-[3]QC_indicators!$B$1)&gt;3*[3]QC_indicators!$C$1,"DF","no"))),IF(ISNUMBER(BY888),IF(ABS(BY888-[3]QC_indicators!$B$1)&gt;3*[3]QC_indicators!$C$1,"DF","no")))</f>
        <v>no</v>
      </c>
      <c r="ET888" s="264" t="s">
        <v>3407</v>
      </c>
    </row>
    <row r="889" spans="1:150" ht="15" customHeight="1">
      <c r="A889" s="1" t="s">
        <v>848</v>
      </c>
      <c r="B889" t="s">
        <v>849</v>
      </c>
      <c r="C889" t="s">
        <v>850</v>
      </c>
      <c r="D889" t="s">
        <v>851</v>
      </c>
      <c r="E889" t="s">
        <v>852</v>
      </c>
      <c r="F889" t="s">
        <v>853</v>
      </c>
      <c r="G889" t="s">
        <v>854</v>
      </c>
      <c r="H889" t="s">
        <v>254</v>
      </c>
      <c r="I889">
        <v>2020</v>
      </c>
      <c r="J889">
        <v>5</v>
      </c>
      <c r="K889" t="s">
        <v>855</v>
      </c>
      <c r="M889" t="str">
        <f>LEFT($D889,FIND(",",$D889)-1)&amp;"_"&amp;I889&amp;L889</f>
        <v>Lan_2020</v>
      </c>
      <c r="N889" t="s">
        <v>222</v>
      </c>
      <c r="O889" s="145" t="s">
        <v>225</v>
      </c>
      <c r="Q889" t="s">
        <v>256</v>
      </c>
      <c r="R889" s="262" t="s">
        <v>223</v>
      </c>
      <c r="S889" s="1" t="s">
        <v>95</v>
      </c>
      <c r="T889" t="s">
        <v>857</v>
      </c>
      <c r="U889" t="s">
        <v>863</v>
      </c>
      <c r="V889">
        <v>0</v>
      </c>
      <c r="W889">
        <v>0</v>
      </c>
      <c r="X889">
        <v>0</v>
      </c>
      <c r="Y889">
        <v>0</v>
      </c>
      <c r="Z889">
        <v>0</v>
      </c>
      <c r="AA889">
        <v>0</v>
      </c>
      <c r="AB889">
        <v>0</v>
      </c>
      <c r="AC889">
        <v>1</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s="141">
        <f>COUNTIF(V889:AW889,"&lt;&gt;0")</f>
        <v>1</v>
      </c>
      <c r="AY889" s="141">
        <f>COUNTIF(V889:AL889,"&lt;&gt;0")</f>
        <v>1</v>
      </c>
      <c r="AZ889">
        <f>COUNTIF(V889:AC889,"&lt;&gt;0")</f>
        <v>1</v>
      </c>
      <c r="BA889">
        <f>COUNTIF(AD889:AI889,"&lt;&gt;0")</f>
        <v>0</v>
      </c>
      <c r="BB889">
        <f>COUNTIF(AJ889:AL889,"&lt;&gt;0")</f>
        <v>0</v>
      </c>
      <c r="BC889">
        <f>COUNTIF(AS889:AW889,"&lt;&gt;0")</f>
        <v>0</v>
      </c>
      <c r="BD889">
        <f>COUNTIF(AM889:AR889,"&lt;&gt;0")</f>
        <v>0</v>
      </c>
      <c r="BE889" t="str">
        <f t="array" ref="BE889">IF(AY889=1,INDEX($V$7:$AL$7,MATCH(TRUE,INDEX($V889:$AW889&lt;&gt;0,),0)),IF(AY889=0,INDEX($AM$7:$AW$7,MATCH(1,$AM889:$AW889,0)),IF(BF889="Multiple strategies","mixed drivers",IF(BF889="Supply chain","multiple supply","multiple silviculture"))))</f>
        <v>site fertility</v>
      </c>
      <c r="BF889" s="2" t="str" cm="1">
        <f t="array" ref="BF889">IF(COUNTIF(AZ889:BB889,"&lt;&gt;0")=1,INDEX($V$4:$AW$4,MATCH(TRUE,INDEX($V889:$AW889&lt;&gt;0,),0)),IF(COUNTIF(AZ889:BB889,"&lt;&gt;0")=0,INDEX($AM$4:$AW$4,MATCH(1,$AM889:$AW889,0)),"Multiple strategies"))</f>
        <v>Silviculture for productivity</v>
      </c>
      <c r="BG889" s="142" t="s">
        <v>321</v>
      </c>
      <c r="BH889" t="s">
        <v>867</v>
      </c>
      <c r="BI889" s="264" t="s">
        <v>701</v>
      </c>
      <c r="BJ889" s="143" t="s">
        <v>868</v>
      </c>
      <c r="BK889">
        <f>282+71</f>
        <v>353</v>
      </c>
      <c r="BL889" s="143">
        <f>111+443</f>
        <v>554</v>
      </c>
      <c r="BM889" s="163">
        <f>BL889/BK889</f>
        <v>1.5694050991501416</v>
      </c>
      <c r="BN889">
        <f>BL889-BK889</f>
        <v>201</v>
      </c>
      <c r="BO889" s="159">
        <f>BN889*t_to_m3</f>
        <v>410.20408163265307</v>
      </c>
      <c r="BP889" t="s">
        <v>232</v>
      </c>
      <c r="BQ889" s="153" t="s">
        <v>429</v>
      </c>
      <c r="BR889" t="s">
        <v>859</v>
      </c>
      <c r="BS889">
        <v>726.60500000000002</v>
      </c>
      <c r="BT889">
        <v>1124.77</v>
      </c>
      <c r="BU889" s="144">
        <f>IFERROR(BT889/BS889,"")</f>
        <v>1.5479799891275177</v>
      </c>
      <c r="BV889">
        <f>BT889-BS889</f>
        <v>398.16499999999996</v>
      </c>
      <c r="BX889">
        <f>BV889</f>
        <v>398.16499999999996</v>
      </c>
      <c r="BY889">
        <f>IFERROR(BX889/BO889,"")</f>
        <v>0.97065099502487551</v>
      </c>
      <c r="BZ889">
        <v>0</v>
      </c>
      <c r="CA889">
        <v>0</v>
      </c>
      <c r="CB889">
        <v>0</v>
      </c>
      <c r="CC889">
        <v>0</v>
      </c>
      <c r="CD889">
        <v>0</v>
      </c>
      <c r="CE889">
        <v>0</v>
      </c>
      <c r="CF889">
        <v>0</v>
      </c>
      <c r="CG889">
        <v>0</v>
      </c>
      <c r="CH889">
        <v>0</v>
      </c>
      <c r="CI889">
        <v>0</v>
      </c>
      <c r="CJ889">
        <v>0</v>
      </c>
      <c r="CK889">
        <v>0</v>
      </c>
      <c r="CL889">
        <v>0</v>
      </c>
      <c r="CM889">
        <v>0</v>
      </c>
      <c r="CN889" t="str">
        <f>IF($BL889&lt;$BK889,"refNeedCorrection","refOK")</f>
        <v>refOK</v>
      </c>
      <c r="CO889">
        <f>IF($CN889="refNeedCorrection",BL889,BK889)</f>
        <v>353</v>
      </c>
      <c r="CP889">
        <f>IF($CN889="refNeedCorrection",BK889,BL889)</f>
        <v>554</v>
      </c>
      <c r="CQ889">
        <f>IF($CN889="refOK",$BO889,-$BO889)</f>
        <v>410.20408163265307</v>
      </c>
      <c r="CR889">
        <f>IF($CN889="refOK",$BS889,$BT889)*IF($BP889="Emissions positive",-1,1)</f>
        <v>726.60500000000002</v>
      </c>
      <c r="CS889">
        <f>IF($CN889="refOK",$BT889,$BS889)*IF($BP889="Emissions positive",-1,1)</f>
        <v>1124.77</v>
      </c>
      <c r="CT889">
        <f>IF($CN889="refNeedCorrection",-BX889,BX889)*IF($BP889="Emissions positive",-1,1)</f>
        <v>398.16499999999996</v>
      </c>
      <c r="CU889">
        <f>IFERROR(CT889/CQ889,"")</f>
        <v>0.97065099502487551</v>
      </c>
      <c r="CV889" s="2">
        <f>IFERROR((CS889-CR889)/ABS(CR889),"")</f>
        <v>0.54797998912751766</v>
      </c>
      <c r="CW889" s="1" t="s">
        <v>234</v>
      </c>
      <c r="CX889" t="str">
        <f>IF(OR($CW889="prd",$CW889="std",$CW889="cit"),"loc",IF(OR($CW889="eur",$CW889="reg",$CW889="coy"),"reg",$CW889))</f>
        <v>loc</v>
      </c>
      <c r="CY889" t="s">
        <v>428</v>
      </c>
      <c r="CZ889">
        <v>2021</v>
      </c>
      <c r="DA889" s="143">
        <v>2120</v>
      </c>
      <c r="DB889" s="143">
        <v>100</v>
      </c>
      <c r="DC889" t="str">
        <f>IF(DB889=0,"0",IF(AND(DB889&gt;=1,DB889&lt;=30),"1-30",IF(AND(DB889&gt;30,DB889&lt;=70),"31-70",IF(AND(DB889&gt;70,DB889&lt;=100),"71-100",IF(DB889&gt;100,"+100")))))</f>
        <v>71-100</v>
      </c>
      <c r="DD889">
        <v>0</v>
      </c>
      <c r="DE889">
        <v>1</v>
      </c>
      <c r="DF889">
        <v>0</v>
      </c>
      <c r="DG889">
        <v>1</v>
      </c>
      <c r="DI889">
        <f>SUM(DD889:DG889)</f>
        <v>2</v>
      </c>
      <c r="DJ889" t="str">
        <f>IF(DI889=1,INDEX($DD$7:$DG$7,MATCH(1,$DD889:$DG889,0)),"mixedProduct")</f>
        <v>mixedProduct</v>
      </c>
      <c r="DK889">
        <f>IF(DD889=1,DK$7,0)</f>
        <v>0</v>
      </c>
      <c r="DL889" t="str">
        <f>IF(DE889=1,DL$7,0)</f>
        <v>Energy</v>
      </c>
      <c r="DM889">
        <f>IF(DF889=1,DM$7,0)</f>
        <v>0</v>
      </c>
      <c r="DN889" t="str">
        <f>IF(DG889=1,DN$7,0)</f>
        <v>Timber</v>
      </c>
      <c r="DO889">
        <v>0</v>
      </c>
      <c r="DP889" s="143">
        <v>0</v>
      </c>
      <c r="DQ889" s="143">
        <v>0</v>
      </c>
      <c r="DR889">
        <v>0</v>
      </c>
      <c r="DS889" s="143">
        <v>0</v>
      </c>
      <c r="DT889">
        <f>SUM(DO889:DP889)</f>
        <v>0</v>
      </c>
      <c r="DU889" s="143" t="str">
        <f>IF(DO889=1,"self-calculated DF",IF(DP889=1,"external DF used","explicit C balance"))</f>
        <v>explicit C balance</v>
      </c>
      <c r="DV889" s="143">
        <v>0</v>
      </c>
      <c r="DW889" s="143">
        <v>1</v>
      </c>
      <c r="DX889" s="143">
        <v>1</v>
      </c>
      <c r="DY889" s="143">
        <v>1</v>
      </c>
      <c r="DZ889">
        <v>1</v>
      </c>
      <c r="EA889" s="143">
        <v>0</v>
      </c>
      <c r="EB889" s="143">
        <v>1</v>
      </c>
      <c r="EC889" s="143">
        <v>1</v>
      </c>
      <c r="ED889" s="143">
        <v>1</v>
      </c>
      <c r="EE889">
        <v>0</v>
      </c>
      <c r="EF889">
        <v>1</v>
      </c>
      <c r="EG889" s="143">
        <v>1</v>
      </c>
      <c r="EH889">
        <v>0</v>
      </c>
      <c r="EI889" s="2">
        <v>0</v>
      </c>
      <c r="EK889" t="str">
        <f>IF(AND(AND(AND(OR($DX889=1,$DW889=1),OR($EC889=1,$EA889=1)),SUM($DV889:$DZ889,$EF889)&gt;=4),SUM($EA889:$EE889)&gt;=2),"Whole sector","")</f>
        <v>Whole sector</v>
      </c>
      <c r="EL889" t="str">
        <f>IF(AND(AND(OR($DX889=1,$DW889=1),AND($EC889=0,$EA889=0)),SUM($DV889:$DZ889,$EF889)&gt;=4),"Ecosystem approach","")</f>
        <v/>
      </c>
      <c r="EM889" s="2" t="str">
        <f>IF(AND(AND(AND($DX889=0,$DW889=0),OR($EC889=1,$EA889=1)),SUM($EB889:$EE889)&gt;=2),"Technology approach","")</f>
        <v/>
      </c>
      <c r="EP889" t="str">
        <f>IF(ISNUMBER(BU889),IF(ABS(BU889-[1]QC_indicators!$B$2)&gt;3*[1]QC_indicators!$C$2,"C ratio",IF(ISNUMBER(BY889),IF(ABS(BY889-[1]QC_indicators!$B$1)&gt;3*[1]QC_indicators!$C$1,"DF","no"))),IF(ISNUMBER(BY889),IF(ABS(BY889-[1]QC_indicators!$B$1)&gt;3*[1]QC_indicators!$C$1,"DF","no")))</f>
        <v>no</v>
      </c>
      <c r="ER889" t="s">
        <v>860</v>
      </c>
      <c r="ET889" s="264" t="s">
        <v>3151</v>
      </c>
    </row>
    <row r="890" spans="1:150" ht="18" customHeight="1">
      <c r="A890" s="1" t="s">
        <v>1102</v>
      </c>
      <c r="B890" t="s">
        <v>2381</v>
      </c>
      <c r="C890" t="s">
        <v>2382</v>
      </c>
      <c r="D890" t="s">
        <v>2383</v>
      </c>
      <c r="E890" t="s">
        <v>2384</v>
      </c>
      <c r="F890" t="s">
        <v>2385</v>
      </c>
      <c r="G890" t="s">
        <v>1108</v>
      </c>
      <c r="H890" t="s">
        <v>254</v>
      </c>
      <c r="I890">
        <v>2016</v>
      </c>
      <c r="J890">
        <v>13</v>
      </c>
      <c r="K890" t="s">
        <v>2386</v>
      </c>
      <c r="M890" t="str">
        <f>LEFT($D890,FIND(",",$D890)-1)&amp;"_"&amp;I890&amp;L890</f>
        <v>Torssonen_2016</v>
      </c>
      <c r="N890" t="s">
        <v>222</v>
      </c>
      <c r="O890" s="145" t="s">
        <v>1154</v>
      </c>
      <c r="Q890" s="264" t="s">
        <v>256</v>
      </c>
      <c r="R890" s="269" t="s">
        <v>341</v>
      </c>
      <c r="S890" s="1" t="s">
        <v>2397</v>
      </c>
      <c r="T890" t="s">
        <v>2388</v>
      </c>
      <c r="U890" t="s">
        <v>2398</v>
      </c>
      <c r="V890">
        <v>0</v>
      </c>
      <c r="W890">
        <v>0</v>
      </c>
      <c r="X890">
        <v>0</v>
      </c>
      <c r="Y890">
        <v>1</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s="141">
        <f>COUNTIF(V890:AW890,"&lt;&gt;0")</f>
        <v>1</v>
      </c>
      <c r="AY890" s="141">
        <f>COUNTIF(V890:AL890,"&lt;&gt;0")</f>
        <v>1</v>
      </c>
      <c r="AZ890">
        <f>COUNTIF(V890:AC890,"&lt;&gt;0")</f>
        <v>1</v>
      </c>
      <c r="BA890">
        <f>COUNTIF(AD890:AI890,"&lt;&gt;0")</f>
        <v>0</v>
      </c>
      <c r="BB890">
        <f>COUNTIF(AJ890:AL890,"&lt;&gt;0")</f>
        <v>0</v>
      </c>
      <c r="BC890">
        <f>COUNTIF(AS890:AW890,"&lt;&gt;0")</f>
        <v>0</v>
      </c>
      <c r="BD890">
        <f>COUNTIF(AM890:AR890,"&lt;&gt;0")</f>
        <v>0</v>
      </c>
      <c r="BE890" t="str" cm="1">
        <f t="array" ref="BE890">IF(AY890=1,INDEX($V$7:$AL$7,MATCH(TRUE,INDEX($V890:$AW890&lt;&gt;0,),0)),IF(AY890=0,INDEX($AM$7:$AW$7,MATCH(1,$AM890:$AW890,0)),IF(BF890="Multiple strategies","mixed drivers",IF(BF890="Supply chain","multiple supply","multiple silviculture"))))</f>
        <v xml:space="preserve">cutting intensity </v>
      </c>
      <c r="BF890" s="2" t="str" cm="1">
        <f t="array" ref="BF890">IF(COUNTIF(AZ890:BB890,"&lt;&gt;0")=1,INDEX($V$4:$AW$4,MATCH(TRUE,INDEX($V890:$AW890&lt;&gt;0,),0)),IF(COUNTIF(AZ890:BB890,"&lt;&gt;0")=0,INDEX($AM$4:$AW$4,MATCH(1,$AM890:$AW890,0)),"Multiple strategies"))</f>
        <v>Silviculture for removals</v>
      </c>
      <c r="BG890" s="1" t="s">
        <v>229</v>
      </c>
      <c r="BH890" t="s">
        <v>2390</v>
      </c>
      <c r="BI890" s="264" t="s">
        <v>2391</v>
      </c>
      <c r="BJ890" t="s">
        <v>2392</v>
      </c>
      <c r="BK890">
        <v>0</v>
      </c>
      <c r="BL890">
        <v>0.44</v>
      </c>
      <c r="BM890" s="143" t="e">
        <f>BL890/BK890</f>
        <v>#DIV/0!</v>
      </c>
      <c r="BN890">
        <f>BL890-BK890</f>
        <v>0.44</v>
      </c>
      <c r="BO890">
        <f>+BL890*t_to_m3</f>
        <v>0.89795918367346939</v>
      </c>
      <c r="BP890" s="306" t="s">
        <v>395</v>
      </c>
      <c r="BQ890" s="153" t="s">
        <v>3421</v>
      </c>
      <c r="BR890" s="264" t="s">
        <v>2393</v>
      </c>
      <c r="BS890">
        <v>-247.272727272727</v>
      </c>
      <c r="BT890">
        <v>-334.54545454545399</v>
      </c>
      <c r="BU890" s="144"/>
      <c r="BV890" s="144">
        <f>BT890-BS890</f>
        <v>-87.272727272726996</v>
      </c>
      <c r="BW890" s="144"/>
      <c r="BX890" s="144">
        <f>BV890*10^4/10^6</f>
        <v>-0.87272727272726991</v>
      </c>
      <c r="BY890">
        <f>IFERROR(BX890/BO890,"")</f>
        <v>-0.97190082644627784</v>
      </c>
      <c r="BZ890">
        <v>0</v>
      </c>
      <c r="CA890">
        <v>0</v>
      </c>
      <c r="CB890">
        <v>0</v>
      </c>
      <c r="CC890">
        <v>0</v>
      </c>
      <c r="CD890">
        <v>0</v>
      </c>
      <c r="CE890">
        <v>0</v>
      </c>
      <c r="CF890">
        <v>0</v>
      </c>
      <c r="CG890">
        <v>0</v>
      </c>
      <c r="CH890">
        <v>0</v>
      </c>
      <c r="CI890">
        <v>0</v>
      </c>
      <c r="CJ890">
        <v>0</v>
      </c>
      <c r="CK890">
        <v>0</v>
      </c>
      <c r="CL890">
        <v>0</v>
      </c>
      <c r="CM890">
        <v>1</v>
      </c>
      <c r="CN890" t="str">
        <f>IF($BL890&lt;$BK890,"refNeedCorrection","refOK")</f>
        <v>refOK</v>
      </c>
      <c r="CO890">
        <f>IF($CN890="refOK",$BK890,$BL890)</f>
        <v>0</v>
      </c>
      <c r="CP890">
        <f>IF($CN890="refOK",$BL890,$BK890)</f>
        <v>0.44</v>
      </c>
      <c r="CQ890">
        <f>IF($CN890="refOK",$BO890,-$BO890)</f>
        <v>0.89795918367346939</v>
      </c>
      <c r="CR890">
        <f>IF($CN890="refOK",$BS890,$BT890)*IF($BP890="Emissions positive",-1,1)</f>
        <v>247.272727272727</v>
      </c>
      <c r="CS890">
        <f>IF($CN890="refOK",$BT890,$BS890)*IF($BP890="Emissions positive",-1,1)</f>
        <v>334.54545454545399</v>
      </c>
      <c r="CT890">
        <f>IF($CN890="refNeedCorrection",-BX890,BX890)*IF($BP890="Emissions positive",-1,1)</f>
        <v>0.87272727272726991</v>
      </c>
      <c r="CU890">
        <f>IFERROR(CT890/CQ890,"")</f>
        <v>0.97190082644627784</v>
      </c>
      <c r="CV890" s="2">
        <f>IFERROR((CS890-CR890)/ABS(CR890),"")</f>
        <v>0.35294117647058754</v>
      </c>
      <c r="CW890" s="1" t="s">
        <v>1199</v>
      </c>
      <c r="CX890" s="264" t="str">
        <f>IF(OR($CW890="prd",$CW890="std",$CW890="cit"),"loc",IF(OR($CW890="eur",$CW890="reg",$CW890="coy"),"reg",$CW890))</f>
        <v>reg</v>
      </c>
      <c r="CY890" t="s">
        <v>235</v>
      </c>
      <c r="CZ890">
        <v>2020</v>
      </c>
      <c r="DA890">
        <v>2100</v>
      </c>
      <c r="DB890">
        <f>DA890-CZ890</f>
        <v>80</v>
      </c>
      <c r="DC890" t="str">
        <f>IF(DB890=0,"0",IF(AND(DB890&gt;=1,DB890&lt;=30),"1-30",IF(AND(DB890&gt;30,DB890&lt;=70),"31-70",IF(AND(DB890&gt;70,DB890&lt;=100),"71-100",IF(DB890&gt;100,"+100")))))</f>
        <v>71-100</v>
      </c>
      <c r="DD890">
        <v>0</v>
      </c>
      <c r="DE890">
        <v>1</v>
      </c>
      <c r="DF890">
        <v>0</v>
      </c>
      <c r="DG890">
        <v>0</v>
      </c>
      <c r="DI890">
        <f>SUM(DD890:DG890)</f>
        <v>1</v>
      </c>
      <c r="DJ890" t="str">
        <f>IF(DI890=1,INDEX($DD$7:$DG$7,MATCH(1,$DD890:$DG890,0)),"mixedProduct")</f>
        <v>EnergyInput</v>
      </c>
      <c r="DK890">
        <f>IF(DD890=1,DK$7,0)</f>
        <v>0</v>
      </c>
      <c r="DL890" t="str">
        <f>IF(DE890=1,DL$7,0)</f>
        <v>Energy</v>
      </c>
      <c r="DM890">
        <f>IF(DF890=1,DM$7,0)</f>
        <v>0</v>
      </c>
      <c r="DN890">
        <f>IF(DG890=1,DN$7,0)</f>
        <v>0</v>
      </c>
      <c r="DO890">
        <v>1</v>
      </c>
      <c r="DP890">
        <v>0</v>
      </c>
      <c r="DQ890">
        <v>0</v>
      </c>
      <c r="DR890">
        <v>0</v>
      </c>
      <c r="DS890">
        <v>0</v>
      </c>
      <c r="DT890">
        <f>SUM(DO890:DP890)</f>
        <v>1</v>
      </c>
      <c r="DU890" s="143" t="str">
        <f>IF(DO890=1,"self-calculated DF",IF(DP890=1,"external DF used","explicit C balance"))</f>
        <v>self-calculated DF</v>
      </c>
      <c r="DV890">
        <v>1</v>
      </c>
      <c r="DW890">
        <v>0</v>
      </c>
      <c r="DX890">
        <v>1</v>
      </c>
      <c r="DY890">
        <v>0</v>
      </c>
      <c r="DZ890">
        <v>0</v>
      </c>
      <c r="EA890" s="143">
        <v>0</v>
      </c>
      <c r="EB890">
        <v>0</v>
      </c>
      <c r="EC890">
        <v>0</v>
      </c>
      <c r="ED890">
        <v>0</v>
      </c>
      <c r="EE890">
        <v>0</v>
      </c>
      <c r="EF890">
        <v>1</v>
      </c>
      <c r="EG890">
        <v>0</v>
      </c>
      <c r="EH890">
        <v>0</v>
      </c>
      <c r="EI890" s="2">
        <v>0</v>
      </c>
      <c r="EK890" t="str">
        <f>IF(AND(AND(AND(OR($DX890=1,$DW890=1),OR($EC890=1,$EA890=1)),SUM($DV890:$DZ890,$EF890)&gt;=4),SUM($EA890:$EE890)&gt;=2),"Whole sector","")</f>
        <v/>
      </c>
      <c r="EL890" t="str">
        <f>IF(AND(AND(OR($DX890=1,$DW890=1),AND($EC890=0,$EA890=0)),SUM($DV890:$DZ890,$EF890)&gt;=4),"Ecosystem approach","")</f>
        <v/>
      </c>
      <c r="EM890" s="2" t="str">
        <f>IF(AND(AND(AND($DX890=0,$DW890=0),OR($EC890=1,$EA890=1)),SUM($EB890:$EE890)&gt;=2),"Technology approach","")</f>
        <v/>
      </c>
      <c r="EP890" t="str">
        <f>IF(ISNUMBER(BU890),IF(ABS(BU890-[3]QC_indicators!$B$2)&gt;3*[3]QC_indicators!$C$2,"C ratio",IF(ISNUMBER(BY890),IF(ABS(BY890-[3]QC_indicators!$B$1)&gt;3*[3]QC_indicators!$C$1,"DF","no"))),IF(ISNUMBER(BY890),IF(ABS(BY890-[3]QC_indicators!$B$1)&gt;3*[3]QC_indicators!$C$1,"DF","no")))</f>
        <v>no</v>
      </c>
      <c r="ER890" s="264" t="s">
        <v>2394</v>
      </c>
      <c r="ET890" s="306" t="s">
        <v>3422</v>
      </c>
    </row>
    <row r="891" spans="1:150" ht="15" customHeight="1">
      <c r="A891" s="1" t="s">
        <v>599</v>
      </c>
      <c r="B891" t="s">
        <v>788</v>
      </c>
      <c r="C891" t="s">
        <v>789</v>
      </c>
      <c r="D891" t="s">
        <v>790</v>
      </c>
      <c r="E891" t="s">
        <v>791</v>
      </c>
      <c r="F891" t="s">
        <v>792</v>
      </c>
      <c r="G891" t="s">
        <v>605</v>
      </c>
      <c r="H891" t="s">
        <v>254</v>
      </c>
      <c r="I891">
        <v>2022</v>
      </c>
      <c r="J891">
        <v>2</v>
      </c>
      <c r="K891" t="s">
        <v>793</v>
      </c>
      <c r="M891" t="str">
        <f>LEFT($D891,FIND(",",$D891)-1)&amp;"_"&amp;I891&amp;L891</f>
        <v>Hegeir_2022</v>
      </c>
      <c r="N891" t="s">
        <v>222</v>
      </c>
      <c r="O891" s="161" t="s">
        <v>223</v>
      </c>
      <c r="Q891" t="s">
        <v>389</v>
      </c>
      <c r="R891" s="2" t="s">
        <v>274</v>
      </c>
      <c r="S891" s="154" t="s">
        <v>794</v>
      </c>
      <c r="T891" s="149" t="s">
        <v>795</v>
      </c>
      <c r="U891" t="s">
        <v>624</v>
      </c>
      <c r="V891">
        <v>0</v>
      </c>
      <c r="W891">
        <v>0</v>
      </c>
      <c r="X891">
        <v>0</v>
      </c>
      <c r="Y891">
        <v>0</v>
      </c>
      <c r="Z891">
        <v>0</v>
      </c>
      <c r="AA891">
        <v>0</v>
      </c>
      <c r="AB891">
        <v>0</v>
      </c>
      <c r="AC891">
        <v>0</v>
      </c>
      <c r="AD891">
        <v>0</v>
      </c>
      <c r="AE891">
        <v>0</v>
      </c>
      <c r="AF891">
        <v>0</v>
      </c>
      <c r="AG891">
        <v>0</v>
      </c>
      <c r="AH891">
        <v>0</v>
      </c>
      <c r="AI891">
        <v>0</v>
      </c>
      <c r="AJ891">
        <v>0</v>
      </c>
      <c r="AK891">
        <v>1</v>
      </c>
      <c r="AL891">
        <v>0</v>
      </c>
      <c r="AM891">
        <v>0</v>
      </c>
      <c r="AN891">
        <v>0</v>
      </c>
      <c r="AO891">
        <v>0</v>
      </c>
      <c r="AP891">
        <v>0</v>
      </c>
      <c r="AQ891">
        <v>0</v>
      </c>
      <c r="AR891">
        <v>0</v>
      </c>
      <c r="AS891">
        <v>0</v>
      </c>
      <c r="AT891">
        <v>0</v>
      </c>
      <c r="AU891">
        <v>0</v>
      </c>
      <c r="AV891">
        <v>0</v>
      </c>
      <c r="AW891">
        <v>0</v>
      </c>
      <c r="AX891" s="141">
        <f>COUNTIF(V891:AW891,"&lt;&gt;0")</f>
        <v>1</v>
      </c>
      <c r="AY891" s="141">
        <f>COUNTIF(V891:AL891,"&lt;&gt;0")</f>
        <v>1</v>
      </c>
      <c r="AZ891">
        <f>COUNTIF(V891:AC891,"&lt;&gt;0")</f>
        <v>0</v>
      </c>
      <c r="BA891">
        <f>COUNTIF(AD891:AI891,"&lt;&gt;0")</f>
        <v>0</v>
      </c>
      <c r="BB891">
        <f>COUNTIF(AJ891:AL891,"&lt;&gt;0")</f>
        <v>1</v>
      </c>
      <c r="BC891">
        <f>COUNTIF(AS891:AW891,"&lt;&gt;0")</f>
        <v>0</v>
      </c>
      <c r="BD891">
        <f>COUNTIF(AM891:AR891,"&lt;&gt;0")</f>
        <v>0</v>
      </c>
      <c r="BE891" t="str">
        <f t="array" ref="BE891">IF(AY891=1,INDEX($V$7:$AL$7,MATCH(TRUE,INDEX($V891:$AW891&lt;&gt;0,),0)),IF(AY891=0,INDEX($AM$7:$AW$7,MATCH(1,$AM891:$AW891,0)),IF(BF891="Multiple strategies","mixed drivers",IF(BF891="Supply chain","multiple supply","multiple silviculture"))))</f>
        <v>technologies/design switch</v>
      </c>
      <c r="BF891" s="2" t="str" cm="1">
        <f t="array" ref="BF891">IF(COUNTIF(AZ891:BB891,"&lt;&gt;0")=1,INDEX($V$4:$AW$4,MATCH(TRUE,INDEX($V891:$AW891&lt;&gt;0,),0)),IF(COUNTIF(AZ891:BB891,"&lt;&gt;0")=0,INDEX($AM$4:$AW$4,MATCH(1,$AM891:$AW891,0)),"Multiple strategies"))</f>
        <v>Technology</v>
      </c>
      <c r="BG891" s="1" t="s">
        <v>229</v>
      </c>
      <c r="BH891" t="s">
        <v>796</v>
      </c>
      <c r="BJ891" t="s">
        <v>797</v>
      </c>
      <c r="BK891">
        <v>0</v>
      </c>
      <c r="BL891">
        <f>94.91/(25*42)</f>
        <v>9.0390476190476188E-2</v>
      </c>
      <c r="BN891">
        <f>BL891-BK891</f>
        <v>9.0390476190476188E-2</v>
      </c>
      <c r="BO891">
        <f>BL891-BK891</f>
        <v>9.0390476190476188E-2</v>
      </c>
      <c r="BP891" t="s">
        <v>395</v>
      </c>
      <c r="BR891" t="s">
        <v>262</v>
      </c>
      <c r="BS891">
        <v>47.96</v>
      </c>
      <c r="BT891">
        <v>-39.9</v>
      </c>
      <c r="BV891">
        <f>BT891-BS891</f>
        <v>-87.86</v>
      </c>
      <c r="BX891">
        <f>BV891/1000</f>
        <v>-8.7859999999999994E-2</v>
      </c>
      <c r="BY891">
        <f>IFERROR(BX891/BO891,"")</f>
        <v>-0.97200505742282162</v>
      </c>
      <c r="BZ891">
        <v>0</v>
      </c>
      <c r="CA891">
        <v>0</v>
      </c>
      <c r="CB891">
        <v>0</v>
      </c>
      <c r="CC891">
        <v>0</v>
      </c>
      <c r="CD891">
        <v>0</v>
      </c>
      <c r="CE891">
        <v>0</v>
      </c>
      <c r="CF891">
        <v>0</v>
      </c>
      <c r="CG891">
        <v>0</v>
      </c>
      <c r="CH891">
        <v>0</v>
      </c>
      <c r="CI891">
        <v>0</v>
      </c>
      <c r="CJ891">
        <v>0</v>
      </c>
      <c r="CK891">
        <v>0</v>
      </c>
      <c r="CL891">
        <v>0</v>
      </c>
      <c r="CM891">
        <v>0</v>
      </c>
      <c r="CN891" t="str">
        <f>IF($BL891&lt;$BK891,"refNeedCorrection","refOK")</f>
        <v>refOK</v>
      </c>
      <c r="CO891">
        <f>IF($CN891="refOK",$BK891,$BL891)</f>
        <v>0</v>
      </c>
      <c r="CP891">
        <f>IF($CN891="refOK",$BL891,$BK891)</f>
        <v>9.0390476190476188E-2</v>
      </c>
      <c r="CQ891">
        <f>IF($CN891="refOK",$BO891,-$BO891)</f>
        <v>9.0390476190476188E-2</v>
      </c>
      <c r="CR891">
        <f>IF($CN891="refOK",$BS891,$BT891)*IF($BP891="Emissions positive",-1,1)</f>
        <v>-47.96</v>
      </c>
      <c r="CS891">
        <f>IF($CN891="refOK",$BT891,$BS891)*IF($BP891="Emissions positive",-1,1)</f>
        <v>39.9</v>
      </c>
      <c r="CT891">
        <f>IF($CN891="refNeedCorrection",-BX891,BX891)*IF($BP891="Emissions positive",-1,1)</f>
        <v>8.7859999999999994E-2</v>
      </c>
      <c r="CU891">
        <f>IFERROR(CT891/CQ891,"")</f>
        <v>0.97200505742282162</v>
      </c>
      <c r="CV891" s="2">
        <f>IFERROR((CS891-CR891)/ABS(CR891),"")</f>
        <v>1.8319432860717264</v>
      </c>
      <c r="CW891" s="162" t="s">
        <v>263</v>
      </c>
      <c r="CX891" t="str">
        <f>IF(OR($CW891="prd",$CW891="std",$CW891="cit"),"loc",IF(OR($CW891="eur",$CW891="reg",$CW891="coy"),"reg",$CW891))</f>
        <v>loc</v>
      </c>
      <c r="CY891" t="s">
        <v>264</v>
      </c>
      <c r="DB891">
        <v>0</v>
      </c>
      <c r="DC891" t="str">
        <f>IF(DB891=0,"0",IF(AND(DB891&gt;=1,DB891&lt;=30),"1-30",IF(AND(DB891&gt;30,DB891&lt;=70),"31-70",IF(AND(DB891&gt;70,DB891&lt;=100),"71-100",IF(DB891&gt;100,"+100")))))</f>
        <v>0</v>
      </c>
      <c r="DD891">
        <v>0</v>
      </c>
      <c r="DE891">
        <v>0</v>
      </c>
      <c r="DF891">
        <v>0</v>
      </c>
      <c r="DG891">
        <v>1</v>
      </c>
      <c r="DH891">
        <v>0</v>
      </c>
      <c r="DI891">
        <f>SUM(DD891:DG891)</f>
        <v>1</v>
      </c>
      <c r="DJ891" t="str">
        <f>IF(DI891=1,INDEX($DD$7:$DG$7,MATCH(1,$DD891:$DG891,0)),"mixedProduct")</f>
        <v>TimberInput</v>
      </c>
      <c r="DK891">
        <f>IF(DD891=1,DK$7,0)</f>
        <v>0</v>
      </c>
      <c r="DL891">
        <f>IF(DE891=1,DL$7,0)</f>
        <v>0</v>
      </c>
      <c r="DM891">
        <f>IF(DF891=1,DM$7,0)</f>
        <v>0</v>
      </c>
      <c r="DN891" t="str">
        <f>IF(DG891=1,DN$7,0)</f>
        <v>Timber</v>
      </c>
      <c r="DO891">
        <v>0</v>
      </c>
      <c r="DP891">
        <v>0</v>
      </c>
      <c r="DQ891">
        <v>0</v>
      </c>
      <c r="DR891">
        <v>0</v>
      </c>
      <c r="DS891">
        <v>0</v>
      </c>
      <c r="DT891">
        <f>SUM(DO891:DP891)</f>
        <v>0</v>
      </c>
      <c r="DU891" s="143" t="str">
        <f>IF(DO891=1,"self-calculated DF",IF(DP891=1,"external DF used","explicit C balance"))</f>
        <v>explicit C balance</v>
      </c>
      <c r="DV891">
        <v>0</v>
      </c>
      <c r="DW891">
        <v>0</v>
      </c>
      <c r="DX891">
        <v>0</v>
      </c>
      <c r="DY891">
        <v>1</v>
      </c>
      <c r="DZ891">
        <v>0</v>
      </c>
      <c r="EA891">
        <v>0</v>
      </c>
      <c r="EB891">
        <v>1</v>
      </c>
      <c r="EC891">
        <v>1</v>
      </c>
      <c r="ED891">
        <v>0</v>
      </c>
      <c r="EE891">
        <v>0</v>
      </c>
      <c r="EF891">
        <v>0</v>
      </c>
      <c r="EG891">
        <v>0</v>
      </c>
      <c r="EH891">
        <v>0</v>
      </c>
      <c r="EI891" s="2">
        <v>0</v>
      </c>
      <c r="EK891" t="str">
        <f>IF(AND(AND(AND(OR($DX891=1,$DW891=1),OR($EC891=1,$EA891=1)),SUM($DV891:$DZ891,$EF891)&gt;=4),SUM($EA891:$EE891)&gt;=2),"Whole sector","")</f>
        <v/>
      </c>
      <c r="EL891" t="str">
        <f>IF(AND(AND(OR($DX891=1,$DW891=1),AND($EC891=0,$EA891=0)),SUM($DV891:$DZ891,$EF891)&gt;=4),"Ecosystem approach","")</f>
        <v/>
      </c>
      <c r="EM891" s="2" t="str">
        <f>IF(AND(AND(AND($DX891=0,$DW891=0),OR($EC891=1,$EA891=1)),SUM($EB891:$EE891)&gt;=2),"Technology approach","")</f>
        <v>Technology approach</v>
      </c>
      <c r="EP891" t="str">
        <f>IF(ISNUMBER(BU891),IF(ABS(BU891-[2]QC_indicators!$B$2)&gt;3*[2]QC_indicators!$C$2,"C ratio",IF(ISNUMBER(BY891),IF(ABS(BY891-[2]QC_indicators!$B$1)&gt;3*[2]QC_indicators!$C$1,"DF","no"))),IF(ISNUMBER(BY891),IF(ABS(BY891-[2]QC_indicators!$B$1)&gt;3*[2]QC_indicators!$C$1,"DF","no")))</f>
        <v>no</v>
      </c>
      <c r="ET891" s="264" t="s">
        <v>3151</v>
      </c>
    </row>
    <row r="892" spans="1:150" ht="15" customHeight="1">
      <c r="A892" s="1" t="s">
        <v>545</v>
      </c>
      <c r="B892" t="s">
        <v>546</v>
      </c>
      <c r="C892" t="s">
        <v>547</v>
      </c>
      <c r="D892" t="s">
        <v>548</v>
      </c>
      <c r="E892" t="s">
        <v>549</v>
      </c>
      <c r="F892" t="s">
        <v>550</v>
      </c>
      <c r="G892" t="s">
        <v>551</v>
      </c>
      <c r="H892" t="s">
        <v>254</v>
      </c>
      <c r="I892">
        <v>2017</v>
      </c>
      <c r="J892">
        <v>3</v>
      </c>
      <c r="K892" t="s">
        <v>552</v>
      </c>
      <c r="M892" t="str">
        <f>LEFT($D892,FIND(",",$D892)-1)&amp;"_"&amp;I892&amp;L892</f>
        <v>Crafford_2017</v>
      </c>
      <c r="N892" t="s">
        <v>222</v>
      </c>
      <c r="O892" s="145" t="s">
        <v>223</v>
      </c>
      <c r="Q892" t="s">
        <v>256</v>
      </c>
      <c r="R892" s="255" t="s">
        <v>225</v>
      </c>
      <c r="S892" s="1" t="s">
        <v>561</v>
      </c>
      <c r="T892" t="s">
        <v>560</v>
      </c>
      <c r="U892" t="s">
        <v>555</v>
      </c>
      <c r="V892">
        <v>0</v>
      </c>
      <c r="W892">
        <v>0</v>
      </c>
      <c r="X892">
        <v>0</v>
      </c>
      <c r="Y892">
        <v>0</v>
      </c>
      <c r="Z892">
        <v>0</v>
      </c>
      <c r="AA892">
        <v>0</v>
      </c>
      <c r="AB892">
        <v>0</v>
      </c>
      <c r="AC892">
        <v>0</v>
      </c>
      <c r="AD892">
        <v>0</v>
      </c>
      <c r="AE892">
        <v>0</v>
      </c>
      <c r="AF892">
        <v>0</v>
      </c>
      <c r="AG892">
        <v>0</v>
      </c>
      <c r="AH892">
        <v>0</v>
      </c>
      <c r="AI892">
        <v>0</v>
      </c>
      <c r="AJ892">
        <v>0</v>
      </c>
      <c r="AK892">
        <v>1</v>
      </c>
      <c r="AL892">
        <v>0</v>
      </c>
      <c r="AM892">
        <v>0</v>
      </c>
      <c r="AN892">
        <v>0</v>
      </c>
      <c r="AO892">
        <v>0</v>
      </c>
      <c r="AP892">
        <v>0</v>
      </c>
      <c r="AQ892">
        <v>0</v>
      </c>
      <c r="AR892">
        <v>0</v>
      </c>
      <c r="AS892">
        <v>0</v>
      </c>
      <c r="AT892">
        <v>0</v>
      </c>
      <c r="AU892">
        <v>0</v>
      </c>
      <c r="AV892">
        <v>0</v>
      </c>
      <c r="AW892">
        <v>0</v>
      </c>
      <c r="AX892" s="141">
        <f>COUNTIF(V892:AW892,"&lt;&gt;0")</f>
        <v>1</v>
      </c>
      <c r="AY892" s="141">
        <f>COUNTIF(V892:AL892,"&lt;&gt;0")</f>
        <v>1</v>
      </c>
      <c r="AZ892">
        <f>COUNTIF(V892:AC892,"&lt;&gt;0")</f>
        <v>0</v>
      </c>
      <c r="BA892">
        <f>COUNTIF(AD892:AI892,"&lt;&gt;0")</f>
        <v>0</v>
      </c>
      <c r="BB892">
        <f>COUNTIF(AJ892:AL892,"&lt;&gt;0")</f>
        <v>1</v>
      </c>
      <c r="BC892">
        <f>COUNTIF(AS892:AW892,"&lt;&gt;0")</f>
        <v>0</v>
      </c>
      <c r="BD892">
        <f>COUNTIF(AM892:AR892,"&lt;&gt;0")</f>
        <v>0</v>
      </c>
      <c r="BE892" t="str">
        <f t="array" ref="BE892">IF(AY892=1,INDEX($V$7:$AL$7,MATCH(TRUE,INDEX($V892:$AW892&lt;&gt;0,),0)),IF(AY892=0,INDEX($AM$7:$AW$7,MATCH(1,$AM892:$AW892,0)),IF(BF892="Multiple strategies","mixed drivers",IF(BF892="Supply chain","multiple supply","multiple silviculture"))))</f>
        <v>technologies/design switch</v>
      </c>
      <c r="BF892" s="2" t="str" cm="1">
        <f t="array" ref="BF892">IF(COUNTIF(AZ892:BB892,"&lt;&gt;0")=1,INDEX($V$4:$AW$4,MATCH(TRUE,INDEX($V892:$AW892&lt;&gt;0,),0)),IF(COUNTIF(AZ892:BB892,"&lt;&gt;0")=0,INDEX($AM$4:$AW$4,MATCH(1,$AM892:$AW892,0)),"Multiple strategies"))</f>
        <v>Technology</v>
      </c>
      <c r="BG892" s="1" t="s">
        <v>229</v>
      </c>
      <c r="BH892" t="s">
        <v>556</v>
      </c>
      <c r="BI892" t="s">
        <v>424</v>
      </c>
      <c r="BJ892" t="s">
        <v>498</v>
      </c>
      <c r="BK892">
        <v>0</v>
      </c>
      <c r="BL892">
        <v>6.05</v>
      </c>
      <c r="BN892">
        <f>BL892-BK892</f>
        <v>6.05</v>
      </c>
      <c r="BO892">
        <f>BN892</f>
        <v>6.05</v>
      </c>
      <c r="BP892" t="s">
        <v>232</v>
      </c>
      <c r="BQ892" s="260" t="s">
        <v>3295</v>
      </c>
      <c r="BR892" t="s">
        <v>397</v>
      </c>
      <c r="BS892">
        <v>-6769</v>
      </c>
      <c r="BT892">
        <v>-873</v>
      </c>
      <c r="BU892" s="144">
        <v>0.12897030580587976</v>
      </c>
      <c r="BV892">
        <v>5896</v>
      </c>
      <c r="BX892">
        <f>BV892/1000</f>
        <v>5.8959999999999999</v>
      </c>
      <c r="BY892">
        <f>IFERROR(BX892/BO892,"")</f>
        <v>0.9745454545454546</v>
      </c>
      <c r="BZ892">
        <v>1</v>
      </c>
      <c r="CA892">
        <v>0</v>
      </c>
      <c r="CB892">
        <v>0</v>
      </c>
      <c r="CC892">
        <v>0</v>
      </c>
      <c r="CD892">
        <v>0</v>
      </c>
      <c r="CE892">
        <v>0</v>
      </c>
      <c r="CF892">
        <v>0</v>
      </c>
      <c r="CG892">
        <v>0</v>
      </c>
      <c r="CH892">
        <v>0</v>
      </c>
      <c r="CI892">
        <v>0</v>
      </c>
      <c r="CJ892">
        <v>0</v>
      </c>
      <c r="CK892">
        <v>0</v>
      </c>
      <c r="CL892">
        <v>0</v>
      </c>
      <c r="CM892">
        <v>0</v>
      </c>
      <c r="CN892" t="str">
        <f>IF($BL892&lt;$BK892,"refNeedCorrection","refOK")</f>
        <v>refOK</v>
      </c>
      <c r="CO892">
        <f>IF($CN892="refOK",$BK892,$BL892)</f>
        <v>0</v>
      </c>
      <c r="CP892">
        <f>IF($CN892="refOK",$BL892,$BK892)</f>
        <v>6.05</v>
      </c>
      <c r="CQ892">
        <f>IF($CN892="refOK",$BO892,-$BO892)</f>
        <v>6.05</v>
      </c>
      <c r="CR892">
        <f>IF($CN892="refOK",$BS892,$BT892)*IF($BP892="Emissions positive",-1,1)</f>
        <v>-6769</v>
      </c>
      <c r="CS892">
        <f>IF($CN892="refOK",$BT892,$BS892)*IF($BP892="Emissions positive",-1,1)</f>
        <v>-873</v>
      </c>
      <c r="CT892">
        <f>IF($CN892="refNeedCorrection",-BX892,BX892)*IF($BP892="Emissions positive",-1,1)</f>
        <v>5.8959999999999999</v>
      </c>
      <c r="CU892">
        <f>IFERROR(CT892/CQ892,"")</f>
        <v>0.9745454545454546</v>
      </c>
      <c r="CV892" s="2">
        <f>IFERROR((CS892-CR892)/ABS(CR892),"")</f>
        <v>0.87102969419412024</v>
      </c>
      <c r="CW892" s="1" t="s">
        <v>263</v>
      </c>
      <c r="CX892" t="str">
        <f>IF(OR($CW892="prd",$CW892="std",$CW892="cit"),"loc",IF(OR($CW892="eur",$CW892="reg",$CW892="coy"),"reg",$CW892))</f>
        <v>loc</v>
      </c>
      <c r="CY892" t="s">
        <v>557</v>
      </c>
      <c r="DB892">
        <v>0</v>
      </c>
      <c r="DC892" t="str">
        <f>IF(DB892=0,"0",IF(AND(DB892&gt;=1,DB892&lt;=30),"1-30",IF(AND(DB892&gt;30,DB892&lt;=70),"31-70",IF(AND(DB892&gt;70,DB892&lt;=100),"71-100",IF(DB892&gt;100,"+100")))))</f>
        <v>0</v>
      </c>
      <c r="DD892">
        <v>0</v>
      </c>
      <c r="DE892">
        <v>0</v>
      </c>
      <c r="DF892">
        <v>0</v>
      </c>
      <c r="DG892">
        <v>1</v>
      </c>
      <c r="DI892">
        <f>SUM(DD892:DG892)</f>
        <v>1</v>
      </c>
      <c r="DJ892" t="str">
        <f>IF(DI892=1,INDEX($DD$7:$DG$7,MATCH(1,$DD892:$DG892,0)),"mixedProduct")</f>
        <v>TimberInput</v>
      </c>
      <c r="DK892">
        <f>IF(DD892=1,DK$7,0)</f>
        <v>0</v>
      </c>
      <c r="DL892">
        <f>IF(DE892=1,DL$7,0)</f>
        <v>0</v>
      </c>
      <c r="DM892">
        <f>IF(DF892=1,DM$7,0)</f>
        <v>0</v>
      </c>
      <c r="DN892" t="str">
        <f>IF(DG892=1,DN$7,0)</f>
        <v>Timber</v>
      </c>
      <c r="DO892">
        <v>0</v>
      </c>
      <c r="DP892">
        <v>0</v>
      </c>
      <c r="DQ892">
        <v>0</v>
      </c>
      <c r="DR892">
        <v>0</v>
      </c>
      <c r="DS892">
        <v>0</v>
      </c>
      <c r="DT892">
        <f>SUM(DO892:DP892)</f>
        <v>0</v>
      </c>
      <c r="DU892" s="143" t="str">
        <f>IF(DO892=1,"self-calculated DF",IF(DP892=1,"external DF used","explicit C balance"))</f>
        <v>explicit C balance</v>
      </c>
      <c r="DV892">
        <v>0</v>
      </c>
      <c r="DW892">
        <v>0</v>
      </c>
      <c r="DX892">
        <v>0</v>
      </c>
      <c r="DY892">
        <v>1</v>
      </c>
      <c r="DZ892">
        <v>1</v>
      </c>
      <c r="EA892" s="143">
        <v>0</v>
      </c>
      <c r="EB892">
        <v>0</v>
      </c>
      <c r="EC892">
        <v>1</v>
      </c>
      <c r="ED892">
        <v>0</v>
      </c>
      <c r="EE892">
        <v>1</v>
      </c>
      <c r="EF892">
        <v>0</v>
      </c>
      <c r="EG892">
        <v>0</v>
      </c>
      <c r="EH892">
        <v>0</v>
      </c>
      <c r="EI892" s="2">
        <v>0</v>
      </c>
      <c r="EK892" t="str">
        <f>IF(AND(AND(AND(OR($DX892=1,$DW892=1),OR($EC892=1,$EA892=1)),SUM($DV892:$DZ892,$EF892)&gt;=4),SUM($EA892:$EE892)&gt;=2),"Whole sector","")</f>
        <v/>
      </c>
      <c r="EL892" t="str">
        <f>IF(AND(AND(OR($DX892=1,$DW892=1),AND($EC892=0,$EA892=0)),SUM($DV892:$DZ892,$EF892)&gt;=4),"Ecosystem approach","")</f>
        <v/>
      </c>
      <c r="EM892" s="2" t="str">
        <f>IF(AND(AND(AND($DX892=0,$DW892=0),OR($EC892=1,$EA892=1)),SUM($EB892:$EE892)&gt;=2),"Technology approach","")</f>
        <v>Technology approach</v>
      </c>
      <c r="EP892" t="str">
        <f>IF(ISNUMBER(BU892),IF(ABS(BU892-[4]QC_indicators!$B$2)&gt;3*[4]QC_indicators!$C$2,"C ratio",IF(ISNUMBER(BY892),IF(ABS(BY892-[4]QC_indicators!$B$1)&gt;3*[4]QC_indicators!$C$1,"DF","no"))),IF(ISNUMBER(BY892),IF(ABS(BY892-[4]QC_indicators!$B$1)&gt;3*[4]QC_indicators!$C$1,"DF","no")))</f>
        <v>no</v>
      </c>
      <c r="ER892" s="149" t="s">
        <v>349</v>
      </c>
      <c r="ET892" s="264" t="s">
        <v>3273</v>
      </c>
    </row>
    <row r="893" spans="1:150" ht="15" customHeight="1">
      <c r="D893" t="s">
        <v>733</v>
      </c>
      <c r="E893" t="s">
        <v>734</v>
      </c>
      <c r="G893" t="s">
        <v>735</v>
      </c>
      <c r="I893">
        <v>2005</v>
      </c>
      <c r="K893" s="156" t="s">
        <v>736</v>
      </c>
      <c r="M893" t="str">
        <f>LEFT($D893,FIND(",",$D893)-1)&amp;"_"&amp;I893&amp;L893</f>
        <v>Gustavsson_2005</v>
      </c>
      <c r="N893" t="s">
        <v>222</v>
      </c>
      <c r="O893" t="s">
        <v>223</v>
      </c>
      <c r="Q893" t="s">
        <v>256</v>
      </c>
      <c r="R893" s="255" t="s">
        <v>225</v>
      </c>
      <c r="S893" s="1" t="s">
        <v>745</v>
      </c>
      <c r="T893" t="s">
        <v>738</v>
      </c>
      <c r="U893" s="264" t="s">
        <v>739</v>
      </c>
      <c r="V893">
        <v>0</v>
      </c>
      <c r="W893">
        <v>0</v>
      </c>
      <c r="X893">
        <v>0</v>
      </c>
      <c r="Y893">
        <v>0</v>
      </c>
      <c r="Z893">
        <v>0</v>
      </c>
      <c r="AA893">
        <v>0</v>
      </c>
      <c r="AB893">
        <v>0</v>
      </c>
      <c r="AC893">
        <v>0</v>
      </c>
      <c r="AD893">
        <v>0</v>
      </c>
      <c r="AE893">
        <v>0</v>
      </c>
      <c r="AF893">
        <v>0</v>
      </c>
      <c r="AG893">
        <v>0</v>
      </c>
      <c r="AH893">
        <v>1</v>
      </c>
      <c r="AI893">
        <v>0</v>
      </c>
      <c r="AJ893">
        <v>0</v>
      </c>
      <c r="AK893">
        <v>0</v>
      </c>
      <c r="AL893">
        <v>0</v>
      </c>
      <c r="AM893">
        <v>0</v>
      </c>
      <c r="AN893">
        <v>0</v>
      </c>
      <c r="AO893">
        <v>0</v>
      </c>
      <c r="AP893">
        <v>0</v>
      </c>
      <c r="AQ893">
        <v>0</v>
      </c>
      <c r="AR893">
        <v>0</v>
      </c>
      <c r="AS893">
        <v>0</v>
      </c>
      <c r="AT893">
        <v>0</v>
      </c>
      <c r="AU893">
        <v>0</v>
      </c>
      <c r="AV893">
        <v>0</v>
      </c>
      <c r="AW893">
        <v>0</v>
      </c>
      <c r="AX893" s="141">
        <f>COUNTIF(V893:AW893,"&lt;&gt;0")</f>
        <v>1</v>
      </c>
      <c r="AY893" s="141">
        <f>COUNTIF(V893:AL893,"&lt;&gt;0")</f>
        <v>1</v>
      </c>
      <c r="AZ893">
        <f>COUNTIF(V893:AC893,"&lt;&gt;0")</f>
        <v>0</v>
      </c>
      <c r="BA893">
        <f>COUNTIF(AD893:AI893,"&lt;&gt;0")</f>
        <v>1</v>
      </c>
      <c r="BB893">
        <f>COUNTIF(AJ893:AL893,"&lt;&gt;0")</f>
        <v>0</v>
      </c>
      <c r="BC893">
        <f>COUNTIF(AS893:AW893,"&lt;&gt;0")</f>
        <v>0</v>
      </c>
      <c r="BD893">
        <f>COUNTIF(AM893:AR893,"&lt;&gt;0")</f>
        <v>0</v>
      </c>
      <c r="BE893" t="str">
        <f t="array" ref="BE893">IF(AY893=1,INDEX($V$7:$AL$7,MATCH(TRUE,INDEX($V893:$AW893&lt;&gt;0,),0)),IF(AY893=0,INDEX($AM$7:$AW$7,MATCH(1,$AM893:$AW893,0)),IF(BF893="Multiple strategies","mixed drivers",IF(BF893="Supply chain","multiple supply","multiple silviculture"))))</f>
        <v xml:space="preserve">end of life disposal </v>
      </c>
      <c r="BF893" s="2" t="str" cm="1">
        <f t="array" ref="BF893">IF(COUNTIF(AZ893:BB893,"&lt;&gt;0")=1,INDEX($V$4:$AW$4,MATCH(TRUE,INDEX($V893:$AW893&lt;&gt;0,),0)),IF(COUNTIF(AZ893:BB893,"&lt;&gt;0")=0,INDEX($AM$4:$AW$4,MATCH(1,$AM893:$AW893,0)),"Multiple strategies"))</f>
        <v>Supply chain</v>
      </c>
      <c r="BG893" s="263" t="s">
        <v>321</v>
      </c>
      <c r="BH893" s="264" t="s">
        <v>740</v>
      </c>
      <c r="BI893" s="260" t="s">
        <v>3335</v>
      </c>
      <c r="BJ893" s="264" t="s">
        <v>741</v>
      </c>
      <c r="BK893" s="264">
        <f>BL893-8.9</f>
        <v>198.6</v>
      </c>
      <c r="BL893" s="264">
        <v>207.5</v>
      </c>
      <c r="BM893" s="264">
        <f>BL893/BK893</f>
        <v>1.0448136958710976</v>
      </c>
      <c r="BN893" s="264">
        <f>BL893-BK893</f>
        <v>8.9000000000000057</v>
      </c>
      <c r="BO893" s="264">
        <f>BN893*t_to_m3</f>
        <v>18.163265306122462</v>
      </c>
      <c r="BP893" t="s">
        <v>232</v>
      </c>
      <c r="BQ893" s="304" t="s">
        <v>3333</v>
      </c>
      <c r="BR893" t="s">
        <v>442</v>
      </c>
      <c r="BS893" s="264">
        <v>39.299999999999997</v>
      </c>
      <c r="BT893" s="151">
        <v>44.2</v>
      </c>
      <c r="BV893">
        <v>4.9000000000000057</v>
      </c>
      <c r="BX893">
        <f>BV893*C_to_CO2</f>
        <v>17.983000000000022</v>
      </c>
      <c r="BY893">
        <f>IFERROR(BX893/BO893,"")</f>
        <v>0.99007528089887697</v>
      </c>
      <c r="BZ893" s="143">
        <v>0</v>
      </c>
      <c r="CA893" s="143">
        <v>0</v>
      </c>
      <c r="CB893" s="143">
        <v>0</v>
      </c>
      <c r="CC893" s="143">
        <v>0</v>
      </c>
      <c r="CD893" s="143">
        <v>0</v>
      </c>
      <c r="CE893" s="143">
        <v>0</v>
      </c>
      <c r="CF893" s="143">
        <v>0</v>
      </c>
      <c r="CG893" s="143">
        <v>0</v>
      </c>
      <c r="CH893" s="143">
        <v>0</v>
      </c>
      <c r="CI893" s="143">
        <v>0</v>
      </c>
      <c r="CJ893" s="143">
        <v>0</v>
      </c>
      <c r="CK893" s="143">
        <v>0</v>
      </c>
      <c r="CL893" s="143">
        <v>0</v>
      </c>
      <c r="CM893">
        <v>0</v>
      </c>
      <c r="CN893" t="str">
        <f>IF($BL893&lt;$BK893,"refNeedCorrection","refOK")</f>
        <v>refOK</v>
      </c>
      <c r="CO893">
        <f>IF($CN893="refOK",$BK893,$BL893)</f>
        <v>198.6</v>
      </c>
      <c r="CP893">
        <f>IF($CN893="refOK",$BL893,$BK893)</f>
        <v>207.5</v>
      </c>
      <c r="CQ893">
        <f>IF($CN893="refOK",$BO893,-$BO893)</f>
        <v>18.163265306122462</v>
      </c>
      <c r="CR893">
        <f>IF($CN893="refOK",$BS893,$BT893)*IF($BP893="Emissions positive",-1,1)</f>
        <v>39.299999999999997</v>
      </c>
      <c r="CS893">
        <f>IF($CN893="refOK",$BT893,$BS893)*IF($BP893="Emissions positive",-1,1)</f>
        <v>44.2</v>
      </c>
      <c r="CT893">
        <f>IF($CN893="refNeedCorrection",-BX893,BX893)*IF($BP893="Emissions positive",-1,1)</f>
        <v>17.983000000000022</v>
      </c>
      <c r="CU893">
        <f>IFERROR(CT893/CQ893,"")</f>
        <v>0.99007528089887697</v>
      </c>
      <c r="CV893" s="2">
        <f>IFERROR((CS893-CR893)/ABS(CR893),"")</f>
        <v>0.12468193384223934</v>
      </c>
      <c r="CW893" s="1" t="s">
        <v>263</v>
      </c>
      <c r="CX893" t="str">
        <f>IF(OR($CW893="prd",$CW893="std",$CW893="cit"),"loc",IF(OR($CW893="eur",$CW893="reg",$CW893="coy"),"reg",$CW893))</f>
        <v>loc</v>
      </c>
      <c r="CY893" t="s">
        <v>743</v>
      </c>
      <c r="DA893" s="143"/>
      <c r="DB893" s="143">
        <v>0</v>
      </c>
      <c r="DC893" t="str">
        <f>IF(DB893=0,"0",IF(AND(DB893&gt;=1,DB893&lt;=30),"1-30",IF(AND(DB893&gt;30,DB893&lt;=70),"31-70",IF(AND(DB893&gt;70,DB893&lt;=100),"71-100",IF(DB893&gt;100,"+100")))))</f>
        <v>0</v>
      </c>
      <c r="DD893">
        <v>0</v>
      </c>
      <c r="DE893">
        <v>0</v>
      </c>
      <c r="DF893">
        <v>0</v>
      </c>
      <c r="DG893">
        <v>1</v>
      </c>
      <c r="DI893">
        <f>SUM(DD893:DG893)</f>
        <v>1</v>
      </c>
      <c r="DJ893" t="str">
        <f>IF(DI893=1,INDEX($DD$7:$DG$7,MATCH(1,$DD893:$DG893,0)),"mixedProduct")</f>
        <v>TimberInput</v>
      </c>
      <c r="DK893">
        <f>IF(DD893=1,DK$7,0)</f>
        <v>0</v>
      </c>
      <c r="DL893">
        <f>IF(DE893=1,DL$7,0)</f>
        <v>0</v>
      </c>
      <c r="DM893">
        <f>IF(DF893=1,DM$7,0)</f>
        <v>0</v>
      </c>
      <c r="DN893" t="str">
        <f>IF(DG893=1,DN$7,0)</f>
        <v>Timber</v>
      </c>
      <c r="DO893">
        <v>1</v>
      </c>
      <c r="DP893" s="143">
        <v>0</v>
      </c>
      <c r="DQ893" s="143">
        <v>0</v>
      </c>
      <c r="DR893">
        <v>0</v>
      </c>
      <c r="DS893" s="143">
        <v>0</v>
      </c>
      <c r="DT893">
        <f>SUM(DO893:DP893)</f>
        <v>1</v>
      </c>
      <c r="DU893" s="143" t="str">
        <f>IF(DO893=1,"self-calculated DF",IF(DP893=1,"external DF used","explicit C balance"))</f>
        <v>self-calculated DF</v>
      </c>
      <c r="DV893" s="143">
        <v>0</v>
      </c>
      <c r="DW893" s="264">
        <v>1</v>
      </c>
      <c r="DX893" s="264">
        <v>1</v>
      </c>
      <c r="DY893" s="264">
        <v>0</v>
      </c>
      <c r="DZ893" s="264">
        <v>0</v>
      </c>
      <c r="EA893" s="264">
        <v>1</v>
      </c>
      <c r="EB893" s="264">
        <v>1</v>
      </c>
      <c r="EC893" s="264">
        <v>1</v>
      </c>
      <c r="ED893" s="143">
        <v>0</v>
      </c>
      <c r="EE893">
        <v>0</v>
      </c>
      <c r="EF893">
        <v>0</v>
      </c>
      <c r="EG893" s="143">
        <v>0</v>
      </c>
      <c r="EH893" s="143">
        <v>0</v>
      </c>
      <c r="EI893" s="2">
        <v>0</v>
      </c>
      <c r="EK893" t="str">
        <f>IF(AND(AND(AND(OR($DX893=1,$DW893=1),OR($EC893=1,$EA893=1)),SUM($DV893:$DZ893,$EF893)&gt;=4),SUM($EA893:$EE893)&gt;=2),"Whole sector","")</f>
        <v/>
      </c>
      <c r="EL893" t="str">
        <f>IF(AND(AND(OR($DX893=1,$DW893=1),AND($EC893=0,$EA893=0)),SUM($DV893:$DZ893,$EF893)&gt;=4),"Ecosystem approach","")</f>
        <v/>
      </c>
      <c r="EM893" s="2" t="str">
        <f>IF(AND(AND(AND($DX893=0,$DW893=0),OR($EC893=1,$EA893=1)),SUM($EB893:$EE893)&gt;=2),"Technology approach","")</f>
        <v/>
      </c>
      <c r="EP893" t="str">
        <f>IF(ISNUMBER(BU893),IF(ABS(BU893-[4]QC_indicators!$B$2)&gt;3*[4]QC_indicators!$C$2,"C ratio",IF(ISNUMBER(BY893),IF(ABS(BY893-[4]QC_indicators!$B$1)&gt;3*[4]QC_indicators!$C$1,"DF","no"))),IF(ISNUMBER(BY893),IF(ABS(BY893-[4]QC_indicators!$B$1)&gt;3*[4]QC_indicators!$C$1,"DF","no")))</f>
        <v>no</v>
      </c>
      <c r="ER893" s="149" t="s">
        <v>349</v>
      </c>
      <c r="ET893" s="264" t="s">
        <v>3273</v>
      </c>
    </row>
    <row r="894" spans="1:150" ht="15" customHeight="1">
      <c r="A894" s="1" t="s">
        <v>1760</v>
      </c>
      <c r="B894" t="s">
        <v>1761</v>
      </c>
      <c r="C894" t="s">
        <v>1762</v>
      </c>
      <c r="D894" t="s">
        <v>1763</v>
      </c>
      <c r="E894" t="s">
        <v>1764</v>
      </c>
      <c r="F894" t="s">
        <v>1765</v>
      </c>
      <c r="G894" t="s">
        <v>1766</v>
      </c>
      <c r="H894" t="s">
        <v>254</v>
      </c>
      <c r="I894">
        <v>2021</v>
      </c>
      <c r="J894">
        <v>6</v>
      </c>
      <c r="K894" t="s">
        <v>1767</v>
      </c>
      <c r="M894" t="str">
        <f>LEFT($D894,FIND(",",$D894)-1)&amp;"_"&amp;I894&amp;L894</f>
        <v>Jonsson_2021</v>
      </c>
      <c r="N894" t="s">
        <v>222</v>
      </c>
      <c r="O894" s="145" t="s">
        <v>513</v>
      </c>
      <c r="Q894" t="s">
        <v>256</v>
      </c>
      <c r="R894" s="2" t="s">
        <v>274</v>
      </c>
      <c r="S894" s="1" t="s">
        <v>1779</v>
      </c>
      <c r="T894" t="s">
        <v>1111</v>
      </c>
      <c r="U894" t="s">
        <v>1778</v>
      </c>
      <c r="V894">
        <v>0</v>
      </c>
      <c r="W894">
        <v>1</v>
      </c>
      <c r="X894">
        <v>0</v>
      </c>
      <c r="Y894">
        <v>0</v>
      </c>
      <c r="Z894">
        <v>0</v>
      </c>
      <c r="AA894">
        <v>0</v>
      </c>
      <c r="AB894">
        <v>0</v>
      </c>
      <c r="AC894">
        <v>0</v>
      </c>
      <c r="AD894">
        <v>0</v>
      </c>
      <c r="AE894">
        <v>0</v>
      </c>
      <c r="AF894">
        <v>2</v>
      </c>
      <c r="AG894">
        <v>0</v>
      </c>
      <c r="AH894">
        <v>0</v>
      </c>
      <c r="AI894">
        <v>0</v>
      </c>
      <c r="AJ894">
        <v>0</v>
      </c>
      <c r="AK894">
        <v>0</v>
      </c>
      <c r="AL894">
        <v>0</v>
      </c>
      <c r="AM894">
        <v>0</v>
      </c>
      <c r="AN894">
        <v>0</v>
      </c>
      <c r="AO894">
        <v>0</v>
      </c>
      <c r="AP894">
        <v>0</v>
      </c>
      <c r="AQ894">
        <v>0</v>
      </c>
      <c r="AR894">
        <v>0</v>
      </c>
      <c r="AS894">
        <v>0</v>
      </c>
      <c r="AT894">
        <v>0</v>
      </c>
      <c r="AU894">
        <v>0</v>
      </c>
      <c r="AV894">
        <v>0</v>
      </c>
      <c r="AW894">
        <v>0</v>
      </c>
      <c r="AX894" s="141">
        <f>COUNTIF(V894:AW894,"&lt;&gt;0")</f>
        <v>2</v>
      </c>
      <c r="AY894" s="141">
        <f>COUNTIF(V894:AL894,"&lt;&gt;0")</f>
        <v>2</v>
      </c>
      <c r="AZ894">
        <f>COUNTIF(V894:AC894,"&lt;&gt;0")</f>
        <v>1</v>
      </c>
      <c r="BA894">
        <f>COUNTIF(AD894:AI894,"&lt;&gt;0")</f>
        <v>1</v>
      </c>
      <c r="BB894">
        <f>COUNTIF(AJ894:AL894,"&lt;&gt;0")</f>
        <v>0</v>
      </c>
      <c r="BC894">
        <f>COUNTIF(AS894:AW894,"&lt;&gt;0")</f>
        <v>0</v>
      </c>
      <c r="BD894">
        <f>COUNTIF(AM894:AR894,"&lt;&gt;0")</f>
        <v>0</v>
      </c>
      <c r="BE894" t="str">
        <f t="array" ref="BE894">IF(AY894=1,INDEX($V$7:$AL$7,MATCH(TRUE,INDEX($V894:$AW894&lt;&gt;0,),0)),IF(AY894=0,INDEX($AM$7:$AW$7,MATCH(1,$AM894:$AW894,0)),IF(BF894="Multiple strategies","mixed drivers",IF(BF894="Supply chain","multiple supply","multiple silviculture"))))</f>
        <v>mixed drivers</v>
      </c>
      <c r="BF894" s="2" t="str" cm="1">
        <f t="array" ref="BF894">IF(COUNTIF(AZ894:BB894,"&lt;&gt;0")=1,INDEX($V$4:$AW$4,MATCH(TRUE,INDEX($V894:$AW894&lt;&gt;0,),0)),IF(COUNTIF(AZ894:BB894,"&lt;&gt;0")=0,INDEX($AM$4:$AW$4,MATCH(1,$AM894:$AW894,0)),"Multiple strategies"))</f>
        <v>Multiple strategies</v>
      </c>
      <c r="BG894" s="1" t="s">
        <v>229</v>
      </c>
      <c r="BH894" t="s">
        <v>229</v>
      </c>
      <c r="BI894" s="264" t="s">
        <v>2128</v>
      </c>
      <c r="BJ894" t="s">
        <v>1770</v>
      </c>
      <c r="BK894">
        <v>284950</v>
      </c>
      <c r="BL894">
        <v>286950</v>
      </c>
      <c r="BM894" t="e">
        <f>#REF!</f>
        <v>#REF!</v>
      </c>
      <c r="BN894">
        <f>BL894-BK894</f>
        <v>2000</v>
      </c>
      <c r="BO894">
        <f>BN894*1000</f>
        <v>2000000</v>
      </c>
      <c r="BP894" t="s">
        <v>232</v>
      </c>
      <c r="BQ894" s="264" t="s">
        <v>2128</v>
      </c>
      <c r="BR894" t="s">
        <v>1300</v>
      </c>
      <c r="BS894">
        <v>72</v>
      </c>
      <c r="BT894">
        <v>74</v>
      </c>
      <c r="BU894" s="144">
        <f>IFERROR(BT894/BS894,"")</f>
        <v>1.0277777777777777</v>
      </c>
      <c r="BV894">
        <f>BT894-BS894</f>
        <v>2</v>
      </c>
      <c r="BX894">
        <f>BV894*10^6</f>
        <v>2000000</v>
      </c>
      <c r="BY894">
        <f>IFERROR(BX894/BO894,"")</f>
        <v>1</v>
      </c>
      <c r="BZ894">
        <v>0</v>
      </c>
      <c r="CA894">
        <v>0</v>
      </c>
      <c r="CB894">
        <v>0</v>
      </c>
      <c r="CC894">
        <v>0</v>
      </c>
      <c r="CD894">
        <v>0</v>
      </c>
      <c r="CE894">
        <v>0</v>
      </c>
      <c r="CF894">
        <v>0</v>
      </c>
      <c r="CG894">
        <v>0</v>
      </c>
      <c r="CH894">
        <v>0</v>
      </c>
      <c r="CI894">
        <v>0</v>
      </c>
      <c r="CJ894">
        <v>0</v>
      </c>
      <c r="CK894">
        <v>0</v>
      </c>
      <c r="CL894">
        <v>0</v>
      </c>
      <c r="CM894">
        <v>1</v>
      </c>
      <c r="CN894" t="str">
        <f>IF($BL894&lt;$BK894,"refNeedCorrection","refOK")</f>
        <v>refOK</v>
      </c>
      <c r="CO894">
        <f>IF($CN894="refNeedCorrection",BL894,BK894)</f>
        <v>284950</v>
      </c>
      <c r="CP894">
        <f>IF($CN894="refNeedCorrection",BK894,BL894)</f>
        <v>286950</v>
      </c>
      <c r="CQ894">
        <f>IF($CN894="refOK",$BO894,-$BO894)</f>
        <v>2000000</v>
      </c>
      <c r="CR894">
        <f>IF($CN894="refOK",$BS894,$BT894)*IF($BP894="Emissions positive",-1,1)</f>
        <v>72</v>
      </c>
      <c r="CS894">
        <f>IF($CN894="refOK",$BT894,$BS894)*IF($BP894="Emissions positive",-1,1)</f>
        <v>74</v>
      </c>
      <c r="CT894">
        <f>IF($CN894="refNeedCorrection",-BX894,BX894)*IF($BP894="Emissions positive",-1,1)</f>
        <v>2000000</v>
      </c>
      <c r="CU894">
        <f>IFERROR(CT894/CQ894,"")</f>
        <v>1</v>
      </c>
      <c r="CV894" s="2">
        <f>IFERROR((CS894-CR894)/ABS(CR894),"")</f>
        <v>2.7777777777777776E-2</v>
      </c>
      <c r="CW894" s="1" t="s">
        <v>1231</v>
      </c>
      <c r="CX894" t="str">
        <f>IF(OR($CW894="prd",$CW894="std",$CW894="cit"),"loc",IF(OR($CW894="eur",$CW894="reg",$CW894="coy"),"reg",$CW894))</f>
        <v>reg</v>
      </c>
      <c r="CY894" t="s">
        <v>743</v>
      </c>
      <c r="CZ894">
        <v>2000</v>
      </c>
      <c r="DA894">
        <v>2030</v>
      </c>
      <c r="DB894">
        <v>30</v>
      </c>
      <c r="DC894" t="str">
        <f>IF(DB894=0,"0",IF(AND(DB894&gt;=1,DB894&lt;=30),"1-30",IF(AND(DB894&gt;30,DB894&lt;=70),"31-70",IF(AND(DB894&gt;70,DB894&lt;=100),"71-100",IF(DB894&gt;100,"+100")))))</f>
        <v>1-30</v>
      </c>
      <c r="DD894">
        <v>0</v>
      </c>
      <c r="DE894">
        <v>1</v>
      </c>
      <c r="DF894">
        <v>0</v>
      </c>
      <c r="DG894">
        <v>0</v>
      </c>
      <c r="DH894">
        <v>1</v>
      </c>
      <c r="DI894">
        <f>SUM(DD894:DG894)</f>
        <v>1</v>
      </c>
      <c r="DJ894" t="str">
        <f>IF(DI894=1,INDEX($DD$7:$DG$7,MATCH(1,$DD894:$DG894,0)),"mixedProduct")</f>
        <v>EnergyInput</v>
      </c>
      <c r="DK894">
        <f>IF(DD894=1,DK$7,0)</f>
        <v>0</v>
      </c>
      <c r="DL894" t="str">
        <f>IF(DE894=1,DL$7,0)</f>
        <v>Energy</v>
      </c>
      <c r="DM894">
        <f>IF(DF894=1,DM$7,0)</f>
        <v>0</v>
      </c>
      <c r="DN894">
        <f>IF(DG894=1,DN$7,0)</f>
        <v>0</v>
      </c>
      <c r="DO894">
        <v>0</v>
      </c>
      <c r="DP894">
        <v>1</v>
      </c>
      <c r="DQ894" t="s">
        <v>1771</v>
      </c>
      <c r="DR894" t="s">
        <v>1771</v>
      </c>
      <c r="DS894">
        <v>0</v>
      </c>
      <c r="DT894">
        <f>SUM(DO894:DP894)</f>
        <v>1</v>
      </c>
      <c r="DU894" s="143" t="str">
        <f>IF(DO894=1,"self-calculated DF",IF(DP894=1,"external DF used","explicit C balance"))</f>
        <v>external DF used</v>
      </c>
      <c r="DV894">
        <v>0</v>
      </c>
      <c r="DW894">
        <v>0</v>
      </c>
      <c r="DX894">
        <v>0</v>
      </c>
      <c r="DY894">
        <v>1</v>
      </c>
      <c r="DZ894">
        <v>0</v>
      </c>
      <c r="EA894" s="143">
        <v>0</v>
      </c>
      <c r="EB894">
        <v>0</v>
      </c>
      <c r="EC894">
        <v>0</v>
      </c>
      <c r="ED894">
        <v>0</v>
      </c>
      <c r="EE894">
        <v>0</v>
      </c>
      <c r="EF894">
        <v>1</v>
      </c>
      <c r="EG894">
        <v>0</v>
      </c>
      <c r="EH894">
        <v>0</v>
      </c>
      <c r="EI894" s="2">
        <v>0</v>
      </c>
      <c r="EJ894" s="1" t="s">
        <v>1772</v>
      </c>
      <c r="EK894" t="str">
        <f>IF(AND(AND(AND(OR($DX894=1,$DW894=1),OR($EC894=1,$EA894=1)),SUM($DV894:$DZ894,$EF894)&gt;=4),SUM($EA894:$EE894)&gt;=2),"Whole sector","")</f>
        <v/>
      </c>
      <c r="EL894" t="str">
        <f>IF(AND(AND(OR($DX894=1,$DW894=1),AND($EC894=0,$EA894=0)),SUM($DV894:$DZ894,$EF894)&gt;=4),"Ecosystem approach","")</f>
        <v/>
      </c>
      <c r="EM894" s="2" t="str">
        <f>IF(AND(AND(AND($DX894=0,$DW894=0),OR($EC894=1,$EA894=1)),SUM($EB894:$EE894)&gt;=2),"Technology approach","")</f>
        <v/>
      </c>
      <c r="EP894" t="str">
        <f>IF(ISNUMBER(BU894),IF(ABS(BU894-[2]QC_indicators!$B$2)&gt;3*[2]QC_indicators!$C$2,"C ratio",IF(ISNUMBER(BY894),IF(ABS(BY894-[2]QC_indicators!$B$1)&gt;3*[2]QC_indicators!$C$1,"DF","no"))),IF(ISNUMBER(BY894),IF(ABS(BY894-[2]QC_indicators!$B$1)&gt;3*[2]QC_indicators!$C$1,"DF","no")))</f>
        <v>no</v>
      </c>
      <c r="ET894" s="264" t="s">
        <v>3151</v>
      </c>
    </row>
    <row r="895" spans="1:150" ht="15" customHeight="1">
      <c r="A895" s="1" t="s">
        <v>848</v>
      </c>
      <c r="B895" t="s">
        <v>849</v>
      </c>
      <c r="C895" t="s">
        <v>850</v>
      </c>
      <c r="D895" t="s">
        <v>851</v>
      </c>
      <c r="E895" t="s">
        <v>852</v>
      </c>
      <c r="F895" t="s">
        <v>853</v>
      </c>
      <c r="G895" t="s">
        <v>854</v>
      </c>
      <c r="H895" t="s">
        <v>254</v>
      </c>
      <c r="I895">
        <v>2020</v>
      </c>
      <c r="J895">
        <v>5</v>
      </c>
      <c r="K895" t="s">
        <v>855</v>
      </c>
      <c r="M895" t="str">
        <f>LEFT($D895,FIND(",",$D895)-1)&amp;"_"&amp;I895&amp;L895</f>
        <v>Lan_2020</v>
      </c>
      <c r="N895" t="s">
        <v>222</v>
      </c>
      <c r="O895" s="145" t="s">
        <v>225</v>
      </c>
      <c r="Q895" t="s">
        <v>256</v>
      </c>
      <c r="R895" s="262" t="s">
        <v>223</v>
      </c>
      <c r="S895" s="1" t="s">
        <v>95</v>
      </c>
      <c r="T895" t="s">
        <v>858</v>
      </c>
      <c r="U895" t="s">
        <v>864</v>
      </c>
      <c r="V895">
        <v>0</v>
      </c>
      <c r="W895">
        <v>0</v>
      </c>
      <c r="X895">
        <v>0</v>
      </c>
      <c r="Y895">
        <v>0</v>
      </c>
      <c r="Z895">
        <v>0</v>
      </c>
      <c r="AA895">
        <v>0</v>
      </c>
      <c r="AB895">
        <v>0</v>
      </c>
      <c r="AC895">
        <v>1</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s="141">
        <f>COUNTIF(V895:AW895,"&lt;&gt;0")</f>
        <v>1</v>
      </c>
      <c r="AY895" s="141">
        <f>COUNTIF(V895:AL895,"&lt;&gt;0")</f>
        <v>1</v>
      </c>
      <c r="AZ895">
        <f>COUNTIF(V895:AC895,"&lt;&gt;0")</f>
        <v>1</v>
      </c>
      <c r="BA895">
        <f>COUNTIF(AD895:AI895,"&lt;&gt;0")</f>
        <v>0</v>
      </c>
      <c r="BB895">
        <f>COUNTIF(AJ895:AL895,"&lt;&gt;0")</f>
        <v>0</v>
      </c>
      <c r="BC895">
        <f>COUNTIF(AS895:AW895,"&lt;&gt;0")</f>
        <v>0</v>
      </c>
      <c r="BD895">
        <f>COUNTIF(AM895:AR895,"&lt;&gt;0")</f>
        <v>0</v>
      </c>
      <c r="BE895" t="str">
        <f t="array" ref="BE895">IF(AY895=1,INDEX($V$7:$AL$7,MATCH(TRUE,INDEX($V895:$AW895&lt;&gt;0,),0)),IF(AY895=0,INDEX($AM$7:$AW$7,MATCH(1,$AM895:$AW895,0)),IF(BF895="Multiple strategies","mixed drivers",IF(BF895="Supply chain","multiple supply","multiple silviculture"))))</f>
        <v>site fertility</v>
      </c>
      <c r="BF895" s="2" t="str" cm="1">
        <f t="array" ref="BF895">IF(COUNTIF(AZ895:BB895,"&lt;&gt;0")=1,INDEX($V$4:$AW$4,MATCH(TRUE,INDEX($V895:$AW895&lt;&gt;0,),0)),IF(COUNTIF(AZ895:BB895,"&lt;&gt;0")=0,INDEX($AM$4:$AW$4,MATCH(1,$AM895:$AW895,0)),"Multiple strategies"))</f>
        <v>Silviculture for productivity</v>
      </c>
      <c r="BG895" s="142" t="s">
        <v>321</v>
      </c>
      <c r="BH895" t="s">
        <v>867</v>
      </c>
      <c r="BI895" s="264" t="s">
        <v>701</v>
      </c>
      <c r="BJ895" s="143" t="s">
        <v>868</v>
      </c>
      <c r="BK895">
        <f>282+71</f>
        <v>353</v>
      </c>
      <c r="BL895" s="143">
        <f>111+443</f>
        <v>554</v>
      </c>
      <c r="BM895" s="163">
        <f>BL895/BK895</f>
        <v>1.5694050991501416</v>
      </c>
      <c r="BN895">
        <f>BL895-BK895</f>
        <v>201</v>
      </c>
      <c r="BO895" s="159">
        <f>BN895*t_to_m3</f>
        <v>410.20408163265307</v>
      </c>
      <c r="BP895" t="s">
        <v>232</v>
      </c>
      <c r="BQ895" s="153" t="s">
        <v>429</v>
      </c>
      <c r="BR895" t="s">
        <v>859</v>
      </c>
      <c r="BS895">
        <v>739.44899999999996</v>
      </c>
      <c r="BT895">
        <v>1150.4580000000001</v>
      </c>
      <c r="BU895" s="144">
        <f>IFERROR(BT895/BS895,"")</f>
        <v>1.5558314366508037</v>
      </c>
      <c r="BV895">
        <f>BT895-BS895</f>
        <v>411.00900000000013</v>
      </c>
      <c r="BX895">
        <f>BV895</f>
        <v>411.00900000000013</v>
      </c>
      <c r="BY895">
        <f>IFERROR(BX895/BO895,"")</f>
        <v>1.0019622388059704</v>
      </c>
      <c r="BZ895">
        <v>0</v>
      </c>
      <c r="CA895">
        <v>0</v>
      </c>
      <c r="CB895">
        <v>0</v>
      </c>
      <c r="CC895">
        <v>0</v>
      </c>
      <c r="CD895">
        <v>0</v>
      </c>
      <c r="CE895">
        <v>0</v>
      </c>
      <c r="CF895">
        <v>0</v>
      </c>
      <c r="CG895">
        <v>0</v>
      </c>
      <c r="CH895">
        <v>0</v>
      </c>
      <c r="CI895">
        <v>0</v>
      </c>
      <c r="CJ895">
        <v>0</v>
      </c>
      <c r="CK895">
        <v>0</v>
      </c>
      <c r="CL895">
        <v>0</v>
      </c>
      <c r="CM895">
        <v>0</v>
      </c>
      <c r="CN895" t="str">
        <f>IF($BL895&lt;$BK895,"refNeedCorrection","refOK")</f>
        <v>refOK</v>
      </c>
      <c r="CO895">
        <f>IF($CN895="refNeedCorrection",BL895,BK895)</f>
        <v>353</v>
      </c>
      <c r="CP895">
        <f>IF($CN895="refNeedCorrection",BK895,BL895)</f>
        <v>554</v>
      </c>
      <c r="CQ895">
        <f>IF($CN895="refOK",$BO895,-$BO895)</f>
        <v>410.20408163265307</v>
      </c>
      <c r="CR895">
        <f>IF($CN895="refOK",$BS895,$BT895)*IF($BP895="Emissions positive",-1,1)</f>
        <v>739.44899999999996</v>
      </c>
      <c r="CS895">
        <f>IF($CN895="refOK",$BT895,$BS895)*IF($BP895="Emissions positive",-1,1)</f>
        <v>1150.4580000000001</v>
      </c>
      <c r="CT895">
        <f>IF($CN895="refNeedCorrection",-BX895,BX895)*IF($BP895="Emissions positive",-1,1)</f>
        <v>411.00900000000013</v>
      </c>
      <c r="CU895">
        <f>IFERROR(CT895/CQ895,"")</f>
        <v>1.0019622388059704</v>
      </c>
      <c r="CV895" s="2">
        <f>IFERROR((CS895-CR895)/ABS(CR895),"")</f>
        <v>0.5558314366508037</v>
      </c>
      <c r="CW895" s="1" t="s">
        <v>234</v>
      </c>
      <c r="CX895" t="str">
        <f>IF(OR($CW895="prd",$CW895="std",$CW895="cit"),"loc",IF(OR($CW895="eur",$CW895="reg",$CW895="coy"),"reg",$CW895))</f>
        <v>loc</v>
      </c>
      <c r="CY895" t="s">
        <v>428</v>
      </c>
      <c r="CZ895">
        <v>2021</v>
      </c>
      <c r="DA895" s="143">
        <v>2120</v>
      </c>
      <c r="DB895" s="143">
        <v>100</v>
      </c>
      <c r="DC895" t="str">
        <f>IF(DB895=0,"0",IF(AND(DB895&gt;=1,DB895&lt;=30),"1-30",IF(AND(DB895&gt;30,DB895&lt;=70),"31-70",IF(AND(DB895&gt;70,DB895&lt;=100),"71-100",IF(DB895&gt;100,"+100")))))</f>
        <v>71-100</v>
      </c>
      <c r="DD895">
        <v>0</v>
      </c>
      <c r="DE895">
        <v>1</v>
      </c>
      <c r="DF895">
        <v>0</v>
      </c>
      <c r="DG895">
        <v>1</v>
      </c>
      <c r="DI895">
        <f>SUM(DD895:DG895)</f>
        <v>2</v>
      </c>
      <c r="DJ895" t="str">
        <f>IF(DI895=1,INDEX($DD$7:$DG$7,MATCH(1,$DD895:$DG895,0)),"mixedProduct")</f>
        <v>mixedProduct</v>
      </c>
      <c r="DK895">
        <f>IF(DD895=1,DK$7,0)</f>
        <v>0</v>
      </c>
      <c r="DL895" t="str">
        <f>IF(DE895=1,DL$7,0)</f>
        <v>Energy</v>
      </c>
      <c r="DM895">
        <f>IF(DF895=1,DM$7,0)</f>
        <v>0</v>
      </c>
      <c r="DN895" t="str">
        <f>IF(DG895=1,DN$7,0)</f>
        <v>Timber</v>
      </c>
      <c r="DO895">
        <v>0</v>
      </c>
      <c r="DP895" s="143">
        <v>0</v>
      </c>
      <c r="DQ895" s="143">
        <v>0</v>
      </c>
      <c r="DR895">
        <v>0</v>
      </c>
      <c r="DS895" s="143">
        <v>0</v>
      </c>
      <c r="DT895">
        <f>SUM(DO895:DP895)</f>
        <v>0</v>
      </c>
      <c r="DU895" s="143" t="str">
        <f>IF(DO895=1,"self-calculated DF",IF(DP895=1,"external DF used","explicit C balance"))</f>
        <v>explicit C balance</v>
      </c>
      <c r="DV895" s="143">
        <v>0</v>
      </c>
      <c r="DW895" s="143">
        <v>1</v>
      </c>
      <c r="DX895" s="143">
        <v>1</v>
      </c>
      <c r="DY895" s="143">
        <v>1</v>
      </c>
      <c r="DZ895">
        <v>1</v>
      </c>
      <c r="EA895" s="143">
        <v>0</v>
      </c>
      <c r="EB895" s="143">
        <v>1</v>
      </c>
      <c r="EC895" s="143">
        <v>1</v>
      </c>
      <c r="ED895" s="143">
        <v>1</v>
      </c>
      <c r="EE895">
        <v>0</v>
      </c>
      <c r="EF895">
        <v>1</v>
      </c>
      <c r="EG895" s="143">
        <v>1</v>
      </c>
      <c r="EH895">
        <v>0</v>
      </c>
      <c r="EI895" s="2">
        <v>0</v>
      </c>
      <c r="EK895" t="str">
        <f>IF(AND(AND(AND(OR($DX895=1,$DW895=1),OR($EC895=1,$EA895=1)),SUM($DV895:$DZ895,$EF895)&gt;=4),SUM($EA895:$EE895)&gt;=2),"Whole sector","")</f>
        <v>Whole sector</v>
      </c>
      <c r="EL895" t="str">
        <f>IF(AND(AND(OR($DX895=1,$DW895=1),AND($EC895=0,$EA895=0)),SUM($DV895:$DZ895,$EF895)&gt;=4),"Ecosystem approach","")</f>
        <v/>
      </c>
      <c r="EM895" s="2" t="str">
        <f>IF(AND(AND(AND($DX895=0,$DW895=0),OR($EC895=1,$EA895=1)),SUM($EB895:$EE895)&gt;=2),"Technology approach","")</f>
        <v/>
      </c>
      <c r="EP895" t="str">
        <f>IF(ISNUMBER(BU895),IF(ABS(BU895-[1]QC_indicators!$B$2)&gt;3*[1]QC_indicators!$C$2,"C ratio",IF(ISNUMBER(BY895),IF(ABS(BY895-[1]QC_indicators!$B$1)&gt;3*[1]QC_indicators!$C$1,"DF","no"))),IF(ISNUMBER(BY895),IF(ABS(BY895-[1]QC_indicators!$B$1)&gt;3*[1]QC_indicators!$C$1,"DF","no")))</f>
        <v>no</v>
      </c>
      <c r="ER895" t="s">
        <v>860</v>
      </c>
      <c r="ET895" s="264" t="s">
        <v>3151</v>
      </c>
    </row>
    <row r="896" spans="1:150" ht="15" customHeight="1">
      <c r="D896" t="s">
        <v>2052</v>
      </c>
      <c r="E896" t="s">
        <v>2053</v>
      </c>
      <c r="G896" t="s">
        <v>2054</v>
      </c>
      <c r="I896">
        <v>2018</v>
      </c>
      <c r="K896" s="150" t="s">
        <v>2055</v>
      </c>
      <c r="M896" t="str">
        <f>LEFT($D896,FIND(",",$D896)-1)&amp;"_"&amp;I896&amp;L896</f>
        <v>Olguin_2018</v>
      </c>
      <c r="N896" t="s">
        <v>222</v>
      </c>
      <c r="O896" s="157" t="s">
        <v>274</v>
      </c>
      <c r="P896" t="s">
        <v>513</v>
      </c>
      <c r="Q896" t="s">
        <v>389</v>
      </c>
      <c r="R896" s="262" t="s">
        <v>223</v>
      </c>
      <c r="S896" s="263" t="s">
        <v>3195</v>
      </c>
      <c r="T896" t="s">
        <v>2056</v>
      </c>
      <c r="U896" t="s">
        <v>2057</v>
      </c>
      <c r="V896">
        <v>0</v>
      </c>
      <c r="W896">
        <v>0</v>
      </c>
      <c r="X896">
        <v>0</v>
      </c>
      <c r="Y896">
        <v>0</v>
      </c>
      <c r="Z896">
        <v>0</v>
      </c>
      <c r="AA896">
        <v>0</v>
      </c>
      <c r="AB896">
        <v>0</v>
      </c>
      <c r="AC896">
        <v>1</v>
      </c>
      <c r="AD896">
        <v>0</v>
      </c>
      <c r="AE896">
        <v>0</v>
      </c>
      <c r="AF896">
        <v>1</v>
      </c>
      <c r="AG896">
        <v>0</v>
      </c>
      <c r="AH896">
        <v>0</v>
      </c>
      <c r="AI896">
        <v>0</v>
      </c>
      <c r="AJ896">
        <v>0</v>
      </c>
      <c r="AK896">
        <v>0</v>
      </c>
      <c r="AL896">
        <v>0</v>
      </c>
      <c r="AM896">
        <v>0</v>
      </c>
      <c r="AN896">
        <v>0</v>
      </c>
      <c r="AO896">
        <v>0</v>
      </c>
      <c r="AP896">
        <v>0</v>
      </c>
      <c r="AQ896">
        <v>0</v>
      </c>
      <c r="AR896">
        <v>0</v>
      </c>
      <c r="AS896">
        <v>0</v>
      </c>
      <c r="AT896">
        <v>0</v>
      </c>
      <c r="AU896">
        <v>0</v>
      </c>
      <c r="AV896">
        <v>0</v>
      </c>
      <c r="AW896">
        <v>0</v>
      </c>
      <c r="AX896" s="141">
        <f>COUNTIF(V896:AW896,"&lt;&gt;0")</f>
        <v>2</v>
      </c>
      <c r="AY896" s="141">
        <f>COUNTIF(V896:AL896,"&lt;&gt;0")</f>
        <v>2</v>
      </c>
      <c r="AZ896">
        <f>COUNTIF(V896:AC896,"&lt;&gt;0")</f>
        <v>1</v>
      </c>
      <c r="BA896">
        <f>COUNTIF(AD896:AI896,"&lt;&gt;0")</f>
        <v>1</v>
      </c>
      <c r="BB896">
        <f>COUNTIF(AJ896:AL896,"&lt;&gt;0")</f>
        <v>0</v>
      </c>
      <c r="BC896">
        <f>COUNTIF(AS896:AW896,"&lt;&gt;0")</f>
        <v>0</v>
      </c>
      <c r="BD896">
        <f>COUNTIF(AM896:AR896,"&lt;&gt;0")</f>
        <v>0</v>
      </c>
      <c r="BE896" t="str">
        <f t="array" ref="BE896">IF(AY896=1,INDEX($V$7:$AL$7,MATCH(TRUE,INDEX($V896:$AW896&lt;&gt;0,),0)),IF(AY896=0,INDEX($AM$7:$AW$7,MATCH(1,$AM896:$AW896,0)),IF(BF896="Multiple strategies","mixed drivers",IF(BF896="Supply chain","multiple supply","multiple silviculture"))))</f>
        <v>mixed drivers</v>
      </c>
      <c r="BF896" s="2" t="str" cm="1">
        <f t="array" ref="BF896">IF(COUNTIF(AZ896:BB896,"&lt;&gt;0")=1,INDEX($V$4:$AW$4,MATCH(TRUE,INDEX($V896:$AW896&lt;&gt;0,),0)),IF(COUNTIF(AZ896:BB896,"&lt;&gt;0")=0,INDEX($AM$4:$AW$4,MATCH(1,$AM896:$AW896,0)),"Multiple strategies"))</f>
        <v>Multiple strategies</v>
      </c>
      <c r="BG896" s="1" t="s">
        <v>321</v>
      </c>
      <c r="BI896" s="264" t="s">
        <v>1036</v>
      </c>
      <c r="BJ896" t="s">
        <v>2058</v>
      </c>
      <c r="BK896">
        <v>0</v>
      </c>
      <c r="BL896">
        <v>6788</v>
      </c>
      <c r="BM896" t="str">
        <f>IFERROR(BL896/BK896,"")</f>
        <v/>
      </c>
      <c r="BN896">
        <f>BL896-BK896</f>
        <v>6788</v>
      </c>
      <c r="BO896">
        <f>BN896*tC_to_m3</f>
        <v>29474.598349978292</v>
      </c>
      <c r="BP896" t="s">
        <v>232</v>
      </c>
      <c r="BQ896" t="s">
        <v>424</v>
      </c>
      <c r="BR896" t="s">
        <v>2063</v>
      </c>
      <c r="BU896" s="144"/>
      <c r="BV896">
        <v>0.03</v>
      </c>
      <c r="BX896">
        <f>BV896*10^6</f>
        <v>30000</v>
      </c>
      <c r="BY896">
        <f>IFERROR(BX896/BO896,"")</f>
        <v>1.0178255745433116</v>
      </c>
      <c r="BZ896">
        <v>0</v>
      </c>
      <c r="CA896">
        <v>0</v>
      </c>
      <c r="CB896">
        <v>0</v>
      </c>
      <c r="CC896">
        <v>0</v>
      </c>
      <c r="CD896">
        <v>0</v>
      </c>
      <c r="CE896">
        <v>0</v>
      </c>
      <c r="CF896">
        <v>0</v>
      </c>
      <c r="CG896">
        <v>0</v>
      </c>
      <c r="CH896">
        <v>0</v>
      </c>
      <c r="CI896">
        <v>0</v>
      </c>
      <c r="CJ896">
        <v>0</v>
      </c>
      <c r="CK896">
        <v>0</v>
      </c>
      <c r="CL896">
        <v>0</v>
      </c>
      <c r="CM896">
        <v>0</v>
      </c>
      <c r="CN896" t="str">
        <f>IF($BL896&lt;$BK896,"refNeedCorrection","refOK")</f>
        <v>refOK</v>
      </c>
      <c r="CO896">
        <f>IF($CN896="refOK",$BK896,$BL896)</f>
        <v>0</v>
      </c>
      <c r="CP896">
        <f>IF($CN896="refOK",$BL896,$BK896)</f>
        <v>6788</v>
      </c>
      <c r="CQ896">
        <f>IF($CN896="refOK",$BO896,-$BO896)</f>
        <v>29474.598349978292</v>
      </c>
      <c r="CR896">
        <f>IF($CN896="refOK",$BS896,$BT896)*IF($BP896="Emissions positive",-1,1)</f>
        <v>0</v>
      </c>
      <c r="CS896">
        <f>IF($CN896="refOK",$BT896,$BS896)*IF($BP896="Emissions positive",-1,1)</f>
        <v>0</v>
      </c>
      <c r="CT896">
        <f>IF($CN896="refNeedCorrection",-BX896,BX896)*IF($BP896="Emissions positive",-1,1)</f>
        <v>30000</v>
      </c>
      <c r="CU896">
        <f>IFERROR(CT896/CQ896,"")</f>
        <v>1.0178255745433116</v>
      </c>
      <c r="CV896" s="2" t="str">
        <f>IFERROR((CS896-CR896)/ABS(CR896),"")</f>
        <v/>
      </c>
      <c r="CW896" s="1" t="s">
        <v>2036</v>
      </c>
      <c r="CX896" t="str">
        <f>IF(OR($CW896="prd",$CW896="std",$CW896="cit"),"loc",IF(OR($CW896="eur",$CW896="reg",$CW896="coy"),"reg",$CW896))</f>
        <v>reg</v>
      </c>
      <c r="CY896" t="s">
        <v>2060</v>
      </c>
      <c r="CZ896">
        <v>2021</v>
      </c>
      <c r="DA896">
        <v>2030</v>
      </c>
      <c r="DB896">
        <f>DA896-CZ896</f>
        <v>9</v>
      </c>
      <c r="DC896" t="str">
        <f>IF(DB896=0,"0",IF(AND(DB896&gt;=1,DB896&lt;=30),"1-30",IF(AND(DB896&gt;30,DB896&lt;=70),"31-70",IF(AND(DB896&gt;70,DB896&lt;=100),"71-100",IF(DB896&gt;100,"+100")))))</f>
        <v>1-30</v>
      </c>
      <c r="DD896">
        <v>0</v>
      </c>
      <c r="DE896">
        <v>0</v>
      </c>
      <c r="DF896">
        <v>0</v>
      </c>
      <c r="DG896">
        <v>1</v>
      </c>
      <c r="DH896">
        <v>0</v>
      </c>
      <c r="DI896">
        <f>SUM(DD896:DG896)</f>
        <v>1</v>
      </c>
      <c r="DJ896" t="str">
        <f>IF(DI896=1,INDEX($DD$7:$DG$7,MATCH(1,$DD896:$DG896,0)),"mixedProduct")</f>
        <v>TimberInput</v>
      </c>
      <c r="DK896">
        <f>IF(DD896=1,DK$7,0)</f>
        <v>0</v>
      </c>
      <c r="DL896">
        <f>IF(DE896=1,DL$7,0)</f>
        <v>0</v>
      </c>
      <c r="DM896">
        <f>IF(DF896=1,DM$7,0)</f>
        <v>0</v>
      </c>
      <c r="DN896" t="str">
        <f>IF(DG896=1,DN$7,0)</f>
        <v>Timber</v>
      </c>
      <c r="DP896">
        <v>1</v>
      </c>
      <c r="DS896" s="184" t="s">
        <v>2061</v>
      </c>
      <c r="DT896"/>
      <c r="DU896" s="143" t="str">
        <f>IF(DO896=1,"self-calculated DF",IF(DP896=1,"external DF used","explicit C balance"))</f>
        <v>external DF used</v>
      </c>
      <c r="DV896">
        <v>1</v>
      </c>
      <c r="DW896">
        <v>1</v>
      </c>
      <c r="DX896">
        <v>1</v>
      </c>
      <c r="DY896">
        <v>1</v>
      </c>
      <c r="DZ896">
        <v>1</v>
      </c>
      <c r="EA896">
        <v>1</v>
      </c>
      <c r="EB896">
        <v>0</v>
      </c>
      <c r="EC896">
        <v>0</v>
      </c>
      <c r="ED896">
        <v>0</v>
      </c>
      <c r="EE896">
        <v>0</v>
      </c>
      <c r="EF896">
        <v>1</v>
      </c>
      <c r="EG896">
        <v>0</v>
      </c>
      <c r="EH896">
        <v>1</v>
      </c>
      <c r="EI896" s="2">
        <v>0</v>
      </c>
      <c r="EK896" t="str">
        <f>IF(AND(AND(AND(OR($DX896=1,$DW896=1),OR($EC896=1,$EA896=1)),SUM($DV896:$DZ896,$EF896)&gt;=4),SUM($EA896:$EE896)&gt;=2),"Whole sector","")</f>
        <v/>
      </c>
      <c r="EL896" t="str">
        <f>IF(AND(AND(OR($DX896=1,$DW896=1),AND($EC896=0,$EA896=0)),SUM($DV896:$DZ896,$EF896)&gt;=4),"Ecosystem approach","")</f>
        <v/>
      </c>
      <c r="EM896" s="2" t="str">
        <f>IF(AND(AND(AND($DX896=0,$DW896=0),OR($EC896=1,$EA896=1)),SUM($EB896:$EE896)&gt;=2),"Technology approach","")</f>
        <v/>
      </c>
      <c r="EP896" t="str">
        <f>IF(ISNUMBER(BU896),IF(ABS(BU896-[1]QC_indicators!$B$2)&gt;3*[1]QC_indicators!$C$2,"C ratio",IF(ISNUMBER(BY896),IF(ABS(BY896-[1]QC_indicators!$B$1)&gt;3*[1]QC_indicators!$C$1,"DF","no"))),IF(ISNUMBER(BY896),IF(ABS(BY896-[1]QC_indicators!$B$1)&gt;3*[1]QC_indicators!$C$1,"DF","no")))</f>
        <v>no</v>
      </c>
      <c r="ET896" s="264" t="s">
        <v>3273</v>
      </c>
    </row>
    <row r="897" spans="1:150" ht="15" customHeight="1">
      <c r="A897" s="1" t="s">
        <v>265</v>
      </c>
      <c r="B897" t="s">
        <v>266</v>
      </c>
      <c r="C897" t="s">
        <v>267</v>
      </c>
      <c r="D897" t="s">
        <v>268</v>
      </c>
      <c r="E897" t="s">
        <v>269</v>
      </c>
      <c r="F897" t="s">
        <v>270</v>
      </c>
      <c r="G897" t="s">
        <v>271</v>
      </c>
      <c r="H897" t="s">
        <v>254</v>
      </c>
      <c r="I897">
        <v>2022</v>
      </c>
      <c r="J897">
        <v>0</v>
      </c>
      <c r="K897" t="s">
        <v>272</v>
      </c>
      <c r="M897" t="str">
        <f>LEFT($D897,FIND(",",$D897)-1)&amp;"_"&amp;I897&amp;L897</f>
        <v>Aryapratama_2022</v>
      </c>
      <c r="N897" t="s">
        <v>222</v>
      </c>
      <c r="O897" s="145" t="s">
        <v>274</v>
      </c>
      <c r="Q897" t="s">
        <v>224</v>
      </c>
      <c r="R897" s="262" t="s">
        <v>223</v>
      </c>
      <c r="S897" s="263" t="s">
        <v>3105</v>
      </c>
      <c r="T897" t="s">
        <v>307</v>
      </c>
      <c r="U897" t="s">
        <v>308</v>
      </c>
      <c r="V897">
        <v>0</v>
      </c>
      <c r="W897">
        <v>0</v>
      </c>
      <c r="X897">
        <v>0</v>
      </c>
      <c r="Y897">
        <v>0</v>
      </c>
      <c r="Z897">
        <v>0</v>
      </c>
      <c r="AA897">
        <v>0</v>
      </c>
      <c r="AB897">
        <v>0</v>
      </c>
      <c r="AC897">
        <v>0</v>
      </c>
      <c r="AD897">
        <v>0</v>
      </c>
      <c r="AE897">
        <v>0</v>
      </c>
      <c r="AF897">
        <v>0</v>
      </c>
      <c r="AG897">
        <v>0</v>
      </c>
      <c r="AH897">
        <v>0</v>
      </c>
      <c r="AI897">
        <v>0</v>
      </c>
      <c r="AJ897">
        <v>0</v>
      </c>
      <c r="AK897">
        <v>1</v>
      </c>
      <c r="AL897">
        <v>0</v>
      </c>
      <c r="AM897">
        <v>0</v>
      </c>
      <c r="AN897">
        <v>0</v>
      </c>
      <c r="AO897">
        <v>0</v>
      </c>
      <c r="AP897">
        <v>0</v>
      </c>
      <c r="AQ897">
        <v>0</v>
      </c>
      <c r="AR897">
        <v>0</v>
      </c>
      <c r="AS897">
        <v>0</v>
      </c>
      <c r="AT897">
        <v>0</v>
      </c>
      <c r="AU897">
        <v>0</v>
      </c>
      <c r="AV897">
        <v>0</v>
      </c>
      <c r="AW897">
        <v>0</v>
      </c>
      <c r="AX897" s="141">
        <f>COUNTIF(V897:AW897,"&lt;&gt;0")</f>
        <v>1</v>
      </c>
      <c r="AY897" s="141">
        <f>COUNTIF(V897:AL897,"&lt;&gt;0")</f>
        <v>1</v>
      </c>
      <c r="AZ897">
        <f>COUNTIF(V897:AC897,"&lt;&gt;0")</f>
        <v>0</v>
      </c>
      <c r="BA897">
        <f>COUNTIF(AD897:AI897,"&lt;&gt;0")</f>
        <v>0</v>
      </c>
      <c r="BB897">
        <f>COUNTIF(AJ897:AL897,"&lt;&gt;0")</f>
        <v>1</v>
      </c>
      <c r="BC897">
        <f>COUNTIF(AS897:AW897,"&lt;&gt;0")</f>
        <v>0</v>
      </c>
      <c r="BD897">
        <f>COUNTIF(AM897:AR897,"&lt;&gt;0")</f>
        <v>0</v>
      </c>
      <c r="BE897" t="str">
        <f t="array" ref="BE897">IF(AY897=1,INDEX($V$7:$AL$7,MATCH(TRUE,INDEX($V897:$AW897&lt;&gt;0,),0)),IF(AY897=0,INDEX($AM$7:$AW$7,MATCH(1,$AM897:$AW897,0)),IF(BF897="Multiple strategies","mixed drivers",IF(BF897="Supply chain","multiple supply","multiple silviculture"))))</f>
        <v>technologies/design switch</v>
      </c>
      <c r="BF897" s="2" t="str" cm="1">
        <f t="array" ref="BF897">IF(COUNTIF(AZ897:BB897,"&lt;&gt;0")=1,INDEX($V$4:$AW$4,MATCH(TRUE,INDEX($V897:$AW897&lt;&gt;0,),0)),IF(COUNTIF(AZ897:BB897,"&lt;&gt;0")=0,INDEX($AM$4:$AW$4,MATCH(1,$AM897:$AW897,0)),"Multiple strategies"))</f>
        <v>Technology</v>
      </c>
      <c r="BG897" s="1" t="s">
        <v>229</v>
      </c>
      <c r="BH897" t="s">
        <v>277</v>
      </c>
      <c r="BI897" s="264" t="s">
        <v>3106</v>
      </c>
      <c r="BJ897" t="s">
        <v>278</v>
      </c>
      <c r="BK897">
        <v>0</v>
      </c>
      <c r="BL897">
        <v>91.149512158449113</v>
      </c>
      <c r="BN897">
        <f>BL897-BK897</f>
        <v>91.149512158449113</v>
      </c>
      <c r="BO897">
        <f>BN897*tC_to_m3</f>
        <v>395.78598418779472</v>
      </c>
      <c r="BP897" t="s">
        <v>232</v>
      </c>
      <c r="BQ897" s="337" t="s">
        <v>3107</v>
      </c>
      <c r="BR897" t="s">
        <v>279</v>
      </c>
      <c r="BS897">
        <v>-155.15650615919409</v>
      </c>
      <c r="BT897">
        <v>254.21120760929861</v>
      </c>
      <c r="BU897" s="144">
        <f>IFERROR(BT897/BS897,"")</f>
        <v>-1.6384179684251987</v>
      </c>
      <c r="BV897">
        <f>BT897-BS897</f>
        <v>409.36771376849271</v>
      </c>
      <c r="BX897">
        <f>BV897</f>
        <v>409.36771376849271</v>
      </c>
      <c r="BY897">
        <f>IFERROR(BX897/BO897,"")</f>
        <v>1.0343158427112307</v>
      </c>
      <c r="BZ897">
        <v>0</v>
      </c>
      <c r="CA897">
        <v>0</v>
      </c>
      <c r="CB897">
        <v>0</v>
      </c>
      <c r="CC897">
        <v>0</v>
      </c>
      <c r="CD897">
        <v>0</v>
      </c>
      <c r="CE897">
        <v>0</v>
      </c>
      <c r="CF897">
        <v>0</v>
      </c>
      <c r="CG897">
        <v>0</v>
      </c>
      <c r="CH897">
        <v>0</v>
      </c>
      <c r="CI897">
        <v>0</v>
      </c>
      <c r="CJ897">
        <v>0</v>
      </c>
      <c r="CK897">
        <v>0</v>
      </c>
      <c r="CL897">
        <v>0</v>
      </c>
      <c r="CM897">
        <v>0</v>
      </c>
      <c r="CN897" t="str">
        <f>IF($BL897&lt;$BK897,"refNeedCorrection","refOK")</f>
        <v>refOK</v>
      </c>
      <c r="CO897">
        <f>IF($CN897="refOK",$BK897,$BL897)</f>
        <v>0</v>
      </c>
      <c r="CP897">
        <f>IF($CN897="refOK",$BL897,$BK897)</f>
        <v>91.149512158449113</v>
      </c>
      <c r="CQ897">
        <f>IF($CN897="refOK",$BO897,-$BO897)</f>
        <v>395.78598418779472</v>
      </c>
      <c r="CR897">
        <f>IF($CN897="refOK",$BS897,$BT897)*IF($BP897="Emissions positive",-1,1)</f>
        <v>-155.15650615919409</v>
      </c>
      <c r="CS897">
        <f>IF($CN897="refOK",$BT897,$BS897)*IF($BP897="Emissions positive",-1,1)</f>
        <v>254.21120760929861</v>
      </c>
      <c r="CT897">
        <f>IF($CN897="refNeedCorrection",-BX897,BX897)*IF($BP897="Emissions positive",-1,1)</f>
        <v>409.36771376849271</v>
      </c>
      <c r="CU897">
        <f>IFERROR(CT897/CQ897,"")</f>
        <v>1.0343158427112307</v>
      </c>
      <c r="CV897" s="2">
        <f>IFERROR((CS897-CR897)/ABS(CR897),"")</f>
        <v>2.6384179684251987</v>
      </c>
      <c r="CW897" s="1" t="s">
        <v>234</v>
      </c>
      <c r="CX897" t="str">
        <f>IF(OR($CW897="prd",$CW897="std",$CW897="cit"),"loc",IF(OR($CW897="eur",$CW897="reg",$CW897="coy"),"reg",$CW897))</f>
        <v>loc</v>
      </c>
      <c r="CY897" t="s">
        <v>280</v>
      </c>
      <c r="DB897">
        <v>50</v>
      </c>
      <c r="DC897" t="str">
        <f>IF(DB897=0,"0",IF(AND(DB897&gt;=1,DB897&lt;=30),"1-30",IF(AND(DB897&gt;30,DB897&lt;=70),"31-70",IF(AND(DB897&gt;70,DB897&lt;=100),"71-100",IF(DB897&gt;100,"+100")))))</f>
        <v>31-70</v>
      </c>
      <c r="DD897">
        <v>0</v>
      </c>
      <c r="DE897">
        <v>0</v>
      </c>
      <c r="DF897">
        <v>0</v>
      </c>
      <c r="DG897">
        <v>1</v>
      </c>
      <c r="DI897">
        <f>SUM(DD897:DG897)</f>
        <v>1</v>
      </c>
      <c r="DJ897" t="str">
        <f>IF(DI897=1,INDEX($DD$7:$DG$7,MATCH(1,$DD897:$DG897,0)),"mixedProduct")</f>
        <v>TimberInput</v>
      </c>
      <c r="DK897">
        <f>IF(DD897=1,DK$7,0)</f>
        <v>0</v>
      </c>
      <c r="DL897">
        <f>IF(DE897=1,DL$7,0)</f>
        <v>0</v>
      </c>
      <c r="DM897">
        <f>IF(DF897=1,DM$7,0)</f>
        <v>0</v>
      </c>
      <c r="DN897" t="str">
        <f>IF(DG897=1,DN$7,0)</f>
        <v>Timber</v>
      </c>
      <c r="DO897">
        <v>0</v>
      </c>
      <c r="DP897">
        <v>1</v>
      </c>
      <c r="DQ897" t="s">
        <v>304</v>
      </c>
      <c r="DR897">
        <v>0</v>
      </c>
      <c r="DS897">
        <v>0</v>
      </c>
      <c r="DT897">
        <f>SUM(DO897:DP897)</f>
        <v>1</v>
      </c>
      <c r="DU897" s="143" t="str">
        <f>IF(DO897=1,"self-calculated DF",IF(DP897=1,"external DF used","explicit C balance"))</f>
        <v>external DF used</v>
      </c>
      <c r="DV897">
        <v>0</v>
      </c>
      <c r="DW897">
        <v>1</v>
      </c>
      <c r="DX897">
        <v>1</v>
      </c>
      <c r="DY897">
        <v>1</v>
      </c>
      <c r="DZ897">
        <v>1</v>
      </c>
      <c r="EA897" s="143">
        <v>0</v>
      </c>
      <c r="EB897">
        <v>1</v>
      </c>
      <c r="EC897">
        <v>1</v>
      </c>
      <c r="ED897">
        <v>0</v>
      </c>
      <c r="EE897">
        <v>1</v>
      </c>
      <c r="EF897">
        <v>1</v>
      </c>
      <c r="EG897">
        <v>1</v>
      </c>
      <c r="EH897">
        <v>0</v>
      </c>
      <c r="EI897" s="2">
        <v>0</v>
      </c>
      <c r="EK897" t="str">
        <f>IF(AND(AND(AND(OR($DX897=1,$DW897=1),OR($EC897=1,$EA897=1)),SUM($DV897:$DZ897,$EF897)&gt;=4),SUM($EA897:$EE897)&gt;=2),"Whole sector","")</f>
        <v>Whole sector</v>
      </c>
      <c r="EL897" t="str">
        <f>IF(AND(AND(OR($DX897=1,$DW897=1),AND($EC897=0,$EA897=0)),SUM($DV897:$DZ897,$EF897)&gt;=4),"Ecosystem approach","")</f>
        <v/>
      </c>
      <c r="EM897" s="2" t="str">
        <f>IF(AND(AND(AND($DX897=0,$DW897=0),OR($EC897=1,$EA897=1)),SUM($EB897:$EE897)&gt;=2),"Technology approach","")</f>
        <v/>
      </c>
      <c r="EP897" t="str">
        <f>IF(ISNUMBER(BU897),IF(ABS(BU897-[1]QC_indicators!$B$2)&gt;3*[1]QC_indicators!$C$2,"C ratio",IF(ISNUMBER(BY897),IF(ABS(BY897-[1]QC_indicators!$B$1)&gt;3*[1]QC_indicators!$C$1,"DF","no"))),IF(ISNUMBER(BY897),IF(ABS(BY897-[1]QC_indicators!$B$1)&gt;3*[1]QC_indicators!$C$1,"DF","no")))</f>
        <v>no</v>
      </c>
      <c r="EQ897" t="s">
        <v>286</v>
      </c>
      <c r="ER897" t="s">
        <v>296</v>
      </c>
      <c r="ET897" s="264" t="s">
        <v>3273</v>
      </c>
    </row>
    <row r="898" spans="1:150" ht="15" customHeight="1">
      <c r="D898" t="s">
        <v>691</v>
      </c>
      <c r="E898" t="s">
        <v>692</v>
      </c>
      <c r="G898" t="s">
        <v>693</v>
      </c>
      <c r="I898">
        <v>2007</v>
      </c>
      <c r="K898" s="295" t="s">
        <v>694</v>
      </c>
      <c r="M898" t="str">
        <f>LEFT($D898,FIND(",",$D898)-1)&amp;"_"&amp;I898&amp;L898</f>
        <v>Eriksson_2007</v>
      </c>
      <c r="N898" t="s">
        <v>222</v>
      </c>
      <c r="O898" t="s">
        <v>223</v>
      </c>
      <c r="Q898" s="264" t="s">
        <v>256</v>
      </c>
      <c r="R898" s="269" t="s">
        <v>1154</v>
      </c>
      <c r="S898" s="1" t="s">
        <v>695</v>
      </c>
      <c r="T898" t="s">
        <v>696</v>
      </c>
      <c r="U898" s="143" t="s">
        <v>704</v>
      </c>
      <c r="V898">
        <v>0</v>
      </c>
      <c r="W898">
        <v>0</v>
      </c>
      <c r="X898">
        <v>0</v>
      </c>
      <c r="Y898">
        <v>0</v>
      </c>
      <c r="Z898">
        <v>0</v>
      </c>
      <c r="AA898">
        <v>1</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s="141">
        <f>COUNTIF(V898:AW898,"&lt;&gt;0")</f>
        <v>1</v>
      </c>
      <c r="AY898" s="141">
        <f>COUNTIF(V898:AL898,"&lt;&gt;0")</f>
        <v>1</v>
      </c>
      <c r="AZ898">
        <f>COUNTIF(V898:AC898,"&lt;&gt;0")</f>
        <v>1</v>
      </c>
      <c r="BA898">
        <f>COUNTIF(AD898:AI898,"&lt;&gt;0")</f>
        <v>0</v>
      </c>
      <c r="BB898">
        <f>COUNTIF(AJ898:AL898,"&lt;&gt;0")</f>
        <v>0</v>
      </c>
      <c r="BC898">
        <f>COUNTIF(AS898:AW898,"&lt;&gt;0")</f>
        <v>0</v>
      </c>
      <c r="BD898">
        <f>COUNTIF(AM898:AR898,"&lt;&gt;0")</f>
        <v>0</v>
      </c>
      <c r="BE898" t="str" cm="1">
        <f t="array" ref="BE898">IF(AY898=1,INDEX($V$7:$AL$7,MATCH(TRUE,INDEX($V898:$AW898&lt;&gt;0,),0)),IF(AY898=0,INDEX($AM$7:$AW$7,MATCH(1,$AM898:$AW898,0)),IF(BF898="Multiple strategies","mixed drivers",IF(BF898="Supply chain","multiple supply","multiple silviculture"))))</f>
        <v>plantation density</v>
      </c>
      <c r="BF898" s="2" t="str" cm="1">
        <f t="array" ref="BF898">IF(COUNTIF(AZ898:BB898,"&lt;&gt;0")=1,INDEX($V$4:$AW$4,MATCH(TRUE,INDEX($V898:$AW898&lt;&gt;0,),0)),IF(COUNTIF(AZ898:BB898,"&lt;&gt;0")=0,INDEX($AM$4:$AW$4,MATCH(1,$AM898:$AW898,0)),"Multiple strategies"))</f>
        <v>Silviculture for productivity</v>
      </c>
      <c r="BG898" s="142" t="s">
        <v>321</v>
      </c>
      <c r="BH898" t="s">
        <v>698</v>
      </c>
      <c r="BI898" s="264" t="s">
        <v>699</v>
      </c>
      <c r="BJ898" s="143" t="s">
        <v>705</v>
      </c>
      <c r="BK898">
        <v>7.3</v>
      </c>
      <c r="BL898" s="143">
        <v>7.7</v>
      </c>
      <c r="BM898" s="143">
        <f>BL898/BK898</f>
        <v>1.0547945205479452</v>
      </c>
      <c r="BN898">
        <f>BL898-BK898</f>
        <v>0.40000000000000036</v>
      </c>
      <c r="BO898" s="143">
        <f>BN898</f>
        <v>0.40000000000000036</v>
      </c>
      <c r="BP898" t="s">
        <v>232</v>
      </c>
      <c r="BQ898" s="153" t="s">
        <v>701</v>
      </c>
      <c r="BR898" t="s">
        <v>702</v>
      </c>
      <c r="BS898" s="151">
        <v>1.93630573248407</v>
      </c>
      <c r="BT898" s="151">
        <v>2.050955414012734</v>
      </c>
      <c r="BU898">
        <f>BT898/BS898</f>
        <v>1.0592105263157905</v>
      </c>
      <c r="BV898">
        <f>BT898-BS898</f>
        <v>0.11464968152866395</v>
      </c>
      <c r="BX898">
        <f>BV898*C_to_CO2</f>
        <v>0.42076433121019668</v>
      </c>
      <c r="BY898">
        <f>IFERROR(BX898/BO898,"")</f>
        <v>1.0519108280254907</v>
      </c>
      <c r="BZ898" s="143">
        <v>0</v>
      </c>
      <c r="CA898" s="143">
        <v>0</v>
      </c>
      <c r="CB898" s="143">
        <v>0</v>
      </c>
      <c r="CC898" s="143">
        <v>0</v>
      </c>
      <c r="CD898" s="143">
        <v>0</v>
      </c>
      <c r="CE898" s="143">
        <v>0</v>
      </c>
      <c r="CF898" s="143">
        <v>0</v>
      </c>
      <c r="CG898" s="143">
        <v>0</v>
      </c>
      <c r="CH898" s="143">
        <v>0</v>
      </c>
      <c r="CI898" s="143">
        <v>0</v>
      </c>
      <c r="CJ898" s="143">
        <v>0</v>
      </c>
      <c r="CK898" s="143">
        <v>0</v>
      </c>
      <c r="CL898" s="143">
        <v>0</v>
      </c>
      <c r="CM898">
        <v>0</v>
      </c>
      <c r="CN898" t="str">
        <f>IF($BL898&lt;$BK898,"refNeedCorrection","refOK")</f>
        <v>refOK</v>
      </c>
      <c r="CO898">
        <f>IF($CN898="refOK",$BK898,$BL898)</f>
        <v>7.3</v>
      </c>
      <c r="CP898">
        <f>IF($CN898="refOK",$BL898,$BK898)</f>
        <v>7.7</v>
      </c>
      <c r="CQ898">
        <f>IF($CN898="refOK",$BO898,-$BO898)</f>
        <v>0.40000000000000036</v>
      </c>
      <c r="CR898">
        <f>IF($CN898="refOK",$BS898,$BT898)*IF($BP898="Emissions positive",-1,1)</f>
        <v>1.93630573248407</v>
      </c>
      <c r="CS898">
        <f>IF($CN898="refOK",$BT898,$BS898)*IF($BP898="Emissions positive",-1,1)</f>
        <v>2.050955414012734</v>
      </c>
      <c r="CT898">
        <f>IF($CN898="refNeedCorrection",-BX898,BX898)*IF($BP898="Emissions positive",-1,1)</f>
        <v>0.42076433121019668</v>
      </c>
      <c r="CU898">
        <f>IFERROR(CT898/CQ898,"")</f>
        <v>1.0519108280254907</v>
      </c>
      <c r="CV898" s="2">
        <f>IFERROR((CS898-CR898)/ABS(CR898),"")</f>
        <v>5.9210526315790463E-2</v>
      </c>
      <c r="CW898" s="1" t="s">
        <v>234</v>
      </c>
      <c r="CX898" s="264" t="str">
        <f>IF(OR($CW898="prd",$CW898="std",$CW898="cit"),"loc",IF(OR($CW898="eur",$CW898="reg",$CW898="coy"),"reg",$CW898))</f>
        <v>loc</v>
      </c>
      <c r="CY898" t="s">
        <v>264</v>
      </c>
      <c r="DA898" s="143"/>
      <c r="DB898" s="143">
        <v>300</v>
      </c>
      <c r="DC898" t="str">
        <f>IF(DB898=0,"0",IF(AND(DB898&gt;=1,DB898&lt;=30),"1-30",IF(AND(DB898&gt;30,DB898&lt;=70),"31-70",IF(AND(DB898&gt;70,DB898&lt;=100),"71-100",IF(DB898&gt;100,"+100")))))</f>
        <v>+100</v>
      </c>
      <c r="DD898">
        <v>0</v>
      </c>
      <c r="DE898">
        <v>0</v>
      </c>
      <c r="DF898">
        <v>0</v>
      </c>
      <c r="DG898">
        <v>1</v>
      </c>
      <c r="DI898">
        <f>SUM(DD898:DG898)</f>
        <v>1</v>
      </c>
      <c r="DJ898" t="str">
        <f>IF(DI898=1,INDEX($DD$7:$DG$7,MATCH(1,$DD898:$DG898,0)),"mixedProduct")</f>
        <v>TimberInput</v>
      </c>
      <c r="DK898">
        <f>IF(DD898=1,DK$7,0)</f>
        <v>0</v>
      </c>
      <c r="DL898">
        <f>IF(DE898=1,DL$7,0)</f>
        <v>0</v>
      </c>
      <c r="DM898">
        <f>IF(DF898=1,DM$7,0)</f>
        <v>0</v>
      </c>
      <c r="DN898" t="str">
        <f>IF(DG898=1,DN$7,0)</f>
        <v>Timber</v>
      </c>
      <c r="DO898">
        <v>1</v>
      </c>
      <c r="DP898" s="143">
        <v>0</v>
      </c>
      <c r="DQ898" s="143">
        <v>0</v>
      </c>
      <c r="DR898">
        <v>0</v>
      </c>
      <c r="DS898" s="143">
        <v>0</v>
      </c>
      <c r="DT898">
        <f>SUM(DO898:DP898)</f>
        <v>1</v>
      </c>
      <c r="DU898" s="143" t="str">
        <f>IF(DO898=1,"self-calculated DF",IF(DP898=1,"external DF used","explicit C balance"))</f>
        <v>self-calculated DF</v>
      </c>
      <c r="DV898" s="143">
        <v>1</v>
      </c>
      <c r="DW898" s="143">
        <v>1</v>
      </c>
      <c r="DX898" s="143">
        <v>0</v>
      </c>
      <c r="DY898" s="143">
        <v>0</v>
      </c>
      <c r="DZ898">
        <v>0</v>
      </c>
      <c r="EA898" s="143">
        <v>1</v>
      </c>
      <c r="EB898" s="143">
        <v>1</v>
      </c>
      <c r="EC898" s="143">
        <v>1</v>
      </c>
      <c r="ED898" s="143">
        <v>0</v>
      </c>
      <c r="EE898">
        <v>0</v>
      </c>
      <c r="EF898">
        <v>1</v>
      </c>
      <c r="EG898" s="143">
        <v>0</v>
      </c>
      <c r="EH898" s="143">
        <v>0</v>
      </c>
      <c r="EI898" s="2">
        <v>0</v>
      </c>
      <c r="EK898" t="str">
        <f>IF(AND(AND(AND(OR($DX898=1,$DW898=1),OR($EC898=1,$EA898=1)),SUM($DV898:$DZ898,$EF898)&gt;=4),SUM($EA898:$EE898)&gt;=2),"Whole sector","")</f>
        <v/>
      </c>
      <c r="EL898" t="str">
        <f>IF(AND(AND(OR($DX898=1,$DW898=1),AND($EC898=0,$EA898=0)),SUM($DV898:$DZ898,$EF898)&gt;=4),"Ecosystem approach","")</f>
        <v/>
      </c>
      <c r="EM898" s="2" t="str">
        <f>IF(AND(AND(AND($DX898=0,$DW898=0),OR($EC898=1,$EA898=1)),SUM($EB898:$EE898)&gt;=2),"Technology approach","")</f>
        <v/>
      </c>
      <c r="EP898" t="str">
        <f>IF(ISNUMBER(BU898),IF(ABS(BU898-[3]QC_indicators!$B$2)&gt;3*[3]QC_indicators!$C$2,"C ratio",IF(ISNUMBER(BY898),IF(ABS(BY898-[3]QC_indicators!$B$1)&gt;3*[3]QC_indicators!$C$1,"DF","no"))),IF(ISNUMBER(BY898),IF(ABS(BY898-[3]QC_indicators!$B$1)&gt;3*[3]QC_indicators!$C$1,"DF","no")))</f>
        <v>no</v>
      </c>
      <c r="ER898" s="264" t="s">
        <v>706</v>
      </c>
      <c r="ET898" s="264" t="s">
        <v>3407</v>
      </c>
    </row>
    <row r="899" spans="1:150" ht="15" customHeight="1">
      <c r="A899" s="1" t="s">
        <v>247</v>
      </c>
      <c r="B899" t="s">
        <v>1028</v>
      </c>
      <c r="C899" t="s">
        <v>1029</v>
      </c>
      <c r="D899" t="s">
        <v>1030</v>
      </c>
      <c r="E899" t="s">
        <v>1031</v>
      </c>
      <c r="F899" t="s">
        <v>1032</v>
      </c>
      <c r="G899" t="s">
        <v>253</v>
      </c>
      <c r="H899" t="s">
        <v>254</v>
      </c>
      <c r="I899">
        <v>2021</v>
      </c>
      <c r="J899">
        <v>0</v>
      </c>
      <c r="K899" t="s">
        <v>1033</v>
      </c>
      <c r="M899" t="str">
        <f>LEFT($D899,FIND(",",$D899)-1)&amp;"_"&amp;I899&amp;L899</f>
        <v>Piccardo_2021</v>
      </c>
      <c r="N899" t="s">
        <v>222</v>
      </c>
      <c r="O899" s="171" t="s">
        <v>513</v>
      </c>
      <c r="P899" s="141" t="s">
        <v>225</v>
      </c>
      <c r="Q899" t="s">
        <v>389</v>
      </c>
      <c r="R899" s="262" t="s">
        <v>223</v>
      </c>
      <c r="S899" s="1" t="s">
        <v>1042</v>
      </c>
      <c r="T899" s="264" t="s">
        <v>3220</v>
      </c>
      <c r="U899" s="264" t="s">
        <v>3218</v>
      </c>
      <c r="V899">
        <v>0</v>
      </c>
      <c r="W899">
        <v>0</v>
      </c>
      <c r="X899">
        <v>0</v>
      </c>
      <c r="Y899">
        <v>0</v>
      </c>
      <c r="Z899">
        <v>0</v>
      </c>
      <c r="AA899">
        <v>0</v>
      </c>
      <c r="AB899">
        <v>0</v>
      </c>
      <c r="AC899">
        <v>0</v>
      </c>
      <c r="AD899">
        <v>0</v>
      </c>
      <c r="AE899">
        <v>0</v>
      </c>
      <c r="AF899">
        <v>0</v>
      </c>
      <c r="AG899">
        <v>0</v>
      </c>
      <c r="AH899">
        <v>0</v>
      </c>
      <c r="AI899">
        <v>0</v>
      </c>
      <c r="AJ899">
        <v>0</v>
      </c>
      <c r="AK899">
        <v>1</v>
      </c>
      <c r="AL899">
        <v>0</v>
      </c>
      <c r="AM899">
        <v>0</v>
      </c>
      <c r="AN899">
        <v>0</v>
      </c>
      <c r="AO899">
        <v>0</v>
      </c>
      <c r="AP899">
        <v>0</v>
      </c>
      <c r="AQ899">
        <v>0</v>
      </c>
      <c r="AR899">
        <v>0</v>
      </c>
      <c r="AS899">
        <v>0</v>
      </c>
      <c r="AT899">
        <v>0</v>
      </c>
      <c r="AU899">
        <v>0</v>
      </c>
      <c r="AV899">
        <v>0</v>
      </c>
      <c r="AW899">
        <v>0</v>
      </c>
      <c r="AX899" s="141">
        <f>COUNTIF(V899:AW899,"&lt;&gt;0")</f>
        <v>1</v>
      </c>
      <c r="AY899" s="141">
        <f>COUNTIF(V899:AL899,"&lt;&gt;0")</f>
        <v>1</v>
      </c>
      <c r="AZ899">
        <f>COUNTIF(V899:AC899,"&lt;&gt;0")</f>
        <v>0</v>
      </c>
      <c r="BA899">
        <f>COUNTIF(AD899:AI899,"&lt;&gt;0")</f>
        <v>0</v>
      </c>
      <c r="BB899">
        <f>COUNTIF(AJ899:AL899,"&lt;&gt;0")</f>
        <v>1</v>
      </c>
      <c r="BC899">
        <f>COUNTIF(AS899:AW899,"&lt;&gt;0")</f>
        <v>0</v>
      </c>
      <c r="BD899">
        <f>COUNTIF(AM899:AR899,"&lt;&gt;0")</f>
        <v>0</v>
      </c>
      <c r="BE899" t="str">
        <f t="array" ref="BE899">IF(AY899=1,INDEX($V$7:$AL$7,MATCH(TRUE,INDEX($V899:$AW899&lt;&gt;0,),0)),IF(AY899=0,INDEX($AM$7:$AW$7,MATCH(1,$AM899:$AW899,0)),IF(BF899="Multiple strategies","mixed drivers",IF(BF899="Supply chain","multiple supply","multiple silviculture"))))</f>
        <v>technologies/design switch</v>
      </c>
      <c r="BF899" s="2" t="str" cm="1">
        <f t="array" ref="BF899">IF(COUNTIF(AZ899:BB899,"&lt;&gt;0")=1,INDEX($V$4:$AW$4,MATCH(TRUE,INDEX($V899:$AW899&lt;&gt;0,),0)),IF(COUNTIF(AZ899:BB899,"&lt;&gt;0")=0,INDEX($AM$4:$AW$4,MATCH(1,$AM899:$AW899,0)),"Multiple strategies"))</f>
        <v>Technology</v>
      </c>
      <c r="BG899" s="142" t="s">
        <v>229</v>
      </c>
      <c r="BH899" t="s">
        <v>1035</v>
      </c>
      <c r="BI899" t="s">
        <v>1036</v>
      </c>
      <c r="BJ899" t="s">
        <v>1037</v>
      </c>
      <c r="BK899">
        <f>35+3+20+8+8</f>
        <v>74</v>
      </c>
      <c r="BL899">
        <f>175+40+77+18+35+3+8+8</f>
        <v>364</v>
      </c>
      <c r="BM899">
        <f>IFERROR(BL899/BK899,"")</f>
        <v>4.9189189189189193</v>
      </c>
      <c r="BN899">
        <f>BL899-BK899</f>
        <v>290</v>
      </c>
      <c r="BO899">
        <f>BN899*t_to_m3</f>
        <v>591.83673469387759</v>
      </c>
      <c r="BP899" t="s">
        <v>395</v>
      </c>
      <c r="BQ899" t="s">
        <v>1038</v>
      </c>
      <c r="BR899" t="s">
        <v>1039</v>
      </c>
      <c r="BS899">
        <v>267</v>
      </c>
      <c r="BT899">
        <v>-370</v>
      </c>
      <c r="BU899" s="144"/>
      <c r="BV899">
        <f>(BT899-BS899)</f>
        <v>-637</v>
      </c>
      <c r="BX899">
        <f>BV899</f>
        <v>-637</v>
      </c>
      <c r="BY899">
        <f>IFERROR(BX899/BO899,"")</f>
        <v>-1.0763103448275861</v>
      </c>
      <c r="BZ899">
        <v>0</v>
      </c>
      <c r="CA899">
        <v>0</v>
      </c>
      <c r="CB899">
        <v>0</v>
      </c>
      <c r="CC899">
        <v>0</v>
      </c>
      <c r="CD899">
        <v>0</v>
      </c>
      <c r="CE899">
        <v>0</v>
      </c>
      <c r="CF899">
        <v>0</v>
      </c>
      <c r="CG899">
        <v>0</v>
      </c>
      <c r="CH899">
        <v>0</v>
      </c>
      <c r="CI899">
        <v>0</v>
      </c>
      <c r="CJ899">
        <v>0</v>
      </c>
      <c r="CK899">
        <v>0</v>
      </c>
      <c r="CL899">
        <v>0</v>
      </c>
      <c r="CM899">
        <v>0</v>
      </c>
      <c r="CN899" t="str">
        <f>IF($BL899&lt;$BK899,"refNeedCorrection","refOK")</f>
        <v>refOK</v>
      </c>
      <c r="CO899">
        <f>IF($CN899="refOK",$BK899,$BL899)</f>
        <v>74</v>
      </c>
      <c r="CP899">
        <f>IF($CN899="refOK",$BL899,$BK899)</f>
        <v>364</v>
      </c>
      <c r="CQ899">
        <f>IF($CN899="refOK",$BO899,-$BO899)</f>
        <v>591.83673469387759</v>
      </c>
      <c r="CR899">
        <f>IF($CN899="refOK",$BS899,$BT899)*IF($BP899="Emissions positive",-1,1)</f>
        <v>-267</v>
      </c>
      <c r="CS899">
        <f>IF($CN899="refOK",$BT899,$BS899)*IF($BP899="Emissions positive",-1,1)</f>
        <v>370</v>
      </c>
      <c r="CT899">
        <f>IF($CN899="refNeedCorrection",-BX899,BX899)*IF($BP899="Emissions positive",-1,1)</f>
        <v>637</v>
      </c>
      <c r="CU899">
        <f>IFERROR(CT899/CQ899,"")</f>
        <v>1.0763103448275861</v>
      </c>
      <c r="CV899" s="2">
        <f>IFERROR((CS899-CR899)/ABS(CR899),"")</f>
        <v>2.3857677902621721</v>
      </c>
      <c r="CW899" s="1" t="s">
        <v>263</v>
      </c>
      <c r="CX899" t="str">
        <f>IF(OR($CW899="prd",$CW899="std",$CW899="cit"),"loc",IF(OR($CW899="eur",$CW899="reg",$CW899="coy"),"reg",$CW899))</f>
        <v>loc</v>
      </c>
      <c r="CY899" t="s">
        <v>743</v>
      </c>
      <c r="DB899">
        <v>50</v>
      </c>
      <c r="DC899" t="str">
        <f>IF(DB899=0,"0",IF(AND(DB899&gt;=1,DB899&lt;=30),"1-30",IF(AND(DB899&gt;30,DB899&lt;=70),"31-70",IF(AND(DB899&gt;70,DB899&lt;=100),"71-100",IF(DB899&gt;100,"+100")))))</f>
        <v>31-70</v>
      </c>
      <c r="DD899">
        <v>0</v>
      </c>
      <c r="DE899">
        <v>0</v>
      </c>
      <c r="DF899">
        <v>1</v>
      </c>
      <c r="DG899">
        <v>1</v>
      </c>
      <c r="DI899">
        <f>SUM(DD899:DG899)</f>
        <v>2</v>
      </c>
      <c r="DJ899" t="str">
        <f>IF(DI899=1,INDEX($DD$7:$DG$7,MATCH(1,$DD899:$DG899,0)),"mixedProduct")</f>
        <v>mixedProduct</v>
      </c>
      <c r="DK899">
        <f>IF(DD899=1,DK$7,0)</f>
        <v>0</v>
      </c>
      <c r="DL899">
        <f>IF(DE899=1,DL$7,0)</f>
        <v>0</v>
      </c>
      <c r="DM899" t="str">
        <f>IF(DF899=1,DM$7,0)</f>
        <v>Pulp/Paper</v>
      </c>
      <c r="DN899" t="str">
        <f>IF(DG899=1,DN$7,0)</f>
        <v>Timber</v>
      </c>
      <c r="DO899">
        <v>1</v>
      </c>
      <c r="DP899">
        <v>0</v>
      </c>
      <c r="DQ899">
        <v>0</v>
      </c>
      <c r="DR899">
        <v>0</v>
      </c>
      <c r="DS899">
        <v>0</v>
      </c>
      <c r="DT899">
        <f>SUM(DO899:DP899)</f>
        <v>1</v>
      </c>
      <c r="DU899" s="143" t="str">
        <f>IF(DO899=1,"self-calculated DF",IF(DP899=1,"external DF used","explicit C balance"))</f>
        <v>self-calculated DF</v>
      </c>
      <c r="DV899">
        <v>0</v>
      </c>
      <c r="DW899">
        <v>0</v>
      </c>
      <c r="DX899">
        <v>0</v>
      </c>
      <c r="DY899">
        <v>1</v>
      </c>
      <c r="DZ899">
        <v>1</v>
      </c>
      <c r="EA899">
        <v>1</v>
      </c>
      <c r="EB899">
        <v>0</v>
      </c>
      <c r="EC899">
        <v>1</v>
      </c>
      <c r="ED899">
        <v>1</v>
      </c>
      <c r="EE899">
        <v>1</v>
      </c>
      <c r="EF899">
        <v>0</v>
      </c>
      <c r="EG899" s="143">
        <v>0</v>
      </c>
      <c r="EH899" s="143">
        <v>0</v>
      </c>
      <c r="EI899" s="2">
        <v>0</v>
      </c>
      <c r="EK899" t="str">
        <f>IF(AND(AND(AND(OR($DX899=1,$DW899=1),OR($EC899=1,$EA899=1)),SUM($DV899:$DZ899,$EF899)&gt;=4),SUM($EA899:$EE899)&gt;=2),"Whole sector","")</f>
        <v/>
      </c>
      <c r="EL899" t="str">
        <f>IF(AND(AND(OR($DX899=1,$DW899=1),AND($EC899=0,$EA899=0)),SUM($DV899:$DZ899,$EF899)&gt;=4),"Ecosystem approach","")</f>
        <v/>
      </c>
      <c r="EM899" s="2" t="str">
        <f>IF(AND(AND(AND($DX899=0,$DW899=0),OR($EC899=1,$EA899=1)),SUM($EB899:$EE899)&gt;=2),"Technology approach","")</f>
        <v>Technology approach</v>
      </c>
      <c r="EP899" t="str">
        <f>IF(ISNUMBER(BU899),IF(ABS(BU899-[1]QC_indicators!$B$2)&gt;3*[1]QC_indicators!$C$2,"C ratio",IF(ISNUMBER(BY899),IF(ABS(BY899-[1]QC_indicators!$B$1)&gt;3*[1]QC_indicators!$C$1,"DF","no"))),IF(ISNUMBER(BY899),IF(ABS(BY899-[1]QC_indicators!$B$1)&gt;3*[1]QC_indicators!$C$1,"DF","no")))</f>
        <v>no</v>
      </c>
      <c r="ET899" s="264" t="s">
        <v>3216</v>
      </c>
    </row>
    <row r="900" spans="1:150" ht="15" customHeight="1">
      <c r="A900" s="1" t="s">
        <v>1102</v>
      </c>
      <c r="B900" t="s">
        <v>2381</v>
      </c>
      <c r="C900" t="s">
        <v>2382</v>
      </c>
      <c r="D900" t="s">
        <v>2383</v>
      </c>
      <c r="E900" t="s">
        <v>2384</v>
      </c>
      <c r="F900" t="s">
        <v>2385</v>
      </c>
      <c r="G900" t="s">
        <v>1108</v>
      </c>
      <c r="H900" t="s">
        <v>254</v>
      </c>
      <c r="I900">
        <v>2016</v>
      </c>
      <c r="J900">
        <v>13</v>
      </c>
      <c r="K900" t="s">
        <v>2386</v>
      </c>
      <c r="M900" t="str">
        <f>LEFT($D900,FIND(",",$D900)-1)&amp;"_"&amp;I900&amp;L900</f>
        <v>Torssonen_2016</v>
      </c>
      <c r="N900" t="s">
        <v>222</v>
      </c>
      <c r="O900" s="145" t="s">
        <v>1154</v>
      </c>
      <c r="Q900" s="264" t="s">
        <v>256</v>
      </c>
      <c r="R900" s="269" t="s">
        <v>341</v>
      </c>
      <c r="S900" s="1" t="s">
        <v>2387</v>
      </c>
      <c r="T900" t="s">
        <v>2388</v>
      </c>
      <c r="U900" s="264" t="s">
        <v>2399</v>
      </c>
      <c r="V900">
        <v>0</v>
      </c>
      <c r="W900">
        <v>0</v>
      </c>
      <c r="X900">
        <v>0</v>
      </c>
      <c r="Y900">
        <v>1</v>
      </c>
      <c r="Z900">
        <v>0</v>
      </c>
      <c r="AA900">
        <v>0</v>
      </c>
      <c r="AB900">
        <v>1</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s="141">
        <f>COUNTIF(V900:AW900,"&lt;&gt;0")</f>
        <v>2</v>
      </c>
      <c r="AY900" s="141">
        <f>COUNTIF(V900:AL900,"&lt;&gt;0")</f>
        <v>2</v>
      </c>
      <c r="AZ900">
        <f>COUNTIF(V900:AC900,"&lt;&gt;0")</f>
        <v>2</v>
      </c>
      <c r="BA900">
        <f>COUNTIF(AD900:AI900,"&lt;&gt;0")</f>
        <v>0</v>
      </c>
      <c r="BB900">
        <f>COUNTIF(AJ900:AL900,"&lt;&gt;0")</f>
        <v>0</v>
      </c>
      <c r="BC900">
        <f>COUNTIF(AS900:AW900,"&lt;&gt;0")</f>
        <v>0</v>
      </c>
      <c r="BD900">
        <f>COUNTIF(AM900:AR900,"&lt;&gt;0")</f>
        <v>0</v>
      </c>
      <c r="BE900" t="str" cm="1">
        <f t="array" ref="BE900">IF(AY900=1,INDEX($V$7:$AL$7,MATCH(TRUE,INDEX($V900:$AW900&lt;&gt;0,),0)),IF(AY900=0,INDEX($AM$7:$AW$7,MATCH(1,$AM900:$AW900,0)),IF(BF900="Multiple strategies","mixed drivers",IF(BF900="Supply chain","multiple supply","multiple silviculture"))))</f>
        <v>multiple silviculture</v>
      </c>
      <c r="BF900" s="2" t="str" cm="1">
        <f t="array" ref="BF900">IF(COUNTIF(AZ900:BB900,"&lt;&gt;0")=1,INDEX($V$4:$AW$4,MATCH(TRUE,INDEX($V900:$AW900&lt;&gt;0,),0)),IF(COUNTIF(AZ900:BB900,"&lt;&gt;0")=0,INDEX($AM$4:$AW$4,MATCH(1,$AM900:$AW900,0)),"Multiple strategies"))</f>
        <v>Silviculture for removals</v>
      </c>
      <c r="BG900" s="1" t="s">
        <v>229</v>
      </c>
      <c r="BH900" t="s">
        <v>2390</v>
      </c>
      <c r="BI900" s="264" t="s">
        <v>2391</v>
      </c>
      <c r="BJ900" t="s">
        <v>2392</v>
      </c>
      <c r="BK900">
        <v>0</v>
      </c>
      <c r="BL900">
        <v>0.35</v>
      </c>
      <c r="BM900" s="143" t="e">
        <f>BL900/BK900</f>
        <v>#DIV/0!</v>
      </c>
      <c r="BN900">
        <f>BL900-BK900</f>
        <v>0.35</v>
      </c>
      <c r="BO900">
        <f>+BL900*t_to_m3</f>
        <v>0.7142857142857143</v>
      </c>
      <c r="BP900" s="306" t="s">
        <v>395</v>
      </c>
      <c r="BQ900" s="153" t="s">
        <v>3421</v>
      </c>
      <c r="BR900" s="264" t="s">
        <v>2393</v>
      </c>
      <c r="BS900">
        <v>-247.272727272727</v>
      </c>
      <c r="BT900">
        <v>-324.36363636363598</v>
      </c>
      <c r="BU900" s="144"/>
      <c r="BV900" s="144">
        <f>BT900-BS900</f>
        <v>-77.09090909090898</v>
      </c>
      <c r="BW900" s="144"/>
      <c r="BX900" s="144">
        <f>BV900*10^4/10^6</f>
        <v>-0.77090909090908977</v>
      </c>
      <c r="BY900">
        <f>IFERROR(BX900/BO900,"")</f>
        <v>-1.0792727272727256</v>
      </c>
      <c r="BZ900">
        <v>0</v>
      </c>
      <c r="CA900">
        <v>0</v>
      </c>
      <c r="CB900">
        <v>0</v>
      </c>
      <c r="CC900">
        <v>0</v>
      </c>
      <c r="CD900">
        <v>0</v>
      </c>
      <c r="CE900">
        <v>0</v>
      </c>
      <c r="CF900">
        <v>0</v>
      </c>
      <c r="CG900">
        <v>0</v>
      </c>
      <c r="CH900">
        <v>0</v>
      </c>
      <c r="CI900">
        <v>0</v>
      </c>
      <c r="CJ900">
        <v>0</v>
      </c>
      <c r="CK900">
        <v>0</v>
      </c>
      <c r="CL900">
        <v>0</v>
      </c>
      <c r="CM900">
        <v>1</v>
      </c>
      <c r="CN900" t="str">
        <f>IF($BL900&lt;$BK900,"refNeedCorrection","refOK")</f>
        <v>refOK</v>
      </c>
      <c r="CO900">
        <f>IF($CN900="refOK",$BK900,$BL900)</f>
        <v>0</v>
      </c>
      <c r="CP900">
        <f>IF($CN900="refOK",$BL900,$BK900)</f>
        <v>0.35</v>
      </c>
      <c r="CQ900">
        <f>IF($CN900="refOK",$BO900,-$BO900)</f>
        <v>0.7142857142857143</v>
      </c>
      <c r="CR900">
        <f>IF($CN900="refOK",$BS900,$BT900)*IF($BP900="Emissions positive",-1,1)</f>
        <v>247.272727272727</v>
      </c>
      <c r="CS900">
        <f>IF($CN900="refOK",$BT900,$BS900)*IF($BP900="Emissions positive",-1,1)</f>
        <v>324.36363636363598</v>
      </c>
      <c r="CT900">
        <f>IF($CN900="refNeedCorrection",-BX900,BX900)*IF($BP900="Emissions positive",-1,1)</f>
        <v>0.77090909090908977</v>
      </c>
      <c r="CU900">
        <f>IFERROR(CT900/CQ900,"")</f>
        <v>1.0792727272727256</v>
      </c>
      <c r="CV900" s="2">
        <f>IFERROR((CS900-CR900)/ABS(CR900),"")</f>
        <v>0.31176470588235283</v>
      </c>
      <c r="CW900" s="1" t="s">
        <v>1199</v>
      </c>
      <c r="CX900" s="264" t="str">
        <f>IF(OR($CW900="prd",$CW900="std",$CW900="cit"),"loc",IF(OR($CW900="eur",$CW900="reg",$CW900="coy"),"reg",$CW900))</f>
        <v>reg</v>
      </c>
      <c r="CY900" t="s">
        <v>235</v>
      </c>
      <c r="CZ900">
        <v>2020</v>
      </c>
      <c r="DA900">
        <v>2100</v>
      </c>
      <c r="DB900">
        <f>DA900-CZ900</f>
        <v>80</v>
      </c>
      <c r="DC900" t="str">
        <f>IF(DB900=0,"0",IF(AND(DB900&gt;=1,DB900&lt;=30),"1-30",IF(AND(DB900&gt;30,DB900&lt;=70),"31-70",IF(AND(DB900&gt;70,DB900&lt;=100),"71-100",IF(DB900&gt;100,"+100")))))</f>
        <v>71-100</v>
      </c>
      <c r="DD900">
        <v>0</v>
      </c>
      <c r="DE900">
        <v>1</v>
      </c>
      <c r="DF900">
        <v>0</v>
      </c>
      <c r="DG900">
        <v>0</v>
      </c>
      <c r="DI900">
        <f>SUM(DD900:DG900)</f>
        <v>1</v>
      </c>
      <c r="DJ900" t="str">
        <f>IF(DI900=1,INDEX($DD$7:$DG$7,MATCH(1,$DD900:$DG900,0)),"mixedProduct")</f>
        <v>EnergyInput</v>
      </c>
      <c r="DK900">
        <f>IF(DD900=1,DK$7,0)</f>
        <v>0</v>
      </c>
      <c r="DL900" t="str">
        <f>IF(DE900=1,DL$7,0)</f>
        <v>Energy</v>
      </c>
      <c r="DM900">
        <f>IF(DF900=1,DM$7,0)</f>
        <v>0</v>
      </c>
      <c r="DN900">
        <f>IF(DG900=1,DN$7,0)</f>
        <v>0</v>
      </c>
      <c r="DO900">
        <v>1</v>
      </c>
      <c r="DP900">
        <v>0</v>
      </c>
      <c r="DQ900">
        <v>0</v>
      </c>
      <c r="DR900">
        <v>0</v>
      </c>
      <c r="DS900">
        <v>0</v>
      </c>
      <c r="DT900">
        <f>SUM(DO900:DP900)</f>
        <v>1</v>
      </c>
      <c r="DU900" s="143" t="str">
        <f>IF(DO900=1,"self-calculated DF",IF(DP900=1,"external DF used","explicit C balance"))</f>
        <v>self-calculated DF</v>
      </c>
      <c r="DV900">
        <v>1</v>
      </c>
      <c r="DW900">
        <v>0</v>
      </c>
      <c r="DX900">
        <v>1</v>
      </c>
      <c r="DY900">
        <v>0</v>
      </c>
      <c r="DZ900">
        <v>0</v>
      </c>
      <c r="EA900" s="143">
        <v>0</v>
      </c>
      <c r="EB900">
        <v>0</v>
      </c>
      <c r="EC900">
        <v>0</v>
      </c>
      <c r="ED900">
        <v>0</v>
      </c>
      <c r="EE900">
        <v>0</v>
      </c>
      <c r="EF900">
        <v>1</v>
      </c>
      <c r="EG900">
        <v>0</v>
      </c>
      <c r="EH900">
        <v>0</v>
      </c>
      <c r="EI900" s="2">
        <v>0</v>
      </c>
      <c r="EK900" t="str">
        <f>IF(AND(AND(AND(OR($DX900=1,$DW900=1),OR($EC900=1,$EA900=1)),SUM($DV900:$DZ900,$EF900)&gt;=4),SUM($EA900:$EE900)&gt;=2),"Whole sector","")</f>
        <v/>
      </c>
      <c r="EL900" t="str">
        <f>IF(AND(AND(OR($DX900=1,$DW900=1),AND($EC900=0,$EA900=0)),SUM($DV900:$DZ900,$EF900)&gt;=4),"Ecosystem approach","")</f>
        <v/>
      </c>
      <c r="EM900" s="2" t="str">
        <f>IF(AND(AND(AND($DX900=0,$DW900=0),OR($EC900=1,$EA900=1)),SUM($EB900:$EE900)&gt;=2),"Technology approach","")</f>
        <v/>
      </c>
      <c r="EP900" t="str">
        <f>IF(ISNUMBER(BU900),IF(ABS(BU900-[3]QC_indicators!$B$2)&gt;3*[3]QC_indicators!$C$2,"C ratio",IF(ISNUMBER(BY900),IF(ABS(BY900-[3]QC_indicators!$B$1)&gt;3*[3]QC_indicators!$C$1,"DF","no"))),IF(ISNUMBER(BY900),IF(ABS(BY900-[3]QC_indicators!$B$1)&gt;3*[3]QC_indicators!$C$1,"DF","no")))</f>
        <v>no</v>
      </c>
      <c r="ER900" s="264" t="s">
        <v>2394</v>
      </c>
      <c r="ET900" s="306" t="s">
        <v>3422</v>
      </c>
    </row>
    <row r="901" spans="1:150" ht="15" customHeight="1">
      <c r="A901" s="1" t="s">
        <v>656</v>
      </c>
      <c r="B901" t="s">
        <v>2080</v>
      </c>
      <c r="C901" t="s">
        <v>2081</v>
      </c>
      <c r="D901" t="s">
        <v>2082</v>
      </c>
      <c r="E901" t="s">
        <v>2083</v>
      </c>
      <c r="F901" t="s">
        <v>2084</v>
      </c>
      <c r="G901" t="s">
        <v>662</v>
      </c>
      <c r="H901" t="s">
        <v>254</v>
      </c>
      <c r="I901">
        <v>2020</v>
      </c>
      <c r="J901">
        <v>4</v>
      </c>
      <c r="K901" t="s">
        <v>2085</v>
      </c>
      <c r="M901" t="str">
        <f>LEFT($D901,FIND(",",$D901)-1)&amp;"_"&amp;I901&amp;L901</f>
        <v>Palus_2020</v>
      </c>
      <c r="N901" t="s">
        <v>222</v>
      </c>
      <c r="O901" s="157" t="s">
        <v>513</v>
      </c>
      <c r="P901" t="s">
        <v>223</v>
      </c>
      <c r="Q901" t="s">
        <v>389</v>
      </c>
      <c r="R901" s="255" t="s">
        <v>225</v>
      </c>
      <c r="T901" t="s">
        <v>1201</v>
      </c>
      <c r="U901" t="s">
        <v>1202</v>
      </c>
      <c r="V901">
        <v>0</v>
      </c>
      <c r="W901">
        <v>0</v>
      </c>
      <c r="X901">
        <v>0</v>
      </c>
      <c r="Y901">
        <v>0</v>
      </c>
      <c r="Z901">
        <v>0</v>
      </c>
      <c r="AA901">
        <v>0</v>
      </c>
      <c r="AB901">
        <v>0</v>
      </c>
      <c r="AC901">
        <v>0</v>
      </c>
      <c r="AD901">
        <v>0</v>
      </c>
      <c r="AE901">
        <v>0</v>
      </c>
      <c r="AF901">
        <v>1</v>
      </c>
      <c r="AG901">
        <v>0</v>
      </c>
      <c r="AH901">
        <v>0</v>
      </c>
      <c r="AI901">
        <v>0</v>
      </c>
      <c r="AJ901">
        <v>0</v>
      </c>
      <c r="AK901">
        <v>0</v>
      </c>
      <c r="AL901">
        <v>0</v>
      </c>
      <c r="AM901">
        <v>0</v>
      </c>
      <c r="AN901">
        <v>0</v>
      </c>
      <c r="AO901">
        <v>0</v>
      </c>
      <c r="AP901">
        <v>0</v>
      </c>
      <c r="AQ901">
        <v>0</v>
      </c>
      <c r="AR901">
        <v>0</v>
      </c>
      <c r="AS901">
        <v>1</v>
      </c>
      <c r="AT901">
        <v>0</v>
      </c>
      <c r="AU901">
        <v>0</v>
      </c>
      <c r="AV901">
        <v>0</v>
      </c>
      <c r="AW901">
        <v>0</v>
      </c>
      <c r="AX901" s="141">
        <f>COUNTIF(V901:AW901,"&lt;&gt;0")</f>
        <v>2</v>
      </c>
      <c r="AY901" s="141">
        <f>COUNTIF(V901:AL901,"&lt;&gt;0")</f>
        <v>1</v>
      </c>
      <c r="AZ901">
        <f>COUNTIF(V901:AC901,"&lt;&gt;0")</f>
        <v>0</v>
      </c>
      <c r="BA901">
        <f>COUNTIF(AD901:AI901,"&lt;&gt;0")</f>
        <v>1</v>
      </c>
      <c r="BB901">
        <f>COUNTIF(AJ901:AL901,"&lt;&gt;0")</f>
        <v>0</v>
      </c>
      <c r="BC901">
        <f>COUNTIF(AS901:AW901,"&lt;&gt;0")</f>
        <v>1</v>
      </c>
      <c r="BD901">
        <f>COUNTIF(AM901:AR901,"&lt;&gt;0")</f>
        <v>0</v>
      </c>
      <c r="BE901" t="str">
        <f t="array" ref="BE901">IF(AY901=1,INDEX($V$7:$AL$7,MATCH(TRUE,INDEX($V901:$AW901&lt;&gt;0,),0)),IF(AY901=0,INDEX($AM$7:$AW$7,MATCH(1,$AM901:$AW901,0)),IF(BF901="Multiple strategies","mixed drivers",IF(BF901="Supply chain","multiple supply","multiple silviculture"))))</f>
        <v>supply chain organization</v>
      </c>
      <c r="BF901" s="2" t="str" cm="1">
        <f t="array" ref="BF901">IF(COUNTIF(AZ901:BB901,"&lt;&gt;0")=1,INDEX($V$4:$AW$4,MATCH(TRUE,INDEX($V901:$AW901&lt;&gt;0,),0)),IF(COUNTIF(AZ901:BB901,"&lt;&gt;0")=0,INDEX($AM$4:$AW$4,MATCH(1,$AM901:$AW901,0)),"Multiple strategies"))</f>
        <v>Supply chain</v>
      </c>
      <c r="BG901" s="1" t="s">
        <v>321</v>
      </c>
      <c r="BH901" t="s">
        <v>832</v>
      </c>
      <c r="BI901" t="s">
        <v>699</v>
      </c>
      <c r="BJ901" t="s">
        <v>2086</v>
      </c>
      <c r="BK901">
        <v>7771.2</v>
      </c>
      <c r="BL901">
        <v>8988.9</v>
      </c>
      <c r="BM901">
        <f>IFERROR(BL901/BK901,"")</f>
        <v>1.1566939468807906</v>
      </c>
      <c r="BN901">
        <f>BL901-BK901</f>
        <v>1217.6999999999998</v>
      </c>
      <c r="BO901">
        <f>BN901*1000</f>
        <v>1217699.9999999998</v>
      </c>
      <c r="BP901" t="s">
        <v>395</v>
      </c>
      <c r="BQ901" s="260" t="s">
        <v>3389</v>
      </c>
      <c r="BR901" t="s">
        <v>2087</v>
      </c>
      <c r="BS901">
        <v>-547.41</v>
      </c>
      <c r="BT901">
        <v>-1864.96</v>
      </c>
      <c r="BU901" s="144"/>
      <c r="BV901">
        <f>BT901-BS901</f>
        <v>-1317.5500000000002</v>
      </c>
      <c r="BX901">
        <f>BV901*1000</f>
        <v>-1317550.0000000002</v>
      </c>
      <c r="BY901">
        <f>IFERROR(BX901/BO901,"")</f>
        <v>-1.0819988502915336</v>
      </c>
      <c r="BZ901">
        <v>0</v>
      </c>
      <c r="CA901">
        <v>0</v>
      </c>
      <c r="CB901">
        <v>0</v>
      </c>
      <c r="CC901">
        <v>0</v>
      </c>
      <c r="CD901">
        <v>0</v>
      </c>
      <c r="CE901">
        <v>0</v>
      </c>
      <c r="CF901">
        <v>0</v>
      </c>
      <c r="CG901">
        <v>0</v>
      </c>
      <c r="CH901">
        <v>0</v>
      </c>
      <c r="CI901">
        <v>0</v>
      </c>
      <c r="CJ901">
        <v>0</v>
      </c>
      <c r="CK901">
        <v>0</v>
      </c>
      <c r="CL901">
        <v>0</v>
      </c>
      <c r="CM901">
        <v>0</v>
      </c>
      <c r="CN901" t="str">
        <f>IF($BL901&lt;$BK901,"refNeedCorrection","refOK")</f>
        <v>refOK</v>
      </c>
      <c r="CO901">
        <f>IF($CN901="refOK",$BK901,$BL901)</f>
        <v>7771.2</v>
      </c>
      <c r="CP901">
        <f>IF($CN901="refOK",$BL901,$BK901)</f>
        <v>8988.9</v>
      </c>
      <c r="CQ901">
        <f>IF($CN901="refOK",$BO901,-$BO901)</f>
        <v>1217699.9999999998</v>
      </c>
      <c r="CR901">
        <f>IF($CN901="refOK",$BS901,$BT901)*IF($BP901="Emissions positive",-1,1)</f>
        <v>547.41</v>
      </c>
      <c r="CS901">
        <f>IF($CN901="refOK",$BT901,$BS901)*IF($BP901="Emissions positive",-1,1)</f>
        <v>1864.96</v>
      </c>
      <c r="CT901">
        <f>IF($CN901="refNeedCorrection",-BX901,BX901)*IF($BP901="Emissions positive",-1,1)</f>
        <v>1317550.0000000002</v>
      </c>
      <c r="CU901">
        <f>IFERROR(CT901/CQ901,"")</f>
        <v>1.0819988502915336</v>
      </c>
      <c r="CV901" s="2">
        <f>IFERROR((CS901-CR901)/ABS(CR901),"")</f>
        <v>2.4068796697173971</v>
      </c>
      <c r="CW901" s="1" t="s">
        <v>1203</v>
      </c>
      <c r="CX901" t="str">
        <f>IF(OR($CW901="prd",$CW901="std",$CW901="cit"),"loc",IF(OR($CW901="eur",$CW901="reg",$CW901="coy"),"reg",$CW901))</f>
        <v>reg</v>
      </c>
      <c r="CY901" t="s">
        <v>2088</v>
      </c>
      <c r="CZ901">
        <v>2017</v>
      </c>
      <c r="DA901">
        <v>2035</v>
      </c>
      <c r="DB901">
        <f>DA901-CZ901</f>
        <v>18</v>
      </c>
      <c r="DC901" t="str">
        <f>IF(DB901=0,"0",IF(AND(DB901&gt;=1,DB901&lt;=30),"1-30",IF(AND(DB901&gt;30,DB901&lt;=70),"31-70",IF(AND(DB901&gt;70,DB901&lt;=100),"71-100",IF(DB901&gt;100,"+100")))))</f>
        <v>1-30</v>
      </c>
      <c r="DD901">
        <v>0</v>
      </c>
      <c r="DE901">
        <v>0</v>
      </c>
      <c r="DF901">
        <v>1</v>
      </c>
      <c r="DG901">
        <v>1</v>
      </c>
      <c r="DH901">
        <v>0</v>
      </c>
      <c r="DI901">
        <f>SUM(DD901:DH901)</f>
        <v>2</v>
      </c>
      <c r="DJ901" t="str">
        <f>IF(DI901=1,INDEX($DD$7:$DG$7,MATCH(1,$DD901:$DG901,0)),"mixedProduct")</f>
        <v>mixedProduct</v>
      </c>
      <c r="DK901">
        <f>IF(DD901=1,DK$7,0)</f>
        <v>0</v>
      </c>
      <c r="DL901">
        <f>IF(DE901=1,DL$7,0)</f>
        <v>0</v>
      </c>
      <c r="DM901" t="str">
        <f>IF(DF901=1,DM$7,0)</f>
        <v>Pulp/Paper</v>
      </c>
      <c r="DN901" t="str">
        <f>IF(DG901=1,DN$7,0)</f>
        <v>Timber</v>
      </c>
      <c r="DO901">
        <v>0</v>
      </c>
      <c r="DP901">
        <v>0</v>
      </c>
      <c r="DQ901">
        <v>0</v>
      </c>
      <c r="DR901">
        <v>0</v>
      </c>
      <c r="DS901">
        <v>0</v>
      </c>
      <c r="DT901"/>
      <c r="DU901" s="143" t="str">
        <f>IF(DO901=1,"self-calculated DF",IF(DP901=1,"external DF used","explicit C balance"))</f>
        <v>explicit C balance</v>
      </c>
      <c r="DV901">
        <v>0</v>
      </c>
      <c r="DW901">
        <v>0</v>
      </c>
      <c r="DX901">
        <v>0</v>
      </c>
      <c r="DY901">
        <v>1</v>
      </c>
      <c r="DZ901">
        <v>1</v>
      </c>
      <c r="EA901">
        <v>0</v>
      </c>
      <c r="EB901">
        <v>0</v>
      </c>
      <c r="EC901">
        <v>0</v>
      </c>
      <c r="ED901">
        <v>0</v>
      </c>
      <c r="EE901">
        <v>0</v>
      </c>
      <c r="EF901">
        <v>1</v>
      </c>
      <c r="EG901">
        <v>0</v>
      </c>
      <c r="EH901">
        <v>0</v>
      </c>
      <c r="EI901" s="2">
        <v>0</v>
      </c>
      <c r="EK901" t="str">
        <f>IF(AND(AND(AND(OR($DX901=1,$DW901=1),OR($EC901=1,$EA901=1)),SUM($DV901:$DZ901,$EF901)&gt;=4),SUM($EA901:$EE901)&gt;=2),"Whole sector","")</f>
        <v/>
      </c>
      <c r="EL901" t="str">
        <f>IF(AND(AND(OR($DX901=1,$DW901=1),AND($EC901=0,$EA901=0)),SUM($DV901:$DZ901,$EF901)&gt;=4),"Ecosystem approach","")</f>
        <v/>
      </c>
      <c r="EM901" s="2" t="str">
        <f>IF(AND(AND(AND($DX901=0,$DW901=0),OR($EC901=1,$EA901=1)),SUM($EB901:$EE901)&gt;=2),"Technology approach","")</f>
        <v/>
      </c>
      <c r="EP901" t="str">
        <f>IF(ISNUMBER(BU901),IF(ABS(BU901-[4]QC_indicators!$B$2)&gt;3*[4]QC_indicators!$C$2,"C ratio",IF(ISNUMBER(BY901),IF(ABS(BY901-[4]QC_indicators!$B$1)&gt;3*[4]QC_indicators!$C$1,"DF","no"))),IF(ISNUMBER(BY901),IF(ABS(BY901-[4]QC_indicators!$B$1)&gt;3*[4]QC_indicators!$C$1,"DF","no")))</f>
        <v>no</v>
      </c>
      <c r="ET901" s="264" t="s">
        <v>3273</v>
      </c>
    </row>
    <row r="902" spans="1:150" ht="15" customHeight="1">
      <c r="A902" s="1" t="s">
        <v>1138</v>
      </c>
      <c r="B902" t="s">
        <v>1832</v>
      </c>
      <c r="C902" t="s">
        <v>1833</v>
      </c>
      <c r="D902" t="s">
        <v>1834</v>
      </c>
      <c r="E902" t="s">
        <v>1835</v>
      </c>
      <c r="F902" t="s">
        <v>1836</v>
      </c>
      <c r="G902" t="s">
        <v>1139</v>
      </c>
      <c r="H902" t="s">
        <v>254</v>
      </c>
      <c r="I902">
        <v>2013</v>
      </c>
      <c r="J902">
        <v>26</v>
      </c>
      <c r="K902" t="s">
        <v>1837</v>
      </c>
      <c r="M902" t="str">
        <f>LEFT($D902,FIND(",",$D902)-1)&amp;"_"&amp;I902&amp;L902</f>
        <v>Klein_2013</v>
      </c>
      <c r="N902" t="s">
        <v>222</v>
      </c>
      <c r="O902" s="145" t="s">
        <v>513</v>
      </c>
      <c r="Q902" t="s">
        <v>256</v>
      </c>
      <c r="R902" s="255" t="s">
        <v>225</v>
      </c>
      <c r="S902" s="1" t="s">
        <v>1844</v>
      </c>
      <c r="T902" t="s">
        <v>1845</v>
      </c>
      <c r="U902" t="s">
        <v>1847</v>
      </c>
      <c r="V902">
        <v>0</v>
      </c>
      <c r="W902">
        <v>0</v>
      </c>
      <c r="X902">
        <v>0</v>
      </c>
      <c r="Y902">
        <v>0</v>
      </c>
      <c r="Z902">
        <v>1</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s="141">
        <f>COUNTIF(V902:AW902,"&lt;&gt;0")</f>
        <v>1</v>
      </c>
      <c r="AY902" s="141">
        <f>COUNTIF(V902:AL902,"&lt;&gt;0")</f>
        <v>1</v>
      </c>
      <c r="AZ902">
        <f>COUNTIF(V902:AC902,"&lt;&gt;0")</f>
        <v>1</v>
      </c>
      <c r="BA902">
        <f>COUNTIF(AD902:AI902,"&lt;&gt;0")</f>
        <v>0</v>
      </c>
      <c r="BB902">
        <f>COUNTIF(AJ902:AL902,"&lt;&gt;0")</f>
        <v>0</v>
      </c>
      <c r="BC902">
        <f>COUNTIF(AS902:AW902,"&lt;&gt;0")</f>
        <v>0</v>
      </c>
      <c r="BD902">
        <f>COUNTIF(AM902:AR902,"&lt;&gt;0")</f>
        <v>0</v>
      </c>
      <c r="BE902" t="str">
        <f t="array" ref="BE902">IF(AY902=1,INDEX($V$7:$AL$7,MATCH(TRUE,INDEX($V902:$AW902&lt;&gt;0,),0)),IF(AY902=0,INDEX($AM$7:$AW$7,MATCH(1,$AM902:$AW902,0)),IF(BF902="Multiple strategies","mixed drivers",IF(BF902="Supply chain","multiple supply","multiple silviculture"))))</f>
        <v>species</v>
      </c>
      <c r="BF902" s="2" t="str" cm="1">
        <f t="array" ref="BF902">IF(COUNTIF(AZ902:BB902,"&lt;&gt;0")=1,INDEX($V$4:$AW$4,MATCH(TRUE,INDEX($V902:$AW902&lt;&gt;0,),0)),IF(COUNTIF(AZ902:BB902,"&lt;&gt;0")=0,INDEX($AM$4:$AW$4,MATCH(1,$AM902:$AW902,0)),"Multiple strategies"))</f>
        <v>Silviculture for productivity</v>
      </c>
      <c r="BG902" s="1" t="s">
        <v>321</v>
      </c>
      <c r="BH902" t="s">
        <v>1841</v>
      </c>
      <c r="BI902" s="260" t="s">
        <v>3368</v>
      </c>
      <c r="BJ902" t="s">
        <v>278</v>
      </c>
      <c r="BK902">
        <v>25.2</v>
      </c>
      <c r="BL902">
        <v>63</v>
      </c>
      <c r="BM902">
        <f>BL902/BK902</f>
        <v>2.5</v>
      </c>
      <c r="BN902">
        <f>BL902-BK902</f>
        <v>37.799999999999997</v>
      </c>
      <c r="BO902">
        <f>BN902*tC_to_m3</f>
        <v>164.13373860182369</v>
      </c>
      <c r="BP902" t="s">
        <v>232</v>
      </c>
      <c r="BQ902" s="260" t="s">
        <v>3367</v>
      </c>
      <c r="BR902" t="s">
        <v>278</v>
      </c>
      <c r="BS902">
        <v>444.6</v>
      </c>
      <c r="BT902">
        <v>493.2</v>
      </c>
      <c r="BU902" s="144">
        <f>IFERROR(BT902/BS902,"")</f>
        <v>1.1093117408906881</v>
      </c>
      <c r="BV902">
        <f>BT902-BS902</f>
        <v>48.599999999999966</v>
      </c>
      <c r="BX902">
        <f>BV902*C_to_CO2</f>
        <v>178.36199999999988</v>
      </c>
      <c r="BY902">
        <f>IFERROR(BX902/BO902,"")</f>
        <v>1.0866869999999993</v>
      </c>
      <c r="BZ902">
        <v>0</v>
      </c>
      <c r="CA902">
        <v>0</v>
      </c>
      <c r="CB902">
        <v>0</v>
      </c>
      <c r="CC902">
        <v>0</v>
      </c>
      <c r="CD902">
        <v>0</v>
      </c>
      <c r="CE902">
        <v>0</v>
      </c>
      <c r="CF902">
        <v>0</v>
      </c>
      <c r="CG902">
        <v>0</v>
      </c>
      <c r="CH902">
        <v>0</v>
      </c>
      <c r="CI902">
        <v>0</v>
      </c>
      <c r="CJ902">
        <v>0</v>
      </c>
      <c r="CK902">
        <v>0</v>
      </c>
      <c r="CL902">
        <v>0</v>
      </c>
      <c r="CM902">
        <v>0</v>
      </c>
      <c r="CN902" t="str">
        <f>IF($BL902&lt;$BK902,"refNeedCorrection","refOK")</f>
        <v>refOK</v>
      </c>
      <c r="CO902">
        <f>IF($CN902="refOK",$BK902,$BL902)</f>
        <v>25.2</v>
      </c>
      <c r="CP902">
        <f>IF($CN902="refOK",$BL902,$BK902)</f>
        <v>63</v>
      </c>
      <c r="CQ902">
        <f>IF($CN902="refOK",$BO902,-$BO902)</f>
        <v>164.13373860182369</v>
      </c>
      <c r="CR902">
        <f>IF($CN902="refOK",$BS902,$BT902)*IF($BP902="Emissions positive",-1,1)</f>
        <v>444.6</v>
      </c>
      <c r="CS902">
        <f>IF($CN902="refOK",$BT902,$BS902)*IF($BP902="Emissions positive",-1,1)</f>
        <v>493.2</v>
      </c>
      <c r="CT902">
        <f>IF($CN902="refNeedCorrection",-BX902,BX902)*IF($BP902="Emissions positive",-1,1)</f>
        <v>178.36199999999988</v>
      </c>
      <c r="CU902">
        <f>IFERROR(CT902/CQ902,"")</f>
        <v>1.0866869999999993</v>
      </c>
      <c r="CV902" s="2">
        <f>IFERROR((CS902-CR902)/ABS(CR902),"")</f>
        <v>0.10931174089068818</v>
      </c>
      <c r="CW902" s="1" t="s">
        <v>1199</v>
      </c>
      <c r="CX902" t="str">
        <f>IF(OR($CW902="prd",$CW902="std",$CW902="cit"),"loc",IF(OR($CW902="eur",$CW902="reg",$CW902="coy"),"reg",$CW902))</f>
        <v>reg</v>
      </c>
      <c r="CY902" t="s">
        <v>1301</v>
      </c>
      <c r="DB902">
        <v>180</v>
      </c>
      <c r="DC902" t="str">
        <f>IF(DB902=0,"0",IF(AND(DB902&gt;=1,DB902&lt;=30),"1-30",IF(AND(DB902&gt;30,DB902&lt;=70),"31-70",IF(AND(DB902&gt;70,DB902&lt;=100),"71-100",IF(DB902&gt;100,"+100")))))</f>
        <v>+100</v>
      </c>
      <c r="DD902">
        <v>0</v>
      </c>
      <c r="DE902">
        <v>1</v>
      </c>
      <c r="DF902">
        <v>1</v>
      </c>
      <c r="DG902">
        <v>1</v>
      </c>
      <c r="DH902">
        <v>1</v>
      </c>
      <c r="DI902">
        <f>SUM(DD902:DG902)</f>
        <v>3</v>
      </c>
      <c r="DJ902" t="str">
        <f>IF(DI902=1,INDEX($DD$7:$DG$7,MATCH(1,$DD902:$DG902,0)),"mixedProduct")</f>
        <v>mixedProduct</v>
      </c>
      <c r="DK902">
        <f>IF(DD902=1,DK$7,0)</f>
        <v>0</v>
      </c>
      <c r="DL902" t="str">
        <f>IF(DE902=1,DL$7,0)</f>
        <v>Energy</v>
      </c>
      <c r="DM902" t="str">
        <f>IF(DF902=1,DM$7,0)</f>
        <v>Pulp/Paper</v>
      </c>
      <c r="DN902" t="str">
        <f>IF(DG902=1,DN$7,0)</f>
        <v>Timber</v>
      </c>
      <c r="DO902">
        <v>0</v>
      </c>
      <c r="DP902">
        <v>1</v>
      </c>
      <c r="DQ902" t="s">
        <v>1842</v>
      </c>
      <c r="DR902" t="s">
        <v>1843</v>
      </c>
      <c r="DS902">
        <v>0</v>
      </c>
      <c r="DT902">
        <f>SUM(DO902:DP902)</f>
        <v>1</v>
      </c>
      <c r="DU902" s="143" t="str">
        <f>IF(DO902=1,"self-calculated DF",IF(DP902=1,"external DF used","explicit C balance"))</f>
        <v>external DF used</v>
      </c>
      <c r="DV902">
        <v>1</v>
      </c>
      <c r="DW902">
        <v>1</v>
      </c>
      <c r="DX902">
        <v>1</v>
      </c>
      <c r="DY902">
        <v>1</v>
      </c>
      <c r="DZ902">
        <v>1</v>
      </c>
      <c r="EA902">
        <v>1</v>
      </c>
      <c r="EB902">
        <v>0</v>
      </c>
      <c r="EC902">
        <v>0</v>
      </c>
      <c r="ED902">
        <v>0</v>
      </c>
      <c r="EE902">
        <v>0</v>
      </c>
      <c r="EF902">
        <v>1</v>
      </c>
      <c r="EG902">
        <v>0</v>
      </c>
      <c r="EH902">
        <v>0</v>
      </c>
      <c r="EI902" s="2">
        <v>0</v>
      </c>
      <c r="EK902" t="str">
        <f>IF(AND(AND(AND(OR($DX902=1,$DW902=1),OR($EC902=1,$EA902=1)),SUM($DV902:$DZ902,$EF902)&gt;=4),SUM($EA902:$EE902)&gt;=2),"Whole sector","")</f>
        <v/>
      </c>
      <c r="EL902" t="str">
        <f>IF(AND(AND(OR($DX902=1,$DW902=1),AND($EC902=0,$EA902=0)),SUM($DV902:$DZ902,$EF902)&gt;=4),"Ecosystem approach","")</f>
        <v/>
      </c>
      <c r="EM902" s="2" t="str">
        <f>IF(AND(AND(AND($DX902=0,$DW902=0),OR($EC902=1,$EA902=1)),SUM($EB902:$EE902)&gt;=2),"Technology approach","")</f>
        <v/>
      </c>
      <c r="EP902" t="str">
        <f>IF(ISNUMBER(BU902),IF(ABS(BU902-[4]QC_indicators!$B$2)&gt;3*[4]QC_indicators!$C$2,"C ratio",IF(ISNUMBER(BY902),IF(ABS(BY902-[4]QC_indicators!$B$1)&gt;3*[4]QC_indicators!$C$1,"DF","no"))),IF(ISNUMBER(BY902),IF(ABS(BY902-[4]QC_indicators!$B$1)&gt;3*[4]QC_indicators!$C$1,"DF","no")))</f>
        <v>no</v>
      </c>
      <c r="ET902" s="264" t="s">
        <v>3273</v>
      </c>
    </row>
    <row r="903" spans="1:150" ht="15" customHeight="1">
      <c r="A903" s="1" t="s">
        <v>848</v>
      </c>
      <c r="B903" t="s">
        <v>849</v>
      </c>
      <c r="C903" t="s">
        <v>850</v>
      </c>
      <c r="D903" t="s">
        <v>851</v>
      </c>
      <c r="E903" t="s">
        <v>852</v>
      </c>
      <c r="F903" t="s">
        <v>853</v>
      </c>
      <c r="G903" t="s">
        <v>854</v>
      </c>
      <c r="H903" t="s">
        <v>254</v>
      </c>
      <c r="I903">
        <v>2020</v>
      </c>
      <c r="J903">
        <v>5</v>
      </c>
      <c r="K903" t="s">
        <v>855</v>
      </c>
      <c r="M903" t="str">
        <f>LEFT($D903,FIND(",",$D903)-1)&amp;"_"&amp;I903&amp;L903</f>
        <v>Lan_2020</v>
      </c>
      <c r="N903" t="s">
        <v>222</v>
      </c>
      <c r="O903" s="145" t="s">
        <v>225</v>
      </c>
      <c r="Q903" t="s">
        <v>256</v>
      </c>
      <c r="R903" s="262" t="s">
        <v>223</v>
      </c>
      <c r="S903" s="1" t="s">
        <v>95</v>
      </c>
      <c r="T903" t="s">
        <v>861</v>
      </c>
      <c r="U903" t="s">
        <v>865</v>
      </c>
      <c r="V903">
        <v>0</v>
      </c>
      <c r="W903">
        <v>0</v>
      </c>
      <c r="X903">
        <v>0</v>
      </c>
      <c r="Y903">
        <v>0</v>
      </c>
      <c r="Z903">
        <v>0</v>
      </c>
      <c r="AA903">
        <v>0</v>
      </c>
      <c r="AB903">
        <v>0</v>
      </c>
      <c r="AC903">
        <v>1</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s="141">
        <f>COUNTIF(V903:AW903,"&lt;&gt;0")</f>
        <v>1</v>
      </c>
      <c r="AY903" s="141">
        <f>COUNTIF(V903:AL903,"&lt;&gt;0")</f>
        <v>1</v>
      </c>
      <c r="AZ903">
        <f>COUNTIF(V903:AC903,"&lt;&gt;0")</f>
        <v>1</v>
      </c>
      <c r="BA903">
        <f>COUNTIF(AD903:AI903,"&lt;&gt;0")</f>
        <v>0</v>
      </c>
      <c r="BB903">
        <f>COUNTIF(AJ903:AL903,"&lt;&gt;0")</f>
        <v>0</v>
      </c>
      <c r="BC903">
        <f>COUNTIF(AS903:AW903,"&lt;&gt;0")</f>
        <v>0</v>
      </c>
      <c r="BD903">
        <f>COUNTIF(AM903:AR903,"&lt;&gt;0")</f>
        <v>0</v>
      </c>
      <c r="BE903" t="str">
        <f t="array" ref="BE903">IF(AY903=1,INDEX($V$7:$AL$7,MATCH(TRUE,INDEX($V903:$AW903&lt;&gt;0,),0)),IF(AY903=0,INDEX($AM$7:$AW$7,MATCH(1,$AM903:$AW903,0)),IF(BF903="Multiple strategies","mixed drivers",IF(BF903="Supply chain","multiple supply","multiple silviculture"))))</f>
        <v>site fertility</v>
      </c>
      <c r="BF903" s="2" t="str" cm="1">
        <f t="array" ref="BF903">IF(COUNTIF(AZ903:BB903,"&lt;&gt;0")=1,INDEX($V$4:$AW$4,MATCH(TRUE,INDEX($V903:$AW903&lt;&gt;0,),0)),IF(COUNTIF(AZ903:BB903,"&lt;&gt;0")=0,INDEX($AM$4:$AW$4,MATCH(1,$AM903:$AW903,0)),"Multiple strategies"))</f>
        <v>Silviculture for productivity</v>
      </c>
      <c r="BG903" s="142" t="s">
        <v>321</v>
      </c>
      <c r="BH903" t="s">
        <v>867</v>
      </c>
      <c r="BI903" s="264" t="s">
        <v>701</v>
      </c>
      <c r="BJ903" s="143" t="s">
        <v>868</v>
      </c>
      <c r="BK903">
        <f>282+71</f>
        <v>353</v>
      </c>
      <c r="BL903" s="143">
        <f>111+443</f>
        <v>554</v>
      </c>
      <c r="BM903" s="163">
        <f>BL903/BK903</f>
        <v>1.5694050991501416</v>
      </c>
      <c r="BN903">
        <f>BL903-BK903</f>
        <v>201</v>
      </c>
      <c r="BO903" s="159">
        <f>BN903*t_to_m3</f>
        <v>410.20408163265307</v>
      </c>
      <c r="BP903" t="s">
        <v>232</v>
      </c>
      <c r="BQ903" s="153" t="s">
        <v>429</v>
      </c>
      <c r="BR903" t="s">
        <v>859</v>
      </c>
      <c r="BS903">
        <v>816.51300000000003</v>
      </c>
      <c r="BT903">
        <v>1266.0550000000001</v>
      </c>
      <c r="BU903" s="144">
        <f>IFERROR(BT903/BS903,"")</f>
        <v>1.5505631876038717</v>
      </c>
      <c r="BV903">
        <f>BT903-BS903</f>
        <v>449.54200000000003</v>
      </c>
      <c r="BX903">
        <f>BV903</f>
        <v>449.54200000000003</v>
      </c>
      <c r="BY903">
        <f>IFERROR(BX903/BO903,"")</f>
        <v>1.095898407960199</v>
      </c>
      <c r="BZ903">
        <v>0</v>
      </c>
      <c r="CA903">
        <v>0</v>
      </c>
      <c r="CB903">
        <v>0</v>
      </c>
      <c r="CC903">
        <v>0</v>
      </c>
      <c r="CD903">
        <v>0</v>
      </c>
      <c r="CE903">
        <v>0</v>
      </c>
      <c r="CF903">
        <v>0</v>
      </c>
      <c r="CG903">
        <v>0</v>
      </c>
      <c r="CH903">
        <v>0</v>
      </c>
      <c r="CI903">
        <v>0</v>
      </c>
      <c r="CJ903">
        <v>0</v>
      </c>
      <c r="CK903">
        <v>0</v>
      </c>
      <c r="CL903">
        <v>0</v>
      </c>
      <c r="CM903">
        <v>0</v>
      </c>
      <c r="CN903" t="str">
        <f>IF($BL903&lt;$BK903,"refNeedCorrection","refOK")</f>
        <v>refOK</v>
      </c>
      <c r="CO903">
        <f>IF($CN903="refNeedCorrection",BL903,BK903)</f>
        <v>353</v>
      </c>
      <c r="CP903">
        <f>IF($CN903="refNeedCorrection",BK903,BL903)</f>
        <v>554</v>
      </c>
      <c r="CQ903">
        <f>IF($CN903="refOK",$BO903,-$BO903)</f>
        <v>410.20408163265307</v>
      </c>
      <c r="CR903">
        <f>IF($CN903="refOK",$BS903,$BT903)*IF($BP903="Emissions positive",-1,1)</f>
        <v>816.51300000000003</v>
      </c>
      <c r="CS903">
        <f>IF($CN903="refOK",$BT903,$BS903)*IF($BP903="Emissions positive",-1,1)</f>
        <v>1266.0550000000001</v>
      </c>
      <c r="CT903">
        <f>IF($CN903="refNeedCorrection",-BX903,BX903)*IF($BP903="Emissions positive",-1,1)</f>
        <v>449.54200000000003</v>
      </c>
      <c r="CU903">
        <f>IFERROR(CT903/CQ903,"")</f>
        <v>1.095898407960199</v>
      </c>
      <c r="CV903" s="2">
        <f>IFERROR((CS903-CR903)/ABS(CR903),"")</f>
        <v>0.55056318760387157</v>
      </c>
      <c r="CW903" s="1" t="s">
        <v>234</v>
      </c>
      <c r="CX903" t="str">
        <f>IF(OR($CW903="prd",$CW903="std",$CW903="cit"),"loc",IF(OR($CW903="eur",$CW903="reg",$CW903="coy"),"reg",$CW903))</f>
        <v>loc</v>
      </c>
      <c r="CY903" t="s">
        <v>428</v>
      </c>
      <c r="CZ903">
        <v>2021</v>
      </c>
      <c r="DA903" s="143">
        <v>2120</v>
      </c>
      <c r="DB903" s="143">
        <v>100</v>
      </c>
      <c r="DC903" t="str">
        <f>IF(DB903=0,"0",IF(AND(DB903&gt;=1,DB903&lt;=30),"1-30",IF(AND(DB903&gt;30,DB903&lt;=70),"31-70",IF(AND(DB903&gt;70,DB903&lt;=100),"71-100",IF(DB903&gt;100,"+100")))))</f>
        <v>71-100</v>
      </c>
      <c r="DD903">
        <v>0</v>
      </c>
      <c r="DE903">
        <v>1</v>
      </c>
      <c r="DF903">
        <v>0</v>
      </c>
      <c r="DG903">
        <v>1</v>
      </c>
      <c r="DI903">
        <f>SUM(DD903:DG903)</f>
        <v>2</v>
      </c>
      <c r="DJ903" t="str">
        <f>IF(DI903=1,INDEX($DD$7:$DG$7,MATCH(1,$DD903:$DG903,0)),"mixedProduct")</f>
        <v>mixedProduct</v>
      </c>
      <c r="DK903">
        <f>IF(DD903=1,DK$7,0)</f>
        <v>0</v>
      </c>
      <c r="DL903" t="str">
        <f>IF(DE903=1,DL$7,0)</f>
        <v>Energy</v>
      </c>
      <c r="DM903">
        <f>IF(DF903=1,DM$7,0)</f>
        <v>0</v>
      </c>
      <c r="DN903" t="str">
        <f>IF(DG903=1,DN$7,0)</f>
        <v>Timber</v>
      </c>
      <c r="DO903">
        <v>0</v>
      </c>
      <c r="DP903" s="143">
        <v>0</v>
      </c>
      <c r="DQ903" s="143">
        <v>0</v>
      </c>
      <c r="DR903">
        <v>0</v>
      </c>
      <c r="DS903" s="143">
        <v>0</v>
      </c>
      <c r="DT903">
        <f>SUM(DO903:DP903)</f>
        <v>0</v>
      </c>
      <c r="DU903" s="143" t="str">
        <f>IF(DO903=1,"self-calculated DF",IF(DP903=1,"external DF used","explicit C balance"))</f>
        <v>explicit C balance</v>
      </c>
      <c r="DV903" s="143">
        <v>0</v>
      </c>
      <c r="DW903" s="143">
        <v>1</v>
      </c>
      <c r="DX903" s="143">
        <v>1</v>
      </c>
      <c r="DY903" s="143">
        <v>1</v>
      </c>
      <c r="DZ903">
        <v>1</v>
      </c>
      <c r="EA903" s="143">
        <v>0</v>
      </c>
      <c r="EB903" s="143">
        <v>1</v>
      </c>
      <c r="EC903" s="143">
        <v>1</v>
      </c>
      <c r="ED903" s="143">
        <v>1</v>
      </c>
      <c r="EE903">
        <v>0</v>
      </c>
      <c r="EF903">
        <v>1</v>
      </c>
      <c r="EG903" s="143">
        <v>1</v>
      </c>
      <c r="EH903">
        <v>0</v>
      </c>
      <c r="EI903" s="2">
        <v>0</v>
      </c>
      <c r="EK903" t="str">
        <f>IF(AND(AND(AND(OR($DX903=1,$DW903=1),OR($EC903=1,$EA903=1)),SUM($DV903:$DZ903,$EF903)&gt;=4),SUM($EA903:$EE903)&gt;=2),"Whole sector","")</f>
        <v>Whole sector</v>
      </c>
      <c r="EL903" t="str">
        <f>IF(AND(AND(OR($DX903=1,$DW903=1),AND($EC903=0,$EA903=0)),SUM($DV903:$DZ903,$EF903)&gt;=4),"Ecosystem approach","")</f>
        <v/>
      </c>
      <c r="EM903" s="2" t="str">
        <f>IF(AND(AND(AND($DX903=0,$DW903=0),OR($EC903=1,$EA903=1)),SUM($EB903:$EE903)&gt;=2),"Technology approach","")</f>
        <v/>
      </c>
      <c r="EP903" t="str">
        <f>IF(ISNUMBER(BU903),IF(ABS(BU903-[1]QC_indicators!$B$2)&gt;3*[1]QC_indicators!$C$2,"C ratio",IF(ISNUMBER(BY903),IF(ABS(BY903-[1]QC_indicators!$B$1)&gt;3*[1]QC_indicators!$C$1,"DF","no"))),IF(ISNUMBER(BY903),IF(ABS(BY903-[1]QC_indicators!$B$1)&gt;3*[1]QC_indicators!$C$1,"DF","no")))</f>
        <v>no</v>
      </c>
      <c r="ER903" t="s">
        <v>860</v>
      </c>
      <c r="ET903" s="264" t="s">
        <v>3151</v>
      </c>
    </row>
    <row r="904" spans="1:150" ht="15" customHeight="1">
      <c r="A904" s="186" t="s">
        <v>1423</v>
      </c>
      <c r="B904" s="185" t="s">
        <v>2116</v>
      </c>
      <c r="C904" s="185" t="s">
        <v>2117</v>
      </c>
      <c r="D904" s="185" t="s">
        <v>2118</v>
      </c>
      <c r="E904" s="185" t="s">
        <v>2119</v>
      </c>
      <c r="F904" s="185" t="s">
        <v>2120</v>
      </c>
      <c r="G904" s="185" t="s">
        <v>1429</v>
      </c>
      <c r="H904" s="185" t="s">
        <v>254</v>
      </c>
      <c r="I904" s="185">
        <v>2014</v>
      </c>
      <c r="J904" s="185">
        <v>45</v>
      </c>
      <c r="K904" s="185" t="s">
        <v>2121</v>
      </c>
      <c r="L904" s="185"/>
      <c r="M904" t="str">
        <f>LEFT($D904,FIND(",",$D904)-1)&amp;"_"&amp;I904&amp;L904</f>
        <v>Pukkala_2014</v>
      </c>
      <c r="N904" t="s">
        <v>222</v>
      </c>
      <c r="O904" s="187" t="s">
        <v>225</v>
      </c>
      <c r="P904" s="185" t="s">
        <v>1154</v>
      </c>
      <c r="Q904" s="185"/>
      <c r="R904" s="262" t="s">
        <v>223</v>
      </c>
      <c r="S904" s="186" t="s">
        <v>2130</v>
      </c>
      <c r="T904" s="185" t="s">
        <v>2123</v>
      </c>
      <c r="U904" s="185" t="s">
        <v>2134</v>
      </c>
      <c r="V904" s="185">
        <v>0</v>
      </c>
      <c r="W904" s="185">
        <v>0</v>
      </c>
      <c r="X904" s="185">
        <v>0</v>
      </c>
      <c r="Y904" s="185">
        <v>1</v>
      </c>
      <c r="Z904" s="185">
        <v>0</v>
      </c>
      <c r="AA904" s="185">
        <v>0</v>
      </c>
      <c r="AB904" s="185">
        <v>0</v>
      </c>
      <c r="AC904" s="185">
        <v>0</v>
      </c>
      <c r="AD904" s="185">
        <v>0</v>
      </c>
      <c r="AE904" s="185">
        <v>0</v>
      </c>
      <c r="AF904" s="185">
        <v>0</v>
      </c>
      <c r="AG904" s="185">
        <v>0</v>
      </c>
      <c r="AH904" s="185">
        <v>0</v>
      </c>
      <c r="AI904" s="185">
        <v>0</v>
      </c>
      <c r="AJ904" s="185">
        <v>0</v>
      </c>
      <c r="AK904" s="185">
        <v>0</v>
      </c>
      <c r="AL904" s="185">
        <v>0</v>
      </c>
      <c r="AM904" s="185">
        <v>0</v>
      </c>
      <c r="AN904" s="185">
        <v>0</v>
      </c>
      <c r="AO904" s="185">
        <v>0</v>
      </c>
      <c r="AP904" s="185">
        <v>0</v>
      </c>
      <c r="AQ904" s="185">
        <v>0</v>
      </c>
      <c r="AR904" s="185">
        <v>0</v>
      </c>
      <c r="AS904" s="185">
        <v>0</v>
      </c>
      <c r="AT904" s="185">
        <v>0</v>
      </c>
      <c r="AU904" s="185">
        <v>0</v>
      </c>
      <c r="AV904" s="185">
        <v>0</v>
      </c>
      <c r="AW904" s="185">
        <v>0</v>
      </c>
      <c r="AX904" s="141">
        <f>COUNTIF(V904:AW904,"&lt;&gt;0")</f>
        <v>1</v>
      </c>
      <c r="AY904" s="141">
        <f>COUNTIF(V904:AL904,"&lt;&gt;0")</f>
        <v>1</v>
      </c>
      <c r="AZ904">
        <f>COUNTIF(V904:AC904,"&lt;&gt;0")</f>
        <v>1</v>
      </c>
      <c r="BA904">
        <f>COUNTIF(AD904:AI904,"&lt;&gt;0")</f>
        <v>0</v>
      </c>
      <c r="BB904">
        <f>COUNTIF(AJ904:AL904,"&lt;&gt;0")</f>
        <v>0</v>
      </c>
      <c r="BC904">
        <f>COUNTIF(AS904:AW904,"&lt;&gt;0")</f>
        <v>0</v>
      </c>
      <c r="BD904">
        <f>COUNTIF(AM904:AR904,"&lt;&gt;0")</f>
        <v>0</v>
      </c>
      <c r="BE904" t="str">
        <f t="array" ref="BE904">IF(AY904=1,INDEX($V$7:$AL$7,MATCH(TRUE,INDEX($V904:$AW904&lt;&gt;0,),0)),IF(AY904=0,INDEX($AM$7:$AW$7,MATCH(1,$AM904:$AW904,0)),IF(BF904="Multiple strategies","mixed drivers",IF(BF904="Supply chain","multiple supply","multiple silviculture"))))</f>
        <v xml:space="preserve">cutting intensity </v>
      </c>
      <c r="BF904" s="2" t="str" cm="1">
        <f t="array" ref="BF904">IF(COUNTIF(AZ904:BB904,"&lt;&gt;0")=1,INDEX($V$4:$AW$4,MATCH(TRUE,INDEX($V904:$AW904&lt;&gt;0,),0)),IF(COUNTIF(AZ904:BB904,"&lt;&gt;0")=0,INDEX($AM$4:$AW$4,MATCH(1,$AM904:$AW904,0)),"Multiple strategies"))</f>
        <v>Silviculture for removals</v>
      </c>
      <c r="BG904" s="186" t="s">
        <v>229</v>
      </c>
      <c r="BH904" s="185" t="s">
        <v>2125</v>
      </c>
      <c r="BI904" s="185" t="s">
        <v>2126</v>
      </c>
      <c r="BJ904" s="185" t="s">
        <v>2127</v>
      </c>
      <c r="BK904" s="185">
        <v>1.004</v>
      </c>
      <c r="BL904" s="185">
        <v>1.0269999999999999</v>
      </c>
      <c r="BM904" s="185">
        <f>IFERROR(BL904/BK904,"")</f>
        <v>1.0229083665338645</v>
      </c>
      <c r="BN904" s="185">
        <f>BL904-BK904</f>
        <v>2.2999999999999909E-2</v>
      </c>
      <c r="BO904" s="185">
        <f>+BN904*tC_to_m3</f>
        <v>9.9869735128093398E-2</v>
      </c>
      <c r="BP904" s="185" t="s">
        <v>232</v>
      </c>
      <c r="BQ904" s="185" t="s">
        <v>2128</v>
      </c>
      <c r="BR904" s="185" t="s">
        <v>2127</v>
      </c>
      <c r="BS904" s="185">
        <v>0.19400000000000001</v>
      </c>
      <c r="BT904" s="185">
        <v>0.224</v>
      </c>
      <c r="BU904" s="189">
        <f>BT904/BS904</f>
        <v>1.1546391752577319</v>
      </c>
      <c r="BV904" s="185">
        <f>BT904-BS904</f>
        <v>0.03</v>
      </c>
      <c r="BW904" s="185"/>
      <c r="BX904" s="185">
        <f>BV904*C_to_CO2</f>
        <v>0.11009999999999999</v>
      </c>
      <c r="BY904">
        <f>IFERROR(BX904/BO904,"")</f>
        <v>1.102436086956526</v>
      </c>
      <c r="BZ904" s="185">
        <v>0</v>
      </c>
      <c r="CA904" s="185">
        <v>0</v>
      </c>
      <c r="CB904" s="185">
        <v>0</v>
      </c>
      <c r="CC904" s="185">
        <v>0</v>
      </c>
      <c r="CD904" s="185">
        <v>0</v>
      </c>
      <c r="CE904" s="185">
        <v>0</v>
      </c>
      <c r="CF904" s="185">
        <v>0</v>
      </c>
      <c r="CG904" s="185">
        <v>0</v>
      </c>
      <c r="CH904" s="185">
        <v>0</v>
      </c>
      <c r="CI904" s="185">
        <v>0</v>
      </c>
      <c r="CJ904" s="185">
        <v>0</v>
      </c>
      <c r="CK904" s="185">
        <v>0</v>
      </c>
      <c r="CL904" s="185">
        <v>0</v>
      </c>
      <c r="CM904" s="185">
        <v>1</v>
      </c>
      <c r="CN904" s="185" t="str">
        <f>IF($BL904&lt;$BK904,"refNeedCorrection","refOK")</f>
        <v>refOK</v>
      </c>
      <c r="CO904" s="185">
        <f>IF($CN904="refOK",$BK904,$BL904)</f>
        <v>1.004</v>
      </c>
      <c r="CP904" s="185">
        <f>IF($CN904="refOK",$BL904,$BK904)</f>
        <v>1.0269999999999999</v>
      </c>
      <c r="CQ904" s="185">
        <f>IF($CN904="refOK",$BO904,-$BO904)</f>
        <v>9.9869735128093398E-2</v>
      </c>
      <c r="CR904" s="185">
        <f>IF($CN904="refOK",$BS904,$BT904)*IF($BP904="Emissions positive",-1,1)</f>
        <v>0.19400000000000001</v>
      </c>
      <c r="CS904" s="185">
        <f>IF($CN904="refOK",$BT904,$BS904)*IF($BP904="Emissions positive",-1,1)</f>
        <v>0.224</v>
      </c>
      <c r="CT904" s="185">
        <f>IF($CN904="refNeedCorrection",-BX904,BX904)*IF($BP904="Emissions positive",-1,1)</f>
        <v>0.11009999999999999</v>
      </c>
      <c r="CU904">
        <f>IFERROR(CT904/CQ904,"")</f>
        <v>1.102436086956526</v>
      </c>
      <c r="CV904" s="188">
        <f>IFERROR((CS904-CR904)/ABS(CR904),"")</f>
        <v>0.15463917525773194</v>
      </c>
      <c r="CW904" s="186" t="s">
        <v>2036</v>
      </c>
      <c r="CX904" t="str">
        <f>IF(OR($CW904="prd",$CW904="std",$CW904="cit"),"loc",IF(OR($CW904="eur",$CW904="reg",$CW904="coy"),"reg",$CW904))</f>
        <v>reg</v>
      </c>
      <c r="CY904" s="185" t="s">
        <v>235</v>
      </c>
      <c r="CZ904" s="185"/>
      <c r="DA904" s="185"/>
      <c r="DB904" s="185">
        <v>30</v>
      </c>
      <c r="DC904" t="str">
        <f>IF(DB904=0,"0",IF(AND(DB904&gt;=1,DB904&lt;=30),"1-30",IF(AND(DB904&gt;30,DB904&lt;=70),"31-70",IF(AND(DB904&gt;70,DB904&lt;=100),"71-100",IF(DB904&gt;100,"+100")))))</f>
        <v>1-30</v>
      </c>
      <c r="DD904" s="185">
        <v>1</v>
      </c>
      <c r="DE904" s="185">
        <v>0</v>
      </c>
      <c r="DF904" s="185">
        <v>0</v>
      </c>
      <c r="DG904" s="185">
        <v>0</v>
      </c>
      <c r="DH904" s="185">
        <v>0</v>
      </c>
      <c r="DI904">
        <f>SUM(DD904:DG904)</f>
        <v>1</v>
      </c>
      <c r="DJ904" t="str">
        <f>IF(DI904=1,INDEX($DD$7:$DG$7,MATCH(1,$DD904:$DG904,0)),"mixedProduct")</f>
        <v>UpstreamInput</v>
      </c>
      <c r="DK904" t="str">
        <f>IF(DD904=1,DK$7,0)</f>
        <v>Upstream</v>
      </c>
      <c r="DL904">
        <f>IF(DE904=1,DL$7,0)</f>
        <v>0</v>
      </c>
      <c r="DM904">
        <f>IF(DF904=1,DM$7,0)</f>
        <v>0</v>
      </c>
      <c r="DN904">
        <f>IF(DG904=1,DN$7,0)</f>
        <v>0</v>
      </c>
      <c r="DO904" s="185">
        <v>0</v>
      </c>
      <c r="DP904" s="185">
        <v>0</v>
      </c>
      <c r="DQ904" s="190"/>
      <c r="DR904" s="190"/>
      <c r="DS904" s="190">
        <v>0</v>
      </c>
      <c r="DT904" s="185"/>
      <c r="DU904" s="191" t="str">
        <f>IF(DO904=1,"self-calculated DF",IF(DP904=1,"external DF used","explicit C balance"))</f>
        <v>explicit C balance</v>
      </c>
      <c r="DV904" s="185">
        <v>1</v>
      </c>
      <c r="DW904" s="185">
        <v>1</v>
      </c>
      <c r="DX904" s="185">
        <v>1</v>
      </c>
      <c r="DY904" s="185">
        <v>1</v>
      </c>
      <c r="DZ904" s="185">
        <v>1</v>
      </c>
      <c r="EA904" s="185">
        <v>0</v>
      </c>
      <c r="EB904" s="185">
        <v>0</v>
      </c>
      <c r="EC904" s="185">
        <v>0</v>
      </c>
      <c r="ED904" s="185">
        <v>0</v>
      </c>
      <c r="EE904" s="185">
        <v>0</v>
      </c>
      <c r="EF904" s="185">
        <v>1</v>
      </c>
      <c r="EG904" s="185">
        <v>0</v>
      </c>
      <c r="EH904" s="185">
        <v>0</v>
      </c>
      <c r="EI904" s="188">
        <v>0</v>
      </c>
      <c r="EK904" t="str">
        <f>IF(AND(AND(AND(OR($DX904=1,$DW904=1),OR($EC904=1,$EA904=1)),SUM($DV904:$DZ904,$EF904)&gt;=4),SUM($EA904:$EE904)&gt;=2),"Whole sector","")</f>
        <v/>
      </c>
      <c r="EL904" t="str">
        <f>IF(AND(AND(OR($DX904=1,$DW904=1),AND($EC904=0,$EA904=0)),SUM($DV904:$DZ904,$EF904)&gt;=4),"Ecosystem approach","")</f>
        <v>Ecosystem approach</v>
      </c>
      <c r="EM904" s="2" t="str">
        <f>IF(AND(AND(AND($DX904=0,$DW904=0),OR($EC904=1,$EA904=1)),SUM($EB904:$EE904)&gt;=2),"Technology approach","")</f>
        <v/>
      </c>
      <c r="EN904" s="185"/>
      <c r="EO904" s="185"/>
      <c r="EP904" t="str">
        <f>IF(ISNUMBER(BU904),IF(ABS(BU904-[1]QC_indicators!$B$2)&gt;3*[1]QC_indicators!$C$2,"C ratio",IF(ISNUMBER(BY904),IF(ABS(BY904-[1]QC_indicators!$B$1)&gt;3*[1]QC_indicators!$C$1,"DF","no"))),IF(ISNUMBER(BY904),IF(ABS(BY904-[1]QC_indicators!$B$1)&gt;3*[1]QC_indicators!$C$1,"DF","no")))</f>
        <v>no</v>
      </c>
      <c r="EQ904" s="185"/>
      <c r="ER904" s="185"/>
      <c r="ES904" s="185"/>
      <c r="ET904" s="264" t="s">
        <v>3223</v>
      </c>
    </row>
    <row r="905" spans="1:150" ht="15" customHeight="1">
      <c r="A905" s="1" t="s">
        <v>1400</v>
      </c>
      <c r="B905" t="s">
        <v>1401</v>
      </c>
      <c r="C905" t="s">
        <v>1402</v>
      </c>
      <c r="D905" t="s">
        <v>1403</v>
      </c>
      <c r="E905" t="s">
        <v>1404</v>
      </c>
      <c r="F905" t="s">
        <v>1405</v>
      </c>
      <c r="G905" t="s">
        <v>1406</v>
      </c>
      <c r="H905" t="s">
        <v>254</v>
      </c>
      <c r="I905">
        <v>2021</v>
      </c>
      <c r="J905">
        <v>0</v>
      </c>
      <c r="K905" t="s">
        <v>1407</v>
      </c>
      <c r="M905" t="str">
        <f>LEFT($D905,FIND(",",$D905)-1)&amp;"_"&amp;I905&amp;L905</f>
        <v>Dugan_2021</v>
      </c>
      <c r="N905" t="s">
        <v>222</v>
      </c>
      <c r="O905" s="145" t="s">
        <v>274</v>
      </c>
      <c r="Q905" t="s">
        <v>256</v>
      </c>
      <c r="R905" s="255" t="s">
        <v>225</v>
      </c>
      <c r="S905" s="1" t="s">
        <v>1408</v>
      </c>
      <c r="T905" t="s">
        <v>1111</v>
      </c>
      <c r="U905" t="s">
        <v>1409</v>
      </c>
      <c r="V905">
        <v>0</v>
      </c>
      <c r="W905">
        <v>0</v>
      </c>
      <c r="X905">
        <v>2</v>
      </c>
      <c r="Y905">
        <v>1</v>
      </c>
      <c r="Z905">
        <v>2</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s="141">
        <f>COUNTIF(V905:AW905,"&lt;&gt;0")</f>
        <v>3</v>
      </c>
      <c r="AY905" s="141">
        <f>COUNTIF(V905:AL905,"&lt;&gt;0")</f>
        <v>3</v>
      </c>
      <c r="AZ905">
        <f>COUNTIF(V905:AC905,"&lt;&gt;0")</f>
        <v>3</v>
      </c>
      <c r="BA905">
        <f>COUNTIF(AD905:AI905,"&lt;&gt;0")</f>
        <v>0</v>
      </c>
      <c r="BB905">
        <f>COUNTIF(AJ905:AL905,"&lt;&gt;0")</f>
        <v>0</v>
      </c>
      <c r="BC905">
        <f>COUNTIF(AS905:AW905,"&lt;&gt;0")</f>
        <v>0</v>
      </c>
      <c r="BD905">
        <f>COUNTIF(AM905:AR905,"&lt;&gt;0")</f>
        <v>0</v>
      </c>
      <c r="BE905" t="str">
        <f t="array" ref="BE905">IF(AY905=1,INDEX($V$7:$AL$7,MATCH(TRUE,INDEX($V905:$AW905&lt;&gt;0,),0)),IF(AY905=0,INDEX($AM$7:$AW$7,MATCH(1,$AM905:$AW905,0)),IF(BF905="Multiple strategies","mixed drivers",IF(BF905="Supply chain","multiple supply","multiple silviculture"))))</f>
        <v>multiple silviculture</v>
      </c>
      <c r="BF905" s="2" t="str" cm="1">
        <f t="array" ref="BF905">IF(COUNTIF(AZ905:BB905,"&lt;&gt;0")=1,INDEX($V$4:$AW$4,MATCH(TRUE,INDEX($V905:$AW905&lt;&gt;0,),0)),IF(COUNTIF(AZ905:BB905,"&lt;&gt;0")=0,INDEX($AM$4:$AW$4,MATCH(1,$AM905:$AW905,0)),"Multiple strategies"))</f>
        <v>Silviculture for removals</v>
      </c>
      <c r="BG905" s="1" t="s">
        <v>321</v>
      </c>
      <c r="BH905" t="s">
        <v>1410</v>
      </c>
      <c r="BI905" s="260" t="s">
        <v>3318</v>
      </c>
      <c r="BJ905" t="s">
        <v>1359</v>
      </c>
      <c r="BK905" s="264">
        <v>14.61</v>
      </c>
      <c r="BL905">
        <f>BK905*1.1</f>
        <v>16.071000000000002</v>
      </c>
      <c r="BN905" s="227">
        <f>BL905-BK905</f>
        <v>1.4610000000000021</v>
      </c>
      <c r="BO905">
        <f>BN905*10^6*tC_to_m3</f>
        <v>6343899.2618324021</v>
      </c>
      <c r="BP905" t="s">
        <v>232</v>
      </c>
      <c r="BQ905" s="300" t="s">
        <v>3319</v>
      </c>
      <c r="BR905" t="s">
        <v>1300</v>
      </c>
      <c r="BS905" s="152"/>
      <c r="BT905" s="152"/>
      <c r="BU905" s="144"/>
      <c r="BV905" s="284">
        <v>7.0674188796483897</v>
      </c>
      <c r="BX905">
        <f>BV905*10^6</f>
        <v>7067418.8796483893</v>
      </c>
      <c r="BY905">
        <f>IFERROR(BX905/BO905,"")</f>
        <v>1.114049670077359</v>
      </c>
      <c r="BZ905">
        <v>0</v>
      </c>
      <c r="CA905">
        <v>0</v>
      </c>
      <c r="CB905">
        <v>0</v>
      </c>
      <c r="CC905">
        <v>0</v>
      </c>
      <c r="CD905">
        <v>0</v>
      </c>
      <c r="CE905">
        <v>0</v>
      </c>
      <c r="CF905">
        <v>0</v>
      </c>
      <c r="CG905">
        <v>0</v>
      </c>
      <c r="CH905">
        <v>0</v>
      </c>
      <c r="CI905">
        <v>0</v>
      </c>
      <c r="CJ905">
        <v>0</v>
      </c>
      <c r="CK905">
        <v>0</v>
      </c>
      <c r="CL905">
        <v>0</v>
      </c>
      <c r="CM905">
        <v>0</v>
      </c>
      <c r="CN905" t="str">
        <f>IF(BL905&lt;BK905,"refNeedCorrection","refOK")</f>
        <v>refOK</v>
      </c>
      <c r="CO905"/>
      <c r="CP905"/>
      <c r="CQ905">
        <f>IF($CN905="refNeedCorrection",-BO905,BO905)</f>
        <v>6343899.2618324021</v>
      </c>
      <c r="CR905">
        <f>IF($CN905="refOK",$BS905,$BT905)*IF($BP905="Emissions positive",-1,1)</f>
        <v>0</v>
      </c>
      <c r="CS905">
        <f>IF($CN905="refOK",$BT905,$BS905)*IF($BP905="Emissions positive",-1,1)</f>
        <v>0</v>
      </c>
      <c r="CT905">
        <f>IF($CN905="refNeedCorrection",-BX905,BX905)*IF($BP905="Emissions positive",-1,1)</f>
        <v>7067418.8796483893</v>
      </c>
      <c r="CU905">
        <f>IFERROR(CT905/CQ905,"")</f>
        <v>1.114049670077359</v>
      </c>
      <c r="CV905" s="2" t="str">
        <f>IFERROR((CS905-CR905)/ABS(CR905),"")</f>
        <v/>
      </c>
      <c r="CW905" s="1" t="s">
        <v>1199</v>
      </c>
      <c r="CX905" t="str">
        <f>IF(OR($CW905="prd",$CW905="std",$CW905="cit"),"loc",IF(OR($CW905="eur",$CW905="reg",$CW905="coy"),"reg",$CW905))</f>
        <v>reg</v>
      </c>
      <c r="CY905" t="s">
        <v>428</v>
      </c>
      <c r="CZ905">
        <v>2020</v>
      </c>
      <c r="DA905">
        <v>2050</v>
      </c>
      <c r="DB905">
        <v>30</v>
      </c>
      <c r="DC905" t="str">
        <f>IF(DB905=0,"0",IF(AND(DB905&gt;=1,DB905&lt;=30),"1-30",IF(AND(DB905&gt;30,DB905&lt;=70),"31-70",IF(AND(DB905&gt;70,DB905&lt;=100),"71-100",IF(DB905&gt;100,"+100")))))</f>
        <v>1-30</v>
      </c>
      <c r="DD905">
        <v>0</v>
      </c>
      <c r="DE905">
        <v>1</v>
      </c>
      <c r="DF905">
        <v>1</v>
      </c>
      <c r="DG905">
        <v>1</v>
      </c>
      <c r="DI905">
        <f>SUM(DD905:DG905)</f>
        <v>3</v>
      </c>
      <c r="DJ905" t="str">
        <f>IF(DI905=1,INDEX($DD$7:$DG$7,MATCH(1,$DD905:$DG905,0)),"mixedProduct")</f>
        <v>mixedProduct</v>
      </c>
      <c r="DK905">
        <f>IF(DD905=1,DK$7,0)</f>
        <v>0</v>
      </c>
      <c r="DL905" t="str">
        <f>IF(DE905=1,DL$7,0)</f>
        <v>Energy</v>
      </c>
      <c r="DM905" t="str">
        <f>IF(DF905=1,DM$7,0)</f>
        <v>Pulp/Paper</v>
      </c>
      <c r="DN905" t="str">
        <f>IF(DG905=1,DN$7,0)</f>
        <v>Timber</v>
      </c>
      <c r="DO905">
        <v>0</v>
      </c>
      <c r="DP905">
        <v>1</v>
      </c>
      <c r="DQ905" t="s">
        <v>1411</v>
      </c>
      <c r="DR905" t="s">
        <v>1412</v>
      </c>
      <c r="DS905">
        <v>0</v>
      </c>
      <c r="DT905">
        <f>SUM(DO905:DP905)</f>
        <v>1</v>
      </c>
      <c r="DU905" s="143" t="str">
        <f>IF(DO905=1,"self-calculated DF",IF(DP905=1,"external DF used","explicit C balance"))</f>
        <v>external DF used</v>
      </c>
      <c r="DV905">
        <v>1</v>
      </c>
      <c r="DW905">
        <v>1</v>
      </c>
      <c r="DX905">
        <v>1</v>
      </c>
      <c r="DY905">
        <v>1</v>
      </c>
      <c r="DZ905">
        <v>0</v>
      </c>
      <c r="EA905" s="143">
        <v>0</v>
      </c>
      <c r="EB905">
        <v>0</v>
      </c>
      <c r="EC905">
        <v>0</v>
      </c>
      <c r="ED905">
        <v>0</v>
      </c>
      <c r="EE905">
        <v>0</v>
      </c>
      <c r="EF905">
        <v>1</v>
      </c>
      <c r="EG905" s="143">
        <v>0</v>
      </c>
      <c r="EH905" s="143">
        <v>0</v>
      </c>
      <c r="EI905" s="2">
        <v>0</v>
      </c>
      <c r="EK905" t="str">
        <f>IF(AND(AND(AND(OR($DX905=1,$DW905=1),OR($EC905=1,$EA905=1)),SUM($DV905:$DZ905,$EF905)&gt;=4),SUM($EA905:$EE905)&gt;=2),"Whole sector","")</f>
        <v/>
      </c>
      <c r="EL905" t="str">
        <f>IF(AND(AND(OR($DX905=1,$DW905=1),AND($EC905=0,$EA905=0)),SUM($DV905:$DZ905,$EF905)&gt;=4),"Ecosystem approach","")</f>
        <v>Ecosystem approach</v>
      </c>
      <c r="EM905" s="2" t="str">
        <f>IF(AND(AND(AND($DX905=0,$DW905=0),OR($EC905=1,$EA905=1)),SUM($EB905:$EE905)&gt;=2),"Technology approach","")</f>
        <v/>
      </c>
      <c r="EP905" t="str">
        <f>IF(ISNUMBER(BU905),IF(ABS(BU905-[4]QC_indicators!$B$2)&gt;3*[4]QC_indicators!$C$2,"C ratio",IF(ISNUMBER(BY905),IF(ABS(BY905-[4]QC_indicators!$B$1)&gt;3*[4]QC_indicators!$C$1,"DF","no"))),IF(ISNUMBER(BY905),IF(ABS(BY905-[4]QC_indicators!$B$1)&gt;3*[4]QC_indicators!$C$1,"DF","no")))</f>
        <v>no</v>
      </c>
      <c r="EQ905" t="s">
        <v>286</v>
      </c>
      <c r="ER905" s="149" t="s">
        <v>349</v>
      </c>
      <c r="ET905" s="264" t="s">
        <v>3273</v>
      </c>
    </row>
    <row r="906" spans="1:150" ht="15" customHeight="1">
      <c r="D906" t="s">
        <v>691</v>
      </c>
      <c r="E906" t="s">
        <v>692</v>
      </c>
      <c r="G906" t="s">
        <v>693</v>
      </c>
      <c r="I906">
        <v>2007</v>
      </c>
      <c r="K906" s="295" t="s">
        <v>694</v>
      </c>
      <c r="M906" t="str">
        <f>LEFT($D906,FIND(",",$D906)-1)&amp;"_"&amp;I906&amp;L906</f>
        <v>Eriksson_2007</v>
      </c>
      <c r="N906" t="s">
        <v>222</v>
      </c>
      <c r="O906" t="s">
        <v>223</v>
      </c>
      <c r="Q906" s="264" t="s">
        <v>256</v>
      </c>
      <c r="R906" s="269" t="s">
        <v>1154</v>
      </c>
      <c r="S906" s="1" t="s">
        <v>695</v>
      </c>
      <c r="T906" t="s">
        <v>696</v>
      </c>
      <c r="U906" s="143" t="s">
        <v>697</v>
      </c>
      <c r="V906">
        <v>0</v>
      </c>
      <c r="W906">
        <v>0</v>
      </c>
      <c r="X906">
        <v>0</v>
      </c>
      <c r="Y906">
        <v>0</v>
      </c>
      <c r="Z906">
        <v>0</v>
      </c>
      <c r="AA906">
        <v>0</v>
      </c>
      <c r="AB906">
        <v>1</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s="141">
        <f>COUNTIF(V906:AW906,"&lt;&gt;0")</f>
        <v>1</v>
      </c>
      <c r="AY906" s="141">
        <f>COUNTIF(V906:AL906,"&lt;&gt;0")</f>
        <v>1</v>
      </c>
      <c r="AZ906">
        <f>COUNTIF(V906:AC906,"&lt;&gt;0")</f>
        <v>1</v>
      </c>
      <c r="BA906">
        <f>COUNTIF(AD906:AI906,"&lt;&gt;0")</f>
        <v>0</v>
      </c>
      <c r="BB906">
        <f>COUNTIF(AJ906:AL906,"&lt;&gt;0")</f>
        <v>0</v>
      </c>
      <c r="BC906">
        <f>COUNTIF(AS906:AW906,"&lt;&gt;0")</f>
        <v>0</v>
      </c>
      <c r="BD906">
        <f>COUNTIF(AM906:AR906,"&lt;&gt;0")</f>
        <v>0</v>
      </c>
      <c r="BE906" t="str" cm="1">
        <f t="array" ref="BE906">IF(AY906=1,INDEX($V$7:$AL$7,MATCH(TRUE,INDEX($V906:$AW906&lt;&gt;0,),0)),IF(AY906=0,INDEX($AM$7:$AW$7,MATCH(1,$AM906:$AW906,0)),IF(BF906="Multiple strategies","mixed drivers",IF(BF906="Supply chain","multiple supply","multiple silviculture"))))</f>
        <v>fertilisation</v>
      </c>
      <c r="BF906" s="2" t="str" cm="1">
        <f t="array" ref="BF906">IF(COUNTIF(AZ906:BB906,"&lt;&gt;0")=1,INDEX($V$4:$AW$4,MATCH(TRUE,INDEX($V906:$AW906&lt;&gt;0,),0)),IF(COUNTIF(AZ906:BB906,"&lt;&gt;0")=0,INDEX($AM$4:$AW$4,MATCH(1,$AM906:$AW906,0)),"Multiple strategies"))</f>
        <v>Silviculture for productivity</v>
      </c>
      <c r="BG906" s="142" t="s">
        <v>321</v>
      </c>
      <c r="BH906" t="s">
        <v>698</v>
      </c>
      <c r="BI906" s="264" t="s">
        <v>699</v>
      </c>
      <c r="BJ906" s="143" t="s">
        <v>700</v>
      </c>
      <c r="BK906">
        <v>7.3</v>
      </c>
      <c r="BL906" s="143">
        <v>10</v>
      </c>
      <c r="BM906" s="143">
        <f>BL906/BK906</f>
        <v>1.3698630136986301</v>
      </c>
      <c r="BN906">
        <f>BL906-BK906</f>
        <v>2.7</v>
      </c>
      <c r="BO906" s="143">
        <f>BN906</f>
        <v>2.7</v>
      </c>
      <c r="BP906" t="s">
        <v>232</v>
      </c>
      <c r="BQ906" s="303" t="s">
        <v>701</v>
      </c>
      <c r="BR906" s="141" t="s">
        <v>702</v>
      </c>
      <c r="BS906" s="151">
        <v>1.93630573248407</v>
      </c>
      <c r="BT906" s="151">
        <v>2.7643312101910738</v>
      </c>
      <c r="BU906">
        <f>BT906/BS906</f>
        <v>1.4276315789473686</v>
      </c>
      <c r="BV906">
        <f>BT906-BS906</f>
        <v>0.82802547770700374</v>
      </c>
      <c r="BX906">
        <f>BV906*C_to_CO2</f>
        <v>3.0388535031847037</v>
      </c>
      <c r="BY906">
        <f>IFERROR(BX906/BO906,"")</f>
        <v>1.1255012974758161</v>
      </c>
      <c r="BZ906" s="143">
        <v>0</v>
      </c>
      <c r="CA906" s="143">
        <v>0</v>
      </c>
      <c r="CB906" s="143">
        <v>0</v>
      </c>
      <c r="CC906" s="143">
        <v>0</v>
      </c>
      <c r="CD906" s="143">
        <v>0</v>
      </c>
      <c r="CE906" s="143">
        <v>0</v>
      </c>
      <c r="CF906" s="143">
        <v>0</v>
      </c>
      <c r="CG906" s="143">
        <v>0</v>
      </c>
      <c r="CH906" s="143">
        <v>0</v>
      </c>
      <c r="CI906" s="143">
        <v>0</v>
      </c>
      <c r="CJ906" s="143">
        <v>0</v>
      </c>
      <c r="CK906" s="143">
        <v>0</v>
      </c>
      <c r="CL906" s="143">
        <v>0</v>
      </c>
      <c r="CM906">
        <v>0</v>
      </c>
      <c r="CN906" t="str">
        <f>IF($BL906&lt;$BK906,"refNeedCorrection","refOK")</f>
        <v>refOK</v>
      </c>
      <c r="CO906">
        <f>IF($CN906="refOK",$BK906,$BL906)</f>
        <v>7.3</v>
      </c>
      <c r="CP906">
        <f>IF($CN906="refOK",$BL906,$BK906)</f>
        <v>10</v>
      </c>
      <c r="CQ906">
        <f>IF($CN906="refOK",$BO906,-$BO906)</f>
        <v>2.7</v>
      </c>
      <c r="CR906">
        <f>IF($CN906="refOK",$BS906,$BT906)*IF($BP906="Emissions positive",-1,1)</f>
        <v>1.93630573248407</v>
      </c>
      <c r="CS906">
        <f>IF($CN906="refOK",$BT906,$BS906)*IF($BP906="Emissions positive",-1,1)</f>
        <v>2.7643312101910738</v>
      </c>
      <c r="CT906">
        <f>IF($CN906="refNeedCorrection",-BX906,BX906)*IF($BP906="Emissions positive",-1,1)</f>
        <v>3.0388535031847037</v>
      </c>
      <c r="CU906">
        <f>IFERROR(CT906/CQ906,"")</f>
        <v>1.1255012974758161</v>
      </c>
      <c r="CV906" s="2">
        <f>IFERROR((CS906-CR906)/ABS(CR906),"")</f>
        <v>0.42763157894736847</v>
      </c>
      <c r="CW906" s="1" t="s">
        <v>234</v>
      </c>
      <c r="CX906" s="264" t="str">
        <f>IF(OR($CW906="prd",$CW906="std",$CW906="cit"),"loc",IF(OR($CW906="eur",$CW906="reg",$CW906="coy"),"reg",$CW906))</f>
        <v>loc</v>
      </c>
      <c r="CY906" t="s">
        <v>264</v>
      </c>
      <c r="DA906" s="143"/>
      <c r="DB906" s="143">
        <v>300</v>
      </c>
      <c r="DC906" t="str">
        <f>IF(DB906=0,"0",IF(AND(DB906&gt;=1,DB906&lt;=30),"1-30",IF(AND(DB906&gt;30,DB906&lt;=70),"31-70",IF(AND(DB906&gt;70,DB906&lt;=100),"71-100",IF(DB906&gt;100,"+100")))))</f>
        <v>+100</v>
      </c>
      <c r="DD906">
        <v>0</v>
      </c>
      <c r="DE906">
        <v>0</v>
      </c>
      <c r="DF906">
        <v>0</v>
      </c>
      <c r="DG906">
        <v>1</v>
      </c>
      <c r="DI906">
        <f>SUM(DD906:DG906)</f>
        <v>1</v>
      </c>
      <c r="DJ906" t="str">
        <f>IF(DI906=1,INDEX($DD$7:$DG$7,MATCH(1,$DD906:$DG906,0)),"mixedProduct")</f>
        <v>TimberInput</v>
      </c>
      <c r="DK906">
        <f>IF(DD906=1,DK$7,0)</f>
        <v>0</v>
      </c>
      <c r="DL906">
        <f>IF(DE906=1,DL$7,0)</f>
        <v>0</v>
      </c>
      <c r="DM906">
        <f>IF(DF906=1,DM$7,0)</f>
        <v>0</v>
      </c>
      <c r="DN906" t="str">
        <f>IF(DG906=1,DN$7,0)</f>
        <v>Timber</v>
      </c>
      <c r="DO906">
        <v>1</v>
      </c>
      <c r="DP906" s="143">
        <v>0</v>
      </c>
      <c r="DQ906" s="143">
        <v>0</v>
      </c>
      <c r="DR906">
        <v>0</v>
      </c>
      <c r="DS906" s="143">
        <v>0</v>
      </c>
      <c r="DT906">
        <f>SUM(DO906:DP906)</f>
        <v>1</v>
      </c>
      <c r="DU906" s="143" t="str">
        <f>IF(DO906=1,"self-calculated DF",IF(DP906=1,"external DF used","explicit C balance"))</f>
        <v>self-calculated DF</v>
      </c>
      <c r="DV906" s="143">
        <v>1</v>
      </c>
      <c r="DW906" s="143">
        <v>1</v>
      </c>
      <c r="DX906" s="143">
        <v>0</v>
      </c>
      <c r="DY906" s="143">
        <v>0</v>
      </c>
      <c r="DZ906">
        <v>0</v>
      </c>
      <c r="EA906" s="143">
        <v>1</v>
      </c>
      <c r="EB906" s="143">
        <v>1</v>
      </c>
      <c r="EC906" s="143">
        <v>1</v>
      </c>
      <c r="ED906" s="143">
        <v>0</v>
      </c>
      <c r="EE906">
        <v>0</v>
      </c>
      <c r="EF906">
        <v>1</v>
      </c>
      <c r="EG906" s="143">
        <v>0</v>
      </c>
      <c r="EH906" s="143">
        <v>0</v>
      </c>
      <c r="EI906" s="2">
        <v>0</v>
      </c>
      <c r="EK906" t="str">
        <f>IF(AND(AND(AND(OR($DX906=1,$DW906=1),OR($EC906=1,$EA906=1)),SUM($DV906:$DZ906,$EF906)&gt;=4),SUM($EA906:$EE906)&gt;=2),"Whole sector","")</f>
        <v/>
      </c>
      <c r="EL906" t="str">
        <f>IF(AND(AND(OR($DX906=1,$DW906=1),AND($EC906=0,$EA906=0)),SUM($DV906:$DZ906,$EF906)&gt;=4),"Ecosystem approach","")</f>
        <v/>
      </c>
      <c r="EM906" s="2" t="str">
        <f>IF(AND(AND(AND($DX906=0,$DW906=0),OR($EC906=1,$EA906=1)),SUM($EB906:$EE906)&gt;=2),"Technology approach","")</f>
        <v/>
      </c>
      <c r="EP906" t="str">
        <f>IF(ISNUMBER(BU906),IF(ABS(BU906-[3]QC_indicators!$B$2)&gt;3*[3]QC_indicators!$C$2,"C ratio",IF(ISNUMBER(BY906),IF(ABS(BY906-[3]QC_indicators!$B$1)&gt;3*[3]QC_indicators!$C$1,"DF","no"))),IF(ISNUMBER(BY906),IF(ABS(BY906-[3]QC_indicators!$B$1)&gt;3*[3]QC_indicators!$C$1,"DF","no")))</f>
        <v>no</v>
      </c>
      <c r="ER906" s="264" t="s">
        <v>703</v>
      </c>
      <c r="ET906" s="264" t="s">
        <v>3407</v>
      </c>
    </row>
    <row r="907" spans="1:150" ht="15" customHeight="1">
      <c r="A907" s="1" t="s">
        <v>848</v>
      </c>
      <c r="B907" t="s">
        <v>849</v>
      </c>
      <c r="C907" t="s">
        <v>850</v>
      </c>
      <c r="D907" t="s">
        <v>851</v>
      </c>
      <c r="E907" t="s">
        <v>852</v>
      </c>
      <c r="F907" t="s">
        <v>853</v>
      </c>
      <c r="G907" t="s">
        <v>854</v>
      </c>
      <c r="H907" t="s">
        <v>254</v>
      </c>
      <c r="I907">
        <v>2020</v>
      </c>
      <c r="J907">
        <v>5</v>
      </c>
      <c r="K907" t="s">
        <v>855</v>
      </c>
      <c r="M907" t="str">
        <f>LEFT($D907,FIND(",",$D907)-1)&amp;"_"&amp;I907&amp;L907</f>
        <v>Lan_2020</v>
      </c>
      <c r="N907" t="s">
        <v>222</v>
      </c>
      <c r="O907" s="145" t="s">
        <v>225</v>
      </c>
      <c r="Q907" t="s">
        <v>256</v>
      </c>
      <c r="R907" s="262" t="s">
        <v>223</v>
      </c>
      <c r="S907" s="1" t="s">
        <v>95</v>
      </c>
      <c r="T907" t="s">
        <v>862</v>
      </c>
      <c r="U907" t="s">
        <v>866</v>
      </c>
      <c r="V907">
        <v>0</v>
      </c>
      <c r="W907">
        <v>0</v>
      </c>
      <c r="X907">
        <v>0</v>
      </c>
      <c r="Y907">
        <v>0</v>
      </c>
      <c r="Z907">
        <v>0</v>
      </c>
      <c r="AA907">
        <v>0</v>
      </c>
      <c r="AB907">
        <v>0</v>
      </c>
      <c r="AC907">
        <v>1</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s="141">
        <f>COUNTIF(V907:AW907,"&lt;&gt;0")</f>
        <v>1</v>
      </c>
      <c r="AY907" s="141">
        <f>COUNTIF(V907:AL907,"&lt;&gt;0")</f>
        <v>1</v>
      </c>
      <c r="AZ907">
        <f>COUNTIF(V907:AC907,"&lt;&gt;0")</f>
        <v>1</v>
      </c>
      <c r="BA907">
        <f>COUNTIF(AD907:AI907,"&lt;&gt;0")</f>
        <v>0</v>
      </c>
      <c r="BB907">
        <f>COUNTIF(AJ907:AL907,"&lt;&gt;0")</f>
        <v>0</v>
      </c>
      <c r="BC907">
        <f>COUNTIF(AS907:AW907,"&lt;&gt;0")</f>
        <v>0</v>
      </c>
      <c r="BD907">
        <f>COUNTIF(AM907:AR907,"&lt;&gt;0")</f>
        <v>0</v>
      </c>
      <c r="BE907" t="str">
        <f t="array" ref="BE907">IF(AY907=1,INDEX($V$7:$AL$7,MATCH(TRUE,INDEX($V907:$AW907&lt;&gt;0,),0)),IF(AY907=0,INDEX($AM$7:$AW$7,MATCH(1,$AM907:$AW907,0)),IF(BF907="Multiple strategies","mixed drivers",IF(BF907="Supply chain","multiple supply","multiple silviculture"))))</f>
        <v>site fertility</v>
      </c>
      <c r="BF907" s="2" t="str" cm="1">
        <f t="array" ref="BF907">IF(COUNTIF(AZ907:BB907,"&lt;&gt;0")=1,INDEX($V$4:$AW$4,MATCH(TRUE,INDEX($V907:$AW907&lt;&gt;0,),0)),IF(COUNTIF(AZ907:BB907,"&lt;&gt;0")=0,INDEX($AM$4:$AW$4,MATCH(1,$AM907:$AW907,0)),"Multiple strategies"))</f>
        <v>Silviculture for productivity</v>
      </c>
      <c r="BG907" s="142" t="s">
        <v>321</v>
      </c>
      <c r="BH907" t="s">
        <v>867</v>
      </c>
      <c r="BI907" s="264" t="s">
        <v>701</v>
      </c>
      <c r="BJ907" s="143" t="s">
        <v>868</v>
      </c>
      <c r="BK907">
        <f>282+71</f>
        <v>353</v>
      </c>
      <c r="BL907" s="143">
        <f>111+443</f>
        <v>554</v>
      </c>
      <c r="BM907" s="163">
        <f>BL907/BK907</f>
        <v>1.5694050991501416</v>
      </c>
      <c r="BN907">
        <f>BL907-BK907</f>
        <v>201</v>
      </c>
      <c r="BO907" s="159">
        <f>BN907*t_to_m3</f>
        <v>410.20408163265307</v>
      </c>
      <c r="BP907" t="s">
        <v>232</v>
      </c>
      <c r="BQ907" s="303" t="s">
        <v>429</v>
      </c>
      <c r="BR907" t="s">
        <v>859</v>
      </c>
      <c r="BS907">
        <v>829.35699999999997</v>
      </c>
      <c r="BT907">
        <v>1291.7429999999999</v>
      </c>
      <c r="BU907" s="144">
        <f>IFERROR(BT907/BS907,"")</f>
        <v>1.5575234790325516</v>
      </c>
      <c r="BV907">
        <f>BT907-BS907</f>
        <v>462.38599999999997</v>
      </c>
      <c r="BX907">
        <f>BV907</f>
        <v>462.38599999999997</v>
      </c>
      <c r="BY907">
        <f>IFERROR(BX907/BO907,"")</f>
        <v>1.1272096517412935</v>
      </c>
      <c r="BZ907">
        <v>0</v>
      </c>
      <c r="CA907">
        <v>0</v>
      </c>
      <c r="CB907">
        <v>0</v>
      </c>
      <c r="CC907">
        <v>0</v>
      </c>
      <c r="CD907">
        <v>0</v>
      </c>
      <c r="CE907">
        <v>0</v>
      </c>
      <c r="CF907">
        <v>0</v>
      </c>
      <c r="CG907">
        <v>0</v>
      </c>
      <c r="CH907">
        <v>0</v>
      </c>
      <c r="CI907">
        <v>0</v>
      </c>
      <c r="CJ907">
        <v>0</v>
      </c>
      <c r="CK907">
        <v>0</v>
      </c>
      <c r="CL907">
        <v>0</v>
      </c>
      <c r="CM907">
        <v>0</v>
      </c>
      <c r="CN907" t="str">
        <f>IF($BL907&lt;$BK907,"refNeedCorrection","refOK")</f>
        <v>refOK</v>
      </c>
      <c r="CO907">
        <f>IF($CN907="refNeedCorrection",BL907,BK907)</f>
        <v>353</v>
      </c>
      <c r="CP907">
        <f>IF($CN907="refNeedCorrection",BK907,BL907)</f>
        <v>554</v>
      </c>
      <c r="CQ907">
        <f>IF($CN907="refOK",$BO907,-$BO907)</f>
        <v>410.20408163265307</v>
      </c>
      <c r="CR907">
        <f>IF($CN907="refOK",$BS907,$BT907)*IF($BP907="Emissions positive",-1,1)</f>
        <v>829.35699999999997</v>
      </c>
      <c r="CS907">
        <f>IF($CN907="refOK",$BT907,$BS907)*IF($BP907="Emissions positive",-1,1)</f>
        <v>1291.7429999999999</v>
      </c>
      <c r="CT907">
        <f>IF($CN907="refNeedCorrection",-BX907,BX907)*IF($BP907="Emissions positive",-1,1)</f>
        <v>462.38599999999997</v>
      </c>
      <c r="CU907">
        <f>IFERROR(CT907/CQ907,"")</f>
        <v>1.1272096517412935</v>
      </c>
      <c r="CV907" s="2">
        <f>IFERROR((CS907-CR907)/ABS(CR907),"")</f>
        <v>0.55752347903255173</v>
      </c>
      <c r="CW907" s="1" t="s">
        <v>234</v>
      </c>
      <c r="CX907" t="str">
        <f>IF(OR($CW907="prd",$CW907="std",$CW907="cit"),"loc",IF(OR($CW907="eur",$CW907="reg",$CW907="coy"),"reg",$CW907))</f>
        <v>loc</v>
      </c>
      <c r="CY907" t="s">
        <v>428</v>
      </c>
      <c r="CZ907">
        <v>2021</v>
      </c>
      <c r="DA907" s="143">
        <v>2120</v>
      </c>
      <c r="DB907" s="143">
        <v>100</v>
      </c>
      <c r="DC907" t="str">
        <f>IF(DB907=0,"0",IF(AND(DB907&gt;=1,DB907&lt;=30),"1-30",IF(AND(DB907&gt;30,DB907&lt;=70),"31-70",IF(AND(DB907&gt;70,DB907&lt;=100),"71-100",IF(DB907&gt;100,"+100")))))</f>
        <v>71-100</v>
      </c>
      <c r="DD907">
        <v>0</v>
      </c>
      <c r="DE907">
        <v>1</v>
      </c>
      <c r="DF907">
        <v>0</v>
      </c>
      <c r="DG907">
        <v>1</v>
      </c>
      <c r="DI907">
        <f>SUM(DD907:DG907)</f>
        <v>2</v>
      </c>
      <c r="DJ907" t="str">
        <f>IF(DI907=1,INDEX($DD$7:$DG$7,MATCH(1,$DD907:$DG907,0)),"mixedProduct")</f>
        <v>mixedProduct</v>
      </c>
      <c r="DK907">
        <f>IF(DD907=1,DK$7,0)</f>
        <v>0</v>
      </c>
      <c r="DL907" t="str">
        <f>IF(DE907=1,DL$7,0)</f>
        <v>Energy</v>
      </c>
      <c r="DM907">
        <f>IF(DF907=1,DM$7,0)</f>
        <v>0</v>
      </c>
      <c r="DN907" t="str">
        <f>IF(DG907=1,DN$7,0)</f>
        <v>Timber</v>
      </c>
      <c r="DO907">
        <v>0</v>
      </c>
      <c r="DP907" s="143">
        <v>0</v>
      </c>
      <c r="DQ907" s="143">
        <v>0</v>
      </c>
      <c r="DR907">
        <v>0</v>
      </c>
      <c r="DS907" s="143">
        <v>0</v>
      </c>
      <c r="DT907">
        <f>SUM(DO907:DP907)</f>
        <v>0</v>
      </c>
      <c r="DU907" s="143" t="str">
        <f>IF(DO907=1,"self-calculated DF",IF(DP907=1,"external DF used","explicit C balance"))</f>
        <v>explicit C balance</v>
      </c>
      <c r="DV907" s="143">
        <v>0</v>
      </c>
      <c r="DW907" s="143">
        <v>1</v>
      </c>
      <c r="DX907" s="143">
        <v>1</v>
      </c>
      <c r="DY907" s="143">
        <v>1</v>
      </c>
      <c r="DZ907">
        <v>1</v>
      </c>
      <c r="EA907" s="143">
        <v>0</v>
      </c>
      <c r="EB907" s="143">
        <v>1</v>
      </c>
      <c r="EC907" s="143">
        <v>1</v>
      </c>
      <c r="ED907" s="143">
        <v>1</v>
      </c>
      <c r="EE907">
        <v>0</v>
      </c>
      <c r="EF907">
        <v>1</v>
      </c>
      <c r="EG907" s="143">
        <v>1</v>
      </c>
      <c r="EH907">
        <v>0</v>
      </c>
      <c r="EI907" s="2">
        <v>0</v>
      </c>
      <c r="EK907" t="str">
        <f>IF(AND(AND(AND(OR($DX907=1,$DW907=1),OR($EC907=1,$EA907=1)),SUM($DV907:$DZ907,$EF907)&gt;=4),SUM($EA907:$EE907)&gt;=2),"Whole sector","")</f>
        <v>Whole sector</v>
      </c>
      <c r="EL907" t="str">
        <f>IF(AND(AND(OR($DX907=1,$DW907=1),AND($EC907=0,$EA907=0)),SUM($DV907:$DZ907,$EF907)&gt;=4),"Ecosystem approach","")</f>
        <v/>
      </c>
      <c r="EM907" s="2" t="str">
        <f>IF(AND(AND(AND($DX907=0,$DW907=0),OR($EC907=1,$EA907=1)),SUM($EB907:$EE907)&gt;=2),"Technology approach","")</f>
        <v/>
      </c>
      <c r="EP907" t="str">
        <f>IF(ISNUMBER(BU907),IF(ABS(BU907-[1]QC_indicators!$B$2)&gt;3*[1]QC_indicators!$C$2,"C ratio",IF(ISNUMBER(BY907),IF(ABS(BY907-[1]QC_indicators!$B$1)&gt;3*[1]QC_indicators!$C$1,"DF","no"))),IF(ISNUMBER(BY907),IF(ABS(BY907-[1]QC_indicators!$B$1)&gt;3*[1]QC_indicators!$C$1,"DF","no")))</f>
        <v>no</v>
      </c>
      <c r="ER907" t="s">
        <v>860</v>
      </c>
      <c r="ET907" s="264" t="s">
        <v>3151</v>
      </c>
    </row>
    <row r="908" spans="1:150" ht="15" customHeight="1">
      <c r="A908" s="1" t="s">
        <v>2554</v>
      </c>
      <c r="B908" t="s">
        <v>2555</v>
      </c>
      <c r="C908" t="s">
        <v>2556</v>
      </c>
      <c r="D908" t="s">
        <v>2557</v>
      </c>
      <c r="E908" t="s">
        <v>2558</v>
      </c>
      <c r="F908" t="s">
        <v>2559</v>
      </c>
      <c r="G908" t="s">
        <v>2560</v>
      </c>
      <c r="H908" t="s">
        <v>254</v>
      </c>
      <c r="I908">
        <v>2015</v>
      </c>
      <c r="J908">
        <v>20</v>
      </c>
      <c r="K908" t="s">
        <v>2561</v>
      </c>
      <c r="M908" t="str">
        <f>LEFT($D908,FIND(",",$D908)-1)&amp;"_"&amp;I908&amp;L908</f>
        <v>Meiyappan_2015</v>
      </c>
      <c r="N908" t="s">
        <v>222</v>
      </c>
      <c r="O908" s="145" t="s">
        <v>225</v>
      </c>
      <c r="Q908" s="264" t="s">
        <v>256</v>
      </c>
      <c r="R908" s="269" t="s">
        <v>1154</v>
      </c>
      <c r="S908" s="1" t="s">
        <v>2562</v>
      </c>
      <c r="T908" t="s">
        <v>2563</v>
      </c>
      <c r="U908" s="143" t="s">
        <v>2569</v>
      </c>
      <c r="V908">
        <v>2</v>
      </c>
      <c r="W908">
        <v>0</v>
      </c>
      <c r="X908">
        <v>0</v>
      </c>
      <c r="Y908">
        <v>0</v>
      </c>
      <c r="Z908">
        <v>0</v>
      </c>
      <c r="AA908">
        <v>0</v>
      </c>
      <c r="AB908">
        <v>0</v>
      </c>
      <c r="AC908">
        <v>0</v>
      </c>
      <c r="AD908">
        <v>0</v>
      </c>
      <c r="AE908">
        <v>0</v>
      </c>
      <c r="AF908">
        <v>0</v>
      </c>
      <c r="AG908">
        <v>0</v>
      </c>
      <c r="AH908">
        <v>0</v>
      </c>
      <c r="AI908">
        <v>0</v>
      </c>
      <c r="AJ908">
        <v>0</v>
      </c>
      <c r="AK908">
        <v>0</v>
      </c>
      <c r="AL908">
        <v>0</v>
      </c>
      <c r="AM908">
        <v>0</v>
      </c>
      <c r="AN908">
        <v>1</v>
      </c>
      <c r="AO908">
        <v>2</v>
      </c>
      <c r="AP908">
        <v>2</v>
      </c>
      <c r="AQ908">
        <v>0</v>
      </c>
      <c r="AR908">
        <v>2</v>
      </c>
      <c r="AS908">
        <v>0</v>
      </c>
      <c r="AT908">
        <v>0</v>
      </c>
      <c r="AU908">
        <v>0</v>
      </c>
      <c r="AV908">
        <v>0</v>
      </c>
      <c r="AW908">
        <v>0</v>
      </c>
      <c r="AX908" s="141">
        <f>COUNTIF(V908:AW908,"&lt;&gt;0")</f>
        <v>5</v>
      </c>
      <c r="AY908" s="141">
        <f>COUNTIF(V908:AL908,"&lt;&gt;0")</f>
        <v>1</v>
      </c>
      <c r="AZ908">
        <f>COUNTIF(V908:AC908,"&lt;&gt;0")</f>
        <v>1</v>
      </c>
      <c r="BA908">
        <f>COUNTIF(AD908:AI908,"&lt;&gt;0")</f>
        <v>0</v>
      </c>
      <c r="BB908">
        <f>COUNTIF(AJ908:AL908,"&lt;&gt;0")</f>
        <v>0</v>
      </c>
      <c r="BC908">
        <f>COUNTIF(AS908:AW908,"&lt;&gt;0")</f>
        <v>0</v>
      </c>
      <c r="BD908">
        <f>COUNTIF(AM908:AR908,"&lt;&gt;0")</f>
        <v>4</v>
      </c>
      <c r="BE908" t="str" cm="1">
        <f t="array" ref="BE908">IF(AY908=1,INDEX($V$7:$AL$7,MATCH(TRUE,INDEX($V908:$AW908&lt;&gt;0,),0)),IF(AY908=0,INDEX($AM$7:$AW$7,MATCH(1,$AM908:$AW908,0)),IF(BF908="Multiple strategies","mixed drivers",IF(BF908="Supply chain","multiple supply","multiple silviculture"))))</f>
        <v>area subject to harvest</v>
      </c>
      <c r="BF908" s="2" t="str" cm="1">
        <f t="array" ref="BF908">IF(COUNTIF(AZ908:BB908,"&lt;&gt;0")=1,INDEX($V$4:$AW$4,MATCH(TRUE,INDEX($V908:$AW908&lt;&gt;0,),0)),IF(COUNTIF(AZ908:BB908,"&lt;&gt;0")=0,INDEX($AM$4:$AW$4,MATCH(1,$AM908:$AW908,0)),"Multiple strategies"))</f>
        <v>Silviculture for removals</v>
      </c>
      <c r="BG908" s="142" t="s">
        <v>321</v>
      </c>
      <c r="BH908" t="s">
        <v>2565</v>
      </c>
      <c r="BJ908" s="143" t="s">
        <v>2567</v>
      </c>
      <c r="BK908" s="143">
        <v>69</v>
      </c>
      <c r="BL908" s="143">
        <v>88</v>
      </c>
      <c r="BM908">
        <f>BL908/BK908</f>
        <v>1.2753623188405796</v>
      </c>
      <c r="BN908">
        <f>BL908-BK908</f>
        <v>19</v>
      </c>
      <c r="BO908" s="143">
        <f>BN908*10^9*tC_to_m3</f>
        <v>82501085540.599228</v>
      </c>
      <c r="BP908" s="264" t="s">
        <v>232</v>
      </c>
      <c r="BQ908" s="301"/>
      <c r="BR908" t="s">
        <v>2567</v>
      </c>
      <c r="BS908" s="143">
        <v>-163</v>
      </c>
      <c r="BT908">
        <v>-137</v>
      </c>
      <c r="BU908" s="144">
        <v>0.8404907975460123</v>
      </c>
      <c r="BV908">
        <v>26</v>
      </c>
      <c r="BX908">
        <f>BV908*10^9*C_to_CO2</f>
        <v>95420000000</v>
      </c>
      <c r="BY908">
        <f>IFERROR(BX908/BO908,"")</f>
        <v>1.1565908421052631</v>
      </c>
      <c r="BZ908">
        <v>0</v>
      </c>
      <c r="CA908">
        <v>0</v>
      </c>
      <c r="CB908">
        <v>0</v>
      </c>
      <c r="CC908">
        <v>0</v>
      </c>
      <c r="CD908">
        <v>0</v>
      </c>
      <c r="CE908">
        <v>0</v>
      </c>
      <c r="CF908">
        <v>0</v>
      </c>
      <c r="CG908">
        <v>0</v>
      </c>
      <c r="CH908">
        <v>0</v>
      </c>
      <c r="CI908">
        <v>0</v>
      </c>
      <c r="CJ908">
        <v>0</v>
      </c>
      <c r="CK908">
        <v>0</v>
      </c>
      <c r="CL908">
        <v>0</v>
      </c>
      <c r="CM908">
        <v>0</v>
      </c>
      <c r="CN908" t="str">
        <f>IF($BL908&lt;$BK908,"refNeedCorrection","refOK")</f>
        <v>refOK</v>
      </c>
      <c r="CO908">
        <f>IF($CN908="refOK",$BK908,$BL908)</f>
        <v>69</v>
      </c>
      <c r="CP908">
        <f>IF($CN908="refOK",$BL908,$BK908)</f>
        <v>88</v>
      </c>
      <c r="CQ908">
        <f>IF($CN908="refOK",$BO908,-$BO908)</f>
        <v>82501085540.599228</v>
      </c>
      <c r="CR908">
        <f>IF($CN908="refOK",$BS908,$BT908)*IF($BP908="Emissions positive",-1,1)</f>
        <v>-163</v>
      </c>
      <c r="CS908">
        <f>IF($CN908="refOK",$BT908,$BS908)*IF($BP908="Emissions positive",-1,1)</f>
        <v>-137</v>
      </c>
      <c r="CT908">
        <f>IF($CN908="refNeedCorrection",-BX908,BX908)*IF($BP908="Emissions positive",-1,1)</f>
        <v>95420000000</v>
      </c>
      <c r="CU908">
        <f>IFERROR(CT908/CQ908,"")</f>
        <v>1.1565908421052631</v>
      </c>
      <c r="CV908" s="2">
        <f>IFERROR((CS908-CR908)/ABS(CR908),"")</f>
        <v>0.15950920245398773</v>
      </c>
      <c r="CW908" s="1" t="s">
        <v>2539</v>
      </c>
      <c r="CX908" s="264" t="str">
        <f>IF(OR($CW908="prd",$CW908="std",$CW908="cit"),"loc",IF(OR($CW908="eur",$CW908="reg",$CW908="coy"),"reg",$CW908))</f>
        <v>w</v>
      </c>
      <c r="CY908" s="264" t="s">
        <v>2540</v>
      </c>
      <c r="CZ908">
        <v>1901</v>
      </c>
      <c r="DA908" s="143">
        <v>2100</v>
      </c>
      <c r="DB908" s="143">
        <v>200</v>
      </c>
      <c r="DC908" t="str">
        <f>IF(DB908=0,"0",IF(AND(DB908&gt;=1,DB908&lt;=30),"1-30",IF(AND(DB908&gt;30,DB908&lt;=70),"31-70",IF(AND(DB908&gt;70,DB908&lt;=100),"71-100",IF(DB908&gt;100,"+100")))))</f>
        <v>+100</v>
      </c>
      <c r="DD908">
        <v>1</v>
      </c>
      <c r="DE908">
        <v>0</v>
      </c>
      <c r="DF908">
        <v>0</v>
      </c>
      <c r="DG908">
        <v>0</v>
      </c>
      <c r="DI908">
        <f>SUM(DD908:DG908)</f>
        <v>1</v>
      </c>
      <c r="DJ908" t="str">
        <f>IF(DI908=1,INDEX($DD$7:$DG$7,MATCH(1,$DD908:$DG908,0)),"mixedProduct")</f>
        <v>UpstreamInput</v>
      </c>
      <c r="DK908" t="str">
        <f>IF(DD908=1,DK$7,0)</f>
        <v>Upstream</v>
      </c>
      <c r="DL908">
        <f>IF(DE908=1,DL$7,0)</f>
        <v>0</v>
      </c>
      <c r="DM908">
        <f>IF(DF908=1,DM$7,0)</f>
        <v>0</v>
      </c>
      <c r="DN908">
        <f>IF(DG908=1,DN$7,0)</f>
        <v>0</v>
      </c>
      <c r="DO908">
        <v>0</v>
      </c>
      <c r="DP908" s="143">
        <v>0</v>
      </c>
      <c r="DQ908" s="143">
        <v>0</v>
      </c>
      <c r="DR908">
        <v>0</v>
      </c>
      <c r="DS908" s="143">
        <v>0</v>
      </c>
      <c r="DT908">
        <f>SUM(DO908:DP908)</f>
        <v>0</v>
      </c>
      <c r="DU908" s="143" t="str">
        <f>IF(DO908=1,"self-calculated DF",IF(DP908=1,"external DF used","explicit C balance"))</f>
        <v>explicit C balance</v>
      </c>
      <c r="DV908" s="143">
        <v>1</v>
      </c>
      <c r="DW908" s="143">
        <v>1</v>
      </c>
      <c r="DX908" s="143">
        <v>1</v>
      </c>
      <c r="DY908" s="143">
        <v>1</v>
      </c>
      <c r="DZ908">
        <v>1</v>
      </c>
      <c r="EA908" s="143">
        <v>0</v>
      </c>
      <c r="EB908" s="143">
        <v>0</v>
      </c>
      <c r="EC908" s="143">
        <v>0</v>
      </c>
      <c r="ED908" s="143">
        <v>0</v>
      </c>
      <c r="EE908">
        <v>0</v>
      </c>
      <c r="EF908">
        <v>0</v>
      </c>
      <c r="EG908" s="143">
        <v>0</v>
      </c>
      <c r="EH908">
        <v>0</v>
      </c>
      <c r="EI908" s="2">
        <v>0</v>
      </c>
      <c r="EK908" t="str">
        <f>IF(AND(AND(AND(OR($DX908=1,$DW908=1),OR($EC908=1,$EA908=1)),SUM($DV908:$DZ908,$EF908)&gt;=4),SUM($EA908:$EE908)&gt;=2),"Whole sector","")</f>
        <v/>
      </c>
      <c r="EL908" t="str">
        <f>IF(AND(AND(OR($DX908=1,$DW908=1),AND($EC908=0,$EA908=0)),SUM($DV908:$DZ908,$EF908)&gt;=4),"Ecosystem approach","")</f>
        <v>Ecosystem approach</v>
      </c>
      <c r="EM908" s="2" t="str">
        <f>IF(AND(AND(AND($DX908=0,$DW908=0),OR($EC908=1,$EA908=1)),SUM($EB908:$EE908)&gt;=2),"Technology approach","")</f>
        <v/>
      </c>
      <c r="EP908" t="str">
        <f>IF(ISNUMBER(BU908),IF(ABS(BU908-[3]QC_indicators!$B$2)&gt;3*[3]QC_indicators!$C$2,"C ratio",IF(ISNUMBER(BY908),IF(ABS(BY908-[3]QC_indicators!$B$1)&gt;3*[3]QC_indicators!$C$1,"DF","no"))),IF(ISNUMBER(BY908),IF(ABS(BY908-[3]QC_indicators!$B$1)&gt;3*[3]QC_indicators!$C$1,"DF","no")))</f>
        <v>no</v>
      </c>
      <c r="ER908" s="294" t="s">
        <v>349</v>
      </c>
      <c r="ET908" s="264" t="s">
        <v>3407</v>
      </c>
    </row>
    <row r="909" spans="1:150" ht="15" customHeight="1">
      <c r="D909" t="s">
        <v>1661</v>
      </c>
      <c r="E909" t="s">
        <v>1662</v>
      </c>
      <c r="G909" t="s">
        <v>1663</v>
      </c>
      <c r="I909">
        <v>2007</v>
      </c>
      <c r="K909" t="s">
        <v>1664</v>
      </c>
      <c r="M909" t="str">
        <f>LEFT($D909,FIND(",",$D909)-1)&amp;"_"&amp;I909&amp;L909</f>
        <v>Gustavsson_2007</v>
      </c>
      <c r="N909" t="s">
        <v>222</v>
      </c>
      <c r="O909" t="s">
        <v>223</v>
      </c>
      <c r="Q909" t="s">
        <v>256</v>
      </c>
      <c r="R909" s="269" t="s">
        <v>274</v>
      </c>
      <c r="S909" s="1" t="s">
        <v>1665</v>
      </c>
      <c r="T909" t="s">
        <v>1689</v>
      </c>
      <c r="U909" s="143" t="s">
        <v>1680</v>
      </c>
      <c r="V909">
        <v>0</v>
      </c>
      <c r="W909">
        <v>0</v>
      </c>
      <c r="X909">
        <v>0</v>
      </c>
      <c r="Y909">
        <v>0</v>
      </c>
      <c r="Z909">
        <v>0</v>
      </c>
      <c r="AA909">
        <v>0</v>
      </c>
      <c r="AB909">
        <v>0</v>
      </c>
      <c r="AC909">
        <v>0</v>
      </c>
      <c r="AD909">
        <v>0</v>
      </c>
      <c r="AE909">
        <v>0</v>
      </c>
      <c r="AF909">
        <v>0</v>
      </c>
      <c r="AG909">
        <v>0</v>
      </c>
      <c r="AH909">
        <v>0</v>
      </c>
      <c r="AI909">
        <v>0</v>
      </c>
      <c r="AJ909">
        <v>0</v>
      </c>
      <c r="AK909">
        <v>1</v>
      </c>
      <c r="AL909">
        <v>0</v>
      </c>
      <c r="AM909">
        <v>0</v>
      </c>
      <c r="AN909">
        <v>0</v>
      </c>
      <c r="AO909">
        <v>0</v>
      </c>
      <c r="AP909">
        <v>0</v>
      </c>
      <c r="AQ909">
        <v>0</v>
      </c>
      <c r="AR909">
        <v>0</v>
      </c>
      <c r="AS909">
        <v>0</v>
      </c>
      <c r="AT909">
        <v>0</v>
      </c>
      <c r="AU909">
        <v>0</v>
      </c>
      <c r="AV909">
        <v>0</v>
      </c>
      <c r="AW909">
        <v>0</v>
      </c>
      <c r="AX909" s="141">
        <f>COUNTIF(V909:AW909,"&lt;&gt;0")</f>
        <v>1</v>
      </c>
      <c r="AY909" s="141">
        <f>COUNTIF(V909:AL909,"&lt;&gt;0")</f>
        <v>1</v>
      </c>
      <c r="AZ909">
        <f>COUNTIF(V909:AC909,"&lt;&gt;0")</f>
        <v>0</v>
      </c>
      <c r="BA909">
        <f>COUNTIF(AD909:AI909,"&lt;&gt;0")</f>
        <v>0</v>
      </c>
      <c r="BB909">
        <f>COUNTIF(AJ909:AL909,"&lt;&gt;0")</f>
        <v>1</v>
      </c>
      <c r="BC909">
        <f>COUNTIF(AS909:AW909,"&lt;&gt;0")</f>
        <v>0</v>
      </c>
      <c r="BD909">
        <f>COUNTIF(AM909:AR909,"&lt;&gt;0")</f>
        <v>0</v>
      </c>
      <c r="BE909" t="str">
        <f t="array" ref="BE909">IF(AY909=1,INDEX($V$7:$AL$7,MATCH(TRUE,INDEX($V909:$AW909&lt;&gt;0,),0)),IF(AY909=0,INDEX($AM$7:$AW$7,MATCH(1,$AM909:$AW909,0)),IF(BF909="Multiple strategies","mixed drivers",IF(BF909="Supply chain","multiple supply","multiple silviculture"))))</f>
        <v>technologies/design switch</v>
      </c>
      <c r="BF909" s="2" t="str" cm="1">
        <f t="array" ref="BF909">IF(COUNTIF(AZ909:BB909,"&lt;&gt;0")=1,INDEX($V$4:$AW$4,MATCH(TRUE,INDEX($V909:$AW909&lt;&gt;0,),0)),IF(COUNTIF(AZ909:BB909,"&lt;&gt;0")=0,INDEX($AM$4:$AW$4,MATCH(1,$AM909:$AW909,0)),"Multiple strategies"))</f>
        <v>Technology</v>
      </c>
      <c r="BG909" s="142" t="s">
        <v>229</v>
      </c>
      <c r="BH909" t="s">
        <v>1667</v>
      </c>
      <c r="BI909" s="264" t="s">
        <v>1057</v>
      </c>
      <c r="BJ909" s="143" t="s">
        <v>3265</v>
      </c>
      <c r="BK909">
        <v>0</v>
      </c>
      <c r="BL909" s="143">
        <v>19.3</v>
      </c>
      <c r="BM909" s="143"/>
      <c r="BN909">
        <f>BL909-BK909</f>
        <v>19.3</v>
      </c>
      <c r="BO909" s="143">
        <f>1000*BL909/15.3/400</f>
        <v>3.15359477124183</v>
      </c>
      <c r="BP909" t="s">
        <v>232</v>
      </c>
      <c r="BQ909" s="234"/>
      <c r="BR909" t="s">
        <v>938</v>
      </c>
      <c r="BS909" s="143">
        <v>-1</v>
      </c>
      <c r="BT909" s="151">
        <v>0</v>
      </c>
      <c r="BU909">
        <v>0</v>
      </c>
      <c r="BV909">
        <v>1</v>
      </c>
      <c r="BX909">
        <f>BV909*C_to_CO2</f>
        <v>3.67</v>
      </c>
      <c r="BY909">
        <f>IFERROR(BX909/BO909,"")</f>
        <v>1.1637512953367877</v>
      </c>
      <c r="BZ909" s="143">
        <v>0</v>
      </c>
      <c r="CA909" s="143">
        <v>0</v>
      </c>
      <c r="CB909" s="143">
        <v>0</v>
      </c>
      <c r="CC909" s="143">
        <v>0</v>
      </c>
      <c r="CD909" s="143">
        <v>0</v>
      </c>
      <c r="CE909" s="143">
        <v>0</v>
      </c>
      <c r="CF909" s="143">
        <v>0</v>
      </c>
      <c r="CG909" s="143">
        <v>0</v>
      </c>
      <c r="CH909" s="143">
        <v>0</v>
      </c>
      <c r="CI909" s="143">
        <v>0</v>
      </c>
      <c r="CJ909" s="143">
        <v>0</v>
      </c>
      <c r="CK909" s="143">
        <v>0</v>
      </c>
      <c r="CL909" s="143">
        <v>0</v>
      </c>
      <c r="CM909">
        <v>1</v>
      </c>
      <c r="CN909" t="str">
        <f>IF($BL909&lt;$BK909,"refNeedCorrection","refOK")</f>
        <v>refOK</v>
      </c>
      <c r="CO909">
        <f>IF($CN909="refOK",$BK909,$BL909)</f>
        <v>0</v>
      </c>
      <c r="CP909">
        <f>IF($CN909="refOK",$BL909,$BK909)</f>
        <v>19.3</v>
      </c>
      <c r="CQ909">
        <f>IF($CN909="refOK",$BO909,-$BO909)</f>
        <v>3.15359477124183</v>
      </c>
      <c r="CR909">
        <f>IF($CN909="refOK",$BS909,$BT909)*IF($BP909="Emissions positive",-1,1)</f>
        <v>-1</v>
      </c>
      <c r="CS909">
        <f>IF($CN909="refOK",$BT909,$BS909)*IF($BP909="Emissions positive",-1,1)</f>
        <v>0</v>
      </c>
      <c r="CT909">
        <f>IF($CN909="refNeedCorrection",-BX909,BX909)*IF($BP909="Emissions positive",-1,1)</f>
        <v>3.67</v>
      </c>
      <c r="CU909">
        <f>IFERROR(CT909/CQ909,"")</f>
        <v>1.1637512953367877</v>
      </c>
      <c r="CV909" s="2">
        <f>IFERROR((CS909-CR909)/ABS(CR909),"")</f>
        <v>1</v>
      </c>
      <c r="CW909" s="1" t="s">
        <v>1203</v>
      </c>
      <c r="CX909" t="str">
        <f>IF(OR($CW909="prd",$CW909="std",$CW909="cit"),"loc",IF(OR($CW909="eur",$CW909="reg",$CW909="coy"),"reg",$CW909))</f>
        <v>reg</v>
      </c>
      <c r="CY909" t="s">
        <v>444</v>
      </c>
      <c r="DA909" s="143"/>
      <c r="DB909" s="143">
        <v>0</v>
      </c>
      <c r="DC909" t="str">
        <f>IF(DB909=0,"0",IF(AND(DB909&gt;=1,DB909&lt;=30),"1-30",IF(AND(DB909&gt;30,DB909&lt;=70),"31-70",IF(AND(DB909&gt;70,DB909&lt;=100),"71-100",IF(DB909&gt;100,"+100")))))</f>
        <v>0</v>
      </c>
      <c r="DD909">
        <v>0</v>
      </c>
      <c r="DE909">
        <v>1</v>
      </c>
      <c r="DF909">
        <v>0</v>
      </c>
      <c r="DG909">
        <v>0</v>
      </c>
      <c r="DI909">
        <f>SUM(DD909:DG909)</f>
        <v>1</v>
      </c>
      <c r="DJ909" t="str">
        <f>IF(DI909=1,INDEX($DD$7:$DG$7,MATCH(1,$DD909:$DG909,0)),"mixedProduct")</f>
        <v>EnergyInput</v>
      </c>
      <c r="DK909">
        <f>IF(DD909=1,DK$7,0)</f>
        <v>0</v>
      </c>
      <c r="DL909" t="str">
        <f>IF(DE909=1,DL$7,0)</f>
        <v>Energy</v>
      </c>
      <c r="DM909">
        <f>IF(DF909=1,DM$7,0)</f>
        <v>0</v>
      </c>
      <c r="DN909">
        <f>IF(DG909=1,DN$7,0)</f>
        <v>0</v>
      </c>
      <c r="DO909">
        <v>0</v>
      </c>
      <c r="DP909" s="143">
        <v>0</v>
      </c>
      <c r="DQ909" s="143">
        <v>0</v>
      </c>
      <c r="DR909">
        <v>0</v>
      </c>
      <c r="DS909" s="143">
        <v>0</v>
      </c>
      <c r="DT909">
        <f>SUM(DO909:DP909)</f>
        <v>0</v>
      </c>
      <c r="DU909" s="143" t="str">
        <f>IF(DO909=1,"self-calculated DF",IF(DP909=1,"external DF used","explicit C balance"))</f>
        <v>explicit C balance</v>
      </c>
      <c r="DV909" s="143">
        <v>0</v>
      </c>
      <c r="DW909" s="143">
        <v>0</v>
      </c>
      <c r="DX909" s="143">
        <v>0</v>
      </c>
      <c r="DY909" s="143">
        <v>0</v>
      </c>
      <c r="DZ909">
        <v>0</v>
      </c>
      <c r="EA909" s="143">
        <v>0</v>
      </c>
      <c r="EB909" s="143">
        <v>0</v>
      </c>
      <c r="EC909" s="143">
        <v>1</v>
      </c>
      <c r="ED909" s="143">
        <v>0</v>
      </c>
      <c r="EE909">
        <v>0</v>
      </c>
      <c r="EF909">
        <v>0</v>
      </c>
      <c r="EG909" s="143">
        <v>0</v>
      </c>
      <c r="EH909" s="143">
        <v>0</v>
      </c>
      <c r="EI909" s="2">
        <v>0</v>
      </c>
      <c r="EK909" t="str">
        <f>IF(AND(AND(AND(OR($DX909=1,$DW909=1),OR($EC909=1,$EA909=1)),SUM($DV909:$DZ909,$EF909)&gt;=4),SUM($EA909:$EE909)&gt;=2),"Whole sector","")</f>
        <v/>
      </c>
      <c r="EL909" t="str">
        <f>IF(AND(AND(OR($DX909=1,$DW909=1),AND($EC909=0,$EA909=0)),SUM($DV909:$DZ909,$EF909)&gt;=4),"Ecosystem approach","")</f>
        <v/>
      </c>
      <c r="EM909" s="2" t="str">
        <f>IF(AND(AND(AND($DX909=0,$DW909=0),OR($EC909=1,$EA909=1)),SUM($EB909:$EE909)&gt;=2),"Technology approach","")</f>
        <v/>
      </c>
      <c r="EP909" t="str">
        <f>IF(ISNUMBER(BU909),IF(ABS(BU909-[2]QC_indicators!$B$2)&gt;3*[2]QC_indicators!$C$2,"C ratio",IF(ISNUMBER(BY909),IF(ABS(BY909-[2]QC_indicators!$B$1)&gt;3*[2]QC_indicators!$C$1,"DF","no"))),IF(ISNUMBER(BY909),IF(ABS(BY909-[2]QC_indicators!$B$1)&gt;3*[2]QC_indicators!$C$1,"DF","no")))</f>
        <v>no</v>
      </c>
      <c r="ER909" s="149" t="s">
        <v>349</v>
      </c>
      <c r="ET909" s="264" t="s">
        <v>3266</v>
      </c>
    </row>
    <row r="910" spans="1:150" ht="15" customHeight="1">
      <c r="A910" s="1" t="s">
        <v>2067</v>
      </c>
      <c r="D910" t="s">
        <v>2463</v>
      </c>
      <c r="E910" t="s">
        <v>2464</v>
      </c>
      <c r="G910" t="s">
        <v>2465</v>
      </c>
      <c r="I910">
        <v>2005</v>
      </c>
      <c r="K910" t="s">
        <v>2466</v>
      </c>
      <c r="M910" t="str">
        <f>LEFT($D910,FIND(",",$D910)-1)&amp;"_"&amp;I910&amp;L910</f>
        <v>Werner_2005</v>
      </c>
      <c r="N910" t="s">
        <v>222</v>
      </c>
      <c r="O910" s="145" t="s">
        <v>225</v>
      </c>
      <c r="Q910" t="s">
        <v>256</v>
      </c>
      <c r="R910" s="262" t="s">
        <v>223</v>
      </c>
      <c r="S910" s="1" t="s">
        <v>2467</v>
      </c>
      <c r="T910" t="s">
        <v>2468</v>
      </c>
      <c r="U910" t="s">
        <v>2469</v>
      </c>
      <c r="V910" s="143">
        <v>0</v>
      </c>
      <c r="W910" s="143">
        <v>0</v>
      </c>
      <c r="X910" s="143">
        <v>0</v>
      </c>
      <c r="Y910" s="143">
        <v>0</v>
      </c>
      <c r="Z910" s="143">
        <v>0</v>
      </c>
      <c r="AA910" s="143">
        <v>0</v>
      </c>
      <c r="AB910" s="143">
        <v>0</v>
      </c>
      <c r="AC910" s="143">
        <v>0</v>
      </c>
      <c r="AD910" s="143">
        <v>0</v>
      </c>
      <c r="AE910" s="143">
        <v>0</v>
      </c>
      <c r="AF910" s="143">
        <v>0</v>
      </c>
      <c r="AG910" s="143">
        <v>0</v>
      </c>
      <c r="AH910" s="143">
        <v>0</v>
      </c>
      <c r="AI910" s="143">
        <v>0</v>
      </c>
      <c r="AJ910" s="143">
        <v>0</v>
      </c>
      <c r="AK910" s="143">
        <v>1</v>
      </c>
      <c r="AL910" s="143">
        <v>0</v>
      </c>
      <c r="AM910" s="143">
        <v>0</v>
      </c>
      <c r="AN910" s="143">
        <v>0</v>
      </c>
      <c r="AO910" s="143">
        <v>0</v>
      </c>
      <c r="AP910" s="143">
        <v>0</v>
      </c>
      <c r="AQ910" s="143">
        <v>0</v>
      </c>
      <c r="AR910" s="143">
        <v>0</v>
      </c>
      <c r="AS910" s="143">
        <v>0</v>
      </c>
      <c r="AT910" s="143">
        <v>0</v>
      </c>
      <c r="AU910" s="143">
        <v>0</v>
      </c>
      <c r="AV910" s="143">
        <v>0</v>
      </c>
      <c r="AW910" s="143">
        <v>0</v>
      </c>
      <c r="AX910" s="141">
        <f>COUNTIF(V910:AW910,"&lt;&gt;0")</f>
        <v>1</v>
      </c>
      <c r="AY910" s="141">
        <f>COUNTIF(V910:AL910,"&lt;&gt;0")</f>
        <v>1</v>
      </c>
      <c r="AZ910">
        <f>COUNTIF(V910:AC910,"&lt;&gt;0")</f>
        <v>0</v>
      </c>
      <c r="BA910">
        <f>COUNTIF(AD910:AI910,"&lt;&gt;0")</f>
        <v>0</v>
      </c>
      <c r="BB910">
        <f>COUNTIF(AJ910:AL910,"&lt;&gt;0")</f>
        <v>1</v>
      </c>
      <c r="BC910">
        <f>COUNTIF(AS910:AW910,"&lt;&gt;0")</f>
        <v>0</v>
      </c>
      <c r="BD910">
        <f>COUNTIF(AM910:AR910,"&lt;&gt;0")</f>
        <v>0</v>
      </c>
      <c r="BE910" t="str">
        <f t="array" ref="BE910">IF(AY910=1,INDEX($V$7:$AL$7,MATCH(TRUE,INDEX($V910:$AW910&lt;&gt;0,),0)),IF(AY910=0,INDEX($AM$7:$AW$7,MATCH(1,$AM910:$AW910,0)),IF(BF910="Multiple strategies","mixed drivers",IF(BF910="Supply chain","multiple supply","multiple silviculture"))))</f>
        <v>technologies/design switch</v>
      </c>
      <c r="BF910" s="2" t="str" cm="1">
        <f t="array" ref="BF910">IF(COUNTIF(AZ910:BB910,"&lt;&gt;0")=1,INDEX($V$4:$AW$4,MATCH(TRUE,INDEX($V910:$AW910&lt;&gt;0,),0)),IF(COUNTIF(AZ910:BB910,"&lt;&gt;0")=0,INDEX($AM$4:$AW$4,MATCH(1,$AM910:$AW910,0)),"Multiple strategies"))</f>
        <v>Technology</v>
      </c>
      <c r="BG910" s="1" t="s">
        <v>321</v>
      </c>
      <c r="BH910" t="s">
        <v>2470</v>
      </c>
      <c r="BJ910" t="s">
        <v>2471</v>
      </c>
      <c r="BK910">
        <v>2.73</v>
      </c>
      <c r="BL910">
        <v>3.54</v>
      </c>
      <c r="BN910">
        <f>BL910-BK910</f>
        <v>0.81</v>
      </c>
      <c r="BO910">
        <f>BN910*10^6</f>
        <v>810000</v>
      </c>
      <c r="BP910" t="s">
        <v>232</v>
      </c>
      <c r="BQ910" s="234"/>
      <c r="BR910" t="s">
        <v>2472</v>
      </c>
      <c r="BS910">
        <v>0</v>
      </c>
      <c r="BT910">
        <f>126/130</f>
        <v>0.96923076923076923</v>
      </c>
      <c r="BU910" s="144" t="str">
        <f>IFERROR(BT910/BS910,"")</f>
        <v/>
      </c>
      <c r="BV910">
        <f>BT910-BS910</f>
        <v>0.96923076923076923</v>
      </c>
      <c r="BX910">
        <f>BV910*10^6</f>
        <v>969230.76923076925</v>
      </c>
      <c r="BY910">
        <f>IFERROR(BX910/BO910,"")</f>
        <v>1.1965811965811965</v>
      </c>
      <c r="BZ910" s="143">
        <v>0</v>
      </c>
      <c r="CA910" s="143">
        <v>0</v>
      </c>
      <c r="CB910" s="143">
        <v>0</v>
      </c>
      <c r="CC910" s="143">
        <v>0</v>
      </c>
      <c r="CD910" s="143">
        <v>0</v>
      </c>
      <c r="CE910" s="143">
        <v>0</v>
      </c>
      <c r="CF910" s="143">
        <v>0</v>
      </c>
      <c r="CG910" s="143">
        <v>0</v>
      </c>
      <c r="CH910" s="143">
        <v>0</v>
      </c>
      <c r="CI910" s="143">
        <v>0</v>
      </c>
      <c r="CJ910" s="143">
        <v>0</v>
      </c>
      <c r="CK910" s="143">
        <v>0</v>
      </c>
      <c r="CL910" s="143">
        <v>0</v>
      </c>
      <c r="CM910" s="143">
        <v>0</v>
      </c>
      <c r="CN910" t="str">
        <f>IF(BL910&lt;BK910,"refNeedCorrection","refOK")</f>
        <v>refOK</v>
      </c>
      <c r="CO910">
        <f>IF($CN910="refOK",$BK910,$BL910)</f>
        <v>2.73</v>
      </c>
      <c r="CP910">
        <f>IF($CN910="refOK",$BL910,$BK910)</f>
        <v>3.54</v>
      </c>
      <c r="CQ910">
        <f>IF($CN910="refOK",$BO910,-$BO910)</f>
        <v>810000</v>
      </c>
      <c r="CR910">
        <f>IF($CN910="refOK",$BS910,$BT910)*IF($BP910="Emissions positive",-1,1)</f>
        <v>0</v>
      </c>
      <c r="CS910">
        <f>IF($CN910="refOK",$BT910,$BS910)*IF($BP910="Emissions positive",-1,1)</f>
        <v>0.96923076923076923</v>
      </c>
      <c r="CT910">
        <f>IF($CN910="refNeedCorrection",-BX910,BX910)*IF($BP910="Emissions positive",-1,1)</f>
        <v>969230.76923076925</v>
      </c>
      <c r="CU910">
        <f>IFERROR(CT910/CQ910,"")</f>
        <v>1.1965811965811965</v>
      </c>
      <c r="CV910" s="2" t="str">
        <f>IFERROR((CS910-CR910)/ABS(CR910),"")</f>
        <v/>
      </c>
      <c r="CW910" s="1" t="s">
        <v>1203</v>
      </c>
      <c r="CX910" t="str">
        <f>IF(OR($CW910="prd",$CW910="std",$CW910="cit"),"loc",IF(OR($CW910="eur",$CW910="reg",$CW910="coy"),"reg",$CW910))</f>
        <v>reg</v>
      </c>
      <c r="CY910" t="s">
        <v>639</v>
      </c>
      <c r="CZ910">
        <v>2000</v>
      </c>
      <c r="DA910">
        <v>2130</v>
      </c>
      <c r="DB910">
        <f>DA910-CZ910</f>
        <v>130</v>
      </c>
      <c r="DC910" t="str">
        <f>IF(DB910=0,"0",IF(AND(DB910&gt;=1,DB910&lt;=30),"1-30",IF(AND(DB910&gt;30,DB910&lt;=70),"31-70",IF(AND(DB910&gt;70,DB910&lt;=100),"71-100",IF(DB910&gt;100,"+100")))))</f>
        <v>+100</v>
      </c>
      <c r="DD910">
        <v>0</v>
      </c>
      <c r="DE910">
        <v>0</v>
      </c>
      <c r="DF910">
        <v>0</v>
      </c>
      <c r="DG910">
        <v>1</v>
      </c>
      <c r="DH910">
        <v>0</v>
      </c>
      <c r="DI910">
        <f>SUM(DD910:DG910)</f>
        <v>1</v>
      </c>
      <c r="DJ910" t="str">
        <f>IF(DI910=1,INDEX($DD$7:$DG$7,MATCH(1,$DD910:$DG910,0)),"mixedProduct")</f>
        <v>TimberInput</v>
      </c>
      <c r="DK910">
        <f>IF(DD910=1,DK$7,0)</f>
        <v>0</v>
      </c>
      <c r="DL910">
        <f>IF(DE910=1,DL$7,0)</f>
        <v>0</v>
      </c>
      <c r="DM910">
        <f>IF(DF910=1,DM$7,0)</f>
        <v>0</v>
      </c>
      <c r="DN910" t="str">
        <f>IF(DG910=1,DN$7,0)</f>
        <v>Timber</v>
      </c>
      <c r="DO910">
        <v>1</v>
      </c>
      <c r="DP910" s="143">
        <v>0</v>
      </c>
      <c r="DQ910">
        <v>0</v>
      </c>
      <c r="DR910">
        <v>0</v>
      </c>
      <c r="DS910">
        <v>0</v>
      </c>
      <c r="DT910">
        <f>SUM(DO910:DP910)</f>
        <v>1</v>
      </c>
      <c r="DU910" s="143" t="str">
        <f>IF(DO910=1,"self-calculated DF",IF(DP910=1,"external DF used","explicit C balance"))</f>
        <v>self-calculated DF</v>
      </c>
      <c r="DV910" s="143">
        <v>0</v>
      </c>
      <c r="DW910" s="143">
        <v>0</v>
      </c>
      <c r="DX910" s="143">
        <v>0</v>
      </c>
      <c r="DY910" s="143">
        <v>1</v>
      </c>
      <c r="DZ910" s="143">
        <v>0</v>
      </c>
      <c r="EA910" s="143">
        <v>0</v>
      </c>
      <c r="EB910" s="143">
        <v>0</v>
      </c>
      <c r="EC910" s="143">
        <v>1</v>
      </c>
      <c r="ED910" s="143">
        <v>0</v>
      </c>
      <c r="EE910" s="143">
        <v>1</v>
      </c>
      <c r="EF910" s="143">
        <v>0</v>
      </c>
      <c r="EG910" s="143">
        <v>0</v>
      </c>
      <c r="EH910" s="143">
        <v>0</v>
      </c>
      <c r="EI910" s="196">
        <v>0</v>
      </c>
      <c r="EK910" t="str">
        <f>IF(AND(AND(AND(OR($DX910=1,$DW910=1),OR($EC910=1,$EA910=1)),SUM($DV910:$DZ910,$EF910)&gt;=4),SUM($EA910:$EE910)&gt;=2),"Whole sector","")</f>
        <v/>
      </c>
      <c r="EL910" t="str">
        <f>IF(AND(AND(OR($DX910=1,$DW910=1),AND($EC910=0,$EA910=0)),SUM($DV910:$DZ910,$EF910)&gt;=4),"Ecosystem approach","")</f>
        <v/>
      </c>
      <c r="EM910" s="2" t="str">
        <f>IF(AND(AND(AND($DX910=0,$DW910=0),OR($EC910=1,$EA910=1)),SUM($EB910:$EE910)&gt;=2),"Technology approach","")</f>
        <v>Technology approach</v>
      </c>
      <c r="EN910" t="s">
        <v>2473</v>
      </c>
      <c r="EP910" t="str">
        <f>IF(ISNUMBER(BU910),IF(ABS(BU910-[1]QC_indicators!$B$2)&gt;3*[1]QC_indicators!$C$2,"C ratio",IF(ISNUMBER(BY910),IF(ABS(BY910-[1]QC_indicators!$B$1)&gt;3*[1]QC_indicators!$C$1,"DF","no"))),IF(ISNUMBER(BY910),IF(ABS(BY910-[1]QC_indicators!$B$1)&gt;3*[1]QC_indicators!$C$1,"DF","no")))</f>
        <v>no</v>
      </c>
      <c r="EQ910" t="s">
        <v>1164</v>
      </c>
      <c r="ER910" t="s">
        <v>2474</v>
      </c>
      <c r="ET910" s="264" t="s">
        <v>3273</v>
      </c>
    </row>
    <row r="911" spans="1:150" ht="15" customHeight="1">
      <c r="D911" t="s">
        <v>963</v>
      </c>
      <c r="E911" t="s">
        <v>1007</v>
      </c>
      <c r="G911" t="s">
        <v>1008</v>
      </c>
      <c r="I911">
        <v>2004</v>
      </c>
      <c r="K911" t="s">
        <v>1009</v>
      </c>
      <c r="M911" t="str">
        <f>LEFT($D911,FIND(",",$D911)-1)&amp;"_"&amp;I911&amp;L911</f>
        <v>Petersen_2004</v>
      </c>
      <c r="N911" t="s">
        <v>222</v>
      </c>
      <c r="O911" s="171" t="s">
        <v>513</v>
      </c>
      <c r="P911" s="141" t="s">
        <v>225</v>
      </c>
      <c r="Q911" t="s">
        <v>389</v>
      </c>
      <c r="R911" s="262" t="s">
        <v>223</v>
      </c>
      <c r="S911" s="1" t="s">
        <v>1014</v>
      </c>
      <c r="T911" t="s">
        <v>1022</v>
      </c>
      <c r="U911" t="s">
        <v>1016</v>
      </c>
      <c r="V911">
        <v>0</v>
      </c>
      <c r="W911">
        <v>0</v>
      </c>
      <c r="X911">
        <v>0</v>
      </c>
      <c r="Y911">
        <v>0</v>
      </c>
      <c r="Z911">
        <v>0</v>
      </c>
      <c r="AA911">
        <v>0</v>
      </c>
      <c r="AB911">
        <v>0</v>
      </c>
      <c r="AC911">
        <v>0</v>
      </c>
      <c r="AD911">
        <v>0</v>
      </c>
      <c r="AE911">
        <v>0</v>
      </c>
      <c r="AF911">
        <v>0</v>
      </c>
      <c r="AG911">
        <v>0</v>
      </c>
      <c r="AH911">
        <v>0</v>
      </c>
      <c r="AI911">
        <v>0</v>
      </c>
      <c r="AJ911">
        <v>0</v>
      </c>
      <c r="AK911">
        <v>1</v>
      </c>
      <c r="AL911">
        <v>0</v>
      </c>
      <c r="AM911">
        <v>0</v>
      </c>
      <c r="AN911">
        <v>0</v>
      </c>
      <c r="AO911">
        <v>0</v>
      </c>
      <c r="AP911">
        <v>0</v>
      </c>
      <c r="AQ911">
        <v>0</v>
      </c>
      <c r="AR911">
        <v>0</v>
      </c>
      <c r="AS911">
        <v>0</v>
      </c>
      <c r="AT911">
        <v>0</v>
      </c>
      <c r="AU911">
        <v>0</v>
      </c>
      <c r="AV911">
        <v>0</v>
      </c>
      <c r="AW911">
        <v>0</v>
      </c>
      <c r="AX911" s="141">
        <f>COUNTIF(V911:AW911,"&lt;&gt;0")</f>
        <v>1</v>
      </c>
      <c r="AY911" s="141">
        <f>COUNTIF(V911:AL911,"&lt;&gt;0")</f>
        <v>1</v>
      </c>
      <c r="AZ911">
        <f>COUNTIF(V911:AC911,"&lt;&gt;0")</f>
        <v>0</v>
      </c>
      <c r="BA911">
        <f>COUNTIF(AD911:AI911,"&lt;&gt;0")</f>
        <v>0</v>
      </c>
      <c r="BB911">
        <f>COUNTIF(AJ911:AL911,"&lt;&gt;0")</f>
        <v>1</v>
      </c>
      <c r="BC911">
        <f>COUNTIF(AS911:AW911,"&lt;&gt;0")</f>
        <v>0</v>
      </c>
      <c r="BD911">
        <f>COUNTIF(AM911:AR911,"&lt;&gt;0")</f>
        <v>0</v>
      </c>
      <c r="BE911" t="str">
        <f t="array" ref="BE911">IF(AY911=1,INDEX($V$7:$AL$7,MATCH(TRUE,INDEX($V911:$AW911&lt;&gt;0,),0)),IF(AY911=0,INDEX($AM$7:$AW$7,MATCH(1,$AM911:$AW911,0)),IF(BF911="Multiple strategies","mixed drivers",IF(BF911="Supply chain","multiple supply","multiple silviculture"))))</f>
        <v>technologies/design switch</v>
      </c>
      <c r="BF911" s="2" t="str" cm="1">
        <f t="array" ref="BF911">IF(COUNTIF(AZ911:BB911,"&lt;&gt;0")=1,INDEX($V$4:$AW$4,MATCH(TRUE,INDEX($V911:$AW911&lt;&gt;0,),0)),IF(COUNTIF(AZ911:BB911,"&lt;&gt;0")=0,INDEX($AM$4:$AW$4,MATCH(1,$AM911:$AW911,0)),"Multiple strategies"))</f>
        <v>Technology</v>
      </c>
      <c r="BG911" s="142" t="s">
        <v>229</v>
      </c>
      <c r="BH911" t="s">
        <v>970</v>
      </c>
      <c r="BI911" t="s">
        <v>1012</v>
      </c>
      <c r="BJ911" t="s">
        <v>498</v>
      </c>
      <c r="BK911">
        <v>0</v>
      </c>
      <c r="BL911" s="143">
        <v>1</v>
      </c>
      <c r="BM911" t="str">
        <f>IFERROR(BL911/BK911,"")</f>
        <v/>
      </c>
      <c r="BN911">
        <f>BL911-BK911</f>
        <v>1</v>
      </c>
      <c r="BO911" s="159">
        <v>1</v>
      </c>
      <c r="BP911" t="s">
        <v>232</v>
      </c>
      <c r="BQ911" s="234" t="s">
        <v>1013</v>
      </c>
      <c r="BR911" t="s">
        <v>1002</v>
      </c>
      <c r="BU911" s="144"/>
      <c r="BV911">
        <v>1.2</v>
      </c>
      <c r="BX911">
        <f>BV911</f>
        <v>1.2</v>
      </c>
      <c r="BY911">
        <f>IFERROR(BX911/BO911,"")</f>
        <v>1.2</v>
      </c>
      <c r="BZ911">
        <v>0</v>
      </c>
      <c r="CA911">
        <v>0</v>
      </c>
      <c r="CB911">
        <v>0</v>
      </c>
      <c r="CC911">
        <v>0</v>
      </c>
      <c r="CD911">
        <v>0</v>
      </c>
      <c r="CE911">
        <v>0</v>
      </c>
      <c r="CF911">
        <v>0</v>
      </c>
      <c r="CG911">
        <v>0</v>
      </c>
      <c r="CH911">
        <v>0</v>
      </c>
      <c r="CI911">
        <v>0</v>
      </c>
      <c r="CJ911">
        <v>0</v>
      </c>
      <c r="CK911">
        <v>0</v>
      </c>
      <c r="CL911">
        <v>0</v>
      </c>
      <c r="CM911">
        <v>0</v>
      </c>
      <c r="CN911" t="str">
        <f>IF($BL911&lt;$BK911,"refNeedCorrection","refOK")</f>
        <v>refOK</v>
      </c>
      <c r="CO911">
        <f>IF($CN911="refOK",$BK911,$BL911)</f>
        <v>0</v>
      </c>
      <c r="CP911">
        <f>IF($CN911="refOK",$BL911,$BK911)</f>
        <v>1</v>
      </c>
      <c r="CQ911">
        <f>IF($CN911="refOK",$BO911,-$BO911)</f>
        <v>1</v>
      </c>
      <c r="CR911">
        <f>IF($CN911="refOK",$BS911,$BT911)*IF($BP911="Emissions positive",-1,1)</f>
        <v>0</v>
      </c>
      <c r="CS911">
        <f>IF($CN911="refOK",$BT911,$BS911)*IF($BP911="Emissions positive",-1,1)</f>
        <v>0</v>
      </c>
      <c r="CT911">
        <f>IF($CN911="refNeedCorrection",-BX911,BX911)*IF($BP911="Emissions positive",-1,1)</f>
        <v>1.2</v>
      </c>
      <c r="CU911">
        <f>IFERROR(CT911/CQ911,"")</f>
        <v>1.2</v>
      </c>
      <c r="CV911" s="2" t="str">
        <f>IFERROR((CS911-CR911)/ABS(CR911),"")</f>
        <v/>
      </c>
      <c r="CW911" s="1" t="s">
        <v>263</v>
      </c>
      <c r="CX911" t="str">
        <f>IF(OR($CW911="prd",$CW911="std",$CW911="cit"),"loc",IF(OR($CW911="eur",$CW911="reg",$CW911="coy"),"reg",$CW911))</f>
        <v>loc</v>
      </c>
      <c r="CY911" t="s">
        <v>264</v>
      </c>
      <c r="DA911" s="143"/>
      <c r="DB911" s="143">
        <v>45</v>
      </c>
      <c r="DC911" t="str">
        <f>IF(DB911=0,"0",IF(AND(DB911&gt;=1,DB911&lt;=30),"1-30",IF(AND(DB911&gt;30,DB911&lt;=70),"31-70",IF(AND(DB911&gt;70,DB911&lt;=100),"71-100",IF(DB911&gt;100,"+100")))))</f>
        <v>31-70</v>
      </c>
      <c r="DD911">
        <v>0</v>
      </c>
      <c r="DE911">
        <v>0</v>
      </c>
      <c r="DF911">
        <v>0</v>
      </c>
      <c r="DG911">
        <v>1</v>
      </c>
      <c r="DH911">
        <v>0</v>
      </c>
      <c r="DI911">
        <f>SUM(DD911:DG911)</f>
        <v>1</v>
      </c>
      <c r="DJ911" t="str">
        <f>IF(DI911=1,INDEX($DD$7:$DG$7,MATCH(1,$DD911:$DG911,0)),"mixedProduct")</f>
        <v>TimberInput</v>
      </c>
      <c r="DK911">
        <f>IF(DD911=1,DK$7,0)</f>
        <v>0</v>
      </c>
      <c r="DL911">
        <f>IF(DE911=1,DL$7,0)</f>
        <v>0</v>
      </c>
      <c r="DM911">
        <f>IF(DF911=1,DM$7,0)</f>
        <v>0</v>
      </c>
      <c r="DN911" t="str">
        <f>IF(DG911=1,DN$7,0)</f>
        <v>Timber</v>
      </c>
      <c r="DO911">
        <v>1</v>
      </c>
      <c r="DP911">
        <v>0</v>
      </c>
      <c r="DQ911">
        <v>0</v>
      </c>
      <c r="DR911">
        <v>0</v>
      </c>
      <c r="DS911">
        <v>0</v>
      </c>
      <c r="DT911">
        <f>SUM(DO911:DP911)</f>
        <v>1</v>
      </c>
      <c r="DU911" s="143" t="str">
        <f>IF(DO911=1,"self-calculated DF",IF(DP911=1,"external DF used","explicit C balance"))</f>
        <v>self-calculated DF</v>
      </c>
      <c r="DV911" s="143">
        <v>0</v>
      </c>
      <c r="DW911" s="143">
        <v>0</v>
      </c>
      <c r="DX911" s="143">
        <v>0</v>
      </c>
      <c r="DY911" s="143">
        <v>0</v>
      </c>
      <c r="DZ911">
        <v>0</v>
      </c>
      <c r="EA911" s="143">
        <v>0</v>
      </c>
      <c r="EB911" s="143">
        <v>0</v>
      </c>
      <c r="EC911" s="143">
        <v>1</v>
      </c>
      <c r="ED911" s="143">
        <v>0</v>
      </c>
      <c r="EE911">
        <v>0</v>
      </c>
      <c r="EF911">
        <v>0</v>
      </c>
      <c r="EG911" s="143">
        <v>0</v>
      </c>
      <c r="EH911" s="143">
        <v>0</v>
      </c>
      <c r="EI911" s="2">
        <v>0</v>
      </c>
      <c r="EK911" t="str">
        <f>IF(AND(AND(AND(OR($DX911=1,$DW911=1),OR($EC911=1,$EA911=1)),SUM($DV911:$DZ911,$EF911)&gt;=4),SUM($EA911:$EE911)&gt;=2),"Whole sector","")</f>
        <v/>
      </c>
      <c r="EL911" t="str">
        <f>IF(AND(AND(OR($DX911=1,$DW911=1),AND($EC911=0,$EA911=0)),SUM($DV911:$DZ911,$EF911)&gt;=4),"Ecosystem approach","")</f>
        <v/>
      </c>
      <c r="EM911" s="2" t="str">
        <f>IF(AND(AND(AND($DX911=0,$DW911=0),OR($EC911=1,$EA911=1)),SUM($EB911:$EE911)&gt;=2),"Technology approach","")</f>
        <v/>
      </c>
      <c r="EP911" t="str">
        <f>IF(ISNUMBER(BU911),IF(ABS(BU911-[1]QC_indicators!$B$2)&gt;3*[1]QC_indicators!$C$2,"C ratio",IF(ISNUMBER(BY911),IF(ABS(BY911-[1]QC_indicators!$B$1)&gt;3*[1]QC_indicators!$C$1,"DF","no"))),IF(ISNUMBER(BY911),IF(ABS(BY911-[1]QC_indicators!$B$1)&gt;3*[1]QC_indicators!$C$1,"DF","no")))</f>
        <v>no</v>
      </c>
      <c r="ER911" t="s">
        <v>995</v>
      </c>
      <c r="ET911" s="264" t="s">
        <v>3212</v>
      </c>
    </row>
    <row r="912" spans="1:150" ht="15" customHeight="1">
      <c r="A912" s="1" t="s">
        <v>656</v>
      </c>
      <c r="B912" t="s">
        <v>1905</v>
      </c>
      <c r="C912" t="s">
        <v>1906</v>
      </c>
      <c r="D912" t="s">
        <v>1907</v>
      </c>
      <c r="E912" t="s">
        <v>1908</v>
      </c>
      <c r="F912" t="s">
        <v>1909</v>
      </c>
      <c r="G912" t="s">
        <v>662</v>
      </c>
      <c r="H912" t="s">
        <v>254</v>
      </c>
      <c r="I912">
        <v>2016</v>
      </c>
      <c r="J912">
        <v>41</v>
      </c>
      <c r="K912" t="s">
        <v>1910</v>
      </c>
      <c r="M912" t="str">
        <f>LEFT($D912,FIND(",",$D912)-1)&amp;"_"&amp;I912&amp;L912</f>
        <v>Liu_2016</v>
      </c>
      <c r="N912" t="s">
        <v>222</v>
      </c>
      <c r="O912" s="145" t="s">
        <v>225</v>
      </c>
      <c r="Q912" s="264" t="s">
        <v>256</v>
      </c>
      <c r="R912" s="269" t="s">
        <v>1154</v>
      </c>
      <c r="S912" s="1" t="s">
        <v>1917</v>
      </c>
      <c r="T912" s="143" t="s">
        <v>1918</v>
      </c>
      <c r="U912" s="143" t="s">
        <v>1919</v>
      </c>
      <c r="V912">
        <v>0</v>
      </c>
      <c r="W912">
        <v>0</v>
      </c>
      <c r="X912">
        <v>0</v>
      </c>
      <c r="Y912">
        <v>0</v>
      </c>
      <c r="Z912">
        <v>0</v>
      </c>
      <c r="AA912">
        <v>0</v>
      </c>
      <c r="AB912">
        <v>0</v>
      </c>
      <c r="AC912">
        <v>0</v>
      </c>
      <c r="AD912">
        <v>0</v>
      </c>
      <c r="AE912">
        <v>0</v>
      </c>
      <c r="AF912">
        <v>0</v>
      </c>
      <c r="AG912">
        <v>0</v>
      </c>
      <c r="AH912">
        <v>0</v>
      </c>
      <c r="AI912">
        <v>0</v>
      </c>
      <c r="AJ912">
        <v>0</v>
      </c>
      <c r="AK912">
        <v>1</v>
      </c>
      <c r="AL912">
        <v>0</v>
      </c>
      <c r="AM912">
        <v>0</v>
      </c>
      <c r="AN912">
        <v>0</v>
      </c>
      <c r="AO912">
        <v>0</v>
      </c>
      <c r="AP912">
        <v>0</v>
      </c>
      <c r="AQ912">
        <v>0</v>
      </c>
      <c r="AR912">
        <v>0</v>
      </c>
      <c r="AS912">
        <v>0</v>
      </c>
      <c r="AT912">
        <v>0</v>
      </c>
      <c r="AU912">
        <v>0</v>
      </c>
      <c r="AV912">
        <v>0</v>
      </c>
      <c r="AW912">
        <v>0</v>
      </c>
      <c r="AX912" s="141">
        <f>COUNTIF(V912:AW912,"&lt;&gt;0")</f>
        <v>1</v>
      </c>
      <c r="AY912" s="141">
        <f>COUNTIF(V912:AL912,"&lt;&gt;0")</f>
        <v>1</v>
      </c>
      <c r="AZ912">
        <f>COUNTIF(V912:AC912,"&lt;&gt;0")</f>
        <v>0</v>
      </c>
      <c r="BA912">
        <f>COUNTIF(AD912:AI912,"&lt;&gt;0")</f>
        <v>0</v>
      </c>
      <c r="BB912">
        <f>COUNTIF(AJ912:AL912,"&lt;&gt;0")</f>
        <v>1</v>
      </c>
      <c r="BC912">
        <f>COUNTIF(AS912:AW912,"&lt;&gt;0")</f>
        <v>0</v>
      </c>
      <c r="BD912">
        <f>COUNTIF(AM912:AR912,"&lt;&gt;0")</f>
        <v>0</v>
      </c>
      <c r="BE912" t="str" cm="1">
        <f t="array" ref="BE912">IF(AY912=1,INDEX($V$7:$AL$7,MATCH(TRUE,INDEX($V912:$AW912&lt;&gt;0,),0)),IF(AY912=0,INDEX($AM$7:$AW$7,MATCH(1,$AM912:$AW912,0)),IF(BF912="Multiple strategies","mixed drivers",IF(BF912="Supply chain","multiple supply","multiple silviculture"))))</f>
        <v>technologies/design switch</v>
      </c>
      <c r="BF912" s="2" t="str" cm="1">
        <f t="array" ref="BF912">IF(COUNTIF(AZ912:BB912,"&lt;&gt;0")=1,INDEX($V$4:$AW$4,MATCH(TRUE,INDEX($V912:$AW912&lt;&gt;0,),0)),IF(COUNTIF(AZ912:BB912,"&lt;&gt;0")=0,INDEX($AM$4:$AW$4,MATCH(1,$AM912:$AW912,0)),"Multiple strategies"))</f>
        <v>Technology</v>
      </c>
      <c r="BG912" s="142" t="s">
        <v>229</v>
      </c>
      <c r="BH912" t="s">
        <v>1912</v>
      </c>
      <c r="BJ912" s="143" t="s">
        <v>1913</v>
      </c>
      <c r="BK912">
        <v>0</v>
      </c>
      <c r="BL912" s="143">
        <v>606</v>
      </c>
      <c r="BM912" s="163"/>
      <c r="BN912">
        <f>BL912-BK912</f>
        <v>606</v>
      </c>
      <c r="BO912" s="143">
        <f>BN912*t_to_m3</f>
        <v>1236.7346938775511</v>
      </c>
      <c r="BP912" s="264" t="s">
        <v>232</v>
      </c>
      <c r="BQ912" s="301"/>
      <c r="BR912" t="s">
        <v>1914</v>
      </c>
      <c r="BS912" s="143">
        <v>-3829</v>
      </c>
      <c r="BT912">
        <v>-2339</v>
      </c>
      <c r="BU912" s="144">
        <v>0.61086445547140245</v>
      </c>
      <c r="BV912">
        <f>BT912-BS912</f>
        <v>1490</v>
      </c>
      <c r="BX912">
        <f>BV912</f>
        <v>1490</v>
      </c>
      <c r="BY912">
        <f>IFERROR(BX912/BO912,"")</f>
        <v>1.2047854785478547</v>
      </c>
      <c r="BZ912">
        <v>0</v>
      </c>
      <c r="CA912">
        <v>0</v>
      </c>
      <c r="CB912">
        <v>0</v>
      </c>
      <c r="CC912">
        <v>0</v>
      </c>
      <c r="CD912">
        <v>0</v>
      </c>
      <c r="CE912">
        <v>0</v>
      </c>
      <c r="CF912">
        <v>0</v>
      </c>
      <c r="CG912">
        <v>0</v>
      </c>
      <c r="CH912">
        <v>0</v>
      </c>
      <c r="CI912">
        <v>0</v>
      </c>
      <c r="CJ912">
        <v>0</v>
      </c>
      <c r="CK912">
        <v>0</v>
      </c>
      <c r="CL912">
        <v>0</v>
      </c>
      <c r="CM912">
        <v>0</v>
      </c>
      <c r="CN912" t="str">
        <f>IF($BL912&lt;$BK912,"refNeedCorrection","refOK")</f>
        <v>refOK</v>
      </c>
      <c r="CO912">
        <f>IF($CN912="refNeedCorrection",BL912,BK912)</f>
        <v>0</v>
      </c>
      <c r="CP912">
        <f>IF($CN912="refNeedCorrection",BK912,BL912)</f>
        <v>606</v>
      </c>
      <c r="CQ912">
        <f>IF($CN912="refOK",$BO912,-$BO912)</f>
        <v>1236.7346938775511</v>
      </c>
      <c r="CR912">
        <f>IF($CN912="refOK",$BS912,$BT912)*IF($BP912="Emissions positive",-1,1)</f>
        <v>-3829</v>
      </c>
      <c r="CS912">
        <f>IF($CN912="refOK",$BT912,$BS912)*IF($BP912="Emissions positive",-1,1)</f>
        <v>-2339</v>
      </c>
      <c r="CT912">
        <f>IF($CN912="refNeedCorrection",-BX912,BX912)*IF($BP912="Emissions positive",-1,1)</f>
        <v>1490</v>
      </c>
      <c r="CU912">
        <f>IFERROR(CT912/CQ912,"")</f>
        <v>1.2047854785478547</v>
      </c>
      <c r="CV912" s="2">
        <f>IFERROR((CS912-CR912)/ABS(CR912),"")</f>
        <v>0.38913554452859755</v>
      </c>
      <c r="CW912" s="1" t="s">
        <v>1199</v>
      </c>
      <c r="CX912" s="264" t="str">
        <f>IF(OR($CW912="prd",$CW912="std",$CW912="cit"),"loc",IF(OR($CW912="eur",$CW912="reg",$CW912="coy"),"reg",$CW912))</f>
        <v>reg</v>
      </c>
      <c r="CY912" t="s">
        <v>690</v>
      </c>
      <c r="DA912" s="143"/>
      <c r="DB912" s="143">
        <v>50</v>
      </c>
      <c r="DC912" t="str">
        <f>IF(DB912=0,"0",IF(AND(DB912&gt;=1,DB912&lt;=30),"1-30",IF(AND(DB912&gt;30,DB912&lt;=70),"31-70",IF(AND(DB912&gt;70,DB912&lt;=100),"71-100",IF(DB912&gt;100,"+100")))))</f>
        <v>31-70</v>
      </c>
      <c r="DD912">
        <v>0</v>
      </c>
      <c r="DE912">
        <v>0</v>
      </c>
      <c r="DF912">
        <v>0</v>
      </c>
      <c r="DG912">
        <v>1</v>
      </c>
      <c r="DI912">
        <f>SUM(DD912:DG912)</f>
        <v>1</v>
      </c>
      <c r="DJ912" t="str">
        <f>IF(DI912=1,INDEX($DD$7:$DG$7,MATCH(1,$DD912:$DG912,0)),"mixedProduct")</f>
        <v>TimberInput</v>
      </c>
      <c r="DK912">
        <f>IF(DD912=1,DK$7,0)</f>
        <v>0</v>
      </c>
      <c r="DL912">
        <f>IF(DE912=1,DL$7,0)</f>
        <v>0</v>
      </c>
      <c r="DM912">
        <f>IF(DF912=1,DM$7,0)</f>
        <v>0</v>
      </c>
      <c r="DN912" t="str">
        <f>IF(DG912=1,DN$7,0)</f>
        <v>Timber</v>
      </c>
      <c r="DO912">
        <v>0</v>
      </c>
      <c r="DP912" s="143">
        <v>0</v>
      </c>
      <c r="DQ912" s="143">
        <v>0</v>
      </c>
      <c r="DR912">
        <v>0</v>
      </c>
      <c r="DS912" s="143">
        <v>0</v>
      </c>
      <c r="DT912">
        <f>SUM(DO912:DP912)</f>
        <v>0</v>
      </c>
      <c r="DU912" s="143" t="str">
        <f>IF(DO912=1,"self-calculated DF",IF(DP912=1,"external DF used","explicit C balance"))</f>
        <v>explicit C balance</v>
      </c>
      <c r="DV912" s="143">
        <v>0</v>
      </c>
      <c r="DW912" s="143">
        <v>0</v>
      </c>
      <c r="DX912" s="143">
        <v>0</v>
      </c>
      <c r="DY912" s="143">
        <v>1</v>
      </c>
      <c r="DZ912">
        <v>0</v>
      </c>
      <c r="EA912" s="143">
        <v>0</v>
      </c>
      <c r="EB912" s="143">
        <v>1</v>
      </c>
      <c r="EC912" s="143">
        <v>1</v>
      </c>
      <c r="ED912" s="143">
        <v>1</v>
      </c>
      <c r="EE912">
        <v>1</v>
      </c>
      <c r="EF912">
        <v>0</v>
      </c>
      <c r="EG912" s="143">
        <v>0</v>
      </c>
      <c r="EH912">
        <v>0</v>
      </c>
      <c r="EI912" s="2">
        <v>0</v>
      </c>
      <c r="EK912" t="str">
        <f>IF(AND(AND(AND(OR($DX912=1,$DW912=1),OR($EC912=1,$EA912=1)),SUM($DV912:$DZ912,$EF912)&gt;=4),SUM($EA912:$EE912)&gt;=2),"Whole sector","")</f>
        <v/>
      </c>
      <c r="EL912" t="str">
        <f>IF(AND(AND(OR($DX912=1,$DW912=1),AND($EC912=0,$EA912=0)),SUM($DV912:$DZ912,$EF912)&gt;=4),"Ecosystem approach","")</f>
        <v/>
      </c>
      <c r="EM912" s="2" t="str">
        <f>IF(AND(AND(AND($DX912=0,$DW912=0),OR($EC912=1,$EA912=1)),SUM($EB912:$EE912)&gt;=2),"Technology approach","")</f>
        <v>Technology approach</v>
      </c>
      <c r="EN912" t="s">
        <v>1915</v>
      </c>
      <c r="EP912" t="str">
        <f>IF(ISNUMBER(BU912),IF(ABS(BU912-[3]QC_indicators!$B$2)&gt;3*[3]QC_indicators!$C$2,"C ratio",IF(ISNUMBER(BY912),IF(ABS(BY912-[3]QC_indicators!$B$1)&gt;3*[3]QC_indicators!$C$1,"DF","no"))),IF(ISNUMBER(BY912),IF(ABS(BY912-[3]QC_indicators!$B$1)&gt;3*[3]QC_indicators!$C$1,"DF","no")))</f>
        <v>no</v>
      </c>
      <c r="EQ912" t="s">
        <v>1164</v>
      </c>
      <c r="ER912" s="264" t="s">
        <v>1916</v>
      </c>
      <c r="ET912" s="264" t="s">
        <v>3407</v>
      </c>
    </row>
    <row r="913" spans="1:150" ht="15" customHeight="1">
      <c r="A913" s="1" t="s">
        <v>1360</v>
      </c>
      <c r="B913" t="s">
        <v>2135</v>
      </c>
      <c r="C913" t="s">
        <v>2136</v>
      </c>
      <c r="D913" t="s">
        <v>2137</v>
      </c>
      <c r="E913" t="s">
        <v>2138</v>
      </c>
      <c r="F913" t="s">
        <v>2139</v>
      </c>
      <c r="G913" t="s">
        <v>1366</v>
      </c>
      <c r="H913" t="s">
        <v>254</v>
      </c>
      <c r="I913">
        <v>2012</v>
      </c>
      <c r="J913">
        <v>21</v>
      </c>
      <c r="K913" t="s">
        <v>2140</v>
      </c>
      <c r="L913" s="192"/>
      <c r="M913" t="str">
        <f>LEFT($D913,FIND(",",$D913)-1)&amp;"_"&amp;I913&amp;L913</f>
        <v>Pyorala_2012</v>
      </c>
      <c r="N913" t="s">
        <v>222</v>
      </c>
      <c r="O913" s="145" t="s">
        <v>341</v>
      </c>
      <c r="P913" s="180" t="s">
        <v>223</v>
      </c>
      <c r="Q913" s="264" t="s">
        <v>256</v>
      </c>
      <c r="R913" s="269" t="s">
        <v>1154</v>
      </c>
      <c r="S913" s="263" t="s">
        <v>2149</v>
      </c>
      <c r="T913" s="264" t="s">
        <v>2143</v>
      </c>
      <c r="U913" s="264" t="s">
        <v>2142</v>
      </c>
      <c r="V913">
        <v>0</v>
      </c>
      <c r="W913">
        <v>0</v>
      </c>
      <c r="X913">
        <v>0</v>
      </c>
      <c r="Y913">
        <v>1</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s="141">
        <f>COUNTIF(V913:AW913,"&lt;&gt;0")</f>
        <v>1</v>
      </c>
      <c r="AY913" s="141">
        <f>COUNTIF(V913:AL913,"&lt;&gt;0")</f>
        <v>1</v>
      </c>
      <c r="AZ913">
        <f>COUNTIF(V913:AC913,"&lt;&gt;0")</f>
        <v>1</v>
      </c>
      <c r="BA913">
        <f>COUNTIF(AD913:AI913,"&lt;&gt;0")</f>
        <v>0</v>
      </c>
      <c r="BB913">
        <f>COUNTIF(AJ913:AL913,"&lt;&gt;0")</f>
        <v>0</v>
      </c>
      <c r="BC913">
        <f>COUNTIF(AS913:AW913,"&lt;&gt;0")</f>
        <v>0</v>
      </c>
      <c r="BD913">
        <f>COUNTIF(AM913:AR913,"&lt;&gt;0")</f>
        <v>0</v>
      </c>
      <c r="BE913" t="str" cm="1">
        <f t="array" ref="BE913">IF(AY913=1,INDEX($V$7:$AL$7,MATCH(TRUE,INDEX($V913:$AW913&lt;&gt;0,),0)),IF(AY913=0,INDEX($AM$7:$AW$7,MATCH(1,$AM913:$AW913,0)),IF(BF913="Multiple strategies","mixed drivers",IF(BF913="Supply chain","multiple supply","multiple silviculture"))))</f>
        <v xml:space="preserve">cutting intensity </v>
      </c>
      <c r="BF913" s="2" t="str" cm="1">
        <f t="array" ref="BF913">IF(COUNTIF(AZ913:BB913,"&lt;&gt;0")=1,INDEX($V$4:$AW$4,MATCH(TRUE,INDEX($V913:$AW913&lt;&gt;0,),0)),IF(COUNTIF(AZ913:BB913,"&lt;&gt;0")=0,INDEX($AM$4:$AW$4,MATCH(1,$AM913:$AW913,0)),"Multiple strategies"))</f>
        <v>Silviculture for removals</v>
      </c>
      <c r="BG913" s="178" t="s">
        <v>321</v>
      </c>
      <c r="BH913" s="264" t="s">
        <v>2144</v>
      </c>
      <c r="BI913" s="264" t="s">
        <v>426</v>
      </c>
      <c r="BJ913" s="160" t="s">
        <v>700</v>
      </c>
      <c r="BK913">
        <v>7.8</v>
      </c>
      <c r="BL913">
        <v>8.6999999999999993</v>
      </c>
      <c r="BN913">
        <f>BL913-BK913</f>
        <v>0.89999999999999947</v>
      </c>
      <c r="BO913">
        <f>BN913</f>
        <v>0.89999999999999947</v>
      </c>
      <c r="BP913" s="155" t="s">
        <v>232</v>
      </c>
      <c r="BQ913" s="301" t="s">
        <v>786</v>
      </c>
      <c r="BR913" s="270" t="s">
        <v>2145</v>
      </c>
      <c r="BS913" s="264">
        <f>155.5/50</f>
        <v>3.11</v>
      </c>
      <c r="BT913" s="264">
        <f>211.5/50</f>
        <v>4.2300000000000004</v>
      </c>
      <c r="BU913" s="144"/>
      <c r="BV913">
        <f>BT913-BS913</f>
        <v>1.1200000000000006</v>
      </c>
      <c r="BX913">
        <f>BV913</f>
        <v>1.1200000000000006</v>
      </c>
      <c r="BY913">
        <f>IFERROR(BX913/BO913,"")</f>
        <v>1.2444444444444458</v>
      </c>
      <c r="BZ913">
        <v>0</v>
      </c>
      <c r="CA913">
        <v>0</v>
      </c>
      <c r="CB913">
        <v>0</v>
      </c>
      <c r="CC913">
        <v>0</v>
      </c>
      <c r="CD913">
        <v>0</v>
      </c>
      <c r="CE913">
        <v>0</v>
      </c>
      <c r="CF913">
        <v>0</v>
      </c>
      <c r="CG913">
        <v>0</v>
      </c>
      <c r="CH913">
        <v>0</v>
      </c>
      <c r="CI913">
        <v>0</v>
      </c>
      <c r="CJ913">
        <v>0</v>
      </c>
      <c r="CK913">
        <v>0</v>
      </c>
      <c r="CL913">
        <v>0</v>
      </c>
      <c r="CM913">
        <v>0</v>
      </c>
      <c r="CN913" t="str">
        <f>IF($BL913&lt;$BK913,"refNeedCorrection","refOK")</f>
        <v>refOK</v>
      </c>
      <c r="CO913">
        <f>IF($CN913="refOK",$BK913,$BL913)</f>
        <v>7.8</v>
      </c>
      <c r="CP913">
        <f>IF($CN913="refOK",$BL913,$BK913)</f>
        <v>8.6999999999999993</v>
      </c>
      <c r="CQ913">
        <f>IF($CN913="refOK",$BO913,-$BO913)</f>
        <v>0.89999999999999947</v>
      </c>
      <c r="CR913">
        <f>IF($CN913="refOK",$BS913,$BT913)*IF($BP913="Emissions positive",-1,1)</f>
        <v>3.11</v>
      </c>
      <c r="CS913">
        <f>IF($CN913="refOK",$BT913,$BS913)*IF($BP913="Emissions positive",-1,1)</f>
        <v>4.2300000000000004</v>
      </c>
      <c r="CT913">
        <f>IF($CN913="refNeedCorrection",-BX913,BX913)*IF($BP913="Emissions positive",-1,1)</f>
        <v>1.1200000000000006</v>
      </c>
      <c r="CU913">
        <f>IFERROR(CT913/CQ913,"")</f>
        <v>1.2444444444444458</v>
      </c>
      <c r="CV913" s="2">
        <f>IFERROR((CS913-CR913)/ABS(CR913),"")</f>
        <v>0.36012861736334423</v>
      </c>
      <c r="CW913" s="1" t="s">
        <v>1199</v>
      </c>
      <c r="CX913" s="264" t="str">
        <f>IF(OR($CW913="prd",$CW913="std",$CW913="cit"),"loc",IF(OR($CW913="eur",$CW913="reg",$CW913="coy"),"reg",$CW913))</f>
        <v>reg</v>
      </c>
      <c r="CY913" t="s">
        <v>235</v>
      </c>
      <c r="DB913">
        <v>50</v>
      </c>
      <c r="DC913" t="str">
        <f>IF(DB913=0,"0",IF(AND(DB913&gt;=1,DB913&lt;=30),"1-30",IF(AND(DB913&gt;30,DB913&lt;=70),"31-70",IF(AND(DB913&gt;70,DB913&lt;=100),"71-100",IF(DB913&gt;100,"+100")))))</f>
        <v>31-70</v>
      </c>
      <c r="DD913">
        <v>0</v>
      </c>
      <c r="DE913">
        <v>1</v>
      </c>
      <c r="DF913">
        <v>1</v>
      </c>
      <c r="DG913">
        <v>1</v>
      </c>
      <c r="DI913">
        <f>SUM(DD913:DG913)</f>
        <v>3</v>
      </c>
      <c r="DJ913" t="str">
        <f>IF(DI913=1,INDEX($DD$7:$DG$7,MATCH(1,$DD913:$DG913,0)),"mixedProduct")</f>
        <v>mixedProduct</v>
      </c>
      <c r="DK913">
        <f>IF(DD913=1,DK$7,0)</f>
        <v>0</v>
      </c>
      <c r="DL913" t="str">
        <f>IF(DE913=1,DL$7,0)</f>
        <v>Energy</v>
      </c>
      <c r="DM913" t="str">
        <f>IF(DF913=1,DM$7,0)</f>
        <v>Pulp/Paper</v>
      </c>
      <c r="DN913" t="str">
        <f>IF(DG913=1,DN$7,0)</f>
        <v>Timber</v>
      </c>
      <c r="DO913">
        <v>0</v>
      </c>
      <c r="DP913">
        <v>1</v>
      </c>
      <c r="DQ913" t="s">
        <v>2146</v>
      </c>
      <c r="DR913">
        <v>0</v>
      </c>
      <c r="DS913">
        <v>0</v>
      </c>
      <c r="DT913">
        <f>SUM(DO913:DP913)</f>
        <v>1</v>
      </c>
      <c r="DU913" s="143" t="str">
        <f>IF(DO913=1,"self-calculated DF",IF(DP913=1,"external DF used","explicit C balance"))</f>
        <v>external DF used</v>
      </c>
      <c r="DV913">
        <v>1</v>
      </c>
      <c r="DW913">
        <v>1</v>
      </c>
      <c r="DX913">
        <v>1</v>
      </c>
      <c r="DY913">
        <v>0</v>
      </c>
      <c r="DZ913">
        <v>0</v>
      </c>
      <c r="EA913" s="143">
        <v>0</v>
      </c>
      <c r="EB913">
        <v>0</v>
      </c>
      <c r="EC913">
        <v>0</v>
      </c>
      <c r="ED913">
        <v>0</v>
      </c>
      <c r="EE913">
        <v>0</v>
      </c>
      <c r="EF913">
        <v>1</v>
      </c>
      <c r="EG913">
        <v>0</v>
      </c>
      <c r="EH913">
        <v>0</v>
      </c>
      <c r="EI913" s="2">
        <v>0</v>
      </c>
      <c r="EK913" t="str">
        <f>IF(AND(AND(AND(OR($DX913=1,$DW913=1),OR($EC913=1,$EA913=1)),SUM($DV913:$DZ913,$EF913)&gt;=4),SUM($EA913:$EE913)&gt;=2),"Whole sector","")</f>
        <v/>
      </c>
      <c r="EL913" t="str">
        <f>IF(AND(AND(OR($DX913=1,$DW913=1),AND($EC913=0,$EA913=0)),SUM($DV913:$DZ913,$EF913)&gt;=4),"Ecosystem approach","")</f>
        <v>Ecosystem approach</v>
      </c>
      <c r="EM913" s="2" t="str">
        <f>IF(AND(AND(AND($DX913=0,$DW913=0),OR($EC913=1,$EA913=1)),SUM($EB913:$EE913)&gt;=2),"Technology approach","")</f>
        <v/>
      </c>
      <c r="EP913" t="str">
        <f>IF(ISNUMBER(BU913),IF(ABS(BU913-[3]QC_indicators!$B$2)&gt;3*[3]QC_indicators!$C$2,"C ratio",IF(ISNUMBER(BY913),IF(ABS(BY913-[3]QC_indicators!$B$1)&gt;3*[3]QC_indicators!$C$1,"DF","no"))),IF(ISNUMBER(BY913),IF(ABS(BY913-[3]QC_indicators!$B$1)&gt;3*[3]QC_indicators!$C$1,"DF","no")))</f>
        <v>no</v>
      </c>
      <c r="ET913" s="264" t="s">
        <v>3407</v>
      </c>
    </row>
    <row r="914" spans="1:150" ht="15" customHeight="1">
      <c r="A914" s="1" t="s">
        <v>265</v>
      </c>
      <c r="B914" t="s">
        <v>266</v>
      </c>
      <c r="C914" t="s">
        <v>267</v>
      </c>
      <c r="D914" t="s">
        <v>268</v>
      </c>
      <c r="E914" t="s">
        <v>269</v>
      </c>
      <c r="F914" t="s">
        <v>270</v>
      </c>
      <c r="G914" t="s">
        <v>271</v>
      </c>
      <c r="H914" t="s">
        <v>254</v>
      </c>
      <c r="I914">
        <v>2022</v>
      </c>
      <c r="J914">
        <v>0</v>
      </c>
      <c r="K914" t="s">
        <v>272</v>
      </c>
      <c r="M914" t="str">
        <f>LEFT($D914,FIND(",",$D914)-1)&amp;"_"&amp;I914&amp;L914</f>
        <v>Aryapratama_2022</v>
      </c>
      <c r="N914" t="s">
        <v>222</v>
      </c>
      <c r="O914" s="145" t="s">
        <v>274</v>
      </c>
      <c r="Q914" t="s">
        <v>224</v>
      </c>
      <c r="R914" s="262" t="s">
        <v>223</v>
      </c>
      <c r="S914" s="263" t="s">
        <v>3105</v>
      </c>
      <c r="T914" t="s">
        <v>309</v>
      </c>
      <c r="U914" t="s">
        <v>310</v>
      </c>
      <c r="V914">
        <v>0</v>
      </c>
      <c r="W914">
        <v>0</v>
      </c>
      <c r="X914">
        <v>0</v>
      </c>
      <c r="Y914">
        <v>0</v>
      </c>
      <c r="Z914">
        <v>0</v>
      </c>
      <c r="AA914">
        <v>0</v>
      </c>
      <c r="AB914">
        <v>0</v>
      </c>
      <c r="AC914">
        <v>0</v>
      </c>
      <c r="AD914">
        <v>0</v>
      </c>
      <c r="AE914">
        <v>0</v>
      </c>
      <c r="AF914">
        <v>0</v>
      </c>
      <c r="AG914">
        <v>0</v>
      </c>
      <c r="AH914">
        <v>0</v>
      </c>
      <c r="AI914">
        <v>0</v>
      </c>
      <c r="AJ914">
        <v>0</v>
      </c>
      <c r="AK914">
        <v>1</v>
      </c>
      <c r="AL914">
        <v>0</v>
      </c>
      <c r="AM914">
        <v>0</v>
      </c>
      <c r="AN914">
        <v>0</v>
      </c>
      <c r="AO914">
        <v>0</v>
      </c>
      <c r="AP914">
        <v>0</v>
      </c>
      <c r="AQ914">
        <v>0</v>
      </c>
      <c r="AR914">
        <v>0</v>
      </c>
      <c r="AS914">
        <v>0</v>
      </c>
      <c r="AT914">
        <v>0</v>
      </c>
      <c r="AU914">
        <v>0</v>
      </c>
      <c r="AV914">
        <v>0</v>
      </c>
      <c r="AW914">
        <v>0</v>
      </c>
      <c r="AX914" s="141">
        <f>COUNTIF(V914:AW914,"&lt;&gt;0")</f>
        <v>1</v>
      </c>
      <c r="AY914" s="141">
        <f>COUNTIF(V914:AL914,"&lt;&gt;0")</f>
        <v>1</v>
      </c>
      <c r="AZ914">
        <f>COUNTIF(V914:AC914,"&lt;&gt;0")</f>
        <v>0</v>
      </c>
      <c r="BA914">
        <f>COUNTIF(AD914:AI914,"&lt;&gt;0")</f>
        <v>0</v>
      </c>
      <c r="BB914">
        <f>COUNTIF(AJ914:AL914,"&lt;&gt;0")</f>
        <v>1</v>
      </c>
      <c r="BC914">
        <f>COUNTIF(AS914:AW914,"&lt;&gt;0")</f>
        <v>0</v>
      </c>
      <c r="BD914">
        <f>COUNTIF(AM914:AR914,"&lt;&gt;0")</f>
        <v>0</v>
      </c>
      <c r="BE914" t="str">
        <f t="array" ref="BE914">IF(AY914=1,INDEX($V$7:$AL$7,MATCH(TRUE,INDEX($V914:$AW914&lt;&gt;0,),0)),IF(AY914=0,INDEX($AM$7:$AW$7,MATCH(1,$AM914:$AW914,0)),IF(BF914="Multiple strategies","mixed drivers",IF(BF914="Supply chain","multiple supply","multiple silviculture"))))</f>
        <v>technologies/design switch</v>
      </c>
      <c r="BF914" s="2" t="str" cm="1">
        <f t="array" ref="BF914">IF(COUNTIF(AZ914:BB914,"&lt;&gt;0")=1,INDEX($V$4:$AW$4,MATCH(TRUE,INDEX($V914:$AW914&lt;&gt;0,),0)),IF(COUNTIF(AZ914:BB914,"&lt;&gt;0")=0,INDEX($AM$4:$AW$4,MATCH(1,$AM914:$AW914,0)),"Multiple strategies"))</f>
        <v>Technology</v>
      </c>
      <c r="BG914" s="1" t="s">
        <v>229</v>
      </c>
      <c r="BH914" t="s">
        <v>277</v>
      </c>
      <c r="BI914" s="264" t="s">
        <v>3106</v>
      </c>
      <c r="BJ914" t="s">
        <v>278</v>
      </c>
      <c r="BK914">
        <v>0</v>
      </c>
      <c r="BL914">
        <v>57.967398381615283</v>
      </c>
      <c r="BN914">
        <f>BL914-BK914</f>
        <v>57.967398381615283</v>
      </c>
      <c r="BO914">
        <f>BN914*tC_to_m3</f>
        <v>251.70385749724397</v>
      </c>
      <c r="BP914" t="s">
        <v>232</v>
      </c>
      <c r="BQ914" s="303" t="s">
        <v>3107</v>
      </c>
      <c r="BR914" t="s">
        <v>279</v>
      </c>
      <c r="BS914">
        <v>-95.845225170043378</v>
      </c>
      <c r="BT914">
        <v>219.23948667931481</v>
      </c>
      <c r="BU914" s="144">
        <f>IFERROR(BT914/BS914,"")</f>
        <v>-2.287432538140028</v>
      </c>
      <c r="BV914">
        <f>BT914-BS914</f>
        <v>315.0847118493582</v>
      </c>
      <c r="BX914">
        <f>BV914</f>
        <v>315.0847118493582</v>
      </c>
      <c r="BY914">
        <f>IFERROR(BX914/BO914,"")</f>
        <v>1.2518072427746094</v>
      </c>
      <c r="BZ914">
        <v>0</v>
      </c>
      <c r="CA914">
        <v>0</v>
      </c>
      <c r="CB914">
        <v>0</v>
      </c>
      <c r="CC914">
        <v>0</v>
      </c>
      <c r="CD914">
        <v>0</v>
      </c>
      <c r="CE914">
        <v>0</v>
      </c>
      <c r="CF914">
        <v>0</v>
      </c>
      <c r="CG914">
        <v>0</v>
      </c>
      <c r="CH914">
        <v>0</v>
      </c>
      <c r="CI914">
        <v>0</v>
      </c>
      <c r="CJ914">
        <v>0</v>
      </c>
      <c r="CK914">
        <v>0</v>
      </c>
      <c r="CL914">
        <v>0</v>
      </c>
      <c r="CM914">
        <v>0</v>
      </c>
      <c r="CN914" t="str">
        <f>IF($BL914&lt;$BK914,"refNeedCorrection","refOK")</f>
        <v>refOK</v>
      </c>
      <c r="CO914">
        <f>IF($CN914="refOK",$BK914,$BL914)</f>
        <v>0</v>
      </c>
      <c r="CP914">
        <f>IF($CN914="refOK",$BL914,$BK914)</f>
        <v>57.967398381615283</v>
      </c>
      <c r="CQ914">
        <f>IF($CN914="refOK",$BO914,-$BO914)</f>
        <v>251.70385749724397</v>
      </c>
      <c r="CR914">
        <f>IF($CN914="refOK",$BS914,$BT914)*IF($BP914="Emissions positive",-1,1)</f>
        <v>-95.845225170043378</v>
      </c>
      <c r="CS914">
        <f>IF($CN914="refOK",$BT914,$BS914)*IF($BP914="Emissions positive",-1,1)</f>
        <v>219.23948667931481</v>
      </c>
      <c r="CT914">
        <f>IF($CN914="refNeedCorrection",-BX914,BX914)*IF($BP914="Emissions positive",-1,1)</f>
        <v>315.0847118493582</v>
      </c>
      <c r="CU914">
        <f>IFERROR(CT914/CQ914,"")</f>
        <v>1.2518072427746094</v>
      </c>
      <c r="CV914" s="2">
        <f>IFERROR((CS914-CR914)/ABS(CR914),"")</f>
        <v>3.287432538140028</v>
      </c>
      <c r="CW914" s="1" t="s">
        <v>234</v>
      </c>
      <c r="CX914" t="str">
        <f>IF(OR($CW914="prd",$CW914="std",$CW914="cit"),"loc",IF(OR($CW914="eur",$CW914="reg",$CW914="coy"),"reg",$CW914))</f>
        <v>loc</v>
      </c>
      <c r="CY914" t="s">
        <v>280</v>
      </c>
      <c r="DB914">
        <v>100</v>
      </c>
      <c r="DC914" t="str">
        <f>IF(DB914=0,"0",IF(AND(DB914&gt;=1,DB914&lt;=30),"1-30",IF(AND(DB914&gt;30,DB914&lt;=70),"31-70",IF(AND(DB914&gt;70,DB914&lt;=100),"71-100",IF(DB914&gt;100,"+100")))))</f>
        <v>71-100</v>
      </c>
      <c r="DD914">
        <v>0</v>
      </c>
      <c r="DE914">
        <v>0</v>
      </c>
      <c r="DF914">
        <v>0</v>
      </c>
      <c r="DG914">
        <v>1</v>
      </c>
      <c r="DI914">
        <f>SUM(DD914:DG914)</f>
        <v>1</v>
      </c>
      <c r="DJ914" t="str">
        <f>IF(DI914=1,INDEX($DD$7:$DG$7,MATCH(1,$DD914:$DG914,0)),"mixedProduct")</f>
        <v>TimberInput</v>
      </c>
      <c r="DK914">
        <f>IF(DD914=1,DK$7,0)</f>
        <v>0</v>
      </c>
      <c r="DL914">
        <f>IF(DE914=1,DL$7,0)</f>
        <v>0</v>
      </c>
      <c r="DM914">
        <f>IF(DF914=1,DM$7,0)</f>
        <v>0</v>
      </c>
      <c r="DN914" t="str">
        <f>IF(DG914=1,DN$7,0)</f>
        <v>Timber</v>
      </c>
      <c r="DO914">
        <v>0</v>
      </c>
      <c r="DP914">
        <v>1</v>
      </c>
      <c r="DQ914" t="s">
        <v>304</v>
      </c>
      <c r="DR914">
        <v>0</v>
      </c>
      <c r="DS914">
        <v>0</v>
      </c>
      <c r="DT914">
        <f>SUM(DO914:DP914)</f>
        <v>1</v>
      </c>
      <c r="DU914" s="143" t="str">
        <f>IF(DO914=1,"self-calculated DF",IF(DP914=1,"external DF used","explicit C balance"))</f>
        <v>external DF used</v>
      </c>
      <c r="DV914">
        <v>0</v>
      </c>
      <c r="DW914">
        <v>1</v>
      </c>
      <c r="DX914">
        <v>1</v>
      </c>
      <c r="DY914">
        <v>1</v>
      </c>
      <c r="DZ914">
        <v>1</v>
      </c>
      <c r="EA914" s="143">
        <v>0</v>
      </c>
      <c r="EB914">
        <v>1</v>
      </c>
      <c r="EC914">
        <v>1</v>
      </c>
      <c r="ED914">
        <v>0</v>
      </c>
      <c r="EE914">
        <v>1</v>
      </c>
      <c r="EF914">
        <v>1</v>
      </c>
      <c r="EG914">
        <v>1</v>
      </c>
      <c r="EH914">
        <v>0</v>
      </c>
      <c r="EI914" s="2">
        <v>0</v>
      </c>
      <c r="EK914" t="str">
        <f>IF(AND(AND(AND(OR($DX914=1,$DW914=1),OR($EC914=1,$EA914=1)),SUM($DV914:$DZ914,$EF914)&gt;=4),SUM($EA914:$EE914)&gt;=2),"Whole sector","")</f>
        <v>Whole sector</v>
      </c>
      <c r="EL914" t="str">
        <f>IF(AND(AND(OR($DX914=1,$DW914=1),AND($EC914=0,$EA914=0)),SUM($DV914:$DZ914,$EF914)&gt;=4),"Ecosystem approach","")</f>
        <v/>
      </c>
      <c r="EM914" s="2" t="str">
        <f>IF(AND(AND(AND($DX914=0,$DW914=0),OR($EC914=1,$EA914=1)),SUM($EB914:$EE914)&gt;=2),"Technology approach","")</f>
        <v/>
      </c>
      <c r="EP914" t="str">
        <f>IF(ISNUMBER(BU914),IF(ABS(BU914-[1]QC_indicators!$B$2)&gt;3*[1]QC_indicators!$C$2,"C ratio",IF(ISNUMBER(BY914),IF(ABS(BY914-[1]QC_indicators!$B$1)&gt;3*[1]QC_indicators!$C$1,"DF","no"))),IF(ISNUMBER(BY914),IF(ABS(BY914-[1]QC_indicators!$B$1)&gt;3*[1]QC_indicators!$C$1,"DF","no")))</f>
        <v>no</v>
      </c>
      <c r="EQ914" t="s">
        <v>286</v>
      </c>
      <c r="ET914" s="264" t="s">
        <v>3273</v>
      </c>
    </row>
    <row r="915" spans="1:150" ht="15" customHeight="1">
      <c r="D915" t="s">
        <v>757</v>
      </c>
      <c r="E915" t="s">
        <v>758</v>
      </c>
      <c r="G915" t="s">
        <v>759</v>
      </c>
      <c r="I915">
        <v>2006</v>
      </c>
      <c r="K915" s="296" t="s">
        <v>760</v>
      </c>
      <c r="M915" t="str">
        <f>LEFT($D915,FIND(",",$D915)-1)&amp;"_"&amp;I915&amp;L915</f>
        <v>Gustavsson_2006</v>
      </c>
      <c r="N915" t="s">
        <v>222</v>
      </c>
      <c r="O915" t="s">
        <v>223</v>
      </c>
      <c r="Q915" s="264" t="s">
        <v>256</v>
      </c>
      <c r="R915" s="269" t="s">
        <v>1154</v>
      </c>
      <c r="S915" s="263" t="s">
        <v>768</v>
      </c>
      <c r="T915" t="s">
        <v>753</v>
      </c>
      <c r="U915" s="143" t="s">
        <v>754</v>
      </c>
      <c r="V915">
        <v>0</v>
      </c>
      <c r="W915">
        <v>0</v>
      </c>
      <c r="X915">
        <v>0</v>
      </c>
      <c r="Y915">
        <v>0</v>
      </c>
      <c r="Z915">
        <v>0</v>
      </c>
      <c r="AA915">
        <v>0</v>
      </c>
      <c r="AB915">
        <v>0</v>
      </c>
      <c r="AC915">
        <v>0</v>
      </c>
      <c r="AD915">
        <v>0</v>
      </c>
      <c r="AE915">
        <v>0</v>
      </c>
      <c r="AF915">
        <v>0</v>
      </c>
      <c r="AG915">
        <v>0</v>
      </c>
      <c r="AH915">
        <v>0</v>
      </c>
      <c r="AI915">
        <v>0</v>
      </c>
      <c r="AJ915">
        <v>0</v>
      </c>
      <c r="AK915">
        <v>1</v>
      </c>
      <c r="AL915">
        <v>0</v>
      </c>
      <c r="AM915">
        <v>0</v>
      </c>
      <c r="AN915">
        <v>0</v>
      </c>
      <c r="AO915">
        <v>0</v>
      </c>
      <c r="AP915">
        <v>0</v>
      </c>
      <c r="AQ915">
        <v>0</v>
      </c>
      <c r="AR915">
        <v>0</v>
      </c>
      <c r="AS915">
        <v>0</v>
      </c>
      <c r="AT915">
        <v>0</v>
      </c>
      <c r="AU915">
        <v>0</v>
      </c>
      <c r="AV915">
        <v>0</v>
      </c>
      <c r="AW915">
        <v>0</v>
      </c>
      <c r="AX915" s="141">
        <f>COUNTIF(V915:AW915,"&lt;&gt;0")</f>
        <v>1</v>
      </c>
      <c r="AY915" s="141">
        <f>COUNTIF(V915:AL915,"&lt;&gt;0")</f>
        <v>1</v>
      </c>
      <c r="AZ915">
        <f>COUNTIF(V915:AC915,"&lt;&gt;0")</f>
        <v>0</v>
      </c>
      <c r="BA915">
        <f>COUNTIF(AD915:AI915,"&lt;&gt;0")</f>
        <v>0</v>
      </c>
      <c r="BB915">
        <f>COUNTIF(AJ915:AL915,"&lt;&gt;0")</f>
        <v>1</v>
      </c>
      <c r="BC915">
        <f>COUNTIF(AS915:AW915,"&lt;&gt;0")</f>
        <v>0</v>
      </c>
      <c r="BD915">
        <f>COUNTIF(AM915:AR915,"&lt;&gt;0")</f>
        <v>0</v>
      </c>
      <c r="BE915" t="str" cm="1">
        <f t="array" ref="BE915">IF(AY915=1,INDEX($V$7:$AL$7,MATCH(TRUE,INDEX($V915:$AW915&lt;&gt;0,),0)),IF(AY915=0,INDEX($AM$7:$AW$7,MATCH(1,$AM915:$AW915,0)),IF(BF915="Multiple strategies","mixed drivers",IF(BF915="Supply chain","multiple supply","multiple silviculture"))))</f>
        <v>technologies/design switch</v>
      </c>
      <c r="BF915" s="2" t="str" cm="1">
        <f t="array" ref="BF915">IF(COUNTIF(AZ915:BB915,"&lt;&gt;0")=1,INDEX($V$4:$AW$4,MATCH(TRUE,INDEX($V915:$AW915&lt;&gt;0,),0)),IF(COUNTIF(AZ915:BB915,"&lt;&gt;0")=0,INDEX($AM$4:$AW$4,MATCH(1,$AM915:$AW915,0)),"Multiple strategies"))</f>
        <v>Technology</v>
      </c>
      <c r="BG915" s="142" t="s">
        <v>229</v>
      </c>
      <c r="BH915" t="s">
        <v>393</v>
      </c>
      <c r="BI915" s="264" t="s">
        <v>762</v>
      </c>
      <c r="BJ915" s="143" t="s">
        <v>763</v>
      </c>
      <c r="BK915">
        <v>195</v>
      </c>
      <c r="BL915" s="143">
        <v>291</v>
      </c>
      <c r="BM915" s="143"/>
      <c r="BN915">
        <f>BL915-BK915</f>
        <v>96</v>
      </c>
      <c r="BO915" s="143">
        <f>BN915*t_to_m3</f>
        <v>195.91836734693879</v>
      </c>
      <c r="BP915" s="264" t="s">
        <v>232</v>
      </c>
      <c r="BQ915" s="336" t="s">
        <v>764</v>
      </c>
      <c r="BR915" t="s">
        <v>442</v>
      </c>
      <c r="BS915" s="143">
        <v>-25.8</v>
      </c>
      <c r="BT915" s="151">
        <v>41.4</v>
      </c>
      <c r="BV915">
        <f>BT915-BS915</f>
        <v>67.2</v>
      </c>
      <c r="BX915">
        <f>BV915*C_to_CO2</f>
        <v>246.624</v>
      </c>
      <c r="BY915">
        <f>IFERROR(BX915/BO915,"")</f>
        <v>1.2588099999999998</v>
      </c>
      <c r="BZ915" s="143">
        <v>0</v>
      </c>
      <c r="CA915" s="143">
        <v>0</v>
      </c>
      <c r="CB915" s="143">
        <v>0</v>
      </c>
      <c r="CC915" s="143">
        <v>0</v>
      </c>
      <c r="CD915" s="143">
        <v>0</v>
      </c>
      <c r="CE915" s="143">
        <v>0</v>
      </c>
      <c r="CF915" s="143">
        <v>0</v>
      </c>
      <c r="CG915" s="143">
        <v>0</v>
      </c>
      <c r="CH915" s="143">
        <v>0</v>
      </c>
      <c r="CI915" s="143">
        <v>0</v>
      </c>
      <c r="CJ915" s="143">
        <v>0</v>
      </c>
      <c r="CK915" s="143">
        <v>0</v>
      </c>
      <c r="CL915" s="143">
        <v>0</v>
      </c>
      <c r="CM915">
        <v>0</v>
      </c>
      <c r="CN915" t="str">
        <f>IF($BL915&lt;$BK915,"refNeedCorrection","refOK")</f>
        <v>refOK</v>
      </c>
      <c r="CO915">
        <f>IF($CN915="refOK",$BK915,$BL915)</f>
        <v>195</v>
      </c>
      <c r="CP915">
        <f>IF($CN915="refOK",$BL915,$BK915)</f>
        <v>291</v>
      </c>
      <c r="CQ915">
        <f>IF($CN915="refOK",$BO915,-$BO915)</f>
        <v>195.91836734693879</v>
      </c>
      <c r="CR915">
        <f>IF($CN915="refOK",$BS915,$BT915)*IF($BP915="Emissions positive",-1,1)</f>
        <v>-25.8</v>
      </c>
      <c r="CS915">
        <f>IF($CN915="refOK",$BT915,$BS915)*IF($BP915="Emissions positive",-1,1)</f>
        <v>41.4</v>
      </c>
      <c r="CT915">
        <f>IF($CN915="refNeedCorrection",-BX915,BX915)*IF($BP915="Emissions positive",-1,1)</f>
        <v>246.624</v>
      </c>
      <c r="CU915">
        <f>IFERROR(CT915/CQ915,"")</f>
        <v>1.2588099999999998</v>
      </c>
      <c r="CV915" s="2">
        <f>IFERROR((CS915-CR915)/ABS(CR915),"")</f>
        <v>2.6046511627906979</v>
      </c>
      <c r="CW915" s="1" t="s">
        <v>263</v>
      </c>
      <c r="CX915" s="264" t="str">
        <f>IF(OR($CW915="prd",$CW915="std",$CW915="cit"),"loc",IF(OR($CW915="eur",$CW915="reg",$CW915="coy"),"reg",$CW915))</f>
        <v>loc</v>
      </c>
      <c r="CY915" t="s">
        <v>444</v>
      </c>
      <c r="DA915" s="143"/>
      <c r="DB915" s="143">
        <v>100</v>
      </c>
      <c r="DC915" t="str">
        <f>IF(DB915=0,"0",IF(AND(DB915&gt;=1,DB915&lt;=30),"1-30",IF(AND(DB915&gt;30,DB915&lt;=70),"31-70",IF(AND(DB915&gt;70,DB915&lt;=100),"71-100",IF(DB915&gt;100,"+100")))))</f>
        <v>71-100</v>
      </c>
      <c r="DD915">
        <v>0</v>
      </c>
      <c r="DE915">
        <v>0</v>
      </c>
      <c r="DF915">
        <v>0</v>
      </c>
      <c r="DG915">
        <v>1</v>
      </c>
      <c r="DI915">
        <f>SUM(DD915:DG915)</f>
        <v>1</v>
      </c>
      <c r="DJ915" t="str">
        <f>IF(DI915=1,INDEX($DD$7:$DG$7,MATCH(1,$DD915:$DG915,0)),"mixedProduct")</f>
        <v>TimberInput</v>
      </c>
      <c r="DK915">
        <f>IF(DD915=1,DK$7,0)</f>
        <v>0</v>
      </c>
      <c r="DL915">
        <f>IF(DE915=1,DL$7,0)</f>
        <v>0</v>
      </c>
      <c r="DM915">
        <f>IF(DF915=1,DM$7,0)</f>
        <v>0</v>
      </c>
      <c r="DN915" t="str">
        <f>IF(DG915=1,DN$7,0)</f>
        <v>Timber</v>
      </c>
      <c r="DO915">
        <v>1</v>
      </c>
      <c r="DP915" s="143">
        <v>0</v>
      </c>
      <c r="DQ915" s="143">
        <v>0</v>
      </c>
      <c r="DR915">
        <v>0</v>
      </c>
      <c r="DS915" s="143">
        <v>0</v>
      </c>
      <c r="DT915">
        <f>SUM(DO915:DP915)</f>
        <v>1</v>
      </c>
      <c r="DU915" s="143" t="str">
        <f>IF(DO915=1,"self-calculated DF",IF(DP915=1,"external DF used","explicit C balance"))</f>
        <v>self-calculated DF</v>
      </c>
      <c r="DV915" s="143">
        <v>0</v>
      </c>
      <c r="DW915" s="143">
        <v>0</v>
      </c>
      <c r="DX915" s="143">
        <v>1</v>
      </c>
      <c r="DY915" s="143">
        <v>1</v>
      </c>
      <c r="DZ915">
        <v>0</v>
      </c>
      <c r="EA915" s="143">
        <v>1</v>
      </c>
      <c r="EB915" s="143">
        <v>1</v>
      </c>
      <c r="EC915" s="143">
        <v>1</v>
      </c>
      <c r="ED915" s="143">
        <v>0</v>
      </c>
      <c r="EE915">
        <v>0</v>
      </c>
      <c r="EF915">
        <v>1</v>
      </c>
      <c r="EG915" s="143">
        <v>0</v>
      </c>
      <c r="EH915" s="143">
        <v>0</v>
      </c>
      <c r="EI915" s="2">
        <v>0</v>
      </c>
      <c r="EK915" t="str">
        <f>IF(AND(AND(AND(OR($DX915=1,$DW915=1),OR($EC915=1,$EA915=1)),SUM($DV915:$DZ915,$EF915)&gt;=4),SUM($EA915:$EE915)&gt;=2),"Whole sector","")</f>
        <v/>
      </c>
      <c r="EL915" t="str">
        <f>IF(AND(AND(OR($DX915=1,$DW915=1),AND($EC915=0,$EA915=0)),SUM($DV915:$DZ915,$EF915)&gt;=4),"Ecosystem approach","")</f>
        <v/>
      </c>
      <c r="EM915" s="2" t="str">
        <f>IF(AND(AND(AND($DX915=0,$DW915=0),OR($EC915=1,$EA915=1)),SUM($EB915:$EE915)&gt;=2),"Technology approach","")</f>
        <v/>
      </c>
      <c r="EN915" t="s">
        <v>769</v>
      </c>
      <c r="EP915" t="str">
        <f>IF(ISNUMBER(BU915),IF(ABS(BU915-[3]QC_indicators!$B$2)&gt;3*[3]QC_indicators!$C$2,"C ratio",IF(ISNUMBER(BY915),IF(ABS(BY915-[3]QC_indicators!$B$1)&gt;3*[3]QC_indicators!$C$1,"DF","no"))),IF(ISNUMBER(BY915),IF(ABS(BY915-[3]QC_indicators!$B$1)&gt;3*[3]QC_indicators!$C$1,"DF","no")))</f>
        <v>no</v>
      </c>
      <c r="EQ915" t="s">
        <v>286</v>
      </c>
      <c r="ER915" s="294" t="s">
        <v>349</v>
      </c>
      <c r="ET915" s="264" t="s">
        <v>3407</v>
      </c>
    </row>
    <row r="916" spans="1:150" ht="15" customHeight="1">
      <c r="D916" t="s">
        <v>963</v>
      </c>
      <c r="E916" t="s">
        <v>1007</v>
      </c>
      <c r="G916" t="s">
        <v>1008</v>
      </c>
      <c r="I916">
        <v>2004</v>
      </c>
      <c r="K916" t="s">
        <v>1009</v>
      </c>
      <c r="M916" t="str">
        <f>LEFT($D916,FIND(",",$D916)-1)&amp;"_"&amp;I916&amp;L916</f>
        <v>Petersen_2004</v>
      </c>
      <c r="N916" t="s">
        <v>222</v>
      </c>
      <c r="O916" s="171" t="s">
        <v>513</v>
      </c>
      <c r="P916" s="141" t="s">
        <v>225</v>
      </c>
      <c r="Q916" t="s">
        <v>389</v>
      </c>
      <c r="R916" s="262" t="s">
        <v>223</v>
      </c>
      <c r="S916" s="1" t="s">
        <v>983</v>
      </c>
      <c r="T916" t="s">
        <v>1023</v>
      </c>
      <c r="U916" t="s">
        <v>1020</v>
      </c>
      <c r="V916">
        <v>0</v>
      </c>
      <c r="W916">
        <v>0</v>
      </c>
      <c r="X916">
        <v>0</v>
      </c>
      <c r="Y916">
        <v>0</v>
      </c>
      <c r="Z916">
        <v>0</v>
      </c>
      <c r="AA916">
        <v>0</v>
      </c>
      <c r="AB916">
        <v>0</v>
      </c>
      <c r="AC916">
        <v>0</v>
      </c>
      <c r="AD916">
        <v>0</v>
      </c>
      <c r="AE916">
        <v>0</v>
      </c>
      <c r="AF916">
        <v>0</v>
      </c>
      <c r="AG916">
        <v>0</v>
      </c>
      <c r="AH916">
        <v>0</v>
      </c>
      <c r="AI916">
        <v>0</v>
      </c>
      <c r="AJ916">
        <v>0</v>
      </c>
      <c r="AK916">
        <v>1</v>
      </c>
      <c r="AL916">
        <v>0</v>
      </c>
      <c r="AM916">
        <v>0</v>
      </c>
      <c r="AN916">
        <v>0</v>
      </c>
      <c r="AO916">
        <v>0</v>
      </c>
      <c r="AP916">
        <v>0</v>
      </c>
      <c r="AQ916">
        <v>0</v>
      </c>
      <c r="AR916">
        <v>0</v>
      </c>
      <c r="AS916">
        <v>0</v>
      </c>
      <c r="AT916">
        <v>0</v>
      </c>
      <c r="AU916">
        <v>0</v>
      </c>
      <c r="AV916">
        <v>0</v>
      </c>
      <c r="AW916">
        <v>0</v>
      </c>
      <c r="AX916" s="141">
        <f>COUNTIF(V916:AW916,"&lt;&gt;0")</f>
        <v>1</v>
      </c>
      <c r="AY916" s="141">
        <f>COUNTIF(V916:AL916,"&lt;&gt;0")</f>
        <v>1</v>
      </c>
      <c r="AZ916">
        <f>COUNTIF(V916:AC916,"&lt;&gt;0")</f>
        <v>0</v>
      </c>
      <c r="BA916">
        <f>COUNTIF(AD916:AI916,"&lt;&gt;0")</f>
        <v>0</v>
      </c>
      <c r="BB916">
        <f>COUNTIF(AJ916:AL916,"&lt;&gt;0")</f>
        <v>1</v>
      </c>
      <c r="BC916">
        <f>COUNTIF(AS916:AW916,"&lt;&gt;0")</f>
        <v>0</v>
      </c>
      <c r="BD916">
        <f>COUNTIF(AM916:AR916,"&lt;&gt;0")</f>
        <v>0</v>
      </c>
      <c r="BE916" t="str">
        <f t="array" ref="BE916">IF(AY916=1,INDEX($V$7:$AL$7,MATCH(TRUE,INDEX($V916:$AW916&lt;&gt;0,),0)),IF(AY916=0,INDEX($AM$7:$AW$7,MATCH(1,$AM916:$AW916,0)),IF(BF916="Multiple strategies","mixed drivers",IF(BF916="Supply chain","multiple supply","multiple silviculture"))))</f>
        <v>technologies/design switch</v>
      </c>
      <c r="BF916" s="2" t="str" cm="1">
        <f t="array" ref="BF916">IF(COUNTIF(AZ916:BB916,"&lt;&gt;0")=1,INDEX($V$4:$AW$4,MATCH(TRUE,INDEX($V916:$AW916&lt;&gt;0,),0)),IF(COUNTIF(AZ916:BB916,"&lt;&gt;0")=0,INDEX($AM$4:$AW$4,MATCH(1,$AM916:$AW916,0)),"Multiple strategies"))</f>
        <v>Technology</v>
      </c>
      <c r="BG916" s="142" t="s">
        <v>229</v>
      </c>
      <c r="BH916" t="s">
        <v>970</v>
      </c>
      <c r="BI916" t="s">
        <v>1012</v>
      </c>
      <c r="BJ916" t="s">
        <v>498</v>
      </c>
      <c r="BK916">
        <v>0</v>
      </c>
      <c r="BL916" s="143">
        <v>1</v>
      </c>
      <c r="BM916" t="str">
        <f>IFERROR(BL916/BK916,"")</f>
        <v/>
      </c>
      <c r="BN916">
        <f>BL916-BK916</f>
        <v>1</v>
      </c>
      <c r="BO916" s="159">
        <v>1</v>
      </c>
      <c r="BP916" t="s">
        <v>232</v>
      </c>
      <c r="BQ916" s="234" t="s">
        <v>1013</v>
      </c>
      <c r="BR916" t="s">
        <v>973</v>
      </c>
      <c r="BU916" s="144"/>
      <c r="BV916">
        <v>1.3</v>
      </c>
      <c r="BX916">
        <f>BV916</f>
        <v>1.3</v>
      </c>
      <c r="BY916">
        <f>IFERROR(BX916/BO916,"")</f>
        <v>1.3</v>
      </c>
      <c r="BZ916">
        <v>0</v>
      </c>
      <c r="CA916">
        <v>0</v>
      </c>
      <c r="CB916">
        <v>0</v>
      </c>
      <c r="CC916">
        <v>0</v>
      </c>
      <c r="CD916">
        <v>0</v>
      </c>
      <c r="CE916">
        <v>0</v>
      </c>
      <c r="CF916">
        <v>0</v>
      </c>
      <c r="CG916">
        <v>0</v>
      </c>
      <c r="CH916">
        <v>0</v>
      </c>
      <c r="CI916">
        <v>0</v>
      </c>
      <c r="CJ916">
        <v>0</v>
      </c>
      <c r="CK916">
        <v>0</v>
      </c>
      <c r="CL916">
        <v>0</v>
      </c>
      <c r="CM916">
        <v>0</v>
      </c>
      <c r="CN916" t="str">
        <f>IF($BL916&lt;$BK916,"refNeedCorrection","refOK")</f>
        <v>refOK</v>
      </c>
      <c r="CO916">
        <f>IF($CN916="refOK",$BK916,$BL916)</f>
        <v>0</v>
      </c>
      <c r="CP916">
        <f>IF($CN916="refOK",$BL916,$BK916)</f>
        <v>1</v>
      </c>
      <c r="CQ916">
        <f>IF($CN916="refOK",$BO916,-$BO916)</f>
        <v>1</v>
      </c>
      <c r="CR916">
        <f>IF($CN916="refOK",$BS916,$BT916)*IF($BP916="Emissions positive",-1,1)</f>
        <v>0</v>
      </c>
      <c r="CS916">
        <f>IF($CN916="refOK",$BT916,$BS916)*IF($BP916="Emissions positive",-1,1)</f>
        <v>0</v>
      </c>
      <c r="CT916">
        <f>IF($CN916="refNeedCorrection",-BX916,BX916)*IF($BP916="Emissions positive",-1,1)</f>
        <v>1.3</v>
      </c>
      <c r="CU916">
        <f>IFERROR(CT916/CQ916,"")</f>
        <v>1.3</v>
      </c>
      <c r="CV916" s="2" t="str">
        <f>IFERROR((CS916-CR916)/ABS(CR916),"")</f>
        <v/>
      </c>
      <c r="CW916" s="1" t="s">
        <v>263</v>
      </c>
      <c r="CX916" t="str">
        <f>IF(OR($CW916="prd",$CW916="std",$CW916="cit"),"loc",IF(OR($CW916="eur",$CW916="reg",$CW916="coy"),"reg",$CW916))</f>
        <v>loc</v>
      </c>
      <c r="CY916" t="s">
        <v>264</v>
      </c>
      <c r="DA916" s="143"/>
      <c r="DB916" s="143">
        <v>45</v>
      </c>
      <c r="DC916" t="str">
        <f>IF(DB916=0,"0",IF(AND(DB916&gt;=1,DB916&lt;=30),"1-30",IF(AND(DB916&gt;30,DB916&lt;=70),"31-70",IF(AND(DB916&gt;70,DB916&lt;=100),"71-100",IF(DB916&gt;100,"+100")))))</f>
        <v>31-70</v>
      </c>
      <c r="DD916">
        <v>0</v>
      </c>
      <c r="DE916">
        <v>0</v>
      </c>
      <c r="DF916">
        <v>0</v>
      </c>
      <c r="DG916">
        <v>1</v>
      </c>
      <c r="DH916">
        <v>0</v>
      </c>
      <c r="DI916">
        <f>SUM(DD916:DG916)</f>
        <v>1</v>
      </c>
      <c r="DJ916" t="str">
        <f>IF(DI916=1,INDEX($DD$7:$DG$7,MATCH(1,$DD916:$DG916,0)),"mixedProduct")</f>
        <v>TimberInput</v>
      </c>
      <c r="DK916">
        <f>IF(DD916=1,DK$7,0)</f>
        <v>0</v>
      </c>
      <c r="DL916">
        <f>IF(DE916=1,DL$7,0)</f>
        <v>0</v>
      </c>
      <c r="DM916">
        <f>IF(DF916=1,DM$7,0)</f>
        <v>0</v>
      </c>
      <c r="DN916" t="str">
        <f>IF(DG916=1,DN$7,0)</f>
        <v>Timber</v>
      </c>
      <c r="DO916">
        <v>1</v>
      </c>
      <c r="DP916">
        <v>0</v>
      </c>
      <c r="DQ916">
        <v>0</v>
      </c>
      <c r="DR916">
        <v>0</v>
      </c>
      <c r="DS916">
        <v>0</v>
      </c>
      <c r="DT916">
        <f>SUM(DO916:DP916)</f>
        <v>1</v>
      </c>
      <c r="DU916" s="143" t="str">
        <f>IF(DO916=1,"self-calculated DF",IF(DP916=1,"external DF used","explicit C balance"))</f>
        <v>self-calculated DF</v>
      </c>
      <c r="DV916" s="143">
        <v>0</v>
      </c>
      <c r="DW916" s="143">
        <v>0</v>
      </c>
      <c r="DX916" s="143">
        <v>0</v>
      </c>
      <c r="DY916" s="143">
        <v>0</v>
      </c>
      <c r="DZ916">
        <v>0</v>
      </c>
      <c r="EA916" s="143">
        <v>1</v>
      </c>
      <c r="EB916" s="143">
        <v>0</v>
      </c>
      <c r="EC916" s="143">
        <v>1</v>
      </c>
      <c r="ED916" s="143">
        <v>0</v>
      </c>
      <c r="EE916">
        <v>0</v>
      </c>
      <c r="EF916">
        <v>0</v>
      </c>
      <c r="EG916" s="143">
        <v>0</v>
      </c>
      <c r="EH916" s="143">
        <v>0</v>
      </c>
      <c r="EI916" s="2">
        <v>0</v>
      </c>
      <c r="EK916" t="str">
        <f>IF(AND(AND(AND(OR($DX916=1,$DW916=1),OR($EC916=1,$EA916=1)),SUM($DV916:$DZ916,$EF916)&gt;=4),SUM($EA916:$EE916)&gt;=2),"Whole sector","")</f>
        <v/>
      </c>
      <c r="EL916" t="str">
        <f>IF(AND(AND(OR($DX916=1,$DW916=1),AND($EC916=0,$EA916=0)),SUM($DV916:$DZ916,$EF916)&gt;=4),"Ecosystem approach","")</f>
        <v/>
      </c>
      <c r="EM916" s="2" t="str">
        <f>IF(AND(AND(AND($DX916=0,$DW916=0),OR($EC916=1,$EA916=1)),SUM($EB916:$EE916)&gt;=2),"Technology approach","")</f>
        <v/>
      </c>
      <c r="EP916" t="str">
        <f>IF(ISNUMBER(BU916),IF(ABS(BU916-[1]QC_indicators!$B$2)&gt;3*[1]QC_indicators!$C$2,"C ratio",IF(ISNUMBER(BY916),IF(ABS(BY916-[1]QC_indicators!$B$1)&gt;3*[1]QC_indicators!$C$1,"DF","no"))),IF(ISNUMBER(BY916),IF(ABS(BY916-[1]QC_indicators!$B$1)&gt;3*[1]QC_indicators!$C$1,"DF","no")))</f>
        <v>no</v>
      </c>
      <c r="ER916" t="s">
        <v>995</v>
      </c>
      <c r="ET916" s="264" t="s">
        <v>3212</v>
      </c>
    </row>
    <row r="917" spans="1:150" ht="15" customHeight="1">
      <c r="A917" s="1" t="s">
        <v>1360</v>
      </c>
      <c r="B917" t="s">
        <v>2135</v>
      </c>
      <c r="C917" t="s">
        <v>2136</v>
      </c>
      <c r="D917" t="s">
        <v>2137</v>
      </c>
      <c r="E917" t="s">
        <v>2138</v>
      </c>
      <c r="F917" t="s">
        <v>2139</v>
      </c>
      <c r="G917" t="s">
        <v>1366</v>
      </c>
      <c r="H917" t="s">
        <v>254</v>
      </c>
      <c r="I917">
        <v>2012</v>
      </c>
      <c r="J917">
        <v>21</v>
      </c>
      <c r="K917" t="s">
        <v>2140</v>
      </c>
      <c r="L917" s="192"/>
      <c r="M917" t="str">
        <f>LEFT($D917,FIND(",",$D917)-1)&amp;"_"&amp;I917&amp;L917</f>
        <v>Pyorala_2012</v>
      </c>
      <c r="N917" t="s">
        <v>222</v>
      </c>
      <c r="O917" s="145" t="s">
        <v>341</v>
      </c>
      <c r="P917" s="193" t="s">
        <v>223</v>
      </c>
      <c r="Q917" s="264" t="s">
        <v>256</v>
      </c>
      <c r="R917" s="269" t="s">
        <v>1154</v>
      </c>
      <c r="S917" s="263" t="s">
        <v>2149</v>
      </c>
      <c r="T917" s="264" t="s">
        <v>2143</v>
      </c>
      <c r="U917" s="264" t="s">
        <v>2148</v>
      </c>
      <c r="V917">
        <v>0</v>
      </c>
      <c r="W917">
        <v>0</v>
      </c>
      <c r="X917">
        <v>0</v>
      </c>
      <c r="Y917">
        <v>1</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s="141">
        <f>COUNTIF(V917:AW917,"&lt;&gt;0")</f>
        <v>1</v>
      </c>
      <c r="AY917" s="141">
        <f>COUNTIF(V917:AL917,"&lt;&gt;0")</f>
        <v>1</v>
      </c>
      <c r="AZ917">
        <f>COUNTIF(V917:AC917,"&lt;&gt;0")</f>
        <v>1</v>
      </c>
      <c r="BA917">
        <f>COUNTIF(AD917:AI917,"&lt;&gt;0")</f>
        <v>0</v>
      </c>
      <c r="BB917">
        <f>COUNTIF(AJ917:AL917,"&lt;&gt;0")</f>
        <v>0</v>
      </c>
      <c r="BC917">
        <f>COUNTIF(AS917:AW917,"&lt;&gt;0")</f>
        <v>0</v>
      </c>
      <c r="BD917">
        <f>COUNTIF(AM917:AR917,"&lt;&gt;0")</f>
        <v>0</v>
      </c>
      <c r="BE917" t="str" cm="1">
        <f t="array" ref="BE917">IF(AY917=1,INDEX($V$7:$AL$7,MATCH(TRUE,INDEX($V917:$AW917&lt;&gt;0,),0)),IF(AY917=0,INDEX($AM$7:$AW$7,MATCH(1,$AM917:$AW917,0)),IF(BF917="Multiple strategies","mixed drivers",IF(BF917="Supply chain","multiple supply","multiple silviculture"))))</f>
        <v xml:space="preserve">cutting intensity </v>
      </c>
      <c r="BF917" s="2" t="str" cm="1">
        <f t="array" ref="BF917">IF(COUNTIF(AZ917:BB917,"&lt;&gt;0")=1,INDEX($V$4:$AW$4,MATCH(TRUE,INDEX($V917:$AW917&lt;&gt;0,),0)),IF(COUNTIF(AZ917:BB917,"&lt;&gt;0")=0,INDEX($AM$4:$AW$4,MATCH(1,$AM917:$AW917,0)),"Multiple strategies"))</f>
        <v>Silviculture for removals</v>
      </c>
      <c r="BG917" s="194" t="s">
        <v>321</v>
      </c>
      <c r="BH917" s="264" t="s">
        <v>2144</v>
      </c>
      <c r="BI917" s="264" t="s">
        <v>701</v>
      </c>
      <c r="BJ917" s="195" t="s">
        <v>700</v>
      </c>
      <c r="BK917">
        <v>7.8</v>
      </c>
      <c r="BL917">
        <v>9</v>
      </c>
      <c r="BN917">
        <f>BL917-BK917</f>
        <v>1.2000000000000002</v>
      </c>
      <c r="BO917">
        <f>BN917</f>
        <v>1.2000000000000002</v>
      </c>
      <c r="BP917" s="149" t="s">
        <v>232</v>
      </c>
      <c r="BQ917" s="301" t="s">
        <v>786</v>
      </c>
      <c r="BR917" s="294" t="s">
        <v>2145</v>
      </c>
      <c r="BS917" s="264">
        <f>155.5/50</f>
        <v>3.11</v>
      </c>
      <c r="BT917" s="264">
        <f>234.2/50</f>
        <v>4.6840000000000002</v>
      </c>
      <c r="BU917" s="144"/>
      <c r="BV917">
        <f>BT917-BS917</f>
        <v>1.5740000000000003</v>
      </c>
      <c r="BX917">
        <f>BV917</f>
        <v>1.5740000000000003</v>
      </c>
      <c r="BY917">
        <f>IFERROR(BX917/BO917,"")</f>
        <v>1.3116666666666668</v>
      </c>
      <c r="BZ917">
        <v>0</v>
      </c>
      <c r="CA917">
        <v>0</v>
      </c>
      <c r="CB917">
        <v>0</v>
      </c>
      <c r="CC917">
        <v>0</v>
      </c>
      <c r="CD917">
        <v>0</v>
      </c>
      <c r="CE917">
        <v>0</v>
      </c>
      <c r="CF917">
        <v>0</v>
      </c>
      <c r="CG917">
        <v>0</v>
      </c>
      <c r="CH917">
        <v>0</v>
      </c>
      <c r="CI917">
        <v>0</v>
      </c>
      <c r="CJ917">
        <v>0</v>
      </c>
      <c r="CK917">
        <v>0</v>
      </c>
      <c r="CL917">
        <v>0</v>
      </c>
      <c r="CM917">
        <v>0</v>
      </c>
      <c r="CN917" t="str">
        <f>IF($BL917&lt;$BK917,"refNeedCorrection","refOK")</f>
        <v>refOK</v>
      </c>
      <c r="CO917">
        <f>IF($CN917="refOK",$BK917,$BL917)</f>
        <v>7.8</v>
      </c>
      <c r="CP917">
        <f>IF($CN917="refOK",$BL917,$BK917)</f>
        <v>9</v>
      </c>
      <c r="CQ917">
        <f>IF($CN917="refOK",$BO917,-$BO917)</f>
        <v>1.2000000000000002</v>
      </c>
      <c r="CR917">
        <f>IF($CN917="refOK",$BS917,$BT917)*IF($BP917="Emissions positive",-1,1)</f>
        <v>3.11</v>
      </c>
      <c r="CS917">
        <f>IF($CN917="refOK",$BT917,$BS917)*IF($BP917="Emissions positive",-1,1)</f>
        <v>4.6840000000000002</v>
      </c>
      <c r="CT917">
        <f>IF($CN917="refNeedCorrection",-BX917,BX917)*IF($BP917="Emissions positive",-1,1)</f>
        <v>1.5740000000000003</v>
      </c>
      <c r="CU917">
        <f>IFERROR(CT917/CQ917,"")</f>
        <v>1.3116666666666668</v>
      </c>
      <c r="CV917" s="2">
        <f>IFERROR((CS917-CR917)/ABS(CR917),"")</f>
        <v>0.50610932475884252</v>
      </c>
      <c r="CW917" s="1" t="s">
        <v>1199</v>
      </c>
      <c r="CX917" s="264" t="str">
        <f>IF(OR($CW917="prd",$CW917="std",$CW917="cit"),"loc",IF(OR($CW917="eur",$CW917="reg",$CW917="coy"),"reg",$CW917))</f>
        <v>reg</v>
      </c>
      <c r="CY917" t="s">
        <v>235</v>
      </c>
      <c r="DB917">
        <v>50</v>
      </c>
      <c r="DC917" t="str">
        <f>IF(DB917=0,"0",IF(AND(DB917&gt;=1,DB917&lt;=30),"1-30",IF(AND(DB917&gt;30,DB917&lt;=70),"31-70",IF(AND(DB917&gt;70,DB917&lt;=100),"71-100",IF(DB917&gt;100,"+100")))))</f>
        <v>31-70</v>
      </c>
      <c r="DD917">
        <v>0</v>
      </c>
      <c r="DE917">
        <v>1</v>
      </c>
      <c r="DF917">
        <v>1</v>
      </c>
      <c r="DG917">
        <v>1</v>
      </c>
      <c r="DI917">
        <f>SUM(DD917:DG917)</f>
        <v>3</v>
      </c>
      <c r="DJ917" t="str">
        <f>IF(DI917=1,INDEX($DD$7:$DG$7,MATCH(1,$DD917:$DG917,0)),"mixedProduct")</f>
        <v>mixedProduct</v>
      </c>
      <c r="DK917">
        <f>IF(DD917=1,DK$7,0)</f>
        <v>0</v>
      </c>
      <c r="DL917" t="str">
        <f>IF(DE917=1,DL$7,0)</f>
        <v>Energy</v>
      </c>
      <c r="DM917" t="str">
        <f>IF(DF917=1,DM$7,0)</f>
        <v>Pulp/Paper</v>
      </c>
      <c r="DN917" t="str">
        <f>IF(DG917=1,DN$7,0)</f>
        <v>Timber</v>
      </c>
      <c r="DO917">
        <v>0</v>
      </c>
      <c r="DP917">
        <v>1</v>
      </c>
      <c r="DQ917" t="s">
        <v>2146</v>
      </c>
      <c r="DR917">
        <v>0</v>
      </c>
      <c r="DS917">
        <v>0</v>
      </c>
      <c r="DT917">
        <f>SUM(DO917:DP917)</f>
        <v>1</v>
      </c>
      <c r="DU917" s="143" t="str">
        <f>IF(DO917=1,"self-calculated DF",IF(DP917=1,"external DF used","explicit C balance"))</f>
        <v>external DF used</v>
      </c>
      <c r="DV917">
        <v>1</v>
      </c>
      <c r="DW917">
        <v>1</v>
      </c>
      <c r="DX917">
        <v>1</v>
      </c>
      <c r="DY917">
        <v>0</v>
      </c>
      <c r="DZ917">
        <v>0</v>
      </c>
      <c r="EA917" s="143">
        <v>0</v>
      </c>
      <c r="EB917">
        <v>0</v>
      </c>
      <c r="EC917">
        <v>0</v>
      </c>
      <c r="ED917">
        <v>0</v>
      </c>
      <c r="EE917">
        <v>0</v>
      </c>
      <c r="EF917">
        <v>1</v>
      </c>
      <c r="EG917">
        <v>0</v>
      </c>
      <c r="EH917">
        <v>0</v>
      </c>
      <c r="EI917" s="2">
        <v>0</v>
      </c>
      <c r="EK917" t="str">
        <f>IF(AND(AND(AND(OR($DX917=1,$DW917=1),OR($EC917=1,$EA917=1)),SUM($DV917:$DZ917,$EF917)&gt;=4),SUM($EA917:$EE917)&gt;=2),"Whole sector","")</f>
        <v/>
      </c>
      <c r="EL917" t="str">
        <f>IF(AND(AND(OR($DX917=1,$DW917=1),AND($EC917=0,$EA917=0)),SUM($DV917:$DZ917,$EF917)&gt;=4),"Ecosystem approach","")</f>
        <v>Ecosystem approach</v>
      </c>
      <c r="EM917" s="2" t="str">
        <f>IF(AND(AND(AND($DX917=0,$DW917=0),OR($EC917=1,$EA917=1)),SUM($EB917:$EE917)&gt;=2),"Technology approach","")</f>
        <v/>
      </c>
      <c r="EP917" t="str">
        <f>IF(ISNUMBER(BU917),IF(ABS(BU917-[3]QC_indicators!$B$2)&gt;3*[3]QC_indicators!$C$2,"C ratio",IF(ISNUMBER(BY917),IF(ABS(BY917-[3]QC_indicators!$B$1)&gt;3*[3]QC_indicators!$C$1,"DF","no"))),IF(ISNUMBER(BY917),IF(ABS(BY917-[3]QC_indicators!$B$1)&gt;3*[3]QC_indicators!$C$1,"DF","no")))</f>
        <v>no</v>
      </c>
      <c r="ET917" s="264" t="s">
        <v>3407</v>
      </c>
    </row>
    <row r="918" spans="1:150" ht="15" customHeight="1">
      <c r="A918" s="1" t="s">
        <v>1400</v>
      </c>
      <c r="B918" t="s">
        <v>1401</v>
      </c>
      <c r="C918" t="s">
        <v>1402</v>
      </c>
      <c r="D918" t="s">
        <v>1403</v>
      </c>
      <c r="E918" t="s">
        <v>1404</v>
      </c>
      <c r="F918" t="s">
        <v>1405</v>
      </c>
      <c r="G918" t="s">
        <v>1406</v>
      </c>
      <c r="H918" t="s">
        <v>254</v>
      </c>
      <c r="I918">
        <v>2021</v>
      </c>
      <c r="J918">
        <v>0</v>
      </c>
      <c r="K918" t="s">
        <v>1407</v>
      </c>
      <c r="M918" t="str">
        <f>LEFT($D918,FIND(",",$D918)-1)&amp;"_"&amp;I918&amp;L918</f>
        <v>Dugan_2021</v>
      </c>
      <c r="N918" t="s">
        <v>222</v>
      </c>
      <c r="O918" s="145" t="s">
        <v>274</v>
      </c>
      <c r="Q918" t="s">
        <v>256</v>
      </c>
      <c r="R918" s="255" t="s">
        <v>225</v>
      </c>
      <c r="S918" s="1" t="s">
        <v>1408</v>
      </c>
      <c r="T918" t="s">
        <v>1111</v>
      </c>
      <c r="U918" t="s">
        <v>1409</v>
      </c>
      <c r="V918">
        <v>0</v>
      </c>
      <c r="W918">
        <v>0</v>
      </c>
      <c r="X918">
        <v>2</v>
      </c>
      <c r="Y918">
        <v>1</v>
      </c>
      <c r="Z918">
        <v>2</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s="141">
        <f>COUNTIF(V918:AW918,"&lt;&gt;0")</f>
        <v>3</v>
      </c>
      <c r="AY918" s="141">
        <f>COUNTIF(V918:AL918,"&lt;&gt;0")</f>
        <v>3</v>
      </c>
      <c r="AZ918">
        <f>COUNTIF(V918:AC918,"&lt;&gt;0")</f>
        <v>3</v>
      </c>
      <c r="BA918">
        <f>COUNTIF(AD918:AI918,"&lt;&gt;0")</f>
        <v>0</v>
      </c>
      <c r="BB918">
        <f>COUNTIF(AJ918:AL918,"&lt;&gt;0")</f>
        <v>0</v>
      </c>
      <c r="BC918">
        <f>COUNTIF(AS918:AW918,"&lt;&gt;0")</f>
        <v>0</v>
      </c>
      <c r="BD918">
        <f>COUNTIF(AM918:AR918,"&lt;&gt;0")</f>
        <v>0</v>
      </c>
      <c r="BE918" t="str">
        <f t="array" ref="BE918">IF(AY918=1,INDEX($V$7:$AL$7,MATCH(TRUE,INDEX($V918:$AW918&lt;&gt;0,),0)),IF(AY918=0,INDEX($AM$7:$AW$7,MATCH(1,$AM918:$AW918,0)),IF(BF918="Multiple strategies","mixed drivers",IF(BF918="Supply chain","multiple supply","multiple silviculture"))))</f>
        <v>multiple silviculture</v>
      </c>
      <c r="BF918" s="2" t="str" cm="1">
        <f t="array" ref="BF918">IF(COUNTIF(AZ918:BB918,"&lt;&gt;0")=1,INDEX($V$4:$AW$4,MATCH(TRUE,INDEX($V918:$AW918&lt;&gt;0,),0)),IF(COUNTIF(AZ918:BB918,"&lt;&gt;0")=0,INDEX($AM$4:$AW$4,MATCH(1,$AM918:$AW918,0)),"Multiple strategies"))</f>
        <v>Silviculture for removals</v>
      </c>
      <c r="BG918" s="1" t="s">
        <v>321</v>
      </c>
      <c r="BH918" t="s">
        <v>1410</v>
      </c>
      <c r="BI918" s="260" t="s">
        <v>3318</v>
      </c>
      <c r="BJ918" t="s">
        <v>1359</v>
      </c>
      <c r="BK918" s="264">
        <v>14.61</v>
      </c>
      <c r="BL918">
        <f>BK918*1.1</f>
        <v>16.071000000000002</v>
      </c>
      <c r="BN918" s="227">
        <f>BL918-BK918</f>
        <v>1.4610000000000021</v>
      </c>
      <c r="BO918">
        <f>BN918*10^6*tC_to_m3</f>
        <v>6343899.2618324021</v>
      </c>
      <c r="BP918" t="s">
        <v>232</v>
      </c>
      <c r="BQ918" s="300" t="s">
        <v>3320</v>
      </c>
      <c r="BR918" t="s">
        <v>1300</v>
      </c>
      <c r="BS918" s="152"/>
      <c r="BT918" s="152"/>
      <c r="BU918" s="144"/>
      <c r="BV918" s="284">
        <v>8.3661190387317106</v>
      </c>
      <c r="BX918">
        <f>BV918*10^6</f>
        <v>8366119.038731711</v>
      </c>
      <c r="BY918">
        <f>IFERROR(BX918/BO918,"")</f>
        <v>1.3187660606570226</v>
      </c>
      <c r="BZ918">
        <v>0</v>
      </c>
      <c r="CA918">
        <v>0</v>
      </c>
      <c r="CB918">
        <v>0</v>
      </c>
      <c r="CC918">
        <v>0</v>
      </c>
      <c r="CD918">
        <v>0</v>
      </c>
      <c r="CE918">
        <v>0</v>
      </c>
      <c r="CF918">
        <v>0</v>
      </c>
      <c r="CG918">
        <v>0</v>
      </c>
      <c r="CH918">
        <v>0</v>
      </c>
      <c r="CI918">
        <v>0</v>
      </c>
      <c r="CJ918">
        <v>0</v>
      </c>
      <c r="CK918">
        <v>0</v>
      </c>
      <c r="CL918">
        <v>0</v>
      </c>
      <c r="CM918">
        <v>0</v>
      </c>
      <c r="CN918" t="str">
        <f>IF(BL918&lt;BK918,"refNeedCorrection","refOK")</f>
        <v>refOK</v>
      </c>
      <c r="CO918"/>
      <c r="CP918"/>
      <c r="CQ918">
        <f>IF($CN918="refNeedCorrection",-BO918,BO918)</f>
        <v>6343899.2618324021</v>
      </c>
      <c r="CR918">
        <f>IF($CN918="refOK",$BS918,$BT918)*IF($BP918="Emissions positive",-1,1)</f>
        <v>0</v>
      </c>
      <c r="CS918">
        <f>IF($CN918="refOK",$BT918,$BS918)*IF($BP918="Emissions positive",-1,1)</f>
        <v>0</v>
      </c>
      <c r="CT918">
        <f>IF($CN918="refNeedCorrection",-BX918,BX918)*IF($BP918="Emissions positive",-1,1)</f>
        <v>8366119.038731711</v>
      </c>
      <c r="CU918">
        <f>IFERROR(CT918/CQ918,"")</f>
        <v>1.3187660606570226</v>
      </c>
      <c r="CV918" s="2" t="str">
        <f>IFERROR((CS918-CR918)/ABS(CR918),"")</f>
        <v/>
      </c>
      <c r="CW918" s="1" t="s">
        <v>1199</v>
      </c>
      <c r="CX918" t="str">
        <f>IF(OR($CW918="prd",$CW918="std",$CW918="cit"),"loc",IF(OR($CW918="eur",$CW918="reg",$CW918="coy"),"reg",$CW918))</f>
        <v>reg</v>
      </c>
      <c r="CY918" t="s">
        <v>428</v>
      </c>
      <c r="CZ918">
        <v>2020</v>
      </c>
      <c r="DA918">
        <v>2050</v>
      </c>
      <c r="DB918">
        <v>30</v>
      </c>
      <c r="DC918" t="str">
        <f>IF(DB918=0,"0",IF(AND(DB918&gt;=1,DB918&lt;=30),"1-30",IF(AND(DB918&gt;30,DB918&lt;=70),"31-70",IF(AND(DB918&gt;70,DB918&lt;=100),"71-100",IF(DB918&gt;100,"+100")))))</f>
        <v>1-30</v>
      </c>
      <c r="DD918">
        <v>0</v>
      </c>
      <c r="DE918">
        <v>1</v>
      </c>
      <c r="DF918">
        <v>1</v>
      </c>
      <c r="DG918">
        <v>1</v>
      </c>
      <c r="DI918">
        <f>SUM(DD918:DG918)</f>
        <v>3</v>
      </c>
      <c r="DJ918" t="str">
        <f>IF(DI918=1,INDEX($DD$7:$DG$7,MATCH(1,$DD918:$DG918,0)),"mixedProduct")</f>
        <v>mixedProduct</v>
      </c>
      <c r="DK918">
        <f>IF(DD918=1,DK$7,0)</f>
        <v>0</v>
      </c>
      <c r="DL918" t="str">
        <f>IF(DE918=1,DL$7,0)</f>
        <v>Energy</v>
      </c>
      <c r="DM918" t="str">
        <f>IF(DF918=1,DM$7,0)</f>
        <v>Pulp/Paper</v>
      </c>
      <c r="DN918" t="str">
        <f>IF(DG918=1,DN$7,0)</f>
        <v>Timber</v>
      </c>
      <c r="DO918">
        <v>0</v>
      </c>
      <c r="DP918">
        <v>1</v>
      </c>
      <c r="DQ918" t="s">
        <v>1411</v>
      </c>
      <c r="DR918" t="s">
        <v>1412</v>
      </c>
      <c r="DS918">
        <v>0</v>
      </c>
      <c r="DT918">
        <f>SUM(DO918:DP918)</f>
        <v>1</v>
      </c>
      <c r="DU918" s="143" t="str">
        <f>IF(DO918=1,"self-calculated DF",IF(DP918=1,"external DF used","explicit C balance"))</f>
        <v>external DF used</v>
      </c>
      <c r="DV918">
        <v>1</v>
      </c>
      <c r="DW918">
        <v>1</v>
      </c>
      <c r="DX918">
        <v>1</v>
      </c>
      <c r="DY918">
        <v>1</v>
      </c>
      <c r="DZ918">
        <v>0</v>
      </c>
      <c r="EA918" s="143">
        <v>1</v>
      </c>
      <c r="EB918">
        <v>0</v>
      </c>
      <c r="EC918">
        <v>1</v>
      </c>
      <c r="ED918">
        <v>0</v>
      </c>
      <c r="EE918">
        <v>0</v>
      </c>
      <c r="EF918">
        <v>1</v>
      </c>
      <c r="EG918" s="143">
        <v>0</v>
      </c>
      <c r="EH918" s="143">
        <v>0</v>
      </c>
      <c r="EI918" s="2">
        <v>0</v>
      </c>
      <c r="EK918" t="str">
        <f>IF(AND(AND(AND(OR($DX918=1,$DW918=1),OR($EC918=1,$EA918=1)),SUM($DV918:$DZ918,$EF918)&gt;=4),SUM($EA918:$EE918)&gt;=2),"Whole sector","")</f>
        <v>Whole sector</v>
      </c>
      <c r="EL918" t="str">
        <f>IF(AND(AND(OR($DX918=1,$DW918=1),AND($EC918=0,$EA918=0)),SUM($DV918:$DZ918,$EF918)&gt;=4),"Ecosystem approach","")</f>
        <v/>
      </c>
      <c r="EM918" s="2" t="str">
        <f>IF(AND(AND(AND($DX918=0,$DW918=0),OR($EC918=1,$EA918=1)),SUM($EB918:$EE918)&gt;=2),"Technology approach","")</f>
        <v/>
      </c>
      <c r="EP918" t="str">
        <f>IF(ISNUMBER(BU918),IF(ABS(BU918-[4]QC_indicators!$B$2)&gt;3*[4]QC_indicators!$C$2,"C ratio",IF(ISNUMBER(BY918),IF(ABS(BY918-[4]QC_indicators!$B$1)&gt;3*[4]QC_indicators!$C$1,"DF","no"))),IF(ISNUMBER(BY918),IF(ABS(BY918-[4]QC_indicators!$B$1)&gt;3*[4]QC_indicators!$C$1,"DF","no")))</f>
        <v>no</v>
      </c>
      <c r="EQ918" t="s">
        <v>286</v>
      </c>
      <c r="ER918" s="149" t="s">
        <v>349</v>
      </c>
      <c r="ET918" s="264" t="s">
        <v>3273</v>
      </c>
    </row>
    <row r="919" spans="1:150" ht="15" customHeight="1">
      <c r="D919" t="s">
        <v>1661</v>
      </c>
      <c r="E919" t="s">
        <v>1662</v>
      </c>
      <c r="G919" t="s">
        <v>1663</v>
      </c>
      <c r="I919">
        <v>2007</v>
      </c>
      <c r="K919" t="s">
        <v>1664</v>
      </c>
      <c r="M919" t="str">
        <f>LEFT($D919,FIND(",",$D919)-1)&amp;"_"&amp;I919&amp;L919</f>
        <v>Gustavsson_2007</v>
      </c>
      <c r="N919" t="s">
        <v>222</v>
      </c>
      <c r="O919" t="s">
        <v>223</v>
      </c>
      <c r="Q919" t="s">
        <v>256</v>
      </c>
      <c r="R919" s="269" t="s">
        <v>274</v>
      </c>
      <c r="S919" s="1" t="s">
        <v>1665</v>
      </c>
      <c r="T919" t="s">
        <v>1690</v>
      </c>
      <c r="U919" s="143" t="s">
        <v>1683</v>
      </c>
      <c r="V919">
        <v>0</v>
      </c>
      <c r="W919">
        <v>0</v>
      </c>
      <c r="X919">
        <v>0</v>
      </c>
      <c r="Y919">
        <v>0</v>
      </c>
      <c r="Z919">
        <v>0</v>
      </c>
      <c r="AA919">
        <v>0</v>
      </c>
      <c r="AB919">
        <v>0</v>
      </c>
      <c r="AC919">
        <v>0</v>
      </c>
      <c r="AD919">
        <v>0</v>
      </c>
      <c r="AE919">
        <v>0</v>
      </c>
      <c r="AF919">
        <v>0</v>
      </c>
      <c r="AG919">
        <v>0</v>
      </c>
      <c r="AH919">
        <v>0</v>
      </c>
      <c r="AI919">
        <v>0</v>
      </c>
      <c r="AJ919">
        <v>0</v>
      </c>
      <c r="AK919">
        <v>1</v>
      </c>
      <c r="AL919">
        <v>0</v>
      </c>
      <c r="AM919">
        <v>0</v>
      </c>
      <c r="AN919">
        <v>0</v>
      </c>
      <c r="AO919">
        <v>0</v>
      </c>
      <c r="AP919">
        <v>0</v>
      </c>
      <c r="AQ919">
        <v>0</v>
      </c>
      <c r="AR919">
        <v>0</v>
      </c>
      <c r="AS919">
        <v>0</v>
      </c>
      <c r="AT919">
        <v>0</v>
      </c>
      <c r="AU919">
        <v>0</v>
      </c>
      <c r="AV919">
        <v>0</v>
      </c>
      <c r="AW919">
        <v>0</v>
      </c>
      <c r="AX919" s="141">
        <f>COUNTIF(V919:AW919,"&lt;&gt;0")</f>
        <v>1</v>
      </c>
      <c r="AY919" s="141">
        <f>COUNTIF(V919:AL919,"&lt;&gt;0")</f>
        <v>1</v>
      </c>
      <c r="AZ919">
        <f>COUNTIF(V919:AC919,"&lt;&gt;0")</f>
        <v>0</v>
      </c>
      <c r="BA919">
        <f>COUNTIF(AD919:AI919,"&lt;&gt;0")</f>
        <v>0</v>
      </c>
      <c r="BB919">
        <f>COUNTIF(AJ919:AL919,"&lt;&gt;0")</f>
        <v>1</v>
      </c>
      <c r="BC919">
        <f>COUNTIF(AS919:AW919,"&lt;&gt;0")</f>
        <v>0</v>
      </c>
      <c r="BD919">
        <f>COUNTIF(AM919:AR919,"&lt;&gt;0")</f>
        <v>0</v>
      </c>
      <c r="BE919" t="str">
        <f t="array" ref="BE919">IF(AY919=1,INDEX($V$7:$AL$7,MATCH(TRUE,INDEX($V919:$AW919&lt;&gt;0,),0)),IF(AY919=0,INDEX($AM$7:$AW$7,MATCH(1,$AM919:$AW919,0)),IF(BF919="Multiple strategies","mixed drivers",IF(BF919="Supply chain","multiple supply","multiple silviculture"))))</f>
        <v>technologies/design switch</v>
      </c>
      <c r="BF919" s="2" t="str" cm="1">
        <f t="array" ref="BF919">IF(COUNTIF(AZ919:BB919,"&lt;&gt;0")=1,INDEX($V$4:$AW$4,MATCH(TRUE,INDEX($V919:$AW919&lt;&gt;0,),0)),IF(COUNTIF(AZ919:BB919,"&lt;&gt;0")=0,INDEX($AM$4:$AW$4,MATCH(1,$AM919:$AW919,0)),"Multiple strategies"))</f>
        <v>Technology</v>
      </c>
      <c r="BG919" s="142" t="s">
        <v>229</v>
      </c>
      <c r="BH919" t="s">
        <v>1667</v>
      </c>
      <c r="BI919" s="264" t="s">
        <v>1057</v>
      </c>
      <c r="BJ919" s="143" t="s">
        <v>3265</v>
      </c>
      <c r="BK919">
        <v>0</v>
      </c>
      <c r="BL919" s="143">
        <v>16.899999999999999</v>
      </c>
      <c r="BM919" s="143"/>
      <c r="BN919">
        <f>BL919-BK919</f>
        <v>16.899999999999999</v>
      </c>
      <c r="BO919" s="143">
        <f>1000*BL919/15.3/400</f>
        <v>2.7614379084967315</v>
      </c>
      <c r="BP919" t="s">
        <v>232</v>
      </c>
      <c r="BQ919" s="234"/>
      <c r="BR919" t="s">
        <v>938</v>
      </c>
      <c r="BS919" s="143">
        <v>-1</v>
      </c>
      <c r="BT919" s="151">
        <v>0</v>
      </c>
      <c r="BU919">
        <v>0</v>
      </c>
      <c r="BV919">
        <v>1</v>
      </c>
      <c r="BX919">
        <f>BV919*C_to_CO2</f>
        <v>3.67</v>
      </c>
      <c r="BY919">
        <f>IFERROR(BX919/BO919,"")</f>
        <v>1.3290177514792902</v>
      </c>
      <c r="BZ919" s="143">
        <v>0</v>
      </c>
      <c r="CA919" s="143">
        <v>0</v>
      </c>
      <c r="CB919" s="143">
        <v>0</v>
      </c>
      <c r="CC919" s="143">
        <v>0</v>
      </c>
      <c r="CD919" s="143">
        <v>0</v>
      </c>
      <c r="CE919" s="143">
        <v>0</v>
      </c>
      <c r="CF919" s="143">
        <v>0</v>
      </c>
      <c r="CG919" s="143">
        <v>0</v>
      </c>
      <c r="CH919" s="143">
        <v>0</v>
      </c>
      <c r="CI919" s="143">
        <v>0</v>
      </c>
      <c r="CJ919" s="143">
        <v>0</v>
      </c>
      <c r="CK919" s="143">
        <v>0</v>
      </c>
      <c r="CL919" s="143">
        <v>0</v>
      </c>
      <c r="CM919">
        <v>1</v>
      </c>
      <c r="CN919" t="str">
        <f>IF($BL919&lt;$BK919,"refNeedCorrection","refOK")</f>
        <v>refOK</v>
      </c>
      <c r="CO919">
        <f>IF($CN919="refOK",$BK919,$BL919)</f>
        <v>0</v>
      </c>
      <c r="CP919">
        <f>IF($CN919="refOK",$BL919,$BK919)</f>
        <v>16.899999999999999</v>
      </c>
      <c r="CQ919">
        <f>IF($CN919="refOK",$BO919,-$BO919)</f>
        <v>2.7614379084967315</v>
      </c>
      <c r="CR919">
        <f>IF($CN919="refOK",$BS919,$BT919)*IF($BP919="Emissions positive",-1,1)</f>
        <v>-1</v>
      </c>
      <c r="CS919">
        <f>IF($CN919="refOK",$BT919,$BS919)*IF($BP919="Emissions positive",-1,1)</f>
        <v>0</v>
      </c>
      <c r="CT919">
        <f>IF($CN919="refNeedCorrection",-BX919,BX919)*IF($BP919="Emissions positive",-1,1)</f>
        <v>3.67</v>
      </c>
      <c r="CU919">
        <f>IFERROR(CT919/CQ919,"")</f>
        <v>1.3290177514792902</v>
      </c>
      <c r="CV919" s="2">
        <f>IFERROR((CS919-CR919)/ABS(CR919),"")</f>
        <v>1</v>
      </c>
      <c r="CW919" s="1" t="s">
        <v>1203</v>
      </c>
      <c r="CX919" t="str">
        <f>IF(OR($CW919="prd",$CW919="std",$CW919="cit"),"loc",IF(OR($CW919="eur",$CW919="reg",$CW919="coy"),"reg",$CW919))</f>
        <v>reg</v>
      </c>
      <c r="CY919" t="s">
        <v>444</v>
      </c>
      <c r="DA919" s="143"/>
      <c r="DB919" s="143">
        <v>0</v>
      </c>
      <c r="DC919" t="str">
        <f>IF(DB919=0,"0",IF(AND(DB919&gt;=1,DB919&lt;=30),"1-30",IF(AND(DB919&gt;30,DB919&lt;=70),"31-70",IF(AND(DB919&gt;70,DB919&lt;=100),"71-100",IF(DB919&gt;100,"+100")))))</f>
        <v>0</v>
      </c>
      <c r="DD919">
        <v>0</v>
      </c>
      <c r="DE919">
        <v>1</v>
      </c>
      <c r="DF919">
        <v>0</v>
      </c>
      <c r="DG919">
        <v>0</v>
      </c>
      <c r="DI919">
        <f>SUM(DD919:DG919)</f>
        <v>1</v>
      </c>
      <c r="DJ919" t="str">
        <f>IF(DI919=1,INDEX($DD$7:$DG$7,MATCH(1,$DD919:$DG919,0)),"mixedProduct")</f>
        <v>EnergyInput</v>
      </c>
      <c r="DK919">
        <f>IF(DD919=1,DK$7,0)</f>
        <v>0</v>
      </c>
      <c r="DL919" t="str">
        <f>IF(DE919=1,DL$7,0)</f>
        <v>Energy</v>
      </c>
      <c r="DM919">
        <f>IF(DF919=1,DM$7,0)</f>
        <v>0</v>
      </c>
      <c r="DN919">
        <f>IF(DG919=1,DN$7,0)</f>
        <v>0</v>
      </c>
      <c r="DO919">
        <v>0</v>
      </c>
      <c r="DP919" s="143">
        <v>0</v>
      </c>
      <c r="DQ919" s="143">
        <v>0</v>
      </c>
      <c r="DR919">
        <v>0</v>
      </c>
      <c r="DS919" s="143">
        <v>0</v>
      </c>
      <c r="DT919">
        <f>SUM(DO919:DP919)</f>
        <v>0</v>
      </c>
      <c r="DU919" s="143" t="str">
        <f>IF(DO919=1,"self-calculated DF",IF(DP919=1,"external DF used","explicit C balance"))</f>
        <v>explicit C balance</v>
      </c>
      <c r="DV919" s="143">
        <v>0</v>
      </c>
      <c r="DW919" s="143">
        <v>0</v>
      </c>
      <c r="DX919" s="143">
        <v>0</v>
      </c>
      <c r="DY919" s="143">
        <v>0</v>
      </c>
      <c r="DZ919">
        <v>0</v>
      </c>
      <c r="EA919" s="143">
        <v>0</v>
      </c>
      <c r="EB919" s="143">
        <v>0</v>
      </c>
      <c r="EC919" s="143">
        <v>1</v>
      </c>
      <c r="ED919" s="143">
        <v>0</v>
      </c>
      <c r="EE919">
        <v>0</v>
      </c>
      <c r="EF919">
        <v>0</v>
      </c>
      <c r="EG919" s="143">
        <v>0</v>
      </c>
      <c r="EH919" s="143">
        <v>0</v>
      </c>
      <c r="EI919" s="2">
        <v>0</v>
      </c>
      <c r="EK919" t="str">
        <f>IF(AND(AND(AND(OR($DX919=1,$DW919=1),OR($EC919=1,$EA919=1)),SUM($DV919:$DZ919,$EF919)&gt;=4),SUM($EA919:$EE919)&gt;=2),"Whole sector","")</f>
        <v/>
      </c>
      <c r="EL919" t="str">
        <f>IF(AND(AND(OR($DX919=1,$DW919=1),AND($EC919=0,$EA919=0)),SUM($DV919:$DZ919,$EF919)&gt;=4),"Ecosystem approach","")</f>
        <v/>
      </c>
      <c r="EM919" s="2" t="str">
        <f>IF(AND(AND(AND($DX919=0,$DW919=0),OR($EC919=1,$EA919=1)),SUM($EB919:$EE919)&gt;=2),"Technology approach","")</f>
        <v/>
      </c>
      <c r="EP919" t="str">
        <f>IF(ISNUMBER(BU919),IF(ABS(BU919-[2]QC_indicators!$B$2)&gt;3*[2]QC_indicators!$C$2,"C ratio",IF(ISNUMBER(BY919),IF(ABS(BY919-[2]QC_indicators!$B$1)&gt;3*[2]QC_indicators!$C$1,"DF","no"))),IF(ISNUMBER(BY919),IF(ABS(BY919-[2]QC_indicators!$B$1)&gt;3*[2]QC_indicators!$C$1,"DF","no")))</f>
        <v>no</v>
      </c>
      <c r="ER919" s="149" t="s">
        <v>349</v>
      </c>
      <c r="ET919" s="264" t="s">
        <v>3266</v>
      </c>
    </row>
    <row r="920" spans="1:150" ht="15" customHeight="1">
      <c r="A920" s="1" t="s">
        <v>1102</v>
      </c>
      <c r="B920" t="s">
        <v>2381</v>
      </c>
      <c r="C920" t="s">
        <v>2382</v>
      </c>
      <c r="D920" t="s">
        <v>2383</v>
      </c>
      <c r="E920" t="s">
        <v>2384</v>
      </c>
      <c r="F920" t="s">
        <v>2385</v>
      </c>
      <c r="G920" t="s">
        <v>1108</v>
      </c>
      <c r="H920" t="s">
        <v>254</v>
      </c>
      <c r="I920">
        <v>2016</v>
      </c>
      <c r="J920">
        <v>13</v>
      </c>
      <c r="K920" t="s">
        <v>2386</v>
      </c>
      <c r="M920" t="str">
        <f>LEFT($D920,FIND(",",$D920)-1)&amp;"_"&amp;I920&amp;L920</f>
        <v>Torssonen_2016</v>
      </c>
      <c r="N920" t="s">
        <v>222</v>
      </c>
      <c r="O920" s="145" t="s">
        <v>1154</v>
      </c>
      <c r="Q920" s="264" t="s">
        <v>256</v>
      </c>
      <c r="R920" s="269" t="s">
        <v>341</v>
      </c>
      <c r="S920" s="1" t="s">
        <v>2387</v>
      </c>
      <c r="T920" t="s">
        <v>2395</v>
      </c>
      <c r="U920" s="264" t="s">
        <v>2417</v>
      </c>
      <c r="V920">
        <v>0</v>
      </c>
      <c r="W920">
        <v>0</v>
      </c>
      <c r="X920">
        <v>0</v>
      </c>
      <c r="Y920">
        <v>0</v>
      </c>
      <c r="Z920">
        <v>0</v>
      </c>
      <c r="AA920">
        <v>0</v>
      </c>
      <c r="AB920">
        <v>1</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s="141">
        <f>COUNTIF(V920:AW920,"&lt;&gt;0")</f>
        <v>1</v>
      </c>
      <c r="AY920" s="141">
        <f>COUNTIF(V920:AL920,"&lt;&gt;0")</f>
        <v>1</v>
      </c>
      <c r="AZ920">
        <f>COUNTIF(V920:AC920,"&lt;&gt;0")</f>
        <v>1</v>
      </c>
      <c r="BA920">
        <f>COUNTIF(AD920:AI920,"&lt;&gt;0")</f>
        <v>0</v>
      </c>
      <c r="BB920">
        <f>COUNTIF(AJ920:AL920,"&lt;&gt;0")</f>
        <v>0</v>
      </c>
      <c r="BC920">
        <f>COUNTIF(AS920:AW920,"&lt;&gt;0")</f>
        <v>0</v>
      </c>
      <c r="BD920">
        <f>COUNTIF(AM920:AR920,"&lt;&gt;0")</f>
        <v>0</v>
      </c>
      <c r="BE920" t="str" cm="1">
        <f t="array" ref="BE920">IF(AY920=1,INDEX($V$7:$AL$7,MATCH(TRUE,INDEX($V920:$AW920&lt;&gt;0,),0)),IF(AY920=0,INDEX($AM$7:$AW$7,MATCH(1,$AM920:$AW920,0)),IF(BF920="Multiple strategies","mixed drivers",IF(BF920="Supply chain","multiple supply","multiple silviculture"))))</f>
        <v>fertilisation</v>
      </c>
      <c r="BF920" s="2" t="str" cm="1">
        <f t="array" ref="BF920">IF(COUNTIF(AZ920:BB920,"&lt;&gt;0")=1,INDEX($V$4:$AW$4,MATCH(TRUE,INDEX($V920:$AW920&lt;&gt;0,),0)),IF(COUNTIF(AZ920:BB920,"&lt;&gt;0")=0,INDEX($AM$4:$AW$4,MATCH(1,$AM920:$AW920,0)),"Multiple strategies"))</f>
        <v>Silviculture for productivity</v>
      </c>
      <c r="BG920" s="1" t="s">
        <v>229</v>
      </c>
      <c r="BH920" s="306" t="s">
        <v>2144</v>
      </c>
      <c r="BI920" s="264" t="s">
        <v>2391</v>
      </c>
      <c r="BJ920" s="306" t="s">
        <v>1058</v>
      </c>
      <c r="BK920">
        <v>7.9367346699999999</v>
      </c>
      <c r="BL920">
        <v>8.0775509959999994</v>
      </c>
      <c r="BM920" s="143">
        <f>BL920/BK920</f>
        <v>1.0177423502050875</v>
      </c>
      <c r="BN920">
        <f>BL920-BK920</f>
        <v>0.14081632599999949</v>
      </c>
      <c r="BO920">
        <f>BN920</f>
        <v>0.14081632599999949</v>
      </c>
      <c r="BP920" s="306" t="s">
        <v>395</v>
      </c>
      <c r="BQ920" s="303" t="s">
        <v>3421</v>
      </c>
      <c r="BR920" s="264" t="s">
        <v>2393</v>
      </c>
      <c r="BS920">
        <v>-402.90909090909099</v>
      </c>
      <c r="BT920">
        <v>-421.81818181818102</v>
      </c>
      <c r="BU920" s="144"/>
      <c r="BV920" s="144">
        <f>BT920-BS920</f>
        <v>-18.909090909090025</v>
      </c>
      <c r="BW920" s="144"/>
      <c r="BX920" s="144">
        <f>BV920*10^4/10^6</f>
        <v>-0.18909090909090023</v>
      </c>
      <c r="BY920">
        <f>IFERROR(BX920/BO920,"")</f>
        <v>-1.34281950440108</v>
      </c>
      <c r="BZ920">
        <v>0</v>
      </c>
      <c r="CA920">
        <v>0</v>
      </c>
      <c r="CB920">
        <v>0</v>
      </c>
      <c r="CC920">
        <v>0</v>
      </c>
      <c r="CD920">
        <v>0</v>
      </c>
      <c r="CE920">
        <v>0</v>
      </c>
      <c r="CF920">
        <v>0</v>
      </c>
      <c r="CG920">
        <v>0</v>
      </c>
      <c r="CH920">
        <v>0</v>
      </c>
      <c r="CI920">
        <v>0</v>
      </c>
      <c r="CJ920">
        <v>0</v>
      </c>
      <c r="CK920">
        <v>0</v>
      </c>
      <c r="CL920">
        <v>0</v>
      </c>
      <c r="CM920">
        <v>1</v>
      </c>
      <c r="CN920" t="str">
        <f>IF($BL920&lt;$BK920,"refNeedCorrection","refOK")</f>
        <v>refOK</v>
      </c>
      <c r="CO920">
        <f>IF($CN920="refOK",$BK920,$BL920)</f>
        <v>7.9367346699999999</v>
      </c>
      <c r="CP920">
        <f>IF($CN920="refOK",$BL920,$BK920)</f>
        <v>8.0775509959999994</v>
      </c>
      <c r="CQ920">
        <f>IF($CN920="refOK",$BO920,-$BO920)</f>
        <v>0.14081632599999949</v>
      </c>
      <c r="CR920">
        <f>IF($CN920="refOK",$BS920,$BT920)*IF($BP920="Emissions positive",-1,1)</f>
        <v>402.90909090909099</v>
      </c>
      <c r="CS920">
        <f>IF($CN920="refOK",$BT920,$BS920)*IF($BP920="Emissions positive",-1,1)</f>
        <v>421.81818181818102</v>
      </c>
      <c r="CT920">
        <f>IF($CN920="refNeedCorrection",-BX920,BX920)*IF($BP920="Emissions positive",-1,1)</f>
        <v>0.18909090909090023</v>
      </c>
      <c r="CU920">
        <f>IFERROR(CT920/CQ920,"")</f>
        <v>1.34281950440108</v>
      </c>
      <c r="CV920" s="2">
        <f>IFERROR((CS920-CR920)/ABS(CR920),"")</f>
        <v>4.6931407942236061E-2</v>
      </c>
      <c r="CW920" s="1" t="s">
        <v>1199</v>
      </c>
      <c r="CX920" s="264" t="str">
        <f>IF(OR($CW920="prd",$CW920="std",$CW920="cit"),"loc",IF(OR($CW920="eur",$CW920="reg",$CW920="coy"),"reg",$CW920))</f>
        <v>reg</v>
      </c>
      <c r="CY920" t="s">
        <v>235</v>
      </c>
      <c r="CZ920">
        <v>2020</v>
      </c>
      <c r="DA920">
        <v>2100</v>
      </c>
      <c r="DB920">
        <f>DA920-CZ920</f>
        <v>80</v>
      </c>
      <c r="DC920" t="str">
        <f>IF(DB920=0,"0",IF(AND(DB920&gt;=1,DB920&lt;=30),"1-30",IF(AND(DB920&gt;30,DB920&lt;=70),"31-70",IF(AND(DB920&gt;70,DB920&lt;=100),"71-100",IF(DB920&gt;100,"+100")))))</f>
        <v>71-100</v>
      </c>
      <c r="DD920">
        <v>0</v>
      </c>
      <c r="DE920">
        <v>1</v>
      </c>
      <c r="DF920">
        <v>0</v>
      </c>
      <c r="DG920">
        <v>1</v>
      </c>
      <c r="DI920">
        <f>SUM(DD920:DG920)</f>
        <v>2</v>
      </c>
      <c r="DJ920" t="str">
        <f>IF(DI920=1,INDEX($DD$7:$DG$7,MATCH(1,$DD920:$DG920,0)),"mixedProduct")</f>
        <v>mixedProduct</v>
      </c>
      <c r="DK920">
        <f>IF(DD920=1,DK$7,0)</f>
        <v>0</v>
      </c>
      <c r="DL920" t="str">
        <f>IF(DE920=1,DL$7,0)</f>
        <v>Energy</v>
      </c>
      <c r="DM920">
        <f>IF(DF920=1,DM$7,0)</f>
        <v>0</v>
      </c>
      <c r="DN920" t="str">
        <f>IF(DG920=1,DN$7,0)</f>
        <v>Timber</v>
      </c>
      <c r="DO920">
        <v>1</v>
      </c>
      <c r="DP920">
        <v>0</v>
      </c>
      <c r="DQ920">
        <v>0</v>
      </c>
      <c r="DR920">
        <v>0</v>
      </c>
      <c r="DS920">
        <v>0</v>
      </c>
      <c r="DT920">
        <f>SUM(DO920:DP920)</f>
        <v>1</v>
      </c>
      <c r="DU920" s="143" t="str">
        <f>IF(DO920=1,"self-calculated DF",IF(DP920=1,"external DF used","explicit C balance"))</f>
        <v>self-calculated DF</v>
      </c>
      <c r="DV920">
        <v>1</v>
      </c>
      <c r="DW920">
        <v>0</v>
      </c>
      <c r="DX920">
        <v>1</v>
      </c>
      <c r="DY920">
        <v>0</v>
      </c>
      <c r="DZ920">
        <v>0</v>
      </c>
      <c r="EA920" s="143">
        <v>0</v>
      </c>
      <c r="EB920">
        <v>0</v>
      </c>
      <c r="EC920">
        <v>0</v>
      </c>
      <c r="ED920">
        <v>0</v>
      </c>
      <c r="EE920">
        <v>0</v>
      </c>
      <c r="EF920">
        <v>1</v>
      </c>
      <c r="EG920">
        <v>0</v>
      </c>
      <c r="EH920">
        <v>0</v>
      </c>
      <c r="EI920" s="2">
        <v>0</v>
      </c>
      <c r="EK920" t="str">
        <f>IF(AND(AND(AND(OR($DX920=1,$DW920=1),OR($EC920=1,$EA920=1)),SUM($DV920:$DZ920,$EF920)&gt;=4),SUM($EA920:$EE920)&gt;=2),"Whole sector","")</f>
        <v/>
      </c>
      <c r="EL920" t="str">
        <f>IF(AND(AND(OR($DX920=1,$DW920=1),AND($EC920=0,$EA920=0)),SUM($DV920:$DZ920,$EF920)&gt;=4),"Ecosystem approach","")</f>
        <v/>
      </c>
      <c r="EM920" s="2" t="str">
        <f>IF(AND(AND(AND($DX920=0,$DW920=0),OR($EC920=1,$EA920=1)),SUM($EB920:$EE920)&gt;=2),"Technology approach","")</f>
        <v/>
      </c>
      <c r="EP920" t="str">
        <f>IF(ISNUMBER(BU920),IF(ABS(BU920-[3]QC_indicators!$B$2)&gt;3*[3]QC_indicators!$C$2,"C ratio",IF(ISNUMBER(BY920),IF(ABS(BY920-[3]QC_indicators!$B$1)&gt;3*[3]QC_indicators!$C$1,"DF","no"))),IF(ISNUMBER(BY920),IF(ABS(BY920-[3]QC_indicators!$B$1)&gt;3*[3]QC_indicators!$C$1,"DF","no")))</f>
        <v>no</v>
      </c>
      <c r="ER920" s="264" t="s">
        <v>2416</v>
      </c>
      <c r="ET920" s="306" t="s">
        <v>3422</v>
      </c>
    </row>
    <row r="921" spans="1:150" ht="15" customHeight="1">
      <c r="A921" s="1" t="s">
        <v>562</v>
      </c>
      <c r="B921" t="s">
        <v>544</v>
      </c>
      <c r="C921" t="s">
        <v>1593</v>
      </c>
      <c r="D921" t="s">
        <v>1594</v>
      </c>
      <c r="E921" t="s">
        <v>1595</v>
      </c>
      <c r="F921" t="s">
        <v>1596</v>
      </c>
      <c r="G921" t="s">
        <v>567</v>
      </c>
      <c r="H921" t="s">
        <v>254</v>
      </c>
      <c r="I921">
        <v>2019</v>
      </c>
      <c r="J921">
        <v>15</v>
      </c>
      <c r="K921" t="s">
        <v>1597</v>
      </c>
      <c r="M921" t="str">
        <f>LEFT($D921,FIND(",",$D921)-1)&amp;"_"&amp;I921&amp;L921</f>
        <v>Geng_2019</v>
      </c>
      <c r="N921" t="s">
        <v>222</v>
      </c>
      <c r="O921" s="181" t="s">
        <v>225</v>
      </c>
      <c r="Q921" s="264" t="s">
        <v>256</v>
      </c>
      <c r="R921" s="269" t="s">
        <v>1154</v>
      </c>
      <c r="S921" s="1" t="s">
        <v>1598</v>
      </c>
      <c r="T921" t="s">
        <v>1608</v>
      </c>
      <c r="V921">
        <v>0</v>
      </c>
      <c r="W921">
        <v>0</v>
      </c>
      <c r="X921">
        <v>0</v>
      </c>
      <c r="Y921">
        <v>0</v>
      </c>
      <c r="Z921">
        <v>0</v>
      </c>
      <c r="AA921">
        <v>0</v>
      </c>
      <c r="AB921">
        <v>0</v>
      </c>
      <c r="AC921">
        <v>0</v>
      </c>
      <c r="AD921">
        <v>0</v>
      </c>
      <c r="AE921">
        <v>0</v>
      </c>
      <c r="AF921">
        <v>0</v>
      </c>
      <c r="AG921">
        <v>0</v>
      </c>
      <c r="AH921">
        <v>0</v>
      </c>
      <c r="AI921">
        <v>0</v>
      </c>
      <c r="AJ921">
        <v>0</v>
      </c>
      <c r="AK921">
        <v>1</v>
      </c>
      <c r="AL921">
        <v>0</v>
      </c>
      <c r="AM921">
        <v>0</v>
      </c>
      <c r="AN921">
        <v>0</v>
      </c>
      <c r="AO921">
        <v>0</v>
      </c>
      <c r="AP921">
        <v>0</v>
      </c>
      <c r="AQ921">
        <v>0</v>
      </c>
      <c r="AR921">
        <v>0</v>
      </c>
      <c r="AS921">
        <v>0</v>
      </c>
      <c r="AT921">
        <v>0</v>
      </c>
      <c r="AU921">
        <v>0</v>
      </c>
      <c r="AV921">
        <v>0</v>
      </c>
      <c r="AW921">
        <v>0</v>
      </c>
      <c r="AX921" s="141">
        <f>COUNTIF(V921:AW921,"&lt;&gt;0")</f>
        <v>1</v>
      </c>
      <c r="AY921" s="141">
        <f>COUNTIF(V921:AL921,"&lt;&gt;0")</f>
        <v>1</v>
      </c>
      <c r="AZ921">
        <f>COUNTIF(V921:AC921,"&lt;&gt;0")</f>
        <v>0</v>
      </c>
      <c r="BA921">
        <f>COUNTIF(AD921:AI921,"&lt;&gt;0")</f>
        <v>0</v>
      </c>
      <c r="BB921">
        <f>COUNTIF(AJ921:AL921,"&lt;&gt;0")</f>
        <v>1</v>
      </c>
      <c r="BC921">
        <f>COUNTIF(AS921:AW921,"&lt;&gt;0")</f>
        <v>0</v>
      </c>
      <c r="BD921">
        <f>COUNTIF(AM921:AR921,"&lt;&gt;0")</f>
        <v>0</v>
      </c>
      <c r="BE921" t="str" cm="1">
        <f t="array" ref="BE921">IF(AY921=1,INDEX($V$7:$AL$7,MATCH(TRUE,INDEX($V921:$AW921&lt;&gt;0,),0)),IF(AY921=0,INDEX($AM$7:$AW$7,MATCH(1,$AM921:$AW921,0)),IF(BF921="Multiple strategies","mixed drivers",IF(BF921="Supply chain","multiple supply","multiple silviculture"))))</f>
        <v>technologies/design switch</v>
      </c>
      <c r="BF921" s="2" t="str" cm="1">
        <f t="array" ref="BF921">IF(COUNTIF(AZ921:BB921,"&lt;&gt;0")=1,INDEX($V$4:$AW$4,MATCH(TRUE,INDEX($V921:$AW921&lt;&gt;0,),0)),IF(COUNTIF(AZ921:BB921,"&lt;&gt;0")=0,INDEX($AM$4:$AW$4,MATCH(1,$AM921:$AW921,0)),"Multiple strategies"))</f>
        <v>Technology</v>
      </c>
      <c r="BG921" s="1" t="s">
        <v>229</v>
      </c>
      <c r="BH921" t="s">
        <v>1600</v>
      </c>
      <c r="BJ921" t="s">
        <v>261</v>
      </c>
      <c r="BK921">
        <v>24</v>
      </c>
      <c r="BL921">
        <v>85.25</v>
      </c>
      <c r="BM921">
        <f>BL921/BK921</f>
        <v>3.5520833333333335</v>
      </c>
      <c r="BN921">
        <f>BL921-BK921</f>
        <v>61.25</v>
      </c>
      <c r="BO921">
        <f>BN921*kg_to_m3</f>
        <v>0.125</v>
      </c>
      <c r="BP921" t="s">
        <v>232</v>
      </c>
      <c r="BQ921" s="234"/>
      <c r="BR921" t="s">
        <v>1609</v>
      </c>
      <c r="BU921" s="144" t="str">
        <f>IFERROR(BT921/BS921,"")</f>
        <v/>
      </c>
      <c r="BV921">
        <v>0.17</v>
      </c>
      <c r="BX921">
        <f>BV921</f>
        <v>0.17</v>
      </c>
      <c r="BY921">
        <f>IFERROR(BX921/BO921,"")</f>
        <v>1.36</v>
      </c>
      <c r="BZ921">
        <v>0</v>
      </c>
      <c r="CA921">
        <v>0</v>
      </c>
      <c r="CB921">
        <v>0</v>
      </c>
      <c r="CC921">
        <v>0</v>
      </c>
      <c r="CD921">
        <v>0</v>
      </c>
      <c r="CE921">
        <v>0</v>
      </c>
      <c r="CF921">
        <v>0</v>
      </c>
      <c r="CG921">
        <v>0</v>
      </c>
      <c r="CH921">
        <v>0</v>
      </c>
      <c r="CI921">
        <v>0</v>
      </c>
      <c r="CJ921">
        <v>0</v>
      </c>
      <c r="CK921">
        <v>0</v>
      </c>
      <c r="CL921">
        <v>0</v>
      </c>
      <c r="CM921">
        <v>0</v>
      </c>
      <c r="CN921" t="str">
        <f>IF(BL921&lt;BK921,"refNeedCorrection","refOK")</f>
        <v>refOK</v>
      </c>
      <c r="CO921">
        <f>IF($CN921="refOK",$BK921,$BL921)</f>
        <v>24</v>
      </c>
      <c r="CP921">
        <f>IF($CN921="refOK",$BL921,$BK921)</f>
        <v>85.25</v>
      </c>
      <c r="CQ921">
        <f>IF($CN921="refOK",$BO921,-$BO921)</f>
        <v>0.125</v>
      </c>
      <c r="CR921">
        <f>IF($CN921="refOK",$BS921,$BT921)*IF($BP921="Emissions positive",-1,1)</f>
        <v>0</v>
      </c>
      <c r="CS921">
        <f>IF($CN921="refOK",$BT921,$BS921)*IF($BP921="Emissions positive",-1,1)</f>
        <v>0</v>
      </c>
      <c r="CT921">
        <f>IF($CN921="refNeedCorrection",-BX921,BX921)*IF($BP921="Emissions positive",-1,1)</f>
        <v>0.17</v>
      </c>
      <c r="CU921">
        <f>IFERROR(CT921/CQ921,"")</f>
        <v>1.36</v>
      </c>
      <c r="CV921" s="2" t="str">
        <f>IFERROR((CS921-CR921)/ABS(CR921),"")</f>
        <v/>
      </c>
      <c r="CW921" s="1" t="s">
        <v>1203</v>
      </c>
      <c r="CX921" s="264" t="str">
        <f>IF(OR($CW921="prd",$CW921="std",$CW921="cit"),"loc",IF(OR($CW921="eur",$CW921="reg",$CW921="coy"),"reg",$CW921))</f>
        <v>reg</v>
      </c>
      <c r="CY921" t="s">
        <v>690</v>
      </c>
      <c r="CZ921">
        <v>2019</v>
      </c>
      <c r="DB921">
        <v>0</v>
      </c>
      <c r="DC921" t="str">
        <f>IF(DB921=0,"0",IF(AND(DB921&gt;=1,DB921&lt;=30),"1-30",IF(AND(DB921&gt;30,DB921&lt;=70),"31-70",IF(AND(DB921&gt;70,DB921&lt;=100),"71-100",IF(DB921&gt;100,"+100")))))</f>
        <v>0</v>
      </c>
      <c r="DD921">
        <v>0</v>
      </c>
      <c r="DE921">
        <v>0</v>
      </c>
      <c r="DF921">
        <v>0</v>
      </c>
      <c r="DG921">
        <v>1</v>
      </c>
      <c r="DI921">
        <f>SUM(DD921:DG921)</f>
        <v>1</v>
      </c>
      <c r="DJ921" t="str">
        <f>IF(DI921=1,INDEX($DD$7:$DG$7,MATCH(1,$DD921:$DG921,0)),"mixedProduct")</f>
        <v>TimberInput</v>
      </c>
      <c r="DK921">
        <f>IF(DD921=1,DK$7,0)</f>
        <v>0</v>
      </c>
      <c r="DL921">
        <f>IF(DE921=1,DL$7,0)</f>
        <v>0</v>
      </c>
      <c r="DM921">
        <f>IF(DF921=1,DM$7,0)</f>
        <v>0</v>
      </c>
      <c r="DN921" t="str">
        <f>IF(DG921=1,DN$7,0)</f>
        <v>Timber</v>
      </c>
      <c r="DO921">
        <v>1</v>
      </c>
      <c r="DP921">
        <v>0</v>
      </c>
      <c r="DQ921">
        <v>0</v>
      </c>
      <c r="DR921">
        <v>0</v>
      </c>
      <c r="DS921">
        <v>0</v>
      </c>
      <c r="DT921">
        <f>SUM(DO921:DP921)</f>
        <v>1</v>
      </c>
      <c r="DU921" s="143" t="str">
        <f>IF(DO921=1,"self-calculated DF",IF(DP921=1,"external DF used","explicit C balance"))</f>
        <v>self-calculated DF</v>
      </c>
      <c r="DV921">
        <v>0</v>
      </c>
      <c r="DW921">
        <v>0</v>
      </c>
      <c r="DX921">
        <v>0</v>
      </c>
      <c r="DY921">
        <v>0</v>
      </c>
      <c r="DZ921">
        <v>0</v>
      </c>
      <c r="EA921" s="143">
        <v>1</v>
      </c>
      <c r="EB921">
        <v>0</v>
      </c>
      <c r="EC921">
        <v>1</v>
      </c>
      <c r="ED921">
        <v>0</v>
      </c>
      <c r="EE921">
        <v>0</v>
      </c>
      <c r="EF921">
        <v>0</v>
      </c>
      <c r="EG921">
        <v>0</v>
      </c>
      <c r="EH921">
        <v>0</v>
      </c>
      <c r="EI921" s="2">
        <v>0</v>
      </c>
      <c r="EK921" t="str">
        <f>IF(AND(AND(AND(OR($DX921=1,$DW921=1),OR($EC921=1,$EA921=1)),SUM($DV921:$DZ921,$EF921)&gt;=4),SUM($EA921:$EE921)&gt;=2),"Whole sector","")</f>
        <v/>
      </c>
      <c r="EL921" t="str">
        <f>IF(AND(AND(OR($DX921=1,$DW921=1),AND($EC921=0,$EA921=0)),SUM($DV921:$DZ921,$EF921)&gt;=4),"Ecosystem approach","")</f>
        <v/>
      </c>
      <c r="EM921" s="2" t="str">
        <f>IF(AND(AND(AND($DX921=0,$DW921=0),OR($EC921=1,$EA921=1)),SUM($EB921:$EE921)&gt;=2),"Technology approach","")</f>
        <v/>
      </c>
      <c r="EN921" t="s">
        <v>1603</v>
      </c>
      <c r="EP921" t="str">
        <f>IF(ISNUMBER(BU921),IF(ABS(BU921-[3]QC_indicators!$B$2)&gt;3*[3]QC_indicators!$C$2,"C ratio",IF(ISNUMBER(BY921),IF(ABS(BY921-[3]QC_indicators!$B$1)&gt;3*[3]QC_indicators!$C$1,"DF","no"))),IF(ISNUMBER(BY921),IF(ABS(BY921-[3]QC_indicators!$B$1)&gt;3*[3]QC_indicators!$C$1,"DF","no")))</f>
        <v>no</v>
      </c>
      <c r="ER921" t="s">
        <v>1604</v>
      </c>
      <c r="ET921" s="264" t="s">
        <v>3407</v>
      </c>
    </row>
    <row r="922" spans="1:150" ht="15" customHeight="1">
      <c r="A922" s="1" t="s">
        <v>562</v>
      </c>
      <c r="B922" t="s">
        <v>544</v>
      </c>
      <c r="C922" t="s">
        <v>1593</v>
      </c>
      <c r="D922" t="s">
        <v>1594</v>
      </c>
      <c r="E922" t="s">
        <v>1595</v>
      </c>
      <c r="F922" t="s">
        <v>1596</v>
      </c>
      <c r="G922" t="s">
        <v>567</v>
      </c>
      <c r="H922" t="s">
        <v>254</v>
      </c>
      <c r="I922">
        <v>2019</v>
      </c>
      <c r="J922">
        <v>15</v>
      </c>
      <c r="K922" t="s">
        <v>1597</v>
      </c>
      <c r="M922" t="str">
        <f>LEFT($D922,FIND(",",$D922)-1)&amp;"_"&amp;I922&amp;L922</f>
        <v>Geng_2019</v>
      </c>
      <c r="N922" t="s">
        <v>222</v>
      </c>
      <c r="O922" s="181" t="s">
        <v>225</v>
      </c>
      <c r="Q922" s="264" t="s">
        <v>256</v>
      </c>
      <c r="R922" s="269" t="s">
        <v>1154</v>
      </c>
      <c r="S922" s="1" t="s">
        <v>1598</v>
      </c>
      <c r="T922" t="s">
        <v>1610</v>
      </c>
      <c r="V922">
        <v>0</v>
      </c>
      <c r="W922">
        <v>0</v>
      </c>
      <c r="X922">
        <v>0</v>
      </c>
      <c r="Y922">
        <v>0</v>
      </c>
      <c r="Z922">
        <v>0</v>
      </c>
      <c r="AA922">
        <v>0</v>
      </c>
      <c r="AB922">
        <v>0</v>
      </c>
      <c r="AC922">
        <v>0</v>
      </c>
      <c r="AD922">
        <v>0</v>
      </c>
      <c r="AE922">
        <v>0</v>
      </c>
      <c r="AF922">
        <v>0</v>
      </c>
      <c r="AG922">
        <v>0</v>
      </c>
      <c r="AH922">
        <v>0</v>
      </c>
      <c r="AI922">
        <v>0</v>
      </c>
      <c r="AJ922">
        <v>0</v>
      </c>
      <c r="AK922">
        <v>1</v>
      </c>
      <c r="AL922">
        <v>0</v>
      </c>
      <c r="AM922">
        <v>0</v>
      </c>
      <c r="AN922">
        <v>0</v>
      </c>
      <c r="AO922">
        <v>0</v>
      </c>
      <c r="AP922">
        <v>0</v>
      </c>
      <c r="AQ922">
        <v>0</v>
      </c>
      <c r="AR922">
        <v>0</v>
      </c>
      <c r="AS922">
        <v>0</v>
      </c>
      <c r="AT922">
        <v>0</v>
      </c>
      <c r="AU922">
        <v>0</v>
      </c>
      <c r="AV922">
        <v>0</v>
      </c>
      <c r="AW922">
        <v>0</v>
      </c>
      <c r="AX922" s="141">
        <f>COUNTIF(V922:AW922,"&lt;&gt;0")</f>
        <v>1</v>
      </c>
      <c r="AY922" s="141">
        <f>COUNTIF(V922:AL922,"&lt;&gt;0")</f>
        <v>1</v>
      </c>
      <c r="AZ922">
        <f>COUNTIF(V922:AC922,"&lt;&gt;0")</f>
        <v>0</v>
      </c>
      <c r="BA922">
        <f>COUNTIF(AD922:AI922,"&lt;&gt;0")</f>
        <v>0</v>
      </c>
      <c r="BB922">
        <f>COUNTIF(AJ922:AL922,"&lt;&gt;0")</f>
        <v>1</v>
      </c>
      <c r="BC922">
        <f>COUNTIF(AS922:AW922,"&lt;&gt;0")</f>
        <v>0</v>
      </c>
      <c r="BD922">
        <f>COUNTIF(AM922:AR922,"&lt;&gt;0")</f>
        <v>0</v>
      </c>
      <c r="BE922" t="str" cm="1">
        <f t="array" ref="BE922">IF(AY922=1,INDEX($V$7:$AL$7,MATCH(TRUE,INDEX($V922:$AW922&lt;&gt;0,),0)),IF(AY922=0,INDEX($AM$7:$AW$7,MATCH(1,$AM922:$AW922,0)),IF(BF922="Multiple strategies","mixed drivers",IF(BF922="Supply chain","multiple supply","multiple silviculture"))))</f>
        <v>technologies/design switch</v>
      </c>
      <c r="BF922" s="2" t="str" cm="1">
        <f t="array" ref="BF922">IF(COUNTIF(AZ922:BB922,"&lt;&gt;0")=1,INDEX($V$4:$AW$4,MATCH(TRUE,INDEX($V922:$AW922&lt;&gt;0,),0)),IF(COUNTIF(AZ922:BB922,"&lt;&gt;0")=0,INDEX($AM$4:$AW$4,MATCH(1,$AM922:$AW922,0)),"Multiple strategies"))</f>
        <v>Technology</v>
      </c>
      <c r="BG922" s="1" t="s">
        <v>229</v>
      </c>
      <c r="BH922" t="s">
        <v>1600</v>
      </c>
      <c r="BJ922" t="s">
        <v>261</v>
      </c>
      <c r="BK922">
        <v>24</v>
      </c>
      <c r="BL922">
        <v>85.25</v>
      </c>
      <c r="BM922">
        <f>BL922/BK922</f>
        <v>3.5520833333333335</v>
      </c>
      <c r="BN922">
        <f>BL922-BK922</f>
        <v>61.25</v>
      </c>
      <c r="BO922">
        <f>BN922*kg_to_m3</f>
        <v>0.125</v>
      </c>
      <c r="BP922" t="s">
        <v>232</v>
      </c>
      <c r="BQ922" s="234"/>
      <c r="BR922" t="s">
        <v>1609</v>
      </c>
      <c r="BU922" s="144" t="str">
        <f>IFERROR(BT922/BS922,"")</f>
        <v/>
      </c>
      <c r="BV922">
        <v>0.17</v>
      </c>
      <c r="BX922">
        <f>BV922</f>
        <v>0.17</v>
      </c>
      <c r="BY922">
        <f>IFERROR(BX922/BO922,"")</f>
        <v>1.36</v>
      </c>
      <c r="BZ922">
        <v>0</v>
      </c>
      <c r="CA922">
        <v>0</v>
      </c>
      <c r="CB922">
        <v>0</v>
      </c>
      <c r="CC922">
        <v>0</v>
      </c>
      <c r="CD922">
        <v>0</v>
      </c>
      <c r="CE922">
        <v>0</v>
      </c>
      <c r="CF922">
        <v>0</v>
      </c>
      <c r="CG922">
        <v>0</v>
      </c>
      <c r="CH922">
        <v>0</v>
      </c>
      <c r="CI922">
        <v>0</v>
      </c>
      <c r="CJ922">
        <v>0</v>
      </c>
      <c r="CK922">
        <v>0</v>
      </c>
      <c r="CL922">
        <v>0</v>
      </c>
      <c r="CM922">
        <v>0</v>
      </c>
      <c r="CN922" t="str">
        <f>IF(BL922&lt;BK922,"refNeedCorrection","refOK")</f>
        <v>refOK</v>
      </c>
      <c r="CO922">
        <f>IF($CN922="refOK",$BK922,$BL922)</f>
        <v>24</v>
      </c>
      <c r="CP922">
        <f>IF($CN922="refOK",$BL922,$BK922)</f>
        <v>85.25</v>
      </c>
      <c r="CQ922">
        <f>IF($CN922="refOK",$BO922,-$BO922)</f>
        <v>0.125</v>
      </c>
      <c r="CR922">
        <f>IF($CN922="refOK",$BS922,$BT922)*IF($BP922="Emissions positive",-1,1)</f>
        <v>0</v>
      </c>
      <c r="CS922">
        <f>IF($CN922="refOK",$BT922,$BS922)*IF($BP922="Emissions positive",-1,1)</f>
        <v>0</v>
      </c>
      <c r="CT922">
        <f>IF($CN922="refNeedCorrection",-BX922,BX922)*IF($BP922="Emissions positive",-1,1)</f>
        <v>0.17</v>
      </c>
      <c r="CU922">
        <f>IFERROR(CT922/CQ922,"")</f>
        <v>1.36</v>
      </c>
      <c r="CV922" s="2" t="str">
        <f>IFERROR((CS922-CR922)/ABS(CR922),"")</f>
        <v/>
      </c>
      <c r="CW922" s="1" t="s">
        <v>1203</v>
      </c>
      <c r="CX922" s="264" t="str">
        <f>IF(OR($CW922="prd",$CW922="std",$CW922="cit"),"loc",IF(OR($CW922="eur",$CW922="reg",$CW922="coy"),"reg",$CW922))</f>
        <v>reg</v>
      </c>
      <c r="CY922" t="s">
        <v>690</v>
      </c>
      <c r="CZ922">
        <v>2019</v>
      </c>
      <c r="DB922">
        <v>0</v>
      </c>
      <c r="DC922" t="str">
        <f>IF(DB922=0,"0",IF(AND(DB922&gt;=1,DB922&lt;=30),"1-30",IF(AND(DB922&gt;30,DB922&lt;=70),"31-70",IF(AND(DB922&gt;70,DB922&lt;=100),"71-100",IF(DB922&gt;100,"+100")))))</f>
        <v>0</v>
      </c>
      <c r="DD922">
        <v>0</v>
      </c>
      <c r="DE922">
        <v>0</v>
      </c>
      <c r="DF922">
        <v>0</v>
      </c>
      <c r="DG922">
        <v>1</v>
      </c>
      <c r="DI922">
        <f>SUM(DD922:DG922)</f>
        <v>1</v>
      </c>
      <c r="DJ922" t="str">
        <f>IF(DI922=1,INDEX($DD$7:$DG$7,MATCH(1,$DD922:$DG922,0)),"mixedProduct")</f>
        <v>TimberInput</v>
      </c>
      <c r="DK922">
        <f>IF(DD922=1,DK$7,0)</f>
        <v>0</v>
      </c>
      <c r="DL922">
        <f>IF(DE922=1,DL$7,0)</f>
        <v>0</v>
      </c>
      <c r="DM922">
        <f>IF(DF922=1,DM$7,0)</f>
        <v>0</v>
      </c>
      <c r="DN922" t="str">
        <f>IF(DG922=1,DN$7,0)</f>
        <v>Timber</v>
      </c>
      <c r="DO922">
        <v>1</v>
      </c>
      <c r="DP922">
        <v>0</v>
      </c>
      <c r="DQ922">
        <v>0</v>
      </c>
      <c r="DR922">
        <v>0</v>
      </c>
      <c r="DS922">
        <v>0</v>
      </c>
      <c r="DT922">
        <f>SUM(DO922:DP922)</f>
        <v>1</v>
      </c>
      <c r="DU922" s="143" t="str">
        <f>IF(DO922=1,"self-calculated DF",IF(DP922=1,"external DF used","explicit C balance"))</f>
        <v>self-calculated DF</v>
      </c>
      <c r="DV922">
        <v>0</v>
      </c>
      <c r="DW922">
        <v>0</v>
      </c>
      <c r="DX922">
        <v>0</v>
      </c>
      <c r="DY922">
        <v>0</v>
      </c>
      <c r="DZ922">
        <v>0</v>
      </c>
      <c r="EA922" s="143">
        <v>1</v>
      </c>
      <c r="EB922">
        <v>0</v>
      </c>
      <c r="EC922">
        <v>1</v>
      </c>
      <c r="ED922">
        <v>0</v>
      </c>
      <c r="EE922">
        <v>0</v>
      </c>
      <c r="EF922">
        <v>0</v>
      </c>
      <c r="EG922">
        <v>0</v>
      </c>
      <c r="EH922">
        <v>0</v>
      </c>
      <c r="EI922" s="2">
        <v>0</v>
      </c>
      <c r="EK922" t="str">
        <f>IF(AND(AND(AND(OR($DX922=1,$DW922=1),OR($EC922=1,$EA922=1)),SUM($DV922:$DZ922,$EF922)&gt;=4),SUM($EA922:$EE922)&gt;=2),"Whole sector","")</f>
        <v/>
      </c>
      <c r="EL922" t="str">
        <f>IF(AND(AND(OR($DX922=1,$DW922=1),AND($EC922=0,$EA922=0)),SUM($DV922:$DZ922,$EF922)&gt;=4),"Ecosystem approach","")</f>
        <v/>
      </c>
      <c r="EM922" s="2" t="str">
        <f>IF(AND(AND(AND($DX922=0,$DW922=0),OR($EC922=1,$EA922=1)),SUM($EB922:$EE922)&gt;=2),"Technology approach","")</f>
        <v/>
      </c>
      <c r="EN922" t="s">
        <v>1603</v>
      </c>
      <c r="EP922" t="str">
        <f>IF(ISNUMBER(BU922),IF(ABS(BU922-[3]QC_indicators!$B$2)&gt;3*[3]QC_indicators!$C$2,"C ratio",IF(ISNUMBER(BY922),IF(ABS(BY922-[3]QC_indicators!$B$1)&gt;3*[3]QC_indicators!$C$1,"DF","no"))),IF(ISNUMBER(BY922),IF(ABS(BY922-[3]QC_indicators!$B$1)&gt;3*[3]QC_indicators!$C$1,"DF","no")))</f>
        <v>no</v>
      </c>
      <c r="ER922" t="s">
        <v>1604</v>
      </c>
      <c r="ET922" s="264" t="s">
        <v>3407</v>
      </c>
    </row>
    <row r="923" spans="1:150" ht="15" customHeight="1">
      <c r="A923" s="1" t="s">
        <v>247</v>
      </c>
      <c r="B923" t="s">
        <v>1028</v>
      </c>
      <c r="C923" t="s">
        <v>1029</v>
      </c>
      <c r="D923" t="s">
        <v>1030</v>
      </c>
      <c r="E923" t="s">
        <v>1031</v>
      </c>
      <c r="F923" t="s">
        <v>1032</v>
      </c>
      <c r="G923" t="s">
        <v>253</v>
      </c>
      <c r="H923" t="s">
        <v>254</v>
      </c>
      <c r="I923">
        <v>2021</v>
      </c>
      <c r="J923">
        <v>0</v>
      </c>
      <c r="K923" t="s">
        <v>1033</v>
      </c>
      <c r="M923" t="str">
        <f>LEFT($D923,FIND(",",$D923)-1)&amp;"_"&amp;I923&amp;L923</f>
        <v>Piccardo_2021</v>
      </c>
      <c r="N923" t="s">
        <v>222</v>
      </c>
      <c r="O923" s="171" t="s">
        <v>513</v>
      </c>
      <c r="P923" s="141" t="s">
        <v>225</v>
      </c>
      <c r="Q923" t="s">
        <v>389</v>
      </c>
      <c r="R923" s="262" t="s">
        <v>223</v>
      </c>
      <c r="S923" s="1" t="s">
        <v>1041</v>
      </c>
      <c r="T923" s="264" t="s">
        <v>3221</v>
      </c>
      <c r="U923" s="264" t="s">
        <v>3222</v>
      </c>
      <c r="V923">
        <v>0</v>
      </c>
      <c r="W923">
        <v>0</v>
      </c>
      <c r="X923">
        <v>0</v>
      </c>
      <c r="Y923">
        <v>0</v>
      </c>
      <c r="Z923">
        <v>0</v>
      </c>
      <c r="AA923">
        <v>0</v>
      </c>
      <c r="AB923">
        <v>0</v>
      </c>
      <c r="AC923">
        <v>0</v>
      </c>
      <c r="AD923">
        <v>0</v>
      </c>
      <c r="AE923">
        <v>0</v>
      </c>
      <c r="AF923">
        <v>0</v>
      </c>
      <c r="AG923">
        <v>0</v>
      </c>
      <c r="AH923">
        <v>0</v>
      </c>
      <c r="AI923">
        <v>0</v>
      </c>
      <c r="AJ923">
        <v>0</v>
      </c>
      <c r="AK923">
        <v>1</v>
      </c>
      <c r="AL923">
        <v>0</v>
      </c>
      <c r="AM923">
        <v>0</v>
      </c>
      <c r="AN923">
        <v>0</v>
      </c>
      <c r="AO923">
        <v>0</v>
      </c>
      <c r="AP923">
        <v>0</v>
      </c>
      <c r="AQ923">
        <v>0</v>
      </c>
      <c r="AR923">
        <v>0</v>
      </c>
      <c r="AS923">
        <v>0</v>
      </c>
      <c r="AT923">
        <v>0</v>
      </c>
      <c r="AU923">
        <v>0</v>
      </c>
      <c r="AV923">
        <v>0</v>
      </c>
      <c r="AW923">
        <v>0</v>
      </c>
      <c r="AX923" s="141">
        <f>COUNTIF(V923:AW923,"&lt;&gt;0")</f>
        <v>1</v>
      </c>
      <c r="AY923" s="141">
        <f>COUNTIF(V923:AL923,"&lt;&gt;0")</f>
        <v>1</v>
      </c>
      <c r="AZ923">
        <f>COUNTIF(V923:AC923,"&lt;&gt;0")</f>
        <v>0</v>
      </c>
      <c r="BA923">
        <f>COUNTIF(AD923:AI923,"&lt;&gt;0")</f>
        <v>0</v>
      </c>
      <c r="BB923">
        <f>COUNTIF(AJ923:AL923,"&lt;&gt;0")</f>
        <v>1</v>
      </c>
      <c r="BC923">
        <f>COUNTIF(AS923:AW923,"&lt;&gt;0")</f>
        <v>0</v>
      </c>
      <c r="BD923">
        <f>COUNTIF(AM923:AR923,"&lt;&gt;0")</f>
        <v>0</v>
      </c>
      <c r="BE923" t="str">
        <f t="array" ref="BE923">IF(AY923=1,INDEX($V$7:$AL$7,MATCH(TRUE,INDEX($V923:$AW923&lt;&gt;0,),0)),IF(AY923=0,INDEX($AM$7:$AW$7,MATCH(1,$AM923:$AW923,0)),IF(BF923="Multiple strategies","mixed drivers",IF(BF923="Supply chain","multiple supply","multiple silviculture"))))</f>
        <v>technologies/design switch</v>
      </c>
      <c r="BF923" s="2" t="str" cm="1">
        <f t="array" ref="BF923">IF(COUNTIF(AZ923:BB923,"&lt;&gt;0")=1,INDEX($V$4:$AW$4,MATCH(TRUE,INDEX($V923:$AW923&lt;&gt;0,),0)),IF(COUNTIF(AZ923:BB923,"&lt;&gt;0")=0,INDEX($AM$4:$AW$4,MATCH(1,$AM923:$AW923,0)),"Multiple strategies"))</f>
        <v>Technology</v>
      </c>
      <c r="BG923" s="142" t="s">
        <v>229</v>
      </c>
      <c r="BH923" t="s">
        <v>1035</v>
      </c>
      <c r="BI923" t="s">
        <v>1036</v>
      </c>
      <c r="BJ923" t="s">
        <v>1037</v>
      </c>
      <c r="BK923">
        <f>35+3+20+8+8</f>
        <v>74</v>
      </c>
      <c r="BL923">
        <f>175+40+77+18+35+3+8+8</f>
        <v>364</v>
      </c>
      <c r="BM923">
        <f>IFERROR(BL923/BK923,"")</f>
        <v>4.9189189189189193</v>
      </c>
      <c r="BN923">
        <f>BL923-BK923</f>
        <v>290</v>
      </c>
      <c r="BO923">
        <f>BN923*t_to_m3</f>
        <v>591.83673469387759</v>
      </c>
      <c r="BP923" t="s">
        <v>395</v>
      </c>
      <c r="BQ923" s="234" t="s">
        <v>1038</v>
      </c>
      <c r="BR923" t="s">
        <v>1039</v>
      </c>
      <c r="BS923">
        <f>669-126</f>
        <v>543</v>
      </c>
      <c r="BT923">
        <f>357-622</f>
        <v>-265</v>
      </c>
      <c r="BU923" s="144"/>
      <c r="BV923">
        <f>(BT923-BS923)</f>
        <v>-808</v>
      </c>
      <c r="BX923">
        <f>BV923</f>
        <v>-808</v>
      </c>
      <c r="BY923">
        <f>IFERROR(BX923/BO923,"")</f>
        <v>-1.3652413793103448</v>
      </c>
      <c r="BZ923">
        <v>0</v>
      </c>
      <c r="CA923">
        <v>0</v>
      </c>
      <c r="CB923">
        <v>0</v>
      </c>
      <c r="CC923">
        <v>0</v>
      </c>
      <c r="CD923">
        <v>0</v>
      </c>
      <c r="CE923">
        <v>0</v>
      </c>
      <c r="CF923">
        <v>0</v>
      </c>
      <c r="CG923">
        <v>0</v>
      </c>
      <c r="CH923">
        <v>0</v>
      </c>
      <c r="CI923">
        <v>0</v>
      </c>
      <c r="CJ923">
        <v>0</v>
      </c>
      <c r="CK923">
        <v>0</v>
      </c>
      <c r="CL923">
        <v>0</v>
      </c>
      <c r="CM923">
        <v>0</v>
      </c>
      <c r="CN923" t="str">
        <f>IF($BL923&lt;$BK923,"refNeedCorrection","refOK")</f>
        <v>refOK</v>
      </c>
      <c r="CO923">
        <f>IF($CN923="refOK",$BK923,$BL923)</f>
        <v>74</v>
      </c>
      <c r="CP923">
        <f>IF($CN923="refOK",$BL923,$BK923)</f>
        <v>364</v>
      </c>
      <c r="CQ923">
        <f>IF($CN923="refOK",$BO923,-$BO923)</f>
        <v>591.83673469387759</v>
      </c>
      <c r="CR923">
        <f>IF($CN923="refOK",$BS923,$BT923)*IF($BP923="Emissions positive",-1,1)</f>
        <v>-543</v>
      </c>
      <c r="CS923">
        <f>IF($CN923="refOK",$BT923,$BS923)*IF($BP923="Emissions positive",-1,1)</f>
        <v>265</v>
      </c>
      <c r="CT923">
        <f>IF($CN923="refNeedCorrection",-BX923,BX923)*IF($BP923="Emissions positive",-1,1)</f>
        <v>808</v>
      </c>
      <c r="CU923">
        <f>IFERROR(CT923/CQ923,"")</f>
        <v>1.3652413793103448</v>
      </c>
      <c r="CV923" s="2">
        <f>IFERROR((CS923-CR923)/ABS(CR923),"")</f>
        <v>1.4880294659300184</v>
      </c>
      <c r="CW923" s="1" t="s">
        <v>263</v>
      </c>
      <c r="CX923" t="str">
        <f>IF(OR($CW923="prd",$CW923="std",$CW923="cit"),"loc",IF(OR($CW923="eur",$CW923="reg",$CW923="coy"),"reg",$CW923))</f>
        <v>loc</v>
      </c>
      <c r="CY923" t="s">
        <v>743</v>
      </c>
      <c r="DB923">
        <v>50</v>
      </c>
      <c r="DC923" t="str">
        <f>IF(DB923=0,"0",IF(AND(DB923&gt;=1,DB923&lt;=30),"1-30",IF(AND(DB923&gt;30,DB923&lt;=70),"31-70",IF(AND(DB923&gt;70,DB923&lt;=100),"71-100",IF(DB923&gt;100,"+100")))))</f>
        <v>31-70</v>
      </c>
      <c r="DD923">
        <v>0</v>
      </c>
      <c r="DE923">
        <v>0</v>
      </c>
      <c r="DF923">
        <v>1</v>
      </c>
      <c r="DG923">
        <v>1</v>
      </c>
      <c r="DI923">
        <f>SUM(DD923:DG923)</f>
        <v>2</v>
      </c>
      <c r="DJ923" t="str">
        <f>IF(DI923=1,INDEX($DD$7:$DG$7,MATCH(1,$DD923:$DG923,0)),"mixedProduct")</f>
        <v>mixedProduct</v>
      </c>
      <c r="DK923">
        <f>IF(DD923=1,DK$7,0)</f>
        <v>0</v>
      </c>
      <c r="DL923">
        <f>IF(DE923=1,DL$7,0)</f>
        <v>0</v>
      </c>
      <c r="DM923" t="str">
        <f>IF(DF923=1,DM$7,0)</f>
        <v>Pulp/Paper</v>
      </c>
      <c r="DN923" t="str">
        <f>IF(DG923=1,DN$7,0)</f>
        <v>Timber</v>
      </c>
      <c r="DO923">
        <v>1</v>
      </c>
      <c r="DP923">
        <v>0</v>
      </c>
      <c r="DQ923">
        <v>0</v>
      </c>
      <c r="DR923">
        <v>0</v>
      </c>
      <c r="DS923">
        <v>0</v>
      </c>
      <c r="DT923">
        <f>SUM(DO923:DP923)</f>
        <v>1</v>
      </c>
      <c r="DU923" s="143" t="str">
        <f>IF(DO923=1,"self-calculated DF",IF(DP923=1,"external DF used","explicit C balance"))</f>
        <v>self-calculated DF</v>
      </c>
      <c r="DV923">
        <v>0</v>
      </c>
      <c r="DW923">
        <v>0</v>
      </c>
      <c r="DX923">
        <v>0</v>
      </c>
      <c r="DY923">
        <v>1</v>
      </c>
      <c r="DZ923">
        <v>1</v>
      </c>
      <c r="EA923">
        <v>0</v>
      </c>
      <c r="EB923">
        <v>0</v>
      </c>
      <c r="EC923">
        <v>1</v>
      </c>
      <c r="ED923">
        <v>0</v>
      </c>
      <c r="EE923">
        <v>0</v>
      </c>
      <c r="EF923">
        <v>0</v>
      </c>
      <c r="EG923" s="143">
        <v>0</v>
      </c>
      <c r="EH923" s="143">
        <v>0</v>
      </c>
      <c r="EI923" s="2">
        <v>0</v>
      </c>
      <c r="EK923" t="str">
        <f>IF(AND(AND(AND(OR($DX923=1,$DW923=1),OR($EC923=1,$EA923=1)),SUM($DV923:$DZ923,$EF923)&gt;=4),SUM($EA923:$EE923)&gt;=2),"Whole sector","")</f>
        <v/>
      </c>
      <c r="EL923" t="str">
        <f>IF(AND(AND(OR($DX923=1,$DW923=1),AND($EC923=0,$EA923=0)),SUM($DV923:$DZ923,$EF923)&gt;=4),"Ecosystem approach","")</f>
        <v/>
      </c>
      <c r="EM923" s="2" t="str">
        <f>IF(AND(AND(AND($DX923=0,$DW923=0),OR($EC923=1,$EA923=1)),SUM($EB923:$EE923)&gt;=2),"Technology approach","")</f>
        <v/>
      </c>
      <c r="EP923" t="str">
        <f>IF(ISNUMBER(BU923),IF(ABS(BU923-[1]QC_indicators!$B$2)&gt;3*[1]QC_indicators!$C$2,"C ratio",IF(ISNUMBER(BY923),IF(ABS(BY923-[1]QC_indicators!$B$1)&gt;3*[1]QC_indicators!$C$1,"DF","no"))),IF(ISNUMBER(BY923),IF(ABS(BY923-[1]QC_indicators!$B$1)&gt;3*[1]QC_indicators!$C$1,"DF","no")))</f>
        <v>no</v>
      </c>
      <c r="ET923" s="264" t="s">
        <v>3216</v>
      </c>
    </row>
    <row r="924" spans="1:150" ht="15" customHeight="1">
      <c r="A924" s="1" t="s">
        <v>656</v>
      </c>
      <c r="B924" t="s">
        <v>2080</v>
      </c>
      <c r="C924" t="s">
        <v>2081</v>
      </c>
      <c r="D924" t="s">
        <v>2082</v>
      </c>
      <c r="E924" t="s">
        <v>2083</v>
      </c>
      <c r="F924" t="s">
        <v>2084</v>
      </c>
      <c r="G924" t="s">
        <v>662</v>
      </c>
      <c r="H924" t="s">
        <v>254</v>
      </c>
      <c r="I924">
        <v>2020</v>
      </c>
      <c r="J924">
        <v>4</v>
      </c>
      <c r="K924" t="s">
        <v>2085</v>
      </c>
      <c r="M924" t="str">
        <f>LEFT($D924,FIND(",",$D924)-1)&amp;"_"&amp;I924&amp;L924</f>
        <v>Palus_2020</v>
      </c>
      <c r="N924" t="s">
        <v>222</v>
      </c>
      <c r="O924" s="157" t="s">
        <v>513</v>
      </c>
      <c r="P924" t="s">
        <v>223</v>
      </c>
      <c r="Q924" t="s">
        <v>389</v>
      </c>
      <c r="R924" s="255" t="s">
        <v>225</v>
      </c>
      <c r="T924" t="s">
        <v>1201</v>
      </c>
      <c r="U924" t="s">
        <v>1202</v>
      </c>
      <c r="V924">
        <v>0</v>
      </c>
      <c r="W924">
        <v>0</v>
      </c>
      <c r="X924">
        <v>0</v>
      </c>
      <c r="Y924">
        <v>0</v>
      </c>
      <c r="Z924">
        <v>0</v>
      </c>
      <c r="AA924">
        <v>0</v>
      </c>
      <c r="AB924">
        <v>0</v>
      </c>
      <c r="AC924">
        <v>0</v>
      </c>
      <c r="AD924">
        <v>0</v>
      </c>
      <c r="AE924">
        <v>0</v>
      </c>
      <c r="AF924">
        <v>1</v>
      </c>
      <c r="AG924">
        <v>0</v>
      </c>
      <c r="AH924">
        <v>0</v>
      </c>
      <c r="AI924">
        <v>0</v>
      </c>
      <c r="AJ924">
        <v>0</v>
      </c>
      <c r="AK924">
        <v>0</v>
      </c>
      <c r="AL924">
        <v>0</v>
      </c>
      <c r="AM924">
        <v>0</v>
      </c>
      <c r="AN924">
        <v>0</v>
      </c>
      <c r="AO924">
        <v>0</v>
      </c>
      <c r="AP924">
        <v>0</v>
      </c>
      <c r="AQ924">
        <v>0</v>
      </c>
      <c r="AR924">
        <v>0</v>
      </c>
      <c r="AS924">
        <v>1</v>
      </c>
      <c r="AT924">
        <v>0</v>
      </c>
      <c r="AU924">
        <v>0</v>
      </c>
      <c r="AV924">
        <v>0</v>
      </c>
      <c r="AW924">
        <v>0</v>
      </c>
      <c r="AX924" s="141">
        <f>COUNTIF(V924:AW924,"&lt;&gt;0")</f>
        <v>2</v>
      </c>
      <c r="AY924" s="141">
        <f>COUNTIF(V924:AL924,"&lt;&gt;0")</f>
        <v>1</v>
      </c>
      <c r="AZ924">
        <f>COUNTIF(V924:AC924,"&lt;&gt;0")</f>
        <v>0</v>
      </c>
      <c r="BA924">
        <f>COUNTIF(AD924:AI924,"&lt;&gt;0")</f>
        <v>1</v>
      </c>
      <c r="BB924">
        <f>COUNTIF(AJ924:AL924,"&lt;&gt;0")</f>
        <v>0</v>
      </c>
      <c r="BC924">
        <f>COUNTIF(AS924:AW924,"&lt;&gt;0")</f>
        <v>1</v>
      </c>
      <c r="BD924">
        <f>COUNTIF(AM924:AR924,"&lt;&gt;0")</f>
        <v>0</v>
      </c>
      <c r="BE924" t="str">
        <f t="array" ref="BE924">IF(AY924=1,INDEX($V$7:$AL$7,MATCH(TRUE,INDEX($V924:$AW924&lt;&gt;0,),0)),IF(AY924=0,INDEX($AM$7:$AW$7,MATCH(1,$AM924:$AW924,0)),IF(BF924="Multiple strategies","mixed drivers",IF(BF924="Supply chain","multiple supply","multiple silviculture"))))</f>
        <v>supply chain organization</v>
      </c>
      <c r="BF924" s="2" t="str" cm="1">
        <f t="array" ref="BF924">IF(COUNTIF(AZ924:BB924,"&lt;&gt;0")=1,INDEX($V$4:$AW$4,MATCH(TRUE,INDEX($V924:$AW924&lt;&gt;0,),0)),IF(COUNTIF(AZ924:BB924,"&lt;&gt;0")=0,INDEX($AM$4:$AW$4,MATCH(1,$AM924:$AW924,0)),"Multiple strategies"))</f>
        <v>Supply chain</v>
      </c>
      <c r="BG924" s="1" t="s">
        <v>321</v>
      </c>
      <c r="BH924" t="s">
        <v>832</v>
      </c>
      <c r="BI924" t="s">
        <v>699</v>
      </c>
      <c r="BJ924" t="s">
        <v>2086</v>
      </c>
      <c r="BK924">
        <v>8091.4</v>
      </c>
      <c r="BL924">
        <v>9602.9</v>
      </c>
      <c r="BM924">
        <f>IFERROR(BL924/BK924,"")</f>
        <v>1.1868032726104258</v>
      </c>
      <c r="BN924">
        <f>BL924-BK924</f>
        <v>1511.5</v>
      </c>
      <c r="BO924">
        <f>BN924*1000</f>
        <v>1511500</v>
      </c>
      <c r="BP924" t="s">
        <v>395</v>
      </c>
      <c r="BQ924" s="300" t="s">
        <v>3389</v>
      </c>
      <c r="BR924" t="s">
        <v>2087</v>
      </c>
      <c r="BS924">
        <v>-1535.25</v>
      </c>
      <c r="BT924">
        <v>-3609.55</v>
      </c>
      <c r="BU924" s="144"/>
      <c r="BV924">
        <f>BT924-BS924</f>
        <v>-2074.3000000000002</v>
      </c>
      <c r="BX924">
        <f>BV924*1000</f>
        <v>-2074300.0000000002</v>
      </c>
      <c r="BY924">
        <f>IFERROR(BX924/BO924,"")</f>
        <v>-1.3723453522990408</v>
      </c>
      <c r="BZ924">
        <v>0</v>
      </c>
      <c r="CA924">
        <v>0</v>
      </c>
      <c r="CB924">
        <v>0</v>
      </c>
      <c r="CC924">
        <v>0</v>
      </c>
      <c r="CD924">
        <v>0</v>
      </c>
      <c r="CE924">
        <v>0</v>
      </c>
      <c r="CF924">
        <v>0</v>
      </c>
      <c r="CG924">
        <v>0</v>
      </c>
      <c r="CH924">
        <v>0</v>
      </c>
      <c r="CI924">
        <v>0</v>
      </c>
      <c r="CJ924">
        <v>0</v>
      </c>
      <c r="CK924">
        <v>0</v>
      </c>
      <c r="CL924">
        <v>0</v>
      </c>
      <c r="CM924">
        <v>0</v>
      </c>
      <c r="CN924" t="str">
        <f>IF($BL924&lt;$BK924,"refNeedCorrection","refOK")</f>
        <v>refOK</v>
      </c>
      <c r="CO924">
        <f>IF($CN924="refOK",$BK924,$BL924)</f>
        <v>8091.4</v>
      </c>
      <c r="CP924">
        <f>IF($CN924="refOK",$BL924,$BK924)</f>
        <v>9602.9</v>
      </c>
      <c r="CQ924">
        <f>IF($CN924="refOK",$BO924,-$BO924)</f>
        <v>1511500</v>
      </c>
      <c r="CR924">
        <f>IF($CN924="refOK",$BS924,$BT924)*IF($BP924="Emissions positive",-1,1)</f>
        <v>1535.25</v>
      </c>
      <c r="CS924">
        <f>IF($CN924="refOK",$BT924,$BS924)*IF($BP924="Emissions positive",-1,1)</f>
        <v>3609.55</v>
      </c>
      <c r="CT924">
        <f>IF($CN924="refNeedCorrection",-BX924,BX924)*IF($BP924="Emissions positive",-1,1)</f>
        <v>2074300.0000000002</v>
      </c>
      <c r="CU924">
        <f>IFERROR(CT924/CQ924,"")</f>
        <v>1.3723453522990408</v>
      </c>
      <c r="CV924" s="2">
        <f>IFERROR((CS924-CR924)/ABS(CR924),"")</f>
        <v>1.3511154535092005</v>
      </c>
      <c r="CW924" s="1" t="s">
        <v>1203</v>
      </c>
      <c r="CX924" t="str">
        <f>IF(OR($CW924="prd",$CW924="std",$CW924="cit"),"loc",IF(OR($CW924="eur",$CW924="reg",$CW924="coy"),"reg",$CW924))</f>
        <v>reg</v>
      </c>
      <c r="CY924" t="s">
        <v>2088</v>
      </c>
      <c r="CZ924">
        <v>2017</v>
      </c>
      <c r="DA924">
        <v>2017</v>
      </c>
      <c r="DB924">
        <f>DA924-CZ924</f>
        <v>0</v>
      </c>
      <c r="DC924" t="str">
        <f>IF(DB924=0,"0",IF(AND(DB924&gt;=1,DB924&lt;=30),"1-30",IF(AND(DB924&gt;30,DB924&lt;=70),"31-70",IF(AND(DB924&gt;70,DB924&lt;=100),"71-100",IF(DB924&gt;100,"+100")))))</f>
        <v>0</v>
      </c>
      <c r="DD924">
        <v>0</v>
      </c>
      <c r="DE924">
        <v>0</v>
      </c>
      <c r="DF924">
        <v>1</v>
      </c>
      <c r="DG924">
        <v>1</v>
      </c>
      <c r="DH924">
        <v>0</v>
      </c>
      <c r="DI924">
        <f>SUM(DD924:DH924)</f>
        <v>2</v>
      </c>
      <c r="DJ924" t="str">
        <f>IF(DI924=1,INDEX($DD$7:$DG$7,MATCH(1,$DD924:$DG924,0)),"mixedProduct")</f>
        <v>mixedProduct</v>
      </c>
      <c r="DK924">
        <f>IF(DD924=1,DK$7,0)</f>
        <v>0</v>
      </c>
      <c r="DL924">
        <f>IF(DE924=1,DL$7,0)</f>
        <v>0</v>
      </c>
      <c r="DM924" t="str">
        <f>IF(DF924=1,DM$7,0)</f>
        <v>Pulp/Paper</v>
      </c>
      <c r="DN924" t="str">
        <f>IF(DG924=1,DN$7,0)</f>
        <v>Timber</v>
      </c>
      <c r="DO924">
        <v>0</v>
      </c>
      <c r="DP924">
        <v>0</v>
      </c>
      <c r="DQ924">
        <v>0</v>
      </c>
      <c r="DR924">
        <v>0</v>
      </c>
      <c r="DS924">
        <v>0</v>
      </c>
      <c r="DT924"/>
      <c r="DU924" s="143" t="str">
        <f>IF(DO924=1,"self-calculated DF",IF(DP924=1,"external DF used","explicit C balance"))</f>
        <v>explicit C balance</v>
      </c>
      <c r="DV924">
        <v>0</v>
      </c>
      <c r="DW924">
        <v>0</v>
      </c>
      <c r="DX924">
        <v>0</v>
      </c>
      <c r="DY924">
        <v>1</v>
      </c>
      <c r="DZ924">
        <v>1</v>
      </c>
      <c r="EA924">
        <v>0</v>
      </c>
      <c r="EB924">
        <v>0</v>
      </c>
      <c r="EC924">
        <v>0</v>
      </c>
      <c r="ED924">
        <v>0</v>
      </c>
      <c r="EE924">
        <v>0</v>
      </c>
      <c r="EF924">
        <v>1</v>
      </c>
      <c r="EG924">
        <v>0</v>
      </c>
      <c r="EH924">
        <v>0</v>
      </c>
      <c r="EI924" s="2">
        <v>0</v>
      </c>
      <c r="EK924" t="str">
        <f>IF(AND(AND(AND(OR($DX924=1,$DW924=1),OR($EC924=1,$EA924=1)),SUM($DV924:$DZ924,$EF924)&gt;=4),SUM($EA924:$EE924)&gt;=2),"Whole sector","")</f>
        <v/>
      </c>
      <c r="EL924" t="str">
        <f>IF(AND(AND(OR($DX924=1,$DW924=1),AND($EC924=0,$EA924=0)),SUM($DV924:$DZ924,$EF924)&gt;=4),"Ecosystem approach","")</f>
        <v/>
      </c>
      <c r="EM924" s="2" t="str">
        <f>IF(AND(AND(AND($DX924=0,$DW924=0),OR($EC924=1,$EA924=1)),SUM($EB924:$EE924)&gt;=2),"Technology approach","")</f>
        <v/>
      </c>
      <c r="EP924" t="str">
        <f>IF(ISNUMBER(BU924),IF(ABS(BU924-[4]QC_indicators!$B$2)&gt;3*[4]QC_indicators!$C$2,"C ratio",IF(ISNUMBER(BY924),IF(ABS(BY924-[4]QC_indicators!$B$1)&gt;3*[4]QC_indicators!$C$1,"DF","no"))),IF(ISNUMBER(BY924),IF(ABS(BY924-[4]QC_indicators!$B$1)&gt;3*[4]QC_indicators!$C$1,"DF","no")))</f>
        <v>no</v>
      </c>
      <c r="ET924" s="264" t="s">
        <v>3273</v>
      </c>
    </row>
    <row r="925" spans="1:150" ht="15" customHeight="1">
      <c r="D925" t="s">
        <v>1661</v>
      </c>
      <c r="E925" t="s">
        <v>1662</v>
      </c>
      <c r="G925" t="s">
        <v>1663</v>
      </c>
      <c r="I925">
        <v>2007</v>
      </c>
      <c r="K925" t="s">
        <v>1664</v>
      </c>
      <c r="M925" t="str">
        <f>LEFT($D925,FIND(",",$D925)-1)&amp;"_"&amp;I925&amp;L925</f>
        <v>Gustavsson_2007</v>
      </c>
      <c r="N925" t="s">
        <v>222</v>
      </c>
      <c r="O925" t="s">
        <v>223</v>
      </c>
      <c r="Q925" t="s">
        <v>256</v>
      </c>
      <c r="R925" s="269" t="s">
        <v>274</v>
      </c>
      <c r="S925" s="1" t="s">
        <v>1665</v>
      </c>
      <c r="T925" t="s">
        <v>753</v>
      </c>
      <c r="U925" s="143" t="s">
        <v>1666</v>
      </c>
      <c r="V925">
        <v>0</v>
      </c>
      <c r="W925">
        <v>0</v>
      </c>
      <c r="X925">
        <v>0</v>
      </c>
      <c r="Y925">
        <v>0</v>
      </c>
      <c r="Z925">
        <v>0</v>
      </c>
      <c r="AA925">
        <v>0</v>
      </c>
      <c r="AB925">
        <v>0</v>
      </c>
      <c r="AC925">
        <v>0</v>
      </c>
      <c r="AD925">
        <v>0</v>
      </c>
      <c r="AE925">
        <v>0</v>
      </c>
      <c r="AF925">
        <v>0</v>
      </c>
      <c r="AG925">
        <v>0</v>
      </c>
      <c r="AH925">
        <v>0</v>
      </c>
      <c r="AI925">
        <v>0</v>
      </c>
      <c r="AJ925">
        <v>0</v>
      </c>
      <c r="AK925">
        <v>1</v>
      </c>
      <c r="AL925">
        <v>0</v>
      </c>
      <c r="AM925">
        <v>0</v>
      </c>
      <c r="AN925">
        <v>0</v>
      </c>
      <c r="AO925">
        <v>0</v>
      </c>
      <c r="AP925">
        <v>0</v>
      </c>
      <c r="AQ925">
        <v>0</v>
      </c>
      <c r="AR925">
        <v>0</v>
      </c>
      <c r="AS925">
        <v>0</v>
      </c>
      <c r="AT925">
        <v>0</v>
      </c>
      <c r="AU925">
        <v>0</v>
      </c>
      <c r="AV925">
        <v>0</v>
      </c>
      <c r="AW925">
        <v>0</v>
      </c>
      <c r="AX925" s="141">
        <f>COUNTIF(V925:AW925,"&lt;&gt;0")</f>
        <v>1</v>
      </c>
      <c r="AY925" s="141">
        <f>COUNTIF(V925:AL925,"&lt;&gt;0")</f>
        <v>1</v>
      </c>
      <c r="AZ925">
        <f>COUNTIF(V925:AC925,"&lt;&gt;0")</f>
        <v>0</v>
      </c>
      <c r="BA925">
        <f>COUNTIF(AD925:AI925,"&lt;&gt;0")</f>
        <v>0</v>
      </c>
      <c r="BB925">
        <f>COUNTIF(AJ925:AL925,"&lt;&gt;0")</f>
        <v>1</v>
      </c>
      <c r="BC925">
        <f>COUNTIF(AS925:AW925,"&lt;&gt;0")</f>
        <v>0</v>
      </c>
      <c r="BD925">
        <f>COUNTIF(AM925:AR925,"&lt;&gt;0")</f>
        <v>0</v>
      </c>
      <c r="BE925" t="str">
        <f t="array" ref="BE925">IF(AY925=1,INDEX($V$7:$AL$7,MATCH(TRUE,INDEX($V925:$AW925&lt;&gt;0,),0)),IF(AY925=0,INDEX($AM$7:$AW$7,MATCH(1,$AM925:$AW925,0)),IF(BF925="Multiple strategies","mixed drivers",IF(BF925="Supply chain","multiple supply","multiple silviculture"))))</f>
        <v>technologies/design switch</v>
      </c>
      <c r="BF925" s="2" t="str" cm="1">
        <f t="array" ref="BF925">IF(COUNTIF(AZ925:BB925,"&lt;&gt;0")=1,INDEX($V$4:$AW$4,MATCH(TRUE,INDEX($V925:$AW925&lt;&gt;0,),0)),IF(COUNTIF(AZ925:BB925,"&lt;&gt;0")=0,INDEX($AM$4:$AW$4,MATCH(1,$AM925:$AW925,0)),"Multiple strategies"))</f>
        <v>Technology</v>
      </c>
      <c r="BG925" s="142" t="s">
        <v>229</v>
      </c>
      <c r="BH925" t="s">
        <v>1667</v>
      </c>
      <c r="BI925" s="264" t="s">
        <v>1057</v>
      </c>
      <c r="BJ925" s="143" t="s">
        <v>3265</v>
      </c>
      <c r="BK925">
        <v>0</v>
      </c>
      <c r="BL925" s="143">
        <v>16.100000000000001</v>
      </c>
      <c r="BM925" s="143"/>
      <c r="BN925">
        <f>BL925-BK925</f>
        <v>16.100000000000001</v>
      </c>
      <c r="BO925" s="143">
        <f>1000*BL925/15.3/400</f>
        <v>2.630718954248366</v>
      </c>
      <c r="BP925" t="s">
        <v>232</v>
      </c>
      <c r="BQ925" s="336"/>
      <c r="BR925" t="s">
        <v>938</v>
      </c>
      <c r="BS925" s="143">
        <v>-1</v>
      </c>
      <c r="BT925" s="151">
        <v>0</v>
      </c>
      <c r="BU925">
        <v>0</v>
      </c>
      <c r="BV925">
        <v>1</v>
      </c>
      <c r="BX925">
        <f>BV925*C_to_CO2</f>
        <v>3.67</v>
      </c>
      <c r="BY925">
        <f>IFERROR(BX925/BO925,"")</f>
        <v>1.3950559006211181</v>
      </c>
      <c r="BZ925" s="143">
        <v>0</v>
      </c>
      <c r="CA925" s="143">
        <v>0</v>
      </c>
      <c r="CB925" s="143">
        <v>0</v>
      </c>
      <c r="CC925" s="143">
        <v>0</v>
      </c>
      <c r="CD925" s="143">
        <v>0</v>
      </c>
      <c r="CE925" s="143">
        <v>0</v>
      </c>
      <c r="CF925" s="143">
        <v>0</v>
      </c>
      <c r="CG925" s="143">
        <v>0</v>
      </c>
      <c r="CH925" s="143">
        <v>0</v>
      </c>
      <c r="CI925" s="143">
        <v>0</v>
      </c>
      <c r="CJ925" s="143">
        <v>0</v>
      </c>
      <c r="CK925" s="143">
        <v>0</v>
      </c>
      <c r="CL925" s="143">
        <v>0</v>
      </c>
      <c r="CM925">
        <v>1</v>
      </c>
      <c r="CN925" t="str">
        <f>IF($BL925&lt;$BK925,"refNeedCorrection","refOK")</f>
        <v>refOK</v>
      </c>
      <c r="CO925">
        <f>IF($CN925="refOK",$BK925,$BL925)</f>
        <v>0</v>
      </c>
      <c r="CP925">
        <f>IF($CN925="refOK",$BL925,$BK925)</f>
        <v>16.100000000000001</v>
      </c>
      <c r="CQ925">
        <f>IF($CN925="refOK",$BO925,-$BO925)</f>
        <v>2.630718954248366</v>
      </c>
      <c r="CR925">
        <f>IF($CN925="refOK",$BS925,$BT925)*IF($BP925="Emissions positive",-1,1)</f>
        <v>-1</v>
      </c>
      <c r="CS925">
        <f>IF($CN925="refOK",$BT925,$BS925)*IF($BP925="Emissions positive",-1,1)</f>
        <v>0</v>
      </c>
      <c r="CT925">
        <f>IF($CN925="refNeedCorrection",-BX925,BX925)*IF($BP925="Emissions positive",-1,1)</f>
        <v>3.67</v>
      </c>
      <c r="CU925">
        <f>IFERROR(CT925/CQ925,"")</f>
        <v>1.3950559006211181</v>
      </c>
      <c r="CV925" s="2">
        <f>IFERROR((CS925-CR925)/ABS(CR925),"")</f>
        <v>1</v>
      </c>
      <c r="CW925" s="1" t="s">
        <v>1203</v>
      </c>
      <c r="CX925" t="str">
        <f>IF(OR($CW925="prd",$CW925="std",$CW925="cit"),"loc",IF(OR($CW925="eur",$CW925="reg",$CW925="coy"),"reg",$CW925))</f>
        <v>reg</v>
      </c>
      <c r="CY925" t="s">
        <v>444</v>
      </c>
      <c r="DA925" s="143"/>
      <c r="DB925" s="143">
        <v>0</v>
      </c>
      <c r="DC925" t="str">
        <f>IF(DB925=0,"0",IF(AND(DB925&gt;=1,DB925&lt;=30),"1-30",IF(AND(DB925&gt;30,DB925&lt;=70),"31-70",IF(AND(DB925&gt;70,DB925&lt;=100),"71-100",IF(DB925&gt;100,"+100")))))</f>
        <v>0</v>
      </c>
      <c r="DD925">
        <v>0</v>
      </c>
      <c r="DE925">
        <v>0</v>
      </c>
      <c r="DF925">
        <v>0</v>
      </c>
      <c r="DG925">
        <v>1</v>
      </c>
      <c r="DI925">
        <f>SUM(DD925:DG925)</f>
        <v>1</v>
      </c>
      <c r="DJ925" t="str">
        <f>IF(DI925=1,INDEX($DD$7:$DG$7,MATCH(1,$DD925:$DG925,0)),"mixedProduct")</f>
        <v>TimberInput</v>
      </c>
      <c r="DK925">
        <f>IF(DD925=1,DK$7,0)</f>
        <v>0</v>
      </c>
      <c r="DL925">
        <f>IF(DE925=1,DL$7,0)</f>
        <v>0</v>
      </c>
      <c r="DM925">
        <f>IF(DF925=1,DM$7,0)</f>
        <v>0</v>
      </c>
      <c r="DN925" t="str">
        <f>IF(DG925=1,DN$7,0)</f>
        <v>Timber</v>
      </c>
      <c r="DO925">
        <v>0</v>
      </c>
      <c r="DP925" s="143">
        <v>0</v>
      </c>
      <c r="DQ925" s="143">
        <v>0</v>
      </c>
      <c r="DR925">
        <v>0</v>
      </c>
      <c r="DS925" s="143">
        <v>0</v>
      </c>
      <c r="DT925">
        <f>SUM(DO925:DP925)</f>
        <v>0</v>
      </c>
      <c r="DU925" s="143" t="str">
        <f>IF(DO925=1,"self-calculated DF",IF(DP925=1,"external DF used","explicit C balance"))</f>
        <v>explicit C balance</v>
      </c>
      <c r="DV925" s="143">
        <v>0</v>
      </c>
      <c r="DW925" s="143">
        <v>0</v>
      </c>
      <c r="DX925" s="143">
        <v>0</v>
      </c>
      <c r="DY925" s="143">
        <v>1</v>
      </c>
      <c r="DZ925">
        <v>0</v>
      </c>
      <c r="EA925" s="143">
        <v>0</v>
      </c>
      <c r="EB925" s="143">
        <v>0</v>
      </c>
      <c r="EC925" s="143">
        <v>1</v>
      </c>
      <c r="ED925" s="143">
        <v>0</v>
      </c>
      <c r="EE925">
        <v>0</v>
      </c>
      <c r="EF925">
        <v>0</v>
      </c>
      <c r="EG925" s="143">
        <v>0</v>
      </c>
      <c r="EH925" s="143">
        <v>0</v>
      </c>
      <c r="EI925" s="2">
        <v>0</v>
      </c>
      <c r="EK925" t="str">
        <f>IF(AND(AND(AND(OR($DX925=1,$DW925=1),OR($EC925=1,$EA925=1)),SUM($DV925:$DZ925,$EF925)&gt;=4),SUM($EA925:$EE925)&gt;=2),"Whole sector","")</f>
        <v/>
      </c>
      <c r="EL925" t="str">
        <f>IF(AND(AND(OR($DX925=1,$DW925=1),AND($EC925=0,$EA925=0)),SUM($DV925:$DZ925,$EF925)&gt;=4),"Ecosystem approach","")</f>
        <v/>
      </c>
      <c r="EM925" s="2" t="str">
        <f>IF(AND(AND(AND($DX925=0,$DW925=0),OR($EC925=1,$EA925=1)),SUM($EB925:$EE925)&gt;=2),"Technology approach","")</f>
        <v/>
      </c>
      <c r="EP925" t="str">
        <f>IF(ISNUMBER(BU925),IF(ABS(BU925-[2]QC_indicators!$B$2)&gt;3*[2]QC_indicators!$C$2,"C ratio",IF(ISNUMBER(BY925),IF(ABS(BY925-[2]QC_indicators!$B$1)&gt;3*[2]QC_indicators!$C$1,"DF","no"))),IF(ISNUMBER(BY925),IF(ABS(BY925-[2]QC_indicators!$B$1)&gt;3*[2]QC_indicators!$C$1,"DF","no")))</f>
        <v>no</v>
      </c>
      <c r="ER925" s="149" t="s">
        <v>349</v>
      </c>
      <c r="ET925" s="264" t="s">
        <v>3266</v>
      </c>
    </row>
    <row r="926" spans="1:150" ht="15" customHeight="1">
      <c r="A926" s="1" t="s">
        <v>1045</v>
      </c>
      <c r="B926" t="s">
        <v>1046</v>
      </c>
      <c r="C926" t="s">
        <v>1047</v>
      </c>
      <c r="D926" t="s">
        <v>1048</v>
      </c>
      <c r="E926" t="s">
        <v>1049</v>
      </c>
      <c r="F926" t="s">
        <v>1050</v>
      </c>
      <c r="G926" t="s">
        <v>1051</v>
      </c>
      <c r="H926" t="s">
        <v>254</v>
      </c>
      <c r="I926">
        <v>2014</v>
      </c>
      <c r="J926">
        <v>23</v>
      </c>
      <c r="K926" t="s">
        <v>1052</v>
      </c>
      <c r="M926" t="str">
        <f>LEFT($D926,FIND(",",$D926)-1)&amp;"_"&amp;I926&amp;L926</f>
        <v>Pyorala_2014</v>
      </c>
      <c r="N926" t="s">
        <v>222</v>
      </c>
      <c r="O926" s="171" t="s">
        <v>341</v>
      </c>
      <c r="P926" t="s">
        <v>225</v>
      </c>
      <c r="Q926" s="264" t="s">
        <v>389</v>
      </c>
      <c r="R926" s="269" t="s">
        <v>1154</v>
      </c>
      <c r="S926" s="263" t="s">
        <v>95</v>
      </c>
      <c r="T926" s="264" t="s">
        <v>1079</v>
      </c>
      <c r="U926" s="264" t="s">
        <v>1080</v>
      </c>
      <c r="V926">
        <v>0</v>
      </c>
      <c r="W926">
        <v>0</v>
      </c>
      <c r="X926">
        <v>0</v>
      </c>
      <c r="Y926">
        <v>0</v>
      </c>
      <c r="Z926">
        <v>0</v>
      </c>
      <c r="AA926">
        <v>0</v>
      </c>
      <c r="AB926">
        <v>0</v>
      </c>
      <c r="AC926">
        <v>1</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s="141">
        <f>COUNTIF(V926:AW926,"&lt;&gt;0")</f>
        <v>1</v>
      </c>
      <c r="AY926" s="141">
        <f>COUNTIF(V926:AL926,"&lt;&gt;0")</f>
        <v>1</v>
      </c>
      <c r="AZ926">
        <f>COUNTIF(V926:AC926,"&lt;&gt;0")</f>
        <v>1</v>
      </c>
      <c r="BA926">
        <f>COUNTIF(AD926:AI926,"&lt;&gt;0")</f>
        <v>0</v>
      </c>
      <c r="BB926">
        <f>COUNTIF(AJ926:AL926,"&lt;&gt;0")</f>
        <v>0</v>
      </c>
      <c r="BC926">
        <f>COUNTIF(AS926:AW926,"&lt;&gt;0")</f>
        <v>0</v>
      </c>
      <c r="BD926">
        <f>COUNTIF(AM926:AR926,"&lt;&gt;0")</f>
        <v>0</v>
      </c>
      <c r="BE926" t="str" cm="1">
        <f t="array" ref="BE926">IF(AY926=1,INDEX($V$7:$AL$7,MATCH(TRUE,INDEX($V926:$AW926&lt;&gt;0,),0)),IF(AY926=0,INDEX($AM$7:$AW$7,MATCH(1,$AM926:$AW926,0)),IF(BF926="Multiple strategies","mixed drivers",IF(BF926="Supply chain","multiple supply","multiple silviculture"))))</f>
        <v>site fertility</v>
      </c>
      <c r="BF926" s="2" t="str" cm="1">
        <f t="array" ref="BF926">IF(COUNTIF(AZ926:BB926,"&lt;&gt;0")=1,INDEX($V$4:$AW$4,MATCH(TRUE,INDEX($V926:$AW926&lt;&gt;0,),0)),IF(COUNTIF(AZ926:BB926,"&lt;&gt;0")=0,INDEX($AM$4:$AW$4,MATCH(1,$AM926:$AW926,0)),"Multiple strategies"))</f>
        <v>Silviculture for productivity</v>
      </c>
      <c r="BG926" s="1" t="s">
        <v>321</v>
      </c>
      <c r="BH926" t="s">
        <v>1056</v>
      </c>
      <c r="BI926" s="264" t="s">
        <v>1057</v>
      </c>
      <c r="BJ926" s="264" t="s">
        <v>1058</v>
      </c>
      <c r="BK926">
        <v>5.2</v>
      </c>
      <c r="BL926">
        <v>6.1</v>
      </c>
      <c r="BM926" t="str">
        <f>IFERROR(BK926/#REF!,"")</f>
        <v/>
      </c>
      <c r="BN926">
        <f>BL926-BK926</f>
        <v>0.89999999999999947</v>
      </c>
      <c r="BO926">
        <f>BN926*t_to_m3</f>
        <v>1.83673469387755</v>
      </c>
      <c r="BP926" t="s">
        <v>395</v>
      </c>
      <c r="BQ926" s="301" t="s">
        <v>581</v>
      </c>
      <c r="BR926" t="s">
        <v>1059</v>
      </c>
      <c r="BS926" s="172">
        <v>-200.5</v>
      </c>
      <c r="BT926" s="172">
        <v>-460.5</v>
      </c>
      <c r="BU926" s="144"/>
      <c r="BV926">
        <f>BT926-BS926</f>
        <v>-260</v>
      </c>
      <c r="BX926">
        <f>BV926*10^-6*10^4</f>
        <v>-2.5999999999999996</v>
      </c>
      <c r="BY926">
        <f>IFERROR(BX926/BO926,"")</f>
        <v>-1.4155555555555561</v>
      </c>
      <c r="BZ926">
        <v>0</v>
      </c>
      <c r="CA926">
        <v>0</v>
      </c>
      <c r="CB926">
        <v>0</v>
      </c>
      <c r="CC926">
        <v>0</v>
      </c>
      <c r="CD926">
        <v>0</v>
      </c>
      <c r="CE926">
        <v>0</v>
      </c>
      <c r="CF926">
        <v>0</v>
      </c>
      <c r="CG926">
        <v>0</v>
      </c>
      <c r="CH926">
        <v>0</v>
      </c>
      <c r="CI926">
        <v>0</v>
      </c>
      <c r="CJ926">
        <v>0</v>
      </c>
      <c r="CK926">
        <v>0</v>
      </c>
      <c r="CL926">
        <v>0</v>
      </c>
      <c r="CM926">
        <v>0</v>
      </c>
      <c r="CN926" t="str">
        <f>IF($BL926&lt;$BK926,"refNeedCorrection","refOK")</f>
        <v>refOK</v>
      </c>
      <c r="CO926">
        <f>IF($CN926="refOK",$BK926,$BL926)</f>
        <v>5.2</v>
      </c>
      <c r="CP926">
        <f>IF($CN926="refOK",$BL926,$BK926)</f>
        <v>6.1</v>
      </c>
      <c r="CQ926">
        <f>IF($CN926="refOK",$BO926,-$BO926)</f>
        <v>1.83673469387755</v>
      </c>
      <c r="CR926">
        <f>IF($CN926="refOK",$BS926,$BT926)*IF($BP926="Emissions positive",-1,1)</f>
        <v>200.5</v>
      </c>
      <c r="CS926">
        <f>IF($CN926="refOK",$BT926,$BS926)*IF($BP926="Emissions positive",-1,1)</f>
        <v>460.5</v>
      </c>
      <c r="CT926">
        <f>IF($CN926="refNeedCorrection",-BX926,BX926)*IF($BP926="Emissions positive",-1,1)</f>
        <v>2.5999999999999996</v>
      </c>
      <c r="CU926">
        <f>IFERROR(CT926/CQ926,"")</f>
        <v>1.4155555555555561</v>
      </c>
      <c r="CV926" s="2">
        <f>IFERROR((CS926-CR926)/ABS(CR926),"")</f>
        <v>1.2967581047381547</v>
      </c>
      <c r="CW926" s="1" t="s">
        <v>263</v>
      </c>
      <c r="CX926" s="264" t="str">
        <f>IF(OR($CW926="prd",$CW926="std",$CW926="cit"),"loc",IF(OR($CW926="eur",$CW926="reg",$CW926="coy"),"reg",$CW926))</f>
        <v>loc</v>
      </c>
      <c r="CY926" t="s">
        <v>235</v>
      </c>
      <c r="DB926">
        <v>80</v>
      </c>
      <c r="DC926" t="str">
        <f>IF(DB926=0,"0",IF(AND(DB926&gt;=1,DB926&lt;=30),"1-30",IF(AND(DB926&gt;30,DB926&lt;=70),"31-70",IF(AND(DB926&gt;70,DB926&lt;=100),"71-100",IF(DB926&gt;100,"+100")))))</f>
        <v>71-100</v>
      </c>
      <c r="DD926">
        <v>0</v>
      </c>
      <c r="DE926">
        <v>1</v>
      </c>
      <c r="DF926">
        <v>0</v>
      </c>
      <c r="DG926">
        <v>1</v>
      </c>
      <c r="DI926">
        <f>SUM(DD926:DG926)</f>
        <v>2</v>
      </c>
      <c r="DJ926" t="str">
        <f>IF(DI926=1,INDEX($DD$7:$DG$7,MATCH(1,$DD926:$DG926,0)),"mixedProduct")</f>
        <v>mixedProduct</v>
      </c>
      <c r="DK926">
        <f>IF(DD926=1,DK$7,0)</f>
        <v>0</v>
      </c>
      <c r="DL926" t="str">
        <f>IF(DE926=1,DL$7,0)</f>
        <v>Energy</v>
      </c>
      <c r="DM926">
        <f>IF(DF926=1,DM$7,0)</f>
        <v>0</v>
      </c>
      <c r="DN926" t="str">
        <f>IF(DG926=1,DN$7,0)</f>
        <v>Timber</v>
      </c>
      <c r="DO926">
        <v>0</v>
      </c>
      <c r="DP926">
        <v>1</v>
      </c>
      <c r="DQ926" t="s">
        <v>1060</v>
      </c>
      <c r="DT926">
        <f>SUM(DO926:DP926)</f>
        <v>1</v>
      </c>
      <c r="DU926" s="143" t="str">
        <f>IF(DO926=1,"self-calculated DF",IF(DP926=1,"external DF used","explicit C balance"))</f>
        <v>external DF used</v>
      </c>
      <c r="DV926">
        <v>1</v>
      </c>
      <c r="DW926">
        <v>1</v>
      </c>
      <c r="DX926">
        <v>1</v>
      </c>
      <c r="DY926">
        <v>0</v>
      </c>
      <c r="DZ926">
        <v>0</v>
      </c>
      <c r="EA926" s="143">
        <v>0</v>
      </c>
      <c r="EB926">
        <v>1</v>
      </c>
      <c r="EC926">
        <v>1</v>
      </c>
      <c r="ED926">
        <v>0</v>
      </c>
      <c r="EE926">
        <v>0</v>
      </c>
      <c r="EF926">
        <v>1</v>
      </c>
      <c r="EG926" s="143">
        <v>0</v>
      </c>
      <c r="EH926" s="143">
        <v>0</v>
      </c>
      <c r="EI926" s="2">
        <v>0</v>
      </c>
      <c r="EK926" t="str">
        <f>IF(AND(AND(AND(OR($DX926=1,$DW926=1),OR($EC926=1,$EA926=1)),SUM($DV926:$DZ926,$EF926)&gt;=4),SUM($EA926:$EE926)&gt;=2),"Whole sector","")</f>
        <v>Whole sector</v>
      </c>
      <c r="EL926" t="str">
        <f>IF(AND(AND(OR($DX926=1,$DW926=1),AND($EC926=0,$EA926=0)),SUM($DV926:$DZ926,$EF926)&gt;=4),"Ecosystem approach","")</f>
        <v/>
      </c>
      <c r="EM926" s="2" t="str">
        <f>IF(AND(AND(AND($DX926=0,$DW926=0),OR($EC926=1,$EA926=1)),SUM($EB926:$EE926)&gt;=2),"Technology approach","")</f>
        <v/>
      </c>
      <c r="EP926" t="str">
        <f>IF(ISNUMBER(BU926),IF(ABS(BU926-[3]QC_indicators!$B$2)&gt;3*[3]QC_indicators!$C$2,"C ratio",IF(ISNUMBER(BY926),IF(ABS(BY926-[3]QC_indicators!$B$1)&gt;3*[3]QC_indicators!$C$1,"DF","no"))),IF(ISNUMBER(BY926),IF(ABS(BY926-[3]QC_indicators!$B$1)&gt;3*[3]QC_indicators!$C$1,"DF","no")))</f>
        <v>no</v>
      </c>
      <c r="ER926" s="264" t="s">
        <v>1070</v>
      </c>
      <c r="ET926" s="264" t="s">
        <v>3407</v>
      </c>
    </row>
    <row r="927" spans="1:150" ht="15" customHeight="1">
      <c r="A927" s="1" t="s">
        <v>545</v>
      </c>
      <c r="B927" t="s">
        <v>546</v>
      </c>
      <c r="C927" t="s">
        <v>547</v>
      </c>
      <c r="D927" t="s">
        <v>548</v>
      </c>
      <c r="E927" t="s">
        <v>549</v>
      </c>
      <c r="F927" t="s">
        <v>550</v>
      </c>
      <c r="G927" t="s">
        <v>551</v>
      </c>
      <c r="H927" t="s">
        <v>254</v>
      </c>
      <c r="I927">
        <v>2017</v>
      </c>
      <c r="J927">
        <v>3</v>
      </c>
      <c r="K927" t="s">
        <v>552</v>
      </c>
      <c r="M927" t="str">
        <f>LEFT($D927,FIND(",",$D927)-1)&amp;"_"&amp;I927&amp;L927</f>
        <v>Crafford_2017</v>
      </c>
      <c r="N927" t="s">
        <v>222</v>
      </c>
      <c r="O927" s="145" t="s">
        <v>223</v>
      </c>
      <c r="Q927" t="s">
        <v>256</v>
      </c>
      <c r="R927" s="255" t="s">
        <v>225</v>
      </c>
      <c r="S927" s="1" t="s">
        <v>559</v>
      </c>
      <c r="T927" t="s">
        <v>560</v>
      </c>
      <c r="U927" t="s">
        <v>555</v>
      </c>
      <c r="V927">
        <v>0</v>
      </c>
      <c r="W927">
        <v>0</v>
      </c>
      <c r="X927">
        <v>0</v>
      </c>
      <c r="Y927">
        <v>0</v>
      </c>
      <c r="Z927">
        <v>0</v>
      </c>
      <c r="AA927">
        <v>0</v>
      </c>
      <c r="AB927">
        <v>0</v>
      </c>
      <c r="AC927">
        <v>0</v>
      </c>
      <c r="AD927">
        <v>0</v>
      </c>
      <c r="AE927">
        <v>0</v>
      </c>
      <c r="AF927">
        <v>0</v>
      </c>
      <c r="AG927">
        <v>0</v>
      </c>
      <c r="AH927">
        <v>0</v>
      </c>
      <c r="AI927">
        <v>0</v>
      </c>
      <c r="AJ927">
        <v>0</v>
      </c>
      <c r="AK927">
        <v>1</v>
      </c>
      <c r="AL927">
        <v>0</v>
      </c>
      <c r="AM927">
        <v>0</v>
      </c>
      <c r="AN927">
        <v>0</v>
      </c>
      <c r="AO927">
        <v>0</v>
      </c>
      <c r="AP927">
        <v>0</v>
      </c>
      <c r="AQ927">
        <v>0</v>
      </c>
      <c r="AR927">
        <v>0</v>
      </c>
      <c r="AS927">
        <v>0</v>
      </c>
      <c r="AT927">
        <v>0</v>
      </c>
      <c r="AU927">
        <v>0</v>
      </c>
      <c r="AV927">
        <v>0</v>
      </c>
      <c r="AW927">
        <v>0</v>
      </c>
      <c r="AX927" s="141">
        <f>COUNTIF(V927:AW927,"&lt;&gt;0")</f>
        <v>1</v>
      </c>
      <c r="AY927" s="141">
        <f>COUNTIF(V927:AL927,"&lt;&gt;0")</f>
        <v>1</v>
      </c>
      <c r="AZ927">
        <f>COUNTIF(V927:AC927,"&lt;&gt;0")</f>
        <v>0</v>
      </c>
      <c r="BA927">
        <f>COUNTIF(AD927:AI927,"&lt;&gt;0")</f>
        <v>0</v>
      </c>
      <c r="BB927">
        <f>COUNTIF(AJ927:AL927,"&lt;&gt;0")</f>
        <v>1</v>
      </c>
      <c r="BC927">
        <f>COUNTIF(AS927:AW927,"&lt;&gt;0")</f>
        <v>0</v>
      </c>
      <c r="BD927">
        <f>COUNTIF(AM927:AR927,"&lt;&gt;0")</f>
        <v>0</v>
      </c>
      <c r="BE927" t="str">
        <f t="array" ref="BE927">IF(AY927=1,INDEX($V$7:$AL$7,MATCH(TRUE,INDEX($V927:$AW927&lt;&gt;0,),0)),IF(AY927=0,INDEX($AM$7:$AW$7,MATCH(1,$AM927:$AW927,0)),IF(BF927="Multiple strategies","mixed drivers",IF(BF927="Supply chain","multiple supply","multiple silviculture"))))</f>
        <v>technologies/design switch</v>
      </c>
      <c r="BF927" s="2" t="str" cm="1">
        <f t="array" ref="BF927">IF(COUNTIF(AZ927:BB927,"&lt;&gt;0")=1,INDEX($V$4:$AW$4,MATCH(TRUE,INDEX($V927:$AW927&lt;&gt;0,),0)),IF(COUNTIF(AZ927:BB927,"&lt;&gt;0")=0,INDEX($AM$4:$AW$4,MATCH(1,$AM927:$AW927,0)),"Multiple strategies"))</f>
        <v>Technology</v>
      </c>
      <c r="BG927" s="1" t="s">
        <v>229</v>
      </c>
      <c r="BH927" t="s">
        <v>556</v>
      </c>
      <c r="BI927" t="s">
        <v>424</v>
      </c>
      <c r="BJ927" t="s">
        <v>498</v>
      </c>
      <c r="BK927">
        <v>0</v>
      </c>
      <c r="BL927">
        <v>1.33</v>
      </c>
      <c r="BN927">
        <f>BL927-BK927</f>
        <v>1.33</v>
      </c>
      <c r="BO927">
        <f>BN927</f>
        <v>1.33</v>
      </c>
      <c r="BP927" t="s">
        <v>232</v>
      </c>
      <c r="BQ927" s="300" t="s">
        <v>3296</v>
      </c>
      <c r="BR927" t="s">
        <v>397</v>
      </c>
      <c r="BS927">
        <v>-988</v>
      </c>
      <c r="BT927">
        <v>919</v>
      </c>
      <c r="BU927" s="144">
        <v>-0.93016194331983804</v>
      </c>
      <c r="BV927">
        <v>1907</v>
      </c>
      <c r="BX927">
        <f>BV927/1000</f>
        <v>1.907</v>
      </c>
      <c r="BY927">
        <f>IFERROR(BX927/BO927,"")</f>
        <v>1.4338345864661655</v>
      </c>
      <c r="BZ927">
        <v>1</v>
      </c>
      <c r="CA927">
        <v>0</v>
      </c>
      <c r="CB927">
        <v>0</v>
      </c>
      <c r="CC927">
        <v>0</v>
      </c>
      <c r="CD927">
        <v>0</v>
      </c>
      <c r="CE927">
        <v>0</v>
      </c>
      <c r="CF927">
        <v>0</v>
      </c>
      <c r="CG927">
        <v>0</v>
      </c>
      <c r="CH927">
        <v>0</v>
      </c>
      <c r="CI927">
        <v>0</v>
      </c>
      <c r="CJ927">
        <v>0</v>
      </c>
      <c r="CK927">
        <v>0</v>
      </c>
      <c r="CL927">
        <v>0</v>
      </c>
      <c r="CM927">
        <v>0</v>
      </c>
      <c r="CN927" t="str">
        <f>IF($BL927&lt;$BK927,"refNeedCorrection","refOK")</f>
        <v>refOK</v>
      </c>
      <c r="CO927">
        <f>IF($CN927="refOK",$BK927,$BL927)</f>
        <v>0</v>
      </c>
      <c r="CP927">
        <f>IF($CN927="refOK",$BL927,$BK927)</f>
        <v>1.33</v>
      </c>
      <c r="CQ927">
        <f>IF($CN927="refOK",$BO927,-$BO927)</f>
        <v>1.33</v>
      </c>
      <c r="CR927">
        <f>IF($CN927="refOK",$BS927,$BT927)*IF($BP927="Emissions positive",-1,1)</f>
        <v>-988</v>
      </c>
      <c r="CS927">
        <f>IF($CN927="refOK",$BT927,$BS927)*IF($BP927="Emissions positive",-1,1)</f>
        <v>919</v>
      </c>
      <c r="CT927">
        <f>IF($CN927="refNeedCorrection",-BX927,BX927)*IF($BP927="Emissions positive",-1,1)</f>
        <v>1.907</v>
      </c>
      <c r="CU927">
        <f>IFERROR(CT927/CQ927,"")</f>
        <v>1.4338345864661655</v>
      </c>
      <c r="CV927" s="2">
        <f>IFERROR((CS927-CR927)/ABS(CR927),"")</f>
        <v>1.930161943319838</v>
      </c>
      <c r="CW927" s="1" t="s">
        <v>263</v>
      </c>
      <c r="CX927" t="str">
        <f>IF(OR($CW927="prd",$CW927="std",$CW927="cit"),"loc",IF(OR($CW927="eur",$CW927="reg",$CW927="coy"),"reg",$CW927))</f>
        <v>loc</v>
      </c>
      <c r="CY927" t="s">
        <v>557</v>
      </c>
      <c r="DB927">
        <v>0</v>
      </c>
      <c r="DC927" t="str">
        <f>IF(DB927=0,"0",IF(AND(DB927&gt;=1,DB927&lt;=30),"1-30",IF(AND(DB927&gt;30,DB927&lt;=70),"31-70",IF(AND(DB927&gt;70,DB927&lt;=100),"71-100",IF(DB927&gt;100,"+100")))))</f>
        <v>0</v>
      </c>
      <c r="DD927">
        <v>0</v>
      </c>
      <c r="DE927">
        <v>0</v>
      </c>
      <c r="DF927">
        <v>0</v>
      </c>
      <c r="DG927">
        <v>1</v>
      </c>
      <c r="DI927">
        <f>SUM(DD927:DG927)</f>
        <v>1</v>
      </c>
      <c r="DJ927" t="str">
        <f>IF(DI927=1,INDEX($DD$7:$DG$7,MATCH(1,$DD927:$DG927,0)),"mixedProduct")</f>
        <v>TimberInput</v>
      </c>
      <c r="DK927">
        <f>IF(DD927=1,DK$7,0)</f>
        <v>0</v>
      </c>
      <c r="DL927">
        <f>IF(DE927=1,DL$7,0)</f>
        <v>0</v>
      </c>
      <c r="DM927">
        <f>IF(DF927=1,DM$7,0)</f>
        <v>0</v>
      </c>
      <c r="DN927" t="str">
        <f>IF(DG927=1,DN$7,0)</f>
        <v>Timber</v>
      </c>
      <c r="DO927">
        <v>0</v>
      </c>
      <c r="DP927">
        <v>0</v>
      </c>
      <c r="DQ927">
        <v>0</v>
      </c>
      <c r="DR927">
        <v>0</v>
      </c>
      <c r="DS927">
        <v>0</v>
      </c>
      <c r="DT927">
        <f>SUM(DO927:DP927)</f>
        <v>0</v>
      </c>
      <c r="DU927" s="143" t="str">
        <f>IF(DO927=1,"self-calculated DF",IF(DP927=1,"external DF used","explicit C balance"))</f>
        <v>explicit C balance</v>
      </c>
      <c r="DV927">
        <v>0</v>
      </c>
      <c r="DW927">
        <v>0</v>
      </c>
      <c r="DX927">
        <v>0</v>
      </c>
      <c r="DY927">
        <v>1</v>
      </c>
      <c r="DZ927">
        <v>0</v>
      </c>
      <c r="EA927" s="143">
        <v>0</v>
      </c>
      <c r="EB927">
        <v>0</v>
      </c>
      <c r="EC927">
        <v>1</v>
      </c>
      <c r="ED927">
        <v>0</v>
      </c>
      <c r="EE927">
        <v>1</v>
      </c>
      <c r="EF927">
        <v>0</v>
      </c>
      <c r="EG927">
        <v>0</v>
      </c>
      <c r="EH927">
        <v>0</v>
      </c>
      <c r="EI927" s="2">
        <v>0</v>
      </c>
      <c r="EK927" t="str">
        <f>IF(AND(AND(AND(OR($DX927=1,$DW927=1),OR($EC927=1,$EA927=1)),SUM($DV927:$DZ927,$EF927)&gt;=4),SUM($EA927:$EE927)&gt;=2),"Whole sector","")</f>
        <v/>
      </c>
      <c r="EL927" t="str">
        <f>IF(AND(AND(OR($DX927=1,$DW927=1),AND($EC927=0,$EA927=0)),SUM($DV927:$DZ927,$EF927)&gt;=4),"Ecosystem approach","")</f>
        <v/>
      </c>
      <c r="EM927" s="2" t="str">
        <f>IF(AND(AND(AND($DX927=0,$DW927=0),OR($EC927=1,$EA927=1)),SUM($EB927:$EE927)&gt;=2),"Technology approach","")</f>
        <v>Technology approach</v>
      </c>
      <c r="EP927" t="str">
        <f>IF(ISNUMBER(BU927),IF(ABS(BU927-[4]QC_indicators!$B$2)&gt;3*[4]QC_indicators!$C$2,"C ratio",IF(ISNUMBER(BY927),IF(ABS(BY927-[4]QC_indicators!$B$1)&gt;3*[4]QC_indicators!$C$1,"DF","no"))),IF(ISNUMBER(BY927),IF(ABS(BY927-[4]QC_indicators!$B$1)&gt;3*[4]QC_indicators!$C$1,"DF","no")))</f>
        <v>no</v>
      </c>
      <c r="ER927" s="149" t="s">
        <v>349</v>
      </c>
      <c r="ET927" s="264" t="s">
        <v>3273</v>
      </c>
    </row>
    <row r="928" spans="1:150" ht="15" customHeight="1">
      <c r="D928" t="s">
        <v>1661</v>
      </c>
      <c r="E928" t="s">
        <v>1662</v>
      </c>
      <c r="G928" t="s">
        <v>1663</v>
      </c>
      <c r="I928">
        <v>2007</v>
      </c>
      <c r="K928" t="s">
        <v>1664</v>
      </c>
      <c r="M928" t="str">
        <f>LEFT($D928,FIND(",",$D928)-1)&amp;"_"&amp;I928&amp;L928</f>
        <v>Gustavsson_2007</v>
      </c>
      <c r="N928" t="s">
        <v>222</v>
      </c>
      <c r="O928" t="s">
        <v>223</v>
      </c>
      <c r="Q928" t="s">
        <v>256</v>
      </c>
      <c r="R928" s="269" t="s">
        <v>274</v>
      </c>
      <c r="S928" s="1" t="s">
        <v>1665</v>
      </c>
      <c r="T928" t="s">
        <v>1668</v>
      </c>
      <c r="U928" s="264" t="s">
        <v>1669</v>
      </c>
      <c r="V928">
        <v>0</v>
      </c>
      <c r="W928">
        <v>0</v>
      </c>
      <c r="X928">
        <v>0</v>
      </c>
      <c r="Y928">
        <v>0</v>
      </c>
      <c r="Z928">
        <v>0</v>
      </c>
      <c r="AA928">
        <v>0</v>
      </c>
      <c r="AB928">
        <v>0</v>
      </c>
      <c r="AC928">
        <v>0</v>
      </c>
      <c r="AD928">
        <v>0</v>
      </c>
      <c r="AE928">
        <v>0</v>
      </c>
      <c r="AF928">
        <v>0</v>
      </c>
      <c r="AG928">
        <v>0</v>
      </c>
      <c r="AH928">
        <v>0</v>
      </c>
      <c r="AI928">
        <v>0</v>
      </c>
      <c r="AJ928">
        <v>0</v>
      </c>
      <c r="AK928">
        <v>1</v>
      </c>
      <c r="AL928">
        <v>0</v>
      </c>
      <c r="AM928">
        <v>0</v>
      </c>
      <c r="AN928">
        <v>0</v>
      </c>
      <c r="AO928">
        <v>0</v>
      </c>
      <c r="AP928">
        <v>0</v>
      </c>
      <c r="AQ928">
        <v>0</v>
      </c>
      <c r="AR928">
        <v>0</v>
      </c>
      <c r="AS928">
        <v>0</v>
      </c>
      <c r="AT928">
        <v>0</v>
      </c>
      <c r="AU928">
        <v>0</v>
      </c>
      <c r="AV928">
        <v>0</v>
      </c>
      <c r="AW928">
        <v>0</v>
      </c>
      <c r="AX928" s="141">
        <f>COUNTIF(V928:AW928,"&lt;&gt;0")</f>
        <v>1</v>
      </c>
      <c r="AY928" s="141">
        <f>COUNTIF(V928:AL928,"&lt;&gt;0")</f>
        <v>1</v>
      </c>
      <c r="AZ928">
        <f>COUNTIF(V928:AC928,"&lt;&gt;0")</f>
        <v>0</v>
      </c>
      <c r="BA928">
        <f>COUNTIF(AD928:AI928,"&lt;&gt;0")</f>
        <v>0</v>
      </c>
      <c r="BB928">
        <f>COUNTIF(AJ928:AL928,"&lt;&gt;0")</f>
        <v>1</v>
      </c>
      <c r="BC928">
        <f>COUNTIF(AS928:AW928,"&lt;&gt;0")</f>
        <v>0</v>
      </c>
      <c r="BD928">
        <f>COUNTIF(AM928:AR928,"&lt;&gt;0")</f>
        <v>0</v>
      </c>
      <c r="BE928" t="str">
        <f t="array" ref="BE928">IF(AY928=1,INDEX($V$7:$AL$7,MATCH(TRUE,INDEX($V928:$AW928&lt;&gt;0,),0)),IF(AY928=0,INDEX($AM$7:$AW$7,MATCH(1,$AM928:$AW928,0)),IF(BF928="Multiple strategies","mixed drivers",IF(BF928="Supply chain","multiple supply","multiple silviculture"))))</f>
        <v>technologies/design switch</v>
      </c>
      <c r="BF928" s="2" t="str" cm="1">
        <f t="array" ref="BF928">IF(COUNTIF(AZ928:BB928,"&lt;&gt;0")=1,INDEX($V$4:$AW$4,MATCH(TRUE,INDEX($V928:$AW928&lt;&gt;0,),0)),IF(COUNTIF(AZ928:BB928,"&lt;&gt;0")=0,INDEX($AM$4:$AW$4,MATCH(1,$AM928:$AW928,0)),"Multiple strategies"))</f>
        <v>Technology</v>
      </c>
      <c r="BG928" s="142" t="s">
        <v>229</v>
      </c>
      <c r="BH928" t="s">
        <v>1667</v>
      </c>
      <c r="BI928" s="264" t="s">
        <v>1057</v>
      </c>
      <c r="BJ928" s="143" t="s">
        <v>3265</v>
      </c>
      <c r="BK928" s="143">
        <v>0</v>
      </c>
      <c r="BL928">
        <v>15.6</v>
      </c>
      <c r="BM928" t="e">
        <f>BL928/BK928</f>
        <v>#DIV/0!</v>
      </c>
      <c r="BN928">
        <f>BL928-BK928</f>
        <v>15.6</v>
      </c>
      <c r="BO928" s="143">
        <f>1000*BL928/15.3/400</f>
        <v>2.5490196078431371</v>
      </c>
      <c r="BP928" t="s">
        <v>232</v>
      </c>
      <c r="BQ928" s="234"/>
      <c r="BR928" t="s">
        <v>938</v>
      </c>
      <c r="BS928" s="151">
        <v>-1</v>
      </c>
      <c r="BT928" s="143">
        <v>0</v>
      </c>
      <c r="BU928" s="144">
        <f>IFERROR(BT928/BS928,"")</f>
        <v>0</v>
      </c>
      <c r="BV928">
        <f>BT928-BS928</f>
        <v>1</v>
      </c>
      <c r="BX928">
        <f>BV928*C_to_CO2</f>
        <v>3.67</v>
      </c>
      <c r="BY928">
        <f>IFERROR(BX928/BO928,"")</f>
        <v>1.4397692307692309</v>
      </c>
      <c r="BZ928" s="143">
        <v>0</v>
      </c>
      <c r="CA928" s="143">
        <v>0</v>
      </c>
      <c r="CB928" s="143">
        <v>0</v>
      </c>
      <c r="CC928" s="143">
        <v>0</v>
      </c>
      <c r="CD928" s="143">
        <v>0</v>
      </c>
      <c r="CE928" s="143">
        <v>0</v>
      </c>
      <c r="CF928" s="143">
        <v>0</v>
      </c>
      <c r="CG928" s="143">
        <v>0</v>
      </c>
      <c r="CH928" s="143">
        <v>0</v>
      </c>
      <c r="CI928" s="143">
        <v>0</v>
      </c>
      <c r="CJ928" s="143">
        <v>0</v>
      </c>
      <c r="CK928" s="143">
        <v>0</v>
      </c>
      <c r="CL928" s="143">
        <v>0</v>
      </c>
      <c r="CM928">
        <v>1</v>
      </c>
      <c r="CN928" t="str">
        <f>IF(BL928&lt;BK928,"refNeedCorrection","refOK")</f>
        <v>refOK</v>
      </c>
      <c r="CO928">
        <f>IF($CN928="refOK",$BK928,$BL928)</f>
        <v>0</v>
      </c>
      <c r="CP928">
        <f>IF($CN928="refOK",$BL928,$BK928)</f>
        <v>15.6</v>
      </c>
      <c r="CQ928">
        <f>IF($CN928="refOK",$BO928,-$BO928)</f>
        <v>2.5490196078431371</v>
      </c>
      <c r="CR928">
        <f>IF($CN928="refOK",$BS928,$BT928)*IF($BP928="Emissions positive",-1,1)</f>
        <v>-1</v>
      </c>
      <c r="CS928">
        <f>IF($CN928="refOK",$BT928,$BS928)*IF($BP928="Emissions positive",-1,1)</f>
        <v>0</v>
      </c>
      <c r="CT928">
        <f>IF($CN928="refNeedCorrection",-BX928,BX928)*IF($BP928="Emissions positive",-1,1)</f>
        <v>3.67</v>
      </c>
      <c r="CU928">
        <f>IFERROR(CT928/CQ928,"")</f>
        <v>1.4397692307692309</v>
      </c>
      <c r="CV928" s="2">
        <f>IFERROR((CS928-CR928)/ABS(CR928),"")</f>
        <v>1</v>
      </c>
      <c r="CW928" s="1" t="s">
        <v>1203</v>
      </c>
      <c r="CX928" t="str">
        <f>IF(OR($CW928="prd",$CW928="std",$CW928="cit"),"loc",IF(OR($CW928="eur",$CW928="reg",$CW928="coy"),"reg",$CW928))</f>
        <v>reg</v>
      </c>
      <c r="CY928" t="s">
        <v>444</v>
      </c>
      <c r="DA928" s="143"/>
      <c r="DB928" s="143">
        <v>0</v>
      </c>
      <c r="DC928" t="str">
        <f>IF(DB928=0,"0",IF(AND(DB928&gt;=1,DB928&lt;=30),"1-30",IF(AND(DB928&gt;30,DB928&lt;=70),"31-70",IF(AND(DB928&gt;70,DB928&lt;=100),"71-100",IF(DB928&gt;100,"+100")))))</f>
        <v>0</v>
      </c>
      <c r="DD928">
        <v>0</v>
      </c>
      <c r="DE928">
        <v>1</v>
      </c>
      <c r="DF928">
        <v>0</v>
      </c>
      <c r="DG928">
        <v>0</v>
      </c>
      <c r="DI928">
        <f>SUM(DD928:DG928)</f>
        <v>1</v>
      </c>
      <c r="DJ928" t="str">
        <f>IF(DI928=1,INDEX($DD$7:$DG$7,MATCH(1,$DD928:$DG928,0)),"mixedProduct")</f>
        <v>EnergyInput</v>
      </c>
      <c r="DK928">
        <f>IF(DD928=1,DK$7,0)</f>
        <v>0</v>
      </c>
      <c r="DL928" t="str">
        <f>IF(DE928=1,DL$7,0)</f>
        <v>Energy</v>
      </c>
      <c r="DM928">
        <f>IF(DF928=1,DM$7,0)</f>
        <v>0</v>
      </c>
      <c r="DN928">
        <f>IF(DG928=1,DN$7,0)</f>
        <v>0</v>
      </c>
      <c r="DO928">
        <v>0</v>
      </c>
      <c r="DP928" s="143">
        <v>0</v>
      </c>
      <c r="DQ928" s="143">
        <v>0</v>
      </c>
      <c r="DR928">
        <v>0</v>
      </c>
      <c r="DS928" s="143">
        <v>0</v>
      </c>
      <c r="DT928">
        <f>SUM(DO928:DP928)</f>
        <v>0</v>
      </c>
      <c r="DU928" s="143" t="str">
        <f>IF(DO928=1,"self-calculated DF",IF(DP928=1,"external DF used","explicit C balance"))</f>
        <v>explicit C balance</v>
      </c>
      <c r="DV928" s="143">
        <v>0</v>
      </c>
      <c r="DW928" s="143">
        <v>0</v>
      </c>
      <c r="DX928" s="143">
        <v>0</v>
      </c>
      <c r="DY928" s="143">
        <v>0</v>
      </c>
      <c r="DZ928">
        <v>0</v>
      </c>
      <c r="EA928" s="143">
        <v>0</v>
      </c>
      <c r="EB928" s="143">
        <v>0</v>
      </c>
      <c r="EC928" s="143">
        <v>1</v>
      </c>
      <c r="ED928" s="143">
        <v>0</v>
      </c>
      <c r="EE928">
        <v>0</v>
      </c>
      <c r="EF928">
        <v>0</v>
      </c>
      <c r="EG928" s="143">
        <v>0</v>
      </c>
      <c r="EH928" s="143">
        <v>0</v>
      </c>
      <c r="EI928" s="2">
        <v>0</v>
      </c>
      <c r="EK928" t="str">
        <f>IF(AND(AND(AND(OR($DX928=1,$DW928=1),OR($EC928=1,$EA928=1)),SUM($DV928:$DZ928,$EF928)&gt;=4),SUM($EA928:$EE928)&gt;=2),"Whole sector","")</f>
        <v/>
      </c>
      <c r="EL928" t="str">
        <f>IF(AND(AND(OR($DX928=1,$DW928=1),AND($EC928=0,$EA928=0)),SUM($DV928:$DZ928,$EF928)&gt;=4),"Ecosystem approach","")</f>
        <v/>
      </c>
      <c r="EM928" s="2" t="str">
        <f>IF(AND(AND(AND($DX928=0,$DW928=0),OR($EC928=1,$EA928=1)),SUM($EB928:$EE928)&gt;=2),"Technology approach","")</f>
        <v/>
      </c>
      <c r="EP928" t="str">
        <f>IF(ISNUMBER(BU928),IF(ABS(BU928-[2]QC_indicators!$B$2)&gt;3*[2]QC_indicators!$C$2,"C ratio",IF(ISNUMBER(BY928),IF(ABS(BY928-[2]QC_indicators!$B$1)&gt;3*[2]QC_indicators!$C$1,"DF","no"))),IF(ISNUMBER(BY928),IF(ABS(BY928-[2]QC_indicators!$B$1)&gt;3*[2]QC_indicators!$C$1,"DF","no")))</f>
        <v>no</v>
      </c>
      <c r="ER928" s="149" t="s">
        <v>349</v>
      </c>
      <c r="ET928" s="264" t="s">
        <v>3266</v>
      </c>
    </row>
    <row r="929" spans="1:150" ht="15" customHeight="1">
      <c r="A929" s="1" t="s">
        <v>1972</v>
      </c>
      <c r="B929" t="s">
        <v>2316</v>
      </c>
      <c r="C929" t="s">
        <v>2317</v>
      </c>
      <c r="D929" t="s">
        <v>2318</v>
      </c>
      <c r="E929" t="s">
        <v>2319</v>
      </c>
      <c r="F929" t="s">
        <v>2320</v>
      </c>
      <c r="G929" t="s">
        <v>1978</v>
      </c>
      <c r="H929" t="s">
        <v>254</v>
      </c>
      <c r="I929">
        <v>2020</v>
      </c>
      <c r="J929">
        <v>7</v>
      </c>
      <c r="K929" t="s">
        <v>2321</v>
      </c>
      <c r="M929" t="str">
        <f>LEFT($D929,FIND(",",$D929)-1)&amp;"_"&amp;I929&amp;L929</f>
        <v>Smyth_2020</v>
      </c>
      <c r="N929" t="s">
        <v>222</v>
      </c>
      <c r="O929" s="145" t="s">
        <v>341</v>
      </c>
      <c r="Q929" t="s">
        <v>256</v>
      </c>
      <c r="R929" s="290" t="s">
        <v>225</v>
      </c>
      <c r="S929" s="1" t="s">
        <v>2337</v>
      </c>
      <c r="T929" t="s">
        <v>1155</v>
      </c>
      <c r="U929" t="s">
        <v>2338</v>
      </c>
      <c r="V929">
        <v>0</v>
      </c>
      <c r="W929">
        <v>0</v>
      </c>
      <c r="X929">
        <v>0</v>
      </c>
      <c r="Y929">
        <v>1</v>
      </c>
      <c r="Z929">
        <v>0</v>
      </c>
      <c r="AA929">
        <v>0</v>
      </c>
      <c r="AB929">
        <v>0</v>
      </c>
      <c r="AC929">
        <v>0</v>
      </c>
      <c r="AD929">
        <v>0</v>
      </c>
      <c r="AE929">
        <v>0</v>
      </c>
      <c r="AF929">
        <v>1</v>
      </c>
      <c r="AG929">
        <v>0</v>
      </c>
      <c r="AH929">
        <v>0</v>
      </c>
      <c r="AI929">
        <v>1</v>
      </c>
      <c r="AJ929">
        <v>0</v>
      </c>
      <c r="AK929">
        <v>0</v>
      </c>
      <c r="AL929">
        <v>0</v>
      </c>
      <c r="AM929">
        <v>0</v>
      </c>
      <c r="AN929">
        <v>0</v>
      </c>
      <c r="AO929">
        <v>0</v>
      </c>
      <c r="AP929">
        <v>0</v>
      </c>
      <c r="AQ929">
        <v>0</v>
      </c>
      <c r="AR929">
        <v>0</v>
      </c>
      <c r="AS929">
        <v>0</v>
      </c>
      <c r="AT929">
        <v>0</v>
      </c>
      <c r="AU929">
        <v>0</v>
      </c>
      <c r="AV929">
        <v>0</v>
      </c>
      <c r="AW929">
        <v>0</v>
      </c>
      <c r="AX929" s="141">
        <f>COUNTIF(V929:AW929,"&lt;&gt;0")</f>
        <v>3</v>
      </c>
      <c r="AY929" s="141">
        <f>COUNTIF(V929:AL929,"&lt;&gt;0")</f>
        <v>3</v>
      </c>
      <c r="AZ929">
        <f>COUNTIF(V929:AC929,"&lt;&gt;0")</f>
        <v>1</v>
      </c>
      <c r="BA929">
        <f>COUNTIF(AD929:AI929,"&lt;&gt;0")</f>
        <v>2</v>
      </c>
      <c r="BB929">
        <f>COUNTIF(AJ929:AL929,"&lt;&gt;0")</f>
        <v>0</v>
      </c>
      <c r="BC929">
        <f>COUNTIF(AS929:AW929,"&lt;&gt;0")</f>
        <v>0</v>
      </c>
      <c r="BD929">
        <f>COUNTIF(AM929:AR929,"&lt;&gt;0")</f>
        <v>0</v>
      </c>
      <c r="BE929" t="str">
        <f t="array" ref="BE929">IF(AY929=1,INDEX($V$7:$AL$7,MATCH(TRUE,INDEX($V929:$AW929&lt;&gt;0,),0)),IF(AY929=0,INDEX($AM$7:$AW$7,MATCH(1,$AM929:$AW929,0)),IF(BF929="Multiple strategies","mixed drivers",IF(BF929="Supply chain","multiple supply","multiple silviculture"))))</f>
        <v>mixed drivers</v>
      </c>
      <c r="BF929" s="2" t="str" cm="1">
        <f t="array" ref="BF929">IF(COUNTIF(AZ929:BB929,"&lt;&gt;0")=1,INDEX($V$4:$AW$4,MATCH(TRUE,INDEX($V929:$AW929&lt;&gt;0,),0)),IF(COUNTIF(AZ929:BB929,"&lt;&gt;0")=0,INDEX($AM$4:$AW$4,MATCH(1,$AM929:$AW929,0)),"Multiple strategies"))</f>
        <v>Multiple strategies</v>
      </c>
      <c r="BG929" s="1" t="s">
        <v>321</v>
      </c>
      <c r="BH929" t="s">
        <v>2324</v>
      </c>
      <c r="BI929" s="260" t="s">
        <v>3393</v>
      </c>
      <c r="BJ929" t="s">
        <v>1359</v>
      </c>
      <c r="BK929">
        <v>457</v>
      </c>
      <c r="BL929" s="291">
        <f>488+(4.2/tC_to_m3*55)</f>
        <v>541.19929999999999</v>
      </c>
      <c r="BM929">
        <f>BL929/BK929</f>
        <v>1.1842435448577679</v>
      </c>
      <c r="BN929">
        <f>BL929-BK929</f>
        <v>84.199299999999994</v>
      </c>
      <c r="BO929">
        <f>BN929*10^6*tC_to_m3</f>
        <v>365607034.30308294</v>
      </c>
      <c r="BP929" t="s">
        <v>232</v>
      </c>
      <c r="BQ929" s="300" t="s">
        <v>3392</v>
      </c>
      <c r="BR929" t="s">
        <v>2325</v>
      </c>
      <c r="BU929" s="144"/>
      <c r="BV929">
        <v>527</v>
      </c>
      <c r="BX929">
        <f>BV929*10^6</f>
        <v>527000000</v>
      </c>
      <c r="BY929">
        <f>IFERROR(BX929/BO929,"")</f>
        <v>1.4414383492499343</v>
      </c>
      <c r="BZ929">
        <v>0</v>
      </c>
      <c r="CA929">
        <v>1</v>
      </c>
      <c r="CB929">
        <v>1</v>
      </c>
      <c r="CC929">
        <v>1</v>
      </c>
      <c r="CD929">
        <v>0</v>
      </c>
      <c r="CE929">
        <v>0</v>
      </c>
      <c r="CF929">
        <v>0</v>
      </c>
      <c r="CG929">
        <v>0</v>
      </c>
      <c r="CH929">
        <v>0</v>
      </c>
      <c r="CI929">
        <v>0</v>
      </c>
      <c r="CJ929">
        <v>0</v>
      </c>
      <c r="CK929">
        <v>0</v>
      </c>
      <c r="CL929">
        <v>0</v>
      </c>
      <c r="CM929">
        <v>0</v>
      </c>
      <c r="CN929" t="str">
        <f>IF(BL929&lt;BK929,"refNeedCorrection","refOK")</f>
        <v>refOK</v>
      </c>
      <c r="CO929"/>
      <c r="CP929"/>
      <c r="CQ929">
        <f>IF($CN929="refOK",$BO929,-$BO929)</f>
        <v>365607034.30308294</v>
      </c>
      <c r="CR929">
        <f>IF($CN929="refOK",$BS929,$BT929)*IF($BP929="Emissions positive",-1,1)</f>
        <v>0</v>
      </c>
      <c r="CS929">
        <f>IF($CN929="refOK",$BT929,$BS929)*IF($BP929="Emissions positive",-1,1)</f>
        <v>0</v>
      </c>
      <c r="CT929">
        <f>IF($CN929="refNeedCorrection",-BX929,BX929)*IF($BP929="Emissions positive",-1,1)</f>
        <v>527000000</v>
      </c>
      <c r="CU929">
        <f>IFERROR(CT929/CQ929,"")</f>
        <v>1.4414383492499343</v>
      </c>
      <c r="CV929" s="2" t="str">
        <f>IFERROR((CS929-CR929)/ABS(CR929),"")</f>
        <v/>
      </c>
      <c r="CW929" s="1" t="s">
        <v>1199</v>
      </c>
      <c r="CX929" t="str">
        <f>IF(OR($CW929="prd",$CW929="std",$CW929="cit"),"loc",IF(OR($CW929="eur",$CW929="reg",$CW929="coy"),"reg",$CW929))</f>
        <v>reg</v>
      </c>
      <c r="CY929" t="s">
        <v>540</v>
      </c>
      <c r="CZ929">
        <v>2015</v>
      </c>
      <c r="DA929">
        <v>2070</v>
      </c>
      <c r="DB929">
        <v>45</v>
      </c>
      <c r="DC929" t="str">
        <f>IF(DB929=0,"0",IF(AND(DB929&gt;=1,DB929&lt;=30),"1-30",IF(AND(DB929&gt;30,DB929&lt;=70),"31-70",IF(AND(DB929&gt;70,DB929&lt;=100),"71-100",IF(DB929&gt;100,"+100")))))</f>
        <v>31-70</v>
      </c>
      <c r="DD929">
        <v>0</v>
      </c>
      <c r="DE929">
        <v>1</v>
      </c>
      <c r="DF929">
        <v>1</v>
      </c>
      <c r="DG929">
        <v>1</v>
      </c>
      <c r="DI929">
        <f>SUM(DD929:DG929)</f>
        <v>3</v>
      </c>
      <c r="DJ929" t="str">
        <f>IF(DI929=1,INDEX($DD$7:$DG$7,MATCH(1,$DD929:$DG929,0)),"mixedProduct")</f>
        <v>mixedProduct</v>
      </c>
      <c r="DK929">
        <f>IF(DD929=1,DK$7,0)</f>
        <v>0</v>
      </c>
      <c r="DL929" t="str">
        <f>IF(DE929=1,DL$7,0)</f>
        <v>Energy</v>
      </c>
      <c r="DM929" t="str">
        <f>IF(DF929=1,DM$7,0)</f>
        <v>Pulp/Paper</v>
      </c>
      <c r="DN929" t="str">
        <f>IF(DG929=1,DN$7,0)</f>
        <v>Timber</v>
      </c>
      <c r="DO929">
        <v>1</v>
      </c>
      <c r="DP929">
        <v>1</v>
      </c>
      <c r="DQ929" t="s">
        <v>2315</v>
      </c>
      <c r="DR929">
        <v>0</v>
      </c>
      <c r="DS929">
        <v>0</v>
      </c>
      <c r="DT929">
        <f>SUM(DO929:DP929)</f>
        <v>2</v>
      </c>
      <c r="DU929" s="143" t="str">
        <f>IF(DO929=1,"self-calculated DF",IF(DP929=1,"external DF used","explicit C balance"))</f>
        <v>self-calculated DF</v>
      </c>
      <c r="DV929">
        <v>1</v>
      </c>
      <c r="DW929">
        <v>1</v>
      </c>
      <c r="DX929">
        <v>1</v>
      </c>
      <c r="DY929">
        <v>1</v>
      </c>
      <c r="DZ929">
        <v>1</v>
      </c>
      <c r="EA929" s="143">
        <v>1</v>
      </c>
      <c r="EB929">
        <v>1</v>
      </c>
      <c r="EC929">
        <v>1</v>
      </c>
      <c r="ED929">
        <v>1</v>
      </c>
      <c r="EE929">
        <v>1</v>
      </c>
      <c r="EF929">
        <v>1</v>
      </c>
      <c r="EG929">
        <v>1</v>
      </c>
      <c r="EH929">
        <v>0</v>
      </c>
      <c r="EI929" s="2">
        <v>0</v>
      </c>
      <c r="EK929" t="str">
        <f>IF(AND(AND(AND(OR($DX929=1,$DW929=1),OR($EC929=1,$EA929=1)),SUM($DV929:$DZ929,$EF929)&gt;=4),SUM($EA929:$EE929)&gt;=2),"Whole sector","")</f>
        <v>Whole sector</v>
      </c>
      <c r="EL929" t="str">
        <f>IF(AND(AND(OR($DX929=1,$DW929=1),AND($EC929=0,$EA929=0)),SUM($DV929:$DZ929,$EF929)&gt;=4),"Ecosystem approach","")</f>
        <v/>
      </c>
      <c r="EM929" s="2" t="str">
        <f>IF(AND(AND(AND($DX929=0,$DW929=0),OR($EC929=1,$EA929=1)),SUM($EB929:$EE929)&gt;=2),"Technology approach","")</f>
        <v/>
      </c>
      <c r="EP929" t="str">
        <f>IF(ISNUMBER(BU929),IF(ABS(BU929-[4]QC_indicators!$B$2)&gt;3*[4]QC_indicators!$C$2,"C ratio",IF(ISNUMBER(BY929),IF(ABS(BY929-[4]QC_indicators!$B$1)&gt;3*[4]QC_indicators!$C$1,"DF","no"))),IF(ISNUMBER(BY929),IF(ABS(BY929-[4]QC_indicators!$B$1)&gt;3*[4]QC_indicators!$C$1,"DF","no")))</f>
        <v>no</v>
      </c>
      <c r="ER929" s="149" t="s">
        <v>2326</v>
      </c>
      <c r="ET929" s="264" t="s">
        <v>3273</v>
      </c>
    </row>
    <row r="930" spans="1:150" ht="15" customHeight="1">
      <c r="A930" s="1" t="s">
        <v>247</v>
      </c>
      <c r="B930" t="s">
        <v>248</v>
      </c>
      <c r="C930" t="s">
        <v>249</v>
      </c>
      <c r="D930" t="s">
        <v>250</v>
      </c>
      <c r="E930" t="s">
        <v>251</v>
      </c>
      <c r="F930" t="s">
        <v>252</v>
      </c>
      <c r="G930" t="s">
        <v>253</v>
      </c>
      <c r="H930" t="s">
        <v>254</v>
      </c>
      <c r="I930">
        <v>2022</v>
      </c>
      <c r="J930">
        <v>0</v>
      </c>
      <c r="K930" t="s">
        <v>255</v>
      </c>
      <c r="M930" t="str">
        <f>LEFT($D930,FIND(",",$D930)-1)&amp;"_"&amp;I930&amp;L930</f>
        <v>Andersen_2022</v>
      </c>
      <c r="N930" t="s">
        <v>222</v>
      </c>
      <c r="O930" s="145" t="s">
        <v>223</v>
      </c>
      <c r="Q930" t="s">
        <v>256</v>
      </c>
      <c r="R930" s="269" t="s">
        <v>274</v>
      </c>
      <c r="S930" s="1" t="s">
        <v>257</v>
      </c>
      <c r="T930" t="s">
        <v>258</v>
      </c>
      <c r="U930" t="s">
        <v>259</v>
      </c>
      <c r="V930">
        <v>0</v>
      </c>
      <c r="W930">
        <v>0</v>
      </c>
      <c r="X930">
        <v>0</v>
      </c>
      <c r="Y930">
        <v>0</v>
      </c>
      <c r="Z930">
        <v>0</v>
      </c>
      <c r="AA930">
        <v>0</v>
      </c>
      <c r="AB930">
        <v>0</v>
      </c>
      <c r="AC930">
        <v>0</v>
      </c>
      <c r="AD930">
        <v>0</v>
      </c>
      <c r="AE930">
        <v>0</v>
      </c>
      <c r="AF930">
        <v>0</v>
      </c>
      <c r="AG930">
        <v>0</v>
      </c>
      <c r="AH930">
        <v>0</v>
      </c>
      <c r="AI930">
        <v>0</v>
      </c>
      <c r="AJ930">
        <v>0</v>
      </c>
      <c r="AK930">
        <v>1</v>
      </c>
      <c r="AL930">
        <v>0</v>
      </c>
      <c r="AM930">
        <v>0</v>
      </c>
      <c r="AN930">
        <v>0</v>
      </c>
      <c r="AO930">
        <v>0</v>
      </c>
      <c r="AP930">
        <v>0</v>
      </c>
      <c r="AQ930">
        <v>0</v>
      </c>
      <c r="AR930">
        <v>0</v>
      </c>
      <c r="AS930">
        <v>0</v>
      </c>
      <c r="AT930">
        <v>0</v>
      </c>
      <c r="AU930">
        <v>0</v>
      </c>
      <c r="AV930">
        <v>0</v>
      </c>
      <c r="AW930">
        <v>0</v>
      </c>
      <c r="AX930" s="141">
        <f>COUNTIF(V930:AW930,"&lt;&gt;0")</f>
        <v>1</v>
      </c>
      <c r="AY930" s="141">
        <f>COUNTIF(V930:AL930,"&lt;&gt;0")</f>
        <v>1</v>
      </c>
      <c r="AZ930">
        <f>COUNTIF(V930:AC930,"&lt;&gt;0")</f>
        <v>0</v>
      </c>
      <c r="BA930">
        <f>COUNTIF(AD930:AI930,"&lt;&gt;0")</f>
        <v>0</v>
      </c>
      <c r="BB930">
        <f>COUNTIF(AJ930:AL930,"&lt;&gt;0")</f>
        <v>1</v>
      </c>
      <c r="BC930">
        <f>COUNTIF(AS930:AW930,"&lt;&gt;0")</f>
        <v>0</v>
      </c>
      <c r="BD930">
        <f>COUNTIF(AM930:AR930,"&lt;&gt;0")</f>
        <v>0</v>
      </c>
      <c r="BE930" t="str">
        <f t="array" ref="BE930">IF(AY930=1,INDEX($V$7:$AL$7,MATCH(TRUE,INDEX($V930:$AW930&lt;&gt;0,),0)),IF(AY930=0,INDEX($AM$7:$AW$7,MATCH(1,$AM930:$AW930,0)),IF(BF930="Multiple strategies","mixed drivers",IF(BF930="Supply chain","multiple supply","multiple silviculture"))))</f>
        <v>technologies/design switch</v>
      </c>
      <c r="BF930" s="2" t="str" cm="1">
        <f t="array" ref="BF930">IF(COUNTIF(AZ930:BB930,"&lt;&gt;0")=1,INDEX($V$4:$AW$4,MATCH(TRUE,INDEX($V930:$AW930&lt;&gt;0,),0)),IF(COUNTIF(AZ930:BB930,"&lt;&gt;0")=0,INDEX($AM$4:$AW$4,MATCH(1,$AM930:$AW930,0)),"Multiple strategies"))</f>
        <v>Technology</v>
      </c>
      <c r="BG930" s="142" t="s">
        <v>229</v>
      </c>
      <c r="BH930" t="s">
        <v>260</v>
      </c>
      <c r="BI930" s="264" t="s">
        <v>410</v>
      </c>
      <c r="BJ930" s="143" t="s">
        <v>261</v>
      </c>
      <c r="BK930">
        <v>37.200000000000003</v>
      </c>
      <c r="BL930">
        <v>188.5</v>
      </c>
      <c r="BM930" s="143">
        <f>BL930/BK930</f>
        <v>5.0672043010752681</v>
      </c>
      <c r="BN930">
        <f>BL930-BK930</f>
        <v>151.30000000000001</v>
      </c>
      <c r="BO930">
        <f>BN930*kg_to_m3</f>
        <v>0.30877551020408167</v>
      </c>
      <c r="BP930" t="s">
        <v>232</v>
      </c>
      <c r="BQ930" s="343" t="s">
        <v>3261</v>
      </c>
      <c r="BR930" t="s">
        <v>262</v>
      </c>
      <c r="BS930">
        <v>-904</v>
      </c>
      <c r="BT930">
        <v>-454</v>
      </c>
      <c r="BU930" s="144">
        <f>IFERROR(BT930/BS930,"")</f>
        <v>0.50221238938053092</v>
      </c>
      <c r="BV930">
        <f>BT930-BS930</f>
        <v>450</v>
      </c>
      <c r="BX930">
        <f>BV930/1000</f>
        <v>0.45</v>
      </c>
      <c r="BY930">
        <f>IFERROR(BX930/BO930,"")</f>
        <v>1.4573694646397883</v>
      </c>
      <c r="BZ930" s="143">
        <v>1</v>
      </c>
      <c r="CA930" s="143">
        <v>0</v>
      </c>
      <c r="CB930" s="143">
        <v>0</v>
      </c>
      <c r="CC930" s="143">
        <v>0</v>
      </c>
      <c r="CD930" s="143">
        <v>0</v>
      </c>
      <c r="CE930" s="143">
        <v>0</v>
      </c>
      <c r="CF930" s="143">
        <v>0</v>
      </c>
      <c r="CG930" s="143">
        <v>1</v>
      </c>
      <c r="CH930" s="143">
        <v>0</v>
      </c>
      <c r="CI930" s="143">
        <v>1</v>
      </c>
      <c r="CJ930" s="143">
        <v>0</v>
      </c>
      <c r="CK930" s="143">
        <v>0</v>
      </c>
      <c r="CL930" s="143">
        <v>0</v>
      </c>
      <c r="CM930">
        <v>0</v>
      </c>
      <c r="CN930" t="str">
        <f>IF($BL930&lt;$BK930,"refNeedCorrection","refOK")</f>
        <v>refOK</v>
      </c>
      <c r="CO930">
        <f>IF($CN930="refOK",$BK930,$BL930)</f>
        <v>37.200000000000003</v>
      </c>
      <c r="CP930">
        <f>IF($CN930="refOK",$BL930,$BK930)</f>
        <v>188.5</v>
      </c>
      <c r="CQ930">
        <f>IF($CN930="refOK",$BO930,-$BO930)</f>
        <v>0.30877551020408167</v>
      </c>
      <c r="CR930">
        <f>IF($CN930="refOK",$BS930,$BT930)*IF($BP930="Emissions positive",-1,1)</f>
        <v>-904</v>
      </c>
      <c r="CS930">
        <f>IF($CN930="refOK",$BT930,$BS930)*IF($BP930="Emissions positive",-1,1)</f>
        <v>-454</v>
      </c>
      <c r="CT930">
        <f>IF($CN930="refNeedCorrection",-BX930,BX930)*IF($BP930="Emissions positive",-1,1)</f>
        <v>0.45</v>
      </c>
      <c r="CU930">
        <f>IFERROR(CT930/CQ930,"")</f>
        <v>1.4573694646397883</v>
      </c>
      <c r="CV930" s="2">
        <f>IFERROR((CS930-CR930)/ABS(CR930),"")</f>
        <v>0.49778761061946902</v>
      </c>
      <c r="CW930" s="1" t="s">
        <v>263</v>
      </c>
      <c r="CX930" t="str">
        <f>IF(OR($CW930="prd",$CW930="std",$CW930="cit"),"loc",IF(OR($CW930="eur",$CW930="reg",$CW930="coy"),"reg",$CW930))</f>
        <v>loc</v>
      </c>
      <c r="CY930" t="s">
        <v>264</v>
      </c>
      <c r="DA930" s="143"/>
      <c r="DB930">
        <v>100</v>
      </c>
      <c r="DC930" t="str">
        <f>IF(DB930=0,"0",IF(AND(DB930&gt;=1,DB930&lt;=30),"1-30",IF(AND(DB930&gt;30,DB930&lt;=70),"31-70",IF(AND(DB930&gt;70,DB930&lt;=100),"71-100",IF(DB930&gt;100,"+100")))))</f>
        <v>71-100</v>
      </c>
      <c r="DD930">
        <v>0</v>
      </c>
      <c r="DE930">
        <v>0</v>
      </c>
      <c r="DF930">
        <v>0</v>
      </c>
      <c r="DG930">
        <v>1</v>
      </c>
      <c r="DI930">
        <f>SUM(DD930:DG930)</f>
        <v>1</v>
      </c>
      <c r="DJ930" t="str">
        <f>IF(DI930=1,INDEX($DD$7:$DG$7,MATCH(1,$DD930:$DG930,0)),"mixedProduct")</f>
        <v>TimberInput</v>
      </c>
      <c r="DK930">
        <f>IF(DD930=1,DK$7,0)</f>
        <v>0</v>
      </c>
      <c r="DL930">
        <f>IF(DE930=1,DL$7,0)</f>
        <v>0</v>
      </c>
      <c r="DM930">
        <f>IF(DF930=1,DM$7,0)</f>
        <v>0</v>
      </c>
      <c r="DN930" t="str">
        <f>IF(DG930=1,DN$7,0)</f>
        <v>Timber</v>
      </c>
      <c r="DO930">
        <v>0</v>
      </c>
      <c r="DP930" s="143">
        <v>0</v>
      </c>
      <c r="DQ930" s="143">
        <v>0</v>
      </c>
      <c r="DR930" s="143">
        <v>0</v>
      </c>
      <c r="DS930">
        <v>0</v>
      </c>
      <c r="DT930">
        <f>SUM(DO930:DP930)</f>
        <v>0</v>
      </c>
      <c r="DU930" s="143" t="str">
        <f>IF(DO930=1,"self-calculated DF",IF(DP930=1,"external DF used","explicit C balance"))</f>
        <v>explicit C balance</v>
      </c>
      <c r="DV930">
        <v>0</v>
      </c>
      <c r="DW930" s="143">
        <v>0</v>
      </c>
      <c r="DX930" s="143">
        <v>0</v>
      </c>
      <c r="DY930" s="143">
        <v>0</v>
      </c>
      <c r="DZ930">
        <v>0</v>
      </c>
      <c r="EA930" s="143">
        <v>0</v>
      </c>
      <c r="EB930">
        <v>0</v>
      </c>
      <c r="EC930" s="143">
        <v>1</v>
      </c>
      <c r="ED930" s="143">
        <v>1</v>
      </c>
      <c r="EE930">
        <v>1</v>
      </c>
      <c r="EF930">
        <v>0</v>
      </c>
      <c r="EG930" s="143">
        <v>1</v>
      </c>
      <c r="EH930">
        <v>0</v>
      </c>
      <c r="EI930" s="2">
        <v>0</v>
      </c>
      <c r="EK930" t="str">
        <f>IF(AND(AND(AND(OR($DX930=1,$DW930=1),OR($EC930=1,$EA930=1)),SUM($DV930:$DZ930,$EF930)&gt;=4),SUM($EA930:$EE930)&gt;=2),"Whole sector","")</f>
        <v/>
      </c>
      <c r="EL930" t="str">
        <f>IF(AND(AND(OR($DX930=1,$DW930=1),AND($EC930=0,$EA930=0)),SUM($DV930:$DZ930,$EF930)&gt;=4),"Ecosystem approach","")</f>
        <v/>
      </c>
      <c r="EM930" s="2" t="str">
        <f>IF(AND(AND(AND($DX930=0,$DW930=0),OR($EC930=1,$EA930=1)),SUM($EB930:$EE930)&gt;=2),"Technology approach","")</f>
        <v>Technology approach</v>
      </c>
      <c r="EP930" t="str">
        <f>IF(ISNUMBER(BU930),IF(ABS(BU930-[2]QC_indicators!$B$2)&gt;3*[2]QC_indicators!$C$2,"C ratio",IF(ISNUMBER(BY930),IF(ABS(BY930-[2]QC_indicators!$B$1)&gt;3*[2]QC_indicators!$C$1,"DF","no"))),IF(ISNUMBER(BY930),IF(ABS(BY930-[2]QC_indicators!$B$1)&gt;3*[2]QC_indicators!$C$1,"DF","no")))</f>
        <v>no</v>
      </c>
      <c r="ET930" s="264" t="s">
        <v>3262</v>
      </c>
    </row>
    <row r="931" spans="1:150" ht="15" customHeight="1">
      <c r="A931" s="1" t="s">
        <v>265</v>
      </c>
      <c r="B931" t="s">
        <v>266</v>
      </c>
      <c r="C931" t="s">
        <v>267</v>
      </c>
      <c r="D931" t="s">
        <v>268</v>
      </c>
      <c r="E931" t="s">
        <v>269</v>
      </c>
      <c r="F931" t="s">
        <v>270</v>
      </c>
      <c r="G931" t="s">
        <v>271</v>
      </c>
      <c r="H931" t="s">
        <v>254</v>
      </c>
      <c r="I931">
        <v>2022</v>
      </c>
      <c r="J931">
        <v>0</v>
      </c>
      <c r="K931" t="s">
        <v>272</v>
      </c>
      <c r="M931" t="str">
        <f>LEFT($D931,FIND(",",$D931)-1)&amp;"_"&amp;I931&amp;L931</f>
        <v>Aryapratama_2022</v>
      </c>
      <c r="N931" t="s">
        <v>222</v>
      </c>
      <c r="O931" s="145" t="s">
        <v>274</v>
      </c>
      <c r="Q931" t="s">
        <v>224</v>
      </c>
      <c r="R931" s="262" t="s">
        <v>223</v>
      </c>
      <c r="S931" s="263" t="s">
        <v>3105</v>
      </c>
      <c r="T931" t="s">
        <v>311</v>
      </c>
      <c r="U931" t="s">
        <v>312</v>
      </c>
      <c r="V931">
        <v>0</v>
      </c>
      <c r="W931">
        <v>0</v>
      </c>
      <c r="X931">
        <v>0</v>
      </c>
      <c r="Y931">
        <v>0</v>
      </c>
      <c r="Z931">
        <v>0</v>
      </c>
      <c r="AA931">
        <v>0</v>
      </c>
      <c r="AB931">
        <v>0</v>
      </c>
      <c r="AC931">
        <v>0</v>
      </c>
      <c r="AD931">
        <v>0</v>
      </c>
      <c r="AE931">
        <v>0</v>
      </c>
      <c r="AF931">
        <v>0</v>
      </c>
      <c r="AG931">
        <v>0</v>
      </c>
      <c r="AH931">
        <v>0</v>
      </c>
      <c r="AI931">
        <v>0</v>
      </c>
      <c r="AJ931">
        <v>0</v>
      </c>
      <c r="AK931">
        <v>1</v>
      </c>
      <c r="AL931">
        <v>0</v>
      </c>
      <c r="AM931">
        <v>0</v>
      </c>
      <c r="AN931">
        <v>0</v>
      </c>
      <c r="AO931">
        <v>0</v>
      </c>
      <c r="AP931">
        <v>0</v>
      </c>
      <c r="AQ931">
        <v>0</v>
      </c>
      <c r="AR931">
        <v>0</v>
      </c>
      <c r="AS931">
        <v>0</v>
      </c>
      <c r="AT931">
        <v>0</v>
      </c>
      <c r="AU931">
        <v>0</v>
      </c>
      <c r="AV931">
        <v>0</v>
      </c>
      <c r="AW931">
        <v>0</v>
      </c>
      <c r="AX931" s="141">
        <f>COUNTIF(V931:AW931,"&lt;&gt;0")</f>
        <v>1</v>
      </c>
      <c r="AY931" s="141">
        <f>COUNTIF(V931:AL931,"&lt;&gt;0")</f>
        <v>1</v>
      </c>
      <c r="AZ931">
        <f>COUNTIF(V931:AC931,"&lt;&gt;0")</f>
        <v>0</v>
      </c>
      <c r="BA931">
        <f>COUNTIF(AD931:AI931,"&lt;&gt;0")</f>
        <v>0</v>
      </c>
      <c r="BB931">
        <f>COUNTIF(AJ931:AL931,"&lt;&gt;0")</f>
        <v>1</v>
      </c>
      <c r="BC931">
        <f>COUNTIF(AS931:AW931,"&lt;&gt;0")</f>
        <v>0</v>
      </c>
      <c r="BD931">
        <f>COUNTIF(AM931:AR931,"&lt;&gt;0")</f>
        <v>0</v>
      </c>
      <c r="BE931" t="str">
        <f t="array" ref="BE931">IF(AY931=1,INDEX($V$7:$AL$7,MATCH(TRUE,INDEX($V931:$AW931&lt;&gt;0,),0)),IF(AY931=0,INDEX($AM$7:$AW$7,MATCH(1,$AM931:$AW931,0)),IF(BF931="Multiple strategies","mixed drivers",IF(BF931="Supply chain","multiple supply","multiple silviculture"))))</f>
        <v>technologies/design switch</v>
      </c>
      <c r="BF931" s="2" t="str" cm="1">
        <f t="array" ref="BF931">IF(COUNTIF(AZ931:BB931,"&lt;&gt;0")=1,INDEX($V$4:$AW$4,MATCH(TRUE,INDEX($V931:$AW931&lt;&gt;0,),0)),IF(COUNTIF(AZ931:BB931,"&lt;&gt;0")=0,INDEX($AM$4:$AW$4,MATCH(1,$AM931:$AW931,0)),"Multiple strategies"))</f>
        <v>Technology</v>
      </c>
      <c r="BG931" s="1" t="s">
        <v>229</v>
      </c>
      <c r="BH931" t="s">
        <v>277</v>
      </c>
      <c r="BI931" s="264" t="s">
        <v>3106</v>
      </c>
      <c r="BJ931" t="s">
        <v>278</v>
      </c>
      <c r="BK931">
        <v>0</v>
      </c>
      <c r="BL931">
        <v>15.419381264639073</v>
      </c>
      <c r="BN931">
        <f>BL931-BK931</f>
        <v>15.419381264639073</v>
      </c>
      <c r="BO931">
        <f>BN931*tC_to_m3</f>
        <v>66.953457510373752</v>
      </c>
      <c r="BP931" t="s">
        <v>232</v>
      </c>
      <c r="BQ931" s="303" t="s">
        <v>3107</v>
      </c>
      <c r="BR931" t="s">
        <v>279</v>
      </c>
      <c r="BS931">
        <v>68.167571816623862</v>
      </c>
      <c r="BT931">
        <v>167.28412809039341</v>
      </c>
      <c r="BU931" s="144">
        <f>IFERROR(BT931/BS931,"")</f>
        <v>2.4540133032815206</v>
      </c>
      <c r="BV931">
        <f>BT931-BS931</f>
        <v>99.116556273769547</v>
      </c>
      <c r="BX931">
        <f>BV931</f>
        <v>99.116556273769547</v>
      </c>
      <c r="BY931">
        <f>IFERROR(BX931/BO931,"")</f>
        <v>1.4803799528711785</v>
      </c>
      <c r="BZ931">
        <v>0</v>
      </c>
      <c r="CA931">
        <v>0</v>
      </c>
      <c r="CB931">
        <v>0</v>
      </c>
      <c r="CC931">
        <v>0</v>
      </c>
      <c r="CD931">
        <v>0</v>
      </c>
      <c r="CE931">
        <v>0</v>
      </c>
      <c r="CF931">
        <v>0</v>
      </c>
      <c r="CG931">
        <v>0</v>
      </c>
      <c r="CH931">
        <v>0</v>
      </c>
      <c r="CI931">
        <v>0</v>
      </c>
      <c r="CJ931">
        <v>0</v>
      </c>
      <c r="CK931">
        <v>0</v>
      </c>
      <c r="CL931">
        <v>0</v>
      </c>
      <c r="CM931">
        <v>0</v>
      </c>
      <c r="CN931" t="str">
        <f>IF($BL931&lt;$BK931,"refNeedCorrection","refOK")</f>
        <v>refOK</v>
      </c>
      <c r="CO931">
        <f>IF($CN931="refOK",$BK931,$BL931)</f>
        <v>0</v>
      </c>
      <c r="CP931">
        <f>IF($CN931="refOK",$BL931,$BK931)</f>
        <v>15.419381264639073</v>
      </c>
      <c r="CQ931">
        <f>IF($CN931="refOK",$BO931,-$BO931)</f>
        <v>66.953457510373752</v>
      </c>
      <c r="CR931">
        <f>IF($CN931="refOK",$BS931,$BT931)*IF($BP931="Emissions positive",-1,1)</f>
        <v>68.167571816623862</v>
      </c>
      <c r="CS931">
        <f>IF($CN931="refOK",$BT931,$BS931)*IF($BP931="Emissions positive",-1,1)</f>
        <v>167.28412809039341</v>
      </c>
      <c r="CT931">
        <f>IF($CN931="refNeedCorrection",-BX931,BX931)*IF($BP931="Emissions positive",-1,1)</f>
        <v>99.116556273769547</v>
      </c>
      <c r="CU931">
        <f>IFERROR(CT931/CQ931,"")</f>
        <v>1.4803799528711785</v>
      </c>
      <c r="CV931" s="2">
        <f>IFERROR((CS931-CR931)/ABS(CR931),"")</f>
        <v>1.4540133032815206</v>
      </c>
      <c r="CW931" s="1" t="s">
        <v>234</v>
      </c>
      <c r="CX931" t="str">
        <f>IF(OR($CW931="prd",$CW931="std",$CW931="cit"),"loc",IF(OR($CW931="eur",$CW931="reg",$CW931="coy"),"reg",$CW931))</f>
        <v>loc</v>
      </c>
      <c r="CY931" t="s">
        <v>280</v>
      </c>
      <c r="DB931">
        <v>50</v>
      </c>
      <c r="DC931" t="str">
        <f>IF(DB931=0,"0",IF(AND(DB931&gt;=1,DB931&lt;=30),"1-30",IF(AND(DB931&gt;30,DB931&lt;=70),"31-70",IF(AND(DB931&gt;70,DB931&lt;=100),"71-100",IF(DB931&gt;100,"+100")))))</f>
        <v>31-70</v>
      </c>
      <c r="DD931">
        <v>0</v>
      </c>
      <c r="DE931">
        <v>0</v>
      </c>
      <c r="DF931">
        <v>0</v>
      </c>
      <c r="DG931">
        <v>1</v>
      </c>
      <c r="DI931">
        <f>SUM(DD931:DG931)</f>
        <v>1</v>
      </c>
      <c r="DJ931" t="str">
        <f>IF(DI931=1,INDEX($DD$7:$DG$7,MATCH(1,$DD931:$DG931,0)),"mixedProduct")</f>
        <v>TimberInput</v>
      </c>
      <c r="DK931">
        <f>IF(DD931=1,DK$7,0)</f>
        <v>0</v>
      </c>
      <c r="DL931">
        <f>IF(DE931=1,DL$7,0)</f>
        <v>0</v>
      </c>
      <c r="DM931">
        <f>IF(DF931=1,DM$7,0)</f>
        <v>0</v>
      </c>
      <c r="DN931" t="str">
        <f>IF(DG931=1,DN$7,0)</f>
        <v>Timber</v>
      </c>
      <c r="DO931">
        <v>0</v>
      </c>
      <c r="DP931">
        <v>1</v>
      </c>
      <c r="DQ931" t="s">
        <v>304</v>
      </c>
      <c r="DR931">
        <v>0</v>
      </c>
      <c r="DS931">
        <v>0</v>
      </c>
      <c r="DT931">
        <f>SUM(DO931:DP931)</f>
        <v>1</v>
      </c>
      <c r="DU931" s="143" t="str">
        <f>IF(DO931=1,"self-calculated DF",IF(DP931=1,"external DF used","explicit C balance"))</f>
        <v>external DF used</v>
      </c>
      <c r="DV931">
        <v>0</v>
      </c>
      <c r="DW931">
        <v>1</v>
      </c>
      <c r="DX931">
        <v>1</v>
      </c>
      <c r="DY931">
        <v>1</v>
      </c>
      <c r="DZ931">
        <v>1</v>
      </c>
      <c r="EA931" s="143">
        <v>0</v>
      </c>
      <c r="EB931">
        <v>1</v>
      </c>
      <c r="EC931">
        <v>1</v>
      </c>
      <c r="ED931">
        <v>0</v>
      </c>
      <c r="EE931">
        <v>1</v>
      </c>
      <c r="EF931">
        <v>1</v>
      </c>
      <c r="EG931">
        <v>1</v>
      </c>
      <c r="EH931">
        <v>0</v>
      </c>
      <c r="EI931" s="2">
        <v>0</v>
      </c>
      <c r="EK931" t="str">
        <f>IF(AND(AND(AND(OR($DX931=1,$DW931=1),OR($EC931=1,$EA931=1)),SUM($DV931:$DZ931,$EF931)&gt;=4),SUM($EA931:$EE931)&gt;=2),"Whole sector","")</f>
        <v>Whole sector</v>
      </c>
      <c r="EL931" t="str">
        <f>IF(AND(AND(OR($DX931=1,$DW931=1),AND($EC931=0,$EA931=0)),SUM($DV931:$DZ931,$EF931)&gt;=4),"Ecosystem approach","")</f>
        <v/>
      </c>
      <c r="EM931" s="2" t="str">
        <f>IF(AND(AND(AND($DX931=0,$DW931=0),OR($EC931=1,$EA931=1)),SUM($EB931:$EE931)&gt;=2),"Technology approach","")</f>
        <v/>
      </c>
      <c r="EP931" t="str">
        <f>IF(ISNUMBER(BU931),IF(ABS(BU931-[1]QC_indicators!$B$2)&gt;3*[1]QC_indicators!$C$2,"C ratio",IF(ISNUMBER(BY931),IF(ABS(BY931-[1]QC_indicators!$B$1)&gt;3*[1]QC_indicators!$C$1,"DF","no"))),IF(ISNUMBER(BY931),IF(ABS(BY931-[1]QC_indicators!$B$1)&gt;3*[1]QC_indicators!$C$1,"DF","no")))</f>
        <v>no</v>
      </c>
      <c r="EQ931" t="s">
        <v>286</v>
      </c>
      <c r="ET931" s="264" t="s">
        <v>3273</v>
      </c>
    </row>
    <row r="932" spans="1:150" ht="15" customHeight="1">
      <c r="D932" t="s">
        <v>757</v>
      </c>
      <c r="E932" t="s">
        <v>758</v>
      </c>
      <c r="G932" t="s">
        <v>759</v>
      </c>
      <c r="I932">
        <v>2006</v>
      </c>
      <c r="K932" s="296" t="s">
        <v>760</v>
      </c>
      <c r="M932" t="str">
        <f>LEFT($D932,FIND(",",$D932)-1)&amp;"_"&amp;I932&amp;L932</f>
        <v>Gustavsson_2006</v>
      </c>
      <c r="N932" t="s">
        <v>222</v>
      </c>
      <c r="O932" t="s">
        <v>223</v>
      </c>
      <c r="Q932" s="264" t="s">
        <v>256</v>
      </c>
      <c r="R932" s="269" t="s">
        <v>1154</v>
      </c>
      <c r="S932" s="263" t="s">
        <v>772</v>
      </c>
      <c r="T932" t="s">
        <v>753</v>
      </c>
      <c r="U932" s="143" t="s">
        <v>754</v>
      </c>
      <c r="V932">
        <v>0</v>
      </c>
      <c r="W932">
        <v>0</v>
      </c>
      <c r="X932">
        <v>0</v>
      </c>
      <c r="Y932">
        <v>0</v>
      </c>
      <c r="Z932">
        <v>0</v>
      </c>
      <c r="AA932">
        <v>0</v>
      </c>
      <c r="AB932">
        <v>0</v>
      </c>
      <c r="AC932">
        <v>0</v>
      </c>
      <c r="AD932">
        <v>0</v>
      </c>
      <c r="AE932">
        <v>0</v>
      </c>
      <c r="AF932">
        <v>0</v>
      </c>
      <c r="AG932">
        <v>0</v>
      </c>
      <c r="AH932">
        <v>0</v>
      </c>
      <c r="AI932">
        <v>0</v>
      </c>
      <c r="AJ932">
        <v>0</v>
      </c>
      <c r="AK932">
        <v>1</v>
      </c>
      <c r="AL932">
        <v>0</v>
      </c>
      <c r="AM932">
        <v>0</v>
      </c>
      <c r="AN932">
        <v>0</v>
      </c>
      <c r="AO932">
        <v>0</v>
      </c>
      <c r="AP932">
        <v>0</v>
      </c>
      <c r="AQ932">
        <v>0</v>
      </c>
      <c r="AR932">
        <v>0</v>
      </c>
      <c r="AS932">
        <v>0</v>
      </c>
      <c r="AT932">
        <v>0</v>
      </c>
      <c r="AU932">
        <v>0</v>
      </c>
      <c r="AV932">
        <v>0</v>
      </c>
      <c r="AW932">
        <v>0</v>
      </c>
      <c r="AX932" s="141">
        <f>COUNTIF(V932:AW932,"&lt;&gt;0")</f>
        <v>1</v>
      </c>
      <c r="AY932" s="141">
        <f>COUNTIF(V932:AL932,"&lt;&gt;0")</f>
        <v>1</v>
      </c>
      <c r="AZ932">
        <f>COUNTIF(V932:AC932,"&lt;&gt;0")</f>
        <v>0</v>
      </c>
      <c r="BA932">
        <f>COUNTIF(AD932:AI932,"&lt;&gt;0")</f>
        <v>0</v>
      </c>
      <c r="BB932">
        <f>COUNTIF(AJ932:AL932,"&lt;&gt;0")</f>
        <v>1</v>
      </c>
      <c r="BC932">
        <f>COUNTIF(AS932:AW932,"&lt;&gt;0")</f>
        <v>0</v>
      </c>
      <c r="BD932">
        <f>COUNTIF(AM932:AR932,"&lt;&gt;0")</f>
        <v>0</v>
      </c>
      <c r="BE932" t="str" cm="1">
        <f t="array" ref="BE932">IF(AY932=1,INDEX($V$7:$AL$7,MATCH(TRUE,INDEX($V932:$AW932&lt;&gt;0,),0)),IF(AY932=0,INDEX($AM$7:$AW$7,MATCH(1,$AM932:$AW932,0)),IF(BF932="Multiple strategies","mixed drivers",IF(BF932="Supply chain","multiple supply","multiple silviculture"))))</f>
        <v>technologies/design switch</v>
      </c>
      <c r="BF932" s="2" t="str" cm="1">
        <f t="array" ref="BF932">IF(COUNTIF(AZ932:BB932,"&lt;&gt;0")=1,INDEX($V$4:$AW$4,MATCH(TRUE,INDEX($V932:$AW932&lt;&gt;0,),0)),IF(COUNTIF(AZ932:BB932,"&lt;&gt;0")=0,INDEX($AM$4:$AW$4,MATCH(1,$AM932:$AW932,0)),"Multiple strategies"))</f>
        <v>Technology</v>
      </c>
      <c r="BG932" s="142" t="s">
        <v>229</v>
      </c>
      <c r="BH932" t="s">
        <v>393</v>
      </c>
      <c r="BI932" s="264" t="s">
        <v>762</v>
      </c>
      <c r="BJ932" s="143" t="s">
        <v>763</v>
      </c>
      <c r="BK932">
        <v>70</v>
      </c>
      <c r="BL932" s="143">
        <v>98</v>
      </c>
      <c r="BM932" s="143"/>
      <c r="BN932">
        <f>BL932-BK932</f>
        <v>28</v>
      </c>
      <c r="BO932" s="143">
        <f>BN932*t_to_m3</f>
        <v>57.142857142857146</v>
      </c>
      <c r="BP932" s="264" t="s">
        <v>232</v>
      </c>
      <c r="BQ932" s="336" t="s">
        <v>764</v>
      </c>
      <c r="BR932" t="s">
        <v>442</v>
      </c>
      <c r="BS932" s="143">
        <f>-138.7+67.9</f>
        <v>-70.799999999999983</v>
      </c>
      <c r="BT932" s="151">
        <f>-103+56.7</f>
        <v>-46.3</v>
      </c>
      <c r="BV932">
        <f>BT932-BS932</f>
        <v>24.499999999999986</v>
      </c>
      <c r="BX932">
        <f>BV932*C_to_CO2</f>
        <v>89.914999999999949</v>
      </c>
      <c r="BY932">
        <f>IFERROR(BX932/BO932,"")</f>
        <v>1.573512499999999</v>
      </c>
      <c r="BZ932" s="143">
        <v>0</v>
      </c>
      <c r="CA932" s="143">
        <v>0</v>
      </c>
      <c r="CB932" s="143">
        <v>0</v>
      </c>
      <c r="CC932" s="143">
        <v>0</v>
      </c>
      <c r="CD932" s="143">
        <v>0</v>
      </c>
      <c r="CE932" s="143">
        <v>0</v>
      </c>
      <c r="CF932" s="143">
        <v>0</v>
      </c>
      <c r="CG932" s="143">
        <v>0</v>
      </c>
      <c r="CH932" s="143">
        <v>0</v>
      </c>
      <c r="CI932" s="143">
        <v>0</v>
      </c>
      <c r="CJ932" s="143">
        <v>0</v>
      </c>
      <c r="CK932" s="143">
        <v>0</v>
      </c>
      <c r="CL932" s="143">
        <v>0</v>
      </c>
      <c r="CM932">
        <v>0</v>
      </c>
      <c r="CN932" t="str">
        <f>IF($BL932&lt;$BK932,"refNeedCorrection","refOK")</f>
        <v>refOK</v>
      </c>
      <c r="CO932">
        <f>IF($CN932="refOK",$BK932,$BL932)</f>
        <v>70</v>
      </c>
      <c r="CP932">
        <f>IF($CN932="refOK",$BL932,$BK932)</f>
        <v>98</v>
      </c>
      <c r="CQ932">
        <f>IF($CN932="refOK",$BO932,-$BO932)</f>
        <v>57.142857142857146</v>
      </c>
      <c r="CR932">
        <f>IF($CN932="refOK",$BS932,$BT932)*IF($BP932="Emissions positive",-1,1)</f>
        <v>-70.799999999999983</v>
      </c>
      <c r="CS932">
        <f>IF($CN932="refOK",$BT932,$BS932)*IF($BP932="Emissions positive",-1,1)</f>
        <v>-46.3</v>
      </c>
      <c r="CT932">
        <f>IF($CN932="refNeedCorrection",-BX932,BX932)*IF($BP932="Emissions positive",-1,1)</f>
        <v>89.914999999999949</v>
      </c>
      <c r="CU932">
        <f>IFERROR(CT932/CQ932,"")</f>
        <v>1.573512499999999</v>
      </c>
      <c r="CV932" s="2">
        <f>IFERROR((CS932-CR932)/ABS(CR932),"")</f>
        <v>0.34604519774011289</v>
      </c>
      <c r="CW932" s="1" t="s">
        <v>263</v>
      </c>
      <c r="CX932" s="264" t="str">
        <f>IF(OR($CW932="prd",$CW932="std",$CW932="cit"),"loc",IF(OR($CW932="eur",$CW932="reg",$CW932="coy"),"reg",$CW932))</f>
        <v>loc</v>
      </c>
      <c r="CY932" t="s">
        <v>444</v>
      </c>
      <c r="DA932" s="143"/>
      <c r="DB932" s="143">
        <v>0</v>
      </c>
      <c r="DC932" t="str">
        <f>IF(DB932=0,"0",IF(AND(DB932&gt;=1,DB932&lt;=30),"1-30",IF(AND(DB932&gt;30,DB932&lt;=70),"31-70",IF(AND(DB932&gt;70,DB932&lt;=100),"71-100",IF(DB932&gt;100,"+100")))))</f>
        <v>0</v>
      </c>
      <c r="DD932">
        <v>0</v>
      </c>
      <c r="DE932">
        <v>0</v>
      </c>
      <c r="DF932">
        <v>0</v>
      </c>
      <c r="DG932">
        <v>1</v>
      </c>
      <c r="DI932">
        <f>SUM(DD932:DG932)</f>
        <v>1</v>
      </c>
      <c r="DJ932" t="str">
        <f>IF(DI932=1,INDEX($DD$7:$DG$7,MATCH(1,$DD932:$DG932,0)),"mixedProduct")</f>
        <v>TimberInput</v>
      </c>
      <c r="DK932">
        <f>IF(DD932=1,DK$7,0)</f>
        <v>0</v>
      </c>
      <c r="DL932">
        <f>IF(DE932=1,DL$7,0)</f>
        <v>0</v>
      </c>
      <c r="DM932">
        <f>IF(DF932=1,DM$7,0)</f>
        <v>0</v>
      </c>
      <c r="DN932" t="str">
        <f>IF(DG932=1,DN$7,0)</f>
        <v>Timber</v>
      </c>
      <c r="DO932">
        <v>1</v>
      </c>
      <c r="DP932" s="143">
        <v>0</v>
      </c>
      <c r="DQ932" s="143">
        <v>0</v>
      </c>
      <c r="DR932">
        <v>0</v>
      </c>
      <c r="DS932" s="143">
        <v>0</v>
      </c>
      <c r="DT932">
        <f>SUM(DO932:DP932)</f>
        <v>1</v>
      </c>
      <c r="DU932" s="143" t="str">
        <f>IF(DO932=1,"self-calculated DF",IF(DP932=1,"external DF used","explicit C balance"))</f>
        <v>self-calculated DF</v>
      </c>
      <c r="DV932" s="143">
        <v>0</v>
      </c>
      <c r="DW932" s="143">
        <v>0</v>
      </c>
      <c r="DX932" s="143">
        <v>0</v>
      </c>
      <c r="DY932" s="143">
        <v>1</v>
      </c>
      <c r="DZ932">
        <v>0</v>
      </c>
      <c r="EA932" s="143">
        <v>1</v>
      </c>
      <c r="EB932" s="143">
        <v>1</v>
      </c>
      <c r="EC932" s="143">
        <v>1</v>
      </c>
      <c r="ED932" s="143">
        <v>0</v>
      </c>
      <c r="EE932">
        <v>0</v>
      </c>
      <c r="EF932">
        <v>0</v>
      </c>
      <c r="EG932" s="143">
        <v>0</v>
      </c>
      <c r="EH932" s="143">
        <v>0</v>
      </c>
      <c r="EI932" s="2">
        <v>0</v>
      </c>
      <c r="EK932" t="str">
        <f>IF(AND(AND(AND(OR($DX932=1,$DW932=1),OR($EC932=1,$EA932=1)),SUM($DV932:$DZ932,$EF932)&gt;=4),SUM($EA932:$EE932)&gt;=2),"Whole sector","")</f>
        <v/>
      </c>
      <c r="EL932" t="str">
        <f>IF(AND(AND(OR($DX932=1,$DW932=1),AND($EC932=0,$EA932=0)),SUM($DV932:$DZ932,$EF932)&gt;=4),"Ecosystem approach","")</f>
        <v/>
      </c>
      <c r="EM932" s="2" t="str">
        <f>IF(AND(AND(AND($DX932=0,$DW932=0),OR($EC932=1,$EA932=1)),SUM($EB932:$EE932)&gt;=2),"Technology approach","")</f>
        <v>Technology approach</v>
      </c>
      <c r="EP932" t="str">
        <f>IF(ISNUMBER(BU932),IF(ABS(BU932-[3]QC_indicators!$B$2)&gt;3*[3]QC_indicators!$C$2,"C ratio",IF(ISNUMBER(BY932),IF(ABS(BY932-[3]QC_indicators!$B$1)&gt;3*[3]QC_indicators!$C$1,"DF","no"))),IF(ISNUMBER(BY932),IF(ABS(BY932-[3]QC_indicators!$B$1)&gt;3*[3]QC_indicators!$C$1,"DF","no")))</f>
        <v>no</v>
      </c>
      <c r="ER932" s="294" t="s">
        <v>349</v>
      </c>
      <c r="ET932" s="264" t="s">
        <v>3407</v>
      </c>
    </row>
    <row r="933" spans="1:150" ht="15" customHeight="1">
      <c r="D933" t="s">
        <v>963</v>
      </c>
      <c r="E933" t="s">
        <v>1007</v>
      </c>
      <c r="G933" t="s">
        <v>1008</v>
      </c>
      <c r="I933">
        <v>2004</v>
      </c>
      <c r="K933" t="s">
        <v>1009</v>
      </c>
      <c r="M933" t="str">
        <f>LEFT($D933,FIND(",",$D933)-1)&amp;"_"&amp;I933&amp;L933</f>
        <v>Petersen_2004</v>
      </c>
      <c r="N933" t="s">
        <v>222</v>
      </c>
      <c r="O933" s="171" t="s">
        <v>513</v>
      </c>
      <c r="P933" s="141" t="s">
        <v>225</v>
      </c>
      <c r="Q933" t="s">
        <v>389</v>
      </c>
      <c r="R933" s="262" t="s">
        <v>223</v>
      </c>
      <c r="S933" s="1" t="s">
        <v>983</v>
      </c>
      <c r="T933" t="s">
        <v>1024</v>
      </c>
      <c r="U933" t="s">
        <v>1020</v>
      </c>
      <c r="V933">
        <v>0</v>
      </c>
      <c r="W933">
        <v>0</v>
      </c>
      <c r="X933">
        <v>0</v>
      </c>
      <c r="Y933">
        <v>0</v>
      </c>
      <c r="Z933">
        <v>0</v>
      </c>
      <c r="AA933">
        <v>0</v>
      </c>
      <c r="AB933">
        <v>0</v>
      </c>
      <c r="AC933">
        <v>0</v>
      </c>
      <c r="AD933">
        <v>0</v>
      </c>
      <c r="AE933">
        <v>0</v>
      </c>
      <c r="AF933">
        <v>0</v>
      </c>
      <c r="AG933">
        <v>0</v>
      </c>
      <c r="AH933">
        <v>0</v>
      </c>
      <c r="AI933">
        <v>0</v>
      </c>
      <c r="AJ933">
        <v>0</v>
      </c>
      <c r="AK933">
        <v>1</v>
      </c>
      <c r="AL933">
        <v>0</v>
      </c>
      <c r="AM933">
        <v>0</v>
      </c>
      <c r="AN933">
        <v>0</v>
      </c>
      <c r="AO933">
        <v>0</v>
      </c>
      <c r="AP933">
        <v>0</v>
      </c>
      <c r="AQ933">
        <v>0</v>
      </c>
      <c r="AR933">
        <v>0</v>
      </c>
      <c r="AS933">
        <v>0</v>
      </c>
      <c r="AT933">
        <v>0</v>
      </c>
      <c r="AU933">
        <v>0</v>
      </c>
      <c r="AV933">
        <v>0</v>
      </c>
      <c r="AW933">
        <v>0</v>
      </c>
      <c r="AX933" s="141">
        <f>COUNTIF(V933:AW933,"&lt;&gt;0")</f>
        <v>1</v>
      </c>
      <c r="AY933" s="141">
        <f>COUNTIF(V933:AL933,"&lt;&gt;0")</f>
        <v>1</v>
      </c>
      <c r="AZ933">
        <f>COUNTIF(V933:AC933,"&lt;&gt;0")</f>
        <v>0</v>
      </c>
      <c r="BA933">
        <f>COUNTIF(AD933:AI933,"&lt;&gt;0")</f>
        <v>0</v>
      </c>
      <c r="BB933">
        <f>COUNTIF(AJ933:AL933,"&lt;&gt;0")</f>
        <v>1</v>
      </c>
      <c r="BC933">
        <f>COUNTIF(AS933:AW933,"&lt;&gt;0")</f>
        <v>0</v>
      </c>
      <c r="BD933">
        <f>COUNTIF(AM933:AR933,"&lt;&gt;0")</f>
        <v>0</v>
      </c>
      <c r="BE933" t="str">
        <f t="array" ref="BE933">IF(AY933=1,INDEX($V$7:$AL$7,MATCH(TRUE,INDEX($V933:$AW933&lt;&gt;0,),0)),IF(AY933=0,INDEX($AM$7:$AW$7,MATCH(1,$AM933:$AW933,0)),IF(BF933="Multiple strategies","mixed drivers",IF(BF933="Supply chain","multiple supply","multiple silviculture"))))</f>
        <v>technologies/design switch</v>
      </c>
      <c r="BF933" s="2" t="str" cm="1">
        <f t="array" ref="BF933">IF(COUNTIF(AZ933:BB933,"&lt;&gt;0")=1,INDEX($V$4:$AW$4,MATCH(TRUE,INDEX($V933:$AW933&lt;&gt;0,),0)),IF(COUNTIF(AZ933:BB933,"&lt;&gt;0")=0,INDEX($AM$4:$AW$4,MATCH(1,$AM933:$AW933,0)),"Multiple strategies"))</f>
        <v>Technology</v>
      </c>
      <c r="BG933" s="142" t="s">
        <v>229</v>
      </c>
      <c r="BH933" t="s">
        <v>970</v>
      </c>
      <c r="BI933" t="s">
        <v>1012</v>
      </c>
      <c r="BJ933" t="s">
        <v>498</v>
      </c>
      <c r="BK933">
        <v>0</v>
      </c>
      <c r="BL933" s="143">
        <v>1</v>
      </c>
      <c r="BM933" t="str">
        <f>IFERROR(BL933/BK933,"")</f>
        <v/>
      </c>
      <c r="BN933">
        <f>BL933-BK933</f>
        <v>1</v>
      </c>
      <c r="BO933" s="159">
        <v>1</v>
      </c>
      <c r="BP933" t="s">
        <v>232</v>
      </c>
      <c r="BQ933" t="s">
        <v>1013</v>
      </c>
      <c r="BR933" t="s">
        <v>973</v>
      </c>
      <c r="BU933" s="144"/>
      <c r="BV933">
        <v>1.6</v>
      </c>
      <c r="BX933">
        <f>BV933</f>
        <v>1.6</v>
      </c>
      <c r="BY933">
        <f>IFERROR(BX933/BO933,"")</f>
        <v>1.6</v>
      </c>
      <c r="BZ933">
        <v>0</v>
      </c>
      <c r="CA933">
        <v>0</v>
      </c>
      <c r="CB933">
        <v>0</v>
      </c>
      <c r="CC933">
        <v>0</v>
      </c>
      <c r="CD933">
        <v>0</v>
      </c>
      <c r="CE933">
        <v>0</v>
      </c>
      <c r="CF933">
        <v>0</v>
      </c>
      <c r="CG933">
        <v>0</v>
      </c>
      <c r="CH933">
        <v>0</v>
      </c>
      <c r="CI933">
        <v>0</v>
      </c>
      <c r="CJ933">
        <v>0</v>
      </c>
      <c r="CK933">
        <v>0</v>
      </c>
      <c r="CL933">
        <v>0</v>
      </c>
      <c r="CM933">
        <v>0</v>
      </c>
      <c r="CN933" t="str">
        <f>IF($BL933&lt;$BK933,"refNeedCorrection","refOK")</f>
        <v>refOK</v>
      </c>
      <c r="CO933">
        <f>IF($CN933="refOK",$BK933,$BL933)</f>
        <v>0</v>
      </c>
      <c r="CP933">
        <f>IF($CN933="refOK",$BL933,$BK933)</f>
        <v>1</v>
      </c>
      <c r="CQ933">
        <f>IF($CN933="refOK",$BO933,-$BO933)</f>
        <v>1</v>
      </c>
      <c r="CR933">
        <f>IF($CN933="refOK",$BS933,$BT933)*IF($BP933="Emissions positive",-1,1)</f>
        <v>0</v>
      </c>
      <c r="CS933">
        <f>IF($CN933="refOK",$BT933,$BS933)*IF($BP933="Emissions positive",-1,1)</f>
        <v>0</v>
      </c>
      <c r="CT933">
        <f>IF($CN933="refNeedCorrection",-BX933,BX933)*IF($BP933="Emissions positive",-1,1)</f>
        <v>1.6</v>
      </c>
      <c r="CU933">
        <f>IFERROR(CT933/CQ933,"")</f>
        <v>1.6</v>
      </c>
      <c r="CV933" s="2" t="str">
        <f>IFERROR((CS933-CR933)/ABS(CR933),"")</f>
        <v/>
      </c>
      <c r="CW933" s="1" t="s">
        <v>263</v>
      </c>
      <c r="CX933" t="str">
        <f>IF(OR($CW933="prd",$CW933="std",$CW933="cit"),"loc",IF(OR($CW933="eur",$CW933="reg",$CW933="coy"),"reg",$CW933))</f>
        <v>loc</v>
      </c>
      <c r="CY933" t="s">
        <v>264</v>
      </c>
      <c r="DA933" s="143"/>
      <c r="DB933" s="143">
        <v>45</v>
      </c>
      <c r="DC933" t="str">
        <f>IF(DB933=0,"0",IF(AND(DB933&gt;=1,DB933&lt;=30),"1-30",IF(AND(DB933&gt;30,DB933&lt;=70),"31-70",IF(AND(DB933&gt;70,DB933&lt;=100),"71-100",IF(DB933&gt;100,"+100")))))</f>
        <v>31-70</v>
      </c>
      <c r="DD933">
        <v>0</v>
      </c>
      <c r="DE933">
        <v>0</v>
      </c>
      <c r="DF933">
        <v>0</v>
      </c>
      <c r="DG933">
        <v>1</v>
      </c>
      <c r="DH933">
        <v>0</v>
      </c>
      <c r="DI933">
        <f>SUM(DD933:DG933)</f>
        <v>1</v>
      </c>
      <c r="DJ933" t="str">
        <f>IF(DI933=1,INDEX($DD$7:$DG$7,MATCH(1,$DD933:$DG933,0)),"mixedProduct")</f>
        <v>TimberInput</v>
      </c>
      <c r="DK933">
        <f>IF(DD933=1,DK$7,0)</f>
        <v>0</v>
      </c>
      <c r="DL933">
        <f>IF(DE933=1,DL$7,0)</f>
        <v>0</v>
      </c>
      <c r="DM933">
        <f>IF(DF933=1,DM$7,0)</f>
        <v>0</v>
      </c>
      <c r="DN933" t="str">
        <f>IF(DG933=1,DN$7,0)</f>
        <v>Timber</v>
      </c>
      <c r="DO933">
        <v>1</v>
      </c>
      <c r="DP933">
        <v>0</v>
      </c>
      <c r="DQ933">
        <v>0</v>
      </c>
      <c r="DR933">
        <v>0</v>
      </c>
      <c r="DS933">
        <v>0</v>
      </c>
      <c r="DT933">
        <f>SUM(DO933:DP933)</f>
        <v>1</v>
      </c>
      <c r="DU933" s="143" t="str">
        <f>IF(DO933=1,"self-calculated DF",IF(DP933=1,"external DF used","explicit C balance"))</f>
        <v>self-calculated DF</v>
      </c>
      <c r="DV933" s="143">
        <v>0</v>
      </c>
      <c r="DW933" s="143">
        <v>0</v>
      </c>
      <c r="DX933" s="143">
        <v>0</v>
      </c>
      <c r="DY933" s="143">
        <v>0</v>
      </c>
      <c r="DZ933">
        <v>0</v>
      </c>
      <c r="EA933" s="143">
        <v>1</v>
      </c>
      <c r="EB933" s="143">
        <v>0</v>
      </c>
      <c r="EC933" s="143">
        <v>1</v>
      </c>
      <c r="ED933" s="143">
        <v>0</v>
      </c>
      <c r="EE933">
        <v>0</v>
      </c>
      <c r="EF933">
        <v>0</v>
      </c>
      <c r="EG933" s="143">
        <v>0</v>
      </c>
      <c r="EH933" s="143">
        <v>0</v>
      </c>
      <c r="EI933" s="2">
        <v>0</v>
      </c>
      <c r="EK933" t="str">
        <f>IF(AND(AND(AND(OR($DX933=1,$DW933=1),OR($EC933=1,$EA933=1)),SUM($DV933:$DZ933,$EF933)&gt;=4),SUM($EA933:$EE933)&gt;=2),"Whole sector","")</f>
        <v/>
      </c>
      <c r="EL933" t="str">
        <f>IF(AND(AND(OR($DX933=1,$DW933=1),AND($EC933=0,$EA933=0)),SUM($DV933:$DZ933,$EF933)&gt;=4),"Ecosystem approach","")</f>
        <v/>
      </c>
      <c r="EM933" s="2" t="str">
        <f>IF(AND(AND(AND($DX933=0,$DW933=0),OR($EC933=1,$EA933=1)),SUM($EB933:$EE933)&gt;=2),"Technology approach","")</f>
        <v/>
      </c>
      <c r="EP933" t="str">
        <f>IF(ISNUMBER(BU933),IF(ABS(BU933-[1]QC_indicators!$B$2)&gt;3*[1]QC_indicators!$C$2,"C ratio",IF(ISNUMBER(BY933),IF(ABS(BY933-[1]QC_indicators!$B$1)&gt;3*[1]QC_indicators!$C$1,"DF","no"))),IF(ISNUMBER(BY933),IF(ABS(BY933-[1]QC_indicators!$B$1)&gt;3*[1]QC_indicators!$C$1,"DF","no")))</f>
        <v>no</v>
      </c>
      <c r="ER933" t="s">
        <v>995</v>
      </c>
      <c r="ET933" s="264" t="s">
        <v>3212</v>
      </c>
    </row>
    <row r="934" spans="1:150" ht="15" customHeight="1">
      <c r="A934" s="1" t="s">
        <v>1400</v>
      </c>
      <c r="B934" t="s">
        <v>1401</v>
      </c>
      <c r="C934" t="s">
        <v>1402</v>
      </c>
      <c r="D934" t="s">
        <v>1403</v>
      </c>
      <c r="E934" t="s">
        <v>1404</v>
      </c>
      <c r="F934" t="s">
        <v>1405</v>
      </c>
      <c r="G934" t="s">
        <v>1406</v>
      </c>
      <c r="H934" t="s">
        <v>254</v>
      </c>
      <c r="I934">
        <v>2021</v>
      </c>
      <c r="J934">
        <v>0</v>
      </c>
      <c r="K934" t="s">
        <v>1407</v>
      </c>
      <c r="M934" t="str">
        <f>LEFT($D934,FIND(",",$D934)-1)&amp;"_"&amp;I934&amp;L934</f>
        <v>Dugan_2021</v>
      </c>
      <c r="N934" t="s">
        <v>222</v>
      </c>
      <c r="O934" s="145" t="s">
        <v>274</v>
      </c>
      <c r="Q934" t="s">
        <v>256</v>
      </c>
      <c r="R934" s="255" t="s">
        <v>225</v>
      </c>
      <c r="S934" s="1" t="s">
        <v>1408</v>
      </c>
      <c r="T934" t="s">
        <v>1111</v>
      </c>
      <c r="U934" t="s">
        <v>1409</v>
      </c>
      <c r="V934">
        <v>0</v>
      </c>
      <c r="W934">
        <v>0</v>
      </c>
      <c r="X934">
        <v>2</v>
      </c>
      <c r="Y934">
        <v>1</v>
      </c>
      <c r="Z934">
        <v>2</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s="141">
        <f>COUNTIF(V934:AW934,"&lt;&gt;0")</f>
        <v>3</v>
      </c>
      <c r="AY934" s="141">
        <f>COUNTIF(V934:AL934,"&lt;&gt;0")</f>
        <v>3</v>
      </c>
      <c r="AZ934">
        <f>COUNTIF(V934:AC934,"&lt;&gt;0")</f>
        <v>3</v>
      </c>
      <c r="BA934">
        <f>COUNTIF(AD934:AI934,"&lt;&gt;0")</f>
        <v>0</v>
      </c>
      <c r="BB934">
        <f>COUNTIF(AJ934:AL934,"&lt;&gt;0")</f>
        <v>0</v>
      </c>
      <c r="BC934">
        <f>COUNTIF(AS934:AW934,"&lt;&gt;0")</f>
        <v>0</v>
      </c>
      <c r="BD934">
        <f>COUNTIF(AM934:AR934,"&lt;&gt;0")</f>
        <v>0</v>
      </c>
      <c r="BE934" t="str">
        <f t="array" ref="BE934">IF(AY934=1,INDEX($V$7:$AL$7,MATCH(TRUE,INDEX($V934:$AW934&lt;&gt;0,),0)),IF(AY934=0,INDEX($AM$7:$AW$7,MATCH(1,$AM934:$AW934,0)),IF(BF934="Multiple strategies","mixed drivers",IF(BF934="Supply chain","multiple supply","multiple silviculture"))))</f>
        <v>multiple silviculture</v>
      </c>
      <c r="BF934" s="2" t="str" cm="1">
        <f t="array" ref="BF934">IF(COUNTIF(AZ934:BB934,"&lt;&gt;0")=1,INDEX($V$4:$AW$4,MATCH(TRUE,INDEX($V934:$AW934&lt;&gt;0,),0)),IF(COUNTIF(AZ934:BB934,"&lt;&gt;0")=0,INDEX($AM$4:$AW$4,MATCH(1,$AM934:$AW934,0)),"Multiple strategies"))</f>
        <v>Silviculture for removals</v>
      </c>
      <c r="BG934" s="1" t="s">
        <v>321</v>
      </c>
      <c r="BH934" t="s">
        <v>1410</v>
      </c>
      <c r="BI934" s="260" t="s">
        <v>3318</v>
      </c>
      <c r="BJ934" t="s">
        <v>1359</v>
      </c>
      <c r="BK934" s="264">
        <v>14.61</v>
      </c>
      <c r="BL934">
        <f>BK934*1.1</f>
        <v>16.071000000000002</v>
      </c>
      <c r="BN934" s="227">
        <f>BL934-BK934</f>
        <v>1.4610000000000021</v>
      </c>
      <c r="BO934">
        <f>BN934*10^6*tC_to_m3</f>
        <v>6343899.2618324021</v>
      </c>
      <c r="BP934" t="s">
        <v>232</v>
      </c>
      <c r="BQ934" s="260" t="s">
        <v>3321</v>
      </c>
      <c r="BR934" t="s">
        <v>1300</v>
      </c>
      <c r="BS934" s="152"/>
      <c r="BT934" s="152"/>
      <c r="BU934" s="144"/>
      <c r="BV934" s="285">
        <v>10.1853675975971</v>
      </c>
      <c r="BX934">
        <f>BV934*10^6</f>
        <v>10185367.5975971</v>
      </c>
      <c r="BY934">
        <f>IFERROR(BX934/BO934,"")</f>
        <v>1.6055374111749545</v>
      </c>
      <c r="BZ934">
        <v>0</v>
      </c>
      <c r="CA934">
        <v>0</v>
      </c>
      <c r="CB934">
        <v>0</v>
      </c>
      <c r="CC934">
        <v>0</v>
      </c>
      <c r="CD934">
        <v>0</v>
      </c>
      <c r="CE934">
        <v>0</v>
      </c>
      <c r="CF934">
        <v>0</v>
      </c>
      <c r="CG934">
        <v>0</v>
      </c>
      <c r="CH934">
        <v>0</v>
      </c>
      <c r="CI934">
        <v>0</v>
      </c>
      <c r="CJ934">
        <v>0</v>
      </c>
      <c r="CK934">
        <v>0</v>
      </c>
      <c r="CL934">
        <v>0</v>
      </c>
      <c r="CM934">
        <v>0</v>
      </c>
      <c r="CN934" t="str">
        <f>IF(BL934&lt;BK934,"refNeedCorrection","refOK")</f>
        <v>refOK</v>
      </c>
      <c r="CO934"/>
      <c r="CP934"/>
      <c r="CQ934">
        <f>IF($CN934="refNeedCorrection",-BO934,BO934)</f>
        <v>6343899.2618324021</v>
      </c>
      <c r="CR934">
        <f>IF($CN934="refOK",$BS934,$BT934)*IF($BP934="Emissions positive",-1,1)</f>
        <v>0</v>
      </c>
      <c r="CS934">
        <f>IF($CN934="refOK",$BT934,$BS934)*IF($BP934="Emissions positive",-1,1)</f>
        <v>0</v>
      </c>
      <c r="CT934">
        <f>IF($CN934="refNeedCorrection",-BX934,BX934)*IF($BP934="Emissions positive",-1,1)</f>
        <v>10185367.5975971</v>
      </c>
      <c r="CU934">
        <f>IFERROR(CT934/CQ934,"")</f>
        <v>1.6055374111749545</v>
      </c>
      <c r="CV934" s="2" t="str">
        <f>IFERROR((CS934-CR934)/ABS(CR934),"")</f>
        <v/>
      </c>
      <c r="CW934" s="1" t="s">
        <v>1199</v>
      </c>
      <c r="CX934" t="str">
        <f>IF(OR($CW934="prd",$CW934="std",$CW934="cit"),"loc",IF(OR($CW934="eur",$CW934="reg",$CW934="coy"),"reg",$CW934))</f>
        <v>reg</v>
      </c>
      <c r="CY934" t="s">
        <v>428</v>
      </c>
      <c r="CZ934">
        <v>2020</v>
      </c>
      <c r="DA934">
        <v>2050</v>
      </c>
      <c r="DB934">
        <v>30</v>
      </c>
      <c r="DC934" t="str">
        <f>IF(DB934=0,"0",IF(AND(DB934&gt;=1,DB934&lt;=30),"1-30",IF(AND(DB934&gt;30,DB934&lt;=70),"31-70",IF(AND(DB934&gt;70,DB934&lt;=100),"71-100",IF(DB934&gt;100,"+100")))))</f>
        <v>1-30</v>
      </c>
      <c r="DD934">
        <v>0</v>
      </c>
      <c r="DE934">
        <v>1</v>
      </c>
      <c r="DF934">
        <v>1</v>
      </c>
      <c r="DG934">
        <v>1</v>
      </c>
      <c r="DI934">
        <f>SUM(DD934:DG934)</f>
        <v>3</v>
      </c>
      <c r="DJ934" t="str">
        <f>IF(DI934=1,INDEX($DD$7:$DG$7,MATCH(1,$DD934:$DG934,0)),"mixedProduct")</f>
        <v>mixedProduct</v>
      </c>
      <c r="DK934">
        <f>IF(DD934=1,DK$7,0)</f>
        <v>0</v>
      </c>
      <c r="DL934" t="str">
        <f>IF(DE934=1,DL$7,0)</f>
        <v>Energy</v>
      </c>
      <c r="DM934" t="str">
        <f>IF(DF934=1,DM$7,0)</f>
        <v>Pulp/Paper</v>
      </c>
      <c r="DN934" t="str">
        <f>IF(DG934=1,DN$7,0)</f>
        <v>Timber</v>
      </c>
      <c r="DO934">
        <v>0</v>
      </c>
      <c r="DP934">
        <v>1</v>
      </c>
      <c r="DQ934" t="s">
        <v>1411</v>
      </c>
      <c r="DR934" t="s">
        <v>1412</v>
      </c>
      <c r="DS934">
        <v>0</v>
      </c>
      <c r="DT934">
        <f>SUM(DO934:DP934)</f>
        <v>1</v>
      </c>
      <c r="DU934" s="143" t="str">
        <f>IF(DO934=1,"self-calculated DF",IF(DP934=1,"external DF used","explicit C balance"))</f>
        <v>external DF used</v>
      </c>
      <c r="DV934">
        <v>1</v>
      </c>
      <c r="DW934">
        <v>1</v>
      </c>
      <c r="DX934">
        <v>1</v>
      </c>
      <c r="DY934">
        <v>0</v>
      </c>
      <c r="DZ934">
        <v>0</v>
      </c>
      <c r="EA934" s="143">
        <v>0</v>
      </c>
      <c r="EB934">
        <v>0</v>
      </c>
      <c r="EC934">
        <v>0</v>
      </c>
      <c r="ED934">
        <v>0</v>
      </c>
      <c r="EE934">
        <v>0</v>
      </c>
      <c r="EF934">
        <v>1</v>
      </c>
      <c r="EG934" s="143">
        <v>0</v>
      </c>
      <c r="EH934" s="143">
        <v>0</v>
      </c>
      <c r="EI934" s="2">
        <v>0</v>
      </c>
      <c r="EK934" t="str">
        <f>IF(AND(AND(AND(OR($DX934=1,$DW934=1),OR($EC934=1,$EA934=1)),SUM($DV934:$DZ934,$EF934)&gt;=4),SUM($EA934:$EE934)&gt;=2),"Whole sector","")</f>
        <v/>
      </c>
      <c r="EL934" t="str">
        <f>IF(AND(AND(OR($DX934=1,$DW934=1),AND($EC934=0,$EA934=0)),SUM($DV934:$DZ934,$EF934)&gt;=4),"Ecosystem approach","")</f>
        <v>Ecosystem approach</v>
      </c>
      <c r="EM934" s="2" t="str">
        <f>IF(AND(AND(AND($DX934=0,$DW934=0),OR($EC934=1,$EA934=1)),SUM($EB934:$EE934)&gt;=2),"Technology approach","")</f>
        <v/>
      </c>
      <c r="EP934" t="str">
        <f>IF(ISNUMBER(BU934),IF(ABS(BU934-[4]QC_indicators!$B$2)&gt;3*[4]QC_indicators!$C$2,"C ratio",IF(ISNUMBER(BY934),IF(ABS(BY934-[4]QC_indicators!$B$1)&gt;3*[4]QC_indicators!$C$1,"DF","no"))),IF(ISNUMBER(BY934),IF(ABS(BY934-[4]QC_indicators!$B$1)&gt;3*[4]QC_indicators!$C$1,"DF","no")))</f>
        <v>no</v>
      </c>
      <c r="EQ934" t="s">
        <v>286</v>
      </c>
      <c r="ER934" s="149" t="s">
        <v>349</v>
      </c>
      <c r="ET934" s="264" t="s">
        <v>3273</v>
      </c>
    </row>
    <row r="935" spans="1:150" ht="15" customHeight="1">
      <c r="D935" t="s">
        <v>733</v>
      </c>
      <c r="E935" t="s">
        <v>734</v>
      </c>
      <c r="G935" t="s">
        <v>735</v>
      </c>
      <c r="I935">
        <v>2005</v>
      </c>
      <c r="K935" s="156" t="s">
        <v>736</v>
      </c>
      <c r="M935" t="str">
        <f>LEFT($D935,FIND(",",$D935)-1)&amp;"_"&amp;I935&amp;L935</f>
        <v>Gustavsson_2005</v>
      </c>
      <c r="N935" t="s">
        <v>222</v>
      </c>
      <c r="O935" t="s">
        <v>223</v>
      </c>
      <c r="Q935" t="s">
        <v>256</v>
      </c>
      <c r="R935" s="255" t="s">
        <v>225</v>
      </c>
      <c r="S935" s="1" t="s">
        <v>752</v>
      </c>
      <c r="T935" t="s">
        <v>753</v>
      </c>
      <c r="U935" s="264" t="s">
        <v>754</v>
      </c>
      <c r="V935">
        <v>0</v>
      </c>
      <c r="W935">
        <v>0</v>
      </c>
      <c r="X935">
        <v>0</v>
      </c>
      <c r="Y935">
        <v>0</v>
      </c>
      <c r="Z935">
        <v>0</v>
      </c>
      <c r="AA935">
        <v>0</v>
      </c>
      <c r="AB935">
        <v>0</v>
      </c>
      <c r="AC935">
        <v>0</v>
      </c>
      <c r="AD935">
        <v>0</v>
      </c>
      <c r="AE935">
        <v>0</v>
      </c>
      <c r="AF935">
        <v>0</v>
      </c>
      <c r="AG935">
        <v>0</v>
      </c>
      <c r="AH935">
        <v>0</v>
      </c>
      <c r="AI935">
        <v>0</v>
      </c>
      <c r="AJ935">
        <v>0</v>
      </c>
      <c r="AK935">
        <v>1</v>
      </c>
      <c r="AL935">
        <v>0</v>
      </c>
      <c r="AM935">
        <v>0</v>
      </c>
      <c r="AN935">
        <v>0</v>
      </c>
      <c r="AO935">
        <v>0</v>
      </c>
      <c r="AP935">
        <v>0</v>
      </c>
      <c r="AQ935">
        <v>0</v>
      </c>
      <c r="AR935">
        <v>0</v>
      </c>
      <c r="AS935">
        <v>0</v>
      </c>
      <c r="AT935">
        <v>0</v>
      </c>
      <c r="AU935">
        <v>0</v>
      </c>
      <c r="AV935">
        <v>0</v>
      </c>
      <c r="AW935">
        <v>0</v>
      </c>
      <c r="AX935" s="141">
        <f>COUNTIF(V935:AW935,"&lt;&gt;0")</f>
        <v>1</v>
      </c>
      <c r="AY935" s="141">
        <f>COUNTIF(V935:AL935,"&lt;&gt;0")</f>
        <v>1</v>
      </c>
      <c r="AZ935">
        <f>COUNTIF(V935:AC935,"&lt;&gt;0")</f>
        <v>0</v>
      </c>
      <c r="BA935">
        <f>COUNTIF(AD935:AI935,"&lt;&gt;0")</f>
        <v>0</v>
      </c>
      <c r="BB935">
        <f>COUNTIF(AJ935:AL935,"&lt;&gt;0")</f>
        <v>1</v>
      </c>
      <c r="BC935">
        <f>COUNTIF(AS935:AW935,"&lt;&gt;0")</f>
        <v>0</v>
      </c>
      <c r="BD935">
        <f>COUNTIF(AM935:AR935,"&lt;&gt;0")</f>
        <v>0</v>
      </c>
      <c r="BE935" t="str">
        <f t="array" ref="BE935">IF(AY935=1,INDEX($V$7:$AL$7,MATCH(TRUE,INDEX($V935:$AW935&lt;&gt;0,),0)),IF(AY935=0,INDEX($AM$7:$AW$7,MATCH(1,$AM935:$AW935,0)),IF(BF935="Multiple strategies","mixed drivers",IF(BF935="Supply chain","multiple supply","multiple silviculture"))))</f>
        <v>technologies/design switch</v>
      </c>
      <c r="BF935" s="2" t="str" cm="1">
        <f t="array" ref="BF935">IF(COUNTIF(AZ935:BB935,"&lt;&gt;0")=1,INDEX($V$4:$AW$4,MATCH(TRUE,INDEX($V935:$AW935&lt;&gt;0,),0)),IF(COUNTIF(AZ935:BB935,"&lt;&gt;0")=0,INDEX($AM$4:$AW$4,MATCH(1,$AM935:$AW935,0)),"Multiple strategies"))</f>
        <v>Technology</v>
      </c>
      <c r="BG935" s="263" t="s">
        <v>229</v>
      </c>
      <c r="BH935" s="264" t="s">
        <v>755</v>
      </c>
      <c r="BI935" s="260" t="s">
        <v>424</v>
      </c>
      <c r="BJ935" s="264" t="s">
        <v>741</v>
      </c>
      <c r="BK935" s="264">
        <v>56.4</v>
      </c>
      <c r="BL935" s="264">
        <v>80.5</v>
      </c>
      <c r="BM935" s="264">
        <f>BL935/BK935</f>
        <v>1.4273049645390072</v>
      </c>
      <c r="BN935" s="264">
        <f>BL935-BK935</f>
        <v>24.1</v>
      </c>
      <c r="BO935" s="264">
        <f>BN935*t_to_m3</f>
        <v>49.183673469387756</v>
      </c>
      <c r="BP935" t="s">
        <v>232</v>
      </c>
      <c r="BQ935" s="304" t="s">
        <v>3337</v>
      </c>
      <c r="BR935" t="s">
        <v>442</v>
      </c>
      <c r="BS935" s="264">
        <v>76.2</v>
      </c>
      <c r="BT935" s="151">
        <v>97.9</v>
      </c>
      <c r="BV935">
        <f>BT935-BS935</f>
        <v>21.700000000000003</v>
      </c>
      <c r="BX935">
        <f>BV935*C_to_CO2</f>
        <v>79.63900000000001</v>
      </c>
      <c r="BY935">
        <f>IFERROR(BX935/BO935,"")</f>
        <v>1.6192161825726143</v>
      </c>
      <c r="BZ935" s="143">
        <v>0</v>
      </c>
      <c r="CA935" s="143">
        <v>0</v>
      </c>
      <c r="CB935" s="143">
        <v>0</v>
      </c>
      <c r="CC935" s="143">
        <v>0</v>
      </c>
      <c r="CD935" s="143">
        <v>0</v>
      </c>
      <c r="CE935" s="143">
        <v>0</v>
      </c>
      <c r="CF935" s="143">
        <v>0</v>
      </c>
      <c r="CG935" s="143">
        <v>0</v>
      </c>
      <c r="CH935" s="143">
        <v>0</v>
      </c>
      <c r="CI935" s="143">
        <v>0</v>
      </c>
      <c r="CJ935" s="143">
        <v>0</v>
      </c>
      <c r="CK935" s="143">
        <v>0</v>
      </c>
      <c r="CL935" s="143">
        <v>0</v>
      </c>
      <c r="CM935">
        <v>0</v>
      </c>
      <c r="CN935" t="str">
        <f>IF($BL935&lt;$BK935,"refNeedCorrection","refOK")</f>
        <v>refOK</v>
      </c>
      <c r="CO935">
        <f>IF($CN935="refOK",$BK935,$BL935)</f>
        <v>56.4</v>
      </c>
      <c r="CP935">
        <f>IF($CN935="refOK",$BL935,$BK935)</f>
        <v>80.5</v>
      </c>
      <c r="CQ935">
        <f>IF($CN935="refOK",$BO935,-$BO935)</f>
        <v>49.183673469387756</v>
      </c>
      <c r="CR935">
        <f>IF($CN935="refOK",$BS935,$BT935)*IF($BP935="Emissions positive",-1,1)</f>
        <v>76.2</v>
      </c>
      <c r="CS935">
        <f>IF($CN935="refOK",$BT935,$BS935)*IF($BP935="Emissions positive",-1,1)</f>
        <v>97.9</v>
      </c>
      <c r="CT935">
        <f>IF($CN935="refNeedCorrection",-BX935,BX935)*IF($BP935="Emissions positive",-1,1)</f>
        <v>79.63900000000001</v>
      </c>
      <c r="CU935">
        <f>IFERROR(CT935/CQ935,"")</f>
        <v>1.6192161825726143</v>
      </c>
      <c r="CV935" s="2">
        <f>IFERROR((CS935-CR935)/ABS(CR935),"")</f>
        <v>0.28477690288713914</v>
      </c>
      <c r="CW935" s="1" t="s">
        <v>263</v>
      </c>
      <c r="CX935" t="str">
        <f>IF(OR($CW935="prd",$CW935="std",$CW935="cit"),"loc",IF(OR($CW935="eur",$CW935="reg",$CW935="coy"),"reg",$CW935))</f>
        <v>loc</v>
      </c>
      <c r="CY935" t="s">
        <v>743</v>
      </c>
      <c r="DA935" s="143"/>
      <c r="DB935" s="143">
        <v>0</v>
      </c>
      <c r="DC935" t="str">
        <f>IF(DB935=0,"0",IF(AND(DB935&gt;=1,DB935&lt;=30),"1-30",IF(AND(DB935&gt;30,DB935&lt;=70),"31-70",IF(AND(DB935&gt;70,DB935&lt;=100),"71-100",IF(DB935&gt;100,"+100")))))</f>
        <v>0</v>
      </c>
      <c r="DD935">
        <v>0</v>
      </c>
      <c r="DE935">
        <v>0</v>
      </c>
      <c r="DF935">
        <v>0</v>
      </c>
      <c r="DG935">
        <v>1</v>
      </c>
      <c r="DI935">
        <f>SUM(DD935:DG935)</f>
        <v>1</v>
      </c>
      <c r="DJ935" t="str">
        <f>IF(DI935=1,INDEX($DD$7:$DG$7,MATCH(1,$DD935:$DG935,0)),"mixedProduct")</f>
        <v>TimberInput</v>
      </c>
      <c r="DK935">
        <f>IF(DD935=1,DK$7,0)</f>
        <v>0</v>
      </c>
      <c r="DL935">
        <f>IF(DE935=1,DL$7,0)</f>
        <v>0</v>
      </c>
      <c r="DM935">
        <f>IF(DF935=1,DM$7,0)</f>
        <v>0</v>
      </c>
      <c r="DN935" t="str">
        <f>IF(DG935=1,DN$7,0)</f>
        <v>Timber</v>
      </c>
      <c r="DO935">
        <v>1</v>
      </c>
      <c r="DP935" s="143">
        <v>0</v>
      </c>
      <c r="DQ935" s="143">
        <v>0</v>
      </c>
      <c r="DR935">
        <v>0</v>
      </c>
      <c r="DS935" s="143">
        <v>0</v>
      </c>
      <c r="DT935">
        <f>SUM(DO935:DP935)</f>
        <v>1</v>
      </c>
      <c r="DU935" s="143" t="str">
        <f>IF(DO935=1,"self-calculated DF",IF(DP935=1,"external DF used","explicit C balance"))</f>
        <v>self-calculated DF</v>
      </c>
      <c r="DV935" s="143">
        <v>0</v>
      </c>
      <c r="DW935" s="264">
        <v>1</v>
      </c>
      <c r="DX935" s="264">
        <v>1</v>
      </c>
      <c r="DY935" s="264">
        <v>0</v>
      </c>
      <c r="DZ935" s="264">
        <v>0</v>
      </c>
      <c r="EA935" s="264">
        <v>1</v>
      </c>
      <c r="EB935" s="264">
        <v>1</v>
      </c>
      <c r="EC935" s="264">
        <v>0</v>
      </c>
      <c r="ED935" s="143">
        <v>0</v>
      </c>
      <c r="EE935">
        <v>0</v>
      </c>
      <c r="EF935">
        <v>0</v>
      </c>
      <c r="EG935" s="143">
        <v>0</v>
      </c>
      <c r="EH935" s="143">
        <v>0</v>
      </c>
      <c r="EI935" s="2">
        <v>0</v>
      </c>
      <c r="EK935" t="str">
        <f>IF(AND(AND(AND(OR($DX935=1,$DW935=1),OR($EC935=1,$EA935=1)),SUM($DV935:$DZ935,$EF935)&gt;=4),SUM($EA935:$EE935)&gt;=2),"Whole sector","")</f>
        <v/>
      </c>
      <c r="EL935" t="str">
        <f>IF(AND(AND(OR($DX935=1,$DW935=1),AND($EC935=0,$EA935=0)),SUM($DV935:$DZ935,$EF935)&gt;=4),"Ecosystem approach","")</f>
        <v/>
      </c>
      <c r="EM935" s="2" t="str">
        <f>IF(AND(AND(AND($DX935=0,$DW935=0),OR($EC935=1,$EA935=1)),SUM($EB935:$EE935)&gt;=2),"Technology approach","")</f>
        <v/>
      </c>
      <c r="EP935" t="str">
        <f>IF(ISNUMBER(BU935),IF(ABS(BU935-[4]QC_indicators!$B$2)&gt;3*[4]QC_indicators!$C$2,"C ratio",IF(ISNUMBER(BY935),IF(ABS(BY935-[4]QC_indicators!$B$1)&gt;3*[4]QC_indicators!$C$1,"DF","no"))),IF(ISNUMBER(BY935),IF(ABS(BY935-[4]QC_indicators!$B$1)&gt;3*[4]QC_indicators!$C$1,"DF","no")))</f>
        <v>no</v>
      </c>
      <c r="ER935" s="149" t="s">
        <v>349</v>
      </c>
      <c r="ET935" s="264" t="s">
        <v>3273</v>
      </c>
    </row>
    <row r="936" spans="1:150" ht="15" customHeight="1">
      <c r="A936" s="1" t="s">
        <v>1423</v>
      </c>
      <c r="B936" t="s">
        <v>1424</v>
      </c>
      <c r="C936" t="s">
        <v>1425</v>
      </c>
      <c r="D936" t="s">
        <v>1426</v>
      </c>
      <c r="E936" t="s">
        <v>1427</v>
      </c>
      <c r="F936" t="s">
        <v>1428</v>
      </c>
      <c r="G936" t="s">
        <v>1429</v>
      </c>
      <c r="H936" t="s">
        <v>254</v>
      </c>
      <c r="I936">
        <v>2020</v>
      </c>
      <c r="J936">
        <v>1</v>
      </c>
      <c r="K936" t="s">
        <v>1430</v>
      </c>
      <c r="M936" t="str">
        <f>LEFT($D936,FIND(",",$D936)-1)&amp;"_"&amp;I936&amp;L936</f>
        <v>Dymond_2020</v>
      </c>
      <c r="N936" t="s">
        <v>222</v>
      </c>
      <c r="O936" s="145" t="s">
        <v>274</v>
      </c>
      <c r="Q936" t="s">
        <v>256</v>
      </c>
      <c r="R936" s="286" t="s">
        <v>225</v>
      </c>
      <c r="S936" s="1" t="s">
        <v>1431</v>
      </c>
      <c r="T936" t="s">
        <v>1432</v>
      </c>
      <c r="U936" t="s">
        <v>1433</v>
      </c>
      <c r="V936">
        <v>0</v>
      </c>
      <c r="W936">
        <v>0</v>
      </c>
      <c r="X936">
        <v>0</v>
      </c>
      <c r="Y936">
        <v>0</v>
      </c>
      <c r="Z936">
        <v>1</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s="141">
        <f>COUNTIF(V936:AW936,"&lt;&gt;0")</f>
        <v>1</v>
      </c>
      <c r="AY936" s="141">
        <f>COUNTIF(V936:AL936,"&lt;&gt;0")</f>
        <v>1</v>
      </c>
      <c r="AZ936">
        <f>COUNTIF(V936:AC936,"&lt;&gt;0")</f>
        <v>1</v>
      </c>
      <c r="BA936">
        <f>COUNTIF(AD936:AI936,"&lt;&gt;0")</f>
        <v>0</v>
      </c>
      <c r="BB936">
        <f>COUNTIF(AJ936:AL936,"&lt;&gt;0")</f>
        <v>0</v>
      </c>
      <c r="BC936">
        <f>COUNTIF(AS936:AW936,"&lt;&gt;0")</f>
        <v>0</v>
      </c>
      <c r="BD936">
        <f>COUNTIF(AM936:AR936,"&lt;&gt;0")</f>
        <v>0</v>
      </c>
      <c r="BE936" t="str">
        <f t="array" ref="BE936">IF(AY936=1,INDEX($V$7:$AL$7,MATCH(TRUE,INDEX($V936:$AW936&lt;&gt;0,),0)),IF(AY936=0,INDEX($AM$7:$AW$7,MATCH(1,$AM936:$AW936,0)),IF(BF936="Multiple strategies","mixed drivers",IF(BF936="Supply chain","multiple supply","multiple silviculture"))))</f>
        <v>species</v>
      </c>
      <c r="BF936" s="2" t="str" cm="1">
        <f t="array" ref="BF936">IF(COUNTIF(AZ936:BB936,"&lt;&gt;0")=1,INDEX($V$4:$AW$4,MATCH(TRUE,INDEX($V936:$AW936&lt;&gt;0,),0)),IF(COUNTIF(AZ936:BB936,"&lt;&gt;0")=0,INDEX($AM$4:$AW$4,MATCH(1,$AM936:$AW936,0)),"Multiple strategies"))</f>
        <v>Silviculture for productivity</v>
      </c>
      <c r="BG936" s="1" t="s">
        <v>321</v>
      </c>
      <c r="BH936" t="s">
        <v>1434</v>
      </c>
      <c r="BI936" s="260" t="s">
        <v>3322</v>
      </c>
      <c r="BJ936" t="s">
        <v>498</v>
      </c>
      <c r="BK936">
        <f>6450.3412361686*1000</f>
        <v>6450341.2361685997</v>
      </c>
      <c r="BL936">
        <f>7333.995155*1000</f>
        <v>7333995.1549999993</v>
      </c>
      <c r="BM936">
        <f>BL936/BK936</f>
        <v>1.136993359960019</v>
      </c>
      <c r="BN936">
        <f>BL936-BK936</f>
        <v>883653.91883139964</v>
      </c>
      <c r="BO936">
        <f>BN936</f>
        <v>883653.91883139964</v>
      </c>
      <c r="BP936" t="s">
        <v>232</v>
      </c>
      <c r="BQ936" s="260" t="s">
        <v>3323</v>
      </c>
      <c r="BR936" t="s">
        <v>825</v>
      </c>
      <c r="BS936">
        <f>17.4145393233552*1000000</f>
        <v>17414539.323355202</v>
      </c>
      <c r="BT936">
        <f>18.8541692956031*1000000</f>
        <v>18854169.2956031</v>
      </c>
      <c r="BU936" s="144">
        <f>IFERROR(BT936/BS936,"")</f>
        <v>1.0826682776682564</v>
      </c>
      <c r="BV936" s="152">
        <f>BT936-BS936</f>
        <v>1439629.9722478986</v>
      </c>
      <c r="BW936" s="152"/>
      <c r="BX936" s="152">
        <f>BV936</f>
        <v>1439629.9722478986</v>
      </c>
      <c r="BY936">
        <f>IFERROR(BX936/BO936,"")</f>
        <v>1.6291785070695517</v>
      </c>
      <c r="BZ936">
        <v>0</v>
      </c>
      <c r="CA936">
        <v>0</v>
      </c>
      <c r="CB936">
        <v>0</v>
      </c>
      <c r="CC936">
        <v>0</v>
      </c>
      <c r="CD936">
        <v>0</v>
      </c>
      <c r="CE936">
        <v>0</v>
      </c>
      <c r="CF936">
        <v>0</v>
      </c>
      <c r="CG936">
        <v>0</v>
      </c>
      <c r="CH936">
        <v>0</v>
      </c>
      <c r="CI936">
        <v>0</v>
      </c>
      <c r="CJ936">
        <v>0</v>
      </c>
      <c r="CK936">
        <v>0</v>
      </c>
      <c r="CL936">
        <v>0</v>
      </c>
      <c r="CM936">
        <v>1</v>
      </c>
      <c r="CN936" t="str">
        <f>IF($BL936&lt;$BK936,"refNeedCorrection","refOK")</f>
        <v>refOK</v>
      </c>
      <c r="CO936">
        <f>IF($CN936="refNeedCorrection",BL936,BK936)</f>
        <v>6450341.2361685997</v>
      </c>
      <c r="CP936">
        <f>IF($CN936="refNeedCorrection",BK936,BL936)</f>
        <v>7333995.1549999993</v>
      </c>
      <c r="CQ936">
        <f>IF($CN936="refOK",$BO936,-$BO936)</f>
        <v>883653.91883139964</v>
      </c>
      <c r="CR936">
        <f>IF($CN936="refOK",$BS936,$BT936)*IF($BP936="Emissions positive",-1,1)</f>
        <v>17414539.323355202</v>
      </c>
      <c r="CS936">
        <f>IF($CN936="refOK",$BT936,$BS936)*IF($BP936="Emissions positive",-1,1)</f>
        <v>18854169.2956031</v>
      </c>
      <c r="CT936">
        <f>IF($CN936="refNeedCorrection",-BX936,BX936)*IF($BP936="Emissions positive",-1,1)</f>
        <v>1439629.9722478986</v>
      </c>
      <c r="CU936">
        <f>IFERROR(CT936/CQ936,"")</f>
        <v>1.6291785070695517</v>
      </c>
      <c r="CV936" s="2">
        <f>IFERROR((CS936-CR936)/ABS(CR936),"")</f>
        <v>8.2668277668256449E-2</v>
      </c>
      <c r="CW936" s="1" t="s">
        <v>1199</v>
      </c>
      <c r="CX936" t="str">
        <f>IF(OR($CW936="prd",$CW936="std",$CW936="cit"),"loc",IF(OR($CW936="eur",$CW936="reg",$CW936="coy"),"reg",$CW936))</f>
        <v>reg</v>
      </c>
      <c r="CY936" t="s">
        <v>540</v>
      </c>
      <c r="DB936">
        <v>100</v>
      </c>
      <c r="DC936" t="str">
        <f>IF(DB936=0,"0",IF(AND(DB936&gt;=1,DB936&lt;=30),"1-30",IF(AND(DB936&gt;30,DB936&lt;=70),"31-70",IF(AND(DB936&gt;70,DB936&lt;=100),"71-100",IF(DB936&gt;100,"+100")))))</f>
        <v>71-100</v>
      </c>
      <c r="DD936">
        <v>1</v>
      </c>
      <c r="DE936">
        <v>0</v>
      </c>
      <c r="DF936">
        <v>0</v>
      </c>
      <c r="DG936">
        <v>0</v>
      </c>
      <c r="DI936">
        <f>SUM(DD936:DG936)</f>
        <v>1</v>
      </c>
      <c r="DJ936" t="str">
        <f>IF(DI936=1,INDEX($DD$7:$DG$7,MATCH(1,$DD936:$DG936,0)),"mixedProduct")</f>
        <v>UpstreamInput</v>
      </c>
      <c r="DK936" t="str">
        <f>IF(DD936=1,DK$7,0)</f>
        <v>Upstream</v>
      </c>
      <c r="DL936">
        <f>IF(DE936=1,DL$7,0)</f>
        <v>0</v>
      </c>
      <c r="DM936">
        <f>IF(DF936=1,DM$7,0)</f>
        <v>0</v>
      </c>
      <c r="DN936">
        <f>IF(DG936=1,DN$7,0)</f>
        <v>0</v>
      </c>
      <c r="DO936">
        <v>0</v>
      </c>
      <c r="DP936">
        <v>0</v>
      </c>
      <c r="DQ936">
        <v>0</v>
      </c>
      <c r="DR936">
        <v>0</v>
      </c>
      <c r="DS936">
        <v>0</v>
      </c>
      <c r="DT936">
        <f>SUM(DO936:DP936)</f>
        <v>0</v>
      </c>
      <c r="DU936" s="143" t="str">
        <f>IF(DO936=1,"self-calculated DF",IF(DP936=1,"external DF used","explicit C balance"))</f>
        <v>explicit C balance</v>
      </c>
      <c r="DV936">
        <v>1</v>
      </c>
      <c r="DW936">
        <v>0</v>
      </c>
      <c r="DX936">
        <v>1</v>
      </c>
      <c r="DY936">
        <v>0</v>
      </c>
      <c r="DZ936">
        <v>0</v>
      </c>
      <c r="EA936" s="143">
        <v>0</v>
      </c>
      <c r="EB936">
        <v>0</v>
      </c>
      <c r="EC936">
        <v>0</v>
      </c>
      <c r="ED936">
        <v>0</v>
      </c>
      <c r="EE936">
        <v>0</v>
      </c>
      <c r="EF936">
        <v>1</v>
      </c>
      <c r="EG936">
        <v>0</v>
      </c>
      <c r="EH936">
        <v>0</v>
      </c>
      <c r="EI936" s="2">
        <v>0</v>
      </c>
      <c r="EK936" t="str">
        <f>IF(AND(AND(AND(OR($DX936=1,$DW936=1),OR($EC936=1,$EA936=1)),SUM($DV936:$DZ936,$EF936)&gt;=4),SUM($EA936:$EE936)&gt;=2),"Whole sector","")</f>
        <v/>
      </c>
      <c r="EL936" t="str">
        <f>IF(AND(AND(OR($DX936=1,$DW936=1),AND($EC936=0,$EA936=0)),SUM($DV936:$DZ936,$EF936)&gt;=4),"Ecosystem approach","")</f>
        <v/>
      </c>
      <c r="EM936" s="2" t="str">
        <f>IF(AND(AND(AND($DX936=0,$DW936=0),OR($EC936=1,$EA936=1)),SUM($EB936:$EE936)&gt;=2),"Technology approach","")</f>
        <v/>
      </c>
      <c r="EP936" t="str">
        <f>IF(ISNUMBER(BU936),IF(ABS(BU936-[4]QC_indicators!$B$2)&gt;3*[4]QC_indicators!$C$2,"C ratio",IF(ISNUMBER(BY936),IF(ABS(BY936-[4]QC_indicators!$B$1)&gt;3*[4]QC_indicators!$C$1,"DF","no"))),IF(ISNUMBER(BY936),IF(ABS(BY936-[4]QC_indicators!$B$1)&gt;3*[4]QC_indicators!$C$1,"DF","no")))</f>
        <v>no</v>
      </c>
      <c r="ET936" s="264" t="s">
        <v>3273</v>
      </c>
    </row>
    <row r="937" spans="1:150" ht="15" customHeight="1">
      <c r="A937" s="1" t="s">
        <v>545</v>
      </c>
      <c r="B937" t="s">
        <v>546</v>
      </c>
      <c r="C937" t="s">
        <v>547</v>
      </c>
      <c r="D937" t="s">
        <v>548</v>
      </c>
      <c r="E937" t="s">
        <v>549</v>
      </c>
      <c r="F937" t="s">
        <v>550</v>
      </c>
      <c r="G937" t="s">
        <v>551</v>
      </c>
      <c r="H937" t="s">
        <v>254</v>
      </c>
      <c r="I937">
        <v>2017</v>
      </c>
      <c r="J937">
        <v>3</v>
      </c>
      <c r="K937" t="s">
        <v>552</v>
      </c>
      <c r="M937" t="str">
        <f>LEFT($D937,FIND(",",$D937)-1)&amp;"_"&amp;I937&amp;L937</f>
        <v>Crafford_2017</v>
      </c>
      <c r="N937" t="s">
        <v>222</v>
      </c>
      <c r="O937" s="145" t="s">
        <v>223</v>
      </c>
      <c r="Q937" t="s">
        <v>256</v>
      </c>
      <c r="R937" s="255" t="s">
        <v>225</v>
      </c>
      <c r="S937" s="1" t="s">
        <v>559</v>
      </c>
      <c r="T937" t="s">
        <v>560</v>
      </c>
      <c r="U937" t="s">
        <v>554</v>
      </c>
      <c r="V937">
        <v>0</v>
      </c>
      <c r="W937">
        <v>0</v>
      </c>
      <c r="X937">
        <v>0</v>
      </c>
      <c r="Y937">
        <v>0</v>
      </c>
      <c r="Z937">
        <v>0</v>
      </c>
      <c r="AA937">
        <v>0</v>
      </c>
      <c r="AB937">
        <v>0</v>
      </c>
      <c r="AC937">
        <v>0</v>
      </c>
      <c r="AD937">
        <v>0</v>
      </c>
      <c r="AE937">
        <v>0</v>
      </c>
      <c r="AF937">
        <v>0</v>
      </c>
      <c r="AG937">
        <v>0</v>
      </c>
      <c r="AH937">
        <v>0</v>
      </c>
      <c r="AI937">
        <v>0</v>
      </c>
      <c r="AJ937">
        <v>0</v>
      </c>
      <c r="AK937">
        <v>1</v>
      </c>
      <c r="AL937">
        <v>0</v>
      </c>
      <c r="AM937">
        <v>0</v>
      </c>
      <c r="AN937">
        <v>0</v>
      </c>
      <c r="AO937">
        <v>0</v>
      </c>
      <c r="AP937">
        <v>0</v>
      </c>
      <c r="AQ937">
        <v>0</v>
      </c>
      <c r="AR937">
        <v>0</v>
      </c>
      <c r="AS937">
        <v>0</v>
      </c>
      <c r="AT937">
        <v>0</v>
      </c>
      <c r="AU937">
        <v>0</v>
      </c>
      <c r="AV937">
        <v>0</v>
      </c>
      <c r="AW937">
        <v>0</v>
      </c>
      <c r="AX937" s="141">
        <f>COUNTIF(V937:AW937,"&lt;&gt;0")</f>
        <v>1</v>
      </c>
      <c r="AY937" s="141">
        <f>COUNTIF(V937:AL937,"&lt;&gt;0")</f>
        <v>1</v>
      </c>
      <c r="AZ937">
        <f>COUNTIF(V937:AC937,"&lt;&gt;0")</f>
        <v>0</v>
      </c>
      <c r="BA937">
        <f>COUNTIF(AD937:AI937,"&lt;&gt;0")</f>
        <v>0</v>
      </c>
      <c r="BB937">
        <f>COUNTIF(AJ937:AL937,"&lt;&gt;0")</f>
        <v>1</v>
      </c>
      <c r="BC937">
        <f>COUNTIF(AS937:AW937,"&lt;&gt;0")</f>
        <v>0</v>
      </c>
      <c r="BD937">
        <f>COUNTIF(AM937:AR937,"&lt;&gt;0")</f>
        <v>0</v>
      </c>
      <c r="BE937" t="str">
        <f t="array" ref="BE937">IF(AY937=1,INDEX($V$7:$AL$7,MATCH(TRUE,INDEX($V937:$AW937&lt;&gt;0,),0)),IF(AY937=0,INDEX($AM$7:$AW$7,MATCH(1,$AM937:$AW937,0)),IF(BF937="Multiple strategies","mixed drivers",IF(BF937="Supply chain","multiple supply","multiple silviculture"))))</f>
        <v>technologies/design switch</v>
      </c>
      <c r="BF937" s="2" t="str" cm="1">
        <f t="array" ref="BF937">IF(COUNTIF(AZ937:BB937,"&lt;&gt;0")=1,INDEX($V$4:$AW$4,MATCH(TRUE,INDEX($V937:$AW937&lt;&gt;0,),0)),IF(COUNTIF(AZ937:BB937,"&lt;&gt;0")=0,INDEX($AM$4:$AW$4,MATCH(1,$AM937:$AW937,0)),"Multiple strategies"))</f>
        <v>Technology</v>
      </c>
      <c r="BG937" s="1" t="s">
        <v>229</v>
      </c>
      <c r="BH937" t="s">
        <v>556</v>
      </c>
      <c r="BI937" t="s">
        <v>424</v>
      </c>
      <c r="BJ937" t="s">
        <v>498</v>
      </c>
      <c r="BK937">
        <v>0</v>
      </c>
      <c r="BL937">
        <v>1.33</v>
      </c>
      <c r="BN937">
        <f>BL937-BK937</f>
        <v>1.33</v>
      </c>
      <c r="BO937">
        <f>BN937</f>
        <v>1.33</v>
      </c>
      <c r="BP937" t="s">
        <v>232</v>
      </c>
      <c r="BQ937" s="260" t="s">
        <v>3297</v>
      </c>
      <c r="BR937" t="s">
        <v>397</v>
      </c>
      <c r="BS937">
        <v>-988</v>
      </c>
      <c r="BT937">
        <v>1224</v>
      </c>
      <c r="BU937" s="144">
        <v>-1.2388663967611335</v>
      </c>
      <c r="BV937">
        <v>2212</v>
      </c>
      <c r="BX937">
        <f>BV937/1000</f>
        <v>2.2120000000000002</v>
      </c>
      <c r="BY937">
        <f>IFERROR(BX937/BO937,"")</f>
        <v>1.6631578947368422</v>
      </c>
      <c r="BZ937">
        <v>1</v>
      </c>
      <c r="CA937">
        <v>0</v>
      </c>
      <c r="CB937">
        <v>0</v>
      </c>
      <c r="CC937">
        <v>0</v>
      </c>
      <c r="CD937">
        <v>0</v>
      </c>
      <c r="CE937">
        <v>0</v>
      </c>
      <c r="CF937">
        <v>0</v>
      </c>
      <c r="CG937">
        <v>0</v>
      </c>
      <c r="CH937">
        <v>0</v>
      </c>
      <c r="CI937">
        <v>0</v>
      </c>
      <c r="CJ937">
        <v>0</v>
      </c>
      <c r="CK937">
        <v>0</v>
      </c>
      <c r="CL937">
        <v>0</v>
      </c>
      <c r="CM937">
        <v>0</v>
      </c>
      <c r="CN937" t="str">
        <f>IF($BL937&lt;$BK937,"refNeedCorrection","refOK")</f>
        <v>refOK</v>
      </c>
      <c r="CO937">
        <f>IF($CN937="refOK",$BK937,$BL937)</f>
        <v>0</v>
      </c>
      <c r="CP937">
        <f>IF($CN937="refOK",$BL937,$BK937)</f>
        <v>1.33</v>
      </c>
      <c r="CQ937">
        <f>IF($CN937="refOK",$BO937,-$BO937)</f>
        <v>1.33</v>
      </c>
      <c r="CR937">
        <f>IF($CN937="refOK",$BS937,$BT937)*IF($BP937="Emissions positive",-1,1)</f>
        <v>-988</v>
      </c>
      <c r="CS937">
        <f>IF($CN937="refOK",$BT937,$BS937)*IF($BP937="Emissions positive",-1,1)</f>
        <v>1224</v>
      </c>
      <c r="CT937">
        <f>IF($CN937="refNeedCorrection",-BX937,BX937)*IF($BP937="Emissions positive",-1,1)</f>
        <v>2.2120000000000002</v>
      </c>
      <c r="CU937">
        <f>IFERROR(CT937/CQ937,"")</f>
        <v>1.6631578947368422</v>
      </c>
      <c r="CV937" s="2">
        <f>IFERROR((CS937-CR937)/ABS(CR937),"")</f>
        <v>2.2388663967611335</v>
      </c>
      <c r="CW937" s="1" t="s">
        <v>263</v>
      </c>
      <c r="CX937" t="str">
        <f>IF(OR($CW937="prd",$CW937="std",$CW937="cit"),"loc",IF(OR($CW937="eur",$CW937="reg",$CW937="coy"),"reg",$CW937))</f>
        <v>loc</v>
      </c>
      <c r="CY937" t="s">
        <v>557</v>
      </c>
      <c r="DB937">
        <v>0</v>
      </c>
      <c r="DC937" t="str">
        <f>IF(DB937=0,"0",IF(AND(DB937&gt;=1,DB937&lt;=30),"1-30",IF(AND(DB937&gt;30,DB937&lt;=70),"31-70",IF(AND(DB937&gt;70,DB937&lt;=100),"71-100",IF(DB937&gt;100,"+100")))))</f>
        <v>0</v>
      </c>
      <c r="DD937">
        <v>0</v>
      </c>
      <c r="DE937">
        <v>0</v>
      </c>
      <c r="DF937">
        <v>0</v>
      </c>
      <c r="DG937">
        <v>1</v>
      </c>
      <c r="DI937">
        <f>SUM(DD937:DG937)</f>
        <v>1</v>
      </c>
      <c r="DJ937" t="str">
        <f>IF(DI937=1,INDEX($DD$7:$DG$7,MATCH(1,$DD937:$DG937,0)),"mixedProduct")</f>
        <v>TimberInput</v>
      </c>
      <c r="DK937">
        <f>IF(DD937=1,DK$7,0)</f>
        <v>0</v>
      </c>
      <c r="DL937">
        <f>IF(DE937=1,DL$7,0)</f>
        <v>0</v>
      </c>
      <c r="DM937">
        <f>IF(DF937=1,DM$7,0)</f>
        <v>0</v>
      </c>
      <c r="DN937" t="str">
        <f>IF(DG937=1,DN$7,0)</f>
        <v>Timber</v>
      </c>
      <c r="DO937">
        <v>0</v>
      </c>
      <c r="DP937">
        <v>0</v>
      </c>
      <c r="DQ937">
        <v>0</v>
      </c>
      <c r="DR937">
        <v>0</v>
      </c>
      <c r="DS937">
        <v>0</v>
      </c>
      <c r="DT937">
        <f>SUM(DO937:DP937)</f>
        <v>0</v>
      </c>
      <c r="DU937" s="143" t="str">
        <f>IF(DO937=1,"self-calculated DF",IF(DP937=1,"external DF used","explicit C balance"))</f>
        <v>explicit C balance</v>
      </c>
      <c r="DV937">
        <v>0</v>
      </c>
      <c r="DW937">
        <v>0</v>
      </c>
      <c r="DX937">
        <v>0</v>
      </c>
      <c r="DY937">
        <v>1</v>
      </c>
      <c r="DZ937">
        <v>0</v>
      </c>
      <c r="EA937" s="143">
        <v>0</v>
      </c>
      <c r="EB937">
        <v>0</v>
      </c>
      <c r="EC937">
        <v>1</v>
      </c>
      <c r="ED937">
        <v>0</v>
      </c>
      <c r="EE937">
        <v>1</v>
      </c>
      <c r="EF937">
        <v>0</v>
      </c>
      <c r="EG937">
        <v>0</v>
      </c>
      <c r="EH937">
        <v>0</v>
      </c>
      <c r="EI937" s="2">
        <v>0</v>
      </c>
      <c r="EK937" t="str">
        <f>IF(AND(AND(AND(OR($DX937=1,$DW937=1),OR($EC937=1,$EA937=1)),SUM($DV937:$DZ937,$EF937)&gt;=4),SUM($EA937:$EE937)&gt;=2),"Whole sector","")</f>
        <v/>
      </c>
      <c r="EL937" t="str">
        <f>IF(AND(AND(OR($DX937=1,$DW937=1),AND($EC937=0,$EA937=0)),SUM($DV937:$DZ937,$EF937)&gt;=4),"Ecosystem approach","")</f>
        <v/>
      </c>
      <c r="EM937" s="2" t="str">
        <f>IF(AND(AND(AND($DX937=0,$DW937=0),OR($EC937=1,$EA937=1)),SUM($EB937:$EE937)&gt;=2),"Technology approach","")</f>
        <v>Technology approach</v>
      </c>
      <c r="EP937" t="str">
        <f>IF(ISNUMBER(BU937),IF(ABS(BU937-[4]QC_indicators!$B$2)&gt;3*[4]QC_indicators!$C$2,"C ratio",IF(ISNUMBER(BY937),IF(ABS(BY937-[4]QC_indicators!$B$1)&gt;3*[4]QC_indicators!$C$1,"DF","no"))),IF(ISNUMBER(BY937),IF(ABS(BY937-[4]QC_indicators!$B$1)&gt;3*[4]QC_indicators!$C$1,"DF","no")))</f>
        <v>no</v>
      </c>
      <c r="ER937" s="149" t="s">
        <v>349</v>
      </c>
      <c r="ET937" s="264" t="s">
        <v>3273</v>
      </c>
    </row>
    <row r="938" spans="1:150" ht="15" customHeight="1">
      <c r="A938" s="1" t="s">
        <v>545</v>
      </c>
      <c r="B938" t="s">
        <v>546</v>
      </c>
      <c r="C938" t="s">
        <v>547</v>
      </c>
      <c r="D938" t="s">
        <v>548</v>
      </c>
      <c r="E938" t="s">
        <v>549</v>
      </c>
      <c r="F938" t="s">
        <v>550</v>
      </c>
      <c r="G938" t="s">
        <v>551</v>
      </c>
      <c r="H938" t="s">
        <v>254</v>
      </c>
      <c r="I938">
        <v>2017</v>
      </c>
      <c r="J938">
        <v>3</v>
      </c>
      <c r="K938" t="s">
        <v>552</v>
      </c>
      <c r="M938" t="str">
        <f>LEFT($D938,FIND(",",$D938)-1)&amp;"_"&amp;I938&amp;L938</f>
        <v>Crafford_2017</v>
      </c>
      <c r="N938" t="s">
        <v>222</v>
      </c>
      <c r="O938" s="145" t="s">
        <v>223</v>
      </c>
      <c r="Q938" t="s">
        <v>256</v>
      </c>
      <c r="R938" s="255" t="s">
        <v>225</v>
      </c>
      <c r="S938" s="1" t="s">
        <v>561</v>
      </c>
      <c r="T938" t="s">
        <v>560</v>
      </c>
      <c r="U938" t="s">
        <v>555</v>
      </c>
      <c r="V938">
        <v>0</v>
      </c>
      <c r="W938">
        <v>0</v>
      </c>
      <c r="X938">
        <v>0</v>
      </c>
      <c r="Y938">
        <v>0</v>
      </c>
      <c r="Z938">
        <v>0</v>
      </c>
      <c r="AA938">
        <v>0</v>
      </c>
      <c r="AB938">
        <v>0</v>
      </c>
      <c r="AC938">
        <v>0</v>
      </c>
      <c r="AD938">
        <v>0</v>
      </c>
      <c r="AE938">
        <v>0</v>
      </c>
      <c r="AF938">
        <v>0</v>
      </c>
      <c r="AG938">
        <v>0</v>
      </c>
      <c r="AH938">
        <v>0</v>
      </c>
      <c r="AI938">
        <v>0</v>
      </c>
      <c r="AJ938">
        <v>0</v>
      </c>
      <c r="AK938">
        <v>1</v>
      </c>
      <c r="AL938">
        <v>0</v>
      </c>
      <c r="AM938">
        <v>0</v>
      </c>
      <c r="AN938">
        <v>0</v>
      </c>
      <c r="AO938">
        <v>0</v>
      </c>
      <c r="AP938">
        <v>0</v>
      </c>
      <c r="AQ938">
        <v>0</v>
      </c>
      <c r="AR938">
        <v>0</v>
      </c>
      <c r="AS938">
        <v>0</v>
      </c>
      <c r="AT938">
        <v>0</v>
      </c>
      <c r="AU938">
        <v>0</v>
      </c>
      <c r="AV938">
        <v>0</v>
      </c>
      <c r="AW938">
        <v>0</v>
      </c>
      <c r="AX938" s="141">
        <f>COUNTIF(V938:AW938,"&lt;&gt;0")</f>
        <v>1</v>
      </c>
      <c r="AY938" s="141">
        <f>COUNTIF(V938:AL938,"&lt;&gt;0")</f>
        <v>1</v>
      </c>
      <c r="AZ938">
        <f>COUNTIF(V938:AC938,"&lt;&gt;0")</f>
        <v>0</v>
      </c>
      <c r="BA938">
        <f>COUNTIF(AD938:AI938,"&lt;&gt;0")</f>
        <v>0</v>
      </c>
      <c r="BB938">
        <f>COUNTIF(AJ938:AL938,"&lt;&gt;0")</f>
        <v>1</v>
      </c>
      <c r="BC938">
        <f>COUNTIF(AS938:AW938,"&lt;&gt;0")</f>
        <v>0</v>
      </c>
      <c r="BD938">
        <f>COUNTIF(AM938:AR938,"&lt;&gt;0")</f>
        <v>0</v>
      </c>
      <c r="BE938" t="str">
        <f t="array" ref="BE938">IF(AY938=1,INDEX($V$7:$AL$7,MATCH(TRUE,INDEX($V938:$AW938&lt;&gt;0,),0)),IF(AY938=0,INDEX($AM$7:$AW$7,MATCH(1,$AM938:$AW938,0)),IF(BF938="Multiple strategies","mixed drivers",IF(BF938="Supply chain","multiple supply","multiple silviculture"))))</f>
        <v>technologies/design switch</v>
      </c>
      <c r="BF938" s="2" t="str" cm="1">
        <f t="array" ref="BF938">IF(COUNTIF(AZ938:BB938,"&lt;&gt;0")=1,INDEX($V$4:$AW$4,MATCH(TRUE,INDEX($V938:$AW938&lt;&gt;0,),0)),IF(COUNTIF(AZ938:BB938,"&lt;&gt;0")=0,INDEX($AM$4:$AW$4,MATCH(1,$AM938:$AW938,0)),"Multiple strategies"))</f>
        <v>Technology</v>
      </c>
      <c r="BG938" s="1" t="s">
        <v>229</v>
      </c>
      <c r="BH938" t="s">
        <v>556</v>
      </c>
      <c r="BI938" t="s">
        <v>424</v>
      </c>
      <c r="BJ938" t="s">
        <v>498</v>
      </c>
      <c r="BK938">
        <v>0</v>
      </c>
      <c r="BL938">
        <v>6.05</v>
      </c>
      <c r="BN938">
        <f>BL938-BK938</f>
        <v>6.05</v>
      </c>
      <c r="BO938">
        <f>BN938</f>
        <v>6.05</v>
      </c>
      <c r="BP938" t="s">
        <v>232</v>
      </c>
      <c r="BQ938" s="260" t="s">
        <v>3298</v>
      </c>
      <c r="BR938" t="s">
        <v>397</v>
      </c>
      <c r="BS938">
        <v>-6445</v>
      </c>
      <c r="BT938">
        <v>3721</v>
      </c>
      <c r="BU938" s="144">
        <v>-0.57734678044996124</v>
      </c>
      <c r="BV938">
        <v>10166</v>
      </c>
      <c r="BX938">
        <f>BV938/1000</f>
        <v>10.166</v>
      </c>
      <c r="BY938">
        <f>IFERROR(BX938/BO938,"")</f>
        <v>1.6803305785123968</v>
      </c>
      <c r="BZ938">
        <v>1</v>
      </c>
      <c r="CA938">
        <v>0</v>
      </c>
      <c r="CB938">
        <v>0</v>
      </c>
      <c r="CC938">
        <v>0</v>
      </c>
      <c r="CD938">
        <v>0</v>
      </c>
      <c r="CE938">
        <v>0</v>
      </c>
      <c r="CF938">
        <v>0</v>
      </c>
      <c r="CG938">
        <v>0</v>
      </c>
      <c r="CH938">
        <v>0</v>
      </c>
      <c r="CI938">
        <v>0</v>
      </c>
      <c r="CJ938">
        <v>0</v>
      </c>
      <c r="CK938">
        <v>0</v>
      </c>
      <c r="CL938">
        <v>0</v>
      </c>
      <c r="CM938">
        <v>0</v>
      </c>
      <c r="CN938" t="str">
        <f>IF($BL938&lt;$BK938,"refNeedCorrection","refOK")</f>
        <v>refOK</v>
      </c>
      <c r="CO938">
        <f>IF($CN938="refOK",$BK938,$BL938)</f>
        <v>0</v>
      </c>
      <c r="CP938">
        <f>IF($CN938="refOK",$BL938,$BK938)</f>
        <v>6.05</v>
      </c>
      <c r="CQ938">
        <f>IF($CN938="refOK",$BO938,-$BO938)</f>
        <v>6.05</v>
      </c>
      <c r="CR938">
        <f>IF($CN938="refOK",$BS938,$BT938)*IF($BP938="Emissions positive",-1,1)</f>
        <v>-6445</v>
      </c>
      <c r="CS938">
        <f>IF($CN938="refOK",$BT938,$BS938)*IF($BP938="Emissions positive",-1,1)</f>
        <v>3721</v>
      </c>
      <c r="CT938">
        <f>IF($CN938="refNeedCorrection",-BX938,BX938)*IF($BP938="Emissions positive",-1,1)</f>
        <v>10.166</v>
      </c>
      <c r="CU938">
        <f>IFERROR(CT938/CQ938,"")</f>
        <v>1.6803305785123968</v>
      </c>
      <c r="CV938" s="2">
        <f>IFERROR((CS938-CR938)/ABS(CR938),"")</f>
        <v>1.5773467804499612</v>
      </c>
      <c r="CW938" s="1" t="s">
        <v>263</v>
      </c>
      <c r="CX938" t="str">
        <f>IF(OR($CW938="prd",$CW938="std",$CW938="cit"),"loc",IF(OR($CW938="eur",$CW938="reg",$CW938="coy"),"reg",$CW938))</f>
        <v>loc</v>
      </c>
      <c r="CY938" t="s">
        <v>557</v>
      </c>
      <c r="DB938">
        <v>0</v>
      </c>
      <c r="DC938" t="str">
        <f>IF(DB938=0,"0",IF(AND(DB938&gt;=1,DB938&lt;=30),"1-30",IF(AND(DB938&gt;30,DB938&lt;=70),"31-70",IF(AND(DB938&gt;70,DB938&lt;=100),"71-100",IF(DB938&gt;100,"+100")))))</f>
        <v>0</v>
      </c>
      <c r="DD938">
        <v>0</v>
      </c>
      <c r="DE938">
        <v>0</v>
      </c>
      <c r="DF938">
        <v>0</v>
      </c>
      <c r="DG938">
        <v>1</v>
      </c>
      <c r="DI938">
        <f>SUM(DD938:DG938)</f>
        <v>1</v>
      </c>
      <c r="DJ938" t="str">
        <f>IF(DI938=1,INDEX($DD$7:$DG$7,MATCH(1,$DD938:$DG938,0)),"mixedProduct")</f>
        <v>TimberInput</v>
      </c>
      <c r="DK938">
        <f>IF(DD938=1,DK$7,0)</f>
        <v>0</v>
      </c>
      <c r="DL938">
        <f>IF(DE938=1,DL$7,0)</f>
        <v>0</v>
      </c>
      <c r="DM938">
        <f>IF(DF938=1,DM$7,0)</f>
        <v>0</v>
      </c>
      <c r="DN938" t="str">
        <f>IF(DG938=1,DN$7,0)</f>
        <v>Timber</v>
      </c>
      <c r="DO938">
        <v>0</v>
      </c>
      <c r="DP938">
        <v>0</v>
      </c>
      <c r="DQ938">
        <v>0</v>
      </c>
      <c r="DR938">
        <v>0</v>
      </c>
      <c r="DS938">
        <v>0</v>
      </c>
      <c r="DT938">
        <f>SUM(DO938:DP938)</f>
        <v>0</v>
      </c>
      <c r="DU938" s="143" t="str">
        <f>IF(DO938=1,"self-calculated DF",IF(DP938=1,"external DF used","explicit C balance"))</f>
        <v>explicit C balance</v>
      </c>
      <c r="DV938">
        <v>0</v>
      </c>
      <c r="DW938">
        <v>0</v>
      </c>
      <c r="DX938">
        <v>0</v>
      </c>
      <c r="DY938">
        <v>1</v>
      </c>
      <c r="DZ938">
        <v>0</v>
      </c>
      <c r="EA938" s="143">
        <v>0</v>
      </c>
      <c r="EB938">
        <v>0</v>
      </c>
      <c r="EC938">
        <v>1</v>
      </c>
      <c r="ED938">
        <v>0</v>
      </c>
      <c r="EE938">
        <v>1</v>
      </c>
      <c r="EF938">
        <v>0</v>
      </c>
      <c r="EG938">
        <v>0</v>
      </c>
      <c r="EH938">
        <v>0</v>
      </c>
      <c r="EI938" s="2">
        <v>0</v>
      </c>
      <c r="EK938" t="str">
        <f>IF(AND(AND(AND(OR($DX938=1,$DW938=1),OR($EC938=1,$EA938=1)),SUM($DV938:$DZ938,$EF938)&gt;=4),SUM($EA938:$EE938)&gt;=2),"Whole sector","")</f>
        <v/>
      </c>
      <c r="EL938" t="str">
        <f>IF(AND(AND(OR($DX938=1,$DW938=1),AND($EC938=0,$EA938=0)),SUM($DV938:$DZ938,$EF938)&gt;=4),"Ecosystem approach","")</f>
        <v/>
      </c>
      <c r="EM938" s="2" t="str">
        <f>IF(AND(AND(AND($DX938=0,$DW938=0),OR($EC938=1,$EA938=1)),SUM($EB938:$EE938)&gt;=2),"Technology approach","")</f>
        <v>Technology approach</v>
      </c>
      <c r="EP938" t="str">
        <f>IF(ISNUMBER(BU938),IF(ABS(BU938-[4]QC_indicators!$B$2)&gt;3*[4]QC_indicators!$C$2,"C ratio",IF(ISNUMBER(BY938),IF(ABS(BY938-[4]QC_indicators!$B$1)&gt;3*[4]QC_indicators!$C$1,"DF","no"))),IF(ISNUMBER(BY938),IF(ABS(BY938-[4]QC_indicators!$B$1)&gt;3*[4]QC_indicators!$C$1,"DF","no")))</f>
        <v>no</v>
      </c>
      <c r="ER938" s="149" t="s">
        <v>349</v>
      </c>
      <c r="ET938" s="264" t="s">
        <v>3273</v>
      </c>
    </row>
    <row r="939" spans="1:150" ht="15" customHeight="1">
      <c r="D939" t="s">
        <v>963</v>
      </c>
      <c r="E939" t="s">
        <v>1007</v>
      </c>
      <c r="G939" t="s">
        <v>1008</v>
      </c>
      <c r="I939">
        <v>2004</v>
      </c>
      <c r="K939" t="s">
        <v>1009</v>
      </c>
      <c r="M939" t="str">
        <f>LEFT($D939,FIND(",",$D939)-1)&amp;"_"&amp;I939&amp;L939</f>
        <v>Petersen_2004</v>
      </c>
      <c r="N939" t="s">
        <v>222</v>
      </c>
      <c r="O939" s="171" t="s">
        <v>513</v>
      </c>
      <c r="P939" s="141" t="s">
        <v>225</v>
      </c>
      <c r="Q939" t="s">
        <v>389</v>
      </c>
      <c r="R939" s="262" t="s">
        <v>223</v>
      </c>
      <c r="S939" s="1" t="s">
        <v>1014</v>
      </c>
      <c r="T939" t="s">
        <v>1025</v>
      </c>
      <c r="U939" t="s">
        <v>1016</v>
      </c>
      <c r="V939">
        <v>0</v>
      </c>
      <c r="W939">
        <v>0</v>
      </c>
      <c r="X939">
        <v>0</v>
      </c>
      <c r="Y939">
        <v>0</v>
      </c>
      <c r="Z939">
        <v>0</v>
      </c>
      <c r="AA939">
        <v>0</v>
      </c>
      <c r="AB939">
        <v>0</v>
      </c>
      <c r="AC939">
        <v>0</v>
      </c>
      <c r="AD939">
        <v>0</v>
      </c>
      <c r="AE939">
        <v>0</v>
      </c>
      <c r="AF939">
        <v>0</v>
      </c>
      <c r="AG939">
        <v>0</v>
      </c>
      <c r="AH939">
        <v>0</v>
      </c>
      <c r="AI939">
        <v>0</v>
      </c>
      <c r="AJ939">
        <v>0</v>
      </c>
      <c r="AK939">
        <v>1</v>
      </c>
      <c r="AL939">
        <v>0</v>
      </c>
      <c r="AM939">
        <v>0</v>
      </c>
      <c r="AN939">
        <v>0</v>
      </c>
      <c r="AO939">
        <v>0</v>
      </c>
      <c r="AP939">
        <v>0</v>
      </c>
      <c r="AQ939">
        <v>0</v>
      </c>
      <c r="AR939">
        <v>0</v>
      </c>
      <c r="AS939">
        <v>0</v>
      </c>
      <c r="AT939">
        <v>0</v>
      </c>
      <c r="AU939">
        <v>0</v>
      </c>
      <c r="AV939">
        <v>0</v>
      </c>
      <c r="AW939">
        <v>0</v>
      </c>
      <c r="AX939" s="141">
        <f>COUNTIF(V939:AW939,"&lt;&gt;0")</f>
        <v>1</v>
      </c>
      <c r="AY939" s="141">
        <f>COUNTIF(V939:AL939,"&lt;&gt;0")</f>
        <v>1</v>
      </c>
      <c r="AZ939">
        <f>COUNTIF(V939:AC939,"&lt;&gt;0")</f>
        <v>0</v>
      </c>
      <c r="BA939">
        <f>COUNTIF(AD939:AI939,"&lt;&gt;0")</f>
        <v>0</v>
      </c>
      <c r="BB939">
        <f>COUNTIF(AJ939:AL939,"&lt;&gt;0")</f>
        <v>1</v>
      </c>
      <c r="BC939">
        <f>COUNTIF(AS939:AW939,"&lt;&gt;0")</f>
        <v>0</v>
      </c>
      <c r="BD939">
        <f>COUNTIF(AM939:AR939,"&lt;&gt;0")</f>
        <v>0</v>
      </c>
      <c r="BE939" t="str">
        <f t="array" ref="BE939">IF(AY939=1,INDEX($V$7:$AL$7,MATCH(TRUE,INDEX($V939:$AW939&lt;&gt;0,),0)),IF(AY939=0,INDEX($AM$7:$AW$7,MATCH(1,$AM939:$AW939,0)),IF(BF939="Multiple strategies","mixed drivers",IF(BF939="Supply chain","multiple supply","multiple silviculture"))))</f>
        <v>technologies/design switch</v>
      </c>
      <c r="BF939" s="2" t="str" cm="1">
        <f t="array" ref="BF939">IF(COUNTIF(AZ939:BB939,"&lt;&gt;0")=1,INDEX($V$4:$AW$4,MATCH(TRUE,INDEX($V939:$AW939&lt;&gt;0,),0)),IF(COUNTIF(AZ939:BB939,"&lt;&gt;0")=0,INDEX($AM$4:$AW$4,MATCH(1,$AM939:$AW939,0)),"Multiple strategies"))</f>
        <v>Technology</v>
      </c>
      <c r="BG939" s="142" t="s">
        <v>229</v>
      </c>
      <c r="BH939" t="s">
        <v>970</v>
      </c>
      <c r="BI939" t="s">
        <v>1012</v>
      </c>
      <c r="BJ939" t="s">
        <v>498</v>
      </c>
      <c r="BK939">
        <v>0</v>
      </c>
      <c r="BL939" s="143">
        <v>1</v>
      </c>
      <c r="BM939" t="str">
        <f>IFERROR(BL939/BK939,"")</f>
        <v/>
      </c>
      <c r="BN939">
        <f>BL939-BK939</f>
        <v>1</v>
      </c>
      <c r="BO939" s="159">
        <v>1</v>
      </c>
      <c r="BP939" t="s">
        <v>232</v>
      </c>
      <c r="BQ939" t="s">
        <v>1013</v>
      </c>
      <c r="BR939" t="s">
        <v>1002</v>
      </c>
      <c r="BU939" s="144"/>
      <c r="BV939">
        <v>1.7</v>
      </c>
      <c r="BX939">
        <f>BV939</f>
        <v>1.7</v>
      </c>
      <c r="BY939">
        <f>IFERROR(BX939/BO939,"")</f>
        <v>1.7</v>
      </c>
      <c r="BZ939">
        <v>0</v>
      </c>
      <c r="CA939">
        <v>0</v>
      </c>
      <c r="CB939">
        <v>0</v>
      </c>
      <c r="CC939">
        <v>0</v>
      </c>
      <c r="CD939">
        <v>0</v>
      </c>
      <c r="CE939">
        <v>0</v>
      </c>
      <c r="CF939">
        <v>0</v>
      </c>
      <c r="CG939">
        <v>0</v>
      </c>
      <c r="CH939">
        <v>0</v>
      </c>
      <c r="CI939">
        <v>0</v>
      </c>
      <c r="CJ939">
        <v>0</v>
      </c>
      <c r="CK939">
        <v>0</v>
      </c>
      <c r="CL939">
        <v>0</v>
      </c>
      <c r="CM939">
        <v>0</v>
      </c>
      <c r="CN939" t="str">
        <f>IF($BL939&lt;$BK939,"refNeedCorrection","refOK")</f>
        <v>refOK</v>
      </c>
      <c r="CO939">
        <f>IF($CN939="refOK",$BK939,$BL939)</f>
        <v>0</v>
      </c>
      <c r="CP939">
        <f>IF($CN939="refOK",$BL939,$BK939)</f>
        <v>1</v>
      </c>
      <c r="CQ939">
        <f>IF($CN939="refOK",$BO939,-$BO939)</f>
        <v>1</v>
      </c>
      <c r="CR939">
        <f>IF($CN939="refOK",$BS939,$BT939)*IF($BP939="Emissions positive",-1,1)</f>
        <v>0</v>
      </c>
      <c r="CS939">
        <f>IF($CN939="refOK",$BT939,$BS939)*IF($BP939="Emissions positive",-1,1)</f>
        <v>0</v>
      </c>
      <c r="CT939">
        <f>IF($CN939="refNeedCorrection",-BX939,BX939)*IF($BP939="Emissions positive",-1,1)</f>
        <v>1.7</v>
      </c>
      <c r="CU939">
        <f>IFERROR(CT939/CQ939,"")</f>
        <v>1.7</v>
      </c>
      <c r="CV939" s="2" t="str">
        <f>IFERROR((CS939-CR939)/ABS(CR939),"")</f>
        <v/>
      </c>
      <c r="CW939" s="1" t="s">
        <v>263</v>
      </c>
      <c r="CX939" t="str">
        <f>IF(OR($CW939="prd",$CW939="std",$CW939="cit"),"loc",IF(OR($CW939="eur",$CW939="reg",$CW939="coy"),"reg",$CW939))</f>
        <v>loc</v>
      </c>
      <c r="CY939" t="s">
        <v>264</v>
      </c>
      <c r="DA939" s="143"/>
      <c r="DB939" s="143">
        <v>45</v>
      </c>
      <c r="DC939" t="str">
        <f>IF(DB939=0,"0",IF(AND(DB939&gt;=1,DB939&lt;=30),"1-30",IF(AND(DB939&gt;30,DB939&lt;=70),"31-70",IF(AND(DB939&gt;70,DB939&lt;=100),"71-100",IF(DB939&gt;100,"+100")))))</f>
        <v>31-70</v>
      </c>
      <c r="DD939">
        <v>0</v>
      </c>
      <c r="DE939">
        <v>0</v>
      </c>
      <c r="DF939">
        <v>0</v>
      </c>
      <c r="DG939">
        <v>1</v>
      </c>
      <c r="DH939">
        <v>0</v>
      </c>
      <c r="DI939">
        <f>SUM(DD939:DG939)</f>
        <v>1</v>
      </c>
      <c r="DJ939" t="str">
        <f>IF(DI939=1,INDEX($DD$7:$DG$7,MATCH(1,$DD939:$DG939,0)),"mixedProduct")</f>
        <v>TimberInput</v>
      </c>
      <c r="DK939">
        <f>IF(DD939=1,DK$7,0)</f>
        <v>0</v>
      </c>
      <c r="DL939">
        <f>IF(DE939=1,DL$7,0)</f>
        <v>0</v>
      </c>
      <c r="DM939">
        <f>IF(DF939=1,DM$7,0)</f>
        <v>0</v>
      </c>
      <c r="DN939" t="str">
        <f>IF(DG939=1,DN$7,0)</f>
        <v>Timber</v>
      </c>
      <c r="DO939">
        <v>1</v>
      </c>
      <c r="DP939">
        <v>0</v>
      </c>
      <c r="DQ939">
        <v>0</v>
      </c>
      <c r="DR939">
        <v>0</v>
      </c>
      <c r="DS939">
        <v>0</v>
      </c>
      <c r="DT939">
        <f>SUM(DO939:DP939)</f>
        <v>1</v>
      </c>
      <c r="DU939" s="143" t="str">
        <f>IF(DO939=1,"self-calculated DF",IF(DP939=1,"external DF used","explicit C balance"))</f>
        <v>self-calculated DF</v>
      </c>
      <c r="DV939" s="143">
        <v>0</v>
      </c>
      <c r="DW939" s="143">
        <v>0</v>
      </c>
      <c r="DX939" s="143">
        <v>0</v>
      </c>
      <c r="DY939" s="143">
        <v>0</v>
      </c>
      <c r="DZ939">
        <v>0</v>
      </c>
      <c r="EA939" s="143">
        <v>0</v>
      </c>
      <c r="EB939" s="143">
        <v>0</v>
      </c>
      <c r="EC939" s="143">
        <v>1</v>
      </c>
      <c r="ED939" s="143">
        <v>0</v>
      </c>
      <c r="EE939">
        <v>0</v>
      </c>
      <c r="EF939">
        <v>0</v>
      </c>
      <c r="EG939" s="143">
        <v>0</v>
      </c>
      <c r="EH939" s="143">
        <v>0</v>
      </c>
      <c r="EI939" s="2">
        <v>0</v>
      </c>
      <c r="EK939" t="str">
        <f>IF(AND(AND(AND(OR($DX939=1,$DW939=1),OR($EC939=1,$EA939=1)),SUM($DV939:$DZ939,$EF939)&gt;=4),SUM($EA939:$EE939)&gt;=2),"Whole sector","")</f>
        <v/>
      </c>
      <c r="EL939" t="str">
        <f>IF(AND(AND(OR($DX939=1,$DW939=1),AND($EC939=0,$EA939=0)),SUM($DV939:$DZ939,$EF939)&gt;=4),"Ecosystem approach","")</f>
        <v/>
      </c>
      <c r="EM939" s="2" t="str">
        <f>IF(AND(AND(AND($DX939=0,$DW939=0),OR($EC939=1,$EA939=1)),SUM($EB939:$EE939)&gt;=2),"Technology approach","")</f>
        <v/>
      </c>
      <c r="EP939" t="str">
        <f>IF(ISNUMBER(BU939),IF(ABS(BU939-[1]QC_indicators!$B$2)&gt;3*[1]QC_indicators!$C$2,"C ratio",IF(ISNUMBER(BY939),IF(ABS(BY939-[1]QC_indicators!$B$1)&gt;3*[1]QC_indicators!$C$1,"DF","no"))),IF(ISNUMBER(BY939),IF(ABS(BY939-[1]QC_indicators!$B$1)&gt;3*[1]QC_indicators!$C$1,"DF","no")))</f>
        <v>no</v>
      </c>
      <c r="ER939" t="s">
        <v>995</v>
      </c>
      <c r="ET939" s="264" t="s">
        <v>3212</v>
      </c>
    </row>
    <row r="940" spans="1:150" ht="15" customHeight="1">
      <c r="A940" s="1" t="s">
        <v>1423</v>
      </c>
      <c r="B940" t="s">
        <v>1424</v>
      </c>
      <c r="C940" t="s">
        <v>1425</v>
      </c>
      <c r="D940" t="s">
        <v>1426</v>
      </c>
      <c r="E940" t="s">
        <v>1427</v>
      </c>
      <c r="F940" t="s">
        <v>1428</v>
      </c>
      <c r="G940" t="s">
        <v>1429</v>
      </c>
      <c r="H940" t="s">
        <v>254</v>
      </c>
      <c r="I940">
        <v>2020</v>
      </c>
      <c r="J940">
        <v>1</v>
      </c>
      <c r="K940" t="s">
        <v>1430</v>
      </c>
      <c r="M940" t="str">
        <f>LEFT($D940,FIND(",",$D940)-1)&amp;"_"&amp;I940&amp;L940</f>
        <v>Dymond_2020</v>
      </c>
      <c r="N940" t="s">
        <v>222</v>
      </c>
      <c r="O940" s="145" t="s">
        <v>274</v>
      </c>
      <c r="Q940" t="s">
        <v>256</v>
      </c>
      <c r="R940" s="286" t="s">
        <v>225</v>
      </c>
      <c r="S940" s="1" t="s">
        <v>1431</v>
      </c>
      <c r="T940" t="s">
        <v>1432</v>
      </c>
      <c r="U940" t="s">
        <v>1435</v>
      </c>
      <c r="V940">
        <v>0</v>
      </c>
      <c r="W940">
        <v>0</v>
      </c>
      <c r="X940">
        <v>0</v>
      </c>
      <c r="Y940">
        <v>0</v>
      </c>
      <c r="Z940">
        <v>1</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s="141">
        <f>COUNTIF(V940:AW940,"&lt;&gt;0")</f>
        <v>1</v>
      </c>
      <c r="AY940" s="141">
        <f>COUNTIF(V940:AL940,"&lt;&gt;0")</f>
        <v>1</v>
      </c>
      <c r="AZ940">
        <f>COUNTIF(V940:AC940,"&lt;&gt;0")</f>
        <v>1</v>
      </c>
      <c r="BA940">
        <f>COUNTIF(AD940:AI940,"&lt;&gt;0")</f>
        <v>0</v>
      </c>
      <c r="BB940">
        <f>COUNTIF(AJ940:AL940,"&lt;&gt;0")</f>
        <v>0</v>
      </c>
      <c r="BC940">
        <f>COUNTIF(AS940:AW940,"&lt;&gt;0")</f>
        <v>0</v>
      </c>
      <c r="BD940">
        <f>COUNTIF(AM940:AR940,"&lt;&gt;0")</f>
        <v>0</v>
      </c>
      <c r="BE940" t="str">
        <f t="array" ref="BE940">IF(AY940=1,INDEX($V$7:$AL$7,MATCH(TRUE,INDEX($V940:$AW940&lt;&gt;0,),0)),IF(AY940=0,INDEX($AM$7:$AW$7,MATCH(1,$AM940:$AW940,0)),IF(BF940="Multiple strategies","mixed drivers",IF(BF940="Supply chain","multiple supply","multiple silviculture"))))</f>
        <v>species</v>
      </c>
      <c r="BF940" s="2" t="str" cm="1">
        <f t="array" ref="BF940">IF(COUNTIF(AZ940:BB940,"&lt;&gt;0")=1,INDEX($V$4:$AW$4,MATCH(TRUE,INDEX($V940:$AW940&lt;&gt;0,),0)),IF(COUNTIF(AZ940:BB940,"&lt;&gt;0")=0,INDEX($AM$4:$AW$4,MATCH(1,$AM940:$AW940,0)),"Multiple strategies"))</f>
        <v>Silviculture for productivity</v>
      </c>
      <c r="BG940" s="1" t="s">
        <v>321</v>
      </c>
      <c r="BH940" t="s">
        <v>1434</v>
      </c>
      <c r="BI940" s="260" t="s">
        <v>3322</v>
      </c>
      <c r="BJ940" t="s">
        <v>498</v>
      </c>
      <c r="BK940">
        <f>6450.3412361686*1000</f>
        <v>6450341.2361685997</v>
      </c>
      <c r="BL940">
        <f>8418.4977676294*1000</f>
        <v>8418497.7676293999</v>
      </c>
      <c r="BM940">
        <f>BL940/BK940</f>
        <v>1.305124404957815</v>
      </c>
      <c r="BN940">
        <f>BL940-BK940</f>
        <v>1968156.5314608002</v>
      </c>
      <c r="BO940">
        <f>BN940</f>
        <v>1968156.5314608002</v>
      </c>
      <c r="BP940" t="s">
        <v>232</v>
      </c>
      <c r="BQ940" s="260" t="s">
        <v>3323</v>
      </c>
      <c r="BR940" t="s">
        <v>825</v>
      </c>
      <c r="BS940">
        <f>17.4145393233552*1000000</f>
        <v>17414539.323355202</v>
      </c>
      <c r="BT940">
        <f>20.7797101449275*1000000</f>
        <v>20779710.144927498</v>
      </c>
      <c r="BU940" s="144">
        <f>IFERROR(BT940/BS940,"")</f>
        <v>1.193239152588961</v>
      </c>
      <c r="BV940" s="152">
        <f>BT940-BS940</f>
        <v>3365170.8215722963</v>
      </c>
      <c r="BW940" s="152"/>
      <c r="BX940" s="152">
        <f>BV940</f>
        <v>3365170.8215722963</v>
      </c>
      <c r="BY940">
        <f>IFERROR(BX940/BO940,"")</f>
        <v>1.7098085278179616</v>
      </c>
      <c r="BZ940">
        <v>0</v>
      </c>
      <c r="CA940">
        <v>0</v>
      </c>
      <c r="CB940">
        <v>0</v>
      </c>
      <c r="CC940">
        <v>0</v>
      </c>
      <c r="CD940">
        <v>0</v>
      </c>
      <c r="CE940">
        <v>0</v>
      </c>
      <c r="CF940">
        <v>0</v>
      </c>
      <c r="CG940">
        <v>0</v>
      </c>
      <c r="CH940">
        <v>0</v>
      </c>
      <c r="CI940">
        <v>0</v>
      </c>
      <c r="CJ940">
        <v>0</v>
      </c>
      <c r="CK940">
        <v>0</v>
      </c>
      <c r="CL940">
        <v>0</v>
      </c>
      <c r="CM940">
        <v>1</v>
      </c>
      <c r="CN940" t="str">
        <f>IF($BL940&lt;$BK940,"refNeedCorrection","refOK")</f>
        <v>refOK</v>
      </c>
      <c r="CO940">
        <f>IF($CN940="refNeedCorrection",BL940,BK940)</f>
        <v>6450341.2361685997</v>
      </c>
      <c r="CP940">
        <f>IF($CN940="refNeedCorrection",BK940,BL940)</f>
        <v>8418497.7676293999</v>
      </c>
      <c r="CQ940">
        <f>IF($CN940="refOK",$BO940,-$BO940)</f>
        <v>1968156.5314608002</v>
      </c>
      <c r="CR940">
        <f>IF($CN940="refOK",$BS940,$BT940)*IF($BP940="Emissions positive",-1,1)</f>
        <v>17414539.323355202</v>
      </c>
      <c r="CS940">
        <f>IF($CN940="refOK",$BT940,$BS940)*IF($BP940="Emissions positive",-1,1)</f>
        <v>20779710.144927498</v>
      </c>
      <c r="CT940">
        <f>IF($CN940="refNeedCorrection",-BX940,BX940)*IF($BP940="Emissions positive",-1,1)</f>
        <v>3365170.8215722963</v>
      </c>
      <c r="CU940">
        <f>IFERROR(CT940/CQ940,"")</f>
        <v>1.7098085278179616</v>
      </c>
      <c r="CV940" s="2">
        <f>IFERROR((CS940-CR940)/ABS(CR940),"")</f>
        <v>0.19323915258896093</v>
      </c>
      <c r="CW940" s="1" t="s">
        <v>1199</v>
      </c>
      <c r="CX940" t="str">
        <f>IF(OR($CW940="prd",$CW940="std",$CW940="cit"),"loc",IF(OR($CW940="eur",$CW940="reg",$CW940="coy"),"reg",$CW940))</f>
        <v>reg</v>
      </c>
      <c r="CY940" t="s">
        <v>540</v>
      </c>
      <c r="DB940">
        <v>100</v>
      </c>
      <c r="DC940" t="str">
        <f>IF(DB940=0,"0",IF(AND(DB940&gt;=1,DB940&lt;=30),"1-30",IF(AND(DB940&gt;30,DB940&lt;=70),"31-70",IF(AND(DB940&gt;70,DB940&lt;=100),"71-100",IF(DB940&gt;100,"+100")))))</f>
        <v>71-100</v>
      </c>
      <c r="DD940">
        <v>1</v>
      </c>
      <c r="DE940">
        <v>0</v>
      </c>
      <c r="DF940">
        <v>0</v>
      </c>
      <c r="DG940">
        <v>0</v>
      </c>
      <c r="DI940">
        <f>SUM(DD940:DG940)</f>
        <v>1</v>
      </c>
      <c r="DJ940" t="str">
        <f>IF(DI940=1,INDEX($DD$7:$DG$7,MATCH(1,$DD940:$DG940,0)),"mixedProduct")</f>
        <v>UpstreamInput</v>
      </c>
      <c r="DK940" t="str">
        <f>IF(DD940=1,DK$7,0)</f>
        <v>Upstream</v>
      </c>
      <c r="DL940">
        <f>IF(DE940=1,DL$7,0)</f>
        <v>0</v>
      </c>
      <c r="DM940">
        <f>IF(DF940=1,DM$7,0)</f>
        <v>0</v>
      </c>
      <c r="DN940">
        <f>IF(DG940=1,DN$7,0)</f>
        <v>0</v>
      </c>
      <c r="DO940">
        <v>0</v>
      </c>
      <c r="DP940">
        <v>0</v>
      </c>
      <c r="DQ940">
        <v>0</v>
      </c>
      <c r="DR940">
        <v>0</v>
      </c>
      <c r="DS940">
        <v>0</v>
      </c>
      <c r="DT940">
        <f>SUM(DO940:DP940)</f>
        <v>0</v>
      </c>
      <c r="DU940" s="143" t="str">
        <f>IF(DO940=1,"self-calculated DF",IF(DP940=1,"external DF used","explicit C balance"))</f>
        <v>explicit C balance</v>
      </c>
      <c r="DV940">
        <v>1</v>
      </c>
      <c r="DW940">
        <v>0</v>
      </c>
      <c r="DX940">
        <v>1</v>
      </c>
      <c r="DY940">
        <v>0</v>
      </c>
      <c r="DZ940">
        <v>0</v>
      </c>
      <c r="EA940" s="143">
        <v>0</v>
      </c>
      <c r="EB940">
        <v>0</v>
      </c>
      <c r="EC940">
        <v>0</v>
      </c>
      <c r="ED940">
        <v>0</v>
      </c>
      <c r="EE940">
        <v>0</v>
      </c>
      <c r="EF940">
        <v>1</v>
      </c>
      <c r="EG940">
        <v>0</v>
      </c>
      <c r="EH940">
        <v>0</v>
      </c>
      <c r="EI940" s="2">
        <v>0</v>
      </c>
      <c r="EK940" t="str">
        <f>IF(AND(AND(AND(OR($DX940=1,$DW940=1),OR($EC940=1,$EA940=1)),SUM($DV940:$DZ940,$EF940)&gt;=4),SUM($EA940:$EE940)&gt;=2),"Whole sector","")</f>
        <v/>
      </c>
      <c r="EL940" t="str">
        <f>IF(AND(AND(OR($DX940=1,$DW940=1),AND($EC940=0,$EA940=0)),SUM($DV940:$DZ940,$EF940)&gt;=4),"Ecosystem approach","")</f>
        <v/>
      </c>
      <c r="EM940" s="2" t="str">
        <f>IF(AND(AND(AND($DX940=0,$DW940=0),OR($EC940=1,$EA940=1)),SUM($EB940:$EE940)&gt;=2),"Technology approach","")</f>
        <v/>
      </c>
      <c r="EP940" t="str">
        <f>IF(ISNUMBER(BU940),IF(ABS(BU940-[4]QC_indicators!$B$2)&gt;3*[4]QC_indicators!$C$2,"C ratio",IF(ISNUMBER(BY940),IF(ABS(BY940-[4]QC_indicators!$B$1)&gt;3*[4]QC_indicators!$C$1,"DF","no"))),IF(ISNUMBER(BY940),IF(ABS(BY940-[4]QC_indicators!$B$1)&gt;3*[4]QC_indicators!$C$1,"DF","no")))</f>
        <v>no</v>
      </c>
      <c r="ET940" s="264" t="s">
        <v>3273</v>
      </c>
    </row>
    <row r="941" spans="1:150" ht="15" customHeight="1">
      <c r="A941" s="1" t="s">
        <v>614</v>
      </c>
      <c r="B941" t="s">
        <v>615</v>
      </c>
      <c r="C941" t="s">
        <v>616</v>
      </c>
      <c r="D941" t="s">
        <v>617</v>
      </c>
      <c r="E941" t="s">
        <v>618</v>
      </c>
      <c r="F941" t="s">
        <v>619</v>
      </c>
      <c r="G941" t="s">
        <v>620</v>
      </c>
      <c r="H941" t="s">
        <v>254</v>
      </c>
      <c r="I941">
        <v>2020</v>
      </c>
      <c r="J941">
        <v>3</v>
      </c>
      <c r="K941" t="s">
        <v>621</v>
      </c>
      <c r="M941" t="str">
        <f>LEFT($D941,FIND(",",$D941)-1)&amp;"_"&amp;I941&amp;L941</f>
        <v>Demertzi_2020</v>
      </c>
      <c r="N941" t="s">
        <v>222</v>
      </c>
      <c r="O941" s="145" t="s">
        <v>223</v>
      </c>
      <c r="Q941" t="s">
        <v>256</v>
      </c>
      <c r="R941" s="2" t="s">
        <v>274</v>
      </c>
      <c r="S941" s="1" t="s">
        <v>622</v>
      </c>
      <c r="T941" t="s">
        <v>627</v>
      </c>
      <c r="U941" t="s">
        <v>624</v>
      </c>
      <c r="V941">
        <v>0</v>
      </c>
      <c r="W941">
        <v>0</v>
      </c>
      <c r="X941">
        <v>0</v>
      </c>
      <c r="Y941">
        <v>0</v>
      </c>
      <c r="Z941">
        <v>0</v>
      </c>
      <c r="AA941">
        <v>0</v>
      </c>
      <c r="AB941">
        <v>0</v>
      </c>
      <c r="AC941">
        <v>0</v>
      </c>
      <c r="AD941">
        <v>0</v>
      </c>
      <c r="AE941">
        <v>0</v>
      </c>
      <c r="AF941">
        <v>0</v>
      </c>
      <c r="AG941">
        <v>0</v>
      </c>
      <c r="AH941">
        <v>0</v>
      </c>
      <c r="AI941">
        <v>0</v>
      </c>
      <c r="AJ941">
        <v>0</v>
      </c>
      <c r="AK941">
        <v>1</v>
      </c>
      <c r="AL941">
        <v>0</v>
      </c>
      <c r="AM941">
        <v>0</v>
      </c>
      <c r="AN941">
        <v>0</v>
      </c>
      <c r="AO941">
        <v>0</v>
      </c>
      <c r="AP941">
        <v>0</v>
      </c>
      <c r="AQ941">
        <v>0</v>
      </c>
      <c r="AR941">
        <v>0</v>
      </c>
      <c r="AS941">
        <v>0</v>
      </c>
      <c r="AT941">
        <v>0</v>
      </c>
      <c r="AU941">
        <v>0</v>
      </c>
      <c r="AV941">
        <v>0</v>
      </c>
      <c r="AW941">
        <v>0</v>
      </c>
      <c r="AX941" s="141">
        <f>COUNTIF(V941:AW941,"&lt;&gt;0")</f>
        <v>1</v>
      </c>
      <c r="AY941" s="141">
        <f>COUNTIF(V941:AL941,"&lt;&gt;0")</f>
        <v>1</v>
      </c>
      <c r="AZ941">
        <f>COUNTIF(V941:AC941,"&lt;&gt;0")</f>
        <v>0</v>
      </c>
      <c r="BA941">
        <f>COUNTIF(AD941:AI941,"&lt;&gt;0")</f>
        <v>0</v>
      </c>
      <c r="BB941">
        <f>COUNTIF(AJ941:AL941,"&lt;&gt;0")</f>
        <v>1</v>
      </c>
      <c r="BC941">
        <f>COUNTIF(AS941:AW941,"&lt;&gt;0")</f>
        <v>0</v>
      </c>
      <c r="BD941">
        <f>COUNTIF(AM941:AR941,"&lt;&gt;0")</f>
        <v>0</v>
      </c>
      <c r="BE941" t="str">
        <f t="array" ref="BE941">IF(AY941=1,INDEX($V$7:$AL$7,MATCH(TRUE,INDEX($V941:$AW941&lt;&gt;0,),0)),IF(AY941=0,INDEX($AM$7:$AW$7,MATCH(1,$AM941:$AW941,0)),IF(BF941="Multiple strategies","mixed drivers",IF(BF941="Supply chain","multiple supply","multiple silviculture"))))</f>
        <v>technologies/design switch</v>
      </c>
      <c r="BF941" s="2" t="str" cm="1">
        <f t="array" ref="BF941">IF(COUNTIF(AZ941:BB941,"&lt;&gt;0")=1,INDEX($V$4:$AW$4,MATCH(TRUE,INDEX($V941:$AW941&lt;&gt;0,),0)),IF(COUNTIF(AZ941:BB941,"&lt;&gt;0")=0,INDEX($AM$4:$AW$4,MATCH(1,$AM941:$AW941,0)),"Multiple strategies"))</f>
        <v>Technology</v>
      </c>
      <c r="BG941" s="1" t="s">
        <v>229</v>
      </c>
      <c r="BH941" t="s">
        <v>625</v>
      </c>
      <c r="BJ941" t="s">
        <v>261</v>
      </c>
      <c r="BK941">
        <v>0</v>
      </c>
      <c r="BL941">
        <v>54</v>
      </c>
      <c r="BN941">
        <f>BL941-BK941</f>
        <v>54</v>
      </c>
      <c r="BO941">
        <f>BN941*kg_to_m3</f>
        <v>0.11020408163265308</v>
      </c>
      <c r="BP941" t="s">
        <v>232</v>
      </c>
      <c r="BR941" t="s">
        <v>397</v>
      </c>
      <c r="BS941">
        <v>-190</v>
      </c>
      <c r="BT941">
        <v>-1.36</v>
      </c>
      <c r="BU941" s="144">
        <v>7.1578947368421061E-3</v>
      </c>
      <c r="BV941">
        <v>188.64</v>
      </c>
      <c r="BX941">
        <f>BV941/1000</f>
        <v>0.18863999999999997</v>
      </c>
      <c r="BY941">
        <f>IFERROR(BX941/BO941,"")</f>
        <v>1.7117333333333329</v>
      </c>
      <c r="BZ941">
        <v>1</v>
      </c>
      <c r="CA941">
        <v>0</v>
      </c>
      <c r="CB941">
        <v>0</v>
      </c>
      <c r="CC941">
        <v>0</v>
      </c>
      <c r="CD941">
        <v>0</v>
      </c>
      <c r="CE941">
        <v>0</v>
      </c>
      <c r="CF941">
        <v>0</v>
      </c>
      <c r="CG941">
        <v>0</v>
      </c>
      <c r="CH941">
        <v>0</v>
      </c>
      <c r="CI941">
        <v>0</v>
      </c>
      <c r="CJ941">
        <v>0</v>
      </c>
      <c r="CK941">
        <v>0</v>
      </c>
      <c r="CL941">
        <v>0</v>
      </c>
      <c r="CM941">
        <v>0</v>
      </c>
      <c r="CN941" t="str">
        <f>IF($BL941&lt;$BK941,"refNeedCorrection","refOK")</f>
        <v>refOK</v>
      </c>
      <c r="CO941">
        <f>IF($CN941="refOK",$BK941,$BL941)</f>
        <v>0</v>
      </c>
      <c r="CP941">
        <f>IF($CN941="refOK",$BL941,$BK941)</f>
        <v>54</v>
      </c>
      <c r="CQ941">
        <f>IF($CN941="refOK",$BO941,-$BO941)</f>
        <v>0.11020408163265308</v>
      </c>
      <c r="CR941">
        <f>IF($CN941="refOK",$BS941,$BT941)*IF($BP941="Emissions positive",-1,1)</f>
        <v>-190</v>
      </c>
      <c r="CS941">
        <f>IF($CN941="refOK",$BT941,$BS941)*IF($BP941="Emissions positive",-1,1)</f>
        <v>-1.36</v>
      </c>
      <c r="CT941">
        <f>IF($CN941="refNeedCorrection",-BX941,BX941)*IF($BP941="Emissions positive",-1,1)</f>
        <v>0.18863999999999997</v>
      </c>
      <c r="CU941">
        <f>IFERROR(CT941/CQ941,"")</f>
        <v>1.7117333333333329</v>
      </c>
      <c r="CV941" s="2">
        <f>IFERROR((CS941-CR941)/ABS(CR941),"")</f>
        <v>0.99284210526315786</v>
      </c>
      <c r="CW941" s="1" t="s">
        <v>263</v>
      </c>
      <c r="CX941" t="str">
        <f>IF(OR($CW941="prd",$CW941="std",$CW941="cit"),"loc",IF(OR($CW941="eur",$CW941="reg",$CW941="coy"),"reg",$CW941))</f>
        <v>loc</v>
      </c>
      <c r="CY941" t="s">
        <v>626</v>
      </c>
      <c r="DB941">
        <v>0</v>
      </c>
      <c r="DC941" t="str">
        <f>IF(DB941=0,"0",IF(AND(DB941&gt;=1,DB941&lt;=30),"1-30",IF(AND(DB941&gt;30,DB941&lt;=70),"31-70",IF(AND(DB941&gt;70,DB941&lt;=100),"71-100",IF(DB941&gt;100,"+100")))))</f>
        <v>0</v>
      </c>
      <c r="DD941">
        <v>0</v>
      </c>
      <c r="DE941">
        <v>0</v>
      </c>
      <c r="DF941">
        <v>0</v>
      </c>
      <c r="DG941">
        <v>1</v>
      </c>
      <c r="DI941">
        <f>SUM(DD941:DG941)</f>
        <v>1</v>
      </c>
      <c r="DJ941" t="str">
        <f>IF(DI941=1,INDEX($DD$7:$DG$7,MATCH(1,$DD941:$DG941,0)),"mixedProduct")</f>
        <v>TimberInput</v>
      </c>
      <c r="DK941">
        <f>IF(DD941=1,DK$7,0)</f>
        <v>0</v>
      </c>
      <c r="DL941">
        <f>IF(DE941=1,DL$7,0)</f>
        <v>0</v>
      </c>
      <c r="DM941">
        <f>IF(DF941=1,DM$7,0)</f>
        <v>0</v>
      </c>
      <c r="DN941" t="str">
        <f>IF(DG941=1,DN$7,0)</f>
        <v>Timber</v>
      </c>
      <c r="DO941">
        <v>0</v>
      </c>
      <c r="DP941">
        <v>0</v>
      </c>
      <c r="DQ941">
        <v>0</v>
      </c>
      <c r="DR941">
        <v>0</v>
      </c>
      <c r="DS941">
        <v>0</v>
      </c>
      <c r="DT941">
        <f>SUM(DO941:DP941)</f>
        <v>0</v>
      </c>
      <c r="DU941" s="143" t="str">
        <f>IF(DO941=1,"self-calculated DF",IF(DP941=1,"external DF used","explicit C balance"))</f>
        <v>explicit C balance</v>
      </c>
      <c r="DV941">
        <v>0</v>
      </c>
      <c r="DW941">
        <v>0</v>
      </c>
      <c r="DX941">
        <v>0</v>
      </c>
      <c r="DY941">
        <v>0</v>
      </c>
      <c r="DZ941">
        <v>0</v>
      </c>
      <c r="EA941" s="143">
        <v>0</v>
      </c>
      <c r="EB941">
        <v>0</v>
      </c>
      <c r="EC941">
        <v>1</v>
      </c>
      <c r="ED941">
        <v>0</v>
      </c>
      <c r="EE941">
        <v>0</v>
      </c>
      <c r="EF941">
        <v>0</v>
      </c>
      <c r="EG941">
        <v>0</v>
      </c>
      <c r="EH941">
        <v>0</v>
      </c>
      <c r="EI941" s="2">
        <v>0</v>
      </c>
      <c r="EK941" t="str">
        <f>IF(AND(AND(AND(OR($DX941=1,$DW941=1),OR($EC941=1,$EA941=1)),SUM($DV941:$DZ941,$EF941)&gt;=4),SUM($EA941:$EE941)&gt;=2),"Whole sector","")</f>
        <v/>
      </c>
      <c r="EL941" t="str">
        <f>IF(AND(AND(OR($DX941=1,$DW941=1),AND($EC941=0,$EA941=0)),SUM($DV941:$DZ941,$EF941)&gt;=4),"Ecosystem approach","")</f>
        <v/>
      </c>
      <c r="EM941" s="2" t="str">
        <f>IF(AND(AND(AND($DX941=0,$DW941=0),OR($EC941=1,$EA941=1)),SUM($EB941:$EE941)&gt;=2),"Technology approach","")</f>
        <v/>
      </c>
      <c r="EP941" t="str">
        <f>IF(ISNUMBER(BU941),IF(ABS(BU941-[2]QC_indicators!$B$2)&gt;3*[2]QC_indicators!$C$2,"C ratio",IF(ISNUMBER(BY941),IF(ABS(BY941-[2]QC_indicators!$B$1)&gt;3*[2]QC_indicators!$C$1,"DF","no"))),IF(ISNUMBER(BY941),IF(ABS(BY941-[2]QC_indicators!$B$1)&gt;3*[2]QC_indicators!$C$1,"DF","no")))</f>
        <v>no</v>
      </c>
      <c r="ER941" s="149" t="s">
        <v>349</v>
      </c>
      <c r="ET941" s="264" t="s">
        <v>3151</v>
      </c>
    </row>
    <row r="942" spans="1:150" ht="15" customHeight="1">
      <c r="A942" s="1" t="s">
        <v>562</v>
      </c>
      <c r="B942" t="s">
        <v>544</v>
      </c>
      <c r="C942" t="s">
        <v>1593</v>
      </c>
      <c r="D942" t="s">
        <v>1594</v>
      </c>
      <c r="E942" t="s">
        <v>1595</v>
      </c>
      <c r="F942" t="s">
        <v>1596</v>
      </c>
      <c r="G942" t="s">
        <v>567</v>
      </c>
      <c r="H942" t="s">
        <v>254</v>
      </c>
      <c r="I942">
        <v>2019</v>
      </c>
      <c r="J942">
        <v>15</v>
      </c>
      <c r="K942" t="s">
        <v>1597</v>
      </c>
      <c r="M942" t="str">
        <f>LEFT($D942,FIND(",",$D942)-1)&amp;"_"&amp;I942&amp;L942</f>
        <v>Geng_2019</v>
      </c>
      <c r="N942" t="s">
        <v>222</v>
      </c>
      <c r="O942" s="181" t="s">
        <v>225</v>
      </c>
      <c r="Q942" s="264" t="s">
        <v>256</v>
      </c>
      <c r="R942" s="269" t="s">
        <v>1154</v>
      </c>
      <c r="S942" s="1" t="s">
        <v>1598</v>
      </c>
      <c r="T942" t="s">
        <v>1611</v>
      </c>
      <c r="V942">
        <v>0</v>
      </c>
      <c r="W942">
        <v>0</v>
      </c>
      <c r="X942">
        <v>0</v>
      </c>
      <c r="Y942">
        <v>0</v>
      </c>
      <c r="Z942">
        <v>0</v>
      </c>
      <c r="AA942">
        <v>0</v>
      </c>
      <c r="AB942">
        <v>0</v>
      </c>
      <c r="AC942">
        <v>0</v>
      </c>
      <c r="AD942">
        <v>0</v>
      </c>
      <c r="AE942">
        <v>0</v>
      </c>
      <c r="AF942">
        <v>0</v>
      </c>
      <c r="AG942">
        <v>0</v>
      </c>
      <c r="AH942">
        <v>0</v>
      </c>
      <c r="AI942">
        <v>0</v>
      </c>
      <c r="AJ942">
        <v>0</v>
      </c>
      <c r="AK942">
        <v>1</v>
      </c>
      <c r="AL942">
        <v>0</v>
      </c>
      <c r="AM942">
        <v>0</v>
      </c>
      <c r="AN942">
        <v>0</v>
      </c>
      <c r="AO942">
        <v>0</v>
      </c>
      <c r="AP942">
        <v>0</v>
      </c>
      <c r="AQ942">
        <v>0</v>
      </c>
      <c r="AR942">
        <v>0</v>
      </c>
      <c r="AS942">
        <v>0</v>
      </c>
      <c r="AT942">
        <v>0</v>
      </c>
      <c r="AU942">
        <v>0</v>
      </c>
      <c r="AV942">
        <v>0</v>
      </c>
      <c r="AW942">
        <v>0</v>
      </c>
      <c r="AX942" s="141">
        <f>COUNTIF(V942:AW942,"&lt;&gt;0")</f>
        <v>1</v>
      </c>
      <c r="AY942" s="141">
        <f>COUNTIF(V942:AL942,"&lt;&gt;0")</f>
        <v>1</v>
      </c>
      <c r="AZ942">
        <f>COUNTIF(V942:AC942,"&lt;&gt;0")</f>
        <v>0</v>
      </c>
      <c r="BA942">
        <f>COUNTIF(AD942:AI942,"&lt;&gt;0")</f>
        <v>0</v>
      </c>
      <c r="BB942">
        <f>COUNTIF(AJ942:AL942,"&lt;&gt;0")</f>
        <v>1</v>
      </c>
      <c r="BC942">
        <f>COUNTIF(AS942:AW942,"&lt;&gt;0")</f>
        <v>0</v>
      </c>
      <c r="BD942">
        <f>COUNTIF(AM942:AR942,"&lt;&gt;0")</f>
        <v>0</v>
      </c>
      <c r="BE942" t="str" cm="1">
        <f t="array" ref="BE942">IF(AY942=1,INDEX($V$7:$AL$7,MATCH(TRUE,INDEX($V942:$AW942&lt;&gt;0,),0)),IF(AY942=0,INDEX($AM$7:$AW$7,MATCH(1,$AM942:$AW942,0)),IF(BF942="Multiple strategies","mixed drivers",IF(BF942="Supply chain","multiple supply","multiple silviculture"))))</f>
        <v>technologies/design switch</v>
      </c>
      <c r="BF942" s="2" t="str" cm="1">
        <f t="array" ref="BF942">IF(COUNTIF(AZ942:BB942,"&lt;&gt;0")=1,INDEX($V$4:$AW$4,MATCH(TRUE,INDEX($V942:$AW942&lt;&gt;0,),0)),IF(COUNTIF(AZ942:BB942,"&lt;&gt;0")=0,INDEX($AM$4:$AW$4,MATCH(1,$AM942:$AW942,0)),"Multiple strategies"))</f>
        <v>Technology</v>
      </c>
      <c r="BG942" s="1" t="s">
        <v>229</v>
      </c>
      <c r="BH942" t="s">
        <v>1600</v>
      </c>
      <c r="BJ942" t="s">
        <v>261</v>
      </c>
      <c r="BK942">
        <v>24</v>
      </c>
      <c r="BL942">
        <v>82.35</v>
      </c>
      <c r="BM942">
        <f>BL942/BK942</f>
        <v>3.4312499999999999</v>
      </c>
      <c r="BN942">
        <f>BL942-BK942</f>
        <v>58.349999999999994</v>
      </c>
      <c r="BO942">
        <f>BN942*kg_to_m3</f>
        <v>0.11908163265306122</v>
      </c>
      <c r="BP942" t="s">
        <v>232</v>
      </c>
      <c r="BR942" t="s">
        <v>1609</v>
      </c>
      <c r="BU942" s="144" t="str">
        <f>IFERROR(BT942/BS942,"")</f>
        <v/>
      </c>
      <c r="BV942">
        <v>0.20399999999999999</v>
      </c>
      <c r="BX942">
        <f>BV942</f>
        <v>0.20399999999999999</v>
      </c>
      <c r="BY942">
        <f>IFERROR(BX942/BO942,"")</f>
        <v>1.7131105398457582</v>
      </c>
      <c r="BZ942">
        <v>0</v>
      </c>
      <c r="CA942">
        <v>0</v>
      </c>
      <c r="CB942">
        <v>0</v>
      </c>
      <c r="CC942">
        <v>0</v>
      </c>
      <c r="CD942">
        <v>0</v>
      </c>
      <c r="CE942">
        <v>0</v>
      </c>
      <c r="CF942">
        <v>0</v>
      </c>
      <c r="CG942">
        <v>0</v>
      </c>
      <c r="CH942">
        <v>0</v>
      </c>
      <c r="CI942">
        <v>0</v>
      </c>
      <c r="CJ942">
        <v>0</v>
      </c>
      <c r="CK942">
        <v>0</v>
      </c>
      <c r="CL942">
        <v>0</v>
      </c>
      <c r="CM942">
        <v>0</v>
      </c>
      <c r="CN942" t="str">
        <f>IF(BL942&lt;BK942,"refNeedCorrection","refOK")</f>
        <v>refOK</v>
      </c>
      <c r="CO942">
        <f>IF($CN942="refOK",$BK942,$BL942)</f>
        <v>24</v>
      </c>
      <c r="CP942">
        <f>IF($CN942="refOK",$BL942,$BK942)</f>
        <v>82.35</v>
      </c>
      <c r="CQ942">
        <f>IF($CN942="refOK",$BO942,-$BO942)</f>
        <v>0.11908163265306122</v>
      </c>
      <c r="CR942">
        <f>IF($CN942="refOK",$BS942,$BT942)*IF($BP942="Emissions positive",-1,1)</f>
        <v>0</v>
      </c>
      <c r="CS942">
        <f>IF($CN942="refOK",$BT942,$BS942)*IF($BP942="Emissions positive",-1,1)</f>
        <v>0</v>
      </c>
      <c r="CT942">
        <f>IF($CN942="refNeedCorrection",-BX942,BX942)*IF($BP942="Emissions positive",-1,1)</f>
        <v>0.20399999999999999</v>
      </c>
      <c r="CU942">
        <f>IFERROR(CT942/CQ942,"")</f>
        <v>1.7131105398457582</v>
      </c>
      <c r="CV942" s="2" t="str">
        <f>IFERROR((CS942-CR942)/ABS(CR942),"")</f>
        <v/>
      </c>
      <c r="CW942" s="1" t="s">
        <v>1203</v>
      </c>
      <c r="CX942" s="264" t="str">
        <f>IF(OR($CW942="prd",$CW942="std",$CW942="cit"),"loc",IF(OR($CW942="eur",$CW942="reg",$CW942="coy"),"reg",$CW942))</f>
        <v>reg</v>
      </c>
      <c r="CY942" t="s">
        <v>690</v>
      </c>
      <c r="CZ942">
        <v>2019</v>
      </c>
      <c r="DB942">
        <v>0</v>
      </c>
      <c r="DC942" t="str">
        <f>IF(DB942=0,"0",IF(AND(DB942&gt;=1,DB942&lt;=30),"1-30",IF(AND(DB942&gt;30,DB942&lt;=70),"31-70",IF(AND(DB942&gt;70,DB942&lt;=100),"71-100",IF(DB942&gt;100,"+100")))))</f>
        <v>0</v>
      </c>
      <c r="DD942">
        <v>0</v>
      </c>
      <c r="DE942">
        <v>0</v>
      </c>
      <c r="DF942">
        <v>0</v>
      </c>
      <c r="DG942">
        <v>1</v>
      </c>
      <c r="DI942">
        <f>SUM(DD942:DG942)</f>
        <v>1</v>
      </c>
      <c r="DJ942" t="str">
        <f>IF(DI942=1,INDEX($DD$7:$DG$7,MATCH(1,$DD942:$DG942,0)),"mixedProduct")</f>
        <v>TimberInput</v>
      </c>
      <c r="DK942">
        <f>IF(DD942=1,DK$7,0)</f>
        <v>0</v>
      </c>
      <c r="DL942">
        <f>IF(DE942=1,DL$7,0)</f>
        <v>0</v>
      </c>
      <c r="DM942">
        <f>IF(DF942=1,DM$7,0)</f>
        <v>0</v>
      </c>
      <c r="DN942" t="str">
        <f>IF(DG942=1,DN$7,0)</f>
        <v>Timber</v>
      </c>
      <c r="DO942">
        <v>1</v>
      </c>
      <c r="DP942">
        <v>0</v>
      </c>
      <c r="DQ942">
        <v>0</v>
      </c>
      <c r="DR942">
        <v>0</v>
      </c>
      <c r="DS942">
        <v>0</v>
      </c>
      <c r="DT942">
        <f>SUM(DO942:DP942)</f>
        <v>1</v>
      </c>
      <c r="DU942" s="143" t="str">
        <f>IF(DO942=1,"self-calculated DF",IF(DP942=1,"external DF used","explicit C balance"))</f>
        <v>self-calculated DF</v>
      </c>
      <c r="DV942">
        <v>0</v>
      </c>
      <c r="DW942">
        <v>0</v>
      </c>
      <c r="DX942">
        <v>0</v>
      </c>
      <c r="DY942">
        <v>0</v>
      </c>
      <c r="DZ942">
        <v>0</v>
      </c>
      <c r="EA942" s="143">
        <v>1</v>
      </c>
      <c r="EB942">
        <v>0</v>
      </c>
      <c r="EC942">
        <v>1</v>
      </c>
      <c r="ED942">
        <v>0</v>
      </c>
      <c r="EE942">
        <v>0</v>
      </c>
      <c r="EF942">
        <v>0</v>
      </c>
      <c r="EG942">
        <v>0</v>
      </c>
      <c r="EH942">
        <v>0</v>
      </c>
      <c r="EI942" s="2">
        <v>0</v>
      </c>
      <c r="EK942" t="str">
        <f>IF(AND(AND(AND(OR($DX942=1,$DW942=1),OR($EC942=1,$EA942=1)),SUM($DV942:$DZ942,$EF942)&gt;=4),SUM($EA942:$EE942)&gt;=2),"Whole sector","")</f>
        <v/>
      </c>
      <c r="EL942" t="str">
        <f>IF(AND(AND(OR($DX942=1,$DW942=1),AND($EC942=0,$EA942=0)),SUM($DV942:$DZ942,$EF942)&gt;=4),"Ecosystem approach","")</f>
        <v/>
      </c>
      <c r="EM942" s="2" t="str">
        <f>IF(AND(AND(AND($DX942=0,$DW942=0),OR($EC942=1,$EA942=1)),SUM($EB942:$EE942)&gt;=2),"Technology approach","")</f>
        <v/>
      </c>
      <c r="EN942" t="s">
        <v>1603</v>
      </c>
      <c r="EP942" t="str">
        <f>IF(ISNUMBER(BU942),IF(ABS(BU942-[3]QC_indicators!$B$2)&gt;3*[3]QC_indicators!$C$2,"C ratio",IF(ISNUMBER(BY942),IF(ABS(BY942-[3]QC_indicators!$B$1)&gt;3*[3]QC_indicators!$C$1,"DF","no"))),IF(ISNUMBER(BY942),IF(ABS(BY942-[3]QC_indicators!$B$1)&gt;3*[3]QC_indicators!$C$1,"DF","no")))</f>
        <v>no</v>
      </c>
      <c r="ER942" t="s">
        <v>1604</v>
      </c>
      <c r="ET942" s="264" t="s">
        <v>3407</v>
      </c>
    </row>
    <row r="943" spans="1:150" ht="15" customHeight="1">
      <c r="A943" s="1" t="s">
        <v>333</v>
      </c>
      <c r="B943" t="s">
        <v>719</v>
      </c>
      <c r="C943" t="s">
        <v>720</v>
      </c>
      <c r="D943" t="s">
        <v>721</v>
      </c>
      <c r="E943" t="s">
        <v>722</v>
      </c>
      <c r="F943" t="s">
        <v>723</v>
      </c>
      <c r="G943" t="s">
        <v>339</v>
      </c>
      <c r="H943" t="s">
        <v>254</v>
      </c>
      <c r="I943">
        <v>2015</v>
      </c>
      <c r="J943">
        <v>86</v>
      </c>
      <c r="K943" t="s">
        <v>724</v>
      </c>
      <c r="M943" t="str">
        <f>LEFT($D943,FIND(",",$D943)-1)&amp;"_"&amp;I943&amp;L943</f>
        <v>Fouquet_2015</v>
      </c>
      <c r="N943" t="s">
        <v>222</v>
      </c>
      <c r="O943" s="145" t="s">
        <v>274</v>
      </c>
      <c r="Q943" t="s">
        <v>256</v>
      </c>
      <c r="R943" s="255" t="s">
        <v>225</v>
      </c>
      <c r="S943" s="1" t="s">
        <v>731</v>
      </c>
      <c r="T943" s="264" t="s">
        <v>3331</v>
      </c>
      <c r="U943" s="264" t="s">
        <v>3330</v>
      </c>
      <c r="V943">
        <v>0</v>
      </c>
      <c r="W943">
        <v>0</v>
      </c>
      <c r="X943">
        <v>0</v>
      </c>
      <c r="Y943">
        <v>0</v>
      </c>
      <c r="Z943">
        <v>0</v>
      </c>
      <c r="AA943">
        <v>0</v>
      </c>
      <c r="AB943">
        <v>0</v>
      </c>
      <c r="AC943">
        <v>0</v>
      </c>
      <c r="AD943">
        <v>0</v>
      </c>
      <c r="AE943">
        <v>0</v>
      </c>
      <c r="AF943">
        <v>0</v>
      </c>
      <c r="AG943">
        <v>0</v>
      </c>
      <c r="AH943">
        <v>0</v>
      </c>
      <c r="AI943">
        <v>0</v>
      </c>
      <c r="AJ943">
        <v>0</v>
      </c>
      <c r="AK943">
        <v>1</v>
      </c>
      <c r="AL943">
        <v>0</v>
      </c>
      <c r="AM943">
        <v>0</v>
      </c>
      <c r="AN943">
        <v>0</v>
      </c>
      <c r="AO943">
        <v>0</v>
      </c>
      <c r="AP943">
        <v>0</v>
      </c>
      <c r="AQ943">
        <v>0</v>
      </c>
      <c r="AR943">
        <v>0</v>
      </c>
      <c r="AS943">
        <v>0</v>
      </c>
      <c r="AT943">
        <v>0</v>
      </c>
      <c r="AU943">
        <v>0</v>
      </c>
      <c r="AV943">
        <v>0</v>
      </c>
      <c r="AW943">
        <v>0</v>
      </c>
      <c r="AX943" s="141">
        <f>COUNTIF(V943:AW943,"&lt;&gt;0")</f>
        <v>1</v>
      </c>
      <c r="AY943" s="141">
        <f>COUNTIF(V943:AL943,"&lt;&gt;0")</f>
        <v>1</v>
      </c>
      <c r="AZ943">
        <f>COUNTIF(V943:AC943,"&lt;&gt;0")</f>
        <v>0</v>
      </c>
      <c r="BA943">
        <f>COUNTIF(AD943:AI943,"&lt;&gt;0")</f>
        <v>0</v>
      </c>
      <c r="BB943">
        <f>COUNTIF(AJ943:AL943,"&lt;&gt;0")</f>
        <v>1</v>
      </c>
      <c r="BC943">
        <f>COUNTIF(AS943:AW943,"&lt;&gt;0")</f>
        <v>0</v>
      </c>
      <c r="BD943">
        <f>COUNTIF(AM943:AR943,"&lt;&gt;0")</f>
        <v>0</v>
      </c>
      <c r="BE943" t="str">
        <f t="array" ref="BE943">IF(AY943=1,INDEX($V$7:$AL$7,MATCH(TRUE,INDEX($V943:$AW943&lt;&gt;0,),0)),IF(AY943=0,INDEX($AM$7:$AW$7,MATCH(1,$AM943:$AW943,0)),IF(BF943="Multiple strategies","mixed drivers",IF(BF943="Supply chain","multiple supply","multiple silviculture"))))</f>
        <v>technologies/design switch</v>
      </c>
      <c r="BF943" s="2" t="str" cm="1">
        <f t="array" ref="BF943">IF(COUNTIF(AZ943:BB943,"&lt;&gt;0")=1,INDEX($V$4:$AW$4,MATCH(TRUE,INDEX($V943:$AW943&lt;&gt;0,),0)),IF(COUNTIF(AZ943:BB943,"&lt;&gt;0")=0,INDEX($AM$4:$AW$4,MATCH(1,$AM943:$AW943,0)),"Multiple strategies"))</f>
        <v>Technology</v>
      </c>
      <c r="BG943" s="1" t="s">
        <v>229</v>
      </c>
      <c r="BH943" t="s">
        <v>727</v>
      </c>
      <c r="BI943" s="260" t="s">
        <v>3326</v>
      </c>
      <c r="BJ943" s="260" t="s">
        <v>345</v>
      </c>
      <c r="BK943" s="260">
        <v>477</v>
      </c>
      <c r="BL943" s="260">
        <f xml:space="preserve"> 5341+3892+7551+1439+923+477</f>
        <v>19623</v>
      </c>
      <c r="BN943">
        <f>BL943-BK943</f>
        <v>19146</v>
      </c>
      <c r="BO943" s="260">
        <f>BN943/1000*tC_to_m3</f>
        <v>83.135041250542784</v>
      </c>
      <c r="BP943" s="260" t="s">
        <v>395</v>
      </c>
      <c r="BQ943" s="260" t="s">
        <v>3327</v>
      </c>
      <c r="BR943" t="s">
        <v>397</v>
      </c>
      <c r="BS943" s="260">
        <v>154593</v>
      </c>
      <c r="BT943" s="260">
        <f>7475</f>
        <v>7475</v>
      </c>
      <c r="BU943" s="144">
        <f>IFERROR(BT943/BS943,"")</f>
        <v>4.8352771470894541E-2</v>
      </c>
      <c r="BV943">
        <f>BT943-BS943</f>
        <v>-147118</v>
      </c>
      <c r="BX943">
        <f>BV943/1000</f>
        <v>-147.11799999999999</v>
      </c>
      <c r="BY943">
        <f>IFERROR(BX943/BO943,"")</f>
        <v>-1.7696268358926144</v>
      </c>
      <c r="BZ943">
        <v>0</v>
      </c>
      <c r="CA943">
        <v>0</v>
      </c>
      <c r="CB943">
        <v>0</v>
      </c>
      <c r="CC943">
        <v>0</v>
      </c>
      <c r="CD943">
        <v>0</v>
      </c>
      <c r="CE943">
        <v>0</v>
      </c>
      <c r="CF943">
        <v>0</v>
      </c>
      <c r="CG943">
        <v>0</v>
      </c>
      <c r="CH943">
        <v>0</v>
      </c>
      <c r="CI943">
        <v>0</v>
      </c>
      <c r="CJ943">
        <v>0</v>
      </c>
      <c r="CK943">
        <v>0</v>
      </c>
      <c r="CL943">
        <v>0</v>
      </c>
      <c r="CM943">
        <v>0</v>
      </c>
      <c r="CN943" t="str">
        <f>IF($BL943&lt;$BK943,"refNeedCorrection","refOK")</f>
        <v>refOK</v>
      </c>
      <c r="CO943">
        <f>IF($CN943="refNeedCorrection",BL943,BK943)</f>
        <v>477</v>
      </c>
      <c r="CP943">
        <f>IF($CN943="refNeedCorrection",BK943,BL943)</f>
        <v>19623</v>
      </c>
      <c r="CQ943">
        <f>IF($CN943="refOK",$BO943,-$BO943)</f>
        <v>83.135041250542784</v>
      </c>
      <c r="CR943">
        <f>IF($CN943="refOK",$BS943,$BT943)*IF($BP943="Emissions positive",-1,1)</f>
        <v>-154593</v>
      </c>
      <c r="CS943">
        <f>IF($CN943="refOK",$BT943,$BS943)*IF($BP943="Emissions positive",-1,1)</f>
        <v>-7475</v>
      </c>
      <c r="CT943">
        <f>IF($CN943="refNeedCorrection",-BX943,BX943)*IF($BP943="Emissions positive",-1,1)</f>
        <v>147.11799999999999</v>
      </c>
      <c r="CU943">
        <f>IFERROR(CT943/CQ943,"")</f>
        <v>1.7696268358926144</v>
      </c>
      <c r="CV943" s="2">
        <f>IFERROR((CS943-CR943)/ABS(CR943),"")</f>
        <v>0.95164722852910544</v>
      </c>
      <c r="CW943" s="1" t="s">
        <v>263</v>
      </c>
      <c r="CX943" t="str">
        <f>IF(OR($CW943="prd",$CW943="std",$CW943="cit"),"loc",IF(OR($CW943="eur",$CW943="reg",$CW943="coy"),"reg",$CW943))</f>
        <v>loc</v>
      </c>
      <c r="CY943" t="s">
        <v>729</v>
      </c>
      <c r="DB943">
        <v>100</v>
      </c>
      <c r="DC943" t="str">
        <f>IF(DB943=0,"0",IF(AND(DB943&gt;=1,DB943&lt;=30),"1-30",IF(AND(DB943&gt;30,DB943&lt;=70),"31-70",IF(AND(DB943&gt;70,DB943&lt;=100),"71-100",IF(DB943&gt;100,"+100")))))</f>
        <v>71-100</v>
      </c>
      <c r="DD943">
        <v>0</v>
      </c>
      <c r="DE943">
        <v>0</v>
      </c>
      <c r="DF943">
        <v>0</v>
      </c>
      <c r="DG943">
        <v>1</v>
      </c>
      <c r="DI943">
        <f>SUM(DD943:DG943)</f>
        <v>1</v>
      </c>
      <c r="DJ943" t="str">
        <f>IF(DI943=1,INDEX($DD$7:$DG$7,MATCH(1,$DD943:$DG943,0)),"mixedProduct")</f>
        <v>TimberInput</v>
      </c>
      <c r="DK943">
        <f>IF(DD943=1,DK$7,0)</f>
        <v>0</v>
      </c>
      <c r="DL943">
        <f>IF(DE943=1,DL$7,0)</f>
        <v>0</v>
      </c>
      <c r="DM943">
        <f>IF(DF943=1,DM$7,0)</f>
        <v>0</v>
      </c>
      <c r="DN943" t="str">
        <f>IF(DG943=1,DN$7,0)</f>
        <v>Timber</v>
      </c>
      <c r="DO943">
        <v>0</v>
      </c>
      <c r="DP943">
        <v>0</v>
      </c>
      <c r="DQ943">
        <v>0</v>
      </c>
      <c r="DR943">
        <v>0</v>
      </c>
      <c r="DS943">
        <v>0</v>
      </c>
      <c r="DT943">
        <f>SUM(DO943:DP943)</f>
        <v>0</v>
      </c>
      <c r="DU943" s="143" t="str">
        <f>IF(DO943=1,"self-calculated DF",IF(DP943=1,"external DF used","explicit C balance"))</f>
        <v>explicit C balance</v>
      </c>
      <c r="DV943">
        <v>0</v>
      </c>
      <c r="DW943">
        <v>0</v>
      </c>
      <c r="DX943">
        <v>0</v>
      </c>
      <c r="DY943">
        <v>1</v>
      </c>
      <c r="DZ943">
        <v>1</v>
      </c>
      <c r="EA943">
        <v>1</v>
      </c>
      <c r="EB943">
        <v>0</v>
      </c>
      <c r="EC943">
        <v>1</v>
      </c>
      <c r="ED943">
        <v>1</v>
      </c>
      <c r="EE943">
        <v>1</v>
      </c>
      <c r="EF943">
        <v>0</v>
      </c>
      <c r="EG943">
        <v>0</v>
      </c>
      <c r="EH943">
        <v>0</v>
      </c>
      <c r="EI943" s="2">
        <v>0</v>
      </c>
      <c r="EK943" t="str">
        <f>IF(AND(AND(AND(OR($DX943=1,$DW943=1),OR($EC943=1,$EA943=1)),SUM($DV943:$DZ943,$EF943)&gt;=4),SUM($EA943:$EE943)&gt;=2),"Whole sector","")</f>
        <v/>
      </c>
      <c r="EL943" t="str">
        <f>IF(AND(AND(OR($DX943=1,$DW943=1),AND($EC943=0,$EA943=0)),SUM($DV943:$DZ943,$EF943)&gt;=4),"Ecosystem approach","")</f>
        <v/>
      </c>
      <c r="EM943" s="2" t="str">
        <f>IF(AND(AND(AND($DX943=0,$DW943=0),OR($EC943=1,$EA943=1)),SUM($EB943:$EE943)&gt;=2),"Technology approach","")</f>
        <v>Technology approach</v>
      </c>
      <c r="EP943" t="str">
        <f>IF(ISNUMBER(BU943),IF(ABS(BU943-[4]QC_indicators!$B$2)&gt;3*[4]QC_indicators!$C$2,"C ratio",IF(ISNUMBER(BY943),IF(ABS(BY943-[4]QC_indicators!$B$1)&gt;3*[4]QC_indicators!$C$1,"DF","no"))),IF(ISNUMBER(BY943),IF(ABS(BY943-[4]QC_indicators!$B$1)&gt;3*[4]QC_indicators!$C$1,"DF","no")))</f>
        <v>no</v>
      </c>
      <c r="ET943" s="264" t="s">
        <v>3273</v>
      </c>
    </row>
    <row r="944" spans="1:150" ht="15" customHeight="1">
      <c r="A944" s="1" t="s">
        <v>1423</v>
      </c>
      <c r="B944" t="s">
        <v>2490</v>
      </c>
      <c r="C944" t="s">
        <v>2491</v>
      </c>
      <c r="D944" t="s">
        <v>2492</v>
      </c>
      <c r="E944" t="s">
        <v>2493</v>
      </c>
      <c r="F944" t="s">
        <v>2494</v>
      </c>
      <c r="G944" t="s">
        <v>1429</v>
      </c>
      <c r="H944" t="s">
        <v>254</v>
      </c>
      <c r="I944">
        <v>2016</v>
      </c>
      <c r="J944">
        <v>24</v>
      </c>
      <c r="K944" t="s">
        <v>2495</v>
      </c>
      <c r="M944" t="str">
        <f>LEFT($D944,FIND(",",$D944)-1)&amp;"_"&amp;I944&amp;L944</f>
        <v>Zubizarreta-Gerendiain_2016</v>
      </c>
      <c r="N944" t="s">
        <v>222</v>
      </c>
      <c r="O944" s="145" t="s">
        <v>1154</v>
      </c>
      <c r="Q944" t="s">
        <v>256</v>
      </c>
      <c r="R944" s="262" t="s">
        <v>223</v>
      </c>
      <c r="S944" s="1" t="s">
        <v>2518</v>
      </c>
      <c r="T944" t="s">
        <v>2504</v>
      </c>
      <c r="U944" t="s">
        <v>2520</v>
      </c>
      <c r="V944">
        <v>0</v>
      </c>
      <c r="W944">
        <v>0</v>
      </c>
      <c r="X944">
        <v>0</v>
      </c>
      <c r="Y944">
        <v>0</v>
      </c>
      <c r="Z944">
        <v>0</v>
      </c>
      <c r="AA944">
        <v>0</v>
      </c>
      <c r="AB944">
        <v>0</v>
      </c>
      <c r="AC944">
        <v>0</v>
      </c>
      <c r="AD944">
        <v>0</v>
      </c>
      <c r="AE944">
        <v>0</v>
      </c>
      <c r="AF944">
        <v>1</v>
      </c>
      <c r="AG944">
        <v>0</v>
      </c>
      <c r="AH944">
        <v>0</v>
      </c>
      <c r="AI944">
        <v>0</v>
      </c>
      <c r="AJ944">
        <v>0</v>
      </c>
      <c r="AK944">
        <v>0</v>
      </c>
      <c r="AL944">
        <v>0</v>
      </c>
      <c r="AM944">
        <v>0</v>
      </c>
      <c r="AN944">
        <v>0</v>
      </c>
      <c r="AO944">
        <v>0</v>
      </c>
      <c r="AP944">
        <v>0</v>
      </c>
      <c r="AQ944">
        <v>0</v>
      </c>
      <c r="AR944">
        <v>0</v>
      </c>
      <c r="AS944">
        <v>0</v>
      </c>
      <c r="AT944">
        <v>0</v>
      </c>
      <c r="AU944">
        <v>0</v>
      </c>
      <c r="AV944">
        <v>0</v>
      </c>
      <c r="AW944">
        <v>0</v>
      </c>
      <c r="AX944" s="141">
        <f>COUNTIF(V944:AW944,"&lt;&gt;0")</f>
        <v>1</v>
      </c>
      <c r="AY944" s="141">
        <f>COUNTIF(V944:AL944,"&lt;&gt;0")</f>
        <v>1</v>
      </c>
      <c r="AZ944">
        <f>COUNTIF(V944:AC944,"&lt;&gt;0")</f>
        <v>0</v>
      </c>
      <c r="BA944">
        <f>COUNTIF(AD944:AI944,"&lt;&gt;0")</f>
        <v>1</v>
      </c>
      <c r="BB944">
        <f>COUNTIF(AJ944:AL944,"&lt;&gt;0")</f>
        <v>0</v>
      </c>
      <c r="BC944">
        <f>COUNTIF(AS944:AW944,"&lt;&gt;0")</f>
        <v>0</v>
      </c>
      <c r="BD944">
        <f>COUNTIF(AM944:AR944,"&lt;&gt;0")</f>
        <v>0</v>
      </c>
      <c r="BE944" t="str">
        <f t="array" ref="BE944">IF(AY944=1,INDEX($V$7:$AL$7,MATCH(TRUE,INDEX($V944:$AW944&lt;&gt;0,),0)),IF(AY944=0,INDEX($AM$7:$AW$7,MATCH(1,$AM944:$AW944,0)),IF(BF944="Multiple strategies","mixed drivers",IF(BF944="Supply chain","multiple supply","multiple silviculture"))))</f>
        <v>supply chain organization</v>
      </c>
      <c r="BF944" s="2" t="str" cm="1">
        <f t="array" ref="BF944">IF(COUNTIF(AZ944:BB944,"&lt;&gt;0")=1,INDEX($V$4:$AW$4,MATCH(TRUE,INDEX($V944:$AW944&lt;&gt;0,),0)),IF(COUNTIF(AZ944:BB944,"&lt;&gt;0")=0,INDEX($AM$4:$AW$4,MATCH(1,$AM944:$AW944,0)),"Multiple strategies"))</f>
        <v>Supply chain</v>
      </c>
      <c r="BG944" s="1" t="s">
        <v>321</v>
      </c>
      <c r="BH944" t="s">
        <v>2499</v>
      </c>
      <c r="BI944" s="264" t="s">
        <v>2113</v>
      </c>
      <c r="BJ944" t="s">
        <v>2500</v>
      </c>
      <c r="BK944">
        <v>82.634271099744197</v>
      </c>
      <c r="BL944">
        <v>84.015345268542205</v>
      </c>
      <c r="BM944" s="143">
        <f>BL944/BK944</f>
        <v>1.0167130919220062</v>
      </c>
      <c r="BN944">
        <f>BL944-BK944</f>
        <v>1.3810741687980084</v>
      </c>
      <c r="BO944">
        <f>BN944*1000*t_to_m3</f>
        <v>2818.5187118326703</v>
      </c>
      <c r="BP944" s="143" t="s">
        <v>232</v>
      </c>
      <c r="BQ944" s="143" t="s">
        <v>3256</v>
      </c>
      <c r="BR944" t="s">
        <v>1195</v>
      </c>
      <c r="BS944">
        <v>-87418.696485623019</v>
      </c>
      <c r="BT944">
        <v>-82406.156549520776</v>
      </c>
      <c r="BU944" s="144">
        <f>IFERROR(BT944/BS944,"")</f>
        <v>0.94266055045871555</v>
      </c>
      <c r="BV944" s="144">
        <f>BT944-BS944</f>
        <v>5012.5399361022428</v>
      </c>
      <c r="BW944" s="144"/>
      <c r="BX944" s="144">
        <f>BV944</f>
        <v>5012.5399361022428</v>
      </c>
      <c r="BY944">
        <f>IFERROR(BX944/BO944,"")</f>
        <v>1.7784306043662792</v>
      </c>
      <c r="BZ944">
        <v>0</v>
      </c>
      <c r="CA944">
        <v>0</v>
      </c>
      <c r="CB944">
        <v>0</v>
      </c>
      <c r="CC944">
        <v>0</v>
      </c>
      <c r="CD944">
        <v>0</v>
      </c>
      <c r="CE944">
        <v>0</v>
      </c>
      <c r="CF944">
        <v>0</v>
      </c>
      <c r="CG944">
        <v>0</v>
      </c>
      <c r="CH944">
        <v>0</v>
      </c>
      <c r="CI944">
        <v>0</v>
      </c>
      <c r="CJ944">
        <v>0</v>
      </c>
      <c r="CK944">
        <v>0</v>
      </c>
      <c r="CL944">
        <v>0</v>
      </c>
      <c r="CM944">
        <v>1</v>
      </c>
      <c r="CN944" t="str">
        <f>IF($BL944&lt;$BK944,"refNeedCorrection","refOK")</f>
        <v>refOK</v>
      </c>
      <c r="CO944">
        <f>IF($CN944="refOK",$BK944,$BL944)</f>
        <v>82.634271099744197</v>
      </c>
      <c r="CP944">
        <f>IF($CN944="refOK",$BL944,$BK944)</f>
        <v>84.015345268542205</v>
      </c>
      <c r="CQ944">
        <f>IF($CN944="refOK",$BO944,-$BO944)</f>
        <v>2818.5187118326703</v>
      </c>
      <c r="CR944">
        <f>IF($CN944="refOK",$BS944,$BT944)*IF($BP944="Emissions positive",-1,1)</f>
        <v>-87418.696485623019</v>
      </c>
      <c r="CS944">
        <f>IF($CN944="refOK",$BT944,$BS944)*IF($BP944="Emissions positive",-1,1)</f>
        <v>-82406.156549520776</v>
      </c>
      <c r="CT944">
        <f>IF($CN944="refNeedCorrection",-BX944,BX944)*IF($BP944="Emissions positive",-1,1)</f>
        <v>5012.5399361022428</v>
      </c>
      <c r="CU944">
        <f>IFERROR(CT944/CQ944,"")</f>
        <v>1.7784306043662792</v>
      </c>
      <c r="CV944" s="2">
        <f>IFERROR((CS944-CR944)/ABS(CR944),"")</f>
        <v>5.7339449541284469E-2</v>
      </c>
      <c r="CW944" s="1" t="s">
        <v>1199</v>
      </c>
      <c r="CX944" t="str">
        <f>IF(OR($CW944="prd",$CW944="std",$CW944="cit"),"loc",IF(OR($CW944="eur",$CW944="reg",$CW944="coy"),"reg",$CW944))</f>
        <v>reg</v>
      </c>
      <c r="CY944" t="s">
        <v>235</v>
      </c>
      <c r="CZ944">
        <v>2010</v>
      </c>
      <c r="DA944">
        <v>2070</v>
      </c>
      <c r="DB944">
        <f>DA944-CZ944</f>
        <v>60</v>
      </c>
      <c r="DC944" t="str">
        <f>IF(DB944=0,"0",IF(AND(DB944&gt;=1,DB944&lt;=30),"1-30",IF(AND(DB944&gt;30,DB944&lt;=70),"31-70",IF(AND(DB944&gt;70,DB944&lt;=100),"71-100",IF(DB944&gt;100,"+100")))))</f>
        <v>31-70</v>
      </c>
      <c r="DD944">
        <v>1</v>
      </c>
      <c r="DE944">
        <v>1</v>
      </c>
      <c r="DF944">
        <v>1</v>
      </c>
      <c r="DG944">
        <v>1</v>
      </c>
      <c r="DH944">
        <v>0</v>
      </c>
      <c r="DI944">
        <f>SUM(DD944:DG944)</f>
        <v>4</v>
      </c>
      <c r="DJ944" t="str">
        <f>IF(DI944=1,INDEX($DD$7:$DG$7,MATCH(1,$DD944:$DG944,0)),"mixedProduct")</f>
        <v>mixedProduct</v>
      </c>
      <c r="DK944" t="str">
        <f>IF(DD944=1,DK$7,0)</f>
        <v>Upstream</v>
      </c>
      <c r="DL944" t="str">
        <f>IF(DE944=1,DL$7,0)</f>
        <v>Energy</v>
      </c>
      <c r="DM944" t="str">
        <f>IF(DF944=1,DM$7,0)</f>
        <v>Pulp/Paper</v>
      </c>
      <c r="DN944" t="str">
        <f>IF(DG944=1,DN$7,0)</f>
        <v>Timber</v>
      </c>
      <c r="DO944">
        <v>0</v>
      </c>
      <c r="DP944">
        <v>0</v>
      </c>
      <c r="DQ944">
        <v>0</v>
      </c>
      <c r="DR944">
        <v>0</v>
      </c>
      <c r="DS944">
        <v>0</v>
      </c>
      <c r="DT944">
        <f>SUM(DO944:DP944)</f>
        <v>0</v>
      </c>
      <c r="DU944" s="143" t="str">
        <f>IF(DO944=1,"self-calculated DF",IF(DP944=1,"external DF used","explicit C balance"))</f>
        <v>explicit C balance</v>
      </c>
      <c r="DV944">
        <v>1</v>
      </c>
      <c r="DW944">
        <v>1</v>
      </c>
      <c r="DX944">
        <v>1</v>
      </c>
      <c r="DY944">
        <v>0</v>
      </c>
      <c r="DZ944">
        <v>0</v>
      </c>
      <c r="EA944" s="143">
        <v>0</v>
      </c>
      <c r="EB944">
        <v>1</v>
      </c>
      <c r="EC944">
        <v>1</v>
      </c>
      <c r="ED944">
        <v>0</v>
      </c>
      <c r="EE944">
        <v>0</v>
      </c>
      <c r="EF944">
        <v>1</v>
      </c>
      <c r="EG944">
        <v>0</v>
      </c>
      <c r="EH944">
        <v>0</v>
      </c>
      <c r="EI944" s="2">
        <v>0</v>
      </c>
      <c r="EK944" t="str">
        <f>IF(AND(AND(AND(OR($DX944=1,$DW944=1),OR($EC944=1,$EA944=1)),SUM($DV944:$DZ944,$EF944)&gt;=4),SUM($EA944:$EE944)&gt;=2),"Whole sector","")</f>
        <v>Whole sector</v>
      </c>
      <c r="EL944" t="str">
        <f>IF(AND(AND(OR($DX944=1,$DW944=1),AND($EC944=0,$EA944=0)),SUM($DV944:$DZ944,$EF944)&gt;=4),"Ecosystem approach","")</f>
        <v/>
      </c>
      <c r="EM944" s="2" t="str">
        <f>IF(AND(AND(AND($DX944=0,$DW944=0),OR($EC944=1,$EA944=1)),SUM($EB944:$EE944)&gt;=2),"Technology approach","")</f>
        <v/>
      </c>
      <c r="EN944" t="s">
        <v>2508</v>
      </c>
      <c r="EP944" t="str">
        <f>IF(ISNUMBER(BU944),IF(ABS(BU944-[1]QC_indicators!$B$2)&gt;3*[1]QC_indicators!$C$2,"C ratio",IF(ISNUMBER(BY944),IF(ABS(BY944-[1]QC_indicators!$B$1)&gt;3*[1]QC_indicators!$C$1,"DF","no"))),IF(ISNUMBER(BY944),IF(ABS(BY944-[1]QC_indicators!$B$1)&gt;3*[1]QC_indicators!$C$1,"DF","no")))</f>
        <v>no</v>
      </c>
      <c r="ET944" s="264" t="s">
        <v>3257</v>
      </c>
    </row>
    <row r="945" spans="1:150" ht="15" customHeight="1">
      <c r="A945" s="186" t="s">
        <v>1423</v>
      </c>
      <c r="B945" s="185" t="s">
        <v>2116</v>
      </c>
      <c r="C945" s="185" t="s">
        <v>2117</v>
      </c>
      <c r="D945" s="185" t="s">
        <v>2118</v>
      </c>
      <c r="E945" s="185" t="s">
        <v>2119</v>
      </c>
      <c r="F945" s="185" t="s">
        <v>2120</v>
      </c>
      <c r="G945" s="185" t="s">
        <v>1429</v>
      </c>
      <c r="H945" s="185" t="s">
        <v>254</v>
      </c>
      <c r="I945" s="185">
        <v>2014</v>
      </c>
      <c r="J945" s="185">
        <v>45</v>
      </c>
      <c r="K945" s="185" t="s">
        <v>2121</v>
      </c>
      <c r="L945" s="185"/>
      <c r="M945" t="str">
        <f>LEFT($D945,FIND(",",$D945)-1)&amp;"_"&amp;I945&amp;L945</f>
        <v>Pukkala_2014</v>
      </c>
      <c r="N945" t="s">
        <v>222</v>
      </c>
      <c r="O945" s="187" t="s">
        <v>225</v>
      </c>
      <c r="P945" s="185" t="s">
        <v>1154</v>
      </c>
      <c r="Q945" s="185"/>
      <c r="R945" s="262" t="s">
        <v>223</v>
      </c>
      <c r="S945" s="186" t="s">
        <v>2130</v>
      </c>
      <c r="T945" s="185" t="s">
        <v>2123</v>
      </c>
      <c r="U945" s="185" t="s">
        <v>2134</v>
      </c>
      <c r="V945" s="185">
        <v>0</v>
      </c>
      <c r="W945" s="185">
        <v>0</v>
      </c>
      <c r="X945" s="185">
        <v>0</v>
      </c>
      <c r="Y945" s="185">
        <v>1</v>
      </c>
      <c r="Z945" s="185">
        <v>0</v>
      </c>
      <c r="AA945" s="185">
        <v>0</v>
      </c>
      <c r="AB945" s="185">
        <v>0</v>
      </c>
      <c r="AC945" s="185">
        <v>0</v>
      </c>
      <c r="AD945" s="185">
        <v>0</v>
      </c>
      <c r="AE945" s="185">
        <v>0</v>
      </c>
      <c r="AF945" s="185">
        <v>0</v>
      </c>
      <c r="AG945" s="185">
        <v>0</v>
      </c>
      <c r="AH945" s="185">
        <v>0</v>
      </c>
      <c r="AI945" s="185">
        <v>0</v>
      </c>
      <c r="AJ945" s="185">
        <v>0</v>
      </c>
      <c r="AK945" s="185">
        <v>0</v>
      </c>
      <c r="AL945" s="185">
        <v>0</v>
      </c>
      <c r="AM945" s="185">
        <v>0</v>
      </c>
      <c r="AN945" s="185">
        <v>0</v>
      </c>
      <c r="AO945" s="185">
        <v>0</v>
      </c>
      <c r="AP945" s="185">
        <v>0</v>
      </c>
      <c r="AQ945" s="185">
        <v>0</v>
      </c>
      <c r="AR945" s="185">
        <v>0</v>
      </c>
      <c r="AS945" s="185">
        <v>0</v>
      </c>
      <c r="AT945" s="185">
        <v>0</v>
      </c>
      <c r="AU945" s="185">
        <v>0</v>
      </c>
      <c r="AV945" s="185">
        <v>0</v>
      </c>
      <c r="AW945" s="185">
        <v>0</v>
      </c>
      <c r="AX945" s="141">
        <f>COUNTIF(V945:AW945,"&lt;&gt;0")</f>
        <v>1</v>
      </c>
      <c r="AY945" s="141">
        <f>COUNTIF(V945:AL945,"&lt;&gt;0")</f>
        <v>1</v>
      </c>
      <c r="AZ945">
        <f>COUNTIF(V945:AC945,"&lt;&gt;0")</f>
        <v>1</v>
      </c>
      <c r="BA945">
        <f>COUNTIF(AD945:AI945,"&lt;&gt;0")</f>
        <v>0</v>
      </c>
      <c r="BB945">
        <f>COUNTIF(AJ945:AL945,"&lt;&gt;0")</f>
        <v>0</v>
      </c>
      <c r="BC945">
        <f>COUNTIF(AS945:AW945,"&lt;&gt;0")</f>
        <v>0</v>
      </c>
      <c r="BD945">
        <f>COUNTIF(AM945:AR945,"&lt;&gt;0")</f>
        <v>0</v>
      </c>
      <c r="BE945" t="str">
        <f t="array" ref="BE945">IF(AY945=1,INDEX($V$7:$AL$7,MATCH(TRUE,INDEX($V945:$AW945&lt;&gt;0,),0)),IF(AY945=0,INDEX($AM$7:$AW$7,MATCH(1,$AM945:$AW945,0)),IF(BF945="Multiple strategies","mixed drivers",IF(BF945="Supply chain","multiple supply","multiple silviculture"))))</f>
        <v xml:space="preserve">cutting intensity </v>
      </c>
      <c r="BF945" s="2" t="str" cm="1">
        <f t="array" ref="BF945">IF(COUNTIF(AZ945:BB945,"&lt;&gt;0")=1,INDEX($V$4:$AW$4,MATCH(TRUE,INDEX($V945:$AW945&lt;&gt;0,),0)),IF(COUNTIF(AZ945:BB945,"&lt;&gt;0")=0,INDEX($AM$4:$AW$4,MATCH(1,$AM945:$AW945,0)),"Multiple strategies"))</f>
        <v>Silviculture for removals</v>
      </c>
      <c r="BG945" s="186" t="s">
        <v>229</v>
      </c>
      <c r="BH945" s="185" t="s">
        <v>2125</v>
      </c>
      <c r="BI945" s="185" t="s">
        <v>2126</v>
      </c>
      <c r="BJ945" s="185" t="s">
        <v>2127</v>
      </c>
      <c r="BK945" s="185">
        <v>1.004</v>
      </c>
      <c r="BL945" s="185">
        <v>1.0269999999999999</v>
      </c>
      <c r="BM945" s="185">
        <f>IFERROR(BL945/BK945,"")</f>
        <v>1.0229083665338645</v>
      </c>
      <c r="BN945" s="185">
        <f>BL945-BK945</f>
        <v>2.2999999999999909E-2</v>
      </c>
      <c r="BO945" s="185">
        <f>+BN945*tC_to_m3</f>
        <v>9.9869735128093398E-2</v>
      </c>
      <c r="BP945" s="185" t="s">
        <v>232</v>
      </c>
      <c r="BQ945" s="185" t="s">
        <v>2128</v>
      </c>
      <c r="BR945" s="185" t="s">
        <v>2127</v>
      </c>
      <c r="BS945" s="185">
        <v>0.72399999999999998</v>
      </c>
      <c r="BT945" s="185">
        <v>0.77300000000000002</v>
      </c>
      <c r="BU945" s="189">
        <f>BT945/BS945</f>
        <v>1.0676795580110499</v>
      </c>
      <c r="BV945" s="185">
        <f>BT945-BS945</f>
        <v>4.9000000000000044E-2</v>
      </c>
      <c r="BW945" s="185"/>
      <c r="BX945" s="185">
        <f>BV945*C_to_CO2</f>
        <v>0.17983000000000016</v>
      </c>
      <c r="BY945">
        <f>IFERROR(BX945/BO945,"")</f>
        <v>1.8006456086956608</v>
      </c>
      <c r="BZ945" s="185">
        <v>0</v>
      </c>
      <c r="CA945" s="185">
        <v>0</v>
      </c>
      <c r="CB945" s="185">
        <v>0</v>
      </c>
      <c r="CC945" s="185">
        <v>0</v>
      </c>
      <c r="CD945" s="185">
        <v>0</v>
      </c>
      <c r="CE945" s="185">
        <v>0</v>
      </c>
      <c r="CF945" s="185">
        <v>0</v>
      </c>
      <c r="CG945" s="185">
        <v>0</v>
      </c>
      <c r="CH945" s="185">
        <v>0</v>
      </c>
      <c r="CI945" s="185">
        <v>0</v>
      </c>
      <c r="CJ945" s="185">
        <v>0</v>
      </c>
      <c r="CK945" s="185">
        <v>0</v>
      </c>
      <c r="CL945" s="185">
        <v>0</v>
      </c>
      <c r="CM945" s="185">
        <v>1</v>
      </c>
      <c r="CN945" s="185" t="str">
        <f>IF($BL945&lt;$BK945,"refNeedCorrection","refOK")</f>
        <v>refOK</v>
      </c>
      <c r="CO945" s="185">
        <f>IF($CN945="refOK",$BK945,$BL945)</f>
        <v>1.004</v>
      </c>
      <c r="CP945" s="185">
        <f>IF($CN945="refOK",$BL945,$BK945)</f>
        <v>1.0269999999999999</v>
      </c>
      <c r="CQ945" s="185">
        <f>IF($CN945="refOK",$BO945,-$BO945)</f>
        <v>9.9869735128093398E-2</v>
      </c>
      <c r="CR945" s="185">
        <f>IF($CN945="refOK",$BS945,$BT945)*IF($BP945="Emissions positive",-1,1)</f>
        <v>0.72399999999999998</v>
      </c>
      <c r="CS945" s="185">
        <f>IF($CN945="refOK",$BT945,$BS945)*IF($BP945="Emissions positive",-1,1)</f>
        <v>0.77300000000000002</v>
      </c>
      <c r="CT945" s="185">
        <f>IF($CN945="refNeedCorrection",-BX945,BX945)*IF($BP945="Emissions positive",-1,1)</f>
        <v>0.17983000000000016</v>
      </c>
      <c r="CU945">
        <f>IFERROR(CT945/CQ945,"")</f>
        <v>1.8006456086956608</v>
      </c>
      <c r="CV945" s="188">
        <f>IFERROR((CS945-CR945)/ABS(CR945),"")</f>
        <v>6.7679558011049787E-2</v>
      </c>
      <c r="CW945" s="186" t="s">
        <v>2036</v>
      </c>
      <c r="CX945" t="str">
        <f>IF(OR($CW945="prd",$CW945="std",$CW945="cit"),"loc",IF(OR($CW945="eur",$CW945="reg",$CW945="coy"),"reg",$CW945))</f>
        <v>reg</v>
      </c>
      <c r="CY945" s="185" t="s">
        <v>235</v>
      </c>
      <c r="CZ945" s="185"/>
      <c r="DA945" s="185"/>
      <c r="DB945" s="185">
        <v>30</v>
      </c>
      <c r="DC945" t="str">
        <f>IF(DB945=0,"0",IF(AND(DB945&gt;=1,DB945&lt;=30),"1-30",IF(AND(DB945&gt;30,DB945&lt;=70),"31-70",IF(AND(DB945&gt;70,DB945&lt;=100),"71-100",IF(DB945&gt;100,"+100")))))</f>
        <v>1-30</v>
      </c>
      <c r="DD945">
        <v>1</v>
      </c>
      <c r="DE945">
        <v>1</v>
      </c>
      <c r="DF945">
        <v>1</v>
      </c>
      <c r="DG945">
        <v>1</v>
      </c>
      <c r="DH945" s="185">
        <v>0</v>
      </c>
      <c r="DI945">
        <f>SUM(DD945:DG945)</f>
        <v>4</v>
      </c>
      <c r="DJ945" t="str">
        <f>IF(DI945=1,INDEX($DD$7:$DG$7,MATCH(1,$DD945:$DG945,0)),"mixedProduct")</f>
        <v>mixedProduct</v>
      </c>
      <c r="DK945" t="str">
        <f>IF(DD945=1,DK$7,0)</f>
        <v>Upstream</v>
      </c>
      <c r="DL945" t="str">
        <f>IF(DE945=1,DL$7,0)</f>
        <v>Energy</v>
      </c>
      <c r="DM945" t="str">
        <f>IF(DF945=1,DM$7,0)</f>
        <v>Pulp/Paper</v>
      </c>
      <c r="DN945" t="str">
        <f>IF(DG945=1,DN$7,0)</f>
        <v>Timber</v>
      </c>
      <c r="DO945" s="185">
        <v>0</v>
      </c>
      <c r="DP945" s="185">
        <v>1</v>
      </c>
      <c r="DQ945" s="190" t="s">
        <v>2129</v>
      </c>
      <c r="DR945" s="190" t="s">
        <v>2129</v>
      </c>
      <c r="DS945" s="190">
        <v>0</v>
      </c>
      <c r="DT945" s="185"/>
      <c r="DU945" s="191" t="str">
        <f>IF(DO945=1,"self-calculated DF",IF(DP945=1,"external DF used","explicit C balance"))</f>
        <v>external DF used</v>
      </c>
      <c r="DV945" s="185">
        <v>1</v>
      </c>
      <c r="DW945" s="185">
        <v>1</v>
      </c>
      <c r="DX945" s="185">
        <v>1</v>
      </c>
      <c r="DY945" s="185">
        <v>1</v>
      </c>
      <c r="DZ945" s="185">
        <v>1</v>
      </c>
      <c r="EA945" s="185">
        <v>1</v>
      </c>
      <c r="EB945" s="185">
        <v>1</v>
      </c>
      <c r="EC945" s="185">
        <v>1</v>
      </c>
      <c r="ED945" s="185">
        <v>0</v>
      </c>
      <c r="EE945" s="185">
        <v>0</v>
      </c>
      <c r="EF945" s="185">
        <v>1</v>
      </c>
      <c r="EG945" s="185">
        <v>0</v>
      </c>
      <c r="EH945" s="185">
        <v>0</v>
      </c>
      <c r="EI945" s="188">
        <v>0</v>
      </c>
      <c r="EK945" t="str">
        <f>IF(AND(AND(AND(OR($DX945=1,$DW945=1),OR($EC945=1,$EA945=1)),SUM($DV945:$DZ945,$EF945)&gt;=4),SUM($EA945:$EE945)&gt;=2),"Whole sector","")</f>
        <v>Whole sector</v>
      </c>
      <c r="EL945" t="str">
        <f>IF(AND(AND(OR($DX945=1,$DW945=1),AND($EC945=0,$EA945=0)),SUM($DV945:$DZ945,$EF945)&gt;=4),"Ecosystem approach","")</f>
        <v/>
      </c>
      <c r="EM945" s="2" t="str">
        <f>IF(AND(AND(AND($DX945=0,$DW945=0),OR($EC945=1,$EA945=1)),SUM($EB945:$EE945)&gt;=2),"Technology approach","")</f>
        <v/>
      </c>
      <c r="EN945" s="185"/>
      <c r="EO945" s="185"/>
      <c r="EP945" t="str">
        <f>IF(ISNUMBER(BU945),IF(ABS(BU945-[1]QC_indicators!$B$2)&gt;3*[1]QC_indicators!$C$2,"C ratio",IF(ISNUMBER(BY945),IF(ABS(BY945-[1]QC_indicators!$B$1)&gt;3*[1]QC_indicators!$C$1,"DF","no"))),IF(ISNUMBER(BY945),IF(ABS(BY945-[1]QC_indicators!$B$1)&gt;3*[1]QC_indicators!$C$1,"DF","no")))</f>
        <v>no</v>
      </c>
      <c r="EQ945" s="185"/>
      <c r="ER945" s="185"/>
      <c r="ES945" s="185"/>
      <c r="ET945" s="264" t="s">
        <v>3223</v>
      </c>
    </row>
    <row r="946" spans="1:150" ht="15" customHeight="1">
      <c r="A946" s="1" t="s">
        <v>656</v>
      </c>
      <c r="B946" t="s">
        <v>1905</v>
      </c>
      <c r="C946" t="s">
        <v>1906</v>
      </c>
      <c r="D946" t="s">
        <v>1907</v>
      </c>
      <c r="E946" t="s">
        <v>1908</v>
      </c>
      <c r="F946" t="s">
        <v>1909</v>
      </c>
      <c r="G946" t="s">
        <v>662</v>
      </c>
      <c r="H946" t="s">
        <v>254</v>
      </c>
      <c r="I946">
        <v>2016</v>
      </c>
      <c r="J946">
        <v>41</v>
      </c>
      <c r="K946" t="s">
        <v>1910</v>
      </c>
      <c r="M946" t="str">
        <f>LEFT($D946,FIND(",",$D946)-1)&amp;"_"&amp;I946&amp;L946</f>
        <v>Liu_2016</v>
      </c>
      <c r="N946" t="s">
        <v>222</v>
      </c>
      <c r="O946" s="145" t="s">
        <v>225</v>
      </c>
      <c r="Q946" s="264" t="s">
        <v>256</v>
      </c>
      <c r="R946" s="269" t="s">
        <v>1154</v>
      </c>
      <c r="S946" s="1" t="s">
        <v>1917</v>
      </c>
      <c r="T946" s="143" t="s">
        <v>1920</v>
      </c>
      <c r="U946" s="143" t="s">
        <v>1921</v>
      </c>
      <c r="V946">
        <v>0</v>
      </c>
      <c r="W946">
        <v>0</v>
      </c>
      <c r="X946">
        <v>0</v>
      </c>
      <c r="Y946">
        <v>0</v>
      </c>
      <c r="Z946">
        <v>0</v>
      </c>
      <c r="AA946">
        <v>0</v>
      </c>
      <c r="AB946">
        <v>0</v>
      </c>
      <c r="AC946">
        <v>0</v>
      </c>
      <c r="AD946">
        <v>0</v>
      </c>
      <c r="AE946">
        <v>0</v>
      </c>
      <c r="AF946">
        <v>0</v>
      </c>
      <c r="AG946">
        <v>0</v>
      </c>
      <c r="AH946">
        <v>0</v>
      </c>
      <c r="AI946">
        <v>0</v>
      </c>
      <c r="AJ946">
        <v>0</v>
      </c>
      <c r="AK946">
        <v>1</v>
      </c>
      <c r="AL946">
        <v>0</v>
      </c>
      <c r="AM946">
        <v>0</v>
      </c>
      <c r="AN946">
        <v>0</v>
      </c>
      <c r="AO946">
        <v>0</v>
      </c>
      <c r="AP946">
        <v>0</v>
      </c>
      <c r="AQ946">
        <v>0</v>
      </c>
      <c r="AR946">
        <v>0</v>
      </c>
      <c r="AS946">
        <v>0</v>
      </c>
      <c r="AT946">
        <v>0</v>
      </c>
      <c r="AU946">
        <v>0</v>
      </c>
      <c r="AV946">
        <v>0</v>
      </c>
      <c r="AW946">
        <v>0</v>
      </c>
      <c r="AX946" s="141">
        <f>COUNTIF(V946:AW946,"&lt;&gt;0")</f>
        <v>1</v>
      </c>
      <c r="AY946" s="141">
        <f>COUNTIF(V946:AL946,"&lt;&gt;0")</f>
        <v>1</v>
      </c>
      <c r="AZ946">
        <f>COUNTIF(V946:AC946,"&lt;&gt;0")</f>
        <v>0</v>
      </c>
      <c r="BA946">
        <f>COUNTIF(AD946:AI946,"&lt;&gt;0")</f>
        <v>0</v>
      </c>
      <c r="BB946">
        <f>COUNTIF(AJ946:AL946,"&lt;&gt;0")</f>
        <v>1</v>
      </c>
      <c r="BC946">
        <f>COUNTIF(AS946:AW946,"&lt;&gt;0")</f>
        <v>0</v>
      </c>
      <c r="BD946">
        <f>COUNTIF(AM946:AR946,"&lt;&gt;0")</f>
        <v>0</v>
      </c>
      <c r="BE946" t="str" cm="1">
        <f t="array" ref="BE946">IF(AY946=1,INDEX($V$7:$AL$7,MATCH(TRUE,INDEX($V946:$AW946&lt;&gt;0,),0)),IF(AY946=0,INDEX($AM$7:$AW$7,MATCH(1,$AM946:$AW946,0)),IF(BF946="Multiple strategies","mixed drivers",IF(BF946="Supply chain","multiple supply","multiple silviculture"))))</f>
        <v>technologies/design switch</v>
      </c>
      <c r="BF946" s="2" t="str" cm="1">
        <f t="array" ref="BF946">IF(COUNTIF(AZ946:BB946,"&lt;&gt;0")=1,INDEX($V$4:$AW$4,MATCH(TRUE,INDEX($V946:$AW946&lt;&gt;0,),0)),IF(COUNTIF(AZ946:BB946,"&lt;&gt;0")=0,INDEX($AM$4:$AW$4,MATCH(1,$AM946:$AW946,0)),"Multiple strategies"))</f>
        <v>Technology</v>
      </c>
      <c r="BG946" s="142" t="s">
        <v>229</v>
      </c>
      <c r="BH946" t="s">
        <v>1912</v>
      </c>
      <c r="BJ946" s="143" t="s">
        <v>1913</v>
      </c>
      <c r="BK946">
        <v>0</v>
      </c>
      <c r="BL946" s="143">
        <v>606</v>
      </c>
      <c r="BM946" s="163"/>
      <c r="BN946">
        <f>BL946-BK946</f>
        <v>606</v>
      </c>
      <c r="BO946" s="143">
        <f>BN946*t_to_m3</f>
        <v>1236.7346938775511</v>
      </c>
      <c r="BP946" s="264" t="s">
        <v>232</v>
      </c>
      <c r="BQ946" s="264"/>
      <c r="BR946" t="s">
        <v>1914</v>
      </c>
      <c r="BS946" s="143">
        <v>-5229</v>
      </c>
      <c r="BT946">
        <v>-2970</v>
      </c>
      <c r="BU946" s="144">
        <v>0.56798623063683307</v>
      </c>
      <c r="BV946">
        <f>BT946-BS946</f>
        <v>2259</v>
      </c>
      <c r="BX946">
        <f>BV946</f>
        <v>2259</v>
      </c>
      <c r="BY946">
        <f>IFERROR(BX946/BO946,"")</f>
        <v>1.8265841584158415</v>
      </c>
      <c r="BZ946">
        <v>0</v>
      </c>
      <c r="CA946">
        <v>0</v>
      </c>
      <c r="CB946">
        <v>0</v>
      </c>
      <c r="CC946">
        <v>0</v>
      </c>
      <c r="CD946">
        <v>0</v>
      </c>
      <c r="CE946">
        <v>0</v>
      </c>
      <c r="CF946">
        <v>0</v>
      </c>
      <c r="CG946">
        <v>0</v>
      </c>
      <c r="CH946">
        <v>0</v>
      </c>
      <c r="CI946">
        <v>0</v>
      </c>
      <c r="CJ946">
        <v>0</v>
      </c>
      <c r="CK946">
        <v>0</v>
      </c>
      <c r="CL946">
        <v>0</v>
      </c>
      <c r="CM946">
        <v>0</v>
      </c>
      <c r="CN946" t="str">
        <f>IF($BL946&lt;$BK946,"refNeedCorrection","refOK")</f>
        <v>refOK</v>
      </c>
      <c r="CO946">
        <f>IF($CN946="refNeedCorrection",BL946,BK946)</f>
        <v>0</v>
      </c>
      <c r="CP946">
        <f>IF($CN946="refNeedCorrection",BK946,BL946)</f>
        <v>606</v>
      </c>
      <c r="CQ946">
        <f>IF($CN946="refOK",$BO946,-$BO946)</f>
        <v>1236.7346938775511</v>
      </c>
      <c r="CR946">
        <f>IF($CN946="refOK",$BS946,$BT946)*IF($BP946="Emissions positive",-1,1)</f>
        <v>-5229</v>
      </c>
      <c r="CS946">
        <f>IF($CN946="refOK",$BT946,$BS946)*IF($BP946="Emissions positive",-1,1)</f>
        <v>-2970</v>
      </c>
      <c r="CT946">
        <f>IF($CN946="refNeedCorrection",-BX946,BX946)*IF($BP946="Emissions positive",-1,1)</f>
        <v>2259</v>
      </c>
      <c r="CU946">
        <f>IFERROR(CT946/CQ946,"")</f>
        <v>1.8265841584158415</v>
      </c>
      <c r="CV946" s="2">
        <f>IFERROR((CS946-CR946)/ABS(CR946),"")</f>
        <v>0.43201376936316693</v>
      </c>
      <c r="CW946" s="1" t="s">
        <v>1199</v>
      </c>
      <c r="CX946" s="264" t="str">
        <f>IF(OR($CW946="prd",$CW946="std",$CW946="cit"),"loc",IF(OR($CW946="eur",$CW946="reg",$CW946="coy"),"reg",$CW946))</f>
        <v>reg</v>
      </c>
      <c r="CY946" t="s">
        <v>690</v>
      </c>
      <c r="DA946" s="143"/>
      <c r="DB946" s="143">
        <v>50</v>
      </c>
      <c r="DC946" t="str">
        <f>IF(DB946=0,"0",IF(AND(DB946&gt;=1,DB946&lt;=30),"1-30",IF(AND(DB946&gt;30,DB946&lt;=70),"31-70",IF(AND(DB946&gt;70,DB946&lt;=100),"71-100",IF(DB946&gt;100,"+100")))))</f>
        <v>31-70</v>
      </c>
      <c r="DD946">
        <v>0</v>
      </c>
      <c r="DE946">
        <v>0</v>
      </c>
      <c r="DF946">
        <v>0</v>
      </c>
      <c r="DG946">
        <v>1</v>
      </c>
      <c r="DI946">
        <f>SUM(DD946:DG946)</f>
        <v>1</v>
      </c>
      <c r="DJ946" t="str">
        <f>IF(DI946=1,INDEX($DD$7:$DG$7,MATCH(1,$DD946:$DG946,0)),"mixedProduct")</f>
        <v>TimberInput</v>
      </c>
      <c r="DK946">
        <f>IF(DD946=1,DK$7,0)</f>
        <v>0</v>
      </c>
      <c r="DL946">
        <f>IF(DE946=1,DL$7,0)</f>
        <v>0</v>
      </c>
      <c r="DM946">
        <f>IF(DF946=1,DM$7,0)</f>
        <v>0</v>
      </c>
      <c r="DN946" t="str">
        <f>IF(DG946=1,DN$7,0)</f>
        <v>Timber</v>
      </c>
      <c r="DO946">
        <v>0</v>
      </c>
      <c r="DP946" s="143">
        <v>0</v>
      </c>
      <c r="DQ946" s="143">
        <v>0</v>
      </c>
      <c r="DR946">
        <v>0</v>
      </c>
      <c r="DS946" s="143">
        <v>0</v>
      </c>
      <c r="DT946">
        <f>SUM(DO946:DP946)</f>
        <v>0</v>
      </c>
      <c r="DU946" s="143" t="str">
        <f>IF(DO946=1,"self-calculated DF",IF(DP946=1,"external DF used","explicit C balance"))</f>
        <v>explicit C balance</v>
      </c>
      <c r="DV946" s="143">
        <v>0</v>
      </c>
      <c r="DW946" s="143">
        <v>0</v>
      </c>
      <c r="DX946" s="143">
        <v>0</v>
      </c>
      <c r="DY946" s="143">
        <v>1</v>
      </c>
      <c r="DZ946">
        <v>0</v>
      </c>
      <c r="EA946" s="143">
        <v>0</v>
      </c>
      <c r="EB946" s="143">
        <v>1</v>
      </c>
      <c r="EC946" s="143">
        <v>1</v>
      </c>
      <c r="ED946" s="143">
        <v>1</v>
      </c>
      <c r="EE946">
        <v>1</v>
      </c>
      <c r="EF946">
        <v>0</v>
      </c>
      <c r="EG946" s="143">
        <v>0</v>
      </c>
      <c r="EH946">
        <v>0</v>
      </c>
      <c r="EI946" s="2">
        <v>0</v>
      </c>
      <c r="EK946" t="str">
        <f>IF(AND(AND(AND(OR($DX946=1,$DW946=1),OR($EC946=1,$EA946=1)),SUM($DV946:$DZ946,$EF946)&gt;=4),SUM($EA946:$EE946)&gt;=2),"Whole sector","")</f>
        <v/>
      </c>
      <c r="EL946" t="str">
        <f>IF(AND(AND(OR($DX946=1,$DW946=1),AND($EC946=0,$EA946=0)),SUM($DV946:$DZ946,$EF946)&gt;=4),"Ecosystem approach","")</f>
        <v/>
      </c>
      <c r="EM946" s="2" t="str">
        <f>IF(AND(AND(AND($DX946=0,$DW946=0),OR($EC946=1,$EA946=1)),SUM($EB946:$EE946)&gt;=2),"Technology approach","")</f>
        <v>Technology approach</v>
      </c>
      <c r="EN946" t="s">
        <v>1915</v>
      </c>
      <c r="EP946" t="str">
        <f>IF(ISNUMBER(BU946),IF(ABS(BU946-[3]QC_indicators!$B$2)&gt;3*[3]QC_indicators!$C$2,"C ratio",IF(ISNUMBER(BY946),IF(ABS(BY946-[3]QC_indicators!$B$1)&gt;3*[3]QC_indicators!$C$1,"DF","no"))),IF(ISNUMBER(BY946),IF(ABS(BY946-[3]QC_indicators!$B$1)&gt;3*[3]QC_indicators!$C$1,"DF","no")))</f>
        <v>no</v>
      </c>
      <c r="EQ946" t="s">
        <v>1164</v>
      </c>
      <c r="ER946" s="264" t="s">
        <v>1916</v>
      </c>
      <c r="ET946" s="264" t="s">
        <v>3407</v>
      </c>
    </row>
    <row r="947" spans="1:150" ht="15" customHeight="1">
      <c r="A947" s="1" t="s">
        <v>545</v>
      </c>
      <c r="B947" t="s">
        <v>546</v>
      </c>
      <c r="C947" t="s">
        <v>547</v>
      </c>
      <c r="D947" t="s">
        <v>548</v>
      </c>
      <c r="E947" t="s">
        <v>549</v>
      </c>
      <c r="F947" t="s">
        <v>550</v>
      </c>
      <c r="G947" t="s">
        <v>551</v>
      </c>
      <c r="H947" t="s">
        <v>254</v>
      </c>
      <c r="I947">
        <v>2017</v>
      </c>
      <c r="J947">
        <v>3</v>
      </c>
      <c r="K947" t="s">
        <v>552</v>
      </c>
      <c r="M947" t="str">
        <f>LEFT($D947,FIND(",",$D947)-1)&amp;"_"&amp;I947&amp;L947</f>
        <v>Crafford_2017</v>
      </c>
      <c r="N947" t="s">
        <v>222</v>
      </c>
      <c r="O947" s="145" t="s">
        <v>223</v>
      </c>
      <c r="Q947" t="s">
        <v>256</v>
      </c>
      <c r="R947" s="255" t="s">
        <v>225</v>
      </c>
      <c r="S947" s="1" t="s">
        <v>561</v>
      </c>
      <c r="T947" t="s">
        <v>560</v>
      </c>
      <c r="U947" t="s">
        <v>554</v>
      </c>
      <c r="V947">
        <v>0</v>
      </c>
      <c r="W947">
        <v>0</v>
      </c>
      <c r="X947">
        <v>0</v>
      </c>
      <c r="Y947">
        <v>0</v>
      </c>
      <c r="Z947">
        <v>0</v>
      </c>
      <c r="AA947">
        <v>0</v>
      </c>
      <c r="AB947">
        <v>0</v>
      </c>
      <c r="AC947">
        <v>0</v>
      </c>
      <c r="AD947">
        <v>0</v>
      </c>
      <c r="AE947">
        <v>0</v>
      </c>
      <c r="AF947">
        <v>0</v>
      </c>
      <c r="AG947">
        <v>0</v>
      </c>
      <c r="AH947">
        <v>0</v>
      </c>
      <c r="AI947">
        <v>0</v>
      </c>
      <c r="AJ947">
        <v>0</v>
      </c>
      <c r="AK947">
        <v>1</v>
      </c>
      <c r="AL947">
        <v>0</v>
      </c>
      <c r="AM947">
        <v>0</v>
      </c>
      <c r="AN947">
        <v>0</v>
      </c>
      <c r="AO947">
        <v>0</v>
      </c>
      <c r="AP947">
        <v>0</v>
      </c>
      <c r="AQ947">
        <v>0</v>
      </c>
      <c r="AR947">
        <v>0</v>
      </c>
      <c r="AS947">
        <v>0</v>
      </c>
      <c r="AT947">
        <v>0</v>
      </c>
      <c r="AU947">
        <v>0</v>
      </c>
      <c r="AV947">
        <v>0</v>
      </c>
      <c r="AW947">
        <v>0</v>
      </c>
      <c r="AX947" s="141">
        <f>COUNTIF(V947:AW947,"&lt;&gt;0")</f>
        <v>1</v>
      </c>
      <c r="AY947" s="141">
        <f>COUNTIF(V947:AL947,"&lt;&gt;0")</f>
        <v>1</v>
      </c>
      <c r="AZ947">
        <f>COUNTIF(V947:AC947,"&lt;&gt;0")</f>
        <v>0</v>
      </c>
      <c r="BA947">
        <f>COUNTIF(AD947:AI947,"&lt;&gt;0")</f>
        <v>0</v>
      </c>
      <c r="BB947">
        <f>COUNTIF(AJ947:AL947,"&lt;&gt;0")</f>
        <v>1</v>
      </c>
      <c r="BC947">
        <f>COUNTIF(AS947:AW947,"&lt;&gt;0")</f>
        <v>0</v>
      </c>
      <c r="BD947">
        <f>COUNTIF(AM947:AR947,"&lt;&gt;0")</f>
        <v>0</v>
      </c>
      <c r="BE947" t="str">
        <f t="array" ref="BE947">IF(AY947=1,INDEX($V$7:$AL$7,MATCH(TRUE,INDEX($V947:$AW947&lt;&gt;0,),0)),IF(AY947=0,INDEX($AM$7:$AW$7,MATCH(1,$AM947:$AW947,0)),IF(BF947="Multiple strategies","mixed drivers",IF(BF947="Supply chain","multiple supply","multiple silviculture"))))</f>
        <v>technologies/design switch</v>
      </c>
      <c r="BF947" s="2" t="str" cm="1">
        <f t="array" ref="BF947">IF(COUNTIF(AZ947:BB947,"&lt;&gt;0")=1,INDEX($V$4:$AW$4,MATCH(TRUE,INDEX($V947:$AW947&lt;&gt;0,),0)),IF(COUNTIF(AZ947:BB947,"&lt;&gt;0")=0,INDEX($AM$4:$AW$4,MATCH(1,$AM947:$AW947,0)),"Multiple strategies"))</f>
        <v>Technology</v>
      </c>
      <c r="BG947" s="1" t="s">
        <v>229</v>
      </c>
      <c r="BH947" t="s">
        <v>556</v>
      </c>
      <c r="BI947" t="s">
        <v>424</v>
      </c>
      <c r="BJ947" t="s">
        <v>498</v>
      </c>
      <c r="BK947">
        <v>0</v>
      </c>
      <c r="BL947">
        <v>6.05</v>
      </c>
      <c r="BN947">
        <f>BL947-BK947</f>
        <v>6.05</v>
      </c>
      <c r="BO947">
        <f>BN947</f>
        <v>6.05</v>
      </c>
      <c r="BP947" t="s">
        <v>232</v>
      </c>
      <c r="BQ947" s="260" t="s">
        <v>3299</v>
      </c>
      <c r="BR947" t="s">
        <v>397</v>
      </c>
      <c r="BS947">
        <v>-6445</v>
      </c>
      <c r="BT947">
        <v>5100</v>
      </c>
      <c r="BU947" s="144">
        <v>-0.79131109387121801</v>
      </c>
      <c r="BV947">
        <v>11545</v>
      </c>
      <c r="BX947">
        <f>BV947/1000</f>
        <v>11.545</v>
      </c>
      <c r="BY947">
        <f>IFERROR(BX947/BO947,"")</f>
        <v>1.9082644628099175</v>
      </c>
      <c r="BZ947">
        <v>1</v>
      </c>
      <c r="CA947">
        <v>0</v>
      </c>
      <c r="CB947">
        <v>0</v>
      </c>
      <c r="CC947">
        <v>0</v>
      </c>
      <c r="CD947">
        <v>0</v>
      </c>
      <c r="CE947">
        <v>0</v>
      </c>
      <c r="CF947">
        <v>0</v>
      </c>
      <c r="CG947">
        <v>0</v>
      </c>
      <c r="CH947">
        <v>0</v>
      </c>
      <c r="CI947">
        <v>0</v>
      </c>
      <c r="CJ947">
        <v>0</v>
      </c>
      <c r="CK947">
        <v>0</v>
      </c>
      <c r="CL947">
        <v>0</v>
      </c>
      <c r="CM947">
        <v>0</v>
      </c>
      <c r="CN947" t="str">
        <f>IF($BL947&lt;$BK947,"refNeedCorrection","refOK")</f>
        <v>refOK</v>
      </c>
      <c r="CO947">
        <f>IF($CN947="refOK",$BK947,$BL947)</f>
        <v>0</v>
      </c>
      <c r="CP947">
        <f>IF($CN947="refOK",$BL947,$BK947)</f>
        <v>6.05</v>
      </c>
      <c r="CQ947">
        <f>IF($CN947="refOK",$BO947,-$BO947)</f>
        <v>6.05</v>
      </c>
      <c r="CR947">
        <f>IF($CN947="refOK",$BS947,$BT947)*IF($BP947="Emissions positive",-1,1)</f>
        <v>-6445</v>
      </c>
      <c r="CS947">
        <f>IF($CN947="refOK",$BT947,$BS947)*IF($BP947="Emissions positive",-1,1)</f>
        <v>5100</v>
      </c>
      <c r="CT947">
        <f>IF($CN947="refNeedCorrection",-BX947,BX947)*IF($BP947="Emissions positive",-1,1)</f>
        <v>11.545</v>
      </c>
      <c r="CU947">
        <f>IFERROR(CT947/CQ947,"")</f>
        <v>1.9082644628099175</v>
      </c>
      <c r="CV947" s="2">
        <f>IFERROR((CS947-CR947)/ABS(CR947),"")</f>
        <v>1.791311093871218</v>
      </c>
      <c r="CW947" s="1" t="s">
        <v>263</v>
      </c>
      <c r="CX947" t="str">
        <f>IF(OR($CW947="prd",$CW947="std",$CW947="cit"),"loc",IF(OR($CW947="eur",$CW947="reg",$CW947="coy"),"reg",$CW947))</f>
        <v>loc</v>
      </c>
      <c r="CY947" t="s">
        <v>557</v>
      </c>
      <c r="DB947">
        <v>0</v>
      </c>
      <c r="DC947" t="str">
        <f>IF(DB947=0,"0",IF(AND(DB947&gt;=1,DB947&lt;=30),"1-30",IF(AND(DB947&gt;30,DB947&lt;=70),"31-70",IF(AND(DB947&gt;70,DB947&lt;=100),"71-100",IF(DB947&gt;100,"+100")))))</f>
        <v>0</v>
      </c>
      <c r="DD947">
        <v>0</v>
      </c>
      <c r="DE947">
        <v>0</v>
      </c>
      <c r="DF947">
        <v>0</v>
      </c>
      <c r="DG947">
        <v>1</v>
      </c>
      <c r="DI947">
        <f>SUM(DD947:DG947)</f>
        <v>1</v>
      </c>
      <c r="DJ947" t="str">
        <f>IF(DI947=1,INDEX($DD$7:$DG$7,MATCH(1,$DD947:$DG947,0)),"mixedProduct")</f>
        <v>TimberInput</v>
      </c>
      <c r="DK947">
        <f>IF(DD947=1,DK$7,0)</f>
        <v>0</v>
      </c>
      <c r="DL947">
        <f>IF(DE947=1,DL$7,0)</f>
        <v>0</v>
      </c>
      <c r="DM947">
        <f>IF(DF947=1,DM$7,0)</f>
        <v>0</v>
      </c>
      <c r="DN947" t="str">
        <f>IF(DG947=1,DN$7,0)</f>
        <v>Timber</v>
      </c>
      <c r="DO947">
        <v>0</v>
      </c>
      <c r="DP947">
        <v>0</v>
      </c>
      <c r="DQ947">
        <v>0</v>
      </c>
      <c r="DR947">
        <v>0</v>
      </c>
      <c r="DS947">
        <v>0</v>
      </c>
      <c r="DT947">
        <f>SUM(DO947:DP947)</f>
        <v>0</v>
      </c>
      <c r="DU947" s="143" t="str">
        <f>IF(DO947=1,"self-calculated DF",IF(DP947=1,"external DF used","explicit C balance"))</f>
        <v>explicit C balance</v>
      </c>
      <c r="DV947">
        <v>0</v>
      </c>
      <c r="DW947">
        <v>0</v>
      </c>
      <c r="DX947">
        <v>0</v>
      </c>
      <c r="DY947">
        <v>1</v>
      </c>
      <c r="DZ947">
        <v>0</v>
      </c>
      <c r="EA947" s="143">
        <v>0</v>
      </c>
      <c r="EB947">
        <v>0</v>
      </c>
      <c r="EC947">
        <v>1</v>
      </c>
      <c r="ED947">
        <v>0</v>
      </c>
      <c r="EE947">
        <v>1</v>
      </c>
      <c r="EF947">
        <v>0</v>
      </c>
      <c r="EG947">
        <v>0</v>
      </c>
      <c r="EH947">
        <v>0</v>
      </c>
      <c r="EI947" s="2">
        <v>0</v>
      </c>
      <c r="EK947" t="str">
        <f>IF(AND(AND(AND(OR($DX947=1,$DW947=1),OR($EC947=1,$EA947=1)),SUM($DV947:$DZ947,$EF947)&gt;=4),SUM($EA947:$EE947)&gt;=2),"Whole sector","")</f>
        <v/>
      </c>
      <c r="EL947" t="str">
        <f>IF(AND(AND(OR($DX947=1,$DW947=1),AND($EC947=0,$EA947=0)),SUM($DV947:$DZ947,$EF947)&gt;=4),"Ecosystem approach","")</f>
        <v/>
      </c>
      <c r="EM947" s="2" t="str">
        <f>IF(AND(AND(AND($DX947=0,$DW947=0),OR($EC947=1,$EA947=1)),SUM($EB947:$EE947)&gt;=2),"Technology approach","")</f>
        <v>Technology approach</v>
      </c>
      <c r="EP947" t="str">
        <f>IF(ISNUMBER(BU947),IF(ABS(BU947-[4]QC_indicators!$B$2)&gt;3*[4]QC_indicators!$C$2,"C ratio",IF(ISNUMBER(BY947),IF(ABS(BY947-[4]QC_indicators!$B$1)&gt;3*[4]QC_indicators!$C$1,"DF","no"))),IF(ISNUMBER(BY947),IF(ABS(BY947-[4]QC_indicators!$B$1)&gt;3*[4]QC_indicators!$C$1,"DF","no")))</f>
        <v>no</v>
      </c>
      <c r="ER947" s="149" t="s">
        <v>349</v>
      </c>
      <c r="ET947" s="264" t="s">
        <v>3273</v>
      </c>
    </row>
    <row r="948" spans="1:150" ht="15" customHeight="1">
      <c r="A948" s="1" t="s">
        <v>562</v>
      </c>
      <c r="B948" t="s">
        <v>544</v>
      </c>
      <c r="C948" t="s">
        <v>1593</v>
      </c>
      <c r="D948" t="s">
        <v>1594</v>
      </c>
      <c r="E948" t="s">
        <v>1595</v>
      </c>
      <c r="F948" t="s">
        <v>1596</v>
      </c>
      <c r="G948" t="s">
        <v>567</v>
      </c>
      <c r="H948" t="s">
        <v>254</v>
      </c>
      <c r="I948">
        <v>2019</v>
      </c>
      <c r="J948">
        <v>15</v>
      </c>
      <c r="K948" t="s">
        <v>1597</v>
      </c>
      <c r="M948" t="str">
        <f>LEFT($D948,FIND(",",$D948)-1)&amp;"_"&amp;I948&amp;L948</f>
        <v>Geng_2019</v>
      </c>
      <c r="N948" t="s">
        <v>222</v>
      </c>
      <c r="O948" s="181" t="s">
        <v>225</v>
      </c>
      <c r="Q948" s="264" t="s">
        <v>256</v>
      </c>
      <c r="R948" s="269" t="s">
        <v>1154</v>
      </c>
      <c r="S948" s="1" t="s">
        <v>1598</v>
      </c>
      <c r="T948" t="s">
        <v>1612</v>
      </c>
      <c r="V948">
        <v>0</v>
      </c>
      <c r="W948">
        <v>0</v>
      </c>
      <c r="X948">
        <v>0</v>
      </c>
      <c r="Y948">
        <v>0</v>
      </c>
      <c r="Z948">
        <v>0</v>
      </c>
      <c r="AA948">
        <v>0</v>
      </c>
      <c r="AB948">
        <v>0</v>
      </c>
      <c r="AC948">
        <v>0</v>
      </c>
      <c r="AD948">
        <v>0</v>
      </c>
      <c r="AE948">
        <v>0</v>
      </c>
      <c r="AF948">
        <v>0</v>
      </c>
      <c r="AG948">
        <v>0</v>
      </c>
      <c r="AH948">
        <v>0</v>
      </c>
      <c r="AI948">
        <v>0</v>
      </c>
      <c r="AJ948">
        <v>0</v>
      </c>
      <c r="AK948">
        <v>1</v>
      </c>
      <c r="AL948">
        <v>0</v>
      </c>
      <c r="AM948">
        <v>0</v>
      </c>
      <c r="AN948">
        <v>0</v>
      </c>
      <c r="AO948">
        <v>0</v>
      </c>
      <c r="AP948">
        <v>0</v>
      </c>
      <c r="AQ948">
        <v>0</v>
      </c>
      <c r="AR948">
        <v>0</v>
      </c>
      <c r="AS948">
        <v>0</v>
      </c>
      <c r="AT948">
        <v>0</v>
      </c>
      <c r="AU948">
        <v>0</v>
      </c>
      <c r="AV948">
        <v>0</v>
      </c>
      <c r="AW948">
        <v>0</v>
      </c>
      <c r="AX948" s="141">
        <f>COUNTIF(V948:AW948,"&lt;&gt;0")</f>
        <v>1</v>
      </c>
      <c r="AY948" s="141">
        <f>COUNTIF(V948:AL948,"&lt;&gt;0")</f>
        <v>1</v>
      </c>
      <c r="AZ948">
        <f>COUNTIF(V948:AC948,"&lt;&gt;0")</f>
        <v>0</v>
      </c>
      <c r="BA948">
        <f>COUNTIF(AD948:AI948,"&lt;&gt;0")</f>
        <v>0</v>
      </c>
      <c r="BB948">
        <f>COUNTIF(AJ948:AL948,"&lt;&gt;0")</f>
        <v>1</v>
      </c>
      <c r="BC948">
        <f>COUNTIF(AS948:AW948,"&lt;&gt;0")</f>
        <v>0</v>
      </c>
      <c r="BD948">
        <f>COUNTIF(AM948:AR948,"&lt;&gt;0")</f>
        <v>0</v>
      </c>
      <c r="BE948" t="str" cm="1">
        <f t="array" ref="BE948">IF(AY948=1,INDEX($V$7:$AL$7,MATCH(TRUE,INDEX($V948:$AW948&lt;&gt;0,),0)),IF(AY948=0,INDEX($AM$7:$AW$7,MATCH(1,$AM948:$AW948,0)),IF(BF948="Multiple strategies","mixed drivers",IF(BF948="Supply chain","multiple supply","multiple silviculture"))))</f>
        <v>technologies/design switch</v>
      </c>
      <c r="BF948" s="2" t="str" cm="1">
        <f t="array" ref="BF948">IF(COUNTIF(AZ948:BB948,"&lt;&gt;0")=1,INDEX($V$4:$AW$4,MATCH(TRUE,INDEX($V948:$AW948&lt;&gt;0,),0)),IF(COUNTIF(AZ948:BB948,"&lt;&gt;0")=0,INDEX($AM$4:$AW$4,MATCH(1,$AM948:$AW948,0)),"Multiple strategies"))</f>
        <v>Technology</v>
      </c>
      <c r="BG948" s="1" t="s">
        <v>229</v>
      </c>
      <c r="BH948" t="s">
        <v>1600</v>
      </c>
      <c r="BJ948" t="s">
        <v>261</v>
      </c>
      <c r="BK948">
        <v>24</v>
      </c>
      <c r="BL948">
        <v>71.62</v>
      </c>
      <c r="BM948">
        <f>BL948/BK948</f>
        <v>2.9841666666666669</v>
      </c>
      <c r="BN948">
        <f>BL948-BK948</f>
        <v>47.620000000000005</v>
      </c>
      <c r="BO948">
        <f>BN948*kg_to_m3</f>
        <v>9.7183673469387777E-2</v>
      </c>
      <c r="BP948" t="s">
        <v>232</v>
      </c>
      <c r="BR948" t="s">
        <v>1609</v>
      </c>
      <c r="BU948" s="144" t="str">
        <f>IFERROR(BT948/BS948,"")</f>
        <v/>
      </c>
      <c r="BV948">
        <v>0.189</v>
      </c>
      <c r="BX948">
        <f>BV948</f>
        <v>0.189</v>
      </c>
      <c r="BY948">
        <f>IFERROR(BX948/BO948,"")</f>
        <v>1.9447711045779079</v>
      </c>
      <c r="BZ948">
        <v>0</v>
      </c>
      <c r="CA948">
        <v>0</v>
      </c>
      <c r="CB948">
        <v>0</v>
      </c>
      <c r="CC948">
        <v>0</v>
      </c>
      <c r="CD948">
        <v>0</v>
      </c>
      <c r="CE948">
        <v>0</v>
      </c>
      <c r="CF948">
        <v>0</v>
      </c>
      <c r="CG948">
        <v>0</v>
      </c>
      <c r="CH948">
        <v>0</v>
      </c>
      <c r="CI948">
        <v>0</v>
      </c>
      <c r="CJ948">
        <v>0</v>
      </c>
      <c r="CK948">
        <v>0</v>
      </c>
      <c r="CL948">
        <v>0</v>
      </c>
      <c r="CM948">
        <v>0</v>
      </c>
      <c r="CN948" t="str">
        <f>IF(BL948&lt;BK948,"refNeedCorrection","refOK")</f>
        <v>refOK</v>
      </c>
      <c r="CO948">
        <f>IF($CN948="refOK",$BK948,$BL948)</f>
        <v>24</v>
      </c>
      <c r="CP948">
        <f>IF($CN948="refOK",$BL948,$BK948)</f>
        <v>71.62</v>
      </c>
      <c r="CQ948">
        <f>IF($CN948="refOK",$BO948,-$BO948)</f>
        <v>9.7183673469387777E-2</v>
      </c>
      <c r="CR948">
        <f>IF($CN948="refOK",$BS948,$BT948)*IF($BP948="Emissions positive",-1,1)</f>
        <v>0</v>
      </c>
      <c r="CS948">
        <f>IF($CN948="refOK",$BT948,$BS948)*IF($BP948="Emissions positive",-1,1)</f>
        <v>0</v>
      </c>
      <c r="CT948">
        <f>IF($CN948="refNeedCorrection",-BX948,BX948)*IF($BP948="Emissions positive",-1,1)</f>
        <v>0.189</v>
      </c>
      <c r="CU948">
        <f>IFERROR(CT948/CQ948,"")</f>
        <v>1.9447711045779079</v>
      </c>
      <c r="CV948" s="2" t="str">
        <f>IFERROR((CS948-CR948)/ABS(CR948),"")</f>
        <v/>
      </c>
      <c r="CW948" s="1" t="s">
        <v>1203</v>
      </c>
      <c r="CX948" s="264" t="str">
        <f>IF(OR($CW948="prd",$CW948="std",$CW948="cit"),"loc",IF(OR($CW948="eur",$CW948="reg",$CW948="coy"),"reg",$CW948))</f>
        <v>reg</v>
      </c>
      <c r="CY948" t="s">
        <v>690</v>
      </c>
      <c r="CZ948">
        <v>2019</v>
      </c>
      <c r="DB948">
        <v>0</v>
      </c>
      <c r="DC948" t="str">
        <f>IF(DB948=0,"0",IF(AND(DB948&gt;=1,DB948&lt;=30),"1-30",IF(AND(DB948&gt;30,DB948&lt;=70),"31-70",IF(AND(DB948&gt;70,DB948&lt;=100),"71-100",IF(DB948&gt;100,"+100")))))</f>
        <v>0</v>
      </c>
      <c r="DD948">
        <v>0</v>
      </c>
      <c r="DE948">
        <v>0</v>
      </c>
      <c r="DF948">
        <v>0</v>
      </c>
      <c r="DG948">
        <v>1</v>
      </c>
      <c r="DI948">
        <f>SUM(DD948:DG948)</f>
        <v>1</v>
      </c>
      <c r="DJ948" t="str">
        <f>IF(DI948=1,INDEX($DD$7:$DG$7,MATCH(1,$DD948:$DG948,0)),"mixedProduct")</f>
        <v>TimberInput</v>
      </c>
      <c r="DK948">
        <f>IF(DD948=1,DK$7,0)</f>
        <v>0</v>
      </c>
      <c r="DL948">
        <f>IF(DE948=1,DL$7,0)</f>
        <v>0</v>
      </c>
      <c r="DM948">
        <f>IF(DF948=1,DM$7,0)</f>
        <v>0</v>
      </c>
      <c r="DN948" t="str">
        <f>IF(DG948=1,DN$7,0)</f>
        <v>Timber</v>
      </c>
      <c r="DO948">
        <v>1</v>
      </c>
      <c r="DP948">
        <v>0</v>
      </c>
      <c r="DQ948">
        <v>0</v>
      </c>
      <c r="DR948">
        <v>0</v>
      </c>
      <c r="DS948">
        <v>0</v>
      </c>
      <c r="DT948">
        <f>SUM(DO948:DP948)</f>
        <v>1</v>
      </c>
      <c r="DU948" s="143" t="str">
        <f>IF(DO948=1,"self-calculated DF",IF(DP948=1,"external DF used","explicit C balance"))</f>
        <v>self-calculated DF</v>
      </c>
      <c r="DV948">
        <v>0</v>
      </c>
      <c r="DW948">
        <v>0</v>
      </c>
      <c r="DX948">
        <v>0</v>
      </c>
      <c r="DY948">
        <v>0</v>
      </c>
      <c r="DZ948">
        <v>0</v>
      </c>
      <c r="EA948" s="143">
        <v>1</v>
      </c>
      <c r="EB948">
        <v>0</v>
      </c>
      <c r="EC948">
        <v>1</v>
      </c>
      <c r="ED948">
        <v>0</v>
      </c>
      <c r="EE948">
        <v>0</v>
      </c>
      <c r="EF948">
        <v>0</v>
      </c>
      <c r="EG948">
        <v>0</v>
      </c>
      <c r="EH948">
        <v>0</v>
      </c>
      <c r="EI948" s="2">
        <v>0</v>
      </c>
      <c r="EK948" t="str">
        <f>IF(AND(AND(AND(OR($DX948=1,$DW948=1),OR($EC948=1,$EA948=1)),SUM($DV948:$DZ948,$EF948)&gt;=4),SUM($EA948:$EE948)&gt;=2),"Whole sector","")</f>
        <v/>
      </c>
      <c r="EL948" t="str">
        <f>IF(AND(AND(OR($DX948=1,$DW948=1),AND($EC948=0,$EA948=0)),SUM($DV948:$DZ948,$EF948)&gt;=4),"Ecosystem approach","")</f>
        <v/>
      </c>
      <c r="EM948" s="2" t="str">
        <f>IF(AND(AND(AND($DX948=0,$DW948=0),OR($EC948=1,$EA948=1)),SUM($EB948:$EE948)&gt;=2),"Technology approach","")</f>
        <v/>
      </c>
      <c r="EN948" t="s">
        <v>1603</v>
      </c>
      <c r="EP948" t="str">
        <f>IF(ISNUMBER(BU948),IF(ABS(BU948-[3]QC_indicators!$B$2)&gt;3*[3]QC_indicators!$C$2,"C ratio",IF(ISNUMBER(BY948),IF(ABS(BY948-[3]QC_indicators!$B$1)&gt;3*[3]QC_indicators!$C$1,"DF","no"))),IF(ISNUMBER(BY948),IF(ABS(BY948-[3]QC_indicators!$B$1)&gt;3*[3]QC_indicators!$C$1,"DF","no")))</f>
        <v>no</v>
      </c>
      <c r="ER948" t="s">
        <v>1604</v>
      </c>
      <c r="ET948" s="264" t="s">
        <v>3407</v>
      </c>
    </row>
    <row r="949" spans="1:150" ht="15" customHeight="1">
      <c r="A949" s="1" t="s">
        <v>562</v>
      </c>
      <c r="B949" t="s">
        <v>544</v>
      </c>
      <c r="C949" t="s">
        <v>1593</v>
      </c>
      <c r="D949" t="s">
        <v>1594</v>
      </c>
      <c r="E949" t="s">
        <v>1595</v>
      </c>
      <c r="F949" t="s">
        <v>1596</v>
      </c>
      <c r="G949" t="s">
        <v>567</v>
      </c>
      <c r="H949" t="s">
        <v>254</v>
      </c>
      <c r="I949">
        <v>2019</v>
      </c>
      <c r="J949">
        <v>15</v>
      </c>
      <c r="K949" t="s">
        <v>1597</v>
      </c>
      <c r="M949" t="str">
        <f>LEFT($D949,FIND(",",$D949)-1)&amp;"_"&amp;I949&amp;L949</f>
        <v>Geng_2019</v>
      </c>
      <c r="N949" t="s">
        <v>222</v>
      </c>
      <c r="O949" s="181" t="s">
        <v>225</v>
      </c>
      <c r="Q949" s="264" t="s">
        <v>256</v>
      </c>
      <c r="R949" s="269" t="s">
        <v>1154</v>
      </c>
      <c r="S949" s="1" t="s">
        <v>1598</v>
      </c>
      <c r="T949" t="s">
        <v>1613</v>
      </c>
      <c r="V949">
        <v>0</v>
      </c>
      <c r="W949">
        <v>0</v>
      </c>
      <c r="X949">
        <v>0</v>
      </c>
      <c r="Y949">
        <v>0</v>
      </c>
      <c r="Z949">
        <v>0</v>
      </c>
      <c r="AA949">
        <v>0</v>
      </c>
      <c r="AB949">
        <v>0</v>
      </c>
      <c r="AC949">
        <v>0</v>
      </c>
      <c r="AD949">
        <v>0</v>
      </c>
      <c r="AE949">
        <v>0</v>
      </c>
      <c r="AF949">
        <v>0</v>
      </c>
      <c r="AG949">
        <v>0</v>
      </c>
      <c r="AH949">
        <v>0</v>
      </c>
      <c r="AI949">
        <v>0</v>
      </c>
      <c r="AJ949">
        <v>0</v>
      </c>
      <c r="AK949">
        <v>1</v>
      </c>
      <c r="AL949">
        <v>0</v>
      </c>
      <c r="AM949">
        <v>0</v>
      </c>
      <c r="AN949">
        <v>0</v>
      </c>
      <c r="AO949">
        <v>0</v>
      </c>
      <c r="AP949">
        <v>0</v>
      </c>
      <c r="AQ949">
        <v>0</v>
      </c>
      <c r="AR949">
        <v>0</v>
      </c>
      <c r="AS949">
        <v>0</v>
      </c>
      <c r="AT949">
        <v>0</v>
      </c>
      <c r="AU949">
        <v>0</v>
      </c>
      <c r="AV949">
        <v>0</v>
      </c>
      <c r="AW949">
        <v>0</v>
      </c>
      <c r="AX949" s="141">
        <f>COUNTIF(V949:AW949,"&lt;&gt;0")</f>
        <v>1</v>
      </c>
      <c r="AY949" s="141">
        <f>COUNTIF(V949:AL949,"&lt;&gt;0")</f>
        <v>1</v>
      </c>
      <c r="AZ949">
        <f>COUNTIF(V949:AC949,"&lt;&gt;0")</f>
        <v>0</v>
      </c>
      <c r="BA949">
        <f>COUNTIF(AD949:AI949,"&lt;&gt;0")</f>
        <v>0</v>
      </c>
      <c r="BB949">
        <f>COUNTIF(AJ949:AL949,"&lt;&gt;0")</f>
        <v>1</v>
      </c>
      <c r="BC949">
        <f>COUNTIF(AS949:AW949,"&lt;&gt;0")</f>
        <v>0</v>
      </c>
      <c r="BD949">
        <f>COUNTIF(AM949:AR949,"&lt;&gt;0")</f>
        <v>0</v>
      </c>
      <c r="BE949" t="str" cm="1">
        <f t="array" ref="BE949">IF(AY949=1,INDEX($V$7:$AL$7,MATCH(TRUE,INDEX($V949:$AW949&lt;&gt;0,),0)),IF(AY949=0,INDEX($AM$7:$AW$7,MATCH(1,$AM949:$AW949,0)),IF(BF949="Multiple strategies","mixed drivers",IF(BF949="Supply chain","multiple supply","multiple silviculture"))))</f>
        <v>technologies/design switch</v>
      </c>
      <c r="BF949" s="2" t="str" cm="1">
        <f t="array" ref="BF949">IF(COUNTIF(AZ949:BB949,"&lt;&gt;0")=1,INDEX($V$4:$AW$4,MATCH(TRUE,INDEX($V949:$AW949&lt;&gt;0,),0)),IF(COUNTIF(AZ949:BB949,"&lt;&gt;0")=0,INDEX($AM$4:$AW$4,MATCH(1,$AM949:$AW949,0)),"Multiple strategies"))</f>
        <v>Technology</v>
      </c>
      <c r="BG949" s="1" t="s">
        <v>229</v>
      </c>
      <c r="BH949" t="s">
        <v>1600</v>
      </c>
      <c r="BJ949" t="s">
        <v>261</v>
      </c>
      <c r="BK949">
        <v>24</v>
      </c>
      <c r="BL949">
        <v>71.62</v>
      </c>
      <c r="BM949">
        <f>BL949/BK949</f>
        <v>2.9841666666666669</v>
      </c>
      <c r="BN949">
        <f>BL949-BK949</f>
        <v>47.620000000000005</v>
      </c>
      <c r="BO949">
        <f>BN949*kg_to_m3</f>
        <v>9.7183673469387777E-2</v>
      </c>
      <c r="BP949" t="s">
        <v>232</v>
      </c>
      <c r="BR949" t="s">
        <v>1609</v>
      </c>
      <c r="BU949" s="144" t="str">
        <f>IFERROR(BT949/BS949,"")</f>
        <v/>
      </c>
      <c r="BV949">
        <v>0.189</v>
      </c>
      <c r="BX949">
        <f>BV949</f>
        <v>0.189</v>
      </c>
      <c r="BY949">
        <f>IFERROR(BX949/BO949,"")</f>
        <v>1.9447711045779079</v>
      </c>
      <c r="BZ949">
        <v>0</v>
      </c>
      <c r="CA949">
        <v>0</v>
      </c>
      <c r="CB949">
        <v>0</v>
      </c>
      <c r="CC949">
        <v>0</v>
      </c>
      <c r="CD949">
        <v>0</v>
      </c>
      <c r="CE949">
        <v>0</v>
      </c>
      <c r="CF949">
        <v>0</v>
      </c>
      <c r="CG949">
        <v>0</v>
      </c>
      <c r="CH949">
        <v>0</v>
      </c>
      <c r="CI949">
        <v>0</v>
      </c>
      <c r="CJ949">
        <v>0</v>
      </c>
      <c r="CK949">
        <v>0</v>
      </c>
      <c r="CL949">
        <v>0</v>
      </c>
      <c r="CM949">
        <v>0</v>
      </c>
      <c r="CN949" t="str">
        <f>IF(BL949&lt;BK949,"refNeedCorrection","refOK")</f>
        <v>refOK</v>
      </c>
      <c r="CO949">
        <f>IF($CN949="refOK",$BK949,$BL949)</f>
        <v>24</v>
      </c>
      <c r="CP949">
        <f>IF($CN949="refOK",$BL949,$BK949)</f>
        <v>71.62</v>
      </c>
      <c r="CQ949">
        <f>IF($CN949="refOK",$BO949,-$BO949)</f>
        <v>9.7183673469387777E-2</v>
      </c>
      <c r="CR949">
        <f>IF($CN949="refOK",$BS949,$BT949)*IF($BP949="Emissions positive",-1,1)</f>
        <v>0</v>
      </c>
      <c r="CS949">
        <f>IF($CN949="refOK",$BT949,$BS949)*IF($BP949="Emissions positive",-1,1)</f>
        <v>0</v>
      </c>
      <c r="CT949">
        <f>IF($CN949="refNeedCorrection",-BX949,BX949)*IF($BP949="Emissions positive",-1,1)</f>
        <v>0.189</v>
      </c>
      <c r="CU949">
        <f>IFERROR(CT949/CQ949,"")</f>
        <v>1.9447711045779079</v>
      </c>
      <c r="CV949" s="2" t="str">
        <f>IFERROR((CS949-CR949)/ABS(CR949),"")</f>
        <v/>
      </c>
      <c r="CW949" s="1" t="s">
        <v>1203</v>
      </c>
      <c r="CX949" s="264" t="str">
        <f>IF(OR($CW949="prd",$CW949="std",$CW949="cit"),"loc",IF(OR($CW949="eur",$CW949="reg",$CW949="coy"),"reg",$CW949))</f>
        <v>reg</v>
      </c>
      <c r="CY949" t="s">
        <v>690</v>
      </c>
      <c r="CZ949">
        <v>2019</v>
      </c>
      <c r="DB949">
        <v>0</v>
      </c>
      <c r="DC949" t="str">
        <f>IF(DB949=0,"0",IF(AND(DB949&gt;=1,DB949&lt;=30),"1-30",IF(AND(DB949&gt;30,DB949&lt;=70),"31-70",IF(AND(DB949&gt;70,DB949&lt;=100),"71-100",IF(DB949&gt;100,"+100")))))</f>
        <v>0</v>
      </c>
      <c r="DD949">
        <v>0</v>
      </c>
      <c r="DE949">
        <v>0</v>
      </c>
      <c r="DF949">
        <v>0</v>
      </c>
      <c r="DG949">
        <v>1</v>
      </c>
      <c r="DI949">
        <f>SUM(DD949:DG949)</f>
        <v>1</v>
      </c>
      <c r="DJ949" t="str">
        <f>IF(DI949=1,INDEX($DD$7:$DG$7,MATCH(1,$DD949:$DG949,0)),"mixedProduct")</f>
        <v>TimberInput</v>
      </c>
      <c r="DK949">
        <f>IF(DD949=1,DK$7,0)</f>
        <v>0</v>
      </c>
      <c r="DL949">
        <f>IF(DE949=1,DL$7,0)</f>
        <v>0</v>
      </c>
      <c r="DM949">
        <f>IF(DF949=1,DM$7,0)</f>
        <v>0</v>
      </c>
      <c r="DN949" t="str">
        <f>IF(DG949=1,DN$7,0)</f>
        <v>Timber</v>
      </c>
      <c r="DO949">
        <v>1</v>
      </c>
      <c r="DP949">
        <v>0</v>
      </c>
      <c r="DQ949">
        <v>0</v>
      </c>
      <c r="DR949">
        <v>0</v>
      </c>
      <c r="DS949">
        <v>0</v>
      </c>
      <c r="DT949">
        <f>SUM(DO949:DP949)</f>
        <v>1</v>
      </c>
      <c r="DU949" s="143" t="str">
        <f>IF(DO949=1,"self-calculated DF",IF(DP949=1,"external DF used","explicit C balance"))</f>
        <v>self-calculated DF</v>
      </c>
      <c r="DV949">
        <v>0</v>
      </c>
      <c r="DW949">
        <v>0</v>
      </c>
      <c r="DX949">
        <v>0</v>
      </c>
      <c r="DY949">
        <v>0</v>
      </c>
      <c r="DZ949">
        <v>0</v>
      </c>
      <c r="EA949" s="143">
        <v>1</v>
      </c>
      <c r="EB949">
        <v>0</v>
      </c>
      <c r="EC949">
        <v>1</v>
      </c>
      <c r="ED949">
        <v>0</v>
      </c>
      <c r="EE949">
        <v>0</v>
      </c>
      <c r="EF949">
        <v>0</v>
      </c>
      <c r="EG949">
        <v>0</v>
      </c>
      <c r="EH949">
        <v>0</v>
      </c>
      <c r="EI949" s="2">
        <v>0</v>
      </c>
      <c r="EK949" t="str">
        <f>IF(AND(AND(AND(OR($DX949=1,$DW949=1),OR($EC949=1,$EA949=1)),SUM($DV949:$DZ949,$EF949)&gt;=4),SUM($EA949:$EE949)&gt;=2),"Whole sector","")</f>
        <v/>
      </c>
      <c r="EL949" t="str">
        <f>IF(AND(AND(OR($DX949=1,$DW949=1),AND($EC949=0,$EA949=0)),SUM($DV949:$DZ949,$EF949)&gt;=4),"Ecosystem approach","")</f>
        <v/>
      </c>
      <c r="EM949" s="2" t="str">
        <f>IF(AND(AND(AND($DX949=0,$DW949=0),OR($EC949=1,$EA949=1)),SUM($EB949:$EE949)&gt;=2),"Technology approach","")</f>
        <v/>
      </c>
      <c r="EN949" t="s">
        <v>1603</v>
      </c>
      <c r="EP949" t="str">
        <f>IF(ISNUMBER(BU949),IF(ABS(BU949-[3]QC_indicators!$B$2)&gt;3*[3]QC_indicators!$C$2,"C ratio",IF(ISNUMBER(BY949),IF(ABS(BY949-[3]QC_indicators!$B$1)&gt;3*[3]QC_indicators!$C$1,"DF","no"))),IF(ISNUMBER(BY949),IF(ABS(BY949-[3]QC_indicators!$B$1)&gt;3*[3]QC_indicators!$C$1,"DF","no")))</f>
        <v>no</v>
      </c>
      <c r="ER949" t="s">
        <v>1604</v>
      </c>
      <c r="ET949" s="264" t="s">
        <v>3407</v>
      </c>
    </row>
    <row r="950" spans="1:150" ht="15" customHeight="1">
      <c r="A950" s="1" t="s">
        <v>1270</v>
      </c>
      <c r="B950" t="s">
        <v>1271</v>
      </c>
      <c r="C950" t="s">
        <v>1272</v>
      </c>
      <c r="D950" t="s">
        <v>1273</v>
      </c>
      <c r="E950" t="s">
        <v>1274</v>
      </c>
      <c r="F950" t="s">
        <v>1275</v>
      </c>
      <c r="G950" t="s">
        <v>1276</v>
      </c>
      <c r="I950">
        <v>2019</v>
      </c>
      <c r="K950" t="s">
        <v>1277</v>
      </c>
      <c r="M950" t="str">
        <f>LEFT($D950,FIND(",",$D950)-1)&amp;"_"&amp;I950&amp;L950</f>
        <v>Baskent_2019</v>
      </c>
      <c r="N950" t="s">
        <v>222</v>
      </c>
      <c r="O950" s="140" t="s">
        <v>513</v>
      </c>
      <c r="Q950" t="s">
        <v>224</v>
      </c>
      <c r="R950" s="269" t="s">
        <v>274</v>
      </c>
      <c r="S950" s="1" t="s">
        <v>1278</v>
      </c>
      <c r="T950" t="s">
        <v>1111</v>
      </c>
      <c r="U950" s="143" t="s">
        <v>1279</v>
      </c>
      <c r="V950" s="143">
        <v>0</v>
      </c>
      <c r="W950" s="143">
        <v>0</v>
      </c>
      <c r="X950" s="143">
        <v>0</v>
      </c>
      <c r="Y950" s="143">
        <v>1</v>
      </c>
      <c r="Z950" s="143">
        <v>2</v>
      </c>
      <c r="AA950" s="143">
        <v>0</v>
      </c>
      <c r="AB950" s="143">
        <v>0</v>
      </c>
      <c r="AC950" s="143">
        <v>0</v>
      </c>
      <c r="AD950">
        <v>0</v>
      </c>
      <c r="AE950">
        <v>0</v>
      </c>
      <c r="AF950">
        <v>2</v>
      </c>
      <c r="AG950">
        <v>0</v>
      </c>
      <c r="AH950">
        <v>0</v>
      </c>
      <c r="AI950">
        <v>0</v>
      </c>
      <c r="AJ950">
        <v>2</v>
      </c>
      <c r="AK950">
        <v>0</v>
      </c>
      <c r="AL950">
        <v>0</v>
      </c>
      <c r="AM950">
        <v>0</v>
      </c>
      <c r="AN950">
        <v>2</v>
      </c>
      <c r="AO950">
        <v>2</v>
      </c>
      <c r="AP950">
        <v>0</v>
      </c>
      <c r="AQ950">
        <v>0</v>
      </c>
      <c r="AR950">
        <v>0</v>
      </c>
      <c r="AS950">
        <v>2</v>
      </c>
      <c r="AT950">
        <v>0</v>
      </c>
      <c r="AU950">
        <v>0</v>
      </c>
      <c r="AV950">
        <v>0</v>
      </c>
      <c r="AW950">
        <v>2</v>
      </c>
      <c r="AX950" s="141">
        <f>COUNTIF(V950:AW950,"&lt;&gt;0")</f>
        <v>8</v>
      </c>
      <c r="AY950" s="141">
        <f>COUNTIF(V950:AL950,"&lt;&gt;0")</f>
        <v>4</v>
      </c>
      <c r="AZ950">
        <f>COUNTIF(V950:AC950,"&lt;&gt;0")</f>
        <v>2</v>
      </c>
      <c r="BA950">
        <f>COUNTIF(AD950:AI950,"&lt;&gt;0")</f>
        <v>1</v>
      </c>
      <c r="BB950">
        <f>COUNTIF(AJ950:AL950,"&lt;&gt;0")</f>
        <v>1</v>
      </c>
      <c r="BC950">
        <f>COUNTIF(AS950:AW950,"&lt;&gt;0")</f>
        <v>2</v>
      </c>
      <c r="BD950">
        <f>COUNTIF(AM950:AR950,"&lt;&gt;0")</f>
        <v>2</v>
      </c>
      <c r="BE950" t="str">
        <f t="array" ref="BE950">IF(AY950=1,INDEX($V$7:$AL$7,MATCH(TRUE,INDEX($V950:$AW950&lt;&gt;0,),0)),IF(AY950=0,INDEX($AM$7:$AW$7,MATCH(1,$AM950:$AW950,0)),IF(BF950="Multiple strategies","mixed drivers",IF(BF950="Supply chain","multiple supply","multiple silviculture"))))</f>
        <v>mixed drivers</v>
      </c>
      <c r="BF950" s="2" t="str" cm="1">
        <f t="array" ref="BF950">IF(COUNTIF(AZ950:BB950,"&lt;&gt;0")=1,INDEX($V$4:$AW$4,MATCH(TRUE,INDEX($V950:$AW950&lt;&gt;0,),0)),IF(COUNTIF(AZ950:BB950,"&lt;&gt;0")=0,INDEX($AM$4:$AW$4,MATCH(1,$AM950:$AW950,0)),"Multiple strategies"))</f>
        <v>Multiple strategies</v>
      </c>
      <c r="BG950" s="1" t="s">
        <v>321</v>
      </c>
      <c r="BH950" t="s">
        <v>1280</v>
      </c>
      <c r="BJ950" s="143" t="s">
        <v>278</v>
      </c>
      <c r="BK950">
        <v>10.270935960591125</v>
      </c>
      <c r="BL950">
        <v>10.566502463054182</v>
      </c>
      <c r="BM950" s="143">
        <f>BL950/BK950</f>
        <v>1.0287769784172665</v>
      </c>
      <c r="BN950">
        <f>BL950-BK950</f>
        <v>0.29556650246305693</v>
      </c>
      <c r="BO950" s="143">
        <f>BN950*tC_to_m3</f>
        <v>1.2833977527705469</v>
      </c>
      <c r="BP950" t="s">
        <v>232</v>
      </c>
      <c r="BQ950" s="333" t="s">
        <v>787</v>
      </c>
      <c r="BR950" s="143" t="s">
        <v>278</v>
      </c>
      <c r="BS950">
        <v>30.8433734939759</v>
      </c>
      <c r="BT950">
        <v>31.526844706012898</v>
      </c>
      <c r="BU950" s="144">
        <f>IFERROR(BT950/BS950,"")</f>
        <v>1.022159418202762</v>
      </c>
      <c r="BV950">
        <f>BT950-BS950</f>
        <v>0.68347121203699857</v>
      </c>
      <c r="BX950">
        <f>BV950*C_to_CO2</f>
        <v>2.5083393481757845</v>
      </c>
      <c r="BY950">
        <f>IFERROR(BX950/BO950,"")</f>
        <v>1.9544520338771698</v>
      </c>
      <c r="BZ950" s="143">
        <v>0</v>
      </c>
      <c r="CA950" s="143">
        <v>0</v>
      </c>
      <c r="CB950" s="143">
        <v>0</v>
      </c>
      <c r="CC950" s="143">
        <v>0</v>
      </c>
      <c r="CD950" s="143">
        <v>0</v>
      </c>
      <c r="CE950" s="143">
        <v>0</v>
      </c>
      <c r="CF950" s="143">
        <v>0</v>
      </c>
      <c r="CG950" s="143">
        <v>1</v>
      </c>
      <c r="CH950" s="143">
        <v>0</v>
      </c>
      <c r="CI950" s="143">
        <v>1</v>
      </c>
      <c r="CJ950" s="143">
        <v>1</v>
      </c>
      <c r="CK950" s="143">
        <v>0</v>
      </c>
      <c r="CL950" s="143">
        <v>1</v>
      </c>
      <c r="CM950" s="143">
        <v>0</v>
      </c>
      <c r="CN950" t="str">
        <f>IF($BL950&lt;$BK950,"refNeedCorrection","refOK")</f>
        <v>refOK</v>
      </c>
      <c r="CO950">
        <f>IF($CN950="refOK",$BK950,$BL950)</f>
        <v>10.270935960591125</v>
      </c>
      <c r="CP950">
        <f>IF($CN950="refOK",$BL950,$BK950)</f>
        <v>10.566502463054182</v>
      </c>
      <c r="CQ950">
        <f>IF($CN950="refOK",$BO950,-$BO950)</f>
        <v>1.2833977527705469</v>
      </c>
      <c r="CR950">
        <f>IF($CN950="refOK",$BS950,$BT950)*IF($BP950="Emissions positive",-1,1)</f>
        <v>30.8433734939759</v>
      </c>
      <c r="CS950">
        <f>IF($CN950="refOK",$BT950,$BS950)*IF($BP950="Emissions positive",-1,1)</f>
        <v>31.526844706012898</v>
      </c>
      <c r="CT950">
        <f>IF($CN950="refNeedCorrection",-BX950,BX950)*IF($BP950="Emissions positive",-1,1)</f>
        <v>2.5083393481757845</v>
      </c>
      <c r="CU950">
        <f>IFERROR(CT950/CQ950,"")</f>
        <v>1.9544520338771698</v>
      </c>
      <c r="CV950" s="2">
        <f>IFERROR((CS950-CR950)/ABS(CR950),"")</f>
        <v>2.2159418202762064E-2</v>
      </c>
      <c r="CW950" s="1" t="s">
        <v>1199</v>
      </c>
      <c r="CX950" t="str">
        <f>IF(OR($CW950="prd",$CW950="std",$CW950="cit"),"loc",IF(OR($CW950="eur",$CW950="reg",$CW950="coy"),"reg",$CW950))</f>
        <v>reg</v>
      </c>
      <c r="CY950" t="s">
        <v>1281</v>
      </c>
      <c r="CZ950">
        <v>2010</v>
      </c>
      <c r="DA950" s="143">
        <v>2060</v>
      </c>
      <c r="DB950" s="143">
        <f>DA950-CZ950</f>
        <v>50</v>
      </c>
      <c r="DC950" t="str">
        <f>IF(DB950=0,"0",IF(AND(DB950&gt;=1,DB950&lt;=30),"1-30",IF(AND(DB950&gt;30,DB950&lt;=70),"31-70",IF(AND(DB950&gt;70,DB950&lt;=100),"71-100",IF(DB950&gt;100,"+100")))))</f>
        <v>31-70</v>
      </c>
      <c r="DD950">
        <v>1</v>
      </c>
      <c r="DE950">
        <v>0</v>
      </c>
      <c r="DF950">
        <v>0</v>
      </c>
      <c r="DG950">
        <v>0</v>
      </c>
      <c r="DI950">
        <f>SUM(DD950:DG950)</f>
        <v>1</v>
      </c>
      <c r="DJ950" t="str">
        <f>IF(DI950=1,INDEX($DD$7:$DG$7,MATCH(1,$DD950:$DG950,0)),"mixedProduct")</f>
        <v>UpstreamInput</v>
      </c>
      <c r="DK950" t="str">
        <f>IF(DD950=1,DK$7,0)</f>
        <v>Upstream</v>
      </c>
      <c r="DL950">
        <f>IF(DE950=1,DL$7,0)</f>
        <v>0</v>
      </c>
      <c r="DM950">
        <f>IF(DF950=1,DM$7,0)</f>
        <v>0</v>
      </c>
      <c r="DN950">
        <f>IF(DG950=1,DN$7,0)</f>
        <v>0</v>
      </c>
      <c r="DO950" s="143">
        <v>1</v>
      </c>
      <c r="DP950">
        <v>0</v>
      </c>
      <c r="DQ950" s="143">
        <v>0</v>
      </c>
      <c r="DR950" s="143">
        <v>0</v>
      </c>
      <c r="DS950" s="143" t="s">
        <v>1282</v>
      </c>
      <c r="DT950">
        <f>SUM(DO950:DP950)</f>
        <v>1</v>
      </c>
      <c r="DU950" s="143" t="str">
        <f>IF(DO950=1,"self-calculated DF",IF(DP950=1,"external DF used","explicit C balance"))</f>
        <v>self-calculated DF</v>
      </c>
      <c r="DV950" s="143">
        <v>0</v>
      </c>
      <c r="DW950">
        <v>1</v>
      </c>
      <c r="DX950" s="143">
        <v>1</v>
      </c>
      <c r="DY950" s="143">
        <v>0</v>
      </c>
      <c r="DZ950">
        <v>0</v>
      </c>
      <c r="EA950">
        <v>0</v>
      </c>
      <c r="EB950" s="143">
        <v>0</v>
      </c>
      <c r="EC950">
        <v>0</v>
      </c>
      <c r="ED950" s="143">
        <v>0</v>
      </c>
      <c r="EE950">
        <v>0</v>
      </c>
      <c r="EF950">
        <v>1</v>
      </c>
      <c r="EG950" s="143">
        <v>0</v>
      </c>
      <c r="EH950">
        <v>0</v>
      </c>
      <c r="EI950" s="2">
        <v>0</v>
      </c>
      <c r="EK950" t="str">
        <f>IF(AND(AND(AND(OR($DX950=1,$DW950=1),OR($EC950=1,$EA950=1)),SUM($DV950:$DZ950,$EF950)&gt;=4),SUM($EA950:$EE950)&gt;=2),"Whole sector","")</f>
        <v/>
      </c>
      <c r="EL950" t="str">
        <f>IF(AND(AND(OR($DX950=1,$DW950=1),AND($EC950=0,$EA950=0)),SUM($DV950:$DZ950,$EF950)&gt;=4),"Ecosystem approach","")</f>
        <v/>
      </c>
      <c r="EM950" s="2" t="str">
        <f>IF(AND(AND(AND($DX950=0,$DW950=0),OR($EC950=1,$EA950=1)),SUM($EB950:$EE950)&gt;=2),"Technology approach","")</f>
        <v/>
      </c>
      <c r="EN950" t="s">
        <v>1283</v>
      </c>
      <c r="EP950" t="str">
        <f>IF(ISNUMBER(BU950),IF(ABS(BU950-[2]QC_indicators!$B$2)&gt;3*[2]QC_indicators!$C$2,"C ratio",IF(ISNUMBER(BY950),IF(ABS(BY950-[2]QC_indicators!$B$1)&gt;3*[2]QC_indicators!$C$1,"DF","no"))),IF(ISNUMBER(BY950),IF(ABS(BY950-[2]QC_indicators!$B$1)&gt;3*[2]QC_indicators!$C$1,"DF","no")))</f>
        <v>no</v>
      </c>
      <c r="EQ950" t="s">
        <v>286</v>
      </c>
      <c r="ER950" t="s">
        <v>1284</v>
      </c>
      <c r="ET950" s="264" t="s">
        <v>3273</v>
      </c>
    </row>
    <row r="951" spans="1:150" ht="15" customHeight="1">
      <c r="A951" s="1" t="s">
        <v>247</v>
      </c>
      <c r="B951" t="s">
        <v>248</v>
      </c>
      <c r="C951" t="s">
        <v>249</v>
      </c>
      <c r="D951" t="s">
        <v>250</v>
      </c>
      <c r="E951" t="s">
        <v>251</v>
      </c>
      <c r="F951" t="s">
        <v>252</v>
      </c>
      <c r="G951" t="s">
        <v>253</v>
      </c>
      <c r="H951" t="s">
        <v>254</v>
      </c>
      <c r="I951">
        <v>2022</v>
      </c>
      <c r="J951">
        <v>0</v>
      </c>
      <c r="K951" t="s">
        <v>255</v>
      </c>
      <c r="M951" t="str">
        <f>LEFT($D951,FIND(",",$D951)-1)&amp;"_"&amp;I951&amp;L951</f>
        <v>Andersen_2022</v>
      </c>
      <c r="N951" t="s">
        <v>222</v>
      </c>
      <c r="O951" s="145" t="s">
        <v>223</v>
      </c>
      <c r="Q951" t="s">
        <v>256</v>
      </c>
      <c r="R951" s="269" t="s">
        <v>274</v>
      </c>
      <c r="S951" s="1" t="s">
        <v>257</v>
      </c>
      <c r="T951" t="s">
        <v>258</v>
      </c>
      <c r="U951" t="s">
        <v>259</v>
      </c>
      <c r="V951">
        <v>0</v>
      </c>
      <c r="W951">
        <v>0</v>
      </c>
      <c r="X951">
        <v>0</v>
      </c>
      <c r="Y951">
        <v>0</v>
      </c>
      <c r="Z951">
        <v>0</v>
      </c>
      <c r="AA951">
        <v>0</v>
      </c>
      <c r="AB951">
        <v>0</v>
      </c>
      <c r="AC951">
        <v>0</v>
      </c>
      <c r="AD951">
        <v>0</v>
      </c>
      <c r="AE951">
        <v>0</v>
      </c>
      <c r="AF951">
        <v>0</v>
      </c>
      <c r="AG951">
        <v>0</v>
      </c>
      <c r="AH951">
        <v>0</v>
      </c>
      <c r="AI951">
        <v>0</v>
      </c>
      <c r="AJ951">
        <v>0</v>
      </c>
      <c r="AK951">
        <v>1</v>
      </c>
      <c r="AL951">
        <v>0</v>
      </c>
      <c r="AM951">
        <v>0</v>
      </c>
      <c r="AN951">
        <v>0</v>
      </c>
      <c r="AO951">
        <v>0</v>
      </c>
      <c r="AP951">
        <v>0</v>
      </c>
      <c r="AQ951">
        <v>0</v>
      </c>
      <c r="AR951">
        <v>0</v>
      </c>
      <c r="AS951">
        <v>0</v>
      </c>
      <c r="AT951">
        <v>0</v>
      </c>
      <c r="AU951">
        <v>0</v>
      </c>
      <c r="AV951">
        <v>0</v>
      </c>
      <c r="AW951">
        <v>0</v>
      </c>
      <c r="AX951" s="141">
        <f>COUNTIF(V951:AW951,"&lt;&gt;0")</f>
        <v>1</v>
      </c>
      <c r="AY951" s="141">
        <f>COUNTIF(V951:AL951,"&lt;&gt;0")</f>
        <v>1</v>
      </c>
      <c r="AZ951">
        <f>COUNTIF(V951:AC951,"&lt;&gt;0")</f>
        <v>0</v>
      </c>
      <c r="BA951">
        <f>COUNTIF(AD951:AI951,"&lt;&gt;0")</f>
        <v>0</v>
      </c>
      <c r="BB951">
        <f>COUNTIF(AJ951:AL951,"&lt;&gt;0")</f>
        <v>1</v>
      </c>
      <c r="BC951">
        <f>COUNTIF(AS951:AW951,"&lt;&gt;0")</f>
        <v>0</v>
      </c>
      <c r="BD951">
        <f>COUNTIF(AM951:AR951,"&lt;&gt;0")</f>
        <v>0</v>
      </c>
      <c r="BE951" t="str">
        <f t="array" ref="BE951">IF(AY951=1,INDEX($V$7:$AL$7,MATCH(TRUE,INDEX($V951:$AW951&lt;&gt;0,),0)),IF(AY951=0,INDEX($AM$7:$AW$7,MATCH(1,$AM951:$AW951,0)),IF(BF951="Multiple strategies","mixed drivers",IF(BF951="Supply chain","multiple supply","multiple silviculture"))))</f>
        <v>technologies/design switch</v>
      </c>
      <c r="BF951" s="2" t="str" cm="1">
        <f t="array" ref="BF951">IF(COUNTIF(AZ951:BB951,"&lt;&gt;0")=1,INDEX($V$4:$AW$4,MATCH(TRUE,INDEX($V951:$AW951&lt;&gt;0,),0)),IF(COUNTIF(AZ951:BB951,"&lt;&gt;0")=0,INDEX($AM$4:$AW$4,MATCH(1,$AM951:$AW951,0)),"Multiple strategies"))</f>
        <v>Technology</v>
      </c>
      <c r="BG951" s="142" t="s">
        <v>229</v>
      </c>
      <c r="BH951" t="s">
        <v>260</v>
      </c>
      <c r="BI951" s="264" t="s">
        <v>410</v>
      </c>
      <c r="BJ951" s="143" t="s">
        <v>261</v>
      </c>
      <c r="BK951">
        <v>37.200000000000003</v>
      </c>
      <c r="BL951">
        <v>188.5</v>
      </c>
      <c r="BM951" s="143">
        <f>BL951/BK951</f>
        <v>5.0672043010752681</v>
      </c>
      <c r="BN951">
        <f>BL951-BK951</f>
        <v>151.30000000000001</v>
      </c>
      <c r="BO951">
        <f>BN951*kg_to_m3</f>
        <v>0.30877551020408167</v>
      </c>
      <c r="BP951" t="s">
        <v>232</v>
      </c>
      <c r="BQ951" s="155" t="s">
        <v>3261</v>
      </c>
      <c r="BR951" t="s">
        <v>262</v>
      </c>
      <c r="BS951">
        <v>-893</v>
      </c>
      <c r="BT951">
        <v>-289</v>
      </c>
      <c r="BU951" s="144">
        <f>IFERROR(BT951/BS951,"")</f>
        <v>0.32362821948488241</v>
      </c>
      <c r="BV951">
        <f>BT951-BS951</f>
        <v>604</v>
      </c>
      <c r="BX951">
        <f>BV951/1000</f>
        <v>0.60399999999999998</v>
      </c>
      <c r="BY951">
        <f>IFERROR(BX951/BO951,"")</f>
        <v>1.956113681427627</v>
      </c>
      <c r="BZ951" s="143">
        <v>1</v>
      </c>
      <c r="CA951" s="143">
        <v>0</v>
      </c>
      <c r="CB951" s="143">
        <v>0</v>
      </c>
      <c r="CC951" s="143">
        <v>0</v>
      </c>
      <c r="CD951" s="143">
        <v>0</v>
      </c>
      <c r="CE951" s="143">
        <v>0</v>
      </c>
      <c r="CF951" s="143">
        <v>0</v>
      </c>
      <c r="CG951" s="143">
        <v>1</v>
      </c>
      <c r="CH951" s="143">
        <v>0</v>
      </c>
      <c r="CI951" s="143">
        <v>1</v>
      </c>
      <c r="CJ951" s="143">
        <v>0</v>
      </c>
      <c r="CK951" s="143">
        <v>0</v>
      </c>
      <c r="CL951" s="143">
        <v>0</v>
      </c>
      <c r="CM951">
        <v>0</v>
      </c>
      <c r="CN951" t="str">
        <f>IF($BL951&lt;$BK951,"refNeedCorrection","refOK")</f>
        <v>refOK</v>
      </c>
      <c r="CO951">
        <f>IF($CN951="refOK",$BK951,$BL951)</f>
        <v>37.200000000000003</v>
      </c>
      <c r="CP951">
        <f>IF($CN951="refOK",$BL951,$BK951)</f>
        <v>188.5</v>
      </c>
      <c r="CQ951">
        <f>IF($CN951="refOK",$BO951,-$BO951)</f>
        <v>0.30877551020408167</v>
      </c>
      <c r="CR951">
        <f>IF($CN951="refOK",$BS951,$BT951)*IF($BP951="Emissions positive",-1,1)</f>
        <v>-893</v>
      </c>
      <c r="CS951">
        <f>IF($CN951="refOK",$BT951,$BS951)*IF($BP951="Emissions positive",-1,1)</f>
        <v>-289</v>
      </c>
      <c r="CT951">
        <f>IF($CN951="refNeedCorrection",-BX951,BX951)*IF($BP951="Emissions positive",-1,1)</f>
        <v>0.60399999999999998</v>
      </c>
      <c r="CU951">
        <f>IFERROR(CT951/CQ951,"")</f>
        <v>1.956113681427627</v>
      </c>
      <c r="CV951" s="2">
        <f>IFERROR((CS951-CR951)/ABS(CR951),"")</f>
        <v>0.67637178051511759</v>
      </c>
      <c r="CW951" s="1" t="s">
        <v>263</v>
      </c>
      <c r="CX951" t="str">
        <f>IF(OR($CW951="prd",$CW951="std",$CW951="cit"),"loc",IF(OR($CW951="eur",$CW951="reg",$CW951="coy"),"reg",$CW951))</f>
        <v>loc</v>
      </c>
      <c r="CY951" t="s">
        <v>264</v>
      </c>
      <c r="DA951" s="143"/>
      <c r="DB951">
        <v>100</v>
      </c>
      <c r="DC951" t="str">
        <f>IF(DB951=0,"0",IF(AND(DB951&gt;=1,DB951&lt;=30),"1-30",IF(AND(DB951&gt;30,DB951&lt;=70),"31-70",IF(AND(DB951&gt;70,DB951&lt;=100),"71-100",IF(DB951&gt;100,"+100")))))</f>
        <v>71-100</v>
      </c>
      <c r="DD951">
        <v>0</v>
      </c>
      <c r="DE951">
        <v>0</v>
      </c>
      <c r="DF951">
        <v>0</v>
      </c>
      <c r="DG951">
        <v>1</v>
      </c>
      <c r="DI951">
        <f>SUM(DD951:DG951)</f>
        <v>1</v>
      </c>
      <c r="DJ951" t="str">
        <f>IF(DI951=1,INDEX($DD$7:$DG$7,MATCH(1,$DD951:$DG951,0)),"mixedProduct")</f>
        <v>TimberInput</v>
      </c>
      <c r="DK951">
        <f>IF(DD951=1,DK$7,0)</f>
        <v>0</v>
      </c>
      <c r="DL951">
        <f>IF(DE951=1,DL$7,0)</f>
        <v>0</v>
      </c>
      <c r="DM951">
        <f>IF(DF951=1,DM$7,0)</f>
        <v>0</v>
      </c>
      <c r="DN951" t="str">
        <f>IF(DG951=1,DN$7,0)</f>
        <v>Timber</v>
      </c>
      <c r="DO951">
        <v>0</v>
      </c>
      <c r="DP951" s="143">
        <v>0</v>
      </c>
      <c r="DQ951" s="143">
        <v>0</v>
      </c>
      <c r="DR951" s="143">
        <v>0</v>
      </c>
      <c r="DS951">
        <v>0</v>
      </c>
      <c r="DT951">
        <f>SUM(DO951:DP951)</f>
        <v>0</v>
      </c>
      <c r="DU951" s="143" t="str">
        <f>IF(DO951=1,"self-calculated DF",IF(DP951=1,"external DF used","explicit C balance"))</f>
        <v>explicit C balance</v>
      </c>
      <c r="DV951">
        <v>0</v>
      </c>
      <c r="DW951" s="143">
        <v>0</v>
      </c>
      <c r="DX951" s="143">
        <v>0</v>
      </c>
      <c r="DY951" s="143">
        <v>1</v>
      </c>
      <c r="DZ951">
        <v>0</v>
      </c>
      <c r="EA951" s="143">
        <v>1</v>
      </c>
      <c r="EB951">
        <v>0</v>
      </c>
      <c r="EC951" s="143">
        <v>1</v>
      </c>
      <c r="ED951" s="143">
        <v>1</v>
      </c>
      <c r="EE951">
        <v>1</v>
      </c>
      <c r="EF951">
        <v>0</v>
      </c>
      <c r="EG951" s="143">
        <v>1</v>
      </c>
      <c r="EH951">
        <v>0</v>
      </c>
      <c r="EI951" s="2">
        <v>0</v>
      </c>
      <c r="EK951" t="str">
        <f>IF(AND(AND(AND(OR($DX951=1,$DW951=1),OR($EC951=1,$EA951=1)),SUM($DV951:$DZ951,$EF951)&gt;=4),SUM($EA951:$EE951)&gt;=2),"Whole sector","")</f>
        <v/>
      </c>
      <c r="EL951" t="str">
        <f>IF(AND(AND(OR($DX951=1,$DW951=1),AND($EC951=0,$EA951=0)),SUM($DV951:$DZ951,$EF951)&gt;=4),"Ecosystem approach","")</f>
        <v/>
      </c>
      <c r="EM951" s="2" t="str">
        <f>IF(AND(AND(AND($DX951=0,$DW951=0),OR($EC951=1,$EA951=1)),SUM($EB951:$EE951)&gt;=2),"Technology approach","")</f>
        <v>Technology approach</v>
      </c>
      <c r="EP951" t="str">
        <f>IF(ISNUMBER(BU951),IF(ABS(BU951-[2]QC_indicators!$B$2)&gt;3*[2]QC_indicators!$C$2,"C ratio",IF(ISNUMBER(BY951),IF(ABS(BY951-[2]QC_indicators!$B$1)&gt;3*[2]QC_indicators!$C$1,"DF","no"))),IF(ISNUMBER(BY951),IF(ABS(BY951-[2]QC_indicators!$B$1)&gt;3*[2]QC_indicators!$C$1,"DF","no")))</f>
        <v>no</v>
      </c>
      <c r="ET951" s="264" t="s">
        <v>3262</v>
      </c>
    </row>
    <row r="952" spans="1:150" ht="15" customHeight="1">
      <c r="A952" s="1" t="s">
        <v>333</v>
      </c>
      <c r="B952" t="s">
        <v>719</v>
      </c>
      <c r="C952" t="s">
        <v>720</v>
      </c>
      <c r="D952" t="s">
        <v>721</v>
      </c>
      <c r="E952" t="s">
        <v>722</v>
      </c>
      <c r="F952" t="s">
        <v>723</v>
      </c>
      <c r="G952" t="s">
        <v>339</v>
      </c>
      <c r="H952" t="s">
        <v>254</v>
      </c>
      <c r="I952">
        <v>2015</v>
      </c>
      <c r="J952">
        <v>86</v>
      </c>
      <c r="K952" t="s">
        <v>724</v>
      </c>
      <c r="M952" t="str">
        <f>LEFT($D952,FIND(",",$D952)-1)&amp;"_"&amp;I952&amp;L952</f>
        <v>Fouquet_2015</v>
      </c>
      <c r="N952" t="s">
        <v>222</v>
      </c>
      <c r="O952" s="145" t="s">
        <v>274</v>
      </c>
      <c r="Q952" t="s">
        <v>256</v>
      </c>
      <c r="R952" s="255" t="s">
        <v>225</v>
      </c>
      <c r="S952" s="1" t="s">
        <v>730</v>
      </c>
      <c r="T952" s="264" t="s">
        <v>3329</v>
      </c>
      <c r="U952" s="264" t="s">
        <v>3332</v>
      </c>
      <c r="V952">
        <v>0</v>
      </c>
      <c r="W952">
        <v>0</v>
      </c>
      <c r="X952">
        <v>0</v>
      </c>
      <c r="Y952">
        <v>0</v>
      </c>
      <c r="Z952">
        <v>0</v>
      </c>
      <c r="AA952">
        <v>0</v>
      </c>
      <c r="AB952">
        <v>0</v>
      </c>
      <c r="AC952">
        <v>0</v>
      </c>
      <c r="AD952">
        <v>0</v>
      </c>
      <c r="AE952">
        <v>0</v>
      </c>
      <c r="AF952">
        <v>0</v>
      </c>
      <c r="AG952">
        <v>0</v>
      </c>
      <c r="AH952">
        <v>0</v>
      </c>
      <c r="AI952">
        <v>0</v>
      </c>
      <c r="AJ952">
        <v>0</v>
      </c>
      <c r="AK952">
        <v>1</v>
      </c>
      <c r="AL952">
        <v>0</v>
      </c>
      <c r="AM952">
        <v>0</v>
      </c>
      <c r="AN952">
        <v>0</v>
      </c>
      <c r="AO952">
        <v>0</v>
      </c>
      <c r="AP952">
        <v>0</v>
      </c>
      <c r="AQ952">
        <v>0</v>
      </c>
      <c r="AR952">
        <v>0</v>
      </c>
      <c r="AS952">
        <v>0</v>
      </c>
      <c r="AT952">
        <v>0</v>
      </c>
      <c r="AU952">
        <v>0</v>
      </c>
      <c r="AV952">
        <v>0</v>
      </c>
      <c r="AW952">
        <v>0</v>
      </c>
      <c r="AX952" s="141">
        <f>COUNTIF(V952:AW952,"&lt;&gt;0")</f>
        <v>1</v>
      </c>
      <c r="AY952" s="141">
        <f>COUNTIF(V952:AL952,"&lt;&gt;0")</f>
        <v>1</v>
      </c>
      <c r="AZ952">
        <f>COUNTIF(V952:AC952,"&lt;&gt;0")</f>
        <v>0</v>
      </c>
      <c r="BA952">
        <f>COUNTIF(AD952:AI952,"&lt;&gt;0")</f>
        <v>0</v>
      </c>
      <c r="BB952">
        <f>COUNTIF(AJ952:AL952,"&lt;&gt;0")</f>
        <v>1</v>
      </c>
      <c r="BC952">
        <f>COUNTIF(AS952:AW952,"&lt;&gt;0")</f>
        <v>0</v>
      </c>
      <c r="BD952">
        <f>COUNTIF(AM952:AR952,"&lt;&gt;0")</f>
        <v>0</v>
      </c>
      <c r="BE952" t="str">
        <f t="array" ref="BE952">IF(AY952=1,INDEX($V$7:$AL$7,MATCH(TRUE,INDEX($V952:$AW952&lt;&gt;0,),0)),IF(AY952=0,INDEX($AM$7:$AW$7,MATCH(1,$AM952:$AW952,0)),IF(BF952="Multiple strategies","mixed drivers",IF(BF952="Supply chain","multiple supply","multiple silviculture"))))</f>
        <v>technologies/design switch</v>
      </c>
      <c r="BF952" s="2" t="str" cm="1">
        <f t="array" ref="BF952">IF(COUNTIF(AZ952:BB952,"&lt;&gt;0")=1,INDEX($V$4:$AW$4,MATCH(TRUE,INDEX($V952:$AW952&lt;&gt;0,),0)),IF(COUNTIF(AZ952:BB952,"&lt;&gt;0")=0,INDEX($AM$4:$AW$4,MATCH(1,$AM952:$AW952,0)),"Multiple strategies"))</f>
        <v>Technology</v>
      </c>
      <c r="BG952" s="1" t="s">
        <v>229</v>
      </c>
      <c r="BH952" t="s">
        <v>727</v>
      </c>
      <c r="BI952" s="260" t="s">
        <v>3326</v>
      </c>
      <c r="BJ952" s="260" t="s">
        <v>345</v>
      </c>
      <c r="BK952" s="260">
        <v>477</v>
      </c>
      <c r="BL952" s="260">
        <f xml:space="preserve"> 5341+3892+7551+1439+923+477</f>
        <v>19623</v>
      </c>
      <c r="BN952">
        <f>BL952-BK952</f>
        <v>19146</v>
      </c>
      <c r="BO952" s="260">
        <f>BN952/1000*tC_to_m3</f>
        <v>83.135041250542784</v>
      </c>
      <c r="BP952" s="260" t="s">
        <v>395</v>
      </c>
      <c r="BQ952" s="260" t="s">
        <v>3327</v>
      </c>
      <c r="BR952" t="s">
        <v>397</v>
      </c>
      <c r="BS952" s="260">
        <v>176247</v>
      </c>
      <c r="BT952" s="260">
        <f>9761</f>
        <v>9761</v>
      </c>
      <c r="BU952" s="144">
        <f>IFERROR(BT952/BS952,"")</f>
        <v>5.5382502964589471E-2</v>
      </c>
      <c r="BV952">
        <f>BT952-BS952</f>
        <v>-166486</v>
      </c>
      <c r="BX952">
        <f>BV952/1000</f>
        <v>-166.48599999999999</v>
      </c>
      <c r="BY952">
        <f>IFERROR(BX952/BO952,"")</f>
        <v>-2.0025971900135793</v>
      </c>
      <c r="BZ952">
        <v>0</v>
      </c>
      <c r="CA952">
        <v>0</v>
      </c>
      <c r="CB952">
        <v>0</v>
      </c>
      <c r="CC952">
        <v>0</v>
      </c>
      <c r="CD952">
        <v>0</v>
      </c>
      <c r="CE952">
        <v>0</v>
      </c>
      <c r="CF952">
        <v>0</v>
      </c>
      <c r="CG952">
        <v>0</v>
      </c>
      <c r="CH952">
        <v>0</v>
      </c>
      <c r="CI952">
        <v>0</v>
      </c>
      <c r="CJ952">
        <v>0</v>
      </c>
      <c r="CK952">
        <v>0</v>
      </c>
      <c r="CL952">
        <v>0</v>
      </c>
      <c r="CM952">
        <v>0</v>
      </c>
      <c r="CN952" t="str">
        <f>IF($BL952&lt;$BK952,"refNeedCorrection","refOK")</f>
        <v>refOK</v>
      </c>
      <c r="CO952">
        <f>IF($CN952="refNeedCorrection",BL952,BK952)</f>
        <v>477</v>
      </c>
      <c r="CP952">
        <f>IF($CN952="refNeedCorrection",BK952,BL952)</f>
        <v>19623</v>
      </c>
      <c r="CQ952">
        <f>IF($CN952="refOK",$BO952,-$BO952)</f>
        <v>83.135041250542784</v>
      </c>
      <c r="CR952">
        <f>IF($CN952="refOK",$BS952,$BT952)*IF($BP952="Emissions positive",-1,1)</f>
        <v>-176247</v>
      </c>
      <c r="CS952">
        <f>IF($CN952="refOK",$BT952,$BS952)*IF($BP952="Emissions positive",-1,1)</f>
        <v>-9761</v>
      </c>
      <c r="CT952">
        <f>IF($CN952="refNeedCorrection",-BX952,BX952)*IF($BP952="Emissions positive",-1,1)</f>
        <v>166.48599999999999</v>
      </c>
      <c r="CU952">
        <f>IFERROR(CT952/CQ952,"")</f>
        <v>2.0025971900135793</v>
      </c>
      <c r="CV952" s="2">
        <f>IFERROR((CS952-CR952)/ABS(CR952),"")</f>
        <v>0.94461749703541054</v>
      </c>
      <c r="CW952" s="1" t="s">
        <v>263</v>
      </c>
      <c r="CX952" t="str">
        <f>IF(OR($CW952="prd",$CW952="std",$CW952="cit"),"loc",IF(OR($CW952="eur",$CW952="reg",$CW952="coy"),"reg",$CW952))</f>
        <v>loc</v>
      </c>
      <c r="CY952" t="s">
        <v>729</v>
      </c>
      <c r="DB952">
        <v>100</v>
      </c>
      <c r="DC952" t="str">
        <f>IF(DB952=0,"0",IF(AND(DB952&gt;=1,DB952&lt;=30),"1-30",IF(AND(DB952&gt;30,DB952&lt;=70),"31-70",IF(AND(DB952&gt;70,DB952&lt;=100),"71-100",IF(DB952&gt;100,"+100")))))</f>
        <v>71-100</v>
      </c>
      <c r="DD952">
        <v>0</v>
      </c>
      <c r="DE952">
        <v>0</v>
      </c>
      <c r="DF952">
        <v>0</v>
      </c>
      <c r="DG952">
        <v>1</v>
      </c>
      <c r="DI952">
        <f>SUM(DD952:DG952)</f>
        <v>1</v>
      </c>
      <c r="DJ952" t="str">
        <f>IF(DI952=1,INDEX($DD$7:$DG$7,MATCH(1,$DD952:$DG952,0)),"mixedProduct")</f>
        <v>TimberInput</v>
      </c>
      <c r="DK952">
        <f>IF(DD952=1,DK$7,0)</f>
        <v>0</v>
      </c>
      <c r="DL952">
        <f>IF(DE952=1,DL$7,0)</f>
        <v>0</v>
      </c>
      <c r="DM952">
        <f>IF(DF952=1,DM$7,0)</f>
        <v>0</v>
      </c>
      <c r="DN952" t="str">
        <f>IF(DG952=1,DN$7,0)</f>
        <v>Timber</v>
      </c>
      <c r="DO952">
        <v>0</v>
      </c>
      <c r="DP952">
        <v>0</v>
      </c>
      <c r="DQ952">
        <v>0</v>
      </c>
      <c r="DR952">
        <v>0</v>
      </c>
      <c r="DS952">
        <v>0</v>
      </c>
      <c r="DT952">
        <f>SUM(DO952:DP952)</f>
        <v>0</v>
      </c>
      <c r="DU952" s="143" t="str">
        <f>IF(DO952=1,"self-calculated DF",IF(DP952=1,"external DF used","explicit C balance"))</f>
        <v>explicit C balance</v>
      </c>
      <c r="DV952">
        <v>0</v>
      </c>
      <c r="DW952">
        <v>0</v>
      </c>
      <c r="DX952">
        <v>0</v>
      </c>
      <c r="DY952">
        <v>1</v>
      </c>
      <c r="DZ952">
        <v>1</v>
      </c>
      <c r="EA952">
        <v>1</v>
      </c>
      <c r="EB952">
        <v>0</v>
      </c>
      <c r="EC952">
        <v>1</v>
      </c>
      <c r="ED952">
        <v>1</v>
      </c>
      <c r="EE952">
        <v>1</v>
      </c>
      <c r="EF952">
        <v>0</v>
      </c>
      <c r="EG952">
        <v>0</v>
      </c>
      <c r="EH952">
        <v>0</v>
      </c>
      <c r="EI952" s="2">
        <v>0</v>
      </c>
      <c r="EK952" t="str">
        <f>IF(AND(AND(AND(OR($DX952=1,$DW952=1),OR($EC952=1,$EA952=1)),SUM($DV952:$DZ952,$EF952)&gt;=4),SUM($EA952:$EE952)&gt;=2),"Whole sector","")</f>
        <v/>
      </c>
      <c r="EL952" t="str">
        <f>IF(AND(AND(OR($DX952=1,$DW952=1),AND($EC952=0,$EA952=0)),SUM($DV952:$DZ952,$EF952)&gt;=4),"Ecosystem approach","")</f>
        <v/>
      </c>
      <c r="EM952" s="2" t="str">
        <f>IF(AND(AND(AND($DX952=0,$DW952=0),OR($EC952=1,$EA952=1)),SUM($EB952:$EE952)&gt;=2),"Technology approach","")</f>
        <v>Technology approach</v>
      </c>
      <c r="EP952" t="str">
        <f>IF(ISNUMBER(BU952),IF(ABS(BU952-[4]QC_indicators!$B$2)&gt;3*[4]QC_indicators!$C$2,"C ratio",IF(ISNUMBER(BY952),IF(ABS(BY952-[4]QC_indicators!$B$1)&gt;3*[4]QC_indicators!$C$1,"DF","no"))),IF(ISNUMBER(BY952),IF(ABS(BY952-[4]QC_indicators!$B$1)&gt;3*[4]QC_indicators!$C$1,"DF","no")))</f>
        <v>no</v>
      </c>
      <c r="ET952" s="264" t="s">
        <v>3273</v>
      </c>
    </row>
    <row r="953" spans="1:150" ht="15" customHeight="1">
      <c r="D953" t="s">
        <v>917</v>
      </c>
      <c r="E953" t="s">
        <v>918</v>
      </c>
      <c r="G953" t="s">
        <v>919</v>
      </c>
      <c r="I953">
        <v>2004</v>
      </c>
      <c r="K953" t="s">
        <v>920</v>
      </c>
      <c r="M953" t="str">
        <f>LEFT($D953,FIND(",",$D953)-1)&amp;"_"&amp;I953&amp;L953</f>
        <v>Lippke_2004</v>
      </c>
      <c r="N953" t="s">
        <v>222</v>
      </c>
      <c r="O953" t="s">
        <v>223</v>
      </c>
      <c r="Q953" t="s">
        <v>256</v>
      </c>
      <c r="R953" s="255" t="s">
        <v>225</v>
      </c>
      <c r="S953" s="1" t="s">
        <v>752</v>
      </c>
      <c r="T953" t="s">
        <v>921</v>
      </c>
      <c r="U953" s="264" t="s">
        <v>922</v>
      </c>
      <c r="V953">
        <v>0</v>
      </c>
      <c r="W953">
        <v>0</v>
      </c>
      <c r="X953">
        <v>0</v>
      </c>
      <c r="Y953">
        <v>0</v>
      </c>
      <c r="Z953">
        <v>0</v>
      </c>
      <c r="AA953">
        <v>0</v>
      </c>
      <c r="AB953">
        <v>0</v>
      </c>
      <c r="AC953">
        <v>0</v>
      </c>
      <c r="AD953">
        <v>0</v>
      </c>
      <c r="AE953">
        <v>0</v>
      </c>
      <c r="AF953">
        <v>0</v>
      </c>
      <c r="AG953">
        <v>0</v>
      </c>
      <c r="AH953">
        <v>0</v>
      </c>
      <c r="AI953">
        <v>0</v>
      </c>
      <c r="AJ953">
        <v>0</v>
      </c>
      <c r="AK953">
        <v>1</v>
      </c>
      <c r="AL953">
        <v>0</v>
      </c>
      <c r="AM953">
        <v>0</v>
      </c>
      <c r="AN953">
        <v>0</v>
      </c>
      <c r="AO953">
        <v>0</v>
      </c>
      <c r="AP953">
        <v>0</v>
      </c>
      <c r="AQ953">
        <v>0</v>
      </c>
      <c r="AR953">
        <v>0</v>
      </c>
      <c r="AS953">
        <v>0</v>
      </c>
      <c r="AT953">
        <v>0</v>
      </c>
      <c r="AU953">
        <v>0</v>
      </c>
      <c r="AV953">
        <v>0</v>
      </c>
      <c r="AW953">
        <v>0</v>
      </c>
      <c r="AX953" s="141">
        <f>COUNTIF(V953:AW953,"&lt;&gt;0")</f>
        <v>1</v>
      </c>
      <c r="AY953" s="141">
        <f>COUNTIF(V953:AL953,"&lt;&gt;0")</f>
        <v>1</v>
      </c>
      <c r="AZ953">
        <f>COUNTIF(V953:AC953,"&lt;&gt;0")</f>
        <v>0</v>
      </c>
      <c r="BA953">
        <f>COUNTIF(AD953:AI953,"&lt;&gt;0")</f>
        <v>0</v>
      </c>
      <c r="BB953">
        <f>COUNTIF(AJ953:AL953,"&lt;&gt;0")</f>
        <v>1</v>
      </c>
      <c r="BC953">
        <f>COUNTIF(AS953:AW953,"&lt;&gt;0")</f>
        <v>0</v>
      </c>
      <c r="BD953">
        <f>COUNTIF(AM953:AR953,"&lt;&gt;0")</f>
        <v>0</v>
      </c>
      <c r="BE953" t="str">
        <f t="array" ref="BE953">IF(AY953=1,INDEX($V$7:$AL$7,MATCH(TRUE,INDEX($V953:$AW953&lt;&gt;0,),0)),IF(AY953=0,INDEX($AM$7:$AW$7,MATCH(1,$AM953:$AW953,0)),IF(BF953="Multiple strategies","mixed drivers",IF(BF953="Supply chain","multiple supply","multiple silviculture"))))</f>
        <v>technologies/design switch</v>
      </c>
      <c r="BF953" s="2" t="str" cm="1">
        <f t="array" ref="BF953">IF(COUNTIF(AZ953:BB953,"&lt;&gt;0")=1,INDEX($V$4:$AW$4,MATCH(TRUE,INDEX($V953:$AW953&lt;&gt;0,),0)),IF(COUNTIF(AZ953:BB953,"&lt;&gt;0")=0,INDEX($AM$4:$AW$4,MATCH(1,$AM953:$AW953,0)),"Multiple strategies"))</f>
        <v>Technology</v>
      </c>
      <c r="BG953" s="1" t="s">
        <v>229</v>
      </c>
      <c r="BH953" t="s">
        <v>923</v>
      </c>
      <c r="BI953" s="260" t="s">
        <v>3371</v>
      </c>
      <c r="BJ953" s="264" t="s">
        <v>345</v>
      </c>
      <c r="BK953">
        <v>8191</v>
      </c>
      <c r="BL953" s="264">
        <v>9811</v>
      </c>
      <c r="BM953" s="264">
        <f>BL953/BK953</f>
        <v>1.1977780490782566</v>
      </c>
      <c r="BN953">
        <f>BL953-BK953</f>
        <v>1620</v>
      </c>
      <c r="BO953" s="264">
        <f>BN953*kg_to_m3</f>
        <v>3.306122448979592</v>
      </c>
      <c r="BP953" t="s">
        <v>232</v>
      </c>
      <c r="BQ953" s="260" t="s">
        <v>813</v>
      </c>
      <c r="BR953" t="s">
        <v>728</v>
      </c>
      <c r="BS953" s="264">
        <v>-28004</v>
      </c>
      <c r="BT953">
        <v>-21367</v>
      </c>
      <c r="BU953" s="144">
        <f>IFERROR(BT953/BS953,"")</f>
        <v>0.7629981431224111</v>
      </c>
      <c r="BV953">
        <f>BT953-BS953</f>
        <v>6637</v>
      </c>
      <c r="BX953">
        <f>BV953/1000</f>
        <v>6.6369999999999996</v>
      </c>
      <c r="BY953">
        <f>IFERROR(BX953/BO953,"")</f>
        <v>2.0074876543209874</v>
      </c>
      <c r="BZ953">
        <v>0</v>
      </c>
      <c r="CA953">
        <v>0</v>
      </c>
      <c r="CB953">
        <v>0</v>
      </c>
      <c r="CC953">
        <v>0</v>
      </c>
      <c r="CD953">
        <v>0</v>
      </c>
      <c r="CE953">
        <v>0</v>
      </c>
      <c r="CF953">
        <v>0</v>
      </c>
      <c r="CG953">
        <v>0</v>
      </c>
      <c r="CH953">
        <v>0</v>
      </c>
      <c r="CI953">
        <v>0</v>
      </c>
      <c r="CJ953">
        <v>1</v>
      </c>
      <c r="CK953">
        <v>0</v>
      </c>
      <c r="CL953">
        <v>0</v>
      </c>
      <c r="CM953">
        <v>0</v>
      </c>
      <c r="CN953" t="str">
        <f>IF($BL953&lt;$BK953,"refNeedCorrection","refOK")</f>
        <v>refOK</v>
      </c>
      <c r="CO953">
        <f>IF($CN953="refNeedCorrection",BL953,BK953)</f>
        <v>8191</v>
      </c>
      <c r="CP953">
        <f>IF($CN953="refNeedCorrection",BK953,BL953)</f>
        <v>9811</v>
      </c>
      <c r="CQ953">
        <f>IF($CN953="refOK",$BO953,-$BO953)</f>
        <v>3.306122448979592</v>
      </c>
      <c r="CR953">
        <f>IF($CN953="refOK",$BS953,$BT953)*IF($BP953="Emissions positive",-1,1)</f>
        <v>-28004</v>
      </c>
      <c r="CS953">
        <f>IF($CN953="refOK",$BT953,$BS953)*IF($BP953="Emissions positive",-1,1)</f>
        <v>-21367</v>
      </c>
      <c r="CT953">
        <f>IF($CN953="refNeedCorrection",-BX953,BX953)*IF($BP953="Emissions positive",-1,1)</f>
        <v>6.6369999999999996</v>
      </c>
      <c r="CU953">
        <f>IFERROR(CT953/CQ953,"")</f>
        <v>2.0074876543209874</v>
      </c>
      <c r="CV953" s="2">
        <f>IFERROR((CS953-CR953)/ABS(CR953),"")</f>
        <v>0.23700185687758893</v>
      </c>
      <c r="CW953" s="1" t="s">
        <v>263</v>
      </c>
      <c r="CX953" t="str">
        <f>IF(OR($CW953="prd",$CW953="std",$CW953="cit"),"loc",IF(OR($CW953="eur",$CW953="reg",$CW953="coy"),"reg",$CW953))</f>
        <v>loc</v>
      </c>
      <c r="CY953" t="s">
        <v>428</v>
      </c>
      <c r="DA953" s="143"/>
      <c r="DB953" s="264">
        <v>0</v>
      </c>
      <c r="DC953" t="str">
        <f>IF(DB953=0,"0",IF(AND(DB953&gt;=1,DB953&lt;=30),"1-30",IF(AND(DB953&gt;30,DB953&lt;=70),"31-70",IF(AND(DB953&gt;70,DB953&lt;=100),"71-100",IF(DB953&gt;100,"+100")))))</f>
        <v>0</v>
      </c>
      <c r="DD953">
        <v>0</v>
      </c>
      <c r="DE953">
        <v>0</v>
      </c>
      <c r="DF953">
        <v>0</v>
      </c>
      <c r="DG953">
        <v>1</v>
      </c>
      <c r="DI953">
        <f>SUM(DD953:DG953)</f>
        <v>1</v>
      </c>
      <c r="DJ953" t="str">
        <f>IF(DI953=1,INDEX($DD$7:$DG$7,MATCH(1,$DD953:$DG953,0)),"mixedProduct")</f>
        <v>TimberInput</v>
      </c>
      <c r="DK953">
        <f>IF(DD953=1,DK$7,0)</f>
        <v>0</v>
      </c>
      <c r="DL953">
        <f>IF(DE953=1,DL$7,0)</f>
        <v>0</v>
      </c>
      <c r="DM953">
        <f>IF(DF953=1,DM$7,0)</f>
        <v>0</v>
      </c>
      <c r="DN953" t="str">
        <f>IF(DG953=1,DN$7,0)</f>
        <v>Timber</v>
      </c>
      <c r="DO953">
        <v>0</v>
      </c>
      <c r="DP953" s="143">
        <v>0</v>
      </c>
      <c r="DQ953" s="143">
        <v>0</v>
      </c>
      <c r="DR953">
        <v>0</v>
      </c>
      <c r="DS953" s="143">
        <v>0</v>
      </c>
      <c r="DT953">
        <f>SUM(DO953:DP953)</f>
        <v>0</v>
      </c>
      <c r="DU953" s="143" t="str">
        <f>IF(DO953=1,"self-calculated DF",IF(DP953=1,"external DF used","explicit C balance"))</f>
        <v>explicit C balance</v>
      </c>
      <c r="DV953" s="143">
        <v>0</v>
      </c>
      <c r="DW953" s="143">
        <v>0</v>
      </c>
      <c r="DX953">
        <v>0</v>
      </c>
      <c r="DY953">
        <v>0</v>
      </c>
      <c r="DZ953">
        <v>0</v>
      </c>
      <c r="EA953" s="143">
        <v>0</v>
      </c>
      <c r="EB953" s="143">
        <v>0</v>
      </c>
      <c r="EC953">
        <v>1</v>
      </c>
      <c r="ED953" s="143">
        <v>0</v>
      </c>
      <c r="EE953">
        <v>1</v>
      </c>
      <c r="EF953">
        <v>0</v>
      </c>
      <c r="EG953" s="143">
        <v>0</v>
      </c>
      <c r="EH953">
        <v>0</v>
      </c>
      <c r="EI953" s="2">
        <v>0</v>
      </c>
      <c r="EK953" t="str">
        <f>IF(AND(AND(AND(OR($DX953=1,$DW953=1),OR($EC953=1,$EA953=1)),SUM($DV953:$DZ953,$EF953)&gt;=4),SUM($EA953:$EE953)&gt;=2),"Whole sector","")</f>
        <v/>
      </c>
      <c r="EL953" t="str">
        <f>IF(AND(AND(OR($DX953=1,$DW953=1),AND($EC953=0,$EA953=0)),SUM($DV953:$DZ953,$EF953)&gt;=4),"Ecosystem approach","")</f>
        <v/>
      </c>
      <c r="EM953" s="2" t="str">
        <f>IF(AND(AND(AND($DX953=0,$DW953=0),OR($EC953=1,$EA953=1)),SUM($EB953:$EE953)&gt;=2),"Technology approach","")</f>
        <v>Technology approach</v>
      </c>
      <c r="EN953" s="264" t="s">
        <v>3372</v>
      </c>
      <c r="EP953" t="str">
        <f>IF(ISNUMBER(BU953),IF(ABS(BU953-[4]QC_indicators!$B$2)&gt;3*[4]QC_indicators!$C$2,"C ratio",IF(ISNUMBER(BY953),IF(ABS(BY953-[4]QC_indicators!$B$1)&gt;3*[4]QC_indicators!$C$1,"DF","no"))),IF(ISNUMBER(BY953),IF(ABS(BY953-[4]QC_indicators!$B$1)&gt;3*[4]QC_indicators!$C$1,"DF","no")))</f>
        <v>no</v>
      </c>
      <c r="ER953" s="149" t="s">
        <v>349</v>
      </c>
      <c r="ET953" s="264" t="s">
        <v>3273</v>
      </c>
    </row>
    <row r="954" spans="1:150" ht="15" customHeight="1">
      <c r="A954" s="1" t="s">
        <v>265</v>
      </c>
      <c r="B954" t="s">
        <v>266</v>
      </c>
      <c r="C954" t="s">
        <v>267</v>
      </c>
      <c r="D954" t="s">
        <v>268</v>
      </c>
      <c r="E954" t="s">
        <v>269</v>
      </c>
      <c r="F954" t="s">
        <v>270</v>
      </c>
      <c r="G954" t="s">
        <v>271</v>
      </c>
      <c r="H954" t="s">
        <v>254</v>
      </c>
      <c r="I954">
        <v>2022</v>
      </c>
      <c r="J954">
        <v>0</v>
      </c>
      <c r="K954" t="s">
        <v>272</v>
      </c>
      <c r="M954" t="str">
        <f>LEFT($D954,FIND(",",$D954)-1)&amp;"_"&amp;I954&amp;L954</f>
        <v>Aryapratama_2022</v>
      </c>
      <c r="N954" t="s">
        <v>222</v>
      </c>
      <c r="O954" s="145" t="s">
        <v>274</v>
      </c>
      <c r="Q954" t="s">
        <v>224</v>
      </c>
      <c r="R954" s="262" t="s">
        <v>223</v>
      </c>
      <c r="S954" s="263" t="s">
        <v>3105</v>
      </c>
      <c r="T954" t="s">
        <v>311</v>
      </c>
      <c r="U954" t="s">
        <v>312</v>
      </c>
      <c r="V954">
        <v>0</v>
      </c>
      <c r="W954">
        <v>0</v>
      </c>
      <c r="X954">
        <v>0</v>
      </c>
      <c r="Y954">
        <v>0</v>
      </c>
      <c r="Z954">
        <v>0</v>
      </c>
      <c r="AA954">
        <v>0</v>
      </c>
      <c r="AB954">
        <v>0</v>
      </c>
      <c r="AC954">
        <v>0</v>
      </c>
      <c r="AD954">
        <v>0</v>
      </c>
      <c r="AE954">
        <v>0</v>
      </c>
      <c r="AF954">
        <v>0</v>
      </c>
      <c r="AG954">
        <v>0</v>
      </c>
      <c r="AH954">
        <v>0</v>
      </c>
      <c r="AI954">
        <v>0</v>
      </c>
      <c r="AJ954">
        <v>0</v>
      </c>
      <c r="AK954">
        <v>1</v>
      </c>
      <c r="AL954">
        <v>0</v>
      </c>
      <c r="AM954">
        <v>0</v>
      </c>
      <c r="AN954">
        <v>0</v>
      </c>
      <c r="AO954">
        <v>0</v>
      </c>
      <c r="AP954">
        <v>0</v>
      </c>
      <c r="AQ954">
        <v>0</v>
      </c>
      <c r="AR954">
        <v>0</v>
      </c>
      <c r="AS954">
        <v>0</v>
      </c>
      <c r="AT954">
        <v>0</v>
      </c>
      <c r="AU954">
        <v>0</v>
      </c>
      <c r="AV954">
        <v>0</v>
      </c>
      <c r="AW954">
        <v>0</v>
      </c>
      <c r="AX954" s="141">
        <f>COUNTIF(V954:AW954,"&lt;&gt;0")</f>
        <v>1</v>
      </c>
      <c r="AY954" s="141">
        <f>COUNTIF(V954:AL954,"&lt;&gt;0")</f>
        <v>1</v>
      </c>
      <c r="AZ954">
        <f>COUNTIF(V954:AC954,"&lt;&gt;0")</f>
        <v>0</v>
      </c>
      <c r="BA954">
        <f>COUNTIF(AD954:AI954,"&lt;&gt;0")</f>
        <v>0</v>
      </c>
      <c r="BB954">
        <f>COUNTIF(AJ954:AL954,"&lt;&gt;0")</f>
        <v>1</v>
      </c>
      <c r="BC954">
        <f>COUNTIF(AS954:AW954,"&lt;&gt;0")</f>
        <v>0</v>
      </c>
      <c r="BD954">
        <f>COUNTIF(AM954:AR954,"&lt;&gt;0")</f>
        <v>0</v>
      </c>
      <c r="BE954" t="str">
        <f t="array" ref="BE954">IF(AY954=1,INDEX($V$7:$AL$7,MATCH(TRUE,INDEX($V954:$AW954&lt;&gt;0,),0)),IF(AY954=0,INDEX($AM$7:$AW$7,MATCH(1,$AM954:$AW954,0)),IF(BF954="Multiple strategies","mixed drivers",IF(BF954="Supply chain","multiple supply","multiple silviculture"))))</f>
        <v>technologies/design switch</v>
      </c>
      <c r="BF954" s="2" t="str" cm="1">
        <f t="array" ref="BF954">IF(COUNTIF(AZ954:BB954,"&lt;&gt;0")=1,INDEX($V$4:$AW$4,MATCH(TRUE,INDEX($V954:$AW954&lt;&gt;0,),0)),IF(COUNTIF(AZ954:BB954,"&lt;&gt;0")=0,INDEX($AM$4:$AW$4,MATCH(1,$AM954:$AW954,0)),"Multiple strategies"))</f>
        <v>Technology</v>
      </c>
      <c r="BG954" s="1" t="s">
        <v>229</v>
      </c>
      <c r="BH954" t="s">
        <v>277</v>
      </c>
      <c r="BI954" s="264" t="s">
        <v>3106</v>
      </c>
      <c r="BJ954" t="s">
        <v>278</v>
      </c>
      <c r="BK954">
        <v>0</v>
      </c>
      <c r="BL954">
        <v>23.12907189695861</v>
      </c>
      <c r="BN954">
        <f>BL954-BK954</f>
        <v>23.12907189695861</v>
      </c>
      <c r="BO954">
        <f>BN954*tC_to_m3</f>
        <v>100.43018626556062</v>
      </c>
      <c r="BP954" t="s">
        <v>232</v>
      </c>
      <c r="BQ954" s="337" t="s">
        <v>3107</v>
      </c>
      <c r="BR954" t="s">
        <v>279</v>
      </c>
      <c r="BS954">
        <v>152.02211024415089</v>
      </c>
      <c r="BT954">
        <v>354.30409954781243</v>
      </c>
      <c r="BU954" s="144">
        <f>IFERROR(BT954/BS954,"")</f>
        <v>2.3306090079843789</v>
      </c>
      <c r="BV954">
        <f>BT954-BS954</f>
        <v>202.28198930366153</v>
      </c>
      <c r="BX954">
        <f>BV954</f>
        <v>202.28198930366153</v>
      </c>
      <c r="BY954">
        <f>IFERROR(BX954/BO954,"")</f>
        <v>2.0141552736821695</v>
      </c>
      <c r="BZ954">
        <v>0</v>
      </c>
      <c r="CA954">
        <v>0</v>
      </c>
      <c r="CB954">
        <v>0</v>
      </c>
      <c r="CC954">
        <v>0</v>
      </c>
      <c r="CD954">
        <v>0</v>
      </c>
      <c r="CE954">
        <v>0</v>
      </c>
      <c r="CF954">
        <v>0</v>
      </c>
      <c r="CG954">
        <v>0</v>
      </c>
      <c r="CH954">
        <v>0</v>
      </c>
      <c r="CI954">
        <v>0</v>
      </c>
      <c r="CJ954">
        <v>0</v>
      </c>
      <c r="CK954">
        <v>0</v>
      </c>
      <c r="CL954">
        <v>0</v>
      </c>
      <c r="CM954">
        <v>0</v>
      </c>
      <c r="CN954" t="str">
        <f>IF($BL954&lt;$BK954,"refNeedCorrection","refOK")</f>
        <v>refOK</v>
      </c>
      <c r="CO954">
        <f>IF($CN954="refOK",$BK954,$BL954)</f>
        <v>0</v>
      </c>
      <c r="CP954">
        <f>IF($CN954="refOK",$BL954,$BK954)</f>
        <v>23.12907189695861</v>
      </c>
      <c r="CQ954">
        <f>IF($CN954="refOK",$BO954,-$BO954)</f>
        <v>100.43018626556062</v>
      </c>
      <c r="CR954">
        <f>IF($CN954="refOK",$BS954,$BT954)*IF($BP954="Emissions positive",-1,1)</f>
        <v>152.02211024415089</v>
      </c>
      <c r="CS954">
        <f>IF($CN954="refOK",$BT954,$BS954)*IF($BP954="Emissions positive",-1,1)</f>
        <v>354.30409954781243</v>
      </c>
      <c r="CT954">
        <f>IF($CN954="refNeedCorrection",-BX954,BX954)*IF($BP954="Emissions positive",-1,1)</f>
        <v>202.28198930366153</v>
      </c>
      <c r="CU954">
        <f>IFERROR(CT954/CQ954,"")</f>
        <v>2.0141552736821695</v>
      </c>
      <c r="CV954" s="2">
        <f>IFERROR((CS954-CR954)/ABS(CR954),"")</f>
        <v>1.3306090079843791</v>
      </c>
      <c r="CW954" s="1" t="s">
        <v>234</v>
      </c>
      <c r="CX954" t="str">
        <f>IF(OR($CW954="prd",$CW954="std",$CW954="cit"),"loc",IF(OR($CW954="eur",$CW954="reg",$CW954="coy"),"reg",$CW954))</f>
        <v>loc</v>
      </c>
      <c r="CY954" t="s">
        <v>280</v>
      </c>
      <c r="DB954">
        <v>100</v>
      </c>
      <c r="DC954" t="str">
        <f>IF(DB954=0,"0",IF(AND(DB954&gt;=1,DB954&lt;=30),"1-30",IF(AND(DB954&gt;30,DB954&lt;=70),"31-70",IF(AND(DB954&gt;70,DB954&lt;=100),"71-100",IF(DB954&gt;100,"+100")))))</f>
        <v>71-100</v>
      </c>
      <c r="DD954">
        <v>0</v>
      </c>
      <c r="DE954">
        <v>0</v>
      </c>
      <c r="DF954">
        <v>0</v>
      </c>
      <c r="DG954">
        <v>1</v>
      </c>
      <c r="DI954">
        <f>SUM(DD954:DG954)</f>
        <v>1</v>
      </c>
      <c r="DJ954" t="str">
        <f>IF(DI954=1,INDEX($DD$7:$DG$7,MATCH(1,$DD954:$DG954,0)),"mixedProduct")</f>
        <v>TimberInput</v>
      </c>
      <c r="DK954">
        <f>IF(DD954=1,DK$7,0)</f>
        <v>0</v>
      </c>
      <c r="DL954">
        <f>IF(DE954=1,DL$7,0)</f>
        <v>0</v>
      </c>
      <c r="DM954">
        <f>IF(DF954=1,DM$7,0)</f>
        <v>0</v>
      </c>
      <c r="DN954" t="str">
        <f>IF(DG954=1,DN$7,0)</f>
        <v>Timber</v>
      </c>
      <c r="DO954">
        <v>0</v>
      </c>
      <c r="DP954">
        <v>1</v>
      </c>
      <c r="DQ954" t="s">
        <v>304</v>
      </c>
      <c r="DR954">
        <v>0</v>
      </c>
      <c r="DS954">
        <v>0</v>
      </c>
      <c r="DT954">
        <f>SUM(DO954:DP954)</f>
        <v>1</v>
      </c>
      <c r="DU954" s="143" t="str">
        <f>IF(DO954=1,"self-calculated DF",IF(DP954=1,"external DF used","explicit C balance"))</f>
        <v>external DF used</v>
      </c>
      <c r="DV954">
        <v>0</v>
      </c>
      <c r="DW954">
        <v>1</v>
      </c>
      <c r="DX954">
        <v>1</v>
      </c>
      <c r="DY954">
        <v>1</v>
      </c>
      <c r="DZ954">
        <v>1</v>
      </c>
      <c r="EA954" s="143">
        <v>0</v>
      </c>
      <c r="EB954">
        <v>1</v>
      </c>
      <c r="EC954">
        <v>1</v>
      </c>
      <c r="ED954">
        <v>0</v>
      </c>
      <c r="EE954">
        <v>1</v>
      </c>
      <c r="EF954">
        <v>1</v>
      </c>
      <c r="EG954">
        <v>1</v>
      </c>
      <c r="EH954">
        <v>0</v>
      </c>
      <c r="EI954" s="2">
        <v>0</v>
      </c>
      <c r="EK954" t="str">
        <f>IF(AND(AND(AND(OR($DX954=1,$DW954=1),OR($EC954=1,$EA954=1)),SUM($DV954:$DZ954,$EF954)&gt;=4),SUM($EA954:$EE954)&gt;=2),"Whole sector","")</f>
        <v>Whole sector</v>
      </c>
      <c r="EL954" t="str">
        <f>IF(AND(AND(OR($DX954=1,$DW954=1),AND($EC954=0,$EA954=0)),SUM($DV954:$DZ954,$EF954)&gt;=4),"Ecosystem approach","")</f>
        <v/>
      </c>
      <c r="EM954" s="2" t="str">
        <f>IF(AND(AND(AND($DX954=0,$DW954=0),OR($EC954=1,$EA954=1)),SUM($EB954:$EE954)&gt;=2),"Technology approach","")</f>
        <v/>
      </c>
      <c r="EP954" t="str">
        <f>IF(ISNUMBER(BU954),IF(ABS(BU954-[1]QC_indicators!$B$2)&gt;3*[1]QC_indicators!$C$2,"C ratio",IF(ISNUMBER(BY954),IF(ABS(BY954-[1]QC_indicators!$B$1)&gt;3*[1]QC_indicators!$C$1,"DF","no"))),IF(ISNUMBER(BY954),IF(ABS(BY954-[1]QC_indicators!$B$1)&gt;3*[1]QC_indicators!$C$1,"DF","no")))</f>
        <v>no</v>
      </c>
      <c r="EQ954" t="s">
        <v>286</v>
      </c>
      <c r="ET954" s="264" t="s">
        <v>3273</v>
      </c>
    </row>
    <row r="955" spans="1:150" ht="15" customHeight="1">
      <c r="A955" s="1" t="s">
        <v>333</v>
      </c>
      <c r="B955" t="s">
        <v>719</v>
      </c>
      <c r="C955" t="s">
        <v>720</v>
      </c>
      <c r="D955" t="s">
        <v>721</v>
      </c>
      <c r="E955" t="s">
        <v>722</v>
      </c>
      <c r="F955" t="s">
        <v>723</v>
      </c>
      <c r="G955" t="s">
        <v>339</v>
      </c>
      <c r="H955" t="s">
        <v>254</v>
      </c>
      <c r="I955">
        <v>2015</v>
      </c>
      <c r="J955">
        <v>86</v>
      </c>
      <c r="K955" t="s">
        <v>724</v>
      </c>
      <c r="M955" t="str">
        <f>LEFT($D955,FIND(",",$D955)-1)&amp;"_"&amp;I955&amp;L955</f>
        <v>Fouquet_2015</v>
      </c>
      <c r="N955" t="s">
        <v>222</v>
      </c>
      <c r="O955" s="145" t="s">
        <v>274</v>
      </c>
      <c r="Q955" t="s">
        <v>256</v>
      </c>
      <c r="R955" s="255" t="s">
        <v>225</v>
      </c>
      <c r="S955" s="1" t="s">
        <v>730</v>
      </c>
      <c r="T955" s="264" t="s">
        <v>3329</v>
      </c>
      <c r="U955" s="264" t="s">
        <v>3330</v>
      </c>
      <c r="V955">
        <v>0</v>
      </c>
      <c r="W955">
        <v>0</v>
      </c>
      <c r="X955">
        <v>0</v>
      </c>
      <c r="Y955">
        <v>0</v>
      </c>
      <c r="Z955">
        <v>0</v>
      </c>
      <c r="AA955">
        <v>0</v>
      </c>
      <c r="AB955">
        <v>0</v>
      </c>
      <c r="AC955">
        <v>0</v>
      </c>
      <c r="AD955">
        <v>0</v>
      </c>
      <c r="AE955">
        <v>0</v>
      </c>
      <c r="AF955">
        <v>0</v>
      </c>
      <c r="AG955">
        <v>0</v>
      </c>
      <c r="AH955">
        <v>0</v>
      </c>
      <c r="AI955">
        <v>0</v>
      </c>
      <c r="AJ955">
        <v>0</v>
      </c>
      <c r="AK955">
        <v>1</v>
      </c>
      <c r="AL955">
        <v>0</v>
      </c>
      <c r="AM955">
        <v>0</v>
      </c>
      <c r="AN955">
        <v>0</v>
      </c>
      <c r="AO955">
        <v>0</v>
      </c>
      <c r="AP955">
        <v>0</v>
      </c>
      <c r="AQ955">
        <v>0</v>
      </c>
      <c r="AR955">
        <v>0</v>
      </c>
      <c r="AS955">
        <v>0</v>
      </c>
      <c r="AT955">
        <v>0</v>
      </c>
      <c r="AU955">
        <v>0</v>
      </c>
      <c r="AV955">
        <v>0</v>
      </c>
      <c r="AW955">
        <v>0</v>
      </c>
      <c r="AX955" s="141">
        <f>COUNTIF(V955:AW955,"&lt;&gt;0")</f>
        <v>1</v>
      </c>
      <c r="AY955" s="141">
        <f>COUNTIF(V955:AL955,"&lt;&gt;0")</f>
        <v>1</v>
      </c>
      <c r="AZ955">
        <f>COUNTIF(V955:AC955,"&lt;&gt;0")</f>
        <v>0</v>
      </c>
      <c r="BA955">
        <f>COUNTIF(AD955:AI955,"&lt;&gt;0")</f>
        <v>0</v>
      </c>
      <c r="BB955">
        <f>COUNTIF(AJ955:AL955,"&lt;&gt;0")</f>
        <v>1</v>
      </c>
      <c r="BC955">
        <f>COUNTIF(AS955:AW955,"&lt;&gt;0")</f>
        <v>0</v>
      </c>
      <c r="BD955">
        <f>COUNTIF(AM955:AR955,"&lt;&gt;0")</f>
        <v>0</v>
      </c>
      <c r="BE955" t="str">
        <f t="array" ref="BE955">IF(AY955=1,INDEX($V$7:$AL$7,MATCH(TRUE,INDEX($V955:$AW955&lt;&gt;0,),0)),IF(AY955=0,INDEX($AM$7:$AW$7,MATCH(1,$AM955:$AW955,0)),IF(BF955="Multiple strategies","mixed drivers",IF(BF955="Supply chain","multiple supply","multiple silviculture"))))</f>
        <v>technologies/design switch</v>
      </c>
      <c r="BF955" s="2" t="str" cm="1">
        <f t="array" ref="BF955">IF(COUNTIF(AZ955:BB955,"&lt;&gt;0")=1,INDEX($V$4:$AW$4,MATCH(TRUE,INDEX($V955:$AW955&lt;&gt;0,),0)),IF(COUNTIF(AZ955:BB955,"&lt;&gt;0")=0,INDEX($AM$4:$AW$4,MATCH(1,$AM955:$AW955,0)),"Multiple strategies"))</f>
        <v>Technology</v>
      </c>
      <c r="BG955" s="1" t="s">
        <v>229</v>
      </c>
      <c r="BH955" t="s">
        <v>727</v>
      </c>
      <c r="BI955" s="260" t="s">
        <v>3326</v>
      </c>
      <c r="BJ955" s="260" t="s">
        <v>345</v>
      </c>
      <c r="BK955" s="260">
        <v>477</v>
      </c>
      <c r="BL955" s="260">
        <f xml:space="preserve"> 5341+3892+7551+1439+923+477</f>
        <v>19623</v>
      </c>
      <c r="BN955">
        <f>BL955-BK955</f>
        <v>19146</v>
      </c>
      <c r="BO955" s="260">
        <f>BN955/1000*tC_to_m3</f>
        <v>83.135041250542784</v>
      </c>
      <c r="BP955" s="260" t="s">
        <v>395</v>
      </c>
      <c r="BQ955" s="260" t="s">
        <v>3327</v>
      </c>
      <c r="BR955" t="s">
        <v>397</v>
      </c>
      <c r="BS955" s="260">
        <v>176247</v>
      </c>
      <c r="BT955" s="260">
        <f>7475</f>
        <v>7475</v>
      </c>
      <c r="BU955" s="144">
        <f>IFERROR(BT955/BS955,"")</f>
        <v>4.2412069425295185E-2</v>
      </c>
      <c r="BV955">
        <f>BT955-BS955</f>
        <v>-168772</v>
      </c>
      <c r="BX955">
        <f>BV955/1000</f>
        <v>-168.77199999999999</v>
      </c>
      <c r="BY955">
        <f>IFERROR(BX955/BO955,"")</f>
        <v>-2.0300946202862211</v>
      </c>
      <c r="BZ955">
        <v>0</v>
      </c>
      <c r="CA955">
        <v>0</v>
      </c>
      <c r="CB955">
        <v>0</v>
      </c>
      <c r="CC955">
        <v>0</v>
      </c>
      <c r="CD955">
        <v>0</v>
      </c>
      <c r="CE955">
        <v>0</v>
      </c>
      <c r="CF955">
        <v>0</v>
      </c>
      <c r="CG955">
        <v>0</v>
      </c>
      <c r="CH955">
        <v>0</v>
      </c>
      <c r="CI955">
        <v>0</v>
      </c>
      <c r="CJ955">
        <v>0</v>
      </c>
      <c r="CK955">
        <v>0</v>
      </c>
      <c r="CL955">
        <v>0</v>
      </c>
      <c r="CM955">
        <v>0</v>
      </c>
      <c r="CN955" t="str">
        <f>IF($BL955&lt;$BK955,"refNeedCorrection","refOK")</f>
        <v>refOK</v>
      </c>
      <c r="CO955">
        <f>IF($CN955="refNeedCorrection",BL955,BK955)</f>
        <v>477</v>
      </c>
      <c r="CP955">
        <f>IF($CN955="refNeedCorrection",BK955,BL955)</f>
        <v>19623</v>
      </c>
      <c r="CQ955">
        <f>IF($CN955="refOK",$BO955,-$BO955)</f>
        <v>83.135041250542784</v>
      </c>
      <c r="CR955">
        <f>IF($CN955="refOK",$BS955,$BT955)*IF($BP955="Emissions positive",-1,1)</f>
        <v>-176247</v>
      </c>
      <c r="CS955">
        <f>IF($CN955="refOK",$BT955,$BS955)*IF($BP955="Emissions positive",-1,1)</f>
        <v>-7475</v>
      </c>
      <c r="CT955">
        <f>IF($CN955="refNeedCorrection",-BX955,BX955)*IF($BP955="Emissions positive",-1,1)</f>
        <v>168.77199999999999</v>
      </c>
      <c r="CU955">
        <f>IFERROR(CT955/CQ955,"")</f>
        <v>2.0300946202862211</v>
      </c>
      <c r="CV955" s="2">
        <f>IFERROR((CS955-CR955)/ABS(CR955),"")</f>
        <v>0.95758793057470482</v>
      </c>
      <c r="CW955" s="1" t="s">
        <v>263</v>
      </c>
      <c r="CX955" t="str">
        <f>IF(OR($CW955="prd",$CW955="std",$CW955="cit"),"loc",IF(OR($CW955="eur",$CW955="reg",$CW955="coy"),"reg",$CW955))</f>
        <v>loc</v>
      </c>
      <c r="CY955" t="s">
        <v>729</v>
      </c>
      <c r="DB955">
        <v>100</v>
      </c>
      <c r="DC955" t="str">
        <f>IF(DB955=0,"0",IF(AND(DB955&gt;=1,DB955&lt;=30),"1-30",IF(AND(DB955&gt;30,DB955&lt;=70),"31-70",IF(AND(DB955&gt;70,DB955&lt;=100),"71-100",IF(DB955&gt;100,"+100")))))</f>
        <v>71-100</v>
      </c>
      <c r="DD955">
        <v>0</v>
      </c>
      <c r="DE955">
        <v>0</v>
      </c>
      <c r="DF955">
        <v>0</v>
      </c>
      <c r="DG955">
        <v>1</v>
      </c>
      <c r="DI955">
        <f>SUM(DD955:DG955)</f>
        <v>1</v>
      </c>
      <c r="DJ955" t="str">
        <f>IF(DI955=1,INDEX($DD$7:$DG$7,MATCH(1,$DD955:$DG955,0)),"mixedProduct")</f>
        <v>TimberInput</v>
      </c>
      <c r="DK955">
        <f>IF(DD955=1,DK$7,0)</f>
        <v>0</v>
      </c>
      <c r="DL955">
        <f>IF(DE955=1,DL$7,0)</f>
        <v>0</v>
      </c>
      <c r="DM955">
        <f>IF(DF955=1,DM$7,0)</f>
        <v>0</v>
      </c>
      <c r="DN955" t="str">
        <f>IF(DG955=1,DN$7,0)</f>
        <v>Timber</v>
      </c>
      <c r="DO955">
        <v>0</v>
      </c>
      <c r="DP955">
        <v>0</v>
      </c>
      <c r="DQ955">
        <v>0</v>
      </c>
      <c r="DR955">
        <v>0</v>
      </c>
      <c r="DS955">
        <v>0</v>
      </c>
      <c r="DT955">
        <f>SUM(DO955:DP955)</f>
        <v>0</v>
      </c>
      <c r="DU955" s="143" t="str">
        <f>IF(DO955=1,"self-calculated DF",IF(DP955=1,"external DF used","explicit C balance"))</f>
        <v>explicit C balance</v>
      </c>
      <c r="DV955">
        <v>0</v>
      </c>
      <c r="DW955">
        <v>0</v>
      </c>
      <c r="DX955">
        <v>0</v>
      </c>
      <c r="DY955">
        <v>1</v>
      </c>
      <c r="DZ955">
        <v>1</v>
      </c>
      <c r="EA955">
        <v>1</v>
      </c>
      <c r="EB955">
        <v>0</v>
      </c>
      <c r="EC955">
        <v>1</v>
      </c>
      <c r="ED955">
        <v>1</v>
      </c>
      <c r="EE955">
        <v>1</v>
      </c>
      <c r="EF955">
        <v>0</v>
      </c>
      <c r="EG955">
        <v>0</v>
      </c>
      <c r="EH955">
        <v>0</v>
      </c>
      <c r="EI955" s="2">
        <v>0</v>
      </c>
      <c r="EK955" t="str">
        <f>IF(AND(AND(AND(OR($DX955=1,$DW955=1),OR($EC955=1,$EA955=1)),SUM($DV955:$DZ955,$EF955)&gt;=4),SUM($EA955:$EE955)&gt;=2),"Whole sector","")</f>
        <v/>
      </c>
      <c r="EL955" t="str">
        <f>IF(AND(AND(OR($DX955=1,$DW955=1),AND($EC955=0,$EA955=0)),SUM($DV955:$DZ955,$EF955)&gt;=4),"Ecosystem approach","")</f>
        <v/>
      </c>
      <c r="EM955" s="2" t="str">
        <f>IF(AND(AND(AND($DX955=0,$DW955=0),OR($EC955=1,$EA955=1)),SUM($EB955:$EE955)&gt;=2),"Technology approach","")</f>
        <v>Technology approach</v>
      </c>
      <c r="EP955" t="str">
        <f>IF(ISNUMBER(BU955),IF(ABS(BU955-[4]QC_indicators!$B$2)&gt;3*[4]QC_indicators!$C$2,"C ratio",IF(ISNUMBER(BY955),IF(ABS(BY955-[4]QC_indicators!$B$1)&gt;3*[4]QC_indicators!$C$1,"DF","no"))),IF(ISNUMBER(BY955),IF(ABS(BY955-[4]QC_indicators!$B$1)&gt;3*[4]QC_indicators!$C$1,"DF","no")))</f>
        <v>no</v>
      </c>
      <c r="ET955" s="264" t="s">
        <v>3273</v>
      </c>
    </row>
    <row r="956" spans="1:150" ht="15" customHeight="1">
      <c r="A956" s="1" t="s">
        <v>265</v>
      </c>
      <c r="B956" t="s">
        <v>266</v>
      </c>
      <c r="C956" t="s">
        <v>267</v>
      </c>
      <c r="D956" t="s">
        <v>268</v>
      </c>
      <c r="E956" t="s">
        <v>269</v>
      </c>
      <c r="F956" t="s">
        <v>270</v>
      </c>
      <c r="G956" t="s">
        <v>271</v>
      </c>
      <c r="H956" t="s">
        <v>254</v>
      </c>
      <c r="I956">
        <v>2022</v>
      </c>
      <c r="J956">
        <v>0</v>
      </c>
      <c r="K956" t="s">
        <v>272</v>
      </c>
      <c r="M956" t="str">
        <f>LEFT($D956,FIND(",",$D956)-1)&amp;"_"&amp;I956&amp;L956</f>
        <v>Aryapratama_2022</v>
      </c>
      <c r="N956" t="s">
        <v>222</v>
      </c>
      <c r="O956" s="145" t="s">
        <v>274</v>
      </c>
      <c r="Q956" t="s">
        <v>224</v>
      </c>
      <c r="R956" s="262" t="s">
        <v>223</v>
      </c>
      <c r="S956" s="263" t="s">
        <v>3105</v>
      </c>
      <c r="T956" t="s">
        <v>311</v>
      </c>
      <c r="U956" t="s">
        <v>312</v>
      </c>
      <c r="V956">
        <v>0</v>
      </c>
      <c r="W956">
        <v>0</v>
      </c>
      <c r="X956">
        <v>0</v>
      </c>
      <c r="Y956">
        <v>0</v>
      </c>
      <c r="Z956">
        <v>0</v>
      </c>
      <c r="AA956">
        <v>0</v>
      </c>
      <c r="AB956">
        <v>0</v>
      </c>
      <c r="AC956">
        <v>0</v>
      </c>
      <c r="AD956">
        <v>0</v>
      </c>
      <c r="AE956">
        <v>0</v>
      </c>
      <c r="AF956">
        <v>0</v>
      </c>
      <c r="AG956">
        <v>0</v>
      </c>
      <c r="AH956">
        <v>0</v>
      </c>
      <c r="AI956">
        <v>0</v>
      </c>
      <c r="AJ956">
        <v>0</v>
      </c>
      <c r="AK956">
        <v>1</v>
      </c>
      <c r="AL956">
        <v>0</v>
      </c>
      <c r="AM956">
        <v>0</v>
      </c>
      <c r="AN956">
        <v>0</v>
      </c>
      <c r="AO956">
        <v>0</v>
      </c>
      <c r="AP956">
        <v>0</v>
      </c>
      <c r="AQ956">
        <v>0</v>
      </c>
      <c r="AR956">
        <v>0</v>
      </c>
      <c r="AS956">
        <v>0</v>
      </c>
      <c r="AT956">
        <v>0</v>
      </c>
      <c r="AU956">
        <v>0</v>
      </c>
      <c r="AV956">
        <v>0</v>
      </c>
      <c r="AW956">
        <v>0</v>
      </c>
      <c r="AX956" s="141">
        <f>COUNTIF(V956:AW956,"&lt;&gt;0")</f>
        <v>1</v>
      </c>
      <c r="AY956" s="141">
        <f>COUNTIF(V956:AL956,"&lt;&gt;0")</f>
        <v>1</v>
      </c>
      <c r="AZ956">
        <f>COUNTIF(V956:AC956,"&lt;&gt;0")</f>
        <v>0</v>
      </c>
      <c r="BA956">
        <f>COUNTIF(AD956:AI956,"&lt;&gt;0")</f>
        <v>0</v>
      </c>
      <c r="BB956">
        <f>COUNTIF(AJ956:AL956,"&lt;&gt;0")</f>
        <v>1</v>
      </c>
      <c r="BC956">
        <f>COUNTIF(AS956:AW956,"&lt;&gt;0")</f>
        <v>0</v>
      </c>
      <c r="BD956">
        <f>COUNTIF(AM956:AR956,"&lt;&gt;0")</f>
        <v>0</v>
      </c>
      <c r="BE956" t="str">
        <f t="array" ref="BE956">IF(AY956=1,INDEX($V$7:$AL$7,MATCH(TRUE,INDEX($V956:$AW956&lt;&gt;0,),0)),IF(AY956=0,INDEX($AM$7:$AW$7,MATCH(1,$AM956:$AW956,0)),IF(BF956="Multiple strategies","mixed drivers",IF(BF956="Supply chain","multiple supply","multiple silviculture"))))</f>
        <v>technologies/design switch</v>
      </c>
      <c r="BF956" s="2" t="str" cm="1">
        <f t="array" ref="BF956">IF(COUNTIF(AZ956:BB956,"&lt;&gt;0")=1,INDEX($V$4:$AW$4,MATCH(TRUE,INDEX($V956:$AW956&lt;&gt;0,),0)),IF(COUNTIF(AZ956:BB956,"&lt;&gt;0")=0,INDEX($AM$4:$AW$4,MATCH(1,$AM956:$AW956,0)),"Multiple strategies"))</f>
        <v>Technology</v>
      </c>
      <c r="BG956" s="1" t="s">
        <v>229</v>
      </c>
      <c r="BH956" t="s">
        <v>277</v>
      </c>
      <c r="BI956" s="264" t="s">
        <v>3106</v>
      </c>
      <c r="BJ956" t="s">
        <v>278</v>
      </c>
      <c r="BK956">
        <v>0</v>
      </c>
      <c r="BL956">
        <v>46.25814379391722</v>
      </c>
      <c r="BN956">
        <f>BL956-BK956</f>
        <v>46.25814379391722</v>
      </c>
      <c r="BO956">
        <f>BN956*tC_to_m3</f>
        <v>200.86037253112124</v>
      </c>
      <c r="BP956" t="s">
        <v>232</v>
      </c>
      <c r="BQ956" s="337" t="s">
        <v>3107</v>
      </c>
      <c r="BR956" t="s">
        <v>279</v>
      </c>
      <c r="BS956">
        <v>316.56191500133059</v>
      </c>
      <c r="BT956">
        <v>726.845318289901</v>
      </c>
      <c r="BU956" s="144">
        <f>IFERROR(BT956/BS956,"")</f>
        <v>2.2960605298551022</v>
      </c>
      <c r="BV956">
        <f>BT956-BS956</f>
        <v>410.28340328857041</v>
      </c>
      <c r="BX956">
        <f>BV956</f>
        <v>410.28340328857041</v>
      </c>
      <c r="BY956">
        <f>IFERROR(BX956/BO956,"")</f>
        <v>2.0426299031432955</v>
      </c>
      <c r="BZ956">
        <v>0</v>
      </c>
      <c r="CA956">
        <v>0</v>
      </c>
      <c r="CB956">
        <v>0</v>
      </c>
      <c r="CC956">
        <v>0</v>
      </c>
      <c r="CD956">
        <v>0</v>
      </c>
      <c r="CE956">
        <v>0</v>
      </c>
      <c r="CF956">
        <v>0</v>
      </c>
      <c r="CG956">
        <v>0</v>
      </c>
      <c r="CH956">
        <v>0</v>
      </c>
      <c r="CI956">
        <v>0</v>
      </c>
      <c r="CJ956">
        <v>0</v>
      </c>
      <c r="CK956">
        <v>0</v>
      </c>
      <c r="CL956">
        <v>0</v>
      </c>
      <c r="CM956">
        <v>0</v>
      </c>
      <c r="CN956" t="str">
        <f>IF($BL956&lt;$BK956,"refNeedCorrection","refOK")</f>
        <v>refOK</v>
      </c>
      <c r="CO956">
        <f>IF($CN956="refOK",$BK956,$BL956)</f>
        <v>0</v>
      </c>
      <c r="CP956">
        <f>IF($CN956="refOK",$BL956,$BK956)</f>
        <v>46.25814379391722</v>
      </c>
      <c r="CQ956">
        <f>IF($CN956="refOK",$BO956,-$BO956)</f>
        <v>200.86037253112124</v>
      </c>
      <c r="CR956">
        <f>IF($CN956="refOK",$BS956,$BT956)*IF($BP956="Emissions positive",-1,1)</f>
        <v>316.56191500133059</v>
      </c>
      <c r="CS956">
        <f>IF($CN956="refOK",$BT956,$BS956)*IF($BP956="Emissions positive",-1,1)</f>
        <v>726.845318289901</v>
      </c>
      <c r="CT956">
        <f>IF($CN956="refNeedCorrection",-BX956,BX956)*IF($BP956="Emissions positive",-1,1)</f>
        <v>410.28340328857041</v>
      </c>
      <c r="CU956">
        <f>IFERROR(CT956/CQ956,"")</f>
        <v>2.0426299031432955</v>
      </c>
      <c r="CV956" s="2">
        <f>IFERROR((CS956-CR956)/ABS(CR956),"")</f>
        <v>1.2960605298551025</v>
      </c>
      <c r="CW956" s="1" t="s">
        <v>234</v>
      </c>
      <c r="CX956" t="str">
        <f>IF(OR($CW956="prd",$CW956="std",$CW956="cit"),"loc",IF(OR($CW956="eur",$CW956="reg",$CW956="coy"),"reg",$CW956))</f>
        <v>loc</v>
      </c>
      <c r="CY956" t="s">
        <v>280</v>
      </c>
      <c r="DB956">
        <v>200</v>
      </c>
      <c r="DC956" t="str">
        <f>IF(DB956=0,"0",IF(AND(DB956&gt;=1,DB956&lt;=30),"1-30",IF(AND(DB956&gt;30,DB956&lt;=70),"31-70",IF(AND(DB956&gt;70,DB956&lt;=100),"71-100",IF(DB956&gt;100,"+100")))))</f>
        <v>+100</v>
      </c>
      <c r="DD956">
        <v>0</v>
      </c>
      <c r="DE956">
        <v>0</v>
      </c>
      <c r="DF956">
        <v>0</v>
      </c>
      <c r="DG956">
        <v>1</v>
      </c>
      <c r="DI956">
        <f>SUM(DD956:DG956)</f>
        <v>1</v>
      </c>
      <c r="DJ956" t="str">
        <f>IF(DI956=1,INDEX($DD$7:$DG$7,MATCH(1,$DD956:$DG956,0)),"mixedProduct")</f>
        <v>TimberInput</v>
      </c>
      <c r="DK956">
        <f>IF(DD956=1,DK$7,0)</f>
        <v>0</v>
      </c>
      <c r="DL956">
        <f>IF(DE956=1,DL$7,0)</f>
        <v>0</v>
      </c>
      <c r="DM956">
        <f>IF(DF956=1,DM$7,0)</f>
        <v>0</v>
      </c>
      <c r="DN956" t="str">
        <f>IF(DG956=1,DN$7,0)</f>
        <v>Timber</v>
      </c>
      <c r="DO956">
        <v>0</v>
      </c>
      <c r="DP956">
        <v>1</v>
      </c>
      <c r="DQ956" t="s">
        <v>304</v>
      </c>
      <c r="DR956">
        <v>0</v>
      </c>
      <c r="DS956">
        <v>0</v>
      </c>
      <c r="DT956">
        <f>SUM(DO956:DP956)</f>
        <v>1</v>
      </c>
      <c r="DU956" s="143" t="str">
        <f>IF(DO956=1,"self-calculated DF",IF(DP956=1,"external DF used","explicit C balance"))</f>
        <v>external DF used</v>
      </c>
      <c r="DV956">
        <v>0</v>
      </c>
      <c r="DW956">
        <v>1</v>
      </c>
      <c r="DX956">
        <v>1</v>
      </c>
      <c r="DY956">
        <v>1</v>
      </c>
      <c r="DZ956">
        <v>1</v>
      </c>
      <c r="EA956" s="143">
        <v>0</v>
      </c>
      <c r="EB956">
        <v>1</v>
      </c>
      <c r="EC956">
        <v>1</v>
      </c>
      <c r="ED956">
        <v>0</v>
      </c>
      <c r="EE956">
        <v>1</v>
      </c>
      <c r="EF956">
        <v>1</v>
      </c>
      <c r="EG956">
        <v>1</v>
      </c>
      <c r="EH956">
        <v>0</v>
      </c>
      <c r="EI956" s="2">
        <v>0</v>
      </c>
      <c r="EK956" t="str">
        <f>IF(AND(AND(AND(OR($DX956=1,$DW956=1),OR($EC956=1,$EA956=1)),SUM($DV956:$DZ956,$EF956)&gt;=4),SUM($EA956:$EE956)&gt;=2),"Whole sector","")</f>
        <v>Whole sector</v>
      </c>
      <c r="EL956" t="str">
        <f>IF(AND(AND(OR($DX956=1,$DW956=1),AND($EC956=0,$EA956=0)),SUM($DV956:$DZ956,$EF956)&gt;=4),"Ecosystem approach","")</f>
        <v/>
      </c>
      <c r="EM956" s="2" t="str">
        <f>IF(AND(AND(AND($DX956=0,$DW956=0),OR($EC956=1,$EA956=1)),SUM($EB956:$EE956)&gt;=2),"Technology approach","")</f>
        <v/>
      </c>
      <c r="EP956" t="str">
        <f>IF(ISNUMBER(BU956),IF(ABS(BU956-[1]QC_indicators!$B$2)&gt;3*[1]QC_indicators!$C$2,"C ratio",IF(ISNUMBER(BY956),IF(ABS(BY956-[1]QC_indicators!$B$1)&gt;3*[1]QC_indicators!$C$1,"DF","no"))),IF(ISNUMBER(BY956),IF(ABS(BY956-[1]QC_indicators!$B$1)&gt;3*[1]QC_indicators!$C$1,"DF","no")))</f>
        <v>no</v>
      </c>
      <c r="EQ956" t="s">
        <v>286</v>
      </c>
      <c r="ET956" s="264" t="s">
        <v>3273</v>
      </c>
    </row>
    <row r="957" spans="1:150" ht="15" customHeight="1">
      <c r="A957" s="1" t="s">
        <v>614</v>
      </c>
      <c r="B957" t="s">
        <v>615</v>
      </c>
      <c r="C957" t="s">
        <v>616</v>
      </c>
      <c r="D957" t="s">
        <v>617</v>
      </c>
      <c r="E957" t="s">
        <v>618</v>
      </c>
      <c r="F957" t="s">
        <v>619</v>
      </c>
      <c r="G957" t="s">
        <v>620</v>
      </c>
      <c r="H957" t="s">
        <v>254</v>
      </c>
      <c r="I957">
        <v>2020</v>
      </c>
      <c r="J957">
        <v>3</v>
      </c>
      <c r="K957" t="s">
        <v>621</v>
      </c>
      <c r="M957" t="str">
        <f>LEFT($D957,FIND(",",$D957)-1)&amp;"_"&amp;I957&amp;L957</f>
        <v>Demertzi_2020</v>
      </c>
      <c r="N957" t="s">
        <v>222</v>
      </c>
      <c r="O957" s="145" t="s">
        <v>223</v>
      </c>
      <c r="Q957" t="s">
        <v>256</v>
      </c>
      <c r="R957" s="2" t="s">
        <v>274</v>
      </c>
      <c r="S957" s="1" t="s">
        <v>622</v>
      </c>
      <c r="T957" t="s">
        <v>628</v>
      </c>
      <c r="U957" t="s">
        <v>624</v>
      </c>
      <c r="V957">
        <v>0</v>
      </c>
      <c r="W957">
        <v>0</v>
      </c>
      <c r="X957">
        <v>0</v>
      </c>
      <c r="Y957">
        <v>0</v>
      </c>
      <c r="Z957">
        <v>0</v>
      </c>
      <c r="AA957">
        <v>0</v>
      </c>
      <c r="AB957">
        <v>0</v>
      </c>
      <c r="AC957">
        <v>0</v>
      </c>
      <c r="AD957">
        <v>0</v>
      </c>
      <c r="AE957">
        <v>0</v>
      </c>
      <c r="AF957">
        <v>0</v>
      </c>
      <c r="AG957">
        <v>0</v>
      </c>
      <c r="AH957">
        <v>0</v>
      </c>
      <c r="AI957">
        <v>0</v>
      </c>
      <c r="AJ957">
        <v>0</v>
      </c>
      <c r="AK957">
        <v>1</v>
      </c>
      <c r="AL957">
        <v>0</v>
      </c>
      <c r="AM957">
        <v>0</v>
      </c>
      <c r="AN957">
        <v>0</v>
      </c>
      <c r="AO957">
        <v>0</v>
      </c>
      <c r="AP957">
        <v>0</v>
      </c>
      <c r="AQ957">
        <v>0</v>
      </c>
      <c r="AR957">
        <v>0</v>
      </c>
      <c r="AS957">
        <v>0</v>
      </c>
      <c r="AT957">
        <v>0</v>
      </c>
      <c r="AU957">
        <v>0</v>
      </c>
      <c r="AV957">
        <v>0</v>
      </c>
      <c r="AW957">
        <v>0</v>
      </c>
      <c r="AX957" s="141">
        <f>COUNTIF(V957:AW957,"&lt;&gt;0")</f>
        <v>1</v>
      </c>
      <c r="AY957" s="141">
        <f>COUNTIF(V957:AL957,"&lt;&gt;0")</f>
        <v>1</v>
      </c>
      <c r="AZ957">
        <f>COUNTIF(V957:AC957,"&lt;&gt;0")</f>
        <v>0</v>
      </c>
      <c r="BA957">
        <f>COUNTIF(AD957:AI957,"&lt;&gt;0")</f>
        <v>0</v>
      </c>
      <c r="BB957">
        <f>COUNTIF(AJ957:AL957,"&lt;&gt;0")</f>
        <v>1</v>
      </c>
      <c r="BC957">
        <f>COUNTIF(AS957:AW957,"&lt;&gt;0")</f>
        <v>0</v>
      </c>
      <c r="BD957">
        <f>COUNTIF(AM957:AR957,"&lt;&gt;0")</f>
        <v>0</v>
      </c>
      <c r="BE957" t="str">
        <f t="array" ref="BE957">IF(AY957=1,INDEX($V$7:$AL$7,MATCH(TRUE,INDEX($V957:$AW957&lt;&gt;0,),0)),IF(AY957=0,INDEX($AM$7:$AW$7,MATCH(1,$AM957:$AW957,0)),IF(BF957="Multiple strategies","mixed drivers",IF(BF957="Supply chain","multiple supply","multiple silviculture"))))</f>
        <v>technologies/design switch</v>
      </c>
      <c r="BF957" s="2" t="str" cm="1">
        <f t="array" ref="BF957">IF(COUNTIF(AZ957:BB957,"&lt;&gt;0")=1,INDEX($V$4:$AW$4,MATCH(TRUE,INDEX($V957:$AW957&lt;&gt;0,),0)),IF(COUNTIF(AZ957:BB957,"&lt;&gt;0")=0,INDEX($AM$4:$AW$4,MATCH(1,$AM957:$AW957,0)),"Multiple strategies"))</f>
        <v>Technology</v>
      </c>
      <c r="BG957" s="1" t="s">
        <v>229</v>
      </c>
      <c r="BH957" t="s">
        <v>625</v>
      </c>
      <c r="BJ957" t="s">
        <v>261</v>
      </c>
      <c r="BK957">
        <v>0</v>
      </c>
      <c r="BL957">
        <v>54</v>
      </c>
      <c r="BN957">
        <f>BL957-BK957</f>
        <v>54</v>
      </c>
      <c r="BO957">
        <f>BN957*kg_to_m3</f>
        <v>0.11020408163265308</v>
      </c>
      <c r="BP957" t="s">
        <v>232</v>
      </c>
      <c r="BR957" t="s">
        <v>397</v>
      </c>
      <c r="BS957">
        <v>-229</v>
      </c>
      <c r="BT957">
        <v>-1.36</v>
      </c>
      <c r="BU957" s="144">
        <v>5.9388646288209609E-3</v>
      </c>
      <c r="BV957">
        <v>227.64</v>
      </c>
      <c r="BX957">
        <f>BV957/1000</f>
        <v>0.22763999999999998</v>
      </c>
      <c r="BY957">
        <f>IFERROR(BX957/BO957,"")</f>
        <v>2.0656222222222218</v>
      </c>
      <c r="BZ957">
        <v>1</v>
      </c>
      <c r="CA957">
        <v>0</v>
      </c>
      <c r="CB957">
        <v>0</v>
      </c>
      <c r="CC957">
        <v>0</v>
      </c>
      <c r="CD957">
        <v>0</v>
      </c>
      <c r="CE957">
        <v>0</v>
      </c>
      <c r="CF957">
        <v>0</v>
      </c>
      <c r="CG957">
        <v>0</v>
      </c>
      <c r="CH957">
        <v>0</v>
      </c>
      <c r="CI957">
        <v>0</v>
      </c>
      <c r="CJ957">
        <v>0</v>
      </c>
      <c r="CK957">
        <v>0</v>
      </c>
      <c r="CL957">
        <v>0</v>
      </c>
      <c r="CM957">
        <v>0</v>
      </c>
      <c r="CN957" t="str">
        <f>IF($BL957&lt;$BK957,"refNeedCorrection","refOK")</f>
        <v>refOK</v>
      </c>
      <c r="CO957">
        <f>IF($CN957="refOK",$BK957,$BL957)</f>
        <v>0</v>
      </c>
      <c r="CP957">
        <f>IF($CN957="refOK",$BL957,$BK957)</f>
        <v>54</v>
      </c>
      <c r="CQ957">
        <f>IF($CN957="refOK",$BO957,-$BO957)</f>
        <v>0.11020408163265308</v>
      </c>
      <c r="CR957">
        <f>IF($CN957="refOK",$BS957,$BT957)*IF($BP957="Emissions positive",-1,1)</f>
        <v>-229</v>
      </c>
      <c r="CS957">
        <f>IF($CN957="refOK",$BT957,$BS957)*IF($BP957="Emissions positive",-1,1)</f>
        <v>-1.36</v>
      </c>
      <c r="CT957">
        <f>IF($CN957="refNeedCorrection",-BX957,BX957)*IF($BP957="Emissions positive",-1,1)</f>
        <v>0.22763999999999998</v>
      </c>
      <c r="CU957">
        <f>IFERROR(CT957/CQ957,"")</f>
        <v>2.0656222222222218</v>
      </c>
      <c r="CV957" s="2">
        <f>IFERROR((CS957-CR957)/ABS(CR957),"")</f>
        <v>0.99406113537117902</v>
      </c>
      <c r="CW957" s="1" t="s">
        <v>263</v>
      </c>
      <c r="CX957" t="str">
        <f>IF(OR($CW957="prd",$CW957="std",$CW957="cit"),"loc",IF(OR($CW957="eur",$CW957="reg",$CW957="coy"),"reg",$CW957))</f>
        <v>loc</v>
      </c>
      <c r="CY957" t="s">
        <v>626</v>
      </c>
      <c r="DB957">
        <v>0</v>
      </c>
      <c r="DC957" t="str">
        <f>IF(DB957=0,"0",IF(AND(DB957&gt;=1,DB957&lt;=30),"1-30",IF(AND(DB957&gt;30,DB957&lt;=70),"31-70",IF(AND(DB957&gt;70,DB957&lt;=100),"71-100",IF(DB957&gt;100,"+100")))))</f>
        <v>0</v>
      </c>
      <c r="DD957">
        <v>0</v>
      </c>
      <c r="DE957">
        <v>0</v>
      </c>
      <c r="DF957">
        <v>0</v>
      </c>
      <c r="DG957">
        <v>1</v>
      </c>
      <c r="DI957">
        <f>SUM(DD957:DG957)</f>
        <v>1</v>
      </c>
      <c r="DJ957" t="str">
        <f>IF(DI957=1,INDEX($DD$7:$DG$7,MATCH(1,$DD957:$DG957,0)),"mixedProduct")</f>
        <v>TimberInput</v>
      </c>
      <c r="DK957">
        <f>IF(DD957=1,DK$7,0)</f>
        <v>0</v>
      </c>
      <c r="DL957">
        <f>IF(DE957=1,DL$7,0)</f>
        <v>0</v>
      </c>
      <c r="DM957">
        <f>IF(DF957=1,DM$7,0)</f>
        <v>0</v>
      </c>
      <c r="DN957" t="str">
        <f>IF(DG957=1,DN$7,0)</f>
        <v>Timber</v>
      </c>
      <c r="DO957">
        <v>0</v>
      </c>
      <c r="DP957">
        <v>0</v>
      </c>
      <c r="DQ957">
        <v>0</v>
      </c>
      <c r="DR957">
        <v>0</v>
      </c>
      <c r="DS957">
        <v>0</v>
      </c>
      <c r="DT957">
        <f>SUM(DO957:DP957)</f>
        <v>0</v>
      </c>
      <c r="DU957" s="143" t="str">
        <f>IF(DO957=1,"self-calculated DF",IF(DP957=1,"external DF used","explicit C balance"))</f>
        <v>explicit C balance</v>
      </c>
      <c r="DV957">
        <v>0</v>
      </c>
      <c r="DW957">
        <v>0</v>
      </c>
      <c r="DX957">
        <v>0</v>
      </c>
      <c r="DY957">
        <v>0</v>
      </c>
      <c r="DZ957">
        <v>0</v>
      </c>
      <c r="EA957" s="143">
        <v>0</v>
      </c>
      <c r="EB957">
        <v>0</v>
      </c>
      <c r="EC957">
        <v>1</v>
      </c>
      <c r="ED957">
        <v>0</v>
      </c>
      <c r="EE957">
        <v>0</v>
      </c>
      <c r="EF957">
        <v>0</v>
      </c>
      <c r="EG957">
        <v>0</v>
      </c>
      <c r="EH957">
        <v>0</v>
      </c>
      <c r="EI957" s="2">
        <v>0</v>
      </c>
      <c r="EK957" t="str">
        <f>IF(AND(AND(AND(OR($DX957=1,$DW957=1),OR($EC957=1,$EA957=1)),SUM($DV957:$DZ957,$EF957)&gt;=4),SUM($EA957:$EE957)&gt;=2),"Whole sector","")</f>
        <v/>
      </c>
      <c r="EL957" t="str">
        <f>IF(AND(AND(OR($DX957=1,$DW957=1),AND($EC957=0,$EA957=0)),SUM($DV957:$DZ957,$EF957)&gt;=4),"Ecosystem approach","")</f>
        <v/>
      </c>
      <c r="EM957" s="2" t="str">
        <f>IF(AND(AND(AND($DX957=0,$DW957=0),OR($EC957=1,$EA957=1)),SUM($EB957:$EE957)&gt;=2),"Technology approach","")</f>
        <v/>
      </c>
      <c r="EP957" t="str">
        <f>IF(ISNUMBER(BU957),IF(ABS(BU957-[2]QC_indicators!$B$2)&gt;3*[2]QC_indicators!$C$2,"C ratio",IF(ISNUMBER(BY957),IF(ABS(BY957-[2]QC_indicators!$B$1)&gt;3*[2]QC_indicators!$C$1,"DF","no"))),IF(ISNUMBER(BY957),IF(ABS(BY957-[2]QC_indicators!$B$1)&gt;3*[2]QC_indicators!$C$1,"DF","no")))</f>
        <v>no</v>
      </c>
      <c r="ER957" s="149" t="s">
        <v>349</v>
      </c>
      <c r="ET957" s="264" t="s">
        <v>3151</v>
      </c>
    </row>
    <row r="958" spans="1:150" ht="15" customHeight="1">
      <c r="D958" t="s">
        <v>733</v>
      </c>
      <c r="E958" t="s">
        <v>734</v>
      </c>
      <c r="G958" t="s">
        <v>735</v>
      </c>
      <c r="I958">
        <v>2005</v>
      </c>
      <c r="K958" s="156" t="s">
        <v>736</v>
      </c>
      <c r="M958" t="str">
        <f>LEFT($D958,FIND(",",$D958)-1)&amp;"_"&amp;I958&amp;L958</f>
        <v>Gustavsson_2005</v>
      </c>
      <c r="N958" t="s">
        <v>222</v>
      </c>
      <c r="O958" t="s">
        <v>223</v>
      </c>
      <c r="Q958" t="s">
        <v>256</v>
      </c>
      <c r="R958" s="255" t="s">
        <v>225</v>
      </c>
      <c r="S958" s="1" t="s">
        <v>752</v>
      </c>
      <c r="T958" t="s">
        <v>753</v>
      </c>
      <c r="U958" s="264" t="s">
        <v>754</v>
      </c>
      <c r="V958">
        <v>0</v>
      </c>
      <c r="W958">
        <v>0</v>
      </c>
      <c r="X958">
        <v>0</v>
      </c>
      <c r="Y958">
        <v>0</v>
      </c>
      <c r="Z958">
        <v>0</v>
      </c>
      <c r="AA958">
        <v>0</v>
      </c>
      <c r="AB958">
        <v>0</v>
      </c>
      <c r="AC958">
        <v>0</v>
      </c>
      <c r="AD958">
        <v>0</v>
      </c>
      <c r="AE958">
        <v>0</v>
      </c>
      <c r="AF958">
        <v>0</v>
      </c>
      <c r="AG958">
        <v>0</v>
      </c>
      <c r="AH958">
        <v>0</v>
      </c>
      <c r="AI958">
        <v>0</v>
      </c>
      <c r="AJ958">
        <v>0</v>
      </c>
      <c r="AK958">
        <v>1</v>
      </c>
      <c r="AL958">
        <v>0</v>
      </c>
      <c r="AM958">
        <v>0</v>
      </c>
      <c r="AN958">
        <v>0</v>
      </c>
      <c r="AO958">
        <v>0</v>
      </c>
      <c r="AP958">
        <v>0</v>
      </c>
      <c r="AQ958">
        <v>0</v>
      </c>
      <c r="AR958">
        <v>0</v>
      </c>
      <c r="AS958">
        <v>0</v>
      </c>
      <c r="AT958">
        <v>0</v>
      </c>
      <c r="AU958">
        <v>0</v>
      </c>
      <c r="AV958">
        <v>0</v>
      </c>
      <c r="AW958">
        <v>0</v>
      </c>
      <c r="AX958" s="141">
        <f>COUNTIF(V958:AW958,"&lt;&gt;0")</f>
        <v>1</v>
      </c>
      <c r="AY958" s="141">
        <f>COUNTIF(V958:AL958,"&lt;&gt;0")</f>
        <v>1</v>
      </c>
      <c r="AZ958">
        <f>COUNTIF(V958:AC958,"&lt;&gt;0")</f>
        <v>0</v>
      </c>
      <c r="BA958">
        <f>COUNTIF(AD958:AI958,"&lt;&gt;0")</f>
        <v>0</v>
      </c>
      <c r="BB958">
        <f>COUNTIF(AJ958:AL958,"&lt;&gt;0")</f>
        <v>1</v>
      </c>
      <c r="BC958">
        <f>COUNTIF(AS958:AW958,"&lt;&gt;0")</f>
        <v>0</v>
      </c>
      <c r="BD958">
        <f>COUNTIF(AM958:AR958,"&lt;&gt;0")</f>
        <v>0</v>
      </c>
      <c r="BE958" t="str">
        <f t="array" ref="BE958">IF(AY958=1,INDEX($V$7:$AL$7,MATCH(TRUE,INDEX($V958:$AW958&lt;&gt;0,),0)),IF(AY958=0,INDEX($AM$7:$AW$7,MATCH(1,$AM958:$AW958,0)),IF(BF958="Multiple strategies","mixed drivers",IF(BF958="Supply chain","multiple supply","multiple silviculture"))))</f>
        <v>technologies/design switch</v>
      </c>
      <c r="BF958" s="2" t="str" cm="1">
        <f t="array" ref="BF958">IF(COUNTIF(AZ958:BB958,"&lt;&gt;0")=1,INDEX($V$4:$AW$4,MATCH(TRUE,INDEX($V958:$AW958&lt;&gt;0,),0)),IF(COUNTIF(AZ958:BB958,"&lt;&gt;0")=0,INDEX($AM$4:$AW$4,MATCH(1,$AM958:$AW958,0)),"Multiple strategies"))</f>
        <v>Technology</v>
      </c>
      <c r="BG958" s="263" t="s">
        <v>229</v>
      </c>
      <c r="BH958" s="264" t="s">
        <v>755</v>
      </c>
      <c r="BI958" s="260" t="s">
        <v>424</v>
      </c>
      <c r="BJ958" s="264" t="s">
        <v>756</v>
      </c>
      <c r="BK958" s="264">
        <v>56.4</v>
      </c>
      <c r="BL958" s="264">
        <v>80.5</v>
      </c>
      <c r="BM958" s="264">
        <f>BL958/BK958</f>
        <v>1.4273049645390072</v>
      </c>
      <c r="BN958" s="264">
        <f>BL958-BK958</f>
        <v>24.1</v>
      </c>
      <c r="BO958" s="264">
        <f>BN958*t_to_m3</f>
        <v>49.183673469387756</v>
      </c>
      <c r="BP958" t="s">
        <v>232</v>
      </c>
      <c r="BQ958" s="304" t="s">
        <v>3333</v>
      </c>
      <c r="BR958" t="s">
        <v>442</v>
      </c>
      <c r="BS958" s="264">
        <v>16.5</v>
      </c>
      <c r="BT958" s="151">
        <v>44.2</v>
      </c>
      <c r="BV958">
        <v>27.700000000000003</v>
      </c>
      <c r="BX958">
        <f>BV958*C_to_CO2</f>
        <v>101.65900000000001</v>
      </c>
      <c r="BY958">
        <f>IFERROR(BX958/BO958,"")</f>
        <v>2.0669257261410787</v>
      </c>
      <c r="BZ958" s="143">
        <v>0</v>
      </c>
      <c r="CA958" s="143">
        <v>0</v>
      </c>
      <c r="CB958" s="143">
        <v>0</v>
      </c>
      <c r="CC958" s="143">
        <v>0</v>
      </c>
      <c r="CD958" s="143">
        <v>0</v>
      </c>
      <c r="CE958" s="143">
        <v>0</v>
      </c>
      <c r="CF958" s="143">
        <v>0</v>
      </c>
      <c r="CG958" s="143">
        <v>0</v>
      </c>
      <c r="CH958" s="143">
        <v>0</v>
      </c>
      <c r="CI958" s="143">
        <v>0</v>
      </c>
      <c r="CJ958" s="143">
        <v>0</v>
      </c>
      <c r="CK958" s="143">
        <v>0</v>
      </c>
      <c r="CL958" s="143">
        <v>0</v>
      </c>
      <c r="CM958">
        <v>0</v>
      </c>
      <c r="CN958" t="str">
        <f>IF($BL958&lt;$BK958,"refNeedCorrection","refOK")</f>
        <v>refOK</v>
      </c>
      <c r="CO958">
        <f>IF($CN958="refOK",$BK958,$BL958)</f>
        <v>56.4</v>
      </c>
      <c r="CP958">
        <f>IF($CN958="refOK",$BL958,$BK958)</f>
        <v>80.5</v>
      </c>
      <c r="CQ958">
        <f>IF($CN958="refOK",$BO958,-$BO958)</f>
        <v>49.183673469387756</v>
      </c>
      <c r="CR958">
        <f>IF($CN958="refOK",$BS958,$BT958)*IF($BP958="Emissions positive",-1,1)</f>
        <v>16.5</v>
      </c>
      <c r="CS958">
        <f>IF($CN958="refOK",$BT958,$BS958)*IF($BP958="Emissions positive",-1,1)</f>
        <v>44.2</v>
      </c>
      <c r="CT958">
        <f>IF($CN958="refNeedCorrection",-BX958,BX958)*IF($BP958="Emissions positive",-1,1)</f>
        <v>101.65900000000001</v>
      </c>
      <c r="CU958">
        <f>IFERROR(CT958/CQ958,"")</f>
        <v>2.0669257261410787</v>
      </c>
      <c r="CV958" s="2">
        <f>IFERROR((CS958-CR958)/ABS(CR958),"")</f>
        <v>1.6787878787878789</v>
      </c>
      <c r="CW958" s="1" t="s">
        <v>263</v>
      </c>
      <c r="CX958" t="str">
        <f>IF(OR($CW958="prd",$CW958="std",$CW958="cit"),"loc",IF(OR($CW958="eur",$CW958="reg",$CW958="coy"),"reg",$CW958))</f>
        <v>loc</v>
      </c>
      <c r="CY958" t="s">
        <v>743</v>
      </c>
      <c r="DA958" s="143"/>
      <c r="DB958" s="143">
        <v>0</v>
      </c>
      <c r="DC958" t="str">
        <f>IF(DB958=0,"0",IF(AND(DB958&gt;=1,DB958&lt;=30),"1-30",IF(AND(DB958&gt;30,DB958&lt;=70),"31-70",IF(AND(DB958&gt;70,DB958&lt;=100),"71-100",IF(DB958&gt;100,"+100")))))</f>
        <v>0</v>
      </c>
      <c r="DD958">
        <v>0</v>
      </c>
      <c r="DE958">
        <v>0</v>
      </c>
      <c r="DF958">
        <v>0</v>
      </c>
      <c r="DG958">
        <v>1</v>
      </c>
      <c r="DI958">
        <f>SUM(DD958:DG958)</f>
        <v>1</v>
      </c>
      <c r="DJ958" t="str">
        <f>IF(DI958=1,INDEX($DD$7:$DG$7,MATCH(1,$DD958:$DG958,0)),"mixedProduct")</f>
        <v>TimberInput</v>
      </c>
      <c r="DK958">
        <f>IF(DD958=1,DK$7,0)</f>
        <v>0</v>
      </c>
      <c r="DL958">
        <f>IF(DE958=1,DL$7,0)</f>
        <v>0</v>
      </c>
      <c r="DM958">
        <f>IF(DF958=1,DM$7,0)</f>
        <v>0</v>
      </c>
      <c r="DN958" t="str">
        <f>IF(DG958=1,DN$7,0)</f>
        <v>Timber</v>
      </c>
      <c r="DO958">
        <v>1</v>
      </c>
      <c r="DP958" s="143">
        <v>0</v>
      </c>
      <c r="DQ958" s="143">
        <v>0</v>
      </c>
      <c r="DR958">
        <v>0</v>
      </c>
      <c r="DS958" s="143">
        <v>0</v>
      </c>
      <c r="DT958">
        <f>SUM(DO958:DP958)</f>
        <v>1</v>
      </c>
      <c r="DU958" s="143" t="str">
        <f>IF(DO958=1,"self-calculated DF",IF(DP958=1,"external DF used","explicit C balance"))</f>
        <v>self-calculated DF</v>
      </c>
      <c r="DV958" s="143">
        <v>0</v>
      </c>
      <c r="DW958" s="264">
        <v>1</v>
      </c>
      <c r="DX958" s="264">
        <v>1</v>
      </c>
      <c r="DY958" s="264">
        <v>0</v>
      </c>
      <c r="DZ958" s="264">
        <v>0</v>
      </c>
      <c r="EA958" s="264">
        <v>1</v>
      </c>
      <c r="EB958" s="264">
        <v>1</v>
      </c>
      <c r="EC958" s="264">
        <v>1</v>
      </c>
      <c r="ED958" s="143">
        <v>0</v>
      </c>
      <c r="EE958">
        <v>0</v>
      </c>
      <c r="EF958">
        <v>0</v>
      </c>
      <c r="EG958" s="143">
        <v>0</v>
      </c>
      <c r="EH958" s="143">
        <v>0</v>
      </c>
      <c r="EI958" s="2">
        <v>0</v>
      </c>
      <c r="EK958" t="str">
        <f>IF(AND(AND(AND(OR($DX958=1,$DW958=1),OR($EC958=1,$EA958=1)),SUM($DV958:$DZ958,$EF958)&gt;=4),SUM($EA958:$EE958)&gt;=2),"Whole sector","")</f>
        <v/>
      </c>
      <c r="EL958" t="str">
        <f>IF(AND(AND(OR($DX958=1,$DW958=1),AND($EC958=0,$EA958=0)),SUM($DV958:$DZ958,$EF958)&gt;=4),"Ecosystem approach","")</f>
        <v/>
      </c>
      <c r="EM958" s="2" t="str">
        <f>IF(AND(AND(AND($DX958=0,$DW958=0),OR($EC958=1,$EA958=1)),SUM($EB958:$EE958)&gt;=2),"Technology approach","")</f>
        <v/>
      </c>
      <c r="EP958" t="str">
        <f>IF(ISNUMBER(BU958),IF(ABS(BU958-[4]QC_indicators!$B$2)&gt;3*[4]QC_indicators!$C$2,"C ratio",IF(ISNUMBER(BY958),IF(ABS(BY958-[4]QC_indicators!$B$1)&gt;3*[4]QC_indicators!$C$1,"DF","no"))),IF(ISNUMBER(BY958),IF(ABS(BY958-[4]QC_indicators!$B$1)&gt;3*[4]QC_indicators!$C$1,"DF","no")))</f>
        <v>no</v>
      </c>
      <c r="ER958" s="149" t="s">
        <v>349</v>
      </c>
      <c r="ET958" s="264" t="s">
        <v>3273</v>
      </c>
    </row>
    <row r="959" spans="1:150" ht="15" customHeight="1">
      <c r="D959" t="s">
        <v>733</v>
      </c>
      <c r="E959" t="s">
        <v>734</v>
      </c>
      <c r="G959" t="s">
        <v>735</v>
      </c>
      <c r="I959">
        <v>2005</v>
      </c>
      <c r="K959" s="156" t="s">
        <v>736</v>
      </c>
      <c r="M959" t="str">
        <f>LEFT($D959,FIND(",",$D959)-1)&amp;"_"&amp;I959&amp;L959</f>
        <v>Gustavsson_2005</v>
      </c>
      <c r="N959" t="s">
        <v>222</v>
      </c>
      <c r="O959" t="s">
        <v>223</v>
      </c>
      <c r="Q959" t="s">
        <v>256</v>
      </c>
      <c r="R959" s="255" t="s">
        <v>225</v>
      </c>
      <c r="S959" s="1" t="s">
        <v>752</v>
      </c>
      <c r="T959" t="s">
        <v>753</v>
      </c>
      <c r="U959" s="264" t="s">
        <v>754</v>
      </c>
      <c r="V959">
        <v>0</v>
      </c>
      <c r="W959">
        <v>0</v>
      </c>
      <c r="X959">
        <v>0</v>
      </c>
      <c r="Y959">
        <v>0</v>
      </c>
      <c r="Z959">
        <v>0</v>
      </c>
      <c r="AA959">
        <v>0</v>
      </c>
      <c r="AB959">
        <v>0</v>
      </c>
      <c r="AC959">
        <v>0</v>
      </c>
      <c r="AD959">
        <v>0</v>
      </c>
      <c r="AE959">
        <v>0</v>
      </c>
      <c r="AF959">
        <v>0</v>
      </c>
      <c r="AG959">
        <v>0</v>
      </c>
      <c r="AH959">
        <v>0</v>
      </c>
      <c r="AI959">
        <v>0</v>
      </c>
      <c r="AJ959">
        <v>0</v>
      </c>
      <c r="AK959">
        <v>1</v>
      </c>
      <c r="AL959">
        <v>0</v>
      </c>
      <c r="AM959">
        <v>0</v>
      </c>
      <c r="AN959">
        <v>0</v>
      </c>
      <c r="AO959">
        <v>0</v>
      </c>
      <c r="AP959">
        <v>0</v>
      </c>
      <c r="AQ959">
        <v>0</v>
      </c>
      <c r="AR959">
        <v>0</v>
      </c>
      <c r="AS959">
        <v>0</v>
      </c>
      <c r="AT959">
        <v>0</v>
      </c>
      <c r="AU959">
        <v>0</v>
      </c>
      <c r="AV959">
        <v>0</v>
      </c>
      <c r="AW959">
        <v>0</v>
      </c>
      <c r="AX959" s="141">
        <f>COUNTIF(V959:AW959,"&lt;&gt;0")</f>
        <v>1</v>
      </c>
      <c r="AY959" s="141">
        <f>COUNTIF(V959:AL959,"&lt;&gt;0")</f>
        <v>1</v>
      </c>
      <c r="AZ959">
        <f>COUNTIF(V959:AC959,"&lt;&gt;0")</f>
        <v>0</v>
      </c>
      <c r="BA959">
        <f>COUNTIF(AD959:AI959,"&lt;&gt;0")</f>
        <v>0</v>
      </c>
      <c r="BB959">
        <f>COUNTIF(AJ959:AL959,"&lt;&gt;0")</f>
        <v>1</v>
      </c>
      <c r="BC959">
        <f>COUNTIF(AS959:AW959,"&lt;&gt;0")</f>
        <v>0</v>
      </c>
      <c r="BD959">
        <f>COUNTIF(AM959:AR959,"&lt;&gt;0")</f>
        <v>0</v>
      </c>
      <c r="BE959" t="str">
        <f t="array" ref="BE959">IF(AY959=1,INDEX($V$7:$AL$7,MATCH(TRUE,INDEX($V959:$AW959&lt;&gt;0,),0)),IF(AY959=0,INDEX($AM$7:$AW$7,MATCH(1,$AM959:$AW959,0)),IF(BF959="Multiple strategies","mixed drivers",IF(BF959="Supply chain","multiple supply","multiple silviculture"))))</f>
        <v>technologies/design switch</v>
      </c>
      <c r="BF959" s="2" t="str" cm="1">
        <f t="array" ref="BF959">IF(COUNTIF(AZ959:BB959,"&lt;&gt;0")=1,INDEX($V$4:$AW$4,MATCH(TRUE,INDEX($V959:$AW959&lt;&gt;0,),0)),IF(COUNTIF(AZ959:BB959,"&lt;&gt;0")=0,INDEX($AM$4:$AW$4,MATCH(1,$AM959:$AW959,0)),"Multiple strategies"))</f>
        <v>Technology</v>
      </c>
      <c r="BG959" s="263" t="s">
        <v>229</v>
      </c>
      <c r="BH959" s="264" t="s">
        <v>755</v>
      </c>
      <c r="BI959" s="260" t="s">
        <v>424</v>
      </c>
      <c r="BJ959" s="264" t="s">
        <v>756</v>
      </c>
      <c r="BK959" s="264">
        <v>56.4</v>
      </c>
      <c r="BL959" s="264">
        <v>80.5</v>
      </c>
      <c r="BM959" s="264">
        <f>BL959/BK959</f>
        <v>1.4273049645390072</v>
      </c>
      <c r="BN959" s="264">
        <f>BL959-BK959</f>
        <v>24.1</v>
      </c>
      <c r="BO959" s="264">
        <f>BN959*t_to_m3</f>
        <v>49.183673469387756</v>
      </c>
      <c r="BP959" t="s">
        <v>232</v>
      </c>
      <c r="BQ959" s="304" t="s">
        <v>3338</v>
      </c>
      <c r="BR959" t="s">
        <v>442</v>
      </c>
      <c r="BS959" s="264">
        <v>18</v>
      </c>
      <c r="BT959" s="151">
        <v>45.8</v>
      </c>
      <c r="BV959">
        <f>BT959-BS959</f>
        <v>27.799999999999997</v>
      </c>
      <c r="BX959">
        <f>BV959*C_to_CO2</f>
        <v>102.02599999999998</v>
      </c>
      <c r="BY959">
        <f>IFERROR(BX959/BO959,"")</f>
        <v>2.0743875518672197</v>
      </c>
      <c r="BZ959" s="143">
        <v>0</v>
      </c>
      <c r="CA959" s="143">
        <v>0</v>
      </c>
      <c r="CB959" s="143">
        <v>0</v>
      </c>
      <c r="CC959" s="143">
        <v>0</v>
      </c>
      <c r="CD959" s="143">
        <v>0</v>
      </c>
      <c r="CE959" s="143">
        <v>0</v>
      </c>
      <c r="CF959" s="143">
        <v>0</v>
      </c>
      <c r="CG959" s="143">
        <v>0</v>
      </c>
      <c r="CH959" s="143">
        <v>0</v>
      </c>
      <c r="CI959" s="143">
        <v>0</v>
      </c>
      <c r="CJ959" s="143">
        <v>0</v>
      </c>
      <c r="CK959" s="143">
        <v>0</v>
      </c>
      <c r="CL959" s="143">
        <v>0</v>
      </c>
      <c r="CM959">
        <v>0</v>
      </c>
      <c r="CN959" t="str">
        <f>IF($BL959&lt;$BK959,"refNeedCorrection","refOK")</f>
        <v>refOK</v>
      </c>
      <c r="CO959">
        <f>IF($CN959="refOK",$BK959,$BL959)</f>
        <v>56.4</v>
      </c>
      <c r="CP959">
        <f>IF($CN959="refOK",$BL959,$BK959)</f>
        <v>80.5</v>
      </c>
      <c r="CQ959">
        <f>IF($CN959="refOK",$BO959,-$BO959)</f>
        <v>49.183673469387756</v>
      </c>
      <c r="CR959">
        <f>IF($CN959="refOK",$BS959,$BT959)*IF($BP959="Emissions positive",-1,1)</f>
        <v>18</v>
      </c>
      <c r="CS959">
        <f>IF($CN959="refOK",$BT959,$BS959)*IF($BP959="Emissions positive",-1,1)</f>
        <v>45.8</v>
      </c>
      <c r="CT959">
        <f>IF($CN959="refNeedCorrection",-BX959,BX959)*IF($BP959="Emissions positive",-1,1)</f>
        <v>102.02599999999998</v>
      </c>
      <c r="CU959">
        <f>IFERROR(CT959/CQ959,"")</f>
        <v>2.0743875518672197</v>
      </c>
      <c r="CV959" s="2">
        <f>IFERROR((CS959-CR959)/ABS(CR959),"")</f>
        <v>1.5444444444444443</v>
      </c>
      <c r="CW959" s="1" t="s">
        <v>263</v>
      </c>
      <c r="CX959" t="str">
        <f>IF(OR($CW959="prd",$CW959="std",$CW959="cit"),"loc",IF(OR($CW959="eur",$CW959="reg",$CW959="coy"),"reg",$CW959))</f>
        <v>loc</v>
      </c>
      <c r="CY959" t="s">
        <v>743</v>
      </c>
      <c r="DA959" s="143"/>
      <c r="DB959" s="143">
        <v>0</v>
      </c>
      <c r="DC959" t="str">
        <f>IF(DB959=0,"0",IF(AND(DB959&gt;=1,DB959&lt;=30),"1-30",IF(AND(DB959&gt;30,DB959&lt;=70),"31-70",IF(AND(DB959&gt;70,DB959&lt;=100),"71-100",IF(DB959&gt;100,"+100")))))</f>
        <v>0</v>
      </c>
      <c r="DD959">
        <v>0</v>
      </c>
      <c r="DE959">
        <v>0</v>
      </c>
      <c r="DF959">
        <v>0</v>
      </c>
      <c r="DG959">
        <v>1</v>
      </c>
      <c r="DI959">
        <f>SUM(DD959:DG959)</f>
        <v>1</v>
      </c>
      <c r="DJ959" t="str">
        <f>IF(DI959=1,INDEX($DD$7:$DG$7,MATCH(1,$DD959:$DG959,0)),"mixedProduct")</f>
        <v>TimberInput</v>
      </c>
      <c r="DK959">
        <f>IF(DD959=1,DK$7,0)</f>
        <v>0</v>
      </c>
      <c r="DL959">
        <f>IF(DE959=1,DL$7,0)</f>
        <v>0</v>
      </c>
      <c r="DM959">
        <f>IF(DF959=1,DM$7,0)</f>
        <v>0</v>
      </c>
      <c r="DN959" t="str">
        <f>IF(DG959=1,DN$7,0)</f>
        <v>Timber</v>
      </c>
      <c r="DO959">
        <v>1</v>
      </c>
      <c r="DP959" s="143">
        <v>0</v>
      </c>
      <c r="DQ959" s="143">
        <v>0</v>
      </c>
      <c r="DR959">
        <v>0</v>
      </c>
      <c r="DS959" s="143">
        <v>0</v>
      </c>
      <c r="DT959">
        <f>SUM(DO959:DP959)</f>
        <v>1</v>
      </c>
      <c r="DU959" s="143" t="str">
        <f>IF(DO959=1,"self-calculated DF",IF(DP959=1,"external DF used","explicit C balance"))</f>
        <v>self-calculated DF</v>
      </c>
      <c r="DV959" s="143">
        <v>0</v>
      </c>
      <c r="DW959" s="264">
        <v>1</v>
      </c>
      <c r="DX959" s="264">
        <v>1</v>
      </c>
      <c r="DY959" s="264">
        <v>0</v>
      </c>
      <c r="DZ959" s="264">
        <v>0</v>
      </c>
      <c r="EA959" s="264">
        <v>1</v>
      </c>
      <c r="EB959" s="264">
        <v>0</v>
      </c>
      <c r="EC959" s="264">
        <v>1</v>
      </c>
      <c r="ED959" s="143">
        <v>0</v>
      </c>
      <c r="EE959">
        <v>0</v>
      </c>
      <c r="EF959">
        <v>0</v>
      </c>
      <c r="EG959" s="143">
        <v>0</v>
      </c>
      <c r="EH959" s="143">
        <v>0</v>
      </c>
      <c r="EI959" s="2">
        <v>0</v>
      </c>
      <c r="EK959" t="str">
        <f>IF(AND(AND(AND(OR($DX959=1,$DW959=1),OR($EC959=1,$EA959=1)),SUM($DV959:$DZ959,$EF959)&gt;=4),SUM($EA959:$EE959)&gt;=2),"Whole sector","")</f>
        <v/>
      </c>
      <c r="EL959" t="str">
        <f>IF(AND(AND(OR($DX959=1,$DW959=1),AND($EC959=0,$EA959=0)),SUM($DV959:$DZ959,$EF959)&gt;=4),"Ecosystem approach","")</f>
        <v/>
      </c>
      <c r="EM959" s="2" t="str">
        <f>IF(AND(AND(AND($DX959=0,$DW959=0),OR($EC959=1,$EA959=1)),SUM($EB959:$EE959)&gt;=2),"Technology approach","")</f>
        <v/>
      </c>
      <c r="EP959" t="str">
        <f>IF(ISNUMBER(BU959),IF(ABS(BU959-[4]QC_indicators!$B$2)&gt;3*[4]QC_indicators!$C$2,"C ratio",IF(ISNUMBER(BY959),IF(ABS(BY959-[4]QC_indicators!$B$1)&gt;3*[4]QC_indicators!$C$1,"DF","no"))),IF(ISNUMBER(BY959),IF(ABS(BY959-[4]QC_indicators!$B$1)&gt;3*[4]QC_indicators!$C$1,"DF","no")))</f>
        <v>no</v>
      </c>
      <c r="ER959" s="149" t="s">
        <v>349</v>
      </c>
      <c r="ET959" s="264" t="s">
        <v>3273</v>
      </c>
    </row>
    <row r="960" spans="1:150" ht="15" customHeight="1">
      <c r="A960" s="1" t="s">
        <v>247</v>
      </c>
      <c r="B960" t="s">
        <v>1028</v>
      </c>
      <c r="C960" t="s">
        <v>1029</v>
      </c>
      <c r="D960" t="s">
        <v>1030</v>
      </c>
      <c r="E960" t="s">
        <v>1031</v>
      </c>
      <c r="F960" t="s">
        <v>1032</v>
      </c>
      <c r="G960" t="s">
        <v>253</v>
      </c>
      <c r="H960" t="s">
        <v>254</v>
      </c>
      <c r="I960">
        <v>2021</v>
      </c>
      <c r="J960">
        <v>0</v>
      </c>
      <c r="K960" t="s">
        <v>1033</v>
      </c>
      <c r="M960" t="str">
        <f>LEFT($D960,FIND(",",$D960)-1)&amp;"_"&amp;I960&amp;L960</f>
        <v>Piccardo_2021</v>
      </c>
      <c r="N960" t="s">
        <v>222</v>
      </c>
      <c r="O960" s="171" t="s">
        <v>513</v>
      </c>
      <c r="P960" s="141" t="s">
        <v>225</v>
      </c>
      <c r="Q960" t="s">
        <v>389</v>
      </c>
      <c r="R960" s="262" t="s">
        <v>223</v>
      </c>
      <c r="S960" s="1" t="s">
        <v>1041</v>
      </c>
      <c r="T960" s="264" t="s">
        <v>3221</v>
      </c>
      <c r="U960" s="264" t="s">
        <v>1040</v>
      </c>
      <c r="V960">
        <v>0</v>
      </c>
      <c r="W960">
        <v>0</v>
      </c>
      <c r="X960">
        <v>0</v>
      </c>
      <c r="Y960">
        <v>0</v>
      </c>
      <c r="Z960">
        <v>0</v>
      </c>
      <c r="AA960">
        <v>0</v>
      </c>
      <c r="AB960">
        <v>0</v>
      </c>
      <c r="AC960">
        <v>0</v>
      </c>
      <c r="AD960">
        <v>0</v>
      </c>
      <c r="AE960">
        <v>0</v>
      </c>
      <c r="AF960">
        <v>0</v>
      </c>
      <c r="AG960">
        <v>0</v>
      </c>
      <c r="AH960">
        <v>0</v>
      </c>
      <c r="AI960">
        <v>0</v>
      </c>
      <c r="AJ960">
        <v>0</v>
      </c>
      <c r="AK960">
        <v>1</v>
      </c>
      <c r="AL960">
        <v>0</v>
      </c>
      <c r="AM960">
        <v>0</v>
      </c>
      <c r="AN960">
        <v>0</v>
      </c>
      <c r="AO960">
        <v>0</v>
      </c>
      <c r="AP960">
        <v>0</v>
      </c>
      <c r="AQ960">
        <v>0</v>
      </c>
      <c r="AR960">
        <v>0</v>
      </c>
      <c r="AS960">
        <v>0</v>
      </c>
      <c r="AT960">
        <v>0</v>
      </c>
      <c r="AU960">
        <v>0</v>
      </c>
      <c r="AV960">
        <v>0</v>
      </c>
      <c r="AW960">
        <v>0</v>
      </c>
      <c r="AX960" s="141">
        <f>COUNTIF(V960:AW960,"&lt;&gt;0")</f>
        <v>1</v>
      </c>
      <c r="AY960" s="141">
        <f>COUNTIF(V960:AL960,"&lt;&gt;0")</f>
        <v>1</v>
      </c>
      <c r="AZ960">
        <f>COUNTIF(V960:AC960,"&lt;&gt;0")</f>
        <v>0</v>
      </c>
      <c r="BA960">
        <f>COUNTIF(AD960:AI960,"&lt;&gt;0")</f>
        <v>0</v>
      </c>
      <c r="BB960">
        <f>COUNTIF(AJ960:AL960,"&lt;&gt;0")</f>
        <v>1</v>
      </c>
      <c r="BC960">
        <f>COUNTIF(AS960:AW960,"&lt;&gt;0")</f>
        <v>0</v>
      </c>
      <c r="BD960">
        <f>COUNTIF(AM960:AR960,"&lt;&gt;0")</f>
        <v>0</v>
      </c>
      <c r="BE960" t="str">
        <f t="array" ref="BE960">IF(AY960=1,INDEX($V$7:$AL$7,MATCH(TRUE,INDEX($V960:$AW960&lt;&gt;0,),0)),IF(AY960=0,INDEX($AM$7:$AW$7,MATCH(1,$AM960:$AW960,0)),IF(BF960="Multiple strategies","mixed drivers",IF(BF960="Supply chain","multiple supply","multiple silviculture"))))</f>
        <v>technologies/design switch</v>
      </c>
      <c r="BF960" s="2" t="str" cm="1">
        <f t="array" ref="BF960">IF(COUNTIF(AZ960:BB960,"&lt;&gt;0")=1,INDEX($V$4:$AW$4,MATCH(TRUE,INDEX($V960:$AW960&lt;&gt;0,),0)),IF(COUNTIF(AZ960:BB960,"&lt;&gt;0")=0,INDEX($AM$4:$AW$4,MATCH(1,$AM960:$AW960,0)),"Multiple strategies"))</f>
        <v>Technology</v>
      </c>
      <c r="BG960" s="142" t="s">
        <v>229</v>
      </c>
      <c r="BH960" t="s">
        <v>1035</v>
      </c>
      <c r="BI960" t="s">
        <v>1036</v>
      </c>
      <c r="BJ960" t="s">
        <v>1037</v>
      </c>
      <c r="BK960">
        <f>35+3+20+8+8</f>
        <v>74</v>
      </c>
      <c r="BL960">
        <f>8+103+26+23+35+3+8+8</f>
        <v>214</v>
      </c>
      <c r="BM960">
        <f>IFERROR(BL960/BK960,"")</f>
        <v>2.8918918918918921</v>
      </c>
      <c r="BN960">
        <f>BL960-BK960</f>
        <v>140</v>
      </c>
      <c r="BO960">
        <f>BN960*t_to_m3</f>
        <v>285.71428571428572</v>
      </c>
      <c r="BP960" t="s">
        <v>395</v>
      </c>
      <c r="BQ960" t="s">
        <v>1038</v>
      </c>
      <c r="BR960" t="s">
        <v>1039</v>
      </c>
      <c r="BS960">
        <f>669-126</f>
        <v>543</v>
      </c>
      <c r="BT960">
        <f>303-378</f>
        <v>-75</v>
      </c>
      <c r="BU960" s="144"/>
      <c r="BV960">
        <f>(BT960-BS960)</f>
        <v>-618</v>
      </c>
      <c r="BX960">
        <f>BV960</f>
        <v>-618</v>
      </c>
      <c r="BY960">
        <f>IFERROR(BX960/BO960,"")</f>
        <v>-2.1629999999999998</v>
      </c>
      <c r="BZ960">
        <v>0</v>
      </c>
      <c r="CA960">
        <v>0</v>
      </c>
      <c r="CB960">
        <v>0</v>
      </c>
      <c r="CC960">
        <v>0</v>
      </c>
      <c r="CD960">
        <v>0</v>
      </c>
      <c r="CE960">
        <v>0</v>
      </c>
      <c r="CF960">
        <v>0</v>
      </c>
      <c r="CG960">
        <v>0</v>
      </c>
      <c r="CH960">
        <v>0</v>
      </c>
      <c r="CI960">
        <v>0</v>
      </c>
      <c r="CJ960">
        <v>0</v>
      </c>
      <c r="CK960">
        <v>0</v>
      </c>
      <c r="CL960">
        <v>0</v>
      </c>
      <c r="CM960">
        <v>0</v>
      </c>
      <c r="CN960" t="str">
        <f>IF($BL960&lt;$BK960,"refNeedCorrection","refOK")</f>
        <v>refOK</v>
      </c>
      <c r="CO960">
        <f>IF($CN960="refOK",$BK960,$BL960)</f>
        <v>74</v>
      </c>
      <c r="CP960">
        <f>IF($CN960="refOK",$BL960,$BK960)</f>
        <v>214</v>
      </c>
      <c r="CQ960">
        <f>IF($CN960="refOK",$BO960,-$BO960)</f>
        <v>285.71428571428572</v>
      </c>
      <c r="CR960">
        <f>IF($CN960="refOK",$BS960,$BT960)*IF($BP960="Emissions positive",-1,1)</f>
        <v>-543</v>
      </c>
      <c r="CS960">
        <f>IF($CN960="refOK",$BT960,$BS960)*IF($BP960="Emissions positive",-1,1)</f>
        <v>75</v>
      </c>
      <c r="CT960">
        <f>IF($CN960="refNeedCorrection",-BX960,BX960)*IF($BP960="Emissions positive",-1,1)</f>
        <v>618</v>
      </c>
      <c r="CU960">
        <f>IFERROR(CT960/CQ960,"")</f>
        <v>2.1629999999999998</v>
      </c>
      <c r="CV960" s="2">
        <f>IFERROR((CS960-CR960)/ABS(CR960),"")</f>
        <v>1.1381215469613259</v>
      </c>
      <c r="CW960" s="1" t="s">
        <v>263</v>
      </c>
      <c r="CX960" t="str">
        <f>IF(OR($CW960="prd",$CW960="std",$CW960="cit"),"loc",IF(OR($CW960="eur",$CW960="reg",$CW960="coy"),"reg",$CW960))</f>
        <v>loc</v>
      </c>
      <c r="CY960" t="s">
        <v>743</v>
      </c>
      <c r="DB960">
        <v>50</v>
      </c>
      <c r="DC960" t="str">
        <f>IF(DB960=0,"0",IF(AND(DB960&gt;=1,DB960&lt;=30),"1-30",IF(AND(DB960&gt;30,DB960&lt;=70),"31-70",IF(AND(DB960&gt;70,DB960&lt;=100),"71-100",IF(DB960&gt;100,"+100")))))</f>
        <v>31-70</v>
      </c>
      <c r="DD960">
        <v>0</v>
      </c>
      <c r="DE960">
        <v>0</v>
      </c>
      <c r="DF960">
        <v>1</v>
      </c>
      <c r="DG960">
        <v>1</v>
      </c>
      <c r="DI960">
        <f>SUM(DD960:DG960)</f>
        <v>2</v>
      </c>
      <c r="DJ960" t="str">
        <f>IF(DI960=1,INDEX($DD$7:$DG$7,MATCH(1,$DD960:$DG960,0)),"mixedProduct")</f>
        <v>mixedProduct</v>
      </c>
      <c r="DK960">
        <f>IF(DD960=1,DK$7,0)</f>
        <v>0</v>
      </c>
      <c r="DL960">
        <f>IF(DE960=1,DL$7,0)</f>
        <v>0</v>
      </c>
      <c r="DM960" t="str">
        <f>IF(DF960=1,DM$7,0)</f>
        <v>Pulp/Paper</v>
      </c>
      <c r="DN960" t="str">
        <f>IF(DG960=1,DN$7,0)</f>
        <v>Timber</v>
      </c>
      <c r="DO960">
        <v>1</v>
      </c>
      <c r="DP960">
        <v>0</v>
      </c>
      <c r="DQ960">
        <v>0</v>
      </c>
      <c r="DR960">
        <v>0</v>
      </c>
      <c r="DS960">
        <v>0</v>
      </c>
      <c r="DT960">
        <f>SUM(DO960:DP960)</f>
        <v>1</v>
      </c>
      <c r="DU960" s="143" t="str">
        <f>IF(DO960=1,"self-calculated DF",IF(DP960=1,"external DF used","explicit C balance"))</f>
        <v>self-calculated DF</v>
      </c>
      <c r="DV960">
        <v>0</v>
      </c>
      <c r="DW960">
        <v>0</v>
      </c>
      <c r="DX960">
        <v>0</v>
      </c>
      <c r="DY960">
        <v>1</v>
      </c>
      <c r="DZ960">
        <v>1</v>
      </c>
      <c r="EA960">
        <v>0</v>
      </c>
      <c r="EB960">
        <v>0</v>
      </c>
      <c r="EC960">
        <v>1</v>
      </c>
      <c r="ED960">
        <v>0</v>
      </c>
      <c r="EE960">
        <v>0</v>
      </c>
      <c r="EF960">
        <v>0</v>
      </c>
      <c r="EG960" s="143">
        <v>0</v>
      </c>
      <c r="EH960" s="143">
        <v>0</v>
      </c>
      <c r="EI960" s="2">
        <v>0</v>
      </c>
      <c r="EK960" t="str">
        <f>IF(AND(AND(AND(OR($DX960=1,$DW960=1),OR($EC960=1,$EA960=1)),SUM($DV960:$DZ960,$EF960)&gt;=4),SUM($EA960:$EE960)&gt;=2),"Whole sector","")</f>
        <v/>
      </c>
      <c r="EL960" t="str">
        <f>IF(AND(AND(OR($DX960=1,$DW960=1),AND($EC960=0,$EA960=0)),SUM($DV960:$DZ960,$EF960)&gt;=4),"Ecosystem approach","")</f>
        <v/>
      </c>
      <c r="EM960" s="2" t="str">
        <f>IF(AND(AND(AND($DX960=0,$DW960=0),OR($EC960=1,$EA960=1)),SUM($EB960:$EE960)&gt;=2),"Technology approach","")</f>
        <v/>
      </c>
      <c r="EP960" t="str">
        <f>IF(ISNUMBER(BU960),IF(ABS(BU960-[1]QC_indicators!$B$2)&gt;3*[1]QC_indicators!$C$2,"C ratio",IF(ISNUMBER(BY960),IF(ABS(BY960-[1]QC_indicators!$B$1)&gt;3*[1]QC_indicators!$C$1,"DF","no"))),IF(ISNUMBER(BY960),IF(ABS(BY960-[1]QC_indicators!$B$1)&gt;3*[1]QC_indicators!$C$1,"DF","no")))</f>
        <v>no</v>
      </c>
      <c r="ET960" s="264" t="s">
        <v>3216</v>
      </c>
    </row>
    <row r="961" spans="1:150" ht="15" customHeight="1">
      <c r="A961" s="1" t="s">
        <v>265</v>
      </c>
      <c r="B961" t="s">
        <v>266</v>
      </c>
      <c r="C961" t="s">
        <v>267</v>
      </c>
      <c r="D961" t="s">
        <v>268</v>
      </c>
      <c r="E961" t="s">
        <v>269</v>
      </c>
      <c r="F961" t="s">
        <v>270</v>
      </c>
      <c r="G961" t="s">
        <v>271</v>
      </c>
      <c r="H961" t="s">
        <v>254</v>
      </c>
      <c r="I961">
        <v>2022</v>
      </c>
      <c r="J961">
        <v>0</v>
      </c>
      <c r="K961" t="s">
        <v>272</v>
      </c>
      <c r="M961" t="str">
        <f>LEFT($D961,FIND(",",$D961)-1)&amp;"_"&amp;I961&amp;L961</f>
        <v>Aryapratama_2022</v>
      </c>
      <c r="N961" t="s">
        <v>222</v>
      </c>
      <c r="O961" s="145" t="s">
        <v>274</v>
      </c>
      <c r="Q961" t="s">
        <v>224</v>
      </c>
      <c r="R961" s="262" t="s">
        <v>223</v>
      </c>
      <c r="S961" s="263" t="s">
        <v>3105</v>
      </c>
      <c r="T961" t="s">
        <v>313</v>
      </c>
      <c r="U961" t="s">
        <v>283</v>
      </c>
      <c r="V961">
        <v>0</v>
      </c>
      <c r="W961">
        <v>0</v>
      </c>
      <c r="X961">
        <v>0</v>
      </c>
      <c r="Y961">
        <v>0</v>
      </c>
      <c r="Z961">
        <v>0</v>
      </c>
      <c r="AA961">
        <v>0</v>
      </c>
      <c r="AB961">
        <v>0</v>
      </c>
      <c r="AC961">
        <v>0</v>
      </c>
      <c r="AD961">
        <v>0</v>
      </c>
      <c r="AE961">
        <v>0</v>
      </c>
      <c r="AF961">
        <v>0</v>
      </c>
      <c r="AG961">
        <v>0</v>
      </c>
      <c r="AH961">
        <v>0</v>
      </c>
      <c r="AI961">
        <v>0</v>
      </c>
      <c r="AJ961">
        <v>0</v>
      </c>
      <c r="AK961">
        <v>1</v>
      </c>
      <c r="AL961">
        <v>0</v>
      </c>
      <c r="AM961">
        <v>0</v>
      </c>
      <c r="AN961">
        <v>0</v>
      </c>
      <c r="AO961">
        <v>0</v>
      </c>
      <c r="AP961">
        <v>0</v>
      </c>
      <c r="AQ961">
        <v>0</v>
      </c>
      <c r="AR961">
        <v>0</v>
      </c>
      <c r="AS961">
        <v>0</v>
      </c>
      <c r="AT961">
        <v>0</v>
      </c>
      <c r="AU961">
        <v>0</v>
      </c>
      <c r="AV961">
        <v>0</v>
      </c>
      <c r="AW961">
        <v>0</v>
      </c>
      <c r="AX961" s="141">
        <f>COUNTIF(V961:AW961,"&lt;&gt;0")</f>
        <v>1</v>
      </c>
      <c r="AY961" s="141">
        <f>COUNTIF(V961:AL961,"&lt;&gt;0")</f>
        <v>1</v>
      </c>
      <c r="AZ961">
        <f>COUNTIF(V961:AC961,"&lt;&gt;0")</f>
        <v>0</v>
      </c>
      <c r="BA961">
        <f>COUNTIF(AD961:AI961,"&lt;&gt;0")</f>
        <v>0</v>
      </c>
      <c r="BB961">
        <f>COUNTIF(AJ961:AL961,"&lt;&gt;0")</f>
        <v>1</v>
      </c>
      <c r="BC961">
        <f>COUNTIF(AS961:AW961,"&lt;&gt;0")</f>
        <v>0</v>
      </c>
      <c r="BD961">
        <f>COUNTIF(AM961:AR961,"&lt;&gt;0")</f>
        <v>0</v>
      </c>
      <c r="BE961" t="str">
        <f t="array" ref="BE961">IF(AY961=1,INDEX($V$7:$AL$7,MATCH(TRUE,INDEX($V961:$AW961&lt;&gt;0,),0)),IF(AY961=0,INDEX($AM$7:$AW$7,MATCH(1,$AM961:$AW961,0)),IF(BF961="Multiple strategies","mixed drivers",IF(BF961="Supply chain","multiple supply","multiple silviculture"))))</f>
        <v>technologies/design switch</v>
      </c>
      <c r="BF961" s="2" t="str" cm="1">
        <f t="array" ref="BF961">IF(COUNTIF(AZ961:BB961,"&lt;&gt;0")=1,INDEX($V$4:$AW$4,MATCH(TRUE,INDEX($V961:$AW961&lt;&gt;0,),0)),IF(COUNTIF(AZ961:BB961,"&lt;&gt;0")=0,INDEX($AM$4:$AW$4,MATCH(1,$AM961:$AW961,0)),"Multiple strategies"))</f>
        <v>Technology</v>
      </c>
      <c r="BG961" s="1" t="s">
        <v>229</v>
      </c>
      <c r="BH961" t="s">
        <v>277</v>
      </c>
      <c r="BI961" s="264" t="s">
        <v>3106</v>
      </c>
      <c r="BJ961" t="s">
        <v>278</v>
      </c>
      <c r="BK961">
        <v>0</v>
      </c>
      <c r="BL961">
        <v>11.564535948479303</v>
      </c>
      <c r="BN961">
        <f>BL961-BK961</f>
        <v>11.564535948479303</v>
      </c>
      <c r="BO961">
        <f>BN961*tC_to_m3</f>
        <v>50.215093132780304</v>
      </c>
      <c r="BP961" t="s">
        <v>232</v>
      </c>
      <c r="BQ961" s="337" t="s">
        <v>3107</v>
      </c>
      <c r="BR961" t="s">
        <v>279</v>
      </c>
      <c r="BS961">
        <v>75.991198542896527</v>
      </c>
      <c r="BT961">
        <v>185.09042564065231</v>
      </c>
      <c r="BU961" s="144">
        <f>IFERROR(BT961/BS961,"")</f>
        <v>2.4356824104592851</v>
      </c>
      <c r="BV961">
        <f>BT961-BS961</f>
        <v>109.09922709775579</v>
      </c>
      <c r="BX961">
        <f>BV961</f>
        <v>109.09922709775579</v>
      </c>
      <c r="BY961">
        <f>IFERROR(BX961/BO961,"")</f>
        <v>2.1726381510290587</v>
      </c>
      <c r="BZ961">
        <v>0</v>
      </c>
      <c r="CA961">
        <v>0</v>
      </c>
      <c r="CB961">
        <v>0</v>
      </c>
      <c r="CC961">
        <v>0</v>
      </c>
      <c r="CD961">
        <v>0</v>
      </c>
      <c r="CE961">
        <v>0</v>
      </c>
      <c r="CF961">
        <v>0</v>
      </c>
      <c r="CG961">
        <v>0</v>
      </c>
      <c r="CH961">
        <v>0</v>
      </c>
      <c r="CI961">
        <v>0</v>
      </c>
      <c r="CJ961">
        <v>0</v>
      </c>
      <c r="CK961">
        <v>0</v>
      </c>
      <c r="CL961">
        <v>0</v>
      </c>
      <c r="CM961">
        <v>0</v>
      </c>
      <c r="CN961" t="str">
        <f>IF($BL961&lt;$BK961,"refNeedCorrection","refOK")</f>
        <v>refOK</v>
      </c>
      <c r="CO961">
        <f>IF($CN961="refOK",$BK961,$BL961)</f>
        <v>0</v>
      </c>
      <c r="CP961">
        <f>IF($CN961="refOK",$BL961,$BK961)</f>
        <v>11.564535948479303</v>
      </c>
      <c r="CQ961">
        <f>IF($CN961="refOK",$BO961,-$BO961)</f>
        <v>50.215093132780304</v>
      </c>
      <c r="CR961">
        <f>IF($CN961="refOK",$BS961,$BT961)*IF($BP961="Emissions positive",-1,1)</f>
        <v>75.991198542896527</v>
      </c>
      <c r="CS961">
        <f>IF($CN961="refOK",$BT961,$BS961)*IF($BP961="Emissions positive",-1,1)</f>
        <v>185.09042564065231</v>
      </c>
      <c r="CT961">
        <f>IF($CN961="refNeedCorrection",-BX961,BX961)*IF($BP961="Emissions positive",-1,1)</f>
        <v>109.09922709775579</v>
      </c>
      <c r="CU961">
        <f>IFERROR(CT961/CQ961,"")</f>
        <v>2.1726381510290587</v>
      </c>
      <c r="CV961" s="2">
        <f>IFERROR((CS961-CR961)/ABS(CR961),"")</f>
        <v>1.4356824104592849</v>
      </c>
      <c r="CW961" s="1" t="s">
        <v>234</v>
      </c>
      <c r="CX961" t="str">
        <f>IF(OR($CW961="prd",$CW961="std",$CW961="cit"),"loc",IF(OR($CW961="eur",$CW961="reg",$CW961="coy"),"reg",$CW961))</f>
        <v>loc</v>
      </c>
      <c r="CY961" t="s">
        <v>280</v>
      </c>
      <c r="DB961">
        <v>50</v>
      </c>
      <c r="DC961" t="str">
        <f>IF(DB961=0,"0",IF(AND(DB961&gt;=1,DB961&lt;=30),"1-30",IF(AND(DB961&gt;30,DB961&lt;=70),"31-70",IF(AND(DB961&gt;70,DB961&lt;=100),"71-100",IF(DB961&gt;100,"+100")))))</f>
        <v>31-70</v>
      </c>
      <c r="DD961">
        <v>0</v>
      </c>
      <c r="DE961">
        <v>0</v>
      </c>
      <c r="DF961">
        <v>0</v>
      </c>
      <c r="DG961">
        <v>1</v>
      </c>
      <c r="DI961">
        <f>SUM(DD961:DG961)</f>
        <v>1</v>
      </c>
      <c r="DJ961" t="str">
        <f>IF(DI961=1,INDEX($DD$7:$DG$7,MATCH(1,$DD961:$DG961,0)),"mixedProduct")</f>
        <v>TimberInput</v>
      </c>
      <c r="DK961">
        <f>IF(DD961=1,DK$7,0)</f>
        <v>0</v>
      </c>
      <c r="DL961">
        <f>IF(DE961=1,DL$7,0)</f>
        <v>0</v>
      </c>
      <c r="DM961">
        <f>IF(DF961=1,DM$7,0)</f>
        <v>0</v>
      </c>
      <c r="DN961" t="str">
        <f>IF(DG961=1,DN$7,0)</f>
        <v>Timber</v>
      </c>
      <c r="DO961">
        <v>0</v>
      </c>
      <c r="DP961">
        <v>1</v>
      </c>
      <c r="DQ961">
        <v>0</v>
      </c>
      <c r="DR961" t="s">
        <v>281</v>
      </c>
      <c r="DS961">
        <v>0</v>
      </c>
      <c r="DT961">
        <f>SUM(DO961:DP961)</f>
        <v>1</v>
      </c>
      <c r="DU961" s="143" t="str">
        <f>IF(DO961=1,"self-calculated DF",IF(DP961=1,"external DF used","explicit C balance"))</f>
        <v>external DF used</v>
      </c>
      <c r="DV961">
        <v>0</v>
      </c>
      <c r="DW961">
        <v>1</v>
      </c>
      <c r="DX961">
        <v>1</v>
      </c>
      <c r="DY961">
        <v>1</v>
      </c>
      <c r="DZ961">
        <v>1</v>
      </c>
      <c r="EA961" s="143">
        <v>0</v>
      </c>
      <c r="EB961">
        <v>1</v>
      </c>
      <c r="EC961">
        <v>1</v>
      </c>
      <c r="ED961">
        <v>0</v>
      </c>
      <c r="EE961">
        <v>1</v>
      </c>
      <c r="EF961">
        <v>1</v>
      </c>
      <c r="EG961">
        <v>1</v>
      </c>
      <c r="EH961">
        <v>0</v>
      </c>
      <c r="EI961" s="2">
        <v>0</v>
      </c>
      <c r="EK961" t="str">
        <f>IF(AND(AND(AND(OR($DX961=1,$DW961=1),OR($EC961=1,$EA961=1)),SUM($DV961:$DZ961,$EF961)&gt;=4),SUM($EA961:$EE961)&gt;=2),"Whole sector","")</f>
        <v>Whole sector</v>
      </c>
      <c r="EL961" t="str">
        <f>IF(AND(AND(OR($DX961=1,$DW961=1),AND($EC961=0,$EA961=0)),SUM($DV961:$DZ961,$EF961)&gt;=4),"Ecosystem approach","")</f>
        <v/>
      </c>
      <c r="EM961" s="2" t="str">
        <f>IF(AND(AND(AND($DX961=0,$DW961=0),OR($EC961=1,$EA961=1)),SUM($EB961:$EE961)&gt;=2),"Technology approach","")</f>
        <v/>
      </c>
      <c r="EP961" t="str">
        <f>IF(ISNUMBER(BU961),IF(ABS(BU961-[1]QC_indicators!$B$2)&gt;3*[1]QC_indicators!$C$2,"C ratio",IF(ISNUMBER(BY961),IF(ABS(BY961-[1]QC_indicators!$B$1)&gt;3*[1]QC_indicators!$C$1,"DF","no"))),IF(ISNUMBER(BY961),IF(ABS(BY961-[1]QC_indicators!$B$1)&gt;3*[1]QC_indicators!$C$1,"DF","no")))</f>
        <v>no</v>
      </c>
      <c r="EQ961" t="s">
        <v>286</v>
      </c>
      <c r="ET961" s="264" t="s">
        <v>3273</v>
      </c>
    </row>
    <row r="962" spans="1:150" ht="15" customHeight="1">
      <c r="A962" s="1" t="s">
        <v>1102</v>
      </c>
      <c r="B962" t="s">
        <v>2381</v>
      </c>
      <c r="C962" t="s">
        <v>2382</v>
      </c>
      <c r="D962" t="s">
        <v>2383</v>
      </c>
      <c r="E962" t="s">
        <v>2384</v>
      </c>
      <c r="F962" t="s">
        <v>2385</v>
      </c>
      <c r="G962" t="s">
        <v>1108</v>
      </c>
      <c r="H962" t="s">
        <v>254</v>
      </c>
      <c r="I962">
        <v>2016</v>
      </c>
      <c r="J962">
        <v>13</v>
      </c>
      <c r="K962" t="s">
        <v>2386</v>
      </c>
      <c r="M962" t="str">
        <f>LEFT($D962,FIND(",",$D962)-1)&amp;"_"&amp;I962&amp;L962</f>
        <v>Torssonen_2016</v>
      </c>
      <c r="N962" t="s">
        <v>222</v>
      </c>
      <c r="O962" s="145" t="s">
        <v>1154</v>
      </c>
      <c r="Q962" s="264" t="s">
        <v>256</v>
      </c>
      <c r="R962" s="269" t="s">
        <v>341</v>
      </c>
      <c r="S962" s="308" t="s">
        <v>3420</v>
      </c>
      <c r="T962" t="s">
        <v>2398</v>
      </c>
      <c r="U962" s="264" t="s">
        <v>2415</v>
      </c>
      <c r="V962">
        <v>0</v>
      </c>
      <c r="W962">
        <v>0</v>
      </c>
      <c r="X962">
        <v>0</v>
      </c>
      <c r="Y962">
        <v>0</v>
      </c>
      <c r="Z962">
        <v>0</v>
      </c>
      <c r="AA962">
        <v>0</v>
      </c>
      <c r="AB962">
        <v>1</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s="141">
        <f>COUNTIF(V962:AW962,"&lt;&gt;0")</f>
        <v>1</v>
      </c>
      <c r="AY962" s="141">
        <f>COUNTIF(V962:AL962,"&lt;&gt;0")</f>
        <v>1</v>
      </c>
      <c r="AZ962">
        <f>COUNTIF(V962:AC962,"&lt;&gt;0")</f>
        <v>1</v>
      </c>
      <c r="BA962">
        <f>COUNTIF(AD962:AI962,"&lt;&gt;0")</f>
        <v>0</v>
      </c>
      <c r="BB962">
        <f>COUNTIF(AJ962:AL962,"&lt;&gt;0")</f>
        <v>0</v>
      </c>
      <c r="BC962">
        <f>COUNTIF(AS962:AW962,"&lt;&gt;0")</f>
        <v>0</v>
      </c>
      <c r="BD962">
        <f>COUNTIF(AM962:AR962,"&lt;&gt;0")</f>
        <v>0</v>
      </c>
      <c r="BE962" t="str" cm="1">
        <f t="array" ref="BE962">IF(AY962=1,INDEX($V$7:$AL$7,MATCH(TRUE,INDEX($V962:$AW962&lt;&gt;0,),0)),IF(AY962=0,INDEX($AM$7:$AW$7,MATCH(1,$AM962:$AW962,0)),IF(BF962="Multiple strategies","mixed drivers",IF(BF962="Supply chain","multiple supply","multiple silviculture"))))</f>
        <v>fertilisation</v>
      </c>
      <c r="BF962" s="2" t="str" cm="1">
        <f t="array" ref="BF962">IF(COUNTIF(AZ962:BB962,"&lt;&gt;0")=1,INDEX($V$4:$AW$4,MATCH(TRUE,INDEX($V962:$AW962&lt;&gt;0,),0)),IF(COUNTIF(AZ962:BB962,"&lt;&gt;0")=0,INDEX($AM$4:$AW$4,MATCH(1,$AM962:$AW962,0)),"Multiple strategies"))</f>
        <v>Silviculture for productivity</v>
      </c>
      <c r="BG962" s="1" t="s">
        <v>229</v>
      </c>
      <c r="BH962" s="306" t="s">
        <v>2144</v>
      </c>
      <c r="BI962" s="264" t="s">
        <v>2391</v>
      </c>
      <c r="BJ962" s="306" t="s">
        <v>1058</v>
      </c>
      <c r="BK962">
        <v>6.697959172</v>
      </c>
      <c r="BL962">
        <v>6.9183673350000001</v>
      </c>
      <c r="BM962" s="143">
        <f>BL962/BK962</f>
        <v>1.0329067641859313</v>
      </c>
      <c r="BN962">
        <f>BL962-BK962</f>
        <v>0.2204081630000001</v>
      </c>
      <c r="BO962">
        <f>BN962</f>
        <v>0.2204081630000001</v>
      </c>
      <c r="BP962" s="306" t="s">
        <v>395</v>
      </c>
      <c r="BQ962" s="153" t="s">
        <v>3421</v>
      </c>
      <c r="BR962" s="264" t="s">
        <v>2393</v>
      </c>
      <c r="BS962">
        <v>-302.54545454545399</v>
      </c>
      <c r="BT962">
        <v>-353.45454545454498</v>
      </c>
      <c r="BU962" s="144"/>
      <c r="BV962" s="144">
        <f>BT962-BS962</f>
        <v>-50.909090909090992</v>
      </c>
      <c r="BW962" s="144"/>
      <c r="BX962" s="144">
        <f>BV962*10^4/10^6</f>
        <v>-0.50909090909090993</v>
      </c>
      <c r="BY962">
        <f>IFERROR(BX962/BO962,"")</f>
        <v>-2.3097643125445844</v>
      </c>
      <c r="BZ962">
        <v>0</v>
      </c>
      <c r="CA962">
        <v>0</v>
      </c>
      <c r="CB962">
        <v>0</v>
      </c>
      <c r="CC962">
        <v>0</v>
      </c>
      <c r="CD962">
        <v>0</v>
      </c>
      <c r="CE962">
        <v>0</v>
      </c>
      <c r="CF962">
        <v>0</v>
      </c>
      <c r="CG962">
        <v>0</v>
      </c>
      <c r="CH962">
        <v>0</v>
      </c>
      <c r="CI962">
        <v>0</v>
      </c>
      <c r="CJ962">
        <v>0</v>
      </c>
      <c r="CK962">
        <v>0</v>
      </c>
      <c r="CL962">
        <v>0</v>
      </c>
      <c r="CM962">
        <v>1</v>
      </c>
      <c r="CN962" t="str">
        <f>IF($BL962&lt;$BK962,"refNeedCorrection","refOK")</f>
        <v>refOK</v>
      </c>
      <c r="CO962">
        <f>IF($CN962="refOK",$BK962,$BL962)</f>
        <v>6.697959172</v>
      </c>
      <c r="CP962">
        <f>IF($CN962="refOK",$BL962,$BK962)</f>
        <v>6.9183673350000001</v>
      </c>
      <c r="CQ962">
        <f>IF($CN962="refOK",$BO962,-$BO962)</f>
        <v>0.2204081630000001</v>
      </c>
      <c r="CR962">
        <f>IF($CN962="refOK",$BS962,$BT962)*IF($BP962="Emissions positive",-1,1)</f>
        <v>302.54545454545399</v>
      </c>
      <c r="CS962">
        <f>IF($CN962="refOK",$BT962,$BS962)*IF($BP962="Emissions positive",-1,1)</f>
        <v>353.45454545454498</v>
      </c>
      <c r="CT962">
        <f>IF($CN962="refNeedCorrection",-BX962,BX962)*IF($BP962="Emissions positive",-1,1)</f>
        <v>0.50909090909090993</v>
      </c>
      <c r="CU962">
        <f>IFERROR(CT962/CQ962,"")</f>
        <v>2.3097643125445844</v>
      </c>
      <c r="CV962" s="2">
        <f>IFERROR((CS962-CR962)/ABS(CR962),"")</f>
        <v>0.16826923076923134</v>
      </c>
      <c r="CW962" s="1" t="s">
        <v>1199</v>
      </c>
      <c r="CX962" s="264" t="str">
        <f>IF(OR($CW962="prd",$CW962="std",$CW962="cit"),"loc",IF(OR($CW962="eur",$CW962="reg",$CW962="coy"),"reg",$CW962))</f>
        <v>reg</v>
      </c>
      <c r="CY962" t="s">
        <v>235</v>
      </c>
      <c r="CZ962">
        <v>2020</v>
      </c>
      <c r="DA962">
        <v>2100</v>
      </c>
      <c r="DB962">
        <f>DA962-CZ962</f>
        <v>80</v>
      </c>
      <c r="DC962" t="str">
        <f>IF(DB962=0,"0",IF(AND(DB962&gt;=1,DB962&lt;=30),"1-30",IF(AND(DB962&gt;30,DB962&lt;=70),"31-70",IF(AND(DB962&gt;70,DB962&lt;=100),"71-100",IF(DB962&gt;100,"+100")))))</f>
        <v>71-100</v>
      </c>
      <c r="DD962">
        <v>0</v>
      </c>
      <c r="DE962">
        <v>1</v>
      </c>
      <c r="DF962">
        <v>0</v>
      </c>
      <c r="DG962">
        <v>1</v>
      </c>
      <c r="DI962">
        <f>SUM(DD962:DG962)</f>
        <v>2</v>
      </c>
      <c r="DJ962" t="str">
        <f>IF(DI962=1,INDEX($DD$7:$DG$7,MATCH(1,$DD962:$DG962,0)),"mixedProduct")</f>
        <v>mixedProduct</v>
      </c>
      <c r="DK962">
        <f>IF(DD962=1,DK$7,0)</f>
        <v>0</v>
      </c>
      <c r="DL962" t="str">
        <f>IF(DE962=1,DL$7,0)</f>
        <v>Energy</v>
      </c>
      <c r="DM962">
        <f>IF(DF962=1,DM$7,0)</f>
        <v>0</v>
      </c>
      <c r="DN962" t="str">
        <f>IF(DG962=1,DN$7,0)</f>
        <v>Timber</v>
      </c>
      <c r="DO962">
        <v>1</v>
      </c>
      <c r="DP962">
        <v>0</v>
      </c>
      <c r="DQ962">
        <v>0</v>
      </c>
      <c r="DR962">
        <v>0</v>
      </c>
      <c r="DS962">
        <v>0</v>
      </c>
      <c r="DT962">
        <f>SUM(DO962:DP962)</f>
        <v>1</v>
      </c>
      <c r="DU962" s="143" t="str">
        <f>IF(DO962=1,"self-calculated DF",IF(DP962=1,"external DF used","explicit C balance"))</f>
        <v>self-calculated DF</v>
      </c>
      <c r="DV962">
        <v>1</v>
      </c>
      <c r="DW962">
        <v>0</v>
      </c>
      <c r="DX962">
        <v>1</v>
      </c>
      <c r="DY962">
        <v>0</v>
      </c>
      <c r="DZ962">
        <v>0</v>
      </c>
      <c r="EA962" s="143">
        <v>0</v>
      </c>
      <c r="EB962">
        <v>0</v>
      </c>
      <c r="EC962">
        <v>0</v>
      </c>
      <c r="ED962">
        <v>0</v>
      </c>
      <c r="EE962">
        <v>0</v>
      </c>
      <c r="EF962">
        <v>1</v>
      </c>
      <c r="EG962">
        <v>0</v>
      </c>
      <c r="EH962">
        <v>0</v>
      </c>
      <c r="EI962" s="2">
        <v>0</v>
      </c>
      <c r="EK962" t="str">
        <f>IF(AND(AND(AND(OR($DX962=1,$DW962=1),OR($EC962=1,$EA962=1)),SUM($DV962:$DZ962,$EF962)&gt;=4),SUM($EA962:$EE962)&gt;=2),"Whole sector","")</f>
        <v/>
      </c>
      <c r="EL962" t="str">
        <f>IF(AND(AND(OR($DX962=1,$DW962=1),AND($EC962=0,$EA962=0)),SUM($DV962:$DZ962,$EF962)&gt;=4),"Ecosystem approach","")</f>
        <v/>
      </c>
      <c r="EM962" s="2" t="str">
        <f>IF(AND(AND(AND($DX962=0,$DW962=0),OR($EC962=1,$EA962=1)),SUM($EB962:$EE962)&gt;=2),"Technology approach","")</f>
        <v/>
      </c>
      <c r="EP962" t="str">
        <f>IF(ISNUMBER(BU962),IF(ABS(BU962-[3]QC_indicators!$B$2)&gt;3*[3]QC_indicators!$C$2,"C ratio",IF(ISNUMBER(BY962),IF(ABS(BY962-[3]QC_indicators!$B$1)&gt;3*[3]QC_indicators!$C$1,"DF","no"))),IF(ISNUMBER(BY962),IF(ABS(BY962-[3]QC_indicators!$B$1)&gt;3*[3]QC_indicators!$C$1,"DF","no")))</f>
        <v>no</v>
      </c>
      <c r="ER962" s="264" t="s">
        <v>2416</v>
      </c>
      <c r="ET962" s="306" t="s">
        <v>3422</v>
      </c>
    </row>
    <row r="963" spans="1:150" ht="15" customHeight="1">
      <c r="A963" s="1" t="s">
        <v>562</v>
      </c>
      <c r="B963" t="s">
        <v>544</v>
      </c>
      <c r="C963" t="s">
        <v>1593</v>
      </c>
      <c r="D963" t="s">
        <v>1594</v>
      </c>
      <c r="E963" t="s">
        <v>1595</v>
      </c>
      <c r="F963" t="s">
        <v>1596</v>
      </c>
      <c r="G963" t="s">
        <v>567</v>
      </c>
      <c r="H963" t="s">
        <v>254</v>
      </c>
      <c r="I963">
        <v>2019</v>
      </c>
      <c r="J963">
        <v>15</v>
      </c>
      <c r="K963" t="s">
        <v>1597</v>
      </c>
      <c r="M963" t="str">
        <f>LEFT($D963,FIND(",",$D963)-1)&amp;"_"&amp;I963&amp;L963</f>
        <v>Geng_2019</v>
      </c>
      <c r="N963" t="s">
        <v>222</v>
      </c>
      <c r="O963" s="181" t="s">
        <v>225</v>
      </c>
      <c r="Q963" s="264" t="s">
        <v>256</v>
      </c>
      <c r="R963" s="269" t="s">
        <v>1154</v>
      </c>
      <c r="S963" s="1" t="s">
        <v>1598</v>
      </c>
      <c r="T963" t="s">
        <v>1614</v>
      </c>
      <c r="V963">
        <v>0</v>
      </c>
      <c r="W963">
        <v>0</v>
      </c>
      <c r="X963">
        <v>0</v>
      </c>
      <c r="Y963">
        <v>0</v>
      </c>
      <c r="Z963">
        <v>0</v>
      </c>
      <c r="AA963">
        <v>0</v>
      </c>
      <c r="AB963">
        <v>0</v>
      </c>
      <c r="AC963">
        <v>0</v>
      </c>
      <c r="AD963">
        <v>0</v>
      </c>
      <c r="AE963">
        <v>0</v>
      </c>
      <c r="AF963">
        <v>0</v>
      </c>
      <c r="AG963">
        <v>0</v>
      </c>
      <c r="AH963">
        <v>0</v>
      </c>
      <c r="AI963">
        <v>0</v>
      </c>
      <c r="AJ963">
        <v>0</v>
      </c>
      <c r="AK963">
        <v>1</v>
      </c>
      <c r="AL963">
        <v>0</v>
      </c>
      <c r="AM963">
        <v>0</v>
      </c>
      <c r="AN963">
        <v>0</v>
      </c>
      <c r="AO963">
        <v>0</v>
      </c>
      <c r="AP963">
        <v>0</v>
      </c>
      <c r="AQ963">
        <v>0</v>
      </c>
      <c r="AR963">
        <v>0</v>
      </c>
      <c r="AS963">
        <v>0</v>
      </c>
      <c r="AT963">
        <v>0</v>
      </c>
      <c r="AU963">
        <v>0</v>
      </c>
      <c r="AV963">
        <v>0</v>
      </c>
      <c r="AW963">
        <v>0</v>
      </c>
      <c r="AX963" s="141">
        <f>COUNTIF(V963:AW963,"&lt;&gt;0")</f>
        <v>1</v>
      </c>
      <c r="AY963" s="141">
        <f>COUNTIF(V963:AL963,"&lt;&gt;0")</f>
        <v>1</v>
      </c>
      <c r="AZ963">
        <f>COUNTIF(V963:AC963,"&lt;&gt;0")</f>
        <v>0</v>
      </c>
      <c r="BA963">
        <f>COUNTIF(AD963:AI963,"&lt;&gt;0")</f>
        <v>0</v>
      </c>
      <c r="BB963">
        <f>COUNTIF(AJ963:AL963,"&lt;&gt;0")</f>
        <v>1</v>
      </c>
      <c r="BC963">
        <f>COUNTIF(AS963:AW963,"&lt;&gt;0")</f>
        <v>0</v>
      </c>
      <c r="BD963">
        <f>COUNTIF(AM963:AR963,"&lt;&gt;0")</f>
        <v>0</v>
      </c>
      <c r="BE963" t="str" cm="1">
        <f t="array" ref="BE963">IF(AY963=1,INDEX($V$7:$AL$7,MATCH(TRUE,INDEX($V963:$AW963&lt;&gt;0,),0)),IF(AY963=0,INDEX($AM$7:$AW$7,MATCH(1,$AM963:$AW963,0)),IF(BF963="Multiple strategies","mixed drivers",IF(BF963="Supply chain","multiple supply","multiple silviculture"))))</f>
        <v>technologies/design switch</v>
      </c>
      <c r="BF963" s="2" t="str" cm="1">
        <f t="array" ref="BF963">IF(COUNTIF(AZ963:BB963,"&lt;&gt;0")=1,INDEX($V$4:$AW$4,MATCH(TRUE,INDEX($V963:$AW963&lt;&gt;0,),0)),IF(COUNTIF(AZ963:BB963,"&lt;&gt;0")=0,INDEX($AM$4:$AW$4,MATCH(1,$AM963:$AW963,0)),"Multiple strategies"))</f>
        <v>Technology</v>
      </c>
      <c r="BG963" s="1" t="s">
        <v>229</v>
      </c>
      <c r="BH963" t="s">
        <v>1600</v>
      </c>
      <c r="BJ963" t="s">
        <v>261</v>
      </c>
      <c r="BK963">
        <v>26</v>
      </c>
      <c r="BL963">
        <v>85.25</v>
      </c>
      <c r="BM963">
        <f>BL963/BK963</f>
        <v>3.2788461538461537</v>
      </c>
      <c r="BN963">
        <f>BL963-BK963</f>
        <v>59.25</v>
      </c>
      <c r="BO963">
        <f>BN963*kg_to_m3</f>
        <v>0.12091836734693878</v>
      </c>
      <c r="BP963" t="s">
        <v>232</v>
      </c>
      <c r="BR963" t="s">
        <v>1609</v>
      </c>
      <c r="BU963" s="144" t="str">
        <f>IFERROR(BT963/BS963,"")</f>
        <v/>
      </c>
      <c r="BV963">
        <v>0.28000000000000003</v>
      </c>
      <c r="BX963">
        <f>BV963</f>
        <v>0.28000000000000003</v>
      </c>
      <c r="BY963">
        <f>IFERROR(BX963/BO963,"")</f>
        <v>2.3156118143459916</v>
      </c>
      <c r="BZ963">
        <v>0</v>
      </c>
      <c r="CA963">
        <v>0</v>
      </c>
      <c r="CB963">
        <v>0</v>
      </c>
      <c r="CC963">
        <v>0</v>
      </c>
      <c r="CD963">
        <v>0</v>
      </c>
      <c r="CE963">
        <v>0</v>
      </c>
      <c r="CF963">
        <v>0</v>
      </c>
      <c r="CG963">
        <v>0</v>
      </c>
      <c r="CH963">
        <v>0</v>
      </c>
      <c r="CI963">
        <v>0</v>
      </c>
      <c r="CJ963">
        <v>0</v>
      </c>
      <c r="CK963">
        <v>0</v>
      </c>
      <c r="CL963">
        <v>0</v>
      </c>
      <c r="CM963">
        <v>0</v>
      </c>
      <c r="CN963" t="str">
        <f>IF(BL963&lt;BK963,"refNeedCorrection","refOK")</f>
        <v>refOK</v>
      </c>
      <c r="CO963">
        <f>IF($CN963="refOK",$BK963,$BL963)</f>
        <v>26</v>
      </c>
      <c r="CP963">
        <f>IF($CN963="refOK",$BL963,$BK963)</f>
        <v>85.25</v>
      </c>
      <c r="CQ963">
        <f>IF($CN963="refOK",$BO963,-$BO963)</f>
        <v>0.12091836734693878</v>
      </c>
      <c r="CR963">
        <f>IF($CN963="refOK",$BS963,$BT963)*IF($BP963="Emissions positive",-1,1)</f>
        <v>0</v>
      </c>
      <c r="CS963">
        <f>IF($CN963="refOK",$BT963,$BS963)*IF($BP963="Emissions positive",-1,1)</f>
        <v>0</v>
      </c>
      <c r="CT963">
        <f>IF($CN963="refNeedCorrection",-BX963,BX963)*IF($BP963="Emissions positive",-1,1)</f>
        <v>0.28000000000000003</v>
      </c>
      <c r="CU963">
        <f>IFERROR(CT963/CQ963,"")</f>
        <v>2.3156118143459916</v>
      </c>
      <c r="CV963" s="2" t="str">
        <f>IFERROR((CS963-CR963)/ABS(CR963),"")</f>
        <v/>
      </c>
      <c r="CW963" s="1" t="s">
        <v>1203</v>
      </c>
      <c r="CX963" s="264" t="str">
        <f>IF(OR($CW963="prd",$CW963="std",$CW963="cit"),"loc",IF(OR($CW963="eur",$CW963="reg",$CW963="coy"),"reg",$CW963))</f>
        <v>reg</v>
      </c>
      <c r="CY963" t="s">
        <v>690</v>
      </c>
      <c r="CZ963">
        <v>2019</v>
      </c>
      <c r="DB963">
        <v>0</v>
      </c>
      <c r="DC963" t="str">
        <f>IF(DB963=0,"0",IF(AND(DB963&gt;=1,DB963&lt;=30),"1-30",IF(AND(DB963&gt;30,DB963&lt;=70),"31-70",IF(AND(DB963&gt;70,DB963&lt;=100),"71-100",IF(DB963&gt;100,"+100")))))</f>
        <v>0</v>
      </c>
      <c r="DD963">
        <v>0</v>
      </c>
      <c r="DE963">
        <v>0</v>
      </c>
      <c r="DF963">
        <v>0</v>
      </c>
      <c r="DG963">
        <v>1</v>
      </c>
      <c r="DI963">
        <f>SUM(DD963:DG963)</f>
        <v>1</v>
      </c>
      <c r="DJ963" t="str">
        <f>IF(DI963=1,INDEX($DD$7:$DG$7,MATCH(1,$DD963:$DG963,0)),"mixedProduct")</f>
        <v>TimberInput</v>
      </c>
      <c r="DK963">
        <f>IF(DD963=1,DK$7,0)</f>
        <v>0</v>
      </c>
      <c r="DL963">
        <f>IF(DE963=1,DL$7,0)</f>
        <v>0</v>
      </c>
      <c r="DM963">
        <f>IF(DF963=1,DM$7,0)</f>
        <v>0</v>
      </c>
      <c r="DN963" t="str">
        <f>IF(DG963=1,DN$7,0)</f>
        <v>Timber</v>
      </c>
      <c r="DO963">
        <v>1</v>
      </c>
      <c r="DP963">
        <v>0</v>
      </c>
      <c r="DQ963">
        <v>0</v>
      </c>
      <c r="DR963">
        <v>0</v>
      </c>
      <c r="DS963">
        <v>0</v>
      </c>
      <c r="DT963">
        <f>SUM(DO963:DP963)</f>
        <v>1</v>
      </c>
      <c r="DU963" s="143" t="str">
        <f>IF(DO963=1,"self-calculated DF",IF(DP963=1,"external DF used","explicit C balance"))</f>
        <v>self-calculated DF</v>
      </c>
      <c r="DV963">
        <v>0</v>
      </c>
      <c r="DW963">
        <v>0</v>
      </c>
      <c r="DX963">
        <v>0</v>
      </c>
      <c r="DY963">
        <v>0</v>
      </c>
      <c r="DZ963">
        <v>0</v>
      </c>
      <c r="EA963" s="143">
        <v>1</v>
      </c>
      <c r="EB963">
        <v>0</v>
      </c>
      <c r="EC963">
        <v>1</v>
      </c>
      <c r="ED963">
        <v>0</v>
      </c>
      <c r="EE963">
        <v>0</v>
      </c>
      <c r="EF963">
        <v>0</v>
      </c>
      <c r="EG963">
        <v>0</v>
      </c>
      <c r="EH963">
        <v>0</v>
      </c>
      <c r="EI963" s="2">
        <v>0</v>
      </c>
      <c r="EK963" t="str">
        <f>IF(AND(AND(AND(OR($DX963=1,$DW963=1),OR($EC963=1,$EA963=1)),SUM($DV963:$DZ963,$EF963)&gt;=4),SUM($EA963:$EE963)&gt;=2),"Whole sector","")</f>
        <v/>
      </c>
      <c r="EL963" t="str">
        <f>IF(AND(AND(OR($DX963=1,$DW963=1),AND($EC963=0,$EA963=0)),SUM($DV963:$DZ963,$EF963)&gt;=4),"Ecosystem approach","")</f>
        <v/>
      </c>
      <c r="EM963" s="2" t="str">
        <f>IF(AND(AND(AND($DX963=0,$DW963=0),OR($EC963=1,$EA963=1)),SUM($EB963:$EE963)&gt;=2),"Technology approach","")</f>
        <v/>
      </c>
      <c r="EN963" t="s">
        <v>1603</v>
      </c>
      <c r="EP963" t="str">
        <f>IF(ISNUMBER(BU963),IF(ABS(BU963-[3]QC_indicators!$B$2)&gt;3*[3]QC_indicators!$C$2,"C ratio",IF(ISNUMBER(BY963),IF(ABS(BY963-[3]QC_indicators!$B$1)&gt;3*[3]QC_indicators!$C$1,"DF","no"))),IF(ISNUMBER(BY963),IF(ABS(BY963-[3]QC_indicators!$B$1)&gt;3*[3]QC_indicators!$C$1,"DF","no")))</f>
        <v>no</v>
      </c>
      <c r="ER963" t="s">
        <v>1604</v>
      </c>
      <c r="ET963" s="264" t="s">
        <v>3407</v>
      </c>
    </row>
    <row r="964" spans="1:150" ht="15" customHeight="1">
      <c r="A964" s="1" t="s">
        <v>247</v>
      </c>
      <c r="B964" t="s">
        <v>799</v>
      </c>
      <c r="C964" t="s">
        <v>800</v>
      </c>
      <c r="D964" t="s">
        <v>801</v>
      </c>
      <c r="E964" t="s">
        <v>802</v>
      </c>
      <c r="F964" t="s">
        <v>803</v>
      </c>
      <c r="G964" t="s">
        <v>253</v>
      </c>
      <c r="H964" t="s">
        <v>254</v>
      </c>
      <c r="I964">
        <v>2020</v>
      </c>
      <c r="J964">
        <v>15</v>
      </c>
      <c r="K964" t="s">
        <v>804</v>
      </c>
      <c r="M964" t="str">
        <f>LEFT($D964,FIND(",",$D964)-1)&amp;"_"&amp;I964&amp;L964</f>
        <v>Jayalath_2020</v>
      </c>
      <c r="N964" t="s">
        <v>222</v>
      </c>
      <c r="O964" s="145" t="s">
        <v>513</v>
      </c>
      <c r="Q964" t="s">
        <v>256</v>
      </c>
      <c r="R964" s="262" t="s">
        <v>225</v>
      </c>
      <c r="S964" s="1" t="s">
        <v>809</v>
      </c>
      <c r="T964" t="s">
        <v>810</v>
      </c>
      <c r="U964" t="s">
        <v>259</v>
      </c>
      <c r="V964">
        <v>0</v>
      </c>
      <c r="W964">
        <v>0</v>
      </c>
      <c r="X964">
        <v>0</v>
      </c>
      <c r="Y964">
        <v>0</v>
      </c>
      <c r="Z964">
        <v>0</v>
      </c>
      <c r="AA964">
        <v>0</v>
      </c>
      <c r="AB964">
        <v>0</v>
      </c>
      <c r="AC964">
        <v>0</v>
      </c>
      <c r="AD964">
        <v>0</v>
      </c>
      <c r="AE964">
        <v>0</v>
      </c>
      <c r="AF964">
        <v>0</v>
      </c>
      <c r="AG964">
        <v>0</v>
      </c>
      <c r="AH964">
        <v>0</v>
      </c>
      <c r="AI964">
        <v>0</v>
      </c>
      <c r="AJ964">
        <v>0</v>
      </c>
      <c r="AK964">
        <v>1</v>
      </c>
      <c r="AL964">
        <v>0</v>
      </c>
      <c r="AM964">
        <v>0</v>
      </c>
      <c r="AN964">
        <v>0</v>
      </c>
      <c r="AO964">
        <v>0</v>
      </c>
      <c r="AP964">
        <v>0</v>
      </c>
      <c r="AQ964">
        <v>0</v>
      </c>
      <c r="AR964">
        <v>0</v>
      </c>
      <c r="AS964">
        <v>0</v>
      </c>
      <c r="AT964">
        <v>0</v>
      </c>
      <c r="AU964">
        <v>0</v>
      </c>
      <c r="AV964">
        <v>0</v>
      </c>
      <c r="AW964">
        <v>0</v>
      </c>
      <c r="AX964" s="141">
        <f>COUNTIF(V964:AW964,"&lt;&gt;0")</f>
        <v>1</v>
      </c>
      <c r="AY964" s="141">
        <f>COUNTIF(V964:AL964,"&lt;&gt;0")</f>
        <v>1</v>
      </c>
      <c r="AZ964">
        <f>COUNTIF(V964:AC964,"&lt;&gt;0")</f>
        <v>0</v>
      </c>
      <c r="BA964">
        <f>COUNTIF(AD964:AI964,"&lt;&gt;0")</f>
        <v>0</v>
      </c>
      <c r="BB964">
        <f>COUNTIF(AJ964:AL964,"&lt;&gt;0")</f>
        <v>1</v>
      </c>
      <c r="BC964">
        <f>COUNTIF(AS964:AW964,"&lt;&gt;0")</f>
        <v>0</v>
      </c>
      <c r="BD964">
        <f>COUNTIF(AM964:AR964,"&lt;&gt;0")</f>
        <v>0</v>
      </c>
      <c r="BE964" t="str">
        <f t="array" ref="BE964">IF(AY964=1,INDEX($V$7:$AL$7,MATCH(TRUE,INDEX($V964:$AW964&lt;&gt;0,),0)),IF(AY964=0,INDEX($AM$7:$AW$7,MATCH(1,$AM964:$AW964,0)),IF(BF964="Multiple strategies","mixed drivers",IF(BF964="Supply chain","multiple supply","multiple silviculture"))))</f>
        <v>technologies/design switch</v>
      </c>
      <c r="BF964" s="2" t="str" cm="1">
        <f t="array" ref="BF964">IF(COUNTIF(AZ964:BB964,"&lt;&gt;0")=1,INDEX($V$4:$AW$4,MATCH(TRUE,INDEX($V964:$AW964&lt;&gt;0,),0)),IF(COUNTIF(AZ964:BB964,"&lt;&gt;0")=0,INDEX($AM$4:$AW$4,MATCH(1,$AM964:$AW964,0)),"Multiple strategies"))</f>
        <v>Technology</v>
      </c>
      <c r="BG964" s="1" t="s">
        <v>229</v>
      </c>
      <c r="BH964" t="s">
        <v>808</v>
      </c>
      <c r="BI964" s="260" t="s">
        <v>3340</v>
      </c>
      <c r="BJ964" t="s">
        <v>345</v>
      </c>
      <c r="BK964" s="264">
        <v>0</v>
      </c>
      <c r="BL964" s="264">
        <f>119193+8552+2924</f>
        <v>130669</v>
      </c>
      <c r="BN964">
        <f>BL964-BK964</f>
        <v>130669</v>
      </c>
      <c r="BO964">
        <f>BN964*kg_to_m3</f>
        <v>266.67142857142858</v>
      </c>
      <c r="BP964" t="s">
        <v>395</v>
      </c>
      <c r="BQ964" s="260" t="s">
        <v>3344</v>
      </c>
      <c r="BR964" t="s">
        <v>812</v>
      </c>
      <c r="BS964">
        <f>(1387+293)+35+7-161.49</f>
        <v>1560.51</v>
      </c>
      <c r="BT964">
        <f>687+353+28+3-64-64</f>
        <v>943</v>
      </c>
      <c r="BU964" s="144">
        <f>IFERROR(BT964/BS964,"")</f>
        <v>0.60428962326418922</v>
      </c>
      <c r="BV964">
        <f>BT964-BS964</f>
        <v>-617.51</v>
      </c>
      <c r="BX964">
        <f>BV964</f>
        <v>-617.51</v>
      </c>
      <c r="BY964">
        <f>IFERROR(BX964/BO964,"")</f>
        <v>-2.315621149622328</v>
      </c>
      <c r="BZ964">
        <v>0</v>
      </c>
      <c r="CA964">
        <v>0</v>
      </c>
      <c r="CB964">
        <v>0</v>
      </c>
      <c r="CC964">
        <v>0</v>
      </c>
      <c r="CD964">
        <v>0</v>
      </c>
      <c r="CE964">
        <v>0</v>
      </c>
      <c r="CF964">
        <v>0</v>
      </c>
      <c r="CG964">
        <v>0</v>
      </c>
      <c r="CH964">
        <v>0</v>
      </c>
      <c r="CI964">
        <v>0</v>
      </c>
      <c r="CJ964">
        <v>0</v>
      </c>
      <c r="CK964">
        <v>0</v>
      </c>
      <c r="CL964">
        <v>0</v>
      </c>
      <c r="CM964">
        <v>1</v>
      </c>
      <c r="CN964" t="str">
        <f>IF(BL964&lt;BK964,"refNeedCorrection","refOK")</f>
        <v>refOK</v>
      </c>
      <c r="CO964">
        <f>IF($CN964="refOK",$BK964,$BL964)</f>
        <v>0</v>
      </c>
      <c r="CP964">
        <f>IF($CN964="refOK",$BL964,$BK964)</f>
        <v>130669</v>
      </c>
      <c r="CQ964">
        <f>IF($CN964="refOK",$BO964,-$BO964)</f>
        <v>266.67142857142858</v>
      </c>
      <c r="CR964">
        <f>IF($CN964="refOK",$BS964,$BT964)*IF($BP964="Emissions positive",-1,1)</f>
        <v>-1560.51</v>
      </c>
      <c r="CS964">
        <f>IF($CN964="refOK",$BT964,$BS964)*IF($BP964="Emissions positive",-1,1)</f>
        <v>-943</v>
      </c>
      <c r="CT964">
        <f>IF($CN964="refNeedCorrection",-BX964,BX964)*IF($BP964="Emissions positive",-1,1)</f>
        <v>617.51</v>
      </c>
      <c r="CU964">
        <f>IFERROR(CT964/CQ964,"")</f>
        <v>2.315621149622328</v>
      </c>
      <c r="CV964" s="2">
        <f>IFERROR((CS964-CR964)/ABS(CR964),"")</f>
        <v>0.39571037673581072</v>
      </c>
      <c r="CW964" s="1" t="s">
        <v>347</v>
      </c>
      <c r="CX964" t="str">
        <f>IF(OR($CW964="prd",$CW964="std",$CW964="cit"),"loc",IF(OR($CW964="eur",$CW964="reg",$CW964="coy"),"reg",$CW964))</f>
        <v>loc</v>
      </c>
      <c r="CY964" t="s">
        <v>574</v>
      </c>
      <c r="DB964">
        <v>0</v>
      </c>
      <c r="DC964" t="str">
        <f>IF(DB964=0,"0",IF(AND(DB964&gt;=1,DB964&lt;=30),"1-30",IF(AND(DB964&gt;30,DB964&lt;=70),"31-70",IF(AND(DB964&gt;70,DB964&lt;=100),"71-100",IF(DB964&gt;100,"+100")))))</f>
        <v>0</v>
      </c>
      <c r="DD964">
        <v>0</v>
      </c>
      <c r="DE964">
        <v>0</v>
      </c>
      <c r="DF964">
        <v>0</v>
      </c>
      <c r="DG964">
        <v>1</v>
      </c>
      <c r="DI964">
        <f>SUM(DD964:DG964)</f>
        <v>1</v>
      </c>
      <c r="DJ964" t="str">
        <f>IF(DI964=1,INDEX($DD$7:$DG$7,MATCH(1,$DD964:$DG964,0)),"mixedProduct")</f>
        <v>TimberInput</v>
      </c>
      <c r="DK964">
        <f>IF(DD964=1,DK$7,0)</f>
        <v>0</v>
      </c>
      <c r="DL964">
        <f>IF(DE964=1,DL$7,0)</f>
        <v>0</v>
      </c>
      <c r="DM964">
        <f>IF(DF964=1,DM$7,0)</f>
        <v>0</v>
      </c>
      <c r="DN964" t="str">
        <f>IF(DG964=1,DN$7,0)</f>
        <v>Timber</v>
      </c>
      <c r="DO964">
        <v>0</v>
      </c>
      <c r="DP964">
        <v>0</v>
      </c>
      <c r="DQ964">
        <v>0</v>
      </c>
      <c r="DR964">
        <v>0</v>
      </c>
      <c r="DS964">
        <v>0</v>
      </c>
      <c r="DT964">
        <f>SUM(DO964:DP964)</f>
        <v>0</v>
      </c>
      <c r="DU964" s="143" t="str">
        <f>IF(DO964=1,"self-calculated DF",IF(DP964=1,"external DF used","explicit C balance"))</f>
        <v>explicit C balance</v>
      </c>
      <c r="DV964">
        <v>0</v>
      </c>
      <c r="DW964">
        <v>0</v>
      </c>
      <c r="DX964">
        <v>0</v>
      </c>
      <c r="DY964">
        <v>0</v>
      </c>
      <c r="DZ964">
        <v>0</v>
      </c>
      <c r="EA964">
        <v>1</v>
      </c>
      <c r="EB964">
        <v>0</v>
      </c>
      <c r="EC964">
        <v>1</v>
      </c>
      <c r="ED964">
        <v>1</v>
      </c>
      <c r="EE964">
        <v>1</v>
      </c>
      <c r="EF964">
        <v>0</v>
      </c>
      <c r="EG964">
        <v>0</v>
      </c>
      <c r="EH964">
        <v>0</v>
      </c>
      <c r="EI964" s="2">
        <v>0</v>
      </c>
      <c r="EK964" t="str">
        <f>IF(AND(AND(AND(OR($DX964=1,$DW964=1),OR($EC964=1,$EA964=1)),SUM($DV964:$DZ964,$EF964)&gt;=4),SUM($EA964:$EE964)&gt;=2),"Whole sector","")</f>
        <v/>
      </c>
      <c r="EL964" t="str">
        <f>IF(AND(AND(OR($DX964=1,$DW964=1),AND($EC964=0,$EA964=0)),SUM($DV964:$DZ964,$EF964)&gt;=4),"Ecosystem approach","")</f>
        <v/>
      </c>
      <c r="EM964" s="2" t="str">
        <f>IF(AND(AND(AND($DX964=0,$DW964=0),OR($EC964=1,$EA964=1)),SUM($EB964:$EE964)&gt;=2),"Technology approach","")</f>
        <v>Technology approach</v>
      </c>
      <c r="EP964" t="str">
        <f>IF(ISNUMBER(BU964),IF(ABS(BU964-[4]QC_indicators!$B$2)&gt;3*[4]QC_indicators!$C$2,"C ratio",IF(ISNUMBER(BY964),IF(ABS(BY964-[4]QC_indicators!$B$1)&gt;3*[4]QC_indicators!$C$1,"DF","no"))),IF(ISNUMBER(BY964),IF(ABS(BY964-[4]QC_indicators!$B$1)&gt;3*[4]QC_indicators!$C$1,"DF","no")))</f>
        <v>no</v>
      </c>
      <c r="ER964" s="149" t="s">
        <v>349</v>
      </c>
      <c r="ET964" s="264" t="s">
        <v>3273</v>
      </c>
    </row>
    <row r="965" spans="1:150" ht="15" customHeight="1">
      <c r="A965" s="1" t="s">
        <v>1270</v>
      </c>
      <c r="B965" t="s">
        <v>1271</v>
      </c>
      <c r="C965" t="s">
        <v>1272</v>
      </c>
      <c r="D965" t="s">
        <v>1273</v>
      </c>
      <c r="E965" t="s">
        <v>1274</v>
      </c>
      <c r="F965" t="s">
        <v>1275</v>
      </c>
      <c r="G965" t="s">
        <v>1276</v>
      </c>
      <c r="I965">
        <v>2019</v>
      </c>
      <c r="K965" t="s">
        <v>1277</v>
      </c>
      <c r="M965" t="str">
        <f>LEFT($D965,FIND(",",$D965)-1)&amp;"_"&amp;I965&amp;L965</f>
        <v>Baskent_2019</v>
      </c>
      <c r="N965" t="s">
        <v>222</v>
      </c>
      <c r="O965" s="140" t="s">
        <v>513</v>
      </c>
      <c r="Q965" t="s">
        <v>224</v>
      </c>
      <c r="R965" s="269" t="s">
        <v>274</v>
      </c>
      <c r="S965" s="1" t="s">
        <v>1278</v>
      </c>
      <c r="T965" t="s">
        <v>1111</v>
      </c>
      <c r="U965" s="143" t="s">
        <v>1279</v>
      </c>
      <c r="V965" s="143">
        <v>0</v>
      </c>
      <c r="W965" s="143">
        <v>0</v>
      </c>
      <c r="X965" s="143">
        <v>0</v>
      </c>
      <c r="Y965" s="143">
        <v>1</v>
      </c>
      <c r="Z965" s="143">
        <v>2</v>
      </c>
      <c r="AA965" s="143">
        <v>0</v>
      </c>
      <c r="AB965" s="143">
        <v>0</v>
      </c>
      <c r="AC965" s="143">
        <v>0</v>
      </c>
      <c r="AD965">
        <v>0</v>
      </c>
      <c r="AE965">
        <v>0</v>
      </c>
      <c r="AF965">
        <v>2</v>
      </c>
      <c r="AG965">
        <v>0</v>
      </c>
      <c r="AH965">
        <v>0</v>
      </c>
      <c r="AI965">
        <v>0</v>
      </c>
      <c r="AJ965">
        <v>2</v>
      </c>
      <c r="AK965">
        <v>0</v>
      </c>
      <c r="AL965">
        <v>0</v>
      </c>
      <c r="AM965">
        <v>0</v>
      </c>
      <c r="AN965">
        <v>2</v>
      </c>
      <c r="AO965">
        <v>2</v>
      </c>
      <c r="AP965">
        <v>0</v>
      </c>
      <c r="AQ965">
        <v>0</v>
      </c>
      <c r="AR965">
        <v>0</v>
      </c>
      <c r="AS965">
        <v>2</v>
      </c>
      <c r="AT965">
        <v>0</v>
      </c>
      <c r="AU965">
        <v>0</v>
      </c>
      <c r="AV965">
        <v>0</v>
      </c>
      <c r="AW965">
        <v>2</v>
      </c>
      <c r="AX965" s="141">
        <f>COUNTIF(V965:AW965,"&lt;&gt;0")</f>
        <v>8</v>
      </c>
      <c r="AY965" s="141">
        <f>COUNTIF(V965:AL965,"&lt;&gt;0")</f>
        <v>4</v>
      </c>
      <c r="AZ965">
        <f>COUNTIF(V965:AC965,"&lt;&gt;0")</f>
        <v>2</v>
      </c>
      <c r="BA965">
        <f>COUNTIF(AD965:AI965,"&lt;&gt;0")</f>
        <v>1</v>
      </c>
      <c r="BB965">
        <f>COUNTIF(AJ965:AL965,"&lt;&gt;0")</f>
        <v>1</v>
      </c>
      <c r="BC965">
        <f>COUNTIF(AS965:AW965,"&lt;&gt;0")</f>
        <v>2</v>
      </c>
      <c r="BD965">
        <f>COUNTIF(AM965:AR965,"&lt;&gt;0")</f>
        <v>2</v>
      </c>
      <c r="BE965" t="str">
        <f t="array" ref="BE965">IF(AY965=1,INDEX($V$7:$AL$7,MATCH(TRUE,INDEX($V965:$AW965&lt;&gt;0,),0)),IF(AY965=0,INDEX($AM$7:$AW$7,MATCH(1,$AM965:$AW965,0)),IF(BF965="Multiple strategies","mixed drivers",IF(BF965="Supply chain","multiple supply","multiple silviculture"))))</f>
        <v>mixed drivers</v>
      </c>
      <c r="BF965" s="2" t="str" cm="1">
        <f t="array" ref="BF965">IF(COUNTIF(AZ965:BB965,"&lt;&gt;0")=1,INDEX($V$4:$AW$4,MATCH(TRUE,INDEX($V965:$AW965&lt;&gt;0,),0)),IF(COUNTIF(AZ965:BB965,"&lt;&gt;0")=0,INDEX($AM$4:$AW$4,MATCH(1,$AM965:$AW965,0)),"Multiple strategies"))</f>
        <v>Multiple strategies</v>
      </c>
      <c r="BG965" s="1" t="s">
        <v>321</v>
      </c>
      <c r="BH965" t="s">
        <v>1280</v>
      </c>
      <c r="BJ965" s="143" t="s">
        <v>278</v>
      </c>
      <c r="BK965">
        <v>10.270935960591125</v>
      </c>
      <c r="BL965">
        <v>10.566502463054182</v>
      </c>
      <c r="BM965" s="143">
        <f>BL965/BK965</f>
        <v>1.0287769784172665</v>
      </c>
      <c r="BN965">
        <f>BL965-BK965</f>
        <v>0.29556650246305693</v>
      </c>
      <c r="BO965" s="143">
        <f>BN965*tC_to_m3</f>
        <v>1.2833977527705469</v>
      </c>
      <c r="BP965" t="s">
        <v>232</v>
      </c>
      <c r="BQ965" s="333" t="s">
        <v>787</v>
      </c>
      <c r="BR965" s="143" t="s">
        <v>278</v>
      </c>
      <c r="BS965">
        <v>33.994657876790122</v>
      </c>
      <c r="BT965">
        <v>34.822007358186738</v>
      </c>
      <c r="BU965" s="144">
        <f>IFERROR(BT965/BS965,"")</f>
        <v>1.0243376322360782</v>
      </c>
      <c r="BV965">
        <f>BT965-BS965</f>
        <v>0.82734948139661668</v>
      </c>
      <c r="BX965">
        <f>BV965*C_to_CO2</f>
        <v>3.0363725967255832</v>
      </c>
      <c r="BY965">
        <f>IFERROR(BX965/BO965,"")</f>
        <v>2.3658858605376123</v>
      </c>
      <c r="BZ965" s="143">
        <v>0</v>
      </c>
      <c r="CA965" s="143">
        <v>0</v>
      </c>
      <c r="CB965" s="143">
        <v>0</v>
      </c>
      <c r="CC965" s="143">
        <v>0</v>
      </c>
      <c r="CD965" s="143">
        <v>0</v>
      </c>
      <c r="CE965" s="143">
        <v>0</v>
      </c>
      <c r="CF965" s="143">
        <v>0</v>
      </c>
      <c r="CG965" s="143">
        <v>1</v>
      </c>
      <c r="CH965" s="143">
        <v>0</v>
      </c>
      <c r="CI965" s="143">
        <v>1</v>
      </c>
      <c r="CJ965" s="143">
        <v>1</v>
      </c>
      <c r="CK965" s="143">
        <v>0</v>
      </c>
      <c r="CL965" s="143">
        <v>1</v>
      </c>
      <c r="CM965" s="143">
        <v>0</v>
      </c>
      <c r="CN965" t="str">
        <f>IF($BL965&lt;$BK965,"refNeedCorrection","refOK")</f>
        <v>refOK</v>
      </c>
      <c r="CO965">
        <f>IF($CN965="refOK",$BK965,$BL965)</f>
        <v>10.270935960591125</v>
      </c>
      <c r="CP965">
        <f>IF($CN965="refOK",$BL965,$BK965)</f>
        <v>10.566502463054182</v>
      </c>
      <c r="CQ965">
        <f>IF($CN965="refOK",$BO965,-$BO965)</f>
        <v>1.2833977527705469</v>
      </c>
      <c r="CR965">
        <f>IF($CN965="refOK",$BS965,$BT965)*IF($BP965="Emissions positive",-1,1)</f>
        <v>33.994657876790122</v>
      </c>
      <c r="CS965">
        <f>IF($CN965="refOK",$BT965,$BS965)*IF($BP965="Emissions positive",-1,1)</f>
        <v>34.822007358186738</v>
      </c>
      <c r="CT965">
        <f>IF($CN965="refNeedCorrection",-BX965,BX965)*IF($BP965="Emissions positive",-1,1)</f>
        <v>3.0363725967255832</v>
      </c>
      <c r="CU965">
        <f>IFERROR(CT965/CQ965,"")</f>
        <v>2.3658858605376123</v>
      </c>
      <c r="CV965" s="2">
        <f>IFERROR((CS965-CR965)/ABS(CR965),"")</f>
        <v>2.4337632236078193E-2</v>
      </c>
      <c r="CW965" s="1" t="s">
        <v>1199</v>
      </c>
      <c r="CX965" t="str">
        <f>IF(OR($CW965="prd",$CW965="std",$CW965="cit"),"loc",IF(OR($CW965="eur",$CW965="reg",$CW965="coy"),"reg",$CW965))</f>
        <v>reg</v>
      </c>
      <c r="CY965" t="s">
        <v>1281</v>
      </c>
      <c r="CZ965">
        <v>2010</v>
      </c>
      <c r="DA965" s="143">
        <v>2060</v>
      </c>
      <c r="DB965" s="143">
        <f>DA965-CZ965</f>
        <v>50</v>
      </c>
      <c r="DC965" t="str">
        <f>IF(DB965=0,"0",IF(AND(DB965&gt;=1,DB965&lt;=30),"1-30",IF(AND(DB965&gt;30,DB965&lt;=70),"31-70",IF(AND(DB965&gt;70,DB965&lt;=100),"71-100",IF(DB965&gt;100,"+100")))))</f>
        <v>31-70</v>
      </c>
      <c r="DD965">
        <v>1</v>
      </c>
      <c r="DE965">
        <v>1</v>
      </c>
      <c r="DF965">
        <v>1</v>
      </c>
      <c r="DG965">
        <v>1</v>
      </c>
      <c r="DI965">
        <f>SUM(DD965:DG965)</f>
        <v>4</v>
      </c>
      <c r="DJ965" t="str">
        <f>IF(DI965=1,INDEX($DD$7:$DG$7,MATCH(1,$DD965:$DG965,0)),"mixedProduct")</f>
        <v>mixedProduct</v>
      </c>
      <c r="DK965" t="str">
        <f>IF(DD965=1,DK$7,0)</f>
        <v>Upstream</v>
      </c>
      <c r="DL965" t="str">
        <f>IF(DE965=1,DL$7,0)</f>
        <v>Energy</v>
      </c>
      <c r="DM965" t="str">
        <f>IF(DF965=1,DM$7,0)</f>
        <v>Pulp/Paper</v>
      </c>
      <c r="DN965" t="str">
        <f>IF(DG965=1,DN$7,0)</f>
        <v>Timber</v>
      </c>
      <c r="DO965" s="143">
        <v>1</v>
      </c>
      <c r="DP965">
        <v>0</v>
      </c>
      <c r="DQ965" s="143">
        <v>0</v>
      </c>
      <c r="DR965" s="143">
        <v>0</v>
      </c>
      <c r="DS965" s="143" t="s">
        <v>1282</v>
      </c>
      <c r="DT965">
        <f>SUM(DO965:DP965)</f>
        <v>1</v>
      </c>
      <c r="DU965" s="143" t="str">
        <f>IF(DO965=1,"self-calculated DF",IF(DP965=1,"external DF used","explicit C balance"))</f>
        <v>self-calculated DF</v>
      </c>
      <c r="DV965" s="143">
        <v>0</v>
      </c>
      <c r="DW965">
        <v>1</v>
      </c>
      <c r="DX965" s="143">
        <v>1</v>
      </c>
      <c r="DY965" s="143">
        <v>1</v>
      </c>
      <c r="DZ965">
        <v>1</v>
      </c>
      <c r="EA965">
        <v>0</v>
      </c>
      <c r="EB965" s="143">
        <v>0</v>
      </c>
      <c r="EC965">
        <v>0</v>
      </c>
      <c r="ED965" s="143">
        <v>0</v>
      </c>
      <c r="EE965">
        <v>0</v>
      </c>
      <c r="EF965">
        <v>1</v>
      </c>
      <c r="EG965" s="143">
        <v>0</v>
      </c>
      <c r="EH965">
        <v>0</v>
      </c>
      <c r="EI965" s="2">
        <v>0</v>
      </c>
      <c r="EK965" t="str">
        <f>IF(AND(AND(AND(OR($DX965=1,$DW965=1),OR($EC965=1,$EA965=1)),SUM($DV965:$DZ965,$EF965)&gt;=4),SUM($EA965:$EE965)&gt;=2),"Whole sector","")</f>
        <v/>
      </c>
      <c r="EL965" t="str">
        <f>IF(AND(AND(OR($DX965=1,$DW965=1),AND($EC965=0,$EA965=0)),SUM($DV965:$DZ965,$EF965)&gt;=4),"Ecosystem approach","")</f>
        <v>Ecosystem approach</v>
      </c>
      <c r="EM965" s="2" t="str">
        <f>IF(AND(AND(AND($DX965=0,$DW965=0),OR($EC965=1,$EA965=1)),SUM($EB965:$EE965)&gt;=2),"Technology approach","")</f>
        <v/>
      </c>
      <c r="EN965" t="s">
        <v>1283</v>
      </c>
      <c r="EP965" t="str">
        <f>IF(ISNUMBER(BU965),IF(ABS(BU965-[2]QC_indicators!$B$2)&gt;3*[2]QC_indicators!$C$2,"C ratio",IF(ISNUMBER(BY965),IF(ABS(BY965-[2]QC_indicators!$B$1)&gt;3*[2]QC_indicators!$C$1,"DF","no"))),IF(ISNUMBER(BY965),IF(ABS(BY965-[2]QC_indicators!$B$1)&gt;3*[2]QC_indicators!$C$1,"DF","no")))</f>
        <v>no</v>
      </c>
      <c r="EQ965" t="s">
        <v>286</v>
      </c>
      <c r="ER965" t="s">
        <v>1284</v>
      </c>
      <c r="ET965" s="264" t="s">
        <v>3273</v>
      </c>
    </row>
    <row r="966" spans="1:150" ht="15" customHeight="1">
      <c r="A966" s="1" t="s">
        <v>247</v>
      </c>
      <c r="B966" t="s">
        <v>799</v>
      </c>
      <c r="C966" t="s">
        <v>800</v>
      </c>
      <c r="D966" t="s">
        <v>801</v>
      </c>
      <c r="E966" t="s">
        <v>802</v>
      </c>
      <c r="F966" t="s">
        <v>803</v>
      </c>
      <c r="G966" t="s">
        <v>253</v>
      </c>
      <c r="H966" t="s">
        <v>254</v>
      </c>
      <c r="I966">
        <v>2020</v>
      </c>
      <c r="J966">
        <v>15</v>
      </c>
      <c r="K966" t="s">
        <v>804</v>
      </c>
      <c r="M966" t="str">
        <f>LEFT($D966,FIND(",",$D966)-1)&amp;"_"&amp;I966&amp;L966</f>
        <v>Jayalath_2020</v>
      </c>
      <c r="N966" t="s">
        <v>222</v>
      </c>
      <c r="O966" s="145" t="s">
        <v>513</v>
      </c>
      <c r="Q966" t="s">
        <v>256</v>
      </c>
      <c r="R966" s="262" t="s">
        <v>225</v>
      </c>
      <c r="S966" s="1" t="s">
        <v>809</v>
      </c>
      <c r="T966" t="s">
        <v>810</v>
      </c>
      <c r="U966" t="s">
        <v>259</v>
      </c>
      <c r="V966">
        <v>0</v>
      </c>
      <c r="W966">
        <v>0</v>
      </c>
      <c r="X966">
        <v>0</v>
      </c>
      <c r="Y966">
        <v>0</v>
      </c>
      <c r="Z966">
        <v>0</v>
      </c>
      <c r="AA966">
        <v>0</v>
      </c>
      <c r="AB966">
        <v>0</v>
      </c>
      <c r="AC966">
        <v>0</v>
      </c>
      <c r="AD966">
        <v>0</v>
      </c>
      <c r="AE966">
        <v>0</v>
      </c>
      <c r="AF966">
        <v>0</v>
      </c>
      <c r="AG966">
        <v>0</v>
      </c>
      <c r="AH966">
        <v>0</v>
      </c>
      <c r="AI966">
        <v>0</v>
      </c>
      <c r="AJ966">
        <v>0</v>
      </c>
      <c r="AK966">
        <v>1</v>
      </c>
      <c r="AL966">
        <v>0</v>
      </c>
      <c r="AM966">
        <v>0</v>
      </c>
      <c r="AN966">
        <v>0</v>
      </c>
      <c r="AO966">
        <v>0</v>
      </c>
      <c r="AP966">
        <v>0</v>
      </c>
      <c r="AQ966">
        <v>0</v>
      </c>
      <c r="AR966">
        <v>0</v>
      </c>
      <c r="AS966">
        <v>0</v>
      </c>
      <c r="AT966">
        <v>0</v>
      </c>
      <c r="AU966">
        <v>0</v>
      </c>
      <c r="AV966">
        <v>0</v>
      </c>
      <c r="AW966">
        <v>0</v>
      </c>
      <c r="AX966" s="141">
        <f>COUNTIF(V966:AW966,"&lt;&gt;0")</f>
        <v>1</v>
      </c>
      <c r="AY966" s="141">
        <f>COUNTIF(V966:AL966,"&lt;&gt;0")</f>
        <v>1</v>
      </c>
      <c r="AZ966">
        <f>COUNTIF(V966:AC966,"&lt;&gt;0")</f>
        <v>0</v>
      </c>
      <c r="BA966">
        <f>COUNTIF(AD966:AI966,"&lt;&gt;0")</f>
        <v>0</v>
      </c>
      <c r="BB966">
        <f>COUNTIF(AJ966:AL966,"&lt;&gt;0")</f>
        <v>1</v>
      </c>
      <c r="BC966">
        <f>COUNTIF(AS966:AW966,"&lt;&gt;0")</f>
        <v>0</v>
      </c>
      <c r="BD966">
        <f>COUNTIF(AM966:AR966,"&lt;&gt;0")</f>
        <v>0</v>
      </c>
      <c r="BE966" t="str">
        <f t="array" ref="BE966">IF(AY966=1,INDEX($V$7:$AL$7,MATCH(TRUE,INDEX($V966:$AW966&lt;&gt;0,),0)),IF(AY966=0,INDEX($AM$7:$AW$7,MATCH(1,$AM966:$AW966,0)),IF(BF966="Multiple strategies","mixed drivers",IF(BF966="Supply chain","multiple supply","multiple silviculture"))))</f>
        <v>technologies/design switch</v>
      </c>
      <c r="BF966" s="2" t="str" cm="1">
        <f t="array" ref="BF966">IF(COUNTIF(AZ966:BB966,"&lt;&gt;0")=1,INDEX($V$4:$AW$4,MATCH(TRUE,INDEX($V966:$AW966&lt;&gt;0,),0)),IF(COUNTIF(AZ966:BB966,"&lt;&gt;0")=0,INDEX($AM$4:$AW$4,MATCH(1,$AM966:$AW966,0)),"Multiple strategies"))</f>
        <v>Technology</v>
      </c>
      <c r="BG966" s="1" t="s">
        <v>229</v>
      </c>
      <c r="BH966" t="s">
        <v>808</v>
      </c>
      <c r="BI966" s="260" t="s">
        <v>3340</v>
      </c>
      <c r="BJ966" t="s">
        <v>345</v>
      </c>
      <c r="BK966" s="264">
        <v>0</v>
      </c>
      <c r="BL966" s="264">
        <v>130669</v>
      </c>
      <c r="BN966">
        <f>BL966-BK966</f>
        <v>130669</v>
      </c>
      <c r="BO966">
        <f>BN966*kg_to_m3</f>
        <v>266.67142857142858</v>
      </c>
      <c r="BP966" t="s">
        <v>395</v>
      </c>
      <c r="BQ966" s="260" t="s">
        <v>3344</v>
      </c>
      <c r="BR966" t="s">
        <v>812</v>
      </c>
      <c r="BS966">
        <f>(1387+293)</f>
        <v>1680</v>
      </c>
      <c r="BT966">
        <f>687+353</f>
        <v>1040</v>
      </c>
      <c r="BU966" s="144">
        <f>IFERROR(BT966/BS966,"")</f>
        <v>0.61904761904761907</v>
      </c>
      <c r="BV966">
        <f>BT966-BS966</f>
        <v>-640</v>
      </c>
      <c r="BX966">
        <f>BV966</f>
        <v>-640</v>
      </c>
      <c r="BY966">
        <f>IFERROR(BX966/BO966,"")</f>
        <v>-2.3999571436224354</v>
      </c>
      <c r="BZ966">
        <v>0</v>
      </c>
      <c r="CA966">
        <v>0</v>
      </c>
      <c r="CB966">
        <v>0</v>
      </c>
      <c r="CC966">
        <v>0</v>
      </c>
      <c r="CD966">
        <v>0</v>
      </c>
      <c r="CE966">
        <v>0</v>
      </c>
      <c r="CF966">
        <v>0</v>
      </c>
      <c r="CG966">
        <v>0</v>
      </c>
      <c r="CH966">
        <v>0</v>
      </c>
      <c r="CI966">
        <v>0</v>
      </c>
      <c r="CJ966">
        <v>0</v>
      </c>
      <c r="CK966">
        <v>0</v>
      </c>
      <c r="CL966">
        <v>0</v>
      </c>
      <c r="CM966">
        <v>1</v>
      </c>
      <c r="CN966" t="str">
        <f>IF(BL966&lt;BK966,"refNeedCorrection","refOK")</f>
        <v>refOK</v>
      </c>
      <c r="CO966">
        <f>IF($CN966="refOK",$BK966,$BL966)</f>
        <v>0</v>
      </c>
      <c r="CP966">
        <f>IF($CN966="refOK",$BL966,$BK966)</f>
        <v>130669</v>
      </c>
      <c r="CQ966">
        <f>IF($CN966="refOK",$BO966,-$BO966)</f>
        <v>266.67142857142858</v>
      </c>
      <c r="CR966">
        <f>IF($CN966="refOK",$BS966,$BT966)*IF($BP966="Emissions positive",-1,1)</f>
        <v>-1680</v>
      </c>
      <c r="CS966">
        <f>IF($CN966="refOK",$BT966,$BS966)*IF($BP966="Emissions positive",-1,1)</f>
        <v>-1040</v>
      </c>
      <c r="CT966">
        <f>IF($CN966="refNeedCorrection",-BX966,BX966)*IF($BP966="Emissions positive",-1,1)</f>
        <v>640</v>
      </c>
      <c r="CU966">
        <f>IFERROR(CT966/CQ966,"")</f>
        <v>2.3999571436224354</v>
      </c>
      <c r="CV966" s="2">
        <f>IFERROR((CS966-CR966)/ABS(CR966),"")</f>
        <v>0.38095238095238093</v>
      </c>
      <c r="CW966" s="1" t="s">
        <v>347</v>
      </c>
      <c r="CX966" t="str">
        <f>IF(OR($CW966="prd",$CW966="std",$CW966="cit"),"loc",IF(OR($CW966="eur",$CW966="reg",$CW966="coy"),"reg",$CW966))</f>
        <v>loc</v>
      </c>
      <c r="CY966" t="s">
        <v>574</v>
      </c>
      <c r="DB966">
        <v>0</v>
      </c>
      <c r="DC966" t="str">
        <f>IF(DB966=0,"0",IF(AND(DB966&gt;=1,DB966&lt;=30),"1-30",IF(AND(DB966&gt;30,DB966&lt;=70),"31-70",IF(AND(DB966&gt;70,DB966&lt;=100),"71-100",IF(DB966&gt;100,"+100")))))</f>
        <v>0</v>
      </c>
      <c r="DD966">
        <v>0</v>
      </c>
      <c r="DE966">
        <v>0</v>
      </c>
      <c r="DF966">
        <v>0</v>
      </c>
      <c r="DG966">
        <v>1</v>
      </c>
      <c r="DI966">
        <f>SUM(DD966:DG966)</f>
        <v>1</v>
      </c>
      <c r="DJ966" t="str">
        <f>IF(DI966=1,INDEX($DD$7:$DG$7,MATCH(1,$DD966:$DG966,0)),"mixedProduct")</f>
        <v>TimberInput</v>
      </c>
      <c r="DK966">
        <f>IF(DD966=1,DK$7,0)</f>
        <v>0</v>
      </c>
      <c r="DL966">
        <f>IF(DE966=1,DL$7,0)</f>
        <v>0</v>
      </c>
      <c r="DM966">
        <f>IF(DF966=1,DM$7,0)</f>
        <v>0</v>
      </c>
      <c r="DN966" t="str">
        <f>IF(DG966=1,DN$7,0)</f>
        <v>Timber</v>
      </c>
      <c r="DO966">
        <v>0</v>
      </c>
      <c r="DP966">
        <v>0</v>
      </c>
      <c r="DQ966">
        <v>0</v>
      </c>
      <c r="DR966">
        <v>0</v>
      </c>
      <c r="DS966">
        <v>0</v>
      </c>
      <c r="DT966">
        <f>SUM(DO966:DP966)</f>
        <v>0</v>
      </c>
      <c r="DU966" s="143" t="str">
        <f>IF(DO966=1,"self-calculated DF",IF(DP966=1,"external DF used","explicit C balance"))</f>
        <v>explicit C balance</v>
      </c>
      <c r="DV966">
        <v>0</v>
      </c>
      <c r="DW966">
        <v>0</v>
      </c>
      <c r="DX966">
        <v>0</v>
      </c>
      <c r="DY966">
        <v>0</v>
      </c>
      <c r="DZ966">
        <v>0</v>
      </c>
      <c r="EA966">
        <v>0</v>
      </c>
      <c r="EB966">
        <v>0</v>
      </c>
      <c r="EC966">
        <v>1</v>
      </c>
      <c r="ED966">
        <v>1</v>
      </c>
      <c r="EE966">
        <v>0</v>
      </c>
      <c r="EF966">
        <v>0</v>
      </c>
      <c r="EG966">
        <v>0</v>
      </c>
      <c r="EH966">
        <v>0</v>
      </c>
      <c r="EI966" s="2">
        <v>0</v>
      </c>
      <c r="EK966" t="str">
        <f>IF(AND(AND(AND(OR($DX966=1,$DW966=1),OR($EC966=1,$EA966=1)),SUM($DV966:$DZ966,$EF966)&gt;=4),SUM($EA966:$EE966)&gt;=2),"Whole sector","")</f>
        <v/>
      </c>
      <c r="EL966" t="str">
        <f>IF(AND(AND(OR($DX966=1,$DW966=1),AND($EC966=0,$EA966=0)),SUM($DV966:$DZ966,$EF966)&gt;=4),"Ecosystem approach","")</f>
        <v/>
      </c>
      <c r="EM966" s="2" t="str">
        <f>IF(AND(AND(AND($DX966=0,$DW966=0),OR($EC966=1,$EA966=1)),SUM($EB966:$EE966)&gt;=2),"Technology approach","")</f>
        <v>Technology approach</v>
      </c>
      <c r="EP966" t="str">
        <f>IF(ISNUMBER(BU966),IF(ABS(BU966-[4]QC_indicators!$B$2)&gt;3*[4]QC_indicators!$C$2,"C ratio",IF(ISNUMBER(BY966),IF(ABS(BY966-[4]QC_indicators!$B$1)&gt;3*[4]QC_indicators!$C$1,"DF","no"))),IF(ISNUMBER(BY966),IF(ABS(BY966-[4]QC_indicators!$B$1)&gt;3*[4]QC_indicators!$C$1,"DF","no")))</f>
        <v>no</v>
      </c>
      <c r="ER966" s="149" t="s">
        <v>349</v>
      </c>
      <c r="ET966" s="264" t="s">
        <v>3273</v>
      </c>
    </row>
    <row r="967" spans="1:150" ht="15" customHeight="1">
      <c r="A967" s="1" t="s">
        <v>247</v>
      </c>
      <c r="B967" t="s">
        <v>799</v>
      </c>
      <c r="C967" t="s">
        <v>800</v>
      </c>
      <c r="D967" t="s">
        <v>801</v>
      </c>
      <c r="E967" t="s">
        <v>802</v>
      </c>
      <c r="F967" t="s">
        <v>803</v>
      </c>
      <c r="G967" t="s">
        <v>253</v>
      </c>
      <c r="H967" t="s">
        <v>254</v>
      </c>
      <c r="I967">
        <v>2020</v>
      </c>
      <c r="J967">
        <v>15</v>
      </c>
      <c r="K967" t="s">
        <v>804</v>
      </c>
      <c r="M967" t="str">
        <f>LEFT($D967,FIND(",",$D967)-1)&amp;"_"&amp;I967&amp;L967</f>
        <v>Jayalath_2020</v>
      </c>
      <c r="N967" t="s">
        <v>222</v>
      </c>
      <c r="O967" s="145" t="s">
        <v>513</v>
      </c>
      <c r="Q967" t="s">
        <v>256</v>
      </c>
      <c r="R967" s="262" t="s">
        <v>225</v>
      </c>
      <c r="S967" s="1" t="s">
        <v>809</v>
      </c>
      <c r="T967" t="s">
        <v>810</v>
      </c>
      <c r="U967" t="s">
        <v>259</v>
      </c>
      <c r="V967">
        <v>0</v>
      </c>
      <c r="W967">
        <v>0</v>
      </c>
      <c r="X967">
        <v>0</v>
      </c>
      <c r="Y967">
        <v>0</v>
      </c>
      <c r="Z967">
        <v>0</v>
      </c>
      <c r="AA967">
        <v>0</v>
      </c>
      <c r="AB967">
        <v>0</v>
      </c>
      <c r="AC967">
        <v>0</v>
      </c>
      <c r="AD967">
        <v>0</v>
      </c>
      <c r="AE967">
        <v>0</v>
      </c>
      <c r="AF967">
        <v>0</v>
      </c>
      <c r="AG967">
        <v>0</v>
      </c>
      <c r="AH967">
        <v>0</v>
      </c>
      <c r="AI967">
        <v>0</v>
      </c>
      <c r="AJ967">
        <v>0</v>
      </c>
      <c r="AK967">
        <v>1</v>
      </c>
      <c r="AL967">
        <v>0</v>
      </c>
      <c r="AM967">
        <v>0</v>
      </c>
      <c r="AN967">
        <v>0</v>
      </c>
      <c r="AO967">
        <v>0</v>
      </c>
      <c r="AP967">
        <v>0</v>
      </c>
      <c r="AQ967">
        <v>0</v>
      </c>
      <c r="AR967">
        <v>0</v>
      </c>
      <c r="AS967">
        <v>0</v>
      </c>
      <c r="AT967">
        <v>0</v>
      </c>
      <c r="AU967">
        <v>0</v>
      </c>
      <c r="AV967">
        <v>0</v>
      </c>
      <c r="AW967">
        <v>0</v>
      </c>
      <c r="AX967" s="141">
        <f>COUNTIF(V967:AW967,"&lt;&gt;0")</f>
        <v>1</v>
      </c>
      <c r="AY967" s="141">
        <f>COUNTIF(V967:AL967,"&lt;&gt;0")</f>
        <v>1</v>
      </c>
      <c r="AZ967">
        <f>COUNTIF(V967:AC967,"&lt;&gt;0")</f>
        <v>0</v>
      </c>
      <c r="BA967">
        <f>COUNTIF(AD967:AI967,"&lt;&gt;0")</f>
        <v>0</v>
      </c>
      <c r="BB967">
        <f>COUNTIF(AJ967:AL967,"&lt;&gt;0")</f>
        <v>1</v>
      </c>
      <c r="BC967">
        <f>COUNTIF(AS967:AW967,"&lt;&gt;0")</f>
        <v>0</v>
      </c>
      <c r="BD967">
        <f>COUNTIF(AM967:AR967,"&lt;&gt;0")</f>
        <v>0</v>
      </c>
      <c r="BE967" t="str">
        <f t="array" ref="BE967">IF(AY967=1,INDEX($V$7:$AL$7,MATCH(TRUE,INDEX($V967:$AW967&lt;&gt;0,),0)),IF(AY967=0,INDEX($AM$7:$AW$7,MATCH(1,$AM967:$AW967,0)),IF(BF967="Multiple strategies","mixed drivers",IF(BF967="Supply chain","multiple supply","multiple silviculture"))))</f>
        <v>technologies/design switch</v>
      </c>
      <c r="BF967" s="2" t="str" cm="1">
        <f t="array" ref="BF967">IF(COUNTIF(AZ967:BB967,"&lt;&gt;0")=1,INDEX($V$4:$AW$4,MATCH(TRUE,INDEX($V967:$AW967&lt;&gt;0,),0)),IF(COUNTIF(AZ967:BB967,"&lt;&gt;0")=0,INDEX($AM$4:$AW$4,MATCH(1,$AM967:$AW967,0)),"Multiple strategies"))</f>
        <v>Technology</v>
      </c>
      <c r="BG967" s="1" t="s">
        <v>229</v>
      </c>
      <c r="BH967" t="s">
        <v>808</v>
      </c>
      <c r="BI967" s="260" t="s">
        <v>3340</v>
      </c>
      <c r="BJ967" t="s">
        <v>345</v>
      </c>
      <c r="BK967" s="264">
        <v>0</v>
      </c>
      <c r="BL967" s="264">
        <f>119193+8552+2924</f>
        <v>130669</v>
      </c>
      <c r="BN967">
        <f>BL967-BK967</f>
        <v>130669</v>
      </c>
      <c r="BO967">
        <f>BN967*kg_to_m3</f>
        <v>266.67142857142858</v>
      </c>
      <c r="BP967" t="s">
        <v>395</v>
      </c>
      <c r="BQ967" s="260" t="s">
        <v>3344</v>
      </c>
      <c r="BR967" t="s">
        <v>812</v>
      </c>
      <c r="BS967">
        <f>(1387+293)+35+7</f>
        <v>1722</v>
      </c>
      <c r="BT967">
        <f>687+353+28+3</f>
        <v>1071</v>
      </c>
      <c r="BU967" s="144">
        <f>IFERROR(BT967/BS967,"")</f>
        <v>0.62195121951219512</v>
      </c>
      <c r="BV967">
        <f>BT967-BS967</f>
        <v>-651</v>
      </c>
      <c r="BX967">
        <f>BV967</f>
        <v>-651</v>
      </c>
      <c r="BY967">
        <f>IFERROR(BX967/BO967,"")</f>
        <v>-2.4412064070284458</v>
      </c>
      <c r="BZ967">
        <v>0</v>
      </c>
      <c r="CA967">
        <v>0</v>
      </c>
      <c r="CB967">
        <v>0</v>
      </c>
      <c r="CC967">
        <v>0</v>
      </c>
      <c r="CD967">
        <v>0</v>
      </c>
      <c r="CE967">
        <v>0</v>
      </c>
      <c r="CF967">
        <v>0</v>
      </c>
      <c r="CG967">
        <v>0</v>
      </c>
      <c r="CH967">
        <v>0</v>
      </c>
      <c r="CI967">
        <v>0</v>
      </c>
      <c r="CJ967">
        <v>0</v>
      </c>
      <c r="CK967">
        <v>0</v>
      </c>
      <c r="CL967">
        <v>0</v>
      </c>
      <c r="CM967">
        <v>1</v>
      </c>
      <c r="CN967" t="str">
        <f>IF(BL967&lt;BK967,"refNeedCorrection","refOK")</f>
        <v>refOK</v>
      </c>
      <c r="CO967">
        <f>IF($CN967="refOK",$BK967,$BL967)</f>
        <v>0</v>
      </c>
      <c r="CP967">
        <f>IF($CN967="refOK",$BL967,$BK967)</f>
        <v>130669</v>
      </c>
      <c r="CQ967">
        <f>IF($CN967="refOK",$BO967,-$BO967)</f>
        <v>266.67142857142858</v>
      </c>
      <c r="CR967">
        <f>IF($CN967="refOK",$BS967,$BT967)*IF($BP967="Emissions positive",-1,1)</f>
        <v>-1722</v>
      </c>
      <c r="CS967">
        <f>IF($CN967="refOK",$BT967,$BS967)*IF($BP967="Emissions positive",-1,1)</f>
        <v>-1071</v>
      </c>
      <c r="CT967">
        <f>IF($CN967="refNeedCorrection",-BX967,BX967)*IF($BP967="Emissions positive",-1,1)</f>
        <v>651</v>
      </c>
      <c r="CU967">
        <f>IFERROR(CT967/CQ967,"")</f>
        <v>2.4412064070284458</v>
      </c>
      <c r="CV967" s="2">
        <f>IFERROR((CS967-CR967)/ABS(CR967),"")</f>
        <v>0.37804878048780488</v>
      </c>
      <c r="CW967" s="1" t="s">
        <v>347</v>
      </c>
      <c r="CX967" t="str">
        <f>IF(OR($CW967="prd",$CW967="std",$CW967="cit"),"loc",IF(OR($CW967="eur",$CW967="reg",$CW967="coy"),"reg",$CW967))</f>
        <v>loc</v>
      </c>
      <c r="CY967" t="s">
        <v>574</v>
      </c>
      <c r="DB967">
        <v>0</v>
      </c>
      <c r="DC967" t="str">
        <f>IF(DB967=0,"0",IF(AND(DB967&gt;=1,DB967&lt;=30),"1-30",IF(AND(DB967&gt;30,DB967&lt;=70),"31-70",IF(AND(DB967&gt;70,DB967&lt;=100),"71-100",IF(DB967&gt;100,"+100")))))</f>
        <v>0</v>
      </c>
      <c r="DD967">
        <v>0</v>
      </c>
      <c r="DE967">
        <v>0</v>
      </c>
      <c r="DF967">
        <v>0</v>
      </c>
      <c r="DG967">
        <v>1</v>
      </c>
      <c r="DI967">
        <f>SUM(DD967:DG967)</f>
        <v>1</v>
      </c>
      <c r="DJ967" t="str">
        <f>IF(DI967=1,INDEX($DD$7:$DG$7,MATCH(1,$DD967:$DG967,0)),"mixedProduct")</f>
        <v>TimberInput</v>
      </c>
      <c r="DK967">
        <f>IF(DD967=1,DK$7,0)</f>
        <v>0</v>
      </c>
      <c r="DL967">
        <f>IF(DE967=1,DL$7,0)</f>
        <v>0</v>
      </c>
      <c r="DM967">
        <f>IF(DF967=1,DM$7,0)</f>
        <v>0</v>
      </c>
      <c r="DN967" t="str">
        <f>IF(DG967=1,DN$7,0)</f>
        <v>Timber</v>
      </c>
      <c r="DO967">
        <v>0</v>
      </c>
      <c r="DP967">
        <v>0</v>
      </c>
      <c r="DQ967">
        <v>0</v>
      </c>
      <c r="DR967">
        <v>0</v>
      </c>
      <c r="DS967">
        <v>0</v>
      </c>
      <c r="DT967">
        <f>SUM(DO967:DP967)</f>
        <v>0</v>
      </c>
      <c r="DU967" s="143" t="str">
        <f>IF(DO967=1,"self-calculated DF",IF(DP967=1,"external DF used","explicit C balance"))</f>
        <v>explicit C balance</v>
      </c>
      <c r="DV967">
        <v>0</v>
      </c>
      <c r="DW967">
        <v>0</v>
      </c>
      <c r="DX967">
        <v>0</v>
      </c>
      <c r="DY967">
        <v>0</v>
      </c>
      <c r="DZ967">
        <v>0</v>
      </c>
      <c r="EA967">
        <v>1</v>
      </c>
      <c r="EB967">
        <v>0</v>
      </c>
      <c r="EC967">
        <v>1</v>
      </c>
      <c r="ED967">
        <v>1</v>
      </c>
      <c r="EE967">
        <v>1</v>
      </c>
      <c r="EF967">
        <v>0</v>
      </c>
      <c r="EG967">
        <v>0</v>
      </c>
      <c r="EH967">
        <v>0</v>
      </c>
      <c r="EI967" s="2">
        <v>0</v>
      </c>
      <c r="EK967" t="str">
        <f>IF(AND(AND(AND(OR($DX967=1,$DW967=1),OR($EC967=1,$EA967=1)),SUM($DV967:$DZ967,$EF967)&gt;=4),SUM($EA967:$EE967)&gt;=2),"Whole sector","")</f>
        <v/>
      </c>
      <c r="EL967" t="str">
        <f>IF(AND(AND(OR($DX967=1,$DW967=1),AND($EC967=0,$EA967=0)),SUM($DV967:$DZ967,$EF967)&gt;=4),"Ecosystem approach","")</f>
        <v/>
      </c>
      <c r="EM967" s="2" t="str">
        <f>IF(AND(AND(AND($DX967=0,$DW967=0),OR($EC967=1,$EA967=1)),SUM($EB967:$EE967)&gt;=2),"Technology approach","")</f>
        <v>Technology approach</v>
      </c>
      <c r="EP967" t="str">
        <f>IF(ISNUMBER(BU967),IF(ABS(BU967-[4]QC_indicators!$B$2)&gt;3*[4]QC_indicators!$C$2,"C ratio",IF(ISNUMBER(BY967),IF(ABS(BY967-[4]QC_indicators!$B$1)&gt;3*[4]QC_indicators!$C$1,"DF","no"))),IF(ISNUMBER(BY967),IF(ABS(BY967-[4]QC_indicators!$B$1)&gt;3*[4]QC_indicators!$C$1,"DF","no")))</f>
        <v>no</v>
      </c>
      <c r="ER967" s="149" t="s">
        <v>349</v>
      </c>
      <c r="ET967" s="264" t="s">
        <v>3273</v>
      </c>
    </row>
    <row r="968" spans="1:150" ht="15" customHeight="1">
      <c r="A968" s="1" t="s">
        <v>614</v>
      </c>
      <c r="B968" t="s">
        <v>615</v>
      </c>
      <c r="C968" t="s">
        <v>616</v>
      </c>
      <c r="D968" t="s">
        <v>617</v>
      </c>
      <c r="E968" t="s">
        <v>618</v>
      </c>
      <c r="F968" t="s">
        <v>619</v>
      </c>
      <c r="G968" t="s">
        <v>620</v>
      </c>
      <c r="H968" t="s">
        <v>254</v>
      </c>
      <c r="I968">
        <v>2020</v>
      </c>
      <c r="J968">
        <v>3</v>
      </c>
      <c r="K968" t="s">
        <v>621</v>
      </c>
      <c r="M968" t="str">
        <f>LEFT($D968,FIND(",",$D968)-1)&amp;"_"&amp;I968&amp;L968</f>
        <v>Demertzi_2020</v>
      </c>
      <c r="N968" t="s">
        <v>222</v>
      </c>
      <c r="O968" s="145" t="s">
        <v>223</v>
      </c>
      <c r="Q968" t="s">
        <v>256</v>
      </c>
      <c r="R968" s="2" t="s">
        <v>274</v>
      </c>
      <c r="S968" s="1" t="s">
        <v>622</v>
      </c>
      <c r="T968" t="s">
        <v>629</v>
      </c>
      <c r="U968" t="s">
        <v>624</v>
      </c>
      <c r="V968">
        <v>0</v>
      </c>
      <c r="W968">
        <v>0</v>
      </c>
      <c r="X968">
        <v>0</v>
      </c>
      <c r="Y968">
        <v>0</v>
      </c>
      <c r="Z968">
        <v>0</v>
      </c>
      <c r="AA968">
        <v>0</v>
      </c>
      <c r="AB968">
        <v>0</v>
      </c>
      <c r="AC968">
        <v>0</v>
      </c>
      <c r="AD968">
        <v>0</v>
      </c>
      <c r="AE968">
        <v>0</v>
      </c>
      <c r="AF968">
        <v>0</v>
      </c>
      <c r="AG968">
        <v>0</v>
      </c>
      <c r="AH968">
        <v>0</v>
      </c>
      <c r="AI968">
        <v>0</v>
      </c>
      <c r="AJ968">
        <v>0</v>
      </c>
      <c r="AK968">
        <v>1</v>
      </c>
      <c r="AL968">
        <v>0</v>
      </c>
      <c r="AM968">
        <v>0</v>
      </c>
      <c r="AN968">
        <v>0</v>
      </c>
      <c r="AO968">
        <v>0</v>
      </c>
      <c r="AP968">
        <v>0</v>
      </c>
      <c r="AQ968">
        <v>0</v>
      </c>
      <c r="AR968">
        <v>0</v>
      </c>
      <c r="AS968">
        <v>0</v>
      </c>
      <c r="AT968">
        <v>0</v>
      </c>
      <c r="AU968">
        <v>0</v>
      </c>
      <c r="AV968">
        <v>0</v>
      </c>
      <c r="AW968">
        <v>0</v>
      </c>
      <c r="AX968" s="141">
        <f>COUNTIF(V968:AW968,"&lt;&gt;0")</f>
        <v>1</v>
      </c>
      <c r="AY968" s="141">
        <f>COUNTIF(V968:AL968,"&lt;&gt;0")</f>
        <v>1</v>
      </c>
      <c r="AZ968">
        <f>COUNTIF(V968:AC968,"&lt;&gt;0")</f>
        <v>0</v>
      </c>
      <c r="BA968">
        <f>COUNTIF(AD968:AI968,"&lt;&gt;0")</f>
        <v>0</v>
      </c>
      <c r="BB968">
        <f>COUNTIF(AJ968:AL968,"&lt;&gt;0")</f>
        <v>1</v>
      </c>
      <c r="BC968">
        <f>COUNTIF(AS968:AW968,"&lt;&gt;0")</f>
        <v>0</v>
      </c>
      <c r="BD968">
        <f>COUNTIF(AM968:AR968,"&lt;&gt;0")</f>
        <v>0</v>
      </c>
      <c r="BE968" t="str">
        <f t="array" ref="BE968">IF(AY968=1,INDEX($V$7:$AL$7,MATCH(TRUE,INDEX($V968:$AW968&lt;&gt;0,),0)),IF(AY968=0,INDEX($AM$7:$AW$7,MATCH(1,$AM968:$AW968,0)),IF(BF968="Multiple strategies","mixed drivers",IF(BF968="Supply chain","multiple supply","multiple silviculture"))))</f>
        <v>technologies/design switch</v>
      </c>
      <c r="BF968" s="2" t="str" cm="1">
        <f t="array" ref="BF968">IF(COUNTIF(AZ968:BB968,"&lt;&gt;0")=1,INDEX($V$4:$AW$4,MATCH(TRUE,INDEX($V968:$AW968&lt;&gt;0,),0)),IF(COUNTIF(AZ968:BB968,"&lt;&gt;0")=0,INDEX($AM$4:$AW$4,MATCH(1,$AM968:$AW968,0)),"Multiple strategies"))</f>
        <v>Technology</v>
      </c>
      <c r="BG968" s="1" t="s">
        <v>229</v>
      </c>
      <c r="BH968" t="s">
        <v>625</v>
      </c>
      <c r="BJ968" t="s">
        <v>261</v>
      </c>
      <c r="BK968">
        <v>0</v>
      </c>
      <c r="BL968">
        <v>54</v>
      </c>
      <c r="BN968">
        <f>BL968-BK968</f>
        <v>54</v>
      </c>
      <c r="BO968">
        <f>BN968*kg_to_m3</f>
        <v>0.11020408163265308</v>
      </c>
      <c r="BP968" t="s">
        <v>232</v>
      </c>
      <c r="BR968" t="s">
        <v>397</v>
      </c>
      <c r="BS968">
        <v>-271</v>
      </c>
      <c r="BT968">
        <v>-1.36</v>
      </c>
      <c r="BU968" s="144">
        <v>5.018450184501845E-3</v>
      </c>
      <c r="BV968">
        <v>269.64</v>
      </c>
      <c r="BX968">
        <f>BV968/1000</f>
        <v>0.26963999999999999</v>
      </c>
      <c r="BY968">
        <f>IFERROR(BX968/BO968,"")</f>
        <v>2.446733333333333</v>
      </c>
      <c r="BZ968">
        <v>1</v>
      </c>
      <c r="CA968">
        <v>0</v>
      </c>
      <c r="CB968">
        <v>0</v>
      </c>
      <c r="CC968">
        <v>0</v>
      </c>
      <c r="CD968">
        <v>0</v>
      </c>
      <c r="CE968">
        <v>0</v>
      </c>
      <c r="CF968">
        <v>0</v>
      </c>
      <c r="CG968">
        <v>0</v>
      </c>
      <c r="CH968">
        <v>0</v>
      </c>
      <c r="CI968">
        <v>0</v>
      </c>
      <c r="CJ968">
        <v>0</v>
      </c>
      <c r="CK968">
        <v>0</v>
      </c>
      <c r="CL968">
        <v>0</v>
      </c>
      <c r="CM968">
        <v>0</v>
      </c>
      <c r="CN968" t="str">
        <f>IF($BL968&lt;$BK968,"refNeedCorrection","refOK")</f>
        <v>refOK</v>
      </c>
      <c r="CO968">
        <f>IF($CN968="refOK",$BK968,$BL968)</f>
        <v>0</v>
      </c>
      <c r="CP968">
        <f>IF($CN968="refOK",$BL968,$BK968)</f>
        <v>54</v>
      </c>
      <c r="CQ968">
        <f>IF($CN968="refOK",$BO968,-$BO968)</f>
        <v>0.11020408163265308</v>
      </c>
      <c r="CR968">
        <f>IF($CN968="refOK",$BS968,$BT968)*IF($BP968="Emissions positive",-1,1)</f>
        <v>-271</v>
      </c>
      <c r="CS968">
        <f>IF($CN968="refOK",$BT968,$BS968)*IF($BP968="Emissions positive",-1,1)</f>
        <v>-1.36</v>
      </c>
      <c r="CT968">
        <f>IF($CN968="refNeedCorrection",-BX968,BX968)*IF($BP968="Emissions positive",-1,1)</f>
        <v>0.26963999999999999</v>
      </c>
      <c r="CU968">
        <f>IFERROR(CT968/CQ968,"")</f>
        <v>2.446733333333333</v>
      </c>
      <c r="CV968" s="2">
        <f>IFERROR((CS968-CR968)/ABS(CR968),"")</f>
        <v>0.99498154981549813</v>
      </c>
      <c r="CW968" s="1" t="s">
        <v>263</v>
      </c>
      <c r="CX968" t="str">
        <f>IF(OR($CW968="prd",$CW968="std",$CW968="cit"),"loc",IF(OR($CW968="eur",$CW968="reg",$CW968="coy"),"reg",$CW968))</f>
        <v>loc</v>
      </c>
      <c r="CY968" t="s">
        <v>626</v>
      </c>
      <c r="DB968">
        <v>0</v>
      </c>
      <c r="DC968" t="str">
        <f>IF(DB968=0,"0",IF(AND(DB968&gt;=1,DB968&lt;=30),"1-30",IF(AND(DB968&gt;30,DB968&lt;=70),"31-70",IF(AND(DB968&gt;70,DB968&lt;=100),"71-100",IF(DB968&gt;100,"+100")))))</f>
        <v>0</v>
      </c>
      <c r="DD968">
        <v>0</v>
      </c>
      <c r="DE968">
        <v>0</v>
      </c>
      <c r="DF968">
        <v>0</v>
      </c>
      <c r="DG968">
        <v>1</v>
      </c>
      <c r="DI968">
        <f>SUM(DD968:DG968)</f>
        <v>1</v>
      </c>
      <c r="DJ968" t="str">
        <f>IF(DI968=1,INDEX($DD$7:$DG$7,MATCH(1,$DD968:$DG968,0)),"mixedProduct")</f>
        <v>TimberInput</v>
      </c>
      <c r="DK968">
        <f>IF(DD968=1,DK$7,0)</f>
        <v>0</v>
      </c>
      <c r="DL968">
        <f>IF(DE968=1,DL$7,0)</f>
        <v>0</v>
      </c>
      <c r="DM968">
        <f>IF(DF968=1,DM$7,0)</f>
        <v>0</v>
      </c>
      <c r="DN968" t="str">
        <f>IF(DG968=1,DN$7,0)</f>
        <v>Timber</v>
      </c>
      <c r="DO968">
        <v>0</v>
      </c>
      <c r="DP968">
        <v>0</v>
      </c>
      <c r="DQ968">
        <v>0</v>
      </c>
      <c r="DR968">
        <v>0</v>
      </c>
      <c r="DS968">
        <v>0</v>
      </c>
      <c r="DT968">
        <f>SUM(DO968:DP968)</f>
        <v>0</v>
      </c>
      <c r="DU968" s="143" t="str">
        <f>IF(DO968=1,"self-calculated DF",IF(DP968=1,"external DF used","explicit C balance"))</f>
        <v>explicit C balance</v>
      </c>
      <c r="DV968">
        <v>0</v>
      </c>
      <c r="DW968">
        <v>0</v>
      </c>
      <c r="DX968">
        <v>0</v>
      </c>
      <c r="DY968">
        <v>0</v>
      </c>
      <c r="DZ968">
        <v>0</v>
      </c>
      <c r="EA968" s="143">
        <v>0</v>
      </c>
      <c r="EB968">
        <v>0</v>
      </c>
      <c r="EC968">
        <v>1</v>
      </c>
      <c r="ED968">
        <v>0</v>
      </c>
      <c r="EE968">
        <v>0</v>
      </c>
      <c r="EF968">
        <v>0</v>
      </c>
      <c r="EG968">
        <v>0</v>
      </c>
      <c r="EH968">
        <v>0</v>
      </c>
      <c r="EI968" s="2">
        <v>0</v>
      </c>
      <c r="EK968" t="str">
        <f>IF(AND(AND(AND(OR($DX968=1,$DW968=1),OR($EC968=1,$EA968=1)),SUM($DV968:$DZ968,$EF968)&gt;=4),SUM($EA968:$EE968)&gt;=2),"Whole sector","")</f>
        <v/>
      </c>
      <c r="EL968" t="str">
        <f>IF(AND(AND(OR($DX968=1,$DW968=1),AND($EC968=0,$EA968=0)),SUM($DV968:$DZ968,$EF968)&gt;=4),"Ecosystem approach","")</f>
        <v/>
      </c>
      <c r="EM968" s="2" t="str">
        <f>IF(AND(AND(AND($DX968=0,$DW968=0),OR($EC968=1,$EA968=1)),SUM($EB968:$EE968)&gt;=2),"Technology approach","")</f>
        <v/>
      </c>
      <c r="EP968" t="str">
        <f>IF(ISNUMBER(BU968),IF(ABS(BU968-[2]QC_indicators!$B$2)&gt;3*[2]QC_indicators!$C$2,"C ratio",IF(ISNUMBER(BY968),IF(ABS(BY968-[2]QC_indicators!$B$1)&gt;3*[2]QC_indicators!$C$1,"DF","no"))),IF(ISNUMBER(BY968),IF(ABS(BY968-[2]QC_indicators!$B$1)&gt;3*[2]QC_indicators!$C$1,"DF","no")))</f>
        <v>no</v>
      </c>
      <c r="ER968" s="149" t="s">
        <v>349</v>
      </c>
      <c r="ET968" s="264" t="s">
        <v>3151</v>
      </c>
    </row>
    <row r="969" spans="1:150" ht="15" customHeight="1">
      <c r="D969" t="s">
        <v>757</v>
      </c>
      <c r="E969" t="s">
        <v>758</v>
      </c>
      <c r="G969" t="s">
        <v>759</v>
      </c>
      <c r="I969">
        <v>2006</v>
      </c>
      <c r="K969" s="296" t="s">
        <v>760</v>
      </c>
      <c r="M969" t="str">
        <f>LEFT($D969,FIND(",",$D969)-1)&amp;"_"&amp;I969&amp;L969</f>
        <v>Gustavsson_2006</v>
      </c>
      <c r="N969" t="s">
        <v>222</v>
      </c>
      <c r="O969" t="s">
        <v>223</v>
      </c>
      <c r="Q969" s="264" t="s">
        <v>256</v>
      </c>
      <c r="R969" s="269" t="s">
        <v>1154</v>
      </c>
      <c r="S969" s="263" t="s">
        <v>772</v>
      </c>
      <c r="T969" t="s">
        <v>753</v>
      </c>
      <c r="U969" s="143" t="s">
        <v>754</v>
      </c>
      <c r="V969">
        <v>0</v>
      </c>
      <c r="W969">
        <v>0</v>
      </c>
      <c r="X969">
        <v>0</v>
      </c>
      <c r="Y969">
        <v>0</v>
      </c>
      <c r="Z969">
        <v>0</v>
      </c>
      <c r="AA969">
        <v>0</v>
      </c>
      <c r="AB969">
        <v>0</v>
      </c>
      <c r="AC969">
        <v>0</v>
      </c>
      <c r="AD969">
        <v>0</v>
      </c>
      <c r="AE969">
        <v>0</v>
      </c>
      <c r="AF969">
        <v>0</v>
      </c>
      <c r="AG969">
        <v>0</v>
      </c>
      <c r="AH969">
        <v>0</v>
      </c>
      <c r="AI969">
        <v>0</v>
      </c>
      <c r="AJ969">
        <v>0</v>
      </c>
      <c r="AK969">
        <v>1</v>
      </c>
      <c r="AL969">
        <v>0</v>
      </c>
      <c r="AM969">
        <v>0</v>
      </c>
      <c r="AN969">
        <v>0</v>
      </c>
      <c r="AO969">
        <v>0</v>
      </c>
      <c r="AP969">
        <v>0</v>
      </c>
      <c r="AQ969">
        <v>0</v>
      </c>
      <c r="AR969">
        <v>0</v>
      </c>
      <c r="AS969">
        <v>0</v>
      </c>
      <c r="AT969">
        <v>0</v>
      </c>
      <c r="AU969">
        <v>0</v>
      </c>
      <c r="AV969">
        <v>0</v>
      </c>
      <c r="AW969">
        <v>0</v>
      </c>
      <c r="AX969" s="141">
        <f>COUNTIF(V969:AW969,"&lt;&gt;0")</f>
        <v>1</v>
      </c>
      <c r="AY969" s="141">
        <f>COUNTIF(V969:AL969,"&lt;&gt;0")</f>
        <v>1</v>
      </c>
      <c r="AZ969">
        <f>COUNTIF(V969:AC969,"&lt;&gt;0")</f>
        <v>0</v>
      </c>
      <c r="BA969">
        <f>COUNTIF(AD969:AI969,"&lt;&gt;0")</f>
        <v>0</v>
      </c>
      <c r="BB969">
        <f>COUNTIF(AJ969:AL969,"&lt;&gt;0")</f>
        <v>1</v>
      </c>
      <c r="BC969">
        <f>COUNTIF(AS969:AW969,"&lt;&gt;0")</f>
        <v>0</v>
      </c>
      <c r="BD969">
        <f>COUNTIF(AM969:AR969,"&lt;&gt;0")</f>
        <v>0</v>
      </c>
      <c r="BE969" t="str" cm="1">
        <f t="array" ref="BE969">IF(AY969=1,INDEX($V$7:$AL$7,MATCH(TRUE,INDEX($V969:$AW969&lt;&gt;0,),0)),IF(AY969=0,INDEX($AM$7:$AW$7,MATCH(1,$AM969:$AW969,0)),IF(BF969="Multiple strategies","mixed drivers",IF(BF969="Supply chain","multiple supply","multiple silviculture"))))</f>
        <v>technologies/design switch</v>
      </c>
      <c r="BF969" s="2" t="str" cm="1">
        <f t="array" ref="BF969">IF(COUNTIF(AZ969:BB969,"&lt;&gt;0")=1,INDEX($V$4:$AW$4,MATCH(TRUE,INDEX($V969:$AW969&lt;&gt;0,),0)),IF(COUNTIF(AZ969:BB969,"&lt;&gt;0")=0,INDEX($AM$4:$AW$4,MATCH(1,$AM969:$AW969,0)),"Multiple strategies"))</f>
        <v>Technology</v>
      </c>
      <c r="BG969" s="142" t="s">
        <v>229</v>
      </c>
      <c r="BH969" t="s">
        <v>393</v>
      </c>
      <c r="BI969" s="264" t="s">
        <v>762</v>
      </c>
      <c r="BJ969" s="143" t="s">
        <v>763</v>
      </c>
      <c r="BK969">
        <v>266</v>
      </c>
      <c r="BL969" s="143">
        <v>291</v>
      </c>
      <c r="BM969" s="143"/>
      <c r="BN969">
        <f>BL969-BK969</f>
        <v>25</v>
      </c>
      <c r="BO969" s="143">
        <f>BN969*t_to_m3</f>
        <v>51.020408163265309</v>
      </c>
      <c r="BP969" s="264" t="s">
        <v>232</v>
      </c>
      <c r="BQ969" s="155" t="s">
        <v>764</v>
      </c>
      <c r="BR969" t="s">
        <v>442</v>
      </c>
      <c r="BS969" s="143">
        <v>7.2</v>
      </c>
      <c r="BT969" s="151">
        <v>41.4</v>
      </c>
      <c r="BV969">
        <f>BT969-BS969</f>
        <v>34.199999999999996</v>
      </c>
      <c r="BX969">
        <f>BV969*C_to_CO2</f>
        <v>125.51399999999998</v>
      </c>
      <c r="BY969">
        <f>IFERROR(BX969/BO969,"")</f>
        <v>2.4600743999999994</v>
      </c>
      <c r="BZ969" s="143">
        <v>0</v>
      </c>
      <c r="CA969" s="143">
        <v>0</v>
      </c>
      <c r="CB969" s="143">
        <v>0</v>
      </c>
      <c r="CC969" s="143">
        <v>0</v>
      </c>
      <c r="CD969" s="143">
        <v>0</v>
      </c>
      <c r="CE969" s="143">
        <v>0</v>
      </c>
      <c r="CF969" s="143">
        <v>0</v>
      </c>
      <c r="CG969" s="143">
        <v>0</v>
      </c>
      <c r="CH969" s="143">
        <v>0</v>
      </c>
      <c r="CI969" s="143">
        <v>0</v>
      </c>
      <c r="CJ969" s="143">
        <v>0</v>
      </c>
      <c r="CK969" s="143">
        <v>0</v>
      </c>
      <c r="CL969" s="143">
        <v>0</v>
      </c>
      <c r="CM969">
        <v>0</v>
      </c>
      <c r="CN969" t="str">
        <f>IF($BL969&lt;$BK969,"refNeedCorrection","refOK")</f>
        <v>refOK</v>
      </c>
      <c r="CO969">
        <f>IF($CN969="refOK",$BK969,$BL969)</f>
        <v>266</v>
      </c>
      <c r="CP969">
        <f>IF($CN969="refOK",$BL969,$BK969)</f>
        <v>291</v>
      </c>
      <c r="CQ969">
        <f>IF($CN969="refOK",$BO969,-$BO969)</f>
        <v>51.020408163265309</v>
      </c>
      <c r="CR969">
        <f>IF($CN969="refOK",$BS969,$BT969)*IF($BP969="Emissions positive",-1,1)</f>
        <v>7.2</v>
      </c>
      <c r="CS969">
        <f>IF($CN969="refOK",$BT969,$BS969)*IF($BP969="Emissions positive",-1,1)</f>
        <v>41.4</v>
      </c>
      <c r="CT969">
        <f>IF($CN969="refNeedCorrection",-BX969,BX969)*IF($BP969="Emissions positive",-1,1)</f>
        <v>125.51399999999998</v>
      </c>
      <c r="CU969">
        <f>IFERROR(CT969/CQ969,"")</f>
        <v>2.4600743999999994</v>
      </c>
      <c r="CV969" s="2">
        <f>IFERROR((CS969-CR969)/ABS(CR969),"")</f>
        <v>4.7499999999999991</v>
      </c>
      <c r="CW969" s="1" t="s">
        <v>263</v>
      </c>
      <c r="CX969" s="264" t="str">
        <f>IF(OR($CW969="prd",$CW969="std",$CW969="cit"),"loc",IF(OR($CW969="eur",$CW969="reg",$CW969="coy"),"reg",$CW969))</f>
        <v>loc</v>
      </c>
      <c r="CY969" t="s">
        <v>444</v>
      </c>
      <c r="DA969" s="143"/>
      <c r="DB969" s="143">
        <v>100</v>
      </c>
      <c r="DC969" t="str">
        <f>IF(DB969=0,"0",IF(AND(DB969&gt;=1,DB969&lt;=30),"1-30",IF(AND(DB969&gt;30,DB969&lt;=70),"31-70",IF(AND(DB969&gt;70,DB969&lt;=100),"71-100",IF(DB969&gt;100,"+100")))))</f>
        <v>71-100</v>
      </c>
      <c r="DD969">
        <v>0</v>
      </c>
      <c r="DE969">
        <v>0</v>
      </c>
      <c r="DF969">
        <v>0</v>
      </c>
      <c r="DG969">
        <v>1</v>
      </c>
      <c r="DI969">
        <f>SUM(DD969:DG969)</f>
        <v>1</v>
      </c>
      <c r="DJ969" t="str">
        <f>IF(DI969=1,INDEX($DD$7:$DG$7,MATCH(1,$DD969:$DG969,0)),"mixedProduct")</f>
        <v>TimberInput</v>
      </c>
      <c r="DK969">
        <f>IF(DD969=1,DK$7,0)</f>
        <v>0</v>
      </c>
      <c r="DL969">
        <f>IF(DE969=1,DL$7,0)</f>
        <v>0</v>
      </c>
      <c r="DM969">
        <f>IF(DF969=1,DM$7,0)</f>
        <v>0</v>
      </c>
      <c r="DN969" t="str">
        <f>IF(DG969=1,DN$7,0)</f>
        <v>Timber</v>
      </c>
      <c r="DO969">
        <v>1</v>
      </c>
      <c r="DP969" s="143">
        <v>0</v>
      </c>
      <c r="DQ969" s="143">
        <v>0</v>
      </c>
      <c r="DR969">
        <v>0</v>
      </c>
      <c r="DS969" s="143">
        <v>0</v>
      </c>
      <c r="DT969">
        <f>SUM(DO969:DP969)</f>
        <v>1</v>
      </c>
      <c r="DU969" s="143" t="str">
        <f>IF(DO969=1,"self-calculated DF",IF(DP969=1,"external DF used","explicit C balance"))</f>
        <v>self-calculated DF</v>
      </c>
      <c r="DV969" s="143">
        <v>0</v>
      </c>
      <c r="DW969" s="143">
        <v>0</v>
      </c>
      <c r="DX969" s="143">
        <v>0</v>
      </c>
      <c r="DY969" s="143">
        <v>1</v>
      </c>
      <c r="DZ969">
        <v>0</v>
      </c>
      <c r="EA969" s="143">
        <v>1</v>
      </c>
      <c r="EB969" s="143">
        <v>1</v>
      </c>
      <c r="EC969" s="143">
        <v>1</v>
      </c>
      <c r="ED969" s="143">
        <v>0</v>
      </c>
      <c r="EE969">
        <v>0</v>
      </c>
      <c r="EF969">
        <v>0</v>
      </c>
      <c r="EG969" s="143">
        <v>0</v>
      </c>
      <c r="EH969" s="143">
        <v>0</v>
      </c>
      <c r="EI969" s="2">
        <v>0</v>
      </c>
      <c r="EK969" t="str">
        <f>IF(AND(AND(AND(OR($DX969=1,$DW969=1),OR($EC969=1,$EA969=1)),SUM($DV969:$DZ969,$EF969)&gt;=4),SUM($EA969:$EE969)&gt;=2),"Whole sector","")</f>
        <v/>
      </c>
      <c r="EL969" t="str">
        <f>IF(AND(AND(OR($DX969=1,$DW969=1),AND($EC969=0,$EA969=0)),SUM($DV969:$DZ969,$EF969)&gt;=4),"Ecosystem approach","")</f>
        <v/>
      </c>
      <c r="EM969" s="2" t="str">
        <f>IF(AND(AND(AND($DX969=0,$DW969=0),OR($EC969=1,$EA969=1)),SUM($EB969:$EE969)&gt;=2),"Technology approach","")</f>
        <v>Technology approach</v>
      </c>
      <c r="EN969" t="s">
        <v>769</v>
      </c>
      <c r="EP969" t="str">
        <f>IF(ISNUMBER(BU969),IF(ABS(BU969-[3]QC_indicators!$B$2)&gt;3*[3]QC_indicators!$C$2,"C ratio",IF(ISNUMBER(BY969),IF(ABS(BY969-[3]QC_indicators!$B$1)&gt;3*[3]QC_indicators!$C$1,"DF","no"))),IF(ISNUMBER(BY969),IF(ABS(BY969-[3]QC_indicators!$B$1)&gt;3*[3]QC_indicators!$C$1,"DF","no")))</f>
        <v>no</v>
      </c>
      <c r="EQ969" t="s">
        <v>286</v>
      </c>
      <c r="ER969" s="294" t="s">
        <v>349</v>
      </c>
      <c r="ET969" s="264" t="s">
        <v>3407</v>
      </c>
    </row>
    <row r="970" spans="1:150" ht="15" customHeight="1">
      <c r="D970" t="s">
        <v>757</v>
      </c>
      <c r="E970" t="s">
        <v>758</v>
      </c>
      <c r="G970" t="s">
        <v>759</v>
      </c>
      <c r="I970">
        <v>2006</v>
      </c>
      <c r="K970" s="296" t="s">
        <v>760</v>
      </c>
      <c r="M970" t="str">
        <f>LEFT($D970,FIND(",",$D970)-1)&amp;"_"&amp;I970&amp;L970</f>
        <v>Gustavsson_2006</v>
      </c>
      <c r="N970" t="s">
        <v>222</v>
      </c>
      <c r="O970" t="s">
        <v>223</v>
      </c>
      <c r="Q970" s="264" t="s">
        <v>256</v>
      </c>
      <c r="R970" s="269" t="s">
        <v>1154</v>
      </c>
      <c r="S970" s="263" t="s">
        <v>768</v>
      </c>
      <c r="T970" t="s">
        <v>753</v>
      </c>
      <c r="U970" s="143" t="s">
        <v>754</v>
      </c>
      <c r="V970">
        <v>0</v>
      </c>
      <c r="W970">
        <v>0</v>
      </c>
      <c r="X970">
        <v>0</v>
      </c>
      <c r="Y970">
        <v>0</v>
      </c>
      <c r="Z970">
        <v>0</v>
      </c>
      <c r="AA970">
        <v>0</v>
      </c>
      <c r="AB970">
        <v>0</v>
      </c>
      <c r="AC970">
        <v>0</v>
      </c>
      <c r="AD970">
        <v>0</v>
      </c>
      <c r="AE970">
        <v>0</v>
      </c>
      <c r="AF970">
        <v>0</v>
      </c>
      <c r="AG970">
        <v>0</v>
      </c>
      <c r="AH970">
        <v>0</v>
      </c>
      <c r="AI970">
        <v>0</v>
      </c>
      <c r="AJ970">
        <v>0</v>
      </c>
      <c r="AK970">
        <v>1</v>
      </c>
      <c r="AL970">
        <v>0</v>
      </c>
      <c r="AM970">
        <v>0</v>
      </c>
      <c r="AN970">
        <v>0</v>
      </c>
      <c r="AO970">
        <v>0</v>
      </c>
      <c r="AP970">
        <v>0</v>
      </c>
      <c r="AQ970">
        <v>0</v>
      </c>
      <c r="AR970">
        <v>0</v>
      </c>
      <c r="AS970">
        <v>0</v>
      </c>
      <c r="AT970">
        <v>0</v>
      </c>
      <c r="AU970">
        <v>0</v>
      </c>
      <c r="AV970">
        <v>0</v>
      </c>
      <c r="AW970">
        <v>0</v>
      </c>
      <c r="AX970" s="141">
        <f>COUNTIF(V970:AW970,"&lt;&gt;0")</f>
        <v>1</v>
      </c>
      <c r="AY970" s="141">
        <f>COUNTIF(V970:AL970,"&lt;&gt;0")</f>
        <v>1</v>
      </c>
      <c r="AZ970">
        <f>COUNTIF(V970:AC970,"&lt;&gt;0")</f>
        <v>0</v>
      </c>
      <c r="BA970">
        <f>COUNTIF(AD970:AI970,"&lt;&gt;0")</f>
        <v>0</v>
      </c>
      <c r="BB970">
        <f>COUNTIF(AJ970:AL970,"&lt;&gt;0")</f>
        <v>1</v>
      </c>
      <c r="BC970">
        <f>COUNTIF(AS970:AW970,"&lt;&gt;0")</f>
        <v>0</v>
      </c>
      <c r="BD970">
        <f>COUNTIF(AM970:AR970,"&lt;&gt;0")</f>
        <v>0</v>
      </c>
      <c r="BE970" t="str" cm="1">
        <f t="array" ref="BE970">IF(AY970=1,INDEX($V$7:$AL$7,MATCH(TRUE,INDEX($V970:$AW970&lt;&gt;0,),0)),IF(AY970=0,INDEX($AM$7:$AW$7,MATCH(1,$AM970:$AW970,0)),IF(BF970="Multiple strategies","mixed drivers",IF(BF970="Supply chain","multiple supply","multiple silviculture"))))</f>
        <v>technologies/design switch</v>
      </c>
      <c r="BF970" s="2" t="str" cm="1">
        <f t="array" ref="BF970">IF(COUNTIF(AZ970:BB970,"&lt;&gt;0")=1,INDEX($V$4:$AW$4,MATCH(TRUE,INDEX($V970:$AW970&lt;&gt;0,),0)),IF(COUNTIF(AZ970:BB970,"&lt;&gt;0")=0,INDEX($AM$4:$AW$4,MATCH(1,$AM970:$AW970,0)),"Multiple strategies"))</f>
        <v>Technology</v>
      </c>
      <c r="BG970" s="142" t="s">
        <v>229</v>
      </c>
      <c r="BH970" t="s">
        <v>393</v>
      </c>
      <c r="BI970" s="264" t="s">
        <v>762</v>
      </c>
      <c r="BJ970" s="143" t="s">
        <v>763</v>
      </c>
      <c r="BK970">
        <v>70</v>
      </c>
      <c r="BL970" s="143">
        <v>98</v>
      </c>
      <c r="BM970" s="143"/>
      <c r="BN970">
        <f>BL970-BK970</f>
        <v>28</v>
      </c>
      <c r="BO970" s="143">
        <f>BN970*t_to_m3</f>
        <v>57.142857142857146</v>
      </c>
      <c r="BP970" s="264" t="s">
        <v>232</v>
      </c>
      <c r="BQ970" s="155" t="s">
        <v>764</v>
      </c>
      <c r="BR970" t="s">
        <v>442</v>
      </c>
      <c r="BS970" s="143">
        <f>-120.5+34.8</f>
        <v>-85.7</v>
      </c>
      <c r="BT970" s="151">
        <f>-103+56.7</f>
        <v>-46.3</v>
      </c>
      <c r="BV970">
        <f>BT970-BS970</f>
        <v>39.400000000000006</v>
      </c>
      <c r="BX970">
        <f>BV970*C_to_CO2</f>
        <v>144.59800000000001</v>
      </c>
      <c r="BY970">
        <f>IFERROR(BX970/BO970,"")</f>
        <v>2.530465</v>
      </c>
      <c r="BZ970" s="143">
        <v>0</v>
      </c>
      <c r="CA970" s="143">
        <v>0</v>
      </c>
      <c r="CB970" s="143">
        <v>0</v>
      </c>
      <c r="CC970" s="143">
        <v>0</v>
      </c>
      <c r="CD970" s="143">
        <v>0</v>
      </c>
      <c r="CE970" s="143">
        <v>0</v>
      </c>
      <c r="CF970" s="143">
        <v>0</v>
      </c>
      <c r="CG970" s="143">
        <v>0</v>
      </c>
      <c r="CH970" s="143">
        <v>0</v>
      </c>
      <c r="CI970" s="143">
        <v>0</v>
      </c>
      <c r="CJ970" s="143">
        <v>0</v>
      </c>
      <c r="CK970" s="143">
        <v>0</v>
      </c>
      <c r="CL970" s="143">
        <v>0</v>
      </c>
      <c r="CM970">
        <v>0</v>
      </c>
      <c r="CN970" t="str">
        <f>IF($BL970&lt;$BK970,"refNeedCorrection","refOK")</f>
        <v>refOK</v>
      </c>
      <c r="CO970">
        <f>IF($CN970="refOK",$BK970,$BL970)</f>
        <v>70</v>
      </c>
      <c r="CP970">
        <f>IF($CN970="refOK",$BL970,$BK970)</f>
        <v>98</v>
      </c>
      <c r="CQ970">
        <f>IF($CN970="refOK",$BO970,-$BO970)</f>
        <v>57.142857142857146</v>
      </c>
      <c r="CR970">
        <f>IF($CN970="refOK",$BS970,$BT970)*IF($BP970="Emissions positive",-1,1)</f>
        <v>-85.7</v>
      </c>
      <c r="CS970">
        <f>IF($CN970="refOK",$BT970,$BS970)*IF($BP970="Emissions positive",-1,1)</f>
        <v>-46.3</v>
      </c>
      <c r="CT970">
        <f>IF($CN970="refNeedCorrection",-BX970,BX970)*IF($BP970="Emissions positive",-1,1)</f>
        <v>144.59800000000001</v>
      </c>
      <c r="CU970">
        <f>IFERROR(CT970/CQ970,"")</f>
        <v>2.530465</v>
      </c>
      <c r="CV970" s="2">
        <f>IFERROR((CS970-CR970)/ABS(CR970),"")</f>
        <v>0.45974329054842478</v>
      </c>
      <c r="CW970" s="1" t="s">
        <v>263</v>
      </c>
      <c r="CX970" s="264" t="str">
        <f>IF(OR($CW970="prd",$CW970="std",$CW970="cit"),"loc",IF(OR($CW970="eur",$CW970="reg",$CW970="coy"),"reg",$CW970))</f>
        <v>loc</v>
      </c>
      <c r="CY970" t="s">
        <v>444</v>
      </c>
      <c r="DA970" s="143"/>
      <c r="DB970" s="143">
        <v>0</v>
      </c>
      <c r="DC970" t="str">
        <f>IF(DB970=0,"0",IF(AND(DB970&gt;=1,DB970&lt;=30),"1-30",IF(AND(DB970&gt;30,DB970&lt;=70),"31-70",IF(AND(DB970&gt;70,DB970&lt;=100),"71-100",IF(DB970&gt;100,"+100")))))</f>
        <v>0</v>
      </c>
      <c r="DD970">
        <v>0</v>
      </c>
      <c r="DE970">
        <v>0</v>
      </c>
      <c r="DF970">
        <v>0</v>
      </c>
      <c r="DG970">
        <v>1</v>
      </c>
      <c r="DI970">
        <f>SUM(DD970:DG970)</f>
        <v>1</v>
      </c>
      <c r="DJ970" t="str">
        <f>IF(DI970=1,INDEX($DD$7:$DG$7,MATCH(1,$DD970:$DG970,0)),"mixedProduct")</f>
        <v>TimberInput</v>
      </c>
      <c r="DK970">
        <f>IF(DD970=1,DK$7,0)</f>
        <v>0</v>
      </c>
      <c r="DL970">
        <f>IF(DE970=1,DL$7,0)</f>
        <v>0</v>
      </c>
      <c r="DM970">
        <f>IF(DF970=1,DM$7,0)</f>
        <v>0</v>
      </c>
      <c r="DN970" t="str">
        <f>IF(DG970=1,DN$7,0)</f>
        <v>Timber</v>
      </c>
      <c r="DO970">
        <v>1</v>
      </c>
      <c r="DP970" s="143">
        <v>0</v>
      </c>
      <c r="DQ970" s="143">
        <v>0</v>
      </c>
      <c r="DR970">
        <v>0</v>
      </c>
      <c r="DS970" s="143">
        <v>0</v>
      </c>
      <c r="DT970">
        <f>SUM(DO970:DP970)</f>
        <v>1</v>
      </c>
      <c r="DU970" s="143" t="str">
        <f>IF(DO970=1,"self-calculated DF",IF(DP970=1,"external DF used","explicit C balance"))</f>
        <v>self-calculated DF</v>
      </c>
      <c r="DV970" s="143">
        <v>0</v>
      </c>
      <c r="DW970" s="143">
        <v>0</v>
      </c>
      <c r="DX970" s="143">
        <v>1</v>
      </c>
      <c r="DY970" s="143">
        <v>1</v>
      </c>
      <c r="DZ970">
        <v>0</v>
      </c>
      <c r="EA970" s="143">
        <v>1</v>
      </c>
      <c r="EB970" s="143">
        <v>1</v>
      </c>
      <c r="EC970" s="143">
        <v>1</v>
      </c>
      <c r="ED970" s="143">
        <v>0</v>
      </c>
      <c r="EE970">
        <v>0</v>
      </c>
      <c r="EF970">
        <v>1</v>
      </c>
      <c r="EG970" s="143">
        <v>0</v>
      </c>
      <c r="EH970" s="143">
        <v>0</v>
      </c>
      <c r="EI970" s="2">
        <v>0</v>
      </c>
      <c r="EK970" t="str">
        <f>IF(AND(AND(AND(OR($DX970=1,$DW970=1),OR($EC970=1,$EA970=1)),SUM($DV970:$DZ970,$EF970)&gt;=4),SUM($EA970:$EE970)&gt;=2),"Whole sector","")</f>
        <v/>
      </c>
      <c r="EL970" t="str">
        <f>IF(AND(AND(OR($DX970=1,$DW970=1),AND($EC970=0,$EA970=0)),SUM($DV970:$DZ970,$EF970)&gt;=4),"Ecosystem approach","")</f>
        <v/>
      </c>
      <c r="EM970" s="2" t="str">
        <f>IF(AND(AND(AND($DX970=0,$DW970=0),OR($EC970=1,$EA970=1)),SUM($EB970:$EE970)&gt;=2),"Technology approach","")</f>
        <v/>
      </c>
      <c r="EP970" t="str">
        <f>IF(ISNUMBER(BU970),IF(ABS(BU970-[3]QC_indicators!$B$2)&gt;3*[3]QC_indicators!$C$2,"C ratio",IF(ISNUMBER(BY970),IF(ABS(BY970-[3]QC_indicators!$B$1)&gt;3*[3]QC_indicators!$C$1,"DF","no"))),IF(ISNUMBER(BY970),IF(ABS(BY970-[3]QC_indicators!$B$1)&gt;3*[3]QC_indicators!$C$1,"DF","no")))</f>
        <v>no</v>
      </c>
      <c r="ER970" s="294" t="s">
        <v>349</v>
      </c>
      <c r="ET970" s="264" t="s">
        <v>3407</v>
      </c>
    </row>
    <row r="971" spans="1:150" ht="15" customHeight="1">
      <c r="A971" s="1" t="s">
        <v>562</v>
      </c>
      <c r="B971" t="s">
        <v>544</v>
      </c>
      <c r="C971" t="s">
        <v>1593</v>
      </c>
      <c r="D971" t="s">
        <v>1594</v>
      </c>
      <c r="E971" t="s">
        <v>1595</v>
      </c>
      <c r="F971" t="s">
        <v>1596</v>
      </c>
      <c r="G971" t="s">
        <v>567</v>
      </c>
      <c r="H971" t="s">
        <v>254</v>
      </c>
      <c r="I971">
        <v>2019</v>
      </c>
      <c r="J971">
        <v>15</v>
      </c>
      <c r="K971" t="s">
        <v>1597</v>
      </c>
      <c r="M971" t="str">
        <f>LEFT($D971,FIND(",",$D971)-1)&amp;"_"&amp;I971&amp;L971</f>
        <v>Geng_2019</v>
      </c>
      <c r="N971" t="s">
        <v>222</v>
      </c>
      <c r="O971" s="181" t="s">
        <v>225</v>
      </c>
      <c r="Q971" s="264" t="s">
        <v>256</v>
      </c>
      <c r="R971" s="269" t="s">
        <v>1154</v>
      </c>
      <c r="S971" s="1" t="s">
        <v>1598</v>
      </c>
      <c r="T971" t="s">
        <v>1615</v>
      </c>
      <c r="V971">
        <v>0</v>
      </c>
      <c r="W971">
        <v>0</v>
      </c>
      <c r="X971">
        <v>0</v>
      </c>
      <c r="Y971">
        <v>0</v>
      </c>
      <c r="Z971">
        <v>0</v>
      </c>
      <c r="AA971">
        <v>0</v>
      </c>
      <c r="AB971">
        <v>0</v>
      </c>
      <c r="AC971">
        <v>0</v>
      </c>
      <c r="AD971">
        <v>0</v>
      </c>
      <c r="AE971">
        <v>0</v>
      </c>
      <c r="AF971">
        <v>0</v>
      </c>
      <c r="AG971">
        <v>0</v>
      </c>
      <c r="AH971">
        <v>0</v>
      </c>
      <c r="AI971">
        <v>0</v>
      </c>
      <c r="AJ971">
        <v>0</v>
      </c>
      <c r="AK971">
        <v>1</v>
      </c>
      <c r="AL971">
        <v>0</v>
      </c>
      <c r="AM971">
        <v>0</v>
      </c>
      <c r="AN971">
        <v>0</v>
      </c>
      <c r="AO971">
        <v>0</v>
      </c>
      <c r="AP971">
        <v>0</v>
      </c>
      <c r="AQ971">
        <v>0</v>
      </c>
      <c r="AR971">
        <v>0</v>
      </c>
      <c r="AS971">
        <v>0</v>
      </c>
      <c r="AT971">
        <v>0</v>
      </c>
      <c r="AU971">
        <v>0</v>
      </c>
      <c r="AV971">
        <v>0</v>
      </c>
      <c r="AW971">
        <v>0</v>
      </c>
      <c r="AX971" s="141">
        <f>COUNTIF(V971:AW971,"&lt;&gt;0")</f>
        <v>1</v>
      </c>
      <c r="AY971" s="141">
        <f>COUNTIF(V971:AL971,"&lt;&gt;0")</f>
        <v>1</v>
      </c>
      <c r="AZ971">
        <f>COUNTIF(V971:AC971,"&lt;&gt;0")</f>
        <v>0</v>
      </c>
      <c r="BA971">
        <f>COUNTIF(AD971:AI971,"&lt;&gt;0")</f>
        <v>0</v>
      </c>
      <c r="BB971">
        <f>COUNTIF(AJ971:AL971,"&lt;&gt;0")</f>
        <v>1</v>
      </c>
      <c r="BC971">
        <f>COUNTIF(AS971:AW971,"&lt;&gt;0")</f>
        <v>0</v>
      </c>
      <c r="BD971">
        <f>COUNTIF(AM971:AR971,"&lt;&gt;0")</f>
        <v>0</v>
      </c>
      <c r="BE971" t="str" cm="1">
        <f t="array" ref="BE971">IF(AY971=1,INDEX($V$7:$AL$7,MATCH(TRUE,INDEX($V971:$AW971&lt;&gt;0,),0)),IF(AY971=0,INDEX($AM$7:$AW$7,MATCH(1,$AM971:$AW971,0)),IF(BF971="Multiple strategies","mixed drivers",IF(BF971="Supply chain","multiple supply","multiple silviculture"))))</f>
        <v>technologies/design switch</v>
      </c>
      <c r="BF971" s="2" t="str" cm="1">
        <f t="array" ref="BF971">IF(COUNTIF(AZ971:BB971,"&lt;&gt;0")=1,INDEX($V$4:$AW$4,MATCH(TRUE,INDEX($V971:$AW971&lt;&gt;0,),0)),IF(COUNTIF(AZ971:BB971,"&lt;&gt;0")=0,INDEX($AM$4:$AW$4,MATCH(1,$AM971:$AW971,0)),"Multiple strategies"))</f>
        <v>Technology</v>
      </c>
      <c r="BG971" s="1" t="s">
        <v>229</v>
      </c>
      <c r="BH971" t="s">
        <v>1600</v>
      </c>
      <c r="BJ971" t="s">
        <v>1601</v>
      </c>
      <c r="BK971">
        <v>5.61</v>
      </c>
      <c r="BL971">
        <v>6.38</v>
      </c>
      <c r="BM971">
        <f>BL971/BK971</f>
        <v>1.1372549019607843</v>
      </c>
      <c r="BN971">
        <f>BL971-BK971</f>
        <v>0.76999999999999957</v>
      </c>
      <c r="BO971">
        <f>BN971*kg_to_m3</f>
        <v>1.5714285714285706E-3</v>
      </c>
      <c r="BP971" t="s">
        <v>232</v>
      </c>
      <c r="BR971" t="s">
        <v>1602</v>
      </c>
      <c r="BU971" s="144" t="str">
        <f>IFERROR(BT971/BS971,"")</f>
        <v/>
      </c>
      <c r="BV971">
        <v>3.9980000000000002</v>
      </c>
      <c r="BX971">
        <f>BV971/1000</f>
        <v>3.9979999999999998E-3</v>
      </c>
      <c r="BY971">
        <f>IFERROR(BX971/BO971,"")</f>
        <v>2.5441818181818192</v>
      </c>
      <c r="BZ971">
        <v>0</v>
      </c>
      <c r="CA971">
        <v>0</v>
      </c>
      <c r="CB971">
        <v>0</v>
      </c>
      <c r="CC971">
        <v>0</v>
      </c>
      <c r="CD971">
        <v>0</v>
      </c>
      <c r="CE971">
        <v>0</v>
      </c>
      <c r="CF971">
        <v>0</v>
      </c>
      <c r="CG971">
        <v>0</v>
      </c>
      <c r="CH971">
        <v>0</v>
      </c>
      <c r="CI971">
        <v>0</v>
      </c>
      <c r="CJ971">
        <v>0</v>
      </c>
      <c r="CK971">
        <v>0</v>
      </c>
      <c r="CL971">
        <v>0</v>
      </c>
      <c r="CM971">
        <v>0</v>
      </c>
      <c r="CN971" t="str">
        <f>IF(BL971&lt;BK971,"refNeedCorrection","refOK")</f>
        <v>refOK</v>
      </c>
      <c r="CO971">
        <f>IF($CN971="refOK",$BK971,$BL971)</f>
        <v>5.61</v>
      </c>
      <c r="CP971">
        <f>IF($CN971="refOK",$BL971,$BK971)</f>
        <v>6.38</v>
      </c>
      <c r="CQ971">
        <f>IF($CN971="refOK",$BO971,-$BO971)</f>
        <v>1.5714285714285706E-3</v>
      </c>
      <c r="CR971">
        <f>IF($CN971="refOK",$BS971,$BT971)*IF($BP971="Emissions positive",-1,1)</f>
        <v>0</v>
      </c>
      <c r="CS971">
        <f>IF($CN971="refOK",$BT971,$BS971)*IF($BP971="Emissions positive",-1,1)</f>
        <v>0</v>
      </c>
      <c r="CT971">
        <f>IF($CN971="refNeedCorrection",-BX971,BX971)*IF($BP971="Emissions positive",-1,1)</f>
        <v>3.9979999999999998E-3</v>
      </c>
      <c r="CU971">
        <f>IFERROR(CT971/CQ971,"")</f>
        <v>2.5441818181818192</v>
      </c>
      <c r="CV971" s="2" t="str">
        <f>IFERROR((CS971-CR971)/ABS(CR971),"")</f>
        <v/>
      </c>
      <c r="CW971" s="1" t="s">
        <v>1203</v>
      </c>
      <c r="CX971" s="264" t="str">
        <f>IF(OR($CW971="prd",$CW971="std",$CW971="cit"),"loc",IF(OR($CW971="eur",$CW971="reg",$CW971="coy"),"reg",$CW971))</f>
        <v>reg</v>
      </c>
      <c r="CY971" t="s">
        <v>690</v>
      </c>
      <c r="CZ971">
        <v>2019</v>
      </c>
      <c r="DB971">
        <v>0</v>
      </c>
      <c r="DC971" t="str">
        <f>IF(DB971=0,"0",IF(AND(DB971&gt;=1,DB971&lt;=30),"1-30",IF(AND(DB971&gt;30,DB971&lt;=70),"31-70",IF(AND(DB971&gt;70,DB971&lt;=100),"71-100",IF(DB971&gt;100,"+100")))))</f>
        <v>0</v>
      </c>
      <c r="DD971">
        <v>0</v>
      </c>
      <c r="DE971">
        <v>0</v>
      </c>
      <c r="DF971">
        <v>0</v>
      </c>
      <c r="DG971">
        <v>1</v>
      </c>
      <c r="DI971">
        <f>SUM(DD971:DG971)</f>
        <v>1</v>
      </c>
      <c r="DJ971" t="str">
        <f>IF(DI971=1,INDEX($DD$7:$DG$7,MATCH(1,$DD971:$DG971,0)),"mixedProduct")</f>
        <v>TimberInput</v>
      </c>
      <c r="DK971">
        <f>IF(DD971=1,DK$7,0)</f>
        <v>0</v>
      </c>
      <c r="DL971">
        <f>IF(DE971=1,DL$7,0)</f>
        <v>0</v>
      </c>
      <c r="DM971">
        <f>IF(DF971=1,DM$7,0)</f>
        <v>0</v>
      </c>
      <c r="DN971" t="str">
        <f>IF(DG971=1,DN$7,0)</f>
        <v>Timber</v>
      </c>
      <c r="DO971">
        <v>1</v>
      </c>
      <c r="DP971">
        <v>0</v>
      </c>
      <c r="DQ971">
        <v>0</v>
      </c>
      <c r="DR971">
        <v>0</v>
      </c>
      <c r="DS971">
        <v>0</v>
      </c>
      <c r="DT971">
        <f>SUM(DO971:DP971)</f>
        <v>1</v>
      </c>
      <c r="DU971" s="143" t="str">
        <f>IF(DO971=1,"self-calculated DF",IF(DP971=1,"external DF used","explicit C balance"))</f>
        <v>self-calculated DF</v>
      </c>
      <c r="DV971">
        <v>0</v>
      </c>
      <c r="DW971">
        <v>0</v>
      </c>
      <c r="DX971">
        <v>0</v>
      </c>
      <c r="DY971">
        <v>0</v>
      </c>
      <c r="DZ971">
        <v>0</v>
      </c>
      <c r="EA971" s="143">
        <v>1</v>
      </c>
      <c r="EB971">
        <v>0</v>
      </c>
      <c r="EC971">
        <v>1</v>
      </c>
      <c r="ED971">
        <v>0</v>
      </c>
      <c r="EE971">
        <v>0</v>
      </c>
      <c r="EF971">
        <v>0</v>
      </c>
      <c r="EG971">
        <v>0</v>
      </c>
      <c r="EH971">
        <v>0</v>
      </c>
      <c r="EI971" s="2">
        <v>0</v>
      </c>
      <c r="EK971" t="str">
        <f>IF(AND(AND(AND(OR($DX971=1,$DW971=1),OR($EC971=1,$EA971=1)),SUM($DV971:$DZ971,$EF971)&gt;=4),SUM($EA971:$EE971)&gt;=2),"Whole sector","")</f>
        <v/>
      </c>
      <c r="EL971" t="str">
        <f>IF(AND(AND(OR($DX971=1,$DW971=1),AND($EC971=0,$EA971=0)),SUM($DV971:$DZ971,$EF971)&gt;=4),"Ecosystem approach","")</f>
        <v/>
      </c>
      <c r="EM971" s="2" t="str">
        <f>IF(AND(AND(AND($DX971=0,$DW971=0),OR($EC971=1,$EA971=1)),SUM($EB971:$EE971)&gt;=2),"Technology approach","")</f>
        <v/>
      </c>
      <c r="EN971" t="s">
        <v>1603</v>
      </c>
      <c r="EP971" t="str">
        <f>IF(ISNUMBER(BU971),IF(ABS(BU971-[3]QC_indicators!$B$2)&gt;3*[3]QC_indicators!$C$2,"C ratio",IF(ISNUMBER(BY971),IF(ABS(BY971-[3]QC_indicators!$B$1)&gt;3*[3]QC_indicators!$C$1,"DF","no"))),IF(ISNUMBER(BY971),IF(ABS(BY971-[3]QC_indicators!$B$1)&gt;3*[3]QC_indicators!$C$1,"DF","no")))</f>
        <v>no</v>
      </c>
      <c r="ER971" t="s">
        <v>1604</v>
      </c>
      <c r="ET971" s="264" t="s">
        <v>3407</v>
      </c>
    </row>
    <row r="972" spans="1:150" ht="15" customHeight="1">
      <c r="D972" t="s">
        <v>757</v>
      </c>
      <c r="E972" t="s">
        <v>758</v>
      </c>
      <c r="G972" t="s">
        <v>759</v>
      </c>
      <c r="I972">
        <v>2006</v>
      </c>
      <c r="K972" s="296" t="s">
        <v>760</v>
      </c>
      <c r="M972" t="str">
        <f>LEFT($D972,FIND(",",$D972)-1)&amp;"_"&amp;I972&amp;L972</f>
        <v>Gustavsson_2006</v>
      </c>
      <c r="N972" t="s">
        <v>222</v>
      </c>
      <c r="O972" t="s">
        <v>223</v>
      </c>
      <c r="Q972" s="264" t="s">
        <v>256</v>
      </c>
      <c r="R972" s="269" t="s">
        <v>1154</v>
      </c>
      <c r="S972" s="263" t="s">
        <v>772</v>
      </c>
      <c r="T972" t="s">
        <v>753</v>
      </c>
      <c r="U972" s="143" t="s">
        <v>754</v>
      </c>
      <c r="V972">
        <v>0</v>
      </c>
      <c r="W972">
        <v>0</v>
      </c>
      <c r="X972">
        <v>0</v>
      </c>
      <c r="Y972">
        <v>0</v>
      </c>
      <c r="Z972">
        <v>0</v>
      </c>
      <c r="AA972">
        <v>0</v>
      </c>
      <c r="AB972">
        <v>0</v>
      </c>
      <c r="AC972">
        <v>0</v>
      </c>
      <c r="AD972">
        <v>0</v>
      </c>
      <c r="AE972">
        <v>0</v>
      </c>
      <c r="AF972">
        <v>0</v>
      </c>
      <c r="AG972">
        <v>0</v>
      </c>
      <c r="AH972">
        <v>0</v>
      </c>
      <c r="AI972">
        <v>0</v>
      </c>
      <c r="AJ972">
        <v>0</v>
      </c>
      <c r="AK972">
        <v>1</v>
      </c>
      <c r="AL972">
        <v>0</v>
      </c>
      <c r="AM972">
        <v>0</v>
      </c>
      <c r="AN972">
        <v>0</v>
      </c>
      <c r="AO972">
        <v>0</v>
      </c>
      <c r="AP972">
        <v>0</v>
      </c>
      <c r="AQ972">
        <v>0</v>
      </c>
      <c r="AR972">
        <v>0</v>
      </c>
      <c r="AS972">
        <v>0</v>
      </c>
      <c r="AT972">
        <v>0</v>
      </c>
      <c r="AU972">
        <v>0</v>
      </c>
      <c r="AV972">
        <v>0</v>
      </c>
      <c r="AW972">
        <v>0</v>
      </c>
      <c r="AX972" s="141">
        <f>COUNTIF(V972:AW972,"&lt;&gt;0")</f>
        <v>1</v>
      </c>
      <c r="AY972" s="141">
        <f>COUNTIF(V972:AL972,"&lt;&gt;0")</f>
        <v>1</v>
      </c>
      <c r="AZ972">
        <f>COUNTIF(V972:AC972,"&lt;&gt;0")</f>
        <v>0</v>
      </c>
      <c r="BA972">
        <f>COUNTIF(AD972:AI972,"&lt;&gt;0")</f>
        <v>0</v>
      </c>
      <c r="BB972">
        <f>COUNTIF(AJ972:AL972,"&lt;&gt;0")</f>
        <v>1</v>
      </c>
      <c r="BC972">
        <f>COUNTIF(AS972:AW972,"&lt;&gt;0")</f>
        <v>0</v>
      </c>
      <c r="BD972">
        <f>COUNTIF(AM972:AR972,"&lt;&gt;0")</f>
        <v>0</v>
      </c>
      <c r="BE972" t="str" cm="1">
        <f t="array" ref="BE972">IF(AY972=1,INDEX($V$7:$AL$7,MATCH(TRUE,INDEX($V972:$AW972&lt;&gt;0,),0)),IF(AY972=0,INDEX($AM$7:$AW$7,MATCH(1,$AM972:$AW972,0)),IF(BF972="Multiple strategies","mixed drivers",IF(BF972="Supply chain","multiple supply","multiple silviculture"))))</f>
        <v>technologies/design switch</v>
      </c>
      <c r="BF972" s="2" t="str" cm="1">
        <f t="array" ref="BF972">IF(COUNTIF(AZ972:BB972,"&lt;&gt;0")=1,INDEX($V$4:$AW$4,MATCH(TRUE,INDEX($V972:$AW972&lt;&gt;0,),0)),IF(COUNTIF(AZ972:BB972,"&lt;&gt;0")=0,INDEX($AM$4:$AW$4,MATCH(1,$AM972:$AW972,0)),"Multiple strategies"))</f>
        <v>Technology</v>
      </c>
      <c r="BG972" s="142" t="s">
        <v>229</v>
      </c>
      <c r="BH972" t="s">
        <v>393</v>
      </c>
      <c r="BI972" s="264" t="s">
        <v>762</v>
      </c>
      <c r="BJ972" s="143" t="s">
        <v>763</v>
      </c>
      <c r="BK972">
        <v>266.3</v>
      </c>
      <c r="BL972" s="143">
        <v>291.39999999999998</v>
      </c>
      <c r="BM972" s="143"/>
      <c r="BN972">
        <f>BL972-BK972</f>
        <v>25.099999999999966</v>
      </c>
      <c r="BO972" s="143">
        <f>BN972*t_to_m3</f>
        <v>51.224489795918302</v>
      </c>
      <c r="BP972" s="264" t="s">
        <v>232</v>
      </c>
      <c r="BQ972" s="155" t="s">
        <v>764</v>
      </c>
      <c r="BR972" t="s">
        <v>442</v>
      </c>
      <c r="BS972" s="143">
        <v>-138.69999999999999</v>
      </c>
      <c r="BT972" s="151">
        <v>-103</v>
      </c>
      <c r="BV972">
        <f>BT972-BS972</f>
        <v>35.699999999999989</v>
      </c>
      <c r="BX972">
        <f>BV972*C_to_CO2</f>
        <v>131.01899999999995</v>
      </c>
      <c r="BY972">
        <f>IFERROR(BX972/BO972,"")</f>
        <v>2.5577414342629505</v>
      </c>
      <c r="BZ972" s="143">
        <v>0</v>
      </c>
      <c r="CA972" s="143">
        <v>0</v>
      </c>
      <c r="CB972" s="143">
        <v>0</v>
      </c>
      <c r="CC972" s="143">
        <v>0</v>
      </c>
      <c r="CD972" s="143">
        <v>0</v>
      </c>
      <c r="CE972" s="143">
        <v>0</v>
      </c>
      <c r="CF972" s="143">
        <v>0</v>
      </c>
      <c r="CG972" s="143">
        <v>0</v>
      </c>
      <c r="CH972" s="143">
        <v>0</v>
      </c>
      <c r="CI972" s="143">
        <v>0</v>
      </c>
      <c r="CJ972" s="143">
        <v>0</v>
      </c>
      <c r="CK972" s="143">
        <v>0</v>
      </c>
      <c r="CL972" s="143">
        <v>0</v>
      </c>
      <c r="CM972">
        <v>0</v>
      </c>
      <c r="CN972" t="str">
        <f>IF($BL972&lt;$BK972,"refNeedCorrection","refOK")</f>
        <v>refOK</v>
      </c>
      <c r="CO972">
        <f>IF($CN972="refOK",$BK972,$BL972)</f>
        <v>266.3</v>
      </c>
      <c r="CP972">
        <f>IF($CN972="refOK",$BL972,$BK972)</f>
        <v>291.39999999999998</v>
      </c>
      <c r="CQ972">
        <f>IF($CN972="refOK",$BO972,-$BO972)</f>
        <v>51.224489795918302</v>
      </c>
      <c r="CR972">
        <f>IF($CN972="refOK",$BS972,$BT972)*IF($BP972="Emissions positive",-1,1)</f>
        <v>-138.69999999999999</v>
      </c>
      <c r="CS972">
        <f>IF($CN972="refOK",$BT972,$BS972)*IF($BP972="Emissions positive",-1,1)</f>
        <v>-103</v>
      </c>
      <c r="CT972">
        <f>IF($CN972="refNeedCorrection",-BX972,BX972)*IF($BP972="Emissions positive",-1,1)</f>
        <v>131.01899999999995</v>
      </c>
      <c r="CU972">
        <f>IFERROR(CT972/CQ972,"")</f>
        <v>2.5577414342629505</v>
      </c>
      <c r="CV972" s="2">
        <f>IFERROR((CS972-CR972)/ABS(CR972),"")</f>
        <v>0.25739005046863728</v>
      </c>
      <c r="CW972" s="1" t="s">
        <v>263</v>
      </c>
      <c r="CX972" s="264" t="str">
        <f>IF(OR($CW972="prd",$CW972="std",$CW972="cit"),"loc",IF(OR($CW972="eur",$CW972="reg",$CW972="coy"),"reg",$CW972))</f>
        <v>loc</v>
      </c>
      <c r="CY972" t="s">
        <v>444</v>
      </c>
      <c r="DA972" s="143"/>
      <c r="DB972" s="143">
        <v>0</v>
      </c>
      <c r="DC972" t="str">
        <f>IF(DB972=0,"0",IF(AND(DB972&gt;=1,DB972&lt;=30),"1-30",IF(AND(DB972&gt;30,DB972&lt;=70),"31-70",IF(AND(DB972&gt;70,DB972&lt;=100),"71-100",IF(DB972&gt;100,"+100")))))</f>
        <v>0</v>
      </c>
      <c r="DD972">
        <v>0</v>
      </c>
      <c r="DE972">
        <v>0</v>
      </c>
      <c r="DF972">
        <v>0</v>
      </c>
      <c r="DG972">
        <v>1</v>
      </c>
      <c r="DI972">
        <f>SUM(DD972:DG972)</f>
        <v>1</v>
      </c>
      <c r="DJ972" t="str">
        <f>IF(DI972=1,INDEX($DD$7:$DG$7,MATCH(1,$DD972:$DG972,0)),"mixedProduct")</f>
        <v>TimberInput</v>
      </c>
      <c r="DK972">
        <f>IF(DD972=1,DK$7,0)</f>
        <v>0</v>
      </c>
      <c r="DL972">
        <f>IF(DE972=1,DL$7,0)</f>
        <v>0</v>
      </c>
      <c r="DM972">
        <f>IF(DF972=1,DM$7,0)</f>
        <v>0</v>
      </c>
      <c r="DN972" t="str">
        <f>IF(DG972=1,DN$7,0)</f>
        <v>Timber</v>
      </c>
      <c r="DO972">
        <v>1</v>
      </c>
      <c r="DP972" s="143">
        <v>0</v>
      </c>
      <c r="DQ972" s="143">
        <v>0</v>
      </c>
      <c r="DR972">
        <v>0</v>
      </c>
      <c r="DS972" s="143">
        <v>0</v>
      </c>
      <c r="DT972">
        <f>SUM(DO972:DP972)</f>
        <v>1</v>
      </c>
      <c r="DU972" s="143" t="str">
        <f>IF(DO972=1,"self-calculated DF",IF(DP972=1,"external DF used","explicit C balance"))</f>
        <v>self-calculated DF</v>
      </c>
      <c r="DV972" s="143">
        <v>0</v>
      </c>
      <c r="DW972" s="143">
        <v>1</v>
      </c>
      <c r="DX972" s="143">
        <v>0</v>
      </c>
      <c r="DY972" s="143">
        <v>1</v>
      </c>
      <c r="DZ972">
        <v>0</v>
      </c>
      <c r="EA972" s="143">
        <v>1</v>
      </c>
      <c r="EB972" s="143">
        <v>1</v>
      </c>
      <c r="EC972" s="143">
        <v>1</v>
      </c>
      <c r="ED972" s="143">
        <v>0</v>
      </c>
      <c r="EE972">
        <v>0</v>
      </c>
      <c r="EF972">
        <v>0</v>
      </c>
      <c r="EG972" s="143">
        <v>0</v>
      </c>
      <c r="EH972" s="143">
        <v>0</v>
      </c>
      <c r="EI972" s="2">
        <v>0</v>
      </c>
      <c r="EK972" t="str">
        <f>IF(AND(AND(AND(OR($DX972=1,$DW972=1),OR($EC972=1,$EA972=1)),SUM($DV972:$DZ972,$EF972)&gt;=4),SUM($EA972:$EE972)&gt;=2),"Whole sector","")</f>
        <v/>
      </c>
      <c r="EL972" t="str">
        <f>IF(AND(AND(OR($DX972=1,$DW972=1),AND($EC972=0,$EA972=0)),SUM($DV972:$DZ972,$EF972)&gt;=4),"Ecosystem approach","")</f>
        <v/>
      </c>
      <c r="EM972" s="2" t="str">
        <f>IF(AND(AND(AND($DX972=0,$DW972=0),OR($EC972=1,$EA972=1)),SUM($EB972:$EE972)&gt;=2),"Technology approach","")</f>
        <v/>
      </c>
      <c r="EP972" t="str">
        <f>IF(ISNUMBER(BU972),IF(ABS(BU972-[3]QC_indicators!$B$2)&gt;3*[3]QC_indicators!$C$2,"C ratio",IF(ISNUMBER(BY972),IF(ABS(BY972-[3]QC_indicators!$B$1)&gt;3*[3]QC_indicators!$C$1,"DF","no"))),IF(ISNUMBER(BY972),IF(ABS(BY972-[3]QC_indicators!$B$1)&gt;3*[3]QC_indicators!$C$1,"DF","no")))</f>
        <v>no</v>
      </c>
      <c r="ER972" s="294" t="s">
        <v>349</v>
      </c>
      <c r="ET972" s="264" t="s">
        <v>3407</v>
      </c>
    </row>
    <row r="973" spans="1:150" ht="15" customHeight="1">
      <c r="A973" s="1" t="s">
        <v>247</v>
      </c>
      <c r="B973" t="s">
        <v>1028</v>
      </c>
      <c r="C973" t="s">
        <v>1029</v>
      </c>
      <c r="D973" t="s">
        <v>1030</v>
      </c>
      <c r="E973" t="s">
        <v>1031</v>
      </c>
      <c r="F973" t="s">
        <v>1032</v>
      </c>
      <c r="G973" t="s">
        <v>253</v>
      </c>
      <c r="H973" t="s">
        <v>254</v>
      </c>
      <c r="I973">
        <v>2021</v>
      </c>
      <c r="J973">
        <v>0</v>
      </c>
      <c r="K973" t="s">
        <v>1033</v>
      </c>
      <c r="M973" t="str">
        <f>LEFT($D973,FIND(",",$D973)-1)&amp;"_"&amp;I973&amp;L973</f>
        <v>Piccardo_2021</v>
      </c>
      <c r="N973" t="s">
        <v>222</v>
      </c>
      <c r="O973" s="171" t="s">
        <v>513</v>
      </c>
      <c r="P973" s="141" t="s">
        <v>225</v>
      </c>
      <c r="Q973" t="s">
        <v>389</v>
      </c>
      <c r="R973" s="262" t="s">
        <v>223</v>
      </c>
      <c r="S973" s="1" t="s">
        <v>1041</v>
      </c>
      <c r="T973" s="264" t="s">
        <v>3214</v>
      </c>
      <c r="U973" s="264" t="s">
        <v>3217</v>
      </c>
      <c r="V973">
        <v>0</v>
      </c>
      <c r="W973">
        <v>0</v>
      </c>
      <c r="X973">
        <v>0</v>
      </c>
      <c r="Y973">
        <v>0</v>
      </c>
      <c r="Z973">
        <v>0</v>
      </c>
      <c r="AA973">
        <v>0</v>
      </c>
      <c r="AB973">
        <v>0</v>
      </c>
      <c r="AC973">
        <v>0</v>
      </c>
      <c r="AD973">
        <v>0</v>
      </c>
      <c r="AE973">
        <v>0</v>
      </c>
      <c r="AF973">
        <v>0</v>
      </c>
      <c r="AG973">
        <v>0</v>
      </c>
      <c r="AH973">
        <v>0</v>
      </c>
      <c r="AI973">
        <v>0</v>
      </c>
      <c r="AJ973">
        <v>0</v>
      </c>
      <c r="AK973">
        <v>1</v>
      </c>
      <c r="AL973">
        <v>0</v>
      </c>
      <c r="AM973">
        <v>0</v>
      </c>
      <c r="AN973">
        <v>0</v>
      </c>
      <c r="AO973">
        <v>0</v>
      </c>
      <c r="AP973">
        <v>0</v>
      </c>
      <c r="AQ973">
        <v>0</v>
      </c>
      <c r="AR973">
        <v>0</v>
      </c>
      <c r="AS973">
        <v>0</v>
      </c>
      <c r="AT973">
        <v>0</v>
      </c>
      <c r="AU973">
        <v>0</v>
      </c>
      <c r="AV973">
        <v>0</v>
      </c>
      <c r="AW973">
        <v>0</v>
      </c>
      <c r="AX973" s="141">
        <f>COUNTIF(V973:AW973,"&lt;&gt;0")</f>
        <v>1</v>
      </c>
      <c r="AY973" s="141">
        <f>COUNTIF(V973:AL973,"&lt;&gt;0")</f>
        <v>1</v>
      </c>
      <c r="AZ973">
        <f>COUNTIF(V973:AC973,"&lt;&gt;0")</f>
        <v>0</v>
      </c>
      <c r="BA973">
        <f>COUNTIF(AD973:AI973,"&lt;&gt;0")</f>
        <v>0</v>
      </c>
      <c r="BB973">
        <f>COUNTIF(AJ973:AL973,"&lt;&gt;0")</f>
        <v>1</v>
      </c>
      <c r="BC973">
        <f>COUNTIF(AS973:AW973,"&lt;&gt;0")</f>
        <v>0</v>
      </c>
      <c r="BD973">
        <f>COUNTIF(AM973:AR973,"&lt;&gt;0")</f>
        <v>0</v>
      </c>
      <c r="BE973" t="str">
        <f t="array" ref="BE973">IF(AY973=1,INDEX($V$7:$AL$7,MATCH(TRUE,INDEX($V973:$AW973&lt;&gt;0,),0)),IF(AY973=0,INDEX($AM$7:$AW$7,MATCH(1,$AM973:$AW973,0)),IF(BF973="Multiple strategies","mixed drivers",IF(BF973="Supply chain","multiple supply","multiple silviculture"))))</f>
        <v>technologies/design switch</v>
      </c>
      <c r="BF973" s="2" t="str" cm="1">
        <f t="array" ref="BF973">IF(COUNTIF(AZ973:BB973,"&lt;&gt;0")=1,INDEX($V$4:$AW$4,MATCH(TRUE,INDEX($V973:$AW973&lt;&gt;0,),0)),IF(COUNTIF(AZ973:BB973,"&lt;&gt;0")=0,INDEX($AM$4:$AW$4,MATCH(1,$AM973:$AW973,0)),"Multiple strategies"))</f>
        <v>Technology</v>
      </c>
      <c r="BG973" s="142" t="s">
        <v>229</v>
      </c>
      <c r="BH973" t="s">
        <v>1035</v>
      </c>
      <c r="BI973" t="s">
        <v>1036</v>
      </c>
      <c r="BJ973" t="s">
        <v>1037</v>
      </c>
      <c r="BK973">
        <f>35+3+20+8+8</f>
        <v>74</v>
      </c>
      <c r="BL973">
        <f>175+40+77+18+35+3+8+8</f>
        <v>364</v>
      </c>
      <c r="BM973">
        <f>IFERROR(BL973/BK973,"")</f>
        <v>4.9189189189189193</v>
      </c>
      <c r="BN973">
        <f>BL973-BK973</f>
        <v>290</v>
      </c>
      <c r="BO973">
        <f>BN973*t_to_m3</f>
        <v>591.83673469387759</v>
      </c>
      <c r="BP973" t="s">
        <v>395</v>
      </c>
      <c r="BQ973" t="s">
        <v>1038</v>
      </c>
      <c r="BR973" t="s">
        <v>1039</v>
      </c>
      <c r="BS973">
        <v>99</v>
      </c>
      <c r="BT973">
        <v>-1415</v>
      </c>
      <c r="BU973" s="144"/>
      <c r="BV973">
        <f>(BT973-BS973)</f>
        <v>-1514</v>
      </c>
      <c r="BX973">
        <f>BV973</f>
        <v>-1514</v>
      </c>
      <c r="BY973">
        <f>IFERROR(BX973/BO973,"")</f>
        <v>-2.5581379310344827</v>
      </c>
      <c r="BZ973">
        <v>0</v>
      </c>
      <c r="CA973">
        <v>0</v>
      </c>
      <c r="CB973">
        <v>0</v>
      </c>
      <c r="CC973">
        <v>0</v>
      </c>
      <c r="CD973">
        <v>0</v>
      </c>
      <c r="CE973">
        <v>0</v>
      </c>
      <c r="CF973">
        <v>0</v>
      </c>
      <c r="CG973">
        <v>0</v>
      </c>
      <c r="CH973">
        <v>0</v>
      </c>
      <c r="CI973">
        <v>0</v>
      </c>
      <c r="CJ973">
        <v>0</v>
      </c>
      <c r="CK973">
        <v>0</v>
      </c>
      <c r="CL973">
        <v>0</v>
      </c>
      <c r="CM973">
        <v>0</v>
      </c>
      <c r="CN973" t="str">
        <f>IF($BL973&lt;$BK973,"refNeedCorrection","refOK")</f>
        <v>refOK</v>
      </c>
      <c r="CO973">
        <f>IF($CN973="refOK",$BK973,$BL973)</f>
        <v>74</v>
      </c>
      <c r="CP973">
        <f>IF($CN973="refOK",$BL973,$BK973)</f>
        <v>364</v>
      </c>
      <c r="CQ973">
        <f>IF($CN973="refOK",$BO973,-$BO973)</f>
        <v>591.83673469387759</v>
      </c>
      <c r="CR973">
        <f>IF($CN973="refOK",$BS973,$BT973)*IF($BP973="Emissions positive",-1,1)</f>
        <v>-99</v>
      </c>
      <c r="CS973">
        <f>IF($CN973="refOK",$BT973,$BS973)*IF($BP973="Emissions positive",-1,1)</f>
        <v>1415</v>
      </c>
      <c r="CT973">
        <f>IF($CN973="refNeedCorrection",-BX973,BX973)*IF($BP973="Emissions positive",-1,1)</f>
        <v>1514</v>
      </c>
      <c r="CU973">
        <f>IFERROR(CT973/CQ973,"")</f>
        <v>2.5581379310344827</v>
      </c>
      <c r="CV973" s="2">
        <f>IFERROR((CS973-CR973)/ABS(CR973),"")</f>
        <v>15.292929292929292</v>
      </c>
      <c r="CW973" s="1" t="s">
        <v>263</v>
      </c>
      <c r="CX973" t="str">
        <f>IF(OR($CW973="prd",$CW973="std",$CW973="cit"),"loc",IF(OR($CW973="eur",$CW973="reg",$CW973="coy"),"reg",$CW973))</f>
        <v>loc</v>
      </c>
      <c r="CY973" t="s">
        <v>743</v>
      </c>
      <c r="DB973">
        <v>50</v>
      </c>
      <c r="DC973" t="str">
        <f>IF(DB973=0,"0",IF(AND(DB973&gt;=1,DB973&lt;=30),"1-30",IF(AND(DB973&gt;30,DB973&lt;=70),"31-70",IF(AND(DB973&gt;70,DB973&lt;=100),"71-100",IF(DB973&gt;100,"+100")))))</f>
        <v>31-70</v>
      </c>
      <c r="DD973">
        <v>0</v>
      </c>
      <c r="DE973">
        <v>0</v>
      </c>
      <c r="DF973">
        <v>1</v>
      </c>
      <c r="DG973">
        <v>1</v>
      </c>
      <c r="DI973">
        <f>SUM(DD973:DG973)</f>
        <v>2</v>
      </c>
      <c r="DJ973" t="str">
        <f>IF(DI973=1,INDEX($DD$7:$DG$7,MATCH(1,$DD973:$DG973,0)),"mixedProduct")</f>
        <v>mixedProduct</v>
      </c>
      <c r="DK973">
        <f>IF(DD973=1,DK$7,0)</f>
        <v>0</v>
      </c>
      <c r="DL973">
        <f>IF(DE973=1,DL$7,0)</f>
        <v>0</v>
      </c>
      <c r="DM973" t="str">
        <f>IF(DF973=1,DM$7,0)</f>
        <v>Pulp/Paper</v>
      </c>
      <c r="DN973" t="str">
        <f>IF(DG973=1,DN$7,0)</f>
        <v>Timber</v>
      </c>
      <c r="DO973">
        <v>1</v>
      </c>
      <c r="DP973">
        <v>0</v>
      </c>
      <c r="DQ973">
        <v>0</v>
      </c>
      <c r="DR973">
        <v>0</v>
      </c>
      <c r="DS973">
        <v>0</v>
      </c>
      <c r="DT973">
        <f>SUM(DO973:DP973)</f>
        <v>1</v>
      </c>
      <c r="DU973" s="143" t="str">
        <f>IF(DO973=1,"self-calculated DF",IF(DP973=1,"external DF used","explicit C balance"))</f>
        <v>self-calculated DF</v>
      </c>
      <c r="DV973">
        <v>0</v>
      </c>
      <c r="DW973">
        <v>0</v>
      </c>
      <c r="DX973">
        <v>0</v>
      </c>
      <c r="DY973">
        <v>1</v>
      </c>
      <c r="DZ973">
        <v>1</v>
      </c>
      <c r="EA973">
        <v>1</v>
      </c>
      <c r="EB973">
        <v>0</v>
      </c>
      <c r="EC973">
        <v>1</v>
      </c>
      <c r="ED973">
        <v>1</v>
      </c>
      <c r="EE973">
        <v>1</v>
      </c>
      <c r="EF973">
        <v>0</v>
      </c>
      <c r="EG973" s="143">
        <v>0</v>
      </c>
      <c r="EH973" s="143">
        <v>0</v>
      </c>
      <c r="EI973" s="2">
        <v>0</v>
      </c>
      <c r="EK973" t="str">
        <f>IF(AND(AND(AND(OR($DX973=1,$DW973=1),OR($EC973=1,$EA973=1)),SUM($DV973:$DZ973,$EF973)&gt;=4),SUM($EA973:$EE973)&gt;=2),"Whole sector","")</f>
        <v/>
      </c>
      <c r="EL973" t="str">
        <f>IF(AND(AND(OR($DX973=1,$DW973=1),AND($EC973=0,$EA973=0)),SUM($DV973:$DZ973,$EF973)&gt;=4),"Ecosystem approach","")</f>
        <v/>
      </c>
      <c r="EM973" s="2" t="str">
        <f>IF(AND(AND(AND($DX973=0,$DW973=0),OR($EC973=1,$EA973=1)),SUM($EB973:$EE973)&gt;=2),"Technology approach","")</f>
        <v>Technology approach</v>
      </c>
      <c r="EP973" t="str">
        <f>IF(ISNUMBER(BU973),IF(ABS(BU973-[1]QC_indicators!$B$2)&gt;3*[1]QC_indicators!$C$2,"C ratio",IF(ISNUMBER(BY973),IF(ABS(BY973-[1]QC_indicators!$B$1)&gt;3*[1]QC_indicators!$C$1,"DF","no"))),IF(ISNUMBER(BY973),IF(ABS(BY973-[1]QC_indicators!$B$1)&gt;3*[1]QC_indicators!$C$1,"DF","no")))</f>
        <v>no</v>
      </c>
      <c r="ET973" s="264" t="s">
        <v>3216</v>
      </c>
    </row>
    <row r="974" spans="1:150" ht="15" customHeight="1">
      <c r="A974" s="1" t="s">
        <v>247</v>
      </c>
      <c r="B974" t="s">
        <v>799</v>
      </c>
      <c r="C974" t="s">
        <v>800</v>
      </c>
      <c r="D974" t="s">
        <v>801</v>
      </c>
      <c r="E974" t="s">
        <v>802</v>
      </c>
      <c r="F974" t="s">
        <v>803</v>
      </c>
      <c r="G974" t="s">
        <v>253</v>
      </c>
      <c r="H974" t="s">
        <v>254</v>
      </c>
      <c r="I974">
        <v>2020</v>
      </c>
      <c r="J974">
        <v>15</v>
      </c>
      <c r="K974" t="s">
        <v>804</v>
      </c>
      <c r="M974" t="str">
        <f>LEFT($D974,FIND(",",$D974)-1)&amp;"_"&amp;I974&amp;L974</f>
        <v>Jayalath_2020</v>
      </c>
      <c r="N974" t="s">
        <v>222</v>
      </c>
      <c r="O974" s="145" t="s">
        <v>513</v>
      </c>
      <c r="Q974" t="s">
        <v>256</v>
      </c>
      <c r="R974" s="262" t="s">
        <v>225</v>
      </c>
      <c r="S974" s="1" t="s">
        <v>809</v>
      </c>
      <c r="T974" t="s">
        <v>810</v>
      </c>
      <c r="U974" t="s">
        <v>259</v>
      </c>
      <c r="V974">
        <v>0</v>
      </c>
      <c r="W974">
        <v>0</v>
      </c>
      <c r="X974">
        <v>0</v>
      </c>
      <c r="Y974">
        <v>0</v>
      </c>
      <c r="Z974">
        <v>0</v>
      </c>
      <c r="AA974">
        <v>0</v>
      </c>
      <c r="AB974">
        <v>0</v>
      </c>
      <c r="AC974">
        <v>0</v>
      </c>
      <c r="AD974">
        <v>0</v>
      </c>
      <c r="AE974">
        <v>0</v>
      </c>
      <c r="AF974">
        <v>0</v>
      </c>
      <c r="AG974">
        <v>0</v>
      </c>
      <c r="AH974">
        <v>0</v>
      </c>
      <c r="AI974">
        <v>0</v>
      </c>
      <c r="AJ974">
        <v>0</v>
      </c>
      <c r="AK974">
        <v>1</v>
      </c>
      <c r="AL974">
        <v>0</v>
      </c>
      <c r="AM974">
        <v>0</v>
      </c>
      <c r="AN974">
        <v>0</v>
      </c>
      <c r="AO974">
        <v>0</v>
      </c>
      <c r="AP974">
        <v>0</v>
      </c>
      <c r="AQ974">
        <v>0</v>
      </c>
      <c r="AR974">
        <v>0</v>
      </c>
      <c r="AS974">
        <v>0</v>
      </c>
      <c r="AT974">
        <v>0</v>
      </c>
      <c r="AU974">
        <v>0</v>
      </c>
      <c r="AV974">
        <v>0</v>
      </c>
      <c r="AW974">
        <v>0</v>
      </c>
      <c r="AX974" s="141">
        <f>COUNTIF(V974:AW974,"&lt;&gt;0")</f>
        <v>1</v>
      </c>
      <c r="AY974" s="141">
        <f>COUNTIF(V974:AL974,"&lt;&gt;0")</f>
        <v>1</v>
      </c>
      <c r="AZ974">
        <f>COUNTIF(V974:AC974,"&lt;&gt;0")</f>
        <v>0</v>
      </c>
      <c r="BA974">
        <f>COUNTIF(AD974:AI974,"&lt;&gt;0")</f>
        <v>0</v>
      </c>
      <c r="BB974">
        <f>COUNTIF(AJ974:AL974,"&lt;&gt;0")</f>
        <v>1</v>
      </c>
      <c r="BC974">
        <f>COUNTIF(AS974:AW974,"&lt;&gt;0")</f>
        <v>0</v>
      </c>
      <c r="BD974">
        <f>COUNTIF(AM974:AR974,"&lt;&gt;0")</f>
        <v>0</v>
      </c>
      <c r="BE974" t="str">
        <f t="array" ref="BE974">IF(AY974=1,INDEX($V$7:$AL$7,MATCH(TRUE,INDEX($V974:$AW974&lt;&gt;0,),0)),IF(AY974=0,INDEX($AM$7:$AW$7,MATCH(1,$AM974:$AW974,0)),IF(BF974="Multiple strategies","mixed drivers",IF(BF974="Supply chain","multiple supply","multiple silviculture"))))</f>
        <v>technologies/design switch</v>
      </c>
      <c r="BF974" s="2" t="str" cm="1">
        <f t="array" ref="BF974">IF(COUNTIF(AZ974:BB974,"&lt;&gt;0")=1,INDEX($V$4:$AW$4,MATCH(TRUE,INDEX($V974:$AW974&lt;&gt;0,),0)),IF(COUNTIF(AZ974:BB974,"&lt;&gt;0")=0,INDEX($AM$4:$AW$4,MATCH(1,$AM974:$AW974,0)),"Multiple strategies"))</f>
        <v>Technology</v>
      </c>
      <c r="BG974" s="1" t="s">
        <v>229</v>
      </c>
      <c r="BH974" t="s">
        <v>808</v>
      </c>
      <c r="BI974" s="260" t="s">
        <v>3340</v>
      </c>
      <c r="BJ974" t="s">
        <v>345</v>
      </c>
      <c r="BK974" s="264">
        <v>0</v>
      </c>
      <c r="BL974" s="264">
        <v>130669</v>
      </c>
      <c r="BN974">
        <f>BL974-BK974</f>
        <v>130669</v>
      </c>
      <c r="BO974">
        <f>BN974*kg_to_m3</f>
        <v>266.67142857142858</v>
      </c>
      <c r="BP974" t="s">
        <v>395</v>
      </c>
      <c r="BQ974" s="260" t="s">
        <v>3343</v>
      </c>
      <c r="BR974" t="s">
        <v>812</v>
      </c>
      <c r="BS974">
        <v>1387</v>
      </c>
      <c r="BT974">
        <v>686</v>
      </c>
      <c r="BU974" s="144">
        <f>IFERROR(BT974/BS974,"")</f>
        <v>0.49459264599855801</v>
      </c>
      <c r="BV974">
        <f>BT974-BS974</f>
        <v>-701</v>
      </c>
      <c r="BX974">
        <f>BV974</f>
        <v>-701</v>
      </c>
      <c r="BY974">
        <f>IFERROR(BX974/BO974,"")</f>
        <v>-2.6287030588739486</v>
      </c>
      <c r="BZ974">
        <v>0</v>
      </c>
      <c r="CA974">
        <v>0</v>
      </c>
      <c r="CB974">
        <v>0</v>
      </c>
      <c r="CC974">
        <v>0</v>
      </c>
      <c r="CD974">
        <v>0</v>
      </c>
      <c r="CE974">
        <v>0</v>
      </c>
      <c r="CF974">
        <v>0</v>
      </c>
      <c r="CG974">
        <v>0</v>
      </c>
      <c r="CH974">
        <v>0</v>
      </c>
      <c r="CI974">
        <v>0</v>
      </c>
      <c r="CJ974">
        <v>0</v>
      </c>
      <c r="CK974">
        <v>0</v>
      </c>
      <c r="CL974">
        <v>0</v>
      </c>
      <c r="CM974">
        <v>1</v>
      </c>
      <c r="CN974" t="str">
        <f>IF(BL974&lt;BK974,"refNeedCorrection","refOK")</f>
        <v>refOK</v>
      </c>
      <c r="CO974">
        <f>IF($CN974="refOK",$BK974,$BL974)</f>
        <v>0</v>
      </c>
      <c r="CP974">
        <f>IF($CN974="refOK",$BL974,$BK974)</f>
        <v>130669</v>
      </c>
      <c r="CQ974">
        <f>IF($CN974="refOK",$BO974,-$BO974)</f>
        <v>266.67142857142858</v>
      </c>
      <c r="CR974">
        <f>IF($CN974="refOK",$BS974,$BT974)*IF($BP974="Emissions positive",-1,1)</f>
        <v>-1387</v>
      </c>
      <c r="CS974">
        <f>IF($CN974="refOK",$BT974,$BS974)*IF($BP974="Emissions positive",-1,1)</f>
        <v>-686</v>
      </c>
      <c r="CT974">
        <f>IF($CN974="refNeedCorrection",-BX974,BX974)*IF($BP974="Emissions positive",-1,1)</f>
        <v>701</v>
      </c>
      <c r="CU974">
        <f>IFERROR(CT974/CQ974,"")</f>
        <v>2.6287030588739486</v>
      </c>
      <c r="CV974" s="2">
        <f>IFERROR((CS974-CR974)/ABS(CR974),"")</f>
        <v>0.50540735400144199</v>
      </c>
      <c r="CW974" s="1" t="s">
        <v>347</v>
      </c>
      <c r="CX974" t="str">
        <f>IF(OR($CW974="prd",$CW974="std",$CW974="cit"),"loc",IF(OR($CW974="eur",$CW974="reg",$CW974="coy"),"reg",$CW974))</f>
        <v>loc</v>
      </c>
      <c r="CY974" t="s">
        <v>574</v>
      </c>
      <c r="DB974">
        <v>0</v>
      </c>
      <c r="DC974" t="str">
        <f>IF(DB974=0,"0",IF(AND(DB974&gt;=1,DB974&lt;=30),"1-30",IF(AND(DB974&gt;30,DB974&lt;=70),"31-70",IF(AND(DB974&gt;70,DB974&lt;=100),"71-100",IF(DB974&gt;100,"+100")))))</f>
        <v>0</v>
      </c>
      <c r="DD974">
        <v>0</v>
      </c>
      <c r="DE974">
        <v>0</v>
      </c>
      <c r="DF974">
        <v>0</v>
      </c>
      <c r="DG974">
        <v>1</v>
      </c>
      <c r="DI974">
        <f>SUM(DD974:DG974)</f>
        <v>1</v>
      </c>
      <c r="DJ974" t="str">
        <f>IF(DI974=1,INDEX($DD$7:$DG$7,MATCH(1,$DD974:$DG974,0)),"mixedProduct")</f>
        <v>TimberInput</v>
      </c>
      <c r="DK974">
        <f>IF(DD974=1,DK$7,0)</f>
        <v>0</v>
      </c>
      <c r="DL974">
        <f>IF(DE974=1,DL$7,0)</f>
        <v>0</v>
      </c>
      <c r="DM974">
        <f>IF(DF974=1,DM$7,0)</f>
        <v>0</v>
      </c>
      <c r="DN974" t="str">
        <f>IF(DG974=1,DN$7,0)</f>
        <v>Timber</v>
      </c>
      <c r="DO974">
        <v>0</v>
      </c>
      <c r="DP974">
        <v>0</v>
      </c>
      <c r="DQ974">
        <v>0</v>
      </c>
      <c r="DR974">
        <v>0</v>
      </c>
      <c r="DS974">
        <v>0</v>
      </c>
      <c r="DT974">
        <f>SUM(DO974:DP974)</f>
        <v>0</v>
      </c>
      <c r="DU974" s="143" t="str">
        <f>IF(DO974=1,"self-calculated DF",IF(DP974=1,"external DF used","explicit C balance"))</f>
        <v>explicit C balance</v>
      </c>
      <c r="DV974">
        <v>0</v>
      </c>
      <c r="DW974">
        <v>0</v>
      </c>
      <c r="DX974">
        <v>0</v>
      </c>
      <c r="DY974">
        <v>0</v>
      </c>
      <c r="DZ974">
        <v>0</v>
      </c>
      <c r="EA974">
        <v>0</v>
      </c>
      <c r="EB974">
        <v>0</v>
      </c>
      <c r="EC974">
        <v>1</v>
      </c>
      <c r="ED974">
        <v>0</v>
      </c>
      <c r="EE974">
        <v>0</v>
      </c>
      <c r="EF974">
        <v>0</v>
      </c>
      <c r="EG974">
        <v>0</v>
      </c>
      <c r="EH974">
        <v>0</v>
      </c>
      <c r="EI974" s="2">
        <v>0</v>
      </c>
      <c r="EK974" t="str">
        <f>IF(AND(AND(AND(OR($DX974=1,$DW974=1),OR($EC974=1,$EA974=1)),SUM($DV974:$DZ974,$EF974)&gt;=4),SUM($EA974:$EE974)&gt;=2),"Whole sector","")</f>
        <v/>
      </c>
      <c r="EL974" t="str">
        <f>IF(AND(AND(OR($DX974=1,$DW974=1),AND($EC974=0,$EA974=0)),SUM($DV974:$DZ974,$EF974)&gt;=4),"Ecosystem approach","")</f>
        <v/>
      </c>
      <c r="EM974" s="2" t="str">
        <f>IF(AND(AND(AND($DX974=0,$DW974=0),OR($EC974=1,$EA974=1)),SUM($EB974:$EE974)&gt;=2),"Technology approach","")</f>
        <v/>
      </c>
      <c r="EP974" t="str">
        <f>IF(ISNUMBER(BU974),IF(ABS(BU974-[4]QC_indicators!$B$2)&gt;3*[4]QC_indicators!$C$2,"C ratio",IF(ISNUMBER(BY974),IF(ABS(BY974-[4]QC_indicators!$B$1)&gt;3*[4]QC_indicators!$C$1,"DF","no"))),IF(ISNUMBER(BY974),IF(ABS(BY974-[4]QC_indicators!$B$1)&gt;3*[4]QC_indicators!$C$1,"DF","no")))</f>
        <v>no</v>
      </c>
      <c r="ER974" s="149" t="s">
        <v>349</v>
      </c>
      <c r="ET974" s="264" t="s">
        <v>3273</v>
      </c>
    </row>
    <row r="975" spans="1:150" ht="15" customHeight="1">
      <c r="D975" t="s">
        <v>1661</v>
      </c>
      <c r="E975" t="s">
        <v>1662</v>
      </c>
      <c r="G975" t="s">
        <v>1663</v>
      </c>
      <c r="I975">
        <v>2007</v>
      </c>
      <c r="K975" t="s">
        <v>1664</v>
      </c>
      <c r="M975" t="str">
        <f>LEFT($D975,FIND(",",$D975)-1)&amp;"_"&amp;I975&amp;L975</f>
        <v>Gustavsson_2007</v>
      </c>
      <c r="N975" t="s">
        <v>222</v>
      </c>
      <c r="O975" t="s">
        <v>223</v>
      </c>
      <c r="Q975" t="s">
        <v>256</v>
      </c>
      <c r="R975" s="269" t="s">
        <v>274</v>
      </c>
      <c r="S975" s="1" t="s">
        <v>1665</v>
      </c>
      <c r="T975" t="s">
        <v>1690</v>
      </c>
      <c r="U975" s="143" t="s">
        <v>1686</v>
      </c>
      <c r="V975">
        <v>0</v>
      </c>
      <c r="W975">
        <v>0</v>
      </c>
      <c r="X975">
        <v>0</v>
      </c>
      <c r="Y975">
        <v>0</v>
      </c>
      <c r="Z975">
        <v>0</v>
      </c>
      <c r="AA975">
        <v>0</v>
      </c>
      <c r="AB975">
        <v>0</v>
      </c>
      <c r="AC975">
        <v>0</v>
      </c>
      <c r="AD975">
        <v>0</v>
      </c>
      <c r="AE975">
        <v>0</v>
      </c>
      <c r="AF975">
        <v>0</v>
      </c>
      <c r="AG975">
        <v>0</v>
      </c>
      <c r="AH975">
        <v>0</v>
      </c>
      <c r="AI975">
        <v>0</v>
      </c>
      <c r="AJ975">
        <v>0</v>
      </c>
      <c r="AK975">
        <v>1</v>
      </c>
      <c r="AL975">
        <v>0</v>
      </c>
      <c r="AM975">
        <v>0</v>
      </c>
      <c r="AN975">
        <v>0</v>
      </c>
      <c r="AO975">
        <v>0</v>
      </c>
      <c r="AP975">
        <v>0</v>
      </c>
      <c r="AQ975">
        <v>0</v>
      </c>
      <c r="AR975">
        <v>0</v>
      </c>
      <c r="AS975">
        <v>0</v>
      </c>
      <c r="AT975">
        <v>0</v>
      </c>
      <c r="AU975">
        <v>0</v>
      </c>
      <c r="AV975">
        <v>0</v>
      </c>
      <c r="AW975">
        <v>0</v>
      </c>
      <c r="AX975" s="141">
        <f>COUNTIF(V975:AW975,"&lt;&gt;0")</f>
        <v>1</v>
      </c>
      <c r="AY975" s="141">
        <f>COUNTIF(V975:AL975,"&lt;&gt;0")</f>
        <v>1</v>
      </c>
      <c r="AZ975">
        <f>COUNTIF(V975:AC975,"&lt;&gt;0")</f>
        <v>0</v>
      </c>
      <c r="BA975">
        <f>COUNTIF(AD975:AI975,"&lt;&gt;0")</f>
        <v>0</v>
      </c>
      <c r="BB975">
        <f>COUNTIF(AJ975:AL975,"&lt;&gt;0")</f>
        <v>1</v>
      </c>
      <c r="BC975">
        <f>COUNTIF(AS975:AW975,"&lt;&gt;0")</f>
        <v>0</v>
      </c>
      <c r="BD975">
        <f>COUNTIF(AM975:AR975,"&lt;&gt;0")</f>
        <v>0</v>
      </c>
      <c r="BE975" t="str">
        <f t="array" ref="BE975">IF(AY975=1,INDEX($V$7:$AL$7,MATCH(TRUE,INDEX($V975:$AW975&lt;&gt;0,),0)),IF(AY975=0,INDEX($AM$7:$AW$7,MATCH(1,$AM975:$AW975,0)),IF(BF975="Multiple strategies","mixed drivers",IF(BF975="Supply chain","multiple supply","multiple silviculture"))))</f>
        <v>technologies/design switch</v>
      </c>
      <c r="BF975" s="2" t="str" cm="1">
        <f t="array" ref="BF975">IF(COUNTIF(AZ975:BB975,"&lt;&gt;0")=1,INDEX($V$4:$AW$4,MATCH(TRUE,INDEX($V975:$AW975&lt;&gt;0,),0)),IF(COUNTIF(AZ975:BB975,"&lt;&gt;0")=0,INDEX($AM$4:$AW$4,MATCH(1,$AM975:$AW975,0)),"Multiple strategies"))</f>
        <v>Technology</v>
      </c>
      <c r="BG975" s="142" t="s">
        <v>229</v>
      </c>
      <c r="BH975" t="s">
        <v>1667</v>
      </c>
      <c r="BI975" s="264" t="s">
        <v>1057</v>
      </c>
      <c r="BJ975" s="143" t="s">
        <v>3265</v>
      </c>
      <c r="BK975">
        <v>0</v>
      </c>
      <c r="BL975" s="143">
        <v>8.5</v>
      </c>
      <c r="BM975" s="143"/>
      <c r="BN975">
        <f>BL975-BK975</f>
        <v>8.5</v>
      </c>
      <c r="BO975" s="143">
        <f>1000*BL975/15.3/400</f>
        <v>1.3888888888888888</v>
      </c>
      <c r="BP975" t="s">
        <v>232</v>
      </c>
      <c r="BR975" t="s">
        <v>938</v>
      </c>
      <c r="BS975" s="143">
        <v>-1</v>
      </c>
      <c r="BT975" s="151">
        <v>0</v>
      </c>
      <c r="BU975">
        <v>0</v>
      </c>
      <c r="BV975">
        <v>1</v>
      </c>
      <c r="BX975">
        <f>BV975*C_to_CO2</f>
        <v>3.67</v>
      </c>
      <c r="BY975" s="143">
        <f>1000*BV975/15.3/400</f>
        <v>0.16339869281045749</v>
      </c>
      <c r="BZ975" s="143">
        <v>0</v>
      </c>
      <c r="CA975" s="143">
        <v>0</v>
      </c>
      <c r="CB975" s="143">
        <v>0</v>
      </c>
      <c r="CC975" s="143">
        <v>0</v>
      </c>
      <c r="CD975" s="143">
        <v>0</v>
      </c>
      <c r="CE975" s="143">
        <v>0</v>
      </c>
      <c r="CF975" s="143">
        <v>0</v>
      </c>
      <c r="CG975" s="143">
        <v>0</v>
      </c>
      <c r="CH975" s="143">
        <v>0</v>
      </c>
      <c r="CI975" s="143">
        <v>0</v>
      </c>
      <c r="CJ975" s="143">
        <v>0</v>
      </c>
      <c r="CK975" s="143">
        <v>0</v>
      </c>
      <c r="CL975" s="143">
        <v>0</v>
      </c>
      <c r="CM975">
        <v>1</v>
      </c>
      <c r="CN975" t="str">
        <f>IF($BL975&lt;$BK975,"refNeedCorrection","refOK")</f>
        <v>refOK</v>
      </c>
      <c r="CO975">
        <f>IF($CN975="refOK",$BK975,$BL975)</f>
        <v>0</v>
      </c>
      <c r="CP975">
        <f>IF($CN975="refOK",$BL975,$BK975)</f>
        <v>8.5</v>
      </c>
      <c r="CQ975">
        <f>IF($CN975="refOK",$BO975,-$BO975)</f>
        <v>1.3888888888888888</v>
      </c>
      <c r="CR975">
        <f>IF($CN975="refOK",$BS975,$BT975)*IF($BP975="Emissions positive",-1,1)</f>
        <v>-1</v>
      </c>
      <c r="CS975">
        <f>IF($CN975="refOK",$BT975,$BS975)*IF($BP975="Emissions positive",-1,1)</f>
        <v>0</v>
      </c>
      <c r="CT975">
        <f>IF($CN975="refNeedCorrection",-BX975,BX975)*IF($BP975="Emissions positive",-1,1)</f>
        <v>3.67</v>
      </c>
      <c r="CU975">
        <f>IFERROR(CT975/CQ975,"")</f>
        <v>2.6423999999999999</v>
      </c>
      <c r="CV975" s="2">
        <f>IFERROR((CS975-CR975)/ABS(CR975),"")</f>
        <v>1</v>
      </c>
      <c r="CW975" s="1" t="s">
        <v>1203</v>
      </c>
      <c r="CX975" t="str">
        <f>IF(OR($CW975="prd",$CW975="std",$CW975="cit"),"loc",IF(OR($CW975="eur",$CW975="reg",$CW975="coy"),"reg",$CW975))</f>
        <v>reg</v>
      </c>
      <c r="CY975" t="s">
        <v>444</v>
      </c>
      <c r="DA975" s="143"/>
      <c r="DB975" s="143">
        <v>0</v>
      </c>
      <c r="DC975" t="str">
        <f>IF(DB975=0,"0",IF(AND(DB975&gt;=1,DB975&lt;=30),"1-30",IF(AND(DB975&gt;30,DB975&lt;=70),"31-70",IF(AND(DB975&gt;70,DB975&lt;=100),"71-100",IF(DB975&gt;100,"+100")))))</f>
        <v>0</v>
      </c>
      <c r="DD975">
        <v>0</v>
      </c>
      <c r="DE975">
        <v>1</v>
      </c>
      <c r="DF975">
        <v>0</v>
      </c>
      <c r="DG975">
        <v>0</v>
      </c>
      <c r="DI975">
        <f>SUM(DD975:DG975)</f>
        <v>1</v>
      </c>
      <c r="DJ975" t="str">
        <f>IF(DI975=1,INDEX($DD$7:$DG$7,MATCH(1,$DD975:$DG975,0)),"mixedProduct")</f>
        <v>EnergyInput</v>
      </c>
      <c r="DK975">
        <f>IF(DD975=1,DK$7,0)</f>
        <v>0</v>
      </c>
      <c r="DL975" t="str">
        <f>IF(DE975=1,DL$7,0)</f>
        <v>Energy</v>
      </c>
      <c r="DM975">
        <f>IF(DF975=1,DM$7,0)</f>
        <v>0</v>
      </c>
      <c r="DN975">
        <f>IF(DG975=1,DN$7,0)</f>
        <v>0</v>
      </c>
      <c r="DO975">
        <v>0</v>
      </c>
      <c r="DP975" s="143">
        <v>0</v>
      </c>
      <c r="DQ975" s="143">
        <v>0</v>
      </c>
      <c r="DR975">
        <v>0</v>
      </c>
      <c r="DS975" s="143">
        <v>0</v>
      </c>
      <c r="DT975">
        <f>SUM(DO975:DP975)</f>
        <v>0</v>
      </c>
      <c r="DU975" s="143" t="str">
        <f>IF(DO975=1,"self-calculated DF",IF(DP975=1,"external DF used","explicit C balance"))</f>
        <v>explicit C balance</v>
      </c>
      <c r="DV975" s="143">
        <v>0</v>
      </c>
      <c r="DW975" s="143">
        <v>0</v>
      </c>
      <c r="DX975" s="143">
        <v>0</v>
      </c>
      <c r="DY975" s="143">
        <v>0</v>
      </c>
      <c r="DZ975">
        <v>0</v>
      </c>
      <c r="EA975" s="143">
        <v>0</v>
      </c>
      <c r="EB975" s="143">
        <v>0</v>
      </c>
      <c r="EC975" s="143">
        <v>1</v>
      </c>
      <c r="ED975" s="143">
        <v>0</v>
      </c>
      <c r="EE975">
        <v>0</v>
      </c>
      <c r="EF975">
        <v>0</v>
      </c>
      <c r="EG975" s="143">
        <v>0</v>
      </c>
      <c r="EH975" s="143">
        <v>0</v>
      </c>
      <c r="EI975" s="2">
        <v>0</v>
      </c>
      <c r="EK975" t="str">
        <f>IF(AND(AND(AND(OR($DX975=1,$DW975=1),OR($EC975=1,$EA975=1)),SUM($DV975:$DZ975,$EF975)&gt;=4),SUM($EA975:$EE975)&gt;=2),"Whole sector","")</f>
        <v/>
      </c>
      <c r="EL975" t="str">
        <f>IF(AND(AND(OR($DX975=1,$DW975=1),AND($EC975=0,$EA975=0)),SUM($DV975:$DZ975,$EF975)&gt;=4),"Ecosystem approach","")</f>
        <v/>
      </c>
      <c r="EM975" s="2" t="str">
        <f>IF(AND(AND(AND($DX975=0,$DW975=0),OR($EC975=1,$EA975=1)),SUM($EB975:$EE975)&gt;=2),"Technology approach","")</f>
        <v/>
      </c>
      <c r="EP975" t="str">
        <f>IF(ISNUMBER(BU975),IF(ABS(BU975-[2]QC_indicators!$B$2)&gt;3*[2]QC_indicators!$C$2,"C ratio",IF(ISNUMBER(BY975),IF(ABS(BY975-[2]QC_indicators!$B$1)&gt;3*[2]QC_indicators!$C$1,"DF","no"))),IF(ISNUMBER(BY975),IF(ABS(BY975-[2]QC_indicators!$B$1)&gt;3*[2]QC_indicators!$C$1,"DF","no")))</f>
        <v>no</v>
      </c>
      <c r="ER975" s="149" t="s">
        <v>349</v>
      </c>
      <c r="ET975" s="264" t="s">
        <v>3266</v>
      </c>
    </row>
    <row r="976" spans="1:150" ht="15" customHeight="1">
      <c r="A976" s="1" t="s">
        <v>265</v>
      </c>
      <c r="B976" t="s">
        <v>266</v>
      </c>
      <c r="C976" t="s">
        <v>267</v>
      </c>
      <c r="D976" t="s">
        <v>268</v>
      </c>
      <c r="E976" t="s">
        <v>269</v>
      </c>
      <c r="F976" t="s">
        <v>270</v>
      </c>
      <c r="G976" t="s">
        <v>271</v>
      </c>
      <c r="H976" t="s">
        <v>254</v>
      </c>
      <c r="I976">
        <v>2022</v>
      </c>
      <c r="J976">
        <v>0</v>
      </c>
      <c r="K976" t="s">
        <v>272</v>
      </c>
      <c r="M976" t="str">
        <f>LEFT($D976,FIND(",",$D976)-1)&amp;"_"&amp;I976&amp;L976</f>
        <v>Aryapratama_2022</v>
      </c>
      <c r="N976" t="s">
        <v>222</v>
      </c>
      <c r="O976" s="145" t="s">
        <v>274</v>
      </c>
      <c r="Q976" t="s">
        <v>224</v>
      </c>
      <c r="R976" s="262" t="s">
        <v>223</v>
      </c>
      <c r="S976" s="263" t="s">
        <v>3105</v>
      </c>
      <c r="T976" t="s">
        <v>313</v>
      </c>
      <c r="U976" t="s">
        <v>283</v>
      </c>
      <c r="V976">
        <v>0</v>
      </c>
      <c r="W976">
        <v>0</v>
      </c>
      <c r="X976">
        <v>0</v>
      </c>
      <c r="Y976">
        <v>0</v>
      </c>
      <c r="Z976">
        <v>0</v>
      </c>
      <c r="AA976">
        <v>0</v>
      </c>
      <c r="AB976">
        <v>0</v>
      </c>
      <c r="AC976">
        <v>0</v>
      </c>
      <c r="AD976">
        <v>0</v>
      </c>
      <c r="AE976">
        <v>0</v>
      </c>
      <c r="AF976">
        <v>0</v>
      </c>
      <c r="AG976">
        <v>0</v>
      </c>
      <c r="AH976">
        <v>0</v>
      </c>
      <c r="AI976">
        <v>0</v>
      </c>
      <c r="AJ976">
        <v>0</v>
      </c>
      <c r="AK976">
        <v>1</v>
      </c>
      <c r="AL976">
        <v>0</v>
      </c>
      <c r="AM976">
        <v>0</v>
      </c>
      <c r="AN976">
        <v>0</v>
      </c>
      <c r="AO976">
        <v>0</v>
      </c>
      <c r="AP976">
        <v>0</v>
      </c>
      <c r="AQ976">
        <v>0</v>
      </c>
      <c r="AR976">
        <v>0</v>
      </c>
      <c r="AS976">
        <v>0</v>
      </c>
      <c r="AT976">
        <v>0</v>
      </c>
      <c r="AU976">
        <v>0</v>
      </c>
      <c r="AV976">
        <v>0</v>
      </c>
      <c r="AW976">
        <v>0</v>
      </c>
      <c r="AX976" s="141">
        <f>COUNTIF(V976:AW976,"&lt;&gt;0")</f>
        <v>1</v>
      </c>
      <c r="AY976" s="141">
        <f>COUNTIF(V976:AL976,"&lt;&gt;0")</f>
        <v>1</v>
      </c>
      <c r="AZ976">
        <f>COUNTIF(V976:AC976,"&lt;&gt;0")</f>
        <v>0</v>
      </c>
      <c r="BA976">
        <f>COUNTIF(AD976:AI976,"&lt;&gt;0")</f>
        <v>0</v>
      </c>
      <c r="BB976">
        <f>COUNTIF(AJ976:AL976,"&lt;&gt;0")</f>
        <v>1</v>
      </c>
      <c r="BC976">
        <f>COUNTIF(AS976:AW976,"&lt;&gt;0")</f>
        <v>0</v>
      </c>
      <c r="BD976">
        <f>COUNTIF(AM976:AR976,"&lt;&gt;0")</f>
        <v>0</v>
      </c>
      <c r="BE976" t="str">
        <f t="array" ref="BE976">IF(AY976=1,INDEX($V$7:$AL$7,MATCH(TRUE,INDEX($V976:$AW976&lt;&gt;0,),0)),IF(AY976=0,INDEX($AM$7:$AW$7,MATCH(1,$AM976:$AW976,0)),IF(BF976="Multiple strategies","mixed drivers",IF(BF976="Supply chain","multiple supply","multiple silviculture"))))</f>
        <v>technologies/design switch</v>
      </c>
      <c r="BF976" s="2" t="str" cm="1">
        <f t="array" ref="BF976">IF(COUNTIF(AZ976:BB976,"&lt;&gt;0")=1,INDEX($V$4:$AW$4,MATCH(TRUE,INDEX($V976:$AW976&lt;&gt;0,),0)),IF(COUNTIF(AZ976:BB976,"&lt;&gt;0")=0,INDEX($AM$4:$AW$4,MATCH(1,$AM976:$AW976,0)),"Multiple strategies"))</f>
        <v>Technology</v>
      </c>
      <c r="BG976" s="1" t="s">
        <v>229</v>
      </c>
      <c r="BH976" t="s">
        <v>277</v>
      </c>
      <c r="BI976" s="264" t="s">
        <v>3106</v>
      </c>
      <c r="BJ976" t="s">
        <v>278</v>
      </c>
      <c r="BK976">
        <v>0</v>
      </c>
      <c r="BL976">
        <v>34.69360784543791</v>
      </c>
      <c r="BN976">
        <f>BL976-BK976</f>
        <v>34.69360784543791</v>
      </c>
      <c r="BO976">
        <f>BN976*tC_to_m3</f>
        <v>150.6452793983409</v>
      </c>
      <c r="BP976" t="s">
        <v>232</v>
      </c>
      <c r="BQ976" s="337" t="s">
        <v>3107</v>
      </c>
      <c r="BR976" t="s">
        <v>279</v>
      </c>
      <c r="BS976">
        <v>337.64037255698202</v>
      </c>
      <c r="BT976">
        <v>739.24076084648095</v>
      </c>
      <c r="BU976" s="144">
        <f>IFERROR(BT976/BS976,"")</f>
        <v>2.1894323692636095</v>
      </c>
      <c r="BV976">
        <f>BT976-BS976</f>
        <v>401.60038828949894</v>
      </c>
      <c r="BX976">
        <f>BV976</f>
        <v>401.60038828949894</v>
      </c>
      <c r="BY976">
        <f>IFERROR(BX976/BO976,"")</f>
        <v>2.6658677251185203</v>
      </c>
      <c r="BZ976">
        <v>0</v>
      </c>
      <c r="CA976">
        <v>0</v>
      </c>
      <c r="CB976">
        <v>0</v>
      </c>
      <c r="CC976">
        <v>0</v>
      </c>
      <c r="CD976">
        <v>0</v>
      </c>
      <c r="CE976">
        <v>0</v>
      </c>
      <c r="CF976">
        <v>0</v>
      </c>
      <c r="CG976">
        <v>0</v>
      </c>
      <c r="CH976">
        <v>0</v>
      </c>
      <c r="CI976">
        <v>0</v>
      </c>
      <c r="CJ976">
        <v>0</v>
      </c>
      <c r="CK976">
        <v>0</v>
      </c>
      <c r="CL976">
        <v>0</v>
      </c>
      <c r="CM976">
        <v>0</v>
      </c>
      <c r="CN976" t="str">
        <f>IF($BL976&lt;$BK976,"refNeedCorrection","refOK")</f>
        <v>refOK</v>
      </c>
      <c r="CO976">
        <f>IF($CN976="refOK",$BK976,$BL976)</f>
        <v>0</v>
      </c>
      <c r="CP976">
        <f>IF($CN976="refOK",$BL976,$BK976)</f>
        <v>34.69360784543791</v>
      </c>
      <c r="CQ976">
        <f>IF($CN976="refOK",$BO976,-$BO976)</f>
        <v>150.6452793983409</v>
      </c>
      <c r="CR976">
        <f>IF($CN976="refOK",$BS976,$BT976)*IF($BP976="Emissions positive",-1,1)</f>
        <v>337.64037255698202</v>
      </c>
      <c r="CS976">
        <f>IF($CN976="refOK",$BT976,$BS976)*IF($BP976="Emissions positive",-1,1)</f>
        <v>739.24076084648095</v>
      </c>
      <c r="CT976">
        <f>IF($CN976="refNeedCorrection",-BX976,BX976)*IF($BP976="Emissions positive",-1,1)</f>
        <v>401.60038828949894</v>
      </c>
      <c r="CU976">
        <f>IFERROR(CT976/CQ976,"")</f>
        <v>2.6658677251185203</v>
      </c>
      <c r="CV976" s="2">
        <f>IFERROR((CS976-CR976)/ABS(CR976),"")</f>
        <v>1.1894323692636095</v>
      </c>
      <c r="CW976" s="1" t="s">
        <v>234</v>
      </c>
      <c r="CX976" t="str">
        <f>IF(OR($CW976="prd",$CW976="std",$CW976="cit"),"loc",IF(OR($CW976="eur",$CW976="reg",$CW976="coy"),"reg",$CW976))</f>
        <v>loc</v>
      </c>
      <c r="CY976" t="s">
        <v>280</v>
      </c>
      <c r="DB976">
        <v>200</v>
      </c>
      <c r="DC976" t="str">
        <f>IF(DB976=0,"0",IF(AND(DB976&gt;=1,DB976&lt;=30),"1-30",IF(AND(DB976&gt;30,DB976&lt;=70),"31-70",IF(AND(DB976&gt;70,DB976&lt;=100),"71-100",IF(DB976&gt;100,"+100")))))</f>
        <v>+100</v>
      </c>
      <c r="DD976">
        <v>0</v>
      </c>
      <c r="DE976">
        <v>0</v>
      </c>
      <c r="DF976">
        <v>0</v>
      </c>
      <c r="DG976">
        <v>1</v>
      </c>
      <c r="DI976">
        <f>SUM(DD976:DG976)</f>
        <v>1</v>
      </c>
      <c r="DJ976" t="str">
        <f>IF(DI976=1,INDEX($DD$7:$DG$7,MATCH(1,$DD976:$DG976,0)),"mixedProduct")</f>
        <v>TimberInput</v>
      </c>
      <c r="DK976">
        <f>IF(DD976=1,DK$7,0)</f>
        <v>0</v>
      </c>
      <c r="DL976">
        <f>IF(DE976=1,DL$7,0)</f>
        <v>0</v>
      </c>
      <c r="DM976">
        <f>IF(DF976=1,DM$7,0)</f>
        <v>0</v>
      </c>
      <c r="DN976" t="str">
        <f>IF(DG976=1,DN$7,0)</f>
        <v>Timber</v>
      </c>
      <c r="DO976">
        <v>0</v>
      </c>
      <c r="DP976">
        <v>1</v>
      </c>
      <c r="DQ976">
        <v>0</v>
      </c>
      <c r="DR976" t="s">
        <v>281</v>
      </c>
      <c r="DS976">
        <v>0</v>
      </c>
      <c r="DT976">
        <f>SUM(DO976:DP976)</f>
        <v>1</v>
      </c>
      <c r="DU976" s="143" t="str">
        <f>IF(DO976=1,"self-calculated DF",IF(DP976=1,"external DF used","explicit C balance"))</f>
        <v>external DF used</v>
      </c>
      <c r="DV976">
        <v>0</v>
      </c>
      <c r="DW976">
        <v>1</v>
      </c>
      <c r="DX976">
        <v>1</v>
      </c>
      <c r="DY976">
        <v>1</v>
      </c>
      <c r="DZ976">
        <v>1</v>
      </c>
      <c r="EA976" s="143">
        <v>0</v>
      </c>
      <c r="EB976">
        <v>1</v>
      </c>
      <c r="EC976">
        <v>1</v>
      </c>
      <c r="ED976">
        <v>0</v>
      </c>
      <c r="EE976">
        <v>1</v>
      </c>
      <c r="EF976">
        <v>1</v>
      </c>
      <c r="EG976">
        <v>1</v>
      </c>
      <c r="EH976">
        <v>0</v>
      </c>
      <c r="EI976" s="2">
        <v>0</v>
      </c>
      <c r="EK976" t="str">
        <f>IF(AND(AND(AND(OR($DX976=1,$DW976=1),OR($EC976=1,$EA976=1)),SUM($DV976:$DZ976,$EF976)&gt;=4),SUM($EA976:$EE976)&gt;=2),"Whole sector","")</f>
        <v>Whole sector</v>
      </c>
      <c r="EL976" t="str">
        <f>IF(AND(AND(OR($DX976=1,$DW976=1),AND($EC976=0,$EA976=0)),SUM($DV976:$DZ976,$EF976)&gt;=4),"Ecosystem approach","")</f>
        <v/>
      </c>
      <c r="EM976" s="2" t="str">
        <f>IF(AND(AND(AND($DX976=0,$DW976=0),OR($EC976=1,$EA976=1)),SUM($EB976:$EE976)&gt;=2),"Technology approach","")</f>
        <v/>
      </c>
      <c r="EP976" t="str">
        <f>IF(ISNUMBER(BU976),IF(ABS(BU976-[1]QC_indicators!$B$2)&gt;3*[1]QC_indicators!$C$2,"C ratio",IF(ISNUMBER(BY976),IF(ABS(BY976-[1]QC_indicators!$B$1)&gt;3*[1]QC_indicators!$C$1,"DF","no"))),IF(ISNUMBER(BY976),IF(ABS(BY976-[1]QC_indicators!$B$1)&gt;3*[1]QC_indicators!$C$1,"DF","no")))</f>
        <v>no</v>
      </c>
      <c r="EQ976" t="s">
        <v>286</v>
      </c>
      <c r="ET976" s="264" t="s">
        <v>3273</v>
      </c>
    </row>
    <row r="977" spans="1:150" ht="15" customHeight="1">
      <c r="D977" t="s">
        <v>838</v>
      </c>
      <c r="E977" t="s">
        <v>839</v>
      </c>
      <c r="G977" t="s">
        <v>840</v>
      </c>
      <c r="I977">
        <v>2005</v>
      </c>
      <c r="K977" t="s">
        <v>841</v>
      </c>
      <c r="M977" t="str">
        <f>LEFT($D977,FIND(",",$D977)-1)&amp;"_"&amp;I977&amp;L977</f>
        <v>Knight_2005</v>
      </c>
      <c r="N977" t="s">
        <v>222</v>
      </c>
      <c r="O977" t="s">
        <v>223</v>
      </c>
      <c r="Q977" t="s">
        <v>256</v>
      </c>
      <c r="R977" s="255" t="s">
        <v>225</v>
      </c>
      <c r="S977" s="1" t="s">
        <v>842</v>
      </c>
      <c r="T977" t="s">
        <v>843</v>
      </c>
      <c r="U977" s="264" t="s">
        <v>844</v>
      </c>
      <c r="V977">
        <v>0</v>
      </c>
      <c r="W977">
        <v>0</v>
      </c>
      <c r="X977">
        <v>0</v>
      </c>
      <c r="Y977">
        <v>0</v>
      </c>
      <c r="Z977">
        <v>0</v>
      </c>
      <c r="AA977">
        <v>0</v>
      </c>
      <c r="AB977">
        <v>0</v>
      </c>
      <c r="AC977">
        <v>0</v>
      </c>
      <c r="AD977">
        <v>0</v>
      </c>
      <c r="AE977">
        <v>0</v>
      </c>
      <c r="AF977">
        <v>0</v>
      </c>
      <c r="AG977">
        <v>0</v>
      </c>
      <c r="AH977">
        <v>0</v>
      </c>
      <c r="AI977">
        <v>0</v>
      </c>
      <c r="AJ977">
        <v>0</v>
      </c>
      <c r="AK977">
        <v>1</v>
      </c>
      <c r="AL977">
        <v>0</v>
      </c>
      <c r="AM977">
        <v>0</v>
      </c>
      <c r="AN977">
        <v>0</v>
      </c>
      <c r="AO977">
        <v>0</v>
      </c>
      <c r="AP977">
        <v>0</v>
      </c>
      <c r="AQ977">
        <v>0</v>
      </c>
      <c r="AR977">
        <v>0</v>
      </c>
      <c r="AS977">
        <v>0</v>
      </c>
      <c r="AT977">
        <v>0</v>
      </c>
      <c r="AU977">
        <v>0</v>
      </c>
      <c r="AV977">
        <v>0</v>
      </c>
      <c r="AW977">
        <v>0</v>
      </c>
      <c r="AX977" s="141">
        <f>COUNTIF(V977:AW977,"&lt;&gt;0")</f>
        <v>1</v>
      </c>
      <c r="AY977" s="141">
        <f>COUNTIF(V977:AL977,"&lt;&gt;0")</f>
        <v>1</v>
      </c>
      <c r="AZ977">
        <f>COUNTIF(V977:AC977,"&lt;&gt;0")</f>
        <v>0</v>
      </c>
      <c r="BA977">
        <f>COUNTIF(AD977:AI977,"&lt;&gt;0")</f>
        <v>0</v>
      </c>
      <c r="BB977">
        <f>COUNTIF(AJ977:AL977,"&lt;&gt;0")</f>
        <v>1</v>
      </c>
      <c r="BC977">
        <f>COUNTIF(AS977:AW977,"&lt;&gt;0")</f>
        <v>0</v>
      </c>
      <c r="BD977">
        <f>COUNTIF(AM977:AR977,"&lt;&gt;0")</f>
        <v>0</v>
      </c>
      <c r="BE977" t="str">
        <f t="array" ref="BE977">IF(AY977=1,INDEX($V$7:$AL$7,MATCH(TRUE,INDEX($V977:$AW977&lt;&gt;0,),0)),IF(AY977=0,INDEX($AM$7:$AW$7,MATCH(1,$AM977:$AW977,0)),IF(BF977="Multiple strategies","mixed drivers",IF(BF977="Supply chain","multiple supply","multiple silviculture"))))</f>
        <v>technologies/design switch</v>
      </c>
      <c r="BF977" s="2" t="str" cm="1">
        <f t="array" ref="BF977">IF(COUNTIF(AZ977:BB977,"&lt;&gt;0")=1,INDEX($V$4:$AW$4,MATCH(TRUE,INDEX($V977:$AW977&lt;&gt;0,),0)),IF(COUNTIF(AZ977:BB977,"&lt;&gt;0")=0,INDEX($AM$4:$AW$4,MATCH(1,$AM977:$AW977,0)),"Multiple strategies"))</f>
        <v>Technology</v>
      </c>
      <c r="BG977" s="263" t="s">
        <v>229</v>
      </c>
      <c r="BH977" t="s">
        <v>845</v>
      </c>
      <c r="BI977" s="260" t="s">
        <v>3369</v>
      </c>
      <c r="BJ977" s="264" t="s">
        <v>846</v>
      </c>
      <c r="BK977">
        <v>0</v>
      </c>
      <c r="BL977" s="264">
        <v>55</v>
      </c>
      <c r="BM977" s="143"/>
      <c r="BN977">
        <f>BL977-BK977</f>
        <v>55</v>
      </c>
      <c r="BO977" s="264">
        <f>BN977*0.453592*kg_to_m3</f>
        <v>5.0913387755102041E-2</v>
      </c>
      <c r="BP977" t="s">
        <v>232</v>
      </c>
      <c r="BQ977" s="260" t="s">
        <v>972</v>
      </c>
      <c r="BR977" t="s">
        <v>847</v>
      </c>
      <c r="BS977" s="264">
        <v>-141</v>
      </c>
      <c r="BT977">
        <v>-5.25</v>
      </c>
      <c r="BU977" s="144">
        <f>IFERROR(BT977/BS977,"")</f>
        <v>3.7234042553191488E-2</v>
      </c>
      <c r="BV977">
        <f>BT977-BS977</f>
        <v>135.75</v>
      </c>
      <c r="BX977">
        <f>BV977/1000</f>
        <v>0.13575000000000001</v>
      </c>
      <c r="BY977">
        <f>IFERROR(BX977/BO977,"")</f>
        <v>2.666292815810444</v>
      </c>
      <c r="BZ977" s="143">
        <v>0</v>
      </c>
      <c r="CA977" s="143">
        <v>0</v>
      </c>
      <c r="CB977" s="143">
        <v>0</v>
      </c>
      <c r="CC977" s="143">
        <v>0</v>
      </c>
      <c r="CD977" s="143">
        <v>0</v>
      </c>
      <c r="CE977" s="143">
        <v>0</v>
      </c>
      <c r="CF977" s="143">
        <v>0</v>
      </c>
      <c r="CG977" s="143">
        <v>0</v>
      </c>
      <c r="CH977" s="143">
        <v>0</v>
      </c>
      <c r="CI977" s="143">
        <v>0</v>
      </c>
      <c r="CJ977" s="143">
        <v>0</v>
      </c>
      <c r="CK977" s="143">
        <v>0</v>
      </c>
      <c r="CL977" s="143">
        <v>0</v>
      </c>
      <c r="CM977">
        <v>0</v>
      </c>
      <c r="CN977" t="str">
        <f>IF($BL977&lt;$BK977,"refNeedCorrection","refOK")</f>
        <v>refOK</v>
      </c>
      <c r="CO977">
        <f>IF($CN977="refOK",$BK977,$BL977)</f>
        <v>0</v>
      </c>
      <c r="CP977">
        <f>IF($CN977="refOK",$BL977,$BK977)</f>
        <v>55</v>
      </c>
      <c r="CQ977">
        <f>IF($CN977="refOK",$BO977,-$BO977)</f>
        <v>5.0913387755102041E-2</v>
      </c>
      <c r="CR977">
        <f>IF($CN977="refOK",$BS977,$BT977)*IF($BP977="Emissions positive",-1,1)</f>
        <v>-141</v>
      </c>
      <c r="CS977">
        <f>IF($CN977="refOK",$BT977,$BS977)*IF($BP977="Emissions positive",-1,1)</f>
        <v>-5.25</v>
      </c>
      <c r="CT977">
        <f>IF($CN977="refNeedCorrection",-BX977,BX977)*IF($BP977="Emissions positive",-1,1)</f>
        <v>0.13575000000000001</v>
      </c>
      <c r="CU977">
        <f>IFERROR(CT977/CQ977,"")</f>
        <v>2.666292815810444</v>
      </c>
      <c r="CV977" s="2">
        <f>IFERROR((CS977-CR977)/ABS(CR977),"")</f>
        <v>0.96276595744680848</v>
      </c>
      <c r="CW977" s="1" t="s">
        <v>263</v>
      </c>
      <c r="CX977" t="str">
        <f>IF(OR($CW977="prd",$CW977="std",$CW977="cit"),"loc",IF(OR($CW977="eur",$CW977="reg",$CW977="coy"),"reg",$CW977))</f>
        <v>loc</v>
      </c>
      <c r="CY977" t="s">
        <v>428</v>
      </c>
      <c r="DA977" s="143"/>
      <c r="DB977" s="264">
        <v>0</v>
      </c>
      <c r="DC977" t="str">
        <f>IF(DB977=0,"0",IF(AND(DB977&gt;=1,DB977&lt;=30),"1-30",IF(AND(DB977&gt;30,DB977&lt;=70),"31-70",IF(AND(DB977&gt;70,DB977&lt;=100),"71-100",IF(DB977&gt;100,"+100")))))</f>
        <v>0</v>
      </c>
      <c r="DD977">
        <v>0</v>
      </c>
      <c r="DE977">
        <v>0</v>
      </c>
      <c r="DF977">
        <v>0</v>
      </c>
      <c r="DG977">
        <v>1</v>
      </c>
      <c r="DI977">
        <f>SUM(DD977:DG977)</f>
        <v>1</v>
      </c>
      <c r="DJ977" t="str">
        <f>IF(DI977=1,INDEX($DD$7:$DG$7,MATCH(1,$DD977:$DG977,0)),"mixedProduct")</f>
        <v>TimberInput</v>
      </c>
      <c r="DK977">
        <f>IF(DD977=1,DK$7,0)</f>
        <v>0</v>
      </c>
      <c r="DL977">
        <f>IF(DE977=1,DL$7,0)</f>
        <v>0</v>
      </c>
      <c r="DM977">
        <f>IF(DF977=1,DM$7,0)</f>
        <v>0</v>
      </c>
      <c r="DN977" t="str">
        <f>IF(DG977=1,DN$7,0)</f>
        <v>Timber</v>
      </c>
      <c r="DO977">
        <v>0</v>
      </c>
      <c r="DP977" s="143">
        <v>0</v>
      </c>
      <c r="DQ977" s="143">
        <v>0</v>
      </c>
      <c r="DR977">
        <v>0</v>
      </c>
      <c r="DS977" s="143">
        <v>0</v>
      </c>
      <c r="DT977">
        <f>SUM(DO977:DP977)</f>
        <v>0</v>
      </c>
      <c r="DU977" s="143" t="str">
        <f>IF(DO977=1,"self-calculated DF",IF(DP977=1,"external DF used","explicit C balance"))</f>
        <v>explicit C balance</v>
      </c>
      <c r="DV977" s="143">
        <v>0</v>
      </c>
      <c r="DW977" s="143">
        <v>0</v>
      </c>
      <c r="DX977" s="143">
        <v>0</v>
      </c>
      <c r="DY977" s="143">
        <v>0</v>
      </c>
      <c r="DZ977">
        <v>0</v>
      </c>
      <c r="EA977" s="143">
        <v>0</v>
      </c>
      <c r="EB977" s="143">
        <v>0</v>
      </c>
      <c r="EC977" s="264">
        <v>1</v>
      </c>
      <c r="ED977" s="143">
        <v>0</v>
      </c>
      <c r="EE977">
        <v>0</v>
      </c>
      <c r="EF977">
        <v>0</v>
      </c>
      <c r="EG977" s="143">
        <v>0</v>
      </c>
      <c r="EH977" s="143">
        <v>0</v>
      </c>
      <c r="EI977" s="2">
        <v>0</v>
      </c>
      <c r="EK977" t="str">
        <f>IF(AND(AND(AND(OR($DX977=1,$DW977=1),OR($EC977=1,$EA977=1)),SUM($DV977:$DZ977,$EF977)&gt;=4),SUM($EA977:$EE977)&gt;=2),"Whole sector","")</f>
        <v/>
      </c>
      <c r="EL977" t="str">
        <f>IF(AND(AND(OR($DX977=1,$DW977=1),AND($EC977=0,$EA977=0)),SUM($DV977:$DZ977,$EF977)&gt;=4),"Ecosystem approach","")</f>
        <v/>
      </c>
      <c r="EM977" s="2" t="str">
        <f>IF(AND(AND(AND($DX977=0,$DW977=0),OR($EC977=1,$EA977=1)),SUM($EB977:$EE977)&gt;=2),"Technology approach","")</f>
        <v/>
      </c>
      <c r="EP977" t="str">
        <f>IF(ISNUMBER(BU977),IF(ABS(BU977-[4]QC_indicators!$B$2)&gt;3*[4]QC_indicators!$C$2,"C ratio",IF(ISNUMBER(BY977),IF(ABS(BY977-[4]QC_indicators!$B$1)&gt;3*[4]QC_indicators!$C$1,"DF","no"))),IF(ISNUMBER(BY977),IF(ABS(BY977-[4]QC_indicators!$B$1)&gt;3*[4]QC_indicators!$C$1,"DF","no")))</f>
        <v>no</v>
      </c>
      <c r="ER977" s="149" t="s">
        <v>349</v>
      </c>
      <c r="ET977" s="264" t="s">
        <v>3273</v>
      </c>
    </row>
    <row r="978" spans="1:150" ht="15" customHeight="1">
      <c r="A978" s="1" t="s">
        <v>562</v>
      </c>
      <c r="B978" t="s">
        <v>544</v>
      </c>
      <c r="C978" t="s">
        <v>1593</v>
      </c>
      <c r="D978" t="s">
        <v>1594</v>
      </c>
      <c r="E978" t="s">
        <v>1595</v>
      </c>
      <c r="F978" t="s">
        <v>1596</v>
      </c>
      <c r="G978" t="s">
        <v>567</v>
      </c>
      <c r="H978" t="s">
        <v>254</v>
      </c>
      <c r="I978">
        <v>2019</v>
      </c>
      <c r="J978">
        <v>15</v>
      </c>
      <c r="K978" t="s">
        <v>1597</v>
      </c>
      <c r="M978" t="str">
        <f>LEFT($D978,FIND(",",$D978)-1)&amp;"_"&amp;I978&amp;L978</f>
        <v>Geng_2019</v>
      </c>
      <c r="N978" t="s">
        <v>222</v>
      </c>
      <c r="O978" s="181" t="s">
        <v>225</v>
      </c>
      <c r="Q978" s="264" t="s">
        <v>256</v>
      </c>
      <c r="R978" s="269" t="s">
        <v>1154</v>
      </c>
      <c r="S978" s="1" t="s">
        <v>1598</v>
      </c>
      <c r="T978" t="s">
        <v>1616</v>
      </c>
      <c r="V978">
        <v>0</v>
      </c>
      <c r="W978">
        <v>0</v>
      </c>
      <c r="X978">
        <v>0</v>
      </c>
      <c r="Y978">
        <v>0</v>
      </c>
      <c r="Z978">
        <v>0</v>
      </c>
      <c r="AA978">
        <v>0</v>
      </c>
      <c r="AB978">
        <v>0</v>
      </c>
      <c r="AC978">
        <v>0</v>
      </c>
      <c r="AD978">
        <v>0</v>
      </c>
      <c r="AE978">
        <v>0</v>
      </c>
      <c r="AF978">
        <v>0</v>
      </c>
      <c r="AG978">
        <v>0</v>
      </c>
      <c r="AH978">
        <v>0</v>
      </c>
      <c r="AI978">
        <v>0</v>
      </c>
      <c r="AJ978">
        <v>0</v>
      </c>
      <c r="AK978">
        <v>1</v>
      </c>
      <c r="AL978">
        <v>0</v>
      </c>
      <c r="AM978">
        <v>0</v>
      </c>
      <c r="AN978">
        <v>0</v>
      </c>
      <c r="AO978">
        <v>0</v>
      </c>
      <c r="AP978">
        <v>0</v>
      </c>
      <c r="AQ978">
        <v>0</v>
      </c>
      <c r="AR978">
        <v>0</v>
      </c>
      <c r="AS978">
        <v>0</v>
      </c>
      <c r="AT978">
        <v>0</v>
      </c>
      <c r="AU978">
        <v>0</v>
      </c>
      <c r="AV978">
        <v>0</v>
      </c>
      <c r="AW978">
        <v>0</v>
      </c>
      <c r="AX978" s="141">
        <f>COUNTIF(V978:AW978,"&lt;&gt;0")</f>
        <v>1</v>
      </c>
      <c r="AY978" s="141">
        <f>COUNTIF(V978:AL978,"&lt;&gt;0")</f>
        <v>1</v>
      </c>
      <c r="AZ978">
        <f>COUNTIF(V978:AC978,"&lt;&gt;0")</f>
        <v>0</v>
      </c>
      <c r="BA978">
        <f>COUNTIF(AD978:AI978,"&lt;&gt;0")</f>
        <v>0</v>
      </c>
      <c r="BB978">
        <f>COUNTIF(AJ978:AL978,"&lt;&gt;0")</f>
        <v>1</v>
      </c>
      <c r="BC978">
        <f>COUNTIF(AS978:AW978,"&lt;&gt;0")</f>
        <v>0</v>
      </c>
      <c r="BD978">
        <f>COUNTIF(AM978:AR978,"&lt;&gt;0")</f>
        <v>0</v>
      </c>
      <c r="BE978" t="str" cm="1">
        <f t="array" ref="BE978">IF(AY978=1,INDEX($V$7:$AL$7,MATCH(TRUE,INDEX($V978:$AW978&lt;&gt;0,),0)),IF(AY978=0,INDEX($AM$7:$AW$7,MATCH(1,$AM978:$AW978,0)),IF(BF978="Multiple strategies","mixed drivers",IF(BF978="Supply chain","multiple supply","multiple silviculture"))))</f>
        <v>technologies/design switch</v>
      </c>
      <c r="BF978" s="2" t="str" cm="1">
        <f t="array" ref="BF978">IF(COUNTIF(AZ978:BB978,"&lt;&gt;0")=1,INDEX($V$4:$AW$4,MATCH(TRUE,INDEX($V978:$AW978&lt;&gt;0,),0)),IF(COUNTIF(AZ978:BB978,"&lt;&gt;0")=0,INDEX($AM$4:$AW$4,MATCH(1,$AM978:$AW978,0)),"Multiple strategies"))</f>
        <v>Technology</v>
      </c>
      <c r="BG978" s="1" t="s">
        <v>229</v>
      </c>
      <c r="BH978" t="s">
        <v>1600</v>
      </c>
      <c r="BJ978" t="s">
        <v>261</v>
      </c>
      <c r="BK978">
        <v>34</v>
      </c>
      <c r="BL978">
        <v>66</v>
      </c>
      <c r="BM978">
        <f>BL978/BK978</f>
        <v>1.9411764705882353</v>
      </c>
      <c r="BN978">
        <f>BL978-BK978</f>
        <v>32</v>
      </c>
      <c r="BO978">
        <f>BN978*kg_to_m3</f>
        <v>6.5306122448979598E-2</v>
      </c>
      <c r="BP978" t="s">
        <v>232</v>
      </c>
      <c r="BR978" t="s">
        <v>1609</v>
      </c>
      <c r="BU978" s="144" t="str">
        <f>IFERROR(BT978/BS978,"")</f>
        <v/>
      </c>
      <c r="BV978">
        <v>0.17599999999999999</v>
      </c>
      <c r="BX978">
        <f>BV978</f>
        <v>0.17599999999999999</v>
      </c>
      <c r="BY978">
        <f>IFERROR(BX978/BO978,"")</f>
        <v>2.6949999999999994</v>
      </c>
      <c r="BZ978">
        <v>0</v>
      </c>
      <c r="CA978">
        <v>0</v>
      </c>
      <c r="CB978">
        <v>0</v>
      </c>
      <c r="CC978">
        <v>0</v>
      </c>
      <c r="CD978">
        <v>0</v>
      </c>
      <c r="CE978">
        <v>0</v>
      </c>
      <c r="CF978">
        <v>0</v>
      </c>
      <c r="CG978">
        <v>0</v>
      </c>
      <c r="CH978">
        <v>0</v>
      </c>
      <c r="CI978">
        <v>0</v>
      </c>
      <c r="CJ978">
        <v>0</v>
      </c>
      <c r="CK978">
        <v>0</v>
      </c>
      <c r="CL978">
        <v>0</v>
      </c>
      <c r="CM978">
        <v>0</v>
      </c>
      <c r="CN978" t="str">
        <f>IF(BL978&lt;BK978,"refNeedCorrection","refOK")</f>
        <v>refOK</v>
      </c>
      <c r="CO978">
        <f>IF($CN978="refOK",$BK978,$BL978)</f>
        <v>34</v>
      </c>
      <c r="CP978">
        <f>IF($CN978="refOK",$BL978,$BK978)</f>
        <v>66</v>
      </c>
      <c r="CQ978">
        <f>IF($CN978="refOK",$BO978,-$BO978)</f>
        <v>6.5306122448979598E-2</v>
      </c>
      <c r="CR978">
        <f>IF($CN978="refOK",$BS978,$BT978)*IF($BP978="Emissions positive",-1,1)</f>
        <v>0</v>
      </c>
      <c r="CS978">
        <f>IF($CN978="refOK",$BT978,$BS978)*IF($BP978="Emissions positive",-1,1)</f>
        <v>0</v>
      </c>
      <c r="CT978">
        <f>IF($CN978="refNeedCorrection",-BX978,BX978)*IF($BP978="Emissions positive",-1,1)</f>
        <v>0.17599999999999999</v>
      </c>
      <c r="CU978">
        <f>IFERROR(CT978/CQ978,"")</f>
        <v>2.6949999999999994</v>
      </c>
      <c r="CV978" s="2" t="str">
        <f>IFERROR((CS978-CR978)/ABS(CR978),"")</f>
        <v/>
      </c>
      <c r="CW978" s="1" t="s">
        <v>1203</v>
      </c>
      <c r="CX978" s="264" t="str">
        <f>IF(OR($CW978="prd",$CW978="std",$CW978="cit"),"loc",IF(OR($CW978="eur",$CW978="reg",$CW978="coy"),"reg",$CW978))</f>
        <v>reg</v>
      </c>
      <c r="CY978" t="s">
        <v>690</v>
      </c>
      <c r="CZ978">
        <v>2019</v>
      </c>
      <c r="DB978">
        <v>0</v>
      </c>
      <c r="DC978" t="str">
        <f>IF(DB978=0,"0",IF(AND(DB978&gt;=1,DB978&lt;=30),"1-30",IF(AND(DB978&gt;30,DB978&lt;=70),"31-70",IF(AND(DB978&gt;70,DB978&lt;=100),"71-100",IF(DB978&gt;100,"+100")))))</f>
        <v>0</v>
      </c>
      <c r="DD978">
        <v>0</v>
      </c>
      <c r="DE978">
        <v>0</v>
      </c>
      <c r="DF978">
        <v>0</v>
      </c>
      <c r="DG978">
        <v>1</v>
      </c>
      <c r="DI978">
        <f>SUM(DD978:DG978)</f>
        <v>1</v>
      </c>
      <c r="DJ978" t="str">
        <f>IF(DI978=1,INDEX($DD$7:$DG$7,MATCH(1,$DD978:$DG978,0)),"mixedProduct")</f>
        <v>TimberInput</v>
      </c>
      <c r="DK978">
        <f>IF(DD978=1,DK$7,0)</f>
        <v>0</v>
      </c>
      <c r="DL978">
        <f>IF(DE978=1,DL$7,0)</f>
        <v>0</v>
      </c>
      <c r="DM978">
        <f>IF(DF978=1,DM$7,0)</f>
        <v>0</v>
      </c>
      <c r="DN978" t="str">
        <f>IF(DG978=1,DN$7,0)</f>
        <v>Timber</v>
      </c>
      <c r="DO978">
        <v>1</v>
      </c>
      <c r="DP978">
        <v>0</v>
      </c>
      <c r="DQ978">
        <v>0</v>
      </c>
      <c r="DR978">
        <v>0</v>
      </c>
      <c r="DS978">
        <v>0</v>
      </c>
      <c r="DT978">
        <f>SUM(DO978:DP978)</f>
        <v>1</v>
      </c>
      <c r="DU978" s="143" t="str">
        <f>IF(DO978=1,"self-calculated DF",IF(DP978=1,"external DF used","explicit C balance"))</f>
        <v>self-calculated DF</v>
      </c>
      <c r="DV978">
        <v>0</v>
      </c>
      <c r="DW978">
        <v>0</v>
      </c>
      <c r="DX978">
        <v>0</v>
      </c>
      <c r="DY978">
        <v>0</v>
      </c>
      <c r="DZ978">
        <v>0</v>
      </c>
      <c r="EA978" s="143">
        <v>1</v>
      </c>
      <c r="EB978">
        <v>0</v>
      </c>
      <c r="EC978">
        <v>1</v>
      </c>
      <c r="ED978">
        <v>0</v>
      </c>
      <c r="EE978">
        <v>0</v>
      </c>
      <c r="EF978">
        <v>0</v>
      </c>
      <c r="EG978">
        <v>0</v>
      </c>
      <c r="EH978">
        <v>0</v>
      </c>
      <c r="EI978" s="2">
        <v>0</v>
      </c>
      <c r="EK978" t="str">
        <f>IF(AND(AND(AND(OR($DX978=1,$DW978=1),OR($EC978=1,$EA978=1)),SUM($DV978:$DZ978,$EF978)&gt;=4),SUM($EA978:$EE978)&gt;=2),"Whole sector","")</f>
        <v/>
      </c>
      <c r="EL978" t="str">
        <f>IF(AND(AND(OR($DX978=1,$DW978=1),AND($EC978=0,$EA978=0)),SUM($DV978:$DZ978,$EF978)&gt;=4),"Ecosystem approach","")</f>
        <v/>
      </c>
      <c r="EM978" s="2" t="str">
        <f>IF(AND(AND(AND($DX978=0,$DW978=0),OR($EC978=1,$EA978=1)),SUM($EB978:$EE978)&gt;=2),"Technology approach","")</f>
        <v/>
      </c>
      <c r="EN978" t="s">
        <v>1603</v>
      </c>
      <c r="EP978" t="str">
        <f>IF(ISNUMBER(BU978),IF(ABS(BU978-[3]QC_indicators!$B$2)&gt;3*[3]QC_indicators!$C$2,"C ratio",IF(ISNUMBER(BY978),IF(ABS(BY978-[3]QC_indicators!$B$1)&gt;3*[3]QC_indicators!$C$1,"DF","no"))),IF(ISNUMBER(BY978),IF(ABS(BY978-[3]QC_indicators!$B$1)&gt;3*[3]QC_indicators!$C$1,"DF","no")))</f>
        <v>no</v>
      </c>
      <c r="ER978" t="s">
        <v>1604</v>
      </c>
      <c r="ET978" s="264" t="s">
        <v>3407</v>
      </c>
    </row>
    <row r="979" spans="1:150" ht="15" customHeight="1">
      <c r="A979" s="1" t="s">
        <v>562</v>
      </c>
      <c r="B979" t="s">
        <v>544</v>
      </c>
      <c r="C979" t="s">
        <v>1593</v>
      </c>
      <c r="D979" t="s">
        <v>1594</v>
      </c>
      <c r="E979" t="s">
        <v>1595</v>
      </c>
      <c r="F979" t="s">
        <v>1596</v>
      </c>
      <c r="G979" t="s">
        <v>567</v>
      </c>
      <c r="H979" t="s">
        <v>254</v>
      </c>
      <c r="I979">
        <v>2019</v>
      </c>
      <c r="J979">
        <v>15</v>
      </c>
      <c r="K979" t="s">
        <v>1597</v>
      </c>
      <c r="M979" t="str">
        <f>LEFT($D979,FIND(",",$D979)-1)&amp;"_"&amp;I979&amp;L979</f>
        <v>Geng_2019</v>
      </c>
      <c r="N979" t="s">
        <v>222</v>
      </c>
      <c r="O979" s="181" t="s">
        <v>225</v>
      </c>
      <c r="Q979" s="264" t="s">
        <v>256</v>
      </c>
      <c r="R979" s="269" t="s">
        <v>1154</v>
      </c>
      <c r="S979" s="1" t="s">
        <v>1598</v>
      </c>
      <c r="T979" t="s">
        <v>1617</v>
      </c>
      <c r="V979">
        <v>0</v>
      </c>
      <c r="W979">
        <v>0</v>
      </c>
      <c r="X979">
        <v>0</v>
      </c>
      <c r="Y979">
        <v>0</v>
      </c>
      <c r="Z979">
        <v>0</v>
      </c>
      <c r="AA979">
        <v>0</v>
      </c>
      <c r="AB979">
        <v>0</v>
      </c>
      <c r="AC979">
        <v>0</v>
      </c>
      <c r="AD979">
        <v>0</v>
      </c>
      <c r="AE979">
        <v>0</v>
      </c>
      <c r="AF979">
        <v>0</v>
      </c>
      <c r="AG979">
        <v>0</v>
      </c>
      <c r="AH979">
        <v>0</v>
      </c>
      <c r="AI979">
        <v>0</v>
      </c>
      <c r="AJ979">
        <v>0</v>
      </c>
      <c r="AK979">
        <v>1</v>
      </c>
      <c r="AL979">
        <v>0</v>
      </c>
      <c r="AM979">
        <v>0</v>
      </c>
      <c r="AN979">
        <v>0</v>
      </c>
      <c r="AO979">
        <v>0</v>
      </c>
      <c r="AP979">
        <v>0</v>
      </c>
      <c r="AQ979">
        <v>0</v>
      </c>
      <c r="AR979">
        <v>0</v>
      </c>
      <c r="AS979">
        <v>0</v>
      </c>
      <c r="AT979">
        <v>0</v>
      </c>
      <c r="AU979">
        <v>0</v>
      </c>
      <c r="AV979">
        <v>0</v>
      </c>
      <c r="AW979">
        <v>0</v>
      </c>
      <c r="AX979" s="141">
        <f>COUNTIF(V979:AW979,"&lt;&gt;0")</f>
        <v>1</v>
      </c>
      <c r="AY979" s="141">
        <f>COUNTIF(V979:AL979,"&lt;&gt;0")</f>
        <v>1</v>
      </c>
      <c r="AZ979">
        <f>COUNTIF(V979:AC979,"&lt;&gt;0")</f>
        <v>0</v>
      </c>
      <c r="BA979">
        <f>COUNTIF(AD979:AI979,"&lt;&gt;0")</f>
        <v>0</v>
      </c>
      <c r="BB979">
        <f>COUNTIF(AJ979:AL979,"&lt;&gt;0")</f>
        <v>1</v>
      </c>
      <c r="BC979">
        <f>COUNTIF(AS979:AW979,"&lt;&gt;0")</f>
        <v>0</v>
      </c>
      <c r="BD979">
        <f>COUNTIF(AM979:AR979,"&lt;&gt;0")</f>
        <v>0</v>
      </c>
      <c r="BE979" t="str" cm="1">
        <f t="array" ref="BE979">IF(AY979=1,INDEX($V$7:$AL$7,MATCH(TRUE,INDEX($V979:$AW979&lt;&gt;0,),0)),IF(AY979=0,INDEX($AM$7:$AW$7,MATCH(1,$AM979:$AW979,0)),IF(BF979="Multiple strategies","mixed drivers",IF(BF979="Supply chain","multiple supply","multiple silviculture"))))</f>
        <v>technologies/design switch</v>
      </c>
      <c r="BF979" s="2" t="str" cm="1">
        <f t="array" ref="BF979">IF(COUNTIF(AZ979:BB979,"&lt;&gt;0")=1,INDEX($V$4:$AW$4,MATCH(TRUE,INDEX($V979:$AW979&lt;&gt;0,),0)),IF(COUNTIF(AZ979:BB979,"&lt;&gt;0")=0,INDEX($AM$4:$AW$4,MATCH(1,$AM979:$AW979,0)),"Multiple strategies"))</f>
        <v>Technology</v>
      </c>
      <c r="BG979" s="1" t="s">
        <v>229</v>
      </c>
      <c r="BH979" t="s">
        <v>1600</v>
      </c>
      <c r="BJ979" t="s">
        <v>261</v>
      </c>
      <c r="BK979">
        <v>26</v>
      </c>
      <c r="BL979">
        <v>82.35</v>
      </c>
      <c r="BM979">
        <f>BL979/BK979</f>
        <v>3.1673076923076922</v>
      </c>
      <c r="BN979">
        <f>BL979-BK979</f>
        <v>56.349999999999994</v>
      </c>
      <c r="BO979">
        <f>BN979*kg_to_m3</f>
        <v>0.115</v>
      </c>
      <c r="BP979" t="s">
        <v>232</v>
      </c>
      <c r="BR979" t="s">
        <v>1609</v>
      </c>
      <c r="BU979" s="144" t="str">
        <f>IFERROR(BT979/BS979,"")</f>
        <v/>
      </c>
      <c r="BV979">
        <v>0.314</v>
      </c>
      <c r="BX979">
        <f>BV979</f>
        <v>0.314</v>
      </c>
      <c r="BY979">
        <f>IFERROR(BX979/BO979,"")</f>
        <v>2.7304347826086954</v>
      </c>
      <c r="BZ979">
        <v>0</v>
      </c>
      <c r="CA979">
        <v>0</v>
      </c>
      <c r="CB979">
        <v>0</v>
      </c>
      <c r="CC979">
        <v>0</v>
      </c>
      <c r="CD979">
        <v>0</v>
      </c>
      <c r="CE979">
        <v>0</v>
      </c>
      <c r="CF979">
        <v>0</v>
      </c>
      <c r="CG979">
        <v>0</v>
      </c>
      <c r="CH979">
        <v>0</v>
      </c>
      <c r="CI979">
        <v>0</v>
      </c>
      <c r="CJ979">
        <v>0</v>
      </c>
      <c r="CK979">
        <v>0</v>
      </c>
      <c r="CL979">
        <v>0</v>
      </c>
      <c r="CM979">
        <v>0</v>
      </c>
      <c r="CN979" t="str">
        <f>IF(BL979&lt;BK979,"refNeedCorrection","refOK")</f>
        <v>refOK</v>
      </c>
      <c r="CO979">
        <f>IF($CN979="refOK",$BK979,$BL979)</f>
        <v>26</v>
      </c>
      <c r="CP979">
        <f>IF($CN979="refOK",$BL979,$BK979)</f>
        <v>82.35</v>
      </c>
      <c r="CQ979">
        <f>IF($CN979="refOK",$BO979,-$BO979)</f>
        <v>0.115</v>
      </c>
      <c r="CR979">
        <f>IF($CN979="refOK",$BS979,$BT979)*IF($BP979="Emissions positive",-1,1)</f>
        <v>0</v>
      </c>
      <c r="CS979">
        <f>IF($CN979="refOK",$BT979,$BS979)*IF($BP979="Emissions positive",-1,1)</f>
        <v>0</v>
      </c>
      <c r="CT979">
        <f>IF($CN979="refNeedCorrection",-BX979,BX979)*IF($BP979="Emissions positive",-1,1)</f>
        <v>0.314</v>
      </c>
      <c r="CU979">
        <f>IFERROR(CT979/CQ979,"")</f>
        <v>2.7304347826086954</v>
      </c>
      <c r="CV979" s="2" t="str">
        <f>IFERROR((CS979-CR979)/ABS(CR979),"")</f>
        <v/>
      </c>
      <c r="CW979" s="1" t="s">
        <v>1203</v>
      </c>
      <c r="CX979" s="264" t="str">
        <f>IF(OR($CW979="prd",$CW979="std",$CW979="cit"),"loc",IF(OR($CW979="eur",$CW979="reg",$CW979="coy"),"reg",$CW979))</f>
        <v>reg</v>
      </c>
      <c r="CY979" t="s">
        <v>690</v>
      </c>
      <c r="CZ979">
        <v>2019</v>
      </c>
      <c r="DB979">
        <v>0</v>
      </c>
      <c r="DC979" t="str">
        <f>IF(DB979=0,"0",IF(AND(DB979&gt;=1,DB979&lt;=30),"1-30",IF(AND(DB979&gt;30,DB979&lt;=70),"31-70",IF(AND(DB979&gt;70,DB979&lt;=100),"71-100",IF(DB979&gt;100,"+100")))))</f>
        <v>0</v>
      </c>
      <c r="DD979">
        <v>0</v>
      </c>
      <c r="DE979">
        <v>0</v>
      </c>
      <c r="DF979">
        <v>0</v>
      </c>
      <c r="DG979">
        <v>1</v>
      </c>
      <c r="DI979">
        <f>SUM(DD979:DG979)</f>
        <v>1</v>
      </c>
      <c r="DJ979" t="str">
        <f>IF(DI979=1,INDEX($DD$7:$DG$7,MATCH(1,$DD979:$DG979,0)),"mixedProduct")</f>
        <v>TimberInput</v>
      </c>
      <c r="DK979">
        <f>IF(DD979=1,DK$7,0)</f>
        <v>0</v>
      </c>
      <c r="DL979">
        <f>IF(DE979=1,DL$7,0)</f>
        <v>0</v>
      </c>
      <c r="DM979">
        <f>IF(DF979=1,DM$7,0)</f>
        <v>0</v>
      </c>
      <c r="DN979" t="str">
        <f>IF(DG979=1,DN$7,0)</f>
        <v>Timber</v>
      </c>
      <c r="DO979">
        <v>1</v>
      </c>
      <c r="DP979">
        <v>0</v>
      </c>
      <c r="DQ979">
        <v>0</v>
      </c>
      <c r="DR979">
        <v>0</v>
      </c>
      <c r="DS979">
        <v>0</v>
      </c>
      <c r="DT979">
        <f>SUM(DO979:DP979)</f>
        <v>1</v>
      </c>
      <c r="DU979" s="143" t="str">
        <f>IF(DO979=1,"self-calculated DF",IF(DP979=1,"external DF used","explicit C balance"))</f>
        <v>self-calculated DF</v>
      </c>
      <c r="DV979">
        <v>0</v>
      </c>
      <c r="DW979">
        <v>0</v>
      </c>
      <c r="DX979">
        <v>0</v>
      </c>
      <c r="DY979">
        <v>0</v>
      </c>
      <c r="DZ979">
        <v>0</v>
      </c>
      <c r="EA979" s="143">
        <v>1</v>
      </c>
      <c r="EB979">
        <v>0</v>
      </c>
      <c r="EC979">
        <v>1</v>
      </c>
      <c r="ED979">
        <v>0</v>
      </c>
      <c r="EE979">
        <v>0</v>
      </c>
      <c r="EF979">
        <v>0</v>
      </c>
      <c r="EG979">
        <v>0</v>
      </c>
      <c r="EH979">
        <v>0</v>
      </c>
      <c r="EI979" s="2">
        <v>0</v>
      </c>
      <c r="EK979" t="str">
        <f>IF(AND(AND(AND(OR($DX979=1,$DW979=1),OR($EC979=1,$EA979=1)),SUM($DV979:$DZ979,$EF979)&gt;=4),SUM($EA979:$EE979)&gt;=2),"Whole sector","")</f>
        <v/>
      </c>
      <c r="EL979" t="str">
        <f>IF(AND(AND(OR($DX979=1,$DW979=1),AND($EC979=0,$EA979=0)),SUM($DV979:$DZ979,$EF979)&gt;=4),"Ecosystem approach","")</f>
        <v/>
      </c>
      <c r="EM979" s="2" t="str">
        <f>IF(AND(AND(AND($DX979=0,$DW979=0),OR($EC979=1,$EA979=1)),SUM($EB979:$EE979)&gt;=2),"Technology approach","")</f>
        <v/>
      </c>
      <c r="EN979" t="s">
        <v>1603</v>
      </c>
      <c r="EP979" t="str">
        <f>IF(ISNUMBER(BU979),IF(ABS(BU979-[3]QC_indicators!$B$2)&gt;3*[3]QC_indicators!$C$2,"C ratio",IF(ISNUMBER(BY979),IF(ABS(BY979-[3]QC_indicators!$B$1)&gt;3*[3]QC_indicators!$C$1,"DF","no"))),IF(ISNUMBER(BY979),IF(ABS(BY979-[3]QC_indicators!$B$1)&gt;3*[3]QC_indicators!$C$1,"DF","no")))</f>
        <v>no</v>
      </c>
      <c r="ER979" t="s">
        <v>1604</v>
      </c>
      <c r="ET979" s="264" t="s">
        <v>3407</v>
      </c>
    </row>
    <row r="980" spans="1:150" ht="15" customHeight="1">
      <c r="A980" s="1" t="s">
        <v>265</v>
      </c>
      <c r="B980" t="s">
        <v>266</v>
      </c>
      <c r="C980" t="s">
        <v>267</v>
      </c>
      <c r="D980" t="s">
        <v>268</v>
      </c>
      <c r="E980" t="s">
        <v>269</v>
      </c>
      <c r="F980" t="s">
        <v>270</v>
      </c>
      <c r="G980" t="s">
        <v>271</v>
      </c>
      <c r="H980" t="s">
        <v>254</v>
      </c>
      <c r="I980">
        <v>2022</v>
      </c>
      <c r="J980">
        <v>0</v>
      </c>
      <c r="K980" t="s">
        <v>272</v>
      </c>
      <c r="M980" t="str">
        <f>LEFT($D980,FIND(",",$D980)-1)&amp;"_"&amp;I980&amp;L980</f>
        <v>Aryapratama_2022</v>
      </c>
      <c r="N980" t="s">
        <v>222</v>
      </c>
      <c r="O980" s="145" t="s">
        <v>274</v>
      </c>
      <c r="Q980" t="s">
        <v>224</v>
      </c>
      <c r="R980" s="262" t="s">
        <v>223</v>
      </c>
      <c r="S980" s="263" t="s">
        <v>3105</v>
      </c>
      <c r="T980" t="s">
        <v>313</v>
      </c>
      <c r="U980" t="s">
        <v>283</v>
      </c>
      <c r="V980">
        <v>0</v>
      </c>
      <c r="W980">
        <v>0</v>
      </c>
      <c r="X980">
        <v>0</v>
      </c>
      <c r="Y980">
        <v>0</v>
      </c>
      <c r="Z980">
        <v>0</v>
      </c>
      <c r="AA980">
        <v>0</v>
      </c>
      <c r="AB980">
        <v>0</v>
      </c>
      <c r="AC980">
        <v>0</v>
      </c>
      <c r="AD980">
        <v>0</v>
      </c>
      <c r="AE980">
        <v>0</v>
      </c>
      <c r="AF980">
        <v>0</v>
      </c>
      <c r="AG980">
        <v>0</v>
      </c>
      <c r="AH980">
        <v>0</v>
      </c>
      <c r="AI980">
        <v>0</v>
      </c>
      <c r="AJ980">
        <v>0</v>
      </c>
      <c r="AK980">
        <v>1</v>
      </c>
      <c r="AL980">
        <v>0</v>
      </c>
      <c r="AM980">
        <v>0</v>
      </c>
      <c r="AN980">
        <v>0</v>
      </c>
      <c r="AO980">
        <v>0</v>
      </c>
      <c r="AP980">
        <v>0</v>
      </c>
      <c r="AQ980">
        <v>0</v>
      </c>
      <c r="AR980">
        <v>0</v>
      </c>
      <c r="AS980">
        <v>0</v>
      </c>
      <c r="AT980">
        <v>0</v>
      </c>
      <c r="AU980">
        <v>0</v>
      </c>
      <c r="AV980">
        <v>0</v>
      </c>
      <c r="AW980">
        <v>0</v>
      </c>
      <c r="AX980" s="141">
        <f>COUNTIF(V980:AW980,"&lt;&gt;0")</f>
        <v>1</v>
      </c>
      <c r="AY980" s="141">
        <f>COUNTIF(V980:AL980,"&lt;&gt;0")</f>
        <v>1</v>
      </c>
      <c r="AZ980">
        <f>COUNTIF(V980:AC980,"&lt;&gt;0")</f>
        <v>0</v>
      </c>
      <c r="BA980">
        <f>COUNTIF(AD980:AI980,"&lt;&gt;0")</f>
        <v>0</v>
      </c>
      <c r="BB980">
        <f>COUNTIF(AJ980:AL980,"&lt;&gt;0")</f>
        <v>1</v>
      </c>
      <c r="BC980">
        <f>COUNTIF(AS980:AW980,"&lt;&gt;0")</f>
        <v>0</v>
      </c>
      <c r="BD980">
        <f>COUNTIF(AM980:AR980,"&lt;&gt;0")</f>
        <v>0</v>
      </c>
      <c r="BE980" t="str">
        <f t="array" ref="BE980">IF(AY980=1,INDEX($V$7:$AL$7,MATCH(TRUE,INDEX($V980:$AW980&lt;&gt;0,),0)),IF(AY980=0,INDEX($AM$7:$AW$7,MATCH(1,$AM980:$AW980,0)),IF(BF980="Multiple strategies","mixed drivers",IF(BF980="Supply chain","multiple supply","multiple silviculture"))))</f>
        <v>technologies/design switch</v>
      </c>
      <c r="BF980" s="2" t="str" cm="1">
        <f t="array" ref="BF980">IF(COUNTIF(AZ980:BB980,"&lt;&gt;0")=1,INDEX($V$4:$AW$4,MATCH(TRUE,INDEX($V980:$AW980&lt;&gt;0,),0)),IF(COUNTIF(AZ980:BB980,"&lt;&gt;0")=0,INDEX($AM$4:$AW$4,MATCH(1,$AM980:$AW980,0)),"Multiple strategies"))</f>
        <v>Technology</v>
      </c>
      <c r="BG980" s="1" t="s">
        <v>229</v>
      </c>
      <c r="BH980" t="s">
        <v>277</v>
      </c>
      <c r="BI980" s="264" t="s">
        <v>3106</v>
      </c>
      <c r="BJ980" t="s">
        <v>278</v>
      </c>
      <c r="BK980">
        <v>0</v>
      </c>
      <c r="BL980">
        <v>17.346803922718955</v>
      </c>
      <c r="BN980">
        <f>BL980-BK980</f>
        <v>17.346803922718955</v>
      </c>
      <c r="BO980">
        <f>BN980*tC_to_m3</f>
        <v>75.322639699170452</v>
      </c>
      <c r="BP980" t="s">
        <v>232</v>
      </c>
      <c r="BQ980" s="337" t="s">
        <v>3107</v>
      </c>
      <c r="BR980" t="s">
        <v>279</v>
      </c>
      <c r="BS980">
        <v>163.96310441836951</v>
      </c>
      <c r="BT980">
        <v>369.9239668180054</v>
      </c>
      <c r="BU980" s="144">
        <f>IFERROR(BT980/BS980,"")</f>
        <v>2.2561415150697841</v>
      </c>
      <c r="BV980">
        <f>BT980-BS980</f>
        <v>205.96086239963589</v>
      </c>
      <c r="BX980">
        <f>BV980</f>
        <v>205.96086239963589</v>
      </c>
      <c r="BY980">
        <f>IFERROR(BX980/BO980,"")</f>
        <v>2.7343818966278763</v>
      </c>
      <c r="BZ980">
        <v>0</v>
      </c>
      <c r="CA980">
        <v>0</v>
      </c>
      <c r="CB980">
        <v>0</v>
      </c>
      <c r="CC980">
        <v>0</v>
      </c>
      <c r="CD980">
        <v>0</v>
      </c>
      <c r="CE980">
        <v>0</v>
      </c>
      <c r="CF980">
        <v>0</v>
      </c>
      <c r="CG980">
        <v>0</v>
      </c>
      <c r="CH980">
        <v>0</v>
      </c>
      <c r="CI980">
        <v>0</v>
      </c>
      <c r="CJ980">
        <v>0</v>
      </c>
      <c r="CK980">
        <v>0</v>
      </c>
      <c r="CL980">
        <v>0</v>
      </c>
      <c r="CM980">
        <v>0</v>
      </c>
      <c r="CN980" t="str">
        <f>IF($BL980&lt;$BK980,"refNeedCorrection","refOK")</f>
        <v>refOK</v>
      </c>
      <c r="CO980">
        <f>IF($CN980="refOK",$BK980,$BL980)</f>
        <v>0</v>
      </c>
      <c r="CP980">
        <f>IF($CN980="refOK",$BL980,$BK980)</f>
        <v>17.346803922718955</v>
      </c>
      <c r="CQ980">
        <f>IF($CN980="refOK",$BO980,-$BO980)</f>
        <v>75.322639699170452</v>
      </c>
      <c r="CR980">
        <f>IF($CN980="refOK",$BS980,$BT980)*IF($BP980="Emissions positive",-1,1)</f>
        <v>163.96310441836951</v>
      </c>
      <c r="CS980">
        <f>IF($CN980="refOK",$BT980,$BS980)*IF($BP980="Emissions positive",-1,1)</f>
        <v>369.9239668180054</v>
      </c>
      <c r="CT980">
        <f>IF($CN980="refNeedCorrection",-BX980,BX980)*IF($BP980="Emissions positive",-1,1)</f>
        <v>205.96086239963589</v>
      </c>
      <c r="CU980">
        <f>IFERROR(CT980/CQ980,"")</f>
        <v>2.7343818966278763</v>
      </c>
      <c r="CV980" s="2">
        <f>IFERROR((CS980-CR980)/ABS(CR980),"")</f>
        <v>1.2561415150697841</v>
      </c>
      <c r="CW980" s="1" t="s">
        <v>234</v>
      </c>
      <c r="CX980" t="str">
        <f>IF(OR($CW980="prd",$CW980="std",$CW980="cit"),"loc",IF(OR($CW980="eur",$CW980="reg",$CW980="coy"),"reg",$CW980))</f>
        <v>loc</v>
      </c>
      <c r="CY980" t="s">
        <v>280</v>
      </c>
      <c r="DB980">
        <v>100</v>
      </c>
      <c r="DC980" t="str">
        <f>IF(DB980=0,"0",IF(AND(DB980&gt;=1,DB980&lt;=30),"1-30",IF(AND(DB980&gt;30,DB980&lt;=70),"31-70",IF(AND(DB980&gt;70,DB980&lt;=100),"71-100",IF(DB980&gt;100,"+100")))))</f>
        <v>71-100</v>
      </c>
      <c r="DD980">
        <v>0</v>
      </c>
      <c r="DE980">
        <v>0</v>
      </c>
      <c r="DF980">
        <v>0</v>
      </c>
      <c r="DG980">
        <v>1</v>
      </c>
      <c r="DI980">
        <f>SUM(DD980:DG980)</f>
        <v>1</v>
      </c>
      <c r="DJ980" t="str">
        <f>IF(DI980=1,INDEX($DD$7:$DG$7,MATCH(1,$DD980:$DG980,0)),"mixedProduct")</f>
        <v>TimberInput</v>
      </c>
      <c r="DK980">
        <f>IF(DD980=1,DK$7,0)</f>
        <v>0</v>
      </c>
      <c r="DL980">
        <f>IF(DE980=1,DL$7,0)</f>
        <v>0</v>
      </c>
      <c r="DM980">
        <f>IF(DF980=1,DM$7,0)</f>
        <v>0</v>
      </c>
      <c r="DN980" t="str">
        <f>IF(DG980=1,DN$7,0)</f>
        <v>Timber</v>
      </c>
      <c r="DO980">
        <v>0</v>
      </c>
      <c r="DP980">
        <v>1</v>
      </c>
      <c r="DQ980">
        <v>0</v>
      </c>
      <c r="DR980" t="s">
        <v>281</v>
      </c>
      <c r="DS980">
        <v>0</v>
      </c>
      <c r="DT980">
        <f>SUM(DO980:DP980)</f>
        <v>1</v>
      </c>
      <c r="DU980" s="143" t="str">
        <f>IF(DO980=1,"self-calculated DF",IF(DP980=1,"external DF used","explicit C balance"))</f>
        <v>external DF used</v>
      </c>
      <c r="DV980">
        <v>0</v>
      </c>
      <c r="DW980">
        <v>1</v>
      </c>
      <c r="DX980">
        <v>1</v>
      </c>
      <c r="DY980">
        <v>1</v>
      </c>
      <c r="DZ980">
        <v>1</v>
      </c>
      <c r="EA980" s="143">
        <v>0</v>
      </c>
      <c r="EB980">
        <v>1</v>
      </c>
      <c r="EC980">
        <v>1</v>
      </c>
      <c r="ED980">
        <v>0</v>
      </c>
      <c r="EE980">
        <v>1</v>
      </c>
      <c r="EF980">
        <v>1</v>
      </c>
      <c r="EG980">
        <v>1</v>
      </c>
      <c r="EH980">
        <v>0</v>
      </c>
      <c r="EI980" s="2">
        <v>0</v>
      </c>
      <c r="EK980" t="str">
        <f>IF(AND(AND(AND(OR($DX980=1,$DW980=1),OR($EC980=1,$EA980=1)),SUM($DV980:$DZ980,$EF980)&gt;=4),SUM($EA980:$EE980)&gt;=2),"Whole sector","")</f>
        <v>Whole sector</v>
      </c>
      <c r="EL980" t="str">
        <f>IF(AND(AND(OR($DX980=1,$DW980=1),AND($EC980=0,$EA980=0)),SUM($DV980:$DZ980,$EF980)&gt;=4),"Ecosystem approach","")</f>
        <v/>
      </c>
      <c r="EM980" s="2" t="str">
        <f>IF(AND(AND(AND($DX980=0,$DW980=0),OR($EC980=1,$EA980=1)),SUM($EB980:$EE980)&gt;=2),"Technology approach","")</f>
        <v/>
      </c>
      <c r="EP980" t="str">
        <f>IF(ISNUMBER(BU980),IF(ABS(BU980-[1]QC_indicators!$B$2)&gt;3*[1]QC_indicators!$C$2,"C ratio",IF(ISNUMBER(BY980),IF(ABS(BY980-[1]QC_indicators!$B$1)&gt;3*[1]QC_indicators!$C$1,"DF","no"))),IF(ISNUMBER(BY980),IF(ABS(BY980-[1]QC_indicators!$B$1)&gt;3*[1]QC_indicators!$C$1,"DF","no")))</f>
        <v>no</v>
      </c>
      <c r="EQ980" t="s">
        <v>286</v>
      </c>
      <c r="ET980" s="264" t="s">
        <v>3273</v>
      </c>
    </row>
    <row r="981" spans="1:150" ht="15" customHeight="1">
      <c r="A981" s="1" t="s">
        <v>1045</v>
      </c>
      <c r="B981" t="s">
        <v>1046</v>
      </c>
      <c r="C981" t="s">
        <v>1047</v>
      </c>
      <c r="D981" t="s">
        <v>1048</v>
      </c>
      <c r="E981" t="s">
        <v>1049</v>
      </c>
      <c r="F981" t="s">
        <v>1050</v>
      </c>
      <c r="G981" t="s">
        <v>1051</v>
      </c>
      <c r="H981" t="s">
        <v>254</v>
      </c>
      <c r="I981">
        <v>2014</v>
      </c>
      <c r="J981">
        <v>23</v>
      </c>
      <c r="K981" t="s">
        <v>1052</v>
      </c>
      <c r="M981" t="str">
        <f>LEFT($D981,FIND(",",$D981)-1)&amp;"_"&amp;I981&amp;L981</f>
        <v>Pyorala_2014</v>
      </c>
      <c r="N981" t="s">
        <v>222</v>
      </c>
      <c r="O981" s="171" t="s">
        <v>341</v>
      </c>
      <c r="P981" t="s">
        <v>225</v>
      </c>
      <c r="Q981" s="264" t="s">
        <v>389</v>
      </c>
      <c r="R981" s="269" t="s">
        <v>1154</v>
      </c>
      <c r="S981" s="1" t="s">
        <v>1067</v>
      </c>
      <c r="T981" t="s">
        <v>1055</v>
      </c>
      <c r="U981" t="s">
        <v>1065</v>
      </c>
      <c r="V981">
        <v>0</v>
      </c>
      <c r="W981">
        <v>0</v>
      </c>
      <c r="X981">
        <v>0</v>
      </c>
      <c r="Y981">
        <v>0</v>
      </c>
      <c r="Z981">
        <v>0</v>
      </c>
      <c r="AA981">
        <v>0</v>
      </c>
      <c r="AB981">
        <v>1</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s="141">
        <f>COUNTIF(V981:AW981,"&lt;&gt;0")</f>
        <v>1</v>
      </c>
      <c r="AY981" s="141">
        <f>COUNTIF(V981:AL981,"&lt;&gt;0")</f>
        <v>1</v>
      </c>
      <c r="AZ981">
        <f>COUNTIF(V981:AC981,"&lt;&gt;0")</f>
        <v>1</v>
      </c>
      <c r="BA981">
        <f>COUNTIF(AD981:AI981,"&lt;&gt;0")</f>
        <v>0</v>
      </c>
      <c r="BB981">
        <f>COUNTIF(AJ981:AL981,"&lt;&gt;0")</f>
        <v>0</v>
      </c>
      <c r="BC981">
        <f>COUNTIF(AS981:AW981,"&lt;&gt;0")</f>
        <v>0</v>
      </c>
      <c r="BD981">
        <f>COUNTIF(AM981:AR981,"&lt;&gt;0")</f>
        <v>0</v>
      </c>
      <c r="BE981" t="str" cm="1">
        <f t="array" ref="BE981">IF(AY981=1,INDEX($V$7:$AL$7,MATCH(TRUE,INDEX($V981:$AW981&lt;&gt;0,),0)),IF(AY981=0,INDEX($AM$7:$AW$7,MATCH(1,$AM981:$AW981,0)),IF(BF981="Multiple strategies","mixed drivers",IF(BF981="Supply chain","multiple supply","multiple silviculture"))))</f>
        <v>fertilisation</v>
      </c>
      <c r="BF981" s="2" t="str" cm="1">
        <f t="array" ref="BF981">IF(COUNTIF(AZ981:BB981,"&lt;&gt;0")=1,INDEX($V$4:$AW$4,MATCH(TRUE,INDEX($V981:$AW981&lt;&gt;0,),0)),IF(COUNTIF(AZ981:BB981,"&lt;&gt;0")=0,INDEX($AM$4:$AW$4,MATCH(1,$AM981:$AW981,0)),"Multiple strategies"))</f>
        <v>Silviculture for productivity</v>
      </c>
      <c r="BG981" s="1" t="s">
        <v>321</v>
      </c>
      <c r="BH981" t="s">
        <v>1056</v>
      </c>
      <c r="BI981" s="264" t="s">
        <v>1057</v>
      </c>
      <c r="BJ981" s="264" t="s">
        <v>1058</v>
      </c>
      <c r="BK981">
        <v>3.5</v>
      </c>
      <c r="BL981">
        <v>3.8</v>
      </c>
      <c r="BM981">
        <f>IFERROR(BL981/BK981,"")</f>
        <v>1.0857142857142856</v>
      </c>
      <c r="BN981">
        <f>BL981-BK981</f>
        <v>0.29999999999999982</v>
      </c>
      <c r="BO981">
        <f>BN981*t_to_m3</f>
        <v>0.61224489795918335</v>
      </c>
      <c r="BP981" t="s">
        <v>395</v>
      </c>
      <c r="BQ981" t="s">
        <v>972</v>
      </c>
      <c r="BR981" t="s">
        <v>1059</v>
      </c>
      <c r="BS981" s="172">
        <v>-19.5</v>
      </c>
      <c r="BT981" s="172">
        <v>-189</v>
      </c>
      <c r="BU981" s="144"/>
      <c r="BV981">
        <f>BT981-BS981</f>
        <v>-169.5</v>
      </c>
      <c r="BX981">
        <f>BV981*10^-6*10^4</f>
        <v>-1.6950000000000001</v>
      </c>
      <c r="BY981">
        <f>IFERROR(BX981/BO981,"")</f>
        <v>-2.7685000000000017</v>
      </c>
      <c r="BZ981">
        <v>0</v>
      </c>
      <c r="CA981">
        <v>0</v>
      </c>
      <c r="CB981">
        <v>0</v>
      </c>
      <c r="CC981">
        <v>0</v>
      </c>
      <c r="CD981">
        <v>0</v>
      </c>
      <c r="CE981">
        <v>0</v>
      </c>
      <c r="CF981">
        <v>0</v>
      </c>
      <c r="CG981">
        <v>0</v>
      </c>
      <c r="CH981">
        <v>0</v>
      </c>
      <c r="CI981">
        <v>0</v>
      </c>
      <c r="CJ981">
        <v>0</v>
      </c>
      <c r="CK981">
        <v>0</v>
      </c>
      <c r="CL981">
        <v>0</v>
      </c>
      <c r="CM981">
        <v>0</v>
      </c>
      <c r="CN981" t="str">
        <f>IF($BL981&lt;$BK981,"refNeedCorrection","refOK")</f>
        <v>refOK</v>
      </c>
      <c r="CO981">
        <f>IF($CN981="refOK",$BK981,$BL981)</f>
        <v>3.5</v>
      </c>
      <c r="CP981">
        <f>IF($CN981="refOK",$BL981,$BK981)</f>
        <v>3.8</v>
      </c>
      <c r="CQ981">
        <f>IF($CN981="refOK",$BO981,-$BO981)</f>
        <v>0.61224489795918335</v>
      </c>
      <c r="CR981">
        <f>IF($CN981="refOK",$BS981,$BT981)*IF($BP981="Emissions positive",-1,1)</f>
        <v>19.5</v>
      </c>
      <c r="CS981">
        <f>IF($CN981="refOK",$BT981,$BS981)*IF($BP981="Emissions positive",-1,1)</f>
        <v>189</v>
      </c>
      <c r="CT981">
        <f>IF($CN981="refNeedCorrection",-BX981,BX981)*IF($BP981="Emissions positive",-1,1)</f>
        <v>1.6950000000000001</v>
      </c>
      <c r="CU981">
        <f>IFERROR(CT981/CQ981,"")</f>
        <v>2.7685000000000017</v>
      </c>
      <c r="CV981" s="2">
        <f>IFERROR((CS981-CR981)/ABS(CR981),"")</f>
        <v>8.6923076923076916</v>
      </c>
      <c r="CW981" s="1" t="s">
        <v>263</v>
      </c>
      <c r="CX981" s="264" t="str">
        <f>IF(OR($CW981="prd",$CW981="std",$CW981="cit"),"loc",IF(OR($CW981="eur",$CW981="reg",$CW981="coy"),"reg",$CW981))</f>
        <v>loc</v>
      </c>
      <c r="CY981" t="s">
        <v>235</v>
      </c>
      <c r="DB981">
        <v>50</v>
      </c>
      <c r="DC981" t="str">
        <f>IF(DB981=0,"0",IF(AND(DB981&gt;=1,DB981&lt;=30),"1-30",IF(AND(DB981&gt;30,DB981&lt;=70),"31-70",IF(AND(DB981&gt;70,DB981&lt;=100),"71-100",IF(DB981&gt;100,"+100")))))</f>
        <v>31-70</v>
      </c>
      <c r="DD981">
        <v>0</v>
      </c>
      <c r="DE981">
        <v>1</v>
      </c>
      <c r="DF981">
        <v>0</v>
      </c>
      <c r="DG981">
        <v>1</v>
      </c>
      <c r="DI981">
        <f>SUM(DD981:DG981)</f>
        <v>2</v>
      </c>
      <c r="DJ981" t="str">
        <f>IF(DI981=1,INDEX($DD$7:$DG$7,MATCH(1,$DD981:$DG981,0)),"mixedProduct")</f>
        <v>mixedProduct</v>
      </c>
      <c r="DK981">
        <f>IF(DD981=1,DK$7,0)</f>
        <v>0</v>
      </c>
      <c r="DL981" t="str">
        <f>IF(DE981=1,DL$7,0)</f>
        <v>Energy</v>
      </c>
      <c r="DM981">
        <f>IF(DF981=1,DM$7,0)</f>
        <v>0</v>
      </c>
      <c r="DN981" t="str">
        <f>IF(DG981=1,DN$7,0)</f>
        <v>Timber</v>
      </c>
      <c r="DO981">
        <v>0</v>
      </c>
      <c r="DP981">
        <v>1</v>
      </c>
      <c r="DQ981" t="s">
        <v>1060</v>
      </c>
      <c r="DT981">
        <f>SUM(DO981:DP981)</f>
        <v>1</v>
      </c>
      <c r="DU981" s="143" t="str">
        <f>IF(DO981=1,"self-calculated DF",IF(DP981=1,"external DF used","explicit C balance"))</f>
        <v>external DF used</v>
      </c>
      <c r="DV981">
        <v>1</v>
      </c>
      <c r="DW981">
        <v>1</v>
      </c>
      <c r="DX981">
        <v>1</v>
      </c>
      <c r="DY981">
        <v>0</v>
      </c>
      <c r="DZ981">
        <v>0</v>
      </c>
      <c r="EA981" s="143">
        <v>0</v>
      </c>
      <c r="EB981">
        <v>1</v>
      </c>
      <c r="EC981">
        <v>1</v>
      </c>
      <c r="ED981">
        <v>0</v>
      </c>
      <c r="EE981">
        <v>0</v>
      </c>
      <c r="EF981">
        <v>1</v>
      </c>
      <c r="EG981">
        <v>0</v>
      </c>
      <c r="EH981">
        <v>0</v>
      </c>
      <c r="EI981" s="2">
        <v>0</v>
      </c>
      <c r="EK981" t="str">
        <f>IF(AND(AND(AND(OR($DX981=1,$DW981=1),OR($EC981=1,$EA981=1)),SUM($DV981:$DZ981,$EF981)&gt;=4),SUM($EA981:$EE981)&gt;=2),"Whole sector","")</f>
        <v>Whole sector</v>
      </c>
      <c r="EL981" t="str">
        <f>IF(AND(AND(OR($DX981=1,$DW981=1),AND($EC981=0,$EA981=0)),SUM($DV981:$DZ981,$EF981)&gt;=4),"Ecosystem approach","")</f>
        <v/>
      </c>
      <c r="EM981" s="2" t="str">
        <f>IF(AND(AND(AND($DX981=0,$DW981=0),OR($EC981=1,$EA981=1)),SUM($EB981:$EE981)&gt;=2),"Technology approach","")</f>
        <v/>
      </c>
      <c r="EP981" t="str">
        <f>IF(ISNUMBER(BU981),IF(ABS(BU981-[3]QC_indicators!$B$2)&gt;3*[3]QC_indicators!$C$2,"C ratio",IF(ISNUMBER(BY981),IF(ABS(BY981-[3]QC_indicators!$B$1)&gt;3*[3]QC_indicators!$C$1,"DF","no"))),IF(ISNUMBER(BY981),IF(ABS(BY981-[3]QC_indicators!$B$1)&gt;3*[3]QC_indicators!$C$1,"DF","no")))</f>
        <v>no</v>
      </c>
      <c r="ER981" s="264" t="s">
        <v>1061</v>
      </c>
      <c r="ET981" s="264" t="s">
        <v>3407</v>
      </c>
    </row>
    <row r="982" spans="1:150" ht="15" customHeight="1">
      <c r="A982" s="1" t="s">
        <v>1360</v>
      </c>
      <c r="B982" t="s">
        <v>2135</v>
      </c>
      <c r="C982" t="s">
        <v>2136</v>
      </c>
      <c r="D982" t="s">
        <v>2137</v>
      </c>
      <c r="E982" t="s">
        <v>2138</v>
      </c>
      <c r="F982" t="s">
        <v>2139</v>
      </c>
      <c r="G982" t="s">
        <v>1366</v>
      </c>
      <c r="H982" t="s">
        <v>254</v>
      </c>
      <c r="I982">
        <v>2012</v>
      </c>
      <c r="J982">
        <v>21</v>
      </c>
      <c r="K982" t="s">
        <v>2140</v>
      </c>
      <c r="L982" s="192"/>
      <c r="M982" t="str">
        <f>LEFT($D982,FIND(",",$D982)-1)&amp;"_"&amp;I982&amp;L982</f>
        <v>Pyorala_2012</v>
      </c>
      <c r="N982" t="s">
        <v>222</v>
      </c>
      <c r="O982" s="145" t="s">
        <v>341</v>
      </c>
      <c r="P982" s="180" t="s">
        <v>223</v>
      </c>
      <c r="Q982" s="264" t="s">
        <v>256</v>
      </c>
      <c r="R982" s="269" t="s">
        <v>1154</v>
      </c>
      <c r="S982" s="263" t="s">
        <v>2147</v>
      </c>
      <c r="T982" s="264" t="s">
        <v>2143</v>
      </c>
      <c r="U982" s="264" t="s">
        <v>2148</v>
      </c>
      <c r="V982">
        <v>0</v>
      </c>
      <c r="W982">
        <v>0</v>
      </c>
      <c r="X982">
        <v>0</v>
      </c>
      <c r="Y982">
        <v>1</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s="141">
        <f>COUNTIF(V982:AW982,"&lt;&gt;0")</f>
        <v>1</v>
      </c>
      <c r="AY982" s="141">
        <f>COUNTIF(V982:AL982,"&lt;&gt;0")</f>
        <v>1</v>
      </c>
      <c r="AZ982">
        <f>COUNTIF(V982:AC982,"&lt;&gt;0")</f>
        <v>1</v>
      </c>
      <c r="BA982">
        <f>COUNTIF(AD982:AI982,"&lt;&gt;0")</f>
        <v>0</v>
      </c>
      <c r="BB982">
        <f>COUNTIF(AJ982:AL982,"&lt;&gt;0")</f>
        <v>0</v>
      </c>
      <c r="BC982">
        <f>COUNTIF(AS982:AW982,"&lt;&gt;0")</f>
        <v>0</v>
      </c>
      <c r="BD982">
        <f>COUNTIF(AM982:AR982,"&lt;&gt;0")</f>
        <v>0</v>
      </c>
      <c r="BE982" t="str" cm="1">
        <f t="array" ref="BE982">IF(AY982=1,INDEX($V$7:$AL$7,MATCH(TRUE,INDEX($V982:$AW982&lt;&gt;0,),0)),IF(AY982=0,INDEX($AM$7:$AW$7,MATCH(1,$AM982:$AW982,0)),IF(BF982="Multiple strategies","mixed drivers",IF(BF982="Supply chain","multiple supply","multiple silviculture"))))</f>
        <v xml:space="preserve">cutting intensity </v>
      </c>
      <c r="BF982" s="2" t="str" cm="1">
        <f t="array" ref="BF982">IF(COUNTIF(AZ982:BB982,"&lt;&gt;0")=1,INDEX($V$4:$AW$4,MATCH(TRUE,INDEX($V982:$AW982&lt;&gt;0,),0)),IF(COUNTIF(AZ982:BB982,"&lt;&gt;0")=0,INDEX($AM$4:$AW$4,MATCH(1,$AM982:$AW982,0)),"Multiple strategies"))</f>
        <v>Silviculture for removals</v>
      </c>
      <c r="BG982" s="178" t="s">
        <v>321</v>
      </c>
      <c r="BH982" s="264" t="s">
        <v>2144</v>
      </c>
      <c r="BI982" s="264" t="s">
        <v>701</v>
      </c>
      <c r="BJ982" s="160" t="s">
        <v>700</v>
      </c>
      <c r="BK982">
        <v>7.6</v>
      </c>
      <c r="BL982">
        <v>7.9</v>
      </c>
      <c r="BN982">
        <f>BL982-BK982</f>
        <v>0.30000000000000071</v>
      </c>
      <c r="BO982">
        <f>BN982</f>
        <v>0.30000000000000071</v>
      </c>
      <c r="BP982" s="155" t="s">
        <v>232</v>
      </c>
      <c r="BQ982" s="335" t="s">
        <v>429</v>
      </c>
      <c r="BR982" s="270" t="s">
        <v>2145</v>
      </c>
      <c r="BS982" s="264">
        <f>147.4/50</f>
        <v>2.948</v>
      </c>
      <c r="BT982" s="264">
        <f>191.1/50</f>
        <v>3.8220000000000001</v>
      </c>
      <c r="BU982" s="144"/>
      <c r="BV982">
        <f>BT982-BS982</f>
        <v>0.87400000000000011</v>
      </c>
      <c r="BX982">
        <f>BV982</f>
        <v>0.87400000000000011</v>
      </c>
      <c r="BY982">
        <f>IFERROR(BX982/BO982,"")</f>
        <v>2.9133333333333269</v>
      </c>
      <c r="BZ982">
        <v>0</v>
      </c>
      <c r="CA982">
        <v>0</v>
      </c>
      <c r="CB982">
        <v>0</v>
      </c>
      <c r="CC982">
        <v>0</v>
      </c>
      <c r="CD982">
        <v>0</v>
      </c>
      <c r="CE982">
        <v>0</v>
      </c>
      <c r="CF982">
        <v>0</v>
      </c>
      <c r="CG982">
        <v>0</v>
      </c>
      <c r="CH982">
        <v>0</v>
      </c>
      <c r="CI982">
        <v>0</v>
      </c>
      <c r="CJ982">
        <v>0</v>
      </c>
      <c r="CK982">
        <v>0</v>
      </c>
      <c r="CL982">
        <v>0</v>
      </c>
      <c r="CM982">
        <v>0</v>
      </c>
      <c r="CN982" t="str">
        <f>IF($BL982&lt;$BK982,"refNeedCorrection","refOK")</f>
        <v>refOK</v>
      </c>
      <c r="CO982">
        <f>IF($CN982="refOK",$BK982,$BL982)</f>
        <v>7.6</v>
      </c>
      <c r="CP982">
        <f>IF($CN982="refOK",$BL982,$BK982)</f>
        <v>7.9</v>
      </c>
      <c r="CQ982">
        <f>IF($CN982="refOK",$BO982,-$BO982)</f>
        <v>0.30000000000000071</v>
      </c>
      <c r="CR982">
        <f>IF($CN982="refOK",$BS982,$BT982)*IF($BP982="Emissions positive",-1,1)</f>
        <v>2.948</v>
      </c>
      <c r="CS982">
        <f>IF($CN982="refOK",$BT982,$BS982)*IF($BP982="Emissions positive",-1,1)</f>
        <v>3.8220000000000001</v>
      </c>
      <c r="CT982">
        <f>IF($CN982="refNeedCorrection",-BX982,BX982)*IF($BP982="Emissions positive",-1,1)</f>
        <v>0.87400000000000011</v>
      </c>
      <c r="CU982">
        <f>IFERROR(CT982/CQ982,"")</f>
        <v>2.9133333333333269</v>
      </c>
      <c r="CV982" s="2">
        <f>IFERROR((CS982-CR982)/ABS(CR982),"")</f>
        <v>0.29647218453188606</v>
      </c>
      <c r="CW982" s="1" t="s">
        <v>1199</v>
      </c>
      <c r="CX982" s="264" t="str">
        <f>IF(OR($CW982="prd",$CW982="std",$CW982="cit"),"loc",IF(OR($CW982="eur",$CW982="reg",$CW982="coy"),"reg",$CW982))</f>
        <v>reg</v>
      </c>
      <c r="CY982" t="s">
        <v>235</v>
      </c>
      <c r="DB982">
        <v>50</v>
      </c>
      <c r="DC982" t="str">
        <f>IF(DB982=0,"0",IF(AND(DB982&gt;=1,DB982&lt;=30),"1-30",IF(AND(DB982&gt;30,DB982&lt;=70),"31-70",IF(AND(DB982&gt;70,DB982&lt;=100),"71-100",IF(DB982&gt;100,"+100")))))</f>
        <v>31-70</v>
      </c>
      <c r="DD982">
        <v>0</v>
      </c>
      <c r="DE982">
        <v>1</v>
      </c>
      <c r="DF982">
        <v>1</v>
      </c>
      <c r="DG982">
        <v>1</v>
      </c>
      <c r="DI982">
        <f>SUM(DD982:DG982)</f>
        <v>3</v>
      </c>
      <c r="DJ982" t="str">
        <f>IF(DI982=1,INDEX($DD$7:$DG$7,MATCH(1,$DD982:$DG982,0)),"mixedProduct")</f>
        <v>mixedProduct</v>
      </c>
      <c r="DK982">
        <f>IF(DD982=1,DK$7,0)</f>
        <v>0</v>
      </c>
      <c r="DL982" t="str">
        <f>IF(DE982=1,DL$7,0)</f>
        <v>Energy</v>
      </c>
      <c r="DM982" t="str">
        <f>IF(DF982=1,DM$7,0)</f>
        <v>Pulp/Paper</v>
      </c>
      <c r="DN982" t="str">
        <f>IF(DG982=1,DN$7,0)</f>
        <v>Timber</v>
      </c>
      <c r="DO982">
        <v>0</v>
      </c>
      <c r="DP982">
        <v>1</v>
      </c>
      <c r="DQ982" t="s">
        <v>2146</v>
      </c>
      <c r="DR982">
        <v>0</v>
      </c>
      <c r="DS982">
        <v>0</v>
      </c>
      <c r="DT982">
        <f>SUM(DO982:DP982)</f>
        <v>1</v>
      </c>
      <c r="DU982" s="143" t="str">
        <f>IF(DO982=1,"self-calculated DF",IF(DP982=1,"external DF used","explicit C balance"))</f>
        <v>external DF used</v>
      </c>
      <c r="DV982">
        <v>1</v>
      </c>
      <c r="DW982">
        <v>1</v>
      </c>
      <c r="DX982">
        <v>1</v>
      </c>
      <c r="DY982">
        <v>0</v>
      </c>
      <c r="DZ982">
        <v>0</v>
      </c>
      <c r="EA982" s="143">
        <v>0</v>
      </c>
      <c r="EB982">
        <v>0</v>
      </c>
      <c r="EC982">
        <v>0</v>
      </c>
      <c r="ED982">
        <v>0</v>
      </c>
      <c r="EE982">
        <v>0</v>
      </c>
      <c r="EF982">
        <v>1</v>
      </c>
      <c r="EG982">
        <v>0</v>
      </c>
      <c r="EH982">
        <v>0</v>
      </c>
      <c r="EI982" s="2">
        <v>0</v>
      </c>
      <c r="EK982" t="str">
        <f>IF(AND(AND(AND(OR($DX982=1,$DW982=1),OR($EC982=1,$EA982=1)),SUM($DV982:$DZ982,$EF982)&gt;=4),SUM($EA982:$EE982)&gt;=2),"Whole sector","")</f>
        <v/>
      </c>
      <c r="EL982" t="str">
        <f>IF(AND(AND(OR($DX982=1,$DW982=1),AND($EC982=0,$EA982=0)),SUM($DV982:$DZ982,$EF982)&gt;=4),"Ecosystem approach","")</f>
        <v>Ecosystem approach</v>
      </c>
      <c r="EM982" s="2" t="str">
        <f>IF(AND(AND(AND($DX982=0,$DW982=0),OR($EC982=1,$EA982=1)),SUM($EB982:$EE982)&gt;=2),"Technology approach","")</f>
        <v/>
      </c>
      <c r="EP982" t="str">
        <f>IF(ISNUMBER(BU982),IF(ABS(BU982-[3]QC_indicators!$B$2)&gt;3*[3]QC_indicators!$C$2,"C ratio",IF(ISNUMBER(BY982),IF(ABS(BY982-[3]QC_indicators!$B$1)&gt;3*[3]QC_indicators!$C$1,"DF","no"))),IF(ISNUMBER(BY982),IF(ABS(BY982-[3]QC_indicators!$B$1)&gt;3*[3]QC_indicators!$C$1,"DF","no")))</f>
        <v>no</v>
      </c>
      <c r="ET982" s="264" t="s">
        <v>3407</v>
      </c>
    </row>
    <row r="983" spans="1:150" ht="15" customHeight="1">
      <c r="A983" s="1" t="s">
        <v>1423</v>
      </c>
      <c r="B983" t="s">
        <v>2490</v>
      </c>
      <c r="C983" t="s">
        <v>2491</v>
      </c>
      <c r="D983" t="s">
        <v>2492</v>
      </c>
      <c r="E983" t="s">
        <v>2493</v>
      </c>
      <c r="F983" t="s">
        <v>2494</v>
      </c>
      <c r="G983" t="s">
        <v>1429</v>
      </c>
      <c r="H983" t="s">
        <v>254</v>
      </c>
      <c r="I983">
        <v>2016</v>
      </c>
      <c r="J983">
        <v>24</v>
      </c>
      <c r="K983" t="s">
        <v>2495</v>
      </c>
      <c r="M983" t="str">
        <f>LEFT($D983,FIND(",",$D983)-1)&amp;"_"&amp;I983&amp;L983</f>
        <v>Zubizarreta-Gerendiain_2016</v>
      </c>
      <c r="N983" t="s">
        <v>222</v>
      </c>
      <c r="O983" s="145" t="s">
        <v>1154</v>
      </c>
      <c r="Q983" t="s">
        <v>256</v>
      </c>
      <c r="R983" s="262" t="s">
        <v>223</v>
      </c>
      <c r="S983" s="1" t="s">
        <v>2518</v>
      </c>
      <c r="T983" t="s">
        <v>2504</v>
      </c>
      <c r="U983" t="s">
        <v>2520</v>
      </c>
      <c r="V983">
        <v>0</v>
      </c>
      <c r="W983">
        <v>0</v>
      </c>
      <c r="X983">
        <v>0</v>
      </c>
      <c r="Y983">
        <v>0</v>
      </c>
      <c r="Z983">
        <v>0</v>
      </c>
      <c r="AA983">
        <v>0</v>
      </c>
      <c r="AB983">
        <v>0</v>
      </c>
      <c r="AC983">
        <v>0</v>
      </c>
      <c r="AD983">
        <v>0</v>
      </c>
      <c r="AE983">
        <v>0</v>
      </c>
      <c r="AF983">
        <v>1</v>
      </c>
      <c r="AG983">
        <v>0</v>
      </c>
      <c r="AH983">
        <v>0</v>
      </c>
      <c r="AI983">
        <v>0</v>
      </c>
      <c r="AJ983">
        <v>0</v>
      </c>
      <c r="AK983">
        <v>0</v>
      </c>
      <c r="AL983">
        <v>0</v>
      </c>
      <c r="AM983">
        <v>0</v>
      </c>
      <c r="AN983">
        <v>0</v>
      </c>
      <c r="AO983">
        <v>0</v>
      </c>
      <c r="AP983">
        <v>0</v>
      </c>
      <c r="AQ983">
        <v>0</v>
      </c>
      <c r="AR983">
        <v>0</v>
      </c>
      <c r="AS983">
        <v>0</v>
      </c>
      <c r="AT983">
        <v>0</v>
      </c>
      <c r="AU983">
        <v>0</v>
      </c>
      <c r="AV983">
        <v>0</v>
      </c>
      <c r="AW983">
        <v>0</v>
      </c>
      <c r="AX983" s="141">
        <f>COUNTIF(V983:AW983,"&lt;&gt;0")</f>
        <v>1</v>
      </c>
      <c r="AY983" s="141">
        <f>COUNTIF(V983:AL983,"&lt;&gt;0")</f>
        <v>1</v>
      </c>
      <c r="AZ983">
        <f>COUNTIF(V983:AC983,"&lt;&gt;0")</f>
        <v>0</v>
      </c>
      <c r="BA983">
        <f>COUNTIF(AD983:AI983,"&lt;&gt;0")</f>
        <v>1</v>
      </c>
      <c r="BB983">
        <f>COUNTIF(AJ983:AL983,"&lt;&gt;0")</f>
        <v>0</v>
      </c>
      <c r="BC983">
        <f>COUNTIF(AS983:AW983,"&lt;&gt;0")</f>
        <v>0</v>
      </c>
      <c r="BD983">
        <f>COUNTIF(AM983:AR983,"&lt;&gt;0")</f>
        <v>0</v>
      </c>
      <c r="BE983" t="str">
        <f t="array" ref="BE983">IF(AY983=1,INDEX($V$7:$AL$7,MATCH(TRUE,INDEX($V983:$AW983&lt;&gt;0,),0)),IF(AY983=0,INDEX($AM$7:$AW$7,MATCH(1,$AM983:$AW983,0)),IF(BF983="Multiple strategies","mixed drivers",IF(BF983="Supply chain","multiple supply","multiple silviculture"))))</f>
        <v>supply chain organization</v>
      </c>
      <c r="BF983" s="2" t="str" cm="1">
        <f t="array" ref="BF983">IF(COUNTIF(AZ983:BB983,"&lt;&gt;0")=1,INDEX($V$4:$AW$4,MATCH(TRUE,INDEX($V983:$AW983&lt;&gt;0,),0)),IF(COUNTIF(AZ983:BB983,"&lt;&gt;0")=0,INDEX($AM$4:$AW$4,MATCH(1,$AM983:$AW983,0)),"Multiple strategies"))</f>
        <v>Supply chain</v>
      </c>
      <c r="BG983" s="1" t="s">
        <v>321</v>
      </c>
      <c r="BH983" t="s">
        <v>2499</v>
      </c>
      <c r="BI983" s="264" t="s">
        <v>2113</v>
      </c>
      <c r="BJ983" t="s">
        <v>2500</v>
      </c>
      <c r="BK983">
        <v>82.634271099744197</v>
      </c>
      <c r="BL983">
        <v>84.015345268542205</v>
      </c>
      <c r="BM983" s="143">
        <f>BL983/BK983</f>
        <v>1.0167130919220062</v>
      </c>
      <c r="BN983">
        <f>BL983-BK983</f>
        <v>1.3810741687980084</v>
      </c>
      <c r="BO983">
        <f>BN983*1000*t_to_m3</f>
        <v>2818.5187118326703</v>
      </c>
      <c r="BP983" s="143" t="s">
        <v>232</v>
      </c>
      <c r="BQ983" s="143" t="s">
        <v>3256</v>
      </c>
      <c r="BR983" t="s">
        <v>1195</v>
      </c>
      <c r="BS983">
        <v>12625.588954781248</v>
      </c>
      <c r="BT983">
        <v>20883.088954780931</v>
      </c>
      <c r="BU983" s="144">
        <f>IFERROR(BT983/BS983,"")</f>
        <v>1.6540288955686784</v>
      </c>
      <c r="BV983" s="144">
        <f>BT983-BS983</f>
        <v>8257.4999999996835</v>
      </c>
      <c r="BW983" s="144"/>
      <c r="BX983" s="144">
        <f>BV983</f>
        <v>8257.4999999996835</v>
      </c>
      <c r="BY983">
        <f>IFERROR(BX983/BO983,"")</f>
        <v>2.9297304166664389</v>
      </c>
      <c r="BZ983">
        <v>0</v>
      </c>
      <c r="CA983">
        <v>0</v>
      </c>
      <c r="CB983">
        <v>0</v>
      </c>
      <c r="CC983">
        <v>0</v>
      </c>
      <c r="CD983">
        <v>0</v>
      </c>
      <c r="CE983">
        <v>0</v>
      </c>
      <c r="CF983">
        <v>0</v>
      </c>
      <c r="CG983">
        <v>0</v>
      </c>
      <c r="CH983">
        <v>0</v>
      </c>
      <c r="CI983">
        <v>0</v>
      </c>
      <c r="CJ983">
        <v>0</v>
      </c>
      <c r="CK983">
        <v>0</v>
      </c>
      <c r="CL983">
        <v>0</v>
      </c>
      <c r="CM983">
        <v>1</v>
      </c>
      <c r="CN983" t="str">
        <f>IF($BL983&lt;$BK983,"refNeedCorrection","refOK")</f>
        <v>refOK</v>
      </c>
      <c r="CO983">
        <f>IF($CN983="refOK",$BK983,$BL983)</f>
        <v>82.634271099744197</v>
      </c>
      <c r="CP983">
        <f>IF($CN983="refOK",$BL983,$BK983)</f>
        <v>84.015345268542205</v>
      </c>
      <c r="CQ983">
        <f>IF($CN983="refOK",$BO983,-$BO983)</f>
        <v>2818.5187118326703</v>
      </c>
      <c r="CR983">
        <f>IF($CN983="refOK",$BS983,$BT983)*IF($BP983="Emissions positive",-1,1)</f>
        <v>12625.588954781248</v>
      </c>
      <c r="CS983">
        <f>IF($CN983="refOK",$BT983,$BS983)*IF($BP983="Emissions positive",-1,1)</f>
        <v>20883.088954780931</v>
      </c>
      <c r="CT983">
        <f>IF($CN983="refNeedCorrection",-BX983,BX983)*IF($BP983="Emissions positive",-1,1)</f>
        <v>8257.4999999996835</v>
      </c>
      <c r="CU983">
        <f>IFERROR(CT983/CQ983,"")</f>
        <v>2.9297304166664389</v>
      </c>
      <c r="CV983" s="2">
        <f>IFERROR((CS983-CR983)/ABS(CR983),"")</f>
        <v>0.65402889556867838</v>
      </c>
      <c r="CW983" s="1" t="s">
        <v>1199</v>
      </c>
      <c r="CX983" t="str">
        <f>IF(OR($CW983="prd",$CW983="std",$CW983="cit"),"loc",IF(OR($CW983="eur",$CW983="reg",$CW983="coy"),"reg",$CW983))</f>
        <v>reg</v>
      </c>
      <c r="CY983" t="s">
        <v>235</v>
      </c>
      <c r="CZ983">
        <v>2010</v>
      </c>
      <c r="DA983">
        <v>2070</v>
      </c>
      <c r="DB983">
        <f>DA983-CZ983</f>
        <v>60</v>
      </c>
      <c r="DC983" t="str">
        <f>IF(DB983=0,"0",IF(AND(DB983&gt;=1,DB983&lt;=30),"1-30",IF(AND(DB983&gt;30,DB983&lt;=70),"31-70",IF(AND(DB983&gt;70,DB983&lt;=100),"71-100",IF(DB983&gt;100,"+100")))))</f>
        <v>31-70</v>
      </c>
      <c r="DD983">
        <v>1</v>
      </c>
      <c r="DE983">
        <v>1</v>
      </c>
      <c r="DF983">
        <v>1</v>
      </c>
      <c r="DG983">
        <v>1</v>
      </c>
      <c r="DH983">
        <v>0</v>
      </c>
      <c r="DI983">
        <f>SUM(DD983:DG983)</f>
        <v>4</v>
      </c>
      <c r="DJ983" t="str">
        <f>IF(DI983=1,INDEX($DD$7:$DG$7,MATCH(1,$DD983:$DG983,0)),"mixedProduct")</f>
        <v>mixedProduct</v>
      </c>
      <c r="DK983" t="str">
        <f>IF(DD983=1,DK$7,0)</f>
        <v>Upstream</v>
      </c>
      <c r="DL983" t="str">
        <f>IF(DE983=1,DL$7,0)</f>
        <v>Energy</v>
      </c>
      <c r="DM983" t="str">
        <f>IF(DF983=1,DM$7,0)</f>
        <v>Pulp/Paper</v>
      </c>
      <c r="DN983" t="str">
        <f>IF(DG983=1,DN$7,0)</f>
        <v>Timber</v>
      </c>
      <c r="DO983">
        <v>0</v>
      </c>
      <c r="DP983">
        <v>1</v>
      </c>
      <c r="DQ983" t="s">
        <v>2524</v>
      </c>
      <c r="DR983" t="s">
        <v>2525</v>
      </c>
      <c r="DS983">
        <v>0</v>
      </c>
      <c r="DT983">
        <f>SUM(DO983:DP983)</f>
        <v>1</v>
      </c>
      <c r="DU983" s="143" t="str">
        <f>IF(DO983=1,"self-calculated DF",IF(DP983=1,"external DF used","explicit C balance"))</f>
        <v>external DF used</v>
      </c>
      <c r="DV983">
        <v>1</v>
      </c>
      <c r="DW983">
        <v>1</v>
      </c>
      <c r="DX983">
        <v>1</v>
      </c>
      <c r="DY983">
        <v>1</v>
      </c>
      <c r="DZ983">
        <v>0</v>
      </c>
      <c r="EA983" s="143">
        <v>1</v>
      </c>
      <c r="EB983">
        <v>1</v>
      </c>
      <c r="EC983">
        <v>1</v>
      </c>
      <c r="ED983">
        <v>0</v>
      </c>
      <c r="EE983">
        <v>0</v>
      </c>
      <c r="EF983">
        <v>1</v>
      </c>
      <c r="EG983">
        <v>0</v>
      </c>
      <c r="EH983">
        <v>0</v>
      </c>
      <c r="EI983" s="2">
        <v>0</v>
      </c>
      <c r="EK983" t="str">
        <f>IF(AND(AND(AND(OR($DX983=1,$DW983=1),OR($EC983=1,$EA983=1)),SUM($DV983:$DZ983,$EF983)&gt;=4),SUM($EA983:$EE983)&gt;=2),"Whole sector","")</f>
        <v>Whole sector</v>
      </c>
      <c r="EL983" t="str">
        <f>IF(AND(AND(OR($DX983=1,$DW983=1),AND($EC983=0,$EA983=0)),SUM($DV983:$DZ983,$EF983)&gt;=4),"Ecosystem approach","")</f>
        <v/>
      </c>
      <c r="EM983" s="2" t="str">
        <f>IF(AND(AND(AND($DX983=0,$DW983=0),OR($EC983=1,$EA983=1)),SUM($EB983:$EE983)&gt;=2),"Technology approach","")</f>
        <v/>
      </c>
      <c r="EN983" t="s">
        <v>2508</v>
      </c>
      <c r="EP983" t="str">
        <f>IF(ISNUMBER(BU983),IF(ABS(BU983-[1]QC_indicators!$B$2)&gt;3*[1]QC_indicators!$C$2,"C ratio",IF(ISNUMBER(BY983),IF(ABS(BY983-[1]QC_indicators!$B$1)&gt;3*[1]QC_indicators!$C$1,"DF","no"))),IF(ISNUMBER(BY983),IF(ABS(BY983-[1]QC_indicators!$B$1)&gt;3*[1]QC_indicators!$C$1,"DF","no")))</f>
        <v>no</v>
      </c>
      <c r="ET983" s="264" t="s">
        <v>3260</v>
      </c>
    </row>
    <row r="984" spans="1:150" ht="15" customHeight="1">
      <c r="A984" s="1" t="s">
        <v>247</v>
      </c>
      <c r="B984" t="s">
        <v>1028</v>
      </c>
      <c r="C984" t="s">
        <v>1029</v>
      </c>
      <c r="D984" t="s">
        <v>1030</v>
      </c>
      <c r="E984" t="s">
        <v>1031</v>
      </c>
      <c r="F984" t="s">
        <v>1032</v>
      </c>
      <c r="G984" t="s">
        <v>253</v>
      </c>
      <c r="H984" t="s">
        <v>254</v>
      </c>
      <c r="I984">
        <v>2021</v>
      </c>
      <c r="J984">
        <v>0</v>
      </c>
      <c r="K984" t="s">
        <v>1033</v>
      </c>
      <c r="M984" t="str">
        <f>LEFT($D984,FIND(",",$D984)-1)&amp;"_"&amp;I984&amp;L984</f>
        <v>Piccardo_2021</v>
      </c>
      <c r="N984" t="s">
        <v>222</v>
      </c>
      <c r="O984" s="171" t="s">
        <v>513</v>
      </c>
      <c r="P984" s="141" t="s">
        <v>225</v>
      </c>
      <c r="Q984" t="s">
        <v>389</v>
      </c>
      <c r="R984" s="262" t="s">
        <v>223</v>
      </c>
      <c r="S984" s="1" t="s">
        <v>1041</v>
      </c>
      <c r="T984" s="264" t="s">
        <v>3214</v>
      </c>
      <c r="U984" s="264" t="s">
        <v>3219</v>
      </c>
      <c r="V984">
        <v>0</v>
      </c>
      <c r="W984">
        <v>0</v>
      </c>
      <c r="X984">
        <v>0</v>
      </c>
      <c r="Y984">
        <v>0</v>
      </c>
      <c r="Z984">
        <v>0</v>
      </c>
      <c r="AA984">
        <v>0</v>
      </c>
      <c r="AB984">
        <v>0</v>
      </c>
      <c r="AC984">
        <v>0</v>
      </c>
      <c r="AD984">
        <v>0</v>
      </c>
      <c r="AE984">
        <v>0</v>
      </c>
      <c r="AF984">
        <v>0</v>
      </c>
      <c r="AG984">
        <v>0</v>
      </c>
      <c r="AH984">
        <v>0</v>
      </c>
      <c r="AI984">
        <v>0</v>
      </c>
      <c r="AJ984">
        <v>0</v>
      </c>
      <c r="AK984">
        <v>1</v>
      </c>
      <c r="AL984">
        <v>0</v>
      </c>
      <c r="AM984">
        <v>0</v>
      </c>
      <c r="AN984">
        <v>0</v>
      </c>
      <c r="AO984">
        <v>0</v>
      </c>
      <c r="AP984">
        <v>0</v>
      </c>
      <c r="AQ984">
        <v>0</v>
      </c>
      <c r="AR984">
        <v>0</v>
      </c>
      <c r="AS984">
        <v>0</v>
      </c>
      <c r="AT984">
        <v>0</v>
      </c>
      <c r="AU984">
        <v>0</v>
      </c>
      <c r="AV984">
        <v>0</v>
      </c>
      <c r="AW984">
        <v>0</v>
      </c>
      <c r="AX984" s="141">
        <f>COUNTIF(V984:AW984,"&lt;&gt;0")</f>
        <v>1</v>
      </c>
      <c r="AY984" s="141">
        <f>COUNTIF(V984:AL984,"&lt;&gt;0")</f>
        <v>1</v>
      </c>
      <c r="AZ984">
        <f>COUNTIF(V984:AC984,"&lt;&gt;0")</f>
        <v>0</v>
      </c>
      <c r="BA984">
        <f>COUNTIF(AD984:AI984,"&lt;&gt;0")</f>
        <v>0</v>
      </c>
      <c r="BB984">
        <f>COUNTIF(AJ984:AL984,"&lt;&gt;0")</f>
        <v>1</v>
      </c>
      <c r="BC984">
        <f>COUNTIF(AS984:AW984,"&lt;&gt;0")</f>
        <v>0</v>
      </c>
      <c r="BD984">
        <f>COUNTIF(AM984:AR984,"&lt;&gt;0")</f>
        <v>0</v>
      </c>
      <c r="BE984" t="str">
        <f t="array" ref="BE984">IF(AY984=1,INDEX($V$7:$AL$7,MATCH(TRUE,INDEX($V984:$AW984&lt;&gt;0,),0)),IF(AY984=0,INDEX($AM$7:$AW$7,MATCH(1,$AM984:$AW984,0)),IF(BF984="Multiple strategies","mixed drivers",IF(BF984="Supply chain","multiple supply","multiple silviculture"))))</f>
        <v>technologies/design switch</v>
      </c>
      <c r="BF984" s="2" t="str" cm="1">
        <f t="array" ref="BF984">IF(COUNTIF(AZ984:BB984,"&lt;&gt;0")=1,INDEX($V$4:$AW$4,MATCH(TRUE,INDEX($V984:$AW984&lt;&gt;0,),0)),IF(COUNTIF(AZ984:BB984,"&lt;&gt;0")=0,INDEX($AM$4:$AW$4,MATCH(1,$AM984:$AW984,0)),"Multiple strategies"))</f>
        <v>Technology</v>
      </c>
      <c r="BG984" s="142" t="s">
        <v>229</v>
      </c>
      <c r="BH984" t="s">
        <v>1035</v>
      </c>
      <c r="BI984" t="s">
        <v>1036</v>
      </c>
      <c r="BJ984" t="s">
        <v>1037</v>
      </c>
      <c r="BK984">
        <f>35+3+20+8+8</f>
        <v>74</v>
      </c>
      <c r="BL984">
        <f>8+103+26+23+35+3+8+8</f>
        <v>214</v>
      </c>
      <c r="BM984">
        <f>IFERROR(BL984/BK984,"")</f>
        <v>2.8918918918918921</v>
      </c>
      <c r="BN984">
        <f>BL984-BK984</f>
        <v>140</v>
      </c>
      <c r="BO984">
        <f>BN984*t_to_m3</f>
        <v>285.71428571428572</v>
      </c>
      <c r="BP984" t="s">
        <v>395</v>
      </c>
      <c r="BQ984" t="s">
        <v>1038</v>
      </c>
      <c r="BR984" t="s">
        <v>1039</v>
      </c>
      <c r="BS984">
        <v>99</v>
      </c>
      <c r="BT984">
        <v>-747</v>
      </c>
      <c r="BU984" s="144"/>
      <c r="BV984">
        <f>(BT984-BS984)</f>
        <v>-846</v>
      </c>
      <c r="BX984">
        <f>BV984</f>
        <v>-846</v>
      </c>
      <c r="BY984">
        <f>IFERROR(BX984/BO984,"")</f>
        <v>-2.9609999999999999</v>
      </c>
      <c r="BZ984">
        <v>0</v>
      </c>
      <c r="CA984">
        <v>0</v>
      </c>
      <c r="CB984">
        <v>0</v>
      </c>
      <c r="CC984">
        <v>0</v>
      </c>
      <c r="CD984">
        <v>0</v>
      </c>
      <c r="CE984">
        <v>0</v>
      </c>
      <c r="CF984">
        <v>0</v>
      </c>
      <c r="CG984">
        <v>0</v>
      </c>
      <c r="CH984">
        <v>0</v>
      </c>
      <c r="CI984">
        <v>0</v>
      </c>
      <c r="CJ984">
        <v>0</v>
      </c>
      <c r="CK984">
        <v>0</v>
      </c>
      <c r="CL984">
        <v>0</v>
      </c>
      <c r="CM984">
        <v>0</v>
      </c>
      <c r="CN984" t="str">
        <f>IF($BL984&lt;$BK984,"refNeedCorrection","refOK")</f>
        <v>refOK</v>
      </c>
      <c r="CO984">
        <f>IF($CN984="refOK",$BK984,$BL984)</f>
        <v>74</v>
      </c>
      <c r="CP984">
        <f>IF($CN984="refOK",$BL984,$BK984)</f>
        <v>214</v>
      </c>
      <c r="CQ984">
        <f>IF($CN984="refOK",$BO984,-$BO984)</f>
        <v>285.71428571428572</v>
      </c>
      <c r="CR984">
        <f>IF($CN984="refOK",$BS984,$BT984)*IF($BP984="Emissions positive",-1,1)</f>
        <v>-99</v>
      </c>
      <c r="CS984">
        <f>IF($CN984="refOK",$BT984,$BS984)*IF($BP984="Emissions positive",-1,1)</f>
        <v>747</v>
      </c>
      <c r="CT984">
        <f>IF($CN984="refNeedCorrection",-BX984,BX984)*IF($BP984="Emissions positive",-1,1)</f>
        <v>846</v>
      </c>
      <c r="CU984">
        <f>IFERROR(CT984/CQ984,"")</f>
        <v>2.9609999999999999</v>
      </c>
      <c r="CV984" s="2">
        <f>IFERROR((CS984-CR984)/ABS(CR984),"")</f>
        <v>8.545454545454545</v>
      </c>
      <c r="CW984" s="1" t="s">
        <v>263</v>
      </c>
      <c r="CX984" t="str">
        <f>IF(OR($CW984="prd",$CW984="std",$CW984="cit"),"loc",IF(OR($CW984="eur",$CW984="reg",$CW984="coy"),"reg",$CW984))</f>
        <v>loc</v>
      </c>
      <c r="CY984" t="s">
        <v>743</v>
      </c>
      <c r="DB984">
        <v>50</v>
      </c>
      <c r="DC984" t="str">
        <f>IF(DB984=0,"0",IF(AND(DB984&gt;=1,DB984&lt;=30),"1-30",IF(AND(DB984&gt;30,DB984&lt;=70),"31-70",IF(AND(DB984&gt;70,DB984&lt;=100),"71-100",IF(DB984&gt;100,"+100")))))</f>
        <v>31-70</v>
      </c>
      <c r="DD984">
        <v>0</v>
      </c>
      <c r="DE984">
        <v>0</v>
      </c>
      <c r="DF984">
        <v>1</v>
      </c>
      <c r="DG984">
        <v>1</v>
      </c>
      <c r="DI984">
        <f>SUM(DD984:DG984)</f>
        <v>2</v>
      </c>
      <c r="DJ984" t="str">
        <f>IF(DI984=1,INDEX($DD$7:$DG$7,MATCH(1,$DD984:$DG984,0)),"mixedProduct")</f>
        <v>mixedProduct</v>
      </c>
      <c r="DK984">
        <f>IF(DD984=1,DK$7,0)</f>
        <v>0</v>
      </c>
      <c r="DL984">
        <f>IF(DE984=1,DL$7,0)</f>
        <v>0</v>
      </c>
      <c r="DM984" t="str">
        <f>IF(DF984=1,DM$7,0)</f>
        <v>Pulp/Paper</v>
      </c>
      <c r="DN984" t="str">
        <f>IF(DG984=1,DN$7,0)</f>
        <v>Timber</v>
      </c>
      <c r="DO984">
        <v>1</v>
      </c>
      <c r="DP984">
        <v>0</v>
      </c>
      <c r="DQ984">
        <v>0</v>
      </c>
      <c r="DR984">
        <v>0</v>
      </c>
      <c r="DS984">
        <v>0</v>
      </c>
      <c r="DT984">
        <f>SUM(DO984:DP984)</f>
        <v>1</v>
      </c>
      <c r="DU984" s="143" t="str">
        <f>IF(DO984=1,"self-calculated DF",IF(DP984=1,"external DF used","explicit C balance"))</f>
        <v>self-calculated DF</v>
      </c>
      <c r="DV984">
        <v>0</v>
      </c>
      <c r="DW984">
        <v>0</v>
      </c>
      <c r="DX984">
        <v>0</v>
      </c>
      <c r="DY984">
        <v>1</v>
      </c>
      <c r="DZ984">
        <v>1</v>
      </c>
      <c r="EA984">
        <v>1</v>
      </c>
      <c r="EB984">
        <v>0</v>
      </c>
      <c r="EC984">
        <v>1</v>
      </c>
      <c r="ED984">
        <v>1</v>
      </c>
      <c r="EE984">
        <v>1</v>
      </c>
      <c r="EF984">
        <v>0</v>
      </c>
      <c r="EG984" s="143">
        <v>0</v>
      </c>
      <c r="EH984" s="143">
        <v>0</v>
      </c>
      <c r="EI984" s="2">
        <v>0</v>
      </c>
      <c r="EK984" t="str">
        <f>IF(AND(AND(AND(OR($DX984=1,$DW984=1),OR($EC984=1,$EA984=1)),SUM($DV984:$DZ984,$EF984)&gt;=4),SUM($EA984:$EE984)&gt;=2),"Whole sector","")</f>
        <v/>
      </c>
      <c r="EL984" t="str">
        <f>IF(AND(AND(OR($DX984=1,$DW984=1),AND($EC984=0,$EA984=0)),SUM($DV984:$DZ984,$EF984)&gt;=4),"Ecosystem approach","")</f>
        <v/>
      </c>
      <c r="EM984" s="2" t="str">
        <f>IF(AND(AND(AND($DX984=0,$DW984=0),OR($EC984=1,$EA984=1)),SUM($EB984:$EE984)&gt;=2),"Technology approach","")</f>
        <v>Technology approach</v>
      </c>
      <c r="EP984" t="str">
        <f>IF(ISNUMBER(BU984),IF(ABS(BU984-[1]QC_indicators!$B$2)&gt;3*[1]QC_indicators!$C$2,"C ratio",IF(ISNUMBER(BY984),IF(ABS(BY984-[1]QC_indicators!$B$1)&gt;3*[1]QC_indicators!$C$1,"DF","no"))),IF(ISNUMBER(BY984),IF(ABS(BY984-[1]QC_indicators!$B$1)&gt;3*[1]QC_indicators!$C$1,"DF","no")))</f>
        <v>no</v>
      </c>
      <c r="ET984" s="264" t="s">
        <v>3216</v>
      </c>
    </row>
    <row r="985" spans="1:150" ht="15" customHeight="1">
      <c r="A985" s="1" t="s">
        <v>1423</v>
      </c>
      <c r="B985" t="s">
        <v>2490</v>
      </c>
      <c r="C985" t="s">
        <v>2491</v>
      </c>
      <c r="D985" t="s">
        <v>2492</v>
      </c>
      <c r="E985" t="s">
        <v>2493</v>
      </c>
      <c r="F985" t="s">
        <v>2494</v>
      </c>
      <c r="G985" t="s">
        <v>1429</v>
      </c>
      <c r="H985" t="s">
        <v>254</v>
      </c>
      <c r="I985">
        <v>2016</v>
      </c>
      <c r="J985">
        <v>24</v>
      </c>
      <c r="K985" t="s">
        <v>2495</v>
      </c>
      <c r="M985" t="str">
        <f>LEFT($D985,FIND(",",$D985)-1)&amp;"_"&amp;I985&amp;L985</f>
        <v>Zubizarreta-Gerendiain_2016</v>
      </c>
      <c r="N985" t="s">
        <v>222</v>
      </c>
      <c r="O985" s="145" t="s">
        <v>1154</v>
      </c>
      <c r="Q985" t="s">
        <v>256</v>
      </c>
      <c r="R985" s="262" t="s">
        <v>223</v>
      </c>
      <c r="S985" s="1" t="s">
        <v>2518</v>
      </c>
      <c r="T985" t="s">
        <v>2498</v>
      </c>
      <c r="U985" t="s">
        <v>2519</v>
      </c>
      <c r="V985">
        <v>0</v>
      </c>
      <c r="W985">
        <v>0</v>
      </c>
      <c r="X985">
        <v>0</v>
      </c>
      <c r="Y985">
        <v>0</v>
      </c>
      <c r="Z985">
        <v>0</v>
      </c>
      <c r="AA985">
        <v>0</v>
      </c>
      <c r="AB985">
        <v>0</v>
      </c>
      <c r="AC985">
        <v>0</v>
      </c>
      <c r="AD985">
        <v>0</v>
      </c>
      <c r="AE985">
        <v>0</v>
      </c>
      <c r="AF985">
        <v>1</v>
      </c>
      <c r="AG985">
        <v>0</v>
      </c>
      <c r="AH985">
        <v>0</v>
      </c>
      <c r="AI985">
        <v>0</v>
      </c>
      <c r="AJ985">
        <v>0</v>
      </c>
      <c r="AK985">
        <v>0</v>
      </c>
      <c r="AL985">
        <v>0</v>
      </c>
      <c r="AM985">
        <v>0</v>
      </c>
      <c r="AN985">
        <v>0</v>
      </c>
      <c r="AO985">
        <v>0</v>
      </c>
      <c r="AP985">
        <v>0</v>
      </c>
      <c r="AQ985">
        <v>0</v>
      </c>
      <c r="AR985">
        <v>0</v>
      </c>
      <c r="AS985">
        <v>0</v>
      </c>
      <c r="AT985">
        <v>0</v>
      </c>
      <c r="AU985">
        <v>0</v>
      </c>
      <c r="AV985">
        <v>0</v>
      </c>
      <c r="AW985">
        <v>0</v>
      </c>
      <c r="AX985" s="141">
        <f>COUNTIF(V985:AW985,"&lt;&gt;0")</f>
        <v>1</v>
      </c>
      <c r="AY985" s="141">
        <f>COUNTIF(V985:AL985,"&lt;&gt;0")</f>
        <v>1</v>
      </c>
      <c r="AZ985">
        <f>COUNTIF(V985:AC985,"&lt;&gt;0")</f>
        <v>0</v>
      </c>
      <c r="BA985">
        <f>COUNTIF(AD985:AI985,"&lt;&gt;0")</f>
        <v>1</v>
      </c>
      <c r="BB985">
        <f>COUNTIF(AJ985:AL985,"&lt;&gt;0")</f>
        <v>0</v>
      </c>
      <c r="BC985">
        <f>COUNTIF(AS985:AW985,"&lt;&gt;0")</f>
        <v>0</v>
      </c>
      <c r="BD985">
        <f>COUNTIF(AM985:AR985,"&lt;&gt;0")</f>
        <v>0</v>
      </c>
      <c r="BE985" t="str">
        <f t="array" ref="BE985">IF(AY985=1,INDEX($V$7:$AL$7,MATCH(TRUE,INDEX($V985:$AW985&lt;&gt;0,),0)),IF(AY985=0,INDEX($AM$7:$AW$7,MATCH(1,$AM985:$AW985,0)),IF(BF985="Multiple strategies","mixed drivers",IF(BF985="Supply chain","multiple supply","multiple silviculture"))))</f>
        <v>supply chain organization</v>
      </c>
      <c r="BF985" s="2" t="str" cm="1">
        <f t="array" ref="BF985">IF(COUNTIF(AZ985:BB985,"&lt;&gt;0")=1,INDEX($V$4:$AW$4,MATCH(TRUE,INDEX($V985:$AW985&lt;&gt;0,),0)),IF(COUNTIF(AZ985:BB985,"&lt;&gt;0")=0,INDEX($AM$4:$AW$4,MATCH(1,$AM985:$AW985,0)),"Multiple strategies"))</f>
        <v>Supply chain</v>
      </c>
      <c r="BG985" s="1" t="s">
        <v>321</v>
      </c>
      <c r="BH985" t="s">
        <v>2499</v>
      </c>
      <c r="BI985" s="264" t="s">
        <v>2113</v>
      </c>
      <c r="BJ985" t="s">
        <v>2500</v>
      </c>
      <c r="BK985">
        <v>82.946708463949804</v>
      </c>
      <c r="BL985">
        <v>84.921630094043806</v>
      </c>
      <c r="BM985" s="143">
        <f>BL985/BK985</f>
        <v>1.0238095238095233</v>
      </c>
      <c r="BN985">
        <f>BL985-BK985</f>
        <v>1.974921630094002</v>
      </c>
      <c r="BO985">
        <f>BN985*1000*t_to_m3</f>
        <v>4030.4523063142901</v>
      </c>
      <c r="BP985" s="143" t="s">
        <v>232</v>
      </c>
      <c r="BQ985" s="143" t="s">
        <v>3256</v>
      </c>
      <c r="BR985" t="s">
        <v>1195</v>
      </c>
      <c r="BS985">
        <v>-27756.76357541895</v>
      </c>
      <c r="BT985">
        <v>-15389.888715083767</v>
      </c>
      <c r="BU985" s="144">
        <f>IFERROR(BT985/BS985,"")</f>
        <v>0.55445544554455417</v>
      </c>
      <c r="BV985" s="144">
        <f>BT985-BS985</f>
        <v>12366.874860335183</v>
      </c>
      <c r="BW985" s="144"/>
      <c r="BX985" s="144">
        <f>BV985</f>
        <v>12366.874860335183</v>
      </c>
      <c r="BY985">
        <f>IFERROR(BX985/BO985,"")</f>
        <v>3.0683590625698942</v>
      </c>
      <c r="BZ985">
        <v>0</v>
      </c>
      <c r="CA985">
        <v>0</v>
      </c>
      <c r="CB985">
        <v>0</v>
      </c>
      <c r="CC985">
        <v>0</v>
      </c>
      <c r="CD985">
        <v>0</v>
      </c>
      <c r="CE985">
        <v>0</v>
      </c>
      <c r="CF985">
        <v>0</v>
      </c>
      <c r="CG985">
        <v>0</v>
      </c>
      <c r="CH985">
        <v>0</v>
      </c>
      <c r="CI985">
        <v>0</v>
      </c>
      <c r="CJ985">
        <v>0</v>
      </c>
      <c r="CK985">
        <v>0</v>
      </c>
      <c r="CL985">
        <v>0</v>
      </c>
      <c r="CM985">
        <v>1</v>
      </c>
      <c r="CN985" t="str">
        <f>IF($BL985&lt;$BK985,"refNeedCorrection","refOK")</f>
        <v>refOK</v>
      </c>
      <c r="CO985">
        <f>IF($CN985="refOK",$BK985,$BL985)</f>
        <v>82.946708463949804</v>
      </c>
      <c r="CP985">
        <f>IF($CN985="refOK",$BL985,$BK985)</f>
        <v>84.921630094043806</v>
      </c>
      <c r="CQ985">
        <f>IF($CN985="refOK",$BO985,-$BO985)</f>
        <v>4030.4523063142901</v>
      </c>
      <c r="CR985">
        <f>IF($CN985="refOK",$BS985,$BT985)*IF($BP985="Emissions positive",-1,1)</f>
        <v>-27756.76357541895</v>
      </c>
      <c r="CS985">
        <f>IF($CN985="refOK",$BT985,$BS985)*IF($BP985="Emissions positive",-1,1)</f>
        <v>-15389.888715083767</v>
      </c>
      <c r="CT985">
        <f>IF($CN985="refNeedCorrection",-BX985,BX985)*IF($BP985="Emissions positive",-1,1)</f>
        <v>12366.874860335183</v>
      </c>
      <c r="CU985">
        <f>IFERROR(CT985/CQ985,"")</f>
        <v>3.0683590625698942</v>
      </c>
      <c r="CV985" s="2">
        <f>IFERROR((CS985-CR985)/ABS(CR985),"")</f>
        <v>0.44554455445544583</v>
      </c>
      <c r="CW985" s="1" t="s">
        <v>1199</v>
      </c>
      <c r="CX985" t="str">
        <f>IF(OR($CW985="prd",$CW985="std",$CW985="cit"),"loc",IF(OR($CW985="eur",$CW985="reg",$CW985="coy"),"reg",$CW985))</f>
        <v>reg</v>
      </c>
      <c r="CY985" t="s">
        <v>235</v>
      </c>
      <c r="CZ985">
        <v>2010</v>
      </c>
      <c r="DA985">
        <v>2070</v>
      </c>
      <c r="DB985">
        <f>DA985-CZ985</f>
        <v>60</v>
      </c>
      <c r="DC985" t="str">
        <f>IF(DB985=0,"0",IF(AND(DB985&gt;=1,DB985&lt;=30),"1-30",IF(AND(DB985&gt;30,DB985&lt;=70),"31-70",IF(AND(DB985&gt;70,DB985&lt;=100),"71-100",IF(DB985&gt;100,"+100")))))</f>
        <v>31-70</v>
      </c>
      <c r="DD985">
        <v>1</v>
      </c>
      <c r="DE985">
        <v>1</v>
      </c>
      <c r="DF985">
        <v>1</v>
      </c>
      <c r="DG985">
        <v>1</v>
      </c>
      <c r="DH985">
        <v>0</v>
      </c>
      <c r="DI985">
        <f>SUM(DD985:DG985)</f>
        <v>4</v>
      </c>
      <c r="DJ985" t="str">
        <f>IF(DI985=1,INDEX($DD$7:$DG$7,MATCH(1,$DD985:$DG985,0)),"mixedProduct")</f>
        <v>mixedProduct</v>
      </c>
      <c r="DK985" t="str">
        <f>IF(DD985=1,DK$7,0)</f>
        <v>Upstream</v>
      </c>
      <c r="DL985" t="str">
        <f>IF(DE985=1,DL$7,0)</f>
        <v>Energy</v>
      </c>
      <c r="DM985" t="str">
        <f>IF(DF985=1,DM$7,0)</f>
        <v>Pulp/Paper</v>
      </c>
      <c r="DN985" t="str">
        <f>IF(DG985=1,DN$7,0)</f>
        <v>Timber</v>
      </c>
      <c r="DO985">
        <v>0</v>
      </c>
      <c r="DP985">
        <v>1</v>
      </c>
      <c r="DQ985" t="s">
        <v>2524</v>
      </c>
      <c r="DR985" t="s">
        <v>2525</v>
      </c>
      <c r="DS985">
        <v>0</v>
      </c>
      <c r="DT985">
        <f>SUM(DO985:DP985)</f>
        <v>1</v>
      </c>
      <c r="DU985" s="143" t="str">
        <f>IF(DO985=1,"self-calculated DF",IF(DP985=1,"external DF used","explicit C balance"))</f>
        <v>external DF used</v>
      </c>
      <c r="DV985">
        <v>1</v>
      </c>
      <c r="DW985">
        <v>1</v>
      </c>
      <c r="DX985">
        <v>1</v>
      </c>
      <c r="DY985">
        <v>1</v>
      </c>
      <c r="DZ985">
        <v>0</v>
      </c>
      <c r="EA985" s="143">
        <v>1</v>
      </c>
      <c r="EB985">
        <v>1</v>
      </c>
      <c r="EC985">
        <v>1</v>
      </c>
      <c r="ED985">
        <v>0</v>
      </c>
      <c r="EE985">
        <v>0</v>
      </c>
      <c r="EF985">
        <v>1</v>
      </c>
      <c r="EG985">
        <v>0</v>
      </c>
      <c r="EH985">
        <v>0</v>
      </c>
      <c r="EI985" s="2">
        <v>0</v>
      </c>
      <c r="EK985" t="str">
        <f>IF(AND(AND(AND(OR($DX985=1,$DW985=1),OR($EC985=1,$EA985=1)),SUM($DV985:$DZ985,$EF985)&gt;=4),SUM($EA985:$EE985)&gt;=2),"Whole sector","")</f>
        <v>Whole sector</v>
      </c>
      <c r="EL985" t="str">
        <f>IF(AND(AND(OR($DX985=1,$DW985=1),AND($EC985=0,$EA985=0)),SUM($DV985:$DZ985,$EF985)&gt;=4),"Ecosystem approach","")</f>
        <v/>
      </c>
      <c r="EM985" s="2" t="str">
        <f>IF(AND(AND(AND($DX985=0,$DW985=0),OR($EC985=1,$EA985=1)),SUM($EB985:$EE985)&gt;=2),"Technology approach","")</f>
        <v/>
      </c>
      <c r="EN985" t="s">
        <v>2508</v>
      </c>
      <c r="EP985" t="str">
        <f>IF(ISNUMBER(BU985),IF(ABS(BU985-[1]QC_indicators!$B$2)&gt;3*[1]QC_indicators!$C$2,"C ratio",IF(ISNUMBER(BY985),IF(ABS(BY985-[1]QC_indicators!$B$1)&gt;3*[1]QC_indicators!$C$1,"DF","no"))),IF(ISNUMBER(BY985),IF(ABS(BY985-[1]QC_indicators!$B$1)&gt;3*[1]QC_indicators!$C$1,"DF","no")))</f>
        <v>no</v>
      </c>
      <c r="ET985" s="264" t="s">
        <v>3260</v>
      </c>
    </row>
    <row r="986" spans="1:150" ht="15" customHeight="1">
      <c r="A986" s="1" t="s">
        <v>1138</v>
      </c>
      <c r="B986" t="s">
        <v>1832</v>
      </c>
      <c r="C986" t="s">
        <v>1833</v>
      </c>
      <c r="D986" t="s">
        <v>1834</v>
      </c>
      <c r="E986" t="s">
        <v>1835</v>
      </c>
      <c r="F986" t="s">
        <v>1836</v>
      </c>
      <c r="G986" t="s">
        <v>1139</v>
      </c>
      <c r="H986" t="s">
        <v>254</v>
      </c>
      <c r="I986">
        <v>2013</v>
      </c>
      <c r="J986">
        <v>26</v>
      </c>
      <c r="K986" t="s">
        <v>1837</v>
      </c>
      <c r="M986" t="str">
        <f>LEFT($D986,FIND(",",$D986)-1)&amp;"_"&amp;I986&amp;L986</f>
        <v>Klein_2013</v>
      </c>
      <c r="N986" t="s">
        <v>222</v>
      </c>
      <c r="O986" s="145" t="s">
        <v>513</v>
      </c>
      <c r="Q986" t="s">
        <v>256</v>
      </c>
      <c r="R986" s="255" t="s">
        <v>225</v>
      </c>
      <c r="S986" s="1" t="s">
        <v>1838</v>
      </c>
      <c r="T986" t="s">
        <v>1839</v>
      </c>
      <c r="U986" t="s">
        <v>1840</v>
      </c>
      <c r="V986">
        <v>0</v>
      </c>
      <c r="W986">
        <v>0</v>
      </c>
      <c r="X986">
        <v>0</v>
      </c>
      <c r="Y986">
        <v>1</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s="141">
        <f>COUNTIF(V986:AW986,"&lt;&gt;0")</f>
        <v>1</v>
      </c>
      <c r="AY986" s="141">
        <f>COUNTIF(V986:AL986,"&lt;&gt;0")</f>
        <v>1</v>
      </c>
      <c r="AZ986">
        <f>COUNTIF(V986:AC986,"&lt;&gt;0")</f>
        <v>1</v>
      </c>
      <c r="BA986">
        <f>COUNTIF(AD986:AI986,"&lt;&gt;0")</f>
        <v>0</v>
      </c>
      <c r="BB986">
        <f>COUNTIF(AJ986:AL986,"&lt;&gt;0")</f>
        <v>0</v>
      </c>
      <c r="BC986">
        <f>COUNTIF(AS986:AW986,"&lt;&gt;0")</f>
        <v>0</v>
      </c>
      <c r="BD986">
        <f>COUNTIF(AM986:AR986,"&lt;&gt;0")</f>
        <v>0</v>
      </c>
      <c r="BE986" t="str">
        <f t="array" ref="BE986">IF(AY986=1,INDEX($V$7:$AL$7,MATCH(TRUE,INDEX($V986:$AW986&lt;&gt;0,),0)),IF(AY986=0,INDEX($AM$7:$AW$7,MATCH(1,$AM986:$AW986,0)),IF(BF986="Multiple strategies","mixed drivers",IF(BF986="Supply chain","multiple supply","multiple silviculture"))))</f>
        <v xml:space="preserve">cutting intensity </v>
      </c>
      <c r="BF986" s="2" t="str" cm="1">
        <f t="array" ref="BF986">IF(COUNTIF(AZ986:BB986,"&lt;&gt;0")=1,INDEX($V$4:$AW$4,MATCH(TRUE,INDEX($V986:$AW986&lt;&gt;0,),0)),IF(COUNTIF(AZ986:BB986,"&lt;&gt;0")=0,INDEX($AM$4:$AW$4,MATCH(1,$AM986:$AW986,0)),"Multiple strategies"))</f>
        <v>Silviculture for removals</v>
      </c>
      <c r="BG986" s="1" t="s">
        <v>321</v>
      </c>
      <c r="BH986" t="s">
        <v>1841</v>
      </c>
      <c r="BI986" s="260" t="s">
        <v>3366</v>
      </c>
      <c r="BJ986" t="s">
        <v>278</v>
      </c>
      <c r="BK986">
        <v>0</v>
      </c>
      <c r="BL986">
        <v>72.8</v>
      </c>
      <c r="BN986">
        <f>BL986-BK986</f>
        <v>72.8</v>
      </c>
      <c r="BO986">
        <f>BN986*tC_to_m3</f>
        <v>316.10942249240122</v>
      </c>
      <c r="BP986" t="s">
        <v>232</v>
      </c>
      <c r="BQ986" s="260" t="s">
        <v>3367</v>
      </c>
      <c r="BR986" t="s">
        <v>278</v>
      </c>
      <c r="BS986">
        <v>392.4</v>
      </c>
      <c r="BT986">
        <v>664.2</v>
      </c>
      <c r="BU986" s="144">
        <f>IFERROR(BT986/BS986,"")</f>
        <v>1.6926605504587158</v>
      </c>
      <c r="BV986">
        <f>BT986-BS986</f>
        <v>271.80000000000007</v>
      </c>
      <c r="BX986">
        <f>BV986*C_to_CO2</f>
        <v>997.5060000000002</v>
      </c>
      <c r="BY986">
        <f>IFERROR(BX986/BO986,"")</f>
        <v>3.1555718653846161</v>
      </c>
      <c r="BZ986">
        <v>0</v>
      </c>
      <c r="CA986">
        <v>0</v>
      </c>
      <c r="CB986">
        <v>0</v>
      </c>
      <c r="CC986">
        <v>0</v>
      </c>
      <c r="CD986">
        <v>0</v>
      </c>
      <c r="CE986">
        <v>0</v>
      </c>
      <c r="CF986">
        <v>0</v>
      </c>
      <c r="CG986">
        <v>0</v>
      </c>
      <c r="CH986">
        <v>0</v>
      </c>
      <c r="CI986">
        <v>0</v>
      </c>
      <c r="CJ986">
        <v>0</v>
      </c>
      <c r="CK986">
        <v>0</v>
      </c>
      <c r="CL986">
        <v>0</v>
      </c>
      <c r="CM986">
        <v>0</v>
      </c>
      <c r="CN986" t="str">
        <f>IF($BL986&lt;$BK986,"refNeedCorrection","refOK")</f>
        <v>refOK</v>
      </c>
      <c r="CO986">
        <f>IF($CN986="refOK",$BK986,$BL986)</f>
        <v>0</v>
      </c>
      <c r="CP986">
        <f>IF($CN986="refOK",$BL986,$BK986)</f>
        <v>72.8</v>
      </c>
      <c r="CQ986">
        <f>IF($CN986="refOK",$BO986,-$BO986)</f>
        <v>316.10942249240122</v>
      </c>
      <c r="CR986">
        <f>IF($CN986="refOK",$BS986,$BT986)*IF($BP986="Emissions positive",-1,1)</f>
        <v>392.4</v>
      </c>
      <c r="CS986">
        <f>IF($CN986="refOK",$BT986,$BS986)*IF($BP986="Emissions positive",-1,1)</f>
        <v>664.2</v>
      </c>
      <c r="CT986">
        <f>IF($CN986="refNeedCorrection",-BX986,BX986)*IF($BP986="Emissions positive",-1,1)</f>
        <v>997.5060000000002</v>
      </c>
      <c r="CU986">
        <f>IFERROR(CT986/CQ986,"")</f>
        <v>3.1555718653846161</v>
      </c>
      <c r="CV986" s="2">
        <f>IFERROR((CS986-CR986)/ABS(CR986),"")</f>
        <v>0.69266055045871577</v>
      </c>
      <c r="CW986" s="1" t="s">
        <v>1199</v>
      </c>
      <c r="CX986" t="str">
        <f>IF(OR($CW986="prd",$CW986="std",$CW986="cit"),"loc",IF(OR($CW986="eur",$CW986="reg",$CW986="coy"),"reg",$CW986))</f>
        <v>reg</v>
      </c>
      <c r="CY986" t="s">
        <v>1301</v>
      </c>
      <c r="DB986">
        <v>180</v>
      </c>
      <c r="DC986" t="str">
        <f>IF(DB986=0,"0",IF(AND(DB986&gt;=1,DB986&lt;=30),"1-30",IF(AND(DB986&gt;30,DB986&lt;=70),"31-70",IF(AND(DB986&gt;70,DB986&lt;=100),"71-100",IF(DB986&gt;100,"+100")))))</f>
        <v>+100</v>
      </c>
      <c r="DD986">
        <v>0</v>
      </c>
      <c r="DE986">
        <v>1</v>
      </c>
      <c r="DF986">
        <v>1</v>
      </c>
      <c r="DG986">
        <v>1</v>
      </c>
      <c r="DH986">
        <v>1</v>
      </c>
      <c r="DI986">
        <f>SUM(DD986:DG986)</f>
        <v>3</v>
      </c>
      <c r="DJ986" t="str">
        <f>IF(DI986=1,INDEX($DD$7:$DG$7,MATCH(1,$DD986:$DG986,0)),"mixedProduct")</f>
        <v>mixedProduct</v>
      </c>
      <c r="DK986">
        <f>IF(DD986=1,DK$7,0)</f>
        <v>0</v>
      </c>
      <c r="DL986" t="str">
        <f>IF(DE986=1,DL$7,0)</f>
        <v>Energy</v>
      </c>
      <c r="DM986" t="str">
        <f>IF(DF986=1,DM$7,0)</f>
        <v>Pulp/Paper</v>
      </c>
      <c r="DN986" t="str">
        <f>IF(DG986=1,DN$7,0)</f>
        <v>Timber</v>
      </c>
      <c r="DO986">
        <v>0</v>
      </c>
      <c r="DP986">
        <v>1</v>
      </c>
      <c r="DQ986" t="s">
        <v>1842</v>
      </c>
      <c r="DR986" t="s">
        <v>1843</v>
      </c>
      <c r="DS986">
        <v>0</v>
      </c>
      <c r="DT986">
        <f>SUM(DO986:DP986)</f>
        <v>1</v>
      </c>
      <c r="DU986" s="143" t="str">
        <f>IF(DO986=1,"self-calculated DF",IF(DP986=1,"external DF used","explicit C balance"))</f>
        <v>external DF used</v>
      </c>
      <c r="DV986">
        <v>1</v>
      </c>
      <c r="DW986">
        <v>1</v>
      </c>
      <c r="DX986">
        <v>1</v>
      </c>
      <c r="DY986">
        <v>1</v>
      </c>
      <c r="DZ986">
        <v>1</v>
      </c>
      <c r="EA986">
        <v>1</v>
      </c>
      <c r="EB986">
        <v>0</v>
      </c>
      <c r="EC986">
        <v>0</v>
      </c>
      <c r="ED986">
        <v>0</v>
      </c>
      <c r="EE986">
        <v>0</v>
      </c>
      <c r="EF986">
        <v>1</v>
      </c>
      <c r="EG986">
        <v>0</v>
      </c>
      <c r="EH986">
        <v>0</v>
      </c>
      <c r="EI986" s="2">
        <v>0</v>
      </c>
      <c r="EK986" t="str">
        <f>IF(AND(AND(AND(OR($DX986=1,$DW986=1),OR($EC986=1,$EA986=1)),SUM($DV986:$DZ986,$EF986)&gt;=4),SUM($EA986:$EE986)&gt;=2),"Whole sector","")</f>
        <v/>
      </c>
      <c r="EL986" t="str">
        <f>IF(AND(AND(OR($DX986=1,$DW986=1),AND($EC986=0,$EA986=0)),SUM($DV986:$DZ986,$EF986)&gt;=4),"Ecosystem approach","")</f>
        <v/>
      </c>
      <c r="EM986" s="2" t="str">
        <f>IF(AND(AND(AND($DX986=0,$DW986=0),OR($EC986=1,$EA986=1)),SUM($EB986:$EE986)&gt;=2),"Technology approach","")</f>
        <v/>
      </c>
      <c r="EP986" t="str">
        <f>IF(ISNUMBER(BU986),IF(ABS(BU986-[4]QC_indicators!$B$2)&gt;3*[4]QC_indicators!$C$2,"C ratio",IF(ISNUMBER(BY986),IF(ABS(BY986-[4]QC_indicators!$B$1)&gt;3*[4]QC_indicators!$C$1,"DF","no"))),IF(ISNUMBER(BY986),IF(ABS(BY986-[4]QC_indicators!$B$1)&gt;3*[4]QC_indicators!$C$1,"DF","no")))</f>
        <v>no</v>
      </c>
      <c r="ET986" s="264" t="s">
        <v>3273</v>
      </c>
    </row>
    <row r="987" spans="1:150" ht="15" customHeight="1">
      <c r="A987" s="1" t="s">
        <v>562</v>
      </c>
      <c r="B987" t="s">
        <v>544</v>
      </c>
      <c r="C987" t="s">
        <v>1593</v>
      </c>
      <c r="D987" t="s">
        <v>1594</v>
      </c>
      <c r="E987" t="s">
        <v>1595</v>
      </c>
      <c r="F987" t="s">
        <v>1596</v>
      </c>
      <c r="G987" t="s">
        <v>567</v>
      </c>
      <c r="H987" t="s">
        <v>254</v>
      </c>
      <c r="I987">
        <v>2019</v>
      </c>
      <c r="J987">
        <v>15</v>
      </c>
      <c r="K987" t="s">
        <v>1597</v>
      </c>
      <c r="M987" t="str">
        <f>LEFT($D987,FIND(",",$D987)-1)&amp;"_"&amp;I987&amp;L987</f>
        <v>Geng_2019</v>
      </c>
      <c r="N987" t="s">
        <v>222</v>
      </c>
      <c r="O987" s="181" t="s">
        <v>225</v>
      </c>
      <c r="Q987" s="264" t="s">
        <v>256</v>
      </c>
      <c r="R987" s="269" t="s">
        <v>1154</v>
      </c>
      <c r="S987" s="1" t="s">
        <v>1598</v>
      </c>
      <c r="T987" t="s">
        <v>1618</v>
      </c>
      <c r="V987">
        <v>0</v>
      </c>
      <c r="W987">
        <v>0</v>
      </c>
      <c r="X987">
        <v>0</v>
      </c>
      <c r="Y987">
        <v>0</v>
      </c>
      <c r="Z987">
        <v>0</v>
      </c>
      <c r="AA987">
        <v>0</v>
      </c>
      <c r="AB987">
        <v>0</v>
      </c>
      <c r="AC987">
        <v>0</v>
      </c>
      <c r="AD987">
        <v>0</v>
      </c>
      <c r="AE987">
        <v>0</v>
      </c>
      <c r="AF987">
        <v>0</v>
      </c>
      <c r="AG987">
        <v>0</v>
      </c>
      <c r="AH987">
        <v>0</v>
      </c>
      <c r="AI987">
        <v>0</v>
      </c>
      <c r="AJ987">
        <v>0</v>
      </c>
      <c r="AK987">
        <v>1</v>
      </c>
      <c r="AL987">
        <v>0</v>
      </c>
      <c r="AM987">
        <v>0</v>
      </c>
      <c r="AN987">
        <v>0</v>
      </c>
      <c r="AO987">
        <v>0</v>
      </c>
      <c r="AP987">
        <v>0</v>
      </c>
      <c r="AQ987">
        <v>0</v>
      </c>
      <c r="AR987">
        <v>0</v>
      </c>
      <c r="AS987">
        <v>0</v>
      </c>
      <c r="AT987">
        <v>0</v>
      </c>
      <c r="AU987">
        <v>0</v>
      </c>
      <c r="AV987">
        <v>0</v>
      </c>
      <c r="AW987">
        <v>0</v>
      </c>
      <c r="AX987" s="141">
        <f>COUNTIF(V987:AW987,"&lt;&gt;0")</f>
        <v>1</v>
      </c>
      <c r="AY987" s="141">
        <f>COUNTIF(V987:AL987,"&lt;&gt;0")</f>
        <v>1</v>
      </c>
      <c r="AZ987">
        <f>COUNTIF(V987:AC987,"&lt;&gt;0")</f>
        <v>0</v>
      </c>
      <c r="BA987">
        <f>COUNTIF(AD987:AI987,"&lt;&gt;0")</f>
        <v>0</v>
      </c>
      <c r="BB987">
        <f>COUNTIF(AJ987:AL987,"&lt;&gt;0")</f>
        <v>1</v>
      </c>
      <c r="BC987">
        <f>COUNTIF(AS987:AW987,"&lt;&gt;0")</f>
        <v>0</v>
      </c>
      <c r="BD987">
        <f>COUNTIF(AM987:AR987,"&lt;&gt;0")</f>
        <v>0</v>
      </c>
      <c r="BE987" t="str" cm="1">
        <f t="array" ref="BE987">IF(AY987=1,INDEX($V$7:$AL$7,MATCH(TRUE,INDEX($V987:$AW987&lt;&gt;0,),0)),IF(AY987=0,INDEX($AM$7:$AW$7,MATCH(1,$AM987:$AW987,0)),IF(BF987="Multiple strategies","mixed drivers",IF(BF987="Supply chain","multiple supply","multiple silviculture"))))</f>
        <v>technologies/design switch</v>
      </c>
      <c r="BF987" s="2" t="str" cm="1">
        <f t="array" ref="BF987">IF(COUNTIF(AZ987:BB987,"&lt;&gt;0")=1,INDEX($V$4:$AW$4,MATCH(TRUE,INDEX($V987:$AW987&lt;&gt;0,),0)),IF(COUNTIF(AZ987:BB987,"&lt;&gt;0")=0,INDEX($AM$4:$AW$4,MATCH(1,$AM987:$AW987,0)),"Multiple strategies"))</f>
        <v>Technology</v>
      </c>
      <c r="BG987" s="1" t="s">
        <v>229</v>
      </c>
      <c r="BH987" t="s">
        <v>1600</v>
      </c>
      <c r="BJ987" t="s">
        <v>261</v>
      </c>
      <c r="BK987">
        <v>26</v>
      </c>
      <c r="BL987">
        <v>71.62</v>
      </c>
      <c r="BM987">
        <f>BL987/BK987</f>
        <v>2.7546153846153847</v>
      </c>
      <c r="BN987">
        <f>BL987-BK987</f>
        <v>45.620000000000005</v>
      </c>
      <c r="BO987">
        <f>BN987*kg_to_m3</f>
        <v>9.3102040816326545E-2</v>
      </c>
      <c r="BP987" t="s">
        <v>232</v>
      </c>
      <c r="BR987" t="s">
        <v>1609</v>
      </c>
      <c r="BU987" s="144" t="str">
        <f>IFERROR(BT987/BS987,"")</f>
        <v/>
      </c>
      <c r="BV987">
        <v>0.29899999999999999</v>
      </c>
      <c r="BX987">
        <f>BV987</f>
        <v>0.29899999999999999</v>
      </c>
      <c r="BY987">
        <f>IFERROR(BX987/BO987,"")</f>
        <v>3.2115300306882939</v>
      </c>
      <c r="BZ987">
        <v>0</v>
      </c>
      <c r="CA987">
        <v>0</v>
      </c>
      <c r="CB987">
        <v>0</v>
      </c>
      <c r="CC987">
        <v>0</v>
      </c>
      <c r="CD987">
        <v>0</v>
      </c>
      <c r="CE987">
        <v>0</v>
      </c>
      <c r="CF987">
        <v>0</v>
      </c>
      <c r="CG987">
        <v>0</v>
      </c>
      <c r="CH987">
        <v>0</v>
      </c>
      <c r="CI987">
        <v>0</v>
      </c>
      <c r="CJ987">
        <v>0</v>
      </c>
      <c r="CK987">
        <v>0</v>
      </c>
      <c r="CL987">
        <v>0</v>
      </c>
      <c r="CM987">
        <v>0</v>
      </c>
      <c r="CN987" t="str">
        <f>IF(BL987&lt;BK987,"refNeedCorrection","refOK")</f>
        <v>refOK</v>
      </c>
      <c r="CO987">
        <f>IF($CN987="refOK",$BK987,$BL987)</f>
        <v>26</v>
      </c>
      <c r="CP987">
        <f>IF($CN987="refOK",$BL987,$BK987)</f>
        <v>71.62</v>
      </c>
      <c r="CQ987">
        <f>IF($CN987="refOK",$BO987,-$BO987)</f>
        <v>9.3102040816326545E-2</v>
      </c>
      <c r="CR987">
        <f>IF($CN987="refOK",$BS987,$BT987)*IF($BP987="Emissions positive",-1,1)</f>
        <v>0</v>
      </c>
      <c r="CS987">
        <f>IF($CN987="refOK",$BT987,$BS987)*IF($BP987="Emissions positive",-1,1)</f>
        <v>0</v>
      </c>
      <c r="CT987">
        <f>IF($CN987="refNeedCorrection",-BX987,BX987)*IF($BP987="Emissions positive",-1,1)</f>
        <v>0.29899999999999999</v>
      </c>
      <c r="CU987">
        <f>IFERROR(CT987/CQ987,"")</f>
        <v>3.2115300306882939</v>
      </c>
      <c r="CV987" s="2" t="str">
        <f>IFERROR((CS987-CR987)/ABS(CR987),"")</f>
        <v/>
      </c>
      <c r="CW987" s="1" t="s">
        <v>1203</v>
      </c>
      <c r="CX987" s="264" t="str">
        <f>IF(OR($CW987="prd",$CW987="std",$CW987="cit"),"loc",IF(OR($CW987="eur",$CW987="reg",$CW987="coy"),"reg",$CW987))</f>
        <v>reg</v>
      </c>
      <c r="CY987" t="s">
        <v>690</v>
      </c>
      <c r="CZ987">
        <v>2019</v>
      </c>
      <c r="DB987">
        <v>0</v>
      </c>
      <c r="DC987" t="str">
        <f>IF(DB987=0,"0",IF(AND(DB987&gt;=1,DB987&lt;=30),"1-30",IF(AND(DB987&gt;30,DB987&lt;=70),"31-70",IF(AND(DB987&gt;70,DB987&lt;=100),"71-100",IF(DB987&gt;100,"+100")))))</f>
        <v>0</v>
      </c>
      <c r="DD987">
        <v>0</v>
      </c>
      <c r="DE987">
        <v>0</v>
      </c>
      <c r="DF987">
        <v>0</v>
      </c>
      <c r="DG987">
        <v>1</v>
      </c>
      <c r="DI987">
        <f>SUM(DD987:DG987)</f>
        <v>1</v>
      </c>
      <c r="DJ987" t="str">
        <f>IF(DI987=1,INDEX($DD$7:$DG$7,MATCH(1,$DD987:$DG987,0)),"mixedProduct")</f>
        <v>TimberInput</v>
      </c>
      <c r="DK987">
        <f>IF(DD987=1,DK$7,0)</f>
        <v>0</v>
      </c>
      <c r="DL987">
        <f>IF(DE987=1,DL$7,0)</f>
        <v>0</v>
      </c>
      <c r="DM987">
        <f>IF(DF987=1,DM$7,0)</f>
        <v>0</v>
      </c>
      <c r="DN987" t="str">
        <f>IF(DG987=1,DN$7,0)</f>
        <v>Timber</v>
      </c>
      <c r="DO987">
        <v>1</v>
      </c>
      <c r="DP987">
        <v>0</v>
      </c>
      <c r="DQ987">
        <v>0</v>
      </c>
      <c r="DR987">
        <v>0</v>
      </c>
      <c r="DS987">
        <v>0</v>
      </c>
      <c r="DT987">
        <f>SUM(DO987:DP987)</f>
        <v>1</v>
      </c>
      <c r="DU987" s="143" t="str">
        <f>IF(DO987=1,"self-calculated DF",IF(DP987=1,"external DF used","explicit C balance"))</f>
        <v>self-calculated DF</v>
      </c>
      <c r="DV987">
        <v>0</v>
      </c>
      <c r="DW987">
        <v>0</v>
      </c>
      <c r="DX987">
        <v>0</v>
      </c>
      <c r="DY987">
        <v>0</v>
      </c>
      <c r="DZ987">
        <v>0</v>
      </c>
      <c r="EA987" s="143">
        <v>1</v>
      </c>
      <c r="EB987">
        <v>0</v>
      </c>
      <c r="EC987">
        <v>1</v>
      </c>
      <c r="ED987">
        <v>0</v>
      </c>
      <c r="EE987">
        <v>0</v>
      </c>
      <c r="EF987">
        <v>0</v>
      </c>
      <c r="EG987">
        <v>0</v>
      </c>
      <c r="EH987">
        <v>0</v>
      </c>
      <c r="EI987" s="2">
        <v>0</v>
      </c>
      <c r="EK987" t="str">
        <f>IF(AND(AND(AND(OR($DX987=1,$DW987=1),OR($EC987=1,$EA987=1)),SUM($DV987:$DZ987,$EF987)&gt;=4),SUM($EA987:$EE987)&gt;=2),"Whole sector","")</f>
        <v/>
      </c>
      <c r="EL987" t="str">
        <f>IF(AND(AND(OR($DX987=1,$DW987=1),AND($EC987=0,$EA987=0)),SUM($DV987:$DZ987,$EF987)&gt;=4),"Ecosystem approach","")</f>
        <v/>
      </c>
      <c r="EM987" s="2" t="str">
        <f>IF(AND(AND(AND($DX987=0,$DW987=0),OR($EC987=1,$EA987=1)),SUM($EB987:$EE987)&gt;=2),"Technology approach","")</f>
        <v/>
      </c>
      <c r="EN987" t="s">
        <v>1603</v>
      </c>
      <c r="EP987" t="str">
        <f>IF(ISNUMBER(BU987),IF(ABS(BU987-[3]QC_indicators!$B$2)&gt;3*[3]QC_indicators!$C$2,"C ratio",IF(ISNUMBER(BY987),IF(ABS(BY987-[3]QC_indicators!$B$1)&gt;3*[3]QC_indicators!$C$1,"DF","no"))),IF(ISNUMBER(BY987),IF(ABS(BY987-[3]QC_indicators!$B$1)&gt;3*[3]QC_indicators!$C$1,"DF","no")))</f>
        <v>no</v>
      </c>
      <c r="ER987" t="s">
        <v>1604</v>
      </c>
      <c r="ET987" s="264" t="s">
        <v>3407</v>
      </c>
    </row>
    <row r="988" spans="1:150" ht="15" customHeight="1">
      <c r="A988" s="1" t="s">
        <v>1378</v>
      </c>
      <c r="B988" t="s">
        <v>1922</v>
      </c>
      <c r="C988" t="s">
        <v>1923</v>
      </c>
      <c r="D988" t="s">
        <v>1924</v>
      </c>
      <c r="E988" t="s">
        <v>1925</v>
      </c>
      <c r="F988" t="s">
        <v>1926</v>
      </c>
      <c r="G988" t="s">
        <v>1384</v>
      </c>
      <c r="H988" t="s">
        <v>254</v>
      </c>
      <c r="I988">
        <v>2016</v>
      </c>
      <c r="J988">
        <v>12</v>
      </c>
      <c r="K988" t="s">
        <v>1927</v>
      </c>
      <c r="M988" t="str">
        <f>LEFT($D988,FIND(",",$D988)-1)&amp;"_"&amp;I988&amp;L988</f>
        <v>Lobianco_2016</v>
      </c>
      <c r="N988" t="s">
        <v>222</v>
      </c>
      <c r="O988" s="145" t="s">
        <v>225</v>
      </c>
      <c r="P988" t="s">
        <v>513</v>
      </c>
      <c r="Q988" t="s">
        <v>256</v>
      </c>
      <c r="R988" s="262" t="s">
        <v>223</v>
      </c>
      <c r="S988" s="1" t="s">
        <v>1928</v>
      </c>
      <c r="T988" s="143" t="s">
        <v>3169</v>
      </c>
      <c r="U988" s="143" t="s">
        <v>1155</v>
      </c>
      <c r="V988">
        <v>0</v>
      </c>
      <c r="W988">
        <v>0</v>
      </c>
      <c r="X988">
        <v>1</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1</v>
      </c>
      <c r="AV988">
        <v>0</v>
      </c>
      <c r="AW988">
        <v>0</v>
      </c>
      <c r="AX988" s="141">
        <f>COUNTIF(V988:AW988,"&lt;&gt;0")</f>
        <v>2</v>
      </c>
      <c r="AY988" s="141">
        <f>COUNTIF(V988:AL988,"&lt;&gt;0")</f>
        <v>1</v>
      </c>
      <c r="AZ988">
        <f>COUNTIF(V988:AC988,"&lt;&gt;0")</f>
        <v>1</v>
      </c>
      <c r="BA988">
        <f>COUNTIF(AD988:AI988,"&lt;&gt;0")</f>
        <v>0</v>
      </c>
      <c r="BB988">
        <f>COUNTIF(AJ988:AL988,"&lt;&gt;0")</f>
        <v>0</v>
      </c>
      <c r="BC988">
        <f>COUNTIF(AS988:AW988,"&lt;&gt;0")</f>
        <v>1</v>
      </c>
      <c r="BD988">
        <f>COUNTIF(AM988:AR988,"&lt;&gt;0")</f>
        <v>0</v>
      </c>
      <c r="BE988" t="str">
        <f t="array" ref="BE988">IF(AY988=1,INDEX($V$7:$AL$7,MATCH(TRUE,INDEX($V988:$AW988&lt;&gt;0,),0)),IF(AY988=0,INDEX($AM$7:$AW$7,MATCH(1,$AM988:$AW988,0)),IF(BF988="Multiple strategies","mixed drivers",IF(BF988="Supply chain","multiple supply","multiple silviculture"))))</f>
        <v>rotation length</v>
      </c>
      <c r="BF988" s="2" t="str" cm="1">
        <f t="array" ref="BF988">IF(COUNTIF(AZ988:BB988,"&lt;&gt;0")=1,INDEX($V$4:$AW$4,MATCH(TRUE,INDEX($V988:$AW988&lt;&gt;0,),0)),IF(COUNTIF(AZ988:BB988,"&lt;&gt;0")=0,INDEX($AM$4:$AW$4,MATCH(1,$AM988:$AW988,0)),"Multiple strategies"))</f>
        <v>Silviculture for removals</v>
      </c>
      <c r="BG988" s="142" t="s">
        <v>321</v>
      </c>
      <c r="BH988" s="265" t="s">
        <v>3163</v>
      </c>
      <c r="BI988" s="264" t="s">
        <v>3164</v>
      </c>
      <c r="BJ988" s="143" t="s">
        <v>3165</v>
      </c>
      <c r="BK988">
        <f>53.247*(1-0.04/100)</f>
        <v>53.225701200000003</v>
      </c>
      <c r="BL988">
        <f>53.247</f>
        <v>53.247</v>
      </c>
      <c r="BN988">
        <f>BL988-BK988</f>
        <v>2.1298799999996731E-2</v>
      </c>
      <c r="BO988" s="143">
        <f>BN988*10^6</f>
        <v>21298.799999996732</v>
      </c>
      <c r="BP988" t="s">
        <v>232</v>
      </c>
      <c r="BQ988" s="264" t="s">
        <v>3166</v>
      </c>
      <c r="BR988" s="143" t="s">
        <v>1929</v>
      </c>
      <c r="BS988">
        <v>89.397424799999996</v>
      </c>
      <c r="BT988">
        <v>89.468999999999994</v>
      </c>
      <c r="BU988" s="144">
        <f>IFERROR(BT988/BS988,"")</f>
        <v>1.0008006405124099</v>
      </c>
      <c r="BV988">
        <f>BT988-BS988</f>
        <v>7.1575199999998063E-2</v>
      </c>
      <c r="BX988">
        <f>BV988*10^6</f>
        <v>71575.199999998062</v>
      </c>
      <c r="BY988">
        <f>IFERROR(BX988/BO988,"")</f>
        <v>3.3605273536541516</v>
      </c>
      <c r="BZ988">
        <v>0</v>
      </c>
      <c r="CA988">
        <v>0</v>
      </c>
      <c r="CB988">
        <v>0</v>
      </c>
      <c r="CC988">
        <v>0</v>
      </c>
      <c r="CD988">
        <v>0</v>
      </c>
      <c r="CE988">
        <v>0</v>
      </c>
      <c r="CF988">
        <v>0</v>
      </c>
      <c r="CG988">
        <v>0</v>
      </c>
      <c r="CH988">
        <v>0</v>
      </c>
      <c r="CI988">
        <v>0</v>
      </c>
      <c r="CJ988">
        <v>0</v>
      </c>
      <c r="CK988">
        <v>0</v>
      </c>
      <c r="CL988">
        <v>0</v>
      </c>
      <c r="CM988">
        <v>0</v>
      </c>
      <c r="CN988" t="str">
        <f>IF($BL988&lt;$BK988,"refNeedCorrection","refOK")</f>
        <v>refOK</v>
      </c>
      <c r="CO988">
        <f>IF($CN988="refOK",$BK988,$BL988)</f>
        <v>53.225701200000003</v>
      </c>
      <c r="CP988">
        <f>IF($CN988="refOK",$BL988,$BK988)</f>
        <v>53.247</v>
      </c>
      <c r="CQ988">
        <f>IF($CN988="refOK",$BO988,-$BO988)</f>
        <v>21298.799999996732</v>
      </c>
      <c r="CR988">
        <f>IF($CN988="refOK",$BS988,$BT988)*IF($BP988="Emissions positive",-1,1)</f>
        <v>89.397424799999996</v>
      </c>
      <c r="CS988">
        <f>IF($CN988="refOK",$BT988,$BS988)*IF($BP988="Emissions positive",-1,1)</f>
        <v>89.468999999999994</v>
      </c>
      <c r="CT988">
        <f>IF($CN988="refNeedCorrection",-BX988,BX988)*IF($BP988="Emissions positive",-1,1)</f>
        <v>71575.199999998062</v>
      </c>
      <c r="CU988">
        <f>IFERROR(CT988/CQ988,"")</f>
        <v>3.3605273536541516</v>
      </c>
      <c r="CV988" s="2">
        <f>IFERROR((CS988-CR988)/ABS(CR988),"")</f>
        <v>8.0064051240990631E-4</v>
      </c>
      <c r="CW988" s="1" t="s">
        <v>1199</v>
      </c>
      <c r="CX988" t="str">
        <f>IF(OR($CW988="prd",$CW988="std",$CW988="cit"),"loc",IF(OR($CW988="eur",$CW988="reg",$CW988="coy"),"reg",$CW988))</f>
        <v>reg</v>
      </c>
      <c r="CY988" t="s">
        <v>729</v>
      </c>
      <c r="CZ988">
        <v>2007</v>
      </c>
      <c r="DA988" s="143">
        <v>2100</v>
      </c>
      <c r="DB988" s="143">
        <f>DA988-CZ988</f>
        <v>93</v>
      </c>
      <c r="DC988" t="str">
        <f>IF(DB988=0,"0",IF(AND(DB988&gt;=1,DB988&lt;=30),"1-30",IF(AND(DB988&gt;30,DB988&lt;=70),"31-70",IF(AND(DB988&gt;70,DB988&lt;=100),"71-100",IF(DB988&gt;100,"+100")))))</f>
        <v>71-100</v>
      </c>
      <c r="DD988">
        <v>0</v>
      </c>
      <c r="DE988">
        <v>1</v>
      </c>
      <c r="DF988">
        <v>0</v>
      </c>
      <c r="DG988">
        <v>1</v>
      </c>
      <c r="DH988">
        <v>1</v>
      </c>
      <c r="DI988">
        <f>SUM(DD988:DG988)</f>
        <v>2</v>
      </c>
      <c r="DJ988" t="str">
        <f>IF(DI988=1,INDEX($DD$7:$DG$7,MATCH(1,$DD988:$DG988,0)),"mixedProduct")</f>
        <v>mixedProduct</v>
      </c>
      <c r="DK988">
        <f>IF(DD988=1,DK$7,0)</f>
        <v>0</v>
      </c>
      <c r="DL988" t="str">
        <f>IF(DE988=1,DL$7,0)</f>
        <v>Energy</v>
      </c>
      <c r="DM988">
        <f>IF(DF988=1,DM$7,0)</f>
        <v>0</v>
      </c>
      <c r="DN988" t="str">
        <f>IF(DG988=1,DN$7,0)</f>
        <v>Timber</v>
      </c>
      <c r="DO988">
        <v>0</v>
      </c>
      <c r="DP988" s="143">
        <v>0</v>
      </c>
      <c r="DQ988" s="143">
        <v>0</v>
      </c>
      <c r="DR988">
        <v>0</v>
      </c>
      <c r="DS988" s="143">
        <v>0</v>
      </c>
      <c r="DT988">
        <f>SUM(DO988:DP988)</f>
        <v>0</v>
      </c>
      <c r="DU988" s="143" t="str">
        <f>IF(DO988=1,"self-calculated DF",IF(DP988=1,"external DF used","explicit C balance"))</f>
        <v>explicit C balance</v>
      </c>
      <c r="DV988" s="143">
        <v>0</v>
      </c>
      <c r="DW988" s="143">
        <v>0</v>
      </c>
      <c r="DX988" s="143">
        <v>1</v>
      </c>
      <c r="DY988" s="143">
        <v>1</v>
      </c>
      <c r="DZ988">
        <v>0</v>
      </c>
      <c r="EA988" s="143">
        <v>0</v>
      </c>
      <c r="EB988" s="143">
        <v>0</v>
      </c>
      <c r="EC988" s="143">
        <v>0</v>
      </c>
      <c r="ED988" s="143">
        <v>0</v>
      </c>
      <c r="EE988">
        <v>0</v>
      </c>
      <c r="EF988">
        <v>1</v>
      </c>
      <c r="EG988" s="143">
        <v>0</v>
      </c>
      <c r="EH988">
        <v>0</v>
      </c>
      <c r="EI988" s="2">
        <v>1</v>
      </c>
      <c r="EK988" t="str">
        <f>IF(AND(AND(AND(OR($DX988=1,$DW988=1),OR($EC988=1,$EA988=1)),SUM($DV988:$DZ988,$EF988)&gt;=4),SUM($EA988:$EE988)&gt;=2),"Whole sector","")</f>
        <v/>
      </c>
      <c r="EL988" t="str">
        <f>IF(AND(AND(OR($DX988=1,$DW988=1),AND($EC988=0,$EA988=0)),SUM($DV988:$DZ988,$EF988)&gt;=4),"Ecosystem approach","")</f>
        <v/>
      </c>
      <c r="EM988" s="2" t="str">
        <f>IF(AND(AND(AND($DX988=0,$DW988=0),OR($EC988=1,$EA988=1)),SUM($EB988:$EE988)&gt;=2),"Technology approach","")</f>
        <v/>
      </c>
      <c r="EP988" t="str">
        <f>IF(ISNUMBER(BU988),IF(ABS(BU988-[1]QC_indicators!$B$2)&gt;3*[1]QC_indicators!$C$2,"C ratio",IF(ISNUMBER(BY988),IF(ABS(BY988-[1]QC_indicators!$B$1)&gt;3*[1]QC_indicators!$C$1,"DF","no"))),IF(ISNUMBER(BY988),IF(ABS(BY988-[1]QC_indicators!$B$1)&gt;3*[1]QC_indicators!$C$1,"DF","no")))</f>
        <v>no</v>
      </c>
      <c r="ET988" s="264" t="s">
        <v>3167</v>
      </c>
    </row>
    <row r="989" spans="1:150" ht="15" customHeight="1">
      <c r="A989" s="1" t="s">
        <v>781</v>
      </c>
      <c r="D989" t="s">
        <v>1156</v>
      </c>
      <c r="E989" t="s">
        <v>1157</v>
      </c>
      <c r="G989" t="s">
        <v>782</v>
      </c>
      <c r="I989">
        <v>2008</v>
      </c>
      <c r="K989" t="s">
        <v>1158</v>
      </c>
      <c r="M989" t="str">
        <f>LEFT($D989,FIND(",",$D989)-1)&amp;"_"&amp;I989&amp;L989</f>
        <v>Upton_2008</v>
      </c>
      <c r="N989" t="s">
        <v>222</v>
      </c>
      <c r="O989" s="145" t="s">
        <v>225</v>
      </c>
      <c r="Q989" t="s">
        <v>256</v>
      </c>
      <c r="R989" s="262" t="s">
        <v>223</v>
      </c>
      <c r="S989" s="1" t="s">
        <v>1166</v>
      </c>
      <c r="T989" t="s">
        <v>1167</v>
      </c>
      <c r="U989" t="s">
        <v>1161</v>
      </c>
      <c r="V989">
        <v>0</v>
      </c>
      <c r="W989">
        <v>0</v>
      </c>
      <c r="X989">
        <v>0</v>
      </c>
      <c r="Y989">
        <v>0</v>
      </c>
      <c r="Z989">
        <v>0</v>
      </c>
      <c r="AA989">
        <v>0</v>
      </c>
      <c r="AB989">
        <v>0</v>
      </c>
      <c r="AC989">
        <v>0</v>
      </c>
      <c r="AD989">
        <v>0</v>
      </c>
      <c r="AE989">
        <v>0</v>
      </c>
      <c r="AF989">
        <v>0</v>
      </c>
      <c r="AG989">
        <v>0</v>
      </c>
      <c r="AH989">
        <v>0</v>
      </c>
      <c r="AI989">
        <v>0</v>
      </c>
      <c r="AJ989">
        <v>0</v>
      </c>
      <c r="AK989">
        <v>1</v>
      </c>
      <c r="AL989">
        <v>0</v>
      </c>
      <c r="AM989">
        <v>0</v>
      </c>
      <c r="AN989">
        <v>0</v>
      </c>
      <c r="AO989">
        <v>0</v>
      </c>
      <c r="AP989">
        <v>0</v>
      </c>
      <c r="AQ989">
        <v>0</v>
      </c>
      <c r="AR989">
        <v>0</v>
      </c>
      <c r="AS989">
        <v>0</v>
      </c>
      <c r="AT989">
        <v>0</v>
      </c>
      <c r="AU989">
        <v>0</v>
      </c>
      <c r="AV989">
        <v>0</v>
      </c>
      <c r="AW989">
        <v>0</v>
      </c>
      <c r="AX989" s="141">
        <f>COUNTIF(V989:AW989,"&lt;&gt;0")</f>
        <v>1</v>
      </c>
      <c r="AY989" s="141">
        <f>COUNTIF(V989:AL989,"&lt;&gt;0")</f>
        <v>1</v>
      </c>
      <c r="AZ989">
        <f>COUNTIF(V989:AC989,"&lt;&gt;0")</f>
        <v>0</v>
      </c>
      <c r="BA989">
        <f>COUNTIF(AD989:AI989,"&lt;&gt;0")</f>
        <v>0</v>
      </c>
      <c r="BB989">
        <f>COUNTIF(AJ989:AL989,"&lt;&gt;0")</f>
        <v>1</v>
      </c>
      <c r="BC989">
        <f>COUNTIF(AS989:AW989,"&lt;&gt;0")</f>
        <v>0</v>
      </c>
      <c r="BD989">
        <f>COUNTIF(AM989:AR989,"&lt;&gt;0")</f>
        <v>0</v>
      </c>
      <c r="BE989" t="str">
        <f t="array" ref="BE989">IF(AY989=1,INDEX($V$7:$AL$7,MATCH(TRUE,INDEX($V989:$AW989&lt;&gt;0,),0)),IF(AY989=0,INDEX($AM$7:$AW$7,MATCH(1,$AM989:$AW989,0)),IF(BF989="Multiple strategies","mixed drivers",IF(BF989="Supply chain","multiple supply","multiple silviculture"))))</f>
        <v>technologies/design switch</v>
      </c>
      <c r="BF989" s="2" t="str" cm="1">
        <f t="array" ref="BF989">IF(COUNTIF(AZ989:BB989,"&lt;&gt;0")=1,INDEX($V$4:$AW$4,MATCH(TRUE,INDEX($V989:$AW989&lt;&gt;0,),0)),IF(COUNTIF(AZ989:BB989,"&lt;&gt;0")=0,INDEX($AM$4:$AW$4,MATCH(1,$AM989:$AW989,0)),"Multiple strategies"))</f>
        <v>Technology</v>
      </c>
      <c r="BG989" s="1" t="s">
        <v>229</v>
      </c>
      <c r="BH989" t="s">
        <v>1162</v>
      </c>
      <c r="BJ989" t="s">
        <v>598</v>
      </c>
      <c r="BK989">
        <v>1338</v>
      </c>
      <c r="BL989">
        <v>1623</v>
      </c>
      <c r="BN989">
        <f>BL989-BK989</f>
        <v>285</v>
      </c>
      <c r="BO989">
        <f>BN989/C_to_CO2*tC_to_m3*10^6</f>
        <v>337197897.30490154</v>
      </c>
      <c r="BP989" t="s">
        <v>232</v>
      </c>
      <c r="BR989" t="s">
        <v>1163</v>
      </c>
      <c r="BU989" s="144"/>
      <c r="BV989">
        <v>1253.8</v>
      </c>
      <c r="BX989">
        <f>BV989*10^6</f>
        <v>1253800000</v>
      </c>
      <c r="BY989">
        <f>IFERROR(BX989/BO989,"")</f>
        <v>3.718291276491227</v>
      </c>
      <c r="BZ989">
        <v>0</v>
      </c>
      <c r="CA989">
        <v>1</v>
      </c>
      <c r="CB989">
        <v>0</v>
      </c>
      <c r="CC989">
        <v>0</v>
      </c>
      <c r="CD989">
        <v>0</v>
      </c>
      <c r="CE989">
        <v>0</v>
      </c>
      <c r="CF989">
        <v>0</v>
      </c>
      <c r="CG989">
        <v>0</v>
      </c>
      <c r="CH989">
        <v>0</v>
      </c>
      <c r="CI989">
        <v>0</v>
      </c>
      <c r="CJ989">
        <v>0</v>
      </c>
      <c r="CK989">
        <v>0</v>
      </c>
      <c r="CL989">
        <v>0</v>
      </c>
      <c r="CM989">
        <v>0</v>
      </c>
      <c r="CN989" t="str">
        <f>IF($BL989&lt;$BK989,"refNeedCorrection","refOK")</f>
        <v>refOK</v>
      </c>
      <c r="CO989">
        <f>IF($CN989="refNeedCorrection",BL989,BK989)</f>
        <v>1338</v>
      </c>
      <c r="CP989">
        <f>IF($CN989="refNeedCorrection",BK989,BL989)</f>
        <v>1623</v>
      </c>
      <c r="CQ989">
        <f>IF($CN989="refOK",$BO989,-$BO989)</f>
        <v>337197897.30490154</v>
      </c>
      <c r="CR989">
        <f>IF($CN989="refOK",$BS989,$BT989)*IF($BP989="Emissions positive",-1,1)</f>
        <v>0</v>
      </c>
      <c r="CS989">
        <f>IF($CN989="refOK",$BT989,$BS989)*IF($BP989="Emissions positive",-1,1)</f>
        <v>0</v>
      </c>
      <c r="CT989">
        <f>IF($CN989="refNeedCorrection",-BX989,BX989)*IF($BP989="Emissions positive",-1,1)</f>
        <v>1253800000</v>
      </c>
      <c r="CU989">
        <f>IFERROR(CT989/CQ989,"")</f>
        <v>3.718291276491227</v>
      </c>
      <c r="CV989" s="2" t="str">
        <f>IFERROR((CS989-CR989)/ABS(CR989),"")</f>
        <v/>
      </c>
      <c r="CW989" s="1" t="s">
        <v>263</v>
      </c>
      <c r="CX989" t="str">
        <f>IF(OR($CW989="prd",$CW989="std",$CW989="cit"),"loc",IF(OR($CW989="eur",$CW989="reg",$CW989="coy"),"reg",$CW989))</f>
        <v>loc</v>
      </c>
      <c r="CY989" t="s">
        <v>428</v>
      </c>
      <c r="CZ989">
        <v>2008</v>
      </c>
      <c r="DA989">
        <f>CZ989+DB989</f>
        <v>2108</v>
      </c>
      <c r="DB989">
        <v>100</v>
      </c>
      <c r="DC989" t="str">
        <f>IF(DB989=0,"0",IF(AND(DB989&gt;=1,DB989&lt;=30),"1-30",IF(AND(DB989&gt;30,DB989&lt;=70),"31-70",IF(AND(DB989&gt;70,DB989&lt;=100),"71-100",IF(DB989&gt;100,"+100")))))</f>
        <v>71-100</v>
      </c>
      <c r="DD989">
        <v>0</v>
      </c>
      <c r="DE989">
        <v>0</v>
      </c>
      <c r="DF989">
        <v>0</v>
      </c>
      <c r="DG989">
        <v>1</v>
      </c>
      <c r="DI989">
        <f>SUM(DD989:DG989)</f>
        <v>1</v>
      </c>
      <c r="DJ989" t="str">
        <f>IF(DI989=1,INDEX($DD$7:$DG$7,MATCH(1,$DD989:$DG989,0)),"mixedProduct")</f>
        <v>TimberInput</v>
      </c>
      <c r="DK989">
        <f>IF(DD989=1,DK$7,0)</f>
        <v>0</v>
      </c>
      <c r="DL989">
        <f>IF(DE989=1,DL$7,0)</f>
        <v>0</v>
      </c>
      <c r="DM989">
        <f>IF(DF989=1,DM$7,0)</f>
        <v>0</v>
      </c>
      <c r="DN989" t="str">
        <f>IF(DG989=1,DN$7,0)</f>
        <v>Timber</v>
      </c>
      <c r="DO989">
        <v>0</v>
      </c>
      <c r="DP989" s="143">
        <v>0</v>
      </c>
      <c r="DQ989">
        <v>0</v>
      </c>
      <c r="DR989">
        <v>0</v>
      </c>
      <c r="DS989">
        <v>0</v>
      </c>
      <c r="DT989">
        <f>SUM(DO989:DP989)</f>
        <v>0</v>
      </c>
      <c r="DU989" s="143" t="str">
        <f>IF(DO989=1,"self-calculated DF",IF(DP989=1,"external DF used","explicit C balance"))</f>
        <v>explicit C balance</v>
      </c>
      <c r="DV989">
        <v>1</v>
      </c>
      <c r="DW989">
        <v>0</v>
      </c>
      <c r="DX989">
        <v>1</v>
      </c>
      <c r="DY989">
        <v>1</v>
      </c>
      <c r="DZ989">
        <v>1</v>
      </c>
      <c r="EA989">
        <v>1</v>
      </c>
      <c r="EB989">
        <v>1</v>
      </c>
      <c r="EC989">
        <v>1</v>
      </c>
      <c r="ED989">
        <v>0</v>
      </c>
      <c r="EE989">
        <v>1</v>
      </c>
      <c r="EF989">
        <v>0</v>
      </c>
      <c r="EG989">
        <v>0</v>
      </c>
      <c r="EH989">
        <v>0</v>
      </c>
      <c r="EI989" s="2">
        <v>0</v>
      </c>
      <c r="EK989" t="str">
        <f>IF(AND(AND(AND(OR($DX989=1,$DW989=1),OR($EC989=1,$EA989=1)),SUM($DV989:$DZ989,$EF989)&gt;=4),SUM($EA989:$EE989)&gt;=2),"Whole sector","")</f>
        <v>Whole sector</v>
      </c>
      <c r="EL989" t="str">
        <f>IF(AND(AND(OR($DX989=1,$DW989=1),AND($EC989=0,$EA989=0)),SUM($DV989:$DZ989,$EF989)&gt;=4),"Ecosystem approach","")</f>
        <v/>
      </c>
      <c r="EM989" s="2" t="str">
        <f>IF(AND(AND(AND($DX989=0,$DW989=0),OR($EC989=1,$EA989=1)),SUM($EB989:$EE989)&gt;=2),"Technology approach","")</f>
        <v/>
      </c>
      <c r="EP989" t="str">
        <f>IF(ISNUMBER(BU989),IF(ABS(BU989-[1]QC_indicators!$B$2)&gt;3*[1]QC_indicators!$C$2,"C ratio",IF(ISNUMBER(BY989),IF(ABS(BY989-[1]QC_indicators!$B$1)&gt;3*[1]QC_indicators!$C$1,"DF","no"))),IF(ISNUMBER(BY989),IF(ABS(BY989-[1]QC_indicators!$B$1)&gt;3*[1]QC_indicators!$C$1,"DF","no")))</f>
        <v>no</v>
      </c>
      <c r="EQ989" t="s">
        <v>1164</v>
      </c>
      <c r="ER989" t="s">
        <v>1165</v>
      </c>
      <c r="ET989" s="264" t="s">
        <v>3251</v>
      </c>
    </row>
    <row r="990" spans="1:150" ht="15" customHeight="1">
      <c r="A990" s="1" t="s">
        <v>781</v>
      </c>
      <c r="D990" t="s">
        <v>1156</v>
      </c>
      <c r="E990" t="s">
        <v>1157</v>
      </c>
      <c r="G990" t="s">
        <v>782</v>
      </c>
      <c r="I990">
        <v>2008</v>
      </c>
      <c r="K990" t="s">
        <v>1158</v>
      </c>
      <c r="M990" t="str">
        <f>LEFT($D990,FIND(",",$D990)-1)&amp;"_"&amp;I990&amp;L990</f>
        <v>Upton_2008</v>
      </c>
      <c r="N990" t="s">
        <v>222</v>
      </c>
      <c r="O990" s="145" t="s">
        <v>225</v>
      </c>
      <c r="Q990" t="s">
        <v>256</v>
      </c>
      <c r="R990" s="262" t="s">
        <v>223</v>
      </c>
      <c r="S990" s="1" t="s">
        <v>1166</v>
      </c>
      <c r="T990" t="s">
        <v>1167</v>
      </c>
      <c r="U990" t="s">
        <v>1161</v>
      </c>
      <c r="V990">
        <v>0</v>
      </c>
      <c r="W990">
        <v>0</v>
      </c>
      <c r="X990">
        <v>0</v>
      </c>
      <c r="Y990">
        <v>0</v>
      </c>
      <c r="Z990">
        <v>0</v>
      </c>
      <c r="AA990">
        <v>0</v>
      </c>
      <c r="AB990">
        <v>0</v>
      </c>
      <c r="AC990">
        <v>0</v>
      </c>
      <c r="AD990">
        <v>0</v>
      </c>
      <c r="AE990">
        <v>0</v>
      </c>
      <c r="AF990">
        <v>0</v>
      </c>
      <c r="AG990">
        <v>0</v>
      </c>
      <c r="AH990">
        <v>0</v>
      </c>
      <c r="AI990">
        <v>0</v>
      </c>
      <c r="AJ990">
        <v>0</v>
      </c>
      <c r="AK990">
        <v>1</v>
      </c>
      <c r="AL990">
        <v>0</v>
      </c>
      <c r="AM990">
        <v>0</v>
      </c>
      <c r="AN990">
        <v>0</v>
      </c>
      <c r="AO990">
        <v>0</v>
      </c>
      <c r="AP990">
        <v>0</v>
      </c>
      <c r="AQ990">
        <v>0</v>
      </c>
      <c r="AR990">
        <v>0</v>
      </c>
      <c r="AS990">
        <v>0</v>
      </c>
      <c r="AT990">
        <v>0</v>
      </c>
      <c r="AU990">
        <v>0</v>
      </c>
      <c r="AV990">
        <v>0</v>
      </c>
      <c r="AW990">
        <v>0</v>
      </c>
      <c r="AX990" s="141">
        <f>COUNTIF(V990:AW990,"&lt;&gt;0")</f>
        <v>1</v>
      </c>
      <c r="AY990" s="141">
        <f>COUNTIF(V990:AL990,"&lt;&gt;0")</f>
        <v>1</v>
      </c>
      <c r="AZ990">
        <f>COUNTIF(V990:AC990,"&lt;&gt;0")</f>
        <v>0</v>
      </c>
      <c r="BA990">
        <f>COUNTIF(AD990:AI990,"&lt;&gt;0")</f>
        <v>0</v>
      </c>
      <c r="BB990">
        <f>COUNTIF(AJ990:AL990,"&lt;&gt;0")</f>
        <v>1</v>
      </c>
      <c r="BC990">
        <f>COUNTIF(AS990:AW990,"&lt;&gt;0")</f>
        <v>0</v>
      </c>
      <c r="BD990">
        <f>COUNTIF(AM990:AR990,"&lt;&gt;0")</f>
        <v>0</v>
      </c>
      <c r="BE990" t="str">
        <f t="array" ref="BE990">IF(AY990=1,INDEX($V$7:$AL$7,MATCH(TRUE,INDEX($V990:$AW990&lt;&gt;0,),0)),IF(AY990=0,INDEX($AM$7:$AW$7,MATCH(1,$AM990:$AW990,0)),IF(BF990="Multiple strategies","mixed drivers",IF(BF990="Supply chain","multiple supply","multiple silviculture"))))</f>
        <v>technologies/design switch</v>
      </c>
      <c r="BF990" s="2" t="str" cm="1">
        <f t="array" ref="BF990">IF(COUNTIF(AZ990:BB990,"&lt;&gt;0")=1,INDEX($V$4:$AW$4,MATCH(TRUE,INDEX($V990:$AW990&lt;&gt;0,),0)),IF(COUNTIF(AZ990:BB990,"&lt;&gt;0")=0,INDEX($AM$4:$AW$4,MATCH(1,$AM990:$AW990,0)),"Multiple strategies"))</f>
        <v>Technology</v>
      </c>
      <c r="BG990" s="1" t="s">
        <v>229</v>
      </c>
      <c r="BH990" t="s">
        <v>1162</v>
      </c>
      <c r="BJ990" t="s">
        <v>598</v>
      </c>
      <c r="BK990">
        <v>1338</v>
      </c>
      <c r="BL990">
        <v>1623</v>
      </c>
      <c r="BN990">
        <f>BL990-BK990</f>
        <v>285</v>
      </c>
      <c r="BO990">
        <f>BN990/C_to_CO2*tC_to_m3*10^6</f>
        <v>337197897.30490154</v>
      </c>
      <c r="BP990" t="s">
        <v>232</v>
      </c>
      <c r="BR990" t="s">
        <v>1163</v>
      </c>
      <c r="BS990">
        <v>-2538</v>
      </c>
      <c r="BT990">
        <v>-1256</v>
      </c>
      <c r="BU990" s="144">
        <v>0.49487785657998423</v>
      </c>
      <c r="BV990">
        <v>1282</v>
      </c>
      <c r="BX990">
        <f>BV990*10^6</f>
        <v>1282000000</v>
      </c>
      <c r="BY990">
        <f>IFERROR(BX990/BO990,"")</f>
        <v>3.8019216912280691</v>
      </c>
      <c r="BZ990">
        <v>0</v>
      </c>
      <c r="CA990">
        <v>1</v>
      </c>
      <c r="CB990">
        <v>0</v>
      </c>
      <c r="CC990">
        <v>0</v>
      </c>
      <c r="CD990">
        <v>0</v>
      </c>
      <c r="CE990">
        <v>0</v>
      </c>
      <c r="CF990">
        <v>0</v>
      </c>
      <c r="CG990">
        <v>0</v>
      </c>
      <c r="CH990">
        <v>0</v>
      </c>
      <c r="CI990">
        <v>0</v>
      </c>
      <c r="CJ990">
        <v>0</v>
      </c>
      <c r="CK990">
        <v>0</v>
      </c>
      <c r="CL990">
        <v>0</v>
      </c>
      <c r="CM990">
        <v>0</v>
      </c>
      <c r="CN990" t="str">
        <f>IF($BL990&lt;$BK990,"refNeedCorrection","refOK")</f>
        <v>refOK</v>
      </c>
      <c r="CO990">
        <f>IF($CN990="refNeedCorrection",BL990,BK990)</f>
        <v>1338</v>
      </c>
      <c r="CP990">
        <f>IF($CN990="refNeedCorrection",BK990,BL990)</f>
        <v>1623</v>
      </c>
      <c r="CQ990">
        <f>IF($CN990="refOK",$BO990,-$BO990)</f>
        <v>337197897.30490154</v>
      </c>
      <c r="CR990">
        <f>IF($CN990="refOK",$BS990,$BT990)*IF($BP990="Emissions positive",-1,1)</f>
        <v>-2538</v>
      </c>
      <c r="CS990">
        <f>IF($CN990="refOK",$BT990,$BS990)*IF($BP990="Emissions positive",-1,1)</f>
        <v>-1256</v>
      </c>
      <c r="CT990">
        <f>IF($CN990="refNeedCorrection",-BX990,BX990)*IF($BP990="Emissions positive",-1,1)</f>
        <v>1282000000</v>
      </c>
      <c r="CU990">
        <f>IFERROR(CT990/CQ990,"")</f>
        <v>3.8019216912280691</v>
      </c>
      <c r="CV990" s="2">
        <f>IFERROR((CS990-CR990)/ABS(CR990),"")</f>
        <v>0.50512214342001571</v>
      </c>
      <c r="CW990" s="1" t="s">
        <v>263</v>
      </c>
      <c r="CX990" t="str">
        <f>IF(OR($CW990="prd",$CW990="std",$CW990="cit"),"loc",IF(OR($CW990="eur",$CW990="reg",$CW990="coy"),"reg",$CW990))</f>
        <v>loc</v>
      </c>
      <c r="CY990" t="s">
        <v>428</v>
      </c>
      <c r="CZ990">
        <v>2008</v>
      </c>
      <c r="DA990">
        <f>CZ990+DB990</f>
        <v>2108</v>
      </c>
      <c r="DB990">
        <v>100</v>
      </c>
      <c r="DC990" t="str">
        <f>IF(DB990=0,"0",IF(AND(DB990&gt;=1,DB990&lt;=30),"1-30",IF(AND(DB990&gt;30,DB990&lt;=70),"31-70",IF(AND(DB990&gt;70,DB990&lt;=100),"71-100",IF(DB990&gt;100,"+100")))))</f>
        <v>71-100</v>
      </c>
      <c r="DD990">
        <v>0</v>
      </c>
      <c r="DE990">
        <v>0</v>
      </c>
      <c r="DF990">
        <v>0</v>
      </c>
      <c r="DG990">
        <v>1</v>
      </c>
      <c r="DI990">
        <f>SUM(DD990:DG990)</f>
        <v>1</v>
      </c>
      <c r="DJ990" t="str">
        <f>IF(DI990=1,INDEX($DD$7:$DG$7,MATCH(1,$DD990:$DG990,0)),"mixedProduct")</f>
        <v>TimberInput</v>
      </c>
      <c r="DK990">
        <f>IF(DD990=1,DK$7,0)</f>
        <v>0</v>
      </c>
      <c r="DL990">
        <f>IF(DE990=1,DL$7,0)</f>
        <v>0</v>
      </c>
      <c r="DM990">
        <f>IF(DF990=1,DM$7,0)</f>
        <v>0</v>
      </c>
      <c r="DN990" t="str">
        <f>IF(DG990=1,DN$7,0)</f>
        <v>Timber</v>
      </c>
      <c r="DO990">
        <v>0</v>
      </c>
      <c r="DP990" s="143">
        <v>0</v>
      </c>
      <c r="DQ990">
        <v>0</v>
      </c>
      <c r="DR990">
        <v>0</v>
      </c>
      <c r="DS990">
        <v>0</v>
      </c>
      <c r="DT990">
        <f>SUM(DO990:DP990)</f>
        <v>0</v>
      </c>
      <c r="DU990" s="143" t="str">
        <f>IF(DO990=1,"self-calculated DF",IF(DP990=1,"external DF used","explicit C balance"))</f>
        <v>explicit C balance</v>
      </c>
      <c r="DV990">
        <v>1</v>
      </c>
      <c r="DW990">
        <v>0</v>
      </c>
      <c r="DX990">
        <v>1</v>
      </c>
      <c r="DY990">
        <v>1</v>
      </c>
      <c r="DZ990">
        <v>1</v>
      </c>
      <c r="EA990">
        <v>0</v>
      </c>
      <c r="EB990">
        <v>1</v>
      </c>
      <c r="EC990">
        <v>1</v>
      </c>
      <c r="ED990">
        <v>0</v>
      </c>
      <c r="EE990">
        <v>1</v>
      </c>
      <c r="EF990">
        <v>0</v>
      </c>
      <c r="EG990">
        <v>0</v>
      </c>
      <c r="EH990">
        <v>0</v>
      </c>
      <c r="EI990" s="2">
        <v>0</v>
      </c>
      <c r="EK990" t="str">
        <f>IF(AND(AND(AND(OR($DX990=1,$DW990=1),OR($EC990=1,$EA990=1)),SUM($DV990:$DZ990,$EF990)&gt;=4),SUM($EA990:$EE990)&gt;=2),"Whole sector","")</f>
        <v>Whole sector</v>
      </c>
      <c r="EL990" t="str">
        <f>IF(AND(AND(OR($DX990=1,$DW990=1),AND($EC990=0,$EA990=0)),SUM($DV990:$DZ990,$EF990)&gt;=4),"Ecosystem approach","")</f>
        <v/>
      </c>
      <c r="EM990" s="2" t="str">
        <f>IF(AND(AND(AND($DX990=0,$DW990=0),OR($EC990=1,$EA990=1)),SUM($EB990:$EE990)&gt;=2),"Technology approach","")</f>
        <v/>
      </c>
      <c r="EP990" t="str">
        <f>IF(ISNUMBER(BU990),IF(ABS(BU990-[1]QC_indicators!$B$2)&gt;3*[1]QC_indicators!$C$2,"C ratio",IF(ISNUMBER(BY990),IF(ABS(BY990-[1]QC_indicators!$B$1)&gt;3*[1]QC_indicators!$C$1,"DF","no"))),IF(ISNUMBER(BY990),IF(ABS(BY990-[1]QC_indicators!$B$1)&gt;3*[1]QC_indicators!$C$1,"DF","no")))</f>
        <v>no</v>
      </c>
      <c r="EQ990" t="s">
        <v>1164</v>
      </c>
      <c r="ER990" t="s">
        <v>1165</v>
      </c>
      <c r="ET990" s="264" t="s">
        <v>3251</v>
      </c>
    </row>
    <row r="991" spans="1:150" ht="15" customHeight="1">
      <c r="A991" s="1" t="s">
        <v>333</v>
      </c>
      <c r="B991" t="s">
        <v>905</v>
      </c>
      <c r="C991" t="s">
        <v>906</v>
      </c>
      <c r="D991" t="s">
        <v>907</v>
      </c>
      <c r="E991" t="s">
        <v>908</v>
      </c>
      <c r="F991" t="s">
        <v>909</v>
      </c>
      <c r="G991" t="s">
        <v>339</v>
      </c>
      <c r="H991" t="s">
        <v>254</v>
      </c>
      <c r="I991">
        <v>2019</v>
      </c>
      <c r="J991">
        <v>15</v>
      </c>
      <c r="K991" t="s">
        <v>910</v>
      </c>
      <c r="M991" t="str">
        <f>LEFT($D991,FIND(",",$D991)-1)&amp;"_"&amp;I991&amp;L991</f>
        <v>Li_2019</v>
      </c>
      <c r="N991" t="s">
        <v>222</v>
      </c>
      <c r="O991" s="145" t="s">
        <v>225</v>
      </c>
      <c r="Q991" t="s">
        <v>256</v>
      </c>
      <c r="R991" s="262" t="s">
        <v>223</v>
      </c>
      <c r="S991" s="1" t="s">
        <v>911</v>
      </c>
      <c r="T991" t="s">
        <v>912</v>
      </c>
      <c r="U991" s="143" t="s">
        <v>913</v>
      </c>
      <c r="V991">
        <v>0</v>
      </c>
      <c r="W991">
        <v>0</v>
      </c>
      <c r="X991">
        <v>0</v>
      </c>
      <c r="Y991">
        <v>0</v>
      </c>
      <c r="Z991">
        <v>0</v>
      </c>
      <c r="AA991">
        <v>0</v>
      </c>
      <c r="AB991">
        <v>0</v>
      </c>
      <c r="AC991">
        <v>0</v>
      </c>
      <c r="AD991">
        <v>0</v>
      </c>
      <c r="AE991">
        <v>0</v>
      </c>
      <c r="AF991">
        <v>0</v>
      </c>
      <c r="AG991">
        <v>0</v>
      </c>
      <c r="AH991">
        <v>0</v>
      </c>
      <c r="AI991">
        <v>0</v>
      </c>
      <c r="AJ991">
        <v>0</v>
      </c>
      <c r="AK991">
        <v>1</v>
      </c>
      <c r="AL991">
        <v>0</v>
      </c>
      <c r="AM991">
        <v>0</v>
      </c>
      <c r="AN991">
        <v>0</v>
      </c>
      <c r="AO991">
        <v>0</v>
      </c>
      <c r="AP991">
        <v>0</v>
      </c>
      <c r="AQ991">
        <v>0</v>
      </c>
      <c r="AR991">
        <v>0</v>
      </c>
      <c r="AS991">
        <v>0</v>
      </c>
      <c r="AT991">
        <v>0</v>
      </c>
      <c r="AU991">
        <v>0</v>
      </c>
      <c r="AV991">
        <v>0</v>
      </c>
      <c r="AW991">
        <v>0</v>
      </c>
      <c r="AX991" s="141">
        <f>COUNTIF(V991:AW991,"&lt;&gt;0")</f>
        <v>1</v>
      </c>
      <c r="AY991" s="141">
        <f>COUNTIF(V991:AL991,"&lt;&gt;0")</f>
        <v>1</v>
      </c>
      <c r="AZ991">
        <f>COUNTIF(V991:AC991,"&lt;&gt;0")</f>
        <v>0</v>
      </c>
      <c r="BA991">
        <f>COUNTIF(AD991:AI991,"&lt;&gt;0")</f>
        <v>0</v>
      </c>
      <c r="BB991">
        <f>COUNTIF(AJ991:AL991,"&lt;&gt;0")</f>
        <v>1</v>
      </c>
      <c r="BC991">
        <f>COUNTIF(AS991:AW991,"&lt;&gt;0")</f>
        <v>0</v>
      </c>
      <c r="BD991">
        <f>COUNTIF(AM991:AR991,"&lt;&gt;0")</f>
        <v>0</v>
      </c>
      <c r="BE991" t="str">
        <f t="array" ref="BE991">IF(AY991=1,INDEX($V$7:$AL$7,MATCH(TRUE,INDEX($V991:$AW991&lt;&gt;0,),0)),IF(AY991=0,INDEX($AM$7:$AW$7,MATCH(1,$AM991:$AW991,0)),IF(BF991="Multiple strategies","mixed drivers",IF(BF991="Supply chain","multiple supply","multiple silviculture"))))</f>
        <v>technologies/design switch</v>
      </c>
      <c r="BF991" s="2" t="str" cm="1">
        <f t="array" ref="BF991">IF(COUNTIF(AZ991:BB991,"&lt;&gt;0")=1,INDEX($V$4:$AW$4,MATCH(TRUE,INDEX($V991:$AW991&lt;&gt;0,),0)),IF(COUNTIF(AZ991:BB991,"&lt;&gt;0")=0,INDEX($AM$4:$AW$4,MATCH(1,$AM991:$AW991,0)),"Multiple strategies"))</f>
        <v>Technology</v>
      </c>
      <c r="BG991" s="142" t="s">
        <v>229</v>
      </c>
      <c r="BH991" t="s">
        <v>914</v>
      </c>
      <c r="BI991" s="264" t="s">
        <v>3154</v>
      </c>
      <c r="BJ991" s="143" t="s">
        <v>498</v>
      </c>
      <c r="BK991">
        <v>0</v>
      </c>
      <c r="BL991">
        <f>9962+4706</f>
        <v>14668</v>
      </c>
      <c r="BM991" s="163"/>
      <c r="BN991">
        <f>BL991-BK991</f>
        <v>14668</v>
      </c>
      <c r="BO991">
        <f>BN991</f>
        <v>14668</v>
      </c>
      <c r="BP991" t="s">
        <v>232</v>
      </c>
      <c r="BQ991" s="153" t="s">
        <v>3155</v>
      </c>
      <c r="BR991" t="s">
        <v>442</v>
      </c>
      <c r="BS991" s="143">
        <v>-5933.97</v>
      </c>
      <c r="BT991">
        <v>9463.36</v>
      </c>
      <c r="BU991" s="144">
        <f>IFERROR(BT991/BS991,"")</f>
        <v>-1.59477718963864</v>
      </c>
      <c r="BV991">
        <f>BT991-BS991</f>
        <v>15397.330000000002</v>
      </c>
      <c r="BX991">
        <f>BV991*C_to_CO2</f>
        <v>56508.201100000006</v>
      </c>
      <c r="BY991">
        <f>IFERROR(BX991/BO991,"")</f>
        <v>3.8524816675756752</v>
      </c>
      <c r="BZ991">
        <v>0</v>
      </c>
      <c r="CA991">
        <v>0</v>
      </c>
      <c r="CB991">
        <v>0</v>
      </c>
      <c r="CC991">
        <v>0</v>
      </c>
      <c r="CD991">
        <v>0</v>
      </c>
      <c r="CE991">
        <v>0</v>
      </c>
      <c r="CF991">
        <v>0</v>
      </c>
      <c r="CG991">
        <v>0</v>
      </c>
      <c r="CH991">
        <v>0</v>
      </c>
      <c r="CI991">
        <v>0</v>
      </c>
      <c r="CJ991">
        <v>0</v>
      </c>
      <c r="CK991">
        <v>0</v>
      </c>
      <c r="CL991">
        <v>0</v>
      </c>
      <c r="CM991">
        <v>0</v>
      </c>
      <c r="CN991" t="str">
        <f>IF($BL991&lt;$BK991,"refNeedCorrection","refOK")</f>
        <v>refOK</v>
      </c>
      <c r="CO991">
        <f>IF($CN991="refNeedCorrection",BL991,BK991)</f>
        <v>0</v>
      </c>
      <c r="CP991">
        <f>IF($CN991="refNeedCorrection",BK991,BL991)</f>
        <v>14668</v>
      </c>
      <c r="CQ991">
        <f>IF($CN991="refOK",$BO991,-$BO991)</f>
        <v>14668</v>
      </c>
      <c r="CR991">
        <f>IF($CN991="refOK",$BS991,$BT991)*IF($BP991="Emissions positive",-1,1)</f>
        <v>-5933.97</v>
      </c>
      <c r="CS991">
        <f>IF($CN991="refOK",$BT991,$BS991)*IF($BP991="Emissions positive",-1,1)</f>
        <v>9463.36</v>
      </c>
      <c r="CT991">
        <f>IF($CN991="refNeedCorrection",-BX991,BX991)*IF($BP991="Emissions positive",-1,1)</f>
        <v>56508.201100000006</v>
      </c>
      <c r="CU991">
        <f>IFERROR(CT991/CQ991,"")</f>
        <v>3.8524816675756752</v>
      </c>
      <c r="CV991" s="2">
        <f>IFERROR((CS991-CR991)/ABS(CR991),"")</f>
        <v>2.59477718963864</v>
      </c>
      <c r="CW991" s="1" t="s">
        <v>347</v>
      </c>
      <c r="CX991" t="str">
        <f>IF(OR($CW991="prd",$CW991="std",$CW991="cit"),"loc",IF(OR($CW991="eur",$CW991="reg",$CW991="coy"),"reg",$CW991))</f>
        <v>loc</v>
      </c>
      <c r="CY991" t="s">
        <v>574</v>
      </c>
      <c r="DA991" s="143"/>
      <c r="DB991" s="143">
        <v>0</v>
      </c>
      <c r="DC991" t="str">
        <f>IF(DB991=0,"0",IF(AND(DB991&gt;=1,DB991&lt;=30),"1-30",IF(AND(DB991&gt;30,DB991&lt;=70),"31-70",IF(AND(DB991&gt;70,DB991&lt;=100),"71-100",IF(DB991&gt;100,"+100")))))</f>
        <v>0</v>
      </c>
      <c r="DD991">
        <v>0</v>
      </c>
      <c r="DE991">
        <v>0</v>
      </c>
      <c r="DF991">
        <v>0</v>
      </c>
      <c r="DG991">
        <v>1</v>
      </c>
      <c r="DI991">
        <f>SUM(DD991:DG991)</f>
        <v>1</v>
      </c>
      <c r="DJ991" t="str">
        <f>IF(DI991=1,INDEX($DD$7:$DG$7,MATCH(1,$DD991:$DG991,0)),"mixedProduct")</f>
        <v>TimberInput</v>
      </c>
      <c r="DK991">
        <f>IF(DD991=1,DK$7,0)</f>
        <v>0</v>
      </c>
      <c r="DL991">
        <f>IF(DE991=1,DL$7,0)</f>
        <v>0</v>
      </c>
      <c r="DM991">
        <f>IF(DF991=1,DM$7,0)</f>
        <v>0</v>
      </c>
      <c r="DN991" t="str">
        <f>IF(DG991=1,DN$7,0)</f>
        <v>Timber</v>
      </c>
      <c r="DO991">
        <v>0</v>
      </c>
      <c r="DP991" s="143">
        <v>0</v>
      </c>
      <c r="DQ991" s="143">
        <v>0</v>
      </c>
      <c r="DR991">
        <v>0</v>
      </c>
      <c r="DS991" s="143">
        <v>0</v>
      </c>
      <c r="DT991">
        <f>SUM(DO991:DP991)</f>
        <v>0</v>
      </c>
      <c r="DU991" s="143" t="str">
        <f>IF(DO991=1,"self-calculated DF",IF(DP991=1,"external DF used","explicit C balance"))</f>
        <v>explicit C balance</v>
      </c>
      <c r="DV991" s="143">
        <v>0</v>
      </c>
      <c r="DW991" s="143">
        <v>0</v>
      </c>
      <c r="DX991" s="143">
        <v>0</v>
      </c>
      <c r="DY991" s="143">
        <v>1</v>
      </c>
      <c r="DZ991">
        <v>0</v>
      </c>
      <c r="EA991" s="143">
        <v>0</v>
      </c>
      <c r="EB991" s="143">
        <v>0</v>
      </c>
      <c r="EC991" s="143">
        <v>1</v>
      </c>
      <c r="ED991" s="143">
        <v>0</v>
      </c>
      <c r="EE991">
        <v>0</v>
      </c>
      <c r="EF991">
        <v>0</v>
      </c>
      <c r="EG991" s="143">
        <v>0</v>
      </c>
      <c r="EH991">
        <v>0</v>
      </c>
      <c r="EI991" s="2">
        <v>0</v>
      </c>
      <c r="EK991" t="str">
        <f>IF(AND(AND(AND(OR($DX991=1,$DW991=1),OR($EC991=1,$EA991=1)),SUM($DV991:$DZ991,$EF991)&gt;=4),SUM($EA991:$EE991)&gt;=2),"Whole sector","")</f>
        <v/>
      </c>
      <c r="EL991" t="str">
        <f>IF(AND(AND(OR($DX991=1,$DW991=1),AND($EC991=0,$EA991=0)),SUM($DV991:$DZ991,$EF991)&gt;=4),"Ecosystem approach","")</f>
        <v/>
      </c>
      <c r="EM991" s="2" t="str">
        <f>IF(AND(AND(AND($DX991=0,$DW991=0),OR($EC991=1,$EA991=1)),SUM($EB991:$EE991)&gt;=2),"Technology approach","")</f>
        <v/>
      </c>
      <c r="EP991" t="str">
        <f>IF(ISNUMBER(BU991),IF(ABS(BU991-[1]QC_indicators!$B$2)&gt;3*[1]QC_indicators!$C$2,"C ratio",IF(ISNUMBER(BY991),IF(ABS(BY991-[1]QC_indicators!$B$1)&gt;3*[1]QC_indicators!$C$1,"DF","no"))),IF(ISNUMBER(BY991),IF(ABS(BY991-[1]QC_indicators!$B$1)&gt;3*[1]QC_indicators!$C$1,"DF","no")))</f>
        <v>no</v>
      </c>
      <c r="ET991" s="264" t="s">
        <v>3156</v>
      </c>
    </row>
    <row r="992" spans="1:150" ht="15" customHeight="1">
      <c r="A992" s="1" t="s">
        <v>1138</v>
      </c>
      <c r="B992" t="s">
        <v>1832</v>
      </c>
      <c r="C992" t="s">
        <v>1833</v>
      </c>
      <c r="D992" t="s">
        <v>1834</v>
      </c>
      <c r="E992" t="s">
        <v>1835</v>
      </c>
      <c r="F992" t="s">
        <v>1836</v>
      </c>
      <c r="G992" t="s">
        <v>1139</v>
      </c>
      <c r="H992" t="s">
        <v>254</v>
      </c>
      <c r="I992">
        <v>2013</v>
      </c>
      <c r="J992">
        <v>26</v>
      </c>
      <c r="K992" t="s">
        <v>1837</v>
      </c>
      <c r="M992" t="str">
        <f>LEFT($D992,FIND(",",$D992)-1)&amp;"_"&amp;I992&amp;L992</f>
        <v>Klein_2013</v>
      </c>
      <c r="N992" t="s">
        <v>222</v>
      </c>
      <c r="O992" s="145" t="s">
        <v>513</v>
      </c>
      <c r="Q992" t="s">
        <v>256</v>
      </c>
      <c r="R992" s="255" t="s">
        <v>225</v>
      </c>
      <c r="S992" s="1" t="s">
        <v>1844</v>
      </c>
      <c r="T992" t="s">
        <v>1845</v>
      </c>
      <c r="U992" t="s">
        <v>1848</v>
      </c>
      <c r="V992">
        <v>0</v>
      </c>
      <c r="W992">
        <v>0</v>
      </c>
      <c r="X992">
        <v>0</v>
      </c>
      <c r="Y992">
        <v>0</v>
      </c>
      <c r="Z992">
        <v>1</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s="141">
        <f>COUNTIF(V992:AW992,"&lt;&gt;0")</f>
        <v>1</v>
      </c>
      <c r="AY992" s="141">
        <f>COUNTIF(V992:AL992,"&lt;&gt;0")</f>
        <v>1</v>
      </c>
      <c r="AZ992">
        <f>COUNTIF(V992:AC992,"&lt;&gt;0")</f>
        <v>1</v>
      </c>
      <c r="BA992">
        <f>COUNTIF(AD992:AI992,"&lt;&gt;0")</f>
        <v>0</v>
      </c>
      <c r="BB992">
        <f>COUNTIF(AJ992:AL992,"&lt;&gt;0")</f>
        <v>0</v>
      </c>
      <c r="BC992">
        <f>COUNTIF(AS992:AW992,"&lt;&gt;0")</f>
        <v>0</v>
      </c>
      <c r="BD992">
        <f>COUNTIF(AM992:AR992,"&lt;&gt;0")</f>
        <v>0</v>
      </c>
      <c r="BE992" t="str">
        <f t="array" ref="BE992">IF(AY992=1,INDEX($V$7:$AL$7,MATCH(TRUE,INDEX($V992:$AW992&lt;&gt;0,),0)),IF(AY992=0,INDEX($AM$7:$AW$7,MATCH(1,$AM992:$AW992,0)),IF(BF992="Multiple strategies","mixed drivers",IF(BF992="Supply chain","multiple supply","multiple silviculture"))))</f>
        <v>species</v>
      </c>
      <c r="BF992" s="2" t="str" cm="1">
        <f t="array" ref="BF992">IF(COUNTIF(AZ992:BB992,"&lt;&gt;0")=1,INDEX($V$4:$AW$4,MATCH(TRUE,INDEX($V992:$AW992&lt;&gt;0,),0)),IF(COUNTIF(AZ992:BB992,"&lt;&gt;0")=0,INDEX($AM$4:$AW$4,MATCH(1,$AM992:$AW992,0)),"Multiple strategies"))</f>
        <v>Silviculture for productivity</v>
      </c>
      <c r="BG992" s="1" t="s">
        <v>321</v>
      </c>
      <c r="BH992" t="s">
        <v>1841</v>
      </c>
      <c r="BI992" s="260" t="s">
        <v>3368</v>
      </c>
      <c r="BJ992" t="s">
        <v>278</v>
      </c>
      <c r="BK992">
        <v>25.2</v>
      </c>
      <c r="BL992">
        <v>72.8</v>
      </c>
      <c r="BM992">
        <f>BL992/BK992</f>
        <v>2.8888888888888888</v>
      </c>
      <c r="BN992">
        <f>BL992-BK992</f>
        <v>47.599999999999994</v>
      </c>
      <c r="BO992">
        <f>BN992*tC_to_m3</f>
        <v>206.68693009118539</v>
      </c>
      <c r="BP992" t="s">
        <v>232</v>
      </c>
      <c r="BQ992" s="260" t="s">
        <v>3367</v>
      </c>
      <c r="BR992" t="s">
        <v>278</v>
      </c>
      <c r="BS992">
        <v>444.6</v>
      </c>
      <c r="BT992">
        <v>664.2</v>
      </c>
      <c r="BU992" s="144">
        <f>IFERROR(BT992/BS992,"")</f>
        <v>1.4939271255060729</v>
      </c>
      <c r="BV992">
        <f>BT992-BS992</f>
        <v>219.60000000000002</v>
      </c>
      <c r="BX992">
        <f>BV992*C_to_CO2</f>
        <v>805.93200000000002</v>
      </c>
      <c r="BY992">
        <f>IFERROR(BX992/BO992,"")</f>
        <v>3.8992886470588242</v>
      </c>
      <c r="BZ992">
        <v>0</v>
      </c>
      <c r="CA992">
        <v>0</v>
      </c>
      <c r="CB992">
        <v>0</v>
      </c>
      <c r="CC992">
        <v>0</v>
      </c>
      <c r="CD992">
        <v>0</v>
      </c>
      <c r="CE992">
        <v>0</v>
      </c>
      <c r="CF992">
        <v>0</v>
      </c>
      <c r="CG992">
        <v>0</v>
      </c>
      <c r="CH992">
        <v>0</v>
      </c>
      <c r="CI992">
        <v>0</v>
      </c>
      <c r="CJ992">
        <v>0</v>
      </c>
      <c r="CK992">
        <v>0</v>
      </c>
      <c r="CL992">
        <v>0</v>
      </c>
      <c r="CM992">
        <v>0</v>
      </c>
      <c r="CN992" t="str">
        <f>IF($BL992&lt;$BK992,"refNeedCorrection","refOK")</f>
        <v>refOK</v>
      </c>
      <c r="CO992">
        <f>IF($CN992="refOK",$BK992,$BL992)</f>
        <v>25.2</v>
      </c>
      <c r="CP992">
        <f>IF($CN992="refOK",$BL992,$BK992)</f>
        <v>72.8</v>
      </c>
      <c r="CQ992">
        <f>IF($CN992="refOK",$BO992,-$BO992)</f>
        <v>206.68693009118539</v>
      </c>
      <c r="CR992">
        <f>IF($CN992="refOK",$BS992,$BT992)*IF($BP992="Emissions positive",-1,1)</f>
        <v>444.6</v>
      </c>
      <c r="CS992">
        <f>IF($CN992="refOK",$BT992,$BS992)*IF($BP992="Emissions positive",-1,1)</f>
        <v>664.2</v>
      </c>
      <c r="CT992">
        <f>IF($CN992="refNeedCorrection",-BX992,BX992)*IF($BP992="Emissions positive",-1,1)</f>
        <v>805.93200000000002</v>
      </c>
      <c r="CU992">
        <f>IFERROR(CT992/CQ992,"")</f>
        <v>3.8992886470588242</v>
      </c>
      <c r="CV992" s="2">
        <f>IFERROR((CS992-CR992)/ABS(CR992),"")</f>
        <v>0.49392712550607287</v>
      </c>
      <c r="CW992" s="1" t="s">
        <v>1199</v>
      </c>
      <c r="CX992" t="str">
        <f>IF(OR($CW992="prd",$CW992="std",$CW992="cit"),"loc",IF(OR($CW992="eur",$CW992="reg",$CW992="coy"),"reg",$CW992))</f>
        <v>reg</v>
      </c>
      <c r="CY992" t="s">
        <v>1301</v>
      </c>
      <c r="DB992">
        <v>180</v>
      </c>
      <c r="DC992" t="str">
        <f>IF(DB992=0,"0",IF(AND(DB992&gt;=1,DB992&lt;=30),"1-30",IF(AND(DB992&gt;30,DB992&lt;=70),"31-70",IF(AND(DB992&gt;70,DB992&lt;=100),"71-100",IF(DB992&gt;100,"+100")))))</f>
        <v>+100</v>
      </c>
      <c r="DD992">
        <v>0</v>
      </c>
      <c r="DE992">
        <v>1</v>
      </c>
      <c r="DF992">
        <v>1</v>
      </c>
      <c r="DG992">
        <v>1</v>
      </c>
      <c r="DH992">
        <v>1</v>
      </c>
      <c r="DI992">
        <f>SUM(DD992:DG992)</f>
        <v>3</v>
      </c>
      <c r="DJ992" t="str">
        <f>IF(DI992=1,INDEX($DD$7:$DG$7,MATCH(1,$DD992:$DG992,0)),"mixedProduct")</f>
        <v>mixedProduct</v>
      </c>
      <c r="DK992">
        <f>IF(DD992=1,DK$7,0)</f>
        <v>0</v>
      </c>
      <c r="DL992" t="str">
        <f>IF(DE992=1,DL$7,0)</f>
        <v>Energy</v>
      </c>
      <c r="DM992" t="str">
        <f>IF(DF992=1,DM$7,0)</f>
        <v>Pulp/Paper</v>
      </c>
      <c r="DN992" t="str">
        <f>IF(DG992=1,DN$7,0)</f>
        <v>Timber</v>
      </c>
      <c r="DO992">
        <v>0</v>
      </c>
      <c r="DP992">
        <v>1</v>
      </c>
      <c r="DQ992" t="s">
        <v>1842</v>
      </c>
      <c r="DR992" t="s">
        <v>1843</v>
      </c>
      <c r="DS992">
        <v>0</v>
      </c>
      <c r="DT992">
        <f>SUM(DO992:DP992)</f>
        <v>1</v>
      </c>
      <c r="DU992" s="143" t="str">
        <f>IF(DO992=1,"self-calculated DF",IF(DP992=1,"external DF used","explicit C balance"))</f>
        <v>external DF used</v>
      </c>
      <c r="DV992">
        <v>1</v>
      </c>
      <c r="DW992">
        <v>1</v>
      </c>
      <c r="DX992">
        <v>1</v>
      </c>
      <c r="DY992">
        <v>1</v>
      </c>
      <c r="DZ992">
        <v>1</v>
      </c>
      <c r="EA992">
        <v>1</v>
      </c>
      <c r="EB992">
        <v>0</v>
      </c>
      <c r="EC992">
        <v>0</v>
      </c>
      <c r="ED992">
        <v>0</v>
      </c>
      <c r="EE992">
        <v>0</v>
      </c>
      <c r="EF992">
        <v>1</v>
      </c>
      <c r="EG992">
        <v>0</v>
      </c>
      <c r="EH992">
        <v>0</v>
      </c>
      <c r="EI992" s="2">
        <v>0</v>
      </c>
      <c r="EK992" t="str">
        <f>IF(AND(AND(AND(OR($DX992=1,$DW992=1),OR($EC992=1,$EA992=1)),SUM($DV992:$DZ992,$EF992)&gt;=4),SUM($EA992:$EE992)&gt;=2),"Whole sector","")</f>
        <v/>
      </c>
      <c r="EL992" t="str">
        <f>IF(AND(AND(OR($DX992=1,$DW992=1),AND($EC992=0,$EA992=0)),SUM($DV992:$DZ992,$EF992)&gt;=4),"Ecosystem approach","")</f>
        <v/>
      </c>
      <c r="EM992" s="2" t="str">
        <f>IF(AND(AND(AND($DX992=0,$DW992=0),OR($EC992=1,$EA992=1)),SUM($EB992:$EE992)&gt;=2),"Technology approach","")</f>
        <v/>
      </c>
      <c r="EP992" t="str">
        <f>IF(ISNUMBER(BU992),IF(ABS(BU992-[4]QC_indicators!$B$2)&gt;3*[4]QC_indicators!$C$2,"C ratio",IF(ISNUMBER(BY992),IF(ABS(BY992-[4]QC_indicators!$B$1)&gt;3*[4]QC_indicators!$C$1,"DF","no"))),IF(ISNUMBER(BY992),IF(ABS(BY992-[4]QC_indicators!$B$1)&gt;3*[4]QC_indicators!$C$1,"DF","no")))</f>
        <v>no</v>
      </c>
      <c r="ET992" s="264" t="s">
        <v>3273</v>
      </c>
    </row>
    <row r="993" spans="1:150" ht="15" customHeight="1">
      <c r="A993" s="1" t="s">
        <v>1378</v>
      </c>
      <c r="B993" t="s">
        <v>1922</v>
      </c>
      <c r="C993" t="s">
        <v>1923</v>
      </c>
      <c r="D993" t="s">
        <v>1924</v>
      </c>
      <c r="E993" t="s">
        <v>1925</v>
      </c>
      <c r="F993" t="s">
        <v>1926</v>
      </c>
      <c r="G993" t="s">
        <v>1384</v>
      </c>
      <c r="H993" t="s">
        <v>254</v>
      </c>
      <c r="I993">
        <v>2016</v>
      </c>
      <c r="J993">
        <v>12</v>
      </c>
      <c r="K993" t="s">
        <v>1927</v>
      </c>
      <c r="M993" t="str">
        <f>LEFT($D993,FIND(",",$D993)-1)&amp;"_"&amp;I993&amp;L993</f>
        <v>Lobianco_2016</v>
      </c>
      <c r="N993" t="s">
        <v>222</v>
      </c>
      <c r="O993" s="145" t="s">
        <v>225</v>
      </c>
      <c r="P993" t="s">
        <v>513</v>
      </c>
      <c r="Q993" t="s">
        <v>256</v>
      </c>
      <c r="R993" s="262" t="s">
        <v>223</v>
      </c>
      <c r="S993" s="1" t="s">
        <v>1928</v>
      </c>
      <c r="T993" s="143" t="s">
        <v>3169</v>
      </c>
      <c r="U993" s="143" t="s">
        <v>1155</v>
      </c>
      <c r="V993">
        <v>0</v>
      </c>
      <c r="W993">
        <v>0</v>
      </c>
      <c r="X993">
        <v>1</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1</v>
      </c>
      <c r="AV993">
        <v>0</v>
      </c>
      <c r="AW993">
        <v>0</v>
      </c>
      <c r="AX993" s="141">
        <f>COUNTIF(V993:AW993,"&lt;&gt;0")</f>
        <v>2</v>
      </c>
      <c r="AY993" s="141">
        <f>COUNTIF(V993:AL993,"&lt;&gt;0")</f>
        <v>1</v>
      </c>
      <c r="AZ993">
        <f>COUNTIF(V993:AC993,"&lt;&gt;0")</f>
        <v>1</v>
      </c>
      <c r="BA993">
        <f>COUNTIF(AD993:AI993,"&lt;&gt;0")</f>
        <v>0</v>
      </c>
      <c r="BB993">
        <f>COUNTIF(AJ993:AL993,"&lt;&gt;0")</f>
        <v>0</v>
      </c>
      <c r="BC993">
        <f>COUNTIF(AS993:AW993,"&lt;&gt;0")</f>
        <v>1</v>
      </c>
      <c r="BD993">
        <f>COUNTIF(AM993:AR993,"&lt;&gt;0")</f>
        <v>0</v>
      </c>
      <c r="BE993" t="str">
        <f t="array" ref="BE993">IF(AY993=1,INDEX($V$7:$AL$7,MATCH(TRUE,INDEX($V993:$AW993&lt;&gt;0,),0)),IF(AY993=0,INDEX($AM$7:$AW$7,MATCH(1,$AM993:$AW993,0)),IF(BF993="Multiple strategies","mixed drivers",IF(BF993="Supply chain","multiple supply","multiple silviculture"))))</f>
        <v>rotation length</v>
      </c>
      <c r="BF993" s="2" t="str" cm="1">
        <f t="array" ref="BF993">IF(COUNTIF(AZ993:BB993,"&lt;&gt;0")=1,INDEX($V$4:$AW$4,MATCH(TRUE,INDEX($V993:$AW993&lt;&gt;0,),0)),IF(COUNTIF(AZ993:BB993,"&lt;&gt;0")=0,INDEX($AM$4:$AW$4,MATCH(1,$AM993:$AW993,0)),"Multiple strategies"))</f>
        <v>Silviculture for removals</v>
      </c>
      <c r="BG993" s="142" t="s">
        <v>321</v>
      </c>
      <c r="BH993" s="265" t="s">
        <v>3163</v>
      </c>
      <c r="BI993" s="264" t="s">
        <v>3164</v>
      </c>
      <c r="BJ993" s="143" t="s">
        <v>3165</v>
      </c>
      <c r="BK993">
        <f>53.247*(1-0.04/100)</f>
        <v>53.225701200000003</v>
      </c>
      <c r="BL993">
        <f>53.247</f>
        <v>53.247</v>
      </c>
      <c r="BN993">
        <f>BL993-BK993</f>
        <v>2.1298799999996731E-2</v>
      </c>
      <c r="BO993" s="143">
        <f>BN993*10^6</f>
        <v>21298.799999996732</v>
      </c>
      <c r="BP993" t="s">
        <v>232</v>
      </c>
      <c r="BQ993" s="264" t="s">
        <v>3166</v>
      </c>
      <c r="BR993" s="143" t="s">
        <v>1929</v>
      </c>
      <c r="BS993">
        <f>117.96*(1-0.07/100)</f>
        <v>117.87742799999999</v>
      </c>
      <c r="BT993" s="144">
        <v>117.962</v>
      </c>
      <c r="BV993">
        <f>BT993-BS993</f>
        <v>8.4572000000008529E-2</v>
      </c>
      <c r="BX993">
        <f>BV993*10^6</f>
        <v>84572.000000008527</v>
      </c>
      <c r="BY993">
        <f>IFERROR(BX993/BO993,"")</f>
        <v>3.970740135595503</v>
      </c>
      <c r="BZ993">
        <v>0</v>
      </c>
      <c r="CA993">
        <v>0</v>
      </c>
      <c r="CB993">
        <v>0</v>
      </c>
      <c r="CC993">
        <v>0</v>
      </c>
      <c r="CD993">
        <v>0</v>
      </c>
      <c r="CE993">
        <v>0</v>
      </c>
      <c r="CF993">
        <v>0</v>
      </c>
      <c r="CG993">
        <v>0</v>
      </c>
      <c r="CH993">
        <v>0</v>
      </c>
      <c r="CI993">
        <v>0</v>
      </c>
      <c r="CJ993">
        <v>0</v>
      </c>
      <c r="CK993">
        <v>0</v>
      </c>
      <c r="CL993">
        <v>0</v>
      </c>
      <c r="CM993">
        <v>0</v>
      </c>
      <c r="CN993" t="str">
        <f>IF($BL993&lt;$BK993,"refNeedCorrection","refOK")</f>
        <v>refOK</v>
      </c>
      <c r="CO993">
        <f>IF($CN993="refOK",$BK993,$BL993)</f>
        <v>53.225701200000003</v>
      </c>
      <c r="CP993">
        <f>IF($CN993="refOK",$BL993,$BK993)</f>
        <v>53.247</v>
      </c>
      <c r="CQ993">
        <f>IF($CN993="refOK",$BO993,-$BO993)</f>
        <v>21298.799999996732</v>
      </c>
      <c r="CR993">
        <f>IF($CN993="refOK",$BS993,$BT993)*IF($BP993="Emissions positive",-1,1)</f>
        <v>117.87742799999999</v>
      </c>
      <c r="CS993">
        <f>IF($CN993="refOK",$BS993,#REF!)*IF($BP993="Emissions positive",-1,1)</f>
        <v>117.87742799999999</v>
      </c>
      <c r="CT993">
        <f>IF($CN993="refNeedCorrection",-BX993,BX993)*IF($BP993="Emissions positive",-1,1)</f>
        <v>84572.000000008527</v>
      </c>
      <c r="CU993">
        <f>IFERROR(CT993/CQ993,"")</f>
        <v>3.970740135595503</v>
      </c>
      <c r="CV993" s="2">
        <f>IFERROR((CS993-CR993)/ABS(CR993),"")</f>
        <v>0</v>
      </c>
      <c r="CW993" s="1" t="s">
        <v>1199</v>
      </c>
      <c r="CX993" t="str">
        <f>IF(OR($CW993="prd",$CW993="std",$CW993="cit"),"loc",IF(OR($CW993="eur",$CW993="reg",$CW993="coy"),"reg",$CW993))</f>
        <v>reg</v>
      </c>
      <c r="CY993" t="s">
        <v>729</v>
      </c>
      <c r="CZ993">
        <v>2007</v>
      </c>
      <c r="DA993" s="143">
        <v>2100</v>
      </c>
      <c r="DB993" s="143">
        <f>DA993-CZ993</f>
        <v>93</v>
      </c>
      <c r="DC993" t="str">
        <f>IF(DB993=0,"0",IF(AND(DB993&gt;=1,DB993&lt;=30),"1-30",IF(AND(DB993&gt;30,DB993&lt;=70),"31-70",IF(AND(DB993&gt;70,DB993&lt;=100),"71-100",IF(DB993&gt;100,"+100")))))</f>
        <v>71-100</v>
      </c>
      <c r="DD993">
        <v>0</v>
      </c>
      <c r="DE993">
        <v>1</v>
      </c>
      <c r="DF993">
        <v>0</v>
      </c>
      <c r="DG993">
        <v>1</v>
      </c>
      <c r="DH993">
        <v>1</v>
      </c>
      <c r="DI993">
        <f>SUM(DD993:DG993)</f>
        <v>2</v>
      </c>
      <c r="DJ993" t="str">
        <f>IF(DI993=1,INDEX($DD$7:$DG$7,MATCH(1,$DD993:$DG993,0)),"mixedProduct")</f>
        <v>mixedProduct</v>
      </c>
      <c r="DK993">
        <f>IF(DD993=1,DK$7,0)</f>
        <v>0</v>
      </c>
      <c r="DL993" t="str">
        <f>IF(DE993=1,DL$7,0)</f>
        <v>Energy</v>
      </c>
      <c r="DM993">
        <f>IF(DF993=1,DM$7,0)</f>
        <v>0</v>
      </c>
      <c r="DN993" t="str">
        <f>IF(DG993=1,DN$7,0)</f>
        <v>Timber</v>
      </c>
      <c r="DO993">
        <v>0</v>
      </c>
      <c r="DP993" s="143">
        <v>0</v>
      </c>
      <c r="DQ993" s="143">
        <v>0</v>
      </c>
      <c r="DR993">
        <v>0</v>
      </c>
      <c r="DS993" s="143">
        <v>0</v>
      </c>
      <c r="DT993">
        <f>SUM(DO993:DP993)</f>
        <v>0</v>
      </c>
      <c r="DU993" s="143" t="str">
        <f>IF(DO993=1,"self-calculated DF",IF(DP993=1,"external DF used","explicit C balance"))</f>
        <v>explicit C balance</v>
      </c>
      <c r="DV993" s="143">
        <v>0</v>
      </c>
      <c r="DW993" s="143">
        <v>0</v>
      </c>
      <c r="DX993" s="143">
        <v>1</v>
      </c>
      <c r="DY993" s="143">
        <v>1</v>
      </c>
      <c r="DZ993">
        <v>0</v>
      </c>
      <c r="EA993" s="143">
        <v>1</v>
      </c>
      <c r="EB993" s="143">
        <v>1</v>
      </c>
      <c r="EC993" s="143">
        <v>0</v>
      </c>
      <c r="ED993" s="143">
        <v>0</v>
      </c>
      <c r="EE993">
        <v>0</v>
      </c>
      <c r="EF993">
        <v>1</v>
      </c>
      <c r="EG993" s="143">
        <v>0</v>
      </c>
      <c r="EH993">
        <v>0</v>
      </c>
      <c r="EI993" s="2">
        <v>1</v>
      </c>
      <c r="EK993" t="str">
        <f>IF(AND(AND(AND(OR($DX993=1,$DW993=1),OR($EC993=1,$EA993=1)),SUM($DV993:$DZ993,$EF993)&gt;=4),SUM($EA993:$EE993)&gt;=2),"Whole sector","")</f>
        <v/>
      </c>
      <c r="EL993" t="str">
        <f>IF(AND(AND(OR($DX993=1,$DW993=1),AND($EC993=0,$EA993=0)),SUM($DV993:$DZ993,$EF993)&gt;=4),"Ecosystem approach","")</f>
        <v/>
      </c>
      <c r="EM993" s="2" t="str">
        <f>IF(AND(AND(AND($DX993=0,$DW993=0),OR($EC993=1,$EA993=1)),SUM($EB993:$EE993)&gt;=2),"Technology approach","")</f>
        <v/>
      </c>
      <c r="EP993" t="str">
        <f>IF(ISNUMBER(BT993),IF(ABS(BT993-[1]QC_indicators!$B$2)&gt;3*[1]QC_indicators!$C$2,"C ratio",IF(ISNUMBER(BY993),IF(ABS(BY993-[1]QC_indicators!$B$1)&gt;3*[1]QC_indicators!$C$1,"DF","no"))),IF(ISNUMBER(BY993),IF(ABS(BY993-[1]QC_indicators!$B$1)&gt;3*[1]QC_indicators!$C$1,"DF","no")))</f>
        <v>C ratio</v>
      </c>
      <c r="ET993" s="264" t="s">
        <v>3167</v>
      </c>
    </row>
    <row r="994" spans="1:150" ht="15" customHeight="1">
      <c r="D994" t="s">
        <v>733</v>
      </c>
      <c r="E994" t="s">
        <v>734</v>
      </c>
      <c r="G994" t="s">
        <v>735</v>
      </c>
      <c r="I994">
        <v>2005</v>
      </c>
      <c r="K994" s="156" t="s">
        <v>736</v>
      </c>
      <c r="M994" t="str">
        <f>LEFT($D994,FIND(",",$D994)-1)&amp;"_"&amp;I994&amp;L994</f>
        <v>Gustavsson_2005</v>
      </c>
      <c r="N994" t="s">
        <v>222</v>
      </c>
      <c r="O994" t="s">
        <v>223</v>
      </c>
      <c r="Q994" t="s">
        <v>256</v>
      </c>
      <c r="R994" s="255" t="s">
        <v>225</v>
      </c>
      <c r="S994" s="1" t="s">
        <v>752</v>
      </c>
      <c r="T994" t="s">
        <v>753</v>
      </c>
      <c r="U994" s="264" t="s">
        <v>754</v>
      </c>
      <c r="V994">
        <v>0</v>
      </c>
      <c r="W994">
        <v>0</v>
      </c>
      <c r="X994">
        <v>0</v>
      </c>
      <c r="Y994">
        <v>0</v>
      </c>
      <c r="Z994">
        <v>0</v>
      </c>
      <c r="AA994">
        <v>0</v>
      </c>
      <c r="AB994">
        <v>0</v>
      </c>
      <c r="AC994">
        <v>0</v>
      </c>
      <c r="AD994">
        <v>0</v>
      </c>
      <c r="AE994">
        <v>0</v>
      </c>
      <c r="AF994">
        <v>0</v>
      </c>
      <c r="AG994">
        <v>0</v>
      </c>
      <c r="AH994">
        <v>0</v>
      </c>
      <c r="AI994">
        <v>0</v>
      </c>
      <c r="AJ994">
        <v>0</v>
      </c>
      <c r="AK994">
        <v>1</v>
      </c>
      <c r="AL994">
        <v>0</v>
      </c>
      <c r="AM994">
        <v>0</v>
      </c>
      <c r="AN994">
        <v>0</v>
      </c>
      <c r="AO994">
        <v>0</v>
      </c>
      <c r="AP994">
        <v>0</v>
      </c>
      <c r="AQ994">
        <v>0</v>
      </c>
      <c r="AR994">
        <v>0</v>
      </c>
      <c r="AS994">
        <v>0</v>
      </c>
      <c r="AT994">
        <v>0</v>
      </c>
      <c r="AU994">
        <v>0</v>
      </c>
      <c r="AV994">
        <v>0</v>
      </c>
      <c r="AW994">
        <v>0</v>
      </c>
      <c r="AX994" s="141">
        <f>COUNTIF(V994:AW994,"&lt;&gt;0")</f>
        <v>1</v>
      </c>
      <c r="AY994" s="141">
        <f>COUNTIF(V994:AL994,"&lt;&gt;0")</f>
        <v>1</v>
      </c>
      <c r="AZ994">
        <f>COUNTIF(V994:AC994,"&lt;&gt;0")</f>
        <v>0</v>
      </c>
      <c r="BA994">
        <f>COUNTIF(AD994:AI994,"&lt;&gt;0")</f>
        <v>0</v>
      </c>
      <c r="BB994">
        <f>COUNTIF(AJ994:AL994,"&lt;&gt;0")</f>
        <v>1</v>
      </c>
      <c r="BC994">
        <f>COUNTIF(AS994:AW994,"&lt;&gt;0")</f>
        <v>0</v>
      </c>
      <c r="BD994">
        <f>COUNTIF(AM994:AR994,"&lt;&gt;0")</f>
        <v>0</v>
      </c>
      <c r="BE994" t="str">
        <f t="array" ref="BE994">IF(AY994=1,INDEX($V$7:$AL$7,MATCH(TRUE,INDEX($V994:$AW994&lt;&gt;0,),0)),IF(AY994=0,INDEX($AM$7:$AW$7,MATCH(1,$AM994:$AW994,0)),IF(BF994="Multiple strategies","mixed drivers",IF(BF994="Supply chain","multiple supply","multiple silviculture"))))</f>
        <v>technologies/design switch</v>
      </c>
      <c r="BF994" s="2" t="str" cm="1">
        <f t="array" ref="BF994">IF(COUNTIF(AZ994:BB994,"&lt;&gt;0")=1,INDEX($V$4:$AW$4,MATCH(TRUE,INDEX($V994:$AW994&lt;&gt;0,),0)),IF(COUNTIF(AZ994:BB994,"&lt;&gt;0")=0,INDEX($AM$4:$AW$4,MATCH(1,$AM994:$AW994,0)),"Multiple strategies"))</f>
        <v>Technology</v>
      </c>
      <c r="BG994" s="263" t="s">
        <v>229</v>
      </c>
      <c r="BH994" s="264" t="s">
        <v>755</v>
      </c>
      <c r="BI994" s="260" t="s">
        <v>424</v>
      </c>
      <c r="BJ994" s="264" t="s">
        <v>756</v>
      </c>
      <c r="BK994" s="264">
        <v>56.4</v>
      </c>
      <c r="BL994" s="264">
        <v>80.5</v>
      </c>
      <c r="BM994" s="264">
        <f>BL994/BK994</f>
        <v>1.4273049645390072</v>
      </c>
      <c r="BN994" s="264">
        <f>BL994-BK994</f>
        <v>24.1</v>
      </c>
      <c r="BO994" s="264">
        <f>BN994*t_to_m3</f>
        <v>49.183673469387756</v>
      </c>
      <c r="BP994" t="s">
        <v>232</v>
      </c>
      <c r="BQ994" s="304" t="s">
        <v>3333</v>
      </c>
      <c r="BR994" t="s">
        <v>442</v>
      </c>
      <c r="BS994" s="264">
        <v>-9.1</v>
      </c>
      <c r="BT994" s="151">
        <v>44.2</v>
      </c>
      <c r="BV994">
        <f>BT994-BS994</f>
        <v>53.300000000000004</v>
      </c>
      <c r="BX994">
        <f>BV994*C_to_CO2</f>
        <v>195.61100000000002</v>
      </c>
      <c r="BY994">
        <f>IFERROR(BX994/BO994,"")</f>
        <v>3.9771531120331951</v>
      </c>
      <c r="BZ994" s="143">
        <v>0</v>
      </c>
      <c r="CA994" s="143">
        <v>0</v>
      </c>
      <c r="CB994" s="143">
        <v>0</v>
      </c>
      <c r="CC994" s="143">
        <v>0</v>
      </c>
      <c r="CD994" s="143">
        <v>0</v>
      </c>
      <c r="CE994" s="143">
        <v>0</v>
      </c>
      <c r="CF994" s="143">
        <v>0</v>
      </c>
      <c r="CG994" s="143">
        <v>0</v>
      </c>
      <c r="CH994" s="143">
        <v>0</v>
      </c>
      <c r="CI994" s="143">
        <v>0</v>
      </c>
      <c r="CJ994" s="143">
        <v>0</v>
      </c>
      <c r="CK994" s="143">
        <v>0</v>
      </c>
      <c r="CL994" s="143">
        <v>0</v>
      </c>
      <c r="CM994">
        <v>0</v>
      </c>
      <c r="CN994" t="str">
        <f>IF($BL994&lt;$BK994,"refNeedCorrection","refOK")</f>
        <v>refOK</v>
      </c>
      <c r="CO994">
        <f>IF($CN994="refOK",$BK994,$BL994)</f>
        <v>56.4</v>
      </c>
      <c r="CP994">
        <f>IF($CN994="refOK",$BL994,$BK994)</f>
        <v>80.5</v>
      </c>
      <c r="CQ994">
        <f>IF($CN994="refOK",$BO994,-$BO994)</f>
        <v>49.183673469387756</v>
      </c>
      <c r="CR994">
        <f>IF($CN994="refOK",$BS994,$BT994)*IF($BP994="Emissions positive",-1,1)</f>
        <v>-9.1</v>
      </c>
      <c r="CS994">
        <f>IF($CN994="refOK",$BT994,$BS994)*IF($BP994="Emissions positive",-1,1)</f>
        <v>44.2</v>
      </c>
      <c r="CT994">
        <f>IF($CN994="refNeedCorrection",-BX994,BX994)*IF($BP994="Emissions positive",-1,1)</f>
        <v>195.61100000000002</v>
      </c>
      <c r="CU994">
        <f>IFERROR(CT994/CQ994,"")</f>
        <v>3.9771531120331951</v>
      </c>
      <c r="CV994" s="2">
        <f>IFERROR((CS994-CR994)/ABS(CR994),"")</f>
        <v>5.8571428571428577</v>
      </c>
      <c r="CW994" s="1" t="s">
        <v>263</v>
      </c>
      <c r="CX994" t="str">
        <f>IF(OR($CW994="prd",$CW994="std",$CW994="cit"),"loc",IF(OR($CW994="eur",$CW994="reg",$CW994="coy"),"reg",$CW994))</f>
        <v>loc</v>
      </c>
      <c r="CY994" t="s">
        <v>743</v>
      </c>
      <c r="DA994" s="143"/>
      <c r="DB994" s="143">
        <v>0</v>
      </c>
      <c r="DC994" t="str">
        <f>IF(DB994=0,"0",IF(AND(DB994&gt;=1,DB994&lt;=30),"1-30",IF(AND(DB994&gt;30,DB994&lt;=70),"31-70",IF(AND(DB994&gt;70,DB994&lt;=100),"71-100",IF(DB994&gt;100,"+100")))))</f>
        <v>0</v>
      </c>
      <c r="DD994">
        <v>0</v>
      </c>
      <c r="DE994">
        <v>0</v>
      </c>
      <c r="DF994">
        <v>0</v>
      </c>
      <c r="DG994">
        <v>1</v>
      </c>
      <c r="DI994">
        <f>SUM(DD994:DG994)</f>
        <v>1</v>
      </c>
      <c r="DJ994" t="str">
        <f>IF(DI994=1,INDEX($DD$7:$DG$7,MATCH(1,$DD994:$DG994,0)),"mixedProduct")</f>
        <v>TimberInput</v>
      </c>
      <c r="DK994">
        <f>IF(DD994=1,DK$7,0)</f>
        <v>0</v>
      </c>
      <c r="DL994">
        <f>IF(DE994=1,DL$7,0)</f>
        <v>0</v>
      </c>
      <c r="DM994">
        <f>IF(DF994=1,DM$7,0)</f>
        <v>0</v>
      </c>
      <c r="DN994" t="str">
        <f>IF(DG994=1,DN$7,0)</f>
        <v>Timber</v>
      </c>
      <c r="DO994">
        <v>1</v>
      </c>
      <c r="DP994" s="143">
        <v>0</v>
      </c>
      <c r="DQ994" s="143">
        <v>0</v>
      </c>
      <c r="DR994">
        <v>0</v>
      </c>
      <c r="DS994" s="143">
        <v>0</v>
      </c>
      <c r="DT994">
        <f>SUM(DO994:DP994)</f>
        <v>1</v>
      </c>
      <c r="DU994" s="143" t="str">
        <f>IF(DO994=1,"self-calculated DF",IF(DP994=1,"external DF used","explicit C balance"))</f>
        <v>self-calculated DF</v>
      </c>
      <c r="DV994" s="143">
        <v>0</v>
      </c>
      <c r="DW994" s="264">
        <v>1</v>
      </c>
      <c r="DX994" s="264">
        <v>0</v>
      </c>
      <c r="DY994" s="264">
        <v>0</v>
      </c>
      <c r="DZ994" s="264">
        <v>0</v>
      </c>
      <c r="EA994" s="264">
        <v>1</v>
      </c>
      <c r="EB994" s="264">
        <v>1</v>
      </c>
      <c r="EC994" s="264">
        <v>1</v>
      </c>
      <c r="ED994" s="143">
        <v>0</v>
      </c>
      <c r="EE994">
        <v>0</v>
      </c>
      <c r="EF994">
        <v>0</v>
      </c>
      <c r="EG994" s="143">
        <v>0</v>
      </c>
      <c r="EH994" s="143">
        <v>0</v>
      </c>
      <c r="EI994" s="2">
        <v>0</v>
      </c>
      <c r="EK994" t="str">
        <f>IF(AND(AND(AND(OR($DX994=1,$DW994=1),OR($EC994=1,$EA994=1)),SUM($DV994:$DZ994,$EF994)&gt;=4),SUM($EA994:$EE994)&gt;=2),"Whole sector","")</f>
        <v/>
      </c>
      <c r="EL994" t="str">
        <f>IF(AND(AND(OR($DX994=1,$DW994=1),AND($EC994=0,$EA994=0)),SUM($DV994:$DZ994,$EF994)&gt;=4),"Ecosystem approach","")</f>
        <v/>
      </c>
      <c r="EM994" s="2" t="str">
        <f>IF(AND(AND(AND($DX994=0,$DW994=0),OR($EC994=1,$EA994=1)),SUM($EB994:$EE994)&gt;=2),"Technology approach","")</f>
        <v/>
      </c>
      <c r="EP994" t="str">
        <f>IF(ISNUMBER(BU994),IF(ABS(BU994-[4]QC_indicators!$B$2)&gt;3*[4]QC_indicators!$C$2,"C ratio",IF(ISNUMBER(BY994),IF(ABS(BY994-[4]QC_indicators!$B$1)&gt;3*[4]QC_indicators!$C$1,"DF","no"))),IF(ISNUMBER(BY994),IF(ABS(BY994-[4]QC_indicators!$B$1)&gt;3*[4]QC_indicators!$C$1,"DF","no")))</f>
        <v>no</v>
      </c>
      <c r="ER994" s="149" t="s">
        <v>349</v>
      </c>
      <c r="ET994" s="264" t="s">
        <v>3273</v>
      </c>
    </row>
    <row r="995" spans="1:150" ht="15" customHeight="1">
      <c r="A995" s="1" t="s">
        <v>1270</v>
      </c>
      <c r="B995" t="s">
        <v>1869</v>
      </c>
      <c r="C995" t="s">
        <v>1870</v>
      </c>
      <c r="D995" t="s">
        <v>1871</v>
      </c>
      <c r="E995" t="s">
        <v>1872</v>
      </c>
      <c r="F995" t="s">
        <v>1873</v>
      </c>
      <c r="G995" t="s">
        <v>1276</v>
      </c>
      <c r="H995" t="s">
        <v>254</v>
      </c>
      <c r="I995">
        <v>2019</v>
      </c>
      <c r="J995">
        <v>2</v>
      </c>
      <c r="K995" t="s">
        <v>1874</v>
      </c>
      <c r="M995" t="str">
        <f>LEFT($D995,FIND(",",$D995)-1)&amp;"_"&amp;I995&amp;L995</f>
        <v>Kucuker_2019</v>
      </c>
      <c r="N995" t="s">
        <v>222</v>
      </c>
      <c r="O995" s="145" t="s">
        <v>225</v>
      </c>
      <c r="Q995" s="264" t="s">
        <v>256</v>
      </c>
      <c r="R995" s="269" t="s">
        <v>1154</v>
      </c>
      <c r="S995" s="1" t="s">
        <v>1875</v>
      </c>
      <c r="T995" t="s">
        <v>1876</v>
      </c>
      <c r="U995">
        <v>20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1</v>
      </c>
      <c r="AW995">
        <v>0</v>
      </c>
      <c r="AX995" s="141">
        <f>COUNTIF(V995:AW995,"&lt;&gt;0")</f>
        <v>1</v>
      </c>
      <c r="AY995" s="141">
        <f>COUNTIF(V995:AL995,"&lt;&gt;0")</f>
        <v>0</v>
      </c>
      <c r="AZ995">
        <f>COUNTIF(V995:AC995,"&lt;&gt;0")</f>
        <v>0</v>
      </c>
      <c r="BA995">
        <f>COUNTIF(AD995:AI995,"&lt;&gt;0")</f>
        <v>0</v>
      </c>
      <c r="BB995">
        <f>COUNTIF(AJ995:AL995,"&lt;&gt;0")</f>
        <v>0</v>
      </c>
      <c r="BC995">
        <f>COUNTIF(AS995:AW995,"&lt;&gt;0")</f>
        <v>1</v>
      </c>
      <c r="BD995">
        <f>COUNTIF(AM995:AR995,"&lt;&gt;0")</f>
        <v>0</v>
      </c>
      <c r="BE995" t="str" cm="1">
        <f t="array" ref="BE995">IF(AY995=1,INDEX($V$7:$AL$7,MATCH(TRUE,INDEX($V995:$AW995&lt;&gt;0,),0)),IF(AY995=0,INDEX($AM$7:$AW$7,MATCH(1,$AM995:$AW995,0)),IF(BF995="Multiple strategies","mixed drivers",IF(BF995="Supply chain","multiple supply","multiple silviculture"))))</f>
        <v>Exogenous C price</v>
      </c>
      <c r="BF995" s="2" t="str" cm="1">
        <f t="array" ref="BF995">IF(COUNTIF(AZ995:BB995,"&lt;&gt;0")=1,INDEX($V$4:$AW$4,MATCH(TRUE,INDEX($V995:$AW995&lt;&gt;0,),0)),IF(COUNTIF(AZ995:BB995,"&lt;&gt;0")=0,INDEX($AM$4:$AW$4,MATCH(1,$AM995:$AW995,0)),"Multiple strategies"))</f>
        <v>Demand</v>
      </c>
      <c r="BG995" s="173" t="s">
        <v>321</v>
      </c>
      <c r="BH995" t="s">
        <v>182</v>
      </c>
      <c r="BJ995" t="s">
        <v>1770</v>
      </c>
      <c r="BK995">
        <v>5347</v>
      </c>
      <c r="BL995" s="143">
        <v>6637</v>
      </c>
      <c r="BM995" s="163">
        <f>BL995/BK995</f>
        <v>1.2412567795025249</v>
      </c>
      <c r="BN995">
        <f>BL995-BK995</f>
        <v>1290</v>
      </c>
      <c r="BO995" s="143">
        <f>BN995*10^3</f>
        <v>1290000</v>
      </c>
      <c r="BP995" t="s">
        <v>232</v>
      </c>
      <c r="BR995" t="s">
        <v>1877</v>
      </c>
      <c r="BS995">
        <v>1418</v>
      </c>
      <c r="BT995" s="143">
        <v>2918</v>
      </c>
      <c r="BU995" s="144">
        <f>IFERROR(BT995/BS995,"")</f>
        <v>2.0578279266572639</v>
      </c>
      <c r="BV995">
        <f>BT995-BS995</f>
        <v>1500</v>
      </c>
      <c r="BX995">
        <f>BV995*10^9/10^6*C_to_CO2</f>
        <v>5505000</v>
      </c>
      <c r="BY995">
        <f>IFERROR(BX995/BO995,"")</f>
        <v>4.2674418604651159</v>
      </c>
      <c r="BZ995">
        <v>0</v>
      </c>
      <c r="CA995">
        <v>0</v>
      </c>
      <c r="CB995">
        <v>0</v>
      </c>
      <c r="CC995">
        <v>0</v>
      </c>
      <c r="CD995">
        <v>0</v>
      </c>
      <c r="CE995">
        <v>0</v>
      </c>
      <c r="CF995">
        <v>0</v>
      </c>
      <c r="CG995">
        <v>0</v>
      </c>
      <c r="CH995">
        <v>0</v>
      </c>
      <c r="CI995">
        <v>0</v>
      </c>
      <c r="CJ995">
        <v>0</v>
      </c>
      <c r="CK995">
        <v>0</v>
      </c>
      <c r="CL995">
        <v>0</v>
      </c>
      <c r="CM995">
        <v>0</v>
      </c>
      <c r="CN995" t="str">
        <f>IF($BL995&lt;$BK995,"refNeedCorrection","refOK")</f>
        <v>refOK</v>
      </c>
      <c r="CO995">
        <f>IF($CN995="refNeedCorrection",BL995,BK995)</f>
        <v>5347</v>
      </c>
      <c r="CP995">
        <f>IF($CN995="refNeedCorrection",BK995,BL995)</f>
        <v>6637</v>
      </c>
      <c r="CQ995">
        <f>IF($CN995="refOK",$BO995,-$BO995)</f>
        <v>1290000</v>
      </c>
      <c r="CR995">
        <f>IF($CN995="refOK",$BS995,$BT995)*IF($BP995="Emissions positive",-1,1)</f>
        <v>1418</v>
      </c>
      <c r="CS995">
        <f>IF($CN995="refOK",$BT995,$BS995)*IF($BP995="Emissions positive",-1,1)</f>
        <v>2918</v>
      </c>
      <c r="CT995">
        <f>IF($CN995="refNeedCorrection",-BX995,BX995)*IF($BP995="Emissions positive",-1,1)</f>
        <v>5505000</v>
      </c>
      <c r="CU995">
        <f>IFERROR(CT995/CQ995,"")</f>
        <v>4.2674418604651159</v>
      </c>
      <c r="CV995" s="2">
        <f>IFERROR((CS995-CR995)/ABS(CR995),"")</f>
        <v>1.0578279266572637</v>
      </c>
      <c r="CW995" s="1" t="s">
        <v>1203</v>
      </c>
      <c r="CX995" s="264" t="str">
        <f>IF(OR($CW995="prd",$CW995="std",$CW995="cit"),"loc",IF(OR($CW995="eur",$CW995="reg",$CW995="coy"),"reg",$CW995))</f>
        <v>reg</v>
      </c>
      <c r="CY995" t="s">
        <v>1281</v>
      </c>
      <c r="DA995" s="143"/>
      <c r="DB995">
        <v>100</v>
      </c>
      <c r="DC995" t="str">
        <f>IF(DB995=0,"0",IF(AND(DB995&gt;=1,DB995&lt;=30),"1-30",IF(AND(DB995&gt;30,DB995&lt;=70),"31-70",IF(AND(DB995&gt;70,DB995&lt;=100),"71-100",IF(DB995&gt;100,"+100")))))</f>
        <v>71-100</v>
      </c>
      <c r="DD995">
        <v>0</v>
      </c>
      <c r="DE995">
        <v>0</v>
      </c>
      <c r="DF995">
        <v>0</v>
      </c>
      <c r="DG995">
        <v>1</v>
      </c>
      <c r="DI995">
        <f>SUM(DD995:DG995)</f>
        <v>1</v>
      </c>
      <c r="DJ995" t="str">
        <f>IF(DI995=1,INDEX($DD$7:$DG$7,MATCH(1,$DD995:$DG995,0)),"mixedProduct")</f>
        <v>TimberInput</v>
      </c>
      <c r="DK995">
        <f>IF(DD995=1,DK$7,0)</f>
        <v>0</v>
      </c>
      <c r="DL995">
        <f>IF(DE995=1,DL$7,0)</f>
        <v>0</v>
      </c>
      <c r="DM995">
        <f>IF(DF995=1,DM$7,0)</f>
        <v>0</v>
      </c>
      <c r="DN995" t="str">
        <f>IF(DG995=1,DN$7,0)</f>
        <v>Timber</v>
      </c>
      <c r="DO995">
        <v>0</v>
      </c>
      <c r="DP995" s="143">
        <v>0</v>
      </c>
      <c r="DQ995" s="143">
        <v>0</v>
      </c>
      <c r="DR995">
        <v>0</v>
      </c>
      <c r="DS995" s="143">
        <v>0</v>
      </c>
      <c r="DT995">
        <f>SUM(DO995:DP995)</f>
        <v>0</v>
      </c>
      <c r="DU995" s="143" t="str">
        <f>IF(DO995=1,"self-calculated DF",IF(DP995=1,"external DF used","explicit C balance"))</f>
        <v>explicit C balance</v>
      </c>
      <c r="DV995" s="143">
        <v>0</v>
      </c>
      <c r="DW995" s="143">
        <v>0</v>
      </c>
      <c r="DX995" s="143">
        <v>1</v>
      </c>
      <c r="DY995" s="143">
        <v>0</v>
      </c>
      <c r="DZ995">
        <v>0</v>
      </c>
      <c r="EA995" s="143">
        <v>0</v>
      </c>
      <c r="EB995" s="143">
        <v>0</v>
      </c>
      <c r="EC995" s="143">
        <v>0</v>
      </c>
      <c r="ED995" s="143">
        <v>0</v>
      </c>
      <c r="EE995">
        <v>0</v>
      </c>
      <c r="EF995">
        <v>0</v>
      </c>
      <c r="EG995" s="143">
        <v>0</v>
      </c>
      <c r="EH995">
        <v>0</v>
      </c>
      <c r="EI995" s="2">
        <v>0</v>
      </c>
      <c r="EK995" t="str">
        <f>IF(AND(AND(AND(OR($DX995=1,$DW995=1),OR($EC995=1,$EA995=1)),SUM($DV995:$DZ995,$EF995)&gt;=4),SUM($EA995:$EE995)&gt;=2),"Whole sector","")</f>
        <v/>
      </c>
      <c r="EL995" t="str">
        <f>IF(AND(AND(OR($DX995=1,$DW995=1),AND($EC995=0,$EA995=0)),SUM($DV995:$DZ995,$EF995)&gt;=4),"Ecosystem approach","")</f>
        <v/>
      </c>
      <c r="EM995" s="2" t="str">
        <f>IF(AND(AND(AND($DX995=0,$DW995=0),OR($EC995=1,$EA995=1)),SUM($EB995:$EE995)&gt;=2),"Technology approach","")</f>
        <v/>
      </c>
      <c r="EP995" t="str">
        <f>IF(ISNUMBER(BU995),IF(ABS(BU995-[3]QC_indicators!$B$2)&gt;3*[3]QC_indicators!$C$2,"C ratio",IF(ISNUMBER(BY995),IF(ABS(BY995-[3]QC_indicators!$B$1)&gt;3*[3]QC_indicators!$C$1,"DF","no"))),IF(ISNUMBER(BY995),IF(ABS(BY995-[3]QC_indicators!$B$1)&gt;3*[3]QC_indicators!$C$1,"DF","no")))</f>
        <v>no</v>
      </c>
      <c r="EQ995" t="s">
        <v>1878</v>
      </c>
      <c r="ET995" s="264" t="s">
        <v>3407</v>
      </c>
    </row>
    <row r="996" spans="1:150" ht="15" customHeight="1">
      <c r="A996" s="1" t="s">
        <v>1286</v>
      </c>
      <c r="B996" t="s">
        <v>1780</v>
      </c>
      <c r="C996" t="s">
        <v>1781</v>
      </c>
      <c r="D996" t="s">
        <v>1782</v>
      </c>
      <c r="E996" t="s">
        <v>1783</v>
      </c>
      <c r="F996" t="s">
        <v>1784</v>
      </c>
      <c r="G996" t="s">
        <v>1292</v>
      </c>
      <c r="H996" t="s">
        <v>254</v>
      </c>
      <c r="I996">
        <v>2018</v>
      </c>
      <c r="J996">
        <v>10</v>
      </c>
      <c r="K996" t="s">
        <v>1785</v>
      </c>
      <c r="M996" t="str">
        <f>LEFT($D996,FIND(",",$D996)-1)&amp;"_"&amp;I996&amp;L996</f>
        <v>Kalt_2018</v>
      </c>
      <c r="N996" t="s">
        <v>222</v>
      </c>
      <c r="O996" s="145" t="s">
        <v>513</v>
      </c>
      <c r="Q996" t="s">
        <v>256</v>
      </c>
      <c r="R996" s="283" t="s">
        <v>225</v>
      </c>
      <c r="S996" s="1" t="s">
        <v>1786</v>
      </c>
      <c r="T996" t="s">
        <v>1787</v>
      </c>
      <c r="U996" t="s">
        <v>1788</v>
      </c>
      <c r="V996">
        <v>0</v>
      </c>
      <c r="W996">
        <v>0</v>
      </c>
      <c r="X996">
        <v>0</v>
      </c>
      <c r="Y996">
        <v>0</v>
      </c>
      <c r="Z996">
        <v>0</v>
      </c>
      <c r="AA996">
        <v>0</v>
      </c>
      <c r="AB996">
        <v>0</v>
      </c>
      <c r="AC996">
        <v>0</v>
      </c>
      <c r="AD996">
        <v>0</v>
      </c>
      <c r="AE996">
        <v>0</v>
      </c>
      <c r="AF996">
        <v>0</v>
      </c>
      <c r="AG996">
        <v>0</v>
      </c>
      <c r="AH996">
        <v>0</v>
      </c>
      <c r="AI996">
        <v>0</v>
      </c>
      <c r="AJ996">
        <v>0</v>
      </c>
      <c r="AK996">
        <v>1</v>
      </c>
      <c r="AL996">
        <v>0</v>
      </c>
      <c r="AM996">
        <v>0</v>
      </c>
      <c r="AN996">
        <v>0</v>
      </c>
      <c r="AO996">
        <v>0</v>
      </c>
      <c r="AP996">
        <v>0</v>
      </c>
      <c r="AQ996">
        <v>0</v>
      </c>
      <c r="AR996">
        <v>0</v>
      </c>
      <c r="AS996">
        <v>0</v>
      </c>
      <c r="AT996">
        <v>0</v>
      </c>
      <c r="AU996">
        <v>0</v>
      </c>
      <c r="AV996">
        <v>0</v>
      </c>
      <c r="AW996">
        <v>0</v>
      </c>
      <c r="AX996" s="141">
        <f>COUNTIF(V996:AW996,"&lt;&gt;0")</f>
        <v>1</v>
      </c>
      <c r="AY996" s="141">
        <f>COUNTIF(V996:AL996,"&lt;&gt;0")</f>
        <v>1</v>
      </c>
      <c r="AZ996">
        <f>COUNTIF(V996:AC996,"&lt;&gt;0")</f>
        <v>0</v>
      </c>
      <c r="BA996">
        <f>COUNTIF(AD996:AI996,"&lt;&gt;0")</f>
        <v>0</v>
      </c>
      <c r="BB996">
        <f>COUNTIF(AJ996:AL996,"&lt;&gt;0")</f>
        <v>1</v>
      </c>
      <c r="BC996">
        <f>COUNTIF(AS996:AW996,"&lt;&gt;0")</f>
        <v>0</v>
      </c>
      <c r="BD996">
        <f>COUNTIF(AM996:AR996,"&lt;&gt;0")</f>
        <v>0</v>
      </c>
      <c r="BE996" t="str">
        <f t="array" ref="BE996">IF(AY996=1,INDEX($V$7:$AL$7,MATCH(TRUE,INDEX($V996:$AW996&lt;&gt;0,),0)),IF(AY996=0,INDEX($AM$7:$AW$7,MATCH(1,$AM996:$AW996,0)),IF(BF996="Multiple strategies","mixed drivers",IF(BF996="Supply chain","multiple supply","multiple silviculture"))))</f>
        <v>technologies/design switch</v>
      </c>
      <c r="BF996" s="2" t="str" cm="1">
        <f t="array" ref="BF996">IF(COUNTIF(AZ996:BB996,"&lt;&gt;0")=1,INDEX($V$4:$AW$4,MATCH(TRUE,INDEX($V996:$AW996&lt;&gt;0,),0)),IF(COUNTIF(AZ996:BB996,"&lt;&gt;0")=0,INDEX($AM$4:$AW$4,MATCH(1,$AM996:$AW996,0)),"Multiple strategies"))</f>
        <v>Technology</v>
      </c>
      <c r="BG996" s="1" t="s">
        <v>229</v>
      </c>
      <c r="BH996" t="s">
        <v>229</v>
      </c>
      <c r="BI996" s="151" t="s">
        <v>3082</v>
      </c>
      <c r="BJ996" t="s">
        <v>1698</v>
      </c>
      <c r="BK996">
        <f>BL996-4870</f>
        <v>525275</v>
      </c>
      <c r="BL996">
        <v>530145</v>
      </c>
      <c r="BM996">
        <f>BL996/BK996</f>
        <v>1.0092713340631099</v>
      </c>
      <c r="BN996">
        <f>BL996-BK996</f>
        <v>4870</v>
      </c>
      <c r="BO996">
        <f>BN996*1000</f>
        <v>4870000</v>
      </c>
      <c r="BP996" t="s">
        <v>232</v>
      </c>
      <c r="BQ996" t="s">
        <v>3083</v>
      </c>
      <c r="BR996" t="s">
        <v>1300</v>
      </c>
      <c r="BS996">
        <v>0</v>
      </c>
      <c r="BT996">
        <v>21.5</v>
      </c>
      <c r="BU996" s="144" t="str">
        <f>IFERROR(BT996/BS996,"")</f>
        <v/>
      </c>
      <c r="BV996">
        <f>BT996-BS996</f>
        <v>21.5</v>
      </c>
      <c r="BX996">
        <f>BV996*10^6</f>
        <v>21500000</v>
      </c>
      <c r="BY996">
        <f>IFERROR(BX996/BO996,"")</f>
        <v>4.4147843942505132</v>
      </c>
      <c r="BZ996">
        <v>0</v>
      </c>
      <c r="CA996">
        <v>0</v>
      </c>
      <c r="CB996">
        <v>0</v>
      </c>
      <c r="CC996">
        <v>0</v>
      </c>
      <c r="CD996">
        <v>0</v>
      </c>
      <c r="CE996">
        <v>0</v>
      </c>
      <c r="CF996">
        <v>0</v>
      </c>
      <c r="CG996">
        <v>0</v>
      </c>
      <c r="CH996">
        <v>0</v>
      </c>
      <c r="CI996">
        <v>0</v>
      </c>
      <c r="CJ996">
        <v>0</v>
      </c>
      <c r="CK996">
        <v>0</v>
      </c>
      <c r="CL996">
        <v>0</v>
      </c>
      <c r="CM996">
        <v>0</v>
      </c>
      <c r="CN996" t="str">
        <f>IF(BL996&lt;BK996,"refNeedCorrection","refOK")</f>
        <v>refOK</v>
      </c>
      <c r="CO996">
        <f>IF($CN996="refOK",$BK996,$BL996)</f>
        <v>525275</v>
      </c>
      <c r="CP996">
        <f>IF($CN996="refOK",$BL996,$BK996)</f>
        <v>530145</v>
      </c>
      <c r="CQ996">
        <f>IF($CN996="refOK",$BO996,-$BO996)</f>
        <v>4870000</v>
      </c>
      <c r="CR996">
        <f>IF($CN996="refOK",$BS996,$BT996)*IF($BP996="Emissions positive",-1,1)</f>
        <v>0</v>
      </c>
      <c r="CS996">
        <f>IF($CN996="refOK",$BT996,$BS996)*IF($BP996="Emissions positive",-1,1)</f>
        <v>21.5</v>
      </c>
      <c r="CT996">
        <f>IF($CN996="refNeedCorrection",-BX996,BX996)*IF($BP996="Emissions positive",-1,1)</f>
        <v>21500000</v>
      </c>
      <c r="CU996">
        <f>IFERROR(CT996/CQ996,"")</f>
        <v>4.4147843942505132</v>
      </c>
      <c r="CV996" s="2" t="str">
        <f>IFERROR((CS996-CR996)/ABS(CR996),"")</f>
        <v/>
      </c>
      <c r="CW996" s="1" t="s">
        <v>1203</v>
      </c>
      <c r="CX996" t="str">
        <f>IF(OR($CW996="prd",$CW996="std",$CW996="cit"),"loc",IF(OR($CW996="eur",$CW996="reg",$CW996="coy"),"reg",$CW996))</f>
        <v>reg</v>
      </c>
      <c r="CY996" t="s">
        <v>666</v>
      </c>
      <c r="CZ996">
        <v>2015</v>
      </c>
      <c r="DA996">
        <v>2050</v>
      </c>
      <c r="DB996">
        <v>35</v>
      </c>
      <c r="DC996" t="str">
        <f>IF(DB996=0,"0",IF(AND(DB996&gt;=1,DB996&lt;=30),"1-30",IF(AND(DB996&gt;30,DB996&lt;=70),"31-70",IF(AND(DB996&gt;70,DB996&lt;=100),"71-100",IF(DB996&gt;100,"+100")))))</f>
        <v>31-70</v>
      </c>
      <c r="DD996">
        <v>0</v>
      </c>
      <c r="DE996">
        <v>0</v>
      </c>
      <c r="DF996">
        <v>0</v>
      </c>
      <c r="DG996">
        <v>1</v>
      </c>
      <c r="DH996">
        <v>0</v>
      </c>
      <c r="DI996">
        <f>SUM(DD996:DG996)</f>
        <v>1</v>
      </c>
      <c r="DJ996" t="str">
        <f>IF(DI996=1,INDEX($DD$7:$DG$7,MATCH(1,$DD996:$DG996,0)),"mixedProduct")</f>
        <v>TimberInput</v>
      </c>
      <c r="DK996">
        <f>IF(DD996=1,DK$7,0)</f>
        <v>0</v>
      </c>
      <c r="DL996">
        <f>IF(DE996=1,DL$7,0)</f>
        <v>0</v>
      </c>
      <c r="DM996">
        <f>IF(DF996=1,DM$7,0)</f>
        <v>0</v>
      </c>
      <c r="DN996" t="str">
        <f>IF(DG996=1,DN$7,0)</f>
        <v>Timber</v>
      </c>
      <c r="DO996">
        <v>0</v>
      </c>
      <c r="DP996">
        <v>1</v>
      </c>
      <c r="DQ996">
        <v>0</v>
      </c>
      <c r="DR996" t="s">
        <v>1789</v>
      </c>
      <c r="DS996">
        <v>1</v>
      </c>
      <c r="DT996">
        <f>SUM(DO996:DP996)</f>
        <v>1</v>
      </c>
      <c r="DU996" s="143" t="str">
        <f>IF(DO996=1,"self-calculated DF",IF(DP996=1,"external DF used","explicit C balance"))</f>
        <v>external DF used</v>
      </c>
      <c r="DV996">
        <v>0</v>
      </c>
      <c r="DW996">
        <v>0</v>
      </c>
      <c r="DX996">
        <v>0</v>
      </c>
      <c r="DY996">
        <v>1</v>
      </c>
      <c r="DZ996">
        <v>0</v>
      </c>
      <c r="EA996" s="143">
        <v>1</v>
      </c>
      <c r="EB996">
        <v>0</v>
      </c>
      <c r="EC996">
        <v>1</v>
      </c>
      <c r="ED996">
        <v>0</v>
      </c>
      <c r="EE996">
        <v>0</v>
      </c>
      <c r="EF996">
        <v>0</v>
      </c>
      <c r="EG996">
        <v>0</v>
      </c>
      <c r="EH996">
        <v>0</v>
      </c>
      <c r="EI996" s="2">
        <v>0</v>
      </c>
      <c r="EK996" t="str">
        <f>IF(AND(AND(AND(OR($DX996=1,$DW996=1),OR($EC996=1,$EA996=1)),SUM($DV996:$DZ996,$EF996)&gt;=4),SUM($EA996:$EE996)&gt;=2),"Whole sector","")</f>
        <v/>
      </c>
      <c r="EL996" t="str">
        <f>IF(AND(AND(OR($DX996=1,$DW996=1),AND($EC996=0,$EA996=0)),SUM($DV996:$DZ996,$EF996)&gt;=4),"Ecosystem approach","")</f>
        <v/>
      </c>
      <c r="EM996" s="2" t="str">
        <f>IF(AND(AND(AND($DX996=0,$DW996=0),OR($EC996=1,$EA996=1)),SUM($EB996:$EE996)&gt;=2),"Technology approach","")</f>
        <v/>
      </c>
      <c r="EP996" t="str">
        <f>IF(ISNUMBER(BU996),IF(ABS(BU996-[4]QC_indicators!$B$2)&gt;3*[4]QC_indicators!$C$2,"C ratio",IF(ISNUMBER(BY996),IF(ABS(BY996-[4]QC_indicators!$B$1)&gt;3*[4]QC_indicators!$C$1,"DF","no"))),IF(ISNUMBER(BY996),IF(ABS(BY996-[4]QC_indicators!$B$1)&gt;3*[4]QC_indicators!$C$1,"DF","no")))</f>
        <v>no</v>
      </c>
      <c r="ET996" s="264" t="s">
        <v>3273</v>
      </c>
    </row>
    <row r="997" spans="1:150" ht="15" customHeight="1">
      <c r="A997" s="1" t="s">
        <v>1270</v>
      </c>
      <c r="B997" t="s">
        <v>1869</v>
      </c>
      <c r="C997" t="s">
        <v>1870</v>
      </c>
      <c r="D997" t="s">
        <v>1871</v>
      </c>
      <c r="E997" s="264" t="s">
        <v>1872</v>
      </c>
      <c r="F997" t="s">
        <v>1873</v>
      </c>
      <c r="G997" t="s">
        <v>1276</v>
      </c>
      <c r="H997" t="s">
        <v>254</v>
      </c>
      <c r="I997">
        <v>2019</v>
      </c>
      <c r="J997">
        <v>2</v>
      </c>
      <c r="K997" t="s">
        <v>1874</v>
      </c>
      <c r="M997" t="str">
        <f>LEFT($D997,FIND(",",$D997)-1)&amp;"_"&amp;I997&amp;L997</f>
        <v>Kucuker_2019</v>
      </c>
      <c r="N997" t="s">
        <v>222</v>
      </c>
      <c r="O997" s="145" t="s">
        <v>225</v>
      </c>
      <c r="Q997" s="264" t="s">
        <v>256</v>
      </c>
      <c r="R997" s="269" t="s">
        <v>1154</v>
      </c>
      <c r="S997" s="1" t="s">
        <v>1880</v>
      </c>
      <c r="T997" t="s">
        <v>1881</v>
      </c>
      <c r="U997" t="s">
        <v>1882</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1</v>
      </c>
      <c r="AX997" s="141">
        <f>COUNTIF(V997:AW997,"&lt;&gt;0")</f>
        <v>1</v>
      </c>
      <c r="AY997" s="141">
        <f>COUNTIF(V997:AL997,"&lt;&gt;0")</f>
        <v>0</v>
      </c>
      <c r="AZ997">
        <f>COUNTIF(V997:AC997,"&lt;&gt;0")</f>
        <v>0</v>
      </c>
      <c r="BA997">
        <f>COUNTIF(AD997:AI997,"&lt;&gt;0")</f>
        <v>0</v>
      </c>
      <c r="BB997">
        <f>COUNTIF(AJ997:AL997,"&lt;&gt;0")</f>
        <v>0</v>
      </c>
      <c r="BC997">
        <f>COUNTIF(AS997:AW997,"&lt;&gt;0")</f>
        <v>1</v>
      </c>
      <c r="BD997">
        <f>COUNTIF(AM997:AR997,"&lt;&gt;0")</f>
        <v>0</v>
      </c>
      <c r="BE997" t="str" cm="1">
        <f t="array" ref="BE997">IF(AY997=1,INDEX($V$7:$AL$7,MATCH(TRUE,INDEX($V997:$AW997&lt;&gt;0,),0)),IF(AY997=0,INDEX($AM$7:$AW$7,MATCH(1,$AM997:$AW997,0)),IF(BF997="Multiple strategies","mixed drivers",IF(BF997="Supply chain","multiple supply","multiple silviculture"))))</f>
        <v>exogenous land use change</v>
      </c>
      <c r="BF997" s="2" t="str" cm="1">
        <f t="array" ref="BF997">IF(COUNTIF(AZ997:BB997,"&lt;&gt;0")=1,INDEX($V$4:$AW$4,MATCH(TRUE,INDEX($V997:$AW997&lt;&gt;0,),0)),IF(COUNTIF(AZ997:BB997,"&lt;&gt;0")=0,INDEX($AM$4:$AW$4,MATCH(1,$AM997:$AW997,0)),"Multiple strategies"))</f>
        <v>Demand</v>
      </c>
      <c r="BG997" s="173" t="s">
        <v>321</v>
      </c>
      <c r="BH997" t="s">
        <v>182</v>
      </c>
      <c r="BJ997" t="s">
        <v>1770</v>
      </c>
      <c r="BK997">
        <v>7228</v>
      </c>
      <c r="BL997" s="143">
        <v>7395</v>
      </c>
      <c r="BM997" s="163">
        <f>BL997/BK997</f>
        <v>1.0231045932484781</v>
      </c>
      <c r="BN997">
        <f>BL997-BK997</f>
        <v>167</v>
      </c>
      <c r="BO997" s="143">
        <f>BN997*10^3</f>
        <v>167000</v>
      </c>
      <c r="BP997" t="s">
        <v>232</v>
      </c>
      <c r="BR997" t="s">
        <v>1877</v>
      </c>
      <c r="BS997" s="143">
        <v>3952</v>
      </c>
      <c r="BT997">
        <v>4158</v>
      </c>
      <c r="BU997" s="144">
        <f>IFERROR(BT997/BS997,"")</f>
        <v>1.0521255060728745</v>
      </c>
      <c r="BV997">
        <f>BT997-BS997</f>
        <v>206</v>
      </c>
      <c r="BX997">
        <f>BV997*10^9/10^6*C_to_CO2</f>
        <v>756020</v>
      </c>
      <c r="BY997">
        <f>IFERROR(BX997/BO997,"")</f>
        <v>4.527065868263473</v>
      </c>
      <c r="BZ997">
        <v>0</v>
      </c>
      <c r="CA997">
        <v>0</v>
      </c>
      <c r="CB997">
        <v>0</v>
      </c>
      <c r="CC997">
        <v>0</v>
      </c>
      <c r="CD997">
        <v>0</v>
      </c>
      <c r="CE997">
        <v>0</v>
      </c>
      <c r="CF997">
        <v>0</v>
      </c>
      <c r="CG997">
        <v>0</v>
      </c>
      <c r="CH997">
        <v>0</v>
      </c>
      <c r="CI997">
        <v>0</v>
      </c>
      <c r="CJ997">
        <v>0</v>
      </c>
      <c r="CK997">
        <v>0</v>
      </c>
      <c r="CL997">
        <v>0</v>
      </c>
      <c r="CM997">
        <v>0</v>
      </c>
      <c r="CN997" t="str">
        <f>IF($BL997&lt;$BK997,"refNeedCorrection","refOK")</f>
        <v>refOK</v>
      </c>
      <c r="CO997">
        <f>IF($CN997="refNeedCorrection",BL997,BK997)</f>
        <v>7228</v>
      </c>
      <c r="CP997">
        <f>IF($CN997="refNeedCorrection",BK997,BL997)</f>
        <v>7395</v>
      </c>
      <c r="CQ997">
        <f>IF($CN997="refOK",$BO997,-$BO997)</f>
        <v>167000</v>
      </c>
      <c r="CR997">
        <f>IF($CN997="refOK",$BS997,$BT997)*IF($BP997="Emissions positive",-1,1)</f>
        <v>3952</v>
      </c>
      <c r="CS997">
        <f>IF($CN997="refOK",$BT997,$BS997)*IF($BP997="Emissions positive",-1,1)</f>
        <v>4158</v>
      </c>
      <c r="CT997">
        <f>IF($CN997="refNeedCorrection",-BX997,BX997)*IF($BP997="Emissions positive",-1,1)</f>
        <v>756020</v>
      </c>
      <c r="CU997">
        <f>IFERROR(CT997/CQ997,"")</f>
        <v>4.527065868263473</v>
      </c>
      <c r="CV997" s="2">
        <f>IFERROR((CS997-CR997)/ABS(CR997),"")</f>
        <v>5.2125506072874493E-2</v>
      </c>
      <c r="CW997" s="1" t="s">
        <v>1203</v>
      </c>
      <c r="CX997" s="264" t="str">
        <f>IF(OR($CW997="prd",$CW997="std",$CW997="cit"),"loc",IF(OR($CW997="eur",$CW997="reg",$CW997="coy"),"reg",$CW997))</f>
        <v>reg</v>
      </c>
      <c r="CY997" t="s">
        <v>1281</v>
      </c>
      <c r="DA997" s="143"/>
      <c r="DB997">
        <v>100</v>
      </c>
      <c r="DC997" t="str">
        <f>IF(DB997=0,"0",IF(AND(DB997&gt;=1,DB997&lt;=30),"1-30",IF(AND(DB997&gt;30,DB997&lt;=70),"31-70",IF(AND(DB997&gt;70,DB997&lt;=100),"71-100",IF(DB997&gt;100,"+100")))))</f>
        <v>71-100</v>
      </c>
      <c r="DD997">
        <v>0</v>
      </c>
      <c r="DE997">
        <v>0</v>
      </c>
      <c r="DF997">
        <v>0</v>
      </c>
      <c r="DG997">
        <v>1</v>
      </c>
      <c r="DI997">
        <f>SUM(DD997:DG997)</f>
        <v>1</v>
      </c>
      <c r="DJ997" t="str">
        <f>IF(DI997=1,INDEX($DD$7:$DG$7,MATCH(1,$DD997:$DG997,0)),"mixedProduct")</f>
        <v>TimberInput</v>
      </c>
      <c r="DK997">
        <f>IF(DD997=1,DK$7,0)</f>
        <v>0</v>
      </c>
      <c r="DL997">
        <f>IF(DE997=1,DL$7,0)</f>
        <v>0</v>
      </c>
      <c r="DM997">
        <f>IF(DF997=1,DM$7,0)</f>
        <v>0</v>
      </c>
      <c r="DN997" t="str">
        <f>IF(DG997=1,DN$7,0)</f>
        <v>Timber</v>
      </c>
      <c r="DO997">
        <v>0</v>
      </c>
      <c r="DP997" s="143">
        <v>0</v>
      </c>
      <c r="DQ997" s="143">
        <v>0</v>
      </c>
      <c r="DR997">
        <v>0</v>
      </c>
      <c r="DS997" s="143">
        <v>0</v>
      </c>
      <c r="DT997">
        <f>SUM(DO997:DP997)</f>
        <v>0</v>
      </c>
      <c r="DU997" s="143" t="str">
        <f>IF(DO997=1,"self-calculated DF",IF(DP997=1,"external DF used","explicit C balance"))</f>
        <v>explicit C balance</v>
      </c>
      <c r="DV997" s="143">
        <v>0</v>
      </c>
      <c r="DW997" s="143">
        <v>0</v>
      </c>
      <c r="DX997" s="143">
        <v>1</v>
      </c>
      <c r="DY997" s="143">
        <v>0</v>
      </c>
      <c r="DZ997">
        <v>0</v>
      </c>
      <c r="EA997" s="143">
        <v>0</v>
      </c>
      <c r="EB997" s="143">
        <v>0</v>
      </c>
      <c r="EC997" s="143">
        <v>0</v>
      </c>
      <c r="ED997" s="143">
        <v>0</v>
      </c>
      <c r="EE997">
        <v>0</v>
      </c>
      <c r="EF997">
        <v>0</v>
      </c>
      <c r="EG997" s="143">
        <v>0</v>
      </c>
      <c r="EH997">
        <v>0</v>
      </c>
      <c r="EI997" s="2">
        <v>0</v>
      </c>
      <c r="EK997" t="str">
        <f>IF(AND(AND(AND(OR($DX997=1,$DW997=1),OR($EC997=1,$EA997=1)),SUM($DV997:$DZ997,$EF997)&gt;=4),SUM($EA997:$EE997)&gt;=2),"Whole sector","")</f>
        <v/>
      </c>
      <c r="EL997" t="str">
        <f>IF(AND(AND(OR($DX997=1,$DW997=1),AND($EC997=0,$EA997=0)),SUM($DV997:$DZ997,$EF997)&gt;=4),"Ecosystem approach","")</f>
        <v/>
      </c>
      <c r="EM997" s="2" t="str">
        <f>IF(AND(AND(AND($DX997=0,$DW997=0),OR($EC997=1,$EA997=1)),SUM($EB997:$EE997)&gt;=2),"Technology approach","")</f>
        <v/>
      </c>
      <c r="EP997" t="str">
        <f>IF(ISNUMBER(BU997),IF(ABS(BU997-[3]QC_indicators!$B$2)&gt;3*[3]QC_indicators!$C$2,"C ratio",IF(ISNUMBER(BY997),IF(ABS(BY997-[3]QC_indicators!$B$1)&gt;3*[3]QC_indicators!$C$1,"DF","no"))),IF(ISNUMBER(BY997),IF(ABS(BY997-[3]QC_indicators!$B$1)&gt;3*[3]QC_indicators!$C$1,"DF","no")))</f>
        <v>no</v>
      </c>
      <c r="EQ997" t="s">
        <v>1878</v>
      </c>
      <c r="ET997" s="264" t="s">
        <v>3407</v>
      </c>
    </row>
    <row r="998" spans="1:150" ht="15" customHeight="1">
      <c r="A998" s="1" t="s">
        <v>1270</v>
      </c>
      <c r="B998" t="s">
        <v>1869</v>
      </c>
      <c r="C998" t="s">
        <v>1870</v>
      </c>
      <c r="D998" t="s">
        <v>1871</v>
      </c>
      <c r="E998" t="s">
        <v>1872</v>
      </c>
      <c r="F998" t="s">
        <v>1873</v>
      </c>
      <c r="G998" t="s">
        <v>1276</v>
      </c>
      <c r="H998" t="s">
        <v>254</v>
      </c>
      <c r="I998">
        <v>2019</v>
      </c>
      <c r="J998">
        <v>2</v>
      </c>
      <c r="K998" t="s">
        <v>1874</v>
      </c>
      <c r="M998" t="str">
        <f>LEFT($D998,FIND(",",$D998)-1)&amp;"_"&amp;I998&amp;L998</f>
        <v>Kucuker_2019</v>
      </c>
      <c r="N998" t="s">
        <v>222</v>
      </c>
      <c r="O998" s="145" t="s">
        <v>225</v>
      </c>
      <c r="Q998" s="264" t="s">
        <v>256</v>
      </c>
      <c r="R998" s="269" t="s">
        <v>1154</v>
      </c>
      <c r="S998" s="1" t="s">
        <v>1875</v>
      </c>
      <c r="T998" t="s">
        <v>1879</v>
      </c>
      <c r="U998">
        <v>20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1</v>
      </c>
      <c r="AW998">
        <v>0</v>
      </c>
      <c r="AX998" s="141">
        <f>COUNTIF(V998:AW998,"&lt;&gt;0")</f>
        <v>1</v>
      </c>
      <c r="AY998" s="141">
        <f>COUNTIF(V998:AL998,"&lt;&gt;0")</f>
        <v>0</v>
      </c>
      <c r="AZ998">
        <f>COUNTIF(V998:AC998,"&lt;&gt;0")</f>
        <v>0</v>
      </c>
      <c r="BA998">
        <f>COUNTIF(AD998:AI998,"&lt;&gt;0")</f>
        <v>0</v>
      </c>
      <c r="BB998">
        <f>COUNTIF(AJ998:AL998,"&lt;&gt;0")</f>
        <v>0</v>
      </c>
      <c r="BC998">
        <f>COUNTIF(AS998:AW998,"&lt;&gt;0")</f>
        <v>1</v>
      </c>
      <c r="BD998">
        <f>COUNTIF(AM998:AR998,"&lt;&gt;0")</f>
        <v>0</v>
      </c>
      <c r="BE998" t="str" cm="1">
        <f t="array" ref="BE998">IF(AY998=1,INDEX($V$7:$AL$7,MATCH(TRUE,INDEX($V998:$AW998&lt;&gt;0,),0)),IF(AY998=0,INDEX($AM$7:$AW$7,MATCH(1,$AM998:$AW998,0)),IF(BF998="Multiple strategies","mixed drivers",IF(BF998="Supply chain","multiple supply","multiple silviculture"))))</f>
        <v>Exogenous C price</v>
      </c>
      <c r="BF998" s="2" t="str" cm="1">
        <f t="array" ref="BF998">IF(COUNTIF(AZ998:BB998,"&lt;&gt;0")=1,INDEX($V$4:$AW$4,MATCH(TRUE,INDEX($V998:$AW998&lt;&gt;0,),0)),IF(COUNTIF(AZ998:BB998,"&lt;&gt;0")=0,INDEX($AM$4:$AW$4,MATCH(1,$AM998:$AW998,0)),"Multiple strategies"))</f>
        <v>Demand</v>
      </c>
      <c r="BG998" s="173" t="s">
        <v>321</v>
      </c>
      <c r="BH998" t="s">
        <v>182</v>
      </c>
      <c r="BJ998" t="s">
        <v>1770</v>
      </c>
      <c r="BK998">
        <v>5918</v>
      </c>
      <c r="BL998" s="143">
        <v>7046</v>
      </c>
      <c r="BM998" s="163">
        <f>BL998/BK998</f>
        <v>1.1906049340993579</v>
      </c>
      <c r="BN998">
        <f>BL998-BK998</f>
        <v>1128</v>
      </c>
      <c r="BO998" s="143">
        <f>BN998*10^3</f>
        <v>1128000</v>
      </c>
      <c r="BP998" t="s">
        <v>232</v>
      </c>
      <c r="BR998" t="s">
        <v>1877</v>
      </c>
      <c r="BS998">
        <v>1757</v>
      </c>
      <c r="BT998" s="143">
        <v>3167</v>
      </c>
      <c r="BU998" s="144">
        <f>IFERROR(BT998/BS998,"")</f>
        <v>1.8025042686397268</v>
      </c>
      <c r="BV998">
        <f>BT998-BS998</f>
        <v>1410</v>
      </c>
      <c r="BX998">
        <f>BV998*10^9/10^6*C_to_CO2</f>
        <v>5174700</v>
      </c>
      <c r="BY998">
        <f>IFERROR(BX998/BO998,"")</f>
        <v>4.5875000000000004</v>
      </c>
      <c r="BZ998">
        <v>0</v>
      </c>
      <c r="CA998">
        <v>0</v>
      </c>
      <c r="CB998">
        <v>0</v>
      </c>
      <c r="CC998">
        <v>0</v>
      </c>
      <c r="CD998">
        <v>0</v>
      </c>
      <c r="CE998">
        <v>0</v>
      </c>
      <c r="CF998">
        <v>0</v>
      </c>
      <c r="CG998">
        <v>0</v>
      </c>
      <c r="CH998">
        <v>0</v>
      </c>
      <c r="CI998">
        <v>0</v>
      </c>
      <c r="CJ998">
        <v>0</v>
      </c>
      <c r="CK998">
        <v>0</v>
      </c>
      <c r="CL998">
        <v>0</v>
      </c>
      <c r="CM998">
        <v>0</v>
      </c>
      <c r="CN998" t="str">
        <f>IF($BL998&lt;$BK998,"refNeedCorrection","refOK")</f>
        <v>refOK</v>
      </c>
      <c r="CO998">
        <f>IF($CN998="refNeedCorrection",BL998,BK998)</f>
        <v>5918</v>
      </c>
      <c r="CP998">
        <f>IF($CN998="refNeedCorrection",BK998,BL998)</f>
        <v>7046</v>
      </c>
      <c r="CQ998">
        <f>IF($CN998="refOK",$BO998,-$BO998)</f>
        <v>1128000</v>
      </c>
      <c r="CR998">
        <f>IF($CN998="refOK",$BS998,$BT998)*IF($BP998="Emissions positive",-1,1)</f>
        <v>1757</v>
      </c>
      <c r="CS998">
        <f>IF($CN998="refOK",$BT998,$BS998)*IF($BP998="Emissions positive",-1,1)</f>
        <v>3167</v>
      </c>
      <c r="CT998">
        <f>IF($CN998="refNeedCorrection",-BX998,BX998)*IF($BP998="Emissions positive",-1,1)</f>
        <v>5174700</v>
      </c>
      <c r="CU998">
        <f>IFERROR(CT998/CQ998,"")</f>
        <v>4.5875000000000004</v>
      </c>
      <c r="CV998" s="2">
        <f>IFERROR((CS998-CR998)/ABS(CR998),"")</f>
        <v>0.80250426863972679</v>
      </c>
      <c r="CW998" s="1" t="s">
        <v>1203</v>
      </c>
      <c r="CX998" s="264" t="str">
        <f>IF(OR($CW998="prd",$CW998="std",$CW998="cit"),"loc",IF(OR($CW998="eur",$CW998="reg",$CW998="coy"),"reg",$CW998))</f>
        <v>reg</v>
      </c>
      <c r="CY998" t="s">
        <v>1281</v>
      </c>
      <c r="DA998" s="143"/>
      <c r="DB998">
        <v>100</v>
      </c>
      <c r="DC998" t="str">
        <f>IF(DB998=0,"0",IF(AND(DB998&gt;=1,DB998&lt;=30),"1-30",IF(AND(DB998&gt;30,DB998&lt;=70),"31-70",IF(AND(DB998&gt;70,DB998&lt;=100),"71-100",IF(DB998&gt;100,"+100")))))</f>
        <v>71-100</v>
      </c>
      <c r="DD998">
        <v>0</v>
      </c>
      <c r="DE998">
        <v>0</v>
      </c>
      <c r="DF998">
        <v>0</v>
      </c>
      <c r="DG998">
        <v>1</v>
      </c>
      <c r="DI998">
        <f>SUM(DD998:DG998)</f>
        <v>1</v>
      </c>
      <c r="DJ998" t="str">
        <f>IF(DI998=1,INDEX($DD$7:$DG$7,MATCH(1,$DD998:$DG998,0)),"mixedProduct")</f>
        <v>TimberInput</v>
      </c>
      <c r="DK998">
        <f>IF(DD998=1,DK$7,0)</f>
        <v>0</v>
      </c>
      <c r="DL998">
        <f>IF(DE998=1,DL$7,0)</f>
        <v>0</v>
      </c>
      <c r="DM998">
        <f>IF(DF998=1,DM$7,0)</f>
        <v>0</v>
      </c>
      <c r="DN998" t="str">
        <f>IF(DG998=1,DN$7,0)</f>
        <v>Timber</v>
      </c>
      <c r="DO998">
        <v>0</v>
      </c>
      <c r="DP998" s="143">
        <v>0</v>
      </c>
      <c r="DQ998" s="143">
        <v>0</v>
      </c>
      <c r="DR998">
        <v>0</v>
      </c>
      <c r="DS998" s="143">
        <v>0</v>
      </c>
      <c r="DT998">
        <f>SUM(DO998:DP998)</f>
        <v>0</v>
      </c>
      <c r="DU998" s="143" t="str">
        <f>IF(DO998=1,"self-calculated DF",IF(DP998=1,"external DF used","explicit C balance"))</f>
        <v>explicit C balance</v>
      </c>
      <c r="DV998" s="143">
        <v>0</v>
      </c>
      <c r="DW998" s="143">
        <v>0</v>
      </c>
      <c r="DX998" s="143">
        <v>1</v>
      </c>
      <c r="DY998" s="143">
        <v>0</v>
      </c>
      <c r="DZ998">
        <v>0</v>
      </c>
      <c r="EA998" s="143">
        <v>0</v>
      </c>
      <c r="EB998" s="143">
        <v>0</v>
      </c>
      <c r="EC998" s="143">
        <v>0</v>
      </c>
      <c r="ED998" s="143">
        <v>0</v>
      </c>
      <c r="EE998">
        <v>0</v>
      </c>
      <c r="EF998">
        <v>0</v>
      </c>
      <c r="EG998" s="143">
        <v>0</v>
      </c>
      <c r="EH998">
        <v>0</v>
      </c>
      <c r="EI998" s="2">
        <v>0</v>
      </c>
      <c r="EK998" t="str">
        <f>IF(AND(AND(AND(OR($DX998=1,$DW998=1),OR($EC998=1,$EA998=1)),SUM($DV998:$DZ998,$EF998)&gt;=4),SUM($EA998:$EE998)&gt;=2),"Whole sector","")</f>
        <v/>
      </c>
      <c r="EL998" t="str">
        <f>IF(AND(AND(OR($DX998=1,$DW998=1),AND($EC998=0,$EA998=0)),SUM($DV998:$DZ998,$EF998)&gt;=4),"Ecosystem approach","")</f>
        <v/>
      </c>
      <c r="EM998" s="2" t="str">
        <f>IF(AND(AND(AND($DX998=0,$DW998=0),OR($EC998=1,$EA998=1)),SUM($EB998:$EE998)&gt;=2),"Technology approach","")</f>
        <v/>
      </c>
      <c r="EP998" t="str">
        <f>IF(ISNUMBER(BU998),IF(ABS(BU998-[3]QC_indicators!$B$2)&gt;3*[3]QC_indicators!$C$2,"C ratio",IF(ISNUMBER(BY998),IF(ABS(BY998-[3]QC_indicators!$B$1)&gt;3*[3]QC_indicators!$C$1,"DF","no"))),IF(ISNUMBER(BY998),IF(ABS(BY998-[3]QC_indicators!$B$1)&gt;3*[3]QC_indicators!$C$1,"DF","no")))</f>
        <v>no</v>
      </c>
      <c r="EQ998" t="s">
        <v>1878</v>
      </c>
      <c r="ET998" s="264" t="s">
        <v>3407</v>
      </c>
    </row>
    <row r="999" spans="1:150" ht="15" customHeight="1">
      <c r="A999" s="1" t="s">
        <v>1423</v>
      </c>
      <c r="B999" t="s">
        <v>2490</v>
      </c>
      <c r="C999" t="s">
        <v>2491</v>
      </c>
      <c r="D999" t="s">
        <v>2492</v>
      </c>
      <c r="E999" t="s">
        <v>2493</v>
      </c>
      <c r="F999" t="s">
        <v>2494</v>
      </c>
      <c r="G999" t="s">
        <v>1429</v>
      </c>
      <c r="H999" t="s">
        <v>254</v>
      </c>
      <c r="I999">
        <v>2016</v>
      </c>
      <c r="J999">
        <v>24</v>
      </c>
      <c r="K999" t="s">
        <v>2495</v>
      </c>
      <c r="M999" t="str">
        <f>LEFT($D999,FIND(",",$D999)-1)&amp;"_"&amp;I999&amp;L999</f>
        <v>Zubizarreta-Gerendiain_2016</v>
      </c>
      <c r="N999" t="s">
        <v>222</v>
      </c>
      <c r="O999" s="145" t="s">
        <v>1154</v>
      </c>
      <c r="Q999" t="s">
        <v>256</v>
      </c>
      <c r="R999" s="262" t="s">
        <v>223</v>
      </c>
      <c r="S999" s="1" t="s">
        <v>2518</v>
      </c>
      <c r="T999" t="s">
        <v>2498</v>
      </c>
      <c r="U999" t="s">
        <v>2519</v>
      </c>
      <c r="V999">
        <v>0</v>
      </c>
      <c r="W999">
        <v>0</v>
      </c>
      <c r="X999">
        <v>0</v>
      </c>
      <c r="Y999">
        <v>0</v>
      </c>
      <c r="Z999">
        <v>0</v>
      </c>
      <c r="AA999">
        <v>0</v>
      </c>
      <c r="AB999">
        <v>0</v>
      </c>
      <c r="AC999">
        <v>0</v>
      </c>
      <c r="AD999">
        <v>0</v>
      </c>
      <c r="AE999">
        <v>0</v>
      </c>
      <c r="AF999">
        <v>1</v>
      </c>
      <c r="AG999">
        <v>0</v>
      </c>
      <c r="AH999">
        <v>0</v>
      </c>
      <c r="AI999">
        <v>0</v>
      </c>
      <c r="AJ999">
        <v>0</v>
      </c>
      <c r="AK999">
        <v>0</v>
      </c>
      <c r="AL999">
        <v>0</v>
      </c>
      <c r="AM999">
        <v>0</v>
      </c>
      <c r="AN999">
        <v>0</v>
      </c>
      <c r="AO999">
        <v>0</v>
      </c>
      <c r="AP999">
        <v>0</v>
      </c>
      <c r="AQ999">
        <v>0</v>
      </c>
      <c r="AR999">
        <v>0</v>
      </c>
      <c r="AS999">
        <v>0</v>
      </c>
      <c r="AT999">
        <v>0</v>
      </c>
      <c r="AU999">
        <v>0</v>
      </c>
      <c r="AV999">
        <v>0</v>
      </c>
      <c r="AW999">
        <v>0</v>
      </c>
      <c r="AX999" s="141">
        <f>COUNTIF(V999:AW999,"&lt;&gt;0")</f>
        <v>1</v>
      </c>
      <c r="AY999" s="141">
        <f>COUNTIF(V999:AL999,"&lt;&gt;0")</f>
        <v>1</v>
      </c>
      <c r="AZ999">
        <f>COUNTIF(V999:AC999,"&lt;&gt;0")</f>
        <v>0</v>
      </c>
      <c r="BA999">
        <f>COUNTIF(AD999:AI999,"&lt;&gt;0")</f>
        <v>1</v>
      </c>
      <c r="BB999">
        <f>COUNTIF(AJ999:AL999,"&lt;&gt;0")</f>
        <v>0</v>
      </c>
      <c r="BC999">
        <f>COUNTIF(AS999:AW999,"&lt;&gt;0")</f>
        <v>0</v>
      </c>
      <c r="BD999">
        <f>COUNTIF(AM999:AR999,"&lt;&gt;0")</f>
        <v>0</v>
      </c>
      <c r="BE999" t="str">
        <f t="array" ref="BE999">IF(AY999=1,INDEX($V$7:$AL$7,MATCH(TRUE,INDEX($V999:$AW999&lt;&gt;0,),0)),IF(AY999=0,INDEX($AM$7:$AW$7,MATCH(1,$AM999:$AW999,0)),IF(BF999="Multiple strategies","mixed drivers",IF(BF999="Supply chain","multiple supply","multiple silviculture"))))</f>
        <v>supply chain organization</v>
      </c>
      <c r="BF999" s="2" t="str" cm="1">
        <f t="array" ref="BF999">IF(COUNTIF(AZ999:BB999,"&lt;&gt;0")=1,INDEX($V$4:$AW$4,MATCH(TRUE,INDEX($V999:$AW999&lt;&gt;0,),0)),IF(COUNTIF(AZ999:BB999,"&lt;&gt;0")=0,INDEX($AM$4:$AW$4,MATCH(1,$AM999:$AW999,0)),"Multiple strategies"))</f>
        <v>Supply chain</v>
      </c>
      <c r="BG999" s="1" t="s">
        <v>321</v>
      </c>
      <c r="BH999" t="s">
        <v>2499</v>
      </c>
      <c r="BI999" s="264" t="s">
        <v>2113</v>
      </c>
      <c r="BJ999" t="s">
        <v>2500</v>
      </c>
      <c r="BK999">
        <v>82.946708463949804</v>
      </c>
      <c r="BL999">
        <v>84.921630094043806</v>
      </c>
      <c r="BM999" s="143">
        <f>BL999/BK999</f>
        <v>1.0238095238095233</v>
      </c>
      <c r="BN999">
        <f>BL999-BK999</f>
        <v>1.974921630094002</v>
      </c>
      <c r="BO999">
        <f>BN999*1000*t_to_m3</f>
        <v>4030.4523063142901</v>
      </c>
      <c r="BP999" s="143" t="s">
        <v>232</v>
      </c>
      <c r="BQ999" s="143" t="s">
        <v>3256</v>
      </c>
      <c r="BR999" t="s">
        <v>1195</v>
      </c>
      <c r="BS999">
        <v>-46788.009888268192</v>
      </c>
      <c r="BT999">
        <v>-28237.697597765364</v>
      </c>
      <c r="BU999" s="144">
        <f>IFERROR(BT999/BS999,"")</f>
        <v>0.60352422907488945</v>
      </c>
      <c r="BV999" s="144">
        <f>BT999-BS999</f>
        <v>18550.312290502829</v>
      </c>
      <c r="BW999" s="144"/>
      <c r="BX999" s="144">
        <f>BV999</f>
        <v>18550.312290502829</v>
      </c>
      <c r="BY999">
        <f>IFERROR(BX999/BO999,"")</f>
        <v>4.6025385938548542</v>
      </c>
      <c r="BZ999">
        <v>0</v>
      </c>
      <c r="CA999">
        <v>0</v>
      </c>
      <c r="CB999">
        <v>0</v>
      </c>
      <c r="CC999">
        <v>0</v>
      </c>
      <c r="CD999">
        <v>0</v>
      </c>
      <c r="CE999">
        <v>0</v>
      </c>
      <c r="CF999">
        <v>0</v>
      </c>
      <c r="CG999">
        <v>0</v>
      </c>
      <c r="CH999">
        <v>0</v>
      </c>
      <c r="CI999">
        <v>0</v>
      </c>
      <c r="CJ999">
        <v>0</v>
      </c>
      <c r="CK999">
        <v>0</v>
      </c>
      <c r="CL999">
        <v>0</v>
      </c>
      <c r="CM999">
        <v>1</v>
      </c>
      <c r="CN999" t="str">
        <f>IF($BL999&lt;$BK999,"refNeedCorrection","refOK")</f>
        <v>refOK</v>
      </c>
      <c r="CO999">
        <f>IF($CN999="refOK",$BK999,$BL999)</f>
        <v>82.946708463949804</v>
      </c>
      <c r="CP999">
        <f>IF($CN999="refOK",$BL999,$BK999)</f>
        <v>84.921630094043806</v>
      </c>
      <c r="CQ999">
        <f>IF($CN999="refOK",$BO999,-$BO999)</f>
        <v>4030.4523063142901</v>
      </c>
      <c r="CR999">
        <f>IF($CN999="refOK",$BS999,$BT999)*IF($BP999="Emissions positive",-1,1)</f>
        <v>-46788.009888268192</v>
      </c>
      <c r="CS999">
        <f>IF($CN999="refOK",$BT999,$BS999)*IF($BP999="Emissions positive",-1,1)</f>
        <v>-28237.697597765364</v>
      </c>
      <c r="CT999">
        <f>IF($CN999="refNeedCorrection",-BX999,BX999)*IF($BP999="Emissions positive",-1,1)</f>
        <v>18550.312290502829</v>
      </c>
      <c r="CU999">
        <f>IFERROR(CT999/CQ999,"")</f>
        <v>4.6025385938548542</v>
      </c>
      <c r="CV999" s="2">
        <f>IFERROR((CS999-CR999)/ABS(CR999),"")</f>
        <v>0.3964757709251106</v>
      </c>
      <c r="CW999" s="1" t="s">
        <v>1199</v>
      </c>
      <c r="CX999" t="str">
        <f>IF(OR($CW999="prd",$CW999="std",$CW999="cit"),"loc",IF(OR($CW999="eur",$CW999="reg",$CW999="coy"),"reg",$CW999))</f>
        <v>reg</v>
      </c>
      <c r="CY999" t="s">
        <v>235</v>
      </c>
      <c r="CZ999">
        <v>2010</v>
      </c>
      <c r="DA999">
        <v>2070</v>
      </c>
      <c r="DB999">
        <f>DA999-CZ999</f>
        <v>60</v>
      </c>
      <c r="DC999" t="str">
        <f>IF(DB999=0,"0",IF(AND(DB999&gt;=1,DB999&lt;=30),"1-30",IF(AND(DB999&gt;30,DB999&lt;=70),"31-70",IF(AND(DB999&gt;70,DB999&lt;=100),"71-100",IF(DB999&gt;100,"+100")))))</f>
        <v>31-70</v>
      </c>
      <c r="DD999">
        <v>1</v>
      </c>
      <c r="DE999">
        <v>0</v>
      </c>
      <c r="DF999">
        <v>0</v>
      </c>
      <c r="DG999">
        <v>0</v>
      </c>
      <c r="DH999">
        <v>0</v>
      </c>
      <c r="DI999">
        <f>SUM(DD999:DG999)</f>
        <v>1</v>
      </c>
      <c r="DJ999" t="str">
        <f>IF(DI999=1,INDEX($DD$7:$DG$7,MATCH(1,$DD999:$DG999,0)),"mixedProduct")</f>
        <v>UpstreamInput</v>
      </c>
      <c r="DK999" t="str">
        <f>IF(DD999=1,DK$7,0)</f>
        <v>Upstream</v>
      </c>
      <c r="DL999">
        <f>IF(DE999=1,DL$7,0)</f>
        <v>0</v>
      </c>
      <c r="DM999">
        <f>IF(DF999=1,DM$7,0)</f>
        <v>0</v>
      </c>
      <c r="DN999">
        <f>IF(DG999=1,DN$7,0)</f>
        <v>0</v>
      </c>
      <c r="DO999">
        <v>0</v>
      </c>
      <c r="DP999">
        <v>0</v>
      </c>
      <c r="DQ999">
        <v>0</v>
      </c>
      <c r="DR999">
        <v>0</v>
      </c>
      <c r="DS999">
        <v>0</v>
      </c>
      <c r="DT999">
        <f>SUM(DO999:DP999)</f>
        <v>0</v>
      </c>
      <c r="DU999" s="143" t="str">
        <f>IF(DO999=1,"self-calculated DF",IF(DP999=1,"external DF used","explicit C balance"))</f>
        <v>explicit C balance</v>
      </c>
      <c r="DV999">
        <v>1</v>
      </c>
      <c r="DW999">
        <v>1</v>
      </c>
      <c r="DX999">
        <v>1</v>
      </c>
      <c r="DY999">
        <v>1</v>
      </c>
      <c r="DZ999">
        <v>0</v>
      </c>
      <c r="EA999" s="143">
        <v>0</v>
      </c>
      <c r="EB999">
        <v>0</v>
      </c>
      <c r="EC999">
        <v>0</v>
      </c>
      <c r="ED999">
        <v>0</v>
      </c>
      <c r="EE999">
        <v>0</v>
      </c>
      <c r="EF999">
        <v>1</v>
      </c>
      <c r="EG999">
        <v>0</v>
      </c>
      <c r="EH999">
        <v>0</v>
      </c>
      <c r="EI999" s="2">
        <v>0</v>
      </c>
      <c r="EK999" t="str">
        <f>IF(AND(AND(AND(OR($DX999=1,$DW999=1),OR($EC999=1,$EA999=1)),SUM($DV999:$DZ999,$EF999)&gt;=4),SUM($EA999:$EE999)&gt;=2),"Whole sector","")</f>
        <v/>
      </c>
      <c r="EL999" t="str">
        <f>IF(AND(AND(OR($DX999=1,$DW999=1),AND($EC999=0,$EA999=0)),SUM($DV999:$DZ999,$EF999)&gt;=4),"Ecosystem approach","")</f>
        <v>Ecosystem approach</v>
      </c>
      <c r="EM999" s="2" t="str">
        <f>IF(AND(AND(AND($DX999=0,$DW999=0),OR($EC999=1,$EA999=1)),SUM($EB999:$EE999)&gt;=2),"Technology approach","")</f>
        <v/>
      </c>
      <c r="EN999" t="s">
        <v>2508</v>
      </c>
      <c r="EP999" t="str">
        <f>IF(ISNUMBER(BU999),IF(ABS(BU999-[1]QC_indicators!$B$2)&gt;3*[1]QC_indicators!$C$2,"C ratio",IF(ISNUMBER(BY999),IF(ABS(BY999-[1]QC_indicators!$B$1)&gt;3*[1]QC_indicators!$C$1,"DF","no"))),IF(ISNUMBER(BY999),IF(ABS(BY999-[1]QC_indicators!$B$1)&gt;3*[1]QC_indicators!$C$1,"DF","no")))</f>
        <v>no</v>
      </c>
      <c r="EQ999" t="s">
        <v>2501</v>
      </c>
      <c r="ET999" s="264" t="s">
        <v>3257</v>
      </c>
    </row>
    <row r="1000" spans="1:150" ht="15" customHeight="1">
      <c r="A1000" s="1" t="s">
        <v>1270</v>
      </c>
      <c r="B1000" t="s">
        <v>1869</v>
      </c>
      <c r="C1000" t="s">
        <v>1870</v>
      </c>
      <c r="D1000" t="s">
        <v>1871</v>
      </c>
      <c r="E1000" t="s">
        <v>1872</v>
      </c>
      <c r="F1000" t="s">
        <v>1873</v>
      </c>
      <c r="G1000" t="s">
        <v>1276</v>
      </c>
      <c r="H1000" t="s">
        <v>254</v>
      </c>
      <c r="I1000">
        <v>2019</v>
      </c>
      <c r="J1000">
        <v>2</v>
      </c>
      <c r="K1000" t="s">
        <v>1874</v>
      </c>
      <c r="M1000" t="str">
        <f>LEFT($D1000,FIND(",",$D1000)-1)&amp;"_"&amp;I1000&amp;L1000</f>
        <v>Kucuker_2019</v>
      </c>
      <c r="N1000" t="s">
        <v>222</v>
      </c>
      <c r="O1000" s="145" t="s">
        <v>225</v>
      </c>
      <c r="Q1000" s="264" t="s">
        <v>256</v>
      </c>
      <c r="R1000" s="269" t="s">
        <v>1154</v>
      </c>
      <c r="S1000" s="1" t="s">
        <v>1875</v>
      </c>
      <c r="T1000" t="s">
        <v>1879</v>
      </c>
      <c r="U1000">
        <v>40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1</v>
      </c>
      <c r="AW1000">
        <v>0</v>
      </c>
      <c r="AX1000" s="141">
        <f>COUNTIF(V1000:AW1000,"&lt;&gt;0")</f>
        <v>1</v>
      </c>
      <c r="AY1000" s="141">
        <f>COUNTIF(V1000:AL1000,"&lt;&gt;0")</f>
        <v>0</v>
      </c>
      <c r="AZ1000">
        <f>COUNTIF(V1000:AC1000,"&lt;&gt;0")</f>
        <v>0</v>
      </c>
      <c r="BA1000">
        <f>COUNTIF(AD1000:AI1000,"&lt;&gt;0")</f>
        <v>0</v>
      </c>
      <c r="BB1000">
        <f>COUNTIF(AJ1000:AL1000,"&lt;&gt;0")</f>
        <v>0</v>
      </c>
      <c r="BC1000">
        <f>COUNTIF(AS1000:AW1000,"&lt;&gt;0")</f>
        <v>1</v>
      </c>
      <c r="BD1000">
        <f>COUNTIF(AM1000:AR1000,"&lt;&gt;0")</f>
        <v>0</v>
      </c>
      <c r="BE1000" t="str" cm="1">
        <f t="array" ref="BE1000">IF(AY1000=1,INDEX($V$7:$AL$7,MATCH(TRUE,INDEX($V1000:$AW1000&lt;&gt;0,),0)),IF(AY1000=0,INDEX($AM$7:$AW$7,MATCH(1,$AM1000:$AW1000,0)),IF(BF1000="Multiple strategies","mixed drivers",IF(BF1000="Supply chain","multiple supply","multiple silviculture"))))</f>
        <v>Exogenous C price</v>
      </c>
      <c r="BF1000" s="2" t="str" cm="1">
        <f t="array" ref="BF1000">IF(COUNTIF(AZ1000:BB1000,"&lt;&gt;0")=1,INDEX($V$4:$AW$4,MATCH(TRUE,INDEX($V1000:$AW1000&lt;&gt;0,),0)),IF(COUNTIF(AZ1000:BB1000,"&lt;&gt;0")=0,INDEX($AM$4:$AW$4,MATCH(1,$AM1000:$AW1000,0)),"Multiple strategies"))</f>
        <v>Demand</v>
      </c>
      <c r="BG1000" s="173" t="s">
        <v>321</v>
      </c>
      <c r="BH1000" t="s">
        <v>182</v>
      </c>
      <c r="BJ1000" t="s">
        <v>1770</v>
      </c>
      <c r="BK1000">
        <v>5918</v>
      </c>
      <c r="BL1000" s="143">
        <v>7032</v>
      </c>
      <c r="BM1000" s="163">
        <f>BL1000/BK1000</f>
        <v>1.1882392700236566</v>
      </c>
      <c r="BN1000">
        <f>BL1000-BK1000</f>
        <v>1114</v>
      </c>
      <c r="BO1000" s="143">
        <f>BN1000*10^3</f>
        <v>1114000</v>
      </c>
      <c r="BP1000" t="s">
        <v>232</v>
      </c>
      <c r="BR1000" t="s">
        <v>1877</v>
      </c>
      <c r="BS1000">
        <v>1757</v>
      </c>
      <c r="BT1000" s="143">
        <v>3210</v>
      </c>
      <c r="BU1000" s="144">
        <f>IFERROR(BT1000/BS1000,"")</f>
        <v>1.8269778030734205</v>
      </c>
      <c r="BV1000">
        <f>BT1000-BS1000</f>
        <v>1453</v>
      </c>
      <c r="BX1000">
        <f>BV1000*10^9/10^6*C_to_CO2</f>
        <v>5332510</v>
      </c>
      <c r="BY1000">
        <f>IFERROR(BX1000/BO1000,"")</f>
        <v>4.7868132854578098</v>
      </c>
      <c r="BZ1000">
        <v>0</v>
      </c>
      <c r="CA1000">
        <v>0</v>
      </c>
      <c r="CB1000">
        <v>0</v>
      </c>
      <c r="CC1000">
        <v>0</v>
      </c>
      <c r="CD1000">
        <v>0</v>
      </c>
      <c r="CE1000">
        <v>0</v>
      </c>
      <c r="CF1000">
        <v>0</v>
      </c>
      <c r="CG1000">
        <v>0</v>
      </c>
      <c r="CH1000">
        <v>0</v>
      </c>
      <c r="CI1000">
        <v>0</v>
      </c>
      <c r="CJ1000">
        <v>0</v>
      </c>
      <c r="CK1000">
        <v>0</v>
      </c>
      <c r="CL1000">
        <v>0</v>
      </c>
      <c r="CM1000">
        <v>0</v>
      </c>
      <c r="CN1000" t="str">
        <f>IF($BL1000&lt;$BK1000,"refNeedCorrection","refOK")</f>
        <v>refOK</v>
      </c>
      <c r="CO1000">
        <f>IF($CN1000="refNeedCorrection",BL1000,BK1000)</f>
        <v>5918</v>
      </c>
      <c r="CP1000">
        <f>IF($CN1000="refNeedCorrection",BK1000,BL1000)</f>
        <v>7032</v>
      </c>
      <c r="CQ1000">
        <f>IF($CN1000="refOK",$BO1000,-$BO1000)</f>
        <v>1114000</v>
      </c>
      <c r="CR1000">
        <f>IF($CN1000="refOK",$BS1000,$BT1000)*IF($BP1000="Emissions positive",-1,1)</f>
        <v>1757</v>
      </c>
      <c r="CS1000">
        <f>IF($CN1000="refOK",$BT1000,$BS1000)*IF($BP1000="Emissions positive",-1,1)</f>
        <v>3210</v>
      </c>
      <c r="CT1000">
        <f>IF($CN1000="refNeedCorrection",-BX1000,BX1000)*IF($BP1000="Emissions positive",-1,1)</f>
        <v>5332510</v>
      </c>
      <c r="CU1000">
        <f>IFERROR(CT1000/CQ1000,"")</f>
        <v>4.7868132854578098</v>
      </c>
      <c r="CV1000" s="2">
        <f>IFERROR((CS1000-CR1000)/ABS(CR1000),"")</f>
        <v>0.82697780307342061</v>
      </c>
      <c r="CW1000" s="1" t="s">
        <v>1203</v>
      </c>
      <c r="CX1000" s="264" t="str">
        <f>IF(OR($CW1000="prd",$CW1000="std",$CW1000="cit"),"loc",IF(OR($CW1000="eur",$CW1000="reg",$CW1000="coy"),"reg",$CW1000))</f>
        <v>reg</v>
      </c>
      <c r="CY1000" t="s">
        <v>1281</v>
      </c>
      <c r="DA1000" s="143"/>
      <c r="DB1000">
        <v>100</v>
      </c>
      <c r="DC1000" t="str">
        <f>IF(DB1000=0,"0",IF(AND(DB1000&gt;=1,DB1000&lt;=30),"1-30",IF(AND(DB1000&gt;30,DB1000&lt;=70),"31-70",IF(AND(DB1000&gt;70,DB1000&lt;=100),"71-100",IF(DB1000&gt;100,"+100")))))</f>
        <v>71-100</v>
      </c>
      <c r="DD1000">
        <v>0</v>
      </c>
      <c r="DE1000">
        <v>0</v>
      </c>
      <c r="DF1000">
        <v>0</v>
      </c>
      <c r="DG1000">
        <v>1</v>
      </c>
      <c r="DI1000">
        <f>SUM(DD1000:DG1000)</f>
        <v>1</v>
      </c>
      <c r="DJ1000" t="str">
        <f>IF(DI1000=1,INDEX($DD$7:$DG$7,MATCH(1,$DD1000:$DG1000,0)),"mixedProduct")</f>
        <v>TimberInput</v>
      </c>
      <c r="DK1000">
        <f>IF(DD1000=1,DK$7,0)</f>
        <v>0</v>
      </c>
      <c r="DL1000">
        <f>IF(DE1000=1,DL$7,0)</f>
        <v>0</v>
      </c>
      <c r="DM1000">
        <f>IF(DF1000=1,DM$7,0)</f>
        <v>0</v>
      </c>
      <c r="DN1000" t="str">
        <f>IF(DG1000=1,DN$7,0)</f>
        <v>Timber</v>
      </c>
      <c r="DO1000">
        <v>0</v>
      </c>
      <c r="DP1000" s="143">
        <v>0</v>
      </c>
      <c r="DQ1000" s="143">
        <v>0</v>
      </c>
      <c r="DR1000">
        <v>0</v>
      </c>
      <c r="DS1000" s="143">
        <v>0</v>
      </c>
      <c r="DT1000">
        <f>SUM(DO1000:DP1000)</f>
        <v>0</v>
      </c>
      <c r="DU1000" s="143" t="str">
        <f>IF(DO1000=1,"self-calculated DF",IF(DP1000=1,"external DF used","explicit C balance"))</f>
        <v>explicit C balance</v>
      </c>
      <c r="DV1000" s="143">
        <v>0</v>
      </c>
      <c r="DW1000" s="143">
        <v>0</v>
      </c>
      <c r="DX1000" s="143">
        <v>1</v>
      </c>
      <c r="DY1000" s="143">
        <v>0</v>
      </c>
      <c r="DZ1000">
        <v>0</v>
      </c>
      <c r="EA1000" s="143">
        <v>0</v>
      </c>
      <c r="EB1000" s="143">
        <v>0</v>
      </c>
      <c r="EC1000" s="143">
        <v>0</v>
      </c>
      <c r="ED1000" s="143">
        <v>0</v>
      </c>
      <c r="EE1000">
        <v>0</v>
      </c>
      <c r="EF1000">
        <v>0</v>
      </c>
      <c r="EG1000" s="143">
        <v>0</v>
      </c>
      <c r="EH1000">
        <v>0</v>
      </c>
      <c r="EI1000" s="2">
        <v>0</v>
      </c>
      <c r="EK1000" t="str">
        <f>IF(AND(AND(AND(OR($DX1000=1,$DW1000=1),OR($EC1000=1,$EA1000=1)),SUM($DV1000:$DZ1000,$EF1000)&gt;=4),SUM($EA1000:$EE1000)&gt;=2),"Whole sector","")</f>
        <v/>
      </c>
      <c r="EL1000" t="str">
        <f>IF(AND(AND(OR($DX1000=1,$DW1000=1),AND($EC1000=0,$EA1000=0)),SUM($DV1000:$DZ1000,$EF1000)&gt;=4),"Ecosystem approach","")</f>
        <v/>
      </c>
      <c r="EM1000" s="2" t="str">
        <f>IF(AND(AND(AND($DX1000=0,$DW1000=0),OR($EC1000=1,$EA1000=1)),SUM($EB1000:$EE1000)&gt;=2),"Technology approach","")</f>
        <v/>
      </c>
      <c r="EP1000" t="str">
        <f>IF(ISNUMBER(BU1000),IF(ABS(BU1000-[3]QC_indicators!$B$2)&gt;3*[3]QC_indicators!$C$2,"C ratio",IF(ISNUMBER(BY1000),IF(ABS(BY1000-[3]QC_indicators!$B$1)&gt;3*[3]QC_indicators!$C$1,"DF","no"))),IF(ISNUMBER(BY1000),IF(ABS(BY1000-[3]QC_indicators!$B$1)&gt;3*[3]QC_indicators!$C$1,"DF","no")))</f>
        <v>no</v>
      </c>
      <c r="EQ1000" t="s">
        <v>1878</v>
      </c>
      <c r="ET1000" s="264" t="s">
        <v>3407</v>
      </c>
    </row>
    <row r="1001" spans="1:150" ht="15" customHeight="1">
      <c r="A1001" s="1" t="s">
        <v>1378</v>
      </c>
      <c r="B1001" t="s">
        <v>1922</v>
      </c>
      <c r="C1001" t="s">
        <v>1923</v>
      </c>
      <c r="D1001" t="s">
        <v>1924</v>
      </c>
      <c r="E1001" t="s">
        <v>1925</v>
      </c>
      <c r="F1001" t="s">
        <v>1926</v>
      </c>
      <c r="G1001" t="s">
        <v>1384</v>
      </c>
      <c r="H1001" t="s">
        <v>254</v>
      </c>
      <c r="I1001">
        <v>2016</v>
      </c>
      <c r="J1001">
        <v>12</v>
      </c>
      <c r="K1001" t="s">
        <v>1927</v>
      </c>
      <c r="M1001" t="str">
        <f>LEFT($D1001,FIND(",",$D1001)-1)&amp;"_"&amp;I1001&amp;L1001</f>
        <v>Lobianco_2016</v>
      </c>
      <c r="N1001" t="s">
        <v>222</v>
      </c>
      <c r="O1001" s="145" t="s">
        <v>225</v>
      </c>
      <c r="P1001" t="s">
        <v>513</v>
      </c>
      <c r="Q1001" t="s">
        <v>256</v>
      </c>
      <c r="R1001" s="262" t="s">
        <v>223</v>
      </c>
      <c r="S1001" s="1" t="s">
        <v>1935</v>
      </c>
      <c r="T1001" s="143" t="s">
        <v>3174</v>
      </c>
      <c r="U1001" s="143" t="s">
        <v>1155</v>
      </c>
      <c r="V1001">
        <v>0</v>
      </c>
      <c r="W1001">
        <v>0</v>
      </c>
      <c r="X1001">
        <v>0</v>
      </c>
      <c r="Y1001">
        <v>0</v>
      </c>
      <c r="Z1001">
        <v>0</v>
      </c>
      <c r="AA1001">
        <v>0</v>
      </c>
      <c r="AB1001">
        <v>0</v>
      </c>
      <c r="AC1001">
        <v>1</v>
      </c>
      <c r="AD1001">
        <v>0</v>
      </c>
      <c r="AE1001">
        <v>0</v>
      </c>
      <c r="AF1001">
        <v>0</v>
      </c>
      <c r="AG1001">
        <v>0</v>
      </c>
      <c r="AH1001">
        <v>0</v>
      </c>
      <c r="AI1001">
        <v>0</v>
      </c>
      <c r="AJ1001">
        <v>0</v>
      </c>
      <c r="AK1001">
        <v>0</v>
      </c>
      <c r="AL1001">
        <v>0</v>
      </c>
      <c r="AM1001">
        <v>0</v>
      </c>
      <c r="AN1001">
        <v>1</v>
      </c>
      <c r="AO1001">
        <v>0</v>
      </c>
      <c r="AP1001">
        <v>0</v>
      </c>
      <c r="AQ1001">
        <v>0</v>
      </c>
      <c r="AR1001">
        <v>0</v>
      </c>
      <c r="AS1001">
        <v>0</v>
      </c>
      <c r="AT1001">
        <v>0</v>
      </c>
      <c r="AU1001">
        <v>0</v>
      </c>
      <c r="AV1001">
        <v>0</v>
      </c>
      <c r="AW1001">
        <v>0</v>
      </c>
      <c r="AX1001" s="141">
        <f>COUNTIF(V1001:AW1001,"&lt;&gt;0")</f>
        <v>2</v>
      </c>
      <c r="AY1001" s="141">
        <f>COUNTIF(V1001:AL1001,"&lt;&gt;0")</f>
        <v>1</v>
      </c>
      <c r="AZ1001">
        <f>COUNTIF(V1001:AC1001,"&lt;&gt;0")</f>
        <v>1</v>
      </c>
      <c r="BA1001">
        <f>COUNTIF(AD1001:AI1001,"&lt;&gt;0")</f>
        <v>0</v>
      </c>
      <c r="BB1001">
        <f>COUNTIF(AJ1001:AL1001,"&lt;&gt;0")</f>
        <v>0</v>
      </c>
      <c r="BC1001">
        <f>COUNTIF(AS1001:AW1001,"&lt;&gt;0")</f>
        <v>0</v>
      </c>
      <c r="BD1001">
        <f>COUNTIF(AM1001:AR1001,"&lt;&gt;0")</f>
        <v>1</v>
      </c>
      <c r="BE1001" t="str">
        <f t="array" ref="BE1001">IF(AY1001=1,INDEX($V$7:$AL$7,MATCH(TRUE,INDEX($V1001:$AW1001&lt;&gt;0,),0)),IF(AY1001=0,INDEX($AM$7:$AW$7,MATCH(1,$AM1001:$AW1001,0)),IF(BF1001="Multiple strategies","mixed drivers",IF(BF1001="Supply chain","multiple supply","multiple silviculture"))))</f>
        <v>site fertility</v>
      </c>
      <c r="BF1001" s="2" t="str" cm="1">
        <f t="array" ref="BF1001">IF(COUNTIF(AZ1001:BB1001,"&lt;&gt;0")=1,INDEX($V$4:$AW$4,MATCH(TRUE,INDEX($V1001:$AW1001&lt;&gt;0,),0)),IF(COUNTIF(AZ1001:BB1001,"&lt;&gt;0")=0,INDEX($AM$4:$AW$4,MATCH(1,$AM1001:$AW1001,0)),"Multiple strategies"))</f>
        <v>Silviculture for productivity</v>
      </c>
      <c r="BG1001" s="142" t="s">
        <v>321</v>
      </c>
      <c r="BH1001" s="265" t="s">
        <v>3163</v>
      </c>
      <c r="BI1001" s="264" t="s">
        <v>3164</v>
      </c>
      <c r="BJ1001" s="143" t="s">
        <v>3165</v>
      </c>
      <c r="BK1001">
        <f>53.247*(1-0.23/100)</f>
        <v>53.124531900000001</v>
      </c>
      <c r="BL1001">
        <f>53.247</f>
        <v>53.247</v>
      </c>
      <c r="BN1001">
        <f>BL1001-BK1001</f>
        <v>0.12246809999999897</v>
      </c>
      <c r="BO1001" s="143">
        <f>BN1001*10^6</f>
        <v>122468.09999999897</v>
      </c>
      <c r="BP1001" t="s">
        <v>232</v>
      </c>
      <c r="BQ1001" s="264" t="s">
        <v>3166</v>
      </c>
      <c r="BR1001" s="143" t="s">
        <v>1929</v>
      </c>
      <c r="BS1001">
        <v>88.869557699999987</v>
      </c>
      <c r="BT1001">
        <v>89.468999999999994</v>
      </c>
      <c r="BU1001" s="144">
        <f>IFERROR(BT1001/BS1001,"")</f>
        <v>1.0067451927917046</v>
      </c>
      <c r="BV1001">
        <f>BT1001-BS1001</f>
        <v>0.59944230000000687</v>
      </c>
      <c r="BX1001">
        <f>BV1001*10^6</f>
        <v>599442.30000000692</v>
      </c>
      <c r="BY1001">
        <f>IFERROR(BX1001/BO1001,"")</f>
        <v>4.8946811455392218</v>
      </c>
      <c r="BZ1001">
        <v>0</v>
      </c>
      <c r="CA1001">
        <v>0</v>
      </c>
      <c r="CB1001">
        <v>0</v>
      </c>
      <c r="CC1001">
        <v>0</v>
      </c>
      <c r="CD1001">
        <v>0</v>
      </c>
      <c r="CE1001">
        <v>0</v>
      </c>
      <c r="CF1001">
        <v>0</v>
      </c>
      <c r="CG1001">
        <v>0</v>
      </c>
      <c r="CH1001">
        <v>0</v>
      </c>
      <c r="CI1001">
        <v>0</v>
      </c>
      <c r="CJ1001">
        <v>0</v>
      </c>
      <c r="CK1001">
        <v>0</v>
      </c>
      <c r="CL1001">
        <v>0</v>
      </c>
      <c r="CM1001">
        <v>0</v>
      </c>
      <c r="CN1001" t="str">
        <f>IF($BL1001&lt;$BK1001,"refNeedCorrection","refOK")</f>
        <v>refOK</v>
      </c>
      <c r="CO1001">
        <f>IF($CN1001="refOK",$BK1001,$BL1001)</f>
        <v>53.124531900000001</v>
      </c>
      <c r="CP1001">
        <f>IF($CN1001="refOK",$BL1001,$BK1001)</f>
        <v>53.247</v>
      </c>
      <c r="CQ1001">
        <f>IF($CN1001="refOK",$BO1001,-$BO1001)</f>
        <v>122468.09999999897</v>
      </c>
      <c r="CR1001">
        <f>IF($CN1001="refOK",$BS1001,$BT1001)*IF($BP1001="Emissions positive",-1,1)</f>
        <v>88.869557699999987</v>
      </c>
      <c r="CS1001">
        <f>IF($CN1001="refOK",$BT1001,$BS1001)*IF($BP1001="Emissions positive",-1,1)</f>
        <v>89.468999999999994</v>
      </c>
      <c r="CT1001">
        <f>IF($CN1001="refNeedCorrection",-BX1001,BX1001)*IF($BP1001="Emissions positive",-1,1)</f>
        <v>599442.30000000692</v>
      </c>
      <c r="CU1001">
        <f>IFERROR(CT1001/CQ1001,"")</f>
        <v>4.8946811455392218</v>
      </c>
      <c r="CV1001" s="2">
        <f>IFERROR((CS1001-CR1001)/ABS(CR1001),"")</f>
        <v>6.7451927917044976E-3</v>
      </c>
      <c r="CW1001" s="1" t="s">
        <v>1199</v>
      </c>
      <c r="CX1001" t="str">
        <f>IF(OR($CW1001="prd",$CW1001="std",$CW1001="cit"),"loc",IF(OR($CW1001="eur",$CW1001="reg",$CW1001="coy"),"reg",$CW1001))</f>
        <v>reg</v>
      </c>
      <c r="CY1001" t="s">
        <v>729</v>
      </c>
      <c r="CZ1001">
        <v>2007</v>
      </c>
      <c r="DA1001" s="143">
        <v>2100</v>
      </c>
      <c r="DB1001" s="143">
        <f>DA1001-CZ1001</f>
        <v>93</v>
      </c>
      <c r="DC1001" t="str">
        <f>IF(DB1001=0,"0",IF(AND(DB1001&gt;=1,DB1001&lt;=30),"1-30",IF(AND(DB1001&gt;30,DB1001&lt;=70),"31-70",IF(AND(DB1001&gt;70,DB1001&lt;=100),"71-100",IF(DB1001&gt;100,"+100")))))</f>
        <v>71-100</v>
      </c>
      <c r="DD1001">
        <v>0</v>
      </c>
      <c r="DE1001">
        <v>1</v>
      </c>
      <c r="DF1001">
        <v>0</v>
      </c>
      <c r="DG1001">
        <v>1</v>
      </c>
      <c r="DH1001">
        <v>1</v>
      </c>
      <c r="DI1001">
        <f>SUM(DD1001:DG1001)</f>
        <v>2</v>
      </c>
      <c r="DJ1001" t="str">
        <f>IF(DI1001=1,INDEX($DD$7:$DG$7,MATCH(1,$DD1001:$DG1001,0)),"mixedProduct")</f>
        <v>mixedProduct</v>
      </c>
      <c r="DK1001">
        <f>IF(DD1001=1,DK$7,0)</f>
        <v>0</v>
      </c>
      <c r="DL1001" t="str">
        <f>IF(DE1001=1,DL$7,0)</f>
        <v>Energy</v>
      </c>
      <c r="DM1001">
        <f>IF(DF1001=1,DM$7,0)</f>
        <v>0</v>
      </c>
      <c r="DN1001" t="str">
        <f>IF(DG1001=1,DN$7,0)</f>
        <v>Timber</v>
      </c>
      <c r="DO1001">
        <v>0</v>
      </c>
      <c r="DP1001" s="143">
        <v>0</v>
      </c>
      <c r="DQ1001" s="143">
        <v>0</v>
      </c>
      <c r="DR1001">
        <v>0</v>
      </c>
      <c r="DS1001" s="143">
        <v>0</v>
      </c>
      <c r="DT1001">
        <f>SUM(DO1001:DP1001)</f>
        <v>0</v>
      </c>
      <c r="DU1001" s="143" t="str">
        <f>IF(DO1001=1,"self-calculated DF",IF(DP1001=1,"external DF used","explicit C balance"))</f>
        <v>explicit C balance</v>
      </c>
      <c r="DV1001" s="143">
        <v>0</v>
      </c>
      <c r="DW1001" s="143">
        <v>0</v>
      </c>
      <c r="DX1001" s="143">
        <v>1</v>
      </c>
      <c r="DY1001" s="143">
        <v>1</v>
      </c>
      <c r="DZ1001">
        <v>0</v>
      </c>
      <c r="EA1001" s="143">
        <v>0</v>
      </c>
      <c r="EB1001" s="143">
        <v>0</v>
      </c>
      <c r="EC1001" s="143">
        <v>0</v>
      </c>
      <c r="ED1001" s="143">
        <v>0</v>
      </c>
      <c r="EE1001">
        <v>0</v>
      </c>
      <c r="EF1001">
        <v>1</v>
      </c>
      <c r="EG1001" s="143">
        <v>0</v>
      </c>
      <c r="EH1001">
        <v>0</v>
      </c>
      <c r="EI1001" s="2">
        <v>1</v>
      </c>
      <c r="EK1001" t="str">
        <f>IF(AND(AND(AND(OR($DX1001=1,$DW1001=1),OR($EC1001=1,$EA1001=1)),SUM($DV1001:$DZ1001,$EF1001)&gt;=4),SUM($EA1001:$EE1001)&gt;=2),"Whole sector","")</f>
        <v/>
      </c>
      <c r="EL1001" t="str">
        <f>IF(AND(AND(OR($DX1001=1,$DW1001=1),AND($EC1001=0,$EA1001=0)),SUM($DV1001:$DZ1001,$EF1001)&gt;=4),"Ecosystem approach","")</f>
        <v/>
      </c>
      <c r="EM1001" s="2" t="str">
        <f>IF(AND(AND(AND($DX1001=0,$DW1001=0),OR($EC1001=1,$EA1001=1)),SUM($EB1001:$EE1001)&gt;=2),"Technology approach","")</f>
        <v/>
      </c>
      <c r="EP1001" t="str">
        <f>IF(ISNUMBER(BU1001),IF(ABS(BU1001-[1]QC_indicators!$B$2)&gt;3*[1]QC_indicators!$C$2,"C ratio",IF(ISNUMBER(BY1001),IF(ABS(BY1001-[1]QC_indicators!$B$1)&gt;3*[1]QC_indicators!$C$1,"DF","no"))),IF(ISNUMBER(BY1001),IF(ABS(BY1001-[1]QC_indicators!$B$1)&gt;3*[1]QC_indicators!$C$1,"DF","no")))</f>
        <v>no</v>
      </c>
      <c r="ET1001" s="264" t="s">
        <v>3167</v>
      </c>
    </row>
    <row r="1002" spans="1:150" ht="15" customHeight="1">
      <c r="A1002" s="1" t="s">
        <v>1270</v>
      </c>
      <c r="B1002" t="s">
        <v>1869</v>
      </c>
      <c r="C1002" t="s">
        <v>1870</v>
      </c>
      <c r="D1002" t="s">
        <v>1871</v>
      </c>
      <c r="E1002" t="s">
        <v>1872</v>
      </c>
      <c r="F1002" t="s">
        <v>1873</v>
      </c>
      <c r="G1002" t="s">
        <v>1276</v>
      </c>
      <c r="H1002" t="s">
        <v>254</v>
      </c>
      <c r="I1002">
        <v>2019</v>
      </c>
      <c r="J1002">
        <v>2</v>
      </c>
      <c r="K1002" t="s">
        <v>1874</v>
      </c>
      <c r="M1002" t="str">
        <f>LEFT($D1002,FIND(",",$D1002)-1)&amp;"_"&amp;I1002&amp;L1002</f>
        <v>Kucuker_2019</v>
      </c>
      <c r="N1002" t="s">
        <v>222</v>
      </c>
      <c r="O1002" s="145" t="s">
        <v>225</v>
      </c>
      <c r="Q1002" s="264" t="s">
        <v>256</v>
      </c>
      <c r="R1002" s="269" t="s">
        <v>1154</v>
      </c>
      <c r="S1002" s="1" t="s">
        <v>1875</v>
      </c>
      <c r="T1002" t="s">
        <v>1876</v>
      </c>
      <c r="U1002">
        <v>40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1</v>
      </c>
      <c r="AW1002">
        <v>0</v>
      </c>
      <c r="AX1002" s="141">
        <f>COUNTIF(V1002:AW1002,"&lt;&gt;0")</f>
        <v>1</v>
      </c>
      <c r="AY1002" s="141">
        <f>COUNTIF(V1002:AL1002,"&lt;&gt;0")</f>
        <v>0</v>
      </c>
      <c r="AZ1002">
        <f>COUNTIF(V1002:AC1002,"&lt;&gt;0")</f>
        <v>0</v>
      </c>
      <c r="BA1002">
        <f>COUNTIF(AD1002:AI1002,"&lt;&gt;0")</f>
        <v>0</v>
      </c>
      <c r="BB1002">
        <f>COUNTIF(AJ1002:AL1002,"&lt;&gt;0")</f>
        <v>0</v>
      </c>
      <c r="BC1002">
        <f>COUNTIF(AS1002:AW1002,"&lt;&gt;0")</f>
        <v>1</v>
      </c>
      <c r="BD1002">
        <f>COUNTIF(AM1002:AR1002,"&lt;&gt;0")</f>
        <v>0</v>
      </c>
      <c r="BE1002" t="str" cm="1">
        <f t="array" ref="BE1002">IF(AY1002=1,INDEX($V$7:$AL$7,MATCH(TRUE,INDEX($V1002:$AW1002&lt;&gt;0,),0)),IF(AY1002=0,INDEX($AM$7:$AW$7,MATCH(1,$AM1002:$AW1002,0)),IF(BF1002="Multiple strategies","mixed drivers",IF(BF1002="Supply chain","multiple supply","multiple silviculture"))))</f>
        <v>Exogenous C price</v>
      </c>
      <c r="BF1002" s="2" t="str" cm="1">
        <f t="array" ref="BF1002">IF(COUNTIF(AZ1002:BB1002,"&lt;&gt;0")=1,INDEX($V$4:$AW$4,MATCH(TRUE,INDEX($V1002:$AW1002&lt;&gt;0,),0)),IF(COUNTIF(AZ1002:BB1002,"&lt;&gt;0")=0,INDEX($AM$4:$AW$4,MATCH(1,$AM1002:$AW1002,0)),"Multiple strategies"))</f>
        <v>Demand</v>
      </c>
      <c r="BG1002" s="173" t="s">
        <v>321</v>
      </c>
      <c r="BH1002" t="s">
        <v>182</v>
      </c>
      <c r="BJ1002" t="s">
        <v>1770</v>
      </c>
      <c r="BK1002">
        <v>5347</v>
      </c>
      <c r="BL1002" s="143">
        <v>6509</v>
      </c>
      <c r="BM1002" s="163">
        <f>BL1002/BK1002</f>
        <v>1.2173181223115765</v>
      </c>
      <c r="BN1002">
        <f>BL1002-BK1002</f>
        <v>1162</v>
      </c>
      <c r="BO1002" s="143">
        <f>BN1002*10^3</f>
        <v>1162000</v>
      </c>
      <c r="BP1002" t="s">
        <v>232</v>
      </c>
      <c r="BR1002" t="s">
        <v>1877</v>
      </c>
      <c r="BS1002">
        <v>1418</v>
      </c>
      <c r="BT1002" s="143">
        <v>2999</v>
      </c>
      <c r="BU1002" s="144">
        <f>IFERROR(BT1002/BS1002,"")</f>
        <v>2.1149506346967559</v>
      </c>
      <c r="BV1002">
        <f>BT1002-BS1002</f>
        <v>1581</v>
      </c>
      <c r="BX1002">
        <f>BV1002*10^9/10^6*C_to_CO2</f>
        <v>5802270</v>
      </c>
      <c r="BY1002">
        <f>IFERROR(BX1002/BO1002,"")</f>
        <v>4.9933476764199654</v>
      </c>
      <c r="BZ1002">
        <v>0</v>
      </c>
      <c r="CA1002">
        <v>0</v>
      </c>
      <c r="CB1002">
        <v>0</v>
      </c>
      <c r="CC1002">
        <v>0</v>
      </c>
      <c r="CD1002">
        <v>0</v>
      </c>
      <c r="CE1002">
        <v>0</v>
      </c>
      <c r="CF1002">
        <v>0</v>
      </c>
      <c r="CG1002">
        <v>0</v>
      </c>
      <c r="CH1002">
        <v>0</v>
      </c>
      <c r="CI1002">
        <v>0</v>
      </c>
      <c r="CJ1002">
        <v>0</v>
      </c>
      <c r="CK1002">
        <v>0</v>
      </c>
      <c r="CL1002">
        <v>0</v>
      </c>
      <c r="CM1002">
        <v>0</v>
      </c>
      <c r="CN1002" t="str">
        <f>IF($BL1002&lt;$BK1002,"refNeedCorrection","refOK")</f>
        <v>refOK</v>
      </c>
      <c r="CO1002">
        <f>IF($CN1002="refNeedCorrection",BL1002,BK1002)</f>
        <v>5347</v>
      </c>
      <c r="CP1002">
        <f>IF($CN1002="refNeedCorrection",BK1002,BL1002)</f>
        <v>6509</v>
      </c>
      <c r="CQ1002">
        <f>IF($CN1002="refOK",$BO1002,-$BO1002)</f>
        <v>1162000</v>
      </c>
      <c r="CR1002">
        <f>IF($CN1002="refOK",$BS1002,$BT1002)*IF($BP1002="Emissions positive",-1,1)</f>
        <v>1418</v>
      </c>
      <c r="CS1002">
        <f>IF($CN1002="refOK",$BT1002,$BS1002)*IF($BP1002="Emissions positive",-1,1)</f>
        <v>2999</v>
      </c>
      <c r="CT1002">
        <f>IF($CN1002="refNeedCorrection",-BX1002,BX1002)*IF($BP1002="Emissions positive",-1,1)</f>
        <v>5802270</v>
      </c>
      <c r="CU1002">
        <f>IFERROR(CT1002/CQ1002,"")</f>
        <v>4.9933476764199654</v>
      </c>
      <c r="CV1002" s="2">
        <f>IFERROR((CS1002-CR1002)/ABS(CR1002),"")</f>
        <v>1.1149506346967559</v>
      </c>
      <c r="CW1002" s="1" t="s">
        <v>1203</v>
      </c>
      <c r="CX1002" s="264" t="str">
        <f>IF(OR($CW1002="prd",$CW1002="std",$CW1002="cit"),"loc",IF(OR($CW1002="eur",$CW1002="reg",$CW1002="coy"),"reg",$CW1002))</f>
        <v>reg</v>
      </c>
      <c r="CY1002" t="s">
        <v>1281</v>
      </c>
      <c r="DA1002" s="143"/>
      <c r="DB1002">
        <v>100</v>
      </c>
      <c r="DC1002" t="str">
        <f>IF(DB1002=0,"0",IF(AND(DB1002&gt;=1,DB1002&lt;=30),"1-30",IF(AND(DB1002&gt;30,DB1002&lt;=70),"31-70",IF(AND(DB1002&gt;70,DB1002&lt;=100),"71-100",IF(DB1002&gt;100,"+100")))))</f>
        <v>71-100</v>
      </c>
      <c r="DD1002">
        <v>0</v>
      </c>
      <c r="DE1002">
        <v>0</v>
      </c>
      <c r="DF1002">
        <v>0</v>
      </c>
      <c r="DG1002">
        <v>1</v>
      </c>
      <c r="DI1002">
        <f>SUM(DD1002:DG1002)</f>
        <v>1</v>
      </c>
      <c r="DJ1002" t="str">
        <f>IF(DI1002=1,INDEX($DD$7:$DG$7,MATCH(1,$DD1002:$DG1002,0)),"mixedProduct")</f>
        <v>TimberInput</v>
      </c>
      <c r="DK1002">
        <f>IF(DD1002=1,DK$7,0)</f>
        <v>0</v>
      </c>
      <c r="DL1002">
        <f>IF(DE1002=1,DL$7,0)</f>
        <v>0</v>
      </c>
      <c r="DM1002">
        <f>IF(DF1002=1,DM$7,0)</f>
        <v>0</v>
      </c>
      <c r="DN1002" t="str">
        <f>IF(DG1002=1,DN$7,0)</f>
        <v>Timber</v>
      </c>
      <c r="DO1002">
        <v>0</v>
      </c>
      <c r="DP1002" s="143">
        <v>0</v>
      </c>
      <c r="DQ1002" s="143">
        <v>0</v>
      </c>
      <c r="DR1002">
        <v>0</v>
      </c>
      <c r="DS1002" s="143">
        <v>0</v>
      </c>
      <c r="DT1002">
        <f>SUM(DO1002:DP1002)</f>
        <v>0</v>
      </c>
      <c r="DU1002" s="143" t="str">
        <f>IF(DO1002=1,"self-calculated DF",IF(DP1002=1,"external DF used","explicit C balance"))</f>
        <v>explicit C balance</v>
      </c>
      <c r="DV1002" s="143">
        <v>0</v>
      </c>
      <c r="DW1002" s="143">
        <v>0</v>
      </c>
      <c r="DX1002" s="143">
        <v>1</v>
      </c>
      <c r="DY1002" s="143">
        <v>0</v>
      </c>
      <c r="DZ1002">
        <v>0</v>
      </c>
      <c r="EA1002" s="143">
        <v>0</v>
      </c>
      <c r="EB1002" s="143">
        <v>0</v>
      </c>
      <c r="EC1002" s="143">
        <v>0</v>
      </c>
      <c r="ED1002" s="143">
        <v>0</v>
      </c>
      <c r="EE1002">
        <v>0</v>
      </c>
      <c r="EF1002">
        <v>0</v>
      </c>
      <c r="EG1002" s="143">
        <v>0</v>
      </c>
      <c r="EH1002">
        <v>0</v>
      </c>
      <c r="EI1002" s="2">
        <v>0</v>
      </c>
      <c r="EK1002" t="str">
        <f>IF(AND(AND(AND(OR($DX1002=1,$DW1002=1),OR($EC1002=1,$EA1002=1)),SUM($DV1002:$DZ1002,$EF1002)&gt;=4),SUM($EA1002:$EE1002)&gt;=2),"Whole sector","")</f>
        <v/>
      </c>
      <c r="EL1002" t="str">
        <f>IF(AND(AND(OR($DX1002=1,$DW1002=1),AND($EC1002=0,$EA1002=0)),SUM($DV1002:$DZ1002,$EF1002)&gt;=4),"Ecosystem approach","")</f>
        <v/>
      </c>
      <c r="EM1002" s="2" t="str">
        <f>IF(AND(AND(AND($DX1002=0,$DW1002=0),OR($EC1002=1,$EA1002=1)),SUM($EB1002:$EE1002)&gt;=2),"Technology approach","")</f>
        <v/>
      </c>
      <c r="EP1002" t="str">
        <f>IF(ISNUMBER(BU1002),IF(ABS(BU1002-[3]QC_indicators!$B$2)&gt;3*[3]QC_indicators!$C$2,"C ratio",IF(ISNUMBER(BY1002),IF(ABS(BY1002-[3]QC_indicators!$B$1)&gt;3*[3]QC_indicators!$C$1,"DF","no"))),IF(ISNUMBER(BY1002),IF(ABS(BY1002-[3]QC_indicators!$B$1)&gt;3*[3]QC_indicators!$C$1,"DF","no")))</f>
        <v>no</v>
      </c>
      <c r="EQ1002" t="s">
        <v>1878</v>
      </c>
      <c r="ET1002" s="264" t="s">
        <v>3407</v>
      </c>
    </row>
    <row r="1003" spans="1:150" ht="15" customHeight="1">
      <c r="A1003" s="1" t="s">
        <v>333</v>
      </c>
      <c r="B1003" t="s">
        <v>905</v>
      </c>
      <c r="C1003" t="s">
        <v>906</v>
      </c>
      <c r="D1003" t="s">
        <v>907</v>
      </c>
      <c r="E1003" t="s">
        <v>908</v>
      </c>
      <c r="F1003" t="s">
        <v>909</v>
      </c>
      <c r="G1003" t="s">
        <v>339</v>
      </c>
      <c r="H1003" t="s">
        <v>254</v>
      </c>
      <c r="I1003">
        <v>2019</v>
      </c>
      <c r="J1003">
        <v>15</v>
      </c>
      <c r="K1003" t="s">
        <v>910</v>
      </c>
      <c r="M1003" t="str">
        <f>LEFT($D1003,FIND(",",$D1003)-1)&amp;"_"&amp;I1003&amp;L1003</f>
        <v>Li_2019</v>
      </c>
      <c r="N1003" t="s">
        <v>222</v>
      </c>
      <c r="O1003" s="145" t="s">
        <v>225</v>
      </c>
      <c r="Q1003" t="s">
        <v>256</v>
      </c>
      <c r="R1003" s="262" t="s">
        <v>223</v>
      </c>
      <c r="S1003" s="1" t="s">
        <v>911</v>
      </c>
      <c r="T1003" t="s">
        <v>915</v>
      </c>
      <c r="U1003" s="143" t="s">
        <v>916</v>
      </c>
      <c r="V1003">
        <v>0</v>
      </c>
      <c r="W1003">
        <v>0</v>
      </c>
      <c r="X1003">
        <v>0</v>
      </c>
      <c r="Y1003">
        <v>0</v>
      </c>
      <c r="Z1003">
        <v>0</v>
      </c>
      <c r="AA1003">
        <v>0</v>
      </c>
      <c r="AB1003">
        <v>0</v>
      </c>
      <c r="AC1003">
        <v>0</v>
      </c>
      <c r="AD1003">
        <v>0</v>
      </c>
      <c r="AE1003">
        <v>0</v>
      </c>
      <c r="AF1003">
        <v>0</v>
      </c>
      <c r="AG1003">
        <v>0</v>
      </c>
      <c r="AH1003">
        <v>0</v>
      </c>
      <c r="AI1003">
        <v>0</v>
      </c>
      <c r="AJ1003">
        <v>0</v>
      </c>
      <c r="AK1003">
        <v>1</v>
      </c>
      <c r="AL1003">
        <v>0</v>
      </c>
      <c r="AM1003">
        <v>0</v>
      </c>
      <c r="AN1003">
        <v>0</v>
      </c>
      <c r="AO1003">
        <v>0</v>
      </c>
      <c r="AP1003">
        <v>0</v>
      </c>
      <c r="AQ1003">
        <v>0</v>
      </c>
      <c r="AR1003">
        <v>0</v>
      </c>
      <c r="AS1003">
        <v>0</v>
      </c>
      <c r="AT1003">
        <v>0</v>
      </c>
      <c r="AU1003">
        <v>0</v>
      </c>
      <c r="AV1003">
        <v>0</v>
      </c>
      <c r="AW1003">
        <v>0</v>
      </c>
      <c r="AX1003" s="141">
        <f>COUNTIF(V1003:AW1003,"&lt;&gt;0")</f>
        <v>1</v>
      </c>
      <c r="AY1003" s="141">
        <f>COUNTIF(V1003:AL1003,"&lt;&gt;0")</f>
        <v>1</v>
      </c>
      <c r="AZ1003">
        <f>COUNTIF(V1003:AC1003,"&lt;&gt;0")</f>
        <v>0</v>
      </c>
      <c r="BA1003">
        <f>COUNTIF(AD1003:AI1003,"&lt;&gt;0")</f>
        <v>0</v>
      </c>
      <c r="BB1003">
        <f>COUNTIF(AJ1003:AL1003,"&lt;&gt;0")</f>
        <v>1</v>
      </c>
      <c r="BC1003">
        <f>COUNTIF(AS1003:AW1003,"&lt;&gt;0")</f>
        <v>0</v>
      </c>
      <c r="BD1003">
        <f>COUNTIF(AM1003:AR1003,"&lt;&gt;0")</f>
        <v>0</v>
      </c>
      <c r="BE1003" t="str">
        <f t="array" ref="BE1003">IF(AY1003=1,INDEX($V$7:$AL$7,MATCH(TRUE,INDEX($V1003:$AW1003&lt;&gt;0,),0)),IF(AY1003=0,INDEX($AM$7:$AW$7,MATCH(1,$AM1003:$AW1003,0)),IF(BF1003="Multiple strategies","mixed drivers",IF(BF1003="Supply chain","multiple supply","multiple silviculture"))))</f>
        <v>technologies/design switch</v>
      </c>
      <c r="BF1003" s="2" t="str" cm="1">
        <f t="array" ref="BF1003">IF(COUNTIF(AZ1003:BB1003,"&lt;&gt;0")=1,INDEX($V$4:$AW$4,MATCH(TRUE,INDEX($V1003:$AW1003&lt;&gt;0,),0)),IF(COUNTIF(AZ1003:BB1003,"&lt;&gt;0")=0,INDEX($AM$4:$AW$4,MATCH(1,$AM1003:$AW1003,0)),"Multiple strategies"))</f>
        <v>Technology</v>
      </c>
      <c r="BG1003" s="142" t="s">
        <v>229</v>
      </c>
      <c r="BH1003" t="s">
        <v>914</v>
      </c>
      <c r="BI1003" s="264" t="s">
        <v>3154</v>
      </c>
      <c r="BJ1003" s="143" t="s">
        <v>498</v>
      </c>
      <c r="BK1003">
        <v>0</v>
      </c>
      <c r="BL1003" s="143">
        <v>2529</v>
      </c>
      <c r="BM1003" s="163"/>
      <c r="BN1003">
        <f>BL1003-BK1003</f>
        <v>2529</v>
      </c>
      <c r="BO1003">
        <f>BN1003</f>
        <v>2529</v>
      </c>
      <c r="BP1003" t="s">
        <v>232</v>
      </c>
      <c r="BQ1003" s="153" t="s">
        <v>3155</v>
      </c>
      <c r="BR1003" t="s">
        <v>442</v>
      </c>
      <c r="BS1003" s="143">
        <v>-5933.97</v>
      </c>
      <c r="BT1003">
        <v>-2419.67</v>
      </c>
      <c r="BU1003" s="144">
        <f>IFERROR(BT1003/BS1003,"")</f>
        <v>0.40776579591740436</v>
      </c>
      <c r="BV1003">
        <f>BT1003-BS1003</f>
        <v>3514.3</v>
      </c>
      <c r="BX1003">
        <f>BV1003*C_to_CO2</f>
        <v>12897.481</v>
      </c>
      <c r="BY1003">
        <f>IFERROR(BX1003/BO1003,"")</f>
        <v>5.09983432186635</v>
      </c>
      <c r="BZ1003">
        <v>0</v>
      </c>
      <c r="CA1003">
        <v>0</v>
      </c>
      <c r="CB1003">
        <v>0</v>
      </c>
      <c r="CC1003">
        <v>0</v>
      </c>
      <c r="CD1003">
        <v>0</v>
      </c>
      <c r="CE1003">
        <v>0</v>
      </c>
      <c r="CF1003">
        <v>0</v>
      </c>
      <c r="CG1003">
        <v>0</v>
      </c>
      <c r="CH1003">
        <v>0</v>
      </c>
      <c r="CI1003">
        <v>0</v>
      </c>
      <c r="CJ1003">
        <v>0</v>
      </c>
      <c r="CK1003">
        <v>0</v>
      </c>
      <c r="CL1003">
        <v>0</v>
      </c>
      <c r="CM1003">
        <v>0</v>
      </c>
      <c r="CN1003" t="str">
        <f>IF($BL1003&lt;$BK1003,"refNeedCorrection","refOK")</f>
        <v>refOK</v>
      </c>
      <c r="CO1003">
        <f>IF($CN1003="refNeedCorrection",BL1003,BK1003)</f>
        <v>0</v>
      </c>
      <c r="CP1003">
        <f>IF($CN1003="refNeedCorrection",BK1003,BL1003)</f>
        <v>2529</v>
      </c>
      <c r="CQ1003">
        <f>IF($CN1003="refOK",$BO1003,-$BO1003)</f>
        <v>2529</v>
      </c>
      <c r="CR1003">
        <f>IF($CN1003="refOK",$BS1003,$BT1003)*IF($BP1003="Emissions positive",-1,1)</f>
        <v>-5933.97</v>
      </c>
      <c r="CS1003">
        <f>IF($CN1003="refOK",$BT1003,$BS1003)*IF($BP1003="Emissions positive",-1,1)</f>
        <v>-2419.67</v>
      </c>
      <c r="CT1003">
        <f>IF($CN1003="refNeedCorrection",-BX1003,BX1003)*IF($BP1003="Emissions positive",-1,1)</f>
        <v>12897.481</v>
      </c>
      <c r="CU1003">
        <f>IFERROR(CT1003/CQ1003,"")</f>
        <v>5.09983432186635</v>
      </c>
      <c r="CV1003" s="2">
        <f>IFERROR((CS1003-CR1003)/ABS(CR1003),"")</f>
        <v>0.59223420408259564</v>
      </c>
      <c r="CW1003" s="1" t="s">
        <v>347</v>
      </c>
      <c r="CX1003" t="str">
        <f>IF(OR($CW1003="prd",$CW1003="std",$CW1003="cit"),"loc",IF(OR($CW1003="eur",$CW1003="reg",$CW1003="coy"),"reg",$CW1003))</f>
        <v>loc</v>
      </c>
      <c r="CY1003" t="s">
        <v>574</v>
      </c>
      <c r="DA1003" s="143"/>
      <c r="DB1003" s="143">
        <v>0</v>
      </c>
      <c r="DC1003" t="str">
        <f>IF(DB1003=0,"0",IF(AND(DB1003&gt;=1,DB1003&lt;=30),"1-30",IF(AND(DB1003&gt;30,DB1003&lt;=70),"31-70",IF(AND(DB1003&gt;70,DB1003&lt;=100),"71-100",IF(DB1003&gt;100,"+100")))))</f>
        <v>0</v>
      </c>
      <c r="DD1003">
        <v>0</v>
      </c>
      <c r="DE1003">
        <v>0</v>
      </c>
      <c r="DF1003">
        <v>0</v>
      </c>
      <c r="DG1003">
        <v>1</v>
      </c>
      <c r="DI1003">
        <f>SUM(DD1003:DG1003)</f>
        <v>1</v>
      </c>
      <c r="DJ1003" t="str">
        <f>IF(DI1003=1,INDEX($DD$7:$DG$7,MATCH(1,$DD1003:$DG1003,0)),"mixedProduct")</f>
        <v>TimberInput</v>
      </c>
      <c r="DK1003">
        <f>IF(DD1003=1,DK$7,0)</f>
        <v>0</v>
      </c>
      <c r="DL1003">
        <f>IF(DE1003=1,DL$7,0)</f>
        <v>0</v>
      </c>
      <c r="DM1003">
        <f>IF(DF1003=1,DM$7,0)</f>
        <v>0</v>
      </c>
      <c r="DN1003" t="str">
        <f>IF(DG1003=1,DN$7,0)</f>
        <v>Timber</v>
      </c>
      <c r="DO1003">
        <v>0</v>
      </c>
      <c r="DP1003" s="143">
        <v>0</v>
      </c>
      <c r="DQ1003" s="143">
        <v>0</v>
      </c>
      <c r="DR1003">
        <v>0</v>
      </c>
      <c r="DS1003" s="143">
        <v>0</v>
      </c>
      <c r="DT1003">
        <f>SUM(DO1003:DP1003)</f>
        <v>0</v>
      </c>
      <c r="DU1003" s="143" t="str">
        <f>IF(DO1003=1,"self-calculated DF",IF(DP1003=1,"external DF used","explicit C balance"))</f>
        <v>explicit C balance</v>
      </c>
      <c r="DV1003" s="143">
        <v>0</v>
      </c>
      <c r="DW1003" s="143">
        <v>0</v>
      </c>
      <c r="DX1003" s="143">
        <v>0</v>
      </c>
      <c r="DY1003" s="143">
        <v>1</v>
      </c>
      <c r="DZ1003">
        <v>0</v>
      </c>
      <c r="EA1003" s="143">
        <v>0</v>
      </c>
      <c r="EB1003" s="143">
        <v>0</v>
      </c>
      <c r="EC1003" s="143">
        <v>1</v>
      </c>
      <c r="ED1003" s="143">
        <v>0</v>
      </c>
      <c r="EE1003">
        <v>0</v>
      </c>
      <c r="EF1003">
        <v>0</v>
      </c>
      <c r="EG1003" s="143">
        <v>0</v>
      </c>
      <c r="EH1003">
        <v>0</v>
      </c>
      <c r="EI1003" s="2">
        <v>0</v>
      </c>
      <c r="EK1003" t="str">
        <f>IF(AND(AND(AND(OR($DX1003=1,$DW1003=1),OR($EC1003=1,$EA1003=1)),SUM($DV1003:$DZ1003,$EF1003)&gt;=4),SUM($EA1003:$EE1003)&gt;=2),"Whole sector","")</f>
        <v/>
      </c>
      <c r="EL1003" t="str">
        <f>IF(AND(AND(OR($DX1003=1,$DW1003=1),AND($EC1003=0,$EA1003=0)),SUM($DV1003:$DZ1003,$EF1003)&gt;=4),"Ecosystem approach","")</f>
        <v/>
      </c>
      <c r="EM1003" s="2" t="str">
        <f>IF(AND(AND(AND($DX1003=0,$DW1003=0),OR($EC1003=1,$EA1003=1)),SUM($EB1003:$EE1003)&gt;=2),"Technology approach","")</f>
        <v/>
      </c>
      <c r="EP1003" t="str">
        <f>IF(ISNUMBER(BU1003),IF(ABS(BU1003-[1]QC_indicators!$B$2)&gt;3*[1]QC_indicators!$C$2,"C ratio",IF(ISNUMBER(BY1003),IF(ABS(BY1003-[1]QC_indicators!$B$1)&gt;3*[1]QC_indicators!$C$1,"DF","no"))),IF(ISNUMBER(BY1003),IF(ABS(BY1003-[1]QC_indicators!$B$1)&gt;3*[1]QC_indicators!$C$1,"DF","no")))</f>
        <v>no</v>
      </c>
      <c r="EQ1003" t="s">
        <v>450</v>
      </c>
      <c r="ET1003" s="264" t="s">
        <v>3156</v>
      </c>
    </row>
    <row r="1004" spans="1:150" ht="15" customHeight="1">
      <c r="A1004" s="1" t="s">
        <v>1270</v>
      </c>
      <c r="B1004" t="s">
        <v>1869</v>
      </c>
      <c r="C1004" t="s">
        <v>1870</v>
      </c>
      <c r="D1004" t="s">
        <v>1871</v>
      </c>
      <c r="E1004" t="s">
        <v>1872</v>
      </c>
      <c r="F1004" t="s">
        <v>1873</v>
      </c>
      <c r="G1004" t="s">
        <v>1276</v>
      </c>
      <c r="H1004" t="s">
        <v>254</v>
      </c>
      <c r="I1004">
        <v>2019</v>
      </c>
      <c r="J1004">
        <v>2</v>
      </c>
      <c r="K1004" t="s">
        <v>1874</v>
      </c>
      <c r="M1004" t="str">
        <f>LEFT($D1004,FIND(",",$D1004)-1)&amp;"_"&amp;I1004&amp;L1004</f>
        <v>Kucuker_2019</v>
      </c>
      <c r="N1004" t="s">
        <v>222</v>
      </c>
      <c r="O1004" s="145" t="s">
        <v>225</v>
      </c>
      <c r="Q1004" s="264" t="s">
        <v>256</v>
      </c>
      <c r="R1004" s="269" t="s">
        <v>1154</v>
      </c>
      <c r="S1004" s="1" t="s">
        <v>1875</v>
      </c>
      <c r="T1004" t="s">
        <v>1879</v>
      </c>
      <c r="U1004">
        <v>60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1</v>
      </c>
      <c r="AW1004">
        <v>0</v>
      </c>
      <c r="AX1004" s="141">
        <f>COUNTIF(V1004:AW1004,"&lt;&gt;0")</f>
        <v>1</v>
      </c>
      <c r="AY1004" s="141">
        <f>COUNTIF(V1004:AL1004,"&lt;&gt;0")</f>
        <v>0</v>
      </c>
      <c r="AZ1004">
        <f>COUNTIF(V1004:AC1004,"&lt;&gt;0")</f>
        <v>0</v>
      </c>
      <c r="BA1004">
        <f>COUNTIF(AD1004:AI1004,"&lt;&gt;0")</f>
        <v>0</v>
      </c>
      <c r="BB1004">
        <f>COUNTIF(AJ1004:AL1004,"&lt;&gt;0")</f>
        <v>0</v>
      </c>
      <c r="BC1004">
        <f>COUNTIF(AS1004:AW1004,"&lt;&gt;0")</f>
        <v>1</v>
      </c>
      <c r="BD1004">
        <f>COUNTIF(AM1004:AR1004,"&lt;&gt;0")</f>
        <v>0</v>
      </c>
      <c r="BE1004" t="str" cm="1">
        <f t="array" ref="BE1004">IF(AY1004=1,INDEX($V$7:$AL$7,MATCH(TRUE,INDEX($V1004:$AW1004&lt;&gt;0,),0)),IF(AY1004=0,INDEX($AM$7:$AW$7,MATCH(1,$AM1004:$AW1004,0)),IF(BF1004="Multiple strategies","mixed drivers",IF(BF1004="Supply chain","multiple supply","multiple silviculture"))))</f>
        <v>Exogenous C price</v>
      </c>
      <c r="BF1004" s="2" t="str" cm="1">
        <f t="array" ref="BF1004">IF(COUNTIF(AZ1004:BB1004,"&lt;&gt;0")=1,INDEX($V$4:$AW$4,MATCH(TRUE,INDEX($V1004:$AW1004&lt;&gt;0,),0)),IF(COUNTIF(AZ1004:BB1004,"&lt;&gt;0")=0,INDEX($AM$4:$AW$4,MATCH(1,$AM1004:$AW1004,0)),"Multiple strategies"))</f>
        <v>Demand</v>
      </c>
      <c r="BG1004" s="173" t="s">
        <v>321</v>
      </c>
      <c r="BH1004" t="s">
        <v>182</v>
      </c>
      <c r="BJ1004" t="s">
        <v>1770</v>
      </c>
      <c r="BK1004">
        <v>5918</v>
      </c>
      <c r="BL1004" s="143">
        <v>6991</v>
      </c>
      <c r="BM1004" s="163">
        <f>BL1004/BK1004</f>
        <v>1.1813112538019601</v>
      </c>
      <c r="BN1004">
        <f>BL1004-BK1004</f>
        <v>1073</v>
      </c>
      <c r="BO1004" s="143">
        <f>BN1004*10^3</f>
        <v>1073000</v>
      </c>
      <c r="BP1004" t="s">
        <v>232</v>
      </c>
      <c r="BR1004" t="s">
        <v>1877</v>
      </c>
      <c r="BS1004">
        <v>1757</v>
      </c>
      <c r="BT1004" s="143">
        <v>3283</v>
      </c>
      <c r="BU1004" s="144">
        <f>IFERROR(BT1004/BS1004,"")</f>
        <v>1.8685258964143425</v>
      </c>
      <c r="BV1004">
        <f>BT1004-BS1004</f>
        <v>1526</v>
      </c>
      <c r="BX1004">
        <f>BV1004*10^9/10^6*C_to_CO2</f>
        <v>5600420</v>
      </c>
      <c r="BY1004">
        <f>IFERROR(BX1004/BO1004,"")</f>
        <v>5.2194035414725066</v>
      </c>
      <c r="BZ1004">
        <v>0</v>
      </c>
      <c r="CA1004">
        <v>0</v>
      </c>
      <c r="CB1004">
        <v>0</v>
      </c>
      <c r="CC1004">
        <v>0</v>
      </c>
      <c r="CD1004">
        <v>0</v>
      </c>
      <c r="CE1004">
        <v>0</v>
      </c>
      <c r="CF1004">
        <v>0</v>
      </c>
      <c r="CG1004">
        <v>0</v>
      </c>
      <c r="CH1004">
        <v>0</v>
      </c>
      <c r="CI1004">
        <v>0</v>
      </c>
      <c r="CJ1004">
        <v>0</v>
      </c>
      <c r="CK1004">
        <v>0</v>
      </c>
      <c r="CL1004">
        <v>0</v>
      </c>
      <c r="CM1004">
        <v>0</v>
      </c>
      <c r="CN1004" t="str">
        <f>IF($BL1004&lt;$BK1004,"refNeedCorrection","refOK")</f>
        <v>refOK</v>
      </c>
      <c r="CO1004">
        <f>IF($CN1004="refNeedCorrection",BL1004,BK1004)</f>
        <v>5918</v>
      </c>
      <c r="CP1004">
        <f>IF($CN1004="refNeedCorrection",BK1004,BL1004)</f>
        <v>6991</v>
      </c>
      <c r="CQ1004">
        <f>IF($CN1004="refOK",$BO1004,-$BO1004)</f>
        <v>1073000</v>
      </c>
      <c r="CR1004">
        <f>IF($CN1004="refOK",$BS1004,$BT1004)*IF($BP1004="Emissions positive",-1,1)</f>
        <v>1757</v>
      </c>
      <c r="CS1004">
        <f>IF($CN1004="refOK",$BT1004,$BS1004)*IF($BP1004="Emissions positive",-1,1)</f>
        <v>3283</v>
      </c>
      <c r="CT1004">
        <f>IF($CN1004="refNeedCorrection",-BX1004,BX1004)*IF($BP1004="Emissions positive",-1,1)</f>
        <v>5600420</v>
      </c>
      <c r="CU1004">
        <f>IFERROR(CT1004/CQ1004,"")</f>
        <v>5.2194035414725066</v>
      </c>
      <c r="CV1004" s="2">
        <f>IFERROR((CS1004-CR1004)/ABS(CR1004),"")</f>
        <v>0.86852589641434264</v>
      </c>
      <c r="CW1004" s="1" t="s">
        <v>1203</v>
      </c>
      <c r="CX1004" s="264" t="str">
        <f>IF(OR($CW1004="prd",$CW1004="std",$CW1004="cit"),"loc",IF(OR($CW1004="eur",$CW1004="reg",$CW1004="coy"),"reg",$CW1004))</f>
        <v>reg</v>
      </c>
      <c r="CY1004" t="s">
        <v>1281</v>
      </c>
      <c r="DA1004" s="143"/>
      <c r="DB1004">
        <v>100</v>
      </c>
      <c r="DC1004" t="str">
        <f>IF(DB1004=0,"0",IF(AND(DB1004&gt;=1,DB1004&lt;=30),"1-30",IF(AND(DB1004&gt;30,DB1004&lt;=70),"31-70",IF(AND(DB1004&gt;70,DB1004&lt;=100),"71-100",IF(DB1004&gt;100,"+100")))))</f>
        <v>71-100</v>
      </c>
      <c r="DD1004">
        <v>0</v>
      </c>
      <c r="DE1004">
        <v>0</v>
      </c>
      <c r="DF1004">
        <v>0</v>
      </c>
      <c r="DG1004">
        <v>1</v>
      </c>
      <c r="DI1004">
        <f>SUM(DD1004:DG1004)</f>
        <v>1</v>
      </c>
      <c r="DJ1004" t="str">
        <f>IF(DI1004=1,INDEX($DD$7:$DG$7,MATCH(1,$DD1004:$DG1004,0)),"mixedProduct")</f>
        <v>TimberInput</v>
      </c>
      <c r="DK1004">
        <f>IF(DD1004=1,DK$7,0)</f>
        <v>0</v>
      </c>
      <c r="DL1004">
        <f>IF(DE1004=1,DL$7,0)</f>
        <v>0</v>
      </c>
      <c r="DM1004">
        <f>IF(DF1004=1,DM$7,0)</f>
        <v>0</v>
      </c>
      <c r="DN1004" t="str">
        <f>IF(DG1004=1,DN$7,0)</f>
        <v>Timber</v>
      </c>
      <c r="DO1004">
        <v>0</v>
      </c>
      <c r="DP1004" s="143">
        <v>0</v>
      </c>
      <c r="DQ1004" s="143">
        <v>0</v>
      </c>
      <c r="DR1004">
        <v>0</v>
      </c>
      <c r="DS1004" s="143">
        <v>0</v>
      </c>
      <c r="DT1004">
        <f>SUM(DO1004:DP1004)</f>
        <v>0</v>
      </c>
      <c r="DU1004" s="143" t="str">
        <f>IF(DO1004=1,"self-calculated DF",IF(DP1004=1,"external DF used","explicit C balance"))</f>
        <v>explicit C balance</v>
      </c>
      <c r="DV1004" s="143">
        <v>0</v>
      </c>
      <c r="DW1004" s="143">
        <v>0</v>
      </c>
      <c r="DX1004" s="143">
        <v>1</v>
      </c>
      <c r="DY1004" s="143">
        <v>0</v>
      </c>
      <c r="DZ1004">
        <v>0</v>
      </c>
      <c r="EA1004" s="143">
        <v>0</v>
      </c>
      <c r="EB1004" s="143">
        <v>0</v>
      </c>
      <c r="EC1004" s="143">
        <v>0</v>
      </c>
      <c r="ED1004" s="143">
        <v>0</v>
      </c>
      <c r="EE1004">
        <v>0</v>
      </c>
      <c r="EF1004">
        <v>0</v>
      </c>
      <c r="EG1004" s="143">
        <v>0</v>
      </c>
      <c r="EH1004">
        <v>0</v>
      </c>
      <c r="EI1004" s="2">
        <v>0</v>
      </c>
      <c r="EK1004" t="str">
        <f>IF(AND(AND(AND(OR($DX1004=1,$DW1004=1),OR($EC1004=1,$EA1004=1)),SUM($DV1004:$DZ1004,$EF1004)&gt;=4),SUM($EA1004:$EE1004)&gt;=2),"Whole sector","")</f>
        <v/>
      </c>
      <c r="EL1004" t="str">
        <f>IF(AND(AND(OR($DX1004=1,$DW1004=1),AND($EC1004=0,$EA1004=0)),SUM($DV1004:$DZ1004,$EF1004)&gt;=4),"Ecosystem approach","")</f>
        <v/>
      </c>
      <c r="EM1004" s="2" t="str">
        <f>IF(AND(AND(AND($DX1004=0,$DW1004=0),OR($EC1004=1,$EA1004=1)),SUM($EB1004:$EE1004)&gt;=2),"Technology approach","")</f>
        <v/>
      </c>
      <c r="EP1004" t="str">
        <f>IF(ISNUMBER(BU1004),IF(ABS(BU1004-[3]QC_indicators!$B$2)&gt;3*[3]QC_indicators!$C$2,"C ratio",IF(ISNUMBER(BY1004),IF(ABS(BY1004-[3]QC_indicators!$B$1)&gt;3*[3]QC_indicators!$C$1,"DF","no"))),IF(ISNUMBER(BY1004),IF(ABS(BY1004-[3]QC_indicators!$B$1)&gt;3*[3]QC_indicators!$C$1,"DF","no")))</f>
        <v>no</v>
      </c>
      <c r="EQ1004" t="s">
        <v>1878</v>
      </c>
      <c r="ET1004" s="264" t="s">
        <v>3407</v>
      </c>
    </row>
    <row r="1005" spans="1:150" ht="15" customHeight="1">
      <c r="A1005" s="1" t="s">
        <v>1270</v>
      </c>
      <c r="B1005" t="s">
        <v>1869</v>
      </c>
      <c r="C1005" t="s">
        <v>1870</v>
      </c>
      <c r="D1005" t="s">
        <v>1871</v>
      </c>
      <c r="E1005" t="s">
        <v>1872</v>
      </c>
      <c r="F1005" t="s">
        <v>1873</v>
      </c>
      <c r="G1005" t="s">
        <v>1276</v>
      </c>
      <c r="H1005" t="s">
        <v>254</v>
      </c>
      <c r="I1005">
        <v>2019</v>
      </c>
      <c r="J1005">
        <v>2</v>
      </c>
      <c r="K1005" t="s">
        <v>1874</v>
      </c>
      <c r="M1005" t="str">
        <f>LEFT($D1005,FIND(",",$D1005)-1)&amp;"_"&amp;I1005&amp;L1005</f>
        <v>Kucuker_2019</v>
      </c>
      <c r="N1005" t="s">
        <v>222</v>
      </c>
      <c r="O1005" s="145" t="s">
        <v>225</v>
      </c>
      <c r="Q1005" s="264" t="s">
        <v>256</v>
      </c>
      <c r="R1005" s="269" t="s">
        <v>1154</v>
      </c>
      <c r="S1005" s="1" t="s">
        <v>1875</v>
      </c>
      <c r="T1005" t="s">
        <v>1876</v>
      </c>
      <c r="U1005">
        <v>60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1</v>
      </c>
      <c r="AW1005">
        <v>0</v>
      </c>
      <c r="AX1005" s="141">
        <f>COUNTIF(V1005:AW1005,"&lt;&gt;0")</f>
        <v>1</v>
      </c>
      <c r="AY1005" s="141">
        <f>COUNTIF(V1005:AL1005,"&lt;&gt;0")</f>
        <v>0</v>
      </c>
      <c r="AZ1005">
        <f>COUNTIF(V1005:AC1005,"&lt;&gt;0")</f>
        <v>0</v>
      </c>
      <c r="BA1005">
        <f>COUNTIF(AD1005:AI1005,"&lt;&gt;0")</f>
        <v>0</v>
      </c>
      <c r="BB1005">
        <f>COUNTIF(AJ1005:AL1005,"&lt;&gt;0")</f>
        <v>0</v>
      </c>
      <c r="BC1005">
        <f>COUNTIF(AS1005:AW1005,"&lt;&gt;0")</f>
        <v>1</v>
      </c>
      <c r="BD1005">
        <f>COUNTIF(AM1005:AR1005,"&lt;&gt;0")</f>
        <v>0</v>
      </c>
      <c r="BE1005" t="str" cm="1">
        <f t="array" ref="BE1005">IF(AY1005=1,INDEX($V$7:$AL$7,MATCH(TRUE,INDEX($V1005:$AW1005&lt;&gt;0,),0)),IF(AY1005=0,INDEX($AM$7:$AW$7,MATCH(1,$AM1005:$AW1005,0)),IF(BF1005="Multiple strategies","mixed drivers",IF(BF1005="Supply chain","multiple supply","multiple silviculture"))))</f>
        <v>Exogenous C price</v>
      </c>
      <c r="BF1005" s="2" t="str" cm="1">
        <f t="array" ref="BF1005">IF(COUNTIF(AZ1005:BB1005,"&lt;&gt;0")=1,INDEX($V$4:$AW$4,MATCH(TRUE,INDEX($V1005:$AW1005&lt;&gt;0,),0)),IF(COUNTIF(AZ1005:BB1005,"&lt;&gt;0")=0,INDEX($AM$4:$AW$4,MATCH(1,$AM1005:$AW1005,0)),"Multiple strategies"))</f>
        <v>Demand</v>
      </c>
      <c r="BG1005" s="173" t="s">
        <v>321</v>
      </c>
      <c r="BH1005" t="s">
        <v>182</v>
      </c>
      <c r="BJ1005" t="s">
        <v>1770</v>
      </c>
      <c r="BK1005">
        <v>5347</v>
      </c>
      <c r="BL1005" s="143">
        <v>6468</v>
      </c>
      <c r="BM1005" s="163">
        <f>BL1005/BK1005</f>
        <v>1.2096502711801009</v>
      </c>
      <c r="BN1005">
        <f>BL1005-BK1005</f>
        <v>1121</v>
      </c>
      <c r="BO1005" s="143">
        <f>BN1005*10^3</f>
        <v>1121000</v>
      </c>
      <c r="BP1005" t="s">
        <v>232</v>
      </c>
      <c r="BR1005" t="s">
        <v>1877</v>
      </c>
      <c r="BS1005">
        <v>1418</v>
      </c>
      <c r="BT1005" s="143">
        <v>3030</v>
      </c>
      <c r="BU1005" s="144">
        <f>IFERROR(BT1005/BS1005,"")</f>
        <v>2.1368124118476728</v>
      </c>
      <c r="BV1005">
        <f>BT1005-BS1005</f>
        <v>1612</v>
      </c>
      <c r="BX1005">
        <f>BV1005*10^9/10^6*C_to_CO2</f>
        <v>5916040</v>
      </c>
      <c r="BY1005">
        <f>IFERROR(BX1005/BO1005,"")</f>
        <v>5.2774665477252451</v>
      </c>
      <c r="BZ1005">
        <v>0</v>
      </c>
      <c r="CA1005">
        <v>0</v>
      </c>
      <c r="CB1005">
        <v>0</v>
      </c>
      <c r="CC1005">
        <v>0</v>
      </c>
      <c r="CD1005">
        <v>0</v>
      </c>
      <c r="CE1005">
        <v>0</v>
      </c>
      <c r="CF1005">
        <v>0</v>
      </c>
      <c r="CG1005">
        <v>0</v>
      </c>
      <c r="CH1005">
        <v>0</v>
      </c>
      <c r="CI1005">
        <v>0</v>
      </c>
      <c r="CJ1005">
        <v>0</v>
      </c>
      <c r="CK1005">
        <v>0</v>
      </c>
      <c r="CL1005">
        <v>0</v>
      </c>
      <c r="CM1005">
        <v>0</v>
      </c>
      <c r="CN1005" t="str">
        <f>IF($BL1005&lt;$BK1005,"refNeedCorrection","refOK")</f>
        <v>refOK</v>
      </c>
      <c r="CO1005">
        <f>IF($CN1005="refNeedCorrection",BL1005,BK1005)</f>
        <v>5347</v>
      </c>
      <c r="CP1005">
        <f>IF($CN1005="refNeedCorrection",BK1005,BL1005)</f>
        <v>6468</v>
      </c>
      <c r="CQ1005">
        <f>IF($CN1005="refOK",$BO1005,-$BO1005)</f>
        <v>1121000</v>
      </c>
      <c r="CR1005">
        <f>IF($CN1005="refOK",$BS1005,$BT1005)*IF($BP1005="Emissions positive",-1,1)</f>
        <v>1418</v>
      </c>
      <c r="CS1005">
        <f>IF($CN1005="refOK",$BT1005,$BS1005)*IF($BP1005="Emissions positive",-1,1)</f>
        <v>3030</v>
      </c>
      <c r="CT1005">
        <f>IF($CN1005="refNeedCorrection",-BX1005,BX1005)*IF($BP1005="Emissions positive",-1,1)</f>
        <v>5916040</v>
      </c>
      <c r="CU1005">
        <f>IFERROR(CT1005/CQ1005,"")</f>
        <v>5.2774665477252451</v>
      </c>
      <c r="CV1005" s="2">
        <f>IFERROR((CS1005-CR1005)/ABS(CR1005),"")</f>
        <v>1.1368124118476728</v>
      </c>
      <c r="CW1005" s="1" t="s">
        <v>1203</v>
      </c>
      <c r="CX1005" s="264" t="str">
        <f>IF(OR($CW1005="prd",$CW1005="std",$CW1005="cit"),"loc",IF(OR($CW1005="eur",$CW1005="reg",$CW1005="coy"),"reg",$CW1005))</f>
        <v>reg</v>
      </c>
      <c r="CY1005" t="s">
        <v>1281</v>
      </c>
      <c r="DA1005" s="143"/>
      <c r="DB1005">
        <v>100</v>
      </c>
      <c r="DC1005" t="str">
        <f>IF(DB1005=0,"0",IF(AND(DB1005&gt;=1,DB1005&lt;=30),"1-30",IF(AND(DB1005&gt;30,DB1005&lt;=70),"31-70",IF(AND(DB1005&gt;70,DB1005&lt;=100),"71-100",IF(DB1005&gt;100,"+100")))))</f>
        <v>71-100</v>
      </c>
      <c r="DD1005">
        <v>0</v>
      </c>
      <c r="DE1005">
        <v>0</v>
      </c>
      <c r="DF1005">
        <v>0</v>
      </c>
      <c r="DG1005">
        <v>1</v>
      </c>
      <c r="DI1005">
        <f>SUM(DD1005:DG1005)</f>
        <v>1</v>
      </c>
      <c r="DJ1005" t="str">
        <f>IF(DI1005=1,INDEX($DD$7:$DG$7,MATCH(1,$DD1005:$DG1005,0)),"mixedProduct")</f>
        <v>TimberInput</v>
      </c>
      <c r="DK1005">
        <f>IF(DD1005=1,DK$7,0)</f>
        <v>0</v>
      </c>
      <c r="DL1005">
        <f>IF(DE1005=1,DL$7,0)</f>
        <v>0</v>
      </c>
      <c r="DM1005">
        <f>IF(DF1005=1,DM$7,0)</f>
        <v>0</v>
      </c>
      <c r="DN1005" t="str">
        <f>IF(DG1005=1,DN$7,0)</f>
        <v>Timber</v>
      </c>
      <c r="DO1005">
        <v>0</v>
      </c>
      <c r="DP1005" s="143">
        <v>0</v>
      </c>
      <c r="DQ1005" s="143">
        <v>0</v>
      </c>
      <c r="DR1005">
        <v>0</v>
      </c>
      <c r="DS1005" s="143">
        <v>0</v>
      </c>
      <c r="DT1005">
        <f>SUM(DO1005:DP1005)</f>
        <v>0</v>
      </c>
      <c r="DU1005" s="143" t="str">
        <f>IF(DO1005=1,"self-calculated DF",IF(DP1005=1,"external DF used","explicit C balance"))</f>
        <v>explicit C balance</v>
      </c>
      <c r="DV1005" s="143">
        <v>0</v>
      </c>
      <c r="DW1005" s="143">
        <v>0</v>
      </c>
      <c r="DX1005" s="143">
        <v>1</v>
      </c>
      <c r="DY1005" s="143">
        <v>0</v>
      </c>
      <c r="DZ1005">
        <v>0</v>
      </c>
      <c r="EA1005" s="143">
        <v>0</v>
      </c>
      <c r="EB1005" s="143">
        <v>0</v>
      </c>
      <c r="EC1005" s="143">
        <v>0</v>
      </c>
      <c r="ED1005" s="143">
        <v>0</v>
      </c>
      <c r="EE1005">
        <v>0</v>
      </c>
      <c r="EF1005">
        <v>0</v>
      </c>
      <c r="EG1005" s="143">
        <v>0</v>
      </c>
      <c r="EH1005">
        <v>0</v>
      </c>
      <c r="EI1005" s="2">
        <v>0</v>
      </c>
      <c r="EK1005" t="str">
        <f>IF(AND(AND(AND(OR($DX1005=1,$DW1005=1),OR($EC1005=1,$EA1005=1)),SUM($DV1005:$DZ1005,$EF1005)&gt;=4),SUM($EA1005:$EE1005)&gt;=2),"Whole sector","")</f>
        <v/>
      </c>
      <c r="EL1005" t="str">
        <f>IF(AND(AND(OR($DX1005=1,$DW1005=1),AND($EC1005=0,$EA1005=0)),SUM($DV1005:$DZ1005,$EF1005)&gt;=4),"Ecosystem approach","")</f>
        <v/>
      </c>
      <c r="EM1005" s="2" t="str">
        <f>IF(AND(AND(AND($DX1005=0,$DW1005=0),OR($EC1005=1,$EA1005=1)),SUM($EB1005:$EE1005)&gt;=2),"Technology approach","")</f>
        <v/>
      </c>
      <c r="EP1005" t="str">
        <f>IF(ISNUMBER(BU1005),IF(ABS(BU1005-[3]QC_indicators!$B$2)&gt;3*[3]QC_indicators!$C$2,"C ratio",IF(ISNUMBER(BY1005),IF(ABS(BY1005-[3]QC_indicators!$B$1)&gt;3*[3]QC_indicators!$C$1,"DF","no"))),IF(ISNUMBER(BY1005),IF(ABS(BY1005-[3]QC_indicators!$B$1)&gt;3*[3]QC_indicators!$C$1,"DF","no")))</f>
        <v>no</v>
      </c>
      <c r="EQ1005" t="s">
        <v>1878</v>
      </c>
      <c r="ET1005" s="264" t="s">
        <v>3407</v>
      </c>
    </row>
    <row r="1006" spans="1:150" ht="15" customHeight="1">
      <c r="A1006" s="1" t="s">
        <v>1270</v>
      </c>
      <c r="B1006" t="s">
        <v>1869</v>
      </c>
      <c r="C1006" t="s">
        <v>1870</v>
      </c>
      <c r="D1006" t="s">
        <v>1871</v>
      </c>
      <c r="E1006" t="s">
        <v>1872</v>
      </c>
      <c r="F1006" t="s">
        <v>1873</v>
      </c>
      <c r="G1006" t="s">
        <v>1276</v>
      </c>
      <c r="H1006" t="s">
        <v>254</v>
      </c>
      <c r="I1006">
        <v>2019</v>
      </c>
      <c r="J1006">
        <v>2</v>
      </c>
      <c r="K1006" t="s">
        <v>1874</v>
      </c>
      <c r="M1006" t="str">
        <f>LEFT($D1006,FIND(",",$D1006)-1)&amp;"_"&amp;I1006&amp;L1006</f>
        <v>Kucuker_2019</v>
      </c>
      <c r="N1006" t="s">
        <v>222</v>
      </c>
      <c r="O1006" s="145" t="s">
        <v>225</v>
      </c>
      <c r="Q1006" s="264" t="s">
        <v>256</v>
      </c>
      <c r="R1006" s="269" t="s">
        <v>1154</v>
      </c>
      <c r="S1006" s="1" t="s">
        <v>1875</v>
      </c>
      <c r="T1006" t="s">
        <v>1879</v>
      </c>
      <c r="U1006">
        <v>100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1</v>
      </c>
      <c r="AW1006">
        <v>0</v>
      </c>
      <c r="AX1006" s="141">
        <f>COUNTIF(V1006:AW1006,"&lt;&gt;0")</f>
        <v>1</v>
      </c>
      <c r="AY1006" s="141">
        <f>COUNTIF(V1006:AL1006,"&lt;&gt;0")</f>
        <v>0</v>
      </c>
      <c r="AZ1006">
        <f>COUNTIF(V1006:AC1006,"&lt;&gt;0")</f>
        <v>0</v>
      </c>
      <c r="BA1006">
        <f>COUNTIF(AD1006:AI1006,"&lt;&gt;0")</f>
        <v>0</v>
      </c>
      <c r="BB1006">
        <f>COUNTIF(AJ1006:AL1006,"&lt;&gt;0")</f>
        <v>0</v>
      </c>
      <c r="BC1006">
        <f>COUNTIF(AS1006:AW1006,"&lt;&gt;0")</f>
        <v>1</v>
      </c>
      <c r="BD1006">
        <f>COUNTIF(AM1006:AR1006,"&lt;&gt;0")</f>
        <v>0</v>
      </c>
      <c r="BE1006" t="str" cm="1">
        <f t="array" ref="BE1006">IF(AY1006=1,INDEX($V$7:$AL$7,MATCH(TRUE,INDEX($V1006:$AW1006&lt;&gt;0,),0)),IF(AY1006=0,INDEX($AM$7:$AW$7,MATCH(1,$AM1006:$AW1006,0)),IF(BF1006="Multiple strategies","mixed drivers",IF(BF1006="Supply chain","multiple supply","multiple silviculture"))))</f>
        <v>Exogenous C price</v>
      </c>
      <c r="BF1006" s="2" t="str" cm="1">
        <f t="array" ref="BF1006">IF(COUNTIF(AZ1006:BB1006,"&lt;&gt;0")=1,INDEX($V$4:$AW$4,MATCH(TRUE,INDEX($V1006:$AW1006&lt;&gt;0,),0)),IF(COUNTIF(AZ1006:BB1006,"&lt;&gt;0")=0,INDEX($AM$4:$AW$4,MATCH(1,$AM1006:$AW1006,0)),"Multiple strategies"))</f>
        <v>Demand</v>
      </c>
      <c r="BG1006" s="173" t="s">
        <v>321</v>
      </c>
      <c r="BH1006" t="s">
        <v>182</v>
      </c>
      <c r="BJ1006" t="s">
        <v>1770</v>
      </c>
      <c r="BK1006">
        <v>5918</v>
      </c>
      <c r="BL1006" s="143">
        <v>6986</v>
      </c>
      <c r="BM1006" s="163">
        <f>BL1006/BK1006</f>
        <v>1.1804663737749239</v>
      </c>
      <c r="BN1006">
        <f>BL1006-BK1006</f>
        <v>1068</v>
      </c>
      <c r="BO1006" s="143">
        <f>BN1006*10^3</f>
        <v>1068000</v>
      </c>
      <c r="BP1006" t="s">
        <v>232</v>
      </c>
      <c r="BR1006" t="s">
        <v>1877</v>
      </c>
      <c r="BS1006">
        <v>1757</v>
      </c>
      <c r="BT1006" s="143">
        <v>3330</v>
      </c>
      <c r="BU1006" s="144">
        <f>IFERROR(BT1006/BS1006,"")</f>
        <v>1.8952760387023335</v>
      </c>
      <c r="BV1006">
        <f>BT1006-BS1006</f>
        <v>1573</v>
      </c>
      <c r="BX1006">
        <f>BV1006*10^9/10^6*C_to_CO2</f>
        <v>5772910</v>
      </c>
      <c r="BY1006">
        <f>IFERROR(BX1006/BO1006,"")</f>
        <v>5.4053464419475654</v>
      </c>
      <c r="BZ1006">
        <v>0</v>
      </c>
      <c r="CA1006">
        <v>0</v>
      </c>
      <c r="CB1006">
        <v>0</v>
      </c>
      <c r="CC1006">
        <v>0</v>
      </c>
      <c r="CD1006">
        <v>0</v>
      </c>
      <c r="CE1006">
        <v>0</v>
      </c>
      <c r="CF1006">
        <v>0</v>
      </c>
      <c r="CG1006">
        <v>0</v>
      </c>
      <c r="CH1006">
        <v>0</v>
      </c>
      <c r="CI1006">
        <v>0</v>
      </c>
      <c r="CJ1006">
        <v>0</v>
      </c>
      <c r="CK1006">
        <v>0</v>
      </c>
      <c r="CL1006">
        <v>0</v>
      </c>
      <c r="CM1006">
        <v>0</v>
      </c>
      <c r="CN1006" t="str">
        <f>IF($BL1006&lt;$BK1006,"refNeedCorrection","refOK")</f>
        <v>refOK</v>
      </c>
      <c r="CO1006">
        <f>IF($CN1006="refNeedCorrection",BL1006,BK1006)</f>
        <v>5918</v>
      </c>
      <c r="CP1006">
        <f>IF($CN1006="refNeedCorrection",BK1006,BL1006)</f>
        <v>6986</v>
      </c>
      <c r="CQ1006">
        <f>IF($CN1006="refOK",$BO1006,-$BO1006)</f>
        <v>1068000</v>
      </c>
      <c r="CR1006">
        <f>IF($CN1006="refOK",$BS1006,$BT1006)*IF($BP1006="Emissions positive",-1,1)</f>
        <v>1757</v>
      </c>
      <c r="CS1006">
        <f>IF($CN1006="refOK",$BT1006,$BS1006)*IF($BP1006="Emissions positive",-1,1)</f>
        <v>3330</v>
      </c>
      <c r="CT1006">
        <f>IF($CN1006="refNeedCorrection",-BX1006,BX1006)*IF($BP1006="Emissions positive",-1,1)</f>
        <v>5772910</v>
      </c>
      <c r="CU1006">
        <f>IFERROR(CT1006/CQ1006,"")</f>
        <v>5.4053464419475654</v>
      </c>
      <c r="CV1006" s="2">
        <f>IFERROR((CS1006-CR1006)/ABS(CR1006),"")</f>
        <v>0.89527603870233352</v>
      </c>
      <c r="CW1006" s="1" t="s">
        <v>1203</v>
      </c>
      <c r="CX1006" s="264" t="str">
        <f>IF(OR($CW1006="prd",$CW1006="std",$CW1006="cit"),"loc",IF(OR($CW1006="eur",$CW1006="reg",$CW1006="coy"),"reg",$CW1006))</f>
        <v>reg</v>
      </c>
      <c r="CY1006" t="s">
        <v>1281</v>
      </c>
      <c r="DA1006" s="143"/>
      <c r="DB1006">
        <v>100</v>
      </c>
      <c r="DC1006" t="str">
        <f>IF(DB1006=0,"0",IF(AND(DB1006&gt;=1,DB1006&lt;=30),"1-30",IF(AND(DB1006&gt;30,DB1006&lt;=70),"31-70",IF(AND(DB1006&gt;70,DB1006&lt;=100),"71-100",IF(DB1006&gt;100,"+100")))))</f>
        <v>71-100</v>
      </c>
      <c r="DD1006">
        <v>0</v>
      </c>
      <c r="DE1006">
        <v>0</v>
      </c>
      <c r="DF1006">
        <v>0</v>
      </c>
      <c r="DG1006">
        <v>1</v>
      </c>
      <c r="DI1006">
        <f>SUM(DD1006:DG1006)</f>
        <v>1</v>
      </c>
      <c r="DJ1006" t="str">
        <f>IF(DI1006=1,INDEX($DD$7:$DG$7,MATCH(1,$DD1006:$DG1006,0)),"mixedProduct")</f>
        <v>TimberInput</v>
      </c>
      <c r="DK1006">
        <f>IF(DD1006=1,DK$7,0)</f>
        <v>0</v>
      </c>
      <c r="DL1006">
        <f>IF(DE1006=1,DL$7,0)</f>
        <v>0</v>
      </c>
      <c r="DM1006">
        <f>IF(DF1006=1,DM$7,0)</f>
        <v>0</v>
      </c>
      <c r="DN1006" t="str">
        <f>IF(DG1006=1,DN$7,0)</f>
        <v>Timber</v>
      </c>
      <c r="DO1006">
        <v>0</v>
      </c>
      <c r="DP1006" s="143">
        <v>0</v>
      </c>
      <c r="DQ1006" s="143">
        <v>0</v>
      </c>
      <c r="DR1006">
        <v>0</v>
      </c>
      <c r="DS1006" s="143">
        <v>0</v>
      </c>
      <c r="DT1006">
        <f>SUM(DO1006:DP1006)</f>
        <v>0</v>
      </c>
      <c r="DU1006" s="143" t="str">
        <f>IF(DO1006=1,"self-calculated DF",IF(DP1006=1,"external DF used","explicit C balance"))</f>
        <v>explicit C balance</v>
      </c>
      <c r="DV1006" s="143">
        <v>0</v>
      </c>
      <c r="DW1006" s="143">
        <v>0</v>
      </c>
      <c r="DX1006" s="143">
        <v>1</v>
      </c>
      <c r="DY1006" s="143">
        <v>0</v>
      </c>
      <c r="DZ1006">
        <v>0</v>
      </c>
      <c r="EA1006" s="143">
        <v>0</v>
      </c>
      <c r="EB1006" s="143">
        <v>0</v>
      </c>
      <c r="EC1006" s="143">
        <v>0</v>
      </c>
      <c r="ED1006" s="143">
        <v>0</v>
      </c>
      <c r="EE1006">
        <v>0</v>
      </c>
      <c r="EF1006">
        <v>0</v>
      </c>
      <c r="EG1006" s="143">
        <v>0</v>
      </c>
      <c r="EH1006">
        <v>0</v>
      </c>
      <c r="EI1006" s="2">
        <v>0</v>
      </c>
      <c r="EK1006" t="str">
        <f>IF(AND(AND(AND(OR($DX1006=1,$DW1006=1),OR($EC1006=1,$EA1006=1)),SUM($DV1006:$DZ1006,$EF1006)&gt;=4),SUM($EA1006:$EE1006)&gt;=2),"Whole sector","")</f>
        <v/>
      </c>
      <c r="EL1006" t="str">
        <f>IF(AND(AND(OR($DX1006=1,$DW1006=1),AND($EC1006=0,$EA1006=0)),SUM($DV1006:$DZ1006,$EF1006)&gt;=4),"Ecosystem approach","")</f>
        <v/>
      </c>
      <c r="EM1006" s="2" t="str">
        <f>IF(AND(AND(AND($DX1006=0,$DW1006=0),OR($EC1006=1,$EA1006=1)),SUM($EB1006:$EE1006)&gt;=2),"Technology approach","")</f>
        <v/>
      </c>
      <c r="EP1006" t="str">
        <f>IF(ISNUMBER(BU1006),IF(ABS(BU1006-[3]QC_indicators!$B$2)&gt;3*[3]QC_indicators!$C$2,"C ratio",IF(ISNUMBER(BY1006),IF(ABS(BY1006-[3]QC_indicators!$B$1)&gt;3*[3]QC_indicators!$C$1,"DF","no"))),IF(ISNUMBER(BY1006),IF(ABS(BY1006-[3]QC_indicators!$B$1)&gt;3*[3]QC_indicators!$C$1,"DF","no")))</f>
        <v>no</v>
      </c>
      <c r="EQ1006" t="s">
        <v>1878</v>
      </c>
      <c r="ET1006" s="264" t="s">
        <v>3407</v>
      </c>
    </row>
    <row r="1007" spans="1:150" ht="15" customHeight="1">
      <c r="A1007" s="1" t="s">
        <v>1378</v>
      </c>
      <c r="B1007" t="s">
        <v>1922</v>
      </c>
      <c r="C1007" t="s">
        <v>1923</v>
      </c>
      <c r="D1007" t="s">
        <v>1924</v>
      </c>
      <c r="E1007" t="s">
        <v>1925</v>
      </c>
      <c r="F1007" t="s">
        <v>1926</v>
      </c>
      <c r="G1007" t="s">
        <v>1384</v>
      </c>
      <c r="H1007" t="s">
        <v>254</v>
      </c>
      <c r="I1007">
        <v>2016</v>
      </c>
      <c r="J1007">
        <v>12</v>
      </c>
      <c r="K1007" t="s">
        <v>1927</v>
      </c>
      <c r="M1007" t="str">
        <f>LEFT($D1007,FIND(",",$D1007)-1)&amp;"_"&amp;I1007&amp;L1007</f>
        <v>Lobianco_2016</v>
      </c>
      <c r="N1007" t="s">
        <v>222</v>
      </c>
      <c r="O1007" s="145" t="s">
        <v>225</v>
      </c>
      <c r="P1007" t="s">
        <v>513</v>
      </c>
      <c r="Q1007" t="s">
        <v>256</v>
      </c>
      <c r="R1007" s="262" t="s">
        <v>223</v>
      </c>
      <c r="S1007" s="1" t="s">
        <v>1935</v>
      </c>
      <c r="T1007" s="143" t="s">
        <v>3174</v>
      </c>
      <c r="U1007" s="143" t="s">
        <v>1155</v>
      </c>
      <c r="V1007">
        <v>0</v>
      </c>
      <c r="W1007">
        <v>0</v>
      </c>
      <c r="X1007">
        <v>0</v>
      </c>
      <c r="Y1007">
        <v>0</v>
      </c>
      <c r="Z1007">
        <v>0</v>
      </c>
      <c r="AA1007">
        <v>0</v>
      </c>
      <c r="AB1007">
        <v>0</v>
      </c>
      <c r="AC1007">
        <v>1</v>
      </c>
      <c r="AD1007">
        <v>0</v>
      </c>
      <c r="AE1007">
        <v>0</v>
      </c>
      <c r="AF1007">
        <v>0</v>
      </c>
      <c r="AG1007">
        <v>0</v>
      </c>
      <c r="AH1007">
        <v>0</v>
      </c>
      <c r="AI1007">
        <v>0</v>
      </c>
      <c r="AJ1007">
        <v>0</v>
      </c>
      <c r="AK1007">
        <v>0</v>
      </c>
      <c r="AL1007">
        <v>0</v>
      </c>
      <c r="AM1007">
        <v>0</v>
      </c>
      <c r="AN1007">
        <v>1</v>
      </c>
      <c r="AO1007">
        <v>0</v>
      </c>
      <c r="AP1007">
        <v>0</v>
      </c>
      <c r="AQ1007">
        <v>0</v>
      </c>
      <c r="AR1007">
        <v>0</v>
      </c>
      <c r="AS1007">
        <v>0</v>
      </c>
      <c r="AT1007">
        <v>0</v>
      </c>
      <c r="AU1007">
        <v>0</v>
      </c>
      <c r="AV1007">
        <v>0</v>
      </c>
      <c r="AW1007">
        <v>0</v>
      </c>
      <c r="AX1007" s="141">
        <f>COUNTIF(V1007:AW1007,"&lt;&gt;0")</f>
        <v>2</v>
      </c>
      <c r="AY1007" s="141">
        <f>COUNTIF(V1007:AL1007,"&lt;&gt;0")</f>
        <v>1</v>
      </c>
      <c r="AZ1007">
        <f>COUNTIF(V1007:AC1007,"&lt;&gt;0")</f>
        <v>1</v>
      </c>
      <c r="BA1007">
        <f>COUNTIF(AD1007:AI1007,"&lt;&gt;0")</f>
        <v>0</v>
      </c>
      <c r="BB1007">
        <f>COUNTIF(AJ1007:AL1007,"&lt;&gt;0")</f>
        <v>0</v>
      </c>
      <c r="BC1007">
        <f>COUNTIF(AS1007:AW1007,"&lt;&gt;0")</f>
        <v>0</v>
      </c>
      <c r="BD1007">
        <f>COUNTIF(AM1007:AR1007,"&lt;&gt;0")</f>
        <v>1</v>
      </c>
      <c r="BE1007" t="str">
        <f t="array" ref="BE1007">IF(AY1007=1,INDEX($V$7:$AL$7,MATCH(TRUE,INDEX($V1007:$AW1007&lt;&gt;0,),0)),IF(AY1007=0,INDEX($AM$7:$AW$7,MATCH(1,$AM1007:$AW1007,0)),IF(BF1007="Multiple strategies","mixed drivers",IF(BF1007="Supply chain","multiple supply","multiple silviculture"))))</f>
        <v>site fertility</v>
      </c>
      <c r="BF1007" s="2" t="str" cm="1">
        <f t="array" ref="BF1007">IF(COUNTIF(AZ1007:BB1007,"&lt;&gt;0")=1,INDEX($V$4:$AW$4,MATCH(TRUE,INDEX($V1007:$AW1007&lt;&gt;0,),0)),IF(COUNTIF(AZ1007:BB1007,"&lt;&gt;0")=0,INDEX($AM$4:$AW$4,MATCH(1,$AM1007:$AW1007,0)),"Multiple strategies"))</f>
        <v>Silviculture for productivity</v>
      </c>
      <c r="BG1007" s="142" t="s">
        <v>321</v>
      </c>
      <c r="BH1007" s="265" t="s">
        <v>3163</v>
      </c>
      <c r="BI1007" s="264" t="s">
        <v>3164</v>
      </c>
      <c r="BJ1007" s="143" t="s">
        <v>3165</v>
      </c>
      <c r="BK1007">
        <f>53.247*(1-0.23/100)</f>
        <v>53.124531900000001</v>
      </c>
      <c r="BL1007">
        <f>53.247</f>
        <v>53.247</v>
      </c>
      <c r="BN1007">
        <f>BL1007-BK1007</f>
        <v>0.12246809999999897</v>
      </c>
      <c r="BO1007" s="143">
        <f>BN1007*10^6</f>
        <v>122468.09999999897</v>
      </c>
      <c r="BP1007" t="s">
        <v>232</v>
      </c>
      <c r="BQ1007" s="264" t="s">
        <v>3166</v>
      </c>
      <c r="BR1007" s="143" t="s">
        <v>1929</v>
      </c>
      <c r="BS1007">
        <f>117.96*(1-0.57/100)</f>
        <v>117.28762799999998</v>
      </c>
      <c r="BT1007" s="144">
        <v>117.962</v>
      </c>
      <c r="BV1007">
        <f>BT1007-BS1007</f>
        <v>0.67437200000001951</v>
      </c>
      <c r="BX1007">
        <f>BV1007*10^6</f>
        <v>674372.00000001956</v>
      </c>
      <c r="BY1007">
        <f>IFERROR(BX1007/BO1007,"")</f>
        <v>5.5065114915641313</v>
      </c>
      <c r="BZ1007">
        <v>0</v>
      </c>
      <c r="CA1007">
        <v>0</v>
      </c>
      <c r="CB1007">
        <v>0</v>
      </c>
      <c r="CC1007">
        <v>0</v>
      </c>
      <c r="CD1007">
        <v>0</v>
      </c>
      <c r="CE1007">
        <v>0</v>
      </c>
      <c r="CF1007">
        <v>0</v>
      </c>
      <c r="CG1007">
        <v>0</v>
      </c>
      <c r="CH1007">
        <v>0</v>
      </c>
      <c r="CI1007">
        <v>0</v>
      </c>
      <c r="CJ1007">
        <v>0</v>
      </c>
      <c r="CK1007">
        <v>0</v>
      </c>
      <c r="CL1007">
        <v>0</v>
      </c>
      <c r="CM1007">
        <v>0</v>
      </c>
      <c r="CN1007" t="str">
        <f>IF($BL1007&lt;$BK1007,"refNeedCorrection","refOK")</f>
        <v>refOK</v>
      </c>
      <c r="CO1007">
        <f>IF($CN1007="refOK",$BK1007,$BL1007)</f>
        <v>53.124531900000001</v>
      </c>
      <c r="CP1007">
        <f>IF($CN1007="refOK",$BL1007,$BK1007)</f>
        <v>53.247</v>
      </c>
      <c r="CQ1007">
        <f>IF($CN1007="refOK",$BO1007,-$BO1007)</f>
        <v>122468.09999999897</v>
      </c>
      <c r="CR1007">
        <f>IF($CN1007="refOK",$BS1007,$BT1007)*IF($BP1007="Emissions positive",-1,1)</f>
        <v>117.28762799999998</v>
      </c>
      <c r="CS1007">
        <f>IF($CN1007="refOK",$BS1007,#REF!)*IF($BP1007="Emissions positive",-1,1)</f>
        <v>117.28762799999998</v>
      </c>
      <c r="CT1007">
        <f>IF($CN1007="refNeedCorrection",-BX1007,BX1007)*IF($BP1007="Emissions positive",-1,1)</f>
        <v>674372.00000001956</v>
      </c>
      <c r="CU1007">
        <f>IFERROR(CT1007/CQ1007,"")</f>
        <v>5.5065114915641313</v>
      </c>
      <c r="CV1007" s="2">
        <f>IFERROR((CS1007-CR1007)/ABS(CR1007),"")</f>
        <v>0</v>
      </c>
      <c r="CW1007" s="1" t="s">
        <v>1199</v>
      </c>
      <c r="CX1007" t="str">
        <f>IF(OR($CW1007="prd",$CW1007="std",$CW1007="cit"),"loc",IF(OR($CW1007="eur",$CW1007="reg",$CW1007="coy"),"reg",$CW1007))</f>
        <v>reg</v>
      </c>
      <c r="CY1007" t="s">
        <v>729</v>
      </c>
      <c r="CZ1007">
        <v>2007</v>
      </c>
      <c r="DA1007" s="143">
        <v>2100</v>
      </c>
      <c r="DB1007" s="143">
        <f>DA1007-CZ1007</f>
        <v>93</v>
      </c>
      <c r="DC1007" t="str">
        <f>IF(DB1007=0,"0",IF(AND(DB1007&gt;=1,DB1007&lt;=30),"1-30",IF(AND(DB1007&gt;30,DB1007&lt;=70),"31-70",IF(AND(DB1007&gt;70,DB1007&lt;=100),"71-100",IF(DB1007&gt;100,"+100")))))</f>
        <v>71-100</v>
      </c>
      <c r="DD1007">
        <v>0</v>
      </c>
      <c r="DE1007">
        <v>1</v>
      </c>
      <c r="DF1007">
        <v>0</v>
      </c>
      <c r="DG1007">
        <v>1</v>
      </c>
      <c r="DH1007">
        <v>1</v>
      </c>
      <c r="DI1007">
        <f>SUM(DD1007:DG1007)</f>
        <v>2</v>
      </c>
      <c r="DJ1007" t="str">
        <f>IF(DI1007=1,INDEX($DD$7:$DG$7,MATCH(1,$DD1007:$DG1007,0)),"mixedProduct")</f>
        <v>mixedProduct</v>
      </c>
      <c r="DK1007">
        <f>IF(DD1007=1,DK$7,0)</f>
        <v>0</v>
      </c>
      <c r="DL1007" t="str">
        <f>IF(DE1007=1,DL$7,0)</f>
        <v>Energy</v>
      </c>
      <c r="DM1007">
        <f>IF(DF1007=1,DM$7,0)</f>
        <v>0</v>
      </c>
      <c r="DN1007" t="str">
        <f>IF(DG1007=1,DN$7,0)</f>
        <v>Timber</v>
      </c>
      <c r="DO1007">
        <v>0</v>
      </c>
      <c r="DP1007" s="143">
        <v>0</v>
      </c>
      <c r="DQ1007" s="143">
        <v>0</v>
      </c>
      <c r="DR1007">
        <v>0</v>
      </c>
      <c r="DS1007" s="143">
        <v>0</v>
      </c>
      <c r="DT1007">
        <f>SUM(DO1007:DP1007)</f>
        <v>0</v>
      </c>
      <c r="DU1007" s="143" t="str">
        <f>IF(DO1007=1,"self-calculated DF",IF(DP1007=1,"external DF used","explicit C balance"))</f>
        <v>explicit C balance</v>
      </c>
      <c r="DV1007" s="143">
        <v>0</v>
      </c>
      <c r="DW1007" s="143">
        <v>0</v>
      </c>
      <c r="DX1007" s="143">
        <v>1</v>
      </c>
      <c r="DY1007" s="143">
        <v>1</v>
      </c>
      <c r="DZ1007">
        <v>0</v>
      </c>
      <c r="EA1007" s="143">
        <v>1</v>
      </c>
      <c r="EB1007" s="143">
        <v>1</v>
      </c>
      <c r="EC1007" s="143">
        <v>0</v>
      </c>
      <c r="ED1007" s="143">
        <v>0</v>
      </c>
      <c r="EE1007">
        <v>0</v>
      </c>
      <c r="EF1007">
        <v>1</v>
      </c>
      <c r="EG1007" s="143">
        <v>0</v>
      </c>
      <c r="EH1007">
        <v>0</v>
      </c>
      <c r="EI1007" s="2">
        <v>1</v>
      </c>
      <c r="EK1007" t="str">
        <f>IF(AND(AND(AND(OR($DX1007=1,$DW1007=1),OR($EC1007=1,$EA1007=1)),SUM($DV1007:$DZ1007,$EF1007)&gt;=4),SUM($EA1007:$EE1007)&gt;=2),"Whole sector","")</f>
        <v/>
      </c>
      <c r="EL1007" t="str">
        <f>IF(AND(AND(OR($DX1007=1,$DW1007=1),AND($EC1007=0,$EA1007=0)),SUM($DV1007:$DZ1007,$EF1007)&gt;=4),"Ecosystem approach","")</f>
        <v/>
      </c>
      <c r="EM1007" s="2" t="str">
        <f>IF(AND(AND(AND($DX1007=0,$DW1007=0),OR($EC1007=1,$EA1007=1)),SUM($EB1007:$EE1007)&gt;=2),"Technology approach","")</f>
        <v/>
      </c>
      <c r="EP1007" t="str">
        <f>IF(ISNUMBER(BT1007),IF(ABS(BT1007-[1]QC_indicators!$B$2)&gt;3*[1]QC_indicators!$C$2,"C ratio",IF(ISNUMBER(BY1007),IF(ABS(BY1007-[1]QC_indicators!$B$1)&gt;3*[1]QC_indicators!$C$1,"DF","no"))),IF(ISNUMBER(BY1007),IF(ABS(BY1007-[1]QC_indicators!$B$1)&gt;3*[1]QC_indicators!$C$1,"DF","no")))</f>
        <v>C ratio</v>
      </c>
      <c r="ET1007" s="264" t="s">
        <v>3167</v>
      </c>
    </row>
    <row r="1008" spans="1:150" ht="15" customHeight="1">
      <c r="A1008" s="1" t="s">
        <v>562</v>
      </c>
      <c r="B1008" t="s">
        <v>544</v>
      </c>
      <c r="C1008" t="s">
        <v>1593</v>
      </c>
      <c r="D1008" t="s">
        <v>1594</v>
      </c>
      <c r="E1008" t="s">
        <v>1595</v>
      </c>
      <c r="F1008" t="s">
        <v>1596</v>
      </c>
      <c r="G1008" t="s">
        <v>567</v>
      </c>
      <c r="H1008" t="s">
        <v>254</v>
      </c>
      <c r="I1008">
        <v>2019</v>
      </c>
      <c r="J1008">
        <v>15</v>
      </c>
      <c r="K1008" t="s">
        <v>1597</v>
      </c>
      <c r="M1008" t="str">
        <f>LEFT($D1008,FIND(",",$D1008)-1)&amp;"_"&amp;I1008&amp;L1008</f>
        <v>Geng_2019</v>
      </c>
      <c r="N1008" t="s">
        <v>222</v>
      </c>
      <c r="O1008" s="181" t="s">
        <v>225</v>
      </c>
      <c r="Q1008" s="264" t="s">
        <v>256</v>
      </c>
      <c r="R1008" s="269" t="s">
        <v>1154</v>
      </c>
      <c r="S1008" s="1" t="s">
        <v>1598</v>
      </c>
      <c r="T1008" t="s">
        <v>1619</v>
      </c>
      <c r="V1008">
        <v>0</v>
      </c>
      <c r="W1008">
        <v>0</v>
      </c>
      <c r="X1008">
        <v>0</v>
      </c>
      <c r="Y1008">
        <v>0</v>
      </c>
      <c r="Z1008">
        <v>0</v>
      </c>
      <c r="AA1008">
        <v>0</v>
      </c>
      <c r="AB1008">
        <v>0</v>
      </c>
      <c r="AC1008">
        <v>0</v>
      </c>
      <c r="AD1008">
        <v>0</v>
      </c>
      <c r="AE1008">
        <v>0</v>
      </c>
      <c r="AF1008">
        <v>0</v>
      </c>
      <c r="AG1008">
        <v>0</v>
      </c>
      <c r="AH1008">
        <v>0</v>
      </c>
      <c r="AI1008">
        <v>0</v>
      </c>
      <c r="AJ1008">
        <v>0</v>
      </c>
      <c r="AK1008">
        <v>1</v>
      </c>
      <c r="AL1008">
        <v>0</v>
      </c>
      <c r="AM1008">
        <v>0</v>
      </c>
      <c r="AN1008">
        <v>0</v>
      </c>
      <c r="AO1008">
        <v>0</v>
      </c>
      <c r="AP1008">
        <v>0</v>
      </c>
      <c r="AQ1008">
        <v>0</v>
      </c>
      <c r="AR1008">
        <v>0</v>
      </c>
      <c r="AS1008">
        <v>0</v>
      </c>
      <c r="AT1008">
        <v>0</v>
      </c>
      <c r="AU1008">
        <v>0</v>
      </c>
      <c r="AV1008">
        <v>0</v>
      </c>
      <c r="AW1008">
        <v>0</v>
      </c>
      <c r="AX1008" s="141">
        <f>COUNTIF(V1008:AW1008,"&lt;&gt;0")</f>
        <v>1</v>
      </c>
      <c r="AY1008" s="141">
        <f>COUNTIF(V1008:AL1008,"&lt;&gt;0")</f>
        <v>1</v>
      </c>
      <c r="AZ1008">
        <f>COUNTIF(V1008:AC1008,"&lt;&gt;0")</f>
        <v>0</v>
      </c>
      <c r="BA1008">
        <f>COUNTIF(AD1008:AI1008,"&lt;&gt;0")</f>
        <v>0</v>
      </c>
      <c r="BB1008">
        <f>COUNTIF(AJ1008:AL1008,"&lt;&gt;0")</f>
        <v>1</v>
      </c>
      <c r="BC1008">
        <f>COUNTIF(AS1008:AW1008,"&lt;&gt;0")</f>
        <v>0</v>
      </c>
      <c r="BD1008">
        <f>COUNTIF(AM1008:AR1008,"&lt;&gt;0")</f>
        <v>0</v>
      </c>
      <c r="BE1008" t="str" cm="1">
        <f t="array" ref="BE1008">IF(AY1008=1,INDEX($V$7:$AL$7,MATCH(TRUE,INDEX($V1008:$AW1008&lt;&gt;0,),0)),IF(AY1008=0,INDEX($AM$7:$AW$7,MATCH(1,$AM1008:$AW1008,0)),IF(BF1008="Multiple strategies","mixed drivers",IF(BF1008="Supply chain","multiple supply","multiple silviculture"))))</f>
        <v>technologies/design switch</v>
      </c>
      <c r="BF1008" s="2" t="str" cm="1">
        <f t="array" ref="BF1008">IF(COUNTIF(AZ1008:BB1008,"&lt;&gt;0")=1,INDEX($V$4:$AW$4,MATCH(TRUE,INDEX($V1008:$AW1008&lt;&gt;0,),0)),IF(COUNTIF(AZ1008:BB1008,"&lt;&gt;0")=0,INDEX($AM$4:$AW$4,MATCH(1,$AM1008:$AW1008,0)),"Multiple strategies"))</f>
        <v>Technology</v>
      </c>
      <c r="BG1008" s="1" t="s">
        <v>229</v>
      </c>
      <c r="BH1008" t="s">
        <v>1600</v>
      </c>
      <c r="BJ1008" t="s">
        <v>1601</v>
      </c>
      <c r="BK1008">
        <v>16.46</v>
      </c>
      <c r="BL1008">
        <v>74.150000000000006</v>
      </c>
      <c r="BM1008">
        <f>BL1008/BK1008</f>
        <v>4.5048602673147027</v>
      </c>
      <c r="BN1008">
        <f>BL1008-BK1008</f>
        <v>57.690000000000005</v>
      </c>
      <c r="BO1008">
        <f>BN1008*kg_to_m3</f>
        <v>0.11773469387755105</v>
      </c>
      <c r="BP1008" t="s">
        <v>232</v>
      </c>
      <c r="BR1008" t="s">
        <v>1602</v>
      </c>
      <c r="BU1008" s="144" t="str">
        <f>IFERROR(BT1008/BS1008,"")</f>
        <v/>
      </c>
      <c r="BV1008">
        <v>655.01</v>
      </c>
      <c r="BX1008">
        <f>BV1008/1000</f>
        <v>0.65500999999999998</v>
      </c>
      <c r="BY1008">
        <f>IFERROR(BX1008/BO1008,"")</f>
        <v>5.5634408042988373</v>
      </c>
      <c r="BZ1008">
        <v>0</v>
      </c>
      <c r="CA1008">
        <v>0</v>
      </c>
      <c r="CB1008">
        <v>0</v>
      </c>
      <c r="CC1008">
        <v>0</v>
      </c>
      <c r="CD1008">
        <v>0</v>
      </c>
      <c r="CE1008">
        <v>0</v>
      </c>
      <c r="CF1008">
        <v>0</v>
      </c>
      <c r="CG1008">
        <v>0</v>
      </c>
      <c r="CH1008">
        <v>0</v>
      </c>
      <c r="CI1008">
        <v>0</v>
      </c>
      <c r="CJ1008">
        <v>0</v>
      </c>
      <c r="CK1008">
        <v>0</v>
      </c>
      <c r="CL1008">
        <v>0</v>
      </c>
      <c r="CM1008">
        <v>0</v>
      </c>
      <c r="CN1008" t="str">
        <f>IF(BL1008&lt;BK1008,"refNeedCorrection","refOK")</f>
        <v>refOK</v>
      </c>
      <c r="CO1008">
        <f>IF($CN1008="refOK",$BK1008,$BL1008)</f>
        <v>16.46</v>
      </c>
      <c r="CP1008">
        <f>IF($CN1008="refOK",$BL1008,$BK1008)</f>
        <v>74.150000000000006</v>
      </c>
      <c r="CQ1008">
        <f>IF($CN1008="refOK",$BO1008,-$BO1008)</f>
        <v>0.11773469387755105</v>
      </c>
      <c r="CR1008">
        <f>IF($CN1008="refOK",$BS1008,$BT1008)*IF($BP1008="Emissions positive",-1,1)</f>
        <v>0</v>
      </c>
      <c r="CS1008">
        <f>IF($CN1008="refOK",$BT1008,$BS1008)*IF($BP1008="Emissions positive",-1,1)</f>
        <v>0</v>
      </c>
      <c r="CT1008">
        <f>IF($CN1008="refNeedCorrection",-BX1008,BX1008)*IF($BP1008="Emissions positive",-1,1)</f>
        <v>0.65500999999999998</v>
      </c>
      <c r="CU1008">
        <f>IFERROR(CT1008/CQ1008,"")</f>
        <v>5.5634408042988373</v>
      </c>
      <c r="CV1008" s="2" t="str">
        <f>IFERROR((CS1008-CR1008)/ABS(CR1008),"")</f>
        <v/>
      </c>
      <c r="CW1008" s="1" t="s">
        <v>1203</v>
      </c>
      <c r="CX1008" s="264" t="str">
        <f>IF(OR($CW1008="prd",$CW1008="std",$CW1008="cit"),"loc",IF(OR($CW1008="eur",$CW1008="reg",$CW1008="coy"),"reg",$CW1008))</f>
        <v>reg</v>
      </c>
      <c r="CY1008" t="s">
        <v>690</v>
      </c>
      <c r="CZ1008">
        <v>2019</v>
      </c>
      <c r="DB1008">
        <v>0</v>
      </c>
      <c r="DC1008" t="str">
        <f>IF(DB1008=0,"0",IF(AND(DB1008&gt;=1,DB1008&lt;=30),"1-30",IF(AND(DB1008&gt;30,DB1008&lt;=70),"31-70",IF(AND(DB1008&gt;70,DB1008&lt;=100),"71-100",IF(DB1008&gt;100,"+100")))))</f>
        <v>0</v>
      </c>
      <c r="DD1008">
        <v>0</v>
      </c>
      <c r="DE1008">
        <v>0</v>
      </c>
      <c r="DF1008">
        <v>0</v>
      </c>
      <c r="DG1008">
        <v>1</v>
      </c>
      <c r="DI1008">
        <f>SUM(DD1008:DG1008)</f>
        <v>1</v>
      </c>
      <c r="DJ1008" t="str">
        <f>IF(DI1008=1,INDEX($DD$7:$DG$7,MATCH(1,$DD1008:$DG1008,0)),"mixedProduct")</f>
        <v>TimberInput</v>
      </c>
      <c r="DK1008">
        <f>IF(DD1008=1,DK$7,0)</f>
        <v>0</v>
      </c>
      <c r="DL1008">
        <f>IF(DE1008=1,DL$7,0)</f>
        <v>0</v>
      </c>
      <c r="DM1008">
        <f>IF(DF1008=1,DM$7,0)</f>
        <v>0</v>
      </c>
      <c r="DN1008" t="str">
        <f>IF(DG1008=1,DN$7,0)</f>
        <v>Timber</v>
      </c>
      <c r="DO1008">
        <v>1</v>
      </c>
      <c r="DP1008">
        <v>0</v>
      </c>
      <c r="DQ1008">
        <v>0</v>
      </c>
      <c r="DR1008">
        <v>0</v>
      </c>
      <c r="DS1008">
        <v>0</v>
      </c>
      <c r="DT1008">
        <f>SUM(DO1008:DP1008)</f>
        <v>1</v>
      </c>
      <c r="DU1008" s="143" t="str">
        <f>IF(DO1008=1,"self-calculated DF",IF(DP1008=1,"external DF used","explicit C balance"))</f>
        <v>self-calculated DF</v>
      </c>
      <c r="DV1008">
        <v>0</v>
      </c>
      <c r="DW1008">
        <v>0</v>
      </c>
      <c r="DX1008">
        <v>0</v>
      </c>
      <c r="DY1008">
        <v>0</v>
      </c>
      <c r="DZ1008">
        <v>0</v>
      </c>
      <c r="EA1008" s="143">
        <v>1</v>
      </c>
      <c r="EB1008">
        <v>0</v>
      </c>
      <c r="EC1008">
        <v>1</v>
      </c>
      <c r="ED1008">
        <v>0</v>
      </c>
      <c r="EE1008">
        <v>0</v>
      </c>
      <c r="EF1008">
        <v>0</v>
      </c>
      <c r="EG1008">
        <v>0</v>
      </c>
      <c r="EH1008">
        <v>0</v>
      </c>
      <c r="EI1008" s="2">
        <v>0</v>
      </c>
      <c r="EK1008" t="str">
        <f>IF(AND(AND(AND(OR($DX1008=1,$DW1008=1),OR($EC1008=1,$EA1008=1)),SUM($DV1008:$DZ1008,$EF1008)&gt;=4),SUM($EA1008:$EE1008)&gt;=2),"Whole sector","")</f>
        <v/>
      </c>
      <c r="EL1008" t="str">
        <f>IF(AND(AND(OR($DX1008=1,$DW1008=1),AND($EC1008=0,$EA1008=0)),SUM($DV1008:$DZ1008,$EF1008)&gt;=4),"Ecosystem approach","")</f>
        <v/>
      </c>
      <c r="EM1008" s="2" t="str">
        <f>IF(AND(AND(AND($DX1008=0,$DW1008=0),OR($EC1008=1,$EA1008=1)),SUM($EB1008:$EE1008)&gt;=2),"Technology approach","")</f>
        <v/>
      </c>
      <c r="EN1008" t="s">
        <v>1603</v>
      </c>
      <c r="EP1008" t="str">
        <f>IF(ISNUMBER(BU1008),IF(ABS(BU1008-[3]QC_indicators!$B$2)&gt;3*[3]QC_indicators!$C$2,"C ratio",IF(ISNUMBER(BY1008),IF(ABS(BY1008-[3]QC_indicators!$B$1)&gt;3*[3]QC_indicators!$C$1,"DF","no"))),IF(ISNUMBER(BY1008),IF(ABS(BY1008-[3]QC_indicators!$B$1)&gt;3*[3]QC_indicators!$C$1,"DF","no")))</f>
        <v>no</v>
      </c>
      <c r="ER1008" t="s">
        <v>1604</v>
      </c>
      <c r="ET1008" s="264" t="s">
        <v>3407</v>
      </c>
    </row>
    <row r="1009" spans="1:150" ht="15" customHeight="1">
      <c r="A1009" s="1" t="s">
        <v>1270</v>
      </c>
      <c r="B1009" t="s">
        <v>1869</v>
      </c>
      <c r="C1009" t="s">
        <v>1870</v>
      </c>
      <c r="D1009" t="s">
        <v>1871</v>
      </c>
      <c r="E1009" t="s">
        <v>1872</v>
      </c>
      <c r="F1009" t="s">
        <v>1873</v>
      </c>
      <c r="G1009" t="s">
        <v>1276</v>
      </c>
      <c r="H1009" t="s">
        <v>254</v>
      </c>
      <c r="I1009">
        <v>2019</v>
      </c>
      <c r="J1009">
        <v>2</v>
      </c>
      <c r="K1009" t="s">
        <v>1874</v>
      </c>
      <c r="M1009" t="str">
        <f>LEFT($D1009,FIND(",",$D1009)-1)&amp;"_"&amp;I1009&amp;L1009</f>
        <v>Kucuker_2019</v>
      </c>
      <c r="N1009" t="s">
        <v>222</v>
      </c>
      <c r="O1009" s="145" t="s">
        <v>225</v>
      </c>
      <c r="Q1009" s="264" t="s">
        <v>256</v>
      </c>
      <c r="R1009" s="269" t="s">
        <v>1154</v>
      </c>
      <c r="S1009" s="1" t="s">
        <v>1875</v>
      </c>
      <c r="T1009" t="s">
        <v>1876</v>
      </c>
      <c r="U1009">
        <v>100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1</v>
      </c>
      <c r="AW1009">
        <v>0</v>
      </c>
      <c r="AX1009" s="141">
        <f>COUNTIF(V1009:AW1009,"&lt;&gt;0")</f>
        <v>1</v>
      </c>
      <c r="AY1009" s="141">
        <f>COUNTIF(V1009:AL1009,"&lt;&gt;0")</f>
        <v>0</v>
      </c>
      <c r="AZ1009">
        <f>COUNTIF(V1009:AC1009,"&lt;&gt;0")</f>
        <v>0</v>
      </c>
      <c r="BA1009">
        <f>COUNTIF(AD1009:AI1009,"&lt;&gt;0")</f>
        <v>0</v>
      </c>
      <c r="BB1009">
        <f>COUNTIF(AJ1009:AL1009,"&lt;&gt;0")</f>
        <v>0</v>
      </c>
      <c r="BC1009">
        <f>COUNTIF(AS1009:AW1009,"&lt;&gt;0")</f>
        <v>1</v>
      </c>
      <c r="BD1009">
        <f>COUNTIF(AM1009:AR1009,"&lt;&gt;0")</f>
        <v>0</v>
      </c>
      <c r="BE1009" t="str" cm="1">
        <f t="array" ref="BE1009">IF(AY1009=1,INDEX($V$7:$AL$7,MATCH(TRUE,INDEX($V1009:$AW1009&lt;&gt;0,),0)),IF(AY1009=0,INDEX($AM$7:$AW$7,MATCH(1,$AM1009:$AW1009,0)),IF(BF1009="Multiple strategies","mixed drivers",IF(BF1009="Supply chain","multiple supply","multiple silviculture"))))</f>
        <v>Exogenous C price</v>
      </c>
      <c r="BF1009" s="2" t="str" cm="1">
        <f t="array" ref="BF1009">IF(COUNTIF(AZ1009:BB1009,"&lt;&gt;0")=1,INDEX($V$4:$AW$4,MATCH(TRUE,INDEX($V1009:$AW1009&lt;&gt;0,),0)),IF(COUNTIF(AZ1009:BB1009,"&lt;&gt;0")=0,INDEX($AM$4:$AW$4,MATCH(1,$AM1009:$AW1009,0)),"Multiple strategies"))</f>
        <v>Demand</v>
      </c>
      <c r="BG1009" s="173" t="s">
        <v>321</v>
      </c>
      <c r="BH1009" t="s">
        <v>182</v>
      </c>
      <c r="BJ1009" t="s">
        <v>1770</v>
      </c>
      <c r="BK1009">
        <v>5347</v>
      </c>
      <c r="BL1009" s="143">
        <v>6397</v>
      </c>
      <c r="BM1009" s="163">
        <f>BL1009/BK1009</f>
        <v>1.1963717972694969</v>
      </c>
      <c r="BN1009">
        <f>BL1009-BK1009</f>
        <v>1050</v>
      </c>
      <c r="BO1009" s="143">
        <f>BN1009*10^3</f>
        <v>1050000</v>
      </c>
      <c r="BP1009" t="s">
        <v>232</v>
      </c>
      <c r="BR1009" t="s">
        <v>1877</v>
      </c>
      <c r="BS1009">
        <v>1418</v>
      </c>
      <c r="BT1009" s="143">
        <v>3066</v>
      </c>
      <c r="BU1009" s="144">
        <f>IFERROR(BT1009/BS1009,"")</f>
        <v>2.1622002820874471</v>
      </c>
      <c r="BV1009">
        <f>BT1009-BS1009</f>
        <v>1648</v>
      </c>
      <c r="BX1009">
        <f>BV1009*10^9/10^6*C_to_CO2</f>
        <v>6048160</v>
      </c>
      <c r="BY1009">
        <f>IFERROR(BX1009/BO1009,"")</f>
        <v>5.7601523809523814</v>
      </c>
      <c r="BZ1009">
        <v>0</v>
      </c>
      <c r="CA1009">
        <v>0</v>
      </c>
      <c r="CB1009">
        <v>0</v>
      </c>
      <c r="CC1009">
        <v>0</v>
      </c>
      <c r="CD1009">
        <v>0</v>
      </c>
      <c r="CE1009">
        <v>0</v>
      </c>
      <c r="CF1009">
        <v>0</v>
      </c>
      <c r="CG1009">
        <v>0</v>
      </c>
      <c r="CH1009">
        <v>0</v>
      </c>
      <c r="CI1009">
        <v>0</v>
      </c>
      <c r="CJ1009">
        <v>0</v>
      </c>
      <c r="CK1009">
        <v>0</v>
      </c>
      <c r="CL1009">
        <v>0</v>
      </c>
      <c r="CM1009">
        <v>0</v>
      </c>
      <c r="CN1009" t="str">
        <f>IF($BL1009&lt;$BK1009,"refNeedCorrection","refOK")</f>
        <v>refOK</v>
      </c>
      <c r="CO1009">
        <f>IF($CN1009="refNeedCorrection",BL1009,BK1009)</f>
        <v>5347</v>
      </c>
      <c r="CP1009">
        <f>IF($CN1009="refNeedCorrection",BK1009,BL1009)</f>
        <v>6397</v>
      </c>
      <c r="CQ1009">
        <f>IF($CN1009="refOK",$BO1009,-$BO1009)</f>
        <v>1050000</v>
      </c>
      <c r="CR1009">
        <f>IF($CN1009="refOK",$BS1009,$BT1009)*IF($BP1009="Emissions positive",-1,1)</f>
        <v>1418</v>
      </c>
      <c r="CS1009">
        <f>IF($CN1009="refOK",$BT1009,$BS1009)*IF($BP1009="Emissions positive",-1,1)</f>
        <v>3066</v>
      </c>
      <c r="CT1009">
        <f>IF($CN1009="refNeedCorrection",-BX1009,BX1009)*IF($BP1009="Emissions positive",-1,1)</f>
        <v>6048160</v>
      </c>
      <c r="CU1009">
        <f>IFERROR(CT1009/CQ1009,"")</f>
        <v>5.7601523809523814</v>
      </c>
      <c r="CV1009" s="2">
        <f>IFERROR((CS1009-CR1009)/ABS(CR1009),"")</f>
        <v>1.1622002820874471</v>
      </c>
      <c r="CW1009" s="1" t="s">
        <v>1203</v>
      </c>
      <c r="CX1009" s="264" t="str">
        <f>IF(OR($CW1009="prd",$CW1009="std",$CW1009="cit"),"loc",IF(OR($CW1009="eur",$CW1009="reg",$CW1009="coy"),"reg",$CW1009))</f>
        <v>reg</v>
      </c>
      <c r="CY1009" t="s">
        <v>1281</v>
      </c>
      <c r="DA1009" s="143"/>
      <c r="DB1009">
        <v>100</v>
      </c>
      <c r="DC1009" t="str">
        <f>IF(DB1009=0,"0",IF(AND(DB1009&gt;=1,DB1009&lt;=30),"1-30",IF(AND(DB1009&gt;30,DB1009&lt;=70),"31-70",IF(AND(DB1009&gt;70,DB1009&lt;=100),"71-100",IF(DB1009&gt;100,"+100")))))</f>
        <v>71-100</v>
      </c>
      <c r="DD1009">
        <v>0</v>
      </c>
      <c r="DE1009">
        <v>0</v>
      </c>
      <c r="DF1009">
        <v>0</v>
      </c>
      <c r="DG1009">
        <v>1</v>
      </c>
      <c r="DI1009">
        <f>SUM(DD1009:DG1009)</f>
        <v>1</v>
      </c>
      <c r="DJ1009" t="str">
        <f>IF(DI1009=1,INDEX($DD$7:$DG$7,MATCH(1,$DD1009:$DG1009,0)),"mixedProduct")</f>
        <v>TimberInput</v>
      </c>
      <c r="DK1009">
        <f>IF(DD1009=1,DK$7,0)</f>
        <v>0</v>
      </c>
      <c r="DL1009">
        <f>IF(DE1009=1,DL$7,0)</f>
        <v>0</v>
      </c>
      <c r="DM1009">
        <f>IF(DF1009=1,DM$7,0)</f>
        <v>0</v>
      </c>
      <c r="DN1009" t="str">
        <f>IF(DG1009=1,DN$7,0)</f>
        <v>Timber</v>
      </c>
      <c r="DO1009">
        <v>0</v>
      </c>
      <c r="DP1009" s="143">
        <v>0</v>
      </c>
      <c r="DQ1009" s="143">
        <v>0</v>
      </c>
      <c r="DR1009">
        <v>0</v>
      </c>
      <c r="DS1009" s="143">
        <v>0</v>
      </c>
      <c r="DT1009">
        <f>SUM(DO1009:DP1009)</f>
        <v>0</v>
      </c>
      <c r="DU1009" s="143" t="str">
        <f>IF(DO1009=1,"self-calculated DF",IF(DP1009=1,"external DF used","explicit C balance"))</f>
        <v>explicit C balance</v>
      </c>
      <c r="DV1009" s="143">
        <v>0</v>
      </c>
      <c r="DW1009" s="143">
        <v>0</v>
      </c>
      <c r="DX1009" s="143">
        <v>1</v>
      </c>
      <c r="DY1009" s="143">
        <v>0</v>
      </c>
      <c r="DZ1009">
        <v>0</v>
      </c>
      <c r="EA1009" s="143">
        <v>0</v>
      </c>
      <c r="EB1009" s="143">
        <v>0</v>
      </c>
      <c r="EC1009" s="143">
        <v>0</v>
      </c>
      <c r="ED1009" s="143">
        <v>0</v>
      </c>
      <c r="EE1009">
        <v>0</v>
      </c>
      <c r="EF1009">
        <v>0</v>
      </c>
      <c r="EG1009" s="143">
        <v>0</v>
      </c>
      <c r="EH1009">
        <v>0</v>
      </c>
      <c r="EI1009" s="2">
        <v>0</v>
      </c>
      <c r="EK1009" t="str">
        <f>IF(AND(AND(AND(OR($DX1009=1,$DW1009=1),OR($EC1009=1,$EA1009=1)),SUM($DV1009:$DZ1009,$EF1009)&gt;=4),SUM($EA1009:$EE1009)&gt;=2),"Whole sector","")</f>
        <v/>
      </c>
      <c r="EL1009" t="str">
        <f>IF(AND(AND(OR($DX1009=1,$DW1009=1),AND($EC1009=0,$EA1009=0)),SUM($DV1009:$DZ1009,$EF1009)&gt;=4),"Ecosystem approach","")</f>
        <v/>
      </c>
      <c r="EM1009" s="2" t="str">
        <f>IF(AND(AND(AND($DX1009=0,$DW1009=0),OR($EC1009=1,$EA1009=1)),SUM($EB1009:$EE1009)&gt;=2),"Technology approach","")</f>
        <v/>
      </c>
      <c r="EP1009" t="str">
        <f>IF(ISNUMBER(BU1009),IF(ABS(BU1009-[3]QC_indicators!$B$2)&gt;3*[3]QC_indicators!$C$2,"C ratio",IF(ISNUMBER(BY1009),IF(ABS(BY1009-[3]QC_indicators!$B$1)&gt;3*[3]QC_indicators!$C$1,"DF","no"))),IF(ISNUMBER(BY1009),IF(ABS(BY1009-[3]QC_indicators!$B$1)&gt;3*[3]QC_indicators!$C$1,"DF","no")))</f>
        <v>DF</v>
      </c>
      <c r="EQ1009" t="s">
        <v>1878</v>
      </c>
      <c r="ET1009" s="264" t="s">
        <v>3407</v>
      </c>
    </row>
    <row r="1010" spans="1:150" ht="15" customHeight="1">
      <c r="A1010" s="1" t="s">
        <v>1286</v>
      </c>
      <c r="B1010" t="s">
        <v>1780</v>
      </c>
      <c r="C1010" t="s">
        <v>1781</v>
      </c>
      <c r="D1010" t="s">
        <v>1782</v>
      </c>
      <c r="E1010" t="s">
        <v>1783</v>
      </c>
      <c r="F1010" t="s">
        <v>1784</v>
      </c>
      <c r="G1010" t="s">
        <v>1292</v>
      </c>
      <c r="H1010" t="s">
        <v>254</v>
      </c>
      <c r="I1010">
        <v>2018</v>
      </c>
      <c r="J1010">
        <v>10</v>
      </c>
      <c r="K1010" t="s">
        <v>1785</v>
      </c>
      <c r="M1010" t="str">
        <f>LEFT($D1010,FIND(",",$D1010)-1)&amp;"_"&amp;I1010&amp;L1010</f>
        <v>Kalt_2018</v>
      </c>
      <c r="N1010" t="s">
        <v>222</v>
      </c>
      <c r="O1010" s="145" t="s">
        <v>513</v>
      </c>
      <c r="Q1010" t="s">
        <v>256</v>
      </c>
      <c r="R1010" s="283" t="s">
        <v>225</v>
      </c>
      <c r="S1010" s="1" t="s">
        <v>1786</v>
      </c>
      <c r="T1010" t="s">
        <v>1787</v>
      </c>
      <c r="U1010" t="s">
        <v>1790</v>
      </c>
      <c r="V1010">
        <v>0</v>
      </c>
      <c r="W1010">
        <v>0</v>
      </c>
      <c r="X1010">
        <v>0</v>
      </c>
      <c r="Y1010">
        <v>0</v>
      </c>
      <c r="Z1010">
        <v>0</v>
      </c>
      <c r="AA1010">
        <v>0</v>
      </c>
      <c r="AB1010">
        <v>0</v>
      </c>
      <c r="AC1010">
        <v>0</v>
      </c>
      <c r="AD1010">
        <v>0</v>
      </c>
      <c r="AE1010">
        <v>0</v>
      </c>
      <c r="AF1010">
        <v>0</v>
      </c>
      <c r="AG1010">
        <v>0</v>
      </c>
      <c r="AH1010">
        <v>0</v>
      </c>
      <c r="AI1010">
        <v>0</v>
      </c>
      <c r="AJ1010">
        <v>0</v>
      </c>
      <c r="AK1010">
        <v>1</v>
      </c>
      <c r="AL1010">
        <v>0</v>
      </c>
      <c r="AM1010">
        <v>0</v>
      </c>
      <c r="AN1010">
        <v>0</v>
      </c>
      <c r="AO1010">
        <v>0</v>
      </c>
      <c r="AP1010">
        <v>0</v>
      </c>
      <c r="AQ1010">
        <v>0</v>
      </c>
      <c r="AR1010">
        <v>0</v>
      </c>
      <c r="AS1010">
        <v>0</v>
      </c>
      <c r="AT1010">
        <v>0</v>
      </c>
      <c r="AU1010">
        <v>0</v>
      </c>
      <c r="AV1010">
        <v>0</v>
      </c>
      <c r="AW1010">
        <v>0</v>
      </c>
      <c r="AX1010" s="141">
        <f>COUNTIF(V1010:AW1010,"&lt;&gt;0")</f>
        <v>1</v>
      </c>
      <c r="AY1010" s="141">
        <f>COUNTIF(V1010:AL1010,"&lt;&gt;0")</f>
        <v>1</v>
      </c>
      <c r="AZ1010">
        <f>COUNTIF(V1010:AC1010,"&lt;&gt;0")</f>
        <v>0</v>
      </c>
      <c r="BA1010">
        <f>COUNTIF(AD1010:AI1010,"&lt;&gt;0")</f>
        <v>0</v>
      </c>
      <c r="BB1010">
        <f>COUNTIF(AJ1010:AL1010,"&lt;&gt;0")</f>
        <v>1</v>
      </c>
      <c r="BC1010">
        <f>COUNTIF(AS1010:AW1010,"&lt;&gt;0")</f>
        <v>0</v>
      </c>
      <c r="BD1010">
        <f>COUNTIF(AM1010:AR1010,"&lt;&gt;0")</f>
        <v>0</v>
      </c>
      <c r="BE1010" t="str">
        <f t="array" ref="BE1010">IF(AY1010=1,INDEX($V$7:$AL$7,MATCH(TRUE,INDEX($V1010:$AW1010&lt;&gt;0,),0)),IF(AY1010=0,INDEX($AM$7:$AW$7,MATCH(1,$AM1010:$AW1010,0)),IF(BF1010="Multiple strategies","mixed drivers",IF(BF1010="Supply chain","multiple supply","multiple silviculture"))))</f>
        <v>technologies/design switch</v>
      </c>
      <c r="BF1010" s="2" t="str" cm="1">
        <f t="array" ref="BF1010">IF(COUNTIF(AZ1010:BB1010,"&lt;&gt;0")=1,INDEX($V$4:$AW$4,MATCH(TRUE,INDEX($V1010:$AW1010&lt;&gt;0,),0)),IF(COUNTIF(AZ1010:BB1010,"&lt;&gt;0")=0,INDEX($AM$4:$AW$4,MATCH(1,$AM1010:$AW1010,0)),"Multiple strategies"))</f>
        <v>Technology</v>
      </c>
      <c r="BG1010" s="1" t="s">
        <v>229</v>
      </c>
      <c r="BH1010" t="s">
        <v>229</v>
      </c>
      <c r="BI1010" s="151" t="s">
        <v>3082</v>
      </c>
      <c r="BJ1010" t="s">
        <v>1698</v>
      </c>
      <c r="BK1010">
        <f>BL1010-1811</f>
        <v>528334</v>
      </c>
      <c r="BL1010">
        <v>530145</v>
      </c>
      <c r="BM1010">
        <f>BL1010/BK1010</f>
        <v>1.0034277559271219</v>
      </c>
      <c r="BN1010">
        <f>BL1010-BK1010</f>
        <v>1811</v>
      </c>
      <c r="BO1010">
        <f>BN1010*1000</f>
        <v>1811000</v>
      </c>
      <c r="BP1010" t="s">
        <v>232</v>
      </c>
      <c r="BQ1010" t="s">
        <v>3083</v>
      </c>
      <c r="BR1010" t="s">
        <v>1300</v>
      </c>
      <c r="BS1010">
        <v>0</v>
      </c>
      <c r="BT1010">
        <v>10.55</v>
      </c>
      <c r="BU1010" s="144" t="str">
        <f>IFERROR(BT1010/BS1010,"")</f>
        <v/>
      </c>
      <c r="BV1010">
        <f>BT1010-BS1010</f>
        <v>10.55</v>
      </c>
      <c r="BX1010">
        <f>BV1010*10^6</f>
        <v>10550000</v>
      </c>
      <c r="BY1010">
        <f>IFERROR(BX1010/BO1010,"")</f>
        <v>5.8255107675317506</v>
      </c>
      <c r="BZ1010">
        <v>0</v>
      </c>
      <c r="CA1010">
        <v>0</v>
      </c>
      <c r="CB1010">
        <v>0</v>
      </c>
      <c r="CC1010">
        <v>0</v>
      </c>
      <c r="CD1010">
        <v>0</v>
      </c>
      <c r="CE1010">
        <v>0</v>
      </c>
      <c r="CF1010">
        <v>0</v>
      </c>
      <c r="CG1010">
        <v>0</v>
      </c>
      <c r="CH1010">
        <v>0</v>
      </c>
      <c r="CI1010">
        <v>0</v>
      </c>
      <c r="CJ1010">
        <v>0</v>
      </c>
      <c r="CK1010">
        <v>0</v>
      </c>
      <c r="CL1010">
        <v>0</v>
      </c>
      <c r="CM1010">
        <v>0</v>
      </c>
      <c r="CN1010" t="str">
        <f>IF(BL1010&lt;BK1010,"refNeedCorrection","refOK")</f>
        <v>refOK</v>
      </c>
      <c r="CO1010">
        <f>IF($CN1010="refOK",$BK1010,$BL1010)</f>
        <v>528334</v>
      </c>
      <c r="CP1010">
        <f>IF($CN1010="refOK",$BL1010,$BK1010)</f>
        <v>530145</v>
      </c>
      <c r="CQ1010">
        <f>IF($CN1010="refOK",$BO1010,-$BO1010)</f>
        <v>1811000</v>
      </c>
      <c r="CR1010">
        <f>IF($CN1010="refOK",$BS1010,$BT1010)*IF($BP1010="Emissions positive",-1,1)</f>
        <v>0</v>
      </c>
      <c r="CS1010">
        <f>IF($CN1010="refOK",$BT1010,$BS1010)*IF($BP1010="Emissions positive",-1,1)</f>
        <v>10.55</v>
      </c>
      <c r="CT1010">
        <f>IF($CN1010="refNeedCorrection",-BX1010,BX1010)*IF($BP1010="Emissions positive",-1,1)</f>
        <v>10550000</v>
      </c>
      <c r="CU1010">
        <f>IFERROR(CT1010/CQ1010,"")</f>
        <v>5.8255107675317506</v>
      </c>
      <c r="CV1010" s="2" t="str">
        <f>IFERROR((CS1010-CR1010)/ABS(CR1010),"")</f>
        <v/>
      </c>
      <c r="CW1010" s="1" t="s">
        <v>1203</v>
      </c>
      <c r="CX1010" t="str">
        <f>IF(OR($CW1010="prd",$CW1010="std",$CW1010="cit"),"loc",IF(OR($CW1010="eur",$CW1010="reg",$CW1010="coy"),"reg",$CW1010))</f>
        <v>reg</v>
      </c>
      <c r="CY1010" t="s">
        <v>666</v>
      </c>
      <c r="CZ1010">
        <v>2015</v>
      </c>
      <c r="DA1010">
        <v>2050</v>
      </c>
      <c r="DB1010">
        <v>35</v>
      </c>
      <c r="DC1010" t="str">
        <f>IF(DB1010=0,"0",IF(AND(DB1010&gt;=1,DB1010&lt;=30),"1-30",IF(AND(DB1010&gt;30,DB1010&lt;=70),"31-70",IF(AND(DB1010&gt;70,DB1010&lt;=100),"71-100",IF(DB1010&gt;100,"+100")))))</f>
        <v>31-70</v>
      </c>
      <c r="DD1010">
        <v>0</v>
      </c>
      <c r="DE1010">
        <v>0</v>
      </c>
      <c r="DF1010">
        <v>0</v>
      </c>
      <c r="DG1010">
        <v>1</v>
      </c>
      <c r="DH1010">
        <v>0</v>
      </c>
      <c r="DI1010">
        <f>SUM(DD1010:DG1010)</f>
        <v>1</v>
      </c>
      <c r="DJ1010" t="str">
        <f>IF(DI1010=1,INDEX($DD$7:$DG$7,MATCH(1,$DD1010:$DG1010,0)),"mixedProduct")</f>
        <v>TimberInput</v>
      </c>
      <c r="DK1010">
        <f>IF(DD1010=1,DK$7,0)</f>
        <v>0</v>
      </c>
      <c r="DL1010">
        <f>IF(DE1010=1,DL$7,0)</f>
        <v>0</v>
      </c>
      <c r="DM1010">
        <f>IF(DF1010=1,DM$7,0)</f>
        <v>0</v>
      </c>
      <c r="DN1010" t="str">
        <f>IF(DG1010=1,DN$7,0)</f>
        <v>Timber</v>
      </c>
      <c r="DO1010">
        <v>0</v>
      </c>
      <c r="DP1010">
        <v>1</v>
      </c>
      <c r="DQ1010">
        <v>0</v>
      </c>
      <c r="DR1010" t="s">
        <v>1789</v>
      </c>
      <c r="DS1010">
        <v>0</v>
      </c>
      <c r="DT1010">
        <f>SUM(DO1010:DP1010)</f>
        <v>1</v>
      </c>
      <c r="DU1010" s="143" t="str">
        <f>IF(DO1010=1,"self-calculated DF",IF(DP1010=1,"external DF used","explicit C balance"))</f>
        <v>external DF used</v>
      </c>
      <c r="DV1010">
        <v>0</v>
      </c>
      <c r="DW1010">
        <v>0</v>
      </c>
      <c r="DX1010">
        <v>0</v>
      </c>
      <c r="DY1010">
        <v>1</v>
      </c>
      <c r="DZ1010">
        <v>0</v>
      </c>
      <c r="EA1010" s="143">
        <v>1</v>
      </c>
      <c r="EB1010">
        <v>0</v>
      </c>
      <c r="EC1010">
        <v>1</v>
      </c>
      <c r="ED1010">
        <v>0</v>
      </c>
      <c r="EE1010">
        <v>0</v>
      </c>
      <c r="EF1010">
        <v>0</v>
      </c>
      <c r="EG1010">
        <v>0</v>
      </c>
      <c r="EH1010">
        <v>0</v>
      </c>
      <c r="EI1010" s="2">
        <v>0</v>
      </c>
      <c r="EK1010" t="str">
        <f>IF(AND(AND(AND(OR($DX1010=1,$DW1010=1),OR($EC1010=1,$EA1010=1)),SUM($DV1010:$DZ1010,$EF1010)&gt;=4),SUM($EA1010:$EE1010)&gt;=2),"Whole sector","")</f>
        <v/>
      </c>
      <c r="EL1010" t="str">
        <f>IF(AND(AND(OR($DX1010=1,$DW1010=1),AND($EC1010=0,$EA1010=0)),SUM($DV1010:$DZ1010,$EF1010)&gt;=4),"Ecosystem approach","")</f>
        <v/>
      </c>
      <c r="EM1010" s="2" t="str">
        <f>IF(AND(AND(AND($DX1010=0,$DW1010=0),OR($EC1010=1,$EA1010=1)),SUM($EB1010:$EE1010)&gt;=2),"Technology approach","")</f>
        <v/>
      </c>
      <c r="EP1010" t="str">
        <f>IF(ISNUMBER(BU1010),IF(ABS(BU1010-[4]QC_indicators!$B$2)&gt;3*[4]QC_indicators!$C$2,"C ratio",IF(ISNUMBER(BY1010),IF(ABS(BY1010-[4]QC_indicators!$B$1)&gt;3*[4]QC_indicators!$C$1,"DF","no"))),IF(ISNUMBER(BY1010),IF(ABS(BY1010-[4]QC_indicators!$B$1)&gt;3*[4]QC_indicators!$C$1,"DF","no")))</f>
        <v>DF</v>
      </c>
      <c r="ET1010" s="264" t="s">
        <v>3273</v>
      </c>
    </row>
    <row r="1011" spans="1:150" ht="15" customHeight="1">
      <c r="A1011" s="1" t="s">
        <v>1378</v>
      </c>
      <c r="B1011" t="s">
        <v>1922</v>
      </c>
      <c r="C1011" t="s">
        <v>1923</v>
      </c>
      <c r="D1011" t="s">
        <v>1924</v>
      </c>
      <c r="E1011" t="s">
        <v>1925</v>
      </c>
      <c r="F1011" t="s">
        <v>1926</v>
      </c>
      <c r="G1011" t="s">
        <v>1384</v>
      </c>
      <c r="H1011" t="s">
        <v>254</v>
      </c>
      <c r="I1011">
        <v>2016</v>
      </c>
      <c r="J1011">
        <v>12</v>
      </c>
      <c r="K1011" t="s">
        <v>1927</v>
      </c>
      <c r="M1011" t="str">
        <f>LEFT($D1011,FIND(",",$D1011)-1)&amp;"_"&amp;I1011&amp;L1011</f>
        <v>Lobianco_2016</v>
      </c>
      <c r="N1011" t="s">
        <v>222</v>
      </c>
      <c r="O1011" s="145" t="s">
        <v>225</v>
      </c>
      <c r="P1011" t="s">
        <v>513</v>
      </c>
      <c r="Q1011" t="s">
        <v>256</v>
      </c>
      <c r="R1011" s="262" t="s">
        <v>223</v>
      </c>
      <c r="S1011" s="1" t="s">
        <v>1932</v>
      </c>
      <c r="T1011" s="143" t="s">
        <v>3170</v>
      </c>
      <c r="U1011" s="143" t="s">
        <v>1155</v>
      </c>
      <c r="V1011">
        <v>0</v>
      </c>
      <c r="W1011">
        <v>0</v>
      </c>
      <c r="X1011">
        <v>1</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1</v>
      </c>
      <c r="AV1011">
        <v>0</v>
      </c>
      <c r="AW1011">
        <v>0</v>
      </c>
      <c r="AX1011" s="141">
        <f>COUNTIF(V1011:AW1011,"&lt;&gt;0")</f>
        <v>2</v>
      </c>
      <c r="AY1011" s="141">
        <f>COUNTIF(V1011:AL1011,"&lt;&gt;0")</f>
        <v>1</v>
      </c>
      <c r="AZ1011">
        <f>COUNTIF(V1011:AC1011,"&lt;&gt;0")</f>
        <v>1</v>
      </c>
      <c r="BA1011">
        <f>COUNTIF(AD1011:AI1011,"&lt;&gt;0")</f>
        <v>0</v>
      </c>
      <c r="BB1011">
        <f>COUNTIF(AJ1011:AL1011,"&lt;&gt;0")</f>
        <v>0</v>
      </c>
      <c r="BC1011">
        <f>COUNTIF(AS1011:AW1011,"&lt;&gt;0")</f>
        <v>1</v>
      </c>
      <c r="BD1011">
        <f>COUNTIF(AM1011:AR1011,"&lt;&gt;0")</f>
        <v>0</v>
      </c>
      <c r="BE1011" t="str">
        <f t="array" ref="BE1011">IF(AY1011=1,INDEX($V$7:$AL$7,MATCH(TRUE,INDEX($V1011:$AW1011&lt;&gt;0,),0)),IF(AY1011=0,INDEX($AM$7:$AW$7,MATCH(1,$AM1011:$AW1011,0)),IF(BF1011="Multiple strategies","mixed drivers",IF(BF1011="Supply chain","multiple supply","multiple silviculture"))))</f>
        <v>rotation length</v>
      </c>
      <c r="BF1011" s="2" t="str" cm="1">
        <f t="array" ref="BF1011">IF(COUNTIF(AZ1011:BB1011,"&lt;&gt;0")=1,INDEX($V$4:$AW$4,MATCH(TRUE,INDEX($V1011:$AW1011&lt;&gt;0,),0)),IF(COUNTIF(AZ1011:BB1011,"&lt;&gt;0")=0,INDEX($AM$4:$AW$4,MATCH(1,$AM1011:$AW1011,0)),"Multiple strategies"))</f>
        <v>Silviculture for removals</v>
      </c>
      <c r="BG1011" s="142" t="s">
        <v>321</v>
      </c>
      <c r="BH1011" s="265" t="s">
        <v>3163</v>
      </c>
      <c r="BI1011" s="264" t="s">
        <v>3164</v>
      </c>
      <c r="BJ1011" s="143" t="s">
        <v>3165</v>
      </c>
      <c r="BK1011">
        <f>53.247*(1-0.06/100)</f>
        <v>53.215051799999998</v>
      </c>
      <c r="BL1011">
        <f>53.247</f>
        <v>53.247</v>
      </c>
      <c r="BN1011">
        <f>BL1011-BK1011</f>
        <v>3.1948200000002203E-2</v>
      </c>
      <c r="BO1011" s="143">
        <f>BN1011*10^6</f>
        <v>31948.200000002202</v>
      </c>
      <c r="BP1011" t="s">
        <v>232</v>
      </c>
      <c r="BQ1011" s="264" t="s">
        <v>3166</v>
      </c>
      <c r="BR1011" s="143" t="s">
        <v>1929</v>
      </c>
      <c r="BS1011">
        <v>89.281115099999994</v>
      </c>
      <c r="BT1011">
        <v>89.468999999999994</v>
      </c>
      <c r="BU1011" s="144">
        <f>IFERROR(BT1011/BS1011,"")</f>
        <v>1.0021044192804891</v>
      </c>
      <c r="BV1011">
        <f>BT1011-BS1011</f>
        <v>0.18788490000000024</v>
      </c>
      <c r="BX1011">
        <f>BV1011*10^6</f>
        <v>187884.90000000026</v>
      </c>
      <c r="BY1011">
        <f>IFERROR(BX1011/BO1011,"")</f>
        <v>5.8809228688936246</v>
      </c>
      <c r="BZ1011">
        <v>0</v>
      </c>
      <c r="CA1011">
        <v>0</v>
      </c>
      <c r="CB1011">
        <v>0</v>
      </c>
      <c r="CC1011">
        <v>0</v>
      </c>
      <c r="CD1011">
        <v>0</v>
      </c>
      <c r="CE1011">
        <v>0</v>
      </c>
      <c r="CF1011">
        <v>0</v>
      </c>
      <c r="CG1011">
        <v>0</v>
      </c>
      <c r="CH1011">
        <v>0</v>
      </c>
      <c r="CI1011">
        <v>0</v>
      </c>
      <c r="CJ1011">
        <v>0</v>
      </c>
      <c r="CK1011">
        <v>0</v>
      </c>
      <c r="CL1011">
        <v>0</v>
      </c>
      <c r="CM1011">
        <v>0</v>
      </c>
      <c r="CN1011" t="str">
        <f>IF($BL1011&lt;$BK1011,"refNeedCorrection","refOK")</f>
        <v>refOK</v>
      </c>
      <c r="CO1011">
        <f>IF($CN1011="refOK",$BK1011,$BL1011)</f>
        <v>53.215051799999998</v>
      </c>
      <c r="CP1011">
        <f>IF($CN1011="refOK",$BL1011,$BK1011)</f>
        <v>53.247</v>
      </c>
      <c r="CQ1011">
        <f>IF($CN1011="refOK",$BO1011,-$BO1011)</f>
        <v>31948.200000002202</v>
      </c>
      <c r="CR1011">
        <f>IF($CN1011="refOK",$BS1011,$BT1011)*IF($BP1011="Emissions positive",-1,1)</f>
        <v>89.281115099999994</v>
      </c>
      <c r="CS1011">
        <f>IF($CN1011="refOK",$BT1011,$BS1011)*IF($BP1011="Emissions positive",-1,1)</f>
        <v>89.468999999999994</v>
      </c>
      <c r="CT1011">
        <f>IF($CN1011="refNeedCorrection",-BX1011,BX1011)*IF($BP1011="Emissions positive",-1,1)</f>
        <v>187884.90000000026</v>
      </c>
      <c r="CU1011">
        <f>IFERROR(CT1011/CQ1011,"")</f>
        <v>5.8809228688936246</v>
      </c>
      <c r="CV1011" s="2">
        <f>IFERROR((CS1011-CR1011)/ABS(CR1011),"")</f>
        <v>2.1044192804890297E-3</v>
      </c>
      <c r="CW1011" s="1" t="s">
        <v>1199</v>
      </c>
      <c r="CX1011" t="str">
        <f>IF(OR($CW1011="prd",$CW1011="std",$CW1011="cit"),"loc",IF(OR($CW1011="eur",$CW1011="reg",$CW1011="coy"),"reg",$CW1011))</f>
        <v>reg</v>
      </c>
      <c r="CY1011" t="s">
        <v>729</v>
      </c>
      <c r="CZ1011">
        <v>2007</v>
      </c>
      <c r="DA1011" s="143">
        <v>2100</v>
      </c>
      <c r="DB1011" s="143">
        <f>DA1011-CZ1011</f>
        <v>93</v>
      </c>
      <c r="DC1011" t="str">
        <f>IF(DB1011=0,"0",IF(AND(DB1011&gt;=1,DB1011&lt;=30),"1-30",IF(AND(DB1011&gt;30,DB1011&lt;=70),"31-70",IF(AND(DB1011&gt;70,DB1011&lt;=100),"71-100",IF(DB1011&gt;100,"+100")))))</f>
        <v>71-100</v>
      </c>
      <c r="DD1011">
        <v>0</v>
      </c>
      <c r="DE1011">
        <v>1</v>
      </c>
      <c r="DF1011">
        <v>0</v>
      </c>
      <c r="DG1011">
        <v>1</v>
      </c>
      <c r="DH1011">
        <v>1</v>
      </c>
      <c r="DI1011">
        <f>SUM(DD1011:DG1011)</f>
        <v>2</v>
      </c>
      <c r="DJ1011" t="str">
        <f>IF(DI1011=1,INDEX($DD$7:$DG$7,MATCH(1,$DD1011:$DG1011,0)),"mixedProduct")</f>
        <v>mixedProduct</v>
      </c>
      <c r="DK1011">
        <f>IF(DD1011=1,DK$7,0)</f>
        <v>0</v>
      </c>
      <c r="DL1011" t="str">
        <f>IF(DE1011=1,DL$7,0)</f>
        <v>Energy</v>
      </c>
      <c r="DM1011">
        <f>IF(DF1011=1,DM$7,0)</f>
        <v>0</v>
      </c>
      <c r="DN1011" t="str">
        <f>IF(DG1011=1,DN$7,0)</f>
        <v>Timber</v>
      </c>
      <c r="DO1011">
        <v>0</v>
      </c>
      <c r="DP1011" s="143">
        <v>0</v>
      </c>
      <c r="DQ1011" s="143">
        <v>0</v>
      </c>
      <c r="DR1011">
        <v>0</v>
      </c>
      <c r="DS1011" s="143">
        <v>0</v>
      </c>
      <c r="DT1011">
        <f>SUM(DO1011:DP1011)</f>
        <v>0</v>
      </c>
      <c r="DU1011" s="143" t="str">
        <f>IF(DO1011=1,"self-calculated DF",IF(DP1011=1,"external DF used","explicit C balance"))</f>
        <v>explicit C balance</v>
      </c>
      <c r="DV1011" s="143">
        <v>0</v>
      </c>
      <c r="DW1011" s="143">
        <v>0</v>
      </c>
      <c r="DX1011" s="143">
        <v>1</v>
      </c>
      <c r="DY1011" s="143">
        <v>1</v>
      </c>
      <c r="DZ1011">
        <v>0</v>
      </c>
      <c r="EA1011" s="143">
        <v>0</v>
      </c>
      <c r="EB1011" s="143">
        <v>0</v>
      </c>
      <c r="EC1011" s="143">
        <v>0</v>
      </c>
      <c r="ED1011" s="143">
        <v>0</v>
      </c>
      <c r="EE1011">
        <v>0</v>
      </c>
      <c r="EF1011">
        <v>1</v>
      </c>
      <c r="EG1011" s="143">
        <v>0</v>
      </c>
      <c r="EH1011">
        <v>0</v>
      </c>
      <c r="EI1011" s="2">
        <v>1</v>
      </c>
      <c r="EK1011" t="str">
        <f>IF(AND(AND(AND(OR($DX1011=1,$DW1011=1),OR($EC1011=1,$EA1011=1)),SUM($DV1011:$DZ1011,$EF1011)&gt;=4),SUM($EA1011:$EE1011)&gt;=2),"Whole sector","")</f>
        <v/>
      </c>
      <c r="EL1011" t="str">
        <f>IF(AND(AND(OR($DX1011=1,$DW1011=1),AND($EC1011=0,$EA1011=0)),SUM($DV1011:$DZ1011,$EF1011)&gt;=4),"Ecosystem approach","")</f>
        <v/>
      </c>
      <c r="EM1011" s="2" t="str">
        <f>IF(AND(AND(AND($DX1011=0,$DW1011=0),OR($EC1011=1,$EA1011=1)),SUM($EB1011:$EE1011)&gt;=2),"Technology approach","")</f>
        <v/>
      </c>
      <c r="EP1011" t="str">
        <f>IF(ISNUMBER(BU1011),IF(ABS(BU1011-[1]QC_indicators!$B$2)&gt;3*[1]QC_indicators!$C$2,"C ratio",IF(ISNUMBER(BY1011),IF(ABS(BY1011-[1]QC_indicators!$B$1)&gt;3*[1]QC_indicators!$C$1,"DF","no"))),IF(ISNUMBER(BY1011),IF(ABS(BY1011-[1]QC_indicators!$B$1)&gt;3*[1]QC_indicators!$C$1,"DF","no")))</f>
        <v>no</v>
      </c>
      <c r="ET1011" s="264" t="s">
        <v>3167</v>
      </c>
    </row>
    <row r="1012" spans="1:150" ht="15" customHeight="1">
      <c r="A1012" s="1" t="s">
        <v>1423</v>
      </c>
      <c r="B1012" t="s">
        <v>2490</v>
      </c>
      <c r="C1012" t="s">
        <v>2491</v>
      </c>
      <c r="D1012" t="s">
        <v>2492</v>
      </c>
      <c r="E1012" t="s">
        <v>2493</v>
      </c>
      <c r="F1012" t="s">
        <v>2494</v>
      </c>
      <c r="G1012" t="s">
        <v>1429</v>
      </c>
      <c r="H1012" t="s">
        <v>254</v>
      </c>
      <c r="I1012">
        <v>2016</v>
      </c>
      <c r="J1012">
        <v>24</v>
      </c>
      <c r="K1012" t="s">
        <v>2495</v>
      </c>
      <c r="M1012" t="str">
        <f>LEFT($D1012,FIND(",",$D1012)-1)&amp;"_"&amp;I1012&amp;L1012</f>
        <v>Zubizarreta-Gerendiain_2016</v>
      </c>
      <c r="N1012" t="s">
        <v>222</v>
      </c>
      <c r="O1012" s="145" t="s">
        <v>1154</v>
      </c>
      <c r="Q1012" t="s">
        <v>256</v>
      </c>
      <c r="R1012" s="262" t="s">
        <v>223</v>
      </c>
      <c r="S1012" s="1" t="s">
        <v>2518</v>
      </c>
      <c r="T1012" t="s">
        <v>2504</v>
      </c>
      <c r="U1012" t="s">
        <v>2520</v>
      </c>
      <c r="V1012">
        <v>0</v>
      </c>
      <c r="W1012">
        <v>0</v>
      </c>
      <c r="X1012">
        <v>0</v>
      </c>
      <c r="Y1012">
        <v>0</v>
      </c>
      <c r="Z1012">
        <v>0</v>
      </c>
      <c r="AA1012">
        <v>0</v>
      </c>
      <c r="AB1012">
        <v>0</v>
      </c>
      <c r="AC1012">
        <v>0</v>
      </c>
      <c r="AD1012">
        <v>0</v>
      </c>
      <c r="AE1012">
        <v>0</v>
      </c>
      <c r="AF1012">
        <v>1</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s="141">
        <f>COUNTIF(V1012:AW1012,"&lt;&gt;0")</f>
        <v>1</v>
      </c>
      <c r="AY1012" s="141">
        <f>COUNTIF(V1012:AL1012,"&lt;&gt;0")</f>
        <v>1</v>
      </c>
      <c r="AZ1012">
        <f>COUNTIF(V1012:AC1012,"&lt;&gt;0")</f>
        <v>0</v>
      </c>
      <c r="BA1012">
        <f>COUNTIF(AD1012:AI1012,"&lt;&gt;0")</f>
        <v>1</v>
      </c>
      <c r="BB1012">
        <f>COUNTIF(AJ1012:AL1012,"&lt;&gt;0")</f>
        <v>0</v>
      </c>
      <c r="BC1012">
        <f>COUNTIF(AS1012:AW1012,"&lt;&gt;0")</f>
        <v>0</v>
      </c>
      <c r="BD1012">
        <f>COUNTIF(AM1012:AR1012,"&lt;&gt;0")</f>
        <v>0</v>
      </c>
      <c r="BE1012" t="str">
        <f t="array" ref="BE1012">IF(AY1012=1,INDEX($V$7:$AL$7,MATCH(TRUE,INDEX($V1012:$AW1012&lt;&gt;0,),0)),IF(AY1012=0,INDEX($AM$7:$AW$7,MATCH(1,$AM1012:$AW1012,0)),IF(BF1012="Multiple strategies","mixed drivers",IF(BF1012="Supply chain","multiple supply","multiple silviculture"))))</f>
        <v>supply chain organization</v>
      </c>
      <c r="BF1012" s="2" t="str" cm="1">
        <f t="array" ref="BF1012">IF(COUNTIF(AZ1012:BB1012,"&lt;&gt;0")=1,INDEX($V$4:$AW$4,MATCH(TRUE,INDEX($V1012:$AW1012&lt;&gt;0,),0)),IF(COUNTIF(AZ1012:BB1012,"&lt;&gt;0")=0,INDEX($AM$4:$AW$4,MATCH(1,$AM1012:$AW1012,0)),"Multiple strategies"))</f>
        <v>Supply chain</v>
      </c>
      <c r="BG1012" s="1" t="s">
        <v>321</v>
      </c>
      <c r="BH1012" t="s">
        <v>2499</v>
      </c>
      <c r="BI1012" s="264" t="s">
        <v>2113</v>
      </c>
      <c r="BJ1012" t="s">
        <v>2500</v>
      </c>
      <c r="BK1012">
        <v>82.634271099744197</v>
      </c>
      <c r="BL1012">
        <v>84.015345268542205</v>
      </c>
      <c r="BM1012" s="143">
        <f>BL1012/BK1012</f>
        <v>1.0167130919220062</v>
      </c>
      <c r="BN1012">
        <f>BL1012-BK1012</f>
        <v>1.3810741687980084</v>
      </c>
      <c r="BO1012">
        <f>BN1012*1000*t_to_m3</f>
        <v>2818.5187118326703</v>
      </c>
      <c r="BP1012" s="143" t="s">
        <v>232</v>
      </c>
      <c r="BQ1012" s="143" t="s">
        <v>3256</v>
      </c>
      <c r="BR1012" t="s">
        <v>1195</v>
      </c>
      <c r="BS1012">
        <v>-22456.178913738113</v>
      </c>
      <c r="BT1012">
        <v>-5413.5431309905543</v>
      </c>
      <c r="BU1012" s="144">
        <f>IFERROR(BT1012/BS1012,"")</f>
        <v>0.24107142857143377</v>
      </c>
      <c r="BV1012" s="144">
        <f>BT1012-BS1012</f>
        <v>17042.635782747559</v>
      </c>
      <c r="BW1012" s="144"/>
      <c r="BX1012" s="144">
        <f>BV1012</f>
        <v>17042.635782747559</v>
      </c>
      <c r="BY1012">
        <f>IFERROR(BX1012/BO1012,"")</f>
        <v>6.0466640548453254</v>
      </c>
      <c r="BZ1012">
        <v>0</v>
      </c>
      <c r="CA1012">
        <v>0</v>
      </c>
      <c r="CB1012">
        <v>0</v>
      </c>
      <c r="CC1012">
        <v>0</v>
      </c>
      <c r="CD1012">
        <v>0</v>
      </c>
      <c r="CE1012">
        <v>0</v>
      </c>
      <c r="CF1012">
        <v>0</v>
      </c>
      <c r="CG1012">
        <v>0</v>
      </c>
      <c r="CH1012">
        <v>0</v>
      </c>
      <c r="CI1012">
        <v>0</v>
      </c>
      <c r="CJ1012">
        <v>0</v>
      </c>
      <c r="CK1012">
        <v>0</v>
      </c>
      <c r="CL1012">
        <v>0</v>
      </c>
      <c r="CM1012">
        <v>1</v>
      </c>
      <c r="CN1012" t="str">
        <f>IF($BL1012&lt;$BK1012,"refNeedCorrection","refOK")</f>
        <v>refOK</v>
      </c>
      <c r="CO1012">
        <f>IF($CN1012="refOK",$BK1012,$BL1012)</f>
        <v>82.634271099744197</v>
      </c>
      <c r="CP1012">
        <f>IF($CN1012="refOK",$BL1012,$BK1012)</f>
        <v>84.015345268542205</v>
      </c>
      <c r="CQ1012">
        <f>IF($CN1012="refOK",$BO1012,-$BO1012)</f>
        <v>2818.5187118326703</v>
      </c>
      <c r="CR1012">
        <f>IF($CN1012="refOK",$BS1012,$BT1012)*IF($BP1012="Emissions positive",-1,1)</f>
        <v>-22456.178913738113</v>
      </c>
      <c r="CS1012">
        <f>IF($CN1012="refOK",$BT1012,$BS1012)*IF($BP1012="Emissions positive",-1,1)</f>
        <v>-5413.5431309905543</v>
      </c>
      <c r="CT1012">
        <f>IF($CN1012="refNeedCorrection",-BX1012,BX1012)*IF($BP1012="Emissions positive",-1,1)</f>
        <v>17042.635782747559</v>
      </c>
      <c r="CU1012">
        <f>IFERROR(CT1012/CQ1012,"")</f>
        <v>6.0466640548453254</v>
      </c>
      <c r="CV1012" s="2">
        <f>IFERROR((CS1012-CR1012)/ABS(CR1012),"")</f>
        <v>0.75892857142856629</v>
      </c>
      <c r="CW1012" s="1" t="s">
        <v>1199</v>
      </c>
      <c r="CX1012" t="str">
        <f>IF(OR($CW1012="prd",$CW1012="std",$CW1012="cit"),"loc",IF(OR($CW1012="eur",$CW1012="reg",$CW1012="coy"),"reg",$CW1012))</f>
        <v>reg</v>
      </c>
      <c r="CY1012" t="s">
        <v>235</v>
      </c>
      <c r="CZ1012">
        <v>2010</v>
      </c>
      <c r="DA1012">
        <v>2070</v>
      </c>
      <c r="DB1012">
        <f>DA1012-CZ1012</f>
        <v>60</v>
      </c>
      <c r="DC1012" t="str">
        <f>IF(DB1012=0,"0",IF(AND(DB1012&gt;=1,DB1012&lt;=30),"1-30",IF(AND(DB1012&gt;30,DB1012&lt;=70),"31-70",IF(AND(DB1012&gt;70,DB1012&lt;=100),"71-100",IF(DB1012&gt;100,"+100")))))</f>
        <v>31-70</v>
      </c>
      <c r="DD1012">
        <v>1</v>
      </c>
      <c r="DE1012">
        <v>0</v>
      </c>
      <c r="DF1012">
        <v>0</v>
      </c>
      <c r="DG1012">
        <v>0</v>
      </c>
      <c r="DH1012">
        <v>0</v>
      </c>
      <c r="DI1012">
        <f>SUM(DD1012:DG1012)</f>
        <v>1</v>
      </c>
      <c r="DJ1012" t="str">
        <f>IF(DI1012=1,INDEX($DD$7:$DG$7,MATCH(1,$DD1012:$DG1012,0)),"mixedProduct")</f>
        <v>UpstreamInput</v>
      </c>
      <c r="DK1012" t="str">
        <f>IF(DD1012=1,DK$7,0)</f>
        <v>Upstream</v>
      </c>
      <c r="DL1012">
        <f>IF(DE1012=1,DL$7,0)</f>
        <v>0</v>
      </c>
      <c r="DM1012">
        <f>IF(DF1012=1,DM$7,0)</f>
        <v>0</v>
      </c>
      <c r="DN1012">
        <f>IF(DG1012=1,DN$7,0)</f>
        <v>0</v>
      </c>
      <c r="DO1012">
        <v>0</v>
      </c>
      <c r="DP1012">
        <v>0</v>
      </c>
      <c r="DQ1012">
        <v>0</v>
      </c>
      <c r="DR1012">
        <v>0</v>
      </c>
      <c r="DS1012">
        <v>0</v>
      </c>
      <c r="DT1012">
        <f>SUM(DO1012:DP1012)</f>
        <v>0</v>
      </c>
      <c r="DU1012" s="143" t="str">
        <f>IF(DO1012=1,"self-calculated DF",IF(DP1012=1,"external DF used","explicit C balance"))</f>
        <v>explicit C balance</v>
      </c>
      <c r="DV1012">
        <v>1</v>
      </c>
      <c r="DW1012">
        <v>1</v>
      </c>
      <c r="DX1012">
        <v>1</v>
      </c>
      <c r="DY1012">
        <v>1</v>
      </c>
      <c r="DZ1012">
        <v>0</v>
      </c>
      <c r="EA1012" s="143">
        <v>0</v>
      </c>
      <c r="EB1012">
        <v>0</v>
      </c>
      <c r="EC1012">
        <v>0</v>
      </c>
      <c r="ED1012">
        <v>0</v>
      </c>
      <c r="EE1012">
        <v>0</v>
      </c>
      <c r="EF1012">
        <v>1</v>
      </c>
      <c r="EG1012">
        <v>0</v>
      </c>
      <c r="EH1012">
        <v>0</v>
      </c>
      <c r="EI1012" s="2">
        <v>0</v>
      </c>
      <c r="EK1012" t="str">
        <f>IF(AND(AND(AND(OR($DX1012=1,$DW1012=1),OR($EC1012=1,$EA1012=1)),SUM($DV1012:$DZ1012,$EF1012)&gt;=4),SUM($EA1012:$EE1012)&gt;=2),"Whole sector","")</f>
        <v/>
      </c>
      <c r="EL1012" t="str">
        <f>IF(AND(AND(OR($DX1012=1,$DW1012=1),AND($EC1012=0,$EA1012=0)),SUM($DV1012:$DZ1012,$EF1012)&gt;=4),"Ecosystem approach","")</f>
        <v>Ecosystem approach</v>
      </c>
      <c r="EM1012" s="2" t="str">
        <f>IF(AND(AND(AND($DX1012=0,$DW1012=0),OR($EC1012=1,$EA1012=1)),SUM($EB1012:$EE1012)&gt;=2),"Technology approach","")</f>
        <v/>
      </c>
      <c r="EN1012" t="s">
        <v>2508</v>
      </c>
      <c r="EP1012" t="str">
        <f>IF(ISNUMBER(BU1012),IF(ABS(BU1012-[1]QC_indicators!$B$2)&gt;3*[1]QC_indicators!$C$2,"C ratio",IF(ISNUMBER(BY1012),IF(ABS(BY1012-[1]QC_indicators!$B$1)&gt;3*[1]QC_indicators!$C$1,"DF","no"))),IF(ISNUMBER(BY1012),IF(ABS(BY1012-[1]QC_indicators!$B$1)&gt;3*[1]QC_indicators!$C$1,"DF","no")))</f>
        <v>no</v>
      </c>
      <c r="EQ1012" t="s">
        <v>2501</v>
      </c>
      <c r="ET1012" s="264" t="s">
        <v>3257</v>
      </c>
    </row>
    <row r="1013" spans="1:150" ht="15" customHeight="1">
      <c r="A1013" s="1" t="s">
        <v>562</v>
      </c>
      <c r="B1013" t="s">
        <v>544</v>
      </c>
      <c r="C1013" t="s">
        <v>1593</v>
      </c>
      <c r="D1013" t="s">
        <v>1594</v>
      </c>
      <c r="E1013" t="s">
        <v>1595</v>
      </c>
      <c r="F1013" t="s">
        <v>1596</v>
      </c>
      <c r="G1013" t="s">
        <v>567</v>
      </c>
      <c r="H1013" t="s">
        <v>254</v>
      </c>
      <c r="I1013">
        <v>2019</v>
      </c>
      <c r="J1013">
        <v>15</v>
      </c>
      <c r="K1013" t="s">
        <v>1597</v>
      </c>
      <c r="M1013" t="str">
        <f>LEFT($D1013,FIND(",",$D1013)-1)&amp;"_"&amp;I1013&amp;L1013</f>
        <v>Geng_2019</v>
      </c>
      <c r="N1013" t="s">
        <v>222</v>
      </c>
      <c r="O1013" s="181" t="s">
        <v>225</v>
      </c>
      <c r="Q1013" s="264" t="s">
        <v>256</v>
      </c>
      <c r="R1013" s="269" t="s">
        <v>1154</v>
      </c>
      <c r="S1013" s="1" t="s">
        <v>1598</v>
      </c>
      <c r="T1013" t="s">
        <v>1620</v>
      </c>
      <c r="V1013">
        <v>0</v>
      </c>
      <c r="W1013">
        <v>0</v>
      </c>
      <c r="X1013">
        <v>0</v>
      </c>
      <c r="Y1013">
        <v>0</v>
      </c>
      <c r="Z1013">
        <v>0</v>
      </c>
      <c r="AA1013">
        <v>0</v>
      </c>
      <c r="AB1013">
        <v>0</v>
      </c>
      <c r="AC1013">
        <v>0</v>
      </c>
      <c r="AD1013">
        <v>0</v>
      </c>
      <c r="AE1013">
        <v>0</v>
      </c>
      <c r="AF1013">
        <v>0</v>
      </c>
      <c r="AG1013">
        <v>0</v>
      </c>
      <c r="AH1013">
        <v>0</v>
      </c>
      <c r="AI1013">
        <v>0</v>
      </c>
      <c r="AJ1013">
        <v>0</v>
      </c>
      <c r="AK1013">
        <v>1</v>
      </c>
      <c r="AL1013">
        <v>0</v>
      </c>
      <c r="AM1013">
        <v>0</v>
      </c>
      <c r="AN1013">
        <v>0</v>
      </c>
      <c r="AO1013">
        <v>0</v>
      </c>
      <c r="AP1013">
        <v>0</v>
      </c>
      <c r="AQ1013">
        <v>0</v>
      </c>
      <c r="AR1013">
        <v>0</v>
      </c>
      <c r="AS1013">
        <v>0</v>
      </c>
      <c r="AT1013">
        <v>0</v>
      </c>
      <c r="AU1013">
        <v>0</v>
      </c>
      <c r="AV1013">
        <v>0</v>
      </c>
      <c r="AW1013">
        <v>0</v>
      </c>
      <c r="AX1013" s="141">
        <f>COUNTIF(V1013:AW1013,"&lt;&gt;0")</f>
        <v>1</v>
      </c>
      <c r="AY1013" s="141">
        <f>COUNTIF(V1013:AL1013,"&lt;&gt;0")</f>
        <v>1</v>
      </c>
      <c r="AZ1013">
        <f>COUNTIF(V1013:AC1013,"&lt;&gt;0")</f>
        <v>0</v>
      </c>
      <c r="BA1013">
        <f>COUNTIF(AD1013:AI1013,"&lt;&gt;0")</f>
        <v>0</v>
      </c>
      <c r="BB1013">
        <f>COUNTIF(AJ1013:AL1013,"&lt;&gt;0")</f>
        <v>1</v>
      </c>
      <c r="BC1013">
        <f>COUNTIF(AS1013:AW1013,"&lt;&gt;0")</f>
        <v>0</v>
      </c>
      <c r="BD1013">
        <f>COUNTIF(AM1013:AR1013,"&lt;&gt;0")</f>
        <v>0</v>
      </c>
      <c r="BE1013" t="str" cm="1">
        <f t="array" ref="BE1013">IF(AY1013=1,INDEX($V$7:$AL$7,MATCH(TRUE,INDEX($V1013:$AW1013&lt;&gt;0,),0)),IF(AY1013=0,INDEX($AM$7:$AW$7,MATCH(1,$AM1013:$AW1013,0)),IF(BF1013="Multiple strategies","mixed drivers",IF(BF1013="Supply chain","multiple supply","multiple silviculture"))))</f>
        <v>technologies/design switch</v>
      </c>
      <c r="BF1013" s="2" t="str" cm="1">
        <f t="array" ref="BF1013">IF(COUNTIF(AZ1013:BB1013,"&lt;&gt;0")=1,INDEX($V$4:$AW$4,MATCH(TRUE,INDEX($V1013:$AW1013&lt;&gt;0,),0)),IF(COUNTIF(AZ1013:BB1013,"&lt;&gt;0")=0,INDEX($AM$4:$AW$4,MATCH(1,$AM1013:$AW1013,0)),"Multiple strategies"))</f>
        <v>Technology</v>
      </c>
      <c r="BG1013" s="1" t="s">
        <v>229</v>
      </c>
      <c r="BH1013" t="s">
        <v>1600</v>
      </c>
      <c r="BJ1013" t="s">
        <v>261</v>
      </c>
      <c r="BK1013">
        <v>27</v>
      </c>
      <c r="BL1013">
        <v>66</v>
      </c>
      <c r="BM1013">
        <f>BL1013/BK1013</f>
        <v>2.4444444444444446</v>
      </c>
      <c r="BN1013">
        <f>BL1013-BK1013</f>
        <v>39</v>
      </c>
      <c r="BO1013">
        <f>BN1013*kg_to_m3</f>
        <v>7.9591836734693888E-2</v>
      </c>
      <c r="BP1013" t="s">
        <v>232</v>
      </c>
      <c r="BR1013" t="s">
        <v>1609</v>
      </c>
      <c r="BU1013" s="144" t="str">
        <f>IFERROR(BT1013/BS1013,"")</f>
        <v/>
      </c>
      <c r="BV1013">
        <v>0.48699999999999999</v>
      </c>
      <c r="BX1013">
        <f>BV1013</f>
        <v>0.48699999999999999</v>
      </c>
      <c r="BY1013">
        <f>IFERROR(BX1013/BO1013,"")</f>
        <v>6.1187179487179479</v>
      </c>
      <c r="BZ1013">
        <v>0</v>
      </c>
      <c r="CA1013">
        <v>0</v>
      </c>
      <c r="CB1013">
        <v>0</v>
      </c>
      <c r="CC1013">
        <v>0</v>
      </c>
      <c r="CD1013">
        <v>0</v>
      </c>
      <c r="CE1013">
        <v>0</v>
      </c>
      <c r="CF1013">
        <v>0</v>
      </c>
      <c r="CG1013">
        <v>0</v>
      </c>
      <c r="CH1013">
        <v>0</v>
      </c>
      <c r="CI1013">
        <v>0</v>
      </c>
      <c r="CJ1013">
        <v>0</v>
      </c>
      <c r="CK1013">
        <v>0</v>
      </c>
      <c r="CL1013">
        <v>0</v>
      </c>
      <c r="CM1013">
        <v>0</v>
      </c>
      <c r="CN1013" t="str">
        <f>IF(BL1013&lt;BK1013,"refNeedCorrection","refOK")</f>
        <v>refOK</v>
      </c>
      <c r="CO1013">
        <f>IF($CN1013="refOK",$BK1013,$BL1013)</f>
        <v>27</v>
      </c>
      <c r="CP1013">
        <f>IF($CN1013="refOK",$BL1013,$BK1013)</f>
        <v>66</v>
      </c>
      <c r="CQ1013">
        <f>IF($CN1013="refOK",$BO1013,-$BO1013)</f>
        <v>7.9591836734693888E-2</v>
      </c>
      <c r="CR1013">
        <f>IF($CN1013="refOK",$BS1013,$BT1013)*IF($BP1013="Emissions positive",-1,1)</f>
        <v>0</v>
      </c>
      <c r="CS1013">
        <f>IF($CN1013="refOK",$BT1013,$BS1013)*IF($BP1013="Emissions positive",-1,1)</f>
        <v>0</v>
      </c>
      <c r="CT1013">
        <f>IF($CN1013="refNeedCorrection",-BX1013,BX1013)*IF($BP1013="Emissions positive",-1,1)</f>
        <v>0.48699999999999999</v>
      </c>
      <c r="CU1013">
        <f>IFERROR(CT1013/CQ1013,"")</f>
        <v>6.1187179487179479</v>
      </c>
      <c r="CV1013" s="2" t="str">
        <f>IFERROR((CS1013-CR1013)/ABS(CR1013),"")</f>
        <v/>
      </c>
      <c r="CW1013" s="1" t="s">
        <v>1203</v>
      </c>
      <c r="CX1013" s="264" t="str">
        <f>IF(OR($CW1013="prd",$CW1013="std",$CW1013="cit"),"loc",IF(OR($CW1013="eur",$CW1013="reg",$CW1013="coy"),"reg",$CW1013))</f>
        <v>reg</v>
      </c>
      <c r="CY1013" t="s">
        <v>690</v>
      </c>
      <c r="CZ1013">
        <v>2019</v>
      </c>
      <c r="DB1013">
        <v>0</v>
      </c>
      <c r="DC1013" t="str">
        <f>IF(DB1013=0,"0",IF(AND(DB1013&gt;=1,DB1013&lt;=30),"1-30",IF(AND(DB1013&gt;30,DB1013&lt;=70),"31-70",IF(AND(DB1013&gt;70,DB1013&lt;=100),"71-100",IF(DB1013&gt;100,"+100")))))</f>
        <v>0</v>
      </c>
      <c r="DD1013">
        <v>0</v>
      </c>
      <c r="DE1013">
        <v>0</v>
      </c>
      <c r="DF1013">
        <v>0</v>
      </c>
      <c r="DG1013">
        <v>1</v>
      </c>
      <c r="DI1013">
        <f>SUM(DD1013:DG1013)</f>
        <v>1</v>
      </c>
      <c r="DJ1013" t="str">
        <f>IF(DI1013=1,INDEX($DD$7:$DG$7,MATCH(1,$DD1013:$DG1013,0)),"mixedProduct")</f>
        <v>TimberInput</v>
      </c>
      <c r="DK1013">
        <f>IF(DD1013=1,DK$7,0)</f>
        <v>0</v>
      </c>
      <c r="DL1013">
        <f>IF(DE1013=1,DL$7,0)</f>
        <v>0</v>
      </c>
      <c r="DM1013">
        <f>IF(DF1013=1,DM$7,0)</f>
        <v>0</v>
      </c>
      <c r="DN1013" t="str">
        <f>IF(DG1013=1,DN$7,0)</f>
        <v>Timber</v>
      </c>
      <c r="DO1013">
        <v>1</v>
      </c>
      <c r="DP1013">
        <v>0</v>
      </c>
      <c r="DQ1013">
        <v>0</v>
      </c>
      <c r="DR1013">
        <v>0</v>
      </c>
      <c r="DS1013">
        <v>0</v>
      </c>
      <c r="DT1013">
        <f>SUM(DO1013:DP1013)</f>
        <v>1</v>
      </c>
      <c r="DU1013" s="143" t="str">
        <f>IF(DO1013=1,"self-calculated DF",IF(DP1013=1,"external DF used","explicit C balance"))</f>
        <v>self-calculated DF</v>
      </c>
      <c r="DV1013">
        <v>0</v>
      </c>
      <c r="DW1013">
        <v>0</v>
      </c>
      <c r="DX1013">
        <v>0</v>
      </c>
      <c r="DY1013">
        <v>0</v>
      </c>
      <c r="DZ1013">
        <v>0</v>
      </c>
      <c r="EA1013" s="143">
        <v>1</v>
      </c>
      <c r="EB1013">
        <v>0</v>
      </c>
      <c r="EC1013">
        <v>1</v>
      </c>
      <c r="ED1013">
        <v>0</v>
      </c>
      <c r="EE1013">
        <v>0</v>
      </c>
      <c r="EF1013">
        <v>0</v>
      </c>
      <c r="EG1013">
        <v>0</v>
      </c>
      <c r="EH1013">
        <v>0</v>
      </c>
      <c r="EI1013" s="2">
        <v>0</v>
      </c>
      <c r="EK1013" t="str">
        <f>IF(AND(AND(AND(OR($DX1013=1,$DW1013=1),OR($EC1013=1,$EA1013=1)),SUM($DV1013:$DZ1013,$EF1013)&gt;=4),SUM($EA1013:$EE1013)&gt;=2),"Whole sector","")</f>
        <v/>
      </c>
      <c r="EL1013" t="str">
        <f>IF(AND(AND(OR($DX1013=1,$DW1013=1),AND($EC1013=0,$EA1013=0)),SUM($DV1013:$DZ1013,$EF1013)&gt;=4),"Ecosystem approach","")</f>
        <v/>
      </c>
      <c r="EM1013" s="2" t="str">
        <f>IF(AND(AND(AND($DX1013=0,$DW1013=0),OR($EC1013=1,$EA1013=1)),SUM($EB1013:$EE1013)&gt;=2),"Technology approach","")</f>
        <v/>
      </c>
      <c r="EN1013" t="s">
        <v>1603</v>
      </c>
      <c r="EP1013" t="str">
        <f>IF(ISNUMBER(BU1013),IF(ABS(BU1013-[3]QC_indicators!$B$2)&gt;3*[3]QC_indicators!$C$2,"C ratio",IF(ISNUMBER(BY1013),IF(ABS(BY1013-[3]QC_indicators!$B$1)&gt;3*[3]QC_indicators!$C$1,"DF","no"))),IF(ISNUMBER(BY1013),IF(ABS(BY1013-[3]QC_indicators!$B$1)&gt;3*[3]QC_indicators!$C$1,"DF","no")))</f>
        <v>DF</v>
      </c>
      <c r="ER1013" t="s">
        <v>1604</v>
      </c>
      <c r="ET1013" s="264" t="s">
        <v>3407</v>
      </c>
    </row>
    <row r="1014" spans="1:150" ht="15" customHeight="1">
      <c r="A1014" s="1" t="s">
        <v>1270</v>
      </c>
      <c r="B1014" t="s">
        <v>1271</v>
      </c>
      <c r="C1014" t="s">
        <v>1272</v>
      </c>
      <c r="D1014" t="s">
        <v>1273</v>
      </c>
      <c r="E1014" t="s">
        <v>1274</v>
      </c>
      <c r="F1014" t="s">
        <v>1275</v>
      </c>
      <c r="G1014" t="s">
        <v>1276</v>
      </c>
      <c r="I1014">
        <v>2019</v>
      </c>
      <c r="K1014" t="s">
        <v>1277</v>
      </c>
      <c r="M1014" t="str">
        <f>LEFT($D1014,FIND(",",$D1014)-1)&amp;"_"&amp;I1014&amp;L1014</f>
        <v>Baskent_2019</v>
      </c>
      <c r="N1014" t="s">
        <v>222</v>
      </c>
      <c r="O1014" s="140" t="s">
        <v>513</v>
      </c>
      <c r="Q1014" t="s">
        <v>224</v>
      </c>
      <c r="R1014" s="269" t="s">
        <v>274</v>
      </c>
      <c r="S1014" s="1" t="s">
        <v>1278</v>
      </c>
      <c r="T1014" t="s">
        <v>1111</v>
      </c>
      <c r="U1014" s="143" t="s">
        <v>1279</v>
      </c>
      <c r="V1014" s="143">
        <v>0</v>
      </c>
      <c r="W1014" s="143">
        <v>0</v>
      </c>
      <c r="X1014" s="143">
        <v>0</v>
      </c>
      <c r="Y1014" s="143">
        <v>1</v>
      </c>
      <c r="Z1014" s="143">
        <v>2</v>
      </c>
      <c r="AA1014" s="143">
        <v>0</v>
      </c>
      <c r="AB1014" s="143">
        <v>0</v>
      </c>
      <c r="AC1014" s="143">
        <v>0</v>
      </c>
      <c r="AD1014">
        <v>0</v>
      </c>
      <c r="AE1014">
        <v>0</v>
      </c>
      <c r="AF1014">
        <v>2</v>
      </c>
      <c r="AG1014">
        <v>0</v>
      </c>
      <c r="AH1014">
        <v>0</v>
      </c>
      <c r="AI1014">
        <v>0</v>
      </c>
      <c r="AJ1014">
        <v>2</v>
      </c>
      <c r="AK1014">
        <v>0</v>
      </c>
      <c r="AL1014">
        <v>0</v>
      </c>
      <c r="AM1014">
        <v>0</v>
      </c>
      <c r="AN1014">
        <v>2</v>
      </c>
      <c r="AO1014">
        <v>2</v>
      </c>
      <c r="AP1014">
        <v>0</v>
      </c>
      <c r="AQ1014">
        <v>0</v>
      </c>
      <c r="AR1014">
        <v>0</v>
      </c>
      <c r="AS1014">
        <v>2</v>
      </c>
      <c r="AT1014">
        <v>0</v>
      </c>
      <c r="AU1014">
        <v>0</v>
      </c>
      <c r="AV1014">
        <v>0</v>
      </c>
      <c r="AW1014">
        <v>2</v>
      </c>
      <c r="AX1014" s="141">
        <f>COUNTIF(V1014:AW1014,"&lt;&gt;0")</f>
        <v>8</v>
      </c>
      <c r="AY1014" s="141">
        <f>COUNTIF(V1014:AL1014,"&lt;&gt;0")</f>
        <v>4</v>
      </c>
      <c r="AZ1014">
        <f>COUNTIF(V1014:AC1014,"&lt;&gt;0")</f>
        <v>2</v>
      </c>
      <c r="BA1014">
        <f>COUNTIF(AD1014:AI1014,"&lt;&gt;0")</f>
        <v>1</v>
      </c>
      <c r="BB1014">
        <f>COUNTIF(AJ1014:AL1014,"&lt;&gt;0")</f>
        <v>1</v>
      </c>
      <c r="BC1014">
        <f>COUNTIF(AS1014:AW1014,"&lt;&gt;0")</f>
        <v>2</v>
      </c>
      <c r="BD1014">
        <f>COUNTIF(AM1014:AR1014,"&lt;&gt;0")</f>
        <v>2</v>
      </c>
      <c r="BE1014" t="str">
        <f t="array" ref="BE1014">IF(AY1014=1,INDEX($V$7:$AL$7,MATCH(TRUE,INDEX($V1014:$AW1014&lt;&gt;0,),0)),IF(AY1014=0,INDEX($AM$7:$AW$7,MATCH(1,$AM1014:$AW1014,0)),IF(BF1014="Multiple strategies","mixed drivers",IF(BF1014="Supply chain","multiple supply","multiple silviculture"))))</f>
        <v>mixed drivers</v>
      </c>
      <c r="BF1014" s="2" t="str" cm="1">
        <f t="array" ref="BF1014">IF(COUNTIF(AZ1014:BB1014,"&lt;&gt;0")=1,INDEX($V$4:$AW$4,MATCH(TRUE,INDEX($V1014:$AW1014&lt;&gt;0,),0)),IF(COUNTIF(AZ1014:BB1014,"&lt;&gt;0")=0,INDEX($AM$4:$AW$4,MATCH(1,$AM1014:$AW1014,0)),"Multiple strategies"))</f>
        <v>Multiple strategies</v>
      </c>
      <c r="BG1014" s="1" t="s">
        <v>321</v>
      </c>
      <c r="BH1014" t="s">
        <v>1280</v>
      </c>
      <c r="BJ1014" s="143" t="s">
        <v>278</v>
      </c>
      <c r="BK1014">
        <v>10.270935960591125</v>
      </c>
      <c r="BL1014">
        <v>10.566502463054182</v>
      </c>
      <c r="BM1014" s="143">
        <f>BL1014/BK1014</f>
        <v>1.0287769784172665</v>
      </c>
      <c r="BN1014">
        <f>BL1014-BK1014</f>
        <v>0.29556650246305693</v>
      </c>
      <c r="BO1014" s="143">
        <f>BN1014*tC_to_m3</f>
        <v>1.2833977527705469</v>
      </c>
      <c r="BP1014" t="s">
        <v>232</v>
      </c>
      <c r="BQ1014" s="333" t="s">
        <v>787</v>
      </c>
      <c r="BR1014" s="143" t="s">
        <v>278</v>
      </c>
      <c r="BS1014">
        <v>38.33684792940457</v>
      </c>
      <c r="BT1014">
        <v>40.680525417714911</v>
      </c>
      <c r="BU1014" s="144">
        <f>IFERROR(BT1014/BS1014,"")</f>
        <v>1.0611338076783492</v>
      </c>
      <c r="BV1014">
        <f>BT1014-BS1014</f>
        <v>2.3436774883103411</v>
      </c>
      <c r="BX1014">
        <f>BV1014*C_to_CO2</f>
        <v>8.6012963820989512</v>
      </c>
      <c r="BY1014">
        <f>IFERROR(BX1014/BO1014,"")</f>
        <v>6.7019724504977685</v>
      </c>
      <c r="BZ1014" s="143">
        <v>0</v>
      </c>
      <c r="CA1014" s="143">
        <v>0</v>
      </c>
      <c r="CB1014" s="143">
        <v>0</v>
      </c>
      <c r="CC1014" s="143">
        <v>0</v>
      </c>
      <c r="CD1014" s="143">
        <v>0</v>
      </c>
      <c r="CE1014" s="143">
        <v>0</v>
      </c>
      <c r="CF1014" s="143">
        <v>0</v>
      </c>
      <c r="CG1014" s="143">
        <v>1</v>
      </c>
      <c r="CH1014" s="143">
        <v>0</v>
      </c>
      <c r="CI1014" s="143">
        <v>1</v>
      </c>
      <c r="CJ1014" s="143">
        <v>1</v>
      </c>
      <c r="CK1014" s="143">
        <v>0</v>
      </c>
      <c r="CL1014" s="143">
        <v>1</v>
      </c>
      <c r="CM1014" s="143">
        <v>0</v>
      </c>
      <c r="CN1014" t="str">
        <f>IF($BL1014&lt;$BK1014,"refNeedCorrection","refOK")</f>
        <v>refOK</v>
      </c>
      <c r="CO1014">
        <f>IF($CN1014="refOK",$BK1014,$BL1014)</f>
        <v>10.270935960591125</v>
      </c>
      <c r="CP1014">
        <f>IF($CN1014="refOK",$BL1014,$BK1014)</f>
        <v>10.566502463054182</v>
      </c>
      <c r="CQ1014">
        <f>IF($CN1014="refOK",$BO1014,-$BO1014)</f>
        <v>1.2833977527705469</v>
      </c>
      <c r="CR1014">
        <f>IF($CN1014="refOK",$BS1014,$BT1014)*IF($BP1014="Emissions positive",-1,1)</f>
        <v>38.33684792940457</v>
      </c>
      <c r="CS1014">
        <f>IF($CN1014="refOK",$BT1014,$BS1014)*IF($BP1014="Emissions positive",-1,1)</f>
        <v>40.680525417714911</v>
      </c>
      <c r="CT1014">
        <f>IF($CN1014="refNeedCorrection",-BX1014,BX1014)*IF($BP1014="Emissions positive",-1,1)</f>
        <v>8.6012963820989512</v>
      </c>
      <c r="CU1014">
        <f>IFERROR(CT1014/CQ1014,"")</f>
        <v>6.7019724504977685</v>
      </c>
      <c r="CV1014" s="2">
        <f>IFERROR((CS1014-CR1014)/ABS(CR1014),"")</f>
        <v>6.1133807678349264E-2</v>
      </c>
      <c r="CW1014" s="1" t="s">
        <v>1199</v>
      </c>
      <c r="CX1014" t="str">
        <f>IF(OR($CW1014="prd",$CW1014="std",$CW1014="cit"),"loc",IF(OR($CW1014="eur",$CW1014="reg",$CW1014="coy"),"reg",$CW1014))</f>
        <v>reg</v>
      </c>
      <c r="CY1014" t="s">
        <v>1281</v>
      </c>
      <c r="CZ1014">
        <v>2010</v>
      </c>
      <c r="DA1014" s="143">
        <v>2060</v>
      </c>
      <c r="DB1014" s="143">
        <f>DA1014-CZ1014</f>
        <v>50</v>
      </c>
      <c r="DC1014" t="str">
        <f>IF(DB1014=0,"0",IF(AND(DB1014&gt;=1,DB1014&lt;=30),"1-30",IF(AND(DB1014&gt;30,DB1014&lt;=70),"31-70",IF(AND(DB1014&gt;70,DB1014&lt;=100),"71-100",IF(DB1014&gt;100,"+100")))))</f>
        <v>31-70</v>
      </c>
      <c r="DD1014">
        <v>1</v>
      </c>
      <c r="DE1014">
        <v>1</v>
      </c>
      <c r="DF1014">
        <v>1</v>
      </c>
      <c r="DG1014">
        <v>1</v>
      </c>
      <c r="DI1014">
        <f>SUM(DD1014:DG1014)</f>
        <v>4</v>
      </c>
      <c r="DJ1014" t="str">
        <f>IF(DI1014=1,INDEX($DD$7:$DG$7,MATCH(1,$DD1014:$DG1014,0)),"mixedProduct")</f>
        <v>mixedProduct</v>
      </c>
      <c r="DK1014" t="str">
        <f>IF(DD1014=1,DK$7,0)</f>
        <v>Upstream</v>
      </c>
      <c r="DL1014" t="str">
        <f>IF(DE1014=1,DL$7,0)</f>
        <v>Energy</v>
      </c>
      <c r="DM1014" t="str">
        <f>IF(DF1014=1,DM$7,0)</f>
        <v>Pulp/Paper</v>
      </c>
      <c r="DN1014" t="str">
        <f>IF(DG1014=1,DN$7,0)</f>
        <v>Timber</v>
      </c>
      <c r="DO1014" s="143">
        <v>1</v>
      </c>
      <c r="DP1014">
        <v>0</v>
      </c>
      <c r="DQ1014" s="143">
        <v>0</v>
      </c>
      <c r="DR1014" s="143">
        <v>0</v>
      </c>
      <c r="DS1014" s="143" t="s">
        <v>1282</v>
      </c>
      <c r="DT1014">
        <f>SUM(DO1014:DP1014)</f>
        <v>1</v>
      </c>
      <c r="DU1014" s="143" t="str">
        <f>IF(DO1014=1,"self-calculated DF",IF(DP1014=1,"external DF used","explicit C balance"))</f>
        <v>self-calculated DF</v>
      </c>
      <c r="DV1014" s="143">
        <v>0</v>
      </c>
      <c r="DW1014">
        <v>1</v>
      </c>
      <c r="DX1014" s="143">
        <v>1</v>
      </c>
      <c r="DY1014" s="143">
        <v>1</v>
      </c>
      <c r="DZ1014">
        <v>1</v>
      </c>
      <c r="EA1014">
        <v>1</v>
      </c>
      <c r="EB1014" s="143">
        <v>0</v>
      </c>
      <c r="EC1014">
        <v>0</v>
      </c>
      <c r="ED1014" s="143">
        <v>0</v>
      </c>
      <c r="EE1014">
        <v>0</v>
      </c>
      <c r="EF1014">
        <v>1</v>
      </c>
      <c r="EG1014" s="143">
        <v>0</v>
      </c>
      <c r="EH1014">
        <v>0</v>
      </c>
      <c r="EI1014" s="2">
        <v>0</v>
      </c>
      <c r="EK1014" t="str">
        <f>IF(AND(AND(AND(OR($DX1014=1,$DW1014=1),OR($EC1014=1,$EA1014=1)),SUM($DV1014:$DZ1014,$EF1014)&gt;=4),SUM($EA1014:$EE1014)&gt;=2),"Whole sector","")</f>
        <v/>
      </c>
      <c r="EL1014" t="str">
        <f>IF(AND(AND(OR($DX1014=1,$DW1014=1),AND($EC1014=0,$EA1014=0)),SUM($DV1014:$DZ1014,$EF1014)&gt;=4),"Ecosystem approach","")</f>
        <v/>
      </c>
      <c r="EM1014" s="2" t="str">
        <f>IF(AND(AND(AND($DX1014=0,$DW1014=0),OR($EC1014=1,$EA1014=1)),SUM($EB1014:$EE1014)&gt;=2),"Technology approach","")</f>
        <v/>
      </c>
      <c r="EN1014" t="s">
        <v>1283</v>
      </c>
      <c r="EP1014" t="str">
        <f>IF(ISNUMBER(BU1014),IF(ABS(BU1014-[2]QC_indicators!$B$2)&gt;3*[2]QC_indicators!$C$2,"C ratio",IF(ISNUMBER(BY1014),IF(ABS(BY1014-[2]QC_indicators!$B$1)&gt;3*[2]QC_indicators!$C$1,"DF","no"))),IF(ISNUMBER(BY1014),IF(ABS(BY1014-[2]QC_indicators!$B$1)&gt;3*[2]QC_indicators!$C$1,"DF","no")))</f>
        <v>no</v>
      </c>
      <c r="EQ1014" t="s">
        <v>286</v>
      </c>
      <c r="ER1014" t="s">
        <v>1284</v>
      </c>
      <c r="ET1014" s="264" t="s">
        <v>3273</v>
      </c>
    </row>
    <row r="1015" spans="1:150" ht="15" customHeight="1">
      <c r="A1015" s="1" t="s">
        <v>1636</v>
      </c>
      <c r="B1015" t="s">
        <v>1637</v>
      </c>
      <c r="C1015" t="s">
        <v>1638</v>
      </c>
      <c r="D1015" t="s">
        <v>1639</v>
      </c>
      <c r="E1015" t="s">
        <v>1640</v>
      </c>
      <c r="F1015" t="s">
        <v>1641</v>
      </c>
      <c r="G1015" t="s">
        <v>1642</v>
      </c>
      <c r="H1015" t="s">
        <v>254</v>
      </c>
      <c r="I1015">
        <v>2022</v>
      </c>
      <c r="J1015">
        <v>0</v>
      </c>
      <c r="K1015" t="s">
        <v>1643</v>
      </c>
      <c r="M1015" t="str">
        <f>LEFT($D1015,FIND(",",$D1015)-1)&amp;"_"&amp;I1015&amp;L1015</f>
        <v>Gregor_2022</v>
      </c>
      <c r="N1015" t="s">
        <v>222</v>
      </c>
      <c r="O1015" s="161" t="s">
        <v>223</v>
      </c>
      <c r="Q1015" s="264" t="s">
        <v>389</v>
      </c>
      <c r="R1015" s="269" t="s">
        <v>1154</v>
      </c>
      <c r="S1015" s="154" t="s">
        <v>1644</v>
      </c>
      <c r="T1015" s="294" t="s">
        <v>1659</v>
      </c>
      <c r="U1015" s="264" t="s">
        <v>1660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1</v>
      </c>
      <c r="AO1015">
        <v>2</v>
      </c>
      <c r="AP1015">
        <v>2</v>
      </c>
      <c r="AQ1015">
        <v>2</v>
      </c>
      <c r="AR1015">
        <v>0</v>
      </c>
      <c r="AS1015">
        <v>0</v>
      </c>
      <c r="AT1015">
        <v>0</v>
      </c>
      <c r="AU1015">
        <v>0</v>
      </c>
      <c r="AV1015">
        <v>0</v>
      </c>
      <c r="AW1015">
        <v>0</v>
      </c>
      <c r="AX1015" s="141">
        <f>COUNTIF(V1015:AW1015,"&lt;&gt;0")</f>
        <v>4</v>
      </c>
      <c r="AY1015">
        <f>COUNTIF(V1015:AL1015,"&lt;&gt;0")</f>
        <v>0</v>
      </c>
      <c r="AZ1015">
        <f>COUNTIF(V1015:AC1015,"&lt;&gt;0")</f>
        <v>0</v>
      </c>
      <c r="BA1015">
        <f>COUNTIF(AD1015:AI1015,"&lt;&gt;0")</f>
        <v>0</v>
      </c>
      <c r="BB1015">
        <f>COUNTIF(AJ1015:AL1015,"&lt;&gt;0")</f>
        <v>0</v>
      </c>
      <c r="BC1015">
        <f>COUNTIF(AS1015:AW1015,"&lt;&gt;0")</f>
        <v>0</v>
      </c>
      <c r="BD1015">
        <f>COUNTIF(AM1015:AR1015,"&lt;&gt;0")</f>
        <v>4</v>
      </c>
      <c r="BE1015" t="str" cm="1">
        <f t="array" ref="BE1015">IF(AY1015=1,INDEX($V$7:$AL$7,MATCH(TRUE,INDEX($V1015:$AW1015&lt;&gt;0,),0)),IF(AY1015=0,INDEX($AM$7:$AW$7,MATCH(1,$AM1015:$AW1015,0)),IF(BF1015="Multiple strategies","mixed drivers",IF(BF1015="Supply chain","multiple supply","multiple silviculture"))))</f>
        <v>Temperature</v>
      </c>
      <c r="BF1015" s="2" t="str" cm="1">
        <f t="array" ref="BF1015">IF(COUNTIF(AZ1015:BB1015,"&lt;&gt;0")=1,INDEX($V$4:$AW$4,MATCH(TRUE,INDEX($V1015:$AW1015&lt;&gt;0,),0)),IF(COUNTIF(AZ1015:BB1015,"&lt;&gt;0")=0,INDEX($AM$4:$AW$4,MATCH(1,$AM1015:$AW1015,0)),"Multiple strategies"))</f>
        <v>Environmental change</v>
      </c>
      <c r="BG1015" s="1" t="s">
        <v>321</v>
      </c>
      <c r="BH1015" s="264" t="s">
        <v>1647</v>
      </c>
      <c r="BI1015" s="264" t="s">
        <v>1657</v>
      </c>
      <c r="BJ1015" s="264" t="s">
        <v>1648</v>
      </c>
      <c r="BK1015">
        <f>0.07*(2115-2020)</f>
        <v>6.65</v>
      </c>
      <c r="BL1015">
        <f>0.08*(2115-2020)</f>
        <v>7.6000000000000005</v>
      </c>
      <c r="BN1015">
        <f>BL1015-BK1015</f>
        <v>0.95000000000000018</v>
      </c>
      <c r="BO1015">
        <f>BL1015-BK1015</f>
        <v>0.95000000000000018</v>
      </c>
      <c r="BP1015" s="264" t="s">
        <v>232</v>
      </c>
      <c r="BQ1015" s="264" t="s">
        <v>1658</v>
      </c>
      <c r="BR1015" s="264" t="s">
        <v>1650</v>
      </c>
      <c r="BS1015" s="264">
        <f>1.8*10000</f>
        <v>18000</v>
      </c>
      <c r="BT1015" s="264">
        <f>2*10000</f>
        <v>20000</v>
      </c>
      <c r="BV1015">
        <f>BT1015-BS1015</f>
        <v>2000</v>
      </c>
      <c r="BX1015">
        <f>BV1015/1000*C_to_CO2</f>
        <v>7.34</v>
      </c>
      <c r="BY1015">
        <f>IFERROR(BX1015/BO1015,"")</f>
        <v>7.7263157894736825</v>
      </c>
      <c r="BZ1015">
        <v>0</v>
      </c>
      <c r="CA1015">
        <v>0</v>
      </c>
      <c r="CB1015">
        <v>0</v>
      </c>
      <c r="CC1015">
        <v>0</v>
      </c>
      <c r="CD1015">
        <v>0</v>
      </c>
      <c r="CE1015">
        <v>0</v>
      </c>
      <c r="CF1015">
        <v>0</v>
      </c>
      <c r="CG1015">
        <v>0</v>
      </c>
      <c r="CH1015">
        <v>0</v>
      </c>
      <c r="CI1015">
        <v>0</v>
      </c>
      <c r="CJ1015">
        <v>0</v>
      </c>
      <c r="CK1015">
        <v>0</v>
      </c>
      <c r="CL1015">
        <v>0</v>
      </c>
      <c r="CM1015">
        <v>0</v>
      </c>
      <c r="CN1015" t="str">
        <f>IF($BL1015&lt;$BK1015,"refNeedCorrection","refOK")</f>
        <v>refOK</v>
      </c>
      <c r="CO1015">
        <f>IF($CN1015="refOK",$BK1015,$BL1015)</f>
        <v>6.65</v>
      </c>
      <c r="CP1015">
        <f>IF($CN1015="refOK",$BL1015,$BK1015)</f>
        <v>7.6000000000000005</v>
      </c>
      <c r="CQ1015">
        <f>IF($CN1015="refOK",$BO1015,-$BO1015)</f>
        <v>0.95000000000000018</v>
      </c>
      <c r="CR1015">
        <f>IF($CN1015="refOK",$BS1015,$BT1015)*IF($BP1015="Emissions positive",-1,1)</f>
        <v>18000</v>
      </c>
      <c r="CS1015">
        <f>IF($CN1015="refOK",$BT1015,$BS1015)*IF($BP1015="Emissions positive",-1,1)</f>
        <v>20000</v>
      </c>
      <c r="CT1015">
        <f>IF($CN1015="refNeedCorrection",-BX1015,BX1015)*IF($BP1015="Emissions positive",-1,1)</f>
        <v>7.34</v>
      </c>
      <c r="CU1015">
        <f>IFERROR(CT1015/CQ1015,"")</f>
        <v>7.7263157894736825</v>
      </c>
      <c r="CV1015" s="2">
        <f>IFERROR((CS1015-CR1015)/ABS(CR1015),"")</f>
        <v>0.1111111111111111</v>
      </c>
      <c r="CW1015" s="162" t="s">
        <v>1462</v>
      </c>
      <c r="CX1015" s="264" t="str">
        <f>IF(OR($CW1015="prd",$CW1015="std",$CW1015="cit"),"loc",IF(OR($CW1015="eur",$CW1015="reg",$CW1015="coy"),"reg",$CW1015))</f>
        <v>reg</v>
      </c>
      <c r="CY1015" s="155" t="s">
        <v>743</v>
      </c>
      <c r="CZ1015">
        <v>2010</v>
      </c>
      <c r="DA1015">
        <v>2115</v>
      </c>
      <c r="DB1015">
        <f>DA1015-CZ1015</f>
        <v>105</v>
      </c>
      <c r="DC1015" t="str">
        <f>IF(DB1015=0,"0",IF(AND(DB1015&gt;=1,DB1015&lt;=30),"1-30",IF(AND(DB1015&gt;30,DB1015&lt;=70),"31-70",IF(AND(DB1015&gt;70,DB1015&lt;=100),"71-100",IF(DB1015&gt;100,"+100")))))</f>
        <v>+100</v>
      </c>
      <c r="DD1015">
        <v>0</v>
      </c>
      <c r="DE1015">
        <v>1</v>
      </c>
      <c r="DF1015">
        <v>1</v>
      </c>
      <c r="DG1015">
        <v>1</v>
      </c>
      <c r="DH1015">
        <v>0</v>
      </c>
      <c r="DI1015">
        <f>SUM(DD1015:DG1015)</f>
        <v>3</v>
      </c>
      <c r="DJ1015" t="str">
        <f>IF(DI1015=1,INDEX($DD$7:$DG$7,MATCH(1,$DD1015:$DG1015,0)),"mixedProduct")</f>
        <v>mixedProduct</v>
      </c>
      <c r="DK1015">
        <f>IF(DD1015=1,DK$7,0)</f>
        <v>0</v>
      </c>
      <c r="DL1015" t="str">
        <f>IF(DE1015=1,DL$7,0)</f>
        <v>Energy</v>
      </c>
      <c r="DM1015" t="str">
        <f>IF(DF1015=1,DM$7,0)</f>
        <v>Pulp/Paper</v>
      </c>
      <c r="DN1015" t="str">
        <f>IF(DG1015=1,DN$7,0)</f>
        <v>Timber</v>
      </c>
      <c r="DO1015">
        <v>0</v>
      </c>
      <c r="DP1015">
        <v>1</v>
      </c>
      <c r="DQ1015" s="264" t="s">
        <v>1651</v>
      </c>
      <c r="DR1015" s="264" t="s">
        <v>1651</v>
      </c>
      <c r="DS1015" s="264" t="s">
        <v>1651</v>
      </c>
      <c r="DT1015">
        <f>SUM(DO1015:DP1015)</f>
        <v>1</v>
      </c>
      <c r="DU1015" s="143" t="str">
        <f>IF(DO1015=1,"self-calculated DF",IF(DP1015=1,"external DF used","explicit C balance"))</f>
        <v>external DF used</v>
      </c>
      <c r="DV1015">
        <v>1</v>
      </c>
      <c r="DW1015">
        <v>1</v>
      </c>
      <c r="DX1015">
        <v>1</v>
      </c>
      <c r="DY1015">
        <v>1</v>
      </c>
      <c r="DZ1015">
        <v>1</v>
      </c>
      <c r="EA1015">
        <v>1</v>
      </c>
      <c r="EB1015">
        <v>1</v>
      </c>
      <c r="EC1015">
        <v>1</v>
      </c>
      <c r="ED1015">
        <v>0</v>
      </c>
      <c r="EE1015">
        <v>0</v>
      </c>
      <c r="EF1015">
        <v>1</v>
      </c>
      <c r="EG1015">
        <v>0</v>
      </c>
      <c r="EH1015">
        <v>1</v>
      </c>
      <c r="EI1015" s="2">
        <v>0</v>
      </c>
      <c r="EK1015" t="str">
        <f>IF(AND(AND(AND(OR($DX1015=1,$DW1015=1),OR($EC1015=1,$EA1015=1)),SUM($DV1015:$DZ1015,$EF1015)&gt;=4),SUM($EA1015:$EE1015)&gt;=2),"Whole sector","")</f>
        <v>Whole sector</v>
      </c>
      <c r="EL1015" t="str">
        <f>IF(AND(AND(OR($DX1015=1,$DW1015=1),AND($EC1015=0,$EA1015=0)),SUM($DV1015:$DZ1015,$EF1015)&gt;=4),"Ecosystem approach","")</f>
        <v/>
      </c>
      <c r="EM1015" s="2" t="str">
        <f>IF(AND(AND(AND($DX1015=0,$DW1015=0),OR($EC1015=1,$EA1015=1)),SUM($EB1015:$EE1015)&gt;=2),"Technology approach","")</f>
        <v/>
      </c>
      <c r="EP1015" t="str">
        <f>IF(ISNUMBER(BU1015),IF(ABS(BU1015-[3]QC_indicators!$B$2)&gt;3*[3]QC_indicators!$C$2,"C ratio",IF(ISNUMBER(BY1015),IF(ABS(BY1015-[3]QC_indicators!$B$1)&gt;3*[3]QC_indicators!$C$1,"DF","no"))),IF(ISNUMBER(BY1015),IF(ABS(BY1015-[3]QC_indicators!$B$1)&gt;3*[3]QC_indicators!$C$1,"DF","no")))</f>
        <v>DF</v>
      </c>
      <c r="ET1015" s="264" t="s">
        <v>3407</v>
      </c>
    </row>
    <row r="1016" spans="1:150" ht="15" customHeight="1">
      <c r="D1016" t="s">
        <v>963</v>
      </c>
      <c r="E1016" t="s">
        <v>1007</v>
      </c>
      <c r="G1016" t="s">
        <v>1008</v>
      </c>
      <c r="I1016">
        <v>2004</v>
      </c>
      <c r="K1016" t="s">
        <v>1009</v>
      </c>
      <c r="M1016" t="str">
        <f>LEFT($D1016,FIND(",",$D1016)-1)&amp;"_"&amp;I1016&amp;L1016</f>
        <v>Petersen_2004</v>
      </c>
      <c r="N1016" t="s">
        <v>222</v>
      </c>
      <c r="O1016" s="171" t="s">
        <v>513</v>
      </c>
      <c r="P1016" s="141" t="s">
        <v>225</v>
      </c>
      <c r="Q1016" t="s">
        <v>389</v>
      </c>
      <c r="R1016" s="262" t="s">
        <v>223</v>
      </c>
      <c r="S1016" s="1" t="s">
        <v>1014</v>
      </c>
      <c r="T1016" t="s">
        <v>1026</v>
      </c>
      <c r="U1016" t="s">
        <v>1016</v>
      </c>
      <c r="V1016">
        <v>0</v>
      </c>
      <c r="W1016">
        <v>0</v>
      </c>
      <c r="X1016">
        <v>0</v>
      </c>
      <c r="Y1016">
        <v>0</v>
      </c>
      <c r="Z1016">
        <v>0</v>
      </c>
      <c r="AA1016">
        <v>0</v>
      </c>
      <c r="AB1016">
        <v>0</v>
      </c>
      <c r="AC1016">
        <v>0</v>
      </c>
      <c r="AD1016">
        <v>0</v>
      </c>
      <c r="AE1016">
        <v>0</v>
      </c>
      <c r="AF1016">
        <v>0</v>
      </c>
      <c r="AG1016">
        <v>0</v>
      </c>
      <c r="AH1016">
        <v>0</v>
      </c>
      <c r="AI1016">
        <v>0</v>
      </c>
      <c r="AJ1016">
        <v>0</v>
      </c>
      <c r="AK1016">
        <v>1</v>
      </c>
      <c r="AL1016">
        <v>0</v>
      </c>
      <c r="AM1016">
        <v>0</v>
      </c>
      <c r="AN1016">
        <v>0</v>
      </c>
      <c r="AO1016">
        <v>0</v>
      </c>
      <c r="AP1016">
        <v>0</v>
      </c>
      <c r="AQ1016">
        <v>0</v>
      </c>
      <c r="AR1016">
        <v>0</v>
      </c>
      <c r="AS1016">
        <v>0</v>
      </c>
      <c r="AT1016">
        <v>0</v>
      </c>
      <c r="AU1016">
        <v>0</v>
      </c>
      <c r="AV1016">
        <v>0</v>
      </c>
      <c r="AW1016">
        <v>0</v>
      </c>
      <c r="AX1016" s="141">
        <f>COUNTIF(V1016:AW1016,"&lt;&gt;0")</f>
        <v>1</v>
      </c>
      <c r="AY1016" s="141">
        <f>COUNTIF(V1016:AL1016,"&lt;&gt;0")</f>
        <v>1</v>
      </c>
      <c r="AZ1016">
        <f>COUNTIF(V1016:AC1016,"&lt;&gt;0")</f>
        <v>0</v>
      </c>
      <c r="BA1016">
        <f>COUNTIF(AD1016:AI1016,"&lt;&gt;0")</f>
        <v>0</v>
      </c>
      <c r="BB1016">
        <f>COUNTIF(AJ1016:AL1016,"&lt;&gt;0")</f>
        <v>1</v>
      </c>
      <c r="BC1016">
        <f>COUNTIF(AS1016:AW1016,"&lt;&gt;0")</f>
        <v>0</v>
      </c>
      <c r="BD1016">
        <f>COUNTIF(AM1016:AR1016,"&lt;&gt;0")</f>
        <v>0</v>
      </c>
      <c r="BE1016" t="str">
        <f t="array" ref="BE1016">IF(AY1016=1,INDEX($V$7:$AL$7,MATCH(TRUE,INDEX($V1016:$AW1016&lt;&gt;0,),0)),IF(AY1016=0,INDEX($AM$7:$AW$7,MATCH(1,$AM1016:$AW1016,0)),IF(BF1016="Multiple strategies","mixed drivers",IF(BF1016="Supply chain","multiple supply","multiple silviculture"))))</f>
        <v>technologies/design switch</v>
      </c>
      <c r="BF1016" s="2" t="str" cm="1">
        <f t="array" ref="BF1016">IF(COUNTIF(AZ1016:BB1016,"&lt;&gt;0")=1,INDEX($V$4:$AW$4,MATCH(TRUE,INDEX($V1016:$AW1016&lt;&gt;0,),0)),IF(COUNTIF(AZ1016:BB1016,"&lt;&gt;0")=0,INDEX($AM$4:$AW$4,MATCH(1,$AM1016:$AW1016,0)),"Multiple strategies"))</f>
        <v>Technology</v>
      </c>
      <c r="BG1016" s="142" t="s">
        <v>229</v>
      </c>
      <c r="BH1016" t="s">
        <v>970</v>
      </c>
      <c r="BI1016" t="s">
        <v>1012</v>
      </c>
      <c r="BJ1016" t="s">
        <v>498</v>
      </c>
      <c r="BK1016">
        <v>0</v>
      </c>
      <c r="BL1016" s="143">
        <v>1</v>
      </c>
      <c r="BM1016" t="str">
        <f>IFERROR(BL1016/BK1016,"")</f>
        <v/>
      </c>
      <c r="BN1016">
        <f>BL1016-BK1016</f>
        <v>1</v>
      </c>
      <c r="BO1016" s="159">
        <v>1</v>
      </c>
      <c r="BP1016" t="s">
        <v>232</v>
      </c>
      <c r="BQ1016" t="s">
        <v>1013</v>
      </c>
      <c r="BR1016" t="s">
        <v>1002</v>
      </c>
      <c r="BU1016" s="144"/>
      <c r="BV1016">
        <v>8.4</v>
      </c>
      <c r="BX1016">
        <f>BV1016</f>
        <v>8.4</v>
      </c>
      <c r="BY1016">
        <f>IFERROR(BX1016/BO1016,"")</f>
        <v>8.4</v>
      </c>
      <c r="BZ1016">
        <v>0</v>
      </c>
      <c r="CA1016">
        <v>0</v>
      </c>
      <c r="CB1016">
        <v>0</v>
      </c>
      <c r="CC1016">
        <v>0</v>
      </c>
      <c r="CD1016">
        <v>0</v>
      </c>
      <c r="CE1016">
        <v>0</v>
      </c>
      <c r="CF1016">
        <v>0</v>
      </c>
      <c r="CG1016">
        <v>0</v>
      </c>
      <c r="CH1016">
        <v>0</v>
      </c>
      <c r="CI1016">
        <v>0</v>
      </c>
      <c r="CJ1016">
        <v>0</v>
      </c>
      <c r="CK1016">
        <v>0</v>
      </c>
      <c r="CL1016">
        <v>0</v>
      </c>
      <c r="CM1016">
        <v>0</v>
      </c>
      <c r="CN1016" t="str">
        <f>IF($BL1016&lt;$BK1016,"refNeedCorrection","refOK")</f>
        <v>refOK</v>
      </c>
      <c r="CO1016">
        <f>IF($CN1016="refOK",$BK1016,$BL1016)</f>
        <v>0</v>
      </c>
      <c r="CP1016">
        <f>IF($CN1016="refOK",$BL1016,$BK1016)</f>
        <v>1</v>
      </c>
      <c r="CQ1016">
        <f>IF($CN1016="refOK",$BO1016,-$BO1016)</f>
        <v>1</v>
      </c>
      <c r="CR1016">
        <f>IF($CN1016="refOK",$BS1016,$BT1016)*IF($BP1016="Emissions positive",-1,1)</f>
        <v>0</v>
      </c>
      <c r="CS1016">
        <f>IF($CN1016="refOK",$BT1016,$BS1016)*IF($BP1016="Emissions positive",-1,1)</f>
        <v>0</v>
      </c>
      <c r="CT1016">
        <f>IF($CN1016="refNeedCorrection",-BX1016,BX1016)*IF($BP1016="Emissions positive",-1,1)</f>
        <v>8.4</v>
      </c>
      <c r="CU1016">
        <f>IFERROR(CT1016/CQ1016,"")</f>
        <v>8.4</v>
      </c>
      <c r="CV1016" s="2" t="str">
        <f>IFERROR((CS1016-CR1016)/ABS(CR1016),"")</f>
        <v/>
      </c>
      <c r="CW1016" s="1" t="s">
        <v>263</v>
      </c>
      <c r="CX1016" t="str">
        <f>IF(OR($CW1016="prd",$CW1016="std",$CW1016="cit"),"loc",IF(OR($CW1016="eur",$CW1016="reg",$CW1016="coy"),"reg",$CW1016))</f>
        <v>loc</v>
      </c>
      <c r="CY1016" t="s">
        <v>264</v>
      </c>
      <c r="DA1016" s="143"/>
      <c r="DB1016" s="143">
        <v>45</v>
      </c>
      <c r="DC1016" t="str">
        <f>IF(DB1016=0,"0",IF(AND(DB1016&gt;=1,DB1016&lt;=30),"1-30",IF(AND(DB1016&gt;30,DB1016&lt;=70),"31-70",IF(AND(DB1016&gt;70,DB1016&lt;=100),"71-100",IF(DB1016&gt;100,"+100")))))</f>
        <v>31-70</v>
      </c>
      <c r="DD1016">
        <v>0</v>
      </c>
      <c r="DE1016">
        <v>0</v>
      </c>
      <c r="DF1016">
        <v>0</v>
      </c>
      <c r="DG1016">
        <v>1</v>
      </c>
      <c r="DH1016">
        <v>0</v>
      </c>
      <c r="DI1016">
        <f>SUM(DD1016:DG1016)</f>
        <v>1</v>
      </c>
      <c r="DJ1016" t="str">
        <f>IF(DI1016=1,INDEX($DD$7:$DG$7,MATCH(1,$DD1016:$DG1016,0)),"mixedProduct")</f>
        <v>TimberInput</v>
      </c>
      <c r="DK1016">
        <f>IF(DD1016=1,DK$7,0)</f>
        <v>0</v>
      </c>
      <c r="DL1016">
        <f>IF(DE1016=1,DL$7,0)</f>
        <v>0</v>
      </c>
      <c r="DM1016">
        <f>IF(DF1016=1,DM$7,0)</f>
        <v>0</v>
      </c>
      <c r="DN1016" t="str">
        <f>IF(DG1016=1,DN$7,0)</f>
        <v>Timber</v>
      </c>
      <c r="DO1016">
        <v>1</v>
      </c>
      <c r="DP1016">
        <v>0</v>
      </c>
      <c r="DQ1016">
        <v>0</v>
      </c>
      <c r="DR1016">
        <v>0</v>
      </c>
      <c r="DS1016">
        <v>0</v>
      </c>
      <c r="DT1016">
        <f>SUM(DO1016:DP1016)</f>
        <v>1</v>
      </c>
      <c r="DU1016" s="143" t="str">
        <f>IF(DO1016=1,"self-calculated DF",IF(DP1016=1,"external DF used","explicit C balance"))</f>
        <v>self-calculated DF</v>
      </c>
      <c r="DV1016" s="143">
        <v>0</v>
      </c>
      <c r="DW1016" s="143">
        <v>0</v>
      </c>
      <c r="DX1016" s="143">
        <v>0</v>
      </c>
      <c r="DY1016" s="143">
        <v>0</v>
      </c>
      <c r="DZ1016">
        <v>0</v>
      </c>
      <c r="EA1016" s="143">
        <v>0</v>
      </c>
      <c r="EB1016" s="143">
        <v>0</v>
      </c>
      <c r="EC1016" s="143">
        <v>1</v>
      </c>
      <c r="ED1016" s="143">
        <v>0</v>
      </c>
      <c r="EE1016">
        <v>0</v>
      </c>
      <c r="EF1016">
        <v>0</v>
      </c>
      <c r="EG1016" s="143">
        <v>0</v>
      </c>
      <c r="EH1016" s="143">
        <v>0</v>
      </c>
      <c r="EI1016" s="2">
        <v>0</v>
      </c>
      <c r="EK1016" t="str">
        <f>IF(AND(AND(AND(OR($DX1016=1,$DW1016=1),OR($EC1016=1,$EA1016=1)),SUM($DV1016:$DZ1016,$EF1016)&gt;=4),SUM($EA1016:$EE1016)&gt;=2),"Whole sector","")</f>
        <v/>
      </c>
      <c r="EL1016" t="str">
        <f>IF(AND(AND(OR($DX1016=1,$DW1016=1),AND($EC1016=0,$EA1016=0)),SUM($DV1016:$DZ1016,$EF1016)&gt;=4),"Ecosystem approach","")</f>
        <v/>
      </c>
      <c r="EM1016" s="2" t="str">
        <f>IF(AND(AND(AND($DX1016=0,$DW1016=0),OR($EC1016=1,$EA1016=1)),SUM($EB1016:$EE1016)&gt;=2),"Technology approach","")</f>
        <v/>
      </c>
      <c r="EP1016" t="str">
        <f>IF(ISNUMBER(BU1016),IF(ABS(BU1016-[1]QC_indicators!$B$2)&gt;3*[1]QC_indicators!$C$2,"C ratio",IF(ISNUMBER(BY1016),IF(ABS(BY1016-[1]QC_indicators!$B$1)&gt;3*[1]QC_indicators!$C$1,"DF","no"))),IF(ISNUMBER(BY1016),IF(ABS(BY1016-[1]QC_indicators!$B$1)&gt;3*[1]QC_indicators!$C$1,"DF","no")))</f>
        <v>no</v>
      </c>
      <c r="EQ1016" s="266" t="s">
        <v>3213</v>
      </c>
      <c r="ER1016" t="s">
        <v>995</v>
      </c>
      <c r="ET1016" s="264" t="s">
        <v>3212</v>
      </c>
    </row>
    <row r="1017" spans="1:150" ht="15" customHeight="1">
      <c r="D1017" t="s">
        <v>963</v>
      </c>
      <c r="E1017" t="s">
        <v>1007</v>
      </c>
      <c r="G1017" t="s">
        <v>1008</v>
      </c>
      <c r="I1017">
        <v>2004</v>
      </c>
      <c r="K1017" t="s">
        <v>1009</v>
      </c>
      <c r="M1017" t="str">
        <f>LEFT($D1017,FIND(",",$D1017)-1)&amp;"_"&amp;I1017&amp;L1017</f>
        <v>Petersen_2004</v>
      </c>
      <c r="N1017" t="s">
        <v>222</v>
      </c>
      <c r="O1017" s="171" t="s">
        <v>513</v>
      </c>
      <c r="P1017" s="141" t="s">
        <v>225</v>
      </c>
      <c r="Q1017" t="s">
        <v>389</v>
      </c>
      <c r="R1017" s="262" t="s">
        <v>223</v>
      </c>
      <c r="S1017" s="1" t="s">
        <v>983</v>
      </c>
      <c r="T1017" t="s">
        <v>1027</v>
      </c>
      <c r="U1017" t="s">
        <v>1020</v>
      </c>
      <c r="V1017">
        <v>0</v>
      </c>
      <c r="W1017">
        <v>0</v>
      </c>
      <c r="X1017">
        <v>0</v>
      </c>
      <c r="Y1017">
        <v>0</v>
      </c>
      <c r="Z1017">
        <v>0</v>
      </c>
      <c r="AA1017">
        <v>0</v>
      </c>
      <c r="AB1017">
        <v>0</v>
      </c>
      <c r="AC1017">
        <v>0</v>
      </c>
      <c r="AD1017">
        <v>0</v>
      </c>
      <c r="AE1017">
        <v>0</v>
      </c>
      <c r="AF1017">
        <v>0</v>
      </c>
      <c r="AG1017">
        <v>0</v>
      </c>
      <c r="AH1017">
        <v>0</v>
      </c>
      <c r="AI1017">
        <v>0</v>
      </c>
      <c r="AJ1017">
        <v>0</v>
      </c>
      <c r="AK1017">
        <v>1</v>
      </c>
      <c r="AL1017">
        <v>0</v>
      </c>
      <c r="AM1017">
        <v>0</v>
      </c>
      <c r="AN1017">
        <v>0</v>
      </c>
      <c r="AO1017">
        <v>0</v>
      </c>
      <c r="AP1017">
        <v>0</v>
      </c>
      <c r="AQ1017">
        <v>0</v>
      </c>
      <c r="AR1017">
        <v>0</v>
      </c>
      <c r="AS1017">
        <v>0</v>
      </c>
      <c r="AT1017">
        <v>0</v>
      </c>
      <c r="AU1017">
        <v>0</v>
      </c>
      <c r="AV1017">
        <v>0</v>
      </c>
      <c r="AW1017">
        <v>0</v>
      </c>
      <c r="AX1017" s="141">
        <f>COUNTIF(V1017:AW1017,"&lt;&gt;0")</f>
        <v>1</v>
      </c>
      <c r="AY1017" s="141">
        <f>COUNTIF(V1017:AL1017,"&lt;&gt;0")</f>
        <v>1</v>
      </c>
      <c r="AZ1017">
        <f>COUNTIF(V1017:AC1017,"&lt;&gt;0")</f>
        <v>0</v>
      </c>
      <c r="BA1017">
        <f>COUNTIF(AD1017:AI1017,"&lt;&gt;0")</f>
        <v>0</v>
      </c>
      <c r="BB1017">
        <f>COUNTIF(AJ1017:AL1017,"&lt;&gt;0")</f>
        <v>1</v>
      </c>
      <c r="BC1017">
        <f>COUNTIF(AS1017:AW1017,"&lt;&gt;0")</f>
        <v>0</v>
      </c>
      <c r="BD1017">
        <f>COUNTIF(AM1017:AR1017,"&lt;&gt;0")</f>
        <v>0</v>
      </c>
      <c r="BE1017" t="str">
        <f t="array" ref="BE1017">IF(AY1017=1,INDEX($V$7:$AL$7,MATCH(TRUE,INDEX($V1017:$AW1017&lt;&gt;0,),0)),IF(AY1017=0,INDEX($AM$7:$AW$7,MATCH(1,$AM1017:$AW1017,0)),IF(BF1017="Multiple strategies","mixed drivers",IF(BF1017="Supply chain","multiple supply","multiple silviculture"))))</f>
        <v>technologies/design switch</v>
      </c>
      <c r="BF1017" s="2" t="str" cm="1">
        <f t="array" ref="BF1017">IF(COUNTIF(AZ1017:BB1017,"&lt;&gt;0")=1,INDEX($V$4:$AW$4,MATCH(TRUE,INDEX($V1017:$AW1017&lt;&gt;0,),0)),IF(COUNTIF(AZ1017:BB1017,"&lt;&gt;0")=0,INDEX($AM$4:$AW$4,MATCH(1,$AM1017:$AW1017,0)),"Multiple strategies"))</f>
        <v>Technology</v>
      </c>
      <c r="BG1017" s="142" t="s">
        <v>229</v>
      </c>
      <c r="BH1017" t="s">
        <v>970</v>
      </c>
      <c r="BI1017" t="s">
        <v>1012</v>
      </c>
      <c r="BJ1017" t="s">
        <v>498</v>
      </c>
      <c r="BK1017">
        <v>0</v>
      </c>
      <c r="BL1017" s="143">
        <v>1</v>
      </c>
      <c r="BM1017" t="str">
        <f>IFERROR(BL1017/BK1017,"")</f>
        <v/>
      </c>
      <c r="BN1017">
        <f>BL1017-BK1017</f>
        <v>1</v>
      </c>
      <c r="BO1017" s="159">
        <v>1</v>
      </c>
      <c r="BP1017" t="s">
        <v>232</v>
      </c>
      <c r="BQ1017" t="s">
        <v>1013</v>
      </c>
      <c r="BR1017" t="s">
        <v>973</v>
      </c>
      <c r="BU1017" s="144"/>
      <c r="BV1017">
        <v>8.4</v>
      </c>
      <c r="BX1017">
        <f>BV1017</f>
        <v>8.4</v>
      </c>
      <c r="BY1017">
        <f>IFERROR(BX1017/BO1017,"")</f>
        <v>8.4</v>
      </c>
      <c r="BZ1017">
        <v>0</v>
      </c>
      <c r="CA1017">
        <v>0</v>
      </c>
      <c r="CB1017">
        <v>0</v>
      </c>
      <c r="CC1017">
        <v>0</v>
      </c>
      <c r="CD1017">
        <v>0</v>
      </c>
      <c r="CE1017">
        <v>0</v>
      </c>
      <c r="CF1017">
        <v>0</v>
      </c>
      <c r="CG1017">
        <v>0</v>
      </c>
      <c r="CH1017">
        <v>0</v>
      </c>
      <c r="CI1017">
        <v>0</v>
      </c>
      <c r="CJ1017">
        <v>0</v>
      </c>
      <c r="CK1017">
        <v>0</v>
      </c>
      <c r="CL1017">
        <v>0</v>
      </c>
      <c r="CM1017">
        <v>0</v>
      </c>
      <c r="CN1017" t="str">
        <f>IF($BL1017&lt;$BK1017,"refNeedCorrection","refOK")</f>
        <v>refOK</v>
      </c>
      <c r="CO1017">
        <f>IF($CN1017="refOK",$BK1017,$BL1017)</f>
        <v>0</v>
      </c>
      <c r="CP1017">
        <f>IF($CN1017="refOK",$BL1017,$BK1017)</f>
        <v>1</v>
      </c>
      <c r="CQ1017">
        <f>IF($CN1017="refOK",$BO1017,-$BO1017)</f>
        <v>1</v>
      </c>
      <c r="CR1017">
        <f>IF($CN1017="refOK",$BS1017,$BT1017)*IF($BP1017="Emissions positive",-1,1)</f>
        <v>0</v>
      </c>
      <c r="CS1017">
        <f>IF($CN1017="refOK",$BT1017,$BS1017)*IF($BP1017="Emissions positive",-1,1)</f>
        <v>0</v>
      </c>
      <c r="CT1017">
        <f>IF($CN1017="refNeedCorrection",-BX1017,BX1017)*IF($BP1017="Emissions positive",-1,1)</f>
        <v>8.4</v>
      </c>
      <c r="CU1017">
        <f>IFERROR(CT1017/CQ1017,"")</f>
        <v>8.4</v>
      </c>
      <c r="CV1017" s="2" t="str">
        <f>IFERROR((CS1017-CR1017)/ABS(CR1017),"")</f>
        <v/>
      </c>
      <c r="CW1017" s="1" t="s">
        <v>263</v>
      </c>
      <c r="CX1017" t="str">
        <f>IF(OR($CW1017="prd",$CW1017="std",$CW1017="cit"),"loc",IF(OR($CW1017="eur",$CW1017="reg",$CW1017="coy"),"reg",$CW1017))</f>
        <v>loc</v>
      </c>
      <c r="CY1017" t="s">
        <v>264</v>
      </c>
      <c r="DA1017" s="143"/>
      <c r="DB1017" s="143">
        <v>45</v>
      </c>
      <c r="DC1017" t="str">
        <f>IF(DB1017=0,"0",IF(AND(DB1017&gt;=1,DB1017&lt;=30),"1-30",IF(AND(DB1017&gt;30,DB1017&lt;=70),"31-70",IF(AND(DB1017&gt;70,DB1017&lt;=100),"71-100",IF(DB1017&gt;100,"+100")))))</f>
        <v>31-70</v>
      </c>
      <c r="DD1017">
        <v>0</v>
      </c>
      <c r="DE1017">
        <v>0</v>
      </c>
      <c r="DF1017">
        <v>0</v>
      </c>
      <c r="DG1017">
        <v>1</v>
      </c>
      <c r="DH1017">
        <v>0</v>
      </c>
      <c r="DI1017">
        <f>SUM(DD1017:DG1017)</f>
        <v>1</v>
      </c>
      <c r="DJ1017" t="str">
        <f>IF(DI1017=1,INDEX($DD$7:$DG$7,MATCH(1,$DD1017:$DG1017,0)),"mixedProduct")</f>
        <v>TimberInput</v>
      </c>
      <c r="DK1017">
        <f>IF(DD1017=1,DK$7,0)</f>
        <v>0</v>
      </c>
      <c r="DL1017">
        <f>IF(DE1017=1,DL$7,0)</f>
        <v>0</v>
      </c>
      <c r="DM1017">
        <f>IF(DF1017=1,DM$7,0)</f>
        <v>0</v>
      </c>
      <c r="DN1017" t="str">
        <f>IF(DG1017=1,DN$7,0)</f>
        <v>Timber</v>
      </c>
      <c r="DO1017">
        <v>1</v>
      </c>
      <c r="DP1017">
        <v>0</v>
      </c>
      <c r="DQ1017">
        <v>0</v>
      </c>
      <c r="DR1017">
        <v>0</v>
      </c>
      <c r="DS1017">
        <v>0</v>
      </c>
      <c r="DT1017">
        <f>SUM(DO1017:DP1017)</f>
        <v>1</v>
      </c>
      <c r="DU1017" s="143" t="str">
        <f>IF(DO1017=1,"self-calculated DF",IF(DP1017=1,"external DF used","explicit C balance"))</f>
        <v>self-calculated DF</v>
      </c>
      <c r="DV1017" s="143">
        <v>0</v>
      </c>
      <c r="DW1017" s="143">
        <v>0</v>
      </c>
      <c r="DX1017" s="143">
        <v>0</v>
      </c>
      <c r="DY1017" s="143">
        <v>0</v>
      </c>
      <c r="DZ1017">
        <v>0</v>
      </c>
      <c r="EA1017" s="143">
        <v>1</v>
      </c>
      <c r="EB1017" s="143">
        <v>0</v>
      </c>
      <c r="EC1017" s="143">
        <v>1</v>
      </c>
      <c r="ED1017" s="143">
        <v>0</v>
      </c>
      <c r="EE1017">
        <v>0</v>
      </c>
      <c r="EF1017">
        <v>0</v>
      </c>
      <c r="EG1017" s="143">
        <v>0</v>
      </c>
      <c r="EH1017" s="143">
        <v>0</v>
      </c>
      <c r="EI1017" s="2">
        <v>0</v>
      </c>
      <c r="EK1017" t="str">
        <f>IF(AND(AND(AND(OR($DX1017=1,$DW1017=1),OR($EC1017=1,$EA1017=1)),SUM($DV1017:$DZ1017,$EF1017)&gt;=4),SUM($EA1017:$EE1017)&gt;=2),"Whole sector","")</f>
        <v/>
      </c>
      <c r="EL1017" t="str">
        <f>IF(AND(AND(OR($DX1017=1,$DW1017=1),AND($EC1017=0,$EA1017=0)),SUM($DV1017:$DZ1017,$EF1017)&gt;=4),"Ecosystem approach","")</f>
        <v/>
      </c>
      <c r="EM1017" s="2" t="str">
        <f>IF(AND(AND(AND($DX1017=0,$DW1017=0),OR($EC1017=1,$EA1017=1)),SUM($EB1017:$EE1017)&gt;=2),"Technology approach","")</f>
        <v/>
      </c>
      <c r="EP1017" t="str">
        <f>IF(ISNUMBER(BU1017),IF(ABS(BU1017-[1]QC_indicators!$B$2)&gt;3*[1]QC_indicators!$C$2,"C ratio",IF(ISNUMBER(BY1017),IF(ABS(BY1017-[1]QC_indicators!$B$1)&gt;3*[1]QC_indicators!$C$1,"DF","no"))),IF(ISNUMBER(BY1017),IF(ABS(BY1017-[1]QC_indicators!$B$1)&gt;3*[1]QC_indicators!$C$1,"DF","no")))</f>
        <v>no</v>
      </c>
      <c r="EQ1017" s="266" t="s">
        <v>3213</v>
      </c>
      <c r="ER1017" t="s">
        <v>995</v>
      </c>
      <c r="ET1017" s="264" t="s">
        <v>3212</v>
      </c>
    </row>
    <row r="1018" spans="1:150" ht="15" customHeight="1">
      <c r="A1018" s="1" t="s">
        <v>1378</v>
      </c>
      <c r="B1018" t="s">
        <v>1922</v>
      </c>
      <c r="C1018" t="s">
        <v>1923</v>
      </c>
      <c r="D1018" t="s">
        <v>1924</v>
      </c>
      <c r="E1018" t="s">
        <v>1925</v>
      </c>
      <c r="F1018" t="s">
        <v>1926</v>
      </c>
      <c r="G1018" t="s">
        <v>1384</v>
      </c>
      <c r="H1018" t="s">
        <v>254</v>
      </c>
      <c r="I1018">
        <v>2016</v>
      </c>
      <c r="J1018">
        <v>12</v>
      </c>
      <c r="K1018" t="s">
        <v>1927</v>
      </c>
      <c r="M1018" t="str">
        <f>LEFT($D1018,FIND(",",$D1018)-1)&amp;"_"&amp;I1018&amp;L1018</f>
        <v>Lobianco_2016</v>
      </c>
      <c r="N1018" t="s">
        <v>222</v>
      </c>
      <c r="O1018" s="145" t="s">
        <v>225</v>
      </c>
      <c r="P1018" t="s">
        <v>513</v>
      </c>
      <c r="Q1018" t="s">
        <v>256</v>
      </c>
      <c r="R1018" s="262" t="s">
        <v>223</v>
      </c>
      <c r="S1018" s="1" t="s">
        <v>1936</v>
      </c>
      <c r="T1018" s="143" t="s">
        <v>1155</v>
      </c>
      <c r="U1018" s="143" t="s">
        <v>3175</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1</v>
      </c>
      <c r="AO1018">
        <v>0</v>
      </c>
      <c r="AP1018">
        <v>0</v>
      </c>
      <c r="AQ1018">
        <v>0</v>
      </c>
      <c r="AR1018">
        <v>0</v>
      </c>
      <c r="AS1018">
        <v>0</v>
      </c>
      <c r="AT1018">
        <v>0</v>
      </c>
      <c r="AU1018">
        <v>0</v>
      </c>
      <c r="AV1018">
        <v>0</v>
      </c>
      <c r="AW1018">
        <v>0</v>
      </c>
      <c r="AX1018" s="141">
        <f>COUNTIF(V1018:AW1018,"&lt;&gt;0")</f>
        <v>1</v>
      </c>
      <c r="AY1018" s="141">
        <f>COUNTIF(V1018:AL1018,"&lt;&gt;0")</f>
        <v>0</v>
      </c>
      <c r="AZ1018">
        <f>COUNTIF(V1018:AC1018,"&lt;&gt;0")</f>
        <v>0</v>
      </c>
      <c r="BA1018">
        <f>COUNTIF(AD1018:AI1018,"&lt;&gt;0")</f>
        <v>0</v>
      </c>
      <c r="BB1018">
        <f>COUNTIF(AJ1018:AL1018,"&lt;&gt;0")</f>
        <v>0</v>
      </c>
      <c r="BC1018">
        <f>COUNTIF(AS1018:AW1018,"&lt;&gt;0")</f>
        <v>0</v>
      </c>
      <c r="BD1018">
        <f>COUNTIF(AM1018:AR1018,"&lt;&gt;0")</f>
        <v>1</v>
      </c>
      <c r="BE1018" t="str">
        <f t="array" ref="BE1018">IF(AY1018=1,INDEX($V$7:$AL$7,MATCH(TRUE,INDEX($V1018:$AW1018&lt;&gt;0,),0)),IF(AY1018=0,INDEX($AM$7:$AW$7,MATCH(1,$AM1018:$AW1018,0)),IF(BF1018="Multiple strategies","mixed drivers",IF(BF1018="Supply chain","multiple supply","multiple silviculture"))))</f>
        <v>Temperature</v>
      </c>
      <c r="BF1018" s="2" t="str" cm="1">
        <f t="array" ref="BF1018">IF(COUNTIF(AZ1018:BB1018,"&lt;&gt;0")=1,INDEX($V$4:$AW$4,MATCH(TRUE,INDEX($V1018:$AW1018&lt;&gt;0,),0)),IF(COUNTIF(AZ1018:BB1018,"&lt;&gt;0")=0,INDEX($AM$4:$AW$4,MATCH(1,$AM1018:$AW1018,0)),"Multiple strategies"))</f>
        <v>Environmental change</v>
      </c>
      <c r="BG1018" s="142" t="s">
        <v>321</v>
      </c>
      <c r="BH1018" s="265" t="s">
        <v>3163</v>
      </c>
      <c r="BI1018" s="264" t="s">
        <v>3164</v>
      </c>
      <c r="BJ1018" s="143" t="s">
        <v>3165</v>
      </c>
      <c r="BK1018">
        <f>53.247</f>
        <v>53.247</v>
      </c>
      <c r="BL1018">
        <f>53.247*(1+0.29/100)</f>
        <v>53.401416299999994</v>
      </c>
      <c r="BM1018" s="163"/>
      <c r="BN1018">
        <f>BL1018-BK1018</f>
        <v>0.15441629999999407</v>
      </c>
      <c r="BO1018" s="143">
        <f>BN1018*10^6</f>
        <v>154416.29999999408</v>
      </c>
      <c r="BP1018" t="s">
        <v>232</v>
      </c>
      <c r="BQ1018" s="264" t="s">
        <v>3166</v>
      </c>
      <c r="BR1018" s="143" t="s">
        <v>1929</v>
      </c>
      <c r="BS1018">
        <v>89.468999999999994</v>
      </c>
      <c r="BT1018">
        <v>90.909450899999996</v>
      </c>
      <c r="BU1018" s="144">
        <f>IFERROR(BT1018/BS1018,"")</f>
        <v>1.0161</v>
      </c>
      <c r="BV1018">
        <f>BT1018-BS1018</f>
        <v>1.4404509000000019</v>
      </c>
      <c r="BX1018">
        <f>BV1018*10^6</f>
        <v>1440450.9000000018</v>
      </c>
      <c r="BY1018">
        <f>IFERROR(BX1018/BO1018,"")</f>
        <v>9.3283604127288182</v>
      </c>
      <c r="BZ1018">
        <v>0</v>
      </c>
      <c r="CA1018">
        <v>0</v>
      </c>
      <c r="CB1018">
        <v>0</v>
      </c>
      <c r="CC1018">
        <v>0</v>
      </c>
      <c r="CD1018">
        <v>0</v>
      </c>
      <c r="CE1018">
        <v>0</v>
      </c>
      <c r="CF1018">
        <v>0</v>
      </c>
      <c r="CG1018">
        <v>0</v>
      </c>
      <c r="CH1018">
        <v>0</v>
      </c>
      <c r="CI1018">
        <v>0</v>
      </c>
      <c r="CJ1018">
        <v>0</v>
      </c>
      <c r="CK1018">
        <v>0</v>
      </c>
      <c r="CL1018">
        <v>0</v>
      </c>
      <c r="CM1018">
        <v>0</v>
      </c>
      <c r="CN1018" t="str">
        <f>IF($BL1018&lt;$BK1018,"refNeedCorrection","refOK")</f>
        <v>refOK</v>
      </c>
      <c r="CO1018">
        <f>IF($CN1018="refOK",$BK1018,$BL1018)</f>
        <v>53.247</v>
      </c>
      <c r="CP1018">
        <f>IF($CN1018="refOK",$BL1018,$BK1018)</f>
        <v>53.401416299999994</v>
      </c>
      <c r="CQ1018">
        <f>IF($CN1018="refOK",$BO1018,-$BO1018)</f>
        <v>154416.29999999408</v>
      </c>
      <c r="CR1018">
        <f>IF($CN1018="refOK",$BS1018,$BT1018)*IF($BP1018="Emissions positive",-1,1)</f>
        <v>89.468999999999994</v>
      </c>
      <c r="CS1018">
        <f>IF($CN1018="refOK",$BT1018,$BS1018)*IF($BP1018="Emissions positive",-1,1)</f>
        <v>90.909450899999996</v>
      </c>
      <c r="CT1018">
        <f>IF($CN1018="refNeedCorrection",-BX1018,BX1018)*IF($BP1018="Emissions positive",-1,1)</f>
        <v>1440450.9000000018</v>
      </c>
      <c r="CU1018">
        <f>IFERROR(CT1018/CQ1018,"")</f>
        <v>9.3283604127288182</v>
      </c>
      <c r="CV1018" s="2">
        <f>IFERROR((CS1018-CR1018)/ABS(CR1018),"")</f>
        <v>1.6100000000000021E-2</v>
      </c>
      <c r="CW1018" s="1" t="s">
        <v>1199</v>
      </c>
      <c r="CX1018" t="str">
        <f>IF(OR($CW1018="prd",$CW1018="std",$CW1018="cit"),"loc",IF(OR($CW1018="eur",$CW1018="reg",$CW1018="coy"),"reg",$CW1018))</f>
        <v>reg</v>
      </c>
      <c r="CY1018" t="s">
        <v>729</v>
      </c>
      <c r="CZ1018">
        <v>2007</v>
      </c>
      <c r="DA1018" s="143">
        <v>2100</v>
      </c>
      <c r="DB1018" s="143">
        <f>DA1018-CZ1018</f>
        <v>93</v>
      </c>
      <c r="DC1018" t="str">
        <f>IF(DB1018=0,"0",IF(AND(DB1018&gt;=1,DB1018&lt;=30),"1-30",IF(AND(DB1018&gt;30,DB1018&lt;=70),"31-70",IF(AND(DB1018&gt;70,DB1018&lt;=100),"71-100",IF(DB1018&gt;100,"+100")))))</f>
        <v>71-100</v>
      </c>
      <c r="DD1018">
        <v>0</v>
      </c>
      <c r="DE1018">
        <v>1</v>
      </c>
      <c r="DF1018">
        <v>0</v>
      </c>
      <c r="DG1018">
        <v>1</v>
      </c>
      <c r="DH1018">
        <v>1</v>
      </c>
      <c r="DI1018">
        <f>SUM(DD1018:DG1018)</f>
        <v>2</v>
      </c>
      <c r="DJ1018" t="str">
        <f>IF(DI1018=1,INDEX($DD$7:$DG$7,MATCH(1,$DD1018:$DG1018,0)),"mixedProduct")</f>
        <v>mixedProduct</v>
      </c>
      <c r="DK1018">
        <f>IF(DD1018=1,DK$7,0)</f>
        <v>0</v>
      </c>
      <c r="DL1018" t="str">
        <f>IF(DE1018=1,DL$7,0)</f>
        <v>Energy</v>
      </c>
      <c r="DM1018">
        <f>IF(DF1018=1,DM$7,0)</f>
        <v>0</v>
      </c>
      <c r="DN1018" t="str">
        <f>IF(DG1018=1,DN$7,0)</f>
        <v>Timber</v>
      </c>
      <c r="DO1018">
        <v>0</v>
      </c>
      <c r="DP1018" s="143">
        <v>0</v>
      </c>
      <c r="DQ1018" s="143">
        <v>0</v>
      </c>
      <c r="DR1018">
        <v>0</v>
      </c>
      <c r="DS1018" s="143">
        <v>0</v>
      </c>
      <c r="DT1018">
        <f>SUM(DO1018:DP1018)</f>
        <v>0</v>
      </c>
      <c r="DU1018" s="143" t="str">
        <f>IF(DO1018=1,"self-calculated DF",IF(DP1018=1,"external DF used","explicit C balance"))</f>
        <v>explicit C balance</v>
      </c>
      <c r="DV1018" s="143">
        <v>0</v>
      </c>
      <c r="DW1018" s="143">
        <v>0</v>
      </c>
      <c r="DX1018" s="143">
        <v>1</v>
      </c>
      <c r="DY1018" s="143">
        <v>1</v>
      </c>
      <c r="DZ1018">
        <v>0</v>
      </c>
      <c r="EA1018" s="143">
        <v>0</v>
      </c>
      <c r="EB1018" s="143">
        <v>0</v>
      </c>
      <c r="EC1018" s="143">
        <v>0</v>
      </c>
      <c r="ED1018" s="143">
        <v>0</v>
      </c>
      <c r="EE1018">
        <v>0</v>
      </c>
      <c r="EF1018">
        <v>1</v>
      </c>
      <c r="EG1018" s="143">
        <v>0</v>
      </c>
      <c r="EH1018">
        <v>0</v>
      </c>
      <c r="EI1018" s="2">
        <v>1</v>
      </c>
      <c r="EK1018" t="str">
        <f>IF(AND(AND(AND(OR($DX1018=1,$DW1018=1),OR($EC1018=1,$EA1018=1)),SUM($DV1018:$DZ1018,$EF1018)&gt;=4),SUM($EA1018:$EE1018)&gt;=2),"Whole sector","")</f>
        <v/>
      </c>
      <c r="EL1018" t="str">
        <f>IF(AND(AND(OR($DX1018=1,$DW1018=1),AND($EC1018=0,$EA1018=0)),SUM($DV1018:$DZ1018,$EF1018)&gt;=4),"Ecosystem approach","")</f>
        <v/>
      </c>
      <c r="EM1018" s="2" t="str">
        <f>IF(AND(AND(AND($DX1018=0,$DW1018=0),OR($EC1018=1,$EA1018=1)),SUM($EB1018:$EE1018)&gt;=2),"Technology approach","")</f>
        <v/>
      </c>
      <c r="EP1018" t="str">
        <f>IF(ISNUMBER(BU1018),IF(ABS(BU1018-[1]QC_indicators!$B$2)&gt;3*[1]QC_indicators!$C$2,"C ratio",IF(ISNUMBER(BY1018),IF(ABS(BY1018-[1]QC_indicators!$B$1)&gt;3*[1]QC_indicators!$C$1,"DF","no"))),IF(ISNUMBER(BY1018),IF(ABS(BY1018-[1]QC_indicators!$B$1)&gt;3*[1]QC_indicators!$C$1,"DF","no")))</f>
        <v>no</v>
      </c>
      <c r="ET1018" s="264" t="s">
        <v>3167</v>
      </c>
    </row>
    <row r="1019" spans="1:150" ht="15" customHeight="1">
      <c r="A1019" s="1" t="s">
        <v>1270</v>
      </c>
      <c r="B1019" t="s">
        <v>1271</v>
      </c>
      <c r="C1019" t="s">
        <v>1272</v>
      </c>
      <c r="D1019" t="s">
        <v>1273</v>
      </c>
      <c r="E1019" t="s">
        <v>1274</v>
      </c>
      <c r="F1019" t="s">
        <v>1275</v>
      </c>
      <c r="G1019" t="s">
        <v>1276</v>
      </c>
      <c r="I1019">
        <v>2019</v>
      </c>
      <c r="K1019" t="s">
        <v>1277</v>
      </c>
      <c r="M1019" t="str">
        <f>LEFT($D1019,FIND(",",$D1019)-1)&amp;"_"&amp;I1019&amp;L1019</f>
        <v>Baskent_2019</v>
      </c>
      <c r="N1019" t="s">
        <v>222</v>
      </c>
      <c r="O1019" s="140" t="s">
        <v>513</v>
      </c>
      <c r="Q1019" t="s">
        <v>224</v>
      </c>
      <c r="R1019" s="269" t="s">
        <v>274</v>
      </c>
      <c r="S1019" s="1" t="s">
        <v>1278</v>
      </c>
      <c r="T1019" t="s">
        <v>1111</v>
      </c>
      <c r="U1019" s="143" t="s">
        <v>1285</v>
      </c>
      <c r="V1019" s="143">
        <v>0</v>
      </c>
      <c r="W1019" s="143">
        <v>0</v>
      </c>
      <c r="X1019" s="143">
        <v>0</v>
      </c>
      <c r="Y1019" s="143">
        <v>1</v>
      </c>
      <c r="Z1019" s="143">
        <v>2</v>
      </c>
      <c r="AA1019" s="143">
        <v>0</v>
      </c>
      <c r="AB1019" s="143">
        <v>0</v>
      </c>
      <c r="AC1019" s="143">
        <v>0</v>
      </c>
      <c r="AD1019">
        <v>0</v>
      </c>
      <c r="AE1019">
        <v>0</v>
      </c>
      <c r="AF1019">
        <v>2</v>
      </c>
      <c r="AG1019">
        <v>0</v>
      </c>
      <c r="AH1019">
        <v>0</v>
      </c>
      <c r="AI1019">
        <v>0</v>
      </c>
      <c r="AJ1019">
        <v>2</v>
      </c>
      <c r="AK1019">
        <v>0</v>
      </c>
      <c r="AL1019">
        <v>0</v>
      </c>
      <c r="AM1019">
        <v>0</v>
      </c>
      <c r="AN1019">
        <v>2</v>
      </c>
      <c r="AO1019">
        <v>2</v>
      </c>
      <c r="AP1019">
        <v>0</v>
      </c>
      <c r="AQ1019">
        <v>0</v>
      </c>
      <c r="AR1019">
        <v>0</v>
      </c>
      <c r="AS1019">
        <v>2</v>
      </c>
      <c r="AT1019">
        <v>0</v>
      </c>
      <c r="AU1019">
        <v>0</v>
      </c>
      <c r="AV1019">
        <v>0</v>
      </c>
      <c r="AW1019">
        <v>2</v>
      </c>
      <c r="AX1019" s="141">
        <f>COUNTIF(V1019:AW1019,"&lt;&gt;0")</f>
        <v>8</v>
      </c>
      <c r="AY1019" s="141">
        <f>COUNTIF(V1019:AL1019,"&lt;&gt;0")</f>
        <v>4</v>
      </c>
      <c r="AZ1019">
        <f>COUNTIF(V1019:AC1019,"&lt;&gt;0")</f>
        <v>2</v>
      </c>
      <c r="BA1019">
        <f>COUNTIF(AD1019:AI1019,"&lt;&gt;0")</f>
        <v>1</v>
      </c>
      <c r="BB1019">
        <f>COUNTIF(AJ1019:AL1019,"&lt;&gt;0")</f>
        <v>1</v>
      </c>
      <c r="BC1019">
        <f>COUNTIF(AS1019:AW1019,"&lt;&gt;0")</f>
        <v>2</v>
      </c>
      <c r="BD1019">
        <f>COUNTIF(AM1019:AR1019,"&lt;&gt;0")</f>
        <v>2</v>
      </c>
      <c r="BE1019" t="str">
        <f t="array" ref="BE1019">IF(AY1019=1,INDEX($V$7:$AL$7,MATCH(TRUE,INDEX($V1019:$AW1019&lt;&gt;0,),0)),IF(AY1019=0,INDEX($AM$7:$AW$7,MATCH(1,$AM1019:$AW1019,0)),IF(BF1019="Multiple strategies","mixed drivers",IF(BF1019="Supply chain","multiple supply","multiple silviculture"))))</f>
        <v>mixed drivers</v>
      </c>
      <c r="BF1019" s="2" t="str" cm="1">
        <f t="array" ref="BF1019">IF(COUNTIF(AZ1019:BB1019,"&lt;&gt;0")=1,INDEX($V$4:$AW$4,MATCH(TRUE,INDEX($V1019:$AW1019&lt;&gt;0,),0)),IF(COUNTIF(AZ1019:BB1019,"&lt;&gt;0")=0,INDEX($AM$4:$AW$4,MATCH(1,$AM1019:$AW1019,0)),"Multiple strategies"))</f>
        <v>Multiple strategies</v>
      </c>
      <c r="BG1019" s="1" t="s">
        <v>321</v>
      </c>
      <c r="BH1019" t="s">
        <v>1280</v>
      </c>
      <c r="BJ1019" s="143" t="s">
        <v>278</v>
      </c>
      <c r="BK1019">
        <v>22.204433497536925</v>
      </c>
      <c r="BL1019">
        <v>22.426108374384221</v>
      </c>
      <c r="BM1019" s="143">
        <f>BL1019/BK1019</f>
        <v>1.0099833610648921</v>
      </c>
      <c r="BN1019">
        <f>BL1019-BK1019</f>
        <v>0.22167487684729537</v>
      </c>
      <c r="BO1019" s="143">
        <f>BN1019*tC_to_m3</f>
        <v>0.96254831457792178</v>
      </c>
      <c r="BP1019" t="s">
        <v>232</v>
      </c>
      <c r="BQ1019" s="333" t="s">
        <v>787</v>
      </c>
      <c r="BR1019" s="143" t="s">
        <v>278</v>
      </c>
      <c r="BS1019">
        <v>32.530120481927703</v>
      </c>
      <c r="BT1019">
        <v>35.060240963855399</v>
      </c>
      <c r="BU1019" s="144">
        <f>IFERROR(BT1019/BS1019,"")</f>
        <v>1.0777777777777773</v>
      </c>
      <c r="BV1019">
        <f>BT1019-BS1019</f>
        <v>2.5301204819276961</v>
      </c>
      <c r="BX1019">
        <f>BV1019*C_to_CO2</f>
        <v>9.2855421686746453</v>
      </c>
      <c r="BY1019">
        <f>IFERROR(BX1019/BO1019,"")</f>
        <v>9.6468322971884923</v>
      </c>
      <c r="BZ1019" s="143">
        <v>0</v>
      </c>
      <c r="CA1019" s="143">
        <v>0</v>
      </c>
      <c r="CB1019" s="143">
        <v>0</v>
      </c>
      <c r="CC1019" s="143">
        <v>0</v>
      </c>
      <c r="CD1019" s="143">
        <v>0</v>
      </c>
      <c r="CE1019" s="143">
        <v>0</v>
      </c>
      <c r="CF1019" s="143">
        <v>0</v>
      </c>
      <c r="CG1019" s="143">
        <v>1</v>
      </c>
      <c r="CH1019" s="143">
        <v>0</v>
      </c>
      <c r="CI1019" s="143">
        <v>1</v>
      </c>
      <c r="CJ1019" s="143">
        <v>1</v>
      </c>
      <c r="CK1019" s="143">
        <v>0</v>
      </c>
      <c r="CL1019" s="143">
        <v>1</v>
      </c>
      <c r="CM1019" s="143">
        <v>0</v>
      </c>
      <c r="CN1019" t="str">
        <f>IF($BL1019&lt;$BK1019,"refNeedCorrection","refOK")</f>
        <v>refOK</v>
      </c>
      <c r="CO1019">
        <f>IF($CN1019="refOK",$BK1019,$BL1019)</f>
        <v>22.204433497536925</v>
      </c>
      <c r="CP1019">
        <f>IF($CN1019="refOK",$BL1019,$BK1019)</f>
        <v>22.426108374384221</v>
      </c>
      <c r="CQ1019">
        <f>IF($CN1019="refOK",$BO1019,-$BO1019)</f>
        <v>0.96254831457792178</v>
      </c>
      <c r="CR1019">
        <f>IF($CN1019="refOK",$BS1019,$BT1019)*IF($BP1019="Emissions positive",-1,1)</f>
        <v>32.530120481927703</v>
      </c>
      <c r="CS1019">
        <f>IF($CN1019="refOK",$BT1019,$BS1019)*IF($BP1019="Emissions positive",-1,1)</f>
        <v>35.060240963855399</v>
      </c>
      <c r="CT1019">
        <f>IF($CN1019="refNeedCorrection",-BX1019,BX1019)*IF($BP1019="Emissions positive",-1,1)</f>
        <v>9.2855421686746453</v>
      </c>
      <c r="CU1019">
        <f>IFERROR(CT1019/CQ1019,"")</f>
        <v>9.6468322971884923</v>
      </c>
      <c r="CV1019" s="2">
        <f>IFERROR((CS1019-CR1019)/ABS(CR1019),"")</f>
        <v>7.7777777777777349E-2</v>
      </c>
      <c r="CW1019" s="1" t="s">
        <v>1199</v>
      </c>
      <c r="CX1019" t="str">
        <f>IF(OR($CW1019="prd",$CW1019="std",$CW1019="cit"),"loc",IF(OR($CW1019="eur",$CW1019="reg",$CW1019="coy"),"reg",$CW1019))</f>
        <v>reg</v>
      </c>
      <c r="CY1019" t="s">
        <v>1281</v>
      </c>
      <c r="CZ1019">
        <v>2010</v>
      </c>
      <c r="DA1019" s="143">
        <v>2100</v>
      </c>
      <c r="DB1019" s="143">
        <f>DA1019-CZ1019</f>
        <v>90</v>
      </c>
      <c r="DC1019" t="str">
        <f>IF(DB1019=0,"0",IF(AND(DB1019&gt;=1,DB1019&lt;=30),"1-30",IF(AND(DB1019&gt;30,DB1019&lt;=70),"31-70",IF(AND(DB1019&gt;70,DB1019&lt;=100),"71-100",IF(DB1019&gt;100,"+100")))))</f>
        <v>71-100</v>
      </c>
      <c r="DD1019">
        <v>1</v>
      </c>
      <c r="DE1019">
        <v>0</v>
      </c>
      <c r="DF1019">
        <v>0</v>
      </c>
      <c r="DG1019">
        <v>0</v>
      </c>
      <c r="DI1019">
        <f>SUM(DD1019:DG1019)</f>
        <v>1</v>
      </c>
      <c r="DJ1019" t="str">
        <f>IF(DI1019=1,INDEX($DD$7:$DG$7,MATCH(1,$DD1019:$DG1019,0)),"mixedProduct")</f>
        <v>UpstreamInput</v>
      </c>
      <c r="DK1019" t="str">
        <f>IF(DD1019=1,DK$7,0)</f>
        <v>Upstream</v>
      </c>
      <c r="DL1019">
        <f>IF(DE1019=1,DL$7,0)</f>
        <v>0</v>
      </c>
      <c r="DM1019">
        <f>IF(DF1019=1,DM$7,0)</f>
        <v>0</v>
      </c>
      <c r="DN1019">
        <f>IF(DG1019=1,DN$7,0)</f>
        <v>0</v>
      </c>
      <c r="DO1019" s="143">
        <v>1</v>
      </c>
      <c r="DP1019">
        <v>0</v>
      </c>
      <c r="DQ1019" s="143">
        <v>0</v>
      </c>
      <c r="DR1019" s="143">
        <v>0</v>
      </c>
      <c r="DS1019" s="143" t="s">
        <v>1282</v>
      </c>
      <c r="DT1019">
        <f>SUM(DO1019:DP1019)</f>
        <v>1</v>
      </c>
      <c r="DU1019" s="143" t="str">
        <f>IF(DO1019=1,"self-calculated DF",IF(DP1019=1,"external DF used","explicit C balance"))</f>
        <v>self-calculated DF</v>
      </c>
      <c r="DV1019" s="143">
        <v>0</v>
      </c>
      <c r="DW1019">
        <v>1</v>
      </c>
      <c r="DX1019" s="143">
        <v>1</v>
      </c>
      <c r="DY1019" s="143">
        <v>0</v>
      </c>
      <c r="DZ1019">
        <v>0</v>
      </c>
      <c r="EA1019">
        <v>0</v>
      </c>
      <c r="EB1019" s="143">
        <v>0</v>
      </c>
      <c r="EC1019">
        <v>0</v>
      </c>
      <c r="ED1019" s="143">
        <v>0</v>
      </c>
      <c r="EE1019">
        <v>0</v>
      </c>
      <c r="EF1019">
        <v>1</v>
      </c>
      <c r="EG1019" s="143">
        <v>0</v>
      </c>
      <c r="EH1019">
        <v>0</v>
      </c>
      <c r="EI1019" s="2">
        <v>0</v>
      </c>
      <c r="EK1019" t="str">
        <f>IF(AND(AND(AND(OR($DX1019=1,$DW1019=1),OR($EC1019=1,$EA1019=1)),SUM($DV1019:$DZ1019,$EF1019)&gt;=4),SUM($EA1019:$EE1019)&gt;=2),"Whole sector","")</f>
        <v/>
      </c>
      <c r="EL1019" t="str">
        <f>IF(AND(AND(OR($DX1019=1,$DW1019=1),AND($EC1019=0,$EA1019=0)),SUM($DV1019:$DZ1019,$EF1019)&gt;=4),"Ecosystem approach","")</f>
        <v/>
      </c>
      <c r="EM1019" s="2" t="str">
        <f>IF(AND(AND(AND($DX1019=0,$DW1019=0),OR($EC1019=1,$EA1019=1)),SUM($EB1019:$EE1019)&gt;=2),"Technology approach","")</f>
        <v/>
      </c>
      <c r="EN1019" t="s">
        <v>1283</v>
      </c>
      <c r="EP1019" t="str">
        <f>IF(ISNUMBER(BU1019),IF(ABS(BU1019-[2]QC_indicators!$B$2)&gt;3*[2]QC_indicators!$C$2,"C ratio",IF(ISNUMBER(BY1019),IF(ABS(BY1019-[2]QC_indicators!$B$1)&gt;3*[2]QC_indicators!$C$1,"DF","no"))),IF(ISNUMBER(BY1019),IF(ABS(BY1019-[2]QC_indicators!$B$1)&gt;3*[2]QC_indicators!$C$1,"DF","no")))</f>
        <v>DF</v>
      </c>
      <c r="EQ1019" t="s">
        <v>286</v>
      </c>
      <c r="ER1019" t="s">
        <v>1284</v>
      </c>
      <c r="ET1019" s="264" t="s">
        <v>3273</v>
      </c>
    </row>
    <row r="1020" spans="1:150" ht="15" customHeight="1">
      <c r="A1020" s="1" t="s">
        <v>1378</v>
      </c>
      <c r="B1020" t="s">
        <v>1922</v>
      </c>
      <c r="C1020" t="s">
        <v>1923</v>
      </c>
      <c r="D1020" t="s">
        <v>1924</v>
      </c>
      <c r="E1020" t="s">
        <v>1925</v>
      </c>
      <c r="F1020" t="s">
        <v>1926</v>
      </c>
      <c r="G1020" t="s">
        <v>1384</v>
      </c>
      <c r="H1020" t="s">
        <v>254</v>
      </c>
      <c r="I1020">
        <v>2016</v>
      </c>
      <c r="J1020">
        <v>12</v>
      </c>
      <c r="K1020" t="s">
        <v>1927</v>
      </c>
      <c r="M1020" t="str">
        <f>LEFT($D1020,FIND(",",$D1020)-1)&amp;"_"&amp;I1020&amp;L1020</f>
        <v>Lobianco_2016</v>
      </c>
      <c r="N1020" t="s">
        <v>222</v>
      </c>
      <c r="O1020" s="145" t="s">
        <v>225</v>
      </c>
      <c r="P1020" t="s">
        <v>513</v>
      </c>
      <c r="Q1020" t="s">
        <v>256</v>
      </c>
      <c r="R1020" s="262" t="s">
        <v>223</v>
      </c>
      <c r="S1020" s="1" t="s">
        <v>1936</v>
      </c>
      <c r="T1020" s="143" t="s">
        <v>1155</v>
      </c>
      <c r="U1020" s="143" t="s">
        <v>3175</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1</v>
      </c>
      <c r="AO1020">
        <v>0</v>
      </c>
      <c r="AP1020">
        <v>0</v>
      </c>
      <c r="AQ1020">
        <v>0</v>
      </c>
      <c r="AR1020">
        <v>0</v>
      </c>
      <c r="AS1020">
        <v>0</v>
      </c>
      <c r="AT1020">
        <v>0</v>
      </c>
      <c r="AU1020">
        <v>0</v>
      </c>
      <c r="AV1020">
        <v>0</v>
      </c>
      <c r="AW1020">
        <v>0</v>
      </c>
      <c r="AX1020" s="141">
        <f>COUNTIF(V1020:AW1020,"&lt;&gt;0")</f>
        <v>1</v>
      </c>
      <c r="AY1020" s="141">
        <f>COUNTIF(V1020:AL1020,"&lt;&gt;0")</f>
        <v>0</v>
      </c>
      <c r="AZ1020">
        <f>COUNTIF(V1020:AC1020,"&lt;&gt;0")</f>
        <v>0</v>
      </c>
      <c r="BA1020">
        <f>COUNTIF(AD1020:AI1020,"&lt;&gt;0")</f>
        <v>0</v>
      </c>
      <c r="BB1020">
        <f>COUNTIF(AJ1020:AL1020,"&lt;&gt;0")</f>
        <v>0</v>
      </c>
      <c r="BC1020">
        <f>COUNTIF(AS1020:AW1020,"&lt;&gt;0")</f>
        <v>0</v>
      </c>
      <c r="BD1020">
        <f>COUNTIF(AM1020:AR1020,"&lt;&gt;0")</f>
        <v>1</v>
      </c>
      <c r="BE1020" t="str">
        <f t="array" ref="BE1020">IF(AY1020=1,INDEX($V$7:$AL$7,MATCH(TRUE,INDEX($V1020:$AW1020&lt;&gt;0,),0)),IF(AY1020=0,INDEX($AM$7:$AW$7,MATCH(1,$AM1020:$AW1020,0)),IF(BF1020="Multiple strategies","mixed drivers",IF(BF1020="Supply chain","multiple supply","multiple silviculture"))))</f>
        <v>Temperature</v>
      </c>
      <c r="BF1020" s="2" t="str" cm="1">
        <f t="array" ref="BF1020">IF(COUNTIF(AZ1020:BB1020,"&lt;&gt;0")=1,INDEX($V$4:$AW$4,MATCH(TRUE,INDEX($V1020:$AW1020&lt;&gt;0,),0)),IF(COUNTIF(AZ1020:BB1020,"&lt;&gt;0")=0,INDEX($AM$4:$AW$4,MATCH(1,$AM1020:$AW1020,0)),"Multiple strategies"))</f>
        <v>Environmental change</v>
      </c>
      <c r="BG1020" s="142" t="s">
        <v>321</v>
      </c>
      <c r="BH1020" s="265" t="s">
        <v>3163</v>
      </c>
      <c r="BI1020" s="264" t="s">
        <v>3164</v>
      </c>
      <c r="BJ1020" s="143" t="s">
        <v>3165</v>
      </c>
      <c r="BK1020">
        <f>53.247</f>
        <v>53.247</v>
      </c>
      <c r="BL1020">
        <f>53.247*(1+0.29/100)</f>
        <v>53.401416299999994</v>
      </c>
      <c r="BM1020" s="163"/>
      <c r="BN1020">
        <f>BL1020-BK1020</f>
        <v>0.15441629999999407</v>
      </c>
      <c r="BO1020" s="143">
        <f>BN1020*10^6</f>
        <v>154416.29999999408</v>
      </c>
      <c r="BP1020" t="s">
        <v>232</v>
      </c>
      <c r="BQ1020" s="264" t="s">
        <v>3166</v>
      </c>
      <c r="BR1020" s="143" t="s">
        <v>1929</v>
      </c>
      <c r="BS1020" s="144">
        <v>117.962</v>
      </c>
      <c r="BT1020">
        <f>117.96*(1+1.29/100)</f>
        <v>119.48168399999999</v>
      </c>
      <c r="BV1020">
        <f>BT1020-BS1020</f>
        <v>1.5196839999999838</v>
      </c>
      <c r="BX1020">
        <f>BV1020*10^6</f>
        <v>1519683.9999999839</v>
      </c>
      <c r="BY1020">
        <f>IFERROR(BX1020/BO1020,"")</f>
        <v>9.8414739894690015</v>
      </c>
      <c r="BZ1020">
        <v>0</v>
      </c>
      <c r="CA1020">
        <v>0</v>
      </c>
      <c r="CB1020">
        <v>0</v>
      </c>
      <c r="CC1020">
        <v>0</v>
      </c>
      <c r="CD1020">
        <v>0</v>
      </c>
      <c r="CE1020">
        <v>0</v>
      </c>
      <c r="CF1020">
        <v>0</v>
      </c>
      <c r="CG1020">
        <v>0</v>
      </c>
      <c r="CH1020">
        <v>0</v>
      </c>
      <c r="CI1020">
        <v>0</v>
      </c>
      <c r="CJ1020">
        <v>0</v>
      </c>
      <c r="CK1020">
        <v>0</v>
      </c>
      <c r="CL1020">
        <v>0</v>
      </c>
      <c r="CM1020">
        <v>0</v>
      </c>
      <c r="CN1020" t="str">
        <f>IF($BL1020&lt;$BK1020,"refNeedCorrection","refOK")</f>
        <v>refOK</v>
      </c>
      <c r="CO1020">
        <f>IF($CN1020="refOK",$BK1020,$BL1020)</f>
        <v>53.247</v>
      </c>
      <c r="CP1020">
        <f>IF($CN1020="refOK",$BL1020,$BK1020)</f>
        <v>53.401416299999994</v>
      </c>
      <c r="CQ1020">
        <f>IF($CN1020="refOK",$BO1020,-$BO1020)</f>
        <v>154416.29999999408</v>
      </c>
      <c r="CR1020">
        <f>IF($CN1020="refOK",$BS1020,$BT1020)*IF($BP1020="Emissions positive",-1,1)</f>
        <v>117.962</v>
      </c>
      <c r="CS1020">
        <f>IF($CN1020="refOK",$BS1020,#REF!)*IF($BP1020="Emissions positive",-1,1)</f>
        <v>117.962</v>
      </c>
      <c r="CT1020">
        <f>IF($CN1020="refNeedCorrection",-BX1020,BX1020)*IF($BP1020="Emissions positive",-1,1)</f>
        <v>1519683.9999999839</v>
      </c>
      <c r="CU1020">
        <f>IFERROR(CT1020/CQ1020,"")</f>
        <v>9.8414739894690015</v>
      </c>
      <c r="CV1020" s="2">
        <f>IFERROR((CS1020-CR1020)/ABS(CR1020),"")</f>
        <v>0</v>
      </c>
      <c r="CW1020" s="1" t="s">
        <v>1199</v>
      </c>
      <c r="CX1020" t="str">
        <f>IF(OR($CW1020="prd",$CW1020="std",$CW1020="cit"),"loc",IF(OR($CW1020="eur",$CW1020="reg",$CW1020="coy"),"reg",$CW1020))</f>
        <v>reg</v>
      </c>
      <c r="CY1020" t="s">
        <v>729</v>
      </c>
      <c r="CZ1020">
        <v>2007</v>
      </c>
      <c r="DA1020" s="143">
        <v>2100</v>
      </c>
      <c r="DB1020" s="143">
        <f>DA1020-CZ1020</f>
        <v>93</v>
      </c>
      <c r="DC1020" t="str">
        <f>IF(DB1020=0,"0",IF(AND(DB1020&gt;=1,DB1020&lt;=30),"1-30",IF(AND(DB1020&gt;30,DB1020&lt;=70),"31-70",IF(AND(DB1020&gt;70,DB1020&lt;=100),"71-100",IF(DB1020&gt;100,"+100")))))</f>
        <v>71-100</v>
      </c>
      <c r="DD1020">
        <v>0</v>
      </c>
      <c r="DE1020">
        <v>1</v>
      </c>
      <c r="DF1020">
        <v>0</v>
      </c>
      <c r="DG1020">
        <v>1</v>
      </c>
      <c r="DH1020">
        <v>1</v>
      </c>
      <c r="DI1020">
        <f>SUM(DD1020:DG1020)</f>
        <v>2</v>
      </c>
      <c r="DJ1020" t="str">
        <f>IF(DI1020=1,INDEX($DD$7:$DG$7,MATCH(1,$DD1020:$DG1020,0)),"mixedProduct")</f>
        <v>mixedProduct</v>
      </c>
      <c r="DK1020">
        <f>IF(DD1020=1,DK$7,0)</f>
        <v>0</v>
      </c>
      <c r="DL1020" t="str">
        <f>IF(DE1020=1,DL$7,0)</f>
        <v>Energy</v>
      </c>
      <c r="DM1020">
        <f>IF(DF1020=1,DM$7,0)</f>
        <v>0</v>
      </c>
      <c r="DN1020" t="str">
        <f>IF(DG1020=1,DN$7,0)</f>
        <v>Timber</v>
      </c>
      <c r="DO1020">
        <v>0</v>
      </c>
      <c r="DP1020" s="143">
        <v>0</v>
      </c>
      <c r="DQ1020" s="143">
        <v>0</v>
      </c>
      <c r="DR1020">
        <v>0</v>
      </c>
      <c r="DS1020" s="143">
        <v>0</v>
      </c>
      <c r="DT1020">
        <f>SUM(DO1020:DP1020)</f>
        <v>0</v>
      </c>
      <c r="DU1020" s="143" t="str">
        <f>IF(DO1020=1,"self-calculated DF",IF(DP1020=1,"external DF used","explicit C balance"))</f>
        <v>explicit C balance</v>
      </c>
      <c r="DV1020" s="143">
        <v>0</v>
      </c>
      <c r="DW1020" s="143">
        <v>0</v>
      </c>
      <c r="DX1020" s="143">
        <v>1</v>
      </c>
      <c r="DY1020" s="143">
        <v>1</v>
      </c>
      <c r="DZ1020">
        <v>0</v>
      </c>
      <c r="EA1020" s="143">
        <v>1</v>
      </c>
      <c r="EB1020" s="143">
        <v>1</v>
      </c>
      <c r="EC1020" s="143">
        <v>0</v>
      </c>
      <c r="ED1020" s="143">
        <v>0</v>
      </c>
      <c r="EE1020">
        <v>0</v>
      </c>
      <c r="EF1020">
        <v>1</v>
      </c>
      <c r="EG1020" s="143">
        <v>0</v>
      </c>
      <c r="EH1020">
        <v>0</v>
      </c>
      <c r="EI1020" s="2">
        <v>1</v>
      </c>
      <c r="EK1020" t="str">
        <f>IF(AND(AND(AND(OR($DX1020=1,$DW1020=1),OR($EC1020=1,$EA1020=1)),SUM($DV1020:$DZ1020,$EF1020)&gt;=4),SUM($EA1020:$EE1020)&gt;=2),"Whole sector","")</f>
        <v/>
      </c>
      <c r="EL1020" t="str">
        <f>IF(AND(AND(OR($DX1020=1,$DW1020=1),AND($EC1020=0,$EA1020=0)),SUM($DV1020:$DZ1020,$EF1020)&gt;=4),"Ecosystem approach","")</f>
        <v/>
      </c>
      <c r="EM1020" s="2" t="str">
        <f>IF(AND(AND(AND($DX1020=0,$DW1020=0),OR($EC1020=1,$EA1020=1)),SUM($EB1020:$EE1020)&gt;=2),"Technology approach","")</f>
        <v/>
      </c>
      <c r="EP1020" t="str">
        <f>IF(ISNUMBER(BT1020),IF(ABS(BT1020-[1]QC_indicators!$B$2)&gt;3*[1]QC_indicators!$C$2,"C ratio",IF(ISNUMBER(BY1020),IF(ABS(BY1020-[1]QC_indicators!$B$1)&gt;3*[1]QC_indicators!$C$1,"DF","no"))),IF(ISNUMBER(BY1020),IF(ABS(BY1020-[1]QC_indicators!$B$1)&gt;3*[1]QC_indicators!$C$1,"DF","no")))</f>
        <v>C ratio</v>
      </c>
      <c r="ET1020" s="264" t="s">
        <v>3167</v>
      </c>
    </row>
    <row r="1021" spans="1:150" ht="15" customHeight="1">
      <c r="A1021" s="1" t="s">
        <v>1270</v>
      </c>
      <c r="B1021" t="s">
        <v>1271</v>
      </c>
      <c r="C1021" t="s">
        <v>1272</v>
      </c>
      <c r="D1021" t="s">
        <v>1273</v>
      </c>
      <c r="E1021" t="s">
        <v>1274</v>
      </c>
      <c r="F1021" t="s">
        <v>1275</v>
      </c>
      <c r="G1021" t="s">
        <v>1276</v>
      </c>
      <c r="I1021">
        <v>2019</v>
      </c>
      <c r="K1021" t="s">
        <v>1277</v>
      </c>
      <c r="M1021" t="str">
        <f>LEFT($D1021,FIND(",",$D1021)-1)&amp;"_"&amp;I1021&amp;L1021</f>
        <v>Baskent_2019</v>
      </c>
      <c r="N1021" t="s">
        <v>222</v>
      </c>
      <c r="O1021" s="140" t="s">
        <v>513</v>
      </c>
      <c r="Q1021" t="s">
        <v>224</v>
      </c>
      <c r="R1021" s="269" t="s">
        <v>274</v>
      </c>
      <c r="S1021" s="1" t="s">
        <v>1278</v>
      </c>
      <c r="T1021" t="s">
        <v>1111</v>
      </c>
      <c r="U1021" s="143" t="s">
        <v>1285</v>
      </c>
      <c r="V1021" s="143">
        <v>0</v>
      </c>
      <c r="W1021" s="143">
        <v>0</v>
      </c>
      <c r="X1021" s="143">
        <v>0</v>
      </c>
      <c r="Y1021" s="143">
        <v>1</v>
      </c>
      <c r="Z1021" s="143">
        <v>2</v>
      </c>
      <c r="AA1021" s="143">
        <v>0</v>
      </c>
      <c r="AB1021" s="143">
        <v>0</v>
      </c>
      <c r="AC1021" s="143">
        <v>0</v>
      </c>
      <c r="AD1021">
        <v>0</v>
      </c>
      <c r="AE1021">
        <v>0</v>
      </c>
      <c r="AF1021">
        <v>2</v>
      </c>
      <c r="AG1021">
        <v>0</v>
      </c>
      <c r="AH1021">
        <v>0</v>
      </c>
      <c r="AI1021">
        <v>0</v>
      </c>
      <c r="AJ1021">
        <v>2</v>
      </c>
      <c r="AK1021">
        <v>0</v>
      </c>
      <c r="AL1021">
        <v>0</v>
      </c>
      <c r="AM1021">
        <v>0</v>
      </c>
      <c r="AN1021">
        <v>2</v>
      </c>
      <c r="AO1021">
        <v>2</v>
      </c>
      <c r="AP1021">
        <v>0</v>
      </c>
      <c r="AQ1021">
        <v>0</v>
      </c>
      <c r="AR1021">
        <v>0</v>
      </c>
      <c r="AS1021">
        <v>2</v>
      </c>
      <c r="AT1021">
        <v>0</v>
      </c>
      <c r="AU1021">
        <v>0</v>
      </c>
      <c r="AV1021">
        <v>0</v>
      </c>
      <c r="AW1021">
        <v>2</v>
      </c>
      <c r="AX1021" s="141">
        <f>COUNTIF(V1021:AW1021,"&lt;&gt;0")</f>
        <v>8</v>
      </c>
      <c r="AY1021" s="141">
        <f>COUNTIF(V1021:AL1021,"&lt;&gt;0")</f>
        <v>4</v>
      </c>
      <c r="AZ1021">
        <f>COUNTIF(V1021:AC1021,"&lt;&gt;0")</f>
        <v>2</v>
      </c>
      <c r="BA1021">
        <f>COUNTIF(AD1021:AI1021,"&lt;&gt;0")</f>
        <v>1</v>
      </c>
      <c r="BB1021">
        <f>COUNTIF(AJ1021:AL1021,"&lt;&gt;0")</f>
        <v>1</v>
      </c>
      <c r="BC1021">
        <f>COUNTIF(AS1021:AW1021,"&lt;&gt;0")</f>
        <v>2</v>
      </c>
      <c r="BD1021">
        <f>COUNTIF(AM1021:AR1021,"&lt;&gt;0")</f>
        <v>2</v>
      </c>
      <c r="BE1021" t="str">
        <f t="array" ref="BE1021">IF(AY1021=1,INDEX($V$7:$AL$7,MATCH(TRUE,INDEX($V1021:$AW1021&lt;&gt;0,),0)),IF(AY1021=0,INDEX($AM$7:$AW$7,MATCH(1,$AM1021:$AW1021,0)),IF(BF1021="Multiple strategies","mixed drivers",IF(BF1021="Supply chain","multiple supply","multiple silviculture"))))</f>
        <v>mixed drivers</v>
      </c>
      <c r="BF1021" s="2" t="str" cm="1">
        <f t="array" ref="BF1021">IF(COUNTIF(AZ1021:BB1021,"&lt;&gt;0")=1,INDEX($V$4:$AW$4,MATCH(TRUE,INDEX($V1021:$AW1021&lt;&gt;0,),0)),IF(COUNTIF(AZ1021:BB1021,"&lt;&gt;0")=0,INDEX($AM$4:$AW$4,MATCH(1,$AM1021:$AW1021,0)),"Multiple strategies"))</f>
        <v>Multiple strategies</v>
      </c>
      <c r="BG1021" s="1" t="s">
        <v>321</v>
      </c>
      <c r="BH1021" t="s">
        <v>1280</v>
      </c>
      <c r="BJ1021" s="143" t="s">
        <v>278</v>
      </c>
      <c r="BK1021">
        <v>22.204433497536925</v>
      </c>
      <c r="BL1021">
        <v>22.426108374384221</v>
      </c>
      <c r="BM1021" s="143">
        <f>BL1021/BK1021</f>
        <v>1.0099833610648921</v>
      </c>
      <c r="BN1021">
        <f>BL1021-BK1021</f>
        <v>0.22167487684729537</v>
      </c>
      <c r="BO1021" s="143">
        <f>BN1021*tC_to_m3</f>
        <v>0.96254831457792178</v>
      </c>
      <c r="BP1021" t="s">
        <v>232</v>
      </c>
      <c r="BQ1021" s="333" t="s">
        <v>787</v>
      </c>
      <c r="BR1021" s="143" t="s">
        <v>278</v>
      </c>
      <c r="BS1021">
        <v>42.123971298234274</v>
      </c>
      <c r="BT1021">
        <v>45.12148839762213</v>
      </c>
      <c r="BU1021" s="144">
        <f>IFERROR(BT1021/BS1021,"")</f>
        <v>1.0711594136783942</v>
      </c>
      <c r="BV1021">
        <f>BT1021-BS1021</f>
        <v>2.9975170993878564</v>
      </c>
      <c r="BX1021">
        <f>BV1021*C_to_CO2</f>
        <v>11.000887754753432</v>
      </c>
      <c r="BY1021">
        <f>IFERROR(BX1021/BO1021,"")</f>
        <v>11.428920074082027</v>
      </c>
      <c r="BZ1021" s="143">
        <v>0</v>
      </c>
      <c r="CA1021" s="143">
        <v>0</v>
      </c>
      <c r="CB1021" s="143">
        <v>0</v>
      </c>
      <c r="CC1021" s="143">
        <v>0</v>
      </c>
      <c r="CD1021" s="143">
        <v>0</v>
      </c>
      <c r="CE1021" s="143">
        <v>0</v>
      </c>
      <c r="CF1021" s="143">
        <v>0</v>
      </c>
      <c r="CG1021" s="143">
        <v>1</v>
      </c>
      <c r="CH1021" s="143">
        <v>0</v>
      </c>
      <c r="CI1021" s="143">
        <v>1</v>
      </c>
      <c r="CJ1021" s="143">
        <v>1</v>
      </c>
      <c r="CK1021" s="143">
        <v>0</v>
      </c>
      <c r="CL1021" s="143">
        <v>1</v>
      </c>
      <c r="CM1021" s="143">
        <v>0</v>
      </c>
      <c r="CN1021" t="str">
        <f>IF($BL1021&lt;$BK1021,"refNeedCorrection","refOK")</f>
        <v>refOK</v>
      </c>
      <c r="CO1021">
        <f>IF($CN1021="refOK",$BK1021,$BL1021)</f>
        <v>22.204433497536925</v>
      </c>
      <c r="CP1021">
        <f>IF($CN1021="refOK",$BL1021,$BK1021)</f>
        <v>22.426108374384221</v>
      </c>
      <c r="CQ1021">
        <f>IF($CN1021="refOK",$BO1021,-$BO1021)</f>
        <v>0.96254831457792178</v>
      </c>
      <c r="CR1021">
        <f>IF($CN1021="refOK",$BS1021,$BT1021)*IF($BP1021="Emissions positive",-1,1)</f>
        <v>42.123971298234274</v>
      </c>
      <c r="CS1021">
        <f>IF($CN1021="refOK",$BT1021,$BS1021)*IF($BP1021="Emissions positive",-1,1)</f>
        <v>45.12148839762213</v>
      </c>
      <c r="CT1021">
        <f>IF($CN1021="refNeedCorrection",-BX1021,BX1021)*IF($BP1021="Emissions positive",-1,1)</f>
        <v>11.000887754753432</v>
      </c>
      <c r="CU1021">
        <f>IFERROR(CT1021/CQ1021,"")</f>
        <v>11.428920074082027</v>
      </c>
      <c r="CV1021" s="2">
        <f>IFERROR((CS1021-CR1021)/ABS(CR1021),"")</f>
        <v>7.1159413678394193E-2</v>
      </c>
      <c r="CW1021" s="1" t="s">
        <v>1199</v>
      </c>
      <c r="CX1021" t="str">
        <f>IF(OR($CW1021="prd",$CW1021="std",$CW1021="cit"),"loc",IF(OR($CW1021="eur",$CW1021="reg",$CW1021="coy"),"reg",$CW1021))</f>
        <v>reg</v>
      </c>
      <c r="CY1021" t="s">
        <v>1281</v>
      </c>
      <c r="CZ1021">
        <v>2010</v>
      </c>
      <c r="DA1021" s="143">
        <v>2100</v>
      </c>
      <c r="DB1021" s="143">
        <f>DA1021-CZ1021</f>
        <v>90</v>
      </c>
      <c r="DC1021" t="str">
        <f>IF(DB1021=0,"0",IF(AND(DB1021&gt;=1,DB1021&lt;=30),"1-30",IF(AND(DB1021&gt;30,DB1021&lt;=70),"31-70",IF(AND(DB1021&gt;70,DB1021&lt;=100),"71-100",IF(DB1021&gt;100,"+100")))))</f>
        <v>71-100</v>
      </c>
      <c r="DD1021">
        <v>1</v>
      </c>
      <c r="DE1021">
        <v>1</v>
      </c>
      <c r="DF1021">
        <v>1</v>
      </c>
      <c r="DG1021">
        <v>1</v>
      </c>
      <c r="DI1021">
        <f>SUM(DD1021:DG1021)</f>
        <v>4</v>
      </c>
      <c r="DJ1021" t="str">
        <f>IF(DI1021=1,INDEX($DD$7:$DG$7,MATCH(1,$DD1021:$DG1021,0)),"mixedProduct")</f>
        <v>mixedProduct</v>
      </c>
      <c r="DK1021" t="str">
        <f>IF(DD1021=1,DK$7,0)</f>
        <v>Upstream</v>
      </c>
      <c r="DL1021" t="str">
        <f>IF(DE1021=1,DL$7,0)</f>
        <v>Energy</v>
      </c>
      <c r="DM1021" t="str">
        <f>IF(DF1021=1,DM$7,0)</f>
        <v>Pulp/Paper</v>
      </c>
      <c r="DN1021" t="str">
        <f>IF(DG1021=1,DN$7,0)</f>
        <v>Timber</v>
      </c>
      <c r="DO1021" s="143">
        <v>1</v>
      </c>
      <c r="DP1021">
        <v>0</v>
      </c>
      <c r="DQ1021" s="143">
        <v>0</v>
      </c>
      <c r="DR1021" s="143">
        <v>0</v>
      </c>
      <c r="DS1021" s="143" t="s">
        <v>1282</v>
      </c>
      <c r="DT1021">
        <f>SUM(DO1021:DP1021)</f>
        <v>1</v>
      </c>
      <c r="DU1021" s="143" t="str">
        <f>IF(DO1021=1,"self-calculated DF",IF(DP1021=1,"external DF used","explicit C balance"))</f>
        <v>self-calculated DF</v>
      </c>
      <c r="DV1021" s="143">
        <v>0</v>
      </c>
      <c r="DW1021">
        <v>1</v>
      </c>
      <c r="DX1021" s="143">
        <v>1</v>
      </c>
      <c r="DY1021" s="143">
        <v>1</v>
      </c>
      <c r="DZ1021">
        <v>1</v>
      </c>
      <c r="EA1021">
        <v>1</v>
      </c>
      <c r="EB1021" s="143">
        <v>0</v>
      </c>
      <c r="EC1021">
        <v>0</v>
      </c>
      <c r="ED1021" s="143">
        <v>0</v>
      </c>
      <c r="EE1021">
        <v>0</v>
      </c>
      <c r="EF1021">
        <v>1</v>
      </c>
      <c r="EG1021" s="143">
        <v>0</v>
      </c>
      <c r="EH1021">
        <v>0</v>
      </c>
      <c r="EI1021" s="2">
        <v>0</v>
      </c>
      <c r="EK1021" t="str">
        <f>IF(AND(AND(AND(OR($DX1021=1,$DW1021=1),OR($EC1021=1,$EA1021=1)),SUM($DV1021:$DZ1021,$EF1021)&gt;=4),SUM($EA1021:$EE1021)&gt;=2),"Whole sector","")</f>
        <v/>
      </c>
      <c r="EL1021" t="str">
        <f>IF(AND(AND(OR($DX1021=1,$DW1021=1),AND($EC1021=0,$EA1021=0)),SUM($DV1021:$DZ1021,$EF1021)&gt;=4),"Ecosystem approach","")</f>
        <v/>
      </c>
      <c r="EM1021" s="2" t="str">
        <f>IF(AND(AND(AND($DX1021=0,$DW1021=0),OR($EC1021=1,$EA1021=1)),SUM($EB1021:$EE1021)&gt;=2),"Technology approach","")</f>
        <v/>
      </c>
      <c r="EN1021" t="s">
        <v>1283</v>
      </c>
      <c r="EP1021" t="str">
        <f>IF(ISNUMBER(BU1021),IF(ABS(BU1021-[2]QC_indicators!$B$2)&gt;3*[2]QC_indicators!$C$2,"C ratio",IF(ISNUMBER(BY1021),IF(ABS(BY1021-[2]QC_indicators!$B$1)&gt;3*[2]QC_indicators!$C$1,"DF","no"))),IF(ISNUMBER(BY1021),IF(ABS(BY1021-[2]QC_indicators!$B$1)&gt;3*[2]QC_indicators!$C$1,"DF","no")))</f>
        <v>DF</v>
      </c>
      <c r="EQ1021" t="s">
        <v>286</v>
      </c>
      <c r="ER1021" t="s">
        <v>1284</v>
      </c>
      <c r="ET1021" s="264" t="s">
        <v>3273</v>
      </c>
    </row>
    <row r="1022" spans="1:150" ht="15" customHeight="1">
      <c r="A1022" s="1" t="s">
        <v>1636</v>
      </c>
      <c r="B1022" t="s">
        <v>1637</v>
      </c>
      <c r="C1022" t="s">
        <v>1638</v>
      </c>
      <c r="D1022" t="s">
        <v>1639</v>
      </c>
      <c r="E1022" t="s">
        <v>1640</v>
      </c>
      <c r="F1022" t="s">
        <v>1641</v>
      </c>
      <c r="G1022" t="s">
        <v>1642</v>
      </c>
      <c r="H1022" t="s">
        <v>254</v>
      </c>
      <c r="I1022">
        <v>2022</v>
      </c>
      <c r="J1022">
        <v>0</v>
      </c>
      <c r="K1022" t="s">
        <v>1643</v>
      </c>
      <c r="M1022" t="str">
        <f>LEFT($D1022,FIND(",",$D1022)-1)&amp;"_"&amp;I1022&amp;L1022</f>
        <v>Gregor_2022</v>
      </c>
      <c r="N1022" t="s">
        <v>222</v>
      </c>
      <c r="O1022" s="161" t="s">
        <v>223</v>
      </c>
      <c r="Q1022" s="264" t="s">
        <v>389</v>
      </c>
      <c r="R1022" s="269" t="s">
        <v>1154</v>
      </c>
      <c r="S1022" s="154" t="s">
        <v>1644</v>
      </c>
      <c r="T1022" s="294" t="s">
        <v>1659</v>
      </c>
      <c r="U1022" s="264" t="s">
        <v>1660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1</v>
      </c>
      <c r="AO1022">
        <v>2</v>
      </c>
      <c r="AP1022">
        <v>2</v>
      </c>
      <c r="AQ1022">
        <v>2</v>
      </c>
      <c r="AR1022">
        <v>0</v>
      </c>
      <c r="AS1022">
        <v>0</v>
      </c>
      <c r="AT1022">
        <v>0</v>
      </c>
      <c r="AU1022">
        <v>0</v>
      </c>
      <c r="AV1022">
        <v>0</v>
      </c>
      <c r="AW1022">
        <v>0</v>
      </c>
      <c r="AX1022" s="141">
        <f>COUNTIF(V1022:AW1022,"&lt;&gt;0")</f>
        <v>4</v>
      </c>
      <c r="AY1022">
        <f>COUNTIF(V1022:AL1022,"&lt;&gt;0")</f>
        <v>0</v>
      </c>
      <c r="AZ1022">
        <f>COUNTIF(V1022:AC1022,"&lt;&gt;0")</f>
        <v>0</v>
      </c>
      <c r="BA1022">
        <f>COUNTIF(AD1022:AI1022,"&lt;&gt;0")</f>
        <v>0</v>
      </c>
      <c r="BB1022">
        <f>COUNTIF(AJ1022:AL1022,"&lt;&gt;0")</f>
        <v>0</v>
      </c>
      <c r="BC1022">
        <f>COUNTIF(AS1022:AW1022,"&lt;&gt;0")</f>
        <v>0</v>
      </c>
      <c r="BD1022">
        <f>COUNTIF(AM1022:AR1022,"&lt;&gt;0")</f>
        <v>4</v>
      </c>
      <c r="BE1022" t="str" cm="1">
        <f t="array" ref="BE1022">IF(AY1022=1,INDEX($V$7:$AL$7,MATCH(TRUE,INDEX($V1022:$AW1022&lt;&gt;0,),0)),IF(AY1022=0,INDEX($AM$7:$AW$7,MATCH(1,$AM1022:$AW1022,0)),IF(BF1022="Multiple strategies","mixed drivers",IF(BF1022="Supply chain","multiple supply","multiple silviculture"))))</f>
        <v>Temperature</v>
      </c>
      <c r="BF1022" s="2" t="str" cm="1">
        <f t="array" ref="BF1022">IF(COUNTIF(AZ1022:BB1022,"&lt;&gt;0")=1,INDEX($V$4:$AW$4,MATCH(TRUE,INDEX($V1022:$AW1022&lt;&gt;0,),0)),IF(COUNTIF(AZ1022:BB1022,"&lt;&gt;0")=0,INDEX($AM$4:$AW$4,MATCH(1,$AM1022:$AW1022,0)),"Multiple strategies"))</f>
        <v>Environmental change</v>
      </c>
      <c r="BG1022" s="1" t="s">
        <v>321</v>
      </c>
      <c r="BH1022" s="264" t="s">
        <v>1647</v>
      </c>
      <c r="BI1022" s="264" t="s">
        <v>1657</v>
      </c>
      <c r="BJ1022" s="264" t="s">
        <v>1648</v>
      </c>
      <c r="BK1022">
        <f>0.07*(2115-2020)</f>
        <v>6.65</v>
      </c>
      <c r="BL1022">
        <f>0.08*(2115-2020)</f>
        <v>7.6000000000000005</v>
      </c>
      <c r="BN1022">
        <f>BL1022-BK1022</f>
        <v>0.95000000000000018</v>
      </c>
      <c r="BO1022">
        <f>BL1022-BK1022</f>
        <v>0.95000000000000018</v>
      </c>
      <c r="BP1022" s="264" t="s">
        <v>232</v>
      </c>
      <c r="BQ1022" s="264" t="s">
        <v>1652</v>
      </c>
      <c r="BR1022" s="264" t="s">
        <v>1650</v>
      </c>
      <c r="BS1022" s="264">
        <f>12.1*10000</f>
        <v>121000</v>
      </c>
      <c r="BT1022" s="264">
        <f>12.4*10000</f>
        <v>124000</v>
      </c>
      <c r="BV1022">
        <f>BT1022-BS1022</f>
        <v>3000</v>
      </c>
      <c r="BX1022">
        <f>BV1022/1000*C_to_CO2</f>
        <v>11.01</v>
      </c>
      <c r="BY1022">
        <f>IFERROR(BX1022/BO1022,"")</f>
        <v>11.589473684210525</v>
      </c>
      <c r="BZ1022">
        <v>0</v>
      </c>
      <c r="CA1022">
        <v>0</v>
      </c>
      <c r="CB1022">
        <v>0</v>
      </c>
      <c r="CC1022">
        <v>0</v>
      </c>
      <c r="CD1022">
        <v>0</v>
      </c>
      <c r="CE1022">
        <v>0</v>
      </c>
      <c r="CF1022">
        <v>0</v>
      </c>
      <c r="CG1022">
        <v>0</v>
      </c>
      <c r="CH1022">
        <v>0</v>
      </c>
      <c r="CI1022">
        <v>0</v>
      </c>
      <c r="CJ1022">
        <v>0</v>
      </c>
      <c r="CK1022">
        <v>0</v>
      </c>
      <c r="CL1022">
        <v>0</v>
      </c>
      <c r="CM1022">
        <v>0</v>
      </c>
      <c r="CN1022" t="str">
        <f>IF($BL1022&lt;$BK1022,"refNeedCorrection","refOK")</f>
        <v>refOK</v>
      </c>
      <c r="CO1022">
        <f>IF($CN1022="refOK",$BK1022,$BL1022)</f>
        <v>6.65</v>
      </c>
      <c r="CP1022">
        <f>IF($CN1022="refOK",$BL1022,$BK1022)</f>
        <v>7.6000000000000005</v>
      </c>
      <c r="CQ1022">
        <f>IF($CN1022="refOK",$BO1022,-$BO1022)</f>
        <v>0.95000000000000018</v>
      </c>
      <c r="CR1022">
        <f>IF($CN1022="refOK",$BS1022,$BT1022)*IF($BP1022="Emissions positive",-1,1)</f>
        <v>121000</v>
      </c>
      <c r="CS1022">
        <f>IF($CN1022="refOK",$BT1022,$BS1022)*IF($BP1022="Emissions positive",-1,1)</f>
        <v>124000</v>
      </c>
      <c r="CT1022">
        <f>IF($CN1022="refNeedCorrection",-BX1022,BX1022)*IF($BP1022="Emissions positive",-1,1)</f>
        <v>11.01</v>
      </c>
      <c r="CU1022">
        <f>IFERROR(CT1022/CQ1022,"")</f>
        <v>11.589473684210525</v>
      </c>
      <c r="CV1022" s="2">
        <f>IFERROR((CS1022-CR1022)/ABS(CR1022),"")</f>
        <v>2.4793388429752067E-2</v>
      </c>
      <c r="CW1022" s="162" t="s">
        <v>1462</v>
      </c>
      <c r="CX1022" s="264" t="str">
        <f>IF(OR($CW1022="prd",$CW1022="std",$CW1022="cit"),"loc",IF(OR($CW1022="eur",$CW1022="reg",$CW1022="coy"),"reg",$CW1022))</f>
        <v>reg</v>
      </c>
      <c r="CY1022" s="155" t="s">
        <v>743</v>
      </c>
      <c r="CZ1022">
        <v>2010</v>
      </c>
      <c r="DA1022">
        <v>2115</v>
      </c>
      <c r="DB1022">
        <f>DA1022-CZ1022</f>
        <v>105</v>
      </c>
      <c r="DC1022" t="str">
        <f>IF(DB1022=0,"0",IF(AND(DB1022&gt;=1,DB1022&lt;=30),"1-30",IF(AND(DB1022&gt;30,DB1022&lt;=70),"31-70",IF(AND(DB1022&gt;70,DB1022&lt;=100),"71-100",IF(DB1022&gt;100,"+100")))))</f>
        <v>+100</v>
      </c>
      <c r="DD1022">
        <v>0</v>
      </c>
      <c r="DE1022">
        <v>1</v>
      </c>
      <c r="DF1022">
        <v>1</v>
      </c>
      <c r="DG1022">
        <v>1</v>
      </c>
      <c r="DH1022">
        <v>0</v>
      </c>
      <c r="DI1022">
        <f>SUM(DD1022:DG1022)</f>
        <v>3</v>
      </c>
      <c r="DJ1022" t="str">
        <f>IF(DI1022=1,INDEX($DD$7:$DG$7,MATCH(1,$DD1022:$DG1022,0)),"mixedProduct")</f>
        <v>mixedProduct</v>
      </c>
      <c r="DK1022">
        <f>IF(DD1022=1,DK$7,0)</f>
        <v>0</v>
      </c>
      <c r="DL1022" t="str">
        <f>IF(DE1022=1,DL$7,0)</f>
        <v>Energy</v>
      </c>
      <c r="DM1022" t="str">
        <f>IF(DF1022=1,DM$7,0)</f>
        <v>Pulp/Paper</v>
      </c>
      <c r="DN1022" t="str">
        <f>IF(DG1022=1,DN$7,0)</f>
        <v>Timber</v>
      </c>
      <c r="DO1022">
        <v>0</v>
      </c>
      <c r="DP1022">
        <v>1</v>
      </c>
      <c r="DQ1022" s="264" t="s">
        <v>1651</v>
      </c>
      <c r="DR1022" s="264" t="s">
        <v>1651</v>
      </c>
      <c r="DS1022" s="264" t="s">
        <v>1651</v>
      </c>
      <c r="DT1022">
        <f>SUM(DO1022:DP1022)</f>
        <v>1</v>
      </c>
      <c r="DU1022" s="143" t="str">
        <f>IF(DO1022=1,"self-calculated DF",IF(DP1022=1,"external DF used","explicit C balance"))</f>
        <v>external DF used</v>
      </c>
      <c r="DV1022">
        <v>1</v>
      </c>
      <c r="DW1022">
        <v>1</v>
      </c>
      <c r="DX1022">
        <v>1</v>
      </c>
      <c r="DY1022">
        <v>1</v>
      </c>
      <c r="DZ1022">
        <v>0</v>
      </c>
      <c r="EA1022">
        <v>0</v>
      </c>
      <c r="EB1022">
        <v>0</v>
      </c>
      <c r="EC1022">
        <v>0</v>
      </c>
      <c r="ED1022">
        <v>0</v>
      </c>
      <c r="EE1022">
        <v>0</v>
      </c>
      <c r="EF1022">
        <v>1</v>
      </c>
      <c r="EG1022">
        <v>0</v>
      </c>
      <c r="EH1022">
        <v>1</v>
      </c>
      <c r="EI1022" s="2">
        <v>0</v>
      </c>
      <c r="EK1022" t="str">
        <f>IF(AND(AND(AND(OR($DX1022=1,$DW1022=1),OR($EC1022=1,$EA1022=1)),SUM($DV1022:$DZ1022,$EF1022)&gt;=4),SUM($EA1022:$EE1022)&gt;=2),"Whole sector","")</f>
        <v/>
      </c>
      <c r="EL1022" t="str">
        <f>IF(AND(AND(OR($DX1022=1,$DW1022=1),AND($EC1022=0,$EA1022=0)),SUM($DV1022:$DZ1022,$EF1022)&gt;=4),"Ecosystem approach","")</f>
        <v>Ecosystem approach</v>
      </c>
      <c r="EM1022" s="2" t="str">
        <f>IF(AND(AND(AND($DX1022=0,$DW1022=0),OR($EC1022=1,$EA1022=1)),SUM($EB1022:$EE1022)&gt;=2),"Technology approach","")</f>
        <v/>
      </c>
      <c r="EP1022" t="str">
        <f>IF(ISNUMBER(BU1022),IF(ABS(BU1022-[3]QC_indicators!$B$2)&gt;3*[3]QC_indicators!$C$2,"C ratio",IF(ISNUMBER(BY1022),IF(ABS(BY1022-[3]QC_indicators!$B$1)&gt;3*[3]QC_indicators!$C$1,"DF","no"))),IF(ISNUMBER(BY1022),IF(ABS(BY1022-[3]QC_indicators!$B$1)&gt;3*[3]QC_indicators!$C$1,"DF","no")))</f>
        <v>DF</v>
      </c>
      <c r="ET1022" s="264" t="s">
        <v>3407</v>
      </c>
    </row>
    <row r="1023" spans="1:150" ht="15" customHeight="1">
      <c r="A1023" s="1" t="s">
        <v>1378</v>
      </c>
      <c r="B1023" t="s">
        <v>1379</v>
      </c>
      <c r="C1023" t="s">
        <v>1380</v>
      </c>
      <c r="D1023" t="s">
        <v>1381</v>
      </c>
      <c r="E1023" t="s">
        <v>1382</v>
      </c>
      <c r="F1023" t="s">
        <v>1383</v>
      </c>
      <c r="G1023" t="s">
        <v>1384</v>
      </c>
      <c r="H1023" t="s">
        <v>254</v>
      </c>
      <c r="I1023">
        <v>2021</v>
      </c>
      <c r="J1023">
        <v>0</v>
      </c>
      <c r="K1023" t="s">
        <v>1385</v>
      </c>
      <c r="M1023" t="str">
        <f>LEFT($D1023,FIND(",",$D1023)-1)&amp;"_"&amp;I1023&amp;L1023</f>
        <v>Delacote_2021</v>
      </c>
      <c r="N1023" t="s">
        <v>222</v>
      </c>
      <c r="O1023" s="145" t="s">
        <v>223</v>
      </c>
      <c r="Q1023" s="264" t="s">
        <v>256</v>
      </c>
      <c r="R1023" s="269" t="s">
        <v>1154</v>
      </c>
      <c r="S1023" s="1" t="s">
        <v>1397</v>
      </c>
      <c r="T1023" t="s">
        <v>1395</v>
      </c>
      <c r="U1023" s="141" t="s">
        <v>1387</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1</v>
      </c>
      <c r="AO1023">
        <v>2</v>
      </c>
      <c r="AP1023">
        <v>0</v>
      </c>
      <c r="AQ1023">
        <v>0</v>
      </c>
      <c r="AR1023">
        <v>0</v>
      </c>
      <c r="AS1023">
        <v>0</v>
      </c>
      <c r="AT1023">
        <v>0</v>
      </c>
      <c r="AU1023">
        <v>0</v>
      </c>
      <c r="AV1023">
        <v>0</v>
      </c>
      <c r="AW1023">
        <v>0</v>
      </c>
      <c r="AX1023" s="141">
        <f>COUNTIF(V1023:AW1023,"&lt;&gt;0")</f>
        <v>2</v>
      </c>
      <c r="AY1023" s="141">
        <f>COUNTIF(V1023:AL1023,"&lt;&gt;0")</f>
        <v>0</v>
      </c>
      <c r="AZ1023">
        <f>COUNTIF(V1023:AC1023,"&lt;&gt;0")</f>
        <v>0</v>
      </c>
      <c r="BA1023">
        <f>COUNTIF(AD1023:AI1023,"&lt;&gt;0")</f>
        <v>0</v>
      </c>
      <c r="BB1023">
        <f>COUNTIF(AJ1023:AL1023,"&lt;&gt;0")</f>
        <v>0</v>
      </c>
      <c r="BC1023">
        <f>COUNTIF(AS1023:AW1023,"&lt;&gt;0")</f>
        <v>0</v>
      </c>
      <c r="BD1023">
        <f>COUNTIF(AM1023:AR1023,"&lt;&gt;0")</f>
        <v>2</v>
      </c>
      <c r="BE1023" t="str" cm="1">
        <f t="array" ref="BE1023">IF(AY1023=1,INDEX($V$7:$AL$7,MATCH(TRUE,INDEX($V1023:$AW1023&lt;&gt;0,),0)),IF(AY1023=0,INDEX($AM$7:$AW$7,MATCH(1,$AM1023:$AW1023,0)),IF(BF1023="Multiple strategies","mixed drivers",IF(BF1023="Supply chain","multiple supply","multiple silviculture"))))</f>
        <v>Temperature</v>
      </c>
      <c r="BF1023" s="2" t="str" cm="1">
        <f t="array" ref="BF1023">IF(COUNTIF(AZ1023:BB1023,"&lt;&gt;0")=1,INDEX($V$4:$AW$4,MATCH(TRUE,INDEX($V1023:$AW1023&lt;&gt;0,),0)),IF(COUNTIF(AZ1023:BB1023,"&lt;&gt;0")=0,INDEX($AM$4:$AW$4,MATCH(1,$AM1023:$AW1023,0)),"Multiple strategies"))</f>
        <v>Environmental change</v>
      </c>
      <c r="BG1023" s="1" t="s">
        <v>321</v>
      </c>
      <c r="BH1023" t="s">
        <v>1297</v>
      </c>
      <c r="BJ1023" t="s">
        <v>1214</v>
      </c>
      <c r="BK1023">
        <f>BL1023*(1-0.58/100)</f>
        <v>57.939987599999995</v>
      </c>
      <c r="BL1023">
        <v>58.277999999999999</v>
      </c>
      <c r="BM1023">
        <f>BL1023/BK1023</f>
        <v>1.0058338362502515</v>
      </c>
      <c r="BN1023">
        <f>BL1023-BK1023</f>
        <v>0.33801240000000377</v>
      </c>
      <c r="BO1023">
        <f>BN1023*10^6</f>
        <v>338012.40000000375</v>
      </c>
      <c r="BP1023" t="s">
        <v>232</v>
      </c>
      <c r="BR1023" t="s">
        <v>1230</v>
      </c>
      <c r="BS1023">
        <f>BT1023*(1-7.22/100)</f>
        <v>52.453172999999992</v>
      </c>
      <c r="BT1023">
        <v>56.534999999999997</v>
      </c>
      <c r="BU1023" s="144">
        <f>IFERROR(BT1023/BS1023,"")</f>
        <v>1.0778184953653807</v>
      </c>
      <c r="BV1023">
        <f>BT1023-BS1023</f>
        <v>4.0818270000000041</v>
      </c>
      <c r="BX1023">
        <f>BV1023*10^6</f>
        <v>4081827.0000000042</v>
      </c>
      <c r="BY1023">
        <f>IFERROR(BX1023/BO1023,"")</f>
        <v>12.075968218917291</v>
      </c>
      <c r="BZ1023">
        <v>0</v>
      </c>
      <c r="CA1023">
        <v>0</v>
      </c>
      <c r="CB1023">
        <v>0</v>
      </c>
      <c r="CC1023">
        <v>0</v>
      </c>
      <c r="CD1023">
        <v>0</v>
      </c>
      <c r="CE1023">
        <v>0</v>
      </c>
      <c r="CF1023">
        <v>0</v>
      </c>
      <c r="CG1023">
        <v>0</v>
      </c>
      <c r="CH1023">
        <v>0</v>
      </c>
      <c r="CI1023">
        <v>0</v>
      </c>
      <c r="CJ1023">
        <v>0</v>
      </c>
      <c r="CK1023">
        <v>0</v>
      </c>
      <c r="CL1023">
        <v>0</v>
      </c>
      <c r="CM1023">
        <v>1</v>
      </c>
      <c r="CN1023" t="str">
        <f>IF($BL1023&lt;$BK1023,"refNeedCorrection","refOK")</f>
        <v>refOK</v>
      </c>
      <c r="CO1023">
        <f>IF($CN1023="refOK",$BK1023,$BL1023)</f>
        <v>57.939987599999995</v>
      </c>
      <c r="CP1023">
        <f>IF($CN1023="refOK",$BL1023,$BK1023)</f>
        <v>58.277999999999999</v>
      </c>
      <c r="CQ1023">
        <f>IF($CN1023="refOK",$BO1023,-$BO1023)</f>
        <v>338012.40000000375</v>
      </c>
      <c r="CR1023">
        <f>IF($CN1023="refOK",$BS1023,$BT1023)*IF($BP1023="Emissions positive",-1,1)</f>
        <v>52.453172999999992</v>
      </c>
      <c r="CS1023">
        <f>IF($CN1023="refOK",$BT1023,$BS1023)*IF($BP1023="Emissions positive",-1,1)</f>
        <v>56.534999999999997</v>
      </c>
      <c r="CT1023">
        <f>IF($CN1023="refNeedCorrection",-BX1023,BX1023)*IF($BP1023="Emissions positive",-1,1)</f>
        <v>4081827.0000000042</v>
      </c>
      <c r="CU1023">
        <f>IFERROR(CT1023/CQ1023,"")</f>
        <v>12.075968218917291</v>
      </c>
      <c r="CV1023" s="2">
        <f>IFERROR((CS1023-CR1023)/ABS(CR1023),"")</f>
        <v>7.7818495365380561E-2</v>
      </c>
      <c r="CW1023" s="1" t="s">
        <v>1203</v>
      </c>
      <c r="CX1023" s="264" t="str">
        <f>IF(OR($CW1023="prd",$CW1023="std",$CW1023="cit"),"loc",IF(OR($CW1023="eur",$CW1023="reg",$CW1023="coy"),"reg",$CW1023))</f>
        <v>reg</v>
      </c>
      <c r="CY1023" t="s">
        <v>729</v>
      </c>
      <c r="CZ1023">
        <v>2015</v>
      </c>
      <c r="DA1023">
        <v>2100</v>
      </c>
      <c r="DB1023">
        <f>DA1023-CZ1023</f>
        <v>85</v>
      </c>
      <c r="DC1023" t="str">
        <f>IF(DB1023=0,"0",IF(AND(DB1023&gt;=1,DB1023&lt;=30),"1-30",IF(AND(DB1023&gt;30,DB1023&lt;=70),"31-70",IF(AND(DB1023&gt;70,DB1023&lt;=100),"71-100",IF(DB1023&gt;100,"+100")))))</f>
        <v>71-100</v>
      </c>
      <c r="DD1023">
        <v>0</v>
      </c>
      <c r="DE1023">
        <v>1</v>
      </c>
      <c r="DF1023">
        <v>1</v>
      </c>
      <c r="DG1023">
        <v>1</v>
      </c>
      <c r="DI1023">
        <f>SUM(DD1023:DG1023)</f>
        <v>3</v>
      </c>
      <c r="DJ1023" t="str">
        <f>IF(DI1023=1,INDEX($DD$7:$DG$7,MATCH(1,$DD1023:$DG1023,0)),"mixedProduct")</f>
        <v>mixedProduct</v>
      </c>
      <c r="DK1023">
        <f>IF(DD1023=1,DK$7,0)</f>
        <v>0</v>
      </c>
      <c r="DL1023" t="str">
        <f>IF(DE1023=1,DL$7,0)</f>
        <v>Energy</v>
      </c>
      <c r="DM1023" t="str">
        <f>IF(DF1023=1,DM$7,0)</f>
        <v>Pulp/Paper</v>
      </c>
      <c r="DN1023" t="str">
        <f>IF(DG1023=1,DN$7,0)</f>
        <v>Timber</v>
      </c>
      <c r="DO1023">
        <v>0</v>
      </c>
      <c r="DP1023">
        <v>0</v>
      </c>
      <c r="DQ1023">
        <v>0</v>
      </c>
      <c r="DR1023">
        <v>0</v>
      </c>
      <c r="DS1023">
        <v>0</v>
      </c>
      <c r="DT1023">
        <f>SUM(DO1023:DP1023)</f>
        <v>0</v>
      </c>
      <c r="DU1023" s="143" t="str">
        <f>IF(DO1023=1,"self-calculated DF",IF(DP1023=1,"external DF used","explicit C balance"))</f>
        <v>explicit C balance</v>
      </c>
      <c r="DV1023">
        <v>0</v>
      </c>
      <c r="DW1023">
        <v>1</v>
      </c>
      <c r="DX1023">
        <v>1</v>
      </c>
      <c r="DY1023">
        <v>1</v>
      </c>
      <c r="DZ1023">
        <v>0</v>
      </c>
      <c r="EA1023">
        <v>0</v>
      </c>
      <c r="EB1023">
        <v>0</v>
      </c>
      <c r="EC1023">
        <v>0</v>
      </c>
      <c r="ED1023">
        <v>0</v>
      </c>
      <c r="EE1023">
        <v>0</v>
      </c>
      <c r="EF1023">
        <v>1</v>
      </c>
      <c r="EG1023">
        <v>0</v>
      </c>
      <c r="EH1023">
        <v>1</v>
      </c>
      <c r="EI1023" s="2">
        <v>1</v>
      </c>
      <c r="EK1023" t="str">
        <f>IF(AND(AND(AND(OR($DX1023=1,$DW1023=1),OR($EC1023=1,$EA1023=1)),SUM($DV1023:$DZ1023,$EF1023)&gt;=4),SUM($EA1023:$EE1023)&gt;=2),"Whole sector","")</f>
        <v/>
      </c>
      <c r="EL1023" t="str">
        <f>IF(AND(AND(OR($DX1023=1,$DW1023=1),AND($EC1023=0,$EA1023=0)),SUM($DV1023:$DZ1023,$EF1023)&gt;=4),"Ecosystem approach","")</f>
        <v>Ecosystem approach</v>
      </c>
      <c r="EM1023" s="2" t="str">
        <f>IF(AND(AND(AND($DX1023=0,$DW1023=0),OR($EC1023=1,$EA1023=1)),SUM($EB1023:$EE1023)&gt;=2),"Technology approach","")</f>
        <v/>
      </c>
      <c r="EP1023" t="str">
        <f>IF(ISNUMBER(BU1023),IF(ABS(BU1023-[3]QC_indicators!$B$2)&gt;3*[3]QC_indicators!$C$2,"C ratio",IF(ISNUMBER(BY1023),IF(ABS(BY1023-[3]QC_indicators!$B$1)&gt;3*[3]QC_indicators!$C$1,"DF","no"))),IF(ISNUMBER(BY1023),IF(ABS(BY1023-[3]QC_indicators!$B$1)&gt;3*[3]QC_indicators!$C$1,"DF","no")))</f>
        <v>DF</v>
      </c>
      <c r="ET1023" s="264" t="s">
        <v>3407</v>
      </c>
    </row>
    <row r="1024" spans="1:150" ht="15" customHeight="1">
      <c r="A1024" s="1" t="s">
        <v>1378</v>
      </c>
      <c r="B1024" t="s">
        <v>1379</v>
      </c>
      <c r="C1024" t="s">
        <v>1380</v>
      </c>
      <c r="D1024" t="s">
        <v>1381</v>
      </c>
      <c r="E1024" t="s">
        <v>1382</v>
      </c>
      <c r="F1024" t="s">
        <v>1383</v>
      </c>
      <c r="G1024" t="s">
        <v>1384</v>
      </c>
      <c r="H1024" t="s">
        <v>254</v>
      </c>
      <c r="I1024">
        <v>2021</v>
      </c>
      <c r="J1024">
        <v>0</v>
      </c>
      <c r="K1024" t="s">
        <v>1385</v>
      </c>
      <c r="M1024" t="str">
        <f>LEFT($D1024,FIND(",",$D1024)-1)&amp;"_"&amp;I1024&amp;L1024</f>
        <v>Delacote_2021</v>
      </c>
      <c r="N1024" t="s">
        <v>222</v>
      </c>
      <c r="O1024" s="145" t="s">
        <v>223</v>
      </c>
      <c r="Q1024" s="264" t="s">
        <v>256</v>
      </c>
      <c r="R1024" s="269" t="s">
        <v>1154</v>
      </c>
      <c r="S1024" s="1" t="s">
        <v>1394</v>
      </c>
      <c r="T1024" t="s">
        <v>1395</v>
      </c>
      <c r="U1024" s="141" t="s">
        <v>1387</v>
      </c>
      <c r="V1024">
        <v>0</v>
      </c>
      <c r="W1024">
        <v>0</v>
      </c>
      <c r="X1024">
        <v>0</v>
      </c>
      <c r="Y1024">
        <v>0</v>
      </c>
      <c r="Z1024">
        <v>1</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s="141">
        <f>COUNTIF(V1024:AW1024,"&lt;&gt;0")</f>
        <v>1</v>
      </c>
      <c r="AY1024" s="141">
        <f>COUNTIF(V1024:AL1024,"&lt;&gt;0")</f>
        <v>1</v>
      </c>
      <c r="AZ1024">
        <f>COUNTIF(V1024:AC1024,"&lt;&gt;0")</f>
        <v>1</v>
      </c>
      <c r="BA1024">
        <f>COUNTIF(AD1024:AI1024,"&lt;&gt;0")</f>
        <v>0</v>
      </c>
      <c r="BB1024">
        <f>COUNTIF(AJ1024:AL1024,"&lt;&gt;0")</f>
        <v>0</v>
      </c>
      <c r="BC1024">
        <f>COUNTIF(AS1024:AW1024,"&lt;&gt;0")</f>
        <v>0</v>
      </c>
      <c r="BD1024">
        <f>COUNTIF(AM1024:AR1024,"&lt;&gt;0")</f>
        <v>0</v>
      </c>
      <c r="BE1024" t="str" cm="1">
        <f t="array" ref="BE1024">IF(AY1024=1,INDEX($V$7:$AL$7,MATCH(TRUE,INDEX($V1024:$AW1024&lt;&gt;0,),0)),IF(AY1024=0,INDEX($AM$7:$AW$7,MATCH(1,$AM1024:$AW1024,0)),IF(BF1024="Multiple strategies","mixed drivers",IF(BF1024="Supply chain","multiple supply","multiple silviculture"))))</f>
        <v>species</v>
      </c>
      <c r="BF1024" s="2" t="str" cm="1">
        <f t="array" ref="BF1024">IF(COUNTIF(AZ1024:BB1024,"&lt;&gt;0")=1,INDEX($V$4:$AW$4,MATCH(TRUE,INDEX($V1024:$AW1024&lt;&gt;0,),0)),IF(COUNTIF(AZ1024:BB1024,"&lt;&gt;0")=0,INDEX($AM$4:$AW$4,MATCH(1,$AM1024:$AW1024,0)),"Multiple strategies"))</f>
        <v>Silviculture for productivity</v>
      </c>
      <c r="BG1024" s="1" t="s">
        <v>321</v>
      </c>
      <c r="BH1024" t="s">
        <v>1297</v>
      </c>
      <c r="BJ1024" t="s">
        <v>1214</v>
      </c>
      <c r="BK1024">
        <f>BL1024*(1-0.58/100)</f>
        <v>57.939987599999995</v>
      </c>
      <c r="BL1024">
        <v>58.277999999999999</v>
      </c>
      <c r="BM1024">
        <f>BK1024/BL1024</f>
        <v>0.99419999999999997</v>
      </c>
      <c r="BN1024">
        <f>BL1024-BK1024</f>
        <v>0.33801240000000377</v>
      </c>
      <c r="BO1024">
        <f>BN1024*10^6</f>
        <v>338012.40000000375</v>
      </c>
      <c r="BP1024" t="s">
        <v>232</v>
      </c>
      <c r="BR1024" t="s">
        <v>1230</v>
      </c>
      <c r="BS1024">
        <f>BT1024*(1-4.94/100)</f>
        <v>82.131840000000011</v>
      </c>
      <c r="BT1024">
        <v>86.4</v>
      </c>
      <c r="BU1024" s="144">
        <f>IFERROR(BT1024/BS1024,"")</f>
        <v>1.0519671786240268</v>
      </c>
      <c r="BV1024">
        <f>BT1024-BS1024</f>
        <v>4.2681599999999946</v>
      </c>
      <c r="BX1024">
        <f>BV1024*10^6</f>
        <v>4268159.9999999944</v>
      </c>
      <c r="BY1024">
        <f>IFERROR(BX1024/BO1024,"")</f>
        <v>12.627229060235504</v>
      </c>
      <c r="BZ1024">
        <v>0</v>
      </c>
      <c r="CA1024">
        <v>0</v>
      </c>
      <c r="CB1024">
        <v>0</v>
      </c>
      <c r="CC1024">
        <v>0</v>
      </c>
      <c r="CD1024">
        <v>0</v>
      </c>
      <c r="CE1024">
        <v>0</v>
      </c>
      <c r="CF1024">
        <v>0</v>
      </c>
      <c r="CG1024">
        <v>0</v>
      </c>
      <c r="CH1024">
        <v>0</v>
      </c>
      <c r="CI1024">
        <v>0</v>
      </c>
      <c r="CJ1024">
        <v>0</v>
      </c>
      <c r="CK1024">
        <v>0</v>
      </c>
      <c r="CL1024">
        <v>0</v>
      </c>
      <c r="CM1024">
        <v>1</v>
      </c>
      <c r="CN1024" t="str">
        <f>IF($BL1024&lt;$BK1024,"refNeedCorrection","refOK")</f>
        <v>refOK</v>
      </c>
      <c r="CO1024">
        <f>IF($CN1024="refOK",$BK1024,$BL1024)</f>
        <v>57.939987599999995</v>
      </c>
      <c r="CP1024">
        <f>IF($CN1024="refOK",$BL1024,$BK1024)</f>
        <v>58.277999999999999</v>
      </c>
      <c r="CQ1024">
        <f>IF($CN1024="refOK",$BO1024,-$BO1024)</f>
        <v>338012.40000000375</v>
      </c>
      <c r="CR1024">
        <f>IF($CN1024="refOK",$BS1024,$BT1024)*IF($BP1024="Emissions positive",-1,1)</f>
        <v>82.131840000000011</v>
      </c>
      <c r="CS1024">
        <f>IF($CN1024="refOK",$BT1024,$BS1024)*IF($BP1024="Emissions positive",-1,1)</f>
        <v>86.4</v>
      </c>
      <c r="CT1024">
        <f>IF($CN1024="refNeedCorrection",-BX1024,BX1024)*IF($BP1024="Emissions positive",-1,1)</f>
        <v>4268159.9999999944</v>
      </c>
      <c r="CU1024">
        <f>IFERROR(CT1024/CQ1024,"")</f>
        <v>12.627229060235504</v>
      </c>
      <c r="CV1024" s="2">
        <f>IFERROR((CS1024-CR1024)/ABS(CR1024),"")</f>
        <v>5.1967178624026861E-2</v>
      </c>
      <c r="CW1024" s="1" t="s">
        <v>1203</v>
      </c>
      <c r="CX1024" s="264" t="str">
        <f>IF(OR($CW1024="prd",$CW1024="std",$CW1024="cit"),"loc",IF(OR($CW1024="eur",$CW1024="reg",$CW1024="coy"),"reg",$CW1024))</f>
        <v>reg</v>
      </c>
      <c r="CY1024" t="s">
        <v>729</v>
      </c>
      <c r="CZ1024">
        <v>2015</v>
      </c>
      <c r="DA1024">
        <v>2100</v>
      </c>
      <c r="DB1024">
        <f>DA1024-CZ1024</f>
        <v>85</v>
      </c>
      <c r="DC1024" t="str">
        <f>IF(DB1024=0,"0",IF(AND(DB1024&gt;=1,DB1024&lt;=30),"1-30",IF(AND(DB1024&gt;30,DB1024&lt;=70),"31-70",IF(AND(DB1024&gt;70,DB1024&lt;=100),"71-100",IF(DB1024&gt;100,"+100")))))</f>
        <v>71-100</v>
      </c>
      <c r="DD1024">
        <v>0</v>
      </c>
      <c r="DE1024">
        <v>1</v>
      </c>
      <c r="DF1024">
        <v>1</v>
      </c>
      <c r="DG1024">
        <v>1</v>
      </c>
      <c r="DI1024">
        <f>SUM(DD1024:DG1024)</f>
        <v>3</v>
      </c>
      <c r="DJ1024" t="str">
        <f>IF(DI1024=1,INDEX($DD$7:$DG$7,MATCH(1,$DD1024:$DG1024,0)),"mixedProduct")</f>
        <v>mixedProduct</v>
      </c>
      <c r="DK1024">
        <f>IF(DD1024=1,DK$7,0)</f>
        <v>0</v>
      </c>
      <c r="DL1024" t="str">
        <f>IF(DE1024=1,DL$7,0)</f>
        <v>Energy</v>
      </c>
      <c r="DM1024" t="str">
        <f>IF(DF1024=1,DM$7,0)</f>
        <v>Pulp/Paper</v>
      </c>
      <c r="DN1024" t="str">
        <f>IF(DG1024=1,DN$7,0)</f>
        <v>Timber</v>
      </c>
      <c r="DO1024">
        <v>0</v>
      </c>
      <c r="DP1024">
        <v>1</v>
      </c>
      <c r="DQ1024" t="s">
        <v>1389</v>
      </c>
      <c r="DR1024" t="s">
        <v>1389</v>
      </c>
      <c r="DS1024" t="s">
        <v>1389</v>
      </c>
      <c r="DT1024">
        <f>SUM(DO1024:DP1024)</f>
        <v>1</v>
      </c>
      <c r="DU1024" s="143" t="str">
        <f>IF(DO1024=1,"self-calculated DF",IF(DP1024=1,"external DF used","explicit C balance"))</f>
        <v>external DF used</v>
      </c>
      <c r="DV1024">
        <v>0</v>
      </c>
      <c r="DW1024">
        <v>1</v>
      </c>
      <c r="DX1024">
        <v>1</v>
      </c>
      <c r="DY1024">
        <v>1</v>
      </c>
      <c r="DZ1024">
        <v>0</v>
      </c>
      <c r="EA1024">
        <v>1</v>
      </c>
      <c r="EB1024">
        <v>1</v>
      </c>
      <c r="EC1024">
        <v>1</v>
      </c>
      <c r="ED1024">
        <v>0</v>
      </c>
      <c r="EE1024">
        <v>0</v>
      </c>
      <c r="EF1024">
        <v>1</v>
      </c>
      <c r="EG1024">
        <v>0</v>
      </c>
      <c r="EH1024">
        <v>1</v>
      </c>
      <c r="EI1024" s="2">
        <v>1</v>
      </c>
      <c r="EK1024" t="str">
        <f>IF(AND(AND(AND(OR($DX1024=1,$DW1024=1),OR($EC1024=1,$EA1024=1)),SUM($DV1024:$DZ1024,$EF1024)&gt;=4),SUM($EA1024:$EE1024)&gt;=2),"Whole sector","")</f>
        <v>Whole sector</v>
      </c>
      <c r="EL1024" t="str">
        <f>IF(AND(AND(OR($DX1024=1,$DW1024=1),AND($EC1024=0,$EA1024=0)),SUM($DV1024:$DZ1024,$EF1024)&gt;=4),"Ecosystem approach","")</f>
        <v/>
      </c>
      <c r="EM1024" s="2" t="str">
        <f>IF(AND(AND(AND($DX1024=0,$DW1024=0),OR($EC1024=1,$EA1024=1)),SUM($EB1024:$EE1024)&gt;=2),"Technology approach","")</f>
        <v/>
      </c>
      <c r="EO1024" t="s">
        <v>1396</v>
      </c>
      <c r="EP1024" t="str">
        <f>IF(ISNUMBER(BU1024),IF(ABS(BU1024-[3]QC_indicators!$B$2)&gt;3*[3]QC_indicators!$C$2,"C ratio",IF(ISNUMBER(BY1024),IF(ABS(BY1024-[3]QC_indicators!$B$1)&gt;3*[3]QC_indicators!$C$1,"DF","no"))),IF(ISNUMBER(BY1024),IF(ABS(BY1024-[3]QC_indicators!$B$1)&gt;3*[3]QC_indicators!$C$1,"DF","no")))</f>
        <v>DF</v>
      </c>
      <c r="EQ1024" t="s">
        <v>286</v>
      </c>
      <c r="ET1024" s="264" t="s">
        <v>3407</v>
      </c>
    </row>
    <row r="1025" spans="1:150" ht="15" customHeight="1">
      <c r="A1025" s="1" t="s">
        <v>1378</v>
      </c>
      <c r="B1025" t="s">
        <v>1379</v>
      </c>
      <c r="C1025" t="s">
        <v>1380</v>
      </c>
      <c r="D1025" t="s">
        <v>1381</v>
      </c>
      <c r="E1025" s="264" t="s">
        <v>1382</v>
      </c>
      <c r="F1025" t="s">
        <v>1383</v>
      </c>
      <c r="G1025" t="s">
        <v>1384</v>
      </c>
      <c r="H1025" t="s">
        <v>254</v>
      </c>
      <c r="I1025">
        <v>2021</v>
      </c>
      <c r="J1025">
        <v>0</v>
      </c>
      <c r="K1025" t="s">
        <v>1385</v>
      </c>
      <c r="M1025" t="str">
        <f>LEFT($D1025,FIND(",",$D1025)-1)&amp;"_"&amp;I1025&amp;L1025</f>
        <v>Delacote_2021</v>
      </c>
      <c r="N1025" t="s">
        <v>222</v>
      </c>
      <c r="O1025" s="145" t="s">
        <v>223</v>
      </c>
      <c r="Q1025" s="264" t="s">
        <v>256</v>
      </c>
      <c r="R1025" s="269" t="s">
        <v>1154</v>
      </c>
      <c r="S1025" s="1" t="s">
        <v>1386</v>
      </c>
      <c r="T1025" t="s">
        <v>1387</v>
      </c>
      <c r="U1025" t="s">
        <v>1388</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1</v>
      </c>
      <c r="AX1025" s="141">
        <f>COUNTIF(V1025:AW1025,"&lt;&gt;0")</f>
        <v>1</v>
      </c>
      <c r="AY1025" s="141">
        <f>COUNTIF(V1025:AL1025,"&lt;&gt;0")</f>
        <v>0</v>
      </c>
      <c r="AZ1025">
        <f>COUNTIF(V1025:AC1025,"&lt;&gt;0")</f>
        <v>0</v>
      </c>
      <c r="BA1025">
        <f>COUNTIF(AD1025:AI1025,"&lt;&gt;0")</f>
        <v>0</v>
      </c>
      <c r="BB1025">
        <f>COUNTIF(AJ1025:AL1025,"&lt;&gt;0")</f>
        <v>0</v>
      </c>
      <c r="BC1025">
        <f>COUNTIF(AS1025:AW1025,"&lt;&gt;0")</f>
        <v>1</v>
      </c>
      <c r="BD1025">
        <f>COUNTIF(AM1025:AR1025,"&lt;&gt;0")</f>
        <v>0</v>
      </c>
      <c r="BE1025" t="str" cm="1">
        <f t="array" ref="BE1025">IF(AY1025=1,INDEX($V$7:$AL$7,MATCH(TRUE,INDEX($V1025:$AW1025&lt;&gt;0,),0)),IF(AY1025=0,INDEX($AM$7:$AW$7,MATCH(1,$AM1025:$AW1025,0)),IF(BF1025="Multiple strategies","mixed drivers",IF(BF1025="Supply chain","multiple supply","multiple silviculture"))))</f>
        <v>exogenous land use change</v>
      </c>
      <c r="BF1025" s="2" t="str" cm="1">
        <f t="array" ref="BF1025">IF(COUNTIF(AZ1025:BB1025,"&lt;&gt;0")=1,INDEX($V$4:$AW$4,MATCH(TRUE,INDEX($V1025:$AW1025&lt;&gt;0,),0)),IF(COUNTIF(AZ1025:BB1025,"&lt;&gt;0")=0,INDEX($AM$4:$AW$4,MATCH(1,$AM1025:$AW1025,0)),"Multiple strategies"))</f>
        <v>Demand</v>
      </c>
      <c r="BG1025" s="1" t="s">
        <v>321</v>
      </c>
      <c r="BH1025" t="s">
        <v>1297</v>
      </c>
      <c r="BJ1025" t="s">
        <v>1214</v>
      </c>
      <c r="BK1025">
        <v>58.277999999999999</v>
      </c>
      <c r="BL1025">
        <f>BK1025*(1+1.12/100)</f>
        <v>58.930713600000004</v>
      </c>
      <c r="BM1025">
        <f>BL1025/BK1025</f>
        <v>1.0112000000000001</v>
      </c>
      <c r="BN1025">
        <f>BL1025-BK1025</f>
        <v>0.65271360000000556</v>
      </c>
      <c r="BO1025">
        <f>BN1025*10^6</f>
        <v>652713.60000000556</v>
      </c>
      <c r="BP1025" t="s">
        <v>232</v>
      </c>
      <c r="BR1025" t="s">
        <v>1230</v>
      </c>
      <c r="BS1025">
        <v>86.4</v>
      </c>
      <c r="BT1025">
        <f>BS1025*(1+11.98/100)</f>
        <v>96.750720000000001</v>
      </c>
      <c r="BU1025" s="144">
        <f>IFERROR(BT1025/BS1025,"")</f>
        <v>1.1197999999999999</v>
      </c>
      <c r="BV1025">
        <f>BT1025-BS1025</f>
        <v>10.350719999999995</v>
      </c>
      <c r="BX1025">
        <f>BV1025*10^6</f>
        <v>10350719.999999996</v>
      </c>
      <c r="BY1025">
        <f>IFERROR(BX1025/BO1025,"")</f>
        <v>15.857981203394425</v>
      </c>
      <c r="BZ1025">
        <v>0</v>
      </c>
      <c r="CA1025">
        <v>0</v>
      </c>
      <c r="CB1025">
        <v>0</v>
      </c>
      <c r="CC1025">
        <v>0</v>
      </c>
      <c r="CD1025">
        <v>0</v>
      </c>
      <c r="CE1025">
        <v>0</v>
      </c>
      <c r="CF1025">
        <v>0</v>
      </c>
      <c r="CG1025">
        <v>0</v>
      </c>
      <c r="CH1025">
        <v>0</v>
      </c>
      <c r="CI1025">
        <v>0</v>
      </c>
      <c r="CJ1025">
        <v>0</v>
      </c>
      <c r="CK1025">
        <v>0</v>
      </c>
      <c r="CL1025">
        <v>0</v>
      </c>
      <c r="CM1025">
        <v>1</v>
      </c>
      <c r="CN1025" t="str">
        <f>IF($BL1025&lt;$BK1025,"refNeedCorrection","refOK")</f>
        <v>refOK</v>
      </c>
      <c r="CO1025">
        <f>IF($CN1025="refOK",$BK1025,$BL1025)</f>
        <v>58.277999999999999</v>
      </c>
      <c r="CP1025">
        <f>IF($CN1025="refOK",$BL1025,$BK1025)</f>
        <v>58.930713600000004</v>
      </c>
      <c r="CQ1025">
        <f>IF($CN1025="refOK",$BO1025,-$BO1025)</f>
        <v>652713.60000000556</v>
      </c>
      <c r="CR1025">
        <f>IF($CN1025="refOK",$BS1025,$BT1025)*IF($BP1025="Emissions positive",-1,1)</f>
        <v>86.4</v>
      </c>
      <c r="CS1025">
        <f>IF($CN1025="refOK",$BT1025,$BS1025)*IF($BP1025="Emissions positive",-1,1)</f>
        <v>96.750720000000001</v>
      </c>
      <c r="CT1025">
        <f>IF($CN1025="refNeedCorrection",-BX1025,BX1025)*IF($BP1025="Emissions positive",-1,1)</f>
        <v>10350719.999999996</v>
      </c>
      <c r="CU1025">
        <f>IFERROR(CT1025/CQ1025,"")</f>
        <v>15.857981203394425</v>
      </c>
      <c r="CV1025" s="2">
        <f>IFERROR((CS1025-CR1025)/ABS(CR1025),"")</f>
        <v>0.11979999999999993</v>
      </c>
      <c r="CW1025" s="1" t="s">
        <v>1203</v>
      </c>
      <c r="CX1025" s="264" t="str">
        <f>IF(OR($CW1025="prd",$CW1025="std",$CW1025="cit"),"loc",IF(OR($CW1025="eur",$CW1025="reg",$CW1025="coy"),"reg",$CW1025))</f>
        <v>reg</v>
      </c>
      <c r="CY1025" t="s">
        <v>729</v>
      </c>
      <c r="CZ1025">
        <v>2015</v>
      </c>
      <c r="DA1025">
        <v>2100</v>
      </c>
      <c r="DB1025">
        <f>DA1025-CZ1025</f>
        <v>85</v>
      </c>
      <c r="DC1025" t="str">
        <f>IF(DB1025=0,"0",IF(AND(DB1025&gt;=1,DB1025&lt;=30),"1-30",IF(AND(DB1025&gt;30,DB1025&lt;=70),"31-70",IF(AND(DB1025&gt;70,DB1025&lt;=100),"71-100",IF(DB1025&gt;100,"+100")))))</f>
        <v>71-100</v>
      </c>
      <c r="DD1025">
        <v>0</v>
      </c>
      <c r="DE1025">
        <v>1</v>
      </c>
      <c r="DF1025">
        <v>1</v>
      </c>
      <c r="DG1025">
        <v>1</v>
      </c>
      <c r="DI1025">
        <f>SUM(DD1025:DG1025)</f>
        <v>3</v>
      </c>
      <c r="DJ1025" t="str">
        <f>IF(DI1025=1,INDEX($DD$7:$DG$7,MATCH(1,$DD1025:$DG1025,0)),"mixedProduct")</f>
        <v>mixedProduct</v>
      </c>
      <c r="DK1025">
        <f>IF(DD1025=1,DK$7,0)</f>
        <v>0</v>
      </c>
      <c r="DL1025" t="str">
        <f>IF(DE1025=1,DL$7,0)</f>
        <v>Energy</v>
      </c>
      <c r="DM1025" t="str">
        <f>IF(DF1025=1,DM$7,0)</f>
        <v>Pulp/Paper</v>
      </c>
      <c r="DN1025" t="str">
        <f>IF(DG1025=1,DN$7,0)</f>
        <v>Timber</v>
      </c>
      <c r="DO1025">
        <v>0</v>
      </c>
      <c r="DP1025">
        <v>1</v>
      </c>
      <c r="DQ1025" t="s">
        <v>1389</v>
      </c>
      <c r="DR1025" t="s">
        <v>1389</v>
      </c>
      <c r="DS1025" t="s">
        <v>1389</v>
      </c>
      <c r="DT1025">
        <f>SUM(DO1025:DP1025)</f>
        <v>1</v>
      </c>
      <c r="DU1025" s="143" t="str">
        <f>IF(DO1025=1,"self-calculated DF",IF(DP1025=1,"external DF used","explicit C balance"))</f>
        <v>external DF used</v>
      </c>
      <c r="DV1025">
        <v>0</v>
      </c>
      <c r="DW1025">
        <v>1</v>
      </c>
      <c r="DX1025">
        <v>1</v>
      </c>
      <c r="DY1025">
        <v>1</v>
      </c>
      <c r="DZ1025">
        <v>0</v>
      </c>
      <c r="EA1025">
        <v>1</v>
      </c>
      <c r="EB1025">
        <v>1</v>
      </c>
      <c r="EC1025">
        <v>1</v>
      </c>
      <c r="ED1025">
        <v>0</v>
      </c>
      <c r="EE1025">
        <v>0</v>
      </c>
      <c r="EF1025">
        <v>1</v>
      </c>
      <c r="EG1025">
        <v>0</v>
      </c>
      <c r="EH1025">
        <v>1</v>
      </c>
      <c r="EI1025" s="2">
        <v>1</v>
      </c>
      <c r="EK1025" t="str">
        <f>IF(AND(AND(AND(OR($DX1025=1,$DW1025=1),OR($EC1025=1,$EA1025=1)),SUM($DV1025:$DZ1025,$EF1025)&gt;=4),SUM($EA1025:$EE1025)&gt;=2),"Whole sector","")</f>
        <v>Whole sector</v>
      </c>
      <c r="EL1025" t="str">
        <f>IF(AND(AND(OR($DX1025=1,$DW1025=1),AND($EC1025=0,$EA1025=0)),SUM($DV1025:$DZ1025,$EF1025)&gt;=4),"Ecosystem approach","")</f>
        <v/>
      </c>
      <c r="EM1025" s="2" t="str">
        <f>IF(AND(AND(AND($DX1025=0,$DW1025=0),OR($EC1025=1,$EA1025=1)),SUM($EB1025:$EE1025)&gt;=2),"Technology approach","")</f>
        <v/>
      </c>
      <c r="EP1025" t="str">
        <f>IF(ISNUMBER(BU1025),IF(ABS(BU1025-[3]QC_indicators!$B$2)&gt;3*[3]QC_indicators!$C$2,"C ratio",IF(ISNUMBER(BY1025),IF(ABS(BY1025-[3]QC_indicators!$B$1)&gt;3*[3]QC_indicators!$C$1,"DF","no"))),IF(ISNUMBER(BY1025),IF(ABS(BY1025-[3]QC_indicators!$B$1)&gt;3*[3]QC_indicators!$C$1,"DF","no")))</f>
        <v>DF</v>
      </c>
      <c r="EQ1025" t="s">
        <v>450</v>
      </c>
      <c r="ET1025" s="264" t="s">
        <v>3407</v>
      </c>
    </row>
    <row r="1026" spans="1:150" ht="15" customHeight="1">
      <c r="A1026" s="1" t="s">
        <v>1378</v>
      </c>
      <c r="B1026" t="s">
        <v>1379</v>
      </c>
      <c r="C1026" t="s">
        <v>1380</v>
      </c>
      <c r="D1026" t="s">
        <v>1381</v>
      </c>
      <c r="E1026" t="s">
        <v>1382</v>
      </c>
      <c r="F1026" t="s">
        <v>1383</v>
      </c>
      <c r="G1026" t="s">
        <v>1384</v>
      </c>
      <c r="H1026" t="s">
        <v>254</v>
      </c>
      <c r="I1026">
        <v>2021</v>
      </c>
      <c r="J1026">
        <v>0</v>
      </c>
      <c r="K1026" t="s">
        <v>1385</v>
      </c>
      <c r="M1026" t="str">
        <f>LEFT($D1026,FIND(",",$D1026)-1)&amp;"_"&amp;I1026&amp;L1026</f>
        <v>Delacote_2021</v>
      </c>
      <c r="N1026" t="s">
        <v>222</v>
      </c>
      <c r="O1026" s="145" t="s">
        <v>223</v>
      </c>
      <c r="Q1026" s="264" t="s">
        <v>256</v>
      </c>
      <c r="R1026" s="269" t="s">
        <v>1154</v>
      </c>
      <c r="S1026" s="1" t="s">
        <v>1397</v>
      </c>
      <c r="T1026" t="s">
        <v>1387</v>
      </c>
      <c r="U1026" t="s">
        <v>1388</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1</v>
      </c>
      <c r="AO1026">
        <v>2</v>
      </c>
      <c r="AP1026">
        <v>0</v>
      </c>
      <c r="AQ1026">
        <v>0</v>
      </c>
      <c r="AR1026">
        <v>0</v>
      </c>
      <c r="AS1026">
        <v>0</v>
      </c>
      <c r="AT1026">
        <v>0</v>
      </c>
      <c r="AU1026">
        <v>0</v>
      </c>
      <c r="AV1026">
        <v>0</v>
      </c>
      <c r="AW1026">
        <v>0</v>
      </c>
      <c r="AX1026" s="141">
        <f>COUNTIF(V1026:AW1026,"&lt;&gt;0")</f>
        <v>2</v>
      </c>
      <c r="AY1026" s="141">
        <f>COUNTIF(V1026:AL1026,"&lt;&gt;0")</f>
        <v>0</v>
      </c>
      <c r="AZ1026">
        <f>COUNTIF(V1026:AC1026,"&lt;&gt;0")</f>
        <v>0</v>
      </c>
      <c r="BA1026">
        <f>COUNTIF(AD1026:AI1026,"&lt;&gt;0")</f>
        <v>0</v>
      </c>
      <c r="BB1026">
        <f>COUNTIF(AJ1026:AL1026,"&lt;&gt;0")</f>
        <v>0</v>
      </c>
      <c r="BC1026">
        <f>COUNTIF(AS1026:AW1026,"&lt;&gt;0")</f>
        <v>0</v>
      </c>
      <c r="BD1026">
        <f>COUNTIF(AM1026:AR1026,"&lt;&gt;0")</f>
        <v>2</v>
      </c>
      <c r="BE1026" t="str" cm="1">
        <f t="array" ref="BE1026">IF(AY1026=1,INDEX($V$7:$AL$7,MATCH(TRUE,INDEX($V1026:$AW1026&lt;&gt;0,),0)),IF(AY1026=0,INDEX($AM$7:$AW$7,MATCH(1,$AM1026:$AW1026,0)),IF(BF1026="Multiple strategies","mixed drivers",IF(BF1026="Supply chain","multiple supply","multiple silviculture"))))</f>
        <v>Temperature</v>
      </c>
      <c r="BF1026" s="2" t="str" cm="1">
        <f t="array" ref="BF1026">IF(COUNTIF(AZ1026:BB1026,"&lt;&gt;0")=1,INDEX($V$4:$AW$4,MATCH(TRUE,INDEX($V1026:$AW1026&lt;&gt;0,),0)),IF(COUNTIF(AZ1026:BB1026,"&lt;&gt;0")=0,INDEX($AM$4:$AW$4,MATCH(1,$AM1026:$AW1026,0)),"Multiple strategies"))</f>
        <v>Environmental change</v>
      </c>
      <c r="BG1026" s="1" t="s">
        <v>321</v>
      </c>
      <c r="BH1026" t="s">
        <v>1297</v>
      </c>
      <c r="BJ1026" t="s">
        <v>1214</v>
      </c>
      <c r="BK1026">
        <v>51.780999999999999</v>
      </c>
      <c r="BL1026">
        <f>BK1026*(1+1.12/100)</f>
        <v>52.360947200000005</v>
      </c>
      <c r="BM1026">
        <f>BL1026/BK1026</f>
        <v>1.0112000000000001</v>
      </c>
      <c r="BN1026">
        <f>BL1026-BK1026</f>
        <v>0.57994720000000655</v>
      </c>
      <c r="BO1026">
        <f>BN1026*10^6</f>
        <v>579947.20000000659</v>
      </c>
      <c r="BP1026" t="s">
        <v>232</v>
      </c>
      <c r="BR1026" t="s">
        <v>1230</v>
      </c>
      <c r="BS1026">
        <v>56.534999999999997</v>
      </c>
      <c r="BT1026">
        <f>BS1026*(1+17.82/100)</f>
        <v>66.609536999999989</v>
      </c>
      <c r="BU1026" s="144">
        <f>IFERROR(BT1026/BS1026,"")</f>
        <v>1.1781999999999999</v>
      </c>
      <c r="BV1026">
        <f>BT1026-BS1026</f>
        <v>10.074536999999992</v>
      </c>
      <c r="BX1026">
        <f>BV1026*10^6</f>
        <v>10074536.999999993</v>
      </c>
      <c r="BY1026">
        <f>IFERROR(BX1026/BO1026,"")</f>
        <v>17.371472782349631</v>
      </c>
      <c r="BZ1026">
        <v>0</v>
      </c>
      <c r="CA1026">
        <v>0</v>
      </c>
      <c r="CB1026">
        <v>0</v>
      </c>
      <c r="CC1026">
        <v>0</v>
      </c>
      <c r="CD1026">
        <v>0</v>
      </c>
      <c r="CE1026">
        <v>0</v>
      </c>
      <c r="CF1026">
        <v>0</v>
      </c>
      <c r="CG1026">
        <v>0</v>
      </c>
      <c r="CH1026">
        <v>0</v>
      </c>
      <c r="CI1026">
        <v>0</v>
      </c>
      <c r="CJ1026">
        <v>0</v>
      </c>
      <c r="CK1026">
        <v>0</v>
      </c>
      <c r="CL1026">
        <v>0</v>
      </c>
      <c r="CM1026">
        <v>1</v>
      </c>
      <c r="CN1026" t="str">
        <f>IF($BL1026&lt;$BK1026,"refNeedCorrection","refOK")</f>
        <v>refOK</v>
      </c>
      <c r="CO1026">
        <f>IF($CN1026="refOK",$BK1026,$BL1026)</f>
        <v>51.780999999999999</v>
      </c>
      <c r="CP1026">
        <f>IF($CN1026="refOK",$BL1026,$BK1026)</f>
        <v>52.360947200000005</v>
      </c>
      <c r="CQ1026">
        <f>IF($CN1026="refOK",$BO1026,-$BO1026)</f>
        <v>579947.20000000659</v>
      </c>
      <c r="CR1026">
        <f>IF($CN1026="refOK",$BS1026,$BT1026)*IF($BP1026="Emissions positive",-1,1)</f>
        <v>56.534999999999997</v>
      </c>
      <c r="CS1026">
        <f>IF($CN1026="refOK",$BT1026,$BS1026)*IF($BP1026="Emissions positive",-1,1)</f>
        <v>66.609536999999989</v>
      </c>
      <c r="CT1026">
        <f>IF($CN1026="refNeedCorrection",-BX1026,BX1026)*IF($BP1026="Emissions positive",-1,1)</f>
        <v>10074536.999999993</v>
      </c>
      <c r="CU1026">
        <f>IFERROR(CT1026/CQ1026,"")</f>
        <v>17.371472782349631</v>
      </c>
      <c r="CV1026" s="2">
        <f>IFERROR((CS1026-CR1026)/ABS(CR1026),"")</f>
        <v>0.17819999999999989</v>
      </c>
      <c r="CW1026" s="1" t="s">
        <v>1203</v>
      </c>
      <c r="CX1026" s="264" t="str">
        <f>IF(OR($CW1026="prd",$CW1026="std",$CW1026="cit"),"loc",IF(OR($CW1026="eur",$CW1026="reg",$CW1026="coy"),"reg",$CW1026))</f>
        <v>reg</v>
      </c>
      <c r="CY1026" t="s">
        <v>729</v>
      </c>
      <c r="CZ1026">
        <v>2015</v>
      </c>
      <c r="DA1026">
        <v>2100</v>
      </c>
      <c r="DB1026">
        <f>DA1026-CZ1026</f>
        <v>85</v>
      </c>
      <c r="DC1026" t="str">
        <f>IF(DB1026=0,"0",IF(AND(DB1026&gt;=1,DB1026&lt;=30),"1-30",IF(AND(DB1026&gt;30,DB1026&lt;=70),"31-70",IF(AND(DB1026&gt;70,DB1026&lt;=100),"71-100",IF(DB1026&gt;100,"+100")))))</f>
        <v>71-100</v>
      </c>
      <c r="DD1026">
        <v>0</v>
      </c>
      <c r="DE1026">
        <v>1</v>
      </c>
      <c r="DF1026">
        <v>1</v>
      </c>
      <c r="DG1026">
        <v>1</v>
      </c>
      <c r="DI1026">
        <f>SUM(DD1026:DG1026)</f>
        <v>3</v>
      </c>
      <c r="DJ1026" t="str">
        <f>IF(DI1026=1,INDEX($DD$7:$DG$7,MATCH(1,$DD1026:$DG1026,0)),"mixedProduct")</f>
        <v>mixedProduct</v>
      </c>
      <c r="DK1026">
        <f>IF(DD1026=1,DK$7,0)</f>
        <v>0</v>
      </c>
      <c r="DL1026" t="str">
        <f>IF(DE1026=1,DL$7,0)</f>
        <v>Energy</v>
      </c>
      <c r="DM1026" t="str">
        <f>IF(DF1026=1,DM$7,0)</f>
        <v>Pulp/Paper</v>
      </c>
      <c r="DN1026" t="str">
        <f>IF(DG1026=1,DN$7,0)</f>
        <v>Timber</v>
      </c>
      <c r="DO1026">
        <v>0</v>
      </c>
      <c r="DP1026">
        <v>0</v>
      </c>
      <c r="DQ1026">
        <v>0</v>
      </c>
      <c r="DR1026">
        <v>0</v>
      </c>
      <c r="DS1026">
        <v>0</v>
      </c>
      <c r="DT1026">
        <f>SUM(DO1026:DP1026)</f>
        <v>0</v>
      </c>
      <c r="DU1026" s="143" t="str">
        <f>IF(DO1026=1,"self-calculated DF",IF(DP1026=1,"external DF used","explicit C balance"))</f>
        <v>explicit C balance</v>
      </c>
      <c r="DV1026">
        <v>0</v>
      </c>
      <c r="DW1026">
        <v>1</v>
      </c>
      <c r="DX1026">
        <v>1</v>
      </c>
      <c r="DY1026">
        <v>1</v>
      </c>
      <c r="DZ1026">
        <v>0</v>
      </c>
      <c r="EA1026">
        <v>0</v>
      </c>
      <c r="EB1026">
        <v>0</v>
      </c>
      <c r="EC1026">
        <v>0</v>
      </c>
      <c r="ED1026">
        <v>0</v>
      </c>
      <c r="EE1026">
        <v>0</v>
      </c>
      <c r="EF1026">
        <v>1</v>
      </c>
      <c r="EG1026">
        <v>0</v>
      </c>
      <c r="EH1026">
        <v>1</v>
      </c>
      <c r="EI1026" s="2">
        <v>1</v>
      </c>
      <c r="EK1026" t="str">
        <f>IF(AND(AND(AND(OR($DX1026=1,$DW1026=1),OR($EC1026=1,$EA1026=1)),SUM($DV1026:$DZ1026,$EF1026)&gt;=4),SUM($EA1026:$EE1026)&gt;=2),"Whole sector","")</f>
        <v/>
      </c>
      <c r="EL1026" t="str">
        <f>IF(AND(AND(OR($DX1026=1,$DW1026=1),AND($EC1026=0,$EA1026=0)),SUM($DV1026:$DZ1026,$EF1026)&gt;=4),"Ecosystem approach","")</f>
        <v>Ecosystem approach</v>
      </c>
      <c r="EM1026" s="2" t="str">
        <f>IF(AND(AND(AND($DX1026=0,$DW1026=0),OR($EC1026=1,$EA1026=1)),SUM($EB1026:$EE1026)&gt;=2),"Technology approach","")</f>
        <v/>
      </c>
      <c r="EP1026" t="str">
        <f>IF(ISNUMBER(BU1026),IF(ABS(BU1026-[3]QC_indicators!$B$2)&gt;3*[3]QC_indicators!$C$2,"C ratio",IF(ISNUMBER(BY1026),IF(ABS(BY1026-[3]QC_indicators!$B$1)&gt;3*[3]QC_indicators!$C$1,"DF","no"))),IF(ISNUMBER(BY1026),IF(ABS(BY1026-[3]QC_indicators!$B$1)&gt;3*[3]QC_indicators!$C$1,"DF","no")))</f>
        <v>DF</v>
      </c>
      <c r="ET1026" s="264" t="s">
        <v>3407</v>
      </c>
    </row>
    <row r="1027" spans="1:150" ht="15" customHeight="1">
      <c r="A1027" s="1" t="s">
        <v>926</v>
      </c>
      <c r="B1027" t="s">
        <v>1849</v>
      </c>
      <c r="C1027" t="s">
        <v>1850</v>
      </c>
      <c r="D1027" t="s">
        <v>1851</v>
      </c>
      <c r="E1027" t="s">
        <v>1852</v>
      </c>
      <c r="F1027" t="s">
        <v>1853</v>
      </c>
      <c r="G1027" t="s">
        <v>932</v>
      </c>
      <c r="H1027" t="s">
        <v>254</v>
      </c>
      <c r="I1027">
        <v>2019</v>
      </c>
      <c r="J1027">
        <v>8</v>
      </c>
      <c r="K1027" t="s">
        <v>1854</v>
      </c>
      <c r="M1027" t="str">
        <f>LEFT($D1027,FIND(",",$D1027)-1)&amp;"_"&amp;I1027&amp;L1027</f>
        <v>Kogler_2019</v>
      </c>
      <c r="N1027" t="s">
        <v>2582</v>
      </c>
      <c r="O1027" s="171" t="s">
        <v>513</v>
      </c>
      <c r="P1027" t="s">
        <v>960</v>
      </c>
      <c r="Q1027" t="s">
        <v>389</v>
      </c>
      <c r="R1027" s="262" t="s">
        <v>223</v>
      </c>
      <c r="S1027" s="1" t="s">
        <v>1867</v>
      </c>
      <c r="T1027" t="s">
        <v>1865</v>
      </c>
      <c r="U1027" t="s">
        <v>1862</v>
      </c>
      <c r="V1027">
        <v>0</v>
      </c>
      <c r="W1027">
        <v>0</v>
      </c>
      <c r="X1027">
        <v>0</v>
      </c>
      <c r="Y1027">
        <v>0</v>
      </c>
      <c r="Z1027">
        <v>0</v>
      </c>
      <c r="AA1027">
        <v>0</v>
      </c>
      <c r="AB1027">
        <v>0</v>
      </c>
      <c r="AC1027">
        <v>0</v>
      </c>
      <c r="AD1027">
        <v>0</v>
      </c>
      <c r="AE1027">
        <v>0</v>
      </c>
      <c r="AF1027">
        <v>1</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s="141">
        <f>COUNTIF(V1027:AW1027,"&lt;&gt;0")</f>
        <v>1</v>
      </c>
      <c r="AY1027" s="141">
        <f>COUNTIF(V1027:AL1027,"&lt;&gt;0")</f>
        <v>1</v>
      </c>
      <c r="AZ1027">
        <f>COUNTIF(V1027:AC1027,"&lt;&gt;0")</f>
        <v>0</v>
      </c>
      <c r="BA1027">
        <f>COUNTIF(AD1027:AI1027,"&lt;&gt;0")</f>
        <v>1</v>
      </c>
      <c r="BB1027">
        <f>COUNTIF(AJ1027:AL1027,"&lt;&gt;0")</f>
        <v>0</v>
      </c>
      <c r="BC1027">
        <f>COUNTIF(AS1027:AW1027,"&lt;&gt;0")</f>
        <v>0</v>
      </c>
      <c r="BD1027">
        <f>COUNTIF(AM1027:AR1027,"&lt;&gt;0")</f>
        <v>0</v>
      </c>
      <c r="BE1027" t="str">
        <f t="array" ref="BE1027">IF(AY1027=1,INDEX($V$7:$AL$7,MATCH(TRUE,INDEX($V1027:$AW1027&lt;&gt;0,),0)),IF(AY1027=0,INDEX($AM$7:$AW$7,MATCH(1,$AM1027:$AW1027,0)),IF(BF1027="Multiple strategies","mixed drivers",IF(BF1027="Supply chain","multiple supply","multiple silviculture"))))</f>
        <v>supply chain organization</v>
      </c>
      <c r="BF1027" s="2" t="str" cm="1">
        <f t="array" ref="BF1027">IF(COUNTIF(AZ1027:BB1027,"&lt;&gt;0")=1,INDEX($V$4:$AW$4,MATCH(TRUE,INDEX($V1027:$AW1027&lt;&gt;0,),0)),IF(COUNTIF(AZ1027:BB1027,"&lt;&gt;0")=0,INDEX($AM$4:$AW$4,MATCH(1,$AM1027:$AW1027,0)),"Multiple strategies"))</f>
        <v>Supply chain</v>
      </c>
      <c r="BG1027" s="1" t="s">
        <v>321</v>
      </c>
      <c r="BH1027" s="333" t="s">
        <v>1858</v>
      </c>
      <c r="BI1027" t="s">
        <v>611</v>
      </c>
      <c r="BJ1027" t="s">
        <v>498</v>
      </c>
      <c r="BK1027">
        <v>39771</v>
      </c>
      <c r="BL1027">
        <v>41581</v>
      </c>
      <c r="BM1027">
        <v>1.0455105478866511</v>
      </c>
      <c r="BN1027">
        <f>BL1027-BK1027</f>
        <v>1810</v>
      </c>
      <c r="BO1027">
        <f>BN1027</f>
        <v>1810</v>
      </c>
      <c r="BP1027" t="s">
        <v>395</v>
      </c>
      <c r="BQ1027" t="s">
        <v>1859</v>
      </c>
      <c r="BR1027" s="264" t="s">
        <v>3149</v>
      </c>
      <c r="BS1027">
        <v>762</v>
      </c>
      <c r="BT1027">
        <v>719</v>
      </c>
      <c r="BU1027" s="144">
        <v>0.94356955380577423</v>
      </c>
      <c r="BV1027" s="152">
        <f>BT1027-BS1027</f>
        <v>-43</v>
      </c>
      <c r="BX1027">
        <f>BV1027*10^6</f>
        <v>-43000000</v>
      </c>
      <c r="BY1027">
        <f>IFERROR(BX1027/BO1027,"")</f>
        <v>-23756.906077348067</v>
      </c>
      <c r="BZ1027">
        <v>0</v>
      </c>
      <c r="CA1027">
        <v>0</v>
      </c>
      <c r="CB1027">
        <v>0</v>
      </c>
      <c r="CC1027">
        <v>0</v>
      </c>
      <c r="CD1027">
        <v>0</v>
      </c>
      <c r="CE1027">
        <v>0</v>
      </c>
      <c r="CF1027">
        <v>0</v>
      </c>
      <c r="CG1027">
        <v>0</v>
      </c>
      <c r="CH1027">
        <v>0</v>
      </c>
      <c r="CI1027">
        <v>0</v>
      </c>
      <c r="CJ1027">
        <v>0</v>
      </c>
      <c r="CK1027">
        <v>0</v>
      </c>
      <c r="CL1027">
        <v>0</v>
      </c>
      <c r="CM1027">
        <v>0</v>
      </c>
      <c r="CN1027" t="str">
        <f>IF($BL1027&lt;$BK1027,"refNeedCorrection","refOK")</f>
        <v>refOK</v>
      </c>
      <c r="CO1027">
        <f>IF($CN1027="refOK",$BK1027,$BL1027)</f>
        <v>39771</v>
      </c>
      <c r="CP1027">
        <f>IF($CN1027="refOK",$BL1027,$BK1027)</f>
        <v>41581</v>
      </c>
      <c r="CQ1027">
        <f>IF($CN1027="refOK",$BO1027,-$BO1027)</f>
        <v>1810</v>
      </c>
      <c r="CR1027">
        <f>IF($CN1027="refOK",$BS1027,$BT1027)*IF($BP1027="Emissions positive",-1,1)</f>
        <v>-762</v>
      </c>
      <c r="CS1027">
        <f>IF($CN1027="refOK",$BT1027,$BS1027)*IF($BP1027="Emissions positive",-1,1)</f>
        <v>-719</v>
      </c>
      <c r="CT1027">
        <f>IF($CN1027="refNeedCorrection",-BX1027,BX1027)*IF($BP1027="Emissions positive",-1,1)</f>
        <v>43000000</v>
      </c>
      <c r="CU1027">
        <f>IFERROR(CT1027/CQ1027,"")</f>
        <v>23756.906077348067</v>
      </c>
      <c r="CV1027" s="2">
        <f>IFERROR((CS1027-CR1027)/ABS(CR1027),"")</f>
        <v>5.6430446194225721E-2</v>
      </c>
      <c r="CW1027" s="1" t="s">
        <v>1203</v>
      </c>
      <c r="CX1027" t="str">
        <f>IF(OR($CW1027="prd",$CW1027="std",$CW1027="cit"),"loc",IF(OR($CW1027="eur",$CW1027="reg",$CW1027="coy"),"reg",$CW1027))</f>
        <v>reg</v>
      </c>
      <c r="CY1027" t="s">
        <v>666</v>
      </c>
      <c r="CZ1027">
        <v>0</v>
      </c>
      <c r="DA1027">
        <v>0</v>
      </c>
      <c r="DB1027">
        <v>0</v>
      </c>
      <c r="DC1027" t="str">
        <f>IF(DB1027=0,"0",IF(AND(DB1027&gt;=1,DB1027&lt;=30),"1-30",IF(AND(DB1027&gt;30,DB1027&lt;=70),"31-70",IF(AND(DB1027&gt;70,DB1027&lt;=100),"71-100",IF(DB1027&gt;100,"+100")))))</f>
        <v>0</v>
      </c>
      <c r="DD1027">
        <v>1</v>
      </c>
      <c r="DE1027">
        <v>0</v>
      </c>
      <c r="DF1027">
        <v>0</v>
      </c>
      <c r="DG1027">
        <v>0</v>
      </c>
      <c r="DI1027">
        <v>1</v>
      </c>
      <c r="DJ1027" t="str">
        <f>IF(DI1027=1,INDEX($DD$7:$DG$7,MATCH(1,$DD1027:$DG1027,0)),"mixedProduct")</f>
        <v>UpstreamInput</v>
      </c>
      <c r="DK1027" t="str">
        <f>IF(DD1027=1,DK$7,0)</f>
        <v>Upstream</v>
      </c>
      <c r="DL1027">
        <f>IF(DE1027=1,DL$7,0)</f>
        <v>0</v>
      </c>
      <c r="DM1027">
        <f>IF(DF1027=1,DM$7,0)</f>
        <v>0</v>
      </c>
      <c r="DN1027">
        <f>IF(DG1027=1,DN$7,0)</f>
        <v>0</v>
      </c>
      <c r="DO1027">
        <v>0</v>
      </c>
      <c r="DP1027">
        <v>0</v>
      </c>
      <c r="DQ1027">
        <v>0</v>
      </c>
      <c r="DR1027">
        <v>0</v>
      </c>
      <c r="DS1027">
        <v>0</v>
      </c>
      <c r="DT1027">
        <f>SUM(DO1027:DP1027)</f>
        <v>0</v>
      </c>
      <c r="DU1027" s="143" t="s">
        <v>962</v>
      </c>
      <c r="DV1027">
        <v>0</v>
      </c>
      <c r="DW1027">
        <v>0</v>
      </c>
      <c r="DX1027">
        <v>0</v>
      </c>
      <c r="DY1027">
        <v>0</v>
      </c>
      <c r="DZ1027">
        <v>0</v>
      </c>
      <c r="EA1027" s="143">
        <v>0</v>
      </c>
      <c r="EB1027">
        <v>1</v>
      </c>
      <c r="EC1027">
        <v>0</v>
      </c>
      <c r="ED1027">
        <v>0</v>
      </c>
      <c r="EE1027">
        <v>0</v>
      </c>
      <c r="EF1027">
        <v>0</v>
      </c>
      <c r="EG1027">
        <v>0</v>
      </c>
      <c r="EH1027">
        <v>0</v>
      </c>
      <c r="EI1027" s="2">
        <v>0</v>
      </c>
      <c r="EK1027" t="str">
        <f>IF(AND(AND(AND(OR($DX1027=1,$DW1027=1),OR($EC1027=1,$EA1027=1)),SUM($DV1027:$DZ1027,$EF1027)&gt;=4),SUM($EA1027:$EE1027)&gt;=2),"Whole sector","")</f>
        <v/>
      </c>
      <c r="EL1027" t="str">
        <f>IF(AND(AND(OR($DX1027=1,$DW1027=1),AND($EC1027=0,$EA1027=0)),SUM($DV1027:$DZ1027,$EF1027)&gt;=4),"Ecosystem approach","")</f>
        <v/>
      </c>
      <c r="EM1027" s="2" t="str">
        <f>IF(AND(AND(AND($DX1027=0,$DW1027=0),OR($EC1027=1,$EA1027=1)),SUM($EB1027:$EE1027)&gt;=2),"Technology approach","")</f>
        <v/>
      </c>
      <c r="EP1027" t="str">
        <f>IF(ISNUMBER(BU1027),IF(ABS(BU1027-[1]QC_indicators!$B$2)&gt;3*[1]QC_indicators!$C$2,"C ratio",IF(ISNUMBER(BY1027),IF(ABS(BY1027-[1]QC_indicators!$B$1)&gt;3*[1]QC_indicators!$C$1,"DF","no"))),IF(ISNUMBER(BY1027),IF(ABS(BY1027-[1]QC_indicators!$B$1)&gt;3*[1]QC_indicators!$C$1,"DF","no")))</f>
        <v>DF</v>
      </c>
      <c r="ET1027" s="264" t="s">
        <v>3150</v>
      </c>
    </row>
    <row r="1028" spans="1:150" ht="15" customHeight="1">
      <c r="A1028" s="1" t="s">
        <v>926</v>
      </c>
      <c r="B1028" t="s">
        <v>1849</v>
      </c>
      <c r="C1028" t="s">
        <v>1850</v>
      </c>
      <c r="D1028" t="s">
        <v>1851</v>
      </c>
      <c r="E1028" t="s">
        <v>1852</v>
      </c>
      <c r="F1028" t="s">
        <v>1853</v>
      </c>
      <c r="G1028" t="s">
        <v>932</v>
      </c>
      <c r="H1028" t="s">
        <v>254</v>
      </c>
      <c r="I1028">
        <v>2019</v>
      </c>
      <c r="J1028">
        <v>8</v>
      </c>
      <c r="K1028" t="s">
        <v>1854</v>
      </c>
      <c r="M1028" t="str">
        <f>LEFT($D1028,FIND(",",$D1028)-1)&amp;"_"&amp;I1028&amp;L1028</f>
        <v>Kogler_2019</v>
      </c>
      <c r="N1028" t="s">
        <v>2582</v>
      </c>
      <c r="O1028" s="171" t="s">
        <v>513</v>
      </c>
      <c r="P1028" t="s">
        <v>960</v>
      </c>
      <c r="Q1028" t="s">
        <v>389</v>
      </c>
      <c r="R1028" s="262" t="s">
        <v>223</v>
      </c>
      <c r="S1028" s="1" t="s">
        <v>1867</v>
      </c>
      <c r="T1028" t="s">
        <v>1866</v>
      </c>
      <c r="U1028" t="s">
        <v>1860</v>
      </c>
      <c r="V1028">
        <v>0</v>
      </c>
      <c r="W1028">
        <v>0</v>
      </c>
      <c r="X1028">
        <v>0</v>
      </c>
      <c r="Y1028">
        <v>0</v>
      </c>
      <c r="Z1028">
        <v>0</v>
      </c>
      <c r="AA1028">
        <v>0</v>
      </c>
      <c r="AB1028">
        <v>0</v>
      </c>
      <c r="AC1028">
        <v>0</v>
      </c>
      <c r="AD1028">
        <v>0</v>
      </c>
      <c r="AE1028">
        <v>0</v>
      </c>
      <c r="AF1028">
        <v>1</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s="141">
        <f>COUNTIF(V1028:AW1028,"&lt;&gt;0")</f>
        <v>1</v>
      </c>
      <c r="AY1028" s="141">
        <f>COUNTIF(V1028:AL1028,"&lt;&gt;0")</f>
        <v>1</v>
      </c>
      <c r="AZ1028">
        <f>COUNTIF(V1028:AC1028,"&lt;&gt;0")</f>
        <v>0</v>
      </c>
      <c r="BA1028">
        <f>COUNTIF(AD1028:AI1028,"&lt;&gt;0")</f>
        <v>1</v>
      </c>
      <c r="BB1028">
        <f>COUNTIF(AJ1028:AL1028,"&lt;&gt;0")</f>
        <v>0</v>
      </c>
      <c r="BC1028">
        <f>COUNTIF(AS1028:AW1028,"&lt;&gt;0")</f>
        <v>0</v>
      </c>
      <c r="BD1028">
        <f>COUNTIF(AM1028:AR1028,"&lt;&gt;0")</f>
        <v>0</v>
      </c>
      <c r="BE1028" t="str">
        <f t="array" ref="BE1028">IF(AY1028=1,INDEX($V$7:$AL$7,MATCH(TRUE,INDEX($V1028:$AW1028&lt;&gt;0,),0)),IF(AY1028=0,INDEX($AM$7:$AW$7,MATCH(1,$AM1028:$AW1028,0)),IF(BF1028="Multiple strategies","mixed drivers",IF(BF1028="Supply chain","multiple supply","multiple silviculture"))))</f>
        <v>supply chain organization</v>
      </c>
      <c r="BF1028" s="2" t="str" cm="1">
        <f t="array" ref="BF1028">IF(COUNTIF(AZ1028:BB1028,"&lt;&gt;0")=1,INDEX($V$4:$AW$4,MATCH(TRUE,INDEX($V1028:$AW1028&lt;&gt;0,),0)),IF(COUNTIF(AZ1028:BB1028,"&lt;&gt;0")=0,INDEX($AM$4:$AW$4,MATCH(1,$AM1028:$AW1028,0)),"Multiple strategies"))</f>
        <v>Supply chain</v>
      </c>
      <c r="BG1028" s="1" t="s">
        <v>321</v>
      </c>
      <c r="BH1028" s="333" t="s">
        <v>1858</v>
      </c>
      <c r="BI1028" t="s">
        <v>611</v>
      </c>
      <c r="BJ1028" t="s">
        <v>498</v>
      </c>
      <c r="BK1028">
        <v>75469</v>
      </c>
      <c r="BL1028">
        <v>80258</v>
      </c>
      <c r="BM1028">
        <v>1.0634565185705389</v>
      </c>
      <c r="BN1028">
        <f>BL1028-BK1028</f>
        <v>4789</v>
      </c>
      <c r="BO1028">
        <f>BN1028</f>
        <v>4789</v>
      </c>
      <c r="BP1028" t="s">
        <v>395</v>
      </c>
      <c r="BQ1028" t="s">
        <v>1859</v>
      </c>
      <c r="BR1028" s="264" t="s">
        <v>3149</v>
      </c>
      <c r="BS1028">
        <v>1447</v>
      </c>
      <c r="BT1028">
        <v>1270</v>
      </c>
      <c r="BU1028" s="144">
        <v>0.8776779543883898</v>
      </c>
      <c r="BV1028" s="152">
        <f>BT1028-BS1028</f>
        <v>-177</v>
      </c>
      <c r="BX1028">
        <f>BV1028*10^6</f>
        <v>-177000000</v>
      </c>
      <c r="BY1028">
        <f>IFERROR(BX1028/BO1028,"")</f>
        <v>-36959.699310920863</v>
      </c>
      <c r="BZ1028">
        <v>0</v>
      </c>
      <c r="CA1028">
        <v>0</v>
      </c>
      <c r="CB1028">
        <v>0</v>
      </c>
      <c r="CC1028">
        <v>0</v>
      </c>
      <c r="CD1028">
        <v>0</v>
      </c>
      <c r="CE1028">
        <v>0</v>
      </c>
      <c r="CF1028">
        <v>0</v>
      </c>
      <c r="CG1028">
        <v>0</v>
      </c>
      <c r="CH1028">
        <v>0</v>
      </c>
      <c r="CI1028">
        <v>0</v>
      </c>
      <c r="CJ1028">
        <v>0</v>
      </c>
      <c r="CK1028">
        <v>0</v>
      </c>
      <c r="CL1028">
        <v>0</v>
      </c>
      <c r="CM1028">
        <v>0</v>
      </c>
      <c r="CN1028" t="str">
        <f>IF($BL1028&lt;$BK1028,"refNeedCorrection","refOK")</f>
        <v>refOK</v>
      </c>
      <c r="CO1028">
        <f>IF($CN1028="refOK",$BK1028,$BL1028)</f>
        <v>75469</v>
      </c>
      <c r="CP1028">
        <f>IF($CN1028="refOK",$BL1028,$BK1028)</f>
        <v>80258</v>
      </c>
      <c r="CQ1028">
        <f>IF($CN1028="refOK",$BO1028,-$BO1028)</f>
        <v>4789</v>
      </c>
      <c r="CR1028">
        <f>IF($CN1028="refOK",$BS1028,$BT1028)*IF($BP1028="Emissions positive",-1,1)</f>
        <v>-1447</v>
      </c>
      <c r="CS1028">
        <f>IF($CN1028="refOK",$BT1028,$BS1028)*IF($BP1028="Emissions positive",-1,1)</f>
        <v>-1270</v>
      </c>
      <c r="CT1028">
        <f>IF($CN1028="refNeedCorrection",-BX1028,BX1028)*IF($BP1028="Emissions positive",-1,1)</f>
        <v>177000000</v>
      </c>
      <c r="CU1028">
        <f>IFERROR(CT1028/CQ1028,"")</f>
        <v>36959.699310920863</v>
      </c>
      <c r="CV1028" s="2">
        <f>IFERROR((CS1028-CR1028)/ABS(CR1028),"")</f>
        <v>0.12232204561161023</v>
      </c>
      <c r="CW1028" s="1" t="s">
        <v>1203</v>
      </c>
      <c r="CX1028" t="str">
        <f>IF(OR($CW1028="prd",$CW1028="std",$CW1028="cit"),"loc",IF(OR($CW1028="eur",$CW1028="reg",$CW1028="coy"),"reg",$CW1028))</f>
        <v>reg</v>
      </c>
      <c r="CY1028" t="s">
        <v>666</v>
      </c>
      <c r="CZ1028">
        <v>0</v>
      </c>
      <c r="DA1028">
        <v>0</v>
      </c>
      <c r="DB1028">
        <v>0</v>
      </c>
      <c r="DC1028" t="str">
        <f>IF(DB1028=0,"0",IF(AND(DB1028&gt;=1,DB1028&lt;=30),"1-30",IF(AND(DB1028&gt;30,DB1028&lt;=70),"31-70",IF(AND(DB1028&gt;70,DB1028&lt;=100),"71-100",IF(DB1028&gt;100,"+100")))))</f>
        <v>0</v>
      </c>
      <c r="DD1028">
        <v>1</v>
      </c>
      <c r="DE1028">
        <v>0</v>
      </c>
      <c r="DF1028">
        <v>0</v>
      </c>
      <c r="DG1028">
        <v>0</v>
      </c>
      <c r="DI1028">
        <v>1</v>
      </c>
      <c r="DJ1028" t="str">
        <f>IF(DI1028=1,INDEX($DD$7:$DG$7,MATCH(1,$DD1028:$DG1028,0)),"mixedProduct")</f>
        <v>UpstreamInput</v>
      </c>
      <c r="DK1028" t="str">
        <f>IF(DD1028=1,DK$7,0)</f>
        <v>Upstream</v>
      </c>
      <c r="DL1028">
        <f>IF(DE1028=1,DL$7,0)</f>
        <v>0</v>
      </c>
      <c r="DM1028">
        <f>IF(DF1028=1,DM$7,0)</f>
        <v>0</v>
      </c>
      <c r="DN1028">
        <f>IF(DG1028=1,DN$7,0)</f>
        <v>0</v>
      </c>
      <c r="DO1028">
        <v>0</v>
      </c>
      <c r="DP1028">
        <v>0</v>
      </c>
      <c r="DQ1028">
        <v>0</v>
      </c>
      <c r="DR1028">
        <v>0</v>
      </c>
      <c r="DS1028">
        <v>0</v>
      </c>
      <c r="DT1028">
        <f>SUM(DO1028:DP1028)</f>
        <v>0</v>
      </c>
      <c r="DU1028" s="143" t="s">
        <v>962</v>
      </c>
      <c r="DV1028">
        <v>0</v>
      </c>
      <c r="DW1028">
        <v>0</v>
      </c>
      <c r="DX1028">
        <v>0</v>
      </c>
      <c r="DY1028">
        <v>0</v>
      </c>
      <c r="DZ1028">
        <v>0</v>
      </c>
      <c r="EA1028" s="143">
        <v>0</v>
      </c>
      <c r="EB1028">
        <v>1</v>
      </c>
      <c r="EC1028">
        <v>0</v>
      </c>
      <c r="ED1028">
        <v>0</v>
      </c>
      <c r="EE1028">
        <v>0</v>
      </c>
      <c r="EF1028">
        <v>0</v>
      </c>
      <c r="EG1028">
        <v>0</v>
      </c>
      <c r="EH1028">
        <v>0</v>
      </c>
      <c r="EI1028" s="2">
        <v>0</v>
      </c>
      <c r="EK1028" t="str">
        <f>IF(AND(AND(AND(OR($DX1028=1,$DW1028=1),OR($EC1028=1,$EA1028=1)),SUM($DV1028:$DZ1028,$EF1028)&gt;=4),SUM($EA1028:$EE1028)&gt;=2),"Whole sector","")</f>
        <v/>
      </c>
      <c r="EL1028" t="str">
        <f>IF(AND(AND(OR($DX1028=1,$DW1028=1),AND($EC1028=0,$EA1028=0)),SUM($DV1028:$DZ1028,$EF1028)&gt;=4),"Ecosystem approach","")</f>
        <v/>
      </c>
      <c r="EM1028" s="2" t="str">
        <f>IF(AND(AND(AND($DX1028=0,$DW1028=0),OR($EC1028=1,$EA1028=1)),SUM($EB1028:$EE1028)&gt;=2),"Technology approach","")</f>
        <v/>
      </c>
      <c r="EP1028" t="str">
        <f>IF(ISNUMBER(BU1028),IF(ABS(BU1028-[1]QC_indicators!$B$2)&gt;3*[1]QC_indicators!$C$2,"C ratio",IF(ISNUMBER(BY1028),IF(ABS(BY1028-[1]QC_indicators!$B$1)&gt;3*[1]QC_indicators!$C$1,"DF","no"))),IF(ISNUMBER(BY1028),IF(ABS(BY1028-[1]QC_indicators!$B$1)&gt;3*[1]QC_indicators!$C$1,"DF","no")))</f>
        <v>DF</v>
      </c>
      <c r="ET1028" s="264" t="s">
        <v>3150</v>
      </c>
    </row>
    <row r="1029" spans="1:150" ht="15" customHeight="1">
      <c r="A1029" s="1" t="s">
        <v>926</v>
      </c>
      <c r="B1029" t="s">
        <v>1849</v>
      </c>
      <c r="C1029" t="s">
        <v>1850</v>
      </c>
      <c r="D1029" t="s">
        <v>1851</v>
      </c>
      <c r="E1029" t="s">
        <v>1852</v>
      </c>
      <c r="F1029" t="s">
        <v>1853</v>
      </c>
      <c r="G1029" t="s">
        <v>932</v>
      </c>
      <c r="H1029" t="s">
        <v>254</v>
      </c>
      <c r="I1029">
        <v>2019</v>
      </c>
      <c r="J1029">
        <v>8</v>
      </c>
      <c r="K1029" t="s">
        <v>1854</v>
      </c>
      <c r="M1029" t="str">
        <f>LEFT($D1029,FIND(",",$D1029)-1)&amp;"_"&amp;I1029&amp;L1029</f>
        <v>Kogler_2019</v>
      </c>
      <c r="N1029" t="s">
        <v>2582</v>
      </c>
      <c r="O1029" s="171" t="s">
        <v>513</v>
      </c>
      <c r="P1029" t="s">
        <v>960</v>
      </c>
      <c r="Q1029" t="s">
        <v>389</v>
      </c>
      <c r="R1029" s="262" t="s">
        <v>223</v>
      </c>
      <c r="S1029" s="1" t="s">
        <v>1867</v>
      </c>
      <c r="T1029" t="s">
        <v>1868</v>
      </c>
      <c r="U1029" t="s">
        <v>1861</v>
      </c>
      <c r="V1029">
        <v>0</v>
      </c>
      <c r="W1029">
        <v>0</v>
      </c>
      <c r="X1029">
        <v>0</v>
      </c>
      <c r="Y1029">
        <v>0</v>
      </c>
      <c r="Z1029">
        <v>0</v>
      </c>
      <c r="AA1029">
        <v>0</v>
      </c>
      <c r="AB1029">
        <v>0</v>
      </c>
      <c r="AC1029">
        <v>0</v>
      </c>
      <c r="AD1029">
        <v>0</v>
      </c>
      <c r="AE1029">
        <v>0</v>
      </c>
      <c r="AF1029">
        <v>1</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s="141">
        <f>COUNTIF(V1029:AW1029,"&lt;&gt;0")</f>
        <v>1</v>
      </c>
      <c r="AY1029" s="141">
        <f>COUNTIF(V1029:AL1029,"&lt;&gt;0")</f>
        <v>1</v>
      </c>
      <c r="AZ1029">
        <f>COUNTIF(V1029:AC1029,"&lt;&gt;0")</f>
        <v>0</v>
      </c>
      <c r="BA1029">
        <f>COUNTIF(AD1029:AI1029,"&lt;&gt;0")</f>
        <v>1</v>
      </c>
      <c r="BB1029">
        <f>COUNTIF(AJ1029:AL1029,"&lt;&gt;0")</f>
        <v>0</v>
      </c>
      <c r="BC1029">
        <f>COUNTIF(AS1029:AW1029,"&lt;&gt;0")</f>
        <v>0</v>
      </c>
      <c r="BD1029">
        <f>COUNTIF(AM1029:AR1029,"&lt;&gt;0")</f>
        <v>0</v>
      </c>
      <c r="BE1029" t="str">
        <f t="array" ref="BE1029">IF(AY1029=1,INDEX($V$7:$AL$7,MATCH(TRUE,INDEX($V1029:$AW1029&lt;&gt;0,),0)),IF(AY1029=0,INDEX($AM$7:$AW$7,MATCH(1,$AM1029:$AW1029,0)),IF(BF1029="Multiple strategies","mixed drivers",IF(BF1029="Supply chain","multiple supply","multiple silviculture"))))</f>
        <v>supply chain organization</v>
      </c>
      <c r="BF1029" s="2" t="str" cm="1">
        <f t="array" ref="BF1029">IF(COUNTIF(AZ1029:BB1029,"&lt;&gt;0")=1,INDEX($V$4:$AW$4,MATCH(TRUE,INDEX($V1029:$AW1029&lt;&gt;0,),0)),IF(COUNTIF(AZ1029:BB1029,"&lt;&gt;0")=0,INDEX($AM$4:$AW$4,MATCH(1,$AM1029:$AW1029,0)),"Multiple strategies"))</f>
        <v>Supply chain</v>
      </c>
      <c r="BG1029" s="1" t="s">
        <v>321</v>
      </c>
      <c r="BH1029" s="333" t="s">
        <v>1858</v>
      </c>
      <c r="BI1029" t="s">
        <v>611</v>
      </c>
      <c r="BJ1029" t="s">
        <v>498</v>
      </c>
      <c r="BK1029">
        <v>37628</v>
      </c>
      <c r="BL1029">
        <v>38360</v>
      </c>
      <c r="BM1029">
        <v>1.0194535983841819</v>
      </c>
      <c r="BN1029">
        <f>BL1029-BK1029</f>
        <v>732</v>
      </c>
      <c r="BO1029">
        <f>BN1029</f>
        <v>732</v>
      </c>
      <c r="BP1029" t="s">
        <v>395</v>
      </c>
      <c r="BQ1029" t="s">
        <v>1859</v>
      </c>
      <c r="BR1029" s="264" t="s">
        <v>3149</v>
      </c>
      <c r="BS1029">
        <v>721</v>
      </c>
      <c r="BT1029">
        <v>665</v>
      </c>
      <c r="BU1029" s="144">
        <v>0.92233009708737868</v>
      </c>
      <c r="BV1029" s="152">
        <f>BT1029-BS1029</f>
        <v>-56</v>
      </c>
      <c r="BX1029">
        <f>BV1029*10^6</f>
        <v>-56000000</v>
      </c>
      <c r="BY1029">
        <f>IFERROR(BX1029/BO1029,"")</f>
        <v>-76502.732240437152</v>
      </c>
      <c r="BZ1029">
        <v>0</v>
      </c>
      <c r="CA1029">
        <v>0</v>
      </c>
      <c r="CB1029">
        <v>0</v>
      </c>
      <c r="CC1029">
        <v>0</v>
      </c>
      <c r="CD1029">
        <v>0</v>
      </c>
      <c r="CE1029">
        <v>0</v>
      </c>
      <c r="CF1029">
        <v>0</v>
      </c>
      <c r="CG1029">
        <v>0</v>
      </c>
      <c r="CH1029">
        <v>0</v>
      </c>
      <c r="CI1029">
        <v>0</v>
      </c>
      <c r="CJ1029">
        <v>0</v>
      </c>
      <c r="CK1029">
        <v>0</v>
      </c>
      <c r="CL1029">
        <v>0</v>
      </c>
      <c r="CM1029">
        <v>0</v>
      </c>
      <c r="CN1029" t="str">
        <f>IF($BL1029&lt;$BK1029,"refNeedCorrection","refOK")</f>
        <v>refOK</v>
      </c>
      <c r="CO1029">
        <f>IF($CN1029="refOK",$BK1029,$BL1029)</f>
        <v>37628</v>
      </c>
      <c r="CP1029">
        <f>IF($CN1029="refOK",$BL1029,$BK1029)</f>
        <v>38360</v>
      </c>
      <c r="CQ1029">
        <f>IF($CN1029="refOK",$BO1029,-$BO1029)</f>
        <v>732</v>
      </c>
      <c r="CR1029">
        <f>IF($CN1029="refOK",$BS1029,$BT1029)*IF($BP1029="Emissions positive",-1,1)</f>
        <v>-721</v>
      </c>
      <c r="CS1029">
        <f>IF($CN1029="refOK",$BT1029,$BS1029)*IF($BP1029="Emissions positive",-1,1)</f>
        <v>-665</v>
      </c>
      <c r="CT1029">
        <f>IF($CN1029="refNeedCorrection",-BX1029,BX1029)*IF($BP1029="Emissions positive",-1,1)</f>
        <v>56000000</v>
      </c>
      <c r="CU1029">
        <f>IFERROR(CT1029/CQ1029,"")</f>
        <v>76502.732240437152</v>
      </c>
      <c r="CV1029" s="2">
        <f>IFERROR((CS1029-CR1029)/ABS(CR1029),"")</f>
        <v>7.7669902912621352E-2</v>
      </c>
      <c r="CW1029" s="1" t="s">
        <v>1203</v>
      </c>
      <c r="CX1029" t="str">
        <f>IF(OR($CW1029="prd",$CW1029="std",$CW1029="cit"),"loc",IF(OR($CW1029="eur",$CW1029="reg",$CW1029="coy"),"reg",$CW1029))</f>
        <v>reg</v>
      </c>
      <c r="CY1029" t="s">
        <v>666</v>
      </c>
      <c r="CZ1029">
        <v>0</v>
      </c>
      <c r="DA1029">
        <v>0</v>
      </c>
      <c r="DB1029">
        <v>0</v>
      </c>
      <c r="DC1029" t="str">
        <f>IF(DB1029=0,"0",IF(AND(DB1029&gt;=1,DB1029&lt;=30),"1-30",IF(AND(DB1029&gt;30,DB1029&lt;=70),"31-70",IF(AND(DB1029&gt;70,DB1029&lt;=100),"71-100",IF(DB1029&gt;100,"+100")))))</f>
        <v>0</v>
      </c>
      <c r="DD1029">
        <v>1</v>
      </c>
      <c r="DE1029">
        <v>0</v>
      </c>
      <c r="DF1029">
        <v>0</v>
      </c>
      <c r="DG1029">
        <v>0</v>
      </c>
      <c r="DI1029">
        <v>1</v>
      </c>
      <c r="DJ1029" t="str">
        <f>IF(DI1029=1,INDEX($DD$7:$DG$7,MATCH(1,$DD1029:$DG1029,0)),"mixedProduct")</f>
        <v>UpstreamInput</v>
      </c>
      <c r="DK1029" t="str">
        <f>IF(DD1029=1,DK$7,0)</f>
        <v>Upstream</v>
      </c>
      <c r="DL1029">
        <f>IF(DE1029=1,DL$7,0)</f>
        <v>0</v>
      </c>
      <c r="DM1029">
        <f>IF(DF1029=1,DM$7,0)</f>
        <v>0</v>
      </c>
      <c r="DN1029">
        <f>IF(DG1029=1,DN$7,0)</f>
        <v>0</v>
      </c>
      <c r="DO1029">
        <v>0</v>
      </c>
      <c r="DP1029">
        <v>0</v>
      </c>
      <c r="DQ1029">
        <v>0</v>
      </c>
      <c r="DR1029">
        <v>0</v>
      </c>
      <c r="DS1029">
        <v>0</v>
      </c>
      <c r="DT1029">
        <f>SUM(DO1029:DP1029)</f>
        <v>0</v>
      </c>
      <c r="DU1029" s="143" t="s">
        <v>962</v>
      </c>
      <c r="DV1029">
        <v>0</v>
      </c>
      <c r="DW1029">
        <v>0</v>
      </c>
      <c r="DX1029">
        <v>0</v>
      </c>
      <c r="DY1029">
        <v>0</v>
      </c>
      <c r="DZ1029">
        <v>0</v>
      </c>
      <c r="EA1029" s="143">
        <v>0</v>
      </c>
      <c r="EB1029">
        <v>1</v>
      </c>
      <c r="EC1029">
        <v>0</v>
      </c>
      <c r="ED1029">
        <v>0</v>
      </c>
      <c r="EE1029">
        <v>0</v>
      </c>
      <c r="EF1029">
        <v>0</v>
      </c>
      <c r="EG1029">
        <v>0</v>
      </c>
      <c r="EH1029">
        <v>0</v>
      </c>
      <c r="EI1029" s="2">
        <v>0</v>
      </c>
      <c r="EK1029" t="str">
        <f>IF(AND(AND(AND(OR($DX1029=1,$DW1029=1),OR($EC1029=1,$EA1029=1)),SUM($DV1029:$DZ1029,$EF1029)&gt;=4),SUM($EA1029:$EE1029)&gt;=2),"Whole sector","")</f>
        <v/>
      </c>
      <c r="EL1029" t="str">
        <f>IF(AND(AND(OR($DX1029=1,$DW1029=1),AND($EC1029=0,$EA1029=0)),SUM($DV1029:$DZ1029,$EF1029)&gt;=4),"Ecosystem approach","")</f>
        <v/>
      </c>
      <c r="EM1029" s="2" t="str">
        <f>IF(AND(AND(AND($DX1029=0,$DW1029=0),OR($EC1029=1,$EA1029=1)),SUM($EB1029:$EE1029)&gt;=2),"Technology approach","")</f>
        <v/>
      </c>
      <c r="EP1029" t="str">
        <f>IF(ISNUMBER(BU1029),IF(ABS(BU1029-[1]QC_indicators!$B$2)&gt;3*[1]QC_indicators!$C$2,"C ratio",IF(ISNUMBER(BY1029),IF(ABS(BY1029-[1]QC_indicators!$B$1)&gt;3*[1]QC_indicators!$C$1,"DF","no"))),IF(ISNUMBER(BY1029),IF(ABS(BY1029-[1]QC_indicators!$B$1)&gt;3*[1]QC_indicators!$C$1,"DF","no")))</f>
        <v>DF</v>
      </c>
      <c r="ET1029" s="264" t="s">
        <v>3150</v>
      </c>
    </row>
    <row r="1030" spans="1:150" ht="15" customHeight="1">
      <c r="A1030" s="1" t="s">
        <v>265</v>
      </c>
      <c r="B1030" t="s">
        <v>266</v>
      </c>
      <c r="C1030" t="s">
        <v>267</v>
      </c>
      <c r="D1030" t="s">
        <v>268</v>
      </c>
      <c r="E1030" t="s">
        <v>269</v>
      </c>
      <c r="F1030" t="s">
        <v>270</v>
      </c>
      <c r="G1030" t="s">
        <v>271</v>
      </c>
      <c r="H1030" t="s">
        <v>254</v>
      </c>
      <c r="I1030">
        <v>2022</v>
      </c>
      <c r="J1030">
        <v>0</v>
      </c>
      <c r="K1030" t="s">
        <v>272</v>
      </c>
      <c r="M1030" t="str">
        <f>LEFT($D1030,FIND(",",$D1030)-1)&amp;"_"&amp;I1030&amp;L1030</f>
        <v>Aryapratama_2022</v>
      </c>
      <c r="N1030" t="s">
        <v>222</v>
      </c>
      <c r="O1030" s="145" t="s">
        <v>274</v>
      </c>
      <c r="Q1030" t="s">
        <v>224</v>
      </c>
      <c r="R1030" s="262" t="s">
        <v>223</v>
      </c>
      <c r="S1030" s="263" t="s">
        <v>3108</v>
      </c>
      <c r="T1030" t="s">
        <v>312</v>
      </c>
      <c r="U1030" t="s">
        <v>303</v>
      </c>
      <c r="V1030">
        <v>0</v>
      </c>
      <c r="W1030">
        <v>0</v>
      </c>
      <c r="X1030">
        <v>0</v>
      </c>
      <c r="Y1030">
        <v>0</v>
      </c>
      <c r="Z1030">
        <v>0</v>
      </c>
      <c r="AA1030">
        <v>0</v>
      </c>
      <c r="AB1030">
        <v>0</v>
      </c>
      <c r="AC1030">
        <v>0</v>
      </c>
      <c r="AD1030">
        <v>1</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s="141">
        <f>COUNTIF(V1030:AW1030,"&lt;&gt;0")</f>
        <v>1</v>
      </c>
      <c r="AY1030" s="141">
        <f>COUNTIF(V1030:AL1030,"&lt;&gt;0")</f>
        <v>1</v>
      </c>
      <c r="AZ1030">
        <f>COUNTIF(V1030:AC1030,"&lt;&gt;0")</f>
        <v>0</v>
      </c>
      <c r="BA1030">
        <f>COUNTIF(AD1030:AI1030,"&lt;&gt;0")</f>
        <v>1</v>
      </c>
      <c r="BB1030">
        <f>COUNTIF(AJ1030:AL1030,"&lt;&gt;0")</f>
        <v>0</v>
      </c>
      <c r="BC1030">
        <f>COUNTIF(AS1030:AW1030,"&lt;&gt;0")</f>
        <v>0</v>
      </c>
      <c r="BD1030">
        <f>COUNTIF(AM1030:AR1030,"&lt;&gt;0")</f>
        <v>0</v>
      </c>
      <c r="BE1030" t="str">
        <f t="array" ref="BE1030">IF(AY1030=1,INDEX($V$7:$AL$7,MATCH(TRUE,INDEX($V1030:$AW1030&lt;&gt;0,),0)),IF(AY1030=0,INDEX($AM$7:$AW$7,MATCH(1,$AM1030:$AW1030,0)),IF(BF1030="Multiple strategies","mixed drivers",IF(BF1030="Supply chain","multiple supply","multiple silviculture"))))</f>
        <v>harvesting system</v>
      </c>
      <c r="BF1030" s="2" t="str" cm="1">
        <f t="array" ref="BF1030">IF(COUNTIF(AZ1030:BB1030,"&lt;&gt;0")=1,INDEX($V$4:$AW$4,MATCH(TRUE,INDEX($V1030:$AW1030&lt;&gt;0,),0)),IF(COUNTIF(AZ1030:BB1030,"&lt;&gt;0")=0,INDEX($AM$4:$AW$4,MATCH(1,$AM1030:$AW1030,0)),"Multiple strategies"))</f>
        <v>Supply chain</v>
      </c>
      <c r="BG1030" s="1" t="s">
        <v>229</v>
      </c>
      <c r="BH1030" t="s">
        <v>285</v>
      </c>
      <c r="BJ1030" t="s">
        <v>278</v>
      </c>
      <c r="BK1030">
        <v>23.12907189695861</v>
      </c>
      <c r="BL1030">
        <v>23.12907189695861</v>
      </c>
      <c r="BM1030">
        <f>BL1030/BK1030</f>
        <v>1</v>
      </c>
      <c r="BN1030">
        <f>BL1030-BK1030</f>
        <v>0</v>
      </c>
      <c r="BO1030">
        <f>BN1030*tC_to_m3</f>
        <v>0</v>
      </c>
      <c r="BP1030" t="s">
        <v>232</v>
      </c>
      <c r="BQ1030" s="153" t="s">
        <v>3107</v>
      </c>
      <c r="BR1030" t="s">
        <v>279</v>
      </c>
      <c r="BS1030">
        <v>354.30409954781243</v>
      </c>
      <c r="BT1030">
        <v>176.62110895178901</v>
      </c>
      <c r="BU1030" s="144">
        <f>IFERROR(BT1030/BS1030,"")</f>
        <v>0.49850145447711491</v>
      </c>
      <c r="BV1030">
        <f>BT1030-BS1030</f>
        <v>-177.68299059602342</v>
      </c>
      <c r="BX1030">
        <f>BV1030</f>
        <v>-177.68299059602342</v>
      </c>
      <c r="BY1030" t="str">
        <f>IFERROR(BX1030/BO1030,"")</f>
        <v/>
      </c>
      <c r="BZ1030">
        <v>0</v>
      </c>
      <c r="CA1030">
        <v>0</v>
      </c>
      <c r="CB1030">
        <v>0</v>
      </c>
      <c r="CC1030">
        <v>0</v>
      </c>
      <c r="CD1030">
        <v>0</v>
      </c>
      <c r="CE1030">
        <v>0</v>
      </c>
      <c r="CF1030">
        <v>0</v>
      </c>
      <c r="CG1030">
        <v>0</v>
      </c>
      <c r="CH1030">
        <v>0</v>
      </c>
      <c r="CI1030">
        <v>0</v>
      </c>
      <c r="CJ1030">
        <v>0</v>
      </c>
      <c r="CK1030">
        <v>0</v>
      </c>
      <c r="CL1030">
        <v>0</v>
      </c>
      <c r="CM1030">
        <v>0</v>
      </c>
      <c r="CN1030" t="str">
        <f>IF($BL1030&lt;$BK1030,"refNeedCorrection","refOK")</f>
        <v>refOK</v>
      </c>
      <c r="CO1030">
        <f>IF($CN1030="refOK",$BK1030,$BL1030)</f>
        <v>23.12907189695861</v>
      </c>
      <c r="CP1030">
        <f>IF($CN1030="refOK",$BL1030,$BK1030)</f>
        <v>23.12907189695861</v>
      </c>
      <c r="CQ1030">
        <f>IF($CN1030="refOK",$BO1030,-$BO1030)</f>
        <v>0</v>
      </c>
      <c r="CR1030">
        <f>IF($CN1030="refOK",$BS1030,$BT1030)*IF($BP1030="Emissions positive",-1,1)</f>
        <v>354.30409954781243</v>
      </c>
      <c r="CS1030">
        <f>IF($CN1030="refOK",$BT1030,$BS1030)*IF($BP1030="Emissions positive",-1,1)</f>
        <v>176.62110895178901</v>
      </c>
      <c r="CT1030">
        <f>IF($CN1030="refNeedCorrection",-BX1030,BX1030)*IF($BP1030="Emissions positive",-1,1)</f>
        <v>-177.68299059602342</v>
      </c>
      <c r="CU1030" t="str">
        <f>IFERROR(CT1030/CQ1030,"")</f>
        <v/>
      </c>
      <c r="CV1030" s="2">
        <f>IFERROR((CS1030-CR1030)/ABS(CR1030),"")</f>
        <v>-0.50149854552288509</v>
      </c>
      <c r="CW1030" s="1" t="s">
        <v>234</v>
      </c>
      <c r="CX1030" t="str">
        <f>IF(OR($CW1030="prd",$CW1030="std",$CW1030="cit"),"loc",IF(OR($CW1030="eur",$CW1030="reg",$CW1030="coy"),"reg",$CW1030))</f>
        <v>loc</v>
      </c>
      <c r="CY1030" t="s">
        <v>280</v>
      </c>
      <c r="DB1030">
        <v>100</v>
      </c>
      <c r="DC1030" t="str">
        <f>IF(DB1030=0,"0",IF(AND(DB1030&gt;=1,DB1030&lt;=30),"1-30",IF(AND(DB1030&gt;30,DB1030&lt;=70),"31-70",IF(AND(DB1030&gt;70,DB1030&lt;=100),"71-100",IF(DB1030&gt;100,"+100")))))</f>
        <v>71-100</v>
      </c>
      <c r="DD1030">
        <v>0</v>
      </c>
      <c r="DE1030">
        <v>1</v>
      </c>
      <c r="DF1030">
        <v>0</v>
      </c>
      <c r="DG1030">
        <v>0</v>
      </c>
      <c r="DI1030">
        <f>SUM(DD1030:DG1030)</f>
        <v>1</v>
      </c>
      <c r="DJ1030" t="str">
        <f>IF(DI1030=1,INDEX($DD$7:$DG$7,MATCH(1,$DD1030:$DG1030,0)),"mixedProduct")</f>
        <v>EnergyInput</v>
      </c>
      <c r="DK1030">
        <f>IF(DD1030=1,DK$7,0)</f>
        <v>0</v>
      </c>
      <c r="DL1030" t="str">
        <f>IF(DE1030=1,DL$7,0)</f>
        <v>Energy</v>
      </c>
      <c r="DM1030">
        <f>IF(DF1030=1,DM$7,0)</f>
        <v>0</v>
      </c>
      <c r="DN1030">
        <f>IF(DG1030=1,DN$7,0)</f>
        <v>0</v>
      </c>
      <c r="DO1030">
        <v>0</v>
      </c>
      <c r="DP1030">
        <v>1</v>
      </c>
      <c r="DQ1030" t="s">
        <v>304</v>
      </c>
      <c r="DR1030" t="s">
        <v>281</v>
      </c>
      <c r="DS1030">
        <v>0</v>
      </c>
      <c r="DT1030">
        <f>SUM(DO1030:DP1030)</f>
        <v>1</v>
      </c>
      <c r="DU1030" s="143" t="str">
        <f>IF(DO1030=1,"self-calculated DF",IF(DP1030=1,"external DF used","explicit C balance"))</f>
        <v>external DF used</v>
      </c>
      <c r="DV1030">
        <v>0</v>
      </c>
      <c r="DW1030">
        <v>1</v>
      </c>
      <c r="DX1030">
        <v>1</v>
      </c>
      <c r="DY1030">
        <v>1</v>
      </c>
      <c r="DZ1030">
        <v>1</v>
      </c>
      <c r="EA1030" s="143">
        <v>0</v>
      </c>
      <c r="EB1030">
        <v>1</v>
      </c>
      <c r="EC1030">
        <v>1</v>
      </c>
      <c r="ED1030">
        <v>0</v>
      </c>
      <c r="EE1030">
        <v>1</v>
      </c>
      <c r="EF1030">
        <v>1</v>
      </c>
      <c r="EG1030">
        <v>1</v>
      </c>
      <c r="EH1030">
        <v>0</v>
      </c>
      <c r="EI1030" s="2">
        <v>0</v>
      </c>
      <c r="EK1030" t="str">
        <f>IF(AND(AND(AND(OR($DX1030=1,$DW1030=1),OR($EC1030=1,$EA1030=1)),SUM($DV1030:$DZ1030,$EF1030)&gt;=4),SUM($EA1030:$EE1030)&gt;=2),"Whole sector","")</f>
        <v>Whole sector</v>
      </c>
      <c r="EL1030" t="str">
        <f>IF(AND(AND(OR($DX1030=1,$DW1030=1),AND($EC1030=0,$EA1030=0)),SUM($DV1030:$DZ1030,$EF1030)&gt;=4),"Ecosystem approach","")</f>
        <v/>
      </c>
      <c r="EM1030" s="2" t="str">
        <f>IF(AND(AND(AND($DX1030=0,$DW1030=0),OR($EC1030=1,$EA1030=1)),SUM($EB1030:$EE1030)&gt;=2),"Technology approach","")</f>
        <v/>
      </c>
      <c r="EP1030" t="b">
        <f>IF(ISNUMBER(BU1030),IF(ABS(BU1030-[1]QC_indicators!$B$2)&gt;3*[1]QC_indicators!$C$2,"C ratio",IF(ISNUMBER(BY1030),IF(ABS(BY1030-[1]QC_indicators!$B$1)&gt;3*[1]QC_indicators!$C$1,"DF","no"))),IF(ISNUMBER(BY1030),IF(ABS(BY1030-[1]QC_indicators!$B$1)&gt;3*[1]QC_indicators!$C$1,"DF","no")))</f>
        <v>0</v>
      </c>
      <c r="EQ1030" t="s">
        <v>286</v>
      </c>
      <c r="ET1030" s="264" t="s">
        <v>3273</v>
      </c>
    </row>
    <row r="1031" spans="1:150" ht="15" customHeight="1">
      <c r="A1031" s="1" t="s">
        <v>265</v>
      </c>
      <c r="B1031" t="s">
        <v>266</v>
      </c>
      <c r="C1031" t="s">
        <v>267</v>
      </c>
      <c r="D1031" t="s">
        <v>268</v>
      </c>
      <c r="E1031" t="s">
        <v>269</v>
      </c>
      <c r="F1031" t="s">
        <v>270</v>
      </c>
      <c r="G1031" t="s">
        <v>271</v>
      </c>
      <c r="H1031" t="s">
        <v>254</v>
      </c>
      <c r="I1031">
        <v>2022</v>
      </c>
      <c r="J1031">
        <v>0</v>
      </c>
      <c r="K1031" t="s">
        <v>272</v>
      </c>
      <c r="M1031" t="str">
        <f>LEFT($D1031,FIND(",",$D1031)-1)&amp;"_"&amp;I1031&amp;L1031</f>
        <v>Aryapratama_2022</v>
      </c>
      <c r="N1031" t="s">
        <v>222</v>
      </c>
      <c r="O1031" s="145" t="s">
        <v>274</v>
      </c>
      <c r="Q1031" t="s">
        <v>224</v>
      </c>
      <c r="R1031" s="262" t="s">
        <v>223</v>
      </c>
      <c r="S1031" s="1" t="s">
        <v>319</v>
      </c>
      <c r="T1031" t="s">
        <v>320</v>
      </c>
      <c r="U1031" t="s">
        <v>275</v>
      </c>
      <c r="V1031">
        <v>0</v>
      </c>
      <c r="W1031">
        <v>0</v>
      </c>
      <c r="X1031">
        <v>0</v>
      </c>
      <c r="Y1031">
        <v>0</v>
      </c>
      <c r="Z1031">
        <v>0</v>
      </c>
      <c r="AA1031">
        <v>0</v>
      </c>
      <c r="AB1031">
        <v>0</v>
      </c>
      <c r="AC1031">
        <v>0</v>
      </c>
      <c r="AD1031">
        <v>0</v>
      </c>
      <c r="AE1031">
        <v>0</v>
      </c>
      <c r="AF1031">
        <v>1</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s="141">
        <f>COUNTIF(V1031:AW1031,"&lt;&gt;0")</f>
        <v>1</v>
      </c>
      <c r="AY1031" s="141">
        <f>COUNTIF(V1031:AL1031,"&lt;&gt;0")</f>
        <v>1</v>
      </c>
      <c r="AZ1031">
        <f>COUNTIF(V1031:AC1031,"&lt;&gt;0")</f>
        <v>0</v>
      </c>
      <c r="BA1031">
        <f>COUNTIF(AD1031:AI1031,"&lt;&gt;0")</f>
        <v>1</v>
      </c>
      <c r="BB1031">
        <f>COUNTIF(AJ1031:AL1031,"&lt;&gt;0")</f>
        <v>0</v>
      </c>
      <c r="BC1031">
        <f>COUNTIF(AS1031:AW1031,"&lt;&gt;0")</f>
        <v>0</v>
      </c>
      <c r="BD1031">
        <f>COUNTIF(AM1031:AR1031,"&lt;&gt;0")</f>
        <v>0</v>
      </c>
      <c r="BE1031" t="str">
        <f t="array" ref="BE1031">IF(AY1031=1,INDEX($V$7:$AL$7,MATCH(TRUE,INDEX($V1031:$AW1031&lt;&gt;0,),0)),IF(AY1031=0,INDEX($AM$7:$AW$7,MATCH(1,$AM1031:$AW1031,0)),IF(BF1031="Multiple strategies","mixed drivers",IF(BF1031="Supply chain","multiple supply","multiple silviculture"))))</f>
        <v>supply chain organization</v>
      </c>
      <c r="BF1031" s="2" t="str" cm="1">
        <f t="array" ref="BF1031">IF(COUNTIF(AZ1031:BB1031,"&lt;&gt;0")=1,INDEX($V$4:$AW$4,MATCH(TRUE,INDEX($V1031:$AW1031&lt;&gt;0,),0)),IF(COUNTIF(AZ1031:BB1031,"&lt;&gt;0")=0,INDEX($AM$4:$AW$4,MATCH(1,$AM1031:$AW1031,0)),"Multiple strategies"))</f>
        <v>Supply chain</v>
      </c>
      <c r="BG1031" s="1" t="s">
        <v>321</v>
      </c>
      <c r="BH1031" s="146" t="s">
        <v>322</v>
      </c>
      <c r="BI1031" t="s">
        <v>323</v>
      </c>
      <c r="BJ1031" t="s">
        <v>278</v>
      </c>
      <c r="BK1031">
        <v>225.96603773584911</v>
      </c>
      <c r="BL1031">
        <v>225.96603773584911</v>
      </c>
      <c r="BM1031">
        <f>BL1031/BK1031</f>
        <v>1</v>
      </c>
      <c r="BN1031">
        <f>BL1031-BK1031</f>
        <v>0</v>
      </c>
      <c r="BO1031">
        <f>BN1031*tC_to_m3</f>
        <v>0</v>
      </c>
      <c r="BP1031" t="s">
        <v>232</v>
      </c>
      <c r="BQ1031" s="153" t="s">
        <v>3107</v>
      </c>
      <c r="BR1031" t="s">
        <v>279</v>
      </c>
      <c r="BS1031">
        <v>-588.42624598329485</v>
      </c>
      <c r="BT1031">
        <v>-502.68675849347369</v>
      </c>
      <c r="BU1031" s="144">
        <f>IFERROR(BS1031/BT1031,"")</f>
        <v>1.1705624547318054</v>
      </c>
      <c r="BV1031">
        <f>BS1031-BT1031</f>
        <v>-85.739487489821158</v>
      </c>
      <c r="BX1031">
        <f>BV1031</f>
        <v>-85.739487489821158</v>
      </c>
      <c r="BY1031" t="str">
        <f>IFERROR(BX1031/BO1031,"")</f>
        <v/>
      </c>
      <c r="BZ1031">
        <v>0</v>
      </c>
      <c r="CA1031">
        <v>0</v>
      </c>
      <c r="CB1031">
        <v>0</v>
      </c>
      <c r="CC1031">
        <v>0</v>
      </c>
      <c r="CD1031">
        <v>0</v>
      </c>
      <c r="CE1031">
        <v>0</v>
      </c>
      <c r="CF1031">
        <v>0</v>
      </c>
      <c r="CG1031">
        <v>0</v>
      </c>
      <c r="CH1031">
        <v>0</v>
      </c>
      <c r="CI1031">
        <v>0</v>
      </c>
      <c r="CJ1031">
        <v>0</v>
      </c>
      <c r="CK1031">
        <v>0</v>
      </c>
      <c r="CL1031">
        <v>0</v>
      </c>
      <c r="CM1031">
        <v>0</v>
      </c>
      <c r="CN1031" t="str">
        <f>IF($BL1031&lt;$BK1031,"refNeedCorrection","refOK")</f>
        <v>refOK</v>
      </c>
      <c r="CO1031">
        <f>IF($CN1031="refOK",$BK1031,$BL1031)</f>
        <v>225.96603773584911</v>
      </c>
      <c r="CP1031">
        <f>IF($CN1031="refOK",$BL1031,$BK1031)</f>
        <v>225.96603773584911</v>
      </c>
      <c r="CQ1031">
        <f>IF($CN1031="refOK",$BO1031,-$BO1031)</f>
        <v>0</v>
      </c>
      <c r="CR1031">
        <f>IF($CN1031="refOK",$BT1031,$BS1031)*IF($BP1031="Emissions positive",-1,1)</f>
        <v>-502.68675849347369</v>
      </c>
      <c r="CS1031">
        <f>IF($CN1031="refOK",$BS1031,$BT1031)*IF($BP1031="Emissions positive",-1,1)</f>
        <v>-588.42624598329485</v>
      </c>
      <c r="CT1031">
        <f>IF($CN1031="refNeedCorrection",-BX1031,BX1031)*IF($BP1031="Emissions positive",-1,1)</f>
        <v>-85.739487489821158</v>
      </c>
      <c r="CU1031" t="str">
        <f>IFERROR(CT1031/CQ1031,"")</f>
        <v/>
      </c>
      <c r="CV1031" s="2">
        <f>IFERROR((CS1031-CR1031)/ABS(CR1031),"")</f>
        <v>-0.17056245473180551</v>
      </c>
      <c r="CW1031" s="1" t="s">
        <v>234</v>
      </c>
      <c r="CX1031" t="str">
        <f>IF(OR($CW1031="prd",$CW1031="std",$CW1031="cit"),"loc",IF(OR($CW1031="eur",$CW1031="reg",$CW1031="coy"),"reg",$CW1031))</f>
        <v>loc</v>
      </c>
      <c r="CY1031" t="s">
        <v>280</v>
      </c>
      <c r="DB1031">
        <v>100</v>
      </c>
      <c r="DC1031" t="str">
        <f>IF(DB1031=0,"0",IF(AND(DB1031&gt;=1,DB1031&lt;=30),"1-30",IF(AND(DB1031&gt;30,DB1031&lt;=70),"31-70",IF(AND(DB1031&gt;70,DB1031&lt;=100),"71-100",IF(DB1031&gt;100,"+100")))))</f>
        <v>71-100</v>
      </c>
      <c r="DD1031">
        <v>0</v>
      </c>
      <c r="DE1031">
        <v>1</v>
      </c>
      <c r="DF1031">
        <v>0</v>
      </c>
      <c r="DG1031">
        <v>1</v>
      </c>
      <c r="DI1031">
        <f>SUM(DD1031:DG1031)</f>
        <v>2</v>
      </c>
      <c r="DJ1031" t="str">
        <f>IF(DI1031=1,INDEX($DD$7:$DG$7,MATCH(1,$DD1031:$DG1031,0)),"mixedProduct")</f>
        <v>mixedProduct</v>
      </c>
      <c r="DK1031">
        <f>IF(DD1031=1,DK$7,0)</f>
        <v>0</v>
      </c>
      <c r="DL1031" t="str">
        <f>IF(DE1031=1,DL$7,0)</f>
        <v>Energy</v>
      </c>
      <c r="DM1031">
        <f>IF(DF1031=1,DM$7,0)</f>
        <v>0</v>
      </c>
      <c r="DN1031" t="str">
        <f>IF(DG1031=1,DN$7,0)</f>
        <v>Timber</v>
      </c>
      <c r="DO1031">
        <v>0</v>
      </c>
      <c r="DP1031">
        <v>1</v>
      </c>
      <c r="DQ1031" t="s">
        <v>304</v>
      </c>
      <c r="DR1031" t="s">
        <v>281</v>
      </c>
      <c r="DS1031">
        <v>0</v>
      </c>
      <c r="DT1031">
        <f>SUM(DO1031:DP1031)</f>
        <v>1</v>
      </c>
      <c r="DU1031" s="143" t="str">
        <f>IF(DO1031=1,"self-calculated DF",IF(DP1031=1,"external DF used","explicit C balance"))</f>
        <v>external DF used</v>
      </c>
      <c r="DV1031">
        <v>0</v>
      </c>
      <c r="DW1031">
        <v>1</v>
      </c>
      <c r="DX1031">
        <v>1</v>
      </c>
      <c r="DY1031">
        <v>1</v>
      </c>
      <c r="DZ1031">
        <v>1</v>
      </c>
      <c r="EA1031" s="143">
        <v>0</v>
      </c>
      <c r="EB1031">
        <v>1</v>
      </c>
      <c r="EC1031">
        <v>1</v>
      </c>
      <c r="ED1031">
        <v>0</v>
      </c>
      <c r="EE1031">
        <v>1</v>
      </c>
      <c r="EF1031">
        <v>1</v>
      </c>
      <c r="EG1031">
        <v>1</v>
      </c>
      <c r="EH1031">
        <v>0</v>
      </c>
      <c r="EI1031" s="2">
        <v>0</v>
      </c>
      <c r="EK1031" t="str">
        <f>IF(AND(AND(AND(OR($DX1031=1,$DW1031=1),OR($EC1031=1,$EA1031=1)),SUM($DV1031:$DZ1031,$EF1031)&gt;=4),SUM($EA1031:$EE1031)&gt;=2),"Whole sector","")</f>
        <v>Whole sector</v>
      </c>
      <c r="EL1031" t="str">
        <f>IF(AND(AND(OR($DX1031=1,$DW1031=1),AND($EC1031=0,$EA1031=0)),SUM($DV1031:$DZ1031,$EF1031)&gt;=4),"Ecosystem approach","")</f>
        <v/>
      </c>
      <c r="EM1031" s="2" t="str">
        <f>IF(AND(AND(AND($DX1031=0,$DW1031=0),OR($EC1031=1,$EA1031=1)),SUM($EB1031:$EE1031)&gt;=2),"Technology approach","")</f>
        <v/>
      </c>
      <c r="EN1031" t="s">
        <v>324</v>
      </c>
      <c r="EP1031" t="b">
        <f>IF(ISNUMBER(BU1031),IF(ABS(BU1031-[1]QC_indicators!$B$2)&gt;3*[1]QC_indicators!$C$2,"C ratio",IF(ISNUMBER(BY1031),IF(ABS(BY1031-[1]QC_indicators!$B$1)&gt;3*[1]QC_indicators!$C$1,"DF","no"))),IF(ISNUMBER(BY1031),IF(ABS(BY1031-[1]QC_indicators!$B$1)&gt;3*[1]QC_indicators!$C$1,"DF","no")))</f>
        <v>0</v>
      </c>
      <c r="EQ1031" t="s">
        <v>286</v>
      </c>
      <c r="ER1031" s="147" t="s">
        <v>325</v>
      </c>
      <c r="ET1031" s="264" t="s">
        <v>3273</v>
      </c>
    </row>
    <row r="1032" spans="1:150" ht="15" customHeight="1">
      <c r="A1032" s="1" t="s">
        <v>265</v>
      </c>
      <c r="B1032" t="s">
        <v>266</v>
      </c>
      <c r="C1032" t="s">
        <v>267</v>
      </c>
      <c r="D1032" t="s">
        <v>268</v>
      </c>
      <c r="E1032" t="s">
        <v>269</v>
      </c>
      <c r="F1032" t="s">
        <v>270</v>
      </c>
      <c r="G1032" t="s">
        <v>271</v>
      </c>
      <c r="H1032" t="s">
        <v>254</v>
      </c>
      <c r="I1032">
        <v>2022</v>
      </c>
      <c r="J1032">
        <v>0</v>
      </c>
      <c r="K1032" t="s">
        <v>272</v>
      </c>
      <c r="M1032" t="str">
        <f>LEFT($D1032,FIND(",",$D1032)-1)&amp;"_"&amp;I1032&amp;L1032</f>
        <v>Aryapratama_2022</v>
      </c>
      <c r="N1032" t="s">
        <v>222</v>
      </c>
      <c r="O1032" s="145" t="s">
        <v>274</v>
      </c>
      <c r="Q1032" t="s">
        <v>224</v>
      </c>
      <c r="R1032" s="262" t="s">
        <v>223</v>
      </c>
      <c r="S1032" s="1" t="s">
        <v>319</v>
      </c>
      <c r="T1032" t="s">
        <v>326</v>
      </c>
      <c r="U1032" t="s">
        <v>276</v>
      </c>
      <c r="V1032">
        <v>0</v>
      </c>
      <c r="W1032">
        <v>0</v>
      </c>
      <c r="X1032">
        <v>0</v>
      </c>
      <c r="Y1032">
        <v>0</v>
      </c>
      <c r="Z1032">
        <v>0</v>
      </c>
      <c r="AA1032">
        <v>0</v>
      </c>
      <c r="AB1032">
        <v>0</v>
      </c>
      <c r="AC1032">
        <v>0</v>
      </c>
      <c r="AD1032">
        <v>0</v>
      </c>
      <c r="AE1032">
        <v>0</v>
      </c>
      <c r="AF1032">
        <v>1</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s="141">
        <f>COUNTIF(V1032:AW1032,"&lt;&gt;0")</f>
        <v>1</v>
      </c>
      <c r="AY1032" s="141">
        <f>COUNTIF(V1032:AL1032,"&lt;&gt;0")</f>
        <v>1</v>
      </c>
      <c r="AZ1032">
        <f>COUNTIF(V1032:AC1032,"&lt;&gt;0")</f>
        <v>0</v>
      </c>
      <c r="BA1032">
        <f>COUNTIF(AD1032:AI1032,"&lt;&gt;0")</f>
        <v>1</v>
      </c>
      <c r="BB1032">
        <f>COUNTIF(AJ1032:AL1032,"&lt;&gt;0")</f>
        <v>0</v>
      </c>
      <c r="BC1032">
        <f>COUNTIF(AS1032:AW1032,"&lt;&gt;0")</f>
        <v>0</v>
      </c>
      <c r="BD1032">
        <f>COUNTIF(AM1032:AR1032,"&lt;&gt;0")</f>
        <v>0</v>
      </c>
      <c r="BE1032" t="str">
        <f t="array" ref="BE1032">IF(AY1032=1,INDEX($V$7:$AL$7,MATCH(TRUE,INDEX($V1032:$AW1032&lt;&gt;0,),0)),IF(AY1032=0,INDEX($AM$7:$AW$7,MATCH(1,$AM1032:$AW1032,0)),IF(BF1032="Multiple strategies","mixed drivers",IF(BF1032="Supply chain","multiple supply","multiple silviculture"))))</f>
        <v>supply chain organization</v>
      </c>
      <c r="BF1032" s="2" t="str" cm="1">
        <f t="array" ref="BF1032">IF(COUNTIF(AZ1032:BB1032,"&lt;&gt;0")=1,INDEX($V$4:$AW$4,MATCH(TRUE,INDEX($V1032:$AW1032&lt;&gt;0,),0)),IF(COUNTIF(AZ1032:BB1032,"&lt;&gt;0")=0,INDEX($AM$4:$AW$4,MATCH(1,$AM1032:$AW1032,0)),"Multiple strategies"))</f>
        <v>Supply chain</v>
      </c>
      <c r="BG1032" s="1" t="s">
        <v>321</v>
      </c>
      <c r="BH1032" s="146" t="s">
        <v>322</v>
      </c>
      <c r="BI1032" t="s">
        <v>323</v>
      </c>
      <c r="BJ1032" t="s">
        <v>278</v>
      </c>
      <c r="BK1032" s="148">
        <v>225.96603773584911</v>
      </c>
      <c r="BL1032" s="148">
        <v>225.96603773584911</v>
      </c>
      <c r="BM1032">
        <f>BL1032/BK1032</f>
        <v>1</v>
      </c>
      <c r="BN1032">
        <f>BL1032-BK1032</f>
        <v>0</v>
      </c>
      <c r="BO1032">
        <f>BN1032*tC_to_m3</f>
        <v>0</v>
      </c>
      <c r="BP1032" t="s">
        <v>232</v>
      </c>
      <c r="BQ1032" s="153" t="s">
        <v>3107</v>
      </c>
      <c r="BR1032" t="s">
        <v>279</v>
      </c>
      <c r="BS1032">
        <v>-1049.6296143500765</v>
      </c>
      <c r="BT1032">
        <v>-922.29525217943831</v>
      </c>
      <c r="BU1032" s="144">
        <f>IFERROR(BS1032/BT1032,"")</f>
        <v>1.1380624717190504</v>
      </c>
      <c r="BV1032">
        <f>BS1032-BT1032</f>
        <v>-127.3343621706382</v>
      </c>
      <c r="BX1032">
        <f>BV1032</f>
        <v>-127.3343621706382</v>
      </c>
      <c r="BY1032" t="str">
        <f>IFERROR(BX1032/BO1032,"")</f>
        <v/>
      </c>
      <c r="BZ1032">
        <v>0</v>
      </c>
      <c r="CA1032">
        <v>0</v>
      </c>
      <c r="CB1032">
        <v>0</v>
      </c>
      <c r="CC1032">
        <v>0</v>
      </c>
      <c r="CD1032">
        <v>0</v>
      </c>
      <c r="CE1032">
        <v>0</v>
      </c>
      <c r="CF1032">
        <v>0</v>
      </c>
      <c r="CG1032">
        <v>0</v>
      </c>
      <c r="CH1032">
        <v>0</v>
      </c>
      <c r="CI1032">
        <v>0</v>
      </c>
      <c r="CJ1032">
        <v>0</v>
      </c>
      <c r="CK1032">
        <v>0</v>
      </c>
      <c r="CL1032">
        <v>0</v>
      </c>
      <c r="CM1032">
        <v>0</v>
      </c>
      <c r="CN1032" t="str">
        <f>IF($BL1032&lt;$BK1032,"refNeedCorrection","refOK")</f>
        <v>refOK</v>
      </c>
      <c r="CO1032">
        <f>IF($CN1032="refOK",$BK1032,$BL1032)</f>
        <v>225.96603773584911</v>
      </c>
      <c r="CP1032">
        <f>IF($CN1032="refOK",$BL1032,$BK1032)</f>
        <v>225.96603773584911</v>
      </c>
      <c r="CQ1032">
        <f>IF($CN1032="refOK",$BO1032,-$BO1032)</f>
        <v>0</v>
      </c>
      <c r="CR1032">
        <f>IF($CN1032="refOK",$BT1032,$BS1032)*IF($BP1032="Emissions positive",-1,1)</f>
        <v>-922.29525217943831</v>
      </c>
      <c r="CS1032">
        <f>IF($CN1032="refOK",$BS1032,$BT1032)*IF($BP1032="Emissions positive",-1,1)</f>
        <v>-1049.6296143500765</v>
      </c>
      <c r="CT1032">
        <f>IF($CN1032="refNeedCorrection",-BX1032,BX1032)*IF($BP1032="Emissions positive",-1,1)</f>
        <v>-127.3343621706382</v>
      </c>
      <c r="CU1032" t="str">
        <f>IFERROR(CT1032/CQ1032,"")</f>
        <v/>
      </c>
      <c r="CV1032" s="2">
        <f>IFERROR((CS1032-CR1032)/ABS(CR1032),"")</f>
        <v>-0.13806247171905045</v>
      </c>
      <c r="CW1032" s="1" t="s">
        <v>234</v>
      </c>
      <c r="CX1032" t="str">
        <f>IF(OR($CW1032="prd",$CW1032="std",$CW1032="cit"),"loc",IF(OR($CW1032="eur",$CW1032="reg",$CW1032="coy"),"reg",$CW1032))</f>
        <v>loc</v>
      </c>
      <c r="CY1032" t="s">
        <v>280</v>
      </c>
      <c r="DB1032">
        <v>100</v>
      </c>
      <c r="DC1032" t="str">
        <f>IF(DB1032=0,"0",IF(AND(DB1032&gt;=1,DB1032&lt;=30),"1-30",IF(AND(DB1032&gt;30,DB1032&lt;=70),"31-70",IF(AND(DB1032&gt;70,DB1032&lt;=100),"71-100",IF(DB1032&gt;100,"+100")))))</f>
        <v>71-100</v>
      </c>
      <c r="DD1032">
        <v>0</v>
      </c>
      <c r="DE1032">
        <v>1</v>
      </c>
      <c r="DF1032">
        <v>0</v>
      </c>
      <c r="DG1032">
        <v>1</v>
      </c>
      <c r="DI1032">
        <f>SUM(DD1032:DG1032)</f>
        <v>2</v>
      </c>
      <c r="DJ1032" t="str">
        <f>IF(DI1032=1,INDEX($DD$7:$DG$7,MATCH(1,$DD1032:$DG1032,0)),"mixedProduct")</f>
        <v>mixedProduct</v>
      </c>
      <c r="DK1032">
        <f>IF(DD1032=1,DK$7,0)</f>
        <v>0</v>
      </c>
      <c r="DL1032" t="str">
        <f>IF(DE1032=1,DL$7,0)</f>
        <v>Energy</v>
      </c>
      <c r="DM1032">
        <f>IF(DF1032=1,DM$7,0)</f>
        <v>0</v>
      </c>
      <c r="DN1032" t="str">
        <f>IF(DG1032=1,DN$7,0)</f>
        <v>Timber</v>
      </c>
      <c r="DO1032">
        <v>0</v>
      </c>
      <c r="DP1032">
        <v>1</v>
      </c>
      <c r="DQ1032" t="s">
        <v>304</v>
      </c>
      <c r="DR1032" t="s">
        <v>281</v>
      </c>
      <c r="DS1032">
        <v>0</v>
      </c>
      <c r="DT1032">
        <f>SUM(DO1032:DP1032)</f>
        <v>1</v>
      </c>
      <c r="DU1032" s="143" t="str">
        <f>IF(DO1032=1,"self-calculated DF",IF(DP1032=1,"external DF used","explicit C balance"))</f>
        <v>external DF used</v>
      </c>
      <c r="DV1032">
        <v>0</v>
      </c>
      <c r="DW1032">
        <v>1</v>
      </c>
      <c r="DX1032">
        <v>1</v>
      </c>
      <c r="DY1032">
        <v>1</v>
      </c>
      <c r="DZ1032">
        <v>1</v>
      </c>
      <c r="EA1032" s="143">
        <v>0</v>
      </c>
      <c r="EB1032">
        <v>1</v>
      </c>
      <c r="EC1032">
        <v>1</v>
      </c>
      <c r="ED1032">
        <v>0</v>
      </c>
      <c r="EE1032">
        <v>1</v>
      </c>
      <c r="EF1032">
        <v>1</v>
      </c>
      <c r="EG1032">
        <v>1</v>
      </c>
      <c r="EH1032">
        <v>0</v>
      </c>
      <c r="EI1032" s="2">
        <v>0</v>
      </c>
      <c r="EK1032" t="str">
        <f>IF(AND(AND(AND(OR($DX1032=1,$DW1032=1),OR($EC1032=1,$EA1032=1)),SUM($DV1032:$DZ1032,$EF1032)&gt;=4),SUM($EA1032:$EE1032)&gt;=2),"Whole sector","")</f>
        <v>Whole sector</v>
      </c>
      <c r="EL1032" t="str">
        <f>IF(AND(AND(OR($DX1032=1,$DW1032=1),AND($EC1032=0,$EA1032=0)),SUM($DV1032:$DZ1032,$EF1032)&gt;=4),"Ecosystem approach","")</f>
        <v/>
      </c>
      <c r="EM1032" s="2" t="str">
        <f>IF(AND(AND(AND($DX1032=0,$DW1032=0),OR($EC1032=1,$EA1032=1)),SUM($EB1032:$EE1032)&gt;=2),"Technology approach","")</f>
        <v/>
      </c>
      <c r="EN1032" t="s">
        <v>324</v>
      </c>
      <c r="EP1032" t="b">
        <f>IF(ISNUMBER(BU1032),IF(ABS(BU1032-[1]QC_indicators!$B$2)&gt;3*[1]QC_indicators!$C$2,"C ratio",IF(ISNUMBER(BY1032),IF(ABS(BY1032-[1]QC_indicators!$B$1)&gt;3*[1]QC_indicators!$C$1,"DF","no"))),IF(ISNUMBER(BY1032),IF(ABS(BY1032-[1]QC_indicators!$B$1)&gt;3*[1]QC_indicators!$C$1,"DF","no")))</f>
        <v>0</v>
      </c>
      <c r="EQ1032" t="s">
        <v>286</v>
      </c>
      <c r="ER1032" s="147" t="s">
        <v>325</v>
      </c>
      <c r="ET1032" s="264" t="s">
        <v>3273</v>
      </c>
    </row>
    <row r="1033" spans="1:150" ht="15" customHeight="1">
      <c r="A1033" s="1" t="s">
        <v>265</v>
      </c>
      <c r="B1033" t="s">
        <v>266</v>
      </c>
      <c r="C1033" t="s">
        <v>267</v>
      </c>
      <c r="D1033" t="s">
        <v>268</v>
      </c>
      <c r="E1033" t="s">
        <v>269</v>
      </c>
      <c r="F1033" t="s">
        <v>270</v>
      </c>
      <c r="G1033" t="s">
        <v>271</v>
      </c>
      <c r="H1033" t="s">
        <v>254</v>
      </c>
      <c r="I1033">
        <v>2022</v>
      </c>
      <c r="J1033">
        <v>0</v>
      </c>
      <c r="K1033" t="s">
        <v>272</v>
      </c>
      <c r="M1033" t="str">
        <f>LEFT($D1033,FIND(",",$D1033)-1)&amp;"_"&amp;I1033&amp;L1033</f>
        <v>Aryapratama_2022</v>
      </c>
      <c r="N1033" t="s">
        <v>222</v>
      </c>
      <c r="O1033" s="145" t="s">
        <v>274</v>
      </c>
      <c r="Q1033" t="s">
        <v>224</v>
      </c>
      <c r="R1033" s="262" t="s">
        <v>223</v>
      </c>
      <c r="S1033" s="1" t="s">
        <v>319</v>
      </c>
      <c r="T1033" t="s">
        <v>303</v>
      </c>
      <c r="U1033" t="s">
        <v>284</v>
      </c>
      <c r="V1033">
        <v>0</v>
      </c>
      <c r="W1033">
        <v>0</v>
      </c>
      <c r="X1033">
        <v>0</v>
      </c>
      <c r="Y1033">
        <v>0</v>
      </c>
      <c r="Z1033">
        <v>0</v>
      </c>
      <c r="AA1033">
        <v>0</v>
      </c>
      <c r="AB1033">
        <v>0</v>
      </c>
      <c r="AC1033">
        <v>0</v>
      </c>
      <c r="AD1033">
        <v>0</v>
      </c>
      <c r="AE1033">
        <v>0</v>
      </c>
      <c r="AF1033">
        <v>1</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s="141">
        <f>COUNTIF(V1033:AW1033,"&lt;&gt;0")</f>
        <v>1</v>
      </c>
      <c r="AY1033" s="141">
        <f>COUNTIF(V1033:AL1033,"&lt;&gt;0")</f>
        <v>1</v>
      </c>
      <c r="AZ1033">
        <f>COUNTIF(V1033:AC1033,"&lt;&gt;0")</f>
        <v>0</v>
      </c>
      <c r="BA1033">
        <f>COUNTIF(AD1033:AI1033,"&lt;&gt;0")</f>
        <v>1</v>
      </c>
      <c r="BB1033">
        <f>COUNTIF(AJ1033:AL1033,"&lt;&gt;0")</f>
        <v>0</v>
      </c>
      <c r="BC1033">
        <f>COUNTIF(AS1033:AW1033,"&lt;&gt;0")</f>
        <v>0</v>
      </c>
      <c r="BD1033">
        <f>COUNTIF(AM1033:AR1033,"&lt;&gt;0")</f>
        <v>0</v>
      </c>
      <c r="BE1033" t="str">
        <f t="array" ref="BE1033">IF(AY1033=1,INDEX($V$7:$AL$7,MATCH(TRUE,INDEX($V1033:$AW1033&lt;&gt;0,),0)),IF(AY1033=0,INDEX($AM$7:$AW$7,MATCH(1,$AM1033:$AW1033,0)),IF(BF1033="Multiple strategies","mixed drivers",IF(BF1033="Supply chain","multiple supply","multiple silviculture"))))</f>
        <v>supply chain organization</v>
      </c>
      <c r="BF1033" s="2" t="str" cm="1">
        <f t="array" ref="BF1033">IF(COUNTIF(AZ1033:BB1033,"&lt;&gt;0")=1,INDEX($V$4:$AW$4,MATCH(TRUE,INDEX($V1033:$AW1033&lt;&gt;0,),0)),IF(COUNTIF(AZ1033:BB1033,"&lt;&gt;0")=0,INDEX($AM$4:$AW$4,MATCH(1,$AM1033:$AW1033,0)),"Multiple strategies"))</f>
        <v>Supply chain</v>
      </c>
      <c r="BG1033" s="1" t="s">
        <v>321</v>
      </c>
      <c r="BH1033" s="146" t="s">
        <v>322</v>
      </c>
      <c r="BI1033" t="s">
        <v>323</v>
      </c>
      <c r="BJ1033" t="s">
        <v>278</v>
      </c>
      <c r="BK1033" s="148">
        <v>9.6371132903994159</v>
      </c>
      <c r="BL1033" s="148">
        <v>9.6371132903994159</v>
      </c>
      <c r="BM1033">
        <f>BL1033/BK1033</f>
        <v>1</v>
      </c>
      <c r="BN1033">
        <f>BL1033-BK1033</f>
        <v>0</v>
      </c>
      <c r="BO1033">
        <f>BN1033*tC_to_m3</f>
        <v>0</v>
      </c>
      <c r="BP1033" t="s">
        <v>232</v>
      </c>
      <c r="BQ1033" s="153" t="s">
        <v>3107</v>
      </c>
      <c r="BR1033" t="s">
        <v>279</v>
      </c>
      <c r="BS1033">
        <v>176.62110895178901</v>
      </c>
      <c r="BT1033">
        <v>192.24097622198209</v>
      </c>
      <c r="BU1033" s="144">
        <f>IFERROR(BS1033/BT1033,"")</f>
        <v>0.91874850212913661</v>
      </c>
      <c r="BV1033">
        <f>BS1033-BT1033</f>
        <v>-15.619867270193083</v>
      </c>
      <c r="BX1033">
        <f>BV1033</f>
        <v>-15.619867270193083</v>
      </c>
      <c r="BY1033" t="str">
        <f>IFERROR(BX1033/BO1033,"")</f>
        <v/>
      </c>
      <c r="BZ1033">
        <v>0</v>
      </c>
      <c r="CA1033">
        <v>0</v>
      </c>
      <c r="CB1033">
        <v>0</v>
      </c>
      <c r="CC1033">
        <v>0</v>
      </c>
      <c r="CD1033">
        <v>0</v>
      </c>
      <c r="CE1033">
        <v>0</v>
      </c>
      <c r="CF1033">
        <v>0</v>
      </c>
      <c r="CG1033">
        <v>0</v>
      </c>
      <c r="CH1033">
        <v>0</v>
      </c>
      <c r="CI1033">
        <v>0</v>
      </c>
      <c r="CJ1033">
        <v>0</v>
      </c>
      <c r="CK1033">
        <v>0</v>
      </c>
      <c r="CL1033">
        <v>0</v>
      </c>
      <c r="CM1033">
        <v>0</v>
      </c>
      <c r="CN1033" t="str">
        <f>IF($BL1033&lt;$BK1033,"refNeedCorrection","refOK")</f>
        <v>refOK</v>
      </c>
      <c r="CO1033">
        <f>IF($CN1033="refOK",$BK1033,$BL1033)</f>
        <v>9.6371132903994159</v>
      </c>
      <c r="CP1033">
        <f>IF($CN1033="refOK",$BL1033,$BK1033)</f>
        <v>9.6371132903994159</v>
      </c>
      <c r="CQ1033">
        <f>IF($CN1033="refOK",$BO1033,-$BO1033)</f>
        <v>0</v>
      </c>
      <c r="CR1033">
        <f>IF($CN1033="refOK",$BT1033,$BS1033)*IF($BP1033="Emissions positive",-1,1)</f>
        <v>192.24097622198209</v>
      </c>
      <c r="CS1033">
        <f>IF($CN1033="refOK",$BS1033,$BT1033)*IF($BP1033="Emissions positive",-1,1)</f>
        <v>176.62110895178901</v>
      </c>
      <c r="CT1033">
        <f>IF($CN1033="refNeedCorrection",-BX1033,BX1033)*IF($BP1033="Emissions positive",-1,1)</f>
        <v>-15.619867270193083</v>
      </c>
      <c r="CU1033" t="str">
        <f>IFERROR(CT1033/CQ1033,"")</f>
        <v/>
      </c>
      <c r="CV1033" s="2">
        <f>IFERROR((CS1033-CR1033)/ABS(CR1033),"")</f>
        <v>-8.1251497870863415E-2</v>
      </c>
      <c r="CW1033" s="1" t="s">
        <v>234</v>
      </c>
      <c r="CX1033" t="str">
        <f>IF(OR($CW1033="prd",$CW1033="std",$CW1033="cit"),"loc",IF(OR($CW1033="eur",$CW1033="reg",$CW1033="coy"),"reg",$CW1033))</f>
        <v>loc</v>
      </c>
      <c r="CY1033" t="s">
        <v>280</v>
      </c>
      <c r="DB1033">
        <v>100</v>
      </c>
      <c r="DC1033" t="str">
        <f>IF(DB1033=0,"0",IF(AND(DB1033&gt;=1,DB1033&lt;=30),"1-30",IF(AND(DB1033&gt;30,DB1033&lt;=70),"31-70",IF(AND(DB1033&gt;70,DB1033&lt;=100),"71-100",IF(DB1033&gt;100,"+100")))))</f>
        <v>71-100</v>
      </c>
      <c r="DD1033">
        <v>0</v>
      </c>
      <c r="DE1033">
        <v>1</v>
      </c>
      <c r="DF1033">
        <v>0</v>
      </c>
      <c r="DG1033">
        <v>1</v>
      </c>
      <c r="DI1033">
        <f>SUM(DD1033:DG1033)</f>
        <v>2</v>
      </c>
      <c r="DJ1033" t="str">
        <f>IF(DI1033=1,INDEX($DD$7:$DG$7,MATCH(1,$DD1033:$DG1033,0)),"mixedProduct")</f>
        <v>mixedProduct</v>
      </c>
      <c r="DK1033">
        <f>IF(DD1033=1,DK$7,0)</f>
        <v>0</v>
      </c>
      <c r="DL1033" t="str">
        <f>IF(DE1033=1,DL$7,0)</f>
        <v>Energy</v>
      </c>
      <c r="DM1033">
        <f>IF(DF1033=1,DM$7,0)</f>
        <v>0</v>
      </c>
      <c r="DN1033" t="str">
        <f>IF(DG1033=1,DN$7,0)</f>
        <v>Timber</v>
      </c>
      <c r="DO1033">
        <v>0</v>
      </c>
      <c r="DP1033">
        <v>1</v>
      </c>
      <c r="DQ1033" t="s">
        <v>304</v>
      </c>
      <c r="DR1033" t="s">
        <v>281</v>
      </c>
      <c r="DS1033">
        <v>0</v>
      </c>
      <c r="DT1033">
        <f>SUM(DO1033:DP1033)</f>
        <v>1</v>
      </c>
      <c r="DU1033" s="143" t="str">
        <f>IF(DO1033=1,"self-calculated DF",IF(DP1033=1,"external DF used","explicit C balance"))</f>
        <v>external DF used</v>
      </c>
      <c r="DV1033">
        <v>0</v>
      </c>
      <c r="DW1033">
        <v>1</v>
      </c>
      <c r="DX1033">
        <v>1</v>
      </c>
      <c r="DY1033">
        <v>1</v>
      </c>
      <c r="DZ1033">
        <v>1</v>
      </c>
      <c r="EA1033" s="143">
        <v>0</v>
      </c>
      <c r="EB1033">
        <v>1</v>
      </c>
      <c r="EC1033">
        <v>1</v>
      </c>
      <c r="ED1033">
        <v>0</v>
      </c>
      <c r="EE1033">
        <v>1</v>
      </c>
      <c r="EF1033">
        <v>1</v>
      </c>
      <c r="EG1033">
        <v>1</v>
      </c>
      <c r="EH1033">
        <v>0</v>
      </c>
      <c r="EI1033" s="2">
        <v>0</v>
      </c>
      <c r="EK1033" t="str">
        <f>IF(AND(AND(AND(OR($DX1033=1,$DW1033=1),OR($EC1033=1,$EA1033=1)),SUM($DV1033:$DZ1033,$EF1033)&gt;=4),SUM($EA1033:$EE1033)&gt;=2),"Whole sector","")</f>
        <v>Whole sector</v>
      </c>
      <c r="EL1033" t="str">
        <f>IF(AND(AND(OR($DX1033=1,$DW1033=1),AND($EC1033=0,$EA1033=0)),SUM($DV1033:$DZ1033,$EF1033)&gt;=4),"Ecosystem approach","")</f>
        <v/>
      </c>
      <c r="EM1033" s="2" t="str">
        <f>IF(AND(AND(AND($DX1033=0,$DW1033=0),OR($EC1033=1,$EA1033=1)),SUM($EB1033:$EE1033)&gt;=2),"Technology approach","")</f>
        <v/>
      </c>
      <c r="EN1033" t="s">
        <v>324</v>
      </c>
      <c r="EP1033" t="b">
        <f>IF(ISNUMBER(BU1033),IF(ABS(BU1033-[1]QC_indicators!$B$2)&gt;3*[1]QC_indicators!$C$2,"C ratio",IF(ISNUMBER(BY1033),IF(ABS(BY1033-[1]QC_indicators!$B$1)&gt;3*[1]QC_indicators!$C$1,"DF","no"))),IF(ISNUMBER(BY1033),IF(ABS(BY1033-[1]QC_indicators!$B$1)&gt;3*[1]QC_indicators!$C$1,"DF","no")))</f>
        <v>0</v>
      </c>
      <c r="EQ1033" t="s">
        <v>286</v>
      </c>
      <c r="ER1033" s="147" t="s">
        <v>325</v>
      </c>
      <c r="ET1033" s="264" t="s">
        <v>3273</v>
      </c>
    </row>
    <row r="1034" spans="1:150" ht="15" customHeight="1">
      <c r="A1034" s="1" t="s">
        <v>265</v>
      </c>
      <c r="B1034" t="s">
        <v>266</v>
      </c>
      <c r="C1034" t="s">
        <v>267</v>
      </c>
      <c r="D1034" t="s">
        <v>268</v>
      </c>
      <c r="E1034" t="s">
        <v>269</v>
      </c>
      <c r="F1034" t="s">
        <v>270</v>
      </c>
      <c r="G1034" t="s">
        <v>271</v>
      </c>
      <c r="H1034" t="s">
        <v>254</v>
      </c>
      <c r="I1034">
        <v>2022</v>
      </c>
      <c r="J1034">
        <v>0</v>
      </c>
      <c r="K1034" t="s">
        <v>272</v>
      </c>
      <c r="M1034" t="str">
        <f>LEFT($D1034,FIND(",",$D1034)-1)&amp;"_"&amp;I1034&amp;L1034</f>
        <v>Aryapratama_2022</v>
      </c>
      <c r="N1034" t="s">
        <v>222</v>
      </c>
      <c r="O1034" s="145" t="s">
        <v>274</v>
      </c>
      <c r="Q1034" t="s">
        <v>224</v>
      </c>
      <c r="R1034" s="262" t="s">
        <v>223</v>
      </c>
      <c r="S1034" s="1" t="s">
        <v>319</v>
      </c>
      <c r="T1034" t="s">
        <v>312</v>
      </c>
      <c r="U1034" t="s">
        <v>283</v>
      </c>
      <c r="V1034">
        <v>0</v>
      </c>
      <c r="W1034">
        <v>0</v>
      </c>
      <c r="X1034">
        <v>0</v>
      </c>
      <c r="Y1034">
        <v>0</v>
      </c>
      <c r="Z1034">
        <v>0</v>
      </c>
      <c r="AA1034">
        <v>0</v>
      </c>
      <c r="AB1034">
        <v>0</v>
      </c>
      <c r="AC1034">
        <v>0</v>
      </c>
      <c r="AD1034">
        <v>0</v>
      </c>
      <c r="AE1034">
        <v>0</v>
      </c>
      <c r="AF1034">
        <v>1</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s="141">
        <f>COUNTIF(V1034:AW1034,"&lt;&gt;0")</f>
        <v>1</v>
      </c>
      <c r="AY1034" s="141">
        <f>COUNTIF(V1034:AL1034,"&lt;&gt;0")</f>
        <v>1</v>
      </c>
      <c r="AZ1034">
        <f>COUNTIF(V1034:AC1034,"&lt;&gt;0")</f>
        <v>0</v>
      </c>
      <c r="BA1034">
        <f>COUNTIF(AD1034:AI1034,"&lt;&gt;0")</f>
        <v>1</v>
      </c>
      <c r="BB1034">
        <f>COUNTIF(AJ1034:AL1034,"&lt;&gt;0")</f>
        <v>0</v>
      </c>
      <c r="BC1034">
        <f>COUNTIF(AS1034:AW1034,"&lt;&gt;0")</f>
        <v>0</v>
      </c>
      <c r="BD1034">
        <f>COUNTIF(AM1034:AR1034,"&lt;&gt;0")</f>
        <v>0</v>
      </c>
      <c r="BE1034" t="str">
        <f t="array" ref="BE1034">IF(AY1034=1,INDEX($V$7:$AL$7,MATCH(TRUE,INDEX($V1034:$AW1034&lt;&gt;0,),0)),IF(AY1034=0,INDEX($AM$7:$AW$7,MATCH(1,$AM1034:$AW1034,0)),IF(BF1034="Multiple strategies","mixed drivers",IF(BF1034="Supply chain","multiple supply","multiple silviculture"))))</f>
        <v>supply chain organization</v>
      </c>
      <c r="BF1034" s="2" t="str" cm="1">
        <f t="array" ref="BF1034">IF(COUNTIF(AZ1034:BB1034,"&lt;&gt;0")=1,INDEX($V$4:$AW$4,MATCH(TRUE,INDEX($V1034:$AW1034&lt;&gt;0,),0)),IF(COUNTIF(AZ1034:BB1034,"&lt;&gt;0")=0,INDEX($AM$4:$AW$4,MATCH(1,$AM1034:$AW1034,0)),"Multiple strategies"))</f>
        <v>Supply chain</v>
      </c>
      <c r="BG1034" s="1" t="s">
        <v>321</v>
      </c>
      <c r="BH1034" s="146" t="s">
        <v>322</v>
      </c>
      <c r="BI1034" t="s">
        <v>323</v>
      </c>
      <c r="BJ1034" t="s">
        <v>278</v>
      </c>
      <c r="BK1034" s="148">
        <v>9.6371132903994159</v>
      </c>
      <c r="BL1034" s="148">
        <v>9.6371132903994159</v>
      </c>
      <c r="BM1034">
        <f>BL1034/BK1034</f>
        <v>1</v>
      </c>
      <c r="BN1034">
        <f>BL1034-BK1034</f>
        <v>0</v>
      </c>
      <c r="BO1034">
        <f>BN1034*tC_to_m3</f>
        <v>0</v>
      </c>
      <c r="BP1034" t="s">
        <v>232</v>
      </c>
      <c r="BQ1034" s="153" t="s">
        <v>3107</v>
      </c>
      <c r="BR1034" t="s">
        <v>279</v>
      </c>
      <c r="BS1034">
        <v>354.30409954781243</v>
      </c>
      <c r="BT1034">
        <v>369.9239668180054</v>
      </c>
      <c r="BU1034" s="144">
        <f>IFERROR(BS1034/BT1034,"")</f>
        <v>0.9577754655786398</v>
      </c>
      <c r="BV1034">
        <f>BS1034-BT1034</f>
        <v>-15.619867270192969</v>
      </c>
      <c r="BX1034">
        <f>BV1034</f>
        <v>-15.619867270192969</v>
      </c>
      <c r="BY1034" t="str">
        <f>IFERROR(BX1034/BO1034,"")</f>
        <v/>
      </c>
      <c r="BZ1034">
        <v>0</v>
      </c>
      <c r="CA1034">
        <v>0</v>
      </c>
      <c r="CB1034">
        <v>0</v>
      </c>
      <c r="CC1034">
        <v>0</v>
      </c>
      <c r="CD1034">
        <v>0</v>
      </c>
      <c r="CE1034">
        <v>0</v>
      </c>
      <c r="CF1034">
        <v>0</v>
      </c>
      <c r="CG1034">
        <v>0</v>
      </c>
      <c r="CH1034">
        <v>0</v>
      </c>
      <c r="CI1034">
        <v>0</v>
      </c>
      <c r="CJ1034">
        <v>0</v>
      </c>
      <c r="CK1034">
        <v>0</v>
      </c>
      <c r="CL1034">
        <v>0</v>
      </c>
      <c r="CM1034">
        <v>0</v>
      </c>
      <c r="CN1034" t="str">
        <f>IF($BL1034&lt;$BK1034,"refNeedCorrection","refOK")</f>
        <v>refOK</v>
      </c>
      <c r="CO1034">
        <f>IF($CN1034="refOK",$BK1034,$BL1034)</f>
        <v>9.6371132903994159</v>
      </c>
      <c r="CP1034">
        <f>IF($CN1034="refOK",$BL1034,$BK1034)</f>
        <v>9.6371132903994159</v>
      </c>
      <c r="CQ1034">
        <f>IF($CN1034="refOK",$BO1034,-$BO1034)</f>
        <v>0</v>
      </c>
      <c r="CR1034">
        <f>IF($CN1034="refOK",$BT1034,$BS1034)*IF($BP1034="Emissions positive",-1,1)</f>
        <v>369.9239668180054</v>
      </c>
      <c r="CS1034">
        <f>IF($CN1034="refOK",$BS1034,$BT1034)*IF($BP1034="Emissions positive",-1,1)</f>
        <v>354.30409954781243</v>
      </c>
      <c r="CT1034">
        <f>IF($CN1034="refNeedCorrection",-BX1034,BX1034)*IF($BP1034="Emissions positive",-1,1)</f>
        <v>-15.619867270192969</v>
      </c>
      <c r="CU1034" t="str">
        <f>IFERROR(CT1034/CQ1034,"")</f>
        <v/>
      </c>
      <c r="CV1034" s="2">
        <f>IFERROR((CS1034-CR1034)/ABS(CR1034),"")</f>
        <v>-4.2224534421360177E-2</v>
      </c>
      <c r="CW1034" s="1" t="s">
        <v>234</v>
      </c>
      <c r="CX1034" t="str">
        <f>IF(OR($CW1034="prd",$CW1034="std",$CW1034="cit"),"loc",IF(OR($CW1034="eur",$CW1034="reg",$CW1034="coy"),"reg",$CW1034))</f>
        <v>loc</v>
      </c>
      <c r="CY1034" t="s">
        <v>280</v>
      </c>
      <c r="DB1034">
        <v>100</v>
      </c>
      <c r="DC1034" t="str">
        <f>IF(DB1034=0,"0",IF(AND(DB1034&gt;=1,DB1034&lt;=30),"1-30",IF(AND(DB1034&gt;30,DB1034&lt;=70),"31-70",IF(AND(DB1034&gt;70,DB1034&lt;=100),"71-100",IF(DB1034&gt;100,"+100")))))</f>
        <v>71-100</v>
      </c>
      <c r="DD1034">
        <v>0</v>
      </c>
      <c r="DE1034">
        <v>1</v>
      </c>
      <c r="DF1034">
        <v>0</v>
      </c>
      <c r="DG1034">
        <v>1</v>
      </c>
      <c r="DI1034">
        <f>SUM(DD1034:DG1034)</f>
        <v>2</v>
      </c>
      <c r="DJ1034" t="str">
        <f>IF(DI1034=1,INDEX($DD$7:$DG$7,MATCH(1,$DD1034:$DG1034,0)),"mixedProduct")</f>
        <v>mixedProduct</v>
      </c>
      <c r="DK1034">
        <f>IF(DD1034=1,DK$7,0)</f>
        <v>0</v>
      </c>
      <c r="DL1034" t="str">
        <f>IF(DE1034=1,DL$7,0)</f>
        <v>Energy</v>
      </c>
      <c r="DM1034">
        <f>IF(DF1034=1,DM$7,0)</f>
        <v>0</v>
      </c>
      <c r="DN1034" t="str">
        <f>IF(DG1034=1,DN$7,0)</f>
        <v>Timber</v>
      </c>
      <c r="DO1034">
        <v>0</v>
      </c>
      <c r="DP1034">
        <v>1</v>
      </c>
      <c r="DQ1034" t="s">
        <v>304</v>
      </c>
      <c r="DR1034" t="s">
        <v>281</v>
      </c>
      <c r="DS1034">
        <v>0</v>
      </c>
      <c r="DT1034">
        <f>SUM(DO1034:DP1034)</f>
        <v>1</v>
      </c>
      <c r="DU1034" s="143" t="str">
        <f>IF(DO1034=1,"self-calculated DF",IF(DP1034=1,"external DF used","explicit C balance"))</f>
        <v>external DF used</v>
      </c>
      <c r="DV1034">
        <v>0</v>
      </c>
      <c r="DW1034">
        <v>1</v>
      </c>
      <c r="DX1034">
        <v>1</v>
      </c>
      <c r="DY1034">
        <v>1</v>
      </c>
      <c r="DZ1034">
        <v>1</v>
      </c>
      <c r="EA1034" s="143">
        <v>0</v>
      </c>
      <c r="EB1034">
        <v>1</v>
      </c>
      <c r="EC1034">
        <v>1</v>
      </c>
      <c r="ED1034">
        <v>0</v>
      </c>
      <c r="EE1034">
        <v>1</v>
      </c>
      <c r="EF1034">
        <v>1</v>
      </c>
      <c r="EG1034">
        <v>1</v>
      </c>
      <c r="EH1034">
        <v>0</v>
      </c>
      <c r="EI1034" s="2">
        <v>0</v>
      </c>
      <c r="EK1034" t="str">
        <f>IF(AND(AND(AND(OR($DX1034=1,$DW1034=1),OR($EC1034=1,$EA1034=1)),SUM($DV1034:$DZ1034,$EF1034)&gt;=4),SUM($EA1034:$EE1034)&gt;=2),"Whole sector","")</f>
        <v>Whole sector</v>
      </c>
      <c r="EL1034" t="str">
        <f>IF(AND(AND(OR($DX1034=1,$DW1034=1),AND($EC1034=0,$EA1034=0)),SUM($DV1034:$DZ1034,$EF1034)&gt;=4),"Ecosystem approach","")</f>
        <v/>
      </c>
      <c r="EM1034" s="2" t="str">
        <f>IF(AND(AND(AND($DX1034=0,$DW1034=0),OR($EC1034=1,$EA1034=1)),SUM($EB1034:$EE1034)&gt;=2),"Technology approach","")</f>
        <v/>
      </c>
      <c r="EN1034" t="s">
        <v>324</v>
      </c>
      <c r="EP1034" t="b">
        <f>IF(ISNUMBER(BU1034),IF(ABS(BU1034-[1]QC_indicators!$B$2)&gt;3*[1]QC_indicators!$C$2,"C ratio",IF(ISNUMBER(BY1034),IF(ABS(BY1034-[1]QC_indicators!$B$1)&gt;3*[1]QC_indicators!$C$1,"DF","no"))),IF(ISNUMBER(BY1034),IF(ABS(BY1034-[1]QC_indicators!$B$1)&gt;3*[1]QC_indicators!$C$1,"DF","no")))</f>
        <v>0</v>
      </c>
      <c r="EQ1034" t="s">
        <v>286</v>
      </c>
      <c r="ER1034" s="147" t="s">
        <v>325</v>
      </c>
      <c r="ET1034" s="264" t="s">
        <v>3273</v>
      </c>
    </row>
    <row r="1035" spans="1:150" ht="15" customHeight="1">
      <c r="A1035" s="1" t="s">
        <v>265</v>
      </c>
      <c r="B1035" t="s">
        <v>266</v>
      </c>
      <c r="C1035" t="s">
        <v>267</v>
      </c>
      <c r="D1035" t="s">
        <v>268</v>
      </c>
      <c r="E1035" t="s">
        <v>269</v>
      </c>
      <c r="F1035" t="s">
        <v>270</v>
      </c>
      <c r="G1035" t="s">
        <v>271</v>
      </c>
      <c r="H1035" t="s">
        <v>254</v>
      </c>
      <c r="I1035">
        <v>2022</v>
      </c>
      <c r="J1035">
        <v>0</v>
      </c>
      <c r="K1035" t="s">
        <v>272</v>
      </c>
      <c r="M1035" t="str">
        <f>LEFT($D1035,FIND(",",$D1035)-1)&amp;"_"&amp;I1035&amp;L1035</f>
        <v>Aryapratama_2022</v>
      </c>
      <c r="N1035" t="s">
        <v>222</v>
      </c>
      <c r="O1035" s="145" t="s">
        <v>274</v>
      </c>
      <c r="Q1035" t="s">
        <v>224</v>
      </c>
      <c r="R1035" s="262" t="s">
        <v>223</v>
      </c>
      <c r="S1035" s="263" t="s">
        <v>3108</v>
      </c>
      <c r="T1035" t="s">
        <v>283</v>
      </c>
      <c r="U1035" t="s">
        <v>284</v>
      </c>
      <c r="V1035">
        <v>0</v>
      </c>
      <c r="W1035">
        <v>0</v>
      </c>
      <c r="X1035">
        <v>0</v>
      </c>
      <c r="Y1035">
        <v>0</v>
      </c>
      <c r="Z1035">
        <v>0</v>
      </c>
      <c r="AA1035">
        <v>0</v>
      </c>
      <c r="AB1035">
        <v>0</v>
      </c>
      <c r="AC1035">
        <v>0</v>
      </c>
      <c r="AD1035">
        <v>1</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s="141">
        <f>COUNTIF(V1035:AW1035,"&lt;&gt;0")</f>
        <v>1</v>
      </c>
      <c r="AY1035" s="141">
        <f>COUNTIF(V1035:AL1035,"&lt;&gt;0")</f>
        <v>1</v>
      </c>
      <c r="AZ1035">
        <f>COUNTIF(V1035:AC1035,"&lt;&gt;0")</f>
        <v>0</v>
      </c>
      <c r="BA1035">
        <f>COUNTIF(AD1035:AI1035,"&lt;&gt;0")</f>
        <v>1</v>
      </c>
      <c r="BB1035">
        <f>COUNTIF(AJ1035:AL1035,"&lt;&gt;0")</f>
        <v>0</v>
      </c>
      <c r="BC1035">
        <f>COUNTIF(AS1035:AW1035,"&lt;&gt;0")</f>
        <v>0</v>
      </c>
      <c r="BD1035">
        <f>COUNTIF(AM1035:AR1035,"&lt;&gt;0")</f>
        <v>0</v>
      </c>
      <c r="BE1035" t="str">
        <f t="array" ref="BE1035">IF(AY1035=1,INDEX($V$7:$AL$7,MATCH(TRUE,INDEX($V1035:$AW1035&lt;&gt;0,),0)),IF(AY1035=0,INDEX($AM$7:$AW$7,MATCH(1,$AM1035:$AW1035,0)),IF(BF1035="Multiple strategies","mixed drivers",IF(BF1035="Supply chain","multiple supply","multiple silviculture"))))</f>
        <v>harvesting system</v>
      </c>
      <c r="BF1035" s="2" t="str" cm="1">
        <f t="array" ref="BF1035">IF(COUNTIF(AZ1035:BB1035,"&lt;&gt;0")=1,INDEX($V$4:$AW$4,MATCH(TRUE,INDEX($V1035:$AW1035&lt;&gt;0,),0)),IF(COUNTIF(AZ1035:BB1035,"&lt;&gt;0")=0,INDEX($AM$4:$AW$4,MATCH(1,$AM1035:$AW1035,0)),"Multiple strategies"))</f>
        <v>Supply chain</v>
      </c>
      <c r="BG1035" s="1" t="s">
        <v>229</v>
      </c>
      <c r="BH1035" t="s">
        <v>285</v>
      </c>
      <c r="BJ1035" t="s">
        <v>278</v>
      </c>
      <c r="BK1035">
        <v>17.346803922718955</v>
      </c>
      <c r="BL1035">
        <v>17.346803922718955</v>
      </c>
      <c r="BM1035">
        <f>BL1035/BK1035</f>
        <v>1</v>
      </c>
      <c r="BN1035">
        <f>BL1035-BK1035</f>
        <v>0</v>
      </c>
      <c r="BO1035">
        <f>BN1035*tC_to_m3</f>
        <v>0</v>
      </c>
      <c r="BP1035" t="s">
        <v>232</v>
      </c>
      <c r="BQ1035" s="153" t="s">
        <v>3107</v>
      </c>
      <c r="BR1035" t="s">
        <v>279</v>
      </c>
      <c r="BS1035">
        <v>369.9239668180054</v>
      </c>
      <c r="BT1035">
        <v>192.24097622198209</v>
      </c>
      <c r="BU1035" s="144">
        <f>IFERROR(BT1035/BS1035,"")</f>
        <v>0.51967699707480841</v>
      </c>
      <c r="BV1035">
        <f>BT1035-BS1035</f>
        <v>-177.6829905960233</v>
      </c>
      <c r="BX1035">
        <f>BV1035</f>
        <v>-177.6829905960233</v>
      </c>
      <c r="BY1035" t="str">
        <f>IFERROR(BX1035/BO1035,"")</f>
        <v/>
      </c>
      <c r="BZ1035">
        <v>0</v>
      </c>
      <c r="CA1035">
        <v>0</v>
      </c>
      <c r="CB1035">
        <v>0</v>
      </c>
      <c r="CC1035">
        <v>0</v>
      </c>
      <c r="CD1035">
        <v>0</v>
      </c>
      <c r="CE1035">
        <v>0</v>
      </c>
      <c r="CF1035">
        <v>0</v>
      </c>
      <c r="CG1035">
        <v>0</v>
      </c>
      <c r="CH1035">
        <v>0</v>
      </c>
      <c r="CI1035">
        <v>0</v>
      </c>
      <c r="CJ1035">
        <v>0</v>
      </c>
      <c r="CK1035">
        <v>0</v>
      </c>
      <c r="CL1035">
        <v>0</v>
      </c>
      <c r="CM1035">
        <v>0</v>
      </c>
      <c r="CN1035" t="str">
        <f>IF($BL1035&lt;$BK1035,"refNeedCorrection","refOK")</f>
        <v>refOK</v>
      </c>
      <c r="CO1035">
        <f>IF($CN1035="refOK",$BK1035,$BL1035)</f>
        <v>17.346803922718955</v>
      </c>
      <c r="CP1035">
        <f>IF($CN1035="refOK",$BL1035,$BK1035)</f>
        <v>17.346803922718955</v>
      </c>
      <c r="CQ1035">
        <f>IF($CN1035="refOK",$BO1035,-$BO1035)</f>
        <v>0</v>
      </c>
      <c r="CR1035">
        <f>IF($CN1035="refOK",$BS1035,$BT1035)*IF($BP1035="Emissions positive",-1,1)</f>
        <v>369.9239668180054</v>
      </c>
      <c r="CS1035">
        <f>IF($CN1035="refOK",$BT1035,$BS1035)*IF($BP1035="Emissions positive",-1,1)</f>
        <v>192.24097622198209</v>
      </c>
      <c r="CT1035">
        <f>IF($CN1035="refNeedCorrection",-BX1035,BX1035)*IF($BP1035="Emissions positive",-1,1)</f>
        <v>-177.6829905960233</v>
      </c>
      <c r="CU1035" t="str">
        <f>IFERROR(CT1035/CQ1035,"")</f>
        <v/>
      </c>
      <c r="CV1035" s="2">
        <f>IFERROR((CS1035-CR1035)/ABS(CR1035),"")</f>
        <v>-0.48032300292519164</v>
      </c>
      <c r="CW1035" s="1" t="s">
        <v>234</v>
      </c>
      <c r="CX1035" t="str">
        <f>IF(OR($CW1035="prd",$CW1035="std",$CW1035="cit"),"loc",IF(OR($CW1035="eur",$CW1035="reg",$CW1035="coy"),"reg",$CW1035))</f>
        <v>loc</v>
      </c>
      <c r="CY1035" t="s">
        <v>280</v>
      </c>
      <c r="DB1035">
        <v>100</v>
      </c>
      <c r="DC1035" t="str">
        <f>IF(DB1035=0,"0",IF(AND(DB1035&gt;=1,DB1035&lt;=30),"1-30",IF(AND(DB1035&gt;30,DB1035&lt;=70),"31-70",IF(AND(DB1035&gt;70,DB1035&lt;=100),"71-100",IF(DB1035&gt;100,"+100")))))</f>
        <v>71-100</v>
      </c>
      <c r="DD1035">
        <v>0</v>
      </c>
      <c r="DE1035">
        <v>0</v>
      </c>
      <c r="DF1035">
        <v>0</v>
      </c>
      <c r="DG1035">
        <v>1</v>
      </c>
      <c r="DI1035">
        <f>SUM(DD1035:DG1035)</f>
        <v>1</v>
      </c>
      <c r="DJ1035" t="str">
        <f>IF(DI1035=1,INDEX($DD$7:$DG$7,MATCH(1,$DD1035:$DG1035,0)),"mixedProduct")</f>
        <v>TimberInput</v>
      </c>
      <c r="DK1035">
        <f>IF(DD1035=1,DK$7,0)</f>
        <v>0</v>
      </c>
      <c r="DL1035">
        <f>IF(DE1035=1,DL$7,0)</f>
        <v>0</v>
      </c>
      <c r="DM1035">
        <f>IF(DF1035=1,DM$7,0)</f>
        <v>0</v>
      </c>
      <c r="DN1035" t="str">
        <f>IF(DG1035=1,DN$7,0)</f>
        <v>Timber</v>
      </c>
      <c r="DO1035">
        <v>0</v>
      </c>
      <c r="DP1035">
        <v>1</v>
      </c>
      <c r="DQ1035">
        <v>0</v>
      </c>
      <c r="DR1035" t="s">
        <v>281</v>
      </c>
      <c r="DS1035">
        <v>0</v>
      </c>
      <c r="DT1035">
        <f>SUM(DO1035:DP1035)</f>
        <v>1</v>
      </c>
      <c r="DU1035" s="143" t="str">
        <f>IF(DO1035=1,"self-calculated DF",IF(DP1035=1,"external DF used","explicit C balance"))</f>
        <v>external DF used</v>
      </c>
      <c r="DV1035">
        <v>0</v>
      </c>
      <c r="DW1035">
        <v>1</v>
      </c>
      <c r="DX1035">
        <v>1</v>
      </c>
      <c r="DY1035">
        <v>1</v>
      </c>
      <c r="DZ1035">
        <v>1</v>
      </c>
      <c r="EA1035" s="143">
        <v>0</v>
      </c>
      <c r="EB1035">
        <v>1</v>
      </c>
      <c r="EC1035">
        <v>1</v>
      </c>
      <c r="ED1035">
        <v>0</v>
      </c>
      <c r="EE1035">
        <v>1</v>
      </c>
      <c r="EF1035">
        <v>1</v>
      </c>
      <c r="EG1035">
        <v>1</v>
      </c>
      <c r="EH1035">
        <v>0</v>
      </c>
      <c r="EI1035" s="2">
        <v>0</v>
      </c>
      <c r="EK1035" t="str">
        <f>IF(AND(AND(AND(OR($DX1035=1,$DW1035=1),OR($EC1035=1,$EA1035=1)),SUM($DV1035:$DZ1035,$EF1035)&gt;=4),SUM($EA1035:$EE1035)&gt;=2),"Whole sector","")</f>
        <v>Whole sector</v>
      </c>
      <c r="EL1035" t="str">
        <f>IF(AND(AND(OR($DX1035=1,$DW1035=1),AND($EC1035=0,$EA1035=0)),SUM($DV1035:$DZ1035,$EF1035)&gt;=4),"Ecosystem approach","")</f>
        <v/>
      </c>
      <c r="EM1035" s="2" t="str">
        <f>IF(AND(AND(AND($DX1035=0,$DW1035=0),OR($EC1035=1,$EA1035=1)),SUM($EB1035:$EE1035)&gt;=2),"Technology approach","")</f>
        <v/>
      </c>
      <c r="EP1035" t="b">
        <f>IF(ISNUMBER(BU1035),IF(ABS(BU1035-[1]QC_indicators!$B$2)&gt;3*[1]QC_indicators!$C$2,"C ratio",IF(ISNUMBER(BY1035),IF(ABS(BY1035-[1]QC_indicators!$B$1)&gt;3*[1]QC_indicators!$C$1,"DF","no"))),IF(ISNUMBER(BY1035),IF(ABS(BY1035-[1]QC_indicators!$B$1)&gt;3*[1]QC_indicators!$C$1,"DF","no")))</f>
        <v>0</v>
      </c>
      <c r="EQ1035" t="s">
        <v>286</v>
      </c>
      <c r="ET1035" s="264" t="s">
        <v>3273</v>
      </c>
    </row>
    <row r="1036" spans="1:150" ht="15" customHeight="1">
      <c r="A1036" s="1" t="s">
        <v>265</v>
      </c>
      <c r="B1036" t="s">
        <v>266</v>
      </c>
      <c r="C1036" t="s">
        <v>267</v>
      </c>
      <c r="D1036" t="s">
        <v>268</v>
      </c>
      <c r="E1036" t="s">
        <v>269</v>
      </c>
      <c r="F1036" t="s">
        <v>270</v>
      </c>
      <c r="G1036" t="s">
        <v>271</v>
      </c>
      <c r="H1036" t="s">
        <v>254</v>
      </c>
      <c r="I1036">
        <v>2022</v>
      </c>
      <c r="J1036">
        <v>0</v>
      </c>
      <c r="K1036" t="s">
        <v>272</v>
      </c>
      <c r="M1036" t="str">
        <f>LEFT($D1036,FIND(",",$D1036)-1)&amp;"_"&amp;I1036&amp;L1036</f>
        <v>Aryapratama_2022</v>
      </c>
      <c r="N1036" t="s">
        <v>222</v>
      </c>
      <c r="O1036" s="145" t="s">
        <v>274</v>
      </c>
      <c r="Q1036" t="s">
        <v>224</v>
      </c>
      <c r="R1036" s="262" t="s">
        <v>223</v>
      </c>
      <c r="S1036" s="263" t="s">
        <v>3108</v>
      </c>
      <c r="T1036" t="s">
        <v>312</v>
      </c>
      <c r="U1036" t="s">
        <v>303</v>
      </c>
      <c r="V1036">
        <v>0</v>
      </c>
      <c r="W1036">
        <v>0</v>
      </c>
      <c r="X1036">
        <v>0</v>
      </c>
      <c r="Y1036">
        <v>0</v>
      </c>
      <c r="Z1036">
        <v>0</v>
      </c>
      <c r="AA1036">
        <v>0</v>
      </c>
      <c r="AB1036">
        <v>0</v>
      </c>
      <c r="AC1036">
        <v>0</v>
      </c>
      <c r="AD1036">
        <v>1</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s="141">
        <f>COUNTIF(V1036:AW1036,"&lt;&gt;0")</f>
        <v>1</v>
      </c>
      <c r="AY1036" s="141">
        <f>COUNTIF(V1036:AL1036,"&lt;&gt;0")</f>
        <v>1</v>
      </c>
      <c r="AZ1036">
        <f>COUNTIF(V1036:AC1036,"&lt;&gt;0")</f>
        <v>0</v>
      </c>
      <c r="BA1036">
        <f>COUNTIF(AD1036:AI1036,"&lt;&gt;0")</f>
        <v>1</v>
      </c>
      <c r="BB1036">
        <f>COUNTIF(AJ1036:AL1036,"&lt;&gt;0")</f>
        <v>0</v>
      </c>
      <c r="BC1036">
        <f>COUNTIF(AS1036:AW1036,"&lt;&gt;0")</f>
        <v>0</v>
      </c>
      <c r="BD1036">
        <f>COUNTIF(AM1036:AR1036,"&lt;&gt;0")</f>
        <v>0</v>
      </c>
      <c r="BE1036" t="str">
        <f t="array" ref="BE1036">IF(AY1036=1,INDEX($V$7:$AL$7,MATCH(TRUE,INDEX($V1036:$AW1036&lt;&gt;0,),0)),IF(AY1036=0,INDEX($AM$7:$AW$7,MATCH(1,$AM1036:$AW1036,0)),IF(BF1036="Multiple strategies","mixed drivers",IF(BF1036="Supply chain","multiple supply","multiple silviculture"))))</f>
        <v>harvesting system</v>
      </c>
      <c r="BF1036" s="2" t="str" cm="1">
        <f t="array" ref="BF1036">IF(COUNTIF(AZ1036:BB1036,"&lt;&gt;0")=1,INDEX($V$4:$AW$4,MATCH(TRUE,INDEX($V1036:$AW1036&lt;&gt;0,),0)),IF(COUNTIF(AZ1036:BB1036,"&lt;&gt;0")=0,INDEX($AM$4:$AW$4,MATCH(1,$AM1036:$AW1036,0)),"Multiple strategies"))</f>
        <v>Supply chain</v>
      </c>
      <c r="BG1036" s="1" t="s">
        <v>229</v>
      </c>
      <c r="BH1036" t="s">
        <v>285</v>
      </c>
      <c r="BJ1036" t="s">
        <v>278</v>
      </c>
      <c r="BK1036">
        <v>15.419381264639073</v>
      </c>
      <c r="BL1036">
        <v>15.419381264639073</v>
      </c>
      <c r="BM1036">
        <f>BL1036/BK1036</f>
        <v>1</v>
      </c>
      <c r="BN1036">
        <f>BL1036-BK1036</f>
        <v>0</v>
      </c>
      <c r="BO1036">
        <f>BN1036*tC_to_m3</f>
        <v>0</v>
      </c>
      <c r="BP1036" t="s">
        <v>232</v>
      </c>
      <c r="BQ1036" s="153" t="s">
        <v>3107</v>
      </c>
      <c r="BR1036" t="s">
        <v>279</v>
      </c>
      <c r="BS1036">
        <v>167.28412809039341</v>
      </c>
      <c r="BT1036">
        <v>82.450615050179124</v>
      </c>
      <c r="BU1036" s="144">
        <f>IFERROR(BT1036/BS1036,"")</f>
        <v>0.49287769253055635</v>
      </c>
      <c r="BV1036">
        <f>BT1036-BS1036</f>
        <v>-84.833513040214285</v>
      </c>
      <c r="BX1036">
        <f>BV1036</f>
        <v>-84.833513040214285</v>
      </c>
      <c r="BY1036" t="str">
        <f>IFERROR(BX1036/BO1036,"")</f>
        <v/>
      </c>
      <c r="BZ1036">
        <v>0</v>
      </c>
      <c r="CA1036">
        <v>0</v>
      </c>
      <c r="CB1036">
        <v>0</v>
      </c>
      <c r="CC1036">
        <v>0</v>
      </c>
      <c r="CD1036">
        <v>0</v>
      </c>
      <c r="CE1036">
        <v>0</v>
      </c>
      <c r="CF1036">
        <v>0</v>
      </c>
      <c r="CG1036">
        <v>0</v>
      </c>
      <c r="CH1036">
        <v>0</v>
      </c>
      <c r="CI1036">
        <v>0</v>
      </c>
      <c r="CJ1036">
        <v>0</v>
      </c>
      <c r="CK1036">
        <v>0</v>
      </c>
      <c r="CL1036">
        <v>0</v>
      </c>
      <c r="CM1036">
        <v>0</v>
      </c>
      <c r="CN1036" t="str">
        <f>IF($BL1036&lt;$BK1036,"refNeedCorrection","refOK")</f>
        <v>refOK</v>
      </c>
      <c r="CO1036">
        <f>IF($CN1036="refOK",$BK1036,$BL1036)</f>
        <v>15.419381264639073</v>
      </c>
      <c r="CP1036">
        <f>IF($CN1036="refOK",$BL1036,$BK1036)</f>
        <v>15.419381264639073</v>
      </c>
      <c r="CQ1036">
        <f>IF($CN1036="refOK",$BO1036,-$BO1036)</f>
        <v>0</v>
      </c>
      <c r="CR1036">
        <f>IF($CN1036="refOK",$BS1036,$BT1036)*IF($BP1036="Emissions positive",-1,1)</f>
        <v>167.28412809039341</v>
      </c>
      <c r="CS1036">
        <f>IF($CN1036="refOK",$BT1036,$BS1036)*IF($BP1036="Emissions positive",-1,1)</f>
        <v>82.450615050179124</v>
      </c>
      <c r="CT1036">
        <f>IF($CN1036="refNeedCorrection",-BX1036,BX1036)*IF($BP1036="Emissions positive",-1,1)</f>
        <v>-84.833513040214285</v>
      </c>
      <c r="CU1036" t="str">
        <f>IFERROR(CT1036/CQ1036,"")</f>
        <v/>
      </c>
      <c r="CV1036" s="2">
        <f>IFERROR((CS1036-CR1036)/ABS(CR1036),"")</f>
        <v>-0.50712230746944365</v>
      </c>
      <c r="CW1036" s="1" t="s">
        <v>234</v>
      </c>
      <c r="CX1036" t="str">
        <f>IF(OR($CW1036="prd",$CW1036="std",$CW1036="cit"),"loc",IF(OR($CW1036="eur",$CW1036="reg",$CW1036="coy"),"reg",$CW1036))</f>
        <v>loc</v>
      </c>
      <c r="CY1036" t="s">
        <v>280</v>
      </c>
      <c r="DB1036">
        <v>50</v>
      </c>
      <c r="DC1036" t="str">
        <f>IF(DB1036=0,"0",IF(AND(DB1036&gt;=1,DB1036&lt;=30),"1-30",IF(AND(DB1036&gt;30,DB1036&lt;=70),"31-70",IF(AND(DB1036&gt;70,DB1036&lt;=100),"71-100",IF(DB1036&gt;100,"+100")))))</f>
        <v>31-70</v>
      </c>
      <c r="DD1036">
        <v>0</v>
      </c>
      <c r="DE1036">
        <v>1</v>
      </c>
      <c r="DF1036">
        <v>0</v>
      </c>
      <c r="DG1036">
        <v>0</v>
      </c>
      <c r="DI1036">
        <f>SUM(DD1036:DG1036)</f>
        <v>1</v>
      </c>
      <c r="DJ1036" t="str">
        <f>IF(DI1036=1,INDEX($DD$7:$DG$7,MATCH(1,$DD1036:$DG1036,0)),"mixedProduct")</f>
        <v>EnergyInput</v>
      </c>
      <c r="DK1036">
        <f>IF(DD1036=1,DK$7,0)</f>
        <v>0</v>
      </c>
      <c r="DL1036" t="str">
        <f>IF(DE1036=1,DL$7,0)</f>
        <v>Energy</v>
      </c>
      <c r="DM1036">
        <f>IF(DF1036=1,DM$7,0)</f>
        <v>0</v>
      </c>
      <c r="DN1036">
        <f>IF(DG1036=1,DN$7,0)</f>
        <v>0</v>
      </c>
      <c r="DO1036">
        <v>0</v>
      </c>
      <c r="DP1036">
        <v>1</v>
      </c>
      <c r="DQ1036" t="s">
        <v>304</v>
      </c>
      <c r="DR1036" t="s">
        <v>281</v>
      </c>
      <c r="DS1036">
        <v>0</v>
      </c>
      <c r="DT1036">
        <f>SUM(DO1036:DP1036)</f>
        <v>1</v>
      </c>
      <c r="DU1036" s="143" t="str">
        <f>IF(DO1036=1,"self-calculated DF",IF(DP1036=1,"external DF used","explicit C balance"))</f>
        <v>external DF used</v>
      </c>
      <c r="DV1036">
        <v>0</v>
      </c>
      <c r="DW1036">
        <v>1</v>
      </c>
      <c r="DX1036">
        <v>1</v>
      </c>
      <c r="DY1036">
        <v>1</v>
      </c>
      <c r="DZ1036">
        <v>1</v>
      </c>
      <c r="EA1036" s="143">
        <v>0</v>
      </c>
      <c r="EB1036">
        <v>1</v>
      </c>
      <c r="EC1036">
        <v>1</v>
      </c>
      <c r="ED1036">
        <v>0</v>
      </c>
      <c r="EE1036">
        <v>1</v>
      </c>
      <c r="EF1036">
        <v>1</v>
      </c>
      <c r="EG1036">
        <v>1</v>
      </c>
      <c r="EH1036">
        <v>0</v>
      </c>
      <c r="EI1036" s="2">
        <v>0</v>
      </c>
      <c r="EK1036" t="str">
        <f>IF(AND(AND(AND(OR($DX1036=1,$DW1036=1),OR($EC1036=1,$EA1036=1)),SUM($DV1036:$DZ1036,$EF1036)&gt;=4),SUM($EA1036:$EE1036)&gt;=2),"Whole sector","")</f>
        <v>Whole sector</v>
      </c>
      <c r="EL1036" t="str">
        <f>IF(AND(AND(OR($DX1036=1,$DW1036=1),AND($EC1036=0,$EA1036=0)),SUM($DV1036:$DZ1036,$EF1036)&gt;=4),"Ecosystem approach","")</f>
        <v/>
      </c>
      <c r="EM1036" s="2" t="str">
        <f>IF(AND(AND(AND($DX1036=0,$DW1036=0),OR($EC1036=1,$EA1036=1)),SUM($EB1036:$EE1036)&gt;=2),"Technology approach","")</f>
        <v/>
      </c>
      <c r="EP1036" t="b">
        <f>IF(ISNUMBER(BU1036),IF(ABS(BU1036-[1]QC_indicators!$B$2)&gt;3*[1]QC_indicators!$C$2,"C ratio",IF(ISNUMBER(BY1036),IF(ABS(BY1036-[1]QC_indicators!$B$1)&gt;3*[1]QC_indicators!$C$1,"DF","no"))),IF(ISNUMBER(BY1036),IF(ABS(BY1036-[1]QC_indicators!$B$1)&gt;3*[1]QC_indicators!$C$1,"DF","no")))</f>
        <v>0</v>
      </c>
      <c r="EQ1036" t="s">
        <v>286</v>
      </c>
      <c r="ET1036" s="264" t="s">
        <v>3273</v>
      </c>
    </row>
    <row r="1037" spans="1:150" ht="15" customHeight="1">
      <c r="A1037" s="1" t="s">
        <v>265</v>
      </c>
      <c r="B1037" t="s">
        <v>266</v>
      </c>
      <c r="C1037" t="s">
        <v>267</v>
      </c>
      <c r="D1037" t="s">
        <v>268</v>
      </c>
      <c r="E1037" t="s">
        <v>269</v>
      </c>
      <c r="F1037" t="s">
        <v>270</v>
      </c>
      <c r="G1037" t="s">
        <v>271</v>
      </c>
      <c r="H1037" t="s">
        <v>254</v>
      </c>
      <c r="I1037">
        <v>2022</v>
      </c>
      <c r="J1037">
        <v>0</v>
      </c>
      <c r="K1037" t="s">
        <v>272</v>
      </c>
      <c r="M1037" t="str">
        <f>LEFT($D1037,FIND(",",$D1037)-1)&amp;"_"&amp;I1037&amp;L1037</f>
        <v>Aryapratama_2022</v>
      </c>
      <c r="N1037" t="s">
        <v>222</v>
      </c>
      <c r="O1037" s="145" t="s">
        <v>274</v>
      </c>
      <c r="Q1037" t="s">
        <v>224</v>
      </c>
      <c r="R1037" s="262" t="s">
        <v>223</v>
      </c>
      <c r="S1037" s="263" t="s">
        <v>319</v>
      </c>
      <c r="T1037" t="s">
        <v>320</v>
      </c>
      <c r="U1037" t="s">
        <v>275</v>
      </c>
      <c r="V1037">
        <v>0</v>
      </c>
      <c r="W1037">
        <v>0</v>
      </c>
      <c r="X1037">
        <v>0</v>
      </c>
      <c r="Y1037">
        <v>0</v>
      </c>
      <c r="Z1037">
        <v>0</v>
      </c>
      <c r="AA1037">
        <v>0</v>
      </c>
      <c r="AB1037">
        <v>0</v>
      </c>
      <c r="AC1037">
        <v>0</v>
      </c>
      <c r="AD1037">
        <v>0</v>
      </c>
      <c r="AE1037">
        <v>0</v>
      </c>
      <c r="AF1037">
        <v>1</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s="141">
        <f>COUNTIF(V1037:AW1037,"&lt;&gt;0")</f>
        <v>1</v>
      </c>
      <c r="AY1037" s="141">
        <f>COUNTIF(V1037:AL1037,"&lt;&gt;0")</f>
        <v>1</v>
      </c>
      <c r="AZ1037">
        <f>COUNTIF(V1037:AC1037,"&lt;&gt;0")</f>
        <v>0</v>
      </c>
      <c r="BA1037">
        <f>COUNTIF(AD1037:AI1037,"&lt;&gt;0")</f>
        <v>1</v>
      </c>
      <c r="BB1037">
        <f>COUNTIF(AJ1037:AL1037,"&lt;&gt;0")</f>
        <v>0</v>
      </c>
      <c r="BC1037">
        <f>COUNTIF(AS1037:AW1037,"&lt;&gt;0")</f>
        <v>0</v>
      </c>
      <c r="BD1037">
        <f>COUNTIF(AM1037:AR1037,"&lt;&gt;0")</f>
        <v>0</v>
      </c>
      <c r="BE1037" t="str">
        <f t="array" ref="BE1037">IF(AY1037=1,INDEX($V$7:$AL$7,MATCH(TRUE,INDEX($V1037:$AW1037&lt;&gt;0,),0)),IF(AY1037=0,INDEX($AM$7:$AW$7,MATCH(1,$AM1037:$AW1037,0)),IF(BF1037="Multiple strategies","mixed drivers",IF(BF1037="Supply chain","multiple supply","multiple silviculture"))))</f>
        <v>supply chain organization</v>
      </c>
      <c r="BF1037" s="2" t="str" cm="1">
        <f t="array" ref="BF1037">IF(COUNTIF(AZ1037:BB1037,"&lt;&gt;0")=1,INDEX($V$4:$AW$4,MATCH(TRUE,INDEX($V1037:$AW1037&lt;&gt;0,),0)),IF(COUNTIF(AZ1037:BB1037,"&lt;&gt;0")=0,INDEX($AM$4:$AW$4,MATCH(1,$AM1037:$AW1037,0)),"Multiple strategies"))</f>
        <v>Supply chain</v>
      </c>
      <c r="BG1037" s="1" t="s">
        <v>321</v>
      </c>
      <c r="BH1037" s="146" t="s">
        <v>322</v>
      </c>
      <c r="BI1037" t="s">
        <v>323</v>
      </c>
      <c r="BJ1037" t="s">
        <v>278</v>
      </c>
      <c r="BK1037">
        <v>225.96603773584911</v>
      </c>
      <c r="BL1037">
        <v>225.96603773584911</v>
      </c>
      <c r="BM1037">
        <f>BL1037/BK1037</f>
        <v>1</v>
      </c>
      <c r="BN1037">
        <f>BL1037-BK1037</f>
        <v>0</v>
      </c>
      <c r="BO1037">
        <f>BN1037*tC_to_m3</f>
        <v>0</v>
      </c>
      <c r="BP1037" t="s">
        <v>232</v>
      </c>
      <c r="BQ1037" s="153" t="s">
        <v>3107</v>
      </c>
      <c r="BR1037" t="s">
        <v>279</v>
      </c>
      <c r="BS1037">
        <v>-683.46368424028469</v>
      </c>
      <c r="BT1037">
        <v>-430.22235574765915</v>
      </c>
      <c r="BU1037" s="144">
        <f>IFERROR(BS1037/BT1037,"")</f>
        <v>1.5886289382906003</v>
      </c>
      <c r="BV1037">
        <f>BS1037-BT1037</f>
        <v>-253.24132849262554</v>
      </c>
      <c r="BX1037">
        <f>BV1037</f>
        <v>-253.24132849262554</v>
      </c>
      <c r="BY1037" t="str">
        <f>IFERROR(BX1037/BO1037,"")</f>
        <v/>
      </c>
      <c r="BZ1037">
        <v>0</v>
      </c>
      <c r="CA1037">
        <v>0</v>
      </c>
      <c r="CB1037">
        <v>0</v>
      </c>
      <c r="CC1037">
        <v>0</v>
      </c>
      <c r="CD1037">
        <v>0</v>
      </c>
      <c r="CE1037">
        <v>0</v>
      </c>
      <c r="CF1037">
        <v>0</v>
      </c>
      <c r="CG1037">
        <v>0</v>
      </c>
      <c r="CH1037">
        <v>0</v>
      </c>
      <c r="CI1037">
        <v>0</v>
      </c>
      <c r="CJ1037">
        <v>0</v>
      </c>
      <c r="CK1037">
        <v>0</v>
      </c>
      <c r="CL1037">
        <v>0</v>
      </c>
      <c r="CM1037">
        <v>0</v>
      </c>
      <c r="CN1037" t="str">
        <f>IF($BL1037&lt;$BK1037,"refNeedCorrection","refOK")</f>
        <v>refOK</v>
      </c>
      <c r="CO1037">
        <f>IF($CN1037="refOK",$BK1037,$BL1037)</f>
        <v>225.96603773584911</v>
      </c>
      <c r="CP1037">
        <f>IF($CN1037="refOK",$BL1037,$BK1037)</f>
        <v>225.96603773584911</v>
      </c>
      <c r="CQ1037">
        <f>IF($CN1037="refOK",$BO1037,-$BO1037)</f>
        <v>0</v>
      </c>
      <c r="CR1037">
        <f>IF($CN1037="refOK",$BT1037,$BS1037)*IF($BP1037="Emissions positive",-1,1)</f>
        <v>-430.22235574765915</v>
      </c>
      <c r="CS1037">
        <f>IF($CN1037="refOK",$BS1037,$BT1037)*IF($BP1037="Emissions positive",-1,1)</f>
        <v>-683.46368424028469</v>
      </c>
      <c r="CT1037">
        <f>IF($CN1037="refNeedCorrection",-BX1037,BX1037)*IF($BP1037="Emissions positive",-1,1)</f>
        <v>-253.24132849262554</v>
      </c>
      <c r="CU1037" t="str">
        <f>IFERROR(CT1037/CQ1037,"")</f>
        <v/>
      </c>
      <c r="CV1037" s="2">
        <f>IFERROR((CS1037-CR1037)/ABS(CR1037),"")</f>
        <v>-0.58862893829060026</v>
      </c>
      <c r="CW1037" s="1" t="s">
        <v>234</v>
      </c>
      <c r="CX1037" t="str">
        <f>IF(OR($CW1037="prd",$CW1037="std",$CW1037="cit"),"loc",IF(OR($CW1037="eur",$CW1037="reg",$CW1037="coy"),"reg",$CW1037))</f>
        <v>loc</v>
      </c>
      <c r="CY1037" t="s">
        <v>280</v>
      </c>
      <c r="DB1037">
        <v>50</v>
      </c>
      <c r="DC1037" t="str">
        <f>IF(DB1037=0,"0",IF(AND(DB1037&gt;=1,DB1037&lt;=30),"1-30",IF(AND(DB1037&gt;30,DB1037&lt;=70),"31-70",IF(AND(DB1037&gt;70,DB1037&lt;=100),"71-100",IF(DB1037&gt;100,"+100")))))</f>
        <v>31-70</v>
      </c>
      <c r="DD1037">
        <v>0</v>
      </c>
      <c r="DE1037">
        <v>1</v>
      </c>
      <c r="DF1037">
        <v>0</v>
      </c>
      <c r="DG1037">
        <v>1</v>
      </c>
      <c r="DI1037">
        <f>SUM(DD1037:DG1037)</f>
        <v>2</v>
      </c>
      <c r="DJ1037" t="str">
        <f>IF(DI1037=1,INDEX($DD$7:$DG$7,MATCH(1,$DD1037:$DG1037,0)),"mixedProduct")</f>
        <v>mixedProduct</v>
      </c>
      <c r="DK1037">
        <f>IF(DD1037=1,DK$7,0)</f>
        <v>0</v>
      </c>
      <c r="DL1037" t="str">
        <f>IF(DE1037=1,DL$7,0)</f>
        <v>Energy</v>
      </c>
      <c r="DM1037">
        <f>IF(DF1037=1,DM$7,0)</f>
        <v>0</v>
      </c>
      <c r="DN1037" t="str">
        <f>IF(DG1037=1,DN$7,0)</f>
        <v>Timber</v>
      </c>
      <c r="DO1037">
        <v>0</v>
      </c>
      <c r="DP1037">
        <v>1</v>
      </c>
      <c r="DQ1037" t="s">
        <v>304</v>
      </c>
      <c r="DR1037" t="s">
        <v>281</v>
      </c>
      <c r="DS1037">
        <v>0</v>
      </c>
      <c r="DT1037">
        <f>SUM(DO1037:DP1037)</f>
        <v>1</v>
      </c>
      <c r="DU1037" s="143" t="str">
        <f>IF(DO1037=1,"self-calculated DF",IF(DP1037=1,"external DF used","explicit C balance"))</f>
        <v>external DF used</v>
      </c>
      <c r="DV1037">
        <v>0</v>
      </c>
      <c r="DW1037">
        <v>1</v>
      </c>
      <c r="DX1037">
        <v>1</v>
      </c>
      <c r="DY1037">
        <v>1</v>
      </c>
      <c r="DZ1037">
        <v>1</v>
      </c>
      <c r="EA1037" s="143">
        <v>0</v>
      </c>
      <c r="EB1037">
        <v>1</v>
      </c>
      <c r="EC1037">
        <v>1</v>
      </c>
      <c r="ED1037">
        <v>0</v>
      </c>
      <c r="EE1037">
        <v>1</v>
      </c>
      <c r="EF1037">
        <v>1</v>
      </c>
      <c r="EG1037">
        <v>1</v>
      </c>
      <c r="EH1037">
        <v>0</v>
      </c>
      <c r="EI1037" s="2">
        <v>0</v>
      </c>
      <c r="EK1037" t="str">
        <f>IF(AND(AND(AND(OR($DX1037=1,$DW1037=1),OR($EC1037=1,$EA1037=1)),SUM($DV1037:$DZ1037,$EF1037)&gt;=4),SUM($EA1037:$EE1037)&gt;=2),"Whole sector","")</f>
        <v>Whole sector</v>
      </c>
      <c r="EL1037" t="str">
        <f>IF(AND(AND(OR($DX1037=1,$DW1037=1),AND($EC1037=0,$EA1037=0)),SUM($DV1037:$DZ1037,$EF1037)&gt;=4),"Ecosystem approach","")</f>
        <v/>
      </c>
      <c r="EM1037" s="2" t="str">
        <f>IF(AND(AND(AND($DX1037=0,$DW1037=0),OR($EC1037=1,$EA1037=1)),SUM($EB1037:$EE1037)&gt;=2),"Technology approach","")</f>
        <v/>
      </c>
      <c r="EN1037" t="s">
        <v>324</v>
      </c>
      <c r="EP1037" t="b">
        <f>IF(ISNUMBER(BU1037),IF(ABS(BU1037-[1]QC_indicators!$B$2)&gt;3*[1]QC_indicators!$C$2,"C ratio",IF(ISNUMBER(BY1037),IF(ABS(BY1037-[1]QC_indicators!$B$1)&gt;3*[1]QC_indicators!$C$1,"DF","no"))),IF(ISNUMBER(BY1037),IF(ABS(BY1037-[1]QC_indicators!$B$1)&gt;3*[1]QC_indicators!$C$1,"DF","no")))</f>
        <v>0</v>
      </c>
      <c r="EQ1037" t="s">
        <v>286</v>
      </c>
      <c r="ER1037" s="147" t="s">
        <v>325</v>
      </c>
      <c r="ET1037" s="264" t="s">
        <v>3273</v>
      </c>
    </row>
    <row r="1038" spans="1:150" ht="15" customHeight="1">
      <c r="A1038" s="1" t="s">
        <v>265</v>
      </c>
      <c r="B1038" t="s">
        <v>266</v>
      </c>
      <c r="C1038" t="s">
        <v>267</v>
      </c>
      <c r="D1038" t="s">
        <v>268</v>
      </c>
      <c r="E1038" t="s">
        <v>269</v>
      </c>
      <c r="F1038" t="s">
        <v>270</v>
      </c>
      <c r="G1038" t="s">
        <v>271</v>
      </c>
      <c r="H1038" t="s">
        <v>254</v>
      </c>
      <c r="I1038">
        <v>2022</v>
      </c>
      <c r="J1038">
        <v>0</v>
      </c>
      <c r="K1038" t="s">
        <v>272</v>
      </c>
      <c r="M1038" t="str">
        <f>LEFT($D1038,FIND(",",$D1038)-1)&amp;"_"&amp;I1038&amp;L1038</f>
        <v>Aryapratama_2022</v>
      </c>
      <c r="N1038" t="s">
        <v>222</v>
      </c>
      <c r="O1038" s="145" t="s">
        <v>274</v>
      </c>
      <c r="Q1038" t="s">
        <v>224</v>
      </c>
      <c r="R1038" s="262" t="s">
        <v>223</v>
      </c>
      <c r="S1038" s="1" t="s">
        <v>319</v>
      </c>
      <c r="T1038" t="s">
        <v>326</v>
      </c>
      <c r="U1038" t="s">
        <v>276</v>
      </c>
      <c r="V1038">
        <v>0</v>
      </c>
      <c r="W1038">
        <v>0</v>
      </c>
      <c r="X1038">
        <v>0</v>
      </c>
      <c r="Y1038">
        <v>0</v>
      </c>
      <c r="Z1038">
        <v>0</v>
      </c>
      <c r="AA1038">
        <v>0</v>
      </c>
      <c r="AB1038">
        <v>0</v>
      </c>
      <c r="AC1038">
        <v>0</v>
      </c>
      <c r="AD1038">
        <v>0</v>
      </c>
      <c r="AE1038">
        <v>0</v>
      </c>
      <c r="AF1038">
        <v>1</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s="141">
        <f>COUNTIF(V1038:AW1038,"&lt;&gt;0")</f>
        <v>1</v>
      </c>
      <c r="AY1038" s="141">
        <f>COUNTIF(V1038:AL1038,"&lt;&gt;0")</f>
        <v>1</v>
      </c>
      <c r="AZ1038">
        <f>COUNTIF(V1038:AC1038,"&lt;&gt;0")</f>
        <v>0</v>
      </c>
      <c r="BA1038">
        <f>COUNTIF(AD1038:AI1038,"&lt;&gt;0")</f>
        <v>1</v>
      </c>
      <c r="BB1038">
        <f>COUNTIF(AJ1038:AL1038,"&lt;&gt;0")</f>
        <v>0</v>
      </c>
      <c r="BC1038">
        <f>COUNTIF(AS1038:AW1038,"&lt;&gt;0")</f>
        <v>0</v>
      </c>
      <c r="BD1038">
        <f>COUNTIF(AM1038:AR1038,"&lt;&gt;0")</f>
        <v>0</v>
      </c>
      <c r="BE1038" t="str">
        <f t="array" ref="BE1038">IF(AY1038=1,INDEX($V$7:$AL$7,MATCH(TRUE,INDEX($V1038:$AW1038&lt;&gt;0,),0)),IF(AY1038=0,INDEX($AM$7:$AW$7,MATCH(1,$AM1038:$AW1038,0)),IF(BF1038="Multiple strategies","mixed drivers",IF(BF1038="Supply chain","multiple supply","multiple silviculture"))))</f>
        <v>supply chain organization</v>
      </c>
      <c r="BF1038" s="2" t="str" cm="1">
        <f t="array" ref="BF1038">IF(COUNTIF(AZ1038:BB1038,"&lt;&gt;0")=1,INDEX($V$4:$AW$4,MATCH(TRUE,INDEX($V1038:$AW1038&lt;&gt;0,),0)),IF(COUNTIF(AZ1038:BB1038,"&lt;&gt;0")=0,INDEX($AM$4:$AW$4,MATCH(1,$AM1038:$AW1038,0)),"Multiple strategies"))</f>
        <v>Supply chain</v>
      </c>
      <c r="BG1038" s="1" t="s">
        <v>321</v>
      </c>
      <c r="BH1038" s="146" t="s">
        <v>322</v>
      </c>
      <c r="BI1038" t="s">
        <v>323</v>
      </c>
      <c r="BJ1038" t="s">
        <v>278</v>
      </c>
      <c r="BK1038" s="148">
        <v>225.96603773584911</v>
      </c>
      <c r="BL1038" s="148">
        <v>225.96603773584911</v>
      </c>
      <c r="BM1038">
        <f>BL1038/BK1038</f>
        <v>1</v>
      </c>
      <c r="BN1038">
        <f>BL1038-BK1038</f>
        <v>0</v>
      </c>
      <c r="BO1038">
        <f>BN1038*tC_to_m3</f>
        <v>0</v>
      </c>
      <c r="BP1038" t="s">
        <v>232</v>
      </c>
      <c r="BQ1038" s="153" t="s">
        <v>3107</v>
      </c>
      <c r="BR1038" t="s">
        <v>279</v>
      </c>
      <c r="BS1038">
        <v>-930.07336759388943</v>
      </c>
      <c r="BT1038">
        <v>-654.85817268246092</v>
      </c>
      <c r="BU1038" s="144">
        <f>IFERROR(BS1038/BT1038,"")</f>
        <v>1.42026687058677</v>
      </c>
      <c r="BV1038">
        <f>BS1038-BT1038</f>
        <v>-275.21519491142851</v>
      </c>
      <c r="BX1038">
        <f>BV1038</f>
        <v>-275.21519491142851</v>
      </c>
      <c r="BY1038" t="str">
        <f>IFERROR(BX1038/BO1038,"")</f>
        <v/>
      </c>
      <c r="BZ1038">
        <v>0</v>
      </c>
      <c r="CA1038">
        <v>0</v>
      </c>
      <c r="CB1038">
        <v>0</v>
      </c>
      <c r="CC1038">
        <v>0</v>
      </c>
      <c r="CD1038">
        <v>0</v>
      </c>
      <c r="CE1038">
        <v>0</v>
      </c>
      <c r="CF1038">
        <v>0</v>
      </c>
      <c r="CG1038">
        <v>0</v>
      </c>
      <c r="CH1038">
        <v>0</v>
      </c>
      <c r="CI1038">
        <v>0</v>
      </c>
      <c r="CJ1038">
        <v>0</v>
      </c>
      <c r="CK1038">
        <v>0</v>
      </c>
      <c r="CL1038">
        <v>0</v>
      </c>
      <c r="CM1038">
        <v>0</v>
      </c>
      <c r="CN1038" t="str">
        <f>IF($BL1038&lt;$BK1038,"refNeedCorrection","refOK")</f>
        <v>refOK</v>
      </c>
      <c r="CO1038">
        <f>IF($CN1038="refOK",$BK1038,$BL1038)</f>
        <v>225.96603773584911</v>
      </c>
      <c r="CP1038">
        <f>IF($CN1038="refOK",$BL1038,$BK1038)</f>
        <v>225.96603773584911</v>
      </c>
      <c r="CQ1038">
        <f>IF($CN1038="refOK",$BO1038,-$BO1038)</f>
        <v>0</v>
      </c>
      <c r="CR1038">
        <f>IF($CN1038="refOK",$BT1038,$BS1038)*IF($BP1038="Emissions positive",-1,1)</f>
        <v>-654.85817268246092</v>
      </c>
      <c r="CS1038">
        <f>IF($CN1038="refOK",$BS1038,$BT1038)*IF($BP1038="Emissions positive",-1,1)</f>
        <v>-930.07336759388943</v>
      </c>
      <c r="CT1038">
        <f>IF($CN1038="refNeedCorrection",-BX1038,BX1038)*IF($BP1038="Emissions positive",-1,1)</f>
        <v>-275.21519491142851</v>
      </c>
      <c r="CU1038" t="str">
        <f>IFERROR(CT1038/CQ1038,"")</f>
        <v/>
      </c>
      <c r="CV1038" s="2">
        <f>IFERROR((CS1038-CR1038)/ABS(CR1038),"")</f>
        <v>-0.42026687058677004</v>
      </c>
      <c r="CW1038" s="1" t="s">
        <v>234</v>
      </c>
      <c r="CX1038" t="str">
        <f>IF(OR($CW1038="prd",$CW1038="std",$CW1038="cit"),"loc",IF(OR($CW1038="eur",$CW1038="reg",$CW1038="coy"),"reg",$CW1038))</f>
        <v>loc</v>
      </c>
      <c r="CY1038" t="s">
        <v>280</v>
      </c>
      <c r="DB1038">
        <v>50</v>
      </c>
      <c r="DC1038" t="str">
        <f>IF(DB1038=0,"0",IF(AND(DB1038&gt;=1,DB1038&lt;=30),"1-30",IF(AND(DB1038&gt;30,DB1038&lt;=70),"31-70",IF(AND(DB1038&gt;70,DB1038&lt;=100),"71-100",IF(DB1038&gt;100,"+100")))))</f>
        <v>31-70</v>
      </c>
      <c r="DD1038">
        <v>0</v>
      </c>
      <c r="DE1038">
        <v>1</v>
      </c>
      <c r="DF1038">
        <v>0</v>
      </c>
      <c r="DG1038">
        <v>1</v>
      </c>
      <c r="DI1038">
        <f>SUM(DD1038:DG1038)</f>
        <v>2</v>
      </c>
      <c r="DJ1038" t="str">
        <f>IF(DI1038=1,INDEX($DD$7:$DG$7,MATCH(1,$DD1038:$DG1038,0)),"mixedProduct")</f>
        <v>mixedProduct</v>
      </c>
      <c r="DK1038">
        <f>IF(DD1038=1,DK$7,0)</f>
        <v>0</v>
      </c>
      <c r="DL1038" t="str">
        <f>IF(DE1038=1,DL$7,0)</f>
        <v>Energy</v>
      </c>
      <c r="DM1038">
        <f>IF(DF1038=1,DM$7,0)</f>
        <v>0</v>
      </c>
      <c r="DN1038" t="str">
        <f>IF(DG1038=1,DN$7,0)</f>
        <v>Timber</v>
      </c>
      <c r="DO1038">
        <v>0</v>
      </c>
      <c r="DP1038">
        <v>1</v>
      </c>
      <c r="DQ1038" t="s">
        <v>304</v>
      </c>
      <c r="DR1038" t="s">
        <v>281</v>
      </c>
      <c r="DS1038">
        <v>0</v>
      </c>
      <c r="DT1038">
        <f>SUM(DO1038:DP1038)</f>
        <v>1</v>
      </c>
      <c r="DU1038" s="143" t="str">
        <f>IF(DO1038=1,"self-calculated DF",IF(DP1038=1,"external DF used","explicit C balance"))</f>
        <v>external DF used</v>
      </c>
      <c r="DV1038">
        <v>0</v>
      </c>
      <c r="DW1038">
        <v>1</v>
      </c>
      <c r="DX1038">
        <v>1</v>
      </c>
      <c r="DY1038">
        <v>1</v>
      </c>
      <c r="DZ1038">
        <v>1</v>
      </c>
      <c r="EA1038" s="143">
        <v>0</v>
      </c>
      <c r="EB1038">
        <v>1</v>
      </c>
      <c r="EC1038">
        <v>1</v>
      </c>
      <c r="ED1038">
        <v>0</v>
      </c>
      <c r="EE1038">
        <v>1</v>
      </c>
      <c r="EF1038">
        <v>1</v>
      </c>
      <c r="EG1038">
        <v>1</v>
      </c>
      <c r="EH1038">
        <v>0</v>
      </c>
      <c r="EI1038" s="2">
        <v>0</v>
      </c>
      <c r="EK1038" t="str">
        <f>IF(AND(AND(AND(OR($DX1038=1,$DW1038=1),OR($EC1038=1,$EA1038=1)),SUM($DV1038:$DZ1038,$EF1038)&gt;=4),SUM($EA1038:$EE1038)&gt;=2),"Whole sector","")</f>
        <v>Whole sector</v>
      </c>
      <c r="EL1038" t="str">
        <f>IF(AND(AND(OR($DX1038=1,$DW1038=1),AND($EC1038=0,$EA1038=0)),SUM($DV1038:$DZ1038,$EF1038)&gt;=4),"Ecosystem approach","")</f>
        <v/>
      </c>
      <c r="EM1038" s="2" t="str">
        <f>IF(AND(AND(AND($DX1038=0,$DW1038=0),OR($EC1038=1,$EA1038=1)),SUM($EB1038:$EE1038)&gt;=2),"Technology approach","")</f>
        <v/>
      </c>
      <c r="EN1038" t="s">
        <v>324</v>
      </c>
      <c r="EP1038" t="b">
        <f>IF(ISNUMBER(BU1038),IF(ABS(BU1038-[1]QC_indicators!$B$2)&gt;3*[1]QC_indicators!$C$2,"C ratio",IF(ISNUMBER(BY1038),IF(ABS(BY1038-[1]QC_indicators!$B$1)&gt;3*[1]QC_indicators!$C$1,"DF","no"))),IF(ISNUMBER(BY1038),IF(ABS(BY1038-[1]QC_indicators!$B$1)&gt;3*[1]QC_indicators!$C$1,"DF","no")))</f>
        <v>0</v>
      </c>
      <c r="EQ1038" t="s">
        <v>286</v>
      </c>
      <c r="ER1038" s="147" t="s">
        <v>325</v>
      </c>
      <c r="ET1038" s="264" t="s">
        <v>3273</v>
      </c>
    </row>
    <row r="1039" spans="1:150" ht="15" customHeight="1">
      <c r="A1039" s="1" t="s">
        <v>265</v>
      </c>
      <c r="B1039" t="s">
        <v>266</v>
      </c>
      <c r="C1039" t="s">
        <v>267</v>
      </c>
      <c r="D1039" t="s">
        <v>268</v>
      </c>
      <c r="E1039" t="s">
        <v>269</v>
      </c>
      <c r="F1039" t="s">
        <v>270</v>
      </c>
      <c r="G1039" t="s">
        <v>271</v>
      </c>
      <c r="H1039" t="s">
        <v>254</v>
      </c>
      <c r="I1039">
        <v>2022</v>
      </c>
      <c r="J1039">
        <v>0</v>
      </c>
      <c r="K1039" t="s">
        <v>272</v>
      </c>
      <c r="M1039" t="str">
        <f>LEFT($D1039,FIND(",",$D1039)-1)&amp;"_"&amp;I1039&amp;L1039</f>
        <v>Aryapratama_2022</v>
      </c>
      <c r="N1039" t="s">
        <v>222</v>
      </c>
      <c r="O1039" s="145" t="s">
        <v>274</v>
      </c>
      <c r="Q1039" t="s">
        <v>224</v>
      </c>
      <c r="R1039" s="262" t="s">
        <v>223</v>
      </c>
      <c r="S1039" s="1" t="s">
        <v>319</v>
      </c>
      <c r="T1039" t="s">
        <v>303</v>
      </c>
      <c r="U1039" t="s">
        <v>284</v>
      </c>
      <c r="V1039">
        <v>0</v>
      </c>
      <c r="W1039">
        <v>0</v>
      </c>
      <c r="X1039">
        <v>0</v>
      </c>
      <c r="Y1039">
        <v>0</v>
      </c>
      <c r="Z1039">
        <v>0</v>
      </c>
      <c r="AA1039">
        <v>0</v>
      </c>
      <c r="AB1039">
        <v>0</v>
      </c>
      <c r="AC1039">
        <v>0</v>
      </c>
      <c r="AD1039">
        <v>0</v>
      </c>
      <c r="AE1039">
        <v>0</v>
      </c>
      <c r="AF1039">
        <v>1</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s="141">
        <f>COUNTIF(V1039:AW1039,"&lt;&gt;0")</f>
        <v>1</v>
      </c>
      <c r="AY1039" s="141">
        <f>COUNTIF(V1039:AL1039,"&lt;&gt;0")</f>
        <v>1</v>
      </c>
      <c r="AZ1039">
        <f>COUNTIF(V1039:AC1039,"&lt;&gt;0")</f>
        <v>0</v>
      </c>
      <c r="BA1039">
        <f>COUNTIF(AD1039:AI1039,"&lt;&gt;0")</f>
        <v>1</v>
      </c>
      <c r="BB1039">
        <f>COUNTIF(AJ1039:AL1039,"&lt;&gt;0")</f>
        <v>0</v>
      </c>
      <c r="BC1039">
        <f>COUNTIF(AS1039:AW1039,"&lt;&gt;0")</f>
        <v>0</v>
      </c>
      <c r="BD1039">
        <f>COUNTIF(AM1039:AR1039,"&lt;&gt;0")</f>
        <v>0</v>
      </c>
      <c r="BE1039" t="str">
        <f t="array" ref="BE1039">IF(AY1039=1,INDEX($V$7:$AL$7,MATCH(TRUE,INDEX($V1039:$AW1039&lt;&gt;0,),0)),IF(AY1039=0,INDEX($AM$7:$AW$7,MATCH(1,$AM1039:$AW1039,0)),IF(BF1039="Multiple strategies","mixed drivers",IF(BF1039="Supply chain","multiple supply","multiple silviculture"))))</f>
        <v>supply chain organization</v>
      </c>
      <c r="BF1039" s="2" t="str" cm="1">
        <f t="array" ref="BF1039">IF(COUNTIF(AZ1039:BB1039,"&lt;&gt;0")=1,INDEX($V$4:$AW$4,MATCH(TRUE,INDEX($V1039:$AW1039&lt;&gt;0,),0)),IF(COUNTIF(AZ1039:BB1039,"&lt;&gt;0")=0,INDEX($AM$4:$AW$4,MATCH(1,$AM1039:$AW1039,0)),"Multiple strategies"))</f>
        <v>Supply chain</v>
      </c>
      <c r="BG1039" s="1" t="s">
        <v>321</v>
      </c>
      <c r="BH1039" s="146" t="s">
        <v>322</v>
      </c>
      <c r="BI1039" t="s">
        <v>323</v>
      </c>
      <c r="BJ1039" t="s">
        <v>278</v>
      </c>
      <c r="BK1039" s="148">
        <v>9.6371132903994159</v>
      </c>
      <c r="BL1039" s="148">
        <v>9.6371132903994159</v>
      </c>
      <c r="BM1039">
        <f>BL1039/BK1039</f>
        <v>1</v>
      </c>
      <c r="BN1039">
        <f>BL1039-BK1039</f>
        <v>0</v>
      </c>
      <c r="BO1039">
        <f>BN1039*tC_to_m3</f>
        <v>0</v>
      </c>
      <c r="BP1039" t="s">
        <v>232</v>
      </c>
      <c r="BQ1039" s="337" t="s">
        <v>3107</v>
      </c>
      <c r="BR1039" t="s">
        <v>279</v>
      </c>
      <c r="BS1039">
        <v>82.450615050179124</v>
      </c>
      <c r="BT1039">
        <v>100.2569126004381</v>
      </c>
      <c r="BU1039" s="144">
        <f>IFERROR(BS1039/BT1039,"")</f>
        <v>0.82239331844155383</v>
      </c>
      <c r="BV1039">
        <f>BS1039-BT1039</f>
        <v>-17.806297550258975</v>
      </c>
      <c r="BX1039">
        <f>BV1039</f>
        <v>-17.806297550258975</v>
      </c>
      <c r="BY1039" t="str">
        <f>IFERROR(BX1039/BO1039,"")</f>
        <v/>
      </c>
      <c r="BZ1039">
        <v>0</v>
      </c>
      <c r="CA1039">
        <v>0</v>
      </c>
      <c r="CB1039">
        <v>0</v>
      </c>
      <c r="CC1039">
        <v>0</v>
      </c>
      <c r="CD1039">
        <v>0</v>
      </c>
      <c r="CE1039">
        <v>0</v>
      </c>
      <c r="CF1039">
        <v>0</v>
      </c>
      <c r="CG1039">
        <v>0</v>
      </c>
      <c r="CH1039">
        <v>0</v>
      </c>
      <c r="CI1039">
        <v>0</v>
      </c>
      <c r="CJ1039">
        <v>0</v>
      </c>
      <c r="CK1039">
        <v>0</v>
      </c>
      <c r="CL1039">
        <v>0</v>
      </c>
      <c r="CM1039">
        <v>0</v>
      </c>
      <c r="CN1039" t="str">
        <f>IF($BL1039&lt;$BK1039,"refNeedCorrection","refOK")</f>
        <v>refOK</v>
      </c>
      <c r="CO1039">
        <f>IF($CN1039="refOK",$BK1039,$BL1039)</f>
        <v>9.6371132903994159</v>
      </c>
      <c r="CP1039">
        <f>IF($CN1039="refOK",$BL1039,$BK1039)</f>
        <v>9.6371132903994159</v>
      </c>
      <c r="CQ1039">
        <f>IF($CN1039="refOK",$BO1039,-$BO1039)</f>
        <v>0</v>
      </c>
      <c r="CR1039">
        <f>IF($CN1039="refOK",$BT1039,$BS1039)*IF($BP1039="Emissions positive",-1,1)</f>
        <v>100.2569126004381</v>
      </c>
      <c r="CS1039">
        <f>IF($CN1039="refOK",$BS1039,$BT1039)*IF($BP1039="Emissions positive",-1,1)</f>
        <v>82.450615050179124</v>
      </c>
      <c r="CT1039">
        <f>IF($CN1039="refNeedCorrection",-BX1039,BX1039)*IF($BP1039="Emissions positive",-1,1)</f>
        <v>-17.806297550258975</v>
      </c>
      <c r="CU1039" t="str">
        <f>IFERROR(CT1039/CQ1039,"")</f>
        <v/>
      </c>
      <c r="CV1039" s="2">
        <f>IFERROR((CS1039-CR1039)/ABS(CR1039),"")</f>
        <v>-0.17760668155844614</v>
      </c>
      <c r="CW1039" s="1" t="s">
        <v>234</v>
      </c>
      <c r="CX1039" t="str">
        <f>IF(OR($CW1039="prd",$CW1039="std",$CW1039="cit"),"loc",IF(OR($CW1039="eur",$CW1039="reg",$CW1039="coy"),"reg",$CW1039))</f>
        <v>loc</v>
      </c>
      <c r="CY1039" t="s">
        <v>280</v>
      </c>
      <c r="DB1039">
        <v>50</v>
      </c>
      <c r="DC1039" t="str">
        <f>IF(DB1039=0,"0",IF(AND(DB1039&gt;=1,DB1039&lt;=30),"1-30",IF(AND(DB1039&gt;30,DB1039&lt;=70),"31-70",IF(AND(DB1039&gt;70,DB1039&lt;=100),"71-100",IF(DB1039&gt;100,"+100")))))</f>
        <v>31-70</v>
      </c>
      <c r="DD1039">
        <v>0</v>
      </c>
      <c r="DE1039">
        <v>1</v>
      </c>
      <c r="DF1039">
        <v>0</v>
      </c>
      <c r="DG1039">
        <v>1</v>
      </c>
      <c r="DI1039">
        <f>SUM(DD1039:DG1039)</f>
        <v>2</v>
      </c>
      <c r="DJ1039" t="str">
        <f>IF(DI1039=1,INDEX($DD$7:$DG$7,MATCH(1,$DD1039:$DG1039,0)),"mixedProduct")</f>
        <v>mixedProduct</v>
      </c>
      <c r="DK1039">
        <f>IF(DD1039=1,DK$7,0)</f>
        <v>0</v>
      </c>
      <c r="DL1039" t="str">
        <f>IF(DE1039=1,DL$7,0)</f>
        <v>Energy</v>
      </c>
      <c r="DM1039">
        <f>IF(DF1039=1,DM$7,0)</f>
        <v>0</v>
      </c>
      <c r="DN1039" t="str">
        <f>IF(DG1039=1,DN$7,0)</f>
        <v>Timber</v>
      </c>
      <c r="DO1039">
        <v>0</v>
      </c>
      <c r="DP1039">
        <v>1</v>
      </c>
      <c r="DQ1039" t="s">
        <v>304</v>
      </c>
      <c r="DR1039" t="s">
        <v>281</v>
      </c>
      <c r="DS1039">
        <v>0</v>
      </c>
      <c r="DT1039">
        <f>SUM(DO1039:DP1039)</f>
        <v>1</v>
      </c>
      <c r="DU1039" s="143" t="str">
        <f>IF(DO1039=1,"self-calculated DF",IF(DP1039=1,"external DF used","explicit C balance"))</f>
        <v>external DF used</v>
      </c>
      <c r="DV1039">
        <v>0</v>
      </c>
      <c r="DW1039">
        <v>1</v>
      </c>
      <c r="DX1039">
        <v>1</v>
      </c>
      <c r="DY1039">
        <v>1</v>
      </c>
      <c r="DZ1039">
        <v>1</v>
      </c>
      <c r="EA1039" s="143">
        <v>0</v>
      </c>
      <c r="EB1039">
        <v>1</v>
      </c>
      <c r="EC1039">
        <v>1</v>
      </c>
      <c r="ED1039">
        <v>0</v>
      </c>
      <c r="EE1039">
        <v>1</v>
      </c>
      <c r="EF1039">
        <v>1</v>
      </c>
      <c r="EG1039">
        <v>1</v>
      </c>
      <c r="EH1039">
        <v>0</v>
      </c>
      <c r="EI1039" s="2">
        <v>0</v>
      </c>
      <c r="EK1039" t="str">
        <f>IF(AND(AND(AND(OR($DX1039=1,$DW1039=1),OR($EC1039=1,$EA1039=1)),SUM($DV1039:$DZ1039,$EF1039)&gt;=4),SUM($EA1039:$EE1039)&gt;=2),"Whole sector","")</f>
        <v>Whole sector</v>
      </c>
      <c r="EL1039" t="str">
        <f>IF(AND(AND(OR($DX1039=1,$DW1039=1),AND($EC1039=0,$EA1039=0)),SUM($DV1039:$DZ1039,$EF1039)&gt;=4),"Ecosystem approach","")</f>
        <v/>
      </c>
      <c r="EM1039" s="2" t="str">
        <f>IF(AND(AND(AND($DX1039=0,$DW1039=0),OR($EC1039=1,$EA1039=1)),SUM($EB1039:$EE1039)&gt;=2),"Technology approach","")</f>
        <v/>
      </c>
      <c r="EN1039" t="s">
        <v>324</v>
      </c>
      <c r="EP1039" t="b">
        <f>IF(ISNUMBER(BU1039),IF(ABS(BU1039-[1]QC_indicators!$B$2)&gt;3*[1]QC_indicators!$C$2,"C ratio",IF(ISNUMBER(BY1039),IF(ABS(BY1039-[1]QC_indicators!$B$1)&gt;3*[1]QC_indicators!$C$1,"DF","no"))),IF(ISNUMBER(BY1039),IF(ABS(BY1039-[1]QC_indicators!$B$1)&gt;3*[1]QC_indicators!$C$1,"DF","no")))</f>
        <v>0</v>
      </c>
      <c r="EQ1039" t="s">
        <v>286</v>
      </c>
      <c r="ER1039" s="147" t="s">
        <v>325</v>
      </c>
      <c r="ET1039" s="264" t="s">
        <v>3273</v>
      </c>
    </row>
    <row r="1040" spans="1:150" ht="15" customHeight="1">
      <c r="A1040" s="1" t="s">
        <v>265</v>
      </c>
      <c r="B1040" t="s">
        <v>266</v>
      </c>
      <c r="C1040" t="s">
        <v>267</v>
      </c>
      <c r="D1040" t="s">
        <v>268</v>
      </c>
      <c r="E1040" t="s">
        <v>269</v>
      </c>
      <c r="F1040" t="s">
        <v>270</v>
      </c>
      <c r="G1040" t="s">
        <v>271</v>
      </c>
      <c r="H1040" t="s">
        <v>254</v>
      </c>
      <c r="I1040">
        <v>2022</v>
      </c>
      <c r="J1040">
        <v>0</v>
      </c>
      <c r="K1040" t="s">
        <v>272</v>
      </c>
      <c r="M1040" t="str">
        <f>LEFT($D1040,FIND(",",$D1040)-1)&amp;"_"&amp;I1040&amp;L1040</f>
        <v>Aryapratama_2022</v>
      </c>
      <c r="N1040" t="s">
        <v>222</v>
      </c>
      <c r="O1040" s="145" t="s">
        <v>274</v>
      </c>
      <c r="Q1040" t="s">
        <v>224</v>
      </c>
      <c r="R1040" s="262" t="s">
        <v>223</v>
      </c>
      <c r="S1040" s="1" t="s">
        <v>319</v>
      </c>
      <c r="T1040" t="s">
        <v>312</v>
      </c>
      <c r="U1040" t="s">
        <v>283</v>
      </c>
      <c r="V1040">
        <v>0</v>
      </c>
      <c r="W1040">
        <v>0</v>
      </c>
      <c r="X1040">
        <v>0</v>
      </c>
      <c r="Y1040">
        <v>0</v>
      </c>
      <c r="Z1040">
        <v>0</v>
      </c>
      <c r="AA1040">
        <v>0</v>
      </c>
      <c r="AB1040">
        <v>0</v>
      </c>
      <c r="AC1040">
        <v>0</v>
      </c>
      <c r="AD1040">
        <v>0</v>
      </c>
      <c r="AE1040">
        <v>0</v>
      </c>
      <c r="AF1040">
        <v>1</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s="141">
        <f>COUNTIF(V1040:AW1040,"&lt;&gt;0")</f>
        <v>1</v>
      </c>
      <c r="AY1040" s="141">
        <f>COUNTIF(V1040:AL1040,"&lt;&gt;0")</f>
        <v>1</v>
      </c>
      <c r="AZ1040">
        <f>COUNTIF(V1040:AC1040,"&lt;&gt;0")</f>
        <v>0</v>
      </c>
      <c r="BA1040">
        <f>COUNTIF(AD1040:AI1040,"&lt;&gt;0")</f>
        <v>1</v>
      </c>
      <c r="BB1040">
        <f>COUNTIF(AJ1040:AL1040,"&lt;&gt;0")</f>
        <v>0</v>
      </c>
      <c r="BC1040">
        <f>COUNTIF(AS1040:AW1040,"&lt;&gt;0")</f>
        <v>0</v>
      </c>
      <c r="BD1040">
        <f>COUNTIF(AM1040:AR1040,"&lt;&gt;0")</f>
        <v>0</v>
      </c>
      <c r="BE1040" t="str">
        <f t="array" ref="BE1040">IF(AY1040=1,INDEX($V$7:$AL$7,MATCH(TRUE,INDEX($V1040:$AW1040&lt;&gt;0,),0)),IF(AY1040=0,INDEX($AM$7:$AW$7,MATCH(1,$AM1040:$AW1040,0)),IF(BF1040="Multiple strategies","mixed drivers",IF(BF1040="Supply chain","multiple supply","multiple silviculture"))))</f>
        <v>supply chain organization</v>
      </c>
      <c r="BF1040" s="2" t="str" cm="1">
        <f t="array" ref="BF1040">IF(COUNTIF(AZ1040:BB1040,"&lt;&gt;0")=1,INDEX($V$4:$AW$4,MATCH(TRUE,INDEX($V1040:$AW1040&lt;&gt;0,),0)),IF(COUNTIF(AZ1040:BB1040,"&lt;&gt;0")=0,INDEX($AM$4:$AW$4,MATCH(1,$AM1040:$AW1040,0)),"Multiple strategies"))</f>
        <v>Supply chain</v>
      </c>
      <c r="BG1040" s="1" t="s">
        <v>321</v>
      </c>
      <c r="BH1040" s="146" t="s">
        <v>322</v>
      </c>
      <c r="BI1040" t="s">
        <v>323</v>
      </c>
      <c r="BJ1040" t="s">
        <v>278</v>
      </c>
      <c r="BK1040" s="148">
        <v>9.6371132903994159</v>
      </c>
      <c r="BL1040" s="148">
        <v>9.6371132903994159</v>
      </c>
      <c r="BM1040">
        <f>BL1040/BK1040</f>
        <v>1</v>
      </c>
      <c r="BN1040">
        <f>BL1040-BK1040</f>
        <v>0</v>
      </c>
      <c r="BO1040">
        <f>BN1040*tC_to_m3</f>
        <v>0</v>
      </c>
      <c r="BP1040" t="s">
        <v>232</v>
      </c>
      <c r="BQ1040" s="337" t="s">
        <v>3107</v>
      </c>
      <c r="BR1040" t="s">
        <v>279</v>
      </c>
      <c r="BS1040">
        <v>167.28412809039341</v>
      </c>
      <c r="BT1040">
        <v>185.09042564065231</v>
      </c>
      <c r="BU1040" s="144">
        <f>IFERROR(BS1040/BT1040,"")</f>
        <v>0.90379676588550661</v>
      </c>
      <c r="BV1040">
        <f>BS1040-BT1040</f>
        <v>-17.806297550258904</v>
      </c>
      <c r="BX1040">
        <f>BV1040</f>
        <v>-17.806297550258904</v>
      </c>
      <c r="BY1040" t="str">
        <f>IFERROR(BX1040/BO1040,"")</f>
        <v/>
      </c>
      <c r="BZ1040">
        <v>0</v>
      </c>
      <c r="CA1040">
        <v>0</v>
      </c>
      <c r="CB1040">
        <v>0</v>
      </c>
      <c r="CC1040">
        <v>0</v>
      </c>
      <c r="CD1040">
        <v>0</v>
      </c>
      <c r="CE1040">
        <v>0</v>
      </c>
      <c r="CF1040">
        <v>0</v>
      </c>
      <c r="CG1040">
        <v>0</v>
      </c>
      <c r="CH1040">
        <v>0</v>
      </c>
      <c r="CI1040">
        <v>0</v>
      </c>
      <c r="CJ1040">
        <v>0</v>
      </c>
      <c r="CK1040">
        <v>0</v>
      </c>
      <c r="CL1040">
        <v>0</v>
      </c>
      <c r="CM1040">
        <v>0</v>
      </c>
      <c r="CN1040" t="str">
        <f>IF($BL1040&lt;$BK1040,"refNeedCorrection","refOK")</f>
        <v>refOK</v>
      </c>
      <c r="CO1040">
        <f>IF($CN1040="refOK",$BK1040,$BL1040)</f>
        <v>9.6371132903994159</v>
      </c>
      <c r="CP1040">
        <f>IF($CN1040="refOK",$BL1040,$BK1040)</f>
        <v>9.6371132903994159</v>
      </c>
      <c r="CQ1040">
        <f>IF($CN1040="refOK",$BO1040,-$BO1040)</f>
        <v>0</v>
      </c>
      <c r="CR1040">
        <f>IF($CN1040="refOK",$BT1040,$BS1040)*IF($BP1040="Emissions positive",-1,1)</f>
        <v>185.09042564065231</v>
      </c>
      <c r="CS1040">
        <f>IF($CN1040="refOK",$BS1040,$BT1040)*IF($BP1040="Emissions positive",-1,1)</f>
        <v>167.28412809039341</v>
      </c>
      <c r="CT1040">
        <f>IF($CN1040="refNeedCorrection",-BX1040,BX1040)*IF($BP1040="Emissions positive",-1,1)</f>
        <v>-17.806297550258904</v>
      </c>
      <c r="CU1040" t="str">
        <f>IFERROR(CT1040/CQ1040,"")</f>
        <v/>
      </c>
      <c r="CV1040" s="2">
        <f>IFERROR((CS1040-CR1040)/ABS(CR1040),"")</f>
        <v>-9.6203234114493386E-2</v>
      </c>
      <c r="CW1040" s="1" t="s">
        <v>234</v>
      </c>
      <c r="CX1040" t="str">
        <f>IF(OR($CW1040="prd",$CW1040="std",$CW1040="cit"),"loc",IF(OR($CW1040="eur",$CW1040="reg",$CW1040="coy"),"reg",$CW1040))</f>
        <v>loc</v>
      </c>
      <c r="CY1040" t="s">
        <v>280</v>
      </c>
      <c r="DB1040">
        <v>50</v>
      </c>
      <c r="DC1040" t="str">
        <f>IF(DB1040=0,"0",IF(AND(DB1040&gt;=1,DB1040&lt;=30),"1-30",IF(AND(DB1040&gt;30,DB1040&lt;=70),"31-70",IF(AND(DB1040&gt;70,DB1040&lt;=100),"71-100",IF(DB1040&gt;100,"+100")))))</f>
        <v>31-70</v>
      </c>
      <c r="DD1040">
        <v>0</v>
      </c>
      <c r="DE1040">
        <v>1</v>
      </c>
      <c r="DF1040">
        <v>0</v>
      </c>
      <c r="DG1040">
        <v>1</v>
      </c>
      <c r="DI1040">
        <f>SUM(DD1040:DG1040)</f>
        <v>2</v>
      </c>
      <c r="DJ1040" t="str">
        <f>IF(DI1040=1,INDEX($DD$7:$DG$7,MATCH(1,$DD1040:$DG1040,0)),"mixedProduct")</f>
        <v>mixedProduct</v>
      </c>
      <c r="DK1040">
        <f>IF(DD1040=1,DK$7,0)</f>
        <v>0</v>
      </c>
      <c r="DL1040" t="str">
        <f>IF(DE1040=1,DL$7,0)</f>
        <v>Energy</v>
      </c>
      <c r="DM1040">
        <f>IF(DF1040=1,DM$7,0)</f>
        <v>0</v>
      </c>
      <c r="DN1040" t="str">
        <f>IF(DG1040=1,DN$7,0)</f>
        <v>Timber</v>
      </c>
      <c r="DO1040">
        <v>0</v>
      </c>
      <c r="DP1040">
        <v>1</v>
      </c>
      <c r="DQ1040" t="s">
        <v>304</v>
      </c>
      <c r="DR1040" t="s">
        <v>281</v>
      </c>
      <c r="DS1040">
        <v>0</v>
      </c>
      <c r="DT1040">
        <f>SUM(DO1040:DP1040)</f>
        <v>1</v>
      </c>
      <c r="DU1040" s="143" t="str">
        <f>IF(DO1040=1,"self-calculated DF",IF(DP1040=1,"external DF used","explicit C balance"))</f>
        <v>external DF used</v>
      </c>
      <c r="DV1040">
        <v>0</v>
      </c>
      <c r="DW1040">
        <v>1</v>
      </c>
      <c r="DX1040">
        <v>1</v>
      </c>
      <c r="DY1040">
        <v>1</v>
      </c>
      <c r="DZ1040">
        <v>1</v>
      </c>
      <c r="EA1040" s="143">
        <v>0</v>
      </c>
      <c r="EB1040">
        <v>1</v>
      </c>
      <c r="EC1040">
        <v>1</v>
      </c>
      <c r="ED1040">
        <v>0</v>
      </c>
      <c r="EE1040">
        <v>1</v>
      </c>
      <c r="EF1040">
        <v>1</v>
      </c>
      <c r="EG1040">
        <v>1</v>
      </c>
      <c r="EH1040">
        <v>0</v>
      </c>
      <c r="EI1040" s="2">
        <v>0</v>
      </c>
      <c r="EK1040" t="str">
        <f>IF(AND(AND(AND(OR($DX1040=1,$DW1040=1),OR($EC1040=1,$EA1040=1)),SUM($DV1040:$DZ1040,$EF1040)&gt;=4),SUM($EA1040:$EE1040)&gt;=2),"Whole sector","")</f>
        <v>Whole sector</v>
      </c>
      <c r="EL1040" t="str">
        <f>IF(AND(AND(OR($DX1040=1,$DW1040=1),AND($EC1040=0,$EA1040=0)),SUM($DV1040:$DZ1040,$EF1040)&gt;=4),"Ecosystem approach","")</f>
        <v/>
      </c>
      <c r="EM1040" s="2" t="str">
        <f>IF(AND(AND(AND($DX1040=0,$DW1040=0),OR($EC1040=1,$EA1040=1)),SUM($EB1040:$EE1040)&gt;=2),"Technology approach","")</f>
        <v/>
      </c>
      <c r="EN1040" t="s">
        <v>324</v>
      </c>
      <c r="EP1040" t="b">
        <f>IF(ISNUMBER(BU1040),IF(ABS(BU1040-[1]QC_indicators!$B$2)&gt;3*[1]QC_indicators!$C$2,"C ratio",IF(ISNUMBER(BY1040),IF(ABS(BY1040-[1]QC_indicators!$B$1)&gt;3*[1]QC_indicators!$C$1,"DF","no"))),IF(ISNUMBER(BY1040),IF(ABS(BY1040-[1]QC_indicators!$B$1)&gt;3*[1]QC_indicators!$C$1,"DF","no")))</f>
        <v>0</v>
      </c>
      <c r="EQ1040" t="s">
        <v>286</v>
      </c>
      <c r="ER1040" s="147" t="s">
        <v>325</v>
      </c>
      <c r="ET1040" s="264" t="s">
        <v>3273</v>
      </c>
    </row>
    <row r="1041" spans="1:150" ht="15" customHeight="1">
      <c r="A1041" s="1" t="s">
        <v>265</v>
      </c>
      <c r="B1041" t="s">
        <v>266</v>
      </c>
      <c r="C1041" t="s">
        <v>267</v>
      </c>
      <c r="D1041" t="s">
        <v>268</v>
      </c>
      <c r="E1041" t="s">
        <v>269</v>
      </c>
      <c r="F1041" t="s">
        <v>270</v>
      </c>
      <c r="G1041" t="s">
        <v>271</v>
      </c>
      <c r="H1041" t="s">
        <v>254</v>
      </c>
      <c r="I1041">
        <v>2022</v>
      </c>
      <c r="J1041">
        <v>0</v>
      </c>
      <c r="K1041" t="s">
        <v>272</v>
      </c>
      <c r="M1041" t="str">
        <f>LEFT($D1041,FIND(",",$D1041)-1)&amp;"_"&amp;I1041&amp;L1041</f>
        <v>Aryapratama_2022</v>
      </c>
      <c r="N1041" t="s">
        <v>222</v>
      </c>
      <c r="O1041" s="145" t="s">
        <v>274</v>
      </c>
      <c r="Q1041" t="s">
        <v>224</v>
      </c>
      <c r="R1041" s="262" t="s">
        <v>223</v>
      </c>
      <c r="S1041" s="263" t="s">
        <v>3108</v>
      </c>
      <c r="T1041" t="s">
        <v>283</v>
      </c>
      <c r="U1041" t="s">
        <v>284</v>
      </c>
      <c r="V1041">
        <v>0</v>
      </c>
      <c r="W1041">
        <v>0</v>
      </c>
      <c r="X1041">
        <v>0</v>
      </c>
      <c r="Y1041">
        <v>0</v>
      </c>
      <c r="Z1041">
        <v>0</v>
      </c>
      <c r="AA1041">
        <v>0</v>
      </c>
      <c r="AB1041">
        <v>0</v>
      </c>
      <c r="AC1041">
        <v>0</v>
      </c>
      <c r="AD1041">
        <v>1</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s="141">
        <f>COUNTIF(V1041:AW1041,"&lt;&gt;0")</f>
        <v>1</v>
      </c>
      <c r="AY1041" s="141">
        <f>COUNTIF(V1041:AL1041,"&lt;&gt;0")</f>
        <v>1</v>
      </c>
      <c r="AZ1041">
        <f>COUNTIF(V1041:AC1041,"&lt;&gt;0")</f>
        <v>0</v>
      </c>
      <c r="BA1041">
        <f>COUNTIF(AD1041:AI1041,"&lt;&gt;0")</f>
        <v>1</v>
      </c>
      <c r="BB1041">
        <f>COUNTIF(AJ1041:AL1041,"&lt;&gt;0")</f>
        <v>0</v>
      </c>
      <c r="BC1041">
        <f>COUNTIF(AS1041:AW1041,"&lt;&gt;0")</f>
        <v>0</v>
      </c>
      <c r="BD1041">
        <f>COUNTIF(AM1041:AR1041,"&lt;&gt;0")</f>
        <v>0</v>
      </c>
      <c r="BE1041" t="str">
        <f t="array" ref="BE1041">IF(AY1041=1,INDEX($V$7:$AL$7,MATCH(TRUE,INDEX($V1041:$AW1041&lt;&gt;0,),0)),IF(AY1041=0,INDEX($AM$7:$AW$7,MATCH(1,$AM1041:$AW1041,0)),IF(BF1041="Multiple strategies","mixed drivers",IF(BF1041="Supply chain","multiple supply","multiple silviculture"))))</f>
        <v>harvesting system</v>
      </c>
      <c r="BF1041" s="2" t="str" cm="1">
        <f t="array" ref="BF1041">IF(COUNTIF(AZ1041:BB1041,"&lt;&gt;0")=1,INDEX($V$4:$AW$4,MATCH(TRUE,INDEX($V1041:$AW1041&lt;&gt;0,),0)),IF(COUNTIF(AZ1041:BB1041,"&lt;&gt;0")=0,INDEX($AM$4:$AW$4,MATCH(1,$AM1041:$AW1041,0)),"Multiple strategies"))</f>
        <v>Supply chain</v>
      </c>
      <c r="BG1041" s="1" t="s">
        <v>229</v>
      </c>
      <c r="BH1041" t="s">
        <v>285</v>
      </c>
      <c r="BJ1041" t="s">
        <v>278</v>
      </c>
      <c r="BK1041">
        <v>11.564535948479303</v>
      </c>
      <c r="BL1041">
        <v>11.564535948479303</v>
      </c>
      <c r="BM1041">
        <f>BL1041/BK1041</f>
        <v>1</v>
      </c>
      <c r="BN1041">
        <f>BL1041-BK1041</f>
        <v>0</v>
      </c>
      <c r="BO1041">
        <f>BN1041*tC_to_m3</f>
        <v>0</v>
      </c>
      <c r="BP1041" t="s">
        <v>232</v>
      </c>
      <c r="BQ1041" s="337" t="s">
        <v>3107</v>
      </c>
      <c r="BR1041" t="s">
        <v>279</v>
      </c>
      <c r="BS1041">
        <v>185.09042564065231</v>
      </c>
      <c r="BT1041">
        <v>100.2569126004381</v>
      </c>
      <c r="BU1041" s="144">
        <f>IFERROR(BT1041/BS1041,"")</f>
        <v>0.54166449860072174</v>
      </c>
      <c r="BV1041">
        <f>BT1041-BS1041</f>
        <v>-84.833513040214214</v>
      </c>
      <c r="BX1041">
        <f>BV1041</f>
        <v>-84.833513040214214</v>
      </c>
      <c r="BY1041" t="str">
        <f>IFERROR(BX1041/BO1041,"")</f>
        <v/>
      </c>
      <c r="BZ1041">
        <v>0</v>
      </c>
      <c r="CA1041">
        <v>0</v>
      </c>
      <c r="CB1041">
        <v>0</v>
      </c>
      <c r="CC1041">
        <v>0</v>
      </c>
      <c r="CD1041">
        <v>0</v>
      </c>
      <c r="CE1041">
        <v>0</v>
      </c>
      <c r="CF1041">
        <v>0</v>
      </c>
      <c r="CG1041">
        <v>0</v>
      </c>
      <c r="CH1041">
        <v>0</v>
      </c>
      <c r="CI1041">
        <v>0</v>
      </c>
      <c r="CJ1041">
        <v>0</v>
      </c>
      <c r="CK1041">
        <v>0</v>
      </c>
      <c r="CL1041">
        <v>0</v>
      </c>
      <c r="CM1041">
        <v>0</v>
      </c>
      <c r="CN1041" t="str">
        <f>IF($BL1041&lt;$BK1041,"refNeedCorrection","refOK")</f>
        <v>refOK</v>
      </c>
      <c r="CO1041">
        <f>IF($CN1041="refOK",$BK1041,$BL1041)</f>
        <v>11.564535948479303</v>
      </c>
      <c r="CP1041">
        <f>IF($CN1041="refOK",$BL1041,$BK1041)</f>
        <v>11.564535948479303</v>
      </c>
      <c r="CQ1041">
        <f>IF($CN1041="refOK",$BO1041,-$BO1041)</f>
        <v>0</v>
      </c>
      <c r="CR1041">
        <f>IF($CN1041="refOK",$BS1041,$BT1041)*IF($BP1041="Emissions positive",-1,1)</f>
        <v>185.09042564065231</v>
      </c>
      <c r="CS1041">
        <f>IF($CN1041="refOK",$BT1041,$BS1041)*IF($BP1041="Emissions positive",-1,1)</f>
        <v>100.2569126004381</v>
      </c>
      <c r="CT1041">
        <f>IF($CN1041="refNeedCorrection",-BX1041,BX1041)*IF($BP1041="Emissions positive",-1,1)</f>
        <v>-84.833513040214214</v>
      </c>
      <c r="CU1041" t="str">
        <f>IFERROR(CT1041/CQ1041,"")</f>
        <v/>
      </c>
      <c r="CV1041" s="2">
        <f>IFERROR((CS1041-CR1041)/ABS(CR1041),"")</f>
        <v>-0.45833550139927831</v>
      </c>
      <c r="CW1041" s="1" t="s">
        <v>234</v>
      </c>
      <c r="CX1041" t="str">
        <f>IF(OR($CW1041="prd",$CW1041="std",$CW1041="cit"),"loc",IF(OR($CW1041="eur",$CW1041="reg",$CW1041="coy"),"reg",$CW1041))</f>
        <v>loc</v>
      </c>
      <c r="CY1041" t="s">
        <v>280</v>
      </c>
      <c r="DB1041">
        <v>50</v>
      </c>
      <c r="DC1041" t="str">
        <f>IF(DB1041=0,"0",IF(AND(DB1041&gt;=1,DB1041&lt;=30),"1-30",IF(AND(DB1041&gt;30,DB1041&lt;=70),"31-70",IF(AND(DB1041&gt;70,DB1041&lt;=100),"71-100",IF(DB1041&gt;100,"+100")))))</f>
        <v>31-70</v>
      </c>
      <c r="DD1041">
        <v>0</v>
      </c>
      <c r="DE1041">
        <v>0</v>
      </c>
      <c r="DF1041">
        <v>0</v>
      </c>
      <c r="DG1041">
        <v>1</v>
      </c>
      <c r="DI1041">
        <f>SUM(DD1041:DG1041)</f>
        <v>1</v>
      </c>
      <c r="DJ1041" t="str">
        <f>IF(DI1041=1,INDEX($DD$7:$DG$7,MATCH(1,$DD1041:$DG1041,0)),"mixedProduct")</f>
        <v>TimberInput</v>
      </c>
      <c r="DK1041">
        <f>IF(DD1041=1,DK$7,0)</f>
        <v>0</v>
      </c>
      <c r="DL1041">
        <f>IF(DE1041=1,DL$7,0)</f>
        <v>0</v>
      </c>
      <c r="DM1041">
        <f>IF(DF1041=1,DM$7,0)</f>
        <v>0</v>
      </c>
      <c r="DN1041" t="str">
        <f>IF(DG1041=1,DN$7,0)</f>
        <v>Timber</v>
      </c>
      <c r="DO1041">
        <v>0</v>
      </c>
      <c r="DP1041">
        <v>1</v>
      </c>
      <c r="DQ1041">
        <v>0</v>
      </c>
      <c r="DR1041" t="s">
        <v>281</v>
      </c>
      <c r="DS1041">
        <v>0</v>
      </c>
      <c r="DT1041">
        <f>SUM(DO1041:DP1041)</f>
        <v>1</v>
      </c>
      <c r="DU1041" s="143" t="str">
        <f>IF(DO1041=1,"self-calculated DF",IF(DP1041=1,"external DF used","explicit C balance"))</f>
        <v>external DF used</v>
      </c>
      <c r="DV1041">
        <v>0</v>
      </c>
      <c r="DW1041">
        <v>1</v>
      </c>
      <c r="DX1041">
        <v>1</v>
      </c>
      <c r="DY1041">
        <v>1</v>
      </c>
      <c r="DZ1041">
        <v>1</v>
      </c>
      <c r="EA1041" s="143">
        <v>0</v>
      </c>
      <c r="EB1041">
        <v>1</v>
      </c>
      <c r="EC1041">
        <v>1</v>
      </c>
      <c r="ED1041">
        <v>0</v>
      </c>
      <c r="EE1041">
        <v>1</v>
      </c>
      <c r="EF1041">
        <v>1</v>
      </c>
      <c r="EG1041">
        <v>1</v>
      </c>
      <c r="EH1041">
        <v>0</v>
      </c>
      <c r="EI1041" s="2">
        <v>0</v>
      </c>
      <c r="EK1041" t="str">
        <f>IF(AND(AND(AND(OR($DX1041=1,$DW1041=1),OR($EC1041=1,$EA1041=1)),SUM($DV1041:$DZ1041,$EF1041)&gt;=4),SUM($EA1041:$EE1041)&gt;=2),"Whole sector","")</f>
        <v>Whole sector</v>
      </c>
      <c r="EL1041" t="str">
        <f>IF(AND(AND(OR($DX1041=1,$DW1041=1),AND($EC1041=0,$EA1041=0)),SUM($DV1041:$DZ1041,$EF1041)&gt;=4),"Ecosystem approach","")</f>
        <v/>
      </c>
      <c r="EM1041" s="2" t="str">
        <f>IF(AND(AND(AND($DX1041=0,$DW1041=0),OR($EC1041=1,$EA1041=1)),SUM($EB1041:$EE1041)&gt;=2),"Technology approach","")</f>
        <v/>
      </c>
      <c r="EP1041" t="b">
        <f>IF(ISNUMBER(BU1041),IF(ABS(BU1041-[1]QC_indicators!$B$2)&gt;3*[1]QC_indicators!$C$2,"C ratio",IF(ISNUMBER(BY1041),IF(ABS(BY1041-[1]QC_indicators!$B$1)&gt;3*[1]QC_indicators!$C$1,"DF","no"))),IF(ISNUMBER(BY1041),IF(ABS(BY1041-[1]QC_indicators!$B$1)&gt;3*[1]QC_indicators!$C$1,"DF","no")))</f>
        <v>0</v>
      </c>
      <c r="EQ1041" t="s">
        <v>286</v>
      </c>
      <c r="ET1041" s="264" t="s">
        <v>3273</v>
      </c>
    </row>
    <row r="1042" spans="1:150" ht="15" customHeight="1">
      <c r="A1042" s="1" t="s">
        <v>265</v>
      </c>
      <c r="B1042" t="s">
        <v>266</v>
      </c>
      <c r="C1042" t="s">
        <v>267</v>
      </c>
      <c r="D1042" t="s">
        <v>268</v>
      </c>
      <c r="E1042" t="s">
        <v>269</v>
      </c>
      <c r="F1042" t="s">
        <v>270</v>
      </c>
      <c r="G1042" t="s">
        <v>271</v>
      </c>
      <c r="H1042" t="s">
        <v>254</v>
      </c>
      <c r="I1042">
        <v>2022</v>
      </c>
      <c r="J1042">
        <v>0</v>
      </c>
      <c r="K1042" t="s">
        <v>272</v>
      </c>
      <c r="M1042" t="str">
        <f>LEFT($D1042,FIND(",",$D1042)-1)&amp;"_"&amp;I1042&amp;L1042</f>
        <v>Aryapratama_2022</v>
      </c>
      <c r="N1042" t="s">
        <v>222</v>
      </c>
      <c r="O1042" s="145" t="s">
        <v>274</v>
      </c>
      <c r="Q1042" t="s">
        <v>224</v>
      </c>
      <c r="R1042" s="262" t="s">
        <v>223</v>
      </c>
      <c r="S1042" s="263" t="s">
        <v>3108</v>
      </c>
      <c r="T1042" t="s">
        <v>312</v>
      </c>
      <c r="U1042" t="s">
        <v>303</v>
      </c>
      <c r="V1042">
        <v>0</v>
      </c>
      <c r="W1042">
        <v>0</v>
      </c>
      <c r="X1042">
        <v>0</v>
      </c>
      <c r="Y1042">
        <v>0</v>
      </c>
      <c r="Z1042">
        <v>0</v>
      </c>
      <c r="AA1042">
        <v>0</v>
      </c>
      <c r="AB1042">
        <v>0</v>
      </c>
      <c r="AC1042">
        <v>0</v>
      </c>
      <c r="AD1042">
        <v>1</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s="141">
        <f>COUNTIF(V1042:AW1042,"&lt;&gt;0")</f>
        <v>1</v>
      </c>
      <c r="AY1042" s="141">
        <f>COUNTIF(V1042:AL1042,"&lt;&gt;0")</f>
        <v>1</v>
      </c>
      <c r="AZ1042">
        <f>COUNTIF(V1042:AC1042,"&lt;&gt;0")</f>
        <v>0</v>
      </c>
      <c r="BA1042">
        <f>COUNTIF(AD1042:AI1042,"&lt;&gt;0")</f>
        <v>1</v>
      </c>
      <c r="BB1042">
        <f>COUNTIF(AJ1042:AL1042,"&lt;&gt;0")</f>
        <v>0</v>
      </c>
      <c r="BC1042">
        <f>COUNTIF(AS1042:AW1042,"&lt;&gt;0")</f>
        <v>0</v>
      </c>
      <c r="BD1042">
        <f>COUNTIF(AM1042:AR1042,"&lt;&gt;0")</f>
        <v>0</v>
      </c>
      <c r="BE1042" t="str">
        <f t="array" ref="BE1042">IF(AY1042=1,INDEX($V$7:$AL$7,MATCH(TRUE,INDEX($V1042:$AW1042&lt;&gt;0,),0)),IF(AY1042=0,INDEX($AM$7:$AW$7,MATCH(1,$AM1042:$AW1042,0)),IF(BF1042="Multiple strategies","mixed drivers",IF(BF1042="Supply chain","multiple supply","multiple silviculture"))))</f>
        <v>harvesting system</v>
      </c>
      <c r="BF1042" s="2" t="str" cm="1">
        <f t="array" ref="BF1042">IF(COUNTIF(AZ1042:BB1042,"&lt;&gt;0")=1,INDEX($V$4:$AW$4,MATCH(TRUE,INDEX($V1042:$AW1042&lt;&gt;0,),0)),IF(COUNTIF(AZ1042:BB1042,"&lt;&gt;0")=0,INDEX($AM$4:$AW$4,MATCH(1,$AM1042:$AW1042,0)),"Multiple strategies"))</f>
        <v>Supply chain</v>
      </c>
      <c r="BG1042" s="1" t="s">
        <v>229</v>
      </c>
      <c r="BH1042" t="s">
        <v>285</v>
      </c>
      <c r="BJ1042" t="s">
        <v>278</v>
      </c>
      <c r="BK1042">
        <v>46.25814379391722</v>
      </c>
      <c r="BL1042">
        <v>46.25814379391722</v>
      </c>
      <c r="BM1042">
        <f>BL1042/BK1042</f>
        <v>1</v>
      </c>
      <c r="BN1042">
        <f>BL1042-BK1042</f>
        <v>0</v>
      </c>
      <c r="BO1042">
        <f>BN1042*tC_to_m3</f>
        <v>0</v>
      </c>
      <c r="BP1042" t="s">
        <v>232</v>
      </c>
      <c r="BQ1042" s="337" t="s">
        <v>3107</v>
      </c>
      <c r="BR1042" t="s">
        <v>279</v>
      </c>
      <c r="BS1042">
        <v>726.845318289901</v>
      </c>
      <c r="BT1042">
        <v>365.10563504552567</v>
      </c>
      <c r="BU1042" s="144">
        <f>IFERROR(BT1042/BS1042,"")</f>
        <v>0.50231545262551158</v>
      </c>
      <c r="BV1042">
        <f>BT1042-BS1042</f>
        <v>-361.73968324437533</v>
      </c>
      <c r="BX1042">
        <f>BV1042</f>
        <v>-361.73968324437533</v>
      </c>
      <c r="BY1042" t="str">
        <f>IFERROR(BX1042/BO1042,"")</f>
        <v/>
      </c>
      <c r="BZ1042">
        <v>0</v>
      </c>
      <c r="CA1042">
        <v>0</v>
      </c>
      <c r="CB1042">
        <v>0</v>
      </c>
      <c r="CC1042">
        <v>0</v>
      </c>
      <c r="CD1042">
        <v>0</v>
      </c>
      <c r="CE1042">
        <v>0</v>
      </c>
      <c r="CF1042">
        <v>0</v>
      </c>
      <c r="CG1042">
        <v>0</v>
      </c>
      <c r="CH1042">
        <v>0</v>
      </c>
      <c r="CI1042">
        <v>0</v>
      </c>
      <c r="CJ1042">
        <v>0</v>
      </c>
      <c r="CK1042">
        <v>0</v>
      </c>
      <c r="CL1042">
        <v>0</v>
      </c>
      <c r="CM1042">
        <v>0</v>
      </c>
      <c r="CN1042" t="str">
        <f>IF($BL1042&lt;$BK1042,"refNeedCorrection","refOK")</f>
        <v>refOK</v>
      </c>
      <c r="CO1042">
        <f>IF($CN1042="refOK",$BK1042,$BL1042)</f>
        <v>46.25814379391722</v>
      </c>
      <c r="CP1042">
        <f>IF($CN1042="refOK",$BL1042,$BK1042)</f>
        <v>46.25814379391722</v>
      </c>
      <c r="CQ1042">
        <f>IF($CN1042="refOK",$BO1042,-$BO1042)</f>
        <v>0</v>
      </c>
      <c r="CR1042">
        <f>IF($CN1042="refOK",$BS1042,$BT1042)*IF($BP1042="Emissions positive",-1,1)</f>
        <v>726.845318289901</v>
      </c>
      <c r="CS1042">
        <f>IF($CN1042="refOK",$BT1042,$BS1042)*IF($BP1042="Emissions positive",-1,1)</f>
        <v>365.10563504552567</v>
      </c>
      <c r="CT1042">
        <f>IF($CN1042="refNeedCorrection",-BX1042,BX1042)*IF($BP1042="Emissions positive",-1,1)</f>
        <v>-361.73968324437533</v>
      </c>
      <c r="CU1042" t="str">
        <f>IFERROR(CT1042/CQ1042,"")</f>
        <v/>
      </c>
      <c r="CV1042" s="2">
        <f>IFERROR((CS1042-CR1042)/ABS(CR1042),"")</f>
        <v>-0.49768454737448842</v>
      </c>
      <c r="CW1042" s="1" t="s">
        <v>234</v>
      </c>
      <c r="CX1042" t="str">
        <f>IF(OR($CW1042="prd",$CW1042="std",$CW1042="cit"),"loc",IF(OR($CW1042="eur",$CW1042="reg",$CW1042="coy"),"reg",$CW1042))</f>
        <v>loc</v>
      </c>
      <c r="CY1042" t="s">
        <v>280</v>
      </c>
      <c r="DB1042">
        <v>200</v>
      </c>
      <c r="DC1042" t="str">
        <f>IF(DB1042=0,"0",IF(AND(DB1042&gt;=1,DB1042&lt;=30),"1-30",IF(AND(DB1042&gt;30,DB1042&lt;=70),"31-70",IF(AND(DB1042&gt;70,DB1042&lt;=100),"71-100",IF(DB1042&gt;100,"+100")))))</f>
        <v>+100</v>
      </c>
      <c r="DD1042">
        <v>0</v>
      </c>
      <c r="DE1042">
        <v>1</v>
      </c>
      <c r="DF1042">
        <v>0</v>
      </c>
      <c r="DG1042">
        <v>0</v>
      </c>
      <c r="DI1042">
        <f>SUM(DD1042:DG1042)</f>
        <v>1</v>
      </c>
      <c r="DJ1042" t="str">
        <f>IF(DI1042=1,INDEX($DD$7:$DG$7,MATCH(1,$DD1042:$DG1042,0)),"mixedProduct")</f>
        <v>EnergyInput</v>
      </c>
      <c r="DK1042">
        <f>IF(DD1042=1,DK$7,0)</f>
        <v>0</v>
      </c>
      <c r="DL1042" t="str">
        <f>IF(DE1042=1,DL$7,0)</f>
        <v>Energy</v>
      </c>
      <c r="DM1042">
        <f>IF(DF1042=1,DM$7,0)</f>
        <v>0</v>
      </c>
      <c r="DN1042">
        <f>IF(DG1042=1,DN$7,0)</f>
        <v>0</v>
      </c>
      <c r="DO1042">
        <v>0</v>
      </c>
      <c r="DP1042">
        <v>1</v>
      </c>
      <c r="DQ1042" t="s">
        <v>304</v>
      </c>
      <c r="DR1042" t="s">
        <v>281</v>
      </c>
      <c r="DS1042">
        <v>0</v>
      </c>
      <c r="DT1042">
        <f>SUM(DO1042:DP1042)</f>
        <v>1</v>
      </c>
      <c r="DU1042" s="143" t="str">
        <f>IF(DO1042=1,"self-calculated DF",IF(DP1042=1,"external DF used","explicit C balance"))</f>
        <v>external DF used</v>
      </c>
      <c r="DV1042">
        <v>0</v>
      </c>
      <c r="DW1042">
        <v>1</v>
      </c>
      <c r="DX1042">
        <v>1</v>
      </c>
      <c r="DY1042">
        <v>1</v>
      </c>
      <c r="DZ1042">
        <v>1</v>
      </c>
      <c r="EA1042" s="143">
        <v>0</v>
      </c>
      <c r="EB1042">
        <v>1</v>
      </c>
      <c r="EC1042">
        <v>1</v>
      </c>
      <c r="ED1042">
        <v>0</v>
      </c>
      <c r="EE1042">
        <v>1</v>
      </c>
      <c r="EF1042">
        <v>1</v>
      </c>
      <c r="EG1042">
        <v>1</v>
      </c>
      <c r="EH1042">
        <v>0</v>
      </c>
      <c r="EI1042" s="2">
        <v>0</v>
      </c>
      <c r="EK1042" t="str">
        <f>IF(AND(AND(AND(OR($DX1042=1,$DW1042=1),OR($EC1042=1,$EA1042=1)),SUM($DV1042:$DZ1042,$EF1042)&gt;=4),SUM($EA1042:$EE1042)&gt;=2),"Whole sector","")</f>
        <v>Whole sector</v>
      </c>
      <c r="EL1042" t="str">
        <f>IF(AND(AND(OR($DX1042=1,$DW1042=1),AND($EC1042=0,$EA1042=0)),SUM($DV1042:$DZ1042,$EF1042)&gt;=4),"Ecosystem approach","")</f>
        <v/>
      </c>
      <c r="EM1042" s="2" t="str">
        <f>IF(AND(AND(AND($DX1042=0,$DW1042=0),OR($EC1042=1,$EA1042=1)),SUM($EB1042:$EE1042)&gt;=2),"Technology approach","")</f>
        <v/>
      </c>
      <c r="EP1042" t="b">
        <f>IF(ISNUMBER(BU1042),IF(ABS(BU1042-[1]QC_indicators!$B$2)&gt;3*[1]QC_indicators!$C$2,"C ratio",IF(ISNUMBER(BY1042),IF(ABS(BY1042-[1]QC_indicators!$B$1)&gt;3*[1]QC_indicators!$C$1,"DF","no"))),IF(ISNUMBER(BY1042),IF(ABS(BY1042-[1]QC_indicators!$B$1)&gt;3*[1]QC_indicators!$C$1,"DF","no")))</f>
        <v>0</v>
      </c>
      <c r="EQ1042" t="s">
        <v>286</v>
      </c>
      <c r="ET1042" s="264" t="s">
        <v>3273</v>
      </c>
    </row>
    <row r="1043" spans="1:150" ht="15" customHeight="1">
      <c r="A1043" s="1" t="s">
        <v>265</v>
      </c>
      <c r="B1043" t="s">
        <v>266</v>
      </c>
      <c r="C1043" t="s">
        <v>267</v>
      </c>
      <c r="D1043" t="s">
        <v>268</v>
      </c>
      <c r="E1043" t="s">
        <v>269</v>
      </c>
      <c r="F1043" t="s">
        <v>270</v>
      </c>
      <c r="G1043" t="s">
        <v>271</v>
      </c>
      <c r="H1043" t="s">
        <v>254</v>
      </c>
      <c r="I1043">
        <v>2022</v>
      </c>
      <c r="J1043">
        <v>0</v>
      </c>
      <c r="K1043" t="s">
        <v>272</v>
      </c>
      <c r="M1043" t="str">
        <f>LEFT($D1043,FIND(",",$D1043)-1)&amp;"_"&amp;I1043&amp;L1043</f>
        <v>Aryapratama_2022</v>
      </c>
      <c r="N1043" t="s">
        <v>222</v>
      </c>
      <c r="O1043" s="145" t="s">
        <v>274</v>
      </c>
      <c r="Q1043" t="s">
        <v>224</v>
      </c>
      <c r="R1043" s="262" t="s">
        <v>223</v>
      </c>
      <c r="S1043" s="1" t="s">
        <v>319</v>
      </c>
      <c r="T1043" t="s">
        <v>326</v>
      </c>
      <c r="U1043" t="s">
        <v>276</v>
      </c>
      <c r="V1043">
        <v>0</v>
      </c>
      <c r="W1043">
        <v>0</v>
      </c>
      <c r="X1043">
        <v>0</v>
      </c>
      <c r="Y1043">
        <v>0</v>
      </c>
      <c r="Z1043">
        <v>0</v>
      </c>
      <c r="AA1043">
        <v>0</v>
      </c>
      <c r="AB1043">
        <v>0</v>
      </c>
      <c r="AC1043">
        <v>0</v>
      </c>
      <c r="AD1043">
        <v>0</v>
      </c>
      <c r="AE1043">
        <v>0</v>
      </c>
      <c r="AF1043">
        <v>1</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s="141">
        <f>COUNTIF(V1043:AW1043,"&lt;&gt;0")</f>
        <v>1</v>
      </c>
      <c r="AY1043" s="141">
        <f>COUNTIF(V1043:AL1043,"&lt;&gt;0")</f>
        <v>1</v>
      </c>
      <c r="AZ1043">
        <f>COUNTIF(V1043:AC1043,"&lt;&gt;0")</f>
        <v>0</v>
      </c>
      <c r="BA1043">
        <f>COUNTIF(AD1043:AI1043,"&lt;&gt;0")</f>
        <v>1</v>
      </c>
      <c r="BB1043">
        <f>COUNTIF(AJ1043:AL1043,"&lt;&gt;0")</f>
        <v>0</v>
      </c>
      <c r="BC1043">
        <f>COUNTIF(AS1043:AW1043,"&lt;&gt;0")</f>
        <v>0</v>
      </c>
      <c r="BD1043">
        <f>COUNTIF(AM1043:AR1043,"&lt;&gt;0")</f>
        <v>0</v>
      </c>
      <c r="BE1043" t="str">
        <f t="array" ref="BE1043">IF(AY1043=1,INDEX($V$7:$AL$7,MATCH(TRUE,INDEX($V1043:$AW1043&lt;&gt;0,),0)),IF(AY1043=0,INDEX($AM$7:$AW$7,MATCH(1,$AM1043:$AW1043,0)),IF(BF1043="Multiple strategies","mixed drivers",IF(BF1043="Supply chain","multiple supply","multiple silviculture"))))</f>
        <v>supply chain organization</v>
      </c>
      <c r="BF1043" s="2" t="str" cm="1">
        <f t="array" ref="BF1043">IF(COUNTIF(AZ1043:BB1043,"&lt;&gt;0")=1,INDEX($V$4:$AW$4,MATCH(TRUE,INDEX($V1043:$AW1043&lt;&gt;0,),0)),IF(COUNTIF(AZ1043:BB1043,"&lt;&gt;0")=0,INDEX($AM$4:$AW$4,MATCH(1,$AM1043:$AW1043,0)),"Multiple strategies"))</f>
        <v>Supply chain</v>
      </c>
      <c r="BG1043" s="1" t="s">
        <v>321</v>
      </c>
      <c r="BH1043" s="146" t="s">
        <v>322</v>
      </c>
      <c r="BI1043" t="s">
        <v>323</v>
      </c>
      <c r="BJ1043" t="s">
        <v>278</v>
      </c>
      <c r="BK1043" s="148">
        <v>225.96603773584911</v>
      </c>
      <c r="BL1043" s="148">
        <v>225.96603773584911</v>
      </c>
      <c r="BM1043">
        <f>BL1043/BK1043</f>
        <v>1</v>
      </c>
      <c r="BN1043">
        <f>BL1043-BK1043</f>
        <v>0</v>
      </c>
      <c r="BO1043">
        <f>BN1043*tC_to_m3</f>
        <v>0</v>
      </c>
      <c r="BP1043" t="s">
        <v>232</v>
      </c>
      <c r="BQ1043" s="337" t="s">
        <v>3107</v>
      </c>
      <c r="BR1043" t="s">
        <v>279</v>
      </c>
      <c r="BS1043">
        <v>-1282.169207878547</v>
      </c>
      <c r="BT1043">
        <v>-1206.3347109067272</v>
      </c>
      <c r="BU1043" s="144">
        <f>IFERROR(BS1043/BT1043,"")</f>
        <v>1.0628635620663023</v>
      </c>
      <c r="BV1043">
        <f>BS1043-BT1043</f>
        <v>-75.834496971819817</v>
      </c>
      <c r="BX1043">
        <f>BV1043</f>
        <v>-75.834496971819817</v>
      </c>
      <c r="BY1043" t="str">
        <f>IFERROR(BX1043/BO1043,"")</f>
        <v/>
      </c>
      <c r="BZ1043">
        <v>0</v>
      </c>
      <c r="CA1043">
        <v>0</v>
      </c>
      <c r="CB1043">
        <v>0</v>
      </c>
      <c r="CC1043">
        <v>0</v>
      </c>
      <c r="CD1043">
        <v>0</v>
      </c>
      <c r="CE1043">
        <v>0</v>
      </c>
      <c r="CF1043">
        <v>0</v>
      </c>
      <c r="CG1043">
        <v>0</v>
      </c>
      <c r="CH1043">
        <v>0</v>
      </c>
      <c r="CI1043">
        <v>0</v>
      </c>
      <c r="CJ1043">
        <v>0</v>
      </c>
      <c r="CK1043">
        <v>0</v>
      </c>
      <c r="CL1043">
        <v>0</v>
      </c>
      <c r="CM1043">
        <v>0</v>
      </c>
      <c r="CN1043" t="str">
        <f>IF($BL1043&lt;$BK1043,"refNeedCorrection","refOK")</f>
        <v>refOK</v>
      </c>
      <c r="CO1043">
        <f>IF($CN1043="refOK",$BK1043,$BL1043)</f>
        <v>225.96603773584911</v>
      </c>
      <c r="CP1043">
        <f>IF($CN1043="refOK",$BL1043,$BK1043)</f>
        <v>225.96603773584911</v>
      </c>
      <c r="CQ1043">
        <f>IF($CN1043="refOK",$BO1043,-$BO1043)</f>
        <v>0</v>
      </c>
      <c r="CR1043">
        <f>IF($CN1043="refOK",$BT1043,$BS1043)*IF($BP1043="Emissions positive",-1,1)</f>
        <v>-1206.3347109067272</v>
      </c>
      <c r="CS1043">
        <f>IF($CN1043="refOK",$BS1043,$BT1043)*IF($BP1043="Emissions positive",-1,1)</f>
        <v>-1282.169207878547</v>
      </c>
      <c r="CT1043">
        <f>IF($CN1043="refNeedCorrection",-BX1043,BX1043)*IF($BP1043="Emissions positive",-1,1)</f>
        <v>-75.834496971819817</v>
      </c>
      <c r="CU1043" t="str">
        <f>IFERROR(CT1043/CQ1043,"")</f>
        <v/>
      </c>
      <c r="CV1043" s="2">
        <f>IFERROR((CS1043-CR1043)/ABS(CR1043),"")</f>
        <v>-6.2863562066302239E-2</v>
      </c>
      <c r="CW1043" s="1" t="s">
        <v>234</v>
      </c>
      <c r="CX1043" t="str">
        <f>IF(OR($CW1043="prd",$CW1043="std",$CW1043="cit"),"loc",IF(OR($CW1043="eur",$CW1043="reg",$CW1043="coy"),"reg",$CW1043))</f>
        <v>loc</v>
      </c>
      <c r="CY1043" t="s">
        <v>280</v>
      </c>
      <c r="DB1043">
        <v>200</v>
      </c>
      <c r="DC1043" t="str">
        <f>IF(DB1043=0,"0",IF(AND(DB1043&gt;=1,DB1043&lt;=30),"1-30",IF(AND(DB1043&gt;30,DB1043&lt;=70),"31-70",IF(AND(DB1043&gt;70,DB1043&lt;=100),"71-100",IF(DB1043&gt;100,"+100")))))</f>
        <v>+100</v>
      </c>
      <c r="DD1043">
        <v>0</v>
      </c>
      <c r="DE1043">
        <v>1</v>
      </c>
      <c r="DF1043">
        <v>0</v>
      </c>
      <c r="DG1043">
        <v>1</v>
      </c>
      <c r="DI1043">
        <f>SUM(DD1043:DG1043)</f>
        <v>2</v>
      </c>
      <c r="DJ1043" t="str">
        <f>IF(DI1043=1,INDEX($DD$7:$DG$7,MATCH(1,$DD1043:$DG1043,0)),"mixedProduct")</f>
        <v>mixedProduct</v>
      </c>
      <c r="DK1043">
        <f>IF(DD1043=1,DK$7,0)</f>
        <v>0</v>
      </c>
      <c r="DL1043" t="str">
        <f>IF(DE1043=1,DL$7,0)</f>
        <v>Energy</v>
      </c>
      <c r="DM1043">
        <f>IF(DF1043=1,DM$7,0)</f>
        <v>0</v>
      </c>
      <c r="DN1043" t="str">
        <f>IF(DG1043=1,DN$7,0)</f>
        <v>Timber</v>
      </c>
      <c r="DO1043">
        <v>0</v>
      </c>
      <c r="DP1043">
        <v>1</v>
      </c>
      <c r="DQ1043" t="s">
        <v>304</v>
      </c>
      <c r="DR1043" t="s">
        <v>281</v>
      </c>
      <c r="DS1043">
        <v>0</v>
      </c>
      <c r="DT1043">
        <f>SUM(DO1043:DP1043)</f>
        <v>1</v>
      </c>
      <c r="DU1043" s="143" t="str">
        <f>IF(DO1043=1,"self-calculated DF",IF(DP1043=1,"external DF used","explicit C balance"))</f>
        <v>external DF used</v>
      </c>
      <c r="DV1043">
        <v>0</v>
      </c>
      <c r="DW1043">
        <v>1</v>
      </c>
      <c r="DX1043">
        <v>1</v>
      </c>
      <c r="DY1043">
        <v>1</v>
      </c>
      <c r="DZ1043">
        <v>1</v>
      </c>
      <c r="EA1043" s="143">
        <v>0</v>
      </c>
      <c r="EB1043">
        <v>1</v>
      </c>
      <c r="EC1043">
        <v>1</v>
      </c>
      <c r="ED1043">
        <v>0</v>
      </c>
      <c r="EE1043">
        <v>1</v>
      </c>
      <c r="EF1043">
        <v>1</v>
      </c>
      <c r="EG1043">
        <v>1</v>
      </c>
      <c r="EH1043">
        <v>0</v>
      </c>
      <c r="EI1043" s="2">
        <v>0</v>
      </c>
      <c r="EK1043" t="str">
        <f>IF(AND(AND(AND(OR($DX1043=1,$DW1043=1),OR($EC1043=1,$EA1043=1)),SUM($DV1043:$DZ1043,$EF1043)&gt;=4),SUM($EA1043:$EE1043)&gt;=2),"Whole sector","")</f>
        <v>Whole sector</v>
      </c>
      <c r="EL1043" t="str">
        <f>IF(AND(AND(OR($DX1043=1,$DW1043=1),AND($EC1043=0,$EA1043=0)),SUM($DV1043:$DZ1043,$EF1043)&gt;=4),"Ecosystem approach","")</f>
        <v/>
      </c>
      <c r="EM1043" s="2" t="str">
        <f>IF(AND(AND(AND($DX1043=0,$DW1043=0),OR($EC1043=1,$EA1043=1)),SUM($EB1043:$EE1043)&gt;=2),"Technology approach","")</f>
        <v/>
      </c>
      <c r="EN1043" t="s">
        <v>324</v>
      </c>
      <c r="EP1043" t="b">
        <f>IF(ISNUMBER(BU1043),IF(ABS(BU1043-[1]QC_indicators!$B$2)&gt;3*[1]QC_indicators!$C$2,"C ratio",IF(ISNUMBER(BY1043),IF(ABS(BY1043-[1]QC_indicators!$B$1)&gt;3*[1]QC_indicators!$C$1,"DF","no"))),IF(ISNUMBER(BY1043),IF(ABS(BY1043-[1]QC_indicators!$B$1)&gt;3*[1]QC_indicators!$C$1,"DF","no")))</f>
        <v>0</v>
      </c>
      <c r="EQ1043" t="s">
        <v>286</v>
      </c>
      <c r="ER1043" s="147" t="s">
        <v>325</v>
      </c>
      <c r="ET1043" s="264" t="s">
        <v>3273</v>
      </c>
    </row>
    <row r="1044" spans="1:150" ht="15" customHeight="1">
      <c r="A1044" s="1" t="s">
        <v>265</v>
      </c>
      <c r="B1044" t="s">
        <v>266</v>
      </c>
      <c r="C1044" t="s">
        <v>267</v>
      </c>
      <c r="D1044" t="s">
        <v>268</v>
      </c>
      <c r="E1044" t="s">
        <v>269</v>
      </c>
      <c r="F1044" t="s">
        <v>270</v>
      </c>
      <c r="G1044" t="s">
        <v>271</v>
      </c>
      <c r="H1044" t="s">
        <v>254</v>
      </c>
      <c r="I1044">
        <v>2022</v>
      </c>
      <c r="J1044">
        <v>0</v>
      </c>
      <c r="K1044" t="s">
        <v>272</v>
      </c>
      <c r="M1044" t="str">
        <f>LEFT($D1044,FIND(",",$D1044)-1)&amp;"_"&amp;I1044&amp;L1044</f>
        <v>Aryapratama_2022</v>
      </c>
      <c r="N1044" t="s">
        <v>222</v>
      </c>
      <c r="O1044" s="145" t="s">
        <v>274</v>
      </c>
      <c r="Q1044" t="s">
        <v>224</v>
      </c>
      <c r="R1044" s="262" t="s">
        <v>223</v>
      </c>
      <c r="S1044" s="1" t="s">
        <v>319</v>
      </c>
      <c r="T1044" t="s">
        <v>303</v>
      </c>
      <c r="U1044" t="s">
        <v>284</v>
      </c>
      <c r="V1044">
        <v>0</v>
      </c>
      <c r="W1044">
        <v>0</v>
      </c>
      <c r="X1044">
        <v>0</v>
      </c>
      <c r="Y1044">
        <v>0</v>
      </c>
      <c r="Z1044">
        <v>0</v>
      </c>
      <c r="AA1044">
        <v>0</v>
      </c>
      <c r="AB1044">
        <v>0</v>
      </c>
      <c r="AC1044">
        <v>0</v>
      </c>
      <c r="AD1044">
        <v>0</v>
      </c>
      <c r="AE1044">
        <v>0</v>
      </c>
      <c r="AF1044">
        <v>1</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s="141">
        <f>COUNTIF(V1044:AW1044,"&lt;&gt;0")</f>
        <v>1</v>
      </c>
      <c r="AY1044" s="141">
        <f>COUNTIF(V1044:AL1044,"&lt;&gt;0")</f>
        <v>1</v>
      </c>
      <c r="AZ1044">
        <f>COUNTIF(V1044:AC1044,"&lt;&gt;0")</f>
        <v>0</v>
      </c>
      <c r="BA1044">
        <f>COUNTIF(AD1044:AI1044,"&lt;&gt;0")</f>
        <v>1</v>
      </c>
      <c r="BB1044">
        <f>COUNTIF(AJ1044:AL1044,"&lt;&gt;0")</f>
        <v>0</v>
      </c>
      <c r="BC1044">
        <f>COUNTIF(AS1044:AW1044,"&lt;&gt;0")</f>
        <v>0</v>
      </c>
      <c r="BD1044">
        <f>COUNTIF(AM1044:AR1044,"&lt;&gt;0")</f>
        <v>0</v>
      </c>
      <c r="BE1044" t="str">
        <f t="array" ref="BE1044">IF(AY1044=1,INDEX($V$7:$AL$7,MATCH(TRUE,INDEX($V1044:$AW1044&lt;&gt;0,),0)),IF(AY1044=0,INDEX($AM$7:$AW$7,MATCH(1,$AM1044:$AW1044,0)),IF(BF1044="Multiple strategies","mixed drivers",IF(BF1044="Supply chain","multiple supply","multiple silviculture"))))</f>
        <v>supply chain organization</v>
      </c>
      <c r="BF1044" s="2" t="str" cm="1">
        <f t="array" ref="BF1044">IF(COUNTIF(AZ1044:BB1044,"&lt;&gt;0")=1,INDEX($V$4:$AW$4,MATCH(TRUE,INDEX($V1044:$AW1044&lt;&gt;0,),0)),IF(COUNTIF(AZ1044:BB1044,"&lt;&gt;0")=0,INDEX($AM$4:$AW$4,MATCH(1,$AM1044:$AW1044,0)),"Multiple strategies"))</f>
        <v>Supply chain</v>
      </c>
      <c r="BG1044" s="1" t="s">
        <v>321</v>
      </c>
      <c r="BH1044" s="146" t="s">
        <v>322</v>
      </c>
      <c r="BI1044" t="s">
        <v>323</v>
      </c>
      <c r="BJ1044" t="s">
        <v>278</v>
      </c>
      <c r="BK1044" s="148">
        <v>9.6371132903994159</v>
      </c>
      <c r="BL1044" s="148">
        <v>9.6371132903994159</v>
      </c>
      <c r="BM1044">
        <f>BL1044/BK1044</f>
        <v>1</v>
      </c>
      <c r="BN1044">
        <f>BL1044-BK1044</f>
        <v>0</v>
      </c>
      <c r="BO1044">
        <f>BN1044*tC_to_m3</f>
        <v>0</v>
      </c>
      <c r="BP1044" t="s">
        <v>232</v>
      </c>
      <c r="BQ1044" s="337" t="s">
        <v>3107</v>
      </c>
      <c r="BR1044" t="s">
        <v>279</v>
      </c>
      <c r="BS1044">
        <v>365.10563504552567</v>
      </c>
      <c r="BT1044">
        <v>377.50107760210591</v>
      </c>
      <c r="BU1044" s="144">
        <f>IFERROR(BS1044/BT1044,"")</f>
        <v>0.96716448431004143</v>
      </c>
      <c r="BV1044">
        <f>BS1044-BT1044</f>
        <v>-12.395442556580235</v>
      </c>
      <c r="BX1044">
        <f>BV1044</f>
        <v>-12.395442556580235</v>
      </c>
      <c r="BY1044" t="str">
        <f>IFERROR(BX1044/BO1044,"")</f>
        <v/>
      </c>
      <c r="BZ1044">
        <v>0</v>
      </c>
      <c r="CA1044">
        <v>0</v>
      </c>
      <c r="CB1044">
        <v>0</v>
      </c>
      <c r="CC1044">
        <v>0</v>
      </c>
      <c r="CD1044">
        <v>0</v>
      </c>
      <c r="CE1044">
        <v>0</v>
      </c>
      <c r="CF1044">
        <v>0</v>
      </c>
      <c r="CG1044">
        <v>0</v>
      </c>
      <c r="CH1044">
        <v>0</v>
      </c>
      <c r="CI1044">
        <v>0</v>
      </c>
      <c r="CJ1044">
        <v>0</v>
      </c>
      <c r="CK1044">
        <v>0</v>
      </c>
      <c r="CL1044">
        <v>0</v>
      </c>
      <c r="CM1044">
        <v>0</v>
      </c>
      <c r="CN1044" t="str">
        <f>IF($BL1044&lt;$BK1044,"refNeedCorrection","refOK")</f>
        <v>refOK</v>
      </c>
      <c r="CO1044">
        <f>IF($CN1044="refOK",$BK1044,$BL1044)</f>
        <v>9.6371132903994159</v>
      </c>
      <c r="CP1044">
        <f>IF($CN1044="refOK",$BL1044,$BK1044)</f>
        <v>9.6371132903994159</v>
      </c>
      <c r="CQ1044">
        <f>IF($CN1044="refOK",$BO1044,-$BO1044)</f>
        <v>0</v>
      </c>
      <c r="CR1044">
        <f>IF($CN1044="refOK",$BT1044,$BS1044)*IF($BP1044="Emissions positive",-1,1)</f>
        <v>377.50107760210591</v>
      </c>
      <c r="CS1044">
        <f>IF($CN1044="refOK",$BS1044,$BT1044)*IF($BP1044="Emissions positive",-1,1)</f>
        <v>365.10563504552567</v>
      </c>
      <c r="CT1044">
        <f>IF($CN1044="refNeedCorrection",-BX1044,BX1044)*IF($BP1044="Emissions positive",-1,1)</f>
        <v>-12.395442556580235</v>
      </c>
      <c r="CU1044" t="str">
        <f>IFERROR(CT1044/CQ1044,"")</f>
        <v/>
      </c>
      <c r="CV1044" s="2">
        <f>IFERROR((CS1044-CR1044)/ABS(CR1044),"")</f>
        <v>-3.2835515689958621E-2</v>
      </c>
      <c r="CW1044" s="1" t="s">
        <v>234</v>
      </c>
      <c r="CX1044" t="str">
        <f>IF(OR($CW1044="prd",$CW1044="std",$CW1044="cit"),"loc",IF(OR($CW1044="eur",$CW1044="reg",$CW1044="coy"),"reg",$CW1044))</f>
        <v>loc</v>
      </c>
      <c r="CY1044" t="s">
        <v>280</v>
      </c>
      <c r="DB1044">
        <v>200</v>
      </c>
      <c r="DC1044" t="str">
        <f>IF(DB1044=0,"0",IF(AND(DB1044&gt;=1,DB1044&lt;=30),"1-30",IF(AND(DB1044&gt;30,DB1044&lt;=70),"31-70",IF(AND(DB1044&gt;70,DB1044&lt;=100),"71-100",IF(DB1044&gt;100,"+100")))))</f>
        <v>+100</v>
      </c>
      <c r="DD1044">
        <v>0</v>
      </c>
      <c r="DE1044">
        <v>1</v>
      </c>
      <c r="DF1044">
        <v>0</v>
      </c>
      <c r="DG1044">
        <v>1</v>
      </c>
      <c r="DI1044">
        <f>SUM(DD1044:DG1044)</f>
        <v>2</v>
      </c>
      <c r="DJ1044" t="str">
        <f>IF(DI1044=1,INDEX($DD$7:$DG$7,MATCH(1,$DD1044:$DG1044,0)),"mixedProduct")</f>
        <v>mixedProduct</v>
      </c>
      <c r="DK1044">
        <f>IF(DD1044=1,DK$7,0)</f>
        <v>0</v>
      </c>
      <c r="DL1044" t="str">
        <f>IF(DE1044=1,DL$7,0)</f>
        <v>Energy</v>
      </c>
      <c r="DM1044">
        <f>IF(DF1044=1,DM$7,0)</f>
        <v>0</v>
      </c>
      <c r="DN1044" t="str">
        <f>IF(DG1044=1,DN$7,0)</f>
        <v>Timber</v>
      </c>
      <c r="DO1044">
        <v>0</v>
      </c>
      <c r="DP1044">
        <v>1</v>
      </c>
      <c r="DQ1044" t="s">
        <v>304</v>
      </c>
      <c r="DR1044" t="s">
        <v>281</v>
      </c>
      <c r="DS1044">
        <v>0</v>
      </c>
      <c r="DT1044">
        <f>SUM(DO1044:DP1044)</f>
        <v>1</v>
      </c>
      <c r="DU1044" s="143" t="str">
        <f>IF(DO1044=1,"self-calculated DF",IF(DP1044=1,"external DF used","explicit C balance"))</f>
        <v>external DF used</v>
      </c>
      <c r="DV1044">
        <v>0</v>
      </c>
      <c r="DW1044">
        <v>1</v>
      </c>
      <c r="DX1044">
        <v>1</v>
      </c>
      <c r="DY1044">
        <v>1</v>
      </c>
      <c r="DZ1044">
        <v>1</v>
      </c>
      <c r="EA1044" s="143">
        <v>0</v>
      </c>
      <c r="EB1044">
        <v>1</v>
      </c>
      <c r="EC1044">
        <v>1</v>
      </c>
      <c r="ED1044">
        <v>0</v>
      </c>
      <c r="EE1044">
        <v>1</v>
      </c>
      <c r="EF1044">
        <v>1</v>
      </c>
      <c r="EG1044">
        <v>1</v>
      </c>
      <c r="EH1044">
        <v>0</v>
      </c>
      <c r="EI1044" s="2">
        <v>0</v>
      </c>
      <c r="EK1044" t="str">
        <f>IF(AND(AND(AND(OR($DX1044=1,$DW1044=1),OR($EC1044=1,$EA1044=1)),SUM($DV1044:$DZ1044,$EF1044)&gt;=4),SUM($EA1044:$EE1044)&gt;=2),"Whole sector","")</f>
        <v>Whole sector</v>
      </c>
      <c r="EL1044" t="str">
        <f>IF(AND(AND(OR($DX1044=1,$DW1044=1),AND($EC1044=0,$EA1044=0)),SUM($DV1044:$DZ1044,$EF1044)&gt;=4),"Ecosystem approach","")</f>
        <v/>
      </c>
      <c r="EM1044" s="2" t="str">
        <f>IF(AND(AND(AND($DX1044=0,$DW1044=0),OR($EC1044=1,$EA1044=1)),SUM($EB1044:$EE1044)&gt;=2),"Technology approach","")</f>
        <v/>
      </c>
      <c r="EN1044" t="s">
        <v>324</v>
      </c>
      <c r="EP1044" t="b">
        <f>IF(ISNUMBER(BU1044),IF(ABS(BU1044-[1]QC_indicators!$B$2)&gt;3*[1]QC_indicators!$C$2,"C ratio",IF(ISNUMBER(BY1044),IF(ABS(BY1044-[1]QC_indicators!$B$1)&gt;3*[1]QC_indicators!$C$1,"DF","no"))),IF(ISNUMBER(BY1044),IF(ABS(BY1044-[1]QC_indicators!$B$1)&gt;3*[1]QC_indicators!$C$1,"DF","no")))</f>
        <v>0</v>
      </c>
      <c r="EQ1044" t="s">
        <v>286</v>
      </c>
      <c r="ER1044" s="147" t="s">
        <v>325</v>
      </c>
      <c r="ET1044" s="264" t="s">
        <v>3273</v>
      </c>
    </row>
    <row r="1045" spans="1:150" ht="15" customHeight="1">
      <c r="A1045" s="1" t="s">
        <v>265</v>
      </c>
      <c r="B1045" t="s">
        <v>266</v>
      </c>
      <c r="C1045" t="s">
        <v>267</v>
      </c>
      <c r="D1045" t="s">
        <v>268</v>
      </c>
      <c r="E1045" t="s">
        <v>269</v>
      </c>
      <c r="F1045" t="s">
        <v>270</v>
      </c>
      <c r="G1045" t="s">
        <v>271</v>
      </c>
      <c r="H1045" t="s">
        <v>254</v>
      </c>
      <c r="I1045">
        <v>2022</v>
      </c>
      <c r="J1045">
        <v>0</v>
      </c>
      <c r="K1045" t="s">
        <v>272</v>
      </c>
      <c r="M1045" t="str">
        <f>LEFT($D1045,FIND(",",$D1045)-1)&amp;"_"&amp;I1045&amp;L1045</f>
        <v>Aryapratama_2022</v>
      </c>
      <c r="N1045" t="s">
        <v>222</v>
      </c>
      <c r="O1045" s="145" t="s">
        <v>274</v>
      </c>
      <c r="Q1045" t="s">
        <v>224</v>
      </c>
      <c r="R1045" s="262" t="s">
        <v>223</v>
      </c>
      <c r="S1045" s="1" t="s">
        <v>319</v>
      </c>
      <c r="T1045" t="s">
        <v>320</v>
      </c>
      <c r="U1045" t="s">
        <v>275</v>
      </c>
      <c r="V1045">
        <v>0</v>
      </c>
      <c r="W1045">
        <v>0</v>
      </c>
      <c r="X1045">
        <v>0</v>
      </c>
      <c r="Y1045">
        <v>0</v>
      </c>
      <c r="Z1045">
        <v>0</v>
      </c>
      <c r="AA1045">
        <v>0</v>
      </c>
      <c r="AB1045">
        <v>0</v>
      </c>
      <c r="AC1045">
        <v>0</v>
      </c>
      <c r="AD1045">
        <v>0</v>
      </c>
      <c r="AE1045">
        <v>0</v>
      </c>
      <c r="AF1045">
        <v>1</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s="141">
        <f>COUNTIF(V1045:AW1045,"&lt;&gt;0")</f>
        <v>1</v>
      </c>
      <c r="AY1045" s="141">
        <f>COUNTIF(V1045:AL1045,"&lt;&gt;0")</f>
        <v>1</v>
      </c>
      <c r="AZ1045">
        <f>COUNTIF(V1045:AC1045,"&lt;&gt;0")</f>
        <v>0</v>
      </c>
      <c r="BA1045">
        <f>COUNTIF(AD1045:AI1045,"&lt;&gt;0")</f>
        <v>1</v>
      </c>
      <c r="BB1045">
        <f>COUNTIF(AJ1045:AL1045,"&lt;&gt;0")</f>
        <v>0</v>
      </c>
      <c r="BC1045">
        <f>COUNTIF(AS1045:AW1045,"&lt;&gt;0")</f>
        <v>0</v>
      </c>
      <c r="BD1045">
        <f>COUNTIF(AM1045:AR1045,"&lt;&gt;0")</f>
        <v>0</v>
      </c>
      <c r="BE1045" t="str">
        <f t="array" ref="BE1045">IF(AY1045=1,INDEX($V$7:$AL$7,MATCH(TRUE,INDEX($V1045:$AW1045&lt;&gt;0,),0)),IF(AY1045=0,INDEX($AM$7:$AW$7,MATCH(1,$AM1045:$AW1045,0)),IF(BF1045="Multiple strategies","mixed drivers",IF(BF1045="Supply chain","multiple supply","multiple silviculture"))))</f>
        <v>supply chain organization</v>
      </c>
      <c r="BF1045" s="2" t="str" cm="1">
        <f t="array" ref="BF1045">IF(COUNTIF(AZ1045:BB1045,"&lt;&gt;0")=1,INDEX($V$4:$AW$4,MATCH(TRUE,INDEX($V1045:$AW1045&lt;&gt;0,),0)),IF(COUNTIF(AZ1045:BB1045,"&lt;&gt;0")=0,INDEX($AM$4:$AW$4,MATCH(1,$AM1045:$AW1045,0)),"Multiple strategies"))</f>
        <v>Supply chain</v>
      </c>
      <c r="BG1045" s="1" t="s">
        <v>321</v>
      </c>
      <c r="BH1045" s="146" t="s">
        <v>322</v>
      </c>
      <c r="BI1045" t="s">
        <v>323</v>
      </c>
      <c r="BJ1045" t="s">
        <v>278</v>
      </c>
      <c r="BK1045">
        <v>225.96603773584911</v>
      </c>
      <c r="BL1045">
        <v>225.96603773584911</v>
      </c>
      <c r="BM1045">
        <f>BL1045/BK1045</f>
        <v>1</v>
      </c>
      <c r="BN1045">
        <f>BL1045-BK1045</f>
        <v>0</v>
      </c>
      <c r="BO1045">
        <f>BN1045*tC_to_m3</f>
        <v>0</v>
      </c>
      <c r="BP1045" t="s">
        <v>232</v>
      </c>
      <c r="BQ1045" s="337" t="s">
        <v>3107</v>
      </c>
      <c r="BR1045" t="s">
        <v>279</v>
      </c>
      <c r="BS1045">
        <v>-448.98121307248744</v>
      </c>
      <c r="BT1045">
        <v>-435.66826611219864</v>
      </c>
      <c r="BU1045" s="144">
        <f>IFERROR(BS1045/BT1045,"")</f>
        <v>1.0305575319476226</v>
      </c>
      <c r="BV1045">
        <f>BS1045-BT1045</f>
        <v>-13.312946960288798</v>
      </c>
      <c r="BX1045">
        <f>BV1045</f>
        <v>-13.312946960288798</v>
      </c>
      <c r="BY1045" t="str">
        <f>IFERROR(BX1045/BO1045,"")</f>
        <v/>
      </c>
      <c r="BZ1045">
        <v>0</v>
      </c>
      <c r="CA1045">
        <v>0</v>
      </c>
      <c r="CB1045">
        <v>0</v>
      </c>
      <c r="CC1045">
        <v>0</v>
      </c>
      <c r="CD1045">
        <v>0</v>
      </c>
      <c r="CE1045">
        <v>0</v>
      </c>
      <c r="CF1045">
        <v>0</v>
      </c>
      <c r="CG1045">
        <v>0</v>
      </c>
      <c r="CH1045">
        <v>0</v>
      </c>
      <c r="CI1045">
        <v>0</v>
      </c>
      <c r="CJ1045">
        <v>0</v>
      </c>
      <c r="CK1045">
        <v>0</v>
      </c>
      <c r="CL1045">
        <v>0</v>
      </c>
      <c r="CM1045">
        <v>0</v>
      </c>
      <c r="CN1045" t="str">
        <f>IF($BL1045&lt;$BK1045,"refNeedCorrection","refOK")</f>
        <v>refOK</v>
      </c>
      <c r="CO1045">
        <f>IF($CN1045="refOK",$BK1045,$BL1045)</f>
        <v>225.96603773584911</v>
      </c>
      <c r="CP1045">
        <f>IF($CN1045="refOK",$BL1045,$BK1045)</f>
        <v>225.96603773584911</v>
      </c>
      <c r="CQ1045">
        <f>IF($CN1045="refOK",$BO1045,-$BO1045)</f>
        <v>0</v>
      </c>
      <c r="CR1045">
        <f>IF($CN1045="refOK",$BT1045,$BS1045)*IF($BP1045="Emissions positive",-1,1)</f>
        <v>-435.66826611219864</v>
      </c>
      <c r="CS1045">
        <f>IF($CN1045="refOK",$BS1045,$BT1045)*IF($BP1045="Emissions positive",-1,1)</f>
        <v>-448.98121307248744</v>
      </c>
      <c r="CT1045">
        <f>IF($CN1045="refNeedCorrection",-BX1045,BX1045)*IF($BP1045="Emissions positive",-1,1)</f>
        <v>-13.312946960288798</v>
      </c>
      <c r="CU1045" t="str">
        <f>IFERROR(CT1045/CQ1045,"")</f>
        <v/>
      </c>
      <c r="CV1045" s="2">
        <f>IFERROR((CS1045-CR1045)/ABS(CR1045),"")</f>
        <v>-3.0557531947622469E-2</v>
      </c>
      <c r="CW1045" s="1" t="s">
        <v>234</v>
      </c>
      <c r="CX1045" t="str">
        <f>IF(OR($CW1045="prd",$CW1045="std",$CW1045="cit"),"loc",IF(OR($CW1045="eur",$CW1045="reg",$CW1045="coy"),"reg",$CW1045))</f>
        <v>loc</v>
      </c>
      <c r="CY1045" t="s">
        <v>280</v>
      </c>
      <c r="DB1045">
        <v>200</v>
      </c>
      <c r="DC1045" t="str">
        <f>IF(DB1045=0,"0",IF(AND(DB1045&gt;=1,DB1045&lt;=30),"1-30",IF(AND(DB1045&gt;30,DB1045&lt;=70),"31-70",IF(AND(DB1045&gt;70,DB1045&lt;=100),"71-100",IF(DB1045&gt;100,"+100")))))</f>
        <v>+100</v>
      </c>
      <c r="DD1045">
        <v>0</v>
      </c>
      <c r="DE1045">
        <v>1</v>
      </c>
      <c r="DF1045">
        <v>0</v>
      </c>
      <c r="DG1045">
        <v>1</v>
      </c>
      <c r="DI1045">
        <f>SUM(DD1045:DG1045)</f>
        <v>2</v>
      </c>
      <c r="DJ1045" t="str">
        <f>IF(DI1045=1,INDEX($DD$7:$DG$7,MATCH(1,$DD1045:$DG1045,0)),"mixedProduct")</f>
        <v>mixedProduct</v>
      </c>
      <c r="DK1045">
        <f>IF(DD1045=1,DK$7,0)</f>
        <v>0</v>
      </c>
      <c r="DL1045" t="str">
        <f>IF(DE1045=1,DL$7,0)</f>
        <v>Energy</v>
      </c>
      <c r="DM1045">
        <f>IF(DF1045=1,DM$7,0)</f>
        <v>0</v>
      </c>
      <c r="DN1045" t="str">
        <f>IF(DG1045=1,DN$7,0)</f>
        <v>Timber</v>
      </c>
      <c r="DO1045">
        <v>0</v>
      </c>
      <c r="DP1045">
        <v>1</v>
      </c>
      <c r="DQ1045" t="s">
        <v>304</v>
      </c>
      <c r="DR1045" t="s">
        <v>281</v>
      </c>
      <c r="DS1045">
        <v>0</v>
      </c>
      <c r="DT1045">
        <f>SUM(DO1045:DP1045)</f>
        <v>1</v>
      </c>
      <c r="DU1045" s="143" t="str">
        <f>IF(DO1045=1,"self-calculated DF",IF(DP1045=1,"external DF used","explicit C balance"))</f>
        <v>external DF used</v>
      </c>
      <c r="DV1045">
        <v>0</v>
      </c>
      <c r="DW1045">
        <v>1</v>
      </c>
      <c r="DX1045">
        <v>1</v>
      </c>
      <c r="DY1045">
        <v>1</v>
      </c>
      <c r="DZ1045">
        <v>1</v>
      </c>
      <c r="EA1045" s="143">
        <v>0</v>
      </c>
      <c r="EB1045">
        <v>1</v>
      </c>
      <c r="EC1045">
        <v>1</v>
      </c>
      <c r="ED1045">
        <v>0</v>
      </c>
      <c r="EE1045">
        <v>1</v>
      </c>
      <c r="EF1045">
        <v>1</v>
      </c>
      <c r="EG1045">
        <v>1</v>
      </c>
      <c r="EH1045">
        <v>0</v>
      </c>
      <c r="EI1045" s="2">
        <v>0</v>
      </c>
      <c r="EK1045" t="str">
        <f>IF(AND(AND(AND(OR($DX1045=1,$DW1045=1),OR($EC1045=1,$EA1045=1)),SUM($DV1045:$DZ1045,$EF1045)&gt;=4),SUM($EA1045:$EE1045)&gt;=2),"Whole sector","")</f>
        <v>Whole sector</v>
      </c>
      <c r="EL1045" t="str">
        <f>IF(AND(AND(OR($DX1045=1,$DW1045=1),AND($EC1045=0,$EA1045=0)),SUM($DV1045:$DZ1045,$EF1045)&gt;=4),"Ecosystem approach","")</f>
        <v/>
      </c>
      <c r="EM1045" s="2" t="str">
        <f>IF(AND(AND(AND($DX1045=0,$DW1045=0),OR($EC1045=1,$EA1045=1)),SUM($EB1045:$EE1045)&gt;=2),"Technology approach","")</f>
        <v/>
      </c>
      <c r="EN1045" t="s">
        <v>324</v>
      </c>
      <c r="EP1045" t="b">
        <f>IF(ISNUMBER(BU1045),IF(ABS(BU1045-[1]QC_indicators!$B$2)&gt;3*[1]QC_indicators!$C$2,"C ratio",IF(ISNUMBER(BY1045),IF(ABS(BY1045-[1]QC_indicators!$B$1)&gt;3*[1]QC_indicators!$C$1,"DF","no"))),IF(ISNUMBER(BY1045),IF(ABS(BY1045-[1]QC_indicators!$B$1)&gt;3*[1]QC_indicators!$C$1,"DF","no")))</f>
        <v>0</v>
      </c>
      <c r="EQ1045" t="s">
        <v>286</v>
      </c>
      <c r="ER1045" s="147" t="s">
        <v>325</v>
      </c>
      <c r="ET1045" s="264" t="s">
        <v>3273</v>
      </c>
    </row>
    <row r="1046" spans="1:150" ht="15" customHeight="1">
      <c r="A1046" s="1" t="s">
        <v>265</v>
      </c>
      <c r="B1046" t="s">
        <v>266</v>
      </c>
      <c r="C1046" t="s">
        <v>267</v>
      </c>
      <c r="D1046" t="s">
        <v>268</v>
      </c>
      <c r="E1046" t="s">
        <v>269</v>
      </c>
      <c r="F1046" t="s">
        <v>270</v>
      </c>
      <c r="G1046" t="s">
        <v>271</v>
      </c>
      <c r="H1046" t="s">
        <v>254</v>
      </c>
      <c r="I1046">
        <v>2022</v>
      </c>
      <c r="J1046">
        <v>0</v>
      </c>
      <c r="K1046" t="s">
        <v>272</v>
      </c>
      <c r="M1046" t="str">
        <f>LEFT($D1046,FIND(",",$D1046)-1)&amp;"_"&amp;I1046&amp;L1046</f>
        <v>Aryapratama_2022</v>
      </c>
      <c r="N1046" t="s">
        <v>222</v>
      </c>
      <c r="O1046" s="145" t="s">
        <v>274</v>
      </c>
      <c r="Q1046" t="s">
        <v>224</v>
      </c>
      <c r="R1046" s="262" t="s">
        <v>223</v>
      </c>
      <c r="S1046" s="1" t="s">
        <v>319</v>
      </c>
      <c r="T1046" t="s">
        <v>312</v>
      </c>
      <c r="U1046" t="s">
        <v>283</v>
      </c>
      <c r="V1046">
        <v>0</v>
      </c>
      <c r="W1046">
        <v>0</v>
      </c>
      <c r="X1046">
        <v>0</v>
      </c>
      <c r="Y1046">
        <v>0</v>
      </c>
      <c r="Z1046">
        <v>0</v>
      </c>
      <c r="AA1046">
        <v>0</v>
      </c>
      <c r="AB1046">
        <v>0</v>
      </c>
      <c r="AC1046">
        <v>0</v>
      </c>
      <c r="AD1046">
        <v>0</v>
      </c>
      <c r="AE1046">
        <v>0</v>
      </c>
      <c r="AF1046">
        <v>1</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s="141">
        <f>COUNTIF(V1046:AW1046,"&lt;&gt;0")</f>
        <v>1</v>
      </c>
      <c r="AY1046" s="141">
        <f>COUNTIF(V1046:AL1046,"&lt;&gt;0")</f>
        <v>1</v>
      </c>
      <c r="AZ1046">
        <f>COUNTIF(V1046:AC1046,"&lt;&gt;0")</f>
        <v>0</v>
      </c>
      <c r="BA1046">
        <f>COUNTIF(AD1046:AI1046,"&lt;&gt;0")</f>
        <v>1</v>
      </c>
      <c r="BB1046">
        <f>COUNTIF(AJ1046:AL1046,"&lt;&gt;0")</f>
        <v>0</v>
      </c>
      <c r="BC1046">
        <f>COUNTIF(AS1046:AW1046,"&lt;&gt;0")</f>
        <v>0</v>
      </c>
      <c r="BD1046">
        <f>COUNTIF(AM1046:AR1046,"&lt;&gt;0")</f>
        <v>0</v>
      </c>
      <c r="BE1046" t="str">
        <f t="array" ref="BE1046">IF(AY1046=1,INDEX($V$7:$AL$7,MATCH(TRUE,INDEX($V1046:$AW1046&lt;&gt;0,),0)),IF(AY1046=0,INDEX($AM$7:$AW$7,MATCH(1,$AM1046:$AW1046,0)),IF(BF1046="Multiple strategies","mixed drivers",IF(BF1046="Supply chain","multiple supply","multiple silviculture"))))</f>
        <v>supply chain organization</v>
      </c>
      <c r="BF1046" s="2" t="str" cm="1">
        <f t="array" ref="BF1046">IF(COUNTIF(AZ1046:BB1046,"&lt;&gt;0")=1,INDEX($V$4:$AW$4,MATCH(TRUE,INDEX($V1046:$AW1046&lt;&gt;0,),0)),IF(COUNTIF(AZ1046:BB1046,"&lt;&gt;0")=0,INDEX($AM$4:$AW$4,MATCH(1,$AM1046:$AW1046,0)),"Multiple strategies"))</f>
        <v>Supply chain</v>
      </c>
      <c r="BG1046" s="1" t="s">
        <v>321</v>
      </c>
      <c r="BH1046" s="146" t="s">
        <v>322</v>
      </c>
      <c r="BI1046" t="s">
        <v>323</v>
      </c>
      <c r="BJ1046" t="s">
        <v>278</v>
      </c>
      <c r="BK1046" s="148">
        <v>9.6371132903994159</v>
      </c>
      <c r="BL1046" s="148">
        <v>9.6371132903994159</v>
      </c>
      <c r="BM1046">
        <f>BL1046/BK1046</f>
        <v>1</v>
      </c>
      <c r="BN1046">
        <f>BL1046-BK1046</f>
        <v>0</v>
      </c>
      <c r="BO1046">
        <f>BN1046*tC_to_m3</f>
        <v>0</v>
      </c>
      <c r="BP1046" t="s">
        <v>232</v>
      </c>
      <c r="BQ1046" s="337" t="s">
        <v>3107</v>
      </c>
      <c r="BR1046" t="s">
        <v>279</v>
      </c>
      <c r="BS1046">
        <v>726.845318289901</v>
      </c>
      <c r="BT1046">
        <v>739.24076084648095</v>
      </c>
      <c r="BU1046" s="144">
        <f>IFERROR(BS1046/BT1046,"")</f>
        <v>0.98323219820510666</v>
      </c>
      <c r="BV1046">
        <f>BS1046-BT1046</f>
        <v>-12.395442556579951</v>
      </c>
      <c r="BX1046">
        <f>BV1046</f>
        <v>-12.395442556579951</v>
      </c>
      <c r="BY1046" t="str">
        <f>IFERROR(BX1046/BO1046,"")</f>
        <v/>
      </c>
      <c r="BZ1046">
        <v>0</v>
      </c>
      <c r="CA1046">
        <v>0</v>
      </c>
      <c r="CB1046">
        <v>0</v>
      </c>
      <c r="CC1046">
        <v>0</v>
      </c>
      <c r="CD1046">
        <v>0</v>
      </c>
      <c r="CE1046">
        <v>0</v>
      </c>
      <c r="CF1046">
        <v>0</v>
      </c>
      <c r="CG1046">
        <v>0</v>
      </c>
      <c r="CH1046">
        <v>0</v>
      </c>
      <c r="CI1046">
        <v>0</v>
      </c>
      <c r="CJ1046">
        <v>0</v>
      </c>
      <c r="CK1046">
        <v>0</v>
      </c>
      <c r="CL1046">
        <v>0</v>
      </c>
      <c r="CM1046">
        <v>0</v>
      </c>
      <c r="CN1046" t="str">
        <f>IF($BL1046&lt;$BK1046,"refNeedCorrection","refOK")</f>
        <v>refOK</v>
      </c>
      <c r="CO1046">
        <f>IF($CN1046="refOK",$BK1046,$BL1046)</f>
        <v>9.6371132903994159</v>
      </c>
      <c r="CP1046">
        <f>IF($CN1046="refOK",$BL1046,$BK1046)</f>
        <v>9.6371132903994159</v>
      </c>
      <c r="CQ1046">
        <f>IF($CN1046="refOK",$BO1046,-$BO1046)</f>
        <v>0</v>
      </c>
      <c r="CR1046">
        <f>IF($CN1046="refOK",$BT1046,$BS1046)*IF($BP1046="Emissions positive",-1,1)</f>
        <v>739.24076084648095</v>
      </c>
      <c r="CS1046">
        <f>IF($CN1046="refOK",$BS1046,$BT1046)*IF($BP1046="Emissions positive",-1,1)</f>
        <v>726.845318289901</v>
      </c>
      <c r="CT1046">
        <f>IF($CN1046="refNeedCorrection",-BX1046,BX1046)*IF($BP1046="Emissions positive",-1,1)</f>
        <v>-12.395442556579951</v>
      </c>
      <c r="CU1046" t="str">
        <f>IFERROR(CT1046/CQ1046,"")</f>
        <v/>
      </c>
      <c r="CV1046" s="2">
        <f>IFERROR((CS1046-CR1046)/ABS(CR1046),"")</f>
        <v>-1.6767801794893351E-2</v>
      </c>
      <c r="CW1046" s="1" t="s">
        <v>234</v>
      </c>
      <c r="CX1046" t="str">
        <f>IF(OR($CW1046="prd",$CW1046="std",$CW1046="cit"),"loc",IF(OR($CW1046="eur",$CW1046="reg",$CW1046="coy"),"reg",$CW1046))</f>
        <v>loc</v>
      </c>
      <c r="CY1046" t="s">
        <v>280</v>
      </c>
      <c r="DB1046">
        <v>200</v>
      </c>
      <c r="DC1046" t="str">
        <f>IF(DB1046=0,"0",IF(AND(DB1046&gt;=1,DB1046&lt;=30),"1-30",IF(AND(DB1046&gt;30,DB1046&lt;=70),"31-70",IF(AND(DB1046&gt;70,DB1046&lt;=100),"71-100",IF(DB1046&gt;100,"+100")))))</f>
        <v>+100</v>
      </c>
      <c r="DD1046">
        <v>0</v>
      </c>
      <c r="DE1046">
        <v>1</v>
      </c>
      <c r="DF1046">
        <v>0</v>
      </c>
      <c r="DG1046">
        <v>1</v>
      </c>
      <c r="DI1046">
        <f>SUM(DD1046:DG1046)</f>
        <v>2</v>
      </c>
      <c r="DJ1046" t="str">
        <f>IF(DI1046=1,INDEX($DD$7:$DG$7,MATCH(1,$DD1046:$DG1046,0)),"mixedProduct")</f>
        <v>mixedProduct</v>
      </c>
      <c r="DK1046">
        <f>IF(DD1046=1,DK$7,0)</f>
        <v>0</v>
      </c>
      <c r="DL1046" t="str">
        <f>IF(DE1046=1,DL$7,0)</f>
        <v>Energy</v>
      </c>
      <c r="DM1046">
        <f>IF(DF1046=1,DM$7,0)</f>
        <v>0</v>
      </c>
      <c r="DN1046" t="str">
        <f>IF(DG1046=1,DN$7,0)</f>
        <v>Timber</v>
      </c>
      <c r="DO1046">
        <v>0</v>
      </c>
      <c r="DP1046">
        <v>1</v>
      </c>
      <c r="DQ1046" t="s">
        <v>304</v>
      </c>
      <c r="DR1046" t="s">
        <v>281</v>
      </c>
      <c r="DS1046">
        <v>0</v>
      </c>
      <c r="DT1046">
        <f>SUM(DO1046:DP1046)</f>
        <v>1</v>
      </c>
      <c r="DU1046" s="143" t="str">
        <f>IF(DO1046=1,"self-calculated DF",IF(DP1046=1,"external DF used","explicit C balance"))</f>
        <v>external DF used</v>
      </c>
      <c r="DV1046">
        <v>0</v>
      </c>
      <c r="DW1046">
        <v>1</v>
      </c>
      <c r="DX1046">
        <v>1</v>
      </c>
      <c r="DY1046">
        <v>1</v>
      </c>
      <c r="DZ1046">
        <v>1</v>
      </c>
      <c r="EA1046" s="143">
        <v>0</v>
      </c>
      <c r="EB1046">
        <v>1</v>
      </c>
      <c r="EC1046">
        <v>1</v>
      </c>
      <c r="ED1046">
        <v>0</v>
      </c>
      <c r="EE1046">
        <v>1</v>
      </c>
      <c r="EF1046">
        <v>1</v>
      </c>
      <c r="EG1046">
        <v>1</v>
      </c>
      <c r="EH1046">
        <v>0</v>
      </c>
      <c r="EI1046" s="2">
        <v>0</v>
      </c>
      <c r="EK1046" t="str">
        <f>IF(AND(AND(AND(OR($DX1046=1,$DW1046=1),OR($EC1046=1,$EA1046=1)),SUM($DV1046:$DZ1046,$EF1046)&gt;=4),SUM($EA1046:$EE1046)&gt;=2),"Whole sector","")</f>
        <v>Whole sector</v>
      </c>
      <c r="EL1046" t="str">
        <f>IF(AND(AND(OR($DX1046=1,$DW1046=1),AND($EC1046=0,$EA1046=0)),SUM($DV1046:$DZ1046,$EF1046)&gt;=4),"Ecosystem approach","")</f>
        <v/>
      </c>
      <c r="EM1046" s="2" t="str">
        <f>IF(AND(AND(AND($DX1046=0,$DW1046=0),OR($EC1046=1,$EA1046=1)),SUM($EB1046:$EE1046)&gt;=2),"Technology approach","")</f>
        <v/>
      </c>
      <c r="EN1046" t="s">
        <v>324</v>
      </c>
      <c r="EP1046" t="b">
        <f>IF(ISNUMBER(BU1046),IF(ABS(BU1046-[1]QC_indicators!$B$2)&gt;3*[1]QC_indicators!$C$2,"C ratio",IF(ISNUMBER(BY1046),IF(ABS(BY1046-[1]QC_indicators!$B$1)&gt;3*[1]QC_indicators!$C$1,"DF","no"))),IF(ISNUMBER(BY1046),IF(ABS(BY1046-[1]QC_indicators!$B$1)&gt;3*[1]QC_indicators!$C$1,"DF","no")))</f>
        <v>0</v>
      </c>
      <c r="EQ1046" t="s">
        <v>286</v>
      </c>
      <c r="ER1046" s="147" t="s">
        <v>325</v>
      </c>
      <c r="ET1046" s="264" t="s">
        <v>3273</v>
      </c>
    </row>
    <row r="1047" spans="1:150" ht="15" customHeight="1">
      <c r="A1047" s="1" t="s">
        <v>265</v>
      </c>
      <c r="B1047" t="s">
        <v>266</v>
      </c>
      <c r="C1047" t="s">
        <v>267</v>
      </c>
      <c r="D1047" t="s">
        <v>268</v>
      </c>
      <c r="E1047" t="s">
        <v>269</v>
      </c>
      <c r="F1047" t="s">
        <v>270</v>
      </c>
      <c r="G1047" t="s">
        <v>271</v>
      </c>
      <c r="H1047" t="s">
        <v>254</v>
      </c>
      <c r="I1047">
        <v>2022</v>
      </c>
      <c r="J1047">
        <v>0</v>
      </c>
      <c r="K1047" t="s">
        <v>272</v>
      </c>
      <c r="M1047" t="str">
        <f>LEFT($D1047,FIND(",",$D1047)-1)&amp;"_"&amp;I1047&amp;L1047</f>
        <v>Aryapratama_2022</v>
      </c>
      <c r="N1047" t="s">
        <v>222</v>
      </c>
      <c r="O1047" s="145" t="s">
        <v>274</v>
      </c>
      <c r="Q1047" t="s">
        <v>224</v>
      </c>
      <c r="R1047" s="262" t="s">
        <v>223</v>
      </c>
      <c r="S1047" s="263" t="s">
        <v>3108</v>
      </c>
      <c r="T1047" t="s">
        <v>283</v>
      </c>
      <c r="U1047" t="s">
        <v>284</v>
      </c>
      <c r="V1047">
        <v>0</v>
      </c>
      <c r="W1047">
        <v>0</v>
      </c>
      <c r="X1047">
        <v>0</v>
      </c>
      <c r="Y1047">
        <v>0</v>
      </c>
      <c r="Z1047">
        <v>0</v>
      </c>
      <c r="AA1047">
        <v>0</v>
      </c>
      <c r="AB1047">
        <v>0</v>
      </c>
      <c r="AC1047">
        <v>0</v>
      </c>
      <c r="AD1047">
        <v>1</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s="141">
        <f>COUNTIF(V1047:AW1047,"&lt;&gt;0")</f>
        <v>1</v>
      </c>
      <c r="AY1047" s="141">
        <f>COUNTIF(V1047:AL1047,"&lt;&gt;0")</f>
        <v>1</v>
      </c>
      <c r="AZ1047">
        <f>COUNTIF(V1047:AC1047,"&lt;&gt;0")</f>
        <v>0</v>
      </c>
      <c r="BA1047">
        <f>COUNTIF(AD1047:AI1047,"&lt;&gt;0")</f>
        <v>1</v>
      </c>
      <c r="BB1047">
        <f>COUNTIF(AJ1047:AL1047,"&lt;&gt;0")</f>
        <v>0</v>
      </c>
      <c r="BC1047">
        <f>COUNTIF(AS1047:AW1047,"&lt;&gt;0")</f>
        <v>0</v>
      </c>
      <c r="BD1047">
        <f>COUNTIF(AM1047:AR1047,"&lt;&gt;0")</f>
        <v>0</v>
      </c>
      <c r="BE1047" t="str">
        <f t="array" ref="BE1047">IF(AY1047=1,INDEX($V$7:$AL$7,MATCH(TRUE,INDEX($V1047:$AW1047&lt;&gt;0,),0)),IF(AY1047=0,INDEX($AM$7:$AW$7,MATCH(1,$AM1047:$AW1047,0)),IF(BF1047="Multiple strategies","mixed drivers",IF(BF1047="Supply chain","multiple supply","multiple silviculture"))))</f>
        <v>harvesting system</v>
      </c>
      <c r="BF1047" s="2" t="str" cm="1">
        <f t="array" ref="BF1047">IF(COUNTIF(AZ1047:BB1047,"&lt;&gt;0")=1,INDEX($V$4:$AW$4,MATCH(TRUE,INDEX($V1047:$AW1047&lt;&gt;0,),0)),IF(COUNTIF(AZ1047:BB1047,"&lt;&gt;0")=0,INDEX($AM$4:$AW$4,MATCH(1,$AM1047:$AW1047,0)),"Multiple strategies"))</f>
        <v>Supply chain</v>
      </c>
      <c r="BG1047" s="1" t="s">
        <v>229</v>
      </c>
      <c r="BH1047" t="s">
        <v>285</v>
      </c>
      <c r="BJ1047" t="s">
        <v>278</v>
      </c>
      <c r="BK1047">
        <v>34.69360784543791</v>
      </c>
      <c r="BL1047">
        <v>34.69360784543791</v>
      </c>
      <c r="BM1047">
        <f>BL1047/BK1047</f>
        <v>1</v>
      </c>
      <c r="BN1047">
        <f>BL1047-BK1047</f>
        <v>0</v>
      </c>
      <c r="BO1047">
        <f>BN1047*tC_to_m3</f>
        <v>0</v>
      </c>
      <c r="BP1047" t="s">
        <v>232</v>
      </c>
      <c r="BQ1047" s="337" t="s">
        <v>3107</v>
      </c>
      <c r="BR1047" t="s">
        <v>279</v>
      </c>
      <c r="BS1047">
        <v>739.24076084648095</v>
      </c>
      <c r="BT1047">
        <v>377.50107760210591</v>
      </c>
      <c r="BU1047" s="144">
        <f>IFERROR(BT1047/BS1047,"")</f>
        <v>0.51066052847226862</v>
      </c>
      <c r="BV1047">
        <f>BT1047-BS1047</f>
        <v>-361.73968324437504</v>
      </c>
      <c r="BX1047">
        <f>BV1047</f>
        <v>-361.73968324437504</v>
      </c>
      <c r="BY1047" t="str">
        <f>IFERROR(BX1047/BO1047,"")</f>
        <v/>
      </c>
      <c r="BZ1047">
        <v>0</v>
      </c>
      <c r="CA1047">
        <v>0</v>
      </c>
      <c r="CB1047">
        <v>0</v>
      </c>
      <c r="CC1047">
        <v>0</v>
      </c>
      <c r="CD1047">
        <v>0</v>
      </c>
      <c r="CE1047">
        <v>0</v>
      </c>
      <c r="CF1047">
        <v>0</v>
      </c>
      <c r="CG1047">
        <v>0</v>
      </c>
      <c r="CH1047">
        <v>0</v>
      </c>
      <c r="CI1047">
        <v>0</v>
      </c>
      <c r="CJ1047">
        <v>0</v>
      </c>
      <c r="CK1047">
        <v>0</v>
      </c>
      <c r="CL1047">
        <v>0</v>
      </c>
      <c r="CM1047">
        <v>0</v>
      </c>
      <c r="CN1047" t="str">
        <f>IF($BL1047&lt;$BK1047,"refNeedCorrection","refOK")</f>
        <v>refOK</v>
      </c>
      <c r="CO1047">
        <f>IF($CN1047="refOK",$BK1047,$BL1047)</f>
        <v>34.69360784543791</v>
      </c>
      <c r="CP1047">
        <f>IF($CN1047="refOK",$BL1047,$BK1047)</f>
        <v>34.69360784543791</v>
      </c>
      <c r="CQ1047">
        <f>IF($CN1047="refOK",$BO1047,-$BO1047)</f>
        <v>0</v>
      </c>
      <c r="CR1047">
        <f>IF($CN1047="refOK",$BS1047,$BT1047)*IF($BP1047="Emissions positive",-1,1)</f>
        <v>739.24076084648095</v>
      </c>
      <c r="CS1047">
        <f>IF($CN1047="refOK",$BT1047,$BS1047)*IF($BP1047="Emissions positive",-1,1)</f>
        <v>377.50107760210591</v>
      </c>
      <c r="CT1047">
        <f>IF($CN1047="refNeedCorrection",-BX1047,BX1047)*IF($BP1047="Emissions positive",-1,1)</f>
        <v>-361.73968324437504</v>
      </c>
      <c r="CU1047" t="str">
        <f>IFERROR(CT1047/CQ1047,"")</f>
        <v/>
      </c>
      <c r="CV1047" s="2">
        <f>IFERROR((CS1047-CR1047)/ABS(CR1047),"")</f>
        <v>-0.48933947152773138</v>
      </c>
      <c r="CW1047" s="1" t="s">
        <v>234</v>
      </c>
      <c r="CX1047" t="str">
        <f>IF(OR($CW1047="prd",$CW1047="std",$CW1047="cit"),"loc",IF(OR($CW1047="eur",$CW1047="reg",$CW1047="coy"),"reg",$CW1047))</f>
        <v>loc</v>
      </c>
      <c r="CY1047" t="s">
        <v>280</v>
      </c>
      <c r="DB1047">
        <v>200</v>
      </c>
      <c r="DC1047" t="str">
        <f>IF(DB1047=0,"0",IF(AND(DB1047&gt;=1,DB1047&lt;=30),"1-30",IF(AND(DB1047&gt;30,DB1047&lt;=70),"31-70",IF(AND(DB1047&gt;70,DB1047&lt;=100),"71-100",IF(DB1047&gt;100,"+100")))))</f>
        <v>+100</v>
      </c>
      <c r="DD1047">
        <v>0</v>
      </c>
      <c r="DE1047">
        <v>0</v>
      </c>
      <c r="DF1047">
        <v>0</v>
      </c>
      <c r="DG1047">
        <v>1</v>
      </c>
      <c r="DI1047">
        <f>SUM(DD1047:DG1047)</f>
        <v>1</v>
      </c>
      <c r="DJ1047" t="str">
        <f>IF(DI1047=1,INDEX($DD$7:$DG$7,MATCH(1,$DD1047:$DG1047,0)),"mixedProduct")</f>
        <v>TimberInput</v>
      </c>
      <c r="DK1047">
        <f>IF(DD1047=1,DK$7,0)</f>
        <v>0</v>
      </c>
      <c r="DL1047">
        <f>IF(DE1047=1,DL$7,0)</f>
        <v>0</v>
      </c>
      <c r="DM1047">
        <f>IF(DF1047=1,DM$7,0)</f>
        <v>0</v>
      </c>
      <c r="DN1047" t="str">
        <f>IF(DG1047=1,DN$7,0)</f>
        <v>Timber</v>
      </c>
      <c r="DO1047">
        <v>0</v>
      </c>
      <c r="DP1047">
        <v>1</v>
      </c>
      <c r="DQ1047">
        <v>0</v>
      </c>
      <c r="DR1047" t="s">
        <v>281</v>
      </c>
      <c r="DS1047">
        <v>0</v>
      </c>
      <c r="DT1047">
        <f>SUM(DO1047:DP1047)</f>
        <v>1</v>
      </c>
      <c r="DU1047" s="143" t="str">
        <f>IF(DO1047=1,"self-calculated DF",IF(DP1047=1,"external DF used","explicit C balance"))</f>
        <v>external DF used</v>
      </c>
      <c r="DV1047">
        <v>0</v>
      </c>
      <c r="DW1047">
        <v>1</v>
      </c>
      <c r="DX1047">
        <v>1</v>
      </c>
      <c r="DY1047">
        <v>1</v>
      </c>
      <c r="DZ1047">
        <v>1</v>
      </c>
      <c r="EA1047" s="143">
        <v>0</v>
      </c>
      <c r="EB1047">
        <v>1</v>
      </c>
      <c r="EC1047">
        <v>1</v>
      </c>
      <c r="ED1047">
        <v>0</v>
      </c>
      <c r="EE1047">
        <v>1</v>
      </c>
      <c r="EF1047">
        <v>1</v>
      </c>
      <c r="EG1047">
        <v>1</v>
      </c>
      <c r="EH1047">
        <v>0</v>
      </c>
      <c r="EI1047" s="2">
        <v>0</v>
      </c>
      <c r="EK1047" t="str">
        <f>IF(AND(AND(AND(OR($DX1047=1,$DW1047=1),OR($EC1047=1,$EA1047=1)),SUM($DV1047:$DZ1047,$EF1047)&gt;=4),SUM($EA1047:$EE1047)&gt;=2),"Whole sector","")</f>
        <v>Whole sector</v>
      </c>
      <c r="EL1047" t="str">
        <f>IF(AND(AND(OR($DX1047=1,$DW1047=1),AND($EC1047=0,$EA1047=0)),SUM($DV1047:$DZ1047,$EF1047)&gt;=4),"Ecosystem approach","")</f>
        <v/>
      </c>
      <c r="EM1047" s="2" t="str">
        <f>IF(AND(AND(AND($DX1047=0,$DW1047=0),OR($EC1047=1,$EA1047=1)),SUM($EB1047:$EE1047)&gt;=2),"Technology approach","")</f>
        <v/>
      </c>
      <c r="EP1047" t="b">
        <f>IF(ISNUMBER(BU1047),IF(ABS(BU1047-[1]QC_indicators!$B$2)&gt;3*[1]QC_indicators!$C$2,"C ratio",IF(ISNUMBER(BY1047),IF(ABS(BY1047-[1]QC_indicators!$B$1)&gt;3*[1]QC_indicators!$C$1,"DF","no"))),IF(ISNUMBER(BY1047),IF(ABS(BY1047-[1]QC_indicators!$B$1)&gt;3*[1]QC_indicators!$C$1,"DF","no")))</f>
        <v>0</v>
      </c>
      <c r="EQ1047" t="s">
        <v>286</v>
      </c>
      <c r="ET1047" s="264" t="s">
        <v>3273</v>
      </c>
    </row>
    <row r="1048" spans="1:150" ht="15" customHeight="1">
      <c r="A1048" s="1" t="s">
        <v>265</v>
      </c>
      <c r="B1048" t="s">
        <v>266</v>
      </c>
      <c r="C1048" t="s">
        <v>267</v>
      </c>
      <c r="D1048" t="s">
        <v>268</v>
      </c>
      <c r="E1048" t="s">
        <v>269</v>
      </c>
      <c r="F1048" t="s">
        <v>270</v>
      </c>
      <c r="G1048" t="s">
        <v>271</v>
      </c>
      <c r="H1048" t="s">
        <v>254</v>
      </c>
      <c r="I1048">
        <v>2022</v>
      </c>
      <c r="J1048">
        <v>0</v>
      </c>
      <c r="K1048" t="s">
        <v>272</v>
      </c>
      <c r="M1048" t="str">
        <f>LEFT($D1048,FIND(",",$D1048)-1)&amp;"_"&amp;I1048&amp;L1048</f>
        <v>Aryapratama_2022</v>
      </c>
      <c r="N1048" t="s">
        <v>222</v>
      </c>
      <c r="O1048" s="145" t="s">
        <v>274</v>
      </c>
      <c r="Q1048" t="s">
        <v>224</v>
      </c>
      <c r="R1048" s="262" t="s">
        <v>223</v>
      </c>
      <c r="S1048" s="263" t="s">
        <v>3105</v>
      </c>
      <c r="T1048" t="s">
        <v>309</v>
      </c>
      <c r="U1048" t="s">
        <v>310</v>
      </c>
      <c r="V1048">
        <v>0</v>
      </c>
      <c r="W1048">
        <v>0</v>
      </c>
      <c r="X1048">
        <v>0</v>
      </c>
      <c r="Y1048">
        <v>0</v>
      </c>
      <c r="Z1048">
        <v>0</v>
      </c>
      <c r="AA1048">
        <v>0</v>
      </c>
      <c r="AB1048">
        <v>0</v>
      </c>
      <c r="AC1048">
        <v>0</v>
      </c>
      <c r="AD1048">
        <v>0</v>
      </c>
      <c r="AE1048">
        <v>0</v>
      </c>
      <c r="AF1048">
        <v>0</v>
      </c>
      <c r="AG1048">
        <v>0</v>
      </c>
      <c r="AH1048">
        <v>0</v>
      </c>
      <c r="AI1048">
        <v>0</v>
      </c>
      <c r="AJ1048">
        <v>0</v>
      </c>
      <c r="AK1048">
        <v>1</v>
      </c>
      <c r="AL1048">
        <v>0</v>
      </c>
      <c r="AM1048">
        <v>0</v>
      </c>
      <c r="AN1048">
        <v>0</v>
      </c>
      <c r="AO1048">
        <v>0</v>
      </c>
      <c r="AP1048">
        <v>0</v>
      </c>
      <c r="AQ1048">
        <v>0</v>
      </c>
      <c r="AR1048">
        <v>0</v>
      </c>
      <c r="AS1048">
        <v>0</v>
      </c>
      <c r="AT1048">
        <v>0</v>
      </c>
      <c r="AU1048">
        <v>0</v>
      </c>
      <c r="AV1048">
        <v>0</v>
      </c>
      <c r="AW1048">
        <v>0</v>
      </c>
      <c r="AX1048" s="141">
        <f>COUNTIF(V1048:AW1048,"&lt;&gt;0")</f>
        <v>1</v>
      </c>
      <c r="AY1048" s="141">
        <f>COUNTIF(V1048:AL1048,"&lt;&gt;0")</f>
        <v>1</v>
      </c>
      <c r="AZ1048">
        <f>COUNTIF(V1048:AC1048,"&lt;&gt;0")</f>
        <v>0</v>
      </c>
      <c r="BA1048">
        <f>COUNTIF(AD1048:AI1048,"&lt;&gt;0")</f>
        <v>0</v>
      </c>
      <c r="BB1048">
        <f>COUNTIF(AJ1048:AL1048,"&lt;&gt;0")</f>
        <v>1</v>
      </c>
      <c r="BC1048">
        <f>COUNTIF(AS1048:AW1048,"&lt;&gt;0")</f>
        <v>0</v>
      </c>
      <c r="BD1048">
        <f>COUNTIF(AM1048:AR1048,"&lt;&gt;0")</f>
        <v>0</v>
      </c>
      <c r="BE1048" t="str">
        <f t="array" ref="BE1048">IF(AY1048=1,INDEX($V$7:$AL$7,MATCH(TRUE,INDEX($V1048:$AW1048&lt;&gt;0,),0)),IF(AY1048=0,INDEX($AM$7:$AW$7,MATCH(1,$AM1048:$AW1048,0)),IF(BF1048="Multiple strategies","mixed drivers",IF(BF1048="Supply chain","multiple supply","multiple silviculture"))))</f>
        <v>technologies/design switch</v>
      </c>
      <c r="BF1048" s="2" t="str" cm="1">
        <f t="array" ref="BF1048">IF(COUNTIF(AZ1048:BB1048,"&lt;&gt;0")=1,INDEX($V$4:$AW$4,MATCH(TRUE,INDEX($V1048:$AW1048&lt;&gt;0,),0)),IF(COUNTIF(AZ1048:BB1048,"&lt;&gt;0")=0,INDEX($AM$4:$AW$4,MATCH(1,$AM1048:$AW1048,0)),"Multiple strategies"))</f>
        <v>Technology</v>
      </c>
      <c r="BG1048" s="1" t="s">
        <v>229</v>
      </c>
      <c r="BH1048" t="s">
        <v>277</v>
      </c>
      <c r="BJ1048" t="s">
        <v>278</v>
      </c>
      <c r="BK1048">
        <v>0</v>
      </c>
      <c r="BL1048">
        <v>0</v>
      </c>
      <c r="BN1048">
        <f>BL1048-BK1048</f>
        <v>0</v>
      </c>
      <c r="BO1048">
        <f>BN1048*tC_to_m3</f>
        <v>0</v>
      </c>
      <c r="BP1048" t="s">
        <v>232</v>
      </c>
      <c r="BQ1048" s="337" t="s">
        <v>3107</v>
      </c>
      <c r="BR1048" t="s">
        <v>279</v>
      </c>
      <c r="BS1048">
        <v>0</v>
      </c>
      <c r="BT1048">
        <v>161.1445967933179</v>
      </c>
      <c r="BU1048" s="144" t="str">
        <f>IFERROR(BT1048/BS1048,"")</f>
        <v/>
      </c>
      <c r="BV1048">
        <f>BT1048-BS1048</f>
        <v>161.1445967933179</v>
      </c>
      <c r="BX1048">
        <f>BV1048</f>
        <v>161.1445967933179</v>
      </c>
      <c r="BY1048" t="str">
        <f>IFERROR(BX1048/BO1048,"")</f>
        <v/>
      </c>
      <c r="BZ1048">
        <v>0</v>
      </c>
      <c r="CA1048">
        <v>0</v>
      </c>
      <c r="CB1048">
        <v>0</v>
      </c>
      <c r="CC1048">
        <v>0</v>
      </c>
      <c r="CD1048">
        <v>0</v>
      </c>
      <c r="CE1048">
        <v>0</v>
      </c>
      <c r="CF1048">
        <v>0</v>
      </c>
      <c r="CG1048">
        <v>0</v>
      </c>
      <c r="CH1048">
        <v>0</v>
      </c>
      <c r="CI1048">
        <v>0</v>
      </c>
      <c r="CJ1048">
        <v>0</v>
      </c>
      <c r="CK1048">
        <v>0</v>
      </c>
      <c r="CL1048">
        <v>0</v>
      </c>
      <c r="CM1048">
        <v>0</v>
      </c>
      <c r="CN1048" t="str">
        <f>IF(BL1048&lt;BK1048,"refNeedCorrection","refOK")</f>
        <v>refOK</v>
      </c>
      <c r="CO1048">
        <f>IF($CN1048="refOK",$BK1048,$BL1048)</f>
        <v>0</v>
      </c>
      <c r="CP1048">
        <f>IF($CN1048="refOK",$BL1048,$BK1048)</f>
        <v>0</v>
      </c>
      <c r="CQ1048">
        <f>IF($CN1048="refOK",$BO1048,-$BO1048)</f>
        <v>0</v>
      </c>
      <c r="CR1048">
        <f>IF($CN1048="refOK",$BS1048,$BT1048)*IF($BP1048="Emissions positive",-1,1)</f>
        <v>0</v>
      </c>
      <c r="CS1048">
        <f>IF($CN1048="refOK",$BT1048,$BS1048)*IF($BP1048="Emissions positive",-1,1)</f>
        <v>161.1445967933179</v>
      </c>
      <c r="CT1048">
        <f>IF($CN1048="refNeedCorrection",-BX1048,BX1048)*IF($BP1048="Emissions positive",-1,1)</f>
        <v>161.1445967933179</v>
      </c>
      <c r="CU1048" t="str">
        <f>IFERROR(CT1048/CQ1048,"")</f>
        <v/>
      </c>
      <c r="CV1048" s="2" t="str">
        <f>IFERROR((CS1048-CR1048)/ABS(CR1048),"")</f>
        <v/>
      </c>
      <c r="CW1048" s="1" t="s">
        <v>234</v>
      </c>
      <c r="CX1048" t="str">
        <f>IF(OR($CW1048="prd",$CW1048="std",$CW1048="cit"),"loc",IF(OR($CW1048="eur",$CW1048="reg",$CW1048="coy"),"reg",$CW1048))</f>
        <v>loc</v>
      </c>
      <c r="CY1048" t="s">
        <v>280</v>
      </c>
      <c r="DB1048">
        <v>50</v>
      </c>
      <c r="DC1048" t="str">
        <f>IF(DB1048=0,"0",IF(AND(DB1048&gt;=1,DB1048&lt;=30),"1-30",IF(AND(DB1048&gt;30,DB1048&lt;=70),"31-70",IF(AND(DB1048&gt;70,DB1048&lt;=100),"71-100",IF(DB1048&gt;100,"+100")))))</f>
        <v>31-70</v>
      </c>
      <c r="DD1048">
        <v>0</v>
      </c>
      <c r="DE1048">
        <v>0</v>
      </c>
      <c r="DF1048">
        <v>0</v>
      </c>
      <c r="DG1048">
        <v>1</v>
      </c>
      <c r="DI1048">
        <f>SUM(DD1048:DG1048)</f>
        <v>1</v>
      </c>
      <c r="DJ1048" t="str">
        <f>IF(DI1048=1,INDEX($DD$7:$DG$7,MATCH(1,$DD1048:$DG1048,0)),"mixedProduct")</f>
        <v>TimberInput</v>
      </c>
      <c r="DK1048">
        <f>IF(DD1048=1,DK$7,0)</f>
        <v>0</v>
      </c>
      <c r="DL1048">
        <f>IF(DE1048=1,DL$7,0)</f>
        <v>0</v>
      </c>
      <c r="DM1048">
        <f>IF(DF1048=1,DM$7,0)</f>
        <v>0</v>
      </c>
      <c r="DN1048" t="str">
        <f>IF(DG1048=1,DN$7,0)</f>
        <v>Timber</v>
      </c>
      <c r="DO1048">
        <v>0</v>
      </c>
      <c r="DP1048">
        <v>1</v>
      </c>
      <c r="DQ1048" t="s">
        <v>304</v>
      </c>
      <c r="DR1048">
        <v>0</v>
      </c>
      <c r="DS1048">
        <v>0</v>
      </c>
      <c r="DT1048">
        <f>SUM(DO1048:DP1048)</f>
        <v>1</v>
      </c>
      <c r="DU1048" s="143" t="str">
        <f>IF(DO1048=1,"self-calculated DF",IF(DP1048=1,"external DF used","explicit C balance"))</f>
        <v>external DF used</v>
      </c>
      <c r="DV1048">
        <v>0</v>
      </c>
      <c r="DW1048">
        <v>1</v>
      </c>
      <c r="DX1048">
        <v>1</v>
      </c>
      <c r="DY1048">
        <v>1</v>
      </c>
      <c r="DZ1048">
        <v>1</v>
      </c>
      <c r="EA1048" s="143">
        <v>0</v>
      </c>
      <c r="EB1048">
        <v>1</v>
      </c>
      <c r="EC1048">
        <v>1</v>
      </c>
      <c r="ED1048">
        <v>0</v>
      </c>
      <c r="EE1048">
        <v>1</v>
      </c>
      <c r="EF1048">
        <v>1</v>
      </c>
      <c r="EG1048">
        <v>1</v>
      </c>
      <c r="EH1048">
        <v>0</v>
      </c>
      <c r="EI1048" s="2">
        <v>0</v>
      </c>
      <c r="EK1048" t="str">
        <f>IF(AND(AND(AND(OR($DX1048=1,$DW1048=1),OR($EC1048=1,$EA1048=1)),SUM($DV1048:$DZ1048,$EF1048)&gt;=4),SUM($EA1048:$EE1048)&gt;=2),"Whole sector","")</f>
        <v>Whole sector</v>
      </c>
      <c r="EL1048" t="str">
        <f>IF(AND(AND(OR($DX1048=1,$DW1048=1),AND($EC1048=0,$EA1048=0)),SUM($DV1048:$DZ1048,$EF1048)&gt;=4),"Ecosystem approach","")</f>
        <v/>
      </c>
      <c r="EM1048" s="2" t="str">
        <f>IF(AND(AND(AND($DX1048=0,$DW1048=0),OR($EC1048=1,$EA1048=1)),SUM($EB1048:$EE1048)&gt;=2),"Technology approach","")</f>
        <v/>
      </c>
      <c r="EP1048" t="b">
        <f>IF(ISNUMBER(BU1048),IF(ABS(BU1048-[1]QC_indicators!$B$2)&gt;3*[1]QC_indicators!$C$2,"C ratio",IF(ISNUMBER(BY1048),IF(ABS(BY1048-[1]QC_indicators!$B$1)&gt;3*[1]QC_indicators!$C$1,"DF","no"))),IF(ISNUMBER(BY1048),IF(ABS(BY1048-[1]QC_indicators!$B$1)&gt;3*[1]QC_indicators!$C$1,"DF","no")))</f>
        <v>0</v>
      </c>
      <c r="EQ1048" t="s">
        <v>286</v>
      </c>
      <c r="ET1048" s="264" t="s">
        <v>3273</v>
      </c>
    </row>
    <row r="1049" spans="1:150" ht="15" customHeight="1">
      <c r="A1049" s="1" t="s">
        <v>430</v>
      </c>
      <c r="B1049" t="s">
        <v>431</v>
      </c>
      <c r="C1049" t="s">
        <v>432</v>
      </c>
      <c r="D1049" t="s">
        <v>433</v>
      </c>
      <c r="E1049" t="s">
        <v>434</v>
      </c>
      <c r="F1049" t="s">
        <v>435</v>
      </c>
      <c r="G1049" t="s">
        <v>436</v>
      </c>
      <c r="H1049" t="s">
        <v>254</v>
      </c>
      <c r="I1049">
        <v>2000</v>
      </c>
      <c r="J1049">
        <v>174</v>
      </c>
      <c r="K1049" t="s">
        <v>437</v>
      </c>
      <c r="M1049" t="str">
        <f>LEFT($D1049,FIND(",",$D1049)-1)&amp;"_"&amp;I1049&amp;L1049</f>
        <v>Borjesson_2000</v>
      </c>
      <c r="N1049" t="s">
        <v>222</v>
      </c>
      <c r="O1049" s="145" t="s">
        <v>223</v>
      </c>
      <c r="Q1049" t="s">
        <v>256</v>
      </c>
      <c r="R1049" s="255" t="s">
        <v>225</v>
      </c>
      <c r="S1049" s="1" t="s">
        <v>458</v>
      </c>
      <c r="T1049" t="s">
        <v>459</v>
      </c>
      <c r="U1049" t="s">
        <v>460</v>
      </c>
      <c r="V1049">
        <v>0</v>
      </c>
      <c r="W1049">
        <v>0</v>
      </c>
      <c r="X1049">
        <v>0</v>
      </c>
      <c r="Y1049">
        <v>0</v>
      </c>
      <c r="Z1049">
        <v>0</v>
      </c>
      <c r="AA1049">
        <v>0</v>
      </c>
      <c r="AB1049">
        <v>0</v>
      </c>
      <c r="AC1049">
        <v>0</v>
      </c>
      <c r="AD1049">
        <v>0</v>
      </c>
      <c r="AE1049">
        <v>0</v>
      </c>
      <c r="AF1049">
        <v>0</v>
      </c>
      <c r="AG1049">
        <v>0</v>
      </c>
      <c r="AH1049">
        <v>0</v>
      </c>
      <c r="AI1049">
        <v>1</v>
      </c>
      <c r="AJ1049">
        <v>0</v>
      </c>
      <c r="AK1049">
        <v>0</v>
      </c>
      <c r="AL1049">
        <v>0</v>
      </c>
      <c r="AM1049">
        <v>0</v>
      </c>
      <c r="AN1049">
        <v>0</v>
      </c>
      <c r="AO1049">
        <v>0</v>
      </c>
      <c r="AP1049">
        <v>0</v>
      </c>
      <c r="AQ1049">
        <v>0</v>
      </c>
      <c r="AR1049">
        <v>0</v>
      </c>
      <c r="AS1049">
        <v>0</v>
      </c>
      <c r="AT1049">
        <v>0</v>
      </c>
      <c r="AU1049">
        <v>0</v>
      </c>
      <c r="AV1049">
        <v>0</v>
      </c>
      <c r="AW1049">
        <v>0</v>
      </c>
      <c r="AX1049" s="141">
        <f>COUNTIF(V1049:AW1049,"&lt;&gt;0")</f>
        <v>1</v>
      </c>
      <c r="AY1049" s="141">
        <f>COUNTIF(V1049:AL1049,"&lt;&gt;0")</f>
        <v>1</v>
      </c>
      <c r="AZ1049">
        <f>COUNTIF(V1049:AC1049,"&lt;&gt;0")</f>
        <v>0</v>
      </c>
      <c r="BA1049">
        <f>COUNTIF(AD1049:AI1049,"&lt;&gt;0")</f>
        <v>1</v>
      </c>
      <c r="BB1049">
        <f>COUNTIF(AJ1049:AL1049,"&lt;&gt;0")</f>
        <v>0</v>
      </c>
      <c r="BC1049">
        <f>COUNTIF(AS1049:AW1049,"&lt;&gt;0")</f>
        <v>0</v>
      </c>
      <c r="BD1049">
        <f>COUNTIF(AM1049:AR1049,"&lt;&gt;0")</f>
        <v>0</v>
      </c>
      <c r="BE1049" t="str">
        <f t="array" ref="BE1049">IF(AY1049=1,INDEX($V$7:$AL$7,MATCH(TRUE,INDEX($V1049:$AW1049&lt;&gt;0,),0)),IF(AY1049=0,INDEX($AM$7:$AW$7,MATCH(1,$AM1049:$AW1049,0)),IF(BF1049="Multiple strategies","mixed drivers",IF(BF1049="Supply chain","multiple supply","multiple silviculture"))))</f>
        <v>products lifespan</v>
      </c>
      <c r="BF1049" s="2" t="str" cm="1">
        <f t="array" ref="BF1049">IF(COUNTIF(AZ1049:BB1049,"&lt;&gt;0")=1,INDEX($V$4:$AW$4,MATCH(TRUE,INDEX($V1049:$AW1049&lt;&gt;0,),0)),IF(COUNTIF(AZ1049:BB1049,"&lt;&gt;0")=0,INDEX($AM$4:$AW$4,MATCH(1,$AM1049:$AW1049,0)),"Multiple strategies"))</f>
        <v>Supply chain</v>
      </c>
      <c r="BG1049" s="142" t="s">
        <v>229</v>
      </c>
      <c r="BH1049" t="s">
        <v>441</v>
      </c>
      <c r="BI1049" s="264" t="s">
        <v>3274</v>
      </c>
      <c r="BJ1049" s="143" t="s">
        <v>442</v>
      </c>
      <c r="BK1049">
        <v>44</v>
      </c>
      <c r="BL1049">
        <v>44</v>
      </c>
      <c r="BM1049" s="143">
        <f>BL1049/BK1049</f>
        <v>1</v>
      </c>
      <c r="BN1049">
        <f>BL1049-BK1049</f>
        <v>0</v>
      </c>
      <c r="BO1049">
        <f>BN1049*tC_to_m3</f>
        <v>0</v>
      </c>
      <c r="BP1049" t="s">
        <v>232</v>
      </c>
      <c r="BQ1049" s="260" t="s">
        <v>813</v>
      </c>
      <c r="BR1049" t="s">
        <v>443</v>
      </c>
      <c r="BS1049" s="141">
        <v>0</v>
      </c>
      <c r="BT1049" s="141">
        <v>31</v>
      </c>
      <c r="BU1049" s="144" t="str">
        <f>IFERROR(BT1049/BS1049,"")</f>
        <v/>
      </c>
      <c r="BV1049">
        <f>BT1049-BS1049</f>
        <v>31</v>
      </c>
      <c r="BX1049">
        <f>BV1049*C_to_CO2</f>
        <v>113.77</v>
      </c>
      <c r="BY1049" t="str">
        <f>IFERROR(BX1049/BO1049,"")</f>
        <v/>
      </c>
      <c r="BZ1049" s="143">
        <v>0</v>
      </c>
      <c r="CA1049" s="143">
        <v>0</v>
      </c>
      <c r="CB1049" s="143">
        <v>0</v>
      </c>
      <c r="CC1049" s="143">
        <v>0</v>
      </c>
      <c r="CD1049" s="143">
        <v>0</v>
      </c>
      <c r="CE1049" s="143">
        <v>0</v>
      </c>
      <c r="CF1049" s="143">
        <v>0</v>
      </c>
      <c r="CG1049" s="143">
        <v>0</v>
      </c>
      <c r="CH1049" s="143">
        <v>0</v>
      </c>
      <c r="CI1049" s="143">
        <v>0</v>
      </c>
      <c r="CJ1049" s="143">
        <v>0</v>
      </c>
      <c r="CK1049" s="143">
        <v>0</v>
      </c>
      <c r="CL1049" s="143">
        <v>0</v>
      </c>
      <c r="CM1049">
        <v>0</v>
      </c>
      <c r="CN1049" t="str">
        <f>IF(BL1049&lt;BK1049,"refNeedCorrection","refOK")</f>
        <v>refOK</v>
      </c>
      <c r="CO1049">
        <f>IF($CN1049="refOK",$BK1049,$BL1049)</f>
        <v>44</v>
      </c>
      <c r="CP1049">
        <f>IF($CN1049="refOK",$BL1049,$BK1049)</f>
        <v>44</v>
      </c>
      <c r="CQ1049">
        <f>IF($CN1049="refOK",$BO1049,-$BO1049)</f>
        <v>0</v>
      </c>
      <c r="CR1049">
        <f>IF($CN1049="refOK",$BS1049,$BT1049)*IF($BP1049="Emissions positive",-1,1)</f>
        <v>0</v>
      </c>
      <c r="CS1049">
        <f>IF($CN1049="refOK",$BT1049,$BS1049)*IF($BP1049="Emissions positive",-1,1)</f>
        <v>31</v>
      </c>
      <c r="CT1049">
        <f>IF($CN1049="refNeedCorrection",-BX1049,BX1049)*IF($BP1049="Emissions positive",-1,1)</f>
        <v>113.77</v>
      </c>
      <c r="CU1049" t="str">
        <f>IFERROR(CT1049/CQ1049,"")</f>
        <v/>
      </c>
      <c r="CV1049" s="2" t="str">
        <f>IFERROR((CS1049-CR1049)/ABS(CR1049),"")</f>
        <v/>
      </c>
      <c r="CW1049" s="1" t="s">
        <v>263</v>
      </c>
      <c r="CX1049" t="str">
        <f>IF(OR($CW1049="prd",$CW1049="std",$CW1049="cit"),"loc",IF(OR($CW1049="eur",$CW1049="reg",$CW1049="coy"),"reg",$CW1049))</f>
        <v>loc</v>
      </c>
      <c r="CY1049" t="s">
        <v>444</v>
      </c>
      <c r="DB1049">
        <v>300</v>
      </c>
      <c r="DC1049" t="str">
        <f>IF(DB1049=0,"0",IF(AND(DB1049&gt;=1,DB1049&lt;=30),"1-30",IF(AND(DB1049&gt;30,DB1049&lt;=70),"31-70",IF(AND(DB1049&gt;70,DB1049&lt;=100),"71-100",IF(DB1049&gt;100,"+100")))))</f>
        <v>+100</v>
      </c>
      <c r="DD1049">
        <v>0</v>
      </c>
      <c r="DE1049">
        <v>1</v>
      </c>
      <c r="DF1049">
        <v>0</v>
      </c>
      <c r="DG1049">
        <v>1</v>
      </c>
      <c r="DI1049">
        <f>SUM(DD1049:DG1049)</f>
        <v>2</v>
      </c>
      <c r="DJ1049" t="str">
        <f>IF(DI1049=1,INDEX($DD$7:$DG$7,MATCH(1,$DD1049:$DG1049,0)),"mixedProduct")</f>
        <v>mixedProduct</v>
      </c>
      <c r="DK1049">
        <f>IF(DD1049=1,DK$7,0)</f>
        <v>0</v>
      </c>
      <c r="DL1049" t="str">
        <f>IF(DE1049=1,DL$7,0)</f>
        <v>Energy</v>
      </c>
      <c r="DM1049">
        <f>IF(DF1049=1,DM$7,0)</f>
        <v>0</v>
      </c>
      <c r="DN1049" t="str">
        <f>IF(DG1049=1,DN$7,0)</f>
        <v>Timber</v>
      </c>
      <c r="DO1049">
        <v>1</v>
      </c>
      <c r="DP1049" s="143">
        <v>0</v>
      </c>
      <c r="DQ1049" s="143">
        <v>0</v>
      </c>
      <c r="DR1049" s="143">
        <v>0</v>
      </c>
      <c r="DS1049">
        <v>0</v>
      </c>
      <c r="DT1049">
        <f>SUM(DO1049:DP1049)</f>
        <v>1</v>
      </c>
      <c r="DU1049" s="143" t="str">
        <f>IF(DO1049=1,"self-calculated DF",IF(DP1049=1,"external DF used","explicit C balance"))</f>
        <v>self-calculated DF</v>
      </c>
      <c r="DV1049">
        <v>0</v>
      </c>
      <c r="DW1049" s="143">
        <v>0</v>
      </c>
      <c r="DX1049" s="143">
        <v>1</v>
      </c>
      <c r="DY1049" s="143">
        <v>1</v>
      </c>
      <c r="DZ1049">
        <v>1</v>
      </c>
      <c r="EA1049" s="143">
        <v>1</v>
      </c>
      <c r="EB1049">
        <v>0</v>
      </c>
      <c r="EC1049" s="143">
        <v>1</v>
      </c>
      <c r="ED1049" s="143">
        <v>0</v>
      </c>
      <c r="EE1049">
        <v>0</v>
      </c>
      <c r="EF1049">
        <v>0</v>
      </c>
      <c r="EG1049" s="143">
        <v>0</v>
      </c>
      <c r="EH1049" s="143">
        <v>0</v>
      </c>
      <c r="EI1049" s="2">
        <v>0</v>
      </c>
      <c r="EK1049" t="str">
        <f>IF(AND(AND(AND(OR($DX1049=1,$DW1049=1),OR($EC1049=1,$EA1049=1)),SUM($DV1049:$DZ1049,$EF1049)&gt;=4),SUM($EA1049:$EE1049)&gt;=2),"Whole sector","")</f>
        <v/>
      </c>
      <c r="EL1049" t="str">
        <f>IF(AND(AND(OR($DX1049=1,$DW1049=1),AND($EC1049=0,$EA1049=0)),SUM($DV1049:$DZ1049,$EF1049)&gt;=4),"Ecosystem approach","")</f>
        <v/>
      </c>
      <c r="EM1049" s="2" t="str">
        <f>IF(AND(AND(AND($DX1049=0,$DW1049=0),OR($EC1049=1,$EA1049=1)),SUM($EB1049:$EE1049)&gt;=2),"Technology approach","")</f>
        <v/>
      </c>
      <c r="EP1049" t="b">
        <f>IF(ISNUMBER(BU1049),IF(ABS(BU1049-[4]QC_indicators!$B$2)&gt;3*[4]QC_indicators!$C$2,"C ratio",IF(ISNUMBER(BY1049),IF(ABS(BY1049-[4]QC_indicators!$B$1)&gt;3*[4]QC_indicators!$C$1,"DF","no"))),IF(ISNUMBER(BY1049),IF(ABS(BY1049-[4]QC_indicators!$B$1)&gt;3*[4]QC_indicators!$C$1,"DF","no")))</f>
        <v>0</v>
      </c>
      <c r="ET1049" s="264" t="s">
        <v>3273</v>
      </c>
    </row>
    <row r="1050" spans="1:150" ht="15" customHeight="1">
      <c r="A1050" s="1" t="s">
        <v>430</v>
      </c>
      <c r="B1050" t="s">
        <v>431</v>
      </c>
      <c r="C1050" t="s">
        <v>432</v>
      </c>
      <c r="D1050" t="s">
        <v>433</v>
      </c>
      <c r="E1050" t="s">
        <v>434</v>
      </c>
      <c r="F1050" t="s">
        <v>435</v>
      </c>
      <c r="G1050" t="s">
        <v>436</v>
      </c>
      <c r="H1050" t="s">
        <v>254</v>
      </c>
      <c r="I1050">
        <v>2000</v>
      </c>
      <c r="J1050">
        <v>174</v>
      </c>
      <c r="K1050" t="s">
        <v>437</v>
      </c>
      <c r="M1050" t="str">
        <f>LEFT($D1050,FIND(",",$D1050)-1)&amp;"_"&amp;I1050&amp;L1050</f>
        <v>Borjesson_2000</v>
      </c>
      <c r="N1050" t="s">
        <v>222</v>
      </c>
      <c r="O1050" s="145" t="s">
        <v>223</v>
      </c>
      <c r="Q1050" t="s">
        <v>256</v>
      </c>
      <c r="R1050" s="255" t="s">
        <v>225</v>
      </c>
      <c r="S1050" s="1" t="s">
        <v>458</v>
      </c>
      <c r="T1050" t="s">
        <v>461</v>
      </c>
      <c r="U1050" t="s">
        <v>460</v>
      </c>
      <c r="V1050">
        <v>0</v>
      </c>
      <c r="W1050">
        <v>0</v>
      </c>
      <c r="X1050">
        <v>0</v>
      </c>
      <c r="Y1050">
        <v>0</v>
      </c>
      <c r="Z1050">
        <v>0</v>
      </c>
      <c r="AA1050">
        <v>0</v>
      </c>
      <c r="AB1050">
        <v>0</v>
      </c>
      <c r="AC1050">
        <v>0</v>
      </c>
      <c r="AD1050">
        <v>0</v>
      </c>
      <c r="AE1050">
        <v>0</v>
      </c>
      <c r="AF1050">
        <v>0</v>
      </c>
      <c r="AG1050">
        <v>0</v>
      </c>
      <c r="AH1050">
        <v>0</v>
      </c>
      <c r="AI1050">
        <v>1</v>
      </c>
      <c r="AJ1050">
        <v>0</v>
      </c>
      <c r="AK1050">
        <v>0</v>
      </c>
      <c r="AL1050">
        <v>0</v>
      </c>
      <c r="AM1050">
        <v>0</v>
      </c>
      <c r="AN1050">
        <v>0</v>
      </c>
      <c r="AO1050">
        <v>0</v>
      </c>
      <c r="AP1050">
        <v>0</v>
      </c>
      <c r="AQ1050">
        <v>0</v>
      </c>
      <c r="AR1050">
        <v>0</v>
      </c>
      <c r="AS1050">
        <v>0</v>
      </c>
      <c r="AT1050">
        <v>0</v>
      </c>
      <c r="AU1050">
        <v>0</v>
      </c>
      <c r="AV1050">
        <v>0</v>
      </c>
      <c r="AW1050">
        <v>0</v>
      </c>
      <c r="AX1050" s="141">
        <f>COUNTIF(V1050:AW1050,"&lt;&gt;0")</f>
        <v>1</v>
      </c>
      <c r="AY1050" s="141">
        <f>COUNTIF(V1050:AL1050,"&lt;&gt;0")</f>
        <v>1</v>
      </c>
      <c r="AZ1050">
        <f>COUNTIF(V1050:AC1050,"&lt;&gt;0")</f>
        <v>0</v>
      </c>
      <c r="BA1050">
        <f>COUNTIF(AD1050:AI1050,"&lt;&gt;0")</f>
        <v>1</v>
      </c>
      <c r="BB1050">
        <f>COUNTIF(AJ1050:AL1050,"&lt;&gt;0")</f>
        <v>0</v>
      </c>
      <c r="BC1050">
        <f>COUNTIF(AS1050:AW1050,"&lt;&gt;0")</f>
        <v>0</v>
      </c>
      <c r="BD1050">
        <f>COUNTIF(AM1050:AR1050,"&lt;&gt;0")</f>
        <v>0</v>
      </c>
      <c r="BE1050" t="str">
        <f t="array" ref="BE1050">IF(AY1050=1,INDEX($V$7:$AL$7,MATCH(TRUE,INDEX($V1050:$AW1050&lt;&gt;0,),0)),IF(AY1050=0,INDEX($AM$7:$AW$7,MATCH(1,$AM1050:$AW1050,0)),IF(BF1050="Multiple strategies","mixed drivers",IF(BF1050="Supply chain","multiple supply","multiple silviculture"))))</f>
        <v>products lifespan</v>
      </c>
      <c r="BF1050" s="2" t="str" cm="1">
        <f t="array" ref="BF1050">IF(COUNTIF(AZ1050:BB1050,"&lt;&gt;0")=1,INDEX($V$4:$AW$4,MATCH(TRUE,INDEX($V1050:$AW1050&lt;&gt;0,),0)),IF(COUNTIF(AZ1050:BB1050,"&lt;&gt;0")=0,INDEX($AM$4:$AW$4,MATCH(1,$AM1050:$AW1050,0)),"Multiple strategies"))</f>
        <v>Supply chain</v>
      </c>
      <c r="BG1050" s="142" t="s">
        <v>229</v>
      </c>
      <c r="BH1050" t="s">
        <v>441</v>
      </c>
      <c r="BI1050" s="264" t="s">
        <v>3274</v>
      </c>
      <c r="BJ1050" s="143" t="s">
        <v>442</v>
      </c>
      <c r="BK1050">
        <v>44</v>
      </c>
      <c r="BL1050">
        <v>44</v>
      </c>
      <c r="BM1050" s="143">
        <f>BL1050/BK1050</f>
        <v>1</v>
      </c>
      <c r="BN1050">
        <f>BL1050-BK1050</f>
        <v>0</v>
      </c>
      <c r="BO1050">
        <f>BN1050*tC_to_m3</f>
        <v>0</v>
      </c>
      <c r="BP1050" t="s">
        <v>232</v>
      </c>
      <c r="BQ1050" s="260" t="s">
        <v>813</v>
      </c>
      <c r="BR1050" t="s">
        <v>443</v>
      </c>
      <c r="BS1050" s="141">
        <v>57</v>
      </c>
      <c r="BT1050" s="141">
        <v>53</v>
      </c>
      <c r="BU1050" s="144">
        <f>IFERROR(BT1050/BS1050,"")</f>
        <v>0.92982456140350878</v>
      </c>
      <c r="BV1050">
        <f>BT1050-BS1050</f>
        <v>-4</v>
      </c>
      <c r="BX1050">
        <f>BV1050*C_to_CO2</f>
        <v>-14.68</v>
      </c>
      <c r="BY1050" t="str">
        <f>IFERROR(BX1050/BO1050,"")</f>
        <v/>
      </c>
      <c r="BZ1050" s="143">
        <v>0</v>
      </c>
      <c r="CA1050" s="143">
        <v>0</v>
      </c>
      <c r="CB1050" s="143">
        <v>0</v>
      </c>
      <c r="CC1050" s="143">
        <v>0</v>
      </c>
      <c r="CD1050" s="143">
        <v>0</v>
      </c>
      <c r="CE1050" s="143">
        <v>0</v>
      </c>
      <c r="CF1050" s="143">
        <v>0</v>
      </c>
      <c r="CG1050" s="143">
        <v>0</v>
      </c>
      <c r="CH1050" s="143">
        <v>0</v>
      </c>
      <c r="CI1050" s="143">
        <v>0</v>
      </c>
      <c r="CJ1050" s="143">
        <v>0</v>
      </c>
      <c r="CK1050" s="143">
        <v>0</v>
      </c>
      <c r="CL1050" s="143">
        <v>0</v>
      </c>
      <c r="CM1050">
        <v>0</v>
      </c>
      <c r="CN1050" t="str">
        <f>IF($BL1050&lt;$BK1050,"refNeedCorrection","refOK")</f>
        <v>refOK</v>
      </c>
      <c r="CO1050">
        <f>IF($CN1050="refOK",$BK1050,$BL1050)</f>
        <v>44</v>
      </c>
      <c r="CP1050">
        <f>IF($CN1050="refOK",$BL1050,$BK1050)</f>
        <v>44</v>
      </c>
      <c r="CQ1050">
        <f>IF($CN1050="refOK",$BO1050,-$BO1050)</f>
        <v>0</v>
      </c>
      <c r="CR1050">
        <f>IF($CN1050="refOK",$BS1050,$BT1050)*IF($BP1050="Emissions positive",-1,1)</f>
        <v>57</v>
      </c>
      <c r="CS1050">
        <f>IF($CN1050="refOK",$BT1050,$BS1050)*IF($BP1050="Emissions positive",-1,1)</f>
        <v>53</v>
      </c>
      <c r="CT1050">
        <f>IF($CN1050="refNeedCorrection",-BX1050,BX1050)*IF($BP1050="Emissions positive",-1,1)</f>
        <v>-14.68</v>
      </c>
      <c r="CU1050" t="str">
        <f>IFERROR(CT1050/CQ1050,"")</f>
        <v/>
      </c>
      <c r="CV1050" s="2">
        <f>IFERROR((CS1050-CR1050)/ABS(CR1050),"")</f>
        <v>-7.0175438596491224E-2</v>
      </c>
      <c r="CW1050" s="1" t="s">
        <v>263</v>
      </c>
      <c r="CX1050" t="str">
        <f>IF(OR($CW1050="prd",$CW1050="std",$CW1050="cit"),"loc",IF(OR($CW1050="eur",$CW1050="reg",$CW1050="coy"),"reg",$CW1050))</f>
        <v>loc</v>
      </c>
      <c r="CY1050" t="s">
        <v>444</v>
      </c>
      <c r="DB1050">
        <v>300</v>
      </c>
      <c r="DC1050" t="str">
        <f>IF(DB1050=0,"0",IF(AND(DB1050&gt;=1,DB1050&lt;=30),"1-30",IF(AND(DB1050&gt;30,DB1050&lt;=70),"31-70",IF(AND(DB1050&gt;70,DB1050&lt;=100),"71-100",IF(DB1050&gt;100,"+100")))))</f>
        <v>+100</v>
      </c>
      <c r="DD1050">
        <v>0</v>
      </c>
      <c r="DE1050">
        <v>1</v>
      </c>
      <c r="DF1050">
        <v>0</v>
      </c>
      <c r="DG1050">
        <v>1</v>
      </c>
      <c r="DI1050">
        <f>SUM(DD1050:DG1050)</f>
        <v>2</v>
      </c>
      <c r="DJ1050" t="str">
        <f>IF(DI1050=1,INDEX($DD$7:$DG$7,MATCH(1,$DD1050:$DG1050,0)),"mixedProduct")</f>
        <v>mixedProduct</v>
      </c>
      <c r="DK1050">
        <f>IF(DD1050=1,DK$7,0)</f>
        <v>0</v>
      </c>
      <c r="DL1050" t="str">
        <f>IF(DE1050=1,DL$7,0)</f>
        <v>Energy</v>
      </c>
      <c r="DM1050">
        <f>IF(DF1050=1,DM$7,0)</f>
        <v>0</v>
      </c>
      <c r="DN1050" t="str">
        <f>IF(DG1050=1,DN$7,0)</f>
        <v>Timber</v>
      </c>
      <c r="DO1050">
        <v>1</v>
      </c>
      <c r="DP1050" s="143">
        <v>0</v>
      </c>
      <c r="DQ1050" s="143">
        <v>0</v>
      </c>
      <c r="DR1050" s="143">
        <v>0</v>
      </c>
      <c r="DS1050">
        <v>0</v>
      </c>
      <c r="DT1050">
        <f>SUM(DO1050:DP1050)</f>
        <v>1</v>
      </c>
      <c r="DU1050" s="143" t="str">
        <f>IF(DO1050=1,"self-calculated DF",IF(DP1050=1,"external DF used","explicit C balance"))</f>
        <v>self-calculated DF</v>
      </c>
      <c r="DV1050">
        <v>0</v>
      </c>
      <c r="DW1050" s="143">
        <v>0</v>
      </c>
      <c r="DX1050" s="143">
        <v>1</v>
      </c>
      <c r="DY1050" s="143">
        <v>1</v>
      </c>
      <c r="DZ1050">
        <v>1</v>
      </c>
      <c r="EA1050" s="143">
        <v>1</v>
      </c>
      <c r="EB1050">
        <v>0</v>
      </c>
      <c r="EC1050" s="143">
        <v>1</v>
      </c>
      <c r="ED1050" s="143">
        <v>0</v>
      </c>
      <c r="EE1050">
        <v>0</v>
      </c>
      <c r="EF1050">
        <v>0</v>
      </c>
      <c r="EG1050" s="143">
        <v>0</v>
      </c>
      <c r="EH1050" s="143">
        <v>0</v>
      </c>
      <c r="EI1050" s="2">
        <v>0</v>
      </c>
      <c r="EK1050" t="str">
        <f>IF(AND(AND(AND(OR($DX1050=1,$DW1050=1),OR($EC1050=1,$EA1050=1)),SUM($DV1050:$DZ1050,$EF1050)&gt;=4),SUM($EA1050:$EE1050)&gt;=2),"Whole sector","")</f>
        <v/>
      </c>
      <c r="EL1050" t="str">
        <f>IF(AND(AND(OR($DX1050=1,$DW1050=1),AND($EC1050=0,$EA1050=0)),SUM($DV1050:$DZ1050,$EF1050)&gt;=4),"Ecosystem approach","")</f>
        <v/>
      </c>
      <c r="EM1050" s="2" t="str">
        <f>IF(AND(AND(AND($DX1050=0,$DW1050=0),OR($EC1050=1,$EA1050=1)),SUM($EB1050:$EE1050)&gt;=2),"Technology approach","")</f>
        <v/>
      </c>
      <c r="EP1050" t="b">
        <f>IF(ISNUMBER(BU1050),IF(ABS(BU1050-[4]QC_indicators!$B$2)&gt;3*[4]QC_indicators!$C$2,"C ratio",IF(ISNUMBER(BY1050),IF(ABS(BY1050-[4]QC_indicators!$B$1)&gt;3*[4]QC_indicators!$C$1,"DF","no"))),IF(ISNUMBER(BY1050),IF(ABS(BY1050-[4]QC_indicators!$B$1)&gt;3*[4]QC_indicators!$C$1,"DF","no")))</f>
        <v>0</v>
      </c>
      <c r="ET1050" s="264" t="s">
        <v>3273</v>
      </c>
    </row>
    <row r="1051" spans="1:150" ht="15" customHeight="1">
      <c r="A1051" s="1" t="s">
        <v>430</v>
      </c>
      <c r="B1051" t="s">
        <v>431</v>
      </c>
      <c r="C1051" t="s">
        <v>432</v>
      </c>
      <c r="D1051" t="s">
        <v>433</v>
      </c>
      <c r="E1051" t="s">
        <v>434</v>
      </c>
      <c r="F1051" t="s">
        <v>435</v>
      </c>
      <c r="G1051" t="s">
        <v>436</v>
      </c>
      <c r="H1051" t="s">
        <v>254</v>
      </c>
      <c r="I1051">
        <v>2000</v>
      </c>
      <c r="J1051">
        <v>174</v>
      </c>
      <c r="K1051" t="s">
        <v>437</v>
      </c>
      <c r="M1051" t="str">
        <f>LEFT($D1051,FIND(",",$D1051)-1)&amp;"_"&amp;I1051&amp;L1051</f>
        <v>Borjesson_2000</v>
      </c>
      <c r="N1051" t="s">
        <v>222</v>
      </c>
      <c r="O1051" s="145" t="s">
        <v>223</v>
      </c>
      <c r="Q1051" t="s">
        <v>256</v>
      </c>
      <c r="R1051" s="255" t="s">
        <v>225</v>
      </c>
      <c r="S1051" s="1" t="s">
        <v>458</v>
      </c>
      <c r="T1051" t="s">
        <v>462</v>
      </c>
      <c r="U1051" t="s">
        <v>460</v>
      </c>
      <c r="V1051">
        <v>0</v>
      </c>
      <c r="W1051">
        <v>0</v>
      </c>
      <c r="X1051">
        <v>0</v>
      </c>
      <c r="Y1051">
        <v>0</v>
      </c>
      <c r="Z1051">
        <v>0</v>
      </c>
      <c r="AA1051">
        <v>0</v>
      </c>
      <c r="AB1051">
        <v>0</v>
      </c>
      <c r="AC1051">
        <v>0</v>
      </c>
      <c r="AD1051">
        <v>0</v>
      </c>
      <c r="AE1051">
        <v>0</v>
      </c>
      <c r="AF1051">
        <v>0</v>
      </c>
      <c r="AG1051">
        <v>0</v>
      </c>
      <c r="AH1051">
        <v>0</v>
      </c>
      <c r="AI1051">
        <v>1</v>
      </c>
      <c r="AJ1051">
        <v>0</v>
      </c>
      <c r="AK1051">
        <v>0</v>
      </c>
      <c r="AL1051">
        <v>0</v>
      </c>
      <c r="AM1051">
        <v>0</v>
      </c>
      <c r="AN1051">
        <v>0</v>
      </c>
      <c r="AO1051">
        <v>0</v>
      </c>
      <c r="AP1051">
        <v>0</v>
      </c>
      <c r="AQ1051">
        <v>0</v>
      </c>
      <c r="AR1051">
        <v>0</v>
      </c>
      <c r="AS1051">
        <v>0</v>
      </c>
      <c r="AT1051">
        <v>0</v>
      </c>
      <c r="AU1051">
        <v>0</v>
      </c>
      <c r="AV1051">
        <v>0</v>
      </c>
      <c r="AW1051">
        <v>0</v>
      </c>
      <c r="AX1051" s="141">
        <f>COUNTIF(V1051:AW1051,"&lt;&gt;0")</f>
        <v>1</v>
      </c>
      <c r="AY1051" s="141">
        <f>COUNTIF(V1051:AL1051,"&lt;&gt;0")</f>
        <v>1</v>
      </c>
      <c r="AZ1051">
        <f>COUNTIF(V1051:AC1051,"&lt;&gt;0")</f>
        <v>0</v>
      </c>
      <c r="BA1051">
        <f>COUNTIF(AD1051:AI1051,"&lt;&gt;0")</f>
        <v>1</v>
      </c>
      <c r="BB1051">
        <f>COUNTIF(AJ1051:AL1051,"&lt;&gt;0")</f>
        <v>0</v>
      </c>
      <c r="BC1051">
        <f>COUNTIF(AS1051:AW1051,"&lt;&gt;0")</f>
        <v>0</v>
      </c>
      <c r="BD1051">
        <f>COUNTIF(AM1051:AR1051,"&lt;&gt;0")</f>
        <v>0</v>
      </c>
      <c r="BE1051" t="str">
        <f t="array" ref="BE1051">IF(AY1051=1,INDEX($V$7:$AL$7,MATCH(TRUE,INDEX($V1051:$AW1051&lt;&gt;0,),0)),IF(AY1051=0,INDEX($AM$7:$AW$7,MATCH(1,$AM1051:$AW1051,0)),IF(BF1051="Multiple strategies","mixed drivers",IF(BF1051="Supply chain","multiple supply","multiple silviculture"))))</f>
        <v>products lifespan</v>
      </c>
      <c r="BF1051" s="2" t="str" cm="1">
        <f t="array" ref="BF1051">IF(COUNTIF(AZ1051:BB1051,"&lt;&gt;0")=1,INDEX($V$4:$AW$4,MATCH(TRUE,INDEX($V1051:$AW1051&lt;&gt;0,),0)),IF(COUNTIF(AZ1051:BB1051,"&lt;&gt;0")=0,INDEX($AM$4:$AW$4,MATCH(1,$AM1051:$AW1051,0)),"Multiple strategies"))</f>
        <v>Supply chain</v>
      </c>
      <c r="BG1051" s="142" t="s">
        <v>229</v>
      </c>
      <c r="BH1051" t="s">
        <v>441</v>
      </c>
      <c r="BI1051" s="264" t="s">
        <v>3274</v>
      </c>
      <c r="BJ1051" s="143" t="s">
        <v>442</v>
      </c>
      <c r="BK1051">
        <v>44</v>
      </c>
      <c r="BL1051">
        <v>44</v>
      </c>
      <c r="BM1051" s="143">
        <f>BL1051/BK1051</f>
        <v>1</v>
      </c>
      <c r="BN1051">
        <f>BL1051-BK1051</f>
        <v>0</v>
      </c>
      <c r="BO1051">
        <f>BN1051*tC_to_m3</f>
        <v>0</v>
      </c>
      <c r="BP1051" t="s">
        <v>232</v>
      </c>
      <c r="BQ1051" s="260" t="s">
        <v>813</v>
      </c>
      <c r="BR1051" t="s">
        <v>443</v>
      </c>
      <c r="BS1051" s="141">
        <v>126</v>
      </c>
      <c r="BT1051" s="141">
        <v>84</v>
      </c>
      <c r="BU1051" s="144">
        <f>IFERROR(BT1051/BS1051,"")</f>
        <v>0.66666666666666663</v>
      </c>
      <c r="BV1051">
        <f>BT1051-BS1051</f>
        <v>-42</v>
      </c>
      <c r="BX1051">
        <f>BV1051*C_to_CO2</f>
        <v>-154.13999999999999</v>
      </c>
      <c r="BY1051" t="str">
        <f>IFERROR(BX1051/BO1051,"")</f>
        <v/>
      </c>
      <c r="BZ1051" s="143">
        <v>0</v>
      </c>
      <c r="CA1051" s="143">
        <v>0</v>
      </c>
      <c r="CB1051" s="143">
        <v>0</v>
      </c>
      <c r="CC1051" s="143">
        <v>0</v>
      </c>
      <c r="CD1051" s="143">
        <v>0</v>
      </c>
      <c r="CE1051" s="143">
        <v>0</v>
      </c>
      <c r="CF1051" s="143">
        <v>0</v>
      </c>
      <c r="CG1051" s="143">
        <v>0</v>
      </c>
      <c r="CH1051" s="143">
        <v>0</v>
      </c>
      <c r="CI1051" s="143">
        <v>0</v>
      </c>
      <c r="CJ1051" s="143">
        <v>0</v>
      </c>
      <c r="CK1051" s="143">
        <v>0</v>
      </c>
      <c r="CL1051" s="143">
        <v>0</v>
      </c>
      <c r="CM1051">
        <v>0</v>
      </c>
      <c r="CN1051" t="str">
        <f>IF($BL1051&lt;$BK1051,"refNeedCorrection","refOK")</f>
        <v>refOK</v>
      </c>
      <c r="CO1051">
        <f>IF($CN1051="refOK",$BK1051,$BL1051)</f>
        <v>44</v>
      </c>
      <c r="CP1051">
        <f>IF($CN1051="refOK",$BL1051,$BK1051)</f>
        <v>44</v>
      </c>
      <c r="CQ1051">
        <f>IF($CN1051="refOK",$BO1051,-$BO1051)</f>
        <v>0</v>
      </c>
      <c r="CR1051">
        <f>IF($CN1051="refOK",$BS1051,$BT1051)*IF($BP1051="Emissions positive",-1,1)</f>
        <v>126</v>
      </c>
      <c r="CS1051">
        <f>IF($CN1051="refOK",$BT1051,$BS1051)*IF($BP1051="Emissions positive",-1,1)</f>
        <v>84</v>
      </c>
      <c r="CT1051">
        <f>IF($CN1051="refNeedCorrection",-BX1051,BX1051)*IF($BP1051="Emissions positive",-1,1)</f>
        <v>-154.13999999999999</v>
      </c>
      <c r="CU1051" t="str">
        <f>IFERROR(CT1051/CQ1051,"")</f>
        <v/>
      </c>
      <c r="CV1051" s="2">
        <f>IFERROR((CS1051-CR1051)/ABS(CR1051),"")</f>
        <v>-0.33333333333333331</v>
      </c>
      <c r="CW1051" s="1" t="s">
        <v>263</v>
      </c>
      <c r="CX1051" t="str">
        <f>IF(OR($CW1051="prd",$CW1051="std",$CW1051="cit"),"loc",IF(OR($CW1051="eur",$CW1051="reg",$CW1051="coy"),"reg",$CW1051))</f>
        <v>loc</v>
      </c>
      <c r="CY1051" t="s">
        <v>444</v>
      </c>
      <c r="DB1051">
        <v>300</v>
      </c>
      <c r="DC1051" t="str">
        <f>IF(DB1051=0,"0",IF(AND(DB1051&gt;=1,DB1051&lt;=30),"1-30",IF(AND(DB1051&gt;30,DB1051&lt;=70),"31-70",IF(AND(DB1051&gt;70,DB1051&lt;=100),"71-100",IF(DB1051&gt;100,"+100")))))</f>
        <v>+100</v>
      </c>
      <c r="DD1051">
        <v>0</v>
      </c>
      <c r="DE1051">
        <v>1</v>
      </c>
      <c r="DF1051">
        <v>0</v>
      </c>
      <c r="DG1051">
        <v>1</v>
      </c>
      <c r="DI1051">
        <f>SUM(DD1051:DG1051)</f>
        <v>2</v>
      </c>
      <c r="DJ1051" t="str">
        <f>IF(DI1051=1,INDEX($DD$7:$DG$7,MATCH(1,$DD1051:$DG1051,0)),"mixedProduct")</f>
        <v>mixedProduct</v>
      </c>
      <c r="DK1051">
        <f>IF(DD1051=1,DK$7,0)</f>
        <v>0</v>
      </c>
      <c r="DL1051" t="str">
        <f>IF(DE1051=1,DL$7,0)</f>
        <v>Energy</v>
      </c>
      <c r="DM1051">
        <f>IF(DF1051=1,DM$7,0)</f>
        <v>0</v>
      </c>
      <c r="DN1051" t="str">
        <f>IF(DG1051=1,DN$7,0)</f>
        <v>Timber</v>
      </c>
      <c r="DO1051">
        <v>1</v>
      </c>
      <c r="DP1051" s="143">
        <v>0</v>
      </c>
      <c r="DQ1051" s="143">
        <v>0</v>
      </c>
      <c r="DR1051" s="143">
        <v>0</v>
      </c>
      <c r="DS1051">
        <v>0</v>
      </c>
      <c r="DT1051">
        <f>SUM(DO1051:DP1051)</f>
        <v>1</v>
      </c>
      <c r="DU1051" s="143" t="str">
        <f>IF(DO1051=1,"self-calculated DF",IF(DP1051=1,"external DF used","explicit C balance"))</f>
        <v>self-calculated DF</v>
      </c>
      <c r="DV1051">
        <v>0</v>
      </c>
      <c r="DW1051" s="143">
        <v>0</v>
      </c>
      <c r="DX1051" s="143">
        <v>1</v>
      </c>
      <c r="DY1051" s="143">
        <v>1</v>
      </c>
      <c r="DZ1051">
        <v>1</v>
      </c>
      <c r="EA1051" s="143">
        <v>1</v>
      </c>
      <c r="EB1051">
        <v>0</v>
      </c>
      <c r="EC1051" s="143">
        <v>1</v>
      </c>
      <c r="ED1051" s="143">
        <v>0</v>
      </c>
      <c r="EE1051">
        <v>0</v>
      </c>
      <c r="EF1051">
        <v>0</v>
      </c>
      <c r="EG1051" s="143">
        <v>0</v>
      </c>
      <c r="EH1051" s="143">
        <v>0</v>
      </c>
      <c r="EI1051" s="2">
        <v>0</v>
      </c>
      <c r="EK1051" t="str">
        <f>IF(AND(AND(AND(OR($DX1051=1,$DW1051=1),OR($EC1051=1,$EA1051=1)),SUM($DV1051:$DZ1051,$EF1051)&gt;=4),SUM($EA1051:$EE1051)&gt;=2),"Whole sector","")</f>
        <v/>
      </c>
      <c r="EL1051" t="str">
        <f>IF(AND(AND(OR($DX1051=1,$DW1051=1),AND($EC1051=0,$EA1051=0)),SUM($DV1051:$DZ1051,$EF1051)&gt;=4),"Ecosystem approach","")</f>
        <v/>
      </c>
      <c r="EM1051" s="2" t="str">
        <f>IF(AND(AND(AND($DX1051=0,$DW1051=0),OR($EC1051=1,$EA1051=1)),SUM($EB1051:$EE1051)&gt;=2),"Technology approach","")</f>
        <v/>
      </c>
      <c r="EP1051" t="b">
        <f>IF(ISNUMBER(BU1051),IF(ABS(BU1051-[4]QC_indicators!$B$2)&gt;3*[4]QC_indicators!$C$2,"C ratio",IF(ISNUMBER(BY1051),IF(ABS(BY1051-[4]QC_indicators!$B$1)&gt;3*[4]QC_indicators!$C$1,"DF","no"))),IF(ISNUMBER(BY1051),IF(ABS(BY1051-[4]QC_indicators!$B$1)&gt;3*[4]QC_indicators!$C$1,"DF","no")))</f>
        <v>0</v>
      </c>
      <c r="ET1051" s="264" t="s">
        <v>3273</v>
      </c>
    </row>
    <row r="1052" spans="1:150" ht="15" customHeight="1">
      <c r="A1052" s="1" t="s">
        <v>430</v>
      </c>
      <c r="B1052" t="s">
        <v>431</v>
      </c>
      <c r="C1052" t="s">
        <v>432</v>
      </c>
      <c r="D1052" t="s">
        <v>433</v>
      </c>
      <c r="E1052" t="s">
        <v>434</v>
      </c>
      <c r="F1052" t="s">
        <v>435</v>
      </c>
      <c r="G1052" t="s">
        <v>436</v>
      </c>
      <c r="H1052" t="s">
        <v>254</v>
      </c>
      <c r="I1052">
        <v>2000</v>
      </c>
      <c r="J1052">
        <v>174</v>
      </c>
      <c r="K1052" t="s">
        <v>437</v>
      </c>
      <c r="M1052" t="str">
        <f>LEFT($D1052,FIND(",",$D1052)-1)&amp;"_"&amp;I1052&amp;L1052</f>
        <v>Borjesson_2000</v>
      </c>
      <c r="N1052" t="s">
        <v>222</v>
      </c>
      <c r="O1052" s="145" t="s">
        <v>223</v>
      </c>
      <c r="Q1052" t="s">
        <v>256</v>
      </c>
      <c r="R1052" s="255" t="s">
        <v>225</v>
      </c>
      <c r="S1052" s="1" t="s">
        <v>458</v>
      </c>
      <c r="T1052" t="s">
        <v>463</v>
      </c>
      <c r="U1052" t="s">
        <v>460</v>
      </c>
      <c r="V1052">
        <v>0</v>
      </c>
      <c r="W1052">
        <v>0</v>
      </c>
      <c r="X1052">
        <v>0</v>
      </c>
      <c r="Y1052">
        <v>0</v>
      </c>
      <c r="Z1052">
        <v>0</v>
      </c>
      <c r="AA1052">
        <v>0</v>
      </c>
      <c r="AB1052">
        <v>0</v>
      </c>
      <c r="AC1052">
        <v>0</v>
      </c>
      <c r="AD1052">
        <v>0</v>
      </c>
      <c r="AE1052">
        <v>0</v>
      </c>
      <c r="AF1052">
        <v>0</v>
      </c>
      <c r="AG1052">
        <v>0</v>
      </c>
      <c r="AH1052">
        <v>0</v>
      </c>
      <c r="AI1052">
        <v>1</v>
      </c>
      <c r="AJ1052">
        <v>0</v>
      </c>
      <c r="AK1052">
        <v>0</v>
      </c>
      <c r="AL1052">
        <v>0</v>
      </c>
      <c r="AM1052">
        <v>0</v>
      </c>
      <c r="AN1052">
        <v>0</v>
      </c>
      <c r="AO1052">
        <v>0</v>
      </c>
      <c r="AP1052">
        <v>0</v>
      </c>
      <c r="AQ1052">
        <v>0</v>
      </c>
      <c r="AR1052">
        <v>0</v>
      </c>
      <c r="AS1052">
        <v>0</v>
      </c>
      <c r="AT1052">
        <v>0</v>
      </c>
      <c r="AU1052">
        <v>0</v>
      </c>
      <c r="AV1052">
        <v>0</v>
      </c>
      <c r="AW1052">
        <v>0</v>
      </c>
      <c r="AX1052" s="141">
        <f>COUNTIF(V1052:AW1052,"&lt;&gt;0")</f>
        <v>1</v>
      </c>
      <c r="AY1052" s="141">
        <f>COUNTIF(V1052:AL1052,"&lt;&gt;0")</f>
        <v>1</v>
      </c>
      <c r="AZ1052">
        <f>COUNTIF(V1052:AC1052,"&lt;&gt;0")</f>
        <v>0</v>
      </c>
      <c r="BA1052">
        <f>COUNTIF(AD1052:AI1052,"&lt;&gt;0")</f>
        <v>1</v>
      </c>
      <c r="BB1052">
        <f>COUNTIF(AJ1052:AL1052,"&lt;&gt;0")</f>
        <v>0</v>
      </c>
      <c r="BC1052">
        <f>COUNTIF(AS1052:AW1052,"&lt;&gt;0")</f>
        <v>0</v>
      </c>
      <c r="BD1052">
        <f>COUNTIF(AM1052:AR1052,"&lt;&gt;0")</f>
        <v>0</v>
      </c>
      <c r="BE1052" t="str">
        <f t="array" ref="BE1052">IF(AY1052=1,INDEX($V$7:$AL$7,MATCH(TRUE,INDEX($V1052:$AW1052&lt;&gt;0,),0)),IF(AY1052=0,INDEX($AM$7:$AW$7,MATCH(1,$AM1052:$AW1052,0)),IF(BF1052="Multiple strategies","mixed drivers",IF(BF1052="Supply chain","multiple supply","multiple silviculture"))))</f>
        <v>products lifespan</v>
      </c>
      <c r="BF1052" s="2" t="str" cm="1">
        <f t="array" ref="BF1052">IF(COUNTIF(AZ1052:BB1052,"&lt;&gt;0")=1,INDEX($V$4:$AW$4,MATCH(TRUE,INDEX($V1052:$AW1052&lt;&gt;0,),0)),IF(COUNTIF(AZ1052:BB1052,"&lt;&gt;0")=0,INDEX($AM$4:$AW$4,MATCH(1,$AM1052:$AW1052,0)),"Multiple strategies"))</f>
        <v>Supply chain</v>
      </c>
      <c r="BG1052" s="142" t="s">
        <v>229</v>
      </c>
      <c r="BH1052" t="s">
        <v>441</v>
      </c>
      <c r="BI1052" s="264" t="s">
        <v>3274</v>
      </c>
      <c r="BJ1052" s="143" t="s">
        <v>442</v>
      </c>
      <c r="BK1052">
        <v>44</v>
      </c>
      <c r="BL1052">
        <v>44</v>
      </c>
      <c r="BM1052" s="143">
        <f>BL1052/BK1052</f>
        <v>1</v>
      </c>
      <c r="BN1052">
        <f>BL1052-BK1052</f>
        <v>0</v>
      </c>
      <c r="BO1052">
        <f>BN1052*tC_to_m3</f>
        <v>0</v>
      </c>
      <c r="BP1052" t="s">
        <v>232</v>
      </c>
      <c r="BQ1052" s="260" t="s">
        <v>813</v>
      </c>
      <c r="BR1052" t="s">
        <v>443</v>
      </c>
      <c r="BS1052" s="141">
        <v>151</v>
      </c>
      <c r="BT1052" s="141">
        <v>93</v>
      </c>
      <c r="BU1052" s="144">
        <f>IFERROR(BT1052/BS1052,"")</f>
        <v>0.61589403973509937</v>
      </c>
      <c r="BV1052">
        <f>BT1052-BS1052</f>
        <v>-58</v>
      </c>
      <c r="BX1052">
        <f>BV1052*C_to_CO2</f>
        <v>-212.85999999999999</v>
      </c>
      <c r="BY1052" t="str">
        <f>IFERROR(BX1052/BO1052,"")</f>
        <v/>
      </c>
      <c r="BZ1052" s="143">
        <v>0</v>
      </c>
      <c r="CA1052" s="143">
        <v>0</v>
      </c>
      <c r="CB1052" s="143">
        <v>0</v>
      </c>
      <c r="CC1052" s="143">
        <v>0</v>
      </c>
      <c r="CD1052" s="143">
        <v>0</v>
      </c>
      <c r="CE1052" s="143">
        <v>0</v>
      </c>
      <c r="CF1052" s="143">
        <v>0</v>
      </c>
      <c r="CG1052" s="143">
        <v>0</v>
      </c>
      <c r="CH1052" s="143">
        <v>0</v>
      </c>
      <c r="CI1052" s="143">
        <v>0</v>
      </c>
      <c r="CJ1052" s="143">
        <v>0</v>
      </c>
      <c r="CK1052" s="143">
        <v>0</v>
      </c>
      <c r="CL1052" s="143">
        <v>0</v>
      </c>
      <c r="CM1052">
        <v>0</v>
      </c>
      <c r="CN1052" t="str">
        <f>IF($BL1052&lt;$BK1052,"refNeedCorrection","refOK")</f>
        <v>refOK</v>
      </c>
      <c r="CO1052">
        <f>IF($CN1052="refOK",$BK1052,$BL1052)</f>
        <v>44</v>
      </c>
      <c r="CP1052">
        <f>IF($CN1052="refOK",$BL1052,$BK1052)</f>
        <v>44</v>
      </c>
      <c r="CQ1052">
        <f>IF($CN1052="refOK",$BO1052,-$BO1052)</f>
        <v>0</v>
      </c>
      <c r="CR1052">
        <f>IF($CN1052="refOK",$BS1052,$BT1052)*IF($BP1052="Emissions positive",-1,1)</f>
        <v>151</v>
      </c>
      <c r="CS1052">
        <f>IF($CN1052="refOK",$BT1052,$BS1052)*IF($BP1052="Emissions positive",-1,1)</f>
        <v>93</v>
      </c>
      <c r="CT1052">
        <f>IF($CN1052="refNeedCorrection",-BX1052,BX1052)*IF($BP1052="Emissions positive",-1,1)</f>
        <v>-212.85999999999999</v>
      </c>
      <c r="CU1052" t="str">
        <f>IFERROR(CT1052/CQ1052,"")</f>
        <v/>
      </c>
      <c r="CV1052" s="2">
        <f>IFERROR((CS1052-CR1052)/ABS(CR1052),"")</f>
        <v>-0.38410596026490068</v>
      </c>
      <c r="CW1052" s="1" t="s">
        <v>263</v>
      </c>
      <c r="CX1052" t="str">
        <f>IF(OR($CW1052="prd",$CW1052="std",$CW1052="cit"),"loc",IF(OR($CW1052="eur",$CW1052="reg",$CW1052="coy"),"reg",$CW1052))</f>
        <v>loc</v>
      </c>
      <c r="CY1052" t="s">
        <v>444</v>
      </c>
      <c r="DB1052">
        <v>300</v>
      </c>
      <c r="DC1052" t="str">
        <f>IF(DB1052=0,"0",IF(AND(DB1052&gt;=1,DB1052&lt;=30),"1-30",IF(AND(DB1052&gt;30,DB1052&lt;=70),"31-70",IF(AND(DB1052&gt;70,DB1052&lt;=100),"71-100",IF(DB1052&gt;100,"+100")))))</f>
        <v>+100</v>
      </c>
      <c r="DD1052">
        <v>0</v>
      </c>
      <c r="DE1052">
        <v>1</v>
      </c>
      <c r="DF1052">
        <v>0</v>
      </c>
      <c r="DG1052">
        <v>1</v>
      </c>
      <c r="DI1052">
        <f>SUM(DD1052:DG1052)</f>
        <v>2</v>
      </c>
      <c r="DJ1052" t="str">
        <f>IF(DI1052=1,INDEX($DD$7:$DG$7,MATCH(1,$DD1052:$DG1052,0)),"mixedProduct")</f>
        <v>mixedProduct</v>
      </c>
      <c r="DK1052">
        <f>IF(DD1052=1,DK$7,0)</f>
        <v>0</v>
      </c>
      <c r="DL1052" t="str">
        <f>IF(DE1052=1,DL$7,0)</f>
        <v>Energy</v>
      </c>
      <c r="DM1052">
        <f>IF(DF1052=1,DM$7,0)</f>
        <v>0</v>
      </c>
      <c r="DN1052" t="str">
        <f>IF(DG1052=1,DN$7,0)</f>
        <v>Timber</v>
      </c>
      <c r="DO1052">
        <v>1</v>
      </c>
      <c r="DP1052" s="143">
        <v>0</v>
      </c>
      <c r="DQ1052" s="143">
        <v>0</v>
      </c>
      <c r="DR1052" s="143">
        <v>0</v>
      </c>
      <c r="DS1052">
        <v>0</v>
      </c>
      <c r="DT1052">
        <f>SUM(DO1052:DP1052)</f>
        <v>1</v>
      </c>
      <c r="DU1052" s="143" t="str">
        <f>IF(DO1052=1,"self-calculated DF",IF(DP1052=1,"external DF used","explicit C balance"))</f>
        <v>self-calculated DF</v>
      </c>
      <c r="DV1052">
        <v>0</v>
      </c>
      <c r="DW1052" s="143">
        <v>0</v>
      </c>
      <c r="DX1052" s="143">
        <v>1</v>
      </c>
      <c r="DY1052" s="143">
        <v>1</v>
      </c>
      <c r="DZ1052">
        <v>1</v>
      </c>
      <c r="EA1052" s="143">
        <v>1</v>
      </c>
      <c r="EB1052">
        <v>0</v>
      </c>
      <c r="EC1052" s="143">
        <v>1</v>
      </c>
      <c r="ED1052" s="143">
        <v>0</v>
      </c>
      <c r="EE1052">
        <v>0</v>
      </c>
      <c r="EF1052">
        <v>0</v>
      </c>
      <c r="EG1052" s="143">
        <v>0</v>
      </c>
      <c r="EH1052" s="143">
        <v>0</v>
      </c>
      <c r="EI1052" s="2">
        <v>0</v>
      </c>
      <c r="EK1052" t="str">
        <f>IF(AND(AND(AND(OR($DX1052=1,$DW1052=1),OR($EC1052=1,$EA1052=1)),SUM($DV1052:$DZ1052,$EF1052)&gt;=4),SUM($EA1052:$EE1052)&gt;=2),"Whole sector","")</f>
        <v/>
      </c>
      <c r="EL1052" t="str">
        <f>IF(AND(AND(OR($DX1052=1,$DW1052=1),AND($EC1052=0,$EA1052=0)),SUM($DV1052:$DZ1052,$EF1052)&gt;=4),"Ecosystem approach","")</f>
        <v/>
      </c>
      <c r="EM1052" s="2" t="str">
        <f>IF(AND(AND(AND($DX1052=0,$DW1052=0),OR($EC1052=1,$EA1052=1)),SUM($EB1052:$EE1052)&gt;=2),"Technology approach","")</f>
        <v/>
      </c>
      <c r="EP1052" t="b">
        <f>IF(ISNUMBER(BU1052),IF(ABS(BU1052-[4]QC_indicators!$B$2)&gt;3*[4]QC_indicators!$C$2,"C ratio",IF(ISNUMBER(BY1052),IF(ABS(BY1052-[4]QC_indicators!$B$1)&gt;3*[4]QC_indicators!$C$1,"DF","no"))),IF(ISNUMBER(BY1052),IF(ABS(BY1052-[4]QC_indicators!$B$1)&gt;3*[4]QC_indicators!$C$1,"DF","no")))</f>
        <v>0</v>
      </c>
      <c r="ET1052" s="264" t="s">
        <v>3273</v>
      </c>
    </row>
    <row r="1053" spans="1:150" ht="15" customHeight="1">
      <c r="A1053" s="1" t="s">
        <v>430</v>
      </c>
      <c r="B1053" t="s">
        <v>431</v>
      </c>
      <c r="C1053" t="s">
        <v>432</v>
      </c>
      <c r="D1053" t="s">
        <v>433</v>
      </c>
      <c r="E1053" t="s">
        <v>434</v>
      </c>
      <c r="F1053" t="s">
        <v>435</v>
      </c>
      <c r="G1053" t="s">
        <v>436</v>
      </c>
      <c r="H1053" t="s">
        <v>254</v>
      </c>
      <c r="I1053">
        <v>2000</v>
      </c>
      <c r="J1053">
        <v>174</v>
      </c>
      <c r="K1053" t="s">
        <v>437</v>
      </c>
      <c r="M1053" t="str">
        <f>LEFT($D1053,FIND(",",$D1053)-1)&amp;"_"&amp;I1053&amp;L1053</f>
        <v>Borjesson_2000</v>
      </c>
      <c r="N1053" t="s">
        <v>222</v>
      </c>
      <c r="O1053" s="145" t="s">
        <v>223</v>
      </c>
      <c r="Q1053" t="s">
        <v>256</v>
      </c>
      <c r="R1053" s="255" t="s">
        <v>225</v>
      </c>
      <c r="S1053" s="1" t="s">
        <v>464</v>
      </c>
      <c r="T1053" t="s">
        <v>465</v>
      </c>
      <c r="U1053" t="s">
        <v>466</v>
      </c>
      <c r="V1053">
        <v>0</v>
      </c>
      <c r="W1053">
        <v>0</v>
      </c>
      <c r="X1053">
        <v>0</v>
      </c>
      <c r="Y1053">
        <v>0</v>
      </c>
      <c r="Z1053">
        <v>0</v>
      </c>
      <c r="AA1053">
        <v>0</v>
      </c>
      <c r="AB1053">
        <v>0</v>
      </c>
      <c r="AC1053">
        <v>0</v>
      </c>
      <c r="AD1053">
        <v>0</v>
      </c>
      <c r="AE1053">
        <v>0</v>
      </c>
      <c r="AF1053">
        <v>0</v>
      </c>
      <c r="AG1053">
        <v>0</v>
      </c>
      <c r="AH1053">
        <v>1</v>
      </c>
      <c r="AI1053">
        <v>0</v>
      </c>
      <c r="AJ1053">
        <v>0</v>
      </c>
      <c r="AK1053">
        <v>0</v>
      </c>
      <c r="AL1053">
        <v>0</v>
      </c>
      <c r="AM1053">
        <v>0</v>
      </c>
      <c r="AN1053">
        <v>0</v>
      </c>
      <c r="AO1053">
        <v>0</v>
      </c>
      <c r="AP1053">
        <v>0</v>
      </c>
      <c r="AQ1053">
        <v>0</v>
      </c>
      <c r="AR1053">
        <v>0</v>
      </c>
      <c r="AS1053">
        <v>0</v>
      </c>
      <c r="AT1053">
        <v>0</v>
      </c>
      <c r="AU1053">
        <v>0</v>
      </c>
      <c r="AV1053">
        <v>0</v>
      </c>
      <c r="AW1053">
        <v>0</v>
      </c>
      <c r="AX1053" s="141">
        <f>COUNTIF(V1053:AW1053,"&lt;&gt;0")</f>
        <v>1</v>
      </c>
      <c r="AY1053" s="141">
        <f>COUNTIF(V1053:AL1053,"&lt;&gt;0")</f>
        <v>1</v>
      </c>
      <c r="AZ1053">
        <f>COUNTIF(V1053:AC1053,"&lt;&gt;0")</f>
        <v>0</v>
      </c>
      <c r="BA1053">
        <f>COUNTIF(AD1053:AI1053,"&lt;&gt;0")</f>
        <v>1</v>
      </c>
      <c r="BB1053">
        <f>COUNTIF(AJ1053:AL1053,"&lt;&gt;0")</f>
        <v>0</v>
      </c>
      <c r="BC1053">
        <f>COUNTIF(AS1053:AW1053,"&lt;&gt;0")</f>
        <v>0</v>
      </c>
      <c r="BD1053">
        <f>COUNTIF(AM1053:AR1053,"&lt;&gt;0")</f>
        <v>0</v>
      </c>
      <c r="BE1053" t="str">
        <f t="array" ref="BE1053">IF(AY1053=1,INDEX($V$7:$AL$7,MATCH(TRUE,INDEX($V1053:$AW1053&lt;&gt;0,),0)),IF(AY1053=0,INDEX($AM$7:$AW$7,MATCH(1,$AM1053:$AW1053,0)),IF(BF1053="Multiple strategies","mixed drivers",IF(BF1053="Supply chain","multiple supply","multiple silviculture"))))</f>
        <v xml:space="preserve">end of life disposal </v>
      </c>
      <c r="BF1053" s="2" t="str" cm="1">
        <f t="array" ref="BF1053">IF(COUNTIF(AZ1053:BB1053,"&lt;&gt;0")=1,INDEX($V$4:$AW$4,MATCH(TRUE,INDEX($V1053:$AW1053&lt;&gt;0,),0)),IF(COUNTIF(AZ1053:BB1053,"&lt;&gt;0")=0,INDEX($AM$4:$AW$4,MATCH(1,$AM1053:$AW1053,0)),"Multiple strategies"))</f>
        <v>Supply chain</v>
      </c>
      <c r="BG1053" s="142" t="s">
        <v>229</v>
      </c>
      <c r="BH1053" t="s">
        <v>441</v>
      </c>
      <c r="BI1053" s="264" t="s">
        <v>3274</v>
      </c>
      <c r="BJ1053" s="143" t="s">
        <v>442</v>
      </c>
      <c r="BK1053">
        <v>44</v>
      </c>
      <c r="BL1053">
        <v>44</v>
      </c>
      <c r="BM1053" s="143">
        <f>BL1053/BK1053</f>
        <v>1</v>
      </c>
      <c r="BN1053">
        <f>BL1053-BK1053</f>
        <v>0</v>
      </c>
      <c r="BO1053">
        <v>0</v>
      </c>
      <c r="BP1053" t="s">
        <v>232</v>
      </c>
      <c r="BQ1053" s="260" t="s">
        <v>813</v>
      </c>
      <c r="BR1053" t="s">
        <v>443</v>
      </c>
      <c r="BS1053" s="141">
        <v>47</v>
      </c>
      <c r="BT1053" s="141">
        <v>97</v>
      </c>
      <c r="BU1053" s="144">
        <f>IFERROR(BT1053/BS1053,"")</f>
        <v>2.0638297872340425</v>
      </c>
      <c r="BV1053">
        <f>BT1053-BS1053</f>
        <v>50</v>
      </c>
      <c r="BX1053">
        <f>BV1053*C_to_CO2</f>
        <v>183.5</v>
      </c>
      <c r="BY1053" t="str">
        <f>IFERROR(BX1053/BO1053,"")</f>
        <v/>
      </c>
      <c r="BZ1053" s="143">
        <v>0</v>
      </c>
      <c r="CA1053" s="143">
        <v>0</v>
      </c>
      <c r="CB1053" s="143">
        <v>0</v>
      </c>
      <c r="CC1053" s="143">
        <v>0</v>
      </c>
      <c r="CD1053" s="143">
        <v>0</v>
      </c>
      <c r="CE1053" s="143">
        <v>0</v>
      </c>
      <c r="CF1053" s="143">
        <v>0</v>
      </c>
      <c r="CG1053" s="143">
        <v>0</v>
      </c>
      <c r="CH1053" s="143">
        <v>0</v>
      </c>
      <c r="CI1053" s="143">
        <v>0</v>
      </c>
      <c r="CJ1053" s="143">
        <v>0</v>
      </c>
      <c r="CK1053" s="143">
        <v>0</v>
      </c>
      <c r="CL1053" s="143">
        <v>0</v>
      </c>
      <c r="CM1053">
        <v>0</v>
      </c>
      <c r="CN1053" t="str">
        <f>IF($BL1053&lt;$BK1053,"refNeedCorrection","refOK")</f>
        <v>refOK</v>
      </c>
      <c r="CO1053">
        <f>IF($CN1053="refOK",$BK1053,$BL1053)</f>
        <v>44</v>
      </c>
      <c r="CP1053">
        <f>IF($CN1053="refOK",$BL1053,$BK1053)</f>
        <v>44</v>
      </c>
      <c r="CQ1053">
        <f>IF($CN1053="refOK",$BO1053,-$BO1053)</f>
        <v>0</v>
      </c>
      <c r="CR1053">
        <f>IF($CN1053="refOK",$BS1053,$BT1053)*IF($BP1053="Emissions positive",-1,1)</f>
        <v>47</v>
      </c>
      <c r="CS1053">
        <f>IF($CN1053="refOK",$BT1053,$BS1053)*IF($BP1053="Emissions positive",-1,1)</f>
        <v>97</v>
      </c>
      <c r="CT1053">
        <f>IF($CN1053="refNeedCorrection",-BX1053,BX1053)*IF($BP1053="Emissions positive",-1,1)</f>
        <v>183.5</v>
      </c>
      <c r="CU1053" t="str">
        <f>IFERROR(CT1053/CQ1053,"")</f>
        <v/>
      </c>
      <c r="CV1053" s="2">
        <f>IFERROR((CS1053-CR1053)/ABS(CR1053),"")</f>
        <v>1.0638297872340425</v>
      </c>
      <c r="CW1053" s="1" t="s">
        <v>263</v>
      </c>
      <c r="CX1053" t="str">
        <f>IF(OR($CW1053="prd",$CW1053="std",$CW1053="cit"),"loc",IF(OR($CW1053="eur",$CW1053="reg",$CW1053="coy"),"reg",$CW1053))</f>
        <v>loc</v>
      </c>
      <c r="CY1053" t="s">
        <v>444</v>
      </c>
      <c r="DB1053">
        <v>300</v>
      </c>
      <c r="DC1053" t="str">
        <f>IF(DB1053=0,"0",IF(AND(DB1053&gt;=1,DB1053&lt;=30),"1-30",IF(AND(DB1053&gt;30,DB1053&lt;=70),"31-70",IF(AND(DB1053&gt;70,DB1053&lt;=100),"71-100",IF(DB1053&gt;100,"+100")))))</f>
        <v>+100</v>
      </c>
      <c r="DD1053">
        <v>0</v>
      </c>
      <c r="DE1053">
        <v>1</v>
      </c>
      <c r="DF1053">
        <v>0</v>
      </c>
      <c r="DG1053">
        <v>0</v>
      </c>
      <c r="DI1053">
        <f>SUM(DD1053:DG1053)</f>
        <v>1</v>
      </c>
      <c r="DJ1053" t="str">
        <f>IF(DI1053=1,INDEX($DD$7:$DG$7,MATCH(1,$DD1053:$DG1053,0)),"mixedProduct")</f>
        <v>EnergyInput</v>
      </c>
      <c r="DK1053">
        <f>IF(DD1053=1,DK$7,0)</f>
        <v>0</v>
      </c>
      <c r="DL1053" t="str">
        <f>IF(DE1053=1,DL$7,0)</f>
        <v>Energy</v>
      </c>
      <c r="DM1053">
        <f>IF(DF1053=1,DM$7,0)</f>
        <v>0</v>
      </c>
      <c r="DN1053">
        <f>IF(DG1053=1,DN$7,0)</f>
        <v>0</v>
      </c>
      <c r="DO1053">
        <v>1</v>
      </c>
      <c r="DP1053" s="143">
        <v>0</v>
      </c>
      <c r="DQ1053" s="143">
        <v>0</v>
      </c>
      <c r="DR1053" s="143">
        <v>0</v>
      </c>
      <c r="DS1053">
        <v>0</v>
      </c>
      <c r="DT1053">
        <f>SUM(DO1053:DP1053)</f>
        <v>1</v>
      </c>
      <c r="DU1053" s="143" t="str">
        <f>IF(DO1053=1,"self-calculated DF",IF(DP1053=1,"external DF used","explicit C balance"))</f>
        <v>self-calculated DF</v>
      </c>
      <c r="DV1053">
        <v>0</v>
      </c>
      <c r="DW1053" s="143">
        <v>0</v>
      </c>
      <c r="DX1053" s="143">
        <v>1</v>
      </c>
      <c r="DY1053" s="143">
        <v>1</v>
      </c>
      <c r="DZ1053">
        <v>1</v>
      </c>
      <c r="EA1053" s="143">
        <v>1</v>
      </c>
      <c r="EB1053">
        <v>0</v>
      </c>
      <c r="EC1053" s="143">
        <v>1</v>
      </c>
      <c r="ED1053" s="143">
        <v>0</v>
      </c>
      <c r="EE1053">
        <v>0</v>
      </c>
      <c r="EF1053">
        <v>0</v>
      </c>
      <c r="EG1053" s="143">
        <v>0</v>
      </c>
      <c r="EH1053" s="143">
        <v>0</v>
      </c>
      <c r="EI1053" s="2">
        <v>0</v>
      </c>
      <c r="EK1053" t="str">
        <f>IF(AND(AND(AND(OR($DX1053=1,$DW1053=1),OR($EC1053=1,$EA1053=1)),SUM($DV1053:$DZ1053,$EF1053)&gt;=4),SUM($EA1053:$EE1053)&gt;=2),"Whole sector","")</f>
        <v/>
      </c>
      <c r="EL1053" t="str">
        <f>IF(AND(AND(OR($DX1053=1,$DW1053=1),AND($EC1053=0,$EA1053=0)),SUM($DV1053:$DZ1053,$EF1053)&gt;=4),"Ecosystem approach","")</f>
        <v/>
      </c>
      <c r="EM1053" s="2" t="str">
        <f>IF(AND(AND(AND($DX1053=0,$DW1053=0),OR($EC1053=1,$EA1053=1)),SUM($EB1053:$EE1053)&gt;=2),"Technology approach","")</f>
        <v/>
      </c>
      <c r="EN1053" t="s">
        <v>445</v>
      </c>
      <c r="EP1053" t="b">
        <f>IF(ISNUMBER(BU1053),IF(ABS(BU1053-[4]QC_indicators!$B$2)&gt;3*[4]QC_indicators!$C$2,"C ratio",IF(ISNUMBER(BY1053),IF(ABS(BY1053-[4]QC_indicators!$B$1)&gt;3*[4]QC_indicators!$C$1,"DF","no"))),IF(ISNUMBER(BY1053),IF(ABS(BY1053-[4]QC_indicators!$B$1)&gt;3*[4]QC_indicators!$C$1,"DF","no")))</f>
        <v>0</v>
      </c>
      <c r="ET1053" s="264" t="s">
        <v>3273</v>
      </c>
    </row>
    <row r="1054" spans="1:150" ht="15" customHeight="1">
      <c r="A1054" s="1" t="s">
        <v>430</v>
      </c>
      <c r="B1054" t="s">
        <v>431</v>
      </c>
      <c r="C1054" t="s">
        <v>432</v>
      </c>
      <c r="D1054" t="s">
        <v>433</v>
      </c>
      <c r="E1054" t="s">
        <v>434</v>
      </c>
      <c r="F1054" t="s">
        <v>435</v>
      </c>
      <c r="G1054" t="s">
        <v>436</v>
      </c>
      <c r="H1054" t="s">
        <v>254</v>
      </c>
      <c r="I1054">
        <v>2000</v>
      </c>
      <c r="J1054">
        <v>174</v>
      </c>
      <c r="K1054" t="s">
        <v>437</v>
      </c>
      <c r="M1054" t="str">
        <f>LEFT($D1054,FIND(",",$D1054)-1)&amp;"_"&amp;I1054&amp;L1054</f>
        <v>Borjesson_2000</v>
      </c>
      <c r="N1054" t="s">
        <v>222</v>
      </c>
      <c r="O1054" s="145" t="s">
        <v>223</v>
      </c>
      <c r="Q1054" t="s">
        <v>256</v>
      </c>
      <c r="R1054" s="255" t="s">
        <v>225</v>
      </c>
      <c r="S1054" s="1" t="s">
        <v>464</v>
      </c>
      <c r="T1054" t="s">
        <v>467</v>
      </c>
      <c r="U1054" t="s">
        <v>466</v>
      </c>
      <c r="V1054">
        <v>0</v>
      </c>
      <c r="W1054">
        <v>0</v>
      </c>
      <c r="X1054">
        <v>0</v>
      </c>
      <c r="Y1054">
        <v>0</v>
      </c>
      <c r="Z1054">
        <v>0</v>
      </c>
      <c r="AA1054">
        <v>0</v>
      </c>
      <c r="AB1054">
        <v>0</v>
      </c>
      <c r="AC1054">
        <v>0</v>
      </c>
      <c r="AD1054">
        <v>0</v>
      </c>
      <c r="AE1054">
        <v>0</v>
      </c>
      <c r="AF1054">
        <v>0</v>
      </c>
      <c r="AG1054">
        <v>0</v>
      </c>
      <c r="AH1054">
        <v>1</v>
      </c>
      <c r="AI1054">
        <v>0</v>
      </c>
      <c r="AJ1054">
        <v>0</v>
      </c>
      <c r="AK1054">
        <v>0</v>
      </c>
      <c r="AL1054">
        <v>0</v>
      </c>
      <c r="AM1054">
        <v>0</v>
      </c>
      <c r="AN1054">
        <v>0</v>
      </c>
      <c r="AO1054">
        <v>0</v>
      </c>
      <c r="AP1054">
        <v>0</v>
      </c>
      <c r="AQ1054">
        <v>0</v>
      </c>
      <c r="AR1054">
        <v>0</v>
      </c>
      <c r="AS1054">
        <v>0</v>
      </c>
      <c r="AT1054">
        <v>0</v>
      </c>
      <c r="AU1054">
        <v>0</v>
      </c>
      <c r="AV1054">
        <v>0</v>
      </c>
      <c r="AW1054">
        <v>0</v>
      </c>
      <c r="AX1054" s="141">
        <f>COUNTIF(V1054:AW1054,"&lt;&gt;0")</f>
        <v>1</v>
      </c>
      <c r="AY1054" s="141">
        <f>COUNTIF(V1054:AL1054,"&lt;&gt;0")</f>
        <v>1</v>
      </c>
      <c r="AZ1054">
        <f>COUNTIF(V1054:AC1054,"&lt;&gt;0")</f>
        <v>0</v>
      </c>
      <c r="BA1054">
        <f>COUNTIF(AD1054:AI1054,"&lt;&gt;0")</f>
        <v>1</v>
      </c>
      <c r="BB1054">
        <f>COUNTIF(AJ1054:AL1054,"&lt;&gt;0")</f>
        <v>0</v>
      </c>
      <c r="BC1054">
        <f>COUNTIF(AS1054:AW1054,"&lt;&gt;0")</f>
        <v>0</v>
      </c>
      <c r="BD1054">
        <f>COUNTIF(AM1054:AR1054,"&lt;&gt;0")</f>
        <v>0</v>
      </c>
      <c r="BE1054" t="str">
        <f t="array" ref="BE1054">IF(AY1054=1,INDEX($V$7:$AL$7,MATCH(TRUE,INDEX($V1054:$AW1054&lt;&gt;0,),0)),IF(AY1054=0,INDEX($AM$7:$AW$7,MATCH(1,$AM1054:$AW1054,0)),IF(BF1054="Multiple strategies","mixed drivers",IF(BF1054="Supply chain","multiple supply","multiple silviculture"))))</f>
        <v xml:space="preserve">end of life disposal </v>
      </c>
      <c r="BF1054" s="2" t="str" cm="1">
        <f t="array" ref="BF1054">IF(COUNTIF(AZ1054:BB1054,"&lt;&gt;0")=1,INDEX($V$4:$AW$4,MATCH(TRUE,INDEX($V1054:$AW1054&lt;&gt;0,),0)),IF(COUNTIF(AZ1054:BB1054,"&lt;&gt;0")=0,INDEX($AM$4:$AW$4,MATCH(1,$AM1054:$AW1054,0)),"Multiple strategies"))</f>
        <v>Supply chain</v>
      </c>
      <c r="BG1054" s="142" t="s">
        <v>229</v>
      </c>
      <c r="BH1054" t="s">
        <v>441</v>
      </c>
      <c r="BI1054" s="264" t="s">
        <v>3274</v>
      </c>
      <c r="BJ1054" s="143" t="s">
        <v>442</v>
      </c>
      <c r="BK1054">
        <f>3*44</f>
        <v>132</v>
      </c>
      <c r="BL1054">
        <f>3*44</f>
        <v>132</v>
      </c>
      <c r="BM1054" s="143">
        <f>BL1054/BK1054</f>
        <v>1</v>
      </c>
      <c r="BN1054">
        <f>BL1054-BK1054</f>
        <v>0</v>
      </c>
      <c r="BO1054">
        <v>0</v>
      </c>
      <c r="BP1054" t="s">
        <v>232</v>
      </c>
      <c r="BQ1054" s="260" t="s">
        <v>813</v>
      </c>
      <c r="BR1054" t="s">
        <v>443</v>
      </c>
      <c r="BS1054" s="141">
        <v>-3</v>
      </c>
      <c r="BT1054" s="141">
        <v>97</v>
      </c>
      <c r="BU1054" s="144">
        <f>IFERROR(BT1054/BS1054,"")</f>
        <v>-32.333333333333336</v>
      </c>
      <c r="BV1054">
        <f>BT1054-BS1054</f>
        <v>100</v>
      </c>
      <c r="BX1054">
        <f>BV1054*C_to_CO2</f>
        <v>367</v>
      </c>
      <c r="BY1054" t="str">
        <f>IFERROR(BX1054/BO1054,"")</f>
        <v/>
      </c>
      <c r="BZ1054" s="143">
        <v>0</v>
      </c>
      <c r="CA1054" s="143">
        <v>0</v>
      </c>
      <c r="CB1054" s="143">
        <v>0</v>
      </c>
      <c r="CC1054" s="143">
        <v>0</v>
      </c>
      <c r="CD1054" s="143">
        <v>0</v>
      </c>
      <c r="CE1054" s="143">
        <v>0</v>
      </c>
      <c r="CF1054" s="143">
        <v>0</v>
      </c>
      <c r="CG1054" s="143">
        <v>0</v>
      </c>
      <c r="CH1054" s="143">
        <v>0</v>
      </c>
      <c r="CI1054" s="143">
        <v>0</v>
      </c>
      <c r="CJ1054" s="143">
        <v>0</v>
      </c>
      <c r="CK1054" s="143">
        <v>0</v>
      </c>
      <c r="CL1054" s="143">
        <v>0</v>
      </c>
      <c r="CM1054">
        <v>0</v>
      </c>
      <c r="CN1054" t="str">
        <f>IF(BL1054&lt;BK1054,"refNeedCorrection","refOK")</f>
        <v>refOK</v>
      </c>
      <c r="CO1054">
        <f>IF($CN1054="refOK",$BK1054,$BL1054)</f>
        <v>132</v>
      </c>
      <c r="CP1054">
        <f>IF($CN1054="refOK",$BL1054,$BK1054)</f>
        <v>132</v>
      </c>
      <c r="CQ1054">
        <f>IF($CN1054="refOK",$BO1054,-$BO1054)</f>
        <v>0</v>
      </c>
      <c r="CR1054">
        <f>IF($CN1054="refOK",$BS1054,$BT1054)*IF($BP1054="Emissions positive",-1,1)</f>
        <v>-3</v>
      </c>
      <c r="CS1054">
        <f>IF($CN1054="refOK",$BT1054,$BS1054)*IF($BP1054="Emissions positive",-1,1)</f>
        <v>97</v>
      </c>
      <c r="CT1054">
        <f>IF($CN1054="refNeedCorrection",-BX1054,BX1054)*IF($BP1054="Emissions positive",-1,1)</f>
        <v>367</v>
      </c>
      <c r="CU1054" t="str">
        <f>IFERROR(CT1054/CQ1054,"")</f>
        <v/>
      </c>
      <c r="CV1054" s="2">
        <f>IFERROR((CS1054-CR1054)/ABS(CR1054),"")</f>
        <v>33.333333333333336</v>
      </c>
      <c r="CW1054" s="1" t="s">
        <v>263</v>
      </c>
      <c r="CX1054" t="str">
        <f>IF(OR($CW1054="prd",$CW1054="std",$CW1054="cit"),"loc",IF(OR($CW1054="eur",$CW1054="reg",$CW1054="coy"),"reg",$CW1054))</f>
        <v>loc</v>
      </c>
      <c r="CY1054" t="s">
        <v>444</v>
      </c>
      <c r="DB1054">
        <v>300</v>
      </c>
      <c r="DC1054" t="str">
        <f>IF(DB1054=0,"0",IF(AND(DB1054&gt;=1,DB1054&lt;=30),"1-30",IF(AND(DB1054&gt;30,DB1054&lt;=70),"31-70",IF(AND(DB1054&gt;70,DB1054&lt;=100),"71-100",IF(DB1054&gt;100,"+100")))))</f>
        <v>+100</v>
      </c>
      <c r="DD1054">
        <v>0</v>
      </c>
      <c r="DE1054">
        <v>1</v>
      </c>
      <c r="DF1054">
        <v>0</v>
      </c>
      <c r="DG1054">
        <v>0</v>
      </c>
      <c r="DI1054">
        <f>SUM(DD1054:DG1054)</f>
        <v>1</v>
      </c>
      <c r="DJ1054" t="str">
        <f>IF(DI1054=1,INDEX($DD$7:$DG$7,MATCH(1,$DD1054:$DG1054,0)),"mixedProduct")</f>
        <v>EnergyInput</v>
      </c>
      <c r="DK1054">
        <f>IF(DD1054=1,DK$7,0)</f>
        <v>0</v>
      </c>
      <c r="DL1054" t="str">
        <f>IF(DE1054=1,DL$7,0)</f>
        <v>Energy</v>
      </c>
      <c r="DM1054">
        <f>IF(DF1054=1,DM$7,0)</f>
        <v>0</v>
      </c>
      <c r="DN1054">
        <f>IF(DG1054=1,DN$7,0)</f>
        <v>0</v>
      </c>
      <c r="DO1054">
        <v>1</v>
      </c>
      <c r="DP1054" s="143">
        <v>0</v>
      </c>
      <c r="DQ1054" s="143">
        <v>0</v>
      </c>
      <c r="DR1054" s="143">
        <v>0</v>
      </c>
      <c r="DS1054">
        <v>0</v>
      </c>
      <c r="DT1054">
        <f>SUM(DO1054:DP1054)</f>
        <v>1</v>
      </c>
      <c r="DU1054" s="143" t="str">
        <f>IF(DO1054=1,"self-calculated DF",IF(DP1054=1,"external DF used","explicit C balance"))</f>
        <v>self-calculated DF</v>
      </c>
      <c r="DV1054">
        <v>0</v>
      </c>
      <c r="DW1054" s="143">
        <v>0</v>
      </c>
      <c r="DX1054" s="143">
        <v>1</v>
      </c>
      <c r="DY1054" s="143">
        <v>1</v>
      </c>
      <c r="DZ1054">
        <v>1</v>
      </c>
      <c r="EA1054" s="143">
        <v>1</v>
      </c>
      <c r="EB1054">
        <v>0</v>
      </c>
      <c r="EC1054" s="143">
        <v>1</v>
      </c>
      <c r="ED1054" s="143">
        <v>0</v>
      </c>
      <c r="EE1054">
        <v>0</v>
      </c>
      <c r="EF1054">
        <v>0</v>
      </c>
      <c r="EG1054" s="143">
        <v>0</v>
      </c>
      <c r="EH1054" s="143">
        <v>0</v>
      </c>
      <c r="EI1054" s="2">
        <v>0</v>
      </c>
      <c r="EK1054" t="str">
        <f>IF(AND(AND(AND(OR($DX1054=1,$DW1054=1),OR($EC1054=1,$EA1054=1)),SUM($DV1054:$DZ1054,$EF1054)&gt;=4),SUM($EA1054:$EE1054)&gt;=2),"Whole sector","")</f>
        <v/>
      </c>
      <c r="EL1054" t="str">
        <f>IF(AND(AND(OR($DX1054=1,$DW1054=1),AND($EC1054=0,$EA1054=0)),SUM($DV1054:$DZ1054,$EF1054)&gt;=4),"Ecosystem approach","")</f>
        <v/>
      </c>
      <c r="EM1054" s="2" t="str">
        <f>IF(AND(AND(AND($DX1054=0,$DW1054=0),OR($EC1054=1,$EA1054=1)),SUM($EB1054:$EE1054)&gt;=2),"Technology approach","")</f>
        <v/>
      </c>
      <c r="EN1054" t="s">
        <v>445</v>
      </c>
      <c r="EP1054" t="str">
        <f>IF(ISNUMBER(BU1054),IF(ABS(BU1054-[4]QC_indicators!$B$2)&gt;3*[4]QC_indicators!$C$2,"C ratio",IF(ISNUMBER(BY1054),IF(ABS(BY1054-[4]QC_indicators!$B$1)&gt;3*[4]QC_indicators!$C$1,"DF","no"))),IF(ISNUMBER(BY1054),IF(ABS(BY1054-[4]QC_indicators!$B$1)&gt;3*[4]QC_indicators!$C$1,"DF","no")))</f>
        <v>C ratio</v>
      </c>
      <c r="EQ1054" t="s">
        <v>450</v>
      </c>
      <c r="ET1054" s="264" t="s">
        <v>3273</v>
      </c>
    </row>
    <row r="1055" spans="1:150" ht="15" customHeight="1">
      <c r="A1055" s="1" t="s">
        <v>430</v>
      </c>
      <c r="B1055" t="s">
        <v>431</v>
      </c>
      <c r="C1055" t="s">
        <v>432</v>
      </c>
      <c r="D1055" t="s">
        <v>433</v>
      </c>
      <c r="E1055" t="s">
        <v>434</v>
      </c>
      <c r="F1055" t="s">
        <v>435</v>
      </c>
      <c r="G1055" t="s">
        <v>436</v>
      </c>
      <c r="H1055" t="s">
        <v>254</v>
      </c>
      <c r="I1055">
        <v>2000</v>
      </c>
      <c r="J1055">
        <v>174</v>
      </c>
      <c r="K1055" t="s">
        <v>437</v>
      </c>
      <c r="M1055" t="str">
        <f>LEFT($D1055,FIND(",",$D1055)-1)&amp;"_"&amp;I1055&amp;L1055</f>
        <v>Borjesson_2000</v>
      </c>
      <c r="N1055" t="s">
        <v>222</v>
      </c>
      <c r="O1055" s="145" t="s">
        <v>223</v>
      </c>
      <c r="Q1055" t="s">
        <v>256</v>
      </c>
      <c r="R1055" s="255" t="s">
        <v>225</v>
      </c>
      <c r="S1055" s="1" t="s">
        <v>464</v>
      </c>
      <c r="T1055" t="s">
        <v>467</v>
      </c>
      <c r="U1055" t="s">
        <v>468</v>
      </c>
      <c r="V1055">
        <v>0</v>
      </c>
      <c r="W1055">
        <v>0</v>
      </c>
      <c r="X1055">
        <v>0</v>
      </c>
      <c r="Y1055">
        <v>0</v>
      </c>
      <c r="Z1055">
        <v>0</v>
      </c>
      <c r="AA1055">
        <v>0</v>
      </c>
      <c r="AB1055">
        <v>0</v>
      </c>
      <c r="AC1055">
        <v>0</v>
      </c>
      <c r="AD1055">
        <v>0</v>
      </c>
      <c r="AE1055">
        <v>0</v>
      </c>
      <c r="AF1055">
        <v>0</v>
      </c>
      <c r="AG1055">
        <v>0</v>
      </c>
      <c r="AH1055">
        <v>1</v>
      </c>
      <c r="AI1055">
        <v>0</v>
      </c>
      <c r="AJ1055">
        <v>0</v>
      </c>
      <c r="AK1055">
        <v>0</v>
      </c>
      <c r="AL1055">
        <v>0</v>
      </c>
      <c r="AM1055">
        <v>0</v>
      </c>
      <c r="AN1055">
        <v>0</v>
      </c>
      <c r="AO1055">
        <v>0</v>
      </c>
      <c r="AP1055">
        <v>0</v>
      </c>
      <c r="AQ1055">
        <v>0</v>
      </c>
      <c r="AR1055">
        <v>0</v>
      </c>
      <c r="AS1055">
        <v>0</v>
      </c>
      <c r="AT1055">
        <v>0</v>
      </c>
      <c r="AU1055">
        <v>0</v>
      </c>
      <c r="AV1055">
        <v>0</v>
      </c>
      <c r="AW1055">
        <v>0</v>
      </c>
      <c r="AX1055" s="141">
        <f>COUNTIF(V1055:AW1055,"&lt;&gt;0")</f>
        <v>1</v>
      </c>
      <c r="AY1055" s="141">
        <f>COUNTIF(V1055:AL1055,"&lt;&gt;0")</f>
        <v>1</v>
      </c>
      <c r="AZ1055">
        <f>COUNTIF(V1055:AC1055,"&lt;&gt;0")</f>
        <v>0</v>
      </c>
      <c r="BA1055">
        <f>COUNTIF(AD1055:AI1055,"&lt;&gt;0")</f>
        <v>1</v>
      </c>
      <c r="BB1055">
        <f>COUNTIF(AJ1055:AL1055,"&lt;&gt;0")</f>
        <v>0</v>
      </c>
      <c r="BC1055">
        <f>COUNTIF(AS1055:AW1055,"&lt;&gt;0")</f>
        <v>0</v>
      </c>
      <c r="BD1055">
        <f>COUNTIF(AM1055:AR1055,"&lt;&gt;0")</f>
        <v>0</v>
      </c>
      <c r="BE1055" t="str">
        <f t="array" ref="BE1055">IF(AY1055=1,INDEX($V$7:$AL$7,MATCH(TRUE,INDEX($V1055:$AW1055&lt;&gt;0,),0)),IF(AY1055=0,INDEX($AM$7:$AW$7,MATCH(1,$AM1055:$AW1055,0)),IF(BF1055="Multiple strategies","mixed drivers",IF(BF1055="Supply chain","multiple supply","multiple silviculture"))))</f>
        <v xml:space="preserve">end of life disposal </v>
      </c>
      <c r="BF1055" s="2" t="str" cm="1">
        <f t="array" ref="BF1055">IF(COUNTIF(AZ1055:BB1055,"&lt;&gt;0")=1,INDEX($V$4:$AW$4,MATCH(TRUE,INDEX($V1055:$AW1055&lt;&gt;0,),0)),IF(COUNTIF(AZ1055:BB1055,"&lt;&gt;0")=0,INDEX($AM$4:$AW$4,MATCH(1,$AM1055:$AW1055,0)),"Multiple strategies"))</f>
        <v>Supply chain</v>
      </c>
      <c r="BG1055" s="142" t="s">
        <v>229</v>
      </c>
      <c r="BH1055" t="s">
        <v>441</v>
      </c>
      <c r="BI1055" s="264" t="s">
        <v>3274</v>
      </c>
      <c r="BJ1055" s="143" t="s">
        <v>442</v>
      </c>
      <c r="BK1055">
        <f>3*44</f>
        <v>132</v>
      </c>
      <c r="BL1055">
        <f>3*44</f>
        <v>132</v>
      </c>
      <c r="BM1055" s="143">
        <f>BL1055/BK1055</f>
        <v>1</v>
      </c>
      <c r="BN1055">
        <f>BL1055-BK1055</f>
        <v>0</v>
      </c>
      <c r="BO1055">
        <v>0</v>
      </c>
      <c r="BP1055" t="s">
        <v>232</v>
      </c>
      <c r="BQ1055" s="260" t="s">
        <v>813</v>
      </c>
      <c r="BR1055" t="s">
        <v>443</v>
      </c>
      <c r="BS1055" s="141">
        <v>-3</v>
      </c>
      <c r="BT1055" s="141">
        <v>79</v>
      </c>
      <c r="BU1055" s="144">
        <f>IFERROR(BT1055/BS1055,"")</f>
        <v>-26.333333333333332</v>
      </c>
      <c r="BV1055">
        <f>BT1055-BS1055</f>
        <v>82</v>
      </c>
      <c r="BX1055">
        <f>BV1055*C_to_CO2</f>
        <v>300.94</v>
      </c>
      <c r="BY1055" t="str">
        <f>IFERROR(BX1055/BO1055,"")</f>
        <v/>
      </c>
      <c r="BZ1055" s="143">
        <v>0</v>
      </c>
      <c r="CA1055" s="143">
        <v>0</v>
      </c>
      <c r="CB1055" s="143">
        <v>0</v>
      </c>
      <c r="CC1055" s="143">
        <v>0</v>
      </c>
      <c r="CD1055" s="143">
        <v>0</v>
      </c>
      <c r="CE1055" s="143">
        <v>0</v>
      </c>
      <c r="CF1055" s="143">
        <v>0</v>
      </c>
      <c r="CG1055" s="143">
        <v>0</v>
      </c>
      <c r="CH1055" s="143">
        <v>0</v>
      </c>
      <c r="CI1055" s="143">
        <v>0</v>
      </c>
      <c r="CJ1055" s="143">
        <v>0</v>
      </c>
      <c r="CK1055" s="143">
        <v>0</v>
      </c>
      <c r="CL1055" s="143">
        <v>0</v>
      </c>
      <c r="CM1055">
        <v>0</v>
      </c>
      <c r="CN1055" t="str">
        <f>IF(BL1055&lt;BK1055,"refNeedCorrection","refOK")</f>
        <v>refOK</v>
      </c>
      <c r="CO1055">
        <f>IF($CN1055="refOK",$BK1055,$BL1055)</f>
        <v>132</v>
      </c>
      <c r="CP1055">
        <f>IF($CN1055="refOK",$BL1055,$BK1055)</f>
        <v>132</v>
      </c>
      <c r="CQ1055">
        <f>IF($CN1055="refOK",$BO1055,-$BO1055)</f>
        <v>0</v>
      </c>
      <c r="CR1055">
        <f>IF($CN1055="refOK",$BS1055,$BT1055)*IF($BP1055="Emissions positive",-1,1)</f>
        <v>-3</v>
      </c>
      <c r="CS1055">
        <f>IF($CN1055="refOK",$BT1055,$BS1055)*IF($BP1055="Emissions positive",-1,1)</f>
        <v>79</v>
      </c>
      <c r="CT1055">
        <f>IF($CN1055="refNeedCorrection",-BX1055,BX1055)*IF($BP1055="Emissions positive",-1,1)</f>
        <v>300.94</v>
      </c>
      <c r="CU1055" t="str">
        <f>IFERROR(CT1055/CQ1055,"")</f>
        <v/>
      </c>
      <c r="CV1055" s="2">
        <f>IFERROR((CS1055-CR1055)/ABS(CR1055),"")</f>
        <v>27.333333333333332</v>
      </c>
      <c r="CW1055" s="1" t="s">
        <v>263</v>
      </c>
      <c r="CX1055" t="str">
        <f>IF(OR($CW1055="prd",$CW1055="std",$CW1055="cit"),"loc",IF(OR($CW1055="eur",$CW1055="reg",$CW1055="coy"),"reg",$CW1055))</f>
        <v>loc</v>
      </c>
      <c r="CY1055" t="s">
        <v>444</v>
      </c>
      <c r="DB1055">
        <v>300</v>
      </c>
      <c r="DC1055" t="str">
        <f>IF(DB1055=0,"0",IF(AND(DB1055&gt;=1,DB1055&lt;=30),"1-30",IF(AND(DB1055&gt;30,DB1055&lt;=70),"31-70",IF(AND(DB1055&gt;70,DB1055&lt;=100),"71-100",IF(DB1055&gt;100,"+100")))))</f>
        <v>+100</v>
      </c>
      <c r="DD1055">
        <v>0</v>
      </c>
      <c r="DE1055">
        <v>1</v>
      </c>
      <c r="DF1055">
        <v>0</v>
      </c>
      <c r="DG1055">
        <v>0</v>
      </c>
      <c r="DI1055">
        <f>SUM(DD1055:DG1055)</f>
        <v>1</v>
      </c>
      <c r="DJ1055" t="str">
        <f>IF(DI1055=1,INDEX($DD$7:$DG$7,MATCH(1,$DD1055:$DG1055,0)),"mixedProduct")</f>
        <v>EnergyInput</v>
      </c>
      <c r="DK1055">
        <f>IF(DD1055=1,DK$7,0)</f>
        <v>0</v>
      </c>
      <c r="DL1055" t="str">
        <f>IF(DE1055=1,DL$7,0)</f>
        <v>Energy</v>
      </c>
      <c r="DM1055">
        <f>IF(DF1055=1,DM$7,0)</f>
        <v>0</v>
      </c>
      <c r="DN1055">
        <f>IF(DG1055=1,DN$7,0)</f>
        <v>0</v>
      </c>
      <c r="DO1055">
        <v>1</v>
      </c>
      <c r="DP1055" s="143">
        <v>0</v>
      </c>
      <c r="DQ1055" s="143">
        <v>0</v>
      </c>
      <c r="DR1055" s="143">
        <v>0</v>
      </c>
      <c r="DS1055">
        <v>0</v>
      </c>
      <c r="DT1055">
        <f>SUM(DO1055:DP1055)</f>
        <v>1</v>
      </c>
      <c r="DU1055" s="143" t="str">
        <f>IF(DO1055=1,"self-calculated DF",IF(DP1055=1,"external DF used","explicit C balance"))</f>
        <v>self-calculated DF</v>
      </c>
      <c r="DV1055">
        <v>0</v>
      </c>
      <c r="DW1055" s="143">
        <v>0</v>
      </c>
      <c r="DX1055" s="143">
        <v>1</v>
      </c>
      <c r="DY1055" s="143">
        <v>1</v>
      </c>
      <c r="DZ1055">
        <v>1</v>
      </c>
      <c r="EA1055" s="143">
        <v>1</v>
      </c>
      <c r="EB1055">
        <v>0</v>
      </c>
      <c r="EC1055" s="143">
        <v>1</v>
      </c>
      <c r="ED1055" s="143">
        <v>0</v>
      </c>
      <c r="EE1055">
        <v>0</v>
      </c>
      <c r="EF1055">
        <v>0</v>
      </c>
      <c r="EG1055" s="143">
        <v>0</v>
      </c>
      <c r="EH1055" s="143">
        <v>0</v>
      </c>
      <c r="EI1055" s="2">
        <v>0</v>
      </c>
      <c r="EK1055" t="str">
        <f>IF(AND(AND(AND(OR($DX1055=1,$DW1055=1),OR($EC1055=1,$EA1055=1)),SUM($DV1055:$DZ1055,$EF1055)&gt;=4),SUM($EA1055:$EE1055)&gt;=2),"Whole sector","")</f>
        <v/>
      </c>
      <c r="EL1055" t="str">
        <f>IF(AND(AND(OR($DX1055=1,$DW1055=1),AND($EC1055=0,$EA1055=0)),SUM($DV1055:$DZ1055,$EF1055)&gt;=4),"Ecosystem approach","")</f>
        <v/>
      </c>
      <c r="EM1055" s="2" t="str">
        <f>IF(AND(AND(AND($DX1055=0,$DW1055=0),OR($EC1055=1,$EA1055=1)),SUM($EB1055:$EE1055)&gt;=2),"Technology approach","")</f>
        <v/>
      </c>
      <c r="EN1055" t="s">
        <v>445</v>
      </c>
      <c r="EP1055" t="str">
        <f>IF(ISNUMBER(BU1055),IF(ABS(BU1055-[4]QC_indicators!$B$2)&gt;3*[4]QC_indicators!$C$2,"C ratio",IF(ISNUMBER(BY1055),IF(ABS(BY1055-[4]QC_indicators!$B$1)&gt;3*[4]QC_indicators!$C$1,"DF","no"))),IF(ISNUMBER(BY1055),IF(ABS(BY1055-[4]QC_indicators!$B$1)&gt;3*[4]QC_indicators!$C$1,"DF","no")))</f>
        <v>C ratio</v>
      </c>
      <c r="EQ1055" t="s">
        <v>450</v>
      </c>
      <c r="ET1055" s="264" t="s">
        <v>3273</v>
      </c>
    </row>
    <row r="1056" spans="1:150" ht="15" customHeight="1">
      <c r="A1056" s="1" t="s">
        <v>430</v>
      </c>
      <c r="B1056" t="s">
        <v>431</v>
      </c>
      <c r="C1056" t="s">
        <v>432</v>
      </c>
      <c r="D1056" t="s">
        <v>433</v>
      </c>
      <c r="E1056" t="s">
        <v>434</v>
      </c>
      <c r="F1056" t="s">
        <v>435</v>
      </c>
      <c r="G1056" t="s">
        <v>436</v>
      </c>
      <c r="H1056" t="s">
        <v>254</v>
      </c>
      <c r="I1056">
        <v>2000</v>
      </c>
      <c r="J1056">
        <v>174</v>
      </c>
      <c r="K1056" t="s">
        <v>437</v>
      </c>
      <c r="M1056" t="str">
        <f>LEFT($D1056,FIND(",",$D1056)-1)&amp;"_"&amp;I1056&amp;L1056</f>
        <v>Borjesson_2000</v>
      </c>
      <c r="N1056" t="s">
        <v>222</v>
      </c>
      <c r="O1056" s="145" t="s">
        <v>223</v>
      </c>
      <c r="Q1056" t="s">
        <v>256</v>
      </c>
      <c r="R1056" s="255" t="s">
        <v>225</v>
      </c>
      <c r="S1056" s="1" t="s">
        <v>464</v>
      </c>
      <c r="T1056" t="s">
        <v>465</v>
      </c>
      <c r="U1056" t="s">
        <v>468</v>
      </c>
      <c r="V1056">
        <v>0</v>
      </c>
      <c r="W1056">
        <v>0</v>
      </c>
      <c r="X1056">
        <v>0</v>
      </c>
      <c r="Y1056">
        <v>0</v>
      </c>
      <c r="Z1056">
        <v>0</v>
      </c>
      <c r="AA1056">
        <v>0</v>
      </c>
      <c r="AB1056">
        <v>0</v>
      </c>
      <c r="AC1056">
        <v>0</v>
      </c>
      <c r="AD1056">
        <v>0</v>
      </c>
      <c r="AE1056">
        <v>0</v>
      </c>
      <c r="AF1056">
        <v>0</v>
      </c>
      <c r="AG1056">
        <v>0</v>
      </c>
      <c r="AH1056">
        <v>1</v>
      </c>
      <c r="AI1056">
        <v>0</v>
      </c>
      <c r="AJ1056">
        <v>0</v>
      </c>
      <c r="AK1056">
        <v>0</v>
      </c>
      <c r="AL1056">
        <v>0</v>
      </c>
      <c r="AM1056">
        <v>0</v>
      </c>
      <c r="AN1056">
        <v>0</v>
      </c>
      <c r="AO1056">
        <v>0</v>
      </c>
      <c r="AP1056">
        <v>0</v>
      </c>
      <c r="AQ1056">
        <v>0</v>
      </c>
      <c r="AR1056">
        <v>0</v>
      </c>
      <c r="AS1056">
        <v>0</v>
      </c>
      <c r="AT1056">
        <v>0</v>
      </c>
      <c r="AU1056">
        <v>0</v>
      </c>
      <c r="AV1056">
        <v>0</v>
      </c>
      <c r="AW1056">
        <v>0</v>
      </c>
      <c r="AX1056" s="141">
        <f>COUNTIF(V1056:AW1056,"&lt;&gt;0")</f>
        <v>1</v>
      </c>
      <c r="AY1056" s="141">
        <f>COUNTIF(V1056:AL1056,"&lt;&gt;0")</f>
        <v>1</v>
      </c>
      <c r="AZ1056">
        <f>COUNTIF(V1056:AC1056,"&lt;&gt;0")</f>
        <v>0</v>
      </c>
      <c r="BA1056">
        <f>COUNTIF(AD1056:AI1056,"&lt;&gt;0")</f>
        <v>1</v>
      </c>
      <c r="BB1056">
        <f>COUNTIF(AJ1056:AL1056,"&lt;&gt;0")</f>
        <v>0</v>
      </c>
      <c r="BC1056">
        <f>COUNTIF(AS1056:AW1056,"&lt;&gt;0")</f>
        <v>0</v>
      </c>
      <c r="BD1056">
        <f>COUNTIF(AM1056:AR1056,"&lt;&gt;0")</f>
        <v>0</v>
      </c>
      <c r="BE1056" t="str">
        <f t="array" ref="BE1056">IF(AY1056=1,INDEX($V$7:$AL$7,MATCH(TRUE,INDEX($V1056:$AW1056&lt;&gt;0,),0)),IF(AY1056=0,INDEX($AM$7:$AW$7,MATCH(1,$AM1056:$AW1056,0)),IF(BF1056="Multiple strategies","mixed drivers",IF(BF1056="Supply chain","multiple supply","multiple silviculture"))))</f>
        <v xml:space="preserve">end of life disposal </v>
      </c>
      <c r="BF1056" s="2" t="str" cm="1">
        <f t="array" ref="BF1056">IF(COUNTIF(AZ1056:BB1056,"&lt;&gt;0")=1,INDEX($V$4:$AW$4,MATCH(TRUE,INDEX($V1056:$AW1056&lt;&gt;0,),0)),IF(COUNTIF(AZ1056:BB1056,"&lt;&gt;0")=0,INDEX($AM$4:$AW$4,MATCH(1,$AM1056:$AW1056,0)),"Multiple strategies"))</f>
        <v>Supply chain</v>
      </c>
      <c r="BG1056" s="142" t="s">
        <v>229</v>
      </c>
      <c r="BH1056" t="s">
        <v>441</v>
      </c>
      <c r="BI1056" s="264" t="s">
        <v>3274</v>
      </c>
      <c r="BJ1056" s="143" t="s">
        <v>442</v>
      </c>
      <c r="BK1056">
        <f>3*44</f>
        <v>132</v>
      </c>
      <c r="BL1056">
        <f>3*44</f>
        <v>132</v>
      </c>
      <c r="BM1056" s="143">
        <f>BL1056/BK1056</f>
        <v>1</v>
      </c>
      <c r="BN1056">
        <f>BL1056-BK1056</f>
        <v>0</v>
      </c>
      <c r="BO1056">
        <v>0</v>
      </c>
      <c r="BP1056" t="s">
        <v>232</v>
      </c>
      <c r="BQ1056" s="260" t="s">
        <v>813</v>
      </c>
      <c r="BR1056" t="s">
        <v>443</v>
      </c>
      <c r="BS1056" s="141">
        <v>47</v>
      </c>
      <c r="BT1056" s="141">
        <v>79</v>
      </c>
      <c r="BU1056" s="144">
        <f>IFERROR(BT1056/BS1056,"")</f>
        <v>1.6808510638297873</v>
      </c>
      <c r="BV1056">
        <f>BT1056-BS1056</f>
        <v>32</v>
      </c>
      <c r="BX1056">
        <f>BV1056*C_to_CO2</f>
        <v>117.44</v>
      </c>
      <c r="BY1056" t="str">
        <f>IFERROR(BX1056/BO1056,"")</f>
        <v/>
      </c>
      <c r="BZ1056" s="143">
        <v>0</v>
      </c>
      <c r="CA1056" s="143">
        <v>0</v>
      </c>
      <c r="CB1056" s="143">
        <v>0</v>
      </c>
      <c r="CC1056" s="143">
        <v>0</v>
      </c>
      <c r="CD1056" s="143">
        <v>0</v>
      </c>
      <c r="CE1056" s="143">
        <v>0</v>
      </c>
      <c r="CF1056" s="143">
        <v>0</v>
      </c>
      <c r="CG1056" s="143">
        <v>0</v>
      </c>
      <c r="CH1056" s="143">
        <v>0</v>
      </c>
      <c r="CI1056" s="143">
        <v>0</v>
      </c>
      <c r="CJ1056" s="143">
        <v>0</v>
      </c>
      <c r="CK1056" s="143">
        <v>0</v>
      </c>
      <c r="CL1056" s="143">
        <v>0</v>
      </c>
      <c r="CM1056">
        <v>0</v>
      </c>
      <c r="CN1056" t="str">
        <f>IF($BL1056&lt;$BK1056,"refNeedCorrection","refOK")</f>
        <v>refOK</v>
      </c>
      <c r="CO1056">
        <f>IF($CN1056="refOK",$BK1056,$BL1056)</f>
        <v>132</v>
      </c>
      <c r="CP1056">
        <f>IF($CN1056="refOK",$BL1056,$BK1056)</f>
        <v>132</v>
      </c>
      <c r="CQ1056">
        <f>IF($CN1056="refOK",$BO1056,-$BO1056)</f>
        <v>0</v>
      </c>
      <c r="CR1056">
        <f>IF($CN1056="refOK",$BS1056,$BT1056)*IF($BP1056="Emissions positive",-1,1)</f>
        <v>47</v>
      </c>
      <c r="CS1056">
        <f>IF($CN1056="refOK",$BT1056,$BS1056)*IF($BP1056="Emissions positive",-1,1)</f>
        <v>79</v>
      </c>
      <c r="CT1056">
        <f>IF($CN1056="refNeedCorrection",-BX1056,BX1056)*IF($BP1056="Emissions positive",-1,1)</f>
        <v>117.44</v>
      </c>
      <c r="CU1056" t="str">
        <f>IFERROR(CT1056/CQ1056,"")</f>
        <v/>
      </c>
      <c r="CV1056" s="2">
        <f>IFERROR((CS1056-CR1056)/ABS(CR1056),"")</f>
        <v>0.68085106382978722</v>
      </c>
      <c r="CW1056" s="1" t="s">
        <v>263</v>
      </c>
      <c r="CX1056" t="str">
        <f>IF(OR($CW1056="prd",$CW1056="std",$CW1056="cit"),"loc",IF(OR($CW1056="eur",$CW1056="reg",$CW1056="coy"),"reg",$CW1056))</f>
        <v>loc</v>
      </c>
      <c r="CY1056" t="s">
        <v>444</v>
      </c>
      <c r="DB1056">
        <v>300</v>
      </c>
      <c r="DC1056" t="str">
        <f>IF(DB1056=0,"0",IF(AND(DB1056&gt;=1,DB1056&lt;=30),"1-30",IF(AND(DB1056&gt;30,DB1056&lt;=70),"31-70",IF(AND(DB1056&gt;70,DB1056&lt;=100),"71-100",IF(DB1056&gt;100,"+100")))))</f>
        <v>+100</v>
      </c>
      <c r="DD1056">
        <v>0</v>
      </c>
      <c r="DE1056">
        <v>1</v>
      </c>
      <c r="DF1056">
        <v>0</v>
      </c>
      <c r="DG1056">
        <v>0</v>
      </c>
      <c r="DI1056">
        <f>SUM(DD1056:DG1056)</f>
        <v>1</v>
      </c>
      <c r="DJ1056" t="str">
        <f>IF(DI1056=1,INDEX($DD$7:$DG$7,MATCH(1,$DD1056:$DG1056,0)),"mixedProduct")</f>
        <v>EnergyInput</v>
      </c>
      <c r="DK1056">
        <f>IF(DD1056=1,DK$7,0)</f>
        <v>0</v>
      </c>
      <c r="DL1056" t="str">
        <f>IF(DE1056=1,DL$7,0)</f>
        <v>Energy</v>
      </c>
      <c r="DM1056">
        <f>IF(DF1056=1,DM$7,0)</f>
        <v>0</v>
      </c>
      <c r="DN1056">
        <f>IF(DG1056=1,DN$7,0)</f>
        <v>0</v>
      </c>
      <c r="DO1056">
        <v>1</v>
      </c>
      <c r="DP1056" s="143">
        <v>0</v>
      </c>
      <c r="DQ1056" s="143">
        <v>0</v>
      </c>
      <c r="DR1056" s="143">
        <v>0</v>
      </c>
      <c r="DS1056">
        <v>0</v>
      </c>
      <c r="DT1056">
        <f>SUM(DO1056:DP1056)</f>
        <v>1</v>
      </c>
      <c r="DU1056" s="143" t="str">
        <f>IF(DO1056=1,"self-calculated DF",IF(DP1056=1,"external DF used","explicit C balance"))</f>
        <v>self-calculated DF</v>
      </c>
      <c r="DV1056">
        <v>0</v>
      </c>
      <c r="DW1056" s="143">
        <v>0</v>
      </c>
      <c r="DX1056" s="143">
        <v>1</v>
      </c>
      <c r="DY1056" s="143">
        <v>1</v>
      </c>
      <c r="DZ1056">
        <v>1</v>
      </c>
      <c r="EA1056" s="143">
        <v>1</v>
      </c>
      <c r="EB1056">
        <v>0</v>
      </c>
      <c r="EC1056" s="143">
        <v>1</v>
      </c>
      <c r="ED1056" s="143">
        <v>0</v>
      </c>
      <c r="EE1056">
        <v>0</v>
      </c>
      <c r="EF1056">
        <v>0</v>
      </c>
      <c r="EG1056" s="143">
        <v>0</v>
      </c>
      <c r="EH1056" s="143">
        <v>0</v>
      </c>
      <c r="EI1056" s="2">
        <v>0</v>
      </c>
      <c r="EK1056" t="str">
        <f>IF(AND(AND(AND(OR($DX1056=1,$DW1056=1),OR($EC1056=1,$EA1056=1)),SUM($DV1056:$DZ1056,$EF1056)&gt;=4),SUM($EA1056:$EE1056)&gt;=2),"Whole sector","")</f>
        <v/>
      </c>
      <c r="EL1056" t="str">
        <f>IF(AND(AND(OR($DX1056=1,$DW1056=1),AND($EC1056=0,$EA1056=0)),SUM($DV1056:$DZ1056,$EF1056)&gt;=4),"Ecosystem approach","")</f>
        <v/>
      </c>
      <c r="EM1056" s="2" t="str">
        <f>IF(AND(AND(AND($DX1056=0,$DW1056=0),OR($EC1056=1,$EA1056=1)),SUM($EB1056:$EE1056)&gt;=2),"Technology approach","")</f>
        <v/>
      </c>
      <c r="EN1056" t="s">
        <v>445</v>
      </c>
      <c r="EP1056" t="b">
        <f>IF(ISNUMBER(BU1056),IF(ABS(BU1056-[4]QC_indicators!$B$2)&gt;3*[4]QC_indicators!$C$2,"C ratio",IF(ISNUMBER(BY1056),IF(ABS(BY1056-[4]QC_indicators!$B$1)&gt;3*[4]QC_indicators!$C$1,"DF","no"))),IF(ISNUMBER(BY1056),IF(ABS(BY1056-[4]QC_indicators!$B$1)&gt;3*[4]QC_indicators!$C$1,"DF","no")))</f>
        <v>0</v>
      </c>
      <c r="ET1056" s="264" t="s">
        <v>3273</v>
      </c>
    </row>
    <row r="1057" spans="1:150" ht="15" customHeight="1">
      <c r="A1057" s="1" t="s">
        <v>430</v>
      </c>
      <c r="B1057" t="s">
        <v>431</v>
      </c>
      <c r="C1057" t="s">
        <v>432</v>
      </c>
      <c r="D1057" t="s">
        <v>433</v>
      </c>
      <c r="E1057" t="s">
        <v>434</v>
      </c>
      <c r="F1057" t="s">
        <v>435</v>
      </c>
      <c r="G1057" t="s">
        <v>436</v>
      </c>
      <c r="H1057" t="s">
        <v>254</v>
      </c>
      <c r="I1057">
        <v>2000</v>
      </c>
      <c r="J1057">
        <v>174</v>
      </c>
      <c r="K1057" t="s">
        <v>437</v>
      </c>
      <c r="M1057" t="str">
        <f>LEFT($D1057,FIND(",",$D1057)-1)&amp;"_"&amp;I1057&amp;L1057</f>
        <v>Borjesson_2000</v>
      </c>
      <c r="N1057" t="s">
        <v>222</v>
      </c>
      <c r="O1057" s="145" t="s">
        <v>223</v>
      </c>
      <c r="Q1057" t="s">
        <v>256</v>
      </c>
      <c r="R1057" s="255" t="s">
        <v>225</v>
      </c>
      <c r="S1057" s="1" t="s">
        <v>464</v>
      </c>
      <c r="T1057" t="s">
        <v>467</v>
      </c>
      <c r="U1057" t="s">
        <v>469</v>
      </c>
      <c r="V1057">
        <v>0</v>
      </c>
      <c r="W1057">
        <v>0</v>
      </c>
      <c r="X1057">
        <v>0</v>
      </c>
      <c r="Y1057">
        <v>0</v>
      </c>
      <c r="Z1057">
        <v>0</v>
      </c>
      <c r="AA1057">
        <v>0</v>
      </c>
      <c r="AB1057">
        <v>0</v>
      </c>
      <c r="AC1057">
        <v>0</v>
      </c>
      <c r="AD1057">
        <v>0</v>
      </c>
      <c r="AE1057">
        <v>0</v>
      </c>
      <c r="AF1057">
        <v>0</v>
      </c>
      <c r="AG1057">
        <v>0</v>
      </c>
      <c r="AH1057">
        <v>1</v>
      </c>
      <c r="AI1057">
        <v>0</v>
      </c>
      <c r="AJ1057">
        <v>0</v>
      </c>
      <c r="AK1057">
        <v>0</v>
      </c>
      <c r="AL1057">
        <v>0</v>
      </c>
      <c r="AM1057">
        <v>0</v>
      </c>
      <c r="AN1057">
        <v>0</v>
      </c>
      <c r="AO1057">
        <v>0</v>
      </c>
      <c r="AP1057">
        <v>0</v>
      </c>
      <c r="AQ1057">
        <v>0</v>
      </c>
      <c r="AR1057">
        <v>0</v>
      </c>
      <c r="AS1057">
        <v>0</v>
      </c>
      <c r="AT1057">
        <v>0</v>
      </c>
      <c r="AU1057">
        <v>0</v>
      </c>
      <c r="AV1057">
        <v>0</v>
      </c>
      <c r="AW1057">
        <v>0</v>
      </c>
      <c r="AX1057" s="141">
        <f>COUNTIF(V1057:AW1057,"&lt;&gt;0")</f>
        <v>1</v>
      </c>
      <c r="AY1057" s="141">
        <f>COUNTIF(V1057:AL1057,"&lt;&gt;0")</f>
        <v>1</v>
      </c>
      <c r="AZ1057">
        <f>COUNTIF(V1057:AC1057,"&lt;&gt;0")</f>
        <v>0</v>
      </c>
      <c r="BA1057">
        <f>COUNTIF(AD1057:AI1057,"&lt;&gt;0")</f>
        <v>1</v>
      </c>
      <c r="BB1057">
        <f>COUNTIF(AJ1057:AL1057,"&lt;&gt;0")</f>
        <v>0</v>
      </c>
      <c r="BC1057">
        <f>COUNTIF(AS1057:AW1057,"&lt;&gt;0")</f>
        <v>0</v>
      </c>
      <c r="BD1057">
        <f>COUNTIF(AM1057:AR1057,"&lt;&gt;0")</f>
        <v>0</v>
      </c>
      <c r="BE1057" t="str">
        <f t="array" ref="BE1057">IF(AY1057=1,INDEX($V$7:$AL$7,MATCH(TRUE,INDEX($V1057:$AW1057&lt;&gt;0,),0)),IF(AY1057=0,INDEX($AM$7:$AW$7,MATCH(1,$AM1057:$AW1057,0)),IF(BF1057="Multiple strategies","mixed drivers",IF(BF1057="Supply chain","multiple supply","multiple silviculture"))))</f>
        <v xml:space="preserve">end of life disposal </v>
      </c>
      <c r="BF1057" s="2" t="str" cm="1">
        <f t="array" ref="BF1057">IF(COUNTIF(AZ1057:BB1057,"&lt;&gt;0")=1,INDEX($V$4:$AW$4,MATCH(TRUE,INDEX($V1057:$AW1057&lt;&gt;0,),0)),IF(COUNTIF(AZ1057:BB1057,"&lt;&gt;0")=0,INDEX($AM$4:$AW$4,MATCH(1,$AM1057:$AW1057,0)),"Multiple strategies"))</f>
        <v>Supply chain</v>
      </c>
      <c r="BG1057" s="142" t="s">
        <v>229</v>
      </c>
      <c r="BH1057" t="s">
        <v>441</v>
      </c>
      <c r="BI1057" s="264" t="s">
        <v>3274</v>
      </c>
      <c r="BJ1057" s="143" t="s">
        <v>442</v>
      </c>
      <c r="BK1057">
        <f>3*44</f>
        <v>132</v>
      </c>
      <c r="BL1057">
        <f>3*44</f>
        <v>132</v>
      </c>
      <c r="BM1057" s="143">
        <f>BL1057/BK1057</f>
        <v>1</v>
      </c>
      <c r="BN1057">
        <f>BL1057-BK1057</f>
        <v>0</v>
      </c>
      <c r="BO1057">
        <v>0</v>
      </c>
      <c r="BP1057" t="s">
        <v>232</v>
      </c>
      <c r="BQ1057" s="260" t="s">
        <v>813</v>
      </c>
      <c r="BR1057" t="s">
        <v>443</v>
      </c>
      <c r="BS1057" s="141">
        <v>-3</v>
      </c>
      <c r="BT1057" s="141">
        <v>84</v>
      </c>
      <c r="BU1057" s="144">
        <f>IFERROR(BT1057/BS1057,"")</f>
        <v>-28</v>
      </c>
      <c r="BV1057">
        <f>BT1057-BS1057</f>
        <v>87</v>
      </c>
      <c r="BX1057">
        <f>BV1057*C_to_CO2</f>
        <v>319.29000000000002</v>
      </c>
      <c r="BY1057" t="str">
        <f>IFERROR(BX1057/BO1057,"")</f>
        <v/>
      </c>
      <c r="BZ1057" s="143">
        <v>0</v>
      </c>
      <c r="CA1057" s="143">
        <v>0</v>
      </c>
      <c r="CB1057" s="143">
        <v>0</v>
      </c>
      <c r="CC1057" s="143">
        <v>0</v>
      </c>
      <c r="CD1057" s="143">
        <v>0</v>
      </c>
      <c r="CE1057" s="143">
        <v>0</v>
      </c>
      <c r="CF1057" s="143">
        <v>0</v>
      </c>
      <c r="CG1057" s="143">
        <v>0</v>
      </c>
      <c r="CH1057" s="143">
        <v>0</v>
      </c>
      <c r="CI1057" s="143">
        <v>0</v>
      </c>
      <c r="CJ1057" s="143">
        <v>0</v>
      </c>
      <c r="CK1057" s="143">
        <v>0</v>
      </c>
      <c r="CL1057" s="143">
        <v>0</v>
      </c>
      <c r="CM1057">
        <v>0</v>
      </c>
      <c r="CN1057" t="str">
        <f>IF(BL1057&lt;BK1057,"refNeedCorrection","refOK")</f>
        <v>refOK</v>
      </c>
      <c r="CO1057">
        <f>IF($CN1057="refOK",$BK1057,$BL1057)</f>
        <v>132</v>
      </c>
      <c r="CP1057">
        <f>IF($CN1057="refOK",$BL1057,$BK1057)</f>
        <v>132</v>
      </c>
      <c r="CQ1057">
        <f>IF($CN1057="refOK",$BO1057,-$BO1057)</f>
        <v>0</v>
      </c>
      <c r="CR1057">
        <f>IF($CN1057="refOK",$BS1057,$BT1057)*IF($BP1057="Emissions positive",-1,1)</f>
        <v>-3</v>
      </c>
      <c r="CS1057">
        <f>IF($CN1057="refOK",$BT1057,$BS1057)*IF($BP1057="Emissions positive",-1,1)</f>
        <v>84</v>
      </c>
      <c r="CT1057">
        <f>IF($CN1057="refNeedCorrection",-BX1057,BX1057)*IF($BP1057="Emissions positive",-1,1)</f>
        <v>319.29000000000002</v>
      </c>
      <c r="CU1057" t="str">
        <f>IFERROR(CT1057/CQ1057,"")</f>
        <v/>
      </c>
      <c r="CV1057" s="2">
        <f>IFERROR((CS1057-CR1057)/ABS(CR1057),"")</f>
        <v>29</v>
      </c>
      <c r="CW1057" s="1" t="s">
        <v>263</v>
      </c>
      <c r="CX1057" t="str">
        <f>IF(OR($CW1057="prd",$CW1057="std",$CW1057="cit"),"loc",IF(OR($CW1057="eur",$CW1057="reg",$CW1057="coy"),"reg",$CW1057))</f>
        <v>loc</v>
      </c>
      <c r="CY1057" t="s">
        <v>444</v>
      </c>
      <c r="DB1057">
        <v>300</v>
      </c>
      <c r="DC1057" t="str">
        <f>IF(DB1057=0,"0",IF(AND(DB1057&gt;=1,DB1057&lt;=30),"1-30",IF(AND(DB1057&gt;30,DB1057&lt;=70),"31-70",IF(AND(DB1057&gt;70,DB1057&lt;=100),"71-100",IF(DB1057&gt;100,"+100")))))</f>
        <v>+100</v>
      </c>
      <c r="DD1057">
        <v>0</v>
      </c>
      <c r="DE1057">
        <v>1</v>
      </c>
      <c r="DF1057">
        <v>0</v>
      </c>
      <c r="DG1057">
        <v>0</v>
      </c>
      <c r="DI1057">
        <f>SUM(DD1057:DG1057)</f>
        <v>1</v>
      </c>
      <c r="DJ1057" t="str">
        <f>IF(DI1057=1,INDEX($DD$7:$DG$7,MATCH(1,$DD1057:$DG1057,0)),"mixedProduct")</f>
        <v>EnergyInput</v>
      </c>
      <c r="DK1057">
        <f>IF(DD1057=1,DK$7,0)</f>
        <v>0</v>
      </c>
      <c r="DL1057" t="str">
        <f>IF(DE1057=1,DL$7,0)</f>
        <v>Energy</v>
      </c>
      <c r="DM1057">
        <f>IF(DF1057=1,DM$7,0)</f>
        <v>0</v>
      </c>
      <c r="DN1057">
        <f>IF(DG1057=1,DN$7,0)</f>
        <v>0</v>
      </c>
      <c r="DO1057">
        <v>1</v>
      </c>
      <c r="DP1057" s="143">
        <v>0</v>
      </c>
      <c r="DQ1057" s="143">
        <v>0</v>
      </c>
      <c r="DR1057" s="143">
        <v>0</v>
      </c>
      <c r="DS1057">
        <v>0</v>
      </c>
      <c r="DT1057">
        <f>SUM(DO1057:DP1057)</f>
        <v>1</v>
      </c>
      <c r="DU1057" s="143" t="str">
        <f>IF(DO1057=1,"self-calculated DF",IF(DP1057=1,"external DF used","explicit C balance"))</f>
        <v>self-calculated DF</v>
      </c>
      <c r="DV1057">
        <v>0</v>
      </c>
      <c r="DW1057" s="143">
        <v>0</v>
      </c>
      <c r="DX1057" s="143">
        <v>1</v>
      </c>
      <c r="DY1057" s="143">
        <v>1</v>
      </c>
      <c r="DZ1057">
        <v>1</v>
      </c>
      <c r="EA1057" s="143">
        <v>1</v>
      </c>
      <c r="EB1057">
        <v>0</v>
      </c>
      <c r="EC1057" s="143">
        <v>1</v>
      </c>
      <c r="ED1057" s="143">
        <v>0</v>
      </c>
      <c r="EE1057">
        <v>0</v>
      </c>
      <c r="EF1057">
        <v>0</v>
      </c>
      <c r="EG1057" s="143">
        <v>0</v>
      </c>
      <c r="EH1057" s="143">
        <v>0</v>
      </c>
      <c r="EI1057" s="2">
        <v>0</v>
      </c>
      <c r="EK1057" t="str">
        <f>IF(AND(AND(AND(OR($DX1057=1,$DW1057=1),OR($EC1057=1,$EA1057=1)),SUM($DV1057:$DZ1057,$EF1057)&gt;=4),SUM($EA1057:$EE1057)&gt;=2),"Whole sector","")</f>
        <v/>
      </c>
      <c r="EL1057" t="str">
        <f>IF(AND(AND(OR($DX1057=1,$DW1057=1),AND($EC1057=0,$EA1057=0)),SUM($DV1057:$DZ1057,$EF1057)&gt;=4),"Ecosystem approach","")</f>
        <v/>
      </c>
      <c r="EM1057" s="2" t="str">
        <f>IF(AND(AND(AND($DX1057=0,$DW1057=0),OR($EC1057=1,$EA1057=1)),SUM($EB1057:$EE1057)&gt;=2),"Technology approach","")</f>
        <v/>
      </c>
      <c r="EN1057" t="s">
        <v>445</v>
      </c>
      <c r="EP1057" t="str">
        <f>IF(ISNUMBER(BU1057),IF(ABS(BU1057-[4]QC_indicators!$B$2)&gt;3*[4]QC_indicators!$C$2,"C ratio",IF(ISNUMBER(BY1057),IF(ABS(BY1057-[4]QC_indicators!$B$1)&gt;3*[4]QC_indicators!$C$1,"DF","no"))),IF(ISNUMBER(BY1057),IF(ABS(BY1057-[4]QC_indicators!$B$1)&gt;3*[4]QC_indicators!$C$1,"DF","no")))</f>
        <v>C ratio</v>
      </c>
      <c r="EQ1057" t="s">
        <v>450</v>
      </c>
      <c r="ET1057" s="264" t="s">
        <v>3273</v>
      </c>
    </row>
    <row r="1058" spans="1:150" ht="15" customHeight="1">
      <c r="A1058" s="1" t="s">
        <v>430</v>
      </c>
      <c r="B1058" t="s">
        <v>431</v>
      </c>
      <c r="C1058" t="s">
        <v>432</v>
      </c>
      <c r="D1058" t="s">
        <v>433</v>
      </c>
      <c r="E1058" t="s">
        <v>434</v>
      </c>
      <c r="F1058" t="s">
        <v>435</v>
      </c>
      <c r="G1058" t="s">
        <v>436</v>
      </c>
      <c r="H1058" t="s">
        <v>254</v>
      </c>
      <c r="I1058">
        <v>2000</v>
      </c>
      <c r="J1058">
        <v>174</v>
      </c>
      <c r="K1058" t="s">
        <v>437</v>
      </c>
      <c r="M1058" t="str">
        <f>LEFT($D1058,FIND(",",$D1058)-1)&amp;"_"&amp;I1058&amp;L1058</f>
        <v>Borjesson_2000</v>
      </c>
      <c r="N1058" t="s">
        <v>222</v>
      </c>
      <c r="O1058" s="145" t="s">
        <v>223</v>
      </c>
      <c r="Q1058" t="s">
        <v>256</v>
      </c>
      <c r="R1058" s="255" t="s">
        <v>225</v>
      </c>
      <c r="S1058" s="1" t="s">
        <v>464</v>
      </c>
      <c r="T1058" t="s">
        <v>465</v>
      </c>
      <c r="U1058" t="s">
        <v>469</v>
      </c>
      <c r="V1058">
        <v>0</v>
      </c>
      <c r="W1058">
        <v>0</v>
      </c>
      <c r="X1058">
        <v>0</v>
      </c>
      <c r="Y1058">
        <v>0</v>
      </c>
      <c r="Z1058">
        <v>0</v>
      </c>
      <c r="AA1058">
        <v>0</v>
      </c>
      <c r="AB1058">
        <v>0</v>
      </c>
      <c r="AC1058">
        <v>0</v>
      </c>
      <c r="AD1058">
        <v>0</v>
      </c>
      <c r="AE1058">
        <v>0</v>
      </c>
      <c r="AF1058">
        <v>0</v>
      </c>
      <c r="AG1058">
        <v>0</v>
      </c>
      <c r="AH1058">
        <v>1</v>
      </c>
      <c r="AI1058">
        <v>0</v>
      </c>
      <c r="AJ1058">
        <v>0</v>
      </c>
      <c r="AK1058">
        <v>0</v>
      </c>
      <c r="AL1058">
        <v>0</v>
      </c>
      <c r="AM1058">
        <v>0</v>
      </c>
      <c r="AN1058">
        <v>0</v>
      </c>
      <c r="AO1058">
        <v>0</v>
      </c>
      <c r="AP1058">
        <v>0</v>
      </c>
      <c r="AQ1058">
        <v>0</v>
      </c>
      <c r="AR1058">
        <v>0</v>
      </c>
      <c r="AS1058">
        <v>0</v>
      </c>
      <c r="AT1058">
        <v>0</v>
      </c>
      <c r="AU1058">
        <v>0</v>
      </c>
      <c r="AV1058">
        <v>0</v>
      </c>
      <c r="AW1058">
        <v>0</v>
      </c>
      <c r="AX1058" s="141">
        <f>COUNTIF(V1058:AW1058,"&lt;&gt;0")</f>
        <v>1</v>
      </c>
      <c r="AY1058" s="141">
        <f>COUNTIF(V1058:AL1058,"&lt;&gt;0")</f>
        <v>1</v>
      </c>
      <c r="AZ1058">
        <f>COUNTIF(V1058:AC1058,"&lt;&gt;0")</f>
        <v>0</v>
      </c>
      <c r="BA1058">
        <f>COUNTIF(AD1058:AI1058,"&lt;&gt;0")</f>
        <v>1</v>
      </c>
      <c r="BB1058">
        <f>COUNTIF(AJ1058:AL1058,"&lt;&gt;0")</f>
        <v>0</v>
      </c>
      <c r="BC1058">
        <f>COUNTIF(AS1058:AW1058,"&lt;&gt;0")</f>
        <v>0</v>
      </c>
      <c r="BD1058">
        <f>COUNTIF(AM1058:AR1058,"&lt;&gt;0")</f>
        <v>0</v>
      </c>
      <c r="BE1058" t="str">
        <f t="array" ref="BE1058">IF(AY1058=1,INDEX($V$7:$AL$7,MATCH(TRUE,INDEX($V1058:$AW1058&lt;&gt;0,),0)),IF(AY1058=0,INDEX($AM$7:$AW$7,MATCH(1,$AM1058:$AW1058,0)),IF(BF1058="Multiple strategies","mixed drivers",IF(BF1058="Supply chain","multiple supply","multiple silviculture"))))</f>
        <v xml:space="preserve">end of life disposal </v>
      </c>
      <c r="BF1058" s="2" t="str" cm="1">
        <f t="array" ref="BF1058">IF(COUNTIF(AZ1058:BB1058,"&lt;&gt;0")=1,INDEX($V$4:$AW$4,MATCH(TRUE,INDEX($V1058:$AW1058&lt;&gt;0,),0)),IF(COUNTIF(AZ1058:BB1058,"&lt;&gt;0")=0,INDEX($AM$4:$AW$4,MATCH(1,$AM1058:$AW1058,0)),"Multiple strategies"))</f>
        <v>Supply chain</v>
      </c>
      <c r="BG1058" s="142" t="s">
        <v>229</v>
      </c>
      <c r="BH1058" t="s">
        <v>441</v>
      </c>
      <c r="BI1058" s="264" t="s">
        <v>3274</v>
      </c>
      <c r="BJ1058" s="143" t="s">
        <v>442</v>
      </c>
      <c r="BK1058">
        <f>3*44</f>
        <v>132</v>
      </c>
      <c r="BL1058">
        <f>3*44</f>
        <v>132</v>
      </c>
      <c r="BM1058" s="143">
        <f>BL1058/BK1058</f>
        <v>1</v>
      </c>
      <c r="BN1058">
        <f>BL1058-BK1058</f>
        <v>0</v>
      </c>
      <c r="BO1058">
        <v>0</v>
      </c>
      <c r="BP1058" t="s">
        <v>232</v>
      </c>
      <c r="BQ1058" s="260" t="s">
        <v>813</v>
      </c>
      <c r="BR1058" t="s">
        <v>443</v>
      </c>
      <c r="BS1058" s="141">
        <v>47</v>
      </c>
      <c r="BT1058" s="141">
        <v>84</v>
      </c>
      <c r="BU1058" s="144">
        <f>IFERROR(BT1058/BS1058,"")</f>
        <v>1.7872340425531914</v>
      </c>
      <c r="BV1058">
        <f>BT1058-BS1058</f>
        <v>37</v>
      </c>
      <c r="BX1058">
        <f>BV1058*C_to_CO2</f>
        <v>135.79</v>
      </c>
      <c r="BY1058" t="str">
        <f>IFERROR(BX1058/BO1058,"")</f>
        <v/>
      </c>
      <c r="BZ1058" s="143">
        <v>0</v>
      </c>
      <c r="CA1058" s="143">
        <v>0</v>
      </c>
      <c r="CB1058" s="143">
        <v>0</v>
      </c>
      <c r="CC1058" s="143">
        <v>0</v>
      </c>
      <c r="CD1058" s="143">
        <v>0</v>
      </c>
      <c r="CE1058" s="143">
        <v>0</v>
      </c>
      <c r="CF1058" s="143">
        <v>0</v>
      </c>
      <c r="CG1058" s="143">
        <v>0</v>
      </c>
      <c r="CH1058" s="143">
        <v>0</v>
      </c>
      <c r="CI1058" s="143">
        <v>0</v>
      </c>
      <c r="CJ1058" s="143">
        <v>0</v>
      </c>
      <c r="CK1058" s="143">
        <v>0</v>
      </c>
      <c r="CL1058" s="143">
        <v>0</v>
      </c>
      <c r="CM1058">
        <v>0</v>
      </c>
      <c r="CN1058" t="str">
        <f>IF($BL1058&lt;$BK1058,"refNeedCorrection","refOK")</f>
        <v>refOK</v>
      </c>
      <c r="CO1058">
        <f>IF($CN1058="refOK",$BK1058,$BL1058)</f>
        <v>132</v>
      </c>
      <c r="CP1058">
        <f>IF($CN1058="refOK",$BL1058,$BK1058)</f>
        <v>132</v>
      </c>
      <c r="CQ1058">
        <f>IF($CN1058="refOK",$BO1058,-$BO1058)</f>
        <v>0</v>
      </c>
      <c r="CR1058">
        <f>IF($CN1058="refOK",$BS1058,$BT1058)*IF($BP1058="Emissions positive",-1,1)</f>
        <v>47</v>
      </c>
      <c r="CS1058">
        <f>IF($CN1058="refOK",$BT1058,$BS1058)*IF($BP1058="Emissions positive",-1,1)</f>
        <v>84</v>
      </c>
      <c r="CT1058">
        <f>IF($CN1058="refNeedCorrection",-BX1058,BX1058)*IF($BP1058="Emissions positive",-1,1)</f>
        <v>135.79</v>
      </c>
      <c r="CU1058" t="str">
        <f>IFERROR(CT1058/CQ1058,"")</f>
        <v/>
      </c>
      <c r="CV1058" s="2">
        <f>IFERROR((CS1058-CR1058)/ABS(CR1058),"")</f>
        <v>0.78723404255319152</v>
      </c>
      <c r="CW1058" s="1" t="s">
        <v>263</v>
      </c>
      <c r="CX1058" t="str">
        <f>IF(OR($CW1058="prd",$CW1058="std",$CW1058="cit"),"loc",IF(OR($CW1058="eur",$CW1058="reg",$CW1058="coy"),"reg",$CW1058))</f>
        <v>loc</v>
      </c>
      <c r="CY1058" t="s">
        <v>444</v>
      </c>
      <c r="DB1058">
        <v>300</v>
      </c>
      <c r="DC1058" t="str">
        <f>IF(DB1058=0,"0",IF(AND(DB1058&gt;=1,DB1058&lt;=30),"1-30",IF(AND(DB1058&gt;30,DB1058&lt;=70),"31-70",IF(AND(DB1058&gt;70,DB1058&lt;=100),"71-100",IF(DB1058&gt;100,"+100")))))</f>
        <v>+100</v>
      </c>
      <c r="DD1058">
        <v>0</v>
      </c>
      <c r="DE1058">
        <v>1</v>
      </c>
      <c r="DF1058">
        <v>0</v>
      </c>
      <c r="DG1058">
        <v>0</v>
      </c>
      <c r="DI1058">
        <f>SUM(DD1058:DG1058)</f>
        <v>1</v>
      </c>
      <c r="DJ1058" t="str">
        <f>IF(DI1058=1,INDEX($DD$7:$DG$7,MATCH(1,$DD1058:$DG1058,0)),"mixedProduct")</f>
        <v>EnergyInput</v>
      </c>
      <c r="DK1058">
        <f>IF(DD1058=1,DK$7,0)</f>
        <v>0</v>
      </c>
      <c r="DL1058" t="str">
        <f>IF(DE1058=1,DL$7,0)</f>
        <v>Energy</v>
      </c>
      <c r="DM1058">
        <f>IF(DF1058=1,DM$7,0)</f>
        <v>0</v>
      </c>
      <c r="DN1058">
        <f>IF(DG1058=1,DN$7,0)</f>
        <v>0</v>
      </c>
      <c r="DO1058">
        <v>1</v>
      </c>
      <c r="DP1058" s="143">
        <v>0</v>
      </c>
      <c r="DQ1058" s="143">
        <v>0</v>
      </c>
      <c r="DR1058" s="143">
        <v>0</v>
      </c>
      <c r="DS1058">
        <v>0</v>
      </c>
      <c r="DT1058">
        <f>SUM(DO1058:DP1058)</f>
        <v>1</v>
      </c>
      <c r="DU1058" s="143" t="str">
        <f>IF(DO1058=1,"self-calculated DF",IF(DP1058=1,"external DF used","explicit C balance"))</f>
        <v>self-calculated DF</v>
      </c>
      <c r="DV1058">
        <v>0</v>
      </c>
      <c r="DW1058" s="143">
        <v>0</v>
      </c>
      <c r="DX1058" s="143">
        <v>1</v>
      </c>
      <c r="DY1058" s="143">
        <v>1</v>
      </c>
      <c r="DZ1058">
        <v>1</v>
      </c>
      <c r="EA1058" s="143">
        <v>1</v>
      </c>
      <c r="EB1058">
        <v>0</v>
      </c>
      <c r="EC1058" s="143">
        <v>1</v>
      </c>
      <c r="ED1058" s="143">
        <v>0</v>
      </c>
      <c r="EE1058">
        <v>0</v>
      </c>
      <c r="EF1058">
        <v>0</v>
      </c>
      <c r="EG1058" s="143">
        <v>0</v>
      </c>
      <c r="EH1058" s="143">
        <v>0</v>
      </c>
      <c r="EI1058" s="2">
        <v>0</v>
      </c>
      <c r="EK1058" t="str">
        <f>IF(AND(AND(AND(OR($DX1058=1,$DW1058=1),OR($EC1058=1,$EA1058=1)),SUM($DV1058:$DZ1058,$EF1058)&gt;=4),SUM($EA1058:$EE1058)&gt;=2),"Whole sector","")</f>
        <v/>
      </c>
      <c r="EL1058" t="str">
        <f>IF(AND(AND(OR($DX1058=1,$DW1058=1),AND($EC1058=0,$EA1058=0)),SUM($DV1058:$DZ1058,$EF1058)&gt;=4),"Ecosystem approach","")</f>
        <v/>
      </c>
      <c r="EM1058" s="2" t="str">
        <f>IF(AND(AND(AND($DX1058=0,$DW1058=0),OR($EC1058=1,$EA1058=1)),SUM($EB1058:$EE1058)&gt;=2),"Technology approach","")</f>
        <v/>
      </c>
      <c r="EN1058" t="s">
        <v>445</v>
      </c>
      <c r="EP1058" t="b">
        <f>IF(ISNUMBER(BU1058),IF(ABS(BU1058-[4]QC_indicators!$B$2)&gt;3*[4]QC_indicators!$C$2,"C ratio",IF(ISNUMBER(BY1058),IF(ABS(BY1058-[4]QC_indicators!$B$1)&gt;3*[4]QC_indicators!$C$1,"DF","no"))),IF(ISNUMBER(BY1058),IF(ABS(BY1058-[4]QC_indicators!$B$1)&gt;3*[4]QC_indicators!$C$1,"DF","no")))</f>
        <v>0</v>
      </c>
      <c r="ET1058" s="264" t="s">
        <v>3273</v>
      </c>
    </row>
    <row r="1059" spans="1:150" ht="15" customHeight="1">
      <c r="A1059" s="1" t="s">
        <v>430</v>
      </c>
      <c r="B1059" t="s">
        <v>431</v>
      </c>
      <c r="C1059" t="s">
        <v>432</v>
      </c>
      <c r="D1059" t="s">
        <v>433</v>
      </c>
      <c r="E1059" t="s">
        <v>434</v>
      </c>
      <c r="F1059" t="s">
        <v>435</v>
      </c>
      <c r="G1059" t="s">
        <v>436</v>
      </c>
      <c r="H1059" t="s">
        <v>254</v>
      </c>
      <c r="I1059">
        <v>2000</v>
      </c>
      <c r="J1059">
        <v>174</v>
      </c>
      <c r="K1059" t="s">
        <v>437</v>
      </c>
      <c r="M1059" t="str">
        <f>LEFT($D1059,FIND(",",$D1059)-1)&amp;"_"&amp;I1059&amp;L1059</f>
        <v>Borjesson_2000</v>
      </c>
      <c r="N1059" t="s">
        <v>222</v>
      </c>
      <c r="O1059" s="145" t="s">
        <v>223</v>
      </c>
      <c r="Q1059" t="s">
        <v>256</v>
      </c>
      <c r="R1059" s="255" t="s">
        <v>225</v>
      </c>
      <c r="S1059" s="1" t="s">
        <v>464</v>
      </c>
      <c r="T1059" t="s">
        <v>467</v>
      </c>
      <c r="U1059" t="s">
        <v>470</v>
      </c>
      <c r="V1059">
        <v>0</v>
      </c>
      <c r="W1059">
        <v>0</v>
      </c>
      <c r="X1059">
        <v>0</v>
      </c>
      <c r="Y1059">
        <v>0</v>
      </c>
      <c r="Z1059">
        <v>0</v>
      </c>
      <c r="AA1059">
        <v>0</v>
      </c>
      <c r="AB1059">
        <v>0</v>
      </c>
      <c r="AC1059">
        <v>0</v>
      </c>
      <c r="AD1059">
        <v>0</v>
      </c>
      <c r="AE1059">
        <v>0</v>
      </c>
      <c r="AF1059">
        <v>0</v>
      </c>
      <c r="AG1059">
        <v>0</v>
      </c>
      <c r="AH1059">
        <v>1</v>
      </c>
      <c r="AI1059">
        <v>0</v>
      </c>
      <c r="AJ1059">
        <v>0</v>
      </c>
      <c r="AK1059">
        <v>0</v>
      </c>
      <c r="AL1059">
        <v>0</v>
      </c>
      <c r="AM1059">
        <v>0</v>
      </c>
      <c r="AN1059">
        <v>0</v>
      </c>
      <c r="AO1059">
        <v>0</v>
      </c>
      <c r="AP1059">
        <v>0</v>
      </c>
      <c r="AQ1059">
        <v>0</v>
      </c>
      <c r="AR1059">
        <v>0</v>
      </c>
      <c r="AS1059">
        <v>0</v>
      </c>
      <c r="AT1059">
        <v>0</v>
      </c>
      <c r="AU1059">
        <v>0</v>
      </c>
      <c r="AV1059">
        <v>0</v>
      </c>
      <c r="AW1059">
        <v>0</v>
      </c>
      <c r="AX1059" s="141">
        <f>COUNTIF(V1059:AW1059,"&lt;&gt;0")</f>
        <v>1</v>
      </c>
      <c r="AY1059" s="141">
        <f>COUNTIF(V1059:AL1059,"&lt;&gt;0")</f>
        <v>1</v>
      </c>
      <c r="AZ1059">
        <f>COUNTIF(V1059:AC1059,"&lt;&gt;0")</f>
        <v>0</v>
      </c>
      <c r="BA1059">
        <f>COUNTIF(AD1059:AI1059,"&lt;&gt;0")</f>
        <v>1</v>
      </c>
      <c r="BB1059">
        <f>COUNTIF(AJ1059:AL1059,"&lt;&gt;0")</f>
        <v>0</v>
      </c>
      <c r="BC1059">
        <f>COUNTIF(AS1059:AW1059,"&lt;&gt;0")</f>
        <v>0</v>
      </c>
      <c r="BD1059">
        <f>COUNTIF(AM1059:AR1059,"&lt;&gt;0")</f>
        <v>0</v>
      </c>
      <c r="BE1059" t="str">
        <f t="array" ref="BE1059">IF(AY1059=1,INDEX($V$7:$AL$7,MATCH(TRUE,INDEX($V1059:$AW1059&lt;&gt;0,),0)),IF(AY1059=0,INDEX($AM$7:$AW$7,MATCH(1,$AM1059:$AW1059,0)),IF(BF1059="Multiple strategies","mixed drivers",IF(BF1059="Supply chain","multiple supply","multiple silviculture"))))</f>
        <v xml:space="preserve">end of life disposal </v>
      </c>
      <c r="BF1059" s="2" t="str" cm="1">
        <f t="array" ref="BF1059">IF(COUNTIF(AZ1059:BB1059,"&lt;&gt;0")=1,INDEX($V$4:$AW$4,MATCH(TRUE,INDEX($V1059:$AW1059&lt;&gt;0,),0)),IF(COUNTIF(AZ1059:BB1059,"&lt;&gt;0")=0,INDEX($AM$4:$AW$4,MATCH(1,$AM1059:$AW1059,0)),"Multiple strategies"))</f>
        <v>Supply chain</v>
      </c>
      <c r="BG1059" s="142" t="s">
        <v>229</v>
      </c>
      <c r="BH1059" t="s">
        <v>441</v>
      </c>
      <c r="BI1059" s="264" t="s">
        <v>3274</v>
      </c>
      <c r="BJ1059" s="143" t="s">
        <v>442</v>
      </c>
      <c r="BK1059">
        <f>3*44</f>
        <v>132</v>
      </c>
      <c r="BL1059">
        <f>3*44</f>
        <v>132</v>
      </c>
      <c r="BM1059" s="143">
        <f>BL1059/BK1059</f>
        <v>1</v>
      </c>
      <c r="BN1059">
        <f>BL1059-BK1059</f>
        <v>0</v>
      </c>
      <c r="BO1059">
        <v>0</v>
      </c>
      <c r="BP1059" t="s">
        <v>232</v>
      </c>
      <c r="BQ1059" s="260" t="s">
        <v>813</v>
      </c>
      <c r="BR1059" t="s">
        <v>443</v>
      </c>
      <c r="BS1059" s="141">
        <v>-3</v>
      </c>
      <c r="BT1059" s="141">
        <v>111</v>
      </c>
      <c r="BU1059" s="144">
        <f>IFERROR(BT1059/BS1059,"")</f>
        <v>-37</v>
      </c>
      <c r="BV1059">
        <f>BT1059-BS1059</f>
        <v>114</v>
      </c>
      <c r="BX1059">
        <f>BV1059*C_to_CO2</f>
        <v>418.38</v>
      </c>
      <c r="BY1059" t="str">
        <f>IFERROR(BX1059/BO1059,"")</f>
        <v/>
      </c>
      <c r="BZ1059" s="143">
        <v>0</v>
      </c>
      <c r="CA1059" s="143">
        <v>0</v>
      </c>
      <c r="CB1059" s="143">
        <v>0</v>
      </c>
      <c r="CC1059" s="143">
        <v>0</v>
      </c>
      <c r="CD1059" s="143">
        <v>0</v>
      </c>
      <c r="CE1059" s="143">
        <v>0</v>
      </c>
      <c r="CF1059" s="143">
        <v>0</v>
      </c>
      <c r="CG1059" s="143">
        <v>0</v>
      </c>
      <c r="CH1059" s="143">
        <v>0</v>
      </c>
      <c r="CI1059" s="143">
        <v>0</v>
      </c>
      <c r="CJ1059" s="143">
        <v>0</v>
      </c>
      <c r="CK1059" s="143">
        <v>0</v>
      </c>
      <c r="CL1059" s="143">
        <v>0</v>
      </c>
      <c r="CM1059">
        <v>0</v>
      </c>
      <c r="CN1059" t="str">
        <f>IF(BL1059&lt;BK1059,"refNeedCorrection","refOK")</f>
        <v>refOK</v>
      </c>
      <c r="CO1059">
        <f>IF($CN1059="refOK",$BK1059,$BL1059)</f>
        <v>132</v>
      </c>
      <c r="CP1059">
        <f>IF($CN1059="refOK",$BL1059,$BK1059)</f>
        <v>132</v>
      </c>
      <c r="CQ1059">
        <f>IF($CN1059="refOK",$BO1059,-$BO1059)</f>
        <v>0</v>
      </c>
      <c r="CR1059">
        <f>IF($CN1059="refOK",$BS1059,$BT1059)*IF($BP1059="Emissions positive",-1,1)</f>
        <v>-3</v>
      </c>
      <c r="CS1059">
        <f>IF($CN1059="refOK",$BT1059,$BS1059)*IF($BP1059="Emissions positive",-1,1)</f>
        <v>111</v>
      </c>
      <c r="CT1059">
        <f>IF($CN1059="refNeedCorrection",-BX1059,BX1059)*IF($BP1059="Emissions positive",-1,1)</f>
        <v>418.38</v>
      </c>
      <c r="CU1059" t="str">
        <f>IFERROR(CT1059/CQ1059,"")</f>
        <v/>
      </c>
      <c r="CV1059" s="2">
        <f>IFERROR((CS1059-CR1059)/ABS(CR1059),"")</f>
        <v>38</v>
      </c>
      <c r="CW1059" s="1" t="s">
        <v>263</v>
      </c>
      <c r="CX1059" t="str">
        <f>IF(OR($CW1059="prd",$CW1059="std",$CW1059="cit"),"loc",IF(OR($CW1059="eur",$CW1059="reg",$CW1059="coy"),"reg",$CW1059))</f>
        <v>loc</v>
      </c>
      <c r="CY1059" t="s">
        <v>444</v>
      </c>
      <c r="DB1059">
        <v>300</v>
      </c>
      <c r="DC1059" t="str">
        <f>IF(DB1059=0,"0",IF(AND(DB1059&gt;=1,DB1059&lt;=30),"1-30",IF(AND(DB1059&gt;30,DB1059&lt;=70),"31-70",IF(AND(DB1059&gt;70,DB1059&lt;=100),"71-100",IF(DB1059&gt;100,"+100")))))</f>
        <v>+100</v>
      </c>
      <c r="DD1059">
        <v>0</v>
      </c>
      <c r="DE1059">
        <v>1</v>
      </c>
      <c r="DF1059">
        <v>0</v>
      </c>
      <c r="DG1059">
        <v>0</v>
      </c>
      <c r="DI1059">
        <f>SUM(DD1059:DG1059)</f>
        <v>1</v>
      </c>
      <c r="DJ1059" t="str">
        <f>IF(DI1059=1,INDEX($DD$7:$DG$7,MATCH(1,$DD1059:$DG1059,0)),"mixedProduct")</f>
        <v>EnergyInput</v>
      </c>
      <c r="DK1059">
        <f>IF(DD1059=1,DK$7,0)</f>
        <v>0</v>
      </c>
      <c r="DL1059" t="str">
        <f>IF(DE1059=1,DL$7,0)</f>
        <v>Energy</v>
      </c>
      <c r="DM1059">
        <f>IF(DF1059=1,DM$7,0)</f>
        <v>0</v>
      </c>
      <c r="DN1059">
        <f>IF(DG1059=1,DN$7,0)</f>
        <v>0</v>
      </c>
      <c r="DO1059">
        <v>1</v>
      </c>
      <c r="DP1059" s="143">
        <v>0</v>
      </c>
      <c r="DQ1059" s="143">
        <v>0</v>
      </c>
      <c r="DR1059" s="143">
        <v>0</v>
      </c>
      <c r="DS1059">
        <v>0</v>
      </c>
      <c r="DT1059">
        <f>SUM(DO1059:DP1059)</f>
        <v>1</v>
      </c>
      <c r="DU1059" s="143" t="str">
        <f>IF(DO1059=1,"self-calculated DF",IF(DP1059=1,"external DF used","explicit C balance"))</f>
        <v>self-calculated DF</v>
      </c>
      <c r="DV1059">
        <v>0</v>
      </c>
      <c r="DW1059" s="143">
        <v>0</v>
      </c>
      <c r="DX1059" s="143">
        <v>1</v>
      </c>
      <c r="DY1059" s="143">
        <v>1</v>
      </c>
      <c r="DZ1059">
        <v>1</v>
      </c>
      <c r="EA1059" s="143">
        <v>1</v>
      </c>
      <c r="EB1059">
        <v>0</v>
      </c>
      <c r="EC1059" s="143">
        <v>1</v>
      </c>
      <c r="ED1059" s="143">
        <v>0</v>
      </c>
      <c r="EE1059">
        <v>0</v>
      </c>
      <c r="EF1059">
        <v>0</v>
      </c>
      <c r="EG1059" s="143">
        <v>0</v>
      </c>
      <c r="EH1059" s="143">
        <v>0</v>
      </c>
      <c r="EI1059" s="2">
        <v>0</v>
      </c>
      <c r="EK1059" t="str">
        <f>IF(AND(AND(AND(OR($DX1059=1,$DW1059=1),OR($EC1059=1,$EA1059=1)),SUM($DV1059:$DZ1059,$EF1059)&gt;=4),SUM($EA1059:$EE1059)&gt;=2),"Whole sector","")</f>
        <v/>
      </c>
      <c r="EL1059" t="str">
        <f>IF(AND(AND(OR($DX1059=1,$DW1059=1),AND($EC1059=0,$EA1059=0)),SUM($DV1059:$DZ1059,$EF1059)&gt;=4),"Ecosystem approach","")</f>
        <v/>
      </c>
      <c r="EM1059" s="2" t="str">
        <f>IF(AND(AND(AND($DX1059=0,$DW1059=0),OR($EC1059=1,$EA1059=1)),SUM($EB1059:$EE1059)&gt;=2),"Technology approach","")</f>
        <v/>
      </c>
      <c r="EN1059" t="s">
        <v>445</v>
      </c>
      <c r="EP1059" t="str">
        <f>IF(ISNUMBER(BU1059),IF(ABS(BU1059-[4]QC_indicators!$B$2)&gt;3*[4]QC_indicators!$C$2,"C ratio",IF(ISNUMBER(BY1059),IF(ABS(BY1059-[4]QC_indicators!$B$1)&gt;3*[4]QC_indicators!$C$1,"DF","no"))),IF(ISNUMBER(BY1059),IF(ABS(BY1059-[4]QC_indicators!$B$1)&gt;3*[4]QC_indicators!$C$1,"DF","no")))</f>
        <v>C ratio</v>
      </c>
      <c r="EQ1059" t="s">
        <v>450</v>
      </c>
      <c r="ET1059" s="264" t="s">
        <v>3273</v>
      </c>
    </row>
    <row r="1060" spans="1:150" ht="15" customHeight="1">
      <c r="A1060" s="1" t="s">
        <v>430</v>
      </c>
      <c r="B1060" t="s">
        <v>431</v>
      </c>
      <c r="C1060" t="s">
        <v>432</v>
      </c>
      <c r="D1060" t="s">
        <v>433</v>
      </c>
      <c r="E1060" t="s">
        <v>434</v>
      </c>
      <c r="F1060" t="s">
        <v>435</v>
      </c>
      <c r="G1060" t="s">
        <v>436</v>
      </c>
      <c r="H1060" t="s">
        <v>254</v>
      </c>
      <c r="I1060">
        <v>2000</v>
      </c>
      <c r="J1060">
        <v>174</v>
      </c>
      <c r="K1060" t="s">
        <v>437</v>
      </c>
      <c r="M1060" t="str">
        <f>LEFT($D1060,FIND(",",$D1060)-1)&amp;"_"&amp;I1060&amp;L1060</f>
        <v>Borjesson_2000</v>
      </c>
      <c r="N1060" t="s">
        <v>222</v>
      </c>
      <c r="O1060" s="145" t="s">
        <v>223</v>
      </c>
      <c r="Q1060" t="s">
        <v>256</v>
      </c>
      <c r="R1060" s="255" t="s">
        <v>225</v>
      </c>
      <c r="S1060" s="1" t="s">
        <v>464</v>
      </c>
      <c r="T1060" t="s">
        <v>465</v>
      </c>
      <c r="U1060" t="s">
        <v>470</v>
      </c>
      <c r="V1060">
        <v>0</v>
      </c>
      <c r="W1060">
        <v>0</v>
      </c>
      <c r="X1060">
        <v>0</v>
      </c>
      <c r="Y1060">
        <v>0</v>
      </c>
      <c r="Z1060">
        <v>0</v>
      </c>
      <c r="AA1060">
        <v>0</v>
      </c>
      <c r="AB1060">
        <v>0</v>
      </c>
      <c r="AC1060">
        <v>0</v>
      </c>
      <c r="AD1060">
        <v>0</v>
      </c>
      <c r="AE1060">
        <v>0</v>
      </c>
      <c r="AF1060">
        <v>0</v>
      </c>
      <c r="AG1060">
        <v>0</v>
      </c>
      <c r="AH1060">
        <v>1</v>
      </c>
      <c r="AI1060">
        <v>0</v>
      </c>
      <c r="AJ1060">
        <v>0</v>
      </c>
      <c r="AK1060">
        <v>0</v>
      </c>
      <c r="AL1060">
        <v>0</v>
      </c>
      <c r="AM1060">
        <v>0</v>
      </c>
      <c r="AN1060">
        <v>0</v>
      </c>
      <c r="AO1060">
        <v>0</v>
      </c>
      <c r="AP1060">
        <v>0</v>
      </c>
      <c r="AQ1060">
        <v>0</v>
      </c>
      <c r="AR1060">
        <v>0</v>
      </c>
      <c r="AS1060">
        <v>0</v>
      </c>
      <c r="AT1060">
        <v>0</v>
      </c>
      <c r="AU1060">
        <v>0</v>
      </c>
      <c r="AV1060">
        <v>0</v>
      </c>
      <c r="AW1060">
        <v>0</v>
      </c>
      <c r="AX1060" s="141">
        <f>COUNTIF(V1060:AW1060,"&lt;&gt;0")</f>
        <v>1</v>
      </c>
      <c r="AY1060" s="141">
        <f>COUNTIF(V1060:AL1060,"&lt;&gt;0")</f>
        <v>1</v>
      </c>
      <c r="AZ1060">
        <f>COUNTIF(V1060:AC1060,"&lt;&gt;0")</f>
        <v>0</v>
      </c>
      <c r="BA1060">
        <f>COUNTIF(AD1060:AI1060,"&lt;&gt;0")</f>
        <v>1</v>
      </c>
      <c r="BB1060">
        <f>COUNTIF(AJ1060:AL1060,"&lt;&gt;0")</f>
        <v>0</v>
      </c>
      <c r="BC1060">
        <f>COUNTIF(AS1060:AW1060,"&lt;&gt;0")</f>
        <v>0</v>
      </c>
      <c r="BD1060">
        <f>COUNTIF(AM1060:AR1060,"&lt;&gt;0")</f>
        <v>0</v>
      </c>
      <c r="BE1060" t="str">
        <f t="array" ref="BE1060">IF(AY1060=1,INDEX($V$7:$AL$7,MATCH(TRUE,INDEX($V1060:$AW1060&lt;&gt;0,),0)),IF(AY1060=0,INDEX($AM$7:$AW$7,MATCH(1,$AM1060:$AW1060,0)),IF(BF1060="Multiple strategies","mixed drivers",IF(BF1060="Supply chain","multiple supply","multiple silviculture"))))</f>
        <v xml:space="preserve">end of life disposal </v>
      </c>
      <c r="BF1060" s="2" t="str" cm="1">
        <f t="array" ref="BF1060">IF(COUNTIF(AZ1060:BB1060,"&lt;&gt;0")=1,INDEX($V$4:$AW$4,MATCH(TRUE,INDEX($V1060:$AW1060&lt;&gt;0,),0)),IF(COUNTIF(AZ1060:BB1060,"&lt;&gt;0")=0,INDEX($AM$4:$AW$4,MATCH(1,$AM1060:$AW1060,0)),"Multiple strategies"))</f>
        <v>Supply chain</v>
      </c>
      <c r="BG1060" s="142" t="s">
        <v>229</v>
      </c>
      <c r="BH1060" t="s">
        <v>441</v>
      </c>
      <c r="BI1060" s="264" t="s">
        <v>3274</v>
      </c>
      <c r="BJ1060" s="143" t="s">
        <v>442</v>
      </c>
      <c r="BK1060">
        <f>3*44</f>
        <v>132</v>
      </c>
      <c r="BL1060">
        <f>3*44</f>
        <v>132</v>
      </c>
      <c r="BM1060" s="143">
        <f>BL1060/BK1060</f>
        <v>1</v>
      </c>
      <c r="BN1060">
        <f>BL1060-BK1060</f>
        <v>0</v>
      </c>
      <c r="BO1060">
        <v>0</v>
      </c>
      <c r="BP1060" t="s">
        <v>232</v>
      </c>
      <c r="BQ1060" s="260" t="s">
        <v>813</v>
      </c>
      <c r="BR1060" t="s">
        <v>443</v>
      </c>
      <c r="BS1060" s="141">
        <v>47</v>
      </c>
      <c r="BT1060" s="141">
        <v>111</v>
      </c>
      <c r="BU1060" s="144">
        <f>IFERROR(BT1060/BS1060,"")</f>
        <v>2.3617021276595747</v>
      </c>
      <c r="BV1060">
        <f>BT1060-BS1060</f>
        <v>64</v>
      </c>
      <c r="BX1060">
        <f>BV1060*C_to_CO2</f>
        <v>234.88</v>
      </c>
      <c r="BY1060" t="str">
        <f>IFERROR(BX1060/BO1060,"")</f>
        <v/>
      </c>
      <c r="BZ1060" s="143">
        <v>0</v>
      </c>
      <c r="CA1060" s="143">
        <v>0</v>
      </c>
      <c r="CB1060" s="143">
        <v>0</v>
      </c>
      <c r="CC1060" s="143">
        <v>0</v>
      </c>
      <c r="CD1060" s="143">
        <v>0</v>
      </c>
      <c r="CE1060" s="143">
        <v>0</v>
      </c>
      <c r="CF1060" s="143">
        <v>0</v>
      </c>
      <c r="CG1060" s="143">
        <v>0</v>
      </c>
      <c r="CH1060" s="143">
        <v>0</v>
      </c>
      <c r="CI1060" s="143">
        <v>0</v>
      </c>
      <c r="CJ1060" s="143">
        <v>0</v>
      </c>
      <c r="CK1060" s="143">
        <v>0</v>
      </c>
      <c r="CL1060" s="143">
        <v>0</v>
      </c>
      <c r="CM1060">
        <v>0</v>
      </c>
      <c r="CN1060" t="str">
        <f>IF($BL1060&lt;$BK1060,"refNeedCorrection","refOK")</f>
        <v>refOK</v>
      </c>
      <c r="CO1060">
        <f>IF($CN1060="refOK",$BK1060,$BL1060)</f>
        <v>132</v>
      </c>
      <c r="CP1060">
        <f>IF($CN1060="refOK",$BL1060,$BK1060)</f>
        <v>132</v>
      </c>
      <c r="CQ1060">
        <f>IF($CN1060="refOK",$BO1060,-$BO1060)</f>
        <v>0</v>
      </c>
      <c r="CR1060">
        <f>IF($CN1060="refOK",$BS1060,$BT1060)*IF($BP1060="Emissions positive",-1,1)</f>
        <v>47</v>
      </c>
      <c r="CS1060">
        <f>IF($CN1060="refOK",$BT1060,$BS1060)*IF($BP1060="Emissions positive",-1,1)</f>
        <v>111</v>
      </c>
      <c r="CT1060">
        <f>IF($CN1060="refNeedCorrection",-BX1060,BX1060)*IF($BP1060="Emissions positive",-1,1)</f>
        <v>234.88</v>
      </c>
      <c r="CU1060" t="str">
        <f>IFERROR(CT1060/CQ1060,"")</f>
        <v/>
      </c>
      <c r="CV1060" s="2">
        <f>IFERROR((CS1060-CR1060)/ABS(CR1060),"")</f>
        <v>1.3617021276595744</v>
      </c>
      <c r="CW1060" s="1" t="s">
        <v>263</v>
      </c>
      <c r="CX1060" t="str">
        <f>IF(OR($CW1060="prd",$CW1060="std",$CW1060="cit"),"loc",IF(OR($CW1060="eur",$CW1060="reg",$CW1060="coy"),"reg",$CW1060))</f>
        <v>loc</v>
      </c>
      <c r="CY1060" t="s">
        <v>444</v>
      </c>
      <c r="DB1060">
        <v>300</v>
      </c>
      <c r="DC1060" t="str">
        <f>IF(DB1060=0,"0",IF(AND(DB1060&gt;=1,DB1060&lt;=30),"1-30",IF(AND(DB1060&gt;30,DB1060&lt;=70),"31-70",IF(AND(DB1060&gt;70,DB1060&lt;=100),"71-100",IF(DB1060&gt;100,"+100")))))</f>
        <v>+100</v>
      </c>
      <c r="DD1060">
        <v>0</v>
      </c>
      <c r="DE1060">
        <v>1</v>
      </c>
      <c r="DF1060">
        <v>0</v>
      </c>
      <c r="DG1060">
        <v>0</v>
      </c>
      <c r="DI1060">
        <f>SUM(DD1060:DG1060)</f>
        <v>1</v>
      </c>
      <c r="DJ1060" t="str">
        <f>IF(DI1060=1,INDEX($DD$7:$DG$7,MATCH(1,$DD1060:$DG1060,0)),"mixedProduct")</f>
        <v>EnergyInput</v>
      </c>
      <c r="DK1060">
        <f>IF(DD1060=1,DK$7,0)</f>
        <v>0</v>
      </c>
      <c r="DL1060" t="str">
        <f>IF(DE1060=1,DL$7,0)</f>
        <v>Energy</v>
      </c>
      <c r="DM1060">
        <f>IF(DF1060=1,DM$7,0)</f>
        <v>0</v>
      </c>
      <c r="DN1060">
        <f>IF(DG1060=1,DN$7,0)</f>
        <v>0</v>
      </c>
      <c r="DO1060">
        <v>1</v>
      </c>
      <c r="DP1060" s="143">
        <v>0</v>
      </c>
      <c r="DQ1060" s="143">
        <v>0</v>
      </c>
      <c r="DR1060" s="143">
        <v>0</v>
      </c>
      <c r="DS1060">
        <v>0</v>
      </c>
      <c r="DT1060">
        <f>SUM(DO1060:DP1060)</f>
        <v>1</v>
      </c>
      <c r="DU1060" s="143" t="str">
        <f>IF(DO1060=1,"self-calculated DF",IF(DP1060=1,"external DF used","explicit C balance"))</f>
        <v>self-calculated DF</v>
      </c>
      <c r="DV1060">
        <v>0</v>
      </c>
      <c r="DW1060" s="143">
        <v>0</v>
      </c>
      <c r="DX1060" s="143">
        <v>1</v>
      </c>
      <c r="DY1060" s="143">
        <v>1</v>
      </c>
      <c r="DZ1060">
        <v>1</v>
      </c>
      <c r="EA1060" s="143">
        <v>1</v>
      </c>
      <c r="EB1060">
        <v>0</v>
      </c>
      <c r="EC1060" s="143">
        <v>1</v>
      </c>
      <c r="ED1060" s="143">
        <v>0</v>
      </c>
      <c r="EE1060">
        <v>0</v>
      </c>
      <c r="EF1060">
        <v>0</v>
      </c>
      <c r="EG1060" s="143">
        <v>0</v>
      </c>
      <c r="EH1060" s="143">
        <v>0</v>
      </c>
      <c r="EI1060" s="2">
        <v>0</v>
      </c>
      <c r="EK1060" t="str">
        <f>IF(AND(AND(AND(OR($DX1060=1,$DW1060=1),OR($EC1060=1,$EA1060=1)),SUM($DV1060:$DZ1060,$EF1060)&gt;=4),SUM($EA1060:$EE1060)&gt;=2),"Whole sector","")</f>
        <v/>
      </c>
      <c r="EL1060" t="str">
        <f>IF(AND(AND(OR($DX1060=1,$DW1060=1),AND($EC1060=0,$EA1060=0)),SUM($DV1060:$DZ1060,$EF1060)&gt;=4),"Ecosystem approach","")</f>
        <v/>
      </c>
      <c r="EM1060" s="2" t="str">
        <f>IF(AND(AND(AND($DX1060=0,$DW1060=0),OR($EC1060=1,$EA1060=1)),SUM($EB1060:$EE1060)&gt;=2),"Technology approach","")</f>
        <v/>
      </c>
      <c r="EN1060" t="s">
        <v>445</v>
      </c>
      <c r="EP1060" t="b">
        <f>IF(ISNUMBER(BU1060),IF(ABS(BU1060-[4]QC_indicators!$B$2)&gt;3*[4]QC_indicators!$C$2,"C ratio",IF(ISNUMBER(BY1060),IF(ABS(BY1060-[4]QC_indicators!$B$1)&gt;3*[4]QC_indicators!$C$1,"DF","no"))),IF(ISNUMBER(BY1060),IF(ABS(BY1060-[4]QC_indicators!$B$1)&gt;3*[4]QC_indicators!$C$1,"DF","no")))</f>
        <v>0</v>
      </c>
      <c r="ET1060" s="264" t="s">
        <v>3273</v>
      </c>
    </row>
    <row r="1061" spans="1:150" ht="15" customHeight="1">
      <c r="A1061" s="1" t="s">
        <v>430</v>
      </c>
      <c r="B1061" t="s">
        <v>431</v>
      </c>
      <c r="C1061" t="s">
        <v>432</v>
      </c>
      <c r="D1061" t="s">
        <v>433</v>
      </c>
      <c r="E1061" t="s">
        <v>434</v>
      </c>
      <c r="F1061" t="s">
        <v>435</v>
      </c>
      <c r="G1061" t="s">
        <v>436</v>
      </c>
      <c r="H1061" t="s">
        <v>254</v>
      </c>
      <c r="I1061">
        <v>2000</v>
      </c>
      <c r="J1061">
        <v>174</v>
      </c>
      <c r="K1061" t="s">
        <v>437</v>
      </c>
      <c r="M1061" t="str">
        <f>LEFT($D1061,FIND(",",$D1061)-1)&amp;"_"&amp;I1061&amp;L1061</f>
        <v>Borjesson_2000</v>
      </c>
      <c r="N1061" t="s">
        <v>222</v>
      </c>
      <c r="O1061" s="145" t="s">
        <v>223</v>
      </c>
      <c r="Q1061" t="s">
        <v>256</v>
      </c>
      <c r="R1061" s="255" t="s">
        <v>225</v>
      </c>
      <c r="S1061" s="1" t="s">
        <v>464</v>
      </c>
      <c r="T1061" t="s">
        <v>467</v>
      </c>
      <c r="U1061" t="s">
        <v>471</v>
      </c>
      <c r="V1061">
        <v>0</v>
      </c>
      <c r="W1061">
        <v>0</v>
      </c>
      <c r="X1061">
        <v>0</v>
      </c>
      <c r="Y1061">
        <v>0</v>
      </c>
      <c r="Z1061">
        <v>0</v>
      </c>
      <c r="AA1061">
        <v>0</v>
      </c>
      <c r="AB1061">
        <v>0</v>
      </c>
      <c r="AC1061">
        <v>0</v>
      </c>
      <c r="AD1061">
        <v>0</v>
      </c>
      <c r="AE1061">
        <v>0</v>
      </c>
      <c r="AF1061">
        <v>0</v>
      </c>
      <c r="AG1061">
        <v>0</v>
      </c>
      <c r="AH1061">
        <v>1</v>
      </c>
      <c r="AI1061">
        <v>0</v>
      </c>
      <c r="AJ1061">
        <v>0</v>
      </c>
      <c r="AK1061">
        <v>0</v>
      </c>
      <c r="AL1061">
        <v>0</v>
      </c>
      <c r="AM1061">
        <v>0</v>
      </c>
      <c r="AN1061">
        <v>0</v>
      </c>
      <c r="AO1061">
        <v>0</v>
      </c>
      <c r="AP1061">
        <v>0</v>
      </c>
      <c r="AQ1061">
        <v>0</v>
      </c>
      <c r="AR1061">
        <v>0</v>
      </c>
      <c r="AS1061">
        <v>0</v>
      </c>
      <c r="AT1061">
        <v>0</v>
      </c>
      <c r="AU1061">
        <v>0</v>
      </c>
      <c r="AV1061">
        <v>0</v>
      </c>
      <c r="AW1061">
        <v>0</v>
      </c>
      <c r="AX1061" s="141">
        <f>COUNTIF(V1061:AW1061,"&lt;&gt;0")</f>
        <v>1</v>
      </c>
      <c r="AY1061" s="141">
        <f>COUNTIF(V1061:AL1061,"&lt;&gt;0")</f>
        <v>1</v>
      </c>
      <c r="AZ1061">
        <f>COUNTIF(V1061:AC1061,"&lt;&gt;0")</f>
        <v>0</v>
      </c>
      <c r="BA1061">
        <f>COUNTIF(AD1061:AI1061,"&lt;&gt;0")</f>
        <v>1</v>
      </c>
      <c r="BB1061">
        <f>COUNTIF(AJ1061:AL1061,"&lt;&gt;0")</f>
        <v>0</v>
      </c>
      <c r="BC1061">
        <f>COUNTIF(AS1061:AW1061,"&lt;&gt;0")</f>
        <v>0</v>
      </c>
      <c r="BD1061">
        <f>COUNTIF(AM1061:AR1061,"&lt;&gt;0")</f>
        <v>0</v>
      </c>
      <c r="BE1061" t="str">
        <f t="array" ref="BE1061">IF(AY1061=1,INDEX($V$7:$AL$7,MATCH(TRUE,INDEX($V1061:$AW1061&lt;&gt;0,),0)),IF(AY1061=0,INDEX($AM$7:$AW$7,MATCH(1,$AM1061:$AW1061,0)),IF(BF1061="Multiple strategies","mixed drivers",IF(BF1061="Supply chain","multiple supply","multiple silviculture"))))</f>
        <v xml:space="preserve">end of life disposal </v>
      </c>
      <c r="BF1061" s="2" t="str" cm="1">
        <f t="array" ref="BF1061">IF(COUNTIF(AZ1061:BB1061,"&lt;&gt;0")=1,INDEX($V$4:$AW$4,MATCH(TRUE,INDEX($V1061:$AW1061&lt;&gt;0,),0)),IF(COUNTIF(AZ1061:BB1061,"&lt;&gt;0")=0,INDEX($AM$4:$AW$4,MATCH(1,$AM1061:$AW1061,0)),"Multiple strategies"))</f>
        <v>Supply chain</v>
      </c>
      <c r="BG1061" s="142" t="s">
        <v>229</v>
      </c>
      <c r="BH1061" t="s">
        <v>441</v>
      </c>
      <c r="BI1061" s="264" t="s">
        <v>3274</v>
      </c>
      <c r="BJ1061" s="143" t="s">
        <v>442</v>
      </c>
      <c r="BK1061">
        <f>3*44</f>
        <v>132</v>
      </c>
      <c r="BL1061">
        <f>3*44</f>
        <v>132</v>
      </c>
      <c r="BM1061" s="143">
        <f>BL1061/BK1061</f>
        <v>1</v>
      </c>
      <c r="BN1061">
        <f>BL1061-BK1061</f>
        <v>0</v>
      </c>
      <c r="BO1061">
        <v>0</v>
      </c>
      <c r="BP1061" t="s">
        <v>232</v>
      </c>
      <c r="BQ1061" s="260" t="s">
        <v>813</v>
      </c>
      <c r="BR1061" t="s">
        <v>443</v>
      </c>
      <c r="BS1061" s="141">
        <v>-3</v>
      </c>
      <c r="BT1061" s="141">
        <v>82</v>
      </c>
      <c r="BU1061" s="144">
        <f>IFERROR(BT1061/BS1061,"")</f>
        <v>-27.333333333333332</v>
      </c>
      <c r="BV1061">
        <f>BT1061-BS1061</f>
        <v>85</v>
      </c>
      <c r="BX1061">
        <f>BV1061*C_to_CO2</f>
        <v>311.95</v>
      </c>
      <c r="BY1061" t="str">
        <f>IFERROR(BX1061/BO1061,"")</f>
        <v/>
      </c>
      <c r="BZ1061" s="143">
        <v>0</v>
      </c>
      <c r="CA1061" s="143">
        <v>0</v>
      </c>
      <c r="CB1061" s="143">
        <v>0</v>
      </c>
      <c r="CC1061" s="143">
        <v>0</v>
      </c>
      <c r="CD1061" s="143">
        <v>0</v>
      </c>
      <c r="CE1061" s="143">
        <v>0</v>
      </c>
      <c r="CF1061" s="143">
        <v>0</v>
      </c>
      <c r="CG1061" s="143">
        <v>0</v>
      </c>
      <c r="CH1061" s="143">
        <v>0</v>
      </c>
      <c r="CI1061" s="143">
        <v>0</v>
      </c>
      <c r="CJ1061" s="143">
        <v>0</v>
      </c>
      <c r="CK1061" s="143">
        <v>0</v>
      </c>
      <c r="CL1061" s="143">
        <v>0</v>
      </c>
      <c r="CM1061">
        <v>0</v>
      </c>
      <c r="CN1061" t="str">
        <f>IF(BL1061&lt;BK1061,"refNeedCorrection","refOK")</f>
        <v>refOK</v>
      </c>
      <c r="CO1061">
        <f>IF($CN1061="refOK",$BK1061,$BL1061)</f>
        <v>132</v>
      </c>
      <c r="CP1061">
        <f>IF($CN1061="refOK",$BL1061,$BK1061)</f>
        <v>132</v>
      </c>
      <c r="CQ1061">
        <f>IF($CN1061="refOK",$BO1061,-$BO1061)</f>
        <v>0</v>
      </c>
      <c r="CR1061">
        <f>IF($CN1061="refOK",$BS1061,$BT1061)*IF($BP1061="Emissions positive",-1,1)</f>
        <v>-3</v>
      </c>
      <c r="CS1061">
        <f>IF($CN1061="refOK",$BT1061,$BS1061)*IF($BP1061="Emissions positive",-1,1)</f>
        <v>82</v>
      </c>
      <c r="CT1061">
        <f>IF($CN1061="refNeedCorrection",-BX1061,BX1061)*IF($BP1061="Emissions positive",-1,1)</f>
        <v>311.95</v>
      </c>
      <c r="CU1061" t="str">
        <f>IFERROR(CT1061/CQ1061,"")</f>
        <v/>
      </c>
      <c r="CV1061" s="2">
        <f>IFERROR((CS1061-CR1061)/ABS(CR1061),"")</f>
        <v>28.333333333333332</v>
      </c>
      <c r="CW1061" s="1" t="s">
        <v>263</v>
      </c>
      <c r="CX1061" t="str">
        <f>IF(OR($CW1061="prd",$CW1061="std",$CW1061="cit"),"loc",IF(OR($CW1061="eur",$CW1061="reg",$CW1061="coy"),"reg",$CW1061))</f>
        <v>loc</v>
      </c>
      <c r="CY1061" t="s">
        <v>444</v>
      </c>
      <c r="DB1061">
        <v>300</v>
      </c>
      <c r="DC1061" t="str">
        <f>IF(DB1061=0,"0",IF(AND(DB1061&gt;=1,DB1061&lt;=30),"1-30",IF(AND(DB1061&gt;30,DB1061&lt;=70),"31-70",IF(AND(DB1061&gt;70,DB1061&lt;=100),"71-100",IF(DB1061&gt;100,"+100")))))</f>
        <v>+100</v>
      </c>
      <c r="DD1061">
        <v>0</v>
      </c>
      <c r="DE1061">
        <v>1</v>
      </c>
      <c r="DF1061">
        <v>0</v>
      </c>
      <c r="DG1061">
        <v>0</v>
      </c>
      <c r="DI1061">
        <f>SUM(DD1061:DG1061)</f>
        <v>1</v>
      </c>
      <c r="DJ1061" t="str">
        <f>IF(DI1061=1,INDEX($DD$7:$DG$7,MATCH(1,$DD1061:$DG1061,0)),"mixedProduct")</f>
        <v>EnergyInput</v>
      </c>
      <c r="DK1061">
        <f>IF(DD1061=1,DK$7,0)</f>
        <v>0</v>
      </c>
      <c r="DL1061" t="str">
        <f>IF(DE1061=1,DL$7,0)</f>
        <v>Energy</v>
      </c>
      <c r="DM1061">
        <f>IF(DF1061=1,DM$7,0)</f>
        <v>0</v>
      </c>
      <c r="DN1061">
        <f>IF(DG1061=1,DN$7,0)</f>
        <v>0</v>
      </c>
      <c r="DO1061">
        <v>1</v>
      </c>
      <c r="DP1061" s="143">
        <v>0</v>
      </c>
      <c r="DQ1061" s="143">
        <v>0</v>
      </c>
      <c r="DR1061" s="143">
        <v>0</v>
      </c>
      <c r="DS1061">
        <v>0</v>
      </c>
      <c r="DT1061">
        <f>SUM(DO1061:DP1061)</f>
        <v>1</v>
      </c>
      <c r="DU1061" s="143" t="str">
        <f>IF(DO1061=1,"self-calculated DF",IF(DP1061=1,"external DF used","explicit C balance"))</f>
        <v>self-calculated DF</v>
      </c>
      <c r="DV1061">
        <v>0</v>
      </c>
      <c r="DW1061" s="143">
        <v>0</v>
      </c>
      <c r="DX1061" s="143">
        <v>1</v>
      </c>
      <c r="DY1061" s="143">
        <v>1</v>
      </c>
      <c r="DZ1061">
        <v>1</v>
      </c>
      <c r="EA1061" s="143">
        <v>1</v>
      </c>
      <c r="EB1061">
        <v>0</v>
      </c>
      <c r="EC1061" s="143">
        <v>1</v>
      </c>
      <c r="ED1061" s="143">
        <v>0</v>
      </c>
      <c r="EE1061">
        <v>0</v>
      </c>
      <c r="EF1061">
        <v>0</v>
      </c>
      <c r="EG1061" s="143">
        <v>0</v>
      </c>
      <c r="EH1061" s="143">
        <v>0</v>
      </c>
      <c r="EI1061" s="2">
        <v>0</v>
      </c>
      <c r="EK1061" t="str">
        <f>IF(AND(AND(AND(OR($DX1061=1,$DW1061=1),OR($EC1061=1,$EA1061=1)),SUM($DV1061:$DZ1061,$EF1061)&gt;=4),SUM($EA1061:$EE1061)&gt;=2),"Whole sector","")</f>
        <v/>
      </c>
      <c r="EL1061" t="str">
        <f>IF(AND(AND(OR($DX1061=1,$DW1061=1),AND($EC1061=0,$EA1061=0)),SUM($DV1061:$DZ1061,$EF1061)&gt;=4),"Ecosystem approach","")</f>
        <v/>
      </c>
      <c r="EM1061" s="2" t="str">
        <f>IF(AND(AND(AND($DX1061=0,$DW1061=0),OR($EC1061=1,$EA1061=1)),SUM($EB1061:$EE1061)&gt;=2),"Technology approach","")</f>
        <v/>
      </c>
      <c r="EN1061" t="s">
        <v>445</v>
      </c>
      <c r="EP1061" t="str">
        <f>IF(ISNUMBER(BU1061),IF(ABS(BU1061-[4]QC_indicators!$B$2)&gt;3*[4]QC_indicators!$C$2,"C ratio",IF(ISNUMBER(BY1061),IF(ABS(BY1061-[4]QC_indicators!$B$1)&gt;3*[4]QC_indicators!$C$1,"DF","no"))),IF(ISNUMBER(BY1061),IF(ABS(BY1061-[4]QC_indicators!$B$1)&gt;3*[4]QC_indicators!$C$1,"DF","no")))</f>
        <v>C ratio</v>
      </c>
      <c r="EQ1061" t="s">
        <v>450</v>
      </c>
      <c r="ET1061" s="264" t="s">
        <v>3273</v>
      </c>
    </row>
    <row r="1062" spans="1:150" ht="15" customHeight="1">
      <c r="A1062" s="1" t="s">
        <v>430</v>
      </c>
      <c r="B1062" t="s">
        <v>431</v>
      </c>
      <c r="C1062" t="s">
        <v>432</v>
      </c>
      <c r="D1062" t="s">
        <v>433</v>
      </c>
      <c r="E1062" t="s">
        <v>434</v>
      </c>
      <c r="F1062" t="s">
        <v>435</v>
      </c>
      <c r="G1062" t="s">
        <v>436</v>
      </c>
      <c r="H1062" t="s">
        <v>254</v>
      </c>
      <c r="I1062">
        <v>2000</v>
      </c>
      <c r="J1062">
        <v>174</v>
      </c>
      <c r="K1062" t="s">
        <v>437</v>
      </c>
      <c r="M1062" t="str">
        <f>LEFT($D1062,FIND(",",$D1062)-1)&amp;"_"&amp;I1062&amp;L1062</f>
        <v>Borjesson_2000</v>
      </c>
      <c r="N1062" t="s">
        <v>222</v>
      </c>
      <c r="O1062" s="145" t="s">
        <v>223</v>
      </c>
      <c r="Q1062" t="s">
        <v>256</v>
      </c>
      <c r="R1062" s="255" t="s">
        <v>225</v>
      </c>
      <c r="S1062" s="1" t="s">
        <v>464</v>
      </c>
      <c r="T1062" t="s">
        <v>465</v>
      </c>
      <c r="U1062" t="s">
        <v>471</v>
      </c>
      <c r="V1062">
        <v>0</v>
      </c>
      <c r="W1062">
        <v>0</v>
      </c>
      <c r="X1062">
        <v>0</v>
      </c>
      <c r="Y1062">
        <v>0</v>
      </c>
      <c r="Z1062">
        <v>0</v>
      </c>
      <c r="AA1062">
        <v>0</v>
      </c>
      <c r="AB1062">
        <v>0</v>
      </c>
      <c r="AC1062">
        <v>0</v>
      </c>
      <c r="AD1062">
        <v>0</v>
      </c>
      <c r="AE1062">
        <v>0</v>
      </c>
      <c r="AF1062">
        <v>0</v>
      </c>
      <c r="AG1062">
        <v>0</v>
      </c>
      <c r="AH1062">
        <v>1</v>
      </c>
      <c r="AI1062">
        <v>0</v>
      </c>
      <c r="AJ1062">
        <v>0</v>
      </c>
      <c r="AK1062">
        <v>0</v>
      </c>
      <c r="AL1062">
        <v>0</v>
      </c>
      <c r="AM1062">
        <v>0</v>
      </c>
      <c r="AN1062">
        <v>0</v>
      </c>
      <c r="AO1062">
        <v>0</v>
      </c>
      <c r="AP1062">
        <v>0</v>
      </c>
      <c r="AQ1062">
        <v>0</v>
      </c>
      <c r="AR1062">
        <v>0</v>
      </c>
      <c r="AS1062">
        <v>0</v>
      </c>
      <c r="AT1062">
        <v>0</v>
      </c>
      <c r="AU1062">
        <v>0</v>
      </c>
      <c r="AV1062">
        <v>0</v>
      </c>
      <c r="AW1062">
        <v>0</v>
      </c>
      <c r="AX1062" s="141">
        <f>COUNTIF(V1062:AW1062,"&lt;&gt;0")</f>
        <v>1</v>
      </c>
      <c r="AY1062" s="141">
        <f>COUNTIF(V1062:AL1062,"&lt;&gt;0")</f>
        <v>1</v>
      </c>
      <c r="AZ1062">
        <f>COUNTIF(V1062:AC1062,"&lt;&gt;0")</f>
        <v>0</v>
      </c>
      <c r="BA1062">
        <f>COUNTIF(AD1062:AI1062,"&lt;&gt;0")</f>
        <v>1</v>
      </c>
      <c r="BB1062">
        <f>COUNTIF(AJ1062:AL1062,"&lt;&gt;0")</f>
        <v>0</v>
      </c>
      <c r="BC1062">
        <f>COUNTIF(AS1062:AW1062,"&lt;&gt;0")</f>
        <v>0</v>
      </c>
      <c r="BD1062">
        <f>COUNTIF(AM1062:AR1062,"&lt;&gt;0")</f>
        <v>0</v>
      </c>
      <c r="BE1062" t="str">
        <f t="array" ref="BE1062">IF(AY1062=1,INDEX($V$7:$AL$7,MATCH(TRUE,INDEX($V1062:$AW1062&lt;&gt;0,),0)),IF(AY1062=0,INDEX($AM$7:$AW$7,MATCH(1,$AM1062:$AW1062,0)),IF(BF1062="Multiple strategies","mixed drivers",IF(BF1062="Supply chain","multiple supply","multiple silviculture"))))</f>
        <v xml:space="preserve">end of life disposal </v>
      </c>
      <c r="BF1062" s="2" t="str" cm="1">
        <f t="array" ref="BF1062">IF(COUNTIF(AZ1062:BB1062,"&lt;&gt;0")=1,INDEX($V$4:$AW$4,MATCH(TRUE,INDEX($V1062:$AW1062&lt;&gt;0,),0)),IF(COUNTIF(AZ1062:BB1062,"&lt;&gt;0")=0,INDEX($AM$4:$AW$4,MATCH(1,$AM1062:$AW1062,0)),"Multiple strategies"))</f>
        <v>Supply chain</v>
      </c>
      <c r="BG1062" s="142" t="s">
        <v>229</v>
      </c>
      <c r="BH1062" t="s">
        <v>441</v>
      </c>
      <c r="BI1062" s="264" t="s">
        <v>3274</v>
      </c>
      <c r="BJ1062" s="143" t="s">
        <v>442</v>
      </c>
      <c r="BK1062">
        <f>3*44</f>
        <v>132</v>
      </c>
      <c r="BL1062">
        <f>3*44</f>
        <v>132</v>
      </c>
      <c r="BM1062" s="143">
        <f>BL1062/BK1062</f>
        <v>1</v>
      </c>
      <c r="BN1062">
        <f>BL1062-BK1062</f>
        <v>0</v>
      </c>
      <c r="BO1062">
        <v>0</v>
      </c>
      <c r="BP1062" t="s">
        <v>232</v>
      </c>
      <c r="BQ1062" s="260" t="s">
        <v>813</v>
      </c>
      <c r="BR1062" t="s">
        <v>443</v>
      </c>
      <c r="BS1062" s="141">
        <v>47</v>
      </c>
      <c r="BT1062" s="141">
        <v>82</v>
      </c>
      <c r="BU1062" s="144">
        <f>IFERROR(BT1062/BS1062,"")</f>
        <v>1.7446808510638299</v>
      </c>
      <c r="BV1062">
        <f>BT1062-BS1062</f>
        <v>35</v>
      </c>
      <c r="BX1062">
        <f>BV1062*C_to_CO2</f>
        <v>128.44999999999999</v>
      </c>
      <c r="BY1062" t="str">
        <f>IFERROR(BX1062/BO1062,"")</f>
        <v/>
      </c>
      <c r="BZ1062" s="143">
        <v>0</v>
      </c>
      <c r="CA1062" s="143">
        <v>0</v>
      </c>
      <c r="CB1062" s="143">
        <v>0</v>
      </c>
      <c r="CC1062" s="143">
        <v>0</v>
      </c>
      <c r="CD1062" s="143">
        <v>0</v>
      </c>
      <c r="CE1062" s="143">
        <v>0</v>
      </c>
      <c r="CF1062" s="143">
        <v>0</v>
      </c>
      <c r="CG1062" s="143">
        <v>0</v>
      </c>
      <c r="CH1062" s="143">
        <v>0</v>
      </c>
      <c r="CI1062" s="143">
        <v>0</v>
      </c>
      <c r="CJ1062" s="143">
        <v>0</v>
      </c>
      <c r="CK1062" s="143">
        <v>0</v>
      </c>
      <c r="CL1062" s="143">
        <v>0</v>
      </c>
      <c r="CM1062">
        <v>0</v>
      </c>
      <c r="CN1062" t="str">
        <f>IF($BL1062&lt;$BK1062,"refNeedCorrection","refOK")</f>
        <v>refOK</v>
      </c>
      <c r="CO1062">
        <f>IF($CN1062="refOK",$BK1062,$BL1062)</f>
        <v>132</v>
      </c>
      <c r="CP1062">
        <f>IF($CN1062="refOK",$BL1062,$BK1062)</f>
        <v>132</v>
      </c>
      <c r="CQ1062">
        <f>IF($CN1062="refOK",$BO1062,-$BO1062)</f>
        <v>0</v>
      </c>
      <c r="CR1062">
        <f>IF($CN1062="refOK",$BS1062,$BT1062)*IF($BP1062="Emissions positive",-1,1)</f>
        <v>47</v>
      </c>
      <c r="CS1062">
        <f>IF($CN1062="refOK",$BT1062,$BS1062)*IF($BP1062="Emissions positive",-1,1)</f>
        <v>82</v>
      </c>
      <c r="CT1062">
        <f>IF($CN1062="refNeedCorrection",-BX1062,BX1062)*IF($BP1062="Emissions positive",-1,1)</f>
        <v>128.44999999999999</v>
      </c>
      <c r="CU1062" t="str">
        <f>IFERROR(CT1062/CQ1062,"")</f>
        <v/>
      </c>
      <c r="CV1062" s="2">
        <f>IFERROR((CS1062-CR1062)/ABS(CR1062),"")</f>
        <v>0.74468085106382975</v>
      </c>
      <c r="CW1062" s="1" t="s">
        <v>263</v>
      </c>
      <c r="CX1062" t="str">
        <f>IF(OR($CW1062="prd",$CW1062="std",$CW1062="cit"),"loc",IF(OR($CW1062="eur",$CW1062="reg",$CW1062="coy"),"reg",$CW1062))</f>
        <v>loc</v>
      </c>
      <c r="CY1062" t="s">
        <v>444</v>
      </c>
      <c r="DB1062">
        <v>300</v>
      </c>
      <c r="DC1062" t="str">
        <f>IF(DB1062=0,"0",IF(AND(DB1062&gt;=1,DB1062&lt;=30),"1-30",IF(AND(DB1062&gt;30,DB1062&lt;=70),"31-70",IF(AND(DB1062&gt;70,DB1062&lt;=100),"71-100",IF(DB1062&gt;100,"+100")))))</f>
        <v>+100</v>
      </c>
      <c r="DD1062">
        <v>0</v>
      </c>
      <c r="DE1062">
        <v>1</v>
      </c>
      <c r="DF1062">
        <v>0</v>
      </c>
      <c r="DG1062">
        <v>0</v>
      </c>
      <c r="DI1062">
        <f>SUM(DD1062:DG1062)</f>
        <v>1</v>
      </c>
      <c r="DJ1062" t="str">
        <f>IF(DI1062=1,INDEX($DD$7:$DG$7,MATCH(1,$DD1062:$DG1062,0)),"mixedProduct")</f>
        <v>EnergyInput</v>
      </c>
      <c r="DK1062">
        <f>IF(DD1062=1,DK$7,0)</f>
        <v>0</v>
      </c>
      <c r="DL1062" t="str">
        <f>IF(DE1062=1,DL$7,0)</f>
        <v>Energy</v>
      </c>
      <c r="DM1062">
        <f>IF(DF1062=1,DM$7,0)</f>
        <v>0</v>
      </c>
      <c r="DN1062">
        <f>IF(DG1062=1,DN$7,0)</f>
        <v>0</v>
      </c>
      <c r="DO1062">
        <v>1</v>
      </c>
      <c r="DP1062" s="143">
        <v>0</v>
      </c>
      <c r="DQ1062" s="143">
        <v>0</v>
      </c>
      <c r="DR1062" s="143">
        <v>0</v>
      </c>
      <c r="DS1062">
        <v>0</v>
      </c>
      <c r="DT1062">
        <f>SUM(DO1062:DP1062)</f>
        <v>1</v>
      </c>
      <c r="DU1062" s="143" t="str">
        <f>IF(DO1062=1,"self-calculated DF",IF(DP1062=1,"external DF used","explicit C balance"))</f>
        <v>self-calculated DF</v>
      </c>
      <c r="DV1062">
        <v>0</v>
      </c>
      <c r="DW1062" s="143">
        <v>0</v>
      </c>
      <c r="DX1062" s="143">
        <v>1</v>
      </c>
      <c r="DY1062" s="143">
        <v>1</v>
      </c>
      <c r="DZ1062">
        <v>1</v>
      </c>
      <c r="EA1062" s="143">
        <v>1</v>
      </c>
      <c r="EB1062">
        <v>0</v>
      </c>
      <c r="EC1062" s="143">
        <v>1</v>
      </c>
      <c r="ED1062" s="143">
        <v>0</v>
      </c>
      <c r="EE1062">
        <v>0</v>
      </c>
      <c r="EF1062">
        <v>0</v>
      </c>
      <c r="EG1062" s="143">
        <v>0</v>
      </c>
      <c r="EH1062" s="143">
        <v>0</v>
      </c>
      <c r="EI1062" s="2">
        <v>0</v>
      </c>
      <c r="EK1062" t="str">
        <f>IF(AND(AND(AND(OR($DX1062=1,$DW1062=1),OR($EC1062=1,$EA1062=1)),SUM($DV1062:$DZ1062,$EF1062)&gt;=4),SUM($EA1062:$EE1062)&gt;=2),"Whole sector","")</f>
        <v/>
      </c>
      <c r="EL1062" t="str">
        <f>IF(AND(AND(OR($DX1062=1,$DW1062=1),AND($EC1062=0,$EA1062=0)),SUM($DV1062:$DZ1062,$EF1062)&gt;=4),"Ecosystem approach","")</f>
        <v/>
      </c>
      <c r="EM1062" s="2" t="str">
        <f>IF(AND(AND(AND($DX1062=0,$DW1062=0),OR($EC1062=1,$EA1062=1)),SUM($EB1062:$EE1062)&gt;=2),"Technology approach","")</f>
        <v/>
      </c>
      <c r="EN1062" t="s">
        <v>445</v>
      </c>
      <c r="EP1062" t="b">
        <f>IF(ISNUMBER(BU1062),IF(ABS(BU1062-[4]QC_indicators!$B$2)&gt;3*[4]QC_indicators!$C$2,"C ratio",IF(ISNUMBER(BY1062),IF(ABS(BY1062-[4]QC_indicators!$B$1)&gt;3*[4]QC_indicators!$C$1,"DF","no"))),IF(ISNUMBER(BY1062),IF(ABS(BY1062-[4]QC_indicators!$B$1)&gt;3*[4]QC_indicators!$C$1,"DF","no")))</f>
        <v>0</v>
      </c>
      <c r="ET1062" s="264" t="s">
        <v>3273</v>
      </c>
    </row>
    <row r="1063" spans="1:150" ht="15" customHeight="1">
      <c r="A1063" s="1" t="s">
        <v>430</v>
      </c>
      <c r="B1063" t="s">
        <v>431</v>
      </c>
      <c r="C1063" t="s">
        <v>432</v>
      </c>
      <c r="D1063" t="s">
        <v>433</v>
      </c>
      <c r="E1063" t="s">
        <v>434</v>
      </c>
      <c r="F1063" t="s">
        <v>435</v>
      </c>
      <c r="G1063" t="s">
        <v>436</v>
      </c>
      <c r="H1063" t="s">
        <v>254</v>
      </c>
      <c r="I1063">
        <v>2000</v>
      </c>
      <c r="J1063">
        <v>174</v>
      </c>
      <c r="K1063" t="s">
        <v>437</v>
      </c>
      <c r="M1063" t="str">
        <f>LEFT($D1063,FIND(",",$D1063)-1)&amp;"_"&amp;I1063&amp;L1063</f>
        <v>Borjesson_2000</v>
      </c>
      <c r="N1063" t="s">
        <v>222</v>
      </c>
      <c r="O1063" s="145" t="s">
        <v>223</v>
      </c>
      <c r="Q1063" t="s">
        <v>256</v>
      </c>
      <c r="R1063" s="255" t="s">
        <v>225</v>
      </c>
      <c r="S1063" s="1" t="s">
        <v>464</v>
      </c>
      <c r="T1063" t="s">
        <v>467</v>
      </c>
      <c r="U1063" t="s">
        <v>472</v>
      </c>
      <c r="V1063">
        <v>0</v>
      </c>
      <c r="W1063">
        <v>0</v>
      </c>
      <c r="X1063">
        <v>0</v>
      </c>
      <c r="Y1063">
        <v>0</v>
      </c>
      <c r="Z1063">
        <v>0</v>
      </c>
      <c r="AA1063">
        <v>0</v>
      </c>
      <c r="AB1063">
        <v>0</v>
      </c>
      <c r="AC1063">
        <v>0</v>
      </c>
      <c r="AD1063">
        <v>0</v>
      </c>
      <c r="AE1063">
        <v>0</v>
      </c>
      <c r="AF1063">
        <v>0</v>
      </c>
      <c r="AG1063">
        <v>0</v>
      </c>
      <c r="AH1063">
        <v>1</v>
      </c>
      <c r="AI1063">
        <v>0</v>
      </c>
      <c r="AJ1063">
        <v>0</v>
      </c>
      <c r="AK1063">
        <v>0</v>
      </c>
      <c r="AL1063">
        <v>0</v>
      </c>
      <c r="AM1063">
        <v>0</v>
      </c>
      <c r="AN1063">
        <v>0</v>
      </c>
      <c r="AO1063">
        <v>0</v>
      </c>
      <c r="AP1063">
        <v>0</v>
      </c>
      <c r="AQ1063">
        <v>0</v>
      </c>
      <c r="AR1063">
        <v>0</v>
      </c>
      <c r="AS1063">
        <v>0</v>
      </c>
      <c r="AT1063">
        <v>0</v>
      </c>
      <c r="AU1063">
        <v>0</v>
      </c>
      <c r="AV1063">
        <v>0</v>
      </c>
      <c r="AW1063">
        <v>0</v>
      </c>
      <c r="AX1063" s="141">
        <f>COUNTIF(V1063:AW1063,"&lt;&gt;0")</f>
        <v>1</v>
      </c>
      <c r="AY1063" s="141">
        <f>COUNTIF(V1063:AL1063,"&lt;&gt;0")</f>
        <v>1</v>
      </c>
      <c r="AZ1063">
        <f>COUNTIF(V1063:AC1063,"&lt;&gt;0")</f>
        <v>0</v>
      </c>
      <c r="BA1063">
        <f>COUNTIF(AD1063:AI1063,"&lt;&gt;0")</f>
        <v>1</v>
      </c>
      <c r="BB1063">
        <f>COUNTIF(AJ1063:AL1063,"&lt;&gt;0")</f>
        <v>0</v>
      </c>
      <c r="BC1063">
        <f>COUNTIF(AS1063:AW1063,"&lt;&gt;0")</f>
        <v>0</v>
      </c>
      <c r="BD1063">
        <f>COUNTIF(AM1063:AR1063,"&lt;&gt;0")</f>
        <v>0</v>
      </c>
      <c r="BE1063" t="str">
        <f t="array" ref="BE1063">IF(AY1063=1,INDEX($V$7:$AL$7,MATCH(TRUE,INDEX($V1063:$AW1063&lt;&gt;0,),0)),IF(AY1063=0,INDEX($AM$7:$AW$7,MATCH(1,$AM1063:$AW1063,0)),IF(BF1063="Multiple strategies","mixed drivers",IF(BF1063="Supply chain","multiple supply","multiple silviculture"))))</f>
        <v xml:space="preserve">end of life disposal </v>
      </c>
      <c r="BF1063" s="2" t="str" cm="1">
        <f t="array" ref="BF1063">IF(COUNTIF(AZ1063:BB1063,"&lt;&gt;0")=1,INDEX($V$4:$AW$4,MATCH(TRUE,INDEX($V1063:$AW1063&lt;&gt;0,),0)),IF(COUNTIF(AZ1063:BB1063,"&lt;&gt;0")=0,INDEX($AM$4:$AW$4,MATCH(1,$AM1063:$AW1063,0)),"Multiple strategies"))</f>
        <v>Supply chain</v>
      </c>
      <c r="BG1063" s="142" t="s">
        <v>229</v>
      </c>
      <c r="BH1063" t="s">
        <v>441</v>
      </c>
      <c r="BI1063" s="264" t="s">
        <v>3274</v>
      </c>
      <c r="BJ1063" s="143" t="s">
        <v>442</v>
      </c>
      <c r="BK1063">
        <f>3*44</f>
        <v>132</v>
      </c>
      <c r="BL1063">
        <f>3*44</f>
        <v>132</v>
      </c>
      <c r="BM1063" s="143">
        <f>BL1063/BK1063</f>
        <v>1</v>
      </c>
      <c r="BN1063">
        <f>BL1063-BK1063</f>
        <v>0</v>
      </c>
      <c r="BO1063">
        <v>0</v>
      </c>
      <c r="BP1063" t="s">
        <v>232</v>
      </c>
      <c r="BQ1063" s="260" t="s">
        <v>813</v>
      </c>
      <c r="BR1063" t="s">
        <v>443</v>
      </c>
      <c r="BS1063" s="141">
        <v>-3</v>
      </c>
      <c r="BT1063" s="141">
        <v>93</v>
      </c>
      <c r="BU1063" s="144">
        <f>IFERROR(BT1063/BS1063,"")</f>
        <v>-31</v>
      </c>
      <c r="BV1063">
        <f>BT1063-BS1063</f>
        <v>96</v>
      </c>
      <c r="BX1063">
        <f>BV1063*C_to_CO2</f>
        <v>352.32</v>
      </c>
      <c r="BY1063" t="str">
        <f>IFERROR(BX1063/BO1063,"")</f>
        <v/>
      </c>
      <c r="BZ1063" s="143">
        <v>0</v>
      </c>
      <c r="CA1063" s="143">
        <v>0</v>
      </c>
      <c r="CB1063" s="143">
        <v>0</v>
      </c>
      <c r="CC1063" s="143">
        <v>0</v>
      </c>
      <c r="CD1063" s="143">
        <v>0</v>
      </c>
      <c r="CE1063" s="143">
        <v>0</v>
      </c>
      <c r="CF1063" s="143">
        <v>0</v>
      </c>
      <c r="CG1063" s="143">
        <v>0</v>
      </c>
      <c r="CH1063" s="143">
        <v>0</v>
      </c>
      <c r="CI1063" s="143">
        <v>0</v>
      </c>
      <c r="CJ1063" s="143">
        <v>0</v>
      </c>
      <c r="CK1063" s="143">
        <v>0</v>
      </c>
      <c r="CL1063" s="143">
        <v>0</v>
      </c>
      <c r="CM1063">
        <v>0</v>
      </c>
      <c r="CN1063" t="str">
        <f>IF(BL1063&lt;BK1063,"refNeedCorrection","refOK")</f>
        <v>refOK</v>
      </c>
      <c r="CO1063">
        <f>IF($CN1063="refOK",$BK1063,$BL1063)</f>
        <v>132</v>
      </c>
      <c r="CP1063">
        <f>IF($CN1063="refOK",$BL1063,$BK1063)</f>
        <v>132</v>
      </c>
      <c r="CQ1063">
        <f>IF($CN1063="refOK",$BO1063,-$BO1063)</f>
        <v>0</v>
      </c>
      <c r="CR1063">
        <f>IF($CN1063="refOK",$BS1063,$BT1063)*IF($BP1063="Emissions positive",-1,1)</f>
        <v>-3</v>
      </c>
      <c r="CS1063">
        <f>IF($CN1063="refOK",$BT1063,$BS1063)*IF($BP1063="Emissions positive",-1,1)</f>
        <v>93</v>
      </c>
      <c r="CT1063">
        <f>IF($CN1063="refNeedCorrection",-BX1063,BX1063)*IF($BP1063="Emissions positive",-1,1)</f>
        <v>352.32</v>
      </c>
      <c r="CU1063" t="str">
        <f>IFERROR(CT1063/CQ1063,"")</f>
        <v/>
      </c>
      <c r="CV1063" s="2">
        <f>IFERROR((CS1063-CR1063)/ABS(CR1063),"")</f>
        <v>32</v>
      </c>
      <c r="CW1063" s="1" t="s">
        <v>263</v>
      </c>
      <c r="CX1063" t="str">
        <f>IF(OR($CW1063="prd",$CW1063="std",$CW1063="cit"),"loc",IF(OR($CW1063="eur",$CW1063="reg",$CW1063="coy"),"reg",$CW1063))</f>
        <v>loc</v>
      </c>
      <c r="CY1063" t="s">
        <v>444</v>
      </c>
      <c r="DB1063">
        <v>300</v>
      </c>
      <c r="DC1063" t="str">
        <f>IF(DB1063=0,"0",IF(AND(DB1063&gt;=1,DB1063&lt;=30),"1-30",IF(AND(DB1063&gt;30,DB1063&lt;=70),"31-70",IF(AND(DB1063&gt;70,DB1063&lt;=100),"71-100",IF(DB1063&gt;100,"+100")))))</f>
        <v>+100</v>
      </c>
      <c r="DD1063">
        <v>0</v>
      </c>
      <c r="DE1063">
        <v>1</v>
      </c>
      <c r="DF1063">
        <v>0</v>
      </c>
      <c r="DG1063">
        <v>0</v>
      </c>
      <c r="DI1063">
        <f>SUM(DD1063:DG1063)</f>
        <v>1</v>
      </c>
      <c r="DJ1063" t="str">
        <f>IF(DI1063=1,INDEX($DD$7:$DG$7,MATCH(1,$DD1063:$DG1063,0)),"mixedProduct")</f>
        <v>EnergyInput</v>
      </c>
      <c r="DK1063">
        <f>IF(DD1063=1,DK$7,0)</f>
        <v>0</v>
      </c>
      <c r="DL1063" t="str">
        <f>IF(DE1063=1,DL$7,0)</f>
        <v>Energy</v>
      </c>
      <c r="DM1063">
        <f>IF(DF1063=1,DM$7,0)</f>
        <v>0</v>
      </c>
      <c r="DN1063">
        <f>IF(DG1063=1,DN$7,0)</f>
        <v>0</v>
      </c>
      <c r="DO1063">
        <v>1</v>
      </c>
      <c r="DP1063" s="143">
        <v>0</v>
      </c>
      <c r="DQ1063" s="143">
        <v>0</v>
      </c>
      <c r="DR1063" s="143">
        <v>0</v>
      </c>
      <c r="DS1063">
        <v>0</v>
      </c>
      <c r="DT1063">
        <f>SUM(DO1063:DP1063)</f>
        <v>1</v>
      </c>
      <c r="DU1063" s="143" t="str">
        <f>IF(DO1063=1,"self-calculated DF",IF(DP1063=1,"external DF used","explicit C balance"))</f>
        <v>self-calculated DF</v>
      </c>
      <c r="DV1063">
        <v>0</v>
      </c>
      <c r="DW1063" s="143">
        <v>0</v>
      </c>
      <c r="DX1063" s="143">
        <v>1</v>
      </c>
      <c r="DY1063" s="143">
        <v>1</v>
      </c>
      <c r="DZ1063">
        <v>1</v>
      </c>
      <c r="EA1063" s="143">
        <v>1</v>
      </c>
      <c r="EB1063">
        <v>0</v>
      </c>
      <c r="EC1063" s="143">
        <v>1</v>
      </c>
      <c r="ED1063" s="143">
        <v>0</v>
      </c>
      <c r="EE1063">
        <v>0</v>
      </c>
      <c r="EF1063">
        <v>0</v>
      </c>
      <c r="EG1063" s="143">
        <v>0</v>
      </c>
      <c r="EH1063" s="143">
        <v>0</v>
      </c>
      <c r="EI1063" s="2">
        <v>0</v>
      </c>
      <c r="EK1063" t="str">
        <f>IF(AND(AND(AND(OR($DX1063=1,$DW1063=1),OR($EC1063=1,$EA1063=1)),SUM($DV1063:$DZ1063,$EF1063)&gt;=4),SUM($EA1063:$EE1063)&gt;=2),"Whole sector","")</f>
        <v/>
      </c>
      <c r="EL1063" t="str">
        <f>IF(AND(AND(OR($DX1063=1,$DW1063=1),AND($EC1063=0,$EA1063=0)),SUM($DV1063:$DZ1063,$EF1063)&gt;=4),"Ecosystem approach","")</f>
        <v/>
      </c>
      <c r="EM1063" s="2" t="str">
        <f>IF(AND(AND(AND($DX1063=0,$DW1063=0),OR($EC1063=1,$EA1063=1)),SUM($EB1063:$EE1063)&gt;=2),"Technology approach","")</f>
        <v/>
      </c>
      <c r="EN1063" t="s">
        <v>445</v>
      </c>
      <c r="EP1063" t="str">
        <f>IF(ISNUMBER(BU1063),IF(ABS(BU1063-[4]QC_indicators!$B$2)&gt;3*[4]QC_indicators!$C$2,"C ratio",IF(ISNUMBER(BY1063),IF(ABS(BY1063-[4]QC_indicators!$B$1)&gt;3*[4]QC_indicators!$C$1,"DF","no"))),IF(ISNUMBER(BY1063),IF(ABS(BY1063-[4]QC_indicators!$B$1)&gt;3*[4]QC_indicators!$C$1,"DF","no")))</f>
        <v>C ratio</v>
      </c>
      <c r="EQ1063" t="s">
        <v>450</v>
      </c>
      <c r="ET1063" s="264" t="s">
        <v>3273</v>
      </c>
    </row>
    <row r="1064" spans="1:150" ht="15" customHeight="1">
      <c r="A1064" s="1" t="s">
        <v>430</v>
      </c>
      <c r="B1064" t="s">
        <v>431</v>
      </c>
      <c r="C1064" t="s">
        <v>432</v>
      </c>
      <c r="D1064" t="s">
        <v>433</v>
      </c>
      <c r="E1064" t="s">
        <v>434</v>
      </c>
      <c r="F1064" t="s">
        <v>435</v>
      </c>
      <c r="G1064" t="s">
        <v>436</v>
      </c>
      <c r="H1064" t="s">
        <v>254</v>
      </c>
      <c r="I1064">
        <v>2000</v>
      </c>
      <c r="J1064">
        <v>174</v>
      </c>
      <c r="K1064" t="s">
        <v>437</v>
      </c>
      <c r="M1064" t="str">
        <f>LEFT($D1064,FIND(",",$D1064)-1)&amp;"_"&amp;I1064&amp;L1064</f>
        <v>Borjesson_2000</v>
      </c>
      <c r="N1064" t="s">
        <v>222</v>
      </c>
      <c r="O1064" s="145" t="s">
        <v>223</v>
      </c>
      <c r="Q1064" t="s">
        <v>256</v>
      </c>
      <c r="R1064" s="255" t="s">
        <v>225</v>
      </c>
      <c r="S1064" s="1" t="s">
        <v>464</v>
      </c>
      <c r="T1064" t="s">
        <v>465</v>
      </c>
      <c r="U1064" t="s">
        <v>472</v>
      </c>
      <c r="V1064">
        <v>0</v>
      </c>
      <c r="W1064">
        <v>0</v>
      </c>
      <c r="X1064">
        <v>0</v>
      </c>
      <c r="Y1064">
        <v>0</v>
      </c>
      <c r="Z1064">
        <v>0</v>
      </c>
      <c r="AA1064">
        <v>0</v>
      </c>
      <c r="AB1064">
        <v>0</v>
      </c>
      <c r="AC1064">
        <v>0</v>
      </c>
      <c r="AD1064">
        <v>0</v>
      </c>
      <c r="AE1064">
        <v>0</v>
      </c>
      <c r="AF1064">
        <v>0</v>
      </c>
      <c r="AG1064">
        <v>0</v>
      </c>
      <c r="AH1064">
        <v>1</v>
      </c>
      <c r="AI1064">
        <v>0</v>
      </c>
      <c r="AJ1064">
        <v>0</v>
      </c>
      <c r="AK1064">
        <v>0</v>
      </c>
      <c r="AL1064">
        <v>0</v>
      </c>
      <c r="AM1064">
        <v>0</v>
      </c>
      <c r="AN1064">
        <v>0</v>
      </c>
      <c r="AO1064">
        <v>0</v>
      </c>
      <c r="AP1064">
        <v>0</v>
      </c>
      <c r="AQ1064">
        <v>0</v>
      </c>
      <c r="AR1064">
        <v>0</v>
      </c>
      <c r="AS1064">
        <v>0</v>
      </c>
      <c r="AT1064">
        <v>0</v>
      </c>
      <c r="AU1064">
        <v>0</v>
      </c>
      <c r="AV1064">
        <v>0</v>
      </c>
      <c r="AW1064">
        <v>0</v>
      </c>
      <c r="AX1064" s="141">
        <f>COUNTIF(V1064:AW1064,"&lt;&gt;0")</f>
        <v>1</v>
      </c>
      <c r="AY1064" s="141">
        <f>COUNTIF(V1064:AL1064,"&lt;&gt;0")</f>
        <v>1</v>
      </c>
      <c r="AZ1064">
        <f>COUNTIF(V1064:AC1064,"&lt;&gt;0")</f>
        <v>0</v>
      </c>
      <c r="BA1064">
        <f>COUNTIF(AD1064:AI1064,"&lt;&gt;0")</f>
        <v>1</v>
      </c>
      <c r="BB1064">
        <f>COUNTIF(AJ1064:AL1064,"&lt;&gt;0")</f>
        <v>0</v>
      </c>
      <c r="BC1064">
        <f>COUNTIF(AS1064:AW1064,"&lt;&gt;0")</f>
        <v>0</v>
      </c>
      <c r="BD1064">
        <f>COUNTIF(AM1064:AR1064,"&lt;&gt;0")</f>
        <v>0</v>
      </c>
      <c r="BE1064" t="str">
        <f t="array" ref="BE1064">IF(AY1064=1,INDEX($V$7:$AL$7,MATCH(TRUE,INDEX($V1064:$AW1064&lt;&gt;0,),0)),IF(AY1064=0,INDEX($AM$7:$AW$7,MATCH(1,$AM1064:$AW1064,0)),IF(BF1064="Multiple strategies","mixed drivers",IF(BF1064="Supply chain","multiple supply","multiple silviculture"))))</f>
        <v xml:space="preserve">end of life disposal </v>
      </c>
      <c r="BF1064" s="2" t="str" cm="1">
        <f t="array" ref="BF1064">IF(COUNTIF(AZ1064:BB1064,"&lt;&gt;0")=1,INDEX($V$4:$AW$4,MATCH(TRUE,INDEX($V1064:$AW1064&lt;&gt;0,),0)),IF(COUNTIF(AZ1064:BB1064,"&lt;&gt;0")=0,INDEX($AM$4:$AW$4,MATCH(1,$AM1064:$AW1064,0)),"Multiple strategies"))</f>
        <v>Supply chain</v>
      </c>
      <c r="BG1064" s="142" t="s">
        <v>229</v>
      </c>
      <c r="BH1064" t="s">
        <v>441</v>
      </c>
      <c r="BI1064" s="264" t="s">
        <v>3274</v>
      </c>
      <c r="BJ1064" s="143" t="s">
        <v>442</v>
      </c>
      <c r="BK1064">
        <f>3*44</f>
        <v>132</v>
      </c>
      <c r="BL1064">
        <f>3*44</f>
        <v>132</v>
      </c>
      <c r="BM1064" s="143">
        <f>BL1064/BK1064</f>
        <v>1</v>
      </c>
      <c r="BN1064">
        <f>BL1064-BK1064</f>
        <v>0</v>
      </c>
      <c r="BO1064">
        <v>0</v>
      </c>
      <c r="BP1064" t="s">
        <v>232</v>
      </c>
      <c r="BQ1064" s="260" t="s">
        <v>813</v>
      </c>
      <c r="BR1064" t="s">
        <v>443</v>
      </c>
      <c r="BS1064" s="141">
        <v>47</v>
      </c>
      <c r="BT1064" s="141">
        <v>93</v>
      </c>
      <c r="BU1064" s="144">
        <f>IFERROR(BT1064/BS1064,"")</f>
        <v>1.9787234042553192</v>
      </c>
      <c r="BV1064">
        <f>BT1064-BS1064</f>
        <v>46</v>
      </c>
      <c r="BX1064">
        <f>BV1064*C_to_CO2</f>
        <v>168.82</v>
      </c>
      <c r="BY1064" t="str">
        <f>IFERROR(BX1064/BO1064,"")</f>
        <v/>
      </c>
      <c r="BZ1064" s="143">
        <v>0</v>
      </c>
      <c r="CA1064" s="143">
        <v>0</v>
      </c>
      <c r="CB1064" s="143">
        <v>0</v>
      </c>
      <c r="CC1064" s="143">
        <v>0</v>
      </c>
      <c r="CD1064" s="143">
        <v>0</v>
      </c>
      <c r="CE1064" s="143">
        <v>0</v>
      </c>
      <c r="CF1064" s="143">
        <v>0</v>
      </c>
      <c r="CG1064" s="143">
        <v>0</v>
      </c>
      <c r="CH1064" s="143">
        <v>0</v>
      </c>
      <c r="CI1064" s="143">
        <v>0</v>
      </c>
      <c r="CJ1064" s="143">
        <v>0</v>
      </c>
      <c r="CK1064" s="143">
        <v>0</v>
      </c>
      <c r="CL1064" s="143">
        <v>0</v>
      </c>
      <c r="CM1064">
        <v>0</v>
      </c>
      <c r="CN1064" t="str">
        <f>IF($BL1064&lt;$BK1064,"refNeedCorrection","refOK")</f>
        <v>refOK</v>
      </c>
      <c r="CO1064">
        <f>IF($CN1064="refOK",$BK1064,$BL1064)</f>
        <v>132</v>
      </c>
      <c r="CP1064">
        <f>IF($CN1064="refOK",$BL1064,$BK1064)</f>
        <v>132</v>
      </c>
      <c r="CQ1064">
        <f>IF($CN1064="refOK",$BO1064,-$BO1064)</f>
        <v>0</v>
      </c>
      <c r="CR1064">
        <f>IF($CN1064="refOK",$BS1064,$BT1064)*IF($BP1064="Emissions positive",-1,1)</f>
        <v>47</v>
      </c>
      <c r="CS1064">
        <f>IF($CN1064="refOK",$BT1064,$BS1064)*IF($BP1064="Emissions positive",-1,1)</f>
        <v>93</v>
      </c>
      <c r="CT1064">
        <f>IF($CN1064="refNeedCorrection",-BX1064,BX1064)*IF($BP1064="Emissions positive",-1,1)</f>
        <v>168.82</v>
      </c>
      <c r="CU1064" t="str">
        <f>IFERROR(CT1064/CQ1064,"")</f>
        <v/>
      </c>
      <c r="CV1064" s="2">
        <f>IFERROR((CS1064-CR1064)/ABS(CR1064),"")</f>
        <v>0.97872340425531912</v>
      </c>
      <c r="CW1064" s="1" t="s">
        <v>263</v>
      </c>
      <c r="CX1064" t="str">
        <f>IF(OR($CW1064="prd",$CW1064="std",$CW1064="cit"),"loc",IF(OR($CW1064="eur",$CW1064="reg",$CW1064="coy"),"reg",$CW1064))</f>
        <v>loc</v>
      </c>
      <c r="CY1064" t="s">
        <v>444</v>
      </c>
      <c r="DB1064">
        <v>300</v>
      </c>
      <c r="DC1064" t="str">
        <f>IF(DB1064=0,"0",IF(AND(DB1064&gt;=1,DB1064&lt;=30),"1-30",IF(AND(DB1064&gt;30,DB1064&lt;=70),"31-70",IF(AND(DB1064&gt;70,DB1064&lt;=100),"71-100",IF(DB1064&gt;100,"+100")))))</f>
        <v>+100</v>
      </c>
      <c r="DD1064">
        <v>0</v>
      </c>
      <c r="DE1064">
        <v>1</v>
      </c>
      <c r="DF1064">
        <v>0</v>
      </c>
      <c r="DG1064">
        <v>0</v>
      </c>
      <c r="DI1064">
        <f>SUM(DD1064:DG1064)</f>
        <v>1</v>
      </c>
      <c r="DJ1064" t="str">
        <f>IF(DI1064=1,INDEX($DD$7:$DG$7,MATCH(1,$DD1064:$DG1064,0)),"mixedProduct")</f>
        <v>EnergyInput</v>
      </c>
      <c r="DK1064">
        <f>IF(DD1064=1,DK$7,0)</f>
        <v>0</v>
      </c>
      <c r="DL1064" t="str">
        <f>IF(DE1064=1,DL$7,0)</f>
        <v>Energy</v>
      </c>
      <c r="DM1064">
        <f>IF(DF1064=1,DM$7,0)</f>
        <v>0</v>
      </c>
      <c r="DN1064">
        <f>IF(DG1064=1,DN$7,0)</f>
        <v>0</v>
      </c>
      <c r="DO1064">
        <v>1</v>
      </c>
      <c r="DP1064" s="143">
        <v>0</v>
      </c>
      <c r="DQ1064" s="143">
        <v>0</v>
      </c>
      <c r="DR1064" s="143">
        <v>0</v>
      </c>
      <c r="DS1064">
        <v>0</v>
      </c>
      <c r="DT1064">
        <f>SUM(DO1064:DP1064)</f>
        <v>1</v>
      </c>
      <c r="DU1064" s="143" t="str">
        <f>IF(DO1064=1,"self-calculated DF",IF(DP1064=1,"external DF used","explicit C balance"))</f>
        <v>self-calculated DF</v>
      </c>
      <c r="DV1064">
        <v>0</v>
      </c>
      <c r="DW1064" s="143">
        <v>0</v>
      </c>
      <c r="DX1064" s="143">
        <v>1</v>
      </c>
      <c r="DY1064" s="143">
        <v>1</v>
      </c>
      <c r="DZ1064">
        <v>1</v>
      </c>
      <c r="EA1064" s="143">
        <v>1</v>
      </c>
      <c r="EB1064">
        <v>0</v>
      </c>
      <c r="EC1064" s="143">
        <v>1</v>
      </c>
      <c r="ED1064" s="143">
        <v>0</v>
      </c>
      <c r="EE1064">
        <v>0</v>
      </c>
      <c r="EF1064">
        <v>0</v>
      </c>
      <c r="EG1064" s="143">
        <v>0</v>
      </c>
      <c r="EH1064" s="143">
        <v>0</v>
      </c>
      <c r="EI1064" s="2">
        <v>0</v>
      </c>
      <c r="EK1064" t="str">
        <f>IF(AND(AND(AND(OR($DX1064=1,$DW1064=1),OR($EC1064=1,$EA1064=1)),SUM($DV1064:$DZ1064,$EF1064)&gt;=4),SUM($EA1064:$EE1064)&gt;=2),"Whole sector","")</f>
        <v/>
      </c>
      <c r="EL1064" t="str">
        <f>IF(AND(AND(OR($DX1064=1,$DW1064=1),AND($EC1064=0,$EA1064=0)),SUM($DV1064:$DZ1064,$EF1064)&gt;=4),"Ecosystem approach","")</f>
        <v/>
      </c>
      <c r="EM1064" s="2" t="str">
        <f>IF(AND(AND(AND($DX1064=0,$DW1064=0),OR($EC1064=1,$EA1064=1)),SUM($EB1064:$EE1064)&gt;=2),"Technology approach","")</f>
        <v/>
      </c>
      <c r="EN1064" t="s">
        <v>445</v>
      </c>
      <c r="EP1064" t="b">
        <f>IF(ISNUMBER(BU1064),IF(ABS(BU1064-[4]QC_indicators!$B$2)&gt;3*[4]QC_indicators!$C$2,"C ratio",IF(ISNUMBER(BY1064),IF(ABS(BY1064-[4]QC_indicators!$B$1)&gt;3*[4]QC_indicators!$C$1,"DF","no"))),IF(ISNUMBER(BY1064),IF(ABS(BY1064-[4]QC_indicators!$B$1)&gt;3*[4]QC_indicators!$C$1,"DF","no")))</f>
        <v>0</v>
      </c>
      <c r="ET1064" s="264" t="s">
        <v>3273</v>
      </c>
    </row>
    <row r="1065" spans="1:150" ht="15" customHeight="1">
      <c r="A1065" s="1" t="s">
        <v>430</v>
      </c>
      <c r="B1065" t="s">
        <v>431</v>
      </c>
      <c r="C1065" t="s">
        <v>432</v>
      </c>
      <c r="D1065" t="s">
        <v>433</v>
      </c>
      <c r="E1065" t="s">
        <v>434</v>
      </c>
      <c r="F1065" t="s">
        <v>435</v>
      </c>
      <c r="G1065" t="s">
        <v>436</v>
      </c>
      <c r="H1065" t="s">
        <v>254</v>
      </c>
      <c r="I1065">
        <v>2000</v>
      </c>
      <c r="J1065">
        <v>174</v>
      </c>
      <c r="K1065" t="s">
        <v>437</v>
      </c>
      <c r="M1065" t="str">
        <f>LEFT($D1065,FIND(",",$D1065)-1)&amp;"_"&amp;I1065&amp;L1065</f>
        <v>Borjesson_2000</v>
      </c>
      <c r="N1065" t="s">
        <v>222</v>
      </c>
      <c r="O1065" s="145" t="s">
        <v>223</v>
      </c>
      <c r="Q1065" t="s">
        <v>256</v>
      </c>
      <c r="R1065" s="255" t="s">
        <v>225</v>
      </c>
      <c r="S1065" s="1" t="s">
        <v>464</v>
      </c>
      <c r="T1065" t="s">
        <v>465</v>
      </c>
      <c r="U1065" t="s">
        <v>473</v>
      </c>
      <c r="V1065">
        <v>0</v>
      </c>
      <c r="W1065">
        <v>0</v>
      </c>
      <c r="X1065">
        <v>0</v>
      </c>
      <c r="Y1065">
        <v>0</v>
      </c>
      <c r="Z1065">
        <v>0</v>
      </c>
      <c r="AA1065">
        <v>0</v>
      </c>
      <c r="AB1065">
        <v>0</v>
      </c>
      <c r="AC1065">
        <v>0</v>
      </c>
      <c r="AD1065">
        <v>0</v>
      </c>
      <c r="AE1065">
        <v>0</v>
      </c>
      <c r="AF1065">
        <v>0</v>
      </c>
      <c r="AG1065">
        <v>0</v>
      </c>
      <c r="AH1065">
        <v>1</v>
      </c>
      <c r="AI1065">
        <v>0</v>
      </c>
      <c r="AJ1065">
        <v>0</v>
      </c>
      <c r="AK1065">
        <v>0</v>
      </c>
      <c r="AL1065">
        <v>0</v>
      </c>
      <c r="AM1065">
        <v>0</v>
      </c>
      <c r="AN1065">
        <v>0</v>
      </c>
      <c r="AO1065">
        <v>0</v>
      </c>
      <c r="AP1065">
        <v>0</v>
      </c>
      <c r="AQ1065">
        <v>0</v>
      </c>
      <c r="AR1065">
        <v>0</v>
      </c>
      <c r="AS1065">
        <v>0</v>
      </c>
      <c r="AT1065">
        <v>0</v>
      </c>
      <c r="AU1065">
        <v>0</v>
      </c>
      <c r="AV1065">
        <v>0</v>
      </c>
      <c r="AW1065">
        <v>0</v>
      </c>
      <c r="AX1065" s="141">
        <f>COUNTIF(V1065:AW1065,"&lt;&gt;0")</f>
        <v>1</v>
      </c>
      <c r="AY1065" s="141">
        <f>COUNTIF(V1065:AL1065,"&lt;&gt;0")</f>
        <v>1</v>
      </c>
      <c r="AZ1065">
        <f>COUNTIF(V1065:AC1065,"&lt;&gt;0")</f>
        <v>0</v>
      </c>
      <c r="BA1065">
        <f>COUNTIF(AD1065:AI1065,"&lt;&gt;0")</f>
        <v>1</v>
      </c>
      <c r="BB1065">
        <f>COUNTIF(AJ1065:AL1065,"&lt;&gt;0")</f>
        <v>0</v>
      </c>
      <c r="BC1065">
        <f>COUNTIF(AS1065:AW1065,"&lt;&gt;0")</f>
        <v>0</v>
      </c>
      <c r="BD1065">
        <f>COUNTIF(AM1065:AR1065,"&lt;&gt;0")</f>
        <v>0</v>
      </c>
      <c r="BE1065" t="str">
        <f t="array" ref="BE1065">IF(AY1065=1,INDEX($V$7:$AL$7,MATCH(TRUE,INDEX($V1065:$AW1065&lt;&gt;0,),0)),IF(AY1065=0,INDEX($AM$7:$AW$7,MATCH(1,$AM1065:$AW1065,0)),IF(BF1065="Multiple strategies","mixed drivers",IF(BF1065="Supply chain","multiple supply","multiple silviculture"))))</f>
        <v xml:space="preserve">end of life disposal </v>
      </c>
      <c r="BF1065" s="2" t="str" cm="1">
        <f t="array" ref="BF1065">IF(COUNTIF(AZ1065:BB1065,"&lt;&gt;0")=1,INDEX($V$4:$AW$4,MATCH(TRUE,INDEX($V1065:$AW1065&lt;&gt;0,),0)),IF(COUNTIF(AZ1065:BB1065,"&lt;&gt;0")=0,INDEX($AM$4:$AW$4,MATCH(1,$AM1065:$AW1065,0)),"Multiple strategies"))</f>
        <v>Supply chain</v>
      </c>
      <c r="BG1065" s="142" t="s">
        <v>229</v>
      </c>
      <c r="BH1065" t="s">
        <v>441</v>
      </c>
      <c r="BI1065" s="264" t="s">
        <v>3274</v>
      </c>
      <c r="BJ1065" s="143" t="s">
        <v>442</v>
      </c>
      <c r="BK1065">
        <f>3*44</f>
        <v>132</v>
      </c>
      <c r="BL1065">
        <f>3*44</f>
        <v>132</v>
      </c>
      <c r="BM1065" s="143">
        <f>BL1065/BK1065</f>
        <v>1</v>
      </c>
      <c r="BN1065">
        <f>BL1065-BK1065</f>
        <v>0</v>
      </c>
      <c r="BO1065">
        <v>0</v>
      </c>
      <c r="BP1065" t="s">
        <v>232</v>
      </c>
      <c r="BQ1065" s="260" t="s">
        <v>813</v>
      </c>
      <c r="BR1065" t="s">
        <v>443</v>
      </c>
      <c r="BS1065" s="141">
        <v>47</v>
      </c>
      <c r="BT1065" s="141">
        <v>59</v>
      </c>
      <c r="BU1065" s="144">
        <f>IFERROR(BT1065/BS1065,"")</f>
        <v>1.2553191489361701</v>
      </c>
      <c r="BV1065">
        <f>BT1065-BS1065</f>
        <v>12</v>
      </c>
      <c r="BX1065">
        <f>BV1065*C_to_CO2</f>
        <v>44.04</v>
      </c>
      <c r="BY1065" t="str">
        <f>IFERROR(BX1065/BO1065,"")</f>
        <v/>
      </c>
      <c r="BZ1065" s="143">
        <v>0</v>
      </c>
      <c r="CA1065" s="143">
        <v>0</v>
      </c>
      <c r="CB1065" s="143">
        <v>0</v>
      </c>
      <c r="CC1065" s="143">
        <v>0</v>
      </c>
      <c r="CD1065" s="143">
        <v>0</v>
      </c>
      <c r="CE1065" s="143">
        <v>0</v>
      </c>
      <c r="CF1065" s="143">
        <v>0</v>
      </c>
      <c r="CG1065" s="143">
        <v>0</v>
      </c>
      <c r="CH1065" s="143">
        <v>0</v>
      </c>
      <c r="CI1065" s="143">
        <v>0</v>
      </c>
      <c r="CJ1065" s="143">
        <v>0</v>
      </c>
      <c r="CK1065" s="143">
        <v>0</v>
      </c>
      <c r="CL1065" s="143">
        <v>0</v>
      </c>
      <c r="CM1065">
        <v>0</v>
      </c>
      <c r="CN1065" t="str">
        <f>IF($BL1065&lt;$BK1065,"refNeedCorrection","refOK")</f>
        <v>refOK</v>
      </c>
      <c r="CO1065">
        <f>IF($CN1065="refOK",$BK1065,$BL1065)</f>
        <v>132</v>
      </c>
      <c r="CP1065">
        <f>IF($CN1065="refOK",$BL1065,$BK1065)</f>
        <v>132</v>
      </c>
      <c r="CQ1065">
        <f>IF($CN1065="refOK",$BO1065,-$BO1065)</f>
        <v>0</v>
      </c>
      <c r="CR1065">
        <f>IF($CN1065="refOK",$BS1065,$BT1065)*IF($BP1065="Emissions positive",-1,1)</f>
        <v>47</v>
      </c>
      <c r="CS1065">
        <f>IF($CN1065="refOK",$BT1065,$BS1065)*IF($BP1065="Emissions positive",-1,1)</f>
        <v>59</v>
      </c>
      <c r="CT1065">
        <f>IF($CN1065="refNeedCorrection",-BX1065,BX1065)*IF($BP1065="Emissions positive",-1,1)</f>
        <v>44.04</v>
      </c>
      <c r="CU1065" t="str">
        <f>IFERROR(CT1065/CQ1065,"")</f>
        <v/>
      </c>
      <c r="CV1065" s="2">
        <f>IFERROR((CS1065-CR1065)/ABS(CR1065),"")</f>
        <v>0.25531914893617019</v>
      </c>
      <c r="CW1065" s="1" t="s">
        <v>263</v>
      </c>
      <c r="CX1065" t="str">
        <f>IF(OR($CW1065="prd",$CW1065="std",$CW1065="cit"),"loc",IF(OR($CW1065="eur",$CW1065="reg",$CW1065="coy"),"reg",$CW1065))</f>
        <v>loc</v>
      </c>
      <c r="CY1065" t="s">
        <v>444</v>
      </c>
      <c r="DB1065">
        <v>300</v>
      </c>
      <c r="DC1065" t="str">
        <f>IF(DB1065=0,"0",IF(AND(DB1065&gt;=1,DB1065&lt;=30),"1-30",IF(AND(DB1065&gt;30,DB1065&lt;=70),"31-70",IF(AND(DB1065&gt;70,DB1065&lt;=100),"71-100",IF(DB1065&gt;100,"+100")))))</f>
        <v>+100</v>
      </c>
      <c r="DD1065">
        <v>0</v>
      </c>
      <c r="DE1065">
        <v>1</v>
      </c>
      <c r="DF1065">
        <v>0</v>
      </c>
      <c r="DG1065">
        <v>0</v>
      </c>
      <c r="DI1065">
        <f>SUM(DD1065:DG1065)</f>
        <v>1</v>
      </c>
      <c r="DJ1065" t="str">
        <f>IF(DI1065=1,INDEX($DD$7:$DG$7,MATCH(1,$DD1065:$DG1065,0)),"mixedProduct")</f>
        <v>EnergyInput</v>
      </c>
      <c r="DK1065">
        <f>IF(DD1065=1,DK$7,0)</f>
        <v>0</v>
      </c>
      <c r="DL1065" t="str">
        <f>IF(DE1065=1,DL$7,0)</f>
        <v>Energy</v>
      </c>
      <c r="DM1065">
        <f>IF(DF1065=1,DM$7,0)</f>
        <v>0</v>
      </c>
      <c r="DN1065">
        <f>IF(DG1065=1,DN$7,0)</f>
        <v>0</v>
      </c>
      <c r="DO1065">
        <v>1</v>
      </c>
      <c r="DP1065" s="143">
        <v>0</v>
      </c>
      <c r="DQ1065" s="143">
        <v>0</v>
      </c>
      <c r="DR1065" s="143">
        <v>0</v>
      </c>
      <c r="DS1065">
        <v>0</v>
      </c>
      <c r="DT1065">
        <f>SUM(DO1065:DP1065)</f>
        <v>1</v>
      </c>
      <c r="DU1065" s="143" t="str">
        <f>IF(DO1065=1,"self-calculated DF",IF(DP1065=1,"external DF used","explicit C balance"))</f>
        <v>self-calculated DF</v>
      </c>
      <c r="DV1065">
        <v>0</v>
      </c>
      <c r="DW1065" s="143">
        <v>0</v>
      </c>
      <c r="DX1065" s="143">
        <v>1</v>
      </c>
      <c r="DY1065" s="143">
        <v>1</v>
      </c>
      <c r="DZ1065">
        <v>1</v>
      </c>
      <c r="EA1065" s="143">
        <v>1</v>
      </c>
      <c r="EB1065">
        <v>0</v>
      </c>
      <c r="EC1065" s="143">
        <v>1</v>
      </c>
      <c r="ED1065" s="143">
        <v>0</v>
      </c>
      <c r="EE1065">
        <v>0</v>
      </c>
      <c r="EF1065">
        <v>0</v>
      </c>
      <c r="EG1065" s="143">
        <v>0</v>
      </c>
      <c r="EH1065" s="143">
        <v>0</v>
      </c>
      <c r="EI1065" s="2">
        <v>0</v>
      </c>
      <c r="EK1065" t="str">
        <f>IF(AND(AND(AND(OR($DX1065=1,$DW1065=1),OR($EC1065=1,$EA1065=1)),SUM($DV1065:$DZ1065,$EF1065)&gt;=4),SUM($EA1065:$EE1065)&gt;=2),"Whole sector","")</f>
        <v/>
      </c>
      <c r="EL1065" t="str">
        <f>IF(AND(AND(OR($DX1065=1,$DW1065=1),AND($EC1065=0,$EA1065=0)),SUM($DV1065:$DZ1065,$EF1065)&gt;=4),"Ecosystem approach","")</f>
        <v/>
      </c>
      <c r="EM1065" s="2" t="str">
        <f>IF(AND(AND(AND($DX1065=0,$DW1065=0),OR($EC1065=1,$EA1065=1)),SUM($EB1065:$EE1065)&gt;=2),"Technology approach","")</f>
        <v/>
      </c>
      <c r="EN1065" t="s">
        <v>445</v>
      </c>
      <c r="EP1065" t="b">
        <f>IF(ISNUMBER(BU1065),IF(ABS(BU1065-[4]QC_indicators!$B$2)&gt;3*[4]QC_indicators!$C$2,"C ratio",IF(ISNUMBER(BY1065),IF(ABS(BY1065-[4]QC_indicators!$B$1)&gt;3*[4]QC_indicators!$C$1,"DF","no"))),IF(ISNUMBER(BY1065),IF(ABS(BY1065-[4]QC_indicators!$B$1)&gt;3*[4]QC_indicators!$C$1,"DF","no")))</f>
        <v>0</v>
      </c>
      <c r="ET1065" s="264" t="s">
        <v>3273</v>
      </c>
    </row>
    <row r="1066" spans="1:150" ht="15" customHeight="1">
      <c r="A1066" s="1" t="s">
        <v>430</v>
      </c>
      <c r="B1066" t="s">
        <v>431</v>
      </c>
      <c r="C1066" t="s">
        <v>432</v>
      </c>
      <c r="D1066" t="s">
        <v>433</v>
      </c>
      <c r="E1066" t="s">
        <v>434</v>
      </c>
      <c r="F1066" t="s">
        <v>435</v>
      </c>
      <c r="G1066" t="s">
        <v>436</v>
      </c>
      <c r="H1066" t="s">
        <v>254</v>
      </c>
      <c r="I1066">
        <v>2000</v>
      </c>
      <c r="J1066">
        <v>174</v>
      </c>
      <c r="K1066" t="s">
        <v>437</v>
      </c>
      <c r="M1066" t="str">
        <f>LEFT($D1066,FIND(",",$D1066)-1)&amp;"_"&amp;I1066&amp;L1066</f>
        <v>Borjesson_2000</v>
      </c>
      <c r="N1066" t="s">
        <v>222</v>
      </c>
      <c r="O1066" s="145" t="s">
        <v>223</v>
      </c>
      <c r="Q1066" t="s">
        <v>256</v>
      </c>
      <c r="R1066" s="255" t="s">
        <v>225</v>
      </c>
      <c r="S1066" s="1" t="s">
        <v>464</v>
      </c>
      <c r="T1066" t="s">
        <v>467</v>
      </c>
      <c r="U1066" t="s">
        <v>474</v>
      </c>
      <c r="V1066">
        <v>0</v>
      </c>
      <c r="W1066">
        <v>0</v>
      </c>
      <c r="X1066">
        <v>0</v>
      </c>
      <c r="Y1066">
        <v>0</v>
      </c>
      <c r="Z1066">
        <v>0</v>
      </c>
      <c r="AA1066">
        <v>0</v>
      </c>
      <c r="AB1066">
        <v>0</v>
      </c>
      <c r="AC1066">
        <v>0</v>
      </c>
      <c r="AD1066">
        <v>0</v>
      </c>
      <c r="AE1066">
        <v>0</v>
      </c>
      <c r="AF1066">
        <v>0</v>
      </c>
      <c r="AG1066">
        <v>0</v>
      </c>
      <c r="AH1066">
        <v>1</v>
      </c>
      <c r="AI1066">
        <v>0</v>
      </c>
      <c r="AJ1066">
        <v>0</v>
      </c>
      <c r="AK1066">
        <v>0</v>
      </c>
      <c r="AL1066">
        <v>0</v>
      </c>
      <c r="AM1066">
        <v>0</v>
      </c>
      <c r="AN1066">
        <v>0</v>
      </c>
      <c r="AO1066">
        <v>0</v>
      </c>
      <c r="AP1066">
        <v>0</v>
      </c>
      <c r="AQ1066">
        <v>0</v>
      </c>
      <c r="AR1066">
        <v>0</v>
      </c>
      <c r="AS1066">
        <v>0</v>
      </c>
      <c r="AT1066">
        <v>0</v>
      </c>
      <c r="AU1066">
        <v>0</v>
      </c>
      <c r="AV1066">
        <v>0</v>
      </c>
      <c r="AW1066">
        <v>0</v>
      </c>
      <c r="AX1066" s="141">
        <f>COUNTIF(V1066:AW1066,"&lt;&gt;0")</f>
        <v>1</v>
      </c>
      <c r="AY1066" s="141">
        <f>COUNTIF(V1066:AL1066,"&lt;&gt;0")</f>
        <v>1</v>
      </c>
      <c r="AZ1066">
        <f>COUNTIF(V1066:AC1066,"&lt;&gt;0")</f>
        <v>0</v>
      </c>
      <c r="BA1066">
        <f>COUNTIF(AD1066:AI1066,"&lt;&gt;0")</f>
        <v>1</v>
      </c>
      <c r="BB1066">
        <f>COUNTIF(AJ1066:AL1066,"&lt;&gt;0")</f>
        <v>0</v>
      </c>
      <c r="BC1066">
        <f>COUNTIF(AS1066:AW1066,"&lt;&gt;0")</f>
        <v>0</v>
      </c>
      <c r="BD1066">
        <f>COUNTIF(AM1066:AR1066,"&lt;&gt;0")</f>
        <v>0</v>
      </c>
      <c r="BE1066" t="str">
        <f t="array" ref="BE1066">IF(AY1066=1,INDEX($V$7:$AL$7,MATCH(TRUE,INDEX($V1066:$AW1066&lt;&gt;0,),0)),IF(AY1066=0,INDEX($AM$7:$AW$7,MATCH(1,$AM1066:$AW1066,0)),IF(BF1066="Multiple strategies","mixed drivers",IF(BF1066="Supply chain","multiple supply","multiple silviculture"))))</f>
        <v xml:space="preserve">end of life disposal </v>
      </c>
      <c r="BF1066" s="2" t="str" cm="1">
        <f t="array" ref="BF1066">IF(COUNTIF(AZ1066:BB1066,"&lt;&gt;0")=1,INDEX($V$4:$AW$4,MATCH(TRUE,INDEX($V1066:$AW1066&lt;&gt;0,),0)),IF(COUNTIF(AZ1066:BB1066,"&lt;&gt;0")=0,INDEX($AM$4:$AW$4,MATCH(1,$AM1066:$AW1066,0)),"Multiple strategies"))</f>
        <v>Supply chain</v>
      </c>
      <c r="BG1066" s="142" t="s">
        <v>229</v>
      </c>
      <c r="BH1066" t="s">
        <v>441</v>
      </c>
      <c r="BI1066" s="264" t="s">
        <v>3274</v>
      </c>
      <c r="BJ1066" s="143" t="s">
        <v>442</v>
      </c>
      <c r="BK1066">
        <f>3*44</f>
        <v>132</v>
      </c>
      <c r="BL1066">
        <f>3*44</f>
        <v>132</v>
      </c>
      <c r="BM1066" s="143">
        <f>BL1066/BK1066</f>
        <v>1</v>
      </c>
      <c r="BN1066">
        <f>BL1066-BK1066</f>
        <v>0</v>
      </c>
      <c r="BO1066">
        <v>0</v>
      </c>
      <c r="BP1066" t="s">
        <v>232</v>
      </c>
      <c r="BQ1066" s="260" t="s">
        <v>813</v>
      </c>
      <c r="BR1066" t="s">
        <v>443</v>
      </c>
      <c r="BS1066" s="141">
        <v>-3</v>
      </c>
      <c r="BT1066" s="141">
        <v>43</v>
      </c>
      <c r="BU1066" s="144">
        <f>IFERROR(BT1066/BS1066,"")</f>
        <v>-14.333333333333334</v>
      </c>
      <c r="BV1066">
        <f>BT1066-BS1066</f>
        <v>46</v>
      </c>
      <c r="BX1066">
        <f>BV1066*C_to_CO2</f>
        <v>168.82</v>
      </c>
      <c r="BY1066" t="str">
        <f>IFERROR(BX1066/BO1066,"")</f>
        <v/>
      </c>
      <c r="BZ1066" s="143">
        <v>0</v>
      </c>
      <c r="CA1066" s="143">
        <v>0</v>
      </c>
      <c r="CB1066" s="143">
        <v>0</v>
      </c>
      <c r="CC1066" s="143">
        <v>0</v>
      </c>
      <c r="CD1066" s="143">
        <v>0</v>
      </c>
      <c r="CE1066" s="143">
        <v>0</v>
      </c>
      <c r="CF1066" s="143">
        <v>0</v>
      </c>
      <c r="CG1066" s="143">
        <v>0</v>
      </c>
      <c r="CH1066" s="143">
        <v>0</v>
      </c>
      <c r="CI1066" s="143">
        <v>0</v>
      </c>
      <c r="CJ1066" s="143">
        <v>0</v>
      </c>
      <c r="CK1066" s="143">
        <v>0</v>
      </c>
      <c r="CL1066" s="143">
        <v>0</v>
      </c>
      <c r="CM1066">
        <v>0</v>
      </c>
      <c r="CN1066" t="str">
        <f>IF($BL1066&lt;$BK1066,"refNeedCorrection","refOK")</f>
        <v>refOK</v>
      </c>
      <c r="CO1066">
        <f>IF($CN1066="refOK",$BK1066,$BL1066)</f>
        <v>132</v>
      </c>
      <c r="CP1066">
        <f>IF($CN1066="refOK",$BL1066,$BK1066)</f>
        <v>132</v>
      </c>
      <c r="CQ1066">
        <f>IF($CN1066="refOK",$BO1066,-$BO1066)</f>
        <v>0</v>
      </c>
      <c r="CR1066">
        <f>IF($CN1066="refOK",$BS1066,$BT1066)*IF($BP1066="Emissions positive",-1,1)</f>
        <v>-3</v>
      </c>
      <c r="CS1066">
        <f>IF($CN1066="refOK",$BT1066,$BS1066)*IF($BP1066="Emissions positive",-1,1)</f>
        <v>43</v>
      </c>
      <c r="CT1066">
        <f>IF($CN1066="refNeedCorrection",-BX1066,BX1066)*IF($BP1066="Emissions positive",-1,1)</f>
        <v>168.82</v>
      </c>
      <c r="CU1066" t="str">
        <f>IFERROR(CT1066/CQ1066,"")</f>
        <v/>
      </c>
      <c r="CV1066" s="2">
        <f>IFERROR((CS1066-CR1066)/ABS(CR1066),"")</f>
        <v>15.333333333333334</v>
      </c>
      <c r="CW1066" s="1" t="s">
        <v>263</v>
      </c>
      <c r="CX1066" t="str">
        <f>IF(OR($CW1066="prd",$CW1066="std",$CW1066="cit"),"loc",IF(OR($CW1066="eur",$CW1066="reg",$CW1066="coy"),"reg",$CW1066))</f>
        <v>loc</v>
      </c>
      <c r="CY1066" t="s">
        <v>444</v>
      </c>
      <c r="DB1066">
        <v>300</v>
      </c>
      <c r="DC1066" t="str">
        <f>IF(DB1066=0,"0",IF(AND(DB1066&gt;=1,DB1066&lt;=30),"1-30",IF(AND(DB1066&gt;30,DB1066&lt;=70),"31-70",IF(AND(DB1066&gt;70,DB1066&lt;=100),"71-100",IF(DB1066&gt;100,"+100")))))</f>
        <v>+100</v>
      </c>
      <c r="DD1066">
        <v>0</v>
      </c>
      <c r="DE1066">
        <v>1</v>
      </c>
      <c r="DF1066">
        <v>0</v>
      </c>
      <c r="DG1066">
        <v>0</v>
      </c>
      <c r="DI1066">
        <f>SUM(DD1066:DG1066)</f>
        <v>1</v>
      </c>
      <c r="DJ1066" t="str">
        <f>IF(DI1066=1,INDEX($DD$7:$DG$7,MATCH(1,$DD1066:$DG1066,0)),"mixedProduct")</f>
        <v>EnergyInput</v>
      </c>
      <c r="DK1066">
        <f>IF(DD1066=1,DK$7,0)</f>
        <v>0</v>
      </c>
      <c r="DL1066" t="str">
        <f>IF(DE1066=1,DL$7,0)</f>
        <v>Energy</v>
      </c>
      <c r="DM1066">
        <f>IF(DF1066=1,DM$7,0)</f>
        <v>0</v>
      </c>
      <c r="DN1066">
        <f>IF(DG1066=1,DN$7,0)</f>
        <v>0</v>
      </c>
      <c r="DO1066">
        <v>1</v>
      </c>
      <c r="DP1066" s="143">
        <v>0</v>
      </c>
      <c r="DQ1066" s="143">
        <v>0</v>
      </c>
      <c r="DR1066" s="143">
        <v>0</v>
      </c>
      <c r="DS1066">
        <v>0</v>
      </c>
      <c r="DT1066">
        <f>SUM(DO1066:DP1066)</f>
        <v>1</v>
      </c>
      <c r="DU1066" s="143" t="str">
        <f>IF(DO1066=1,"self-calculated DF",IF(DP1066=1,"external DF used","explicit C balance"))</f>
        <v>self-calculated DF</v>
      </c>
      <c r="DV1066">
        <v>0</v>
      </c>
      <c r="DW1066" s="143">
        <v>0</v>
      </c>
      <c r="DX1066" s="143">
        <v>1</v>
      </c>
      <c r="DY1066" s="143">
        <v>1</v>
      </c>
      <c r="DZ1066">
        <v>1</v>
      </c>
      <c r="EA1066" s="143">
        <v>1</v>
      </c>
      <c r="EB1066">
        <v>0</v>
      </c>
      <c r="EC1066" s="143">
        <v>1</v>
      </c>
      <c r="ED1066" s="143">
        <v>0</v>
      </c>
      <c r="EE1066">
        <v>0</v>
      </c>
      <c r="EF1066">
        <v>0</v>
      </c>
      <c r="EG1066" s="143">
        <v>0</v>
      </c>
      <c r="EH1066" s="143">
        <v>0</v>
      </c>
      <c r="EI1066" s="2">
        <v>0</v>
      </c>
      <c r="EK1066" t="str">
        <f>IF(AND(AND(AND(OR($DX1066=1,$DW1066=1),OR($EC1066=1,$EA1066=1)),SUM($DV1066:$DZ1066,$EF1066)&gt;=4),SUM($EA1066:$EE1066)&gt;=2),"Whole sector","")</f>
        <v/>
      </c>
      <c r="EL1066" t="str">
        <f>IF(AND(AND(OR($DX1066=1,$DW1066=1),AND($EC1066=0,$EA1066=0)),SUM($DV1066:$DZ1066,$EF1066)&gt;=4),"Ecosystem approach","")</f>
        <v/>
      </c>
      <c r="EM1066" s="2" t="str">
        <f>IF(AND(AND(AND($DX1066=0,$DW1066=0),OR($EC1066=1,$EA1066=1)),SUM($EB1066:$EE1066)&gt;=2),"Technology approach","")</f>
        <v/>
      </c>
      <c r="EN1066" t="s">
        <v>445</v>
      </c>
      <c r="EP1066" t="b">
        <f>IF(ISNUMBER(BU1066),IF(ABS(BU1066-[4]QC_indicators!$B$2)&gt;3*[4]QC_indicators!$C$2,"C ratio",IF(ISNUMBER(BY1066),IF(ABS(BY1066-[4]QC_indicators!$B$1)&gt;3*[4]QC_indicators!$C$1,"DF","no"))),IF(ISNUMBER(BY1066),IF(ABS(BY1066-[4]QC_indicators!$B$1)&gt;3*[4]QC_indicators!$C$1,"DF","no")))</f>
        <v>0</v>
      </c>
      <c r="EQ1066" t="s">
        <v>450</v>
      </c>
      <c r="ET1066" s="264" t="s">
        <v>3273</v>
      </c>
    </row>
    <row r="1067" spans="1:150" ht="15" customHeight="1">
      <c r="A1067" s="1" t="s">
        <v>486</v>
      </c>
      <c r="B1067" t="s">
        <v>487</v>
      </c>
      <c r="C1067" t="s">
        <v>488</v>
      </c>
      <c r="D1067" t="s">
        <v>489</v>
      </c>
      <c r="E1067" t="s">
        <v>490</v>
      </c>
      <c r="F1067" t="s">
        <v>491</v>
      </c>
      <c r="G1067" t="s">
        <v>492</v>
      </c>
      <c r="H1067" t="s">
        <v>254</v>
      </c>
      <c r="I1067">
        <v>2019</v>
      </c>
      <c r="J1067">
        <v>3</v>
      </c>
      <c r="K1067" t="s">
        <v>493</v>
      </c>
      <c r="M1067" t="str">
        <f>LEFT($D1067,FIND(",",$D1067)-1)&amp;"_"&amp;I1067&amp;L1067</f>
        <v>Butarbutar_2019</v>
      </c>
      <c r="N1067" t="s">
        <v>222</v>
      </c>
      <c r="O1067" s="145" t="s">
        <v>223</v>
      </c>
      <c r="Q1067" s="264" t="s">
        <v>256</v>
      </c>
      <c r="R1067" s="269" t="s">
        <v>1154</v>
      </c>
      <c r="S1067" s="1" t="s">
        <v>494</v>
      </c>
      <c r="T1067" t="s">
        <v>495</v>
      </c>
      <c r="U1067" t="s">
        <v>496</v>
      </c>
      <c r="V1067">
        <v>0</v>
      </c>
      <c r="W1067">
        <v>0</v>
      </c>
      <c r="X1067">
        <v>0</v>
      </c>
      <c r="Y1067">
        <v>1</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s="141">
        <f>COUNTIF(V1067:AW1067,"&lt;&gt;0")</f>
        <v>1</v>
      </c>
      <c r="AY1067" s="141">
        <f>COUNTIF(V1067:AL1067,"&lt;&gt;0")</f>
        <v>1</v>
      </c>
      <c r="AZ1067">
        <f>COUNTIF(V1067:AC1067,"&lt;&gt;0")</f>
        <v>1</v>
      </c>
      <c r="BA1067">
        <f>COUNTIF(AD1067:AI1067,"&lt;&gt;0")</f>
        <v>0</v>
      </c>
      <c r="BB1067">
        <f>COUNTIF(AJ1067:AL1067,"&lt;&gt;0")</f>
        <v>0</v>
      </c>
      <c r="BC1067">
        <f>COUNTIF(AS1067:AW1067,"&lt;&gt;0")</f>
        <v>0</v>
      </c>
      <c r="BD1067">
        <f>COUNTIF(AM1067:AR1067,"&lt;&gt;0")</f>
        <v>0</v>
      </c>
      <c r="BE1067" t="str" cm="1">
        <f t="array" ref="BE1067">IF(AY1067=1,INDEX($V$7:$AL$7,MATCH(TRUE,INDEX($V1067:$AW1067&lt;&gt;0,),0)),IF(AY1067=0,INDEX($AM$7:$AW$7,MATCH(1,$AM1067:$AW1067,0)),IF(BF1067="Multiple strategies","mixed drivers",IF(BF1067="Supply chain","multiple supply","multiple silviculture"))))</f>
        <v xml:space="preserve">cutting intensity </v>
      </c>
      <c r="BF1067" s="2" t="str" cm="1">
        <f t="array" ref="BF1067">IF(COUNTIF(AZ1067:BB1067,"&lt;&gt;0")=1,INDEX($V$4:$AW$4,MATCH(TRUE,INDEX($V1067:$AW1067&lt;&gt;0,),0)),IF(COUNTIF(AZ1067:BB1067,"&lt;&gt;0")=0,INDEX($AM$4:$AW$4,MATCH(1,$AM1067:$AW1067,0)),"Multiple strategies"))</f>
        <v>Silviculture for removals</v>
      </c>
      <c r="BG1067" s="1" t="s">
        <v>321</v>
      </c>
      <c r="BH1067" t="s">
        <v>497</v>
      </c>
      <c r="BJ1067" t="s">
        <v>498</v>
      </c>
      <c r="BK1067">
        <v>165.50800000000001</v>
      </c>
      <c r="BL1067">
        <v>165.50800000000001</v>
      </c>
      <c r="BN1067">
        <f>BL1067-BK1067</f>
        <v>0</v>
      </c>
      <c r="BO1067">
        <f>BL1067-BK1067</f>
        <v>0</v>
      </c>
      <c r="BP1067" s="264" t="s">
        <v>232</v>
      </c>
      <c r="BQ1067" s="264"/>
      <c r="BR1067" t="s">
        <v>278</v>
      </c>
      <c r="BS1067">
        <v>-45.97</v>
      </c>
      <c r="BT1067">
        <v>-58.93</v>
      </c>
      <c r="BU1067" s="144">
        <v>1.2819229932564717</v>
      </c>
      <c r="BV1067">
        <v>-12.96</v>
      </c>
      <c r="BX1067">
        <f>BV1067*C_to_CO2</f>
        <v>-47.563200000000002</v>
      </c>
      <c r="BY1067" t="str">
        <f>IFERROR(BX1067/BO1067,"")</f>
        <v/>
      </c>
      <c r="BZ1067" s="143">
        <v>0</v>
      </c>
      <c r="CA1067" s="143">
        <v>0</v>
      </c>
      <c r="CB1067" s="143">
        <v>0</v>
      </c>
      <c r="CC1067" s="143">
        <v>0</v>
      </c>
      <c r="CD1067" s="143">
        <v>0</v>
      </c>
      <c r="CE1067" s="143">
        <v>0</v>
      </c>
      <c r="CF1067" s="143">
        <v>0</v>
      </c>
      <c r="CG1067" s="143">
        <v>0</v>
      </c>
      <c r="CH1067" s="143">
        <v>0</v>
      </c>
      <c r="CI1067" s="143">
        <v>0</v>
      </c>
      <c r="CJ1067" s="143">
        <v>0</v>
      </c>
      <c r="CK1067" s="143">
        <v>0</v>
      </c>
      <c r="CL1067" s="143">
        <v>0</v>
      </c>
      <c r="CM1067">
        <v>0</v>
      </c>
      <c r="CN1067" t="str">
        <f>IF($BL1067&lt;$BK1067,"refNeedCorrection","refOK")</f>
        <v>refOK</v>
      </c>
      <c r="CO1067">
        <f>IF($CN1067="refOK",$BK1067,$BL1067)</f>
        <v>165.50800000000001</v>
      </c>
      <c r="CP1067">
        <f>IF($CN1067="refOK",$BL1067,$BK1067)</f>
        <v>165.50800000000001</v>
      </c>
      <c r="CQ1067">
        <f>IF($CN1067="refOK",$BO1067,-$BO1067)</f>
        <v>0</v>
      </c>
      <c r="CR1067">
        <f>IF($CN1067="refOK",$BS1067,$BT1067)*IF($BP1067="Emissions positive",-1,1)</f>
        <v>-45.97</v>
      </c>
      <c r="CS1067">
        <f>IF($CN1067="refOK",$BT1067,$BS1067)*IF($BP1067="Emissions positive",-1,1)</f>
        <v>-58.93</v>
      </c>
      <c r="CT1067">
        <f>IF($CN1067="refNeedCorrection",-BX1067,BX1067)*IF($BP1067="Emissions positive",-1,1)</f>
        <v>-47.563200000000002</v>
      </c>
      <c r="CU1067" t="str">
        <f>IFERROR(CT1067/CQ1067,"")</f>
        <v/>
      </c>
      <c r="CV1067" s="2">
        <f>IFERROR((CS1067-CR1067)/ABS(CR1067),"")</f>
        <v>-0.28192299325647163</v>
      </c>
      <c r="CW1067" s="1" t="s">
        <v>234</v>
      </c>
      <c r="CX1067" s="264" t="str">
        <f>IF(OR($CW1067="prd",$CW1067="std",$CW1067="cit"),"loc",IF(OR($CW1067="eur",$CW1067="reg",$CW1067="coy"),"reg",$CW1067))</f>
        <v>loc</v>
      </c>
      <c r="CY1067" t="s">
        <v>280</v>
      </c>
      <c r="CZ1067">
        <v>1985</v>
      </c>
      <c r="DA1067">
        <v>2016</v>
      </c>
      <c r="DB1067">
        <f>DA1067-CZ1067</f>
        <v>31</v>
      </c>
      <c r="DC1067" t="str">
        <f>IF(DB1067=0,"0",IF(AND(DB1067&gt;=1,DB1067&lt;=30),"1-30",IF(AND(DB1067&gt;30,DB1067&lt;=70),"31-70",IF(AND(DB1067&gt;70,DB1067&lt;=100),"71-100",IF(DB1067&gt;100,"+100")))))</f>
        <v>31-70</v>
      </c>
      <c r="DD1067">
        <v>1</v>
      </c>
      <c r="DE1067">
        <v>0</v>
      </c>
      <c r="DF1067">
        <v>0</v>
      </c>
      <c r="DG1067">
        <v>0</v>
      </c>
      <c r="DI1067">
        <f>SUM(DD1067:DG1067)</f>
        <v>1</v>
      </c>
      <c r="DJ1067" t="str">
        <f>IF(DI1067=1,INDEX($DD$7:$DG$7,MATCH(1,$DD1067:$DG1067,0)),"mixedProduct")</f>
        <v>UpstreamInput</v>
      </c>
      <c r="DK1067" t="str">
        <f>IF(DD1067=1,DK$7,0)</f>
        <v>Upstream</v>
      </c>
      <c r="DL1067">
        <f>IF(DE1067=1,DL$7,0)</f>
        <v>0</v>
      </c>
      <c r="DM1067">
        <f>IF(DF1067=1,DM$7,0)</f>
        <v>0</v>
      </c>
      <c r="DN1067">
        <f>IF(DG1067=1,DN$7,0)</f>
        <v>0</v>
      </c>
      <c r="DO1067">
        <v>0</v>
      </c>
      <c r="DP1067" s="143">
        <v>0</v>
      </c>
      <c r="DQ1067" s="143">
        <v>0</v>
      </c>
      <c r="DR1067" s="143">
        <v>0</v>
      </c>
      <c r="DS1067">
        <v>0</v>
      </c>
      <c r="DT1067">
        <f>SUM(DO1067:DP1067)</f>
        <v>0</v>
      </c>
      <c r="DU1067" s="143" t="str">
        <f>IF(DO1067=1,"self-calculated DF",IF(DP1067=1,"external DF used","explicit C balance"))</f>
        <v>explicit C balance</v>
      </c>
      <c r="DV1067">
        <v>1</v>
      </c>
      <c r="DW1067" s="143">
        <v>1</v>
      </c>
      <c r="DX1067" s="143">
        <v>1</v>
      </c>
      <c r="DY1067" s="143">
        <v>0</v>
      </c>
      <c r="DZ1067">
        <v>0</v>
      </c>
      <c r="EA1067" s="143">
        <v>0</v>
      </c>
      <c r="EB1067">
        <v>0</v>
      </c>
      <c r="EC1067" s="143">
        <v>0</v>
      </c>
      <c r="ED1067" s="143">
        <v>0</v>
      </c>
      <c r="EE1067">
        <v>0</v>
      </c>
      <c r="EF1067">
        <v>1</v>
      </c>
      <c r="EG1067" s="143">
        <v>0</v>
      </c>
      <c r="EH1067" s="143">
        <v>0</v>
      </c>
      <c r="EI1067" s="2">
        <v>0</v>
      </c>
      <c r="EK1067" t="str">
        <f>IF(AND(AND(AND(OR($DX1067=1,$DW1067=1),OR($EC1067=1,$EA1067=1)),SUM($DV1067:$DZ1067,$EF1067)&gt;=4),SUM($EA1067:$EE1067)&gt;=2),"Whole sector","")</f>
        <v/>
      </c>
      <c r="EL1067" t="str">
        <f>IF(AND(AND(OR($DX1067=1,$DW1067=1),AND($EC1067=0,$EA1067=0)),SUM($DV1067:$DZ1067,$EF1067)&gt;=4),"Ecosystem approach","")</f>
        <v>Ecosystem approach</v>
      </c>
      <c r="EM1067" s="2" t="str">
        <f>IF(AND(AND(AND($DX1067=0,$DW1067=0),OR($EC1067=1,$EA1067=1)),SUM($EB1067:$EE1067)&gt;=2),"Technology approach","")</f>
        <v/>
      </c>
      <c r="EP1067" t="b">
        <f>IF(ISNUMBER(BU1067),IF(ABS(BU1067-[3]QC_indicators!$B$2)&gt;3*[3]QC_indicators!$C$2,"C ratio",IF(ISNUMBER(BY1067),IF(ABS(BY1067-[3]QC_indicators!$B$1)&gt;3*[3]QC_indicators!$C$1,"DF","no"))),IF(ISNUMBER(BY1067),IF(ABS(BY1067-[3]QC_indicators!$B$1)&gt;3*[3]QC_indicators!$C$1,"DF","no")))</f>
        <v>0</v>
      </c>
      <c r="ER1067" s="294" t="s">
        <v>349</v>
      </c>
      <c r="ET1067" s="264" t="s">
        <v>3407</v>
      </c>
    </row>
    <row r="1068" spans="1:150" ht="15" customHeight="1">
      <c r="A1068" s="1" t="s">
        <v>486</v>
      </c>
      <c r="B1068" t="s">
        <v>487</v>
      </c>
      <c r="C1068" t="s">
        <v>488</v>
      </c>
      <c r="D1068" t="s">
        <v>489</v>
      </c>
      <c r="E1068" t="s">
        <v>490</v>
      </c>
      <c r="F1068" t="s">
        <v>491</v>
      </c>
      <c r="G1068" t="s">
        <v>492</v>
      </c>
      <c r="H1068" t="s">
        <v>254</v>
      </c>
      <c r="I1068">
        <v>2019</v>
      </c>
      <c r="J1068">
        <v>3</v>
      </c>
      <c r="K1068" t="s">
        <v>493</v>
      </c>
      <c r="M1068" t="str">
        <f>LEFT($D1068,FIND(",",$D1068)-1)&amp;"_"&amp;I1068&amp;L1068</f>
        <v>Butarbutar_2019</v>
      </c>
      <c r="N1068" t="s">
        <v>222</v>
      </c>
      <c r="O1068" s="145" t="s">
        <v>223</v>
      </c>
      <c r="Q1068" s="264" t="s">
        <v>256</v>
      </c>
      <c r="R1068" s="269" t="s">
        <v>1154</v>
      </c>
      <c r="S1068" s="1" t="s">
        <v>494</v>
      </c>
      <c r="T1068" t="s">
        <v>495</v>
      </c>
      <c r="U1068" t="s">
        <v>499</v>
      </c>
      <c r="V1068">
        <v>0</v>
      </c>
      <c r="W1068">
        <v>0</v>
      </c>
      <c r="X1068">
        <v>0</v>
      </c>
      <c r="Y1068">
        <v>1</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s="141">
        <f>COUNTIF(V1068:AW1068,"&lt;&gt;0")</f>
        <v>1</v>
      </c>
      <c r="AY1068" s="141">
        <f>COUNTIF(V1068:AL1068,"&lt;&gt;0")</f>
        <v>1</v>
      </c>
      <c r="AZ1068">
        <f>COUNTIF(V1068:AC1068,"&lt;&gt;0")</f>
        <v>1</v>
      </c>
      <c r="BA1068">
        <f>COUNTIF(AD1068:AI1068,"&lt;&gt;0")</f>
        <v>0</v>
      </c>
      <c r="BB1068">
        <f>COUNTIF(AJ1068:AL1068,"&lt;&gt;0")</f>
        <v>0</v>
      </c>
      <c r="BC1068">
        <f>COUNTIF(AS1068:AW1068,"&lt;&gt;0")</f>
        <v>0</v>
      </c>
      <c r="BD1068">
        <f>COUNTIF(AM1068:AR1068,"&lt;&gt;0")</f>
        <v>0</v>
      </c>
      <c r="BE1068" t="str" cm="1">
        <f t="array" ref="BE1068">IF(AY1068=1,INDEX($V$7:$AL$7,MATCH(TRUE,INDEX($V1068:$AW1068&lt;&gt;0,),0)),IF(AY1068=0,INDEX($AM$7:$AW$7,MATCH(1,$AM1068:$AW1068,0)),IF(BF1068="Multiple strategies","mixed drivers",IF(BF1068="Supply chain","multiple supply","multiple silviculture"))))</f>
        <v xml:space="preserve">cutting intensity </v>
      </c>
      <c r="BF1068" s="2" t="str" cm="1">
        <f t="array" ref="BF1068">IF(COUNTIF(AZ1068:BB1068,"&lt;&gt;0")=1,INDEX($V$4:$AW$4,MATCH(TRUE,INDEX($V1068:$AW1068&lt;&gt;0,),0)),IF(COUNTIF(AZ1068:BB1068,"&lt;&gt;0")=0,INDEX($AM$4:$AW$4,MATCH(1,$AM1068:$AW1068,0)),"Multiple strategies"))</f>
        <v>Silviculture for removals</v>
      </c>
      <c r="BG1068" s="1" t="s">
        <v>321</v>
      </c>
      <c r="BH1068" t="s">
        <v>497</v>
      </c>
      <c r="BJ1068" t="s">
        <v>498</v>
      </c>
      <c r="BK1068">
        <v>165.50800000000001</v>
      </c>
      <c r="BL1068">
        <v>165.50800000000001</v>
      </c>
      <c r="BN1068">
        <f>BL1068-BK1068</f>
        <v>0</v>
      </c>
      <c r="BO1068">
        <f>BL1068-BK1068</f>
        <v>0</v>
      </c>
      <c r="BP1068" s="264" t="s">
        <v>232</v>
      </c>
      <c r="BQ1068" s="264"/>
      <c r="BR1068" t="s">
        <v>278</v>
      </c>
      <c r="BS1068">
        <v>-45.97</v>
      </c>
      <c r="BT1068">
        <v>-57.37</v>
      </c>
      <c r="BU1068" s="144">
        <v>1.2479878181422668</v>
      </c>
      <c r="BV1068">
        <v>-11.399999999999999</v>
      </c>
      <c r="BX1068">
        <f>BV1068*C_to_CO2</f>
        <v>-41.837999999999994</v>
      </c>
      <c r="BY1068" t="str">
        <f>IFERROR(BX1068/BO1068,"")</f>
        <v/>
      </c>
      <c r="BZ1068" s="143">
        <v>0</v>
      </c>
      <c r="CA1068" s="143">
        <v>0</v>
      </c>
      <c r="CB1068" s="143">
        <v>0</v>
      </c>
      <c r="CC1068" s="143">
        <v>0</v>
      </c>
      <c r="CD1068" s="143">
        <v>0</v>
      </c>
      <c r="CE1068" s="143">
        <v>0</v>
      </c>
      <c r="CF1068" s="143">
        <v>0</v>
      </c>
      <c r="CG1068" s="143">
        <v>0</v>
      </c>
      <c r="CH1068" s="143">
        <v>0</v>
      </c>
      <c r="CI1068" s="143">
        <v>0</v>
      </c>
      <c r="CJ1068" s="143">
        <v>0</v>
      </c>
      <c r="CK1068" s="143">
        <v>0</v>
      </c>
      <c r="CL1068" s="143">
        <v>0</v>
      </c>
      <c r="CM1068">
        <v>0</v>
      </c>
      <c r="CN1068" t="str">
        <f>IF($BL1068&lt;$BK1068,"refNeedCorrection","refOK")</f>
        <v>refOK</v>
      </c>
      <c r="CO1068">
        <f>IF($CN1068="refOK",$BK1068,$BL1068)</f>
        <v>165.50800000000001</v>
      </c>
      <c r="CP1068">
        <f>IF($CN1068="refOK",$BL1068,$BK1068)</f>
        <v>165.50800000000001</v>
      </c>
      <c r="CQ1068">
        <f>IF($CN1068="refOK",$BO1068,-$BO1068)</f>
        <v>0</v>
      </c>
      <c r="CR1068">
        <f>IF($CN1068="refOK",$BS1068,$BT1068)*IF($BP1068="Emissions positive",-1,1)</f>
        <v>-45.97</v>
      </c>
      <c r="CS1068">
        <f>IF($CN1068="refOK",$BT1068,$BS1068)*IF($BP1068="Emissions positive",-1,1)</f>
        <v>-57.37</v>
      </c>
      <c r="CT1068">
        <f>IF($CN1068="refNeedCorrection",-BX1068,BX1068)*IF($BP1068="Emissions positive",-1,1)</f>
        <v>-41.837999999999994</v>
      </c>
      <c r="CU1068" t="str">
        <f>IFERROR(CT1068/CQ1068,"")</f>
        <v/>
      </c>
      <c r="CV1068" s="2">
        <f>IFERROR((CS1068-CR1068)/ABS(CR1068),"")</f>
        <v>-0.24798781814226667</v>
      </c>
      <c r="CW1068" s="1" t="s">
        <v>234</v>
      </c>
      <c r="CX1068" s="264" t="str">
        <f>IF(OR($CW1068="prd",$CW1068="std",$CW1068="cit"),"loc",IF(OR($CW1068="eur",$CW1068="reg",$CW1068="coy"),"reg",$CW1068))</f>
        <v>loc</v>
      </c>
      <c r="CY1068" t="s">
        <v>280</v>
      </c>
      <c r="CZ1068">
        <v>1985</v>
      </c>
      <c r="DA1068">
        <v>2016</v>
      </c>
      <c r="DB1068">
        <f>DA1068-CZ1068</f>
        <v>31</v>
      </c>
      <c r="DC1068" t="str">
        <f>IF(DB1068=0,"0",IF(AND(DB1068&gt;=1,DB1068&lt;=30),"1-30",IF(AND(DB1068&gt;30,DB1068&lt;=70),"31-70",IF(AND(DB1068&gt;70,DB1068&lt;=100),"71-100",IF(DB1068&gt;100,"+100")))))</f>
        <v>31-70</v>
      </c>
      <c r="DD1068">
        <v>1</v>
      </c>
      <c r="DE1068">
        <v>0</v>
      </c>
      <c r="DF1068">
        <v>0</v>
      </c>
      <c r="DG1068">
        <v>0</v>
      </c>
      <c r="DI1068">
        <f>SUM(DD1068:DG1068)</f>
        <v>1</v>
      </c>
      <c r="DJ1068" t="str">
        <f>IF(DI1068=1,INDEX($DD$7:$DG$7,MATCH(1,$DD1068:$DG1068,0)),"mixedProduct")</f>
        <v>UpstreamInput</v>
      </c>
      <c r="DK1068" t="str">
        <f>IF(DD1068=1,DK$7,0)</f>
        <v>Upstream</v>
      </c>
      <c r="DL1068">
        <f>IF(DE1068=1,DL$7,0)</f>
        <v>0</v>
      </c>
      <c r="DM1068">
        <f>IF(DF1068=1,DM$7,0)</f>
        <v>0</v>
      </c>
      <c r="DN1068">
        <f>IF(DG1068=1,DN$7,0)</f>
        <v>0</v>
      </c>
      <c r="DO1068">
        <v>0</v>
      </c>
      <c r="DP1068" s="143">
        <v>0</v>
      </c>
      <c r="DQ1068" s="143">
        <v>0</v>
      </c>
      <c r="DR1068" s="143">
        <v>0</v>
      </c>
      <c r="DS1068">
        <v>0</v>
      </c>
      <c r="DT1068">
        <f>SUM(DO1068:DP1068)</f>
        <v>0</v>
      </c>
      <c r="DU1068" s="143" t="str">
        <f>IF(DO1068=1,"self-calculated DF",IF(DP1068=1,"external DF used","explicit C balance"))</f>
        <v>explicit C balance</v>
      </c>
      <c r="DV1068">
        <v>1</v>
      </c>
      <c r="DW1068" s="143">
        <v>1</v>
      </c>
      <c r="DX1068" s="143">
        <v>1</v>
      </c>
      <c r="DY1068" s="143">
        <v>0</v>
      </c>
      <c r="DZ1068">
        <v>0</v>
      </c>
      <c r="EA1068" s="143">
        <v>0</v>
      </c>
      <c r="EB1068">
        <v>0</v>
      </c>
      <c r="EC1068" s="143">
        <v>0</v>
      </c>
      <c r="ED1068" s="143">
        <v>0</v>
      </c>
      <c r="EE1068">
        <v>0</v>
      </c>
      <c r="EF1068">
        <v>1</v>
      </c>
      <c r="EG1068" s="143">
        <v>0</v>
      </c>
      <c r="EH1068" s="143">
        <v>0</v>
      </c>
      <c r="EI1068" s="2">
        <v>0</v>
      </c>
      <c r="EK1068" t="str">
        <f>IF(AND(AND(AND(OR($DX1068=1,$DW1068=1),OR($EC1068=1,$EA1068=1)),SUM($DV1068:$DZ1068,$EF1068)&gt;=4),SUM($EA1068:$EE1068)&gt;=2),"Whole sector","")</f>
        <v/>
      </c>
      <c r="EL1068" t="str">
        <f>IF(AND(AND(OR($DX1068=1,$DW1068=1),AND($EC1068=0,$EA1068=0)),SUM($DV1068:$DZ1068,$EF1068)&gt;=4),"Ecosystem approach","")</f>
        <v>Ecosystem approach</v>
      </c>
      <c r="EM1068" s="2" t="str">
        <f>IF(AND(AND(AND($DX1068=0,$DW1068=0),OR($EC1068=1,$EA1068=1)),SUM($EB1068:$EE1068)&gt;=2),"Technology approach","")</f>
        <v/>
      </c>
      <c r="EP1068" t="b">
        <f>IF(ISNUMBER(BU1068),IF(ABS(BU1068-[3]QC_indicators!$B$2)&gt;3*[3]QC_indicators!$C$2,"C ratio",IF(ISNUMBER(BY1068),IF(ABS(BY1068-[3]QC_indicators!$B$1)&gt;3*[3]QC_indicators!$C$1,"DF","no"))),IF(ISNUMBER(BY1068),IF(ABS(BY1068-[3]QC_indicators!$B$1)&gt;3*[3]QC_indicators!$C$1,"DF","no")))</f>
        <v>0</v>
      </c>
      <c r="ER1068" s="294" t="s">
        <v>349</v>
      </c>
      <c r="ET1068" s="264" t="s">
        <v>3407</v>
      </c>
    </row>
    <row r="1069" spans="1:150" ht="15" customHeight="1">
      <c r="A1069" s="1" t="s">
        <v>486</v>
      </c>
      <c r="B1069" t="s">
        <v>487</v>
      </c>
      <c r="C1069" t="s">
        <v>488</v>
      </c>
      <c r="D1069" t="s">
        <v>489</v>
      </c>
      <c r="E1069" t="s">
        <v>490</v>
      </c>
      <c r="F1069" t="s">
        <v>491</v>
      </c>
      <c r="G1069" t="s">
        <v>492</v>
      </c>
      <c r="H1069" t="s">
        <v>254</v>
      </c>
      <c r="I1069">
        <v>2019</v>
      </c>
      <c r="J1069">
        <v>3</v>
      </c>
      <c r="K1069" t="s">
        <v>493</v>
      </c>
      <c r="M1069" t="str">
        <f>LEFT($D1069,FIND(",",$D1069)-1)&amp;"_"&amp;I1069&amp;L1069</f>
        <v>Butarbutar_2019</v>
      </c>
      <c r="N1069" t="s">
        <v>222</v>
      </c>
      <c r="O1069" s="145" t="s">
        <v>223</v>
      </c>
      <c r="Q1069" s="264" t="s">
        <v>256</v>
      </c>
      <c r="R1069" s="269" t="s">
        <v>1154</v>
      </c>
      <c r="S1069" s="1" t="s">
        <v>494</v>
      </c>
      <c r="T1069" t="s">
        <v>495</v>
      </c>
      <c r="U1069" t="s">
        <v>226</v>
      </c>
      <c r="V1069">
        <v>0</v>
      </c>
      <c r="W1069">
        <v>0</v>
      </c>
      <c r="X1069">
        <v>0</v>
      </c>
      <c r="Y1069">
        <v>1</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s="141">
        <f>COUNTIF(V1069:AW1069,"&lt;&gt;0")</f>
        <v>1</v>
      </c>
      <c r="AY1069" s="141">
        <f>COUNTIF(V1069:AL1069,"&lt;&gt;0")</f>
        <v>1</v>
      </c>
      <c r="AZ1069">
        <f>COUNTIF(V1069:AC1069,"&lt;&gt;0")</f>
        <v>1</v>
      </c>
      <c r="BA1069">
        <f>COUNTIF(AD1069:AI1069,"&lt;&gt;0")</f>
        <v>0</v>
      </c>
      <c r="BB1069">
        <f>COUNTIF(AJ1069:AL1069,"&lt;&gt;0")</f>
        <v>0</v>
      </c>
      <c r="BC1069">
        <f>COUNTIF(AS1069:AW1069,"&lt;&gt;0")</f>
        <v>0</v>
      </c>
      <c r="BD1069">
        <f>COUNTIF(AM1069:AR1069,"&lt;&gt;0")</f>
        <v>0</v>
      </c>
      <c r="BE1069" t="str" cm="1">
        <f t="array" ref="BE1069">IF(AY1069=1,INDEX($V$7:$AL$7,MATCH(TRUE,INDEX($V1069:$AW1069&lt;&gt;0,),0)),IF(AY1069=0,INDEX($AM$7:$AW$7,MATCH(1,$AM1069:$AW1069,0)),IF(BF1069="Multiple strategies","mixed drivers",IF(BF1069="Supply chain","multiple supply","multiple silviculture"))))</f>
        <v xml:space="preserve">cutting intensity </v>
      </c>
      <c r="BF1069" s="2" t="str" cm="1">
        <f t="array" ref="BF1069">IF(COUNTIF(AZ1069:BB1069,"&lt;&gt;0")=1,INDEX($V$4:$AW$4,MATCH(TRUE,INDEX($V1069:$AW1069&lt;&gt;0,),0)),IF(COUNTIF(AZ1069:BB1069,"&lt;&gt;0")=0,INDEX($AM$4:$AW$4,MATCH(1,$AM1069:$AW1069,0)),"Multiple strategies"))</f>
        <v>Silviculture for removals</v>
      </c>
      <c r="BG1069" s="1" t="s">
        <v>321</v>
      </c>
      <c r="BH1069" t="s">
        <v>497</v>
      </c>
      <c r="BJ1069" t="s">
        <v>498</v>
      </c>
      <c r="BK1069">
        <v>165.50800000000001</v>
      </c>
      <c r="BL1069">
        <v>165.50800000000001</v>
      </c>
      <c r="BN1069">
        <f>BL1069-BK1069</f>
        <v>0</v>
      </c>
      <c r="BO1069">
        <f>BL1069-BK1069</f>
        <v>0</v>
      </c>
      <c r="BP1069" s="264" t="s">
        <v>232</v>
      </c>
      <c r="BQ1069" s="264"/>
      <c r="BR1069" t="s">
        <v>278</v>
      </c>
      <c r="BS1069">
        <v>-45.97</v>
      </c>
      <c r="BT1069">
        <v>-45.85</v>
      </c>
      <c r="BU1069" s="144">
        <v>0.99738960191429193</v>
      </c>
      <c r="BV1069">
        <v>0.11999999999999744</v>
      </c>
      <c r="BX1069">
        <f>BV1069*C_to_CO2</f>
        <v>0.44039999999999058</v>
      </c>
      <c r="BY1069" t="str">
        <f>IFERROR(BX1069/BO1069,"")</f>
        <v/>
      </c>
      <c r="BZ1069" s="143">
        <v>0</v>
      </c>
      <c r="CA1069" s="143">
        <v>0</v>
      </c>
      <c r="CB1069" s="143">
        <v>0</v>
      </c>
      <c r="CC1069" s="143">
        <v>0</v>
      </c>
      <c r="CD1069" s="143">
        <v>0</v>
      </c>
      <c r="CE1069" s="143">
        <v>0</v>
      </c>
      <c r="CF1069" s="143">
        <v>0</v>
      </c>
      <c r="CG1069" s="143">
        <v>0</v>
      </c>
      <c r="CH1069" s="143">
        <v>0</v>
      </c>
      <c r="CI1069" s="143">
        <v>0</v>
      </c>
      <c r="CJ1069" s="143">
        <v>0</v>
      </c>
      <c r="CK1069" s="143">
        <v>0</v>
      </c>
      <c r="CL1069" s="143">
        <v>0</v>
      </c>
      <c r="CM1069">
        <v>0</v>
      </c>
      <c r="CN1069" t="str">
        <f>IF($BL1069&lt;$BK1069,"refNeedCorrection","refOK")</f>
        <v>refOK</v>
      </c>
      <c r="CO1069">
        <f>IF($CN1069="refOK",$BK1069,$BL1069)</f>
        <v>165.50800000000001</v>
      </c>
      <c r="CP1069">
        <f>IF($CN1069="refOK",$BL1069,$BK1069)</f>
        <v>165.50800000000001</v>
      </c>
      <c r="CQ1069">
        <f>IF($CN1069="refOK",$BO1069,-$BO1069)</f>
        <v>0</v>
      </c>
      <c r="CR1069">
        <f>IF($CN1069="refOK",$BS1069,$BT1069)*IF($BP1069="Emissions positive",-1,1)</f>
        <v>-45.97</v>
      </c>
      <c r="CS1069">
        <f>IF($CN1069="refOK",$BT1069,$BS1069)*IF($BP1069="Emissions positive",-1,1)</f>
        <v>-45.85</v>
      </c>
      <c r="CT1069">
        <f>IF($CN1069="refNeedCorrection",-BX1069,BX1069)*IF($BP1069="Emissions positive",-1,1)</f>
        <v>0.44039999999999058</v>
      </c>
      <c r="CU1069" t="str">
        <f>IFERROR(CT1069/CQ1069,"")</f>
        <v/>
      </c>
      <c r="CV1069" s="2">
        <f>IFERROR((CS1069-CR1069)/ABS(CR1069),"")</f>
        <v>2.6103980857080148E-3</v>
      </c>
      <c r="CW1069" s="1" t="s">
        <v>234</v>
      </c>
      <c r="CX1069" s="264" t="str">
        <f>IF(OR($CW1069="prd",$CW1069="std",$CW1069="cit"),"loc",IF(OR($CW1069="eur",$CW1069="reg",$CW1069="coy"),"reg",$CW1069))</f>
        <v>loc</v>
      </c>
      <c r="CY1069" t="s">
        <v>280</v>
      </c>
      <c r="CZ1069">
        <v>1985</v>
      </c>
      <c r="DA1069">
        <v>2016</v>
      </c>
      <c r="DB1069">
        <f>DA1069-CZ1069</f>
        <v>31</v>
      </c>
      <c r="DC1069" t="str">
        <f>IF(DB1069=0,"0",IF(AND(DB1069&gt;=1,DB1069&lt;=30),"1-30",IF(AND(DB1069&gt;30,DB1069&lt;=70),"31-70",IF(AND(DB1069&gt;70,DB1069&lt;=100),"71-100",IF(DB1069&gt;100,"+100")))))</f>
        <v>31-70</v>
      </c>
      <c r="DD1069">
        <v>1</v>
      </c>
      <c r="DE1069">
        <v>0</v>
      </c>
      <c r="DF1069">
        <v>0</v>
      </c>
      <c r="DG1069">
        <v>0</v>
      </c>
      <c r="DI1069">
        <f>SUM(DD1069:DG1069)</f>
        <v>1</v>
      </c>
      <c r="DJ1069" t="str">
        <f>IF(DI1069=1,INDEX($DD$7:$DG$7,MATCH(1,$DD1069:$DG1069,0)),"mixedProduct")</f>
        <v>UpstreamInput</v>
      </c>
      <c r="DK1069" t="str">
        <f>IF(DD1069=1,DK$7,0)</f>
        <v>Upstream</v>
      </c>
      <c r="DL1069">
        <f>IF(DE1069=1,DL$7,0)</f>
        <v>0</v>
      </c>
      <c r="DM1069">
        <f>IF(DF1069=1,DM$7,0)</f>
        <v>0</v>
      </c>
      <c r="DN1069">
        <f>IF(DG1069=1,DN$7,0)</f>
        <v>0</v>
      </c>
      <c r="DO1069">
        <v>0</v>
      </c>
      <c r="DP1069" s="143">
        <v>0</v>
      </c>
      <c r="DQ1069" s="143">
        <v>0</v>
      </c>
      <c r="DR1069" s="143">
        <v>0</v>
      </c>
      <c r="DS1069">
        <v>0</v>
      </c>
      <c r="DT1069">
        <f>SUM(DO1069:DP1069)</f>
        <v>0</v>
      </c>
      <c r="DU1069" s="143" t="str">
        <f>IF(DO1069=1,"self-calculated DF",IF(DP1069=1,"external DF used","explicit C balance"))</f>
        <v>explicit C balance</v>
      </c>
      <c r="DV1069">
        <v>1</v>
      </c>
      <c r="DW1069" s="143">
        <v>1</v>
      </c>
      <c r="DX1069" s="143">
        <v>1</v>
      </c>
      <c r="DY1069" s="143">
        <v>0</v>
      </c>
      <c r="DZ1069">
        <v>0</v>
      </c>
      <c r="EA1069" s="143">
        <v>0</v>
      </c>
      <c r="EB1069">
        <v>0</v>
      </c>
      <c r="EC1069" s="143">
        <v>0</v>
      </c>
      <c r="ED1069" s="143">
        <v>0</v>
      </c>
      <c r="EE1069">
        <v>0</v>
      </c>
      <c r="EF1069">
        <v>1</v>
      </c>
      <c r="EG1069" s="143">
        <v>0</v>
      </c>
      <c r="EH1069" s="143">
        <v>0</v>
      </c>
      <c r="EI1069" s="2">
        <v>0</v>
      </c>
      <c r="EK1069" t="str">
        <f>IF(AND(AND(AND(OR($DX1069=1,$DW1069=1),OR($EC1069=1,$EA1069=1)),SUM($DV1069:$DZ1069,$EF1069)&gt;=4),SUM($EA1069:$EE1069)&gt;=2),"Whole sector","")</f>
        <v/>
      </c>
      <c r="EL1069" t="str">
        <f>IF(AND(AND(OR($DX1069=1,$DW1069=1),AND($EC1069=0,$EA1069=0)),SUM($DV1069:$DZ1069,$EF1069)&gt;=4),"Ecosystem approach","")</f>
        <v>Ecosystem approach</v>
      </c>
      <c r="EM1069" s="2" t="str">
        <f>IF(AND(AND(AND($DX1069=0,$DW1069=0),OR($EC1069=1,$EA1069=1)),SUM($EB1069:$EE1069)&gt;=2),"Technology approach","")</f>
        <v/>
      </c>
      <c r="EP1069" t="b">
        <f>IF(ISNUMBER(BU1069),IF(ABS(BU1069-[3]QC_indicators!$B$2)&gt;3*[3]QC_indicators!$C$2,"C ratio",IF(ISNUMBER(BY1069),IF(ABS(BY1069-[3]QC_indicators!$B$1)&gt;3*[3]QC_indicators!$C$1,"DF","no"))),IF(ISNUMBER(BY1069),IF(ABS(BY1069-[3]QC_indicators!$B$1)&gt;3*[3]QC_indicators!$C$1,"DF","no")))</f>
        <v>0</v>
      </c>
      <c r="ER1069" s="294" t="s">
        <v>349</v>
      </c>
      <c r="ET1069" s="264" t="s">
        <v>3407</v>
      </c>
    </row>
    <row r="1070" spans="1:150" ht="15" customHeight="1">
      <c r="A1070" s="1" t="s">
        <v>505</v>
      </c>
      <c r="B1070" t="s">
        <v>506</v>
      </c>
      <c r="C1070" t="s">
        <v>507</v>
      </c>
      <c r="D1070" t="s">
        <v>508</v>
      </c>
      <c r="E1070" t="s">
        <v>509</v>
      </c>
      <c r="F1070" t="s">
        <v>510</v>
      </c>
      <c r="G1070" t="s">
        <v>511</v>
      </c>
      <c r="H1070" t="s">
        <v>254</v>
      </c>
      <c r="I1070">
        <v>2021</v>
      </c>
      <c r="J1070">
        <v>7</v>
      </c>
      <c r="K1070" t="s">
        <v>512</v>
      </c>
      <c r="M1070" t="str">
        <f>LEFT($D1070,FIND(",",$D1070)-1)&amp;"_"&amp;I1070&amp;L1070</f>
        <v>Caldas_2021</v>
      </c>
      <c r="N1070" t="s">
        <v>222</v>
      </c>
      <c r="O1070" s="145" t="s">
        <v>223</v>
      </c>
      <c r="P1070" t="s">
        <v>513</v>
      </c>
      <c r="Q1070" s="264" t="s">
        <v>256</v>
      </c>
      <c r="R1070" s="269" t="s">
        <v>1154</v>
      </c>
      <c r="S1070" s="1" t="s">
        <v>514</v>
      </c>
      <c r="T1070" t="s">
        <v>515</v>
      </c>
      <c r="U1070" t="s">
        <v>516</v>
      </c>
      <c r="V1070">
        <v>0</v>
      </c>
      <c r="W1070">
        <v>0</v>
      </c>
      <c r="X1070">
        <v>0</v>
      </c>
      <c r="Y1070">
        <v>0</v>
      </c>
      <c r="Z1070">
        <v>0</v>
      </c>
      <c r="AA1070">
        <v>0</v>
      </c>
      <c r="AB1070">
        <v>0</v>
      </c>
      <c r="AC1070">
        <v>0</v>
      </c>
      <c r="AD1070">
        <v>0</v>
      </c>
      <c r="AE1070">
        <v>1</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s="141">
        <f>COUNTIF(V1070:AW1070,"&lt;&gt;0")</f>
        <v>1</v>
      </c>
      <c r="AY1070" s="141">
        <f>COUNTIF(V1070:AL1070,"&lt;&gt;0")</f>
        <v>1</v>
      </c>
      <c r="AZ1070">
        <f>COUNTIF(V1070:AC1070,"&lt;&gt;0")</f>
        <v>0</v>
      </c>
      <c r="BA1070">
        <f>COUNTIF(AD1070:AI1070,"&lt;&gt;0")</f>
        <v>1</v>
      </c>
      <c r="BB1070">
        <f>COUNTIF(AJ1070:AL1070,"&lt;&gt;0")</f>
        <v>0</v>
      </c>
      <c r="BC1070">
        <f>COUNTIF(AS1070:AW1070,"&lt;&gt;0")</f>
        <v>0</v>
      </c>
      <c r="BD1070">
        <f>COUNTIF(AM1070:AR1070,"&lt;&gt;0")</f>
        <v>0</v>
      </c>
      <c r="BE1070" t="str" cm="1">
        <f t="array" ref="BE1070">IF(AY1070=1,INDEX($V$7:$AL$7,MATCH(TRUE,INDEX($V1070:$AW1070&lt;&gt;0,),0)),IF(AY1070=0,INDEX($AM$7:$AW$7,MATCH(1,$AM1070:$AW1070,0)),IF(BF1070="Multiple strategies","mixed drivers",IF(BF1070="Supply chain","multiple supply","multiple silviculture"))))</f>
        <v>location of industry</v>
      </c>
      <c r="BF1070" s="2" t="str" cm="1">
        <f t="array" ref="BF1070">IF(COUNTIF(AZ1070:BB1070,"&lt;&gt;0")=1,INDEX($V$4:$AW$4,MATCH(TRUE,INDEX($V1070:$AW1070&lt;&gt;0,),0)),IF(COUNTIF(AZ1070:BB1070,"&lt;&gt;0")=0,INDEX($AM$4:$AW$4,MATCH(1,$AM1070:$AW1070,0)),"Multiple strategies"))</f>
        <v>Supply chain</v>
      </c>
      <c r="BG1070" s="1" t="s">
        <v>229</v>
      </c>
      <c r="BH1070" t="s">
        <v>517</v>
      </c>
      <c r="BJ1070" t="s">
        <v>518</v>
      </c>
      <c r="BK1070">
        <v>140</v>
      </c>
      <c r="BL1070">
        <v>140</v>
      </c>
      <c r="BN1070">
        <f>BL1070-BK1070</f>
        <v>0</v>
      </c>
      <c r="BO1070">
        <f>BN1070*kg_to_m3</f>
        <v>0</v>
      </c>
      <c r="BP1070" s="264" t="s">
        <v>232</v>
      </c>
      <c r="BQ1070" s="264"/>
      <c r="BR1070" t="s">
        <v>519</v>
      </c>
      <c r="BS1070">
        <v>-503</v>
      </c>
      <c r="BT1070">
        <v>-290</v>
      </c>
      <c r="BU1070" s="144">
        <v>0.57654075546719685</v>
      </c>
      <c r="BV1070">
        <v>213</v>
      </c>
      <c r="BX1070">
        <f>BV1070/1000</f>
        <v>0.21299999999999999</v>
      </c>
      <c r="BY1070" t="str">
        <f>IFERROR(BX1070/BO1070,"")</f>
        <v/>
      </c>
      <c r="BZ1070" s="143">
        <v>0</v>
      </c>
      <c r="CA1070" s="143">
        <v>0</v>
      </c>
      <c r="CB1070" s="143">
        <v>0</v>
      </c>
      <c r="CC1070" s="143">
        <v>0</v>
      </c>
      <c r="CD1070" s="143">
        <v>0</v>
      </c>
      <c r="CE1070" s="143">
        <v>0</v>
      </c>
      <c r="CF1070" s="143">
        <v>0</v>
      </c>
      <c r="CG1070" s="143">
        <v>0</v>
      </c>
      <c r="CH1070" s="143">
        <v>0</v>
      </c>
      <c r="CI1070" s="143">
        <v>0</v>
      </c>
      <c r="CJ1070" s="143">
        <v>0</v>
      </c>
      <c r="CK1070" s="143">
        <v>0</v>
      </c>
      <c r="CL1070" s="143">
        <v>0</v>
      </c>
      <c r="CM1070">
        <v>0</v>
      </c>
      <c r="CN1070" t="str">
        <f>IF($BL1070&lt;$BK1070,"refNeedCorrection","refOK")</f>
        <v>refOK</v>
      </c>
      <c r="CO1070">
        <f>IF($CN1070="refOK",$BK1070,$BL1070)</f>
        <v>140</v>
      </c>
      <c r="CP1070">
        <f>IF($CN1070="refOK",$BL1070,$BK1070)</f>
        <v>140</v>
      </c>
      <c r="CQ1070">
        <f>IF($CN1070="refOK",$BO1070,-$BO1070)</f>
        <v>0</v>
      </c>
      <c r="CR1070">
        <f>IF($CN1070="refOK",$BS1070,$BT1070)*IF($BP1070="Emissions positive",-1,1)</f>
        <v>-503</v>
      </c>
      <c r="CS1070">
        <f>IF($CN1070="refOK",$BT1070,$BS1070)*IF($BP1070="Emissions positive",-1,1)</f>
        <v>-290</v>
      </c>
      <c r="CT1070">
        <f>IF($CN1070="refNeedCorrection",-BX1070,BX1070)*IF($BP1070="Emissions positive",-1,1)</f>
        <v>0.21299999999999999</v>
      </c>
      <c r="CU1070" t="str">
        <f>IFERROR(CT1070/CQ1070,"")</f>
        <v/>
      </c>
      <c r="CV1070" s="2">
        <f>IFERROR((CS1070-CR1070)/ABS(CR1070),"")</f>
        <v>0.4234592445328032</v>
      </c>
      <c r="CW1070" s="1" t="s">
        <v>263</v>
      </c>
      <c r="CX1070" s="264" t="str">
        <f>IF(OR($CW1070="prd",$CW1070="std",$CW1070="cit"),"loc",IF(OR($CW1070="eur",$CW1070="reg",$CW1070="coy"),"reg",$CW1070))</f>
        <v>loc</v>
      </c>
      <c r="CY1070" t="s">
        <v>520</v>
      </c>
      <c r="CZ1070">
        <v>2014</v>
      </c>
      <c r="DA1070">
        <v>2014</v>
      </c>
      <c r="DB1070">
        <f>DA1070-CZ1070</f>
        <v>0</v>
      </c>
      <c r="DC1070" t="str">
        <f>IF(DB1070=0,"0",IF(AND(DB1070&gt;=1,DB1070&lt;=30),"1-30",IF(AND(DB1070&gt;30,DB1070&lt;=70),"31-70",IF(AND(DB1070&gt;70,DB1070&lt;=100),"71-100",IF(DB1070&gt;100,"+100")))))</f>
        <v>0</v>
      </c>
      <c r="DD1070">
        <v>0</v>
      </c>
      <c r="DE1070">
        <v>0</v>
      </c>
      <c r="DF1070">
        <v>0</v>
      </c>
      <c r="DG1070">
        <v>1</v>
      </c>
      <c r="DI1070">
        <f>SUM(DD1070:DG1070)</f>
        <v>1</v>
      </c>
      <c r="DJ1070" t="str">
        <f>IF(DI1070=1,INDEX($DD$7:$DG$7,MATCH(1,$DD1070:$DG1070,0)),"mixedProduct")</f>
        <v>TimberInput</v>
      </c>
      <c r="DK1070">
        <f>IF(DD1070=1,DK$7,0)</f>
        <v>0</v>
      </c>
      <c r="DL1070">
        <f>IF(DE1070=1,DL$7,0)</f>
        <v>0</v>
      </c>
      <c r="DM1070">
        <f>IF(DF1070=1,DM$7,0)</f>
        <v>0</v>
      </c>
      <c r="DN1070" t="str">
        <f>IF(DG1070=1,DN$7,0)</f>
        <v>Timber</v>
      </c>
      <c r="DO1070">
        <v>0</v>
      </c>
      <c r="DP1070" s="143">
        <v>0</v>
      </c>
      <c r="DQ1070" s="143">
        <v>0</v>
      </c>
      <c r="DR1070" s="143">
        <v>0</v>
      </c>
      <c r="DS1070">
        <v>0</v>
      </c>
      <c r="DT1070">
        <f>SUM(DO1070:DP1070)</f>
        <v>0</v>
      </c>
      <c r="DU1070" s="143" t="str">
        <f>IF(DO1070=1,"self-calculated DF",IF(DP1070=1,"external DF used","explicit C balance"))</f>
        <v>explicit C balance</v>
      </c>
      <c r="DV1070">
        <v>0</v>
      </c>
      <c r="DW1070" s="143">
        <v>0</v>
      </c>
      <c r="DX1070" s="143">
        <v>0</v>
      </c>
      <c r="DY1070" s="143">
        <v>0</v>
      </c>
      <c r="DZ1070">
        <v>1</v>
      </c>
      <c r="EA1070" s="143">
        <v>1</v>
      </c>
      <c r="EB1070">
        <v>0</v>
      </c>
      <c r="EC1070" s="143">
        <v>1</v>
      </c>
      <c r="ED1070" s="143">
        <v>0</v>
      </c>
      <c r="EE1070">
        <v>0</v>
      </c>
      <c r="EF1070">
        <v>0</v>
      </c>
      <c r="EG1070" s="143">
        <v>0</v>
      </c>
      <c r="EH1070" s="143">
        <v>0</v>
      </c>
      <c r="EI1070" s="2">
        <v>0</v>
      </c>
      <c r="EK1070" t="str">
        <f>IF(AND(AND(AND(OR($DX1070=1,$DW1070=1),OR($EC1070=1,$EA1070=1)),SUM($DV1070:$DZ1070,$EF1070)&gt;=4),SUM($EA1070:$EE1070)&gt;=2),"Whole sector","")</f>
        <v/>
      </c>
      <c r="EL1070" t="str">
        <f>IF(AND(AND(OR($DX1070=1,$DW1070=1),AND($EC1070=0,$EA1070=0)),SUM($DV1070:$DZ1070,$EF1070)&gt;=4),"Ecosystem approach","")</f>
        <v/>
      </c>
      <c r="EM1070" s="2" t="str">
        <f>IF(AND(AND(AND($DX1070=0,$DW1070=0),OR($EC1070=1,$EA1070=1)),SUM($EB1070:$EE1070)&gt;=2),"Technology approach","")</f>
        <v/>
      </c>
      <c r="EN1070" t="s">
        <v>521</v>
      </c>
      <c r="EP1070" t="b">
        <f>IF(ISNUMBER(BU1070),IF(ABS(BU1070-[3]QC_indicators!$B$2)&gt;3*[3]QC_indicators!$C$2,"C ratio",IF(ISNUMBER(BY1070),IF(ABS(BY1070-[3]QC_indicators!$B$1)&gt;3*[3]QC_indicators!$C$1,"DF","no"))),IF(ISNUMBER(BY1070),IF(ABS(BY1070-[3]QC_indicators!$B$1)&gt;3*[3]QC_indicators!$C$1,"DF","no")))</f>
        <v>0</v>
      </c>
      <c r="ER1070" s="294" t="s">
        <v>349</v>
      </c>
      <c r="ET1070" s="264" t="s">
        <v>3407</v>
      </c>
    </row>
    <row r="1071" spans="1:150" ht="15" customHeight="1">
      <c r="A1071" s="1" t="s">
        <v>505</v>
      </c>
      <c r="B1071" t="s">
        <v>506</v>
      </c>
      <c r="C1071" t="s">
        <v>507</v>
      </c>
      <c r="D1071" t="s">
        <v>508</v>
      </c>
      <c r="E1071" t="s">
        <v>509</v>
      </c>
      <c r="F1071" t="s">
        <v>510</v>
      </c>
      <c r="G1071" t="s">
        <v>511</v>
      </c>
      <c r="H1071" t="s">
        <v>254</v>
      </c>
      <c r="I1071">
        <v>2021</v>
      </c>
      <c r="J1071">
        <v>7</v>
      </c>
      <c r="K1071" t="s">
        <v>512</v>
      </c>
      <c r="M1071" t="str">
        <f>LEFT($D1071,FIND(",",$D1071)-1)&amp;"_"&amp;I1071&amp;L1071</f>
        <v>Caldas_2021</v>
      </c>
      <c r="N1071" t="s">
        <v>222</v>
      </c>
      <c r="O1071" s="145" t="s">
        <v>223</v>
      </c>
      <c r="P1071" t="s">
        <v>513</v>
      </c>
      <c r="Q1071" s="264" t="s">
        <v>256</v>
      </c>
      <c r="R1071" s="269" t="s">
        <v>1154</v>
      </c>
      <c r="S1071" s="1" t="s">
        <v>514</v>
      </c>
      <c r="T1071" t="s">
        <v>515</v>
      </c>
      <c r="U1071" t="s">
        <v>516</v>
      </c>
      <c r="V1071">
        <v>0</v>
      </c>
      <c r="W1071">
        <v>0</v>
      </c>
      <c r="X1071">
        <v>0</v>
      </c>
      <c r="Y1071">
        <v>0</v>
      </c>
      <c r="Z1071">
        <v>0</v>
      </c>
      <c r="AA1071">
        <v>0</v>
      </c>
      <c r="AB1071">
        <v>0</v>
      </c>
      <c r="AC1071">
        <v>0</v>
      </c>
      <c r="AD1071">
        <v>0</v>
      </c>
      <c r="AE1071">
        <v>1</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s="141">
        <f>COUNTIF(V1071:AW1071,"&lt;&gt;0")</f>
        <v>1</v>
      </c>
      <c r="AY1071" s="141">
        <f>COUNTIF(V1071:AL1071,"&lt;&gt;0")</f>
        <v>1</v>
      </c>
      <c r="AZ1071">
        <f>COUNTIF(V1071:AC1071,"&lt;&gt;0")</f>
        <v>0</v>
      </c>
      <c r="BA1071">
        <f>COUNTIF(AD1071:AI1071,"&lt;&gt;0")</f>
        <v>1</v>
      </c>
      <c r="BB1071">
        <f>COUNTIF(AJ1071:AL1071,"&lt;&gt;0")</f>
        <v>0</v>
      </c>
      <c r="BC1071">
        <f>COUNTIF(AS1071:AW1071,"&lt;&gt;0")</f>
        <v>0</v>
      </c>
      <c r="BD1071">
        <f>COUNTIF(AM1071:AR1071,"&lt;&gt;0")</f>
        <v>0</v>
      </c>
      <c r="BE1071" t="str" cm="1">
        <f t="array" ref="BE1071">IF(AY1071=1,INDEX($V$7:$AL$7,MATCH(TRUE,INDEX($V1071:$AW1071&lt;&gt;0,),0)),IF(AY1071=0,INDEX($AM$7:$AW$7,MATCH(1,$AM1071:$AW1071,0)),IF(BF1071="Multiple strategies","mixed drivers",IF(BF1071="Supply chain","multiple supply","multiple silviculture"))))</f>
        <v>location of industry</v>
      </c>
      <c r="BF1071" s="2" t="str" cm="1">
        <f t="array" ref="BF1071">IF(COUNTIF(AZ1071:BB1071,"&lt;&gt;0")=1,INDEX($V$4:$AW$4,MATCH(TRUE,INDEX($V1071:$AW1071&lt;&gt;0,),0)),IF(COUNTIF(AZ1071:BB1071,"&lt;&gt;0")=0,INDEX($AM$4:$AW$4,MATCH(1,$AM1071:$AW1071,0)),"Multiple strategies"))</f>
        <v>Supply chain</v>
      </c>
      <c r="BG1071" s="1" t="s">
        <v>229</v>
      </c>
      <c r="BH1071" t="s">
        <v>517</v>
      </c>
      <c r="BJ1071" t="s">
        <v>518</v>
      </c>
      <c r="BK1071">
        <v>140</v>
      </c>
      <c r="BL1071">
        <v>140</v>
      </c>
      <c r="BN1071">
        <f>BL1071-BK1071</f>
        <v>0</v>
      </c>
      <c r="BO1071">
        <f>BN1071*kg_to_m3</f>
        <v>0</v>
      </c>
      <c r="BP1071" s="264" t="s">
        <v>232</v>
      </c>
      <c r="BQ1071" s="264"/>
      <c r="BR1071" t="s">
        <v>519</v>
      </c>
      <c r="BS1071">
        <v>-372</v>
      </c>
      <c r="BT1071">
        <v>-284</v>
      </c>
      <c r="BU1071" s="144">
        <v>0.76344086021505375</v>
      </c>
      <c r="BV1071">
        <v>88</v>
      </c>
      <c r="BX1071">
        <f>BV1071/1000</f>
        <v>8.7999999999999995E-2</v>
      </c>
      <c r="BY1071" t="str">
        <f>IFERROR(BX1071/BO1071,"")</f>
        <v/>
      </c>
      <c r="BZ1071" s="143">
        <v>0</v>
      </c>
      <c r="CA1071" s="143">
        <v>0</v>
      </c>
      <c r="CB1071" s="143">
        <v>0</v>
      </c>
      <c r="CC1071" s="143">
        <v>0</v>
      </c>
      <c r="CD1071" s="143">
        <v>0</v>
      </c>
      <c r="CE1071" s="143">
        <v>0</v>
      </c>
      <c r="CF1071" s="143">
        <v>0</v>
      </c>
      <c r="CG1071" s="143">
        <v>0</v>
      </c>
      <c r="CH1071" s="143">
        <v>0</v>
      </c>
      <c r="CI1071" s="143">
        <v>0</v>
      </c>
      <c r="CJ1071" s="143">
        <v>0</v>
      </c>
      <c r="CK1071" s="143">
        <v>0</v>
      </c>
      <c r="CL1071" s="143">
        <v>0</v>
      </c>
      <c r="CM1071">
        <v>0</v>
      </c>
      <c r="CN1071" t="str">
        <f>IF($BL1071&lt;$BK1071,"refNeedCorrection","refOK")</f>
        <v>refOK</v>
      </c>
      <c r="CO1071">
        <f>IF($CN1071="refOK",$BK1071,$BL1071)</f>
        <v>140</v>
      </c>
      <c r="CP1071">
        <f>IF($CN1071="refOK",$BL1071,$BK1071)</f>
        <v>140</v>
      </c>
      <c r="CQ1071">
        <f>IF($CN1071="refOK",$BO1071,-$BO1071)</f>
        <v>0</v>
      </c>
      <c r="CR1071">
        <f>IF($CN1071="refOK",$BS1071,$BT1071)*IF($BP1071="Emissions positive",-1,1)</f>
        <v>-372</v>
      </c>
      <c r="CS1071">
        <f>IF($CN1071="refOK",$BT1071,$BS1071)*IF($BP1071="Emissions positive",-1,1)</f>
        <v>-284</v>
      </c>
      <c r="CT1071">
        <f>IF($CN1071="refNeedCorrection",-BX1071,BX1071)*IF($BP1071="Emissions positive",-1,1)</f>
        <v>8.7999999999999995E-2</v>
      </c>
      <c r="CU1071" t="str">
        <f>IFERROR(CT1071/CQ1071,"")</f>
        <v/>
      </c>
      <c r="CV1071" s="2">
        <f>IFERROR((CS1071-CR1071)/ABS(CR1071),"")</f>
        <v>0.23655913978494625</v>
      </c>
      <c r="CW1071" s="1" t="s">
        <v>263</v>
      </c>
      <c r="CX1071" s="264" t="str">
        <f>IF(OR($CW1071="prd",$CW1071="std",$CW1071="cit"),"loc",IF(OR($CW1071="eur",$CW1071="reg",$CW1071="coy"),"reg",$CW1071))</f>
        <v>loc</v>
      </c>
      <c r="CY1071" t="s">
        <v>520</v>
      </c>
      <c r="CZ1071">
        <v>2014</v>
      </c>
      <c r="DA1071">
        <v>2014</v>
      </c>
      <c r="DB1071">
        <f>DA1071-CZ1071</f>
        <v>0</v>
      </c>
      <c r="DC1071" t="str">
        <f>IF(DB1071=0,"0",IF(AND(DB1071&gt;=1,DB1071&lt;=30),"1-30",IF(AND(DB1071&gt;30,DB1071&lt;=70),"31-70",IF(AND(DB1071&gt;70,DB1071&lt;=100),"71-100",IF(DB1071&gt;100,"+100")))))</f>
        <v>0</v>
      </c>
      <c r="DD1071">
        <v>0</v>
      </c>
      <c r="DE1071">
        <v>0</v>
      </c>
      <c r="DF1071">
        <v>0</v>
      </c>
      <c r="DG1071">
        <v>1</v>
      </c>
      <c r="DI1071">
        <f>SUM(DD1071:DG1071)</f>
        <v>1</v>
      </c>
      <c r="DJ1071" t="str">
        <f>IF(DI1071=1,INDEX($DD$7:$DG$7,MATCH(1,$DD1071:$DG1071,0)),"mixedProduct")</f>
        <v>TimberInput</v>
      </c>
      <c r="DK1071">
        <f>IF(DD1071=1,DK$7,0)</f>
        <v>0</v>
      </c>
      <c r="DL1071">
        <f>IF(DE1071=1,DL$7,0)</f>
        <v>0</v>
      </c>
      <c r="DM1071">
        <f>IF(DF1071=1,DM$7,0)</f>
        <v>0</v>
      </c>
      <c r="DN1071" t="str">
        <f>IF(DG1071=1,DN$7,0)</f>
        <v>Timber</v>
      </c>
      <c r="DO1071">
        <v>0</v>
      </c>
      <c r="DP1071" s="143">
        <v>0</v>
      </c>
      <c r="DQ1071" s="143">
        <v>0</v>
      </c>
      <c r="DR1071" s="143">
        <v>0</v>
      </c>
      <c r="DS1071">
        <v>0</v>
      </c>
      <c r="DT1071">
        <f>SUM(DO1071:DP1071)</f>
        <v>0</v>
      </c>
      <c r="DU1071" s="143" t="str">
        <f>IF(DO1071=1,"self-calculated DF",IF(DP1071=1,"external DF used","explicit C balance"))</f>
        <v>explicit C balance</v>
      </c>
      <c r="DV1071">
        <v>0</v>
      </c>
      <c r="DW1071" s="143">
        <v>0</v>
      </c>
      <c r="DX1071" s="143">
        <v>0</v>
      </c>
      <c r="DY1071" s="143">
        <v>0</v>
      </c>
      <c r="DZ1071">
        <v>1</v>
      </c>
      <c r="EA1071" s="143">
        <v>1</v>
      </c>
      <c r="EB1071">
        <v>0</v>
      </c>
      <c r="EC1071" s="143">
        <v>1</v>
      </c>
      <c r="ED1071" s="143">
        <v>0</v>
      </c>
      <c r="EE1071">
        <v>0</v>
      </c>
      <c r="EF1071">
        <v>0</v>
      </c>
      <c r="EG1071" s="143">
        <v>0</v>
      </c>
      <c r="EH1071" s="143">
        <v>0</v>
      </c>
      <c r="EI1071" s="2">
        <v>0</v>
      </c>
      <c r="EK1071" t="str">
        <f>IF(AND(AND(AND(OR($DX1071=1,$DW1071=1),OR($EC1071=1,$EA1071=1)),SUM($DV1071:$DZ1071,$EF1071)&gt;=4),SUM($EA1071:$EE1071)&gt;=2),"Whole sector","")</f>
        <v/>
      </c>
      <c r="EL1071" t="str">
        <f>IF(AND(AND(OR($DX1071=1,$DW1071=1),AND($EC1071=0,$EA1071=0)),SUM($DV1071:$DZ1071,$EF1071)&gt;=4),"Ecosystem approach","")</f>
        <v/>
      </c>
      <c r="EM1071" s="2" t="str">
        <f>IF(AND(AND(AND($DX1071=0,$DW1071=0),OR($EC1071=1,$EA1071=1)),SUM($EB1071:$EE1071)&gt;=2),"Technology approach","")</f>
        <v/>
      </c>
      <c r="EN1071" t="s">
        <v>521</v>
      </c>
      <c r="EP1071" t="b">
        <f>IF(ISNUMBER(BU1071),IF(ABS(BU1071-[3]QC_indicators!$B$2)&gt;3*[3]QC_indicators!$C$2,"C ratio",IF(ISNUMBER(BY1071),IF(ABS(BY1071-[3]QC_indicators!$B$1)&gt;3*[3]QC_indicators!$C$1,"DF","no"))),IF(ISNUMBER(BY1071),IF(ABS(BY1071-[3]QC_indicators!$B$1)&gt;3*[3]QC_indicators!$C$1,"DF","no")))</f>
        <v>0</v>
      </c>
      <c r="ER1071" s="294" t="s">
        <v>349</v>
      </c>
      <c r="ET1071" s="264" t="s">
        <v>3407</v>
      </c>
    </row>
    <row r="1072" spans="1:150" ht="15" customHeight="1">
      <c r="A1072" s="1" t="s">
        <v>505</v>
      </c>
      <c r="B1072" t="s">
        <v>506</v>
      </c>
      <c r="C1072" t="s">
        <v>507</v>
      </c>
      <c r="D1072" t="s">
        <v>508</v>
      </c>
      <c r="E1072" t="s">
        <v>509</v>
      </c>
      <c r="F1072" t="s">
        <v>510</v>
      </c>
      <c r="G1072" t="s">
        <v>511</v>
      </c>
      <c r="H1072" t="s">
        <v>254</v>
      </c>
      <c r="I1072">
        <v>2021</v>
      </c>
      <c r="J1072">
        <v>7</v>
      </c>
      <c r="K1072" t="s">
        <v>512</v>
      </c>
      <c r="M1072" t="str">
        <f>LEFT($D1072,FIND(",",$D1072)-1)&amp;"_"&amp;I1072&amp;L1072</f>
        <v>Caldas_2021</v>
      </c>
      <c r="N1072" t="s">
        <v>222</v>
      </c>
      <c r="O1072" s="145" t="s">
        <v>223</v>
      </c>
      <c r="P1072" t="s">
        <v>513</v>
      </c>
      <c r="Q1072" s="264" t="s">
        <v>256</v>
      </c>
      <c r="R1072" s="269" t="s">
        <v>1154</v>
      </c>
      <c r="S1072" s="1" t="s">
        <v>523</v>
      </c>
      <c r="T1072" t="s">
        <v>524</v>
      </c>
      <c r="U1072" t="s">
        <v>525</v>
      </c>
      <c r="V1072">
        <v>0</v>
      </c>
      <c r="W1072">
        <v>0</v>
      </c>
      <c r="X1072">
        <v>0</v>
      </c>
      <c r="Y1072">
        <v>0</v>
      </c>
      <c r="Z1072">
        <v>0</v>
      </c>
      <c r="AA1072">
        <v>0</v>
      </c>
      <c r="AB1072">
        <v>0</v>
      </c>
      <c r="AC1072">
        <v>0</v>
      </c>
      <c r="AD1072">
        <v>0</v>
      </c>
      <c r="AE1072">
        <v>0</v>
      </c>
      <c r="AF1072">
        <v>1</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s="141">
        <f>COUNTIF(V1072:AW1072,"&lt;&gt;0")</f>
        <v>1</v>
      </c>
      <c r="AY1072" s="141">
        <f>COUNTIF(V1072:AL1072,"&lt;&gt;0")</f>
        <v>1</v>
      </c>
      <c r="AZ1072">
        <f>COUNTIF(V1072:AC1072,"&lt;&gt;0")</f>
        <v>0</v>
      </c>
      <c r="BA1072">
        <f>COUNTIF(AD1072:AI1072,"&lt;&gt;0")</f>
        <v>1</v>
      </c>
      <c r="BB1072">
        <f>COUNTIF(AJ1072:AL1072,"&lt;&gt;0")</f>
        <v>0</v>
      </c>
      <c r="BC1072">
        <f>COUNTIF(AS1072:AW1072,"&lt;&gt;0")</f>
        <v>0</v>
      </c>
      <c r="BD1072">
        <f>COUNTIF(AM1072:AR1072,"&lt;&gt;0")</f>
        <v>0</v>
      </c>
      <c r="BE1072" t="str" cm="1">
        <f t="array" ref="BE1072">IF(AY1072=1,INDEX($V$7:$AL$7,MATCH(TRUE,INDEX($V1072:$AW1072&lt;&gt;0,),0)),IF(AY1072=0,INDEX($AM$7:$AW$7,MATCH(1,$AM1072:$AW1072,0)),IF(BF1072="Multiple strategies","mixed drivers",IF(BF1072="Supply chain","multiple supply","multiple silviculture"))))</f>
        <v>supply chain organization</v>
      </c>
      <c r="BF1072" s="2" t="str" cm="1">
        <f t="array" ref="BF1072">IF(COUNTIF(AZ1072:BB1072,"&lt;&gt;0")=1,INDEX($V$4:$AW$4,MATCH(TRUE,INDEX($V1072:$AW1072&lt;&gt;0,),0)),IF(COUNTIF(AZ1072:BB1072,"&lt;&gt;0")=0,INDEX($AM$4:$AW$4,MATCH(1,$AM1072:$AW1072,0)),"Multiple strategies"))</f>
        <v>Supply chain</v>
      </c>
      <c r="BG1072" s="1" t="s">
        <v>229</v>
      </c>
      <c r="BH1072" t="s">
        <v>517</v>
      </c>
      <c r="BJ1072" t="s">
        <v>518</v>
      </c>
      <c r="BK1072">
        <v>140</v>
      </c>
      <c r="BL1072">
        <v>140</v>
      </c>
      <c r="BN1072">
        <f>BL1072-BK1072</f>
        <v>0</v>
      </c>
      <c r="BO1072">
        <f>BN1072*kg_to_m3</f>
        <v>0</v>
      </c>
      <c r="BP1072" s="264" t="s">
        <v>232</v>
      </c>
      <c r="BQ1072" s="264"/>
      <c r="BR1072" t="s">
        <v>519</v>
      </c>
      <c r="BS1072">
        <v>-290</v>
      </c>
      <c r="BT1072">
        <v>-284</v>
      </c>
      <c r="BU1072" s="144">
        <v>0.97931034482758617</v>
      </c>
      <c r="BV1072">
        <v>6</v>
      </c>
      <c r="BX1072">
        <f>BV1072/1000</f>
        <v>6.0000000000000001E-3</v>
      </c>
      <c r="BY1072" t="str">
        <f>IFERROR(BX1072/BO1072,"")</f>
        <v/>
      </c>
      <c r="BZ1072" s="143">
        <v>0</v>
      </c>
      <c r="CA1072" s="143">
        <v>0</v>
      </c>
      <c r="CB1072" s="143">
        <v>0</v>
      </c>
      <c r="CC1072" s="143">
        <v>0</v>
      </c>
      <c r="CD1072" s="143">
        <v>0</v>
      </c>
      <c r="CE1072" s="143">
        <v>0</v>
      </c>
      <c r="CF1072" s="143">
        <v>0</v>
      </c>
      <c r="CG1072" s="143">
        <v>0</v>
      </c>
      <c r="CH1072" s="143">
        <v>0</v>
      </c>
      <c r="CI1072" s="143">
        <v>0</v>
      </c>
      <c r="CJ1072" s="143">
        <v>0</v>
      </c>
      <c r="CK1072" s="143">
        <v>0</v>
      </c>
      <c r="CL1072" s="143">
        <v>0</v>
      </c>
      <c r="CM1072">
        <v>0</v>
      </c>
      <c r="CN1072" t="str">
        <f>IF($BL1072&lt;$BK1072,"refNeedCorrection","refOK")</f>
        <v>refOK</v>
      </c>
      <c r="CO1072">
        <f>IF($CN1072="refOK",$BK1072,$BL1072)</f>
        <v>140</v>
      </c>
      <c r="CP1072">
        <f>IF($CN1072="refOK",$BL1072,$BK1072)</f>
        <v>140</v>
      </c>
      <c r="CQ1072">
        <f>IF($CN1072="refOK",$BO1072,-$BO1072)</f>
        <v>0</v>
      </c>
      <c r="CR1072">
        <f>IF($CN1072="refOK",$BS1072,$BT1072)*IF($BP1072="Emissions positive",-1,1)</f>
        <v>-290</v>
      </c>
      <c r="CS1072">
        <f>IF($CN1072="refOK",$BT1072,$BS1072)*IF($BP1072="Emissions positive",-1,1)</f>
        <v>-284</v>
      </c>
      <c r="CT1072">
        <f>IF($CN1072="refNeedCorrection",-BX1072,BX1072)*IF($BP1072="Emissions positive",-1,1)</f>
        <v>6.0000000000000001E-3</v>
      </c>
      <c r="CU1072" t="str">
        <f>IFERROR(CT1072/CQ1072,"")</f>
        <v/>
      </c>
      <c r="CV1072" s="2">
        <f>IFERROR((CS1072-CR1072)/ABS(CR1072),"")</f>
        <v>2.0689655172413793E-2</v>
      </c>
      <c r="CW1072" s="1" t="s">
        <v>263</v>
      </c>
      <c r="CX1072" s="264" t="str">
        <f>IF(OR($CW1072="prd",$CW1072="std",$CW1072="cit"),"loc",IF(OR($CW1072="eur",$CW1072="reg",$CW1072="coy"),"reg",$CW1072))</f>
        <v>loc</v>
      </c>
      <c r="CY1072" t="s">
        <v>520</v>
      </c>
      <c r="CZ1072">
        <v>2014</v>
      </c>
      <c r="DA1072">
        <v>2014</v>
      </c>
      <c r="DB1072">
        <f>DA1072-CZ1072</f>
        <v>0</v>
      </c>
      <c r="DC1072" t="str">
        <f>IF(DB1072=0,"0",IF(AND(DB1072&gt;=1,DB1072&lt;=30),"1-30",IF(AND(DB1072&gt;30,DB1072&lt;=70),"31-70",IF(AND(DB1072&gt;70,DB1072&lt;=100),"71-100",IF(DB1072&gt;100,"+100")))))</f>
        <v>0</v>
      </c>
      <c r="DD1072">
        <v>0</v>
      </c>
      <c r="DE1072">
        <v>0</v>
      </c>
      <c r="DF1072">
        <v>0</v>
      </c>
      <c r="DG1072">
        <v>1</v>
      </c>
      <c r="DI1072">
        <f>SUM(DD1072:DG1072)</f>
        <v>1</v>
      </c>
      <c r="DJ1072" t="str">
        <f>IF(DI1072=1,INDEX($DD$7:$DG$7,MATCH(1,$DD1072:$DG1072,0)),"mixedProduct")</f>
        <v>TimberInput</v>
      </c>
      <c r="DK1072">
        <f>IF(DD1072=1,DK$7,0)</f>
        <v>0</v>
      </c>
      <c r="DL1072">
        <f>IF(DE1072=1,DL$7,0)</f>
        <v>0</v>
      </c>
      <c r="DM1072">
        <f>IF(DF1072=1,DM$7,0)</f>
        <v>0</v>
      </c>
      <c r="DN1072" t="str">
        <f>IF(DG1072=1,DN$7,0)</f>
        <v>Timber</v>
      </c>
      <c r="DO1072">
        <v>0</v>
      </c>
      <c r="DP1072" s="143">
        <v>0</v>
      </c>
      <c r="DQ1072" s="143">
        <v>0</v>
      </c>
      <c r="DR1072" s="143">
        <v>0</v>
      </c>
      <c r="DS1072">
        <v>0</v>
      </c>
      <c r="DT1072">
        <f>SUM(DO1072:DP1072)</f>
        <v>0</v>
      </c>
      <c r="DU1072" s="143" t="str">
        <f>IF(DO1072=1,"self-calculated DF",IF(DP1072=1,"external DF used","explicit C balance"))</f>
        <v>explicit C balance</v>
      </c>
      <c r="DV1072">
        <v>0</v>
      </c>
      <c r="DW1072" s="143">
        <v>0</v>
      </c>
      <c r="DX1072" s="143">
        <v>0</v>
      </c>
      <c r="DY1072" s="143">
        <v>0</v>
      </c>
      <c r="DZ1072">
        <v>1</v>
      </c>
      <c r="EA1072" s="264">
        <v>1</v>
      </c>
      <c r="EB1072">
        <v>0</v>
      </c>
      <c r="EC1072" s="143">
        <v>1</v>
      </c>
      <c r="ED1072" s="143">
        <v>0</v>
      </c>
      <c r="EE1072">
        <v>0</v>
      </c>
      <c r="EF1072">
        <v>0</v>
      </c>
      <c r="EG1072" s="143">
        <v>0</v>
      </c>
      <c r="EH1072" s="143">
        <v>0</v>
      </c>
      <c r="EI1072" s="2">
        <v>0</v>
      </c>
      <c r="EK1072" t="str">
        <f>IF(AND(AND(AND(OR($DX1072=1,$DW1072=1),OR($EC1072=1,$EA1072=1)),SUM($DV1072:$DZ1072,$EF1072)&gt;=4),SUM($EA1072:$EE1072)&gt;=2),"Whole sector","")</f>
        <v/>
      </c>
      <c r="EL1072" t="str">
        <f>IF(AND(AND(OR($DX1072=1,$DW1072=1),AND($EC1072=0,$EA1072=0)),SUM($DV1072:$DZ1072,$EF1072)&gt;=4),"Ecosystem approach","")</f>
        <v/>
      </c>
      <c r="EM1072" s="2" t="str">
        <f>IF(AND(AND(AND($DX1072=0,$DW1072=0),OR($EC1072=1,$EA1072=1)),SUM($EB1072:$EE1072)&gt;=2),"Technology approach","")</f>
        <v/>
      </c>
      <c r="EN1072" t="s">
        <v>521</v>
      </c>
      <c r="EP1072" t="b">
        <f>IF(ISNUMBER(BU1072),IF(ABS(BU1072-[3]QC_indicators!$B$2)&gt;3*[3]QC_indicators!$C$2,"C ratio",IF(ISNUMBER(BY1072),IF(ABS(BY1072-[3]QC_indicators!$B$1)&gt;3*[3]QC_indicators!$C$1,"DF","no"))),IF(ISNUMBER(BY1072),IF(ABS(BY1072-[3]QC_indicators!$B$1)&gt;3*[3]QC_indicators!$C$1,"DF","no")))</f>
        <v>0</v>
      </c>
      <c r="ER1072" s="294" t="s">
        <v>349</v>
      </c>
      <c r="ET1072" s="264" t="s">
        <v>3407</v>
      </c>
    </row>
    <row r="1073" spans="1:150" ht="15" customHeight="1">
      <c r="A1073" s="1" t="s">
        <v>505</v>
      </c>
      <c r="B1073" t="s">
        <v>506</v>
      </c>
      <c r="C1073" t="s">
        <v>507</v>
      </c>
      <c r="D1073" t="s">
        <v>508</v>
      </c>
      <c r="E1073" t="s">
        <v>509</v>
      </c>
      <c r="F1073" t="s">
        <v>510</v>
      </c>
      <c r="G1073" t="s">
        <v>511</v>
      </c>
      <c r="H1073" t="s">
        <v>254</v>
      </c>
      <c r="I1073">
        <v>2021</v>
      </c>
      <c r="J1073">
        <v>7</v>
      </c>
      <c r="K1073" t="s">
        <v>512</v>
      </c>
      <c r="M1073" t="str">
        <f>LEFT($D1073,FIND(",",$D1073)-1)&amp;"_"&amp;I1073&amp;L1073</f>
        <v>Caldas_2021</v>
      </c>
      <c r="N1073" t="s">
        <v>222</v>
      </c>
      <c r="O1073" s="145" t="s">
        <v>223</v>
      </c>
      <c r="P1073" t="s">
        <v>513</v>
      </c>
      <c r="Q1073" s="264" t="s">
        <v>256</v>
      </c>
      <c r="R1073" s="269" t="s">
        <v>1154</v>
      </c>
      <c r="S1073" s="1" t="s">
        <v>523</v>
      </c>
      <c r="T1073" t="s">
        <v>524</v>
      </c>
      <c r="U1073" t="s">
        <v>525</v>
      </c>
      <c r="V1073">
        <v>0</v>
      </c>
      <c r="W1073">
        <v>0</v>
      </c>
      <c r="X1073">
        <v>0</v>
      </c>
      <c r="Y1073">
        <v>0</v>
      </c>
      <c r="Z1073">
        <v>0</v>
      </c>
      <c r="AA1073">
        <v>0</v>
      </c>
      <c r="AB1073">
        <v>0</v>
      </c>
      <c r="AC1073">
        <v>0</v>
      </c>
      <c r="AD1073">
        <v>0</v>
      </c>
      <c r="AE1073">
        <v>0</v>
      </c>
      <c r="AF1073">
        <v>1</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s="141">
        <f>COUNTIF(V1073:AW1073,"&lt;&gt;0")</f>
        <v>1</v>
      </c>
      <c r="AY1073" s="141">
        <f>COUNTIF(V1073:AL1073,"&lt;&gt;0")</f>
        <v>1</v>
      </c>
      <c r="AZ1073">
        <f>COUNTIF(V1073:AC1073,"&lt;&gt;0")</f>
        <v>0</v>
      </c>
      <c r="BA1073">
        <f>COUNTIF(AD1073:AI1073,"&lt;&gt;0")</f>
        <v>1</v>
      </c>
      <c r="BB1073">
        <f>COUNTIF(AJ1073:AL1073,"&lt;&gt;0")</f>
        <v>0</v>
      </c>
      <c r="BC1073">
        <f>COUNTIF(AS1073:AW1073,"&lt;&gt;0")</f>
        <v>0</v>
      </c>
      <c r="BD1073">
        <f>COUNTIF(AM1073:AR1073,"&lt;&gt;0")</f>
        <v>0</v>
      </c>
      <c r="BE1073" t="str" cm="1">
        <f t="array" ref="BE1073">IF(AY1073=1,INDEX($V$7:$AL$7,MATCH(TRUE,INDEX($V1073:$AW1073&lt;&gt;0,),0)),IF(AY1073=0,INDEX($AM$7:$AW$7,MATCH(1,$AM1073:$AW1073,0)),IF(BF1073="Multiple strategies","mixed drivers",IF(BF1073="Supply chain","multiple supply","multiple silviculture"))))</f>
        <v>supply chain organization</v>
      </c>
      <c r="BF1073" s="2" t="str" cm="1">
        <f t="array" ref="BF1073">IF(COUNTIF(AZ1073:BB1073,"&lt;&gt;0")=1,INDEX($V$4:$AW$4,MATCH(TRUE,INDEX($V1073:$AW1073&lt;&gt;0,),0)),IF(COUNTIF(AZ1073:BB1073,"&lt;&gt;0")=0,INDEX($AM$4:$AW$4,MATCH(1,$AM1073:$AW1073,0)),"Multiple strategies"))</f>
        <v>Supply chain</v>
      </c>
      <c r="BG1073" s="1" t="s">
        <v>229</v>
      </c>
      <c r="BH1073" t="s">
        <v>517</v>
      </c>
      <c r="BJ1073" t="s">
        <v>518</v>
      </c>
      <c r="BK1073">
        <v>140</v>
      </c>
      <c r="BL1073">
        <v>140</v>
      </c>
      <c r="BN1073">
        <f>BL1073-BK1073</f>
        <v>0</v>
      </c>
      <c r="BO1073">
        <f>BN1073*kg_to_m3</f>
        <v>0</v>
      </c>
      <c r="BP1073" s="264" t="s">
        <v>232</v>
      </c>
      <c r="BQ1073" s="264"/>
      <c r="BR1073" t="s">
        <v>519</v>
      </c>
      <c r="BS1073">
        <v>-503</v>
      </c>
      <c r="BT1073">
        <v>-372</v>
      </c>
      <c r="BU1073" s="144">
        <v>0.73956262425447317</v>
      </c>
      <c r="BV1073">
        <v>131</v>
      </c>
      <c r="BX1073">
        <f>BV1073/1000</f>
        <v>0.13100000000000001</v>
      </c>
      <c r="BY1073" t="str">
        <f>IFERROR(BX1073/BO1073,"")</f>
        <v/>
      </c>
      <c r="BZ1073" s="143">
        <v>0</v>
      </c>
      <c r="CA1073" s="143">
        <v>0</v>
      </c>
      <c r="CB1073" s="143">
        <v>0</v>
      </c>
      <c r="CC1073" s="143">
        <v>0</v>
      </c>
      <c r="CD1073" s="143">
        <v>0</v>
      </c>
      <c r="CE1073" s="143">
        <v>0</v>
      </c>
      <c r="CF1073" s="143">
        <v>0</v>
      </c>
      <c r="CG1073" s="143">
        <v>0</v>
      </c>
      <c r="CH1073" s="143">
        <v>0</v>
      </c>
      <c r="CI1073" s="143">
        <v>0</v>
      </c>
      <c r="CJ1073" s="143">
        <v>0</v>
      </c>
      <c r="CK1073" s="143">
        <v>0</v>
      </c>
      <c r="CL1073" s="143">
        <v>0</v>
      </c>
      <c r="CM1073">
        <v>0</v>
      </c>
      <c r="CN1073" t="str">
        <f>IF($BL1073&lt;$BK1073,"refNeedCorrection","refOK")</f>
        <v>refOK</v>
      </c>
      <c r="CO1073">
        <f>IF($CN1073="refOK",$BK1073,$BL1073)</f>
        <v>140</v>
      </c>
      <c r="CP1073">
        <f>IF($CN1073="refOK",$BL1073,$BK1073)</f>
        <v>140</v>
      </c>
      <c r="CQ1073">
        <f>IF($CN1073="refOK",$BO1073,-$BO1073)</f>
        <v>0</v>
      </c>
      <c r="CR1073">
        <f>IF($CN1073="refOK",$BS1073,$BT1073)*IF($BP1073="Emissions positive",-1,1)</f>
        <v>-503</v>
      </c>
      <c r="CS1073">
        <f>IF($CN1073="refOK",$BT1073,$BS1073)*IF($BP1073="Emissions positive",-1,1)</f>
        <v>-372</v>
      </c>
      <c r="CT1073">
        <f>IF($CN1073="refNeedCorrection",-BX1073,BX1073)*IF($BP1073="Emissions positive",-1,1)</f>
        <v>0.13100000000000001</v>
      </c>
      <c r="CU1073" t="str">
        <f>IFERROR(CT1073/CQ1073,"")</f>
        <v/>
      </c>
      <c r="CV1073" s="2">
        <f>IFERROR((CS1073-CR1073)/ABS(CR1073),"")</f>
        <v>0.26043737574552683</v>
      </c>
      <c r="CW1073" s="1" t="s">
        <v>263</v>
      </c>
      <c r="CX1073" s="264" t="str">
        <f>IF(OR($CW1073="prd",$CW1073="std",$CW1073="cit"),"loc",IF(OR($CW1073="eur",$CW1073="reg",$CW1073="coy"),"reg",$CW1073))</f>
        <v>loc</v>
      </c>
      <c r="CY1073" t="s">
        <v>520</v>
      </c>
      <c r="CZ1073">
        <v>2014</v>
      </c>
      <c r="DA1073">
        <v>2014</v>
      </c>
      <c r="DB1073">
        <f>DA1073-CZ1073</f>
        <v>0</v>
      </c>
      <c r="DC1073" t="str">
        <f>IF(DB1073=0,"0",IF(AND(DB1073&gt;=1,DB1073&lt;=30),"1-30",IF(AND(DB1073&gt;30,DB1073&lt;=70),"31-70",IF(AND(DB1073&gt;70,DB1073&lt;=100),"71-100",IF(DB1073&gt;100,"+100")))))</f>
        <v>0</v>
      </c>
      <c r="DD1073">
        <v>0</v>
      </c>
      <c r="DE1073">
        <v>0</v>
      </c>
      <c r="DF1073">
        <v>0</v>
      </c>
      <c r="DG1073">
        <v>1</v>
      </c>
      <c r="DI1073">
        <f>SUM(DD1073:DG1073)</f>
        <v>1</v>
      </c>
      <c r="DJ1073" t="str">
        <f>IF(DI1073=1,INDEX($DD$7:$DG$7,MATCH(1,$DD1073:$DG1073,0)),"mixedProduct")</f>
        <v>TimberInput</v>
      </c>
      <c r="DK1073">
        <f>IF(DD1073=1,DK$7,0)</f>
        <v>0</v>
      </c>
      <c r="DL1073">
        <f>IF(DE1073=1,DL$7,0)</f>
        <v>0</v>
      </c>
      <c r="DM1073">
        <f>IF(DF1073=1,DM$7,0)</f>
        <v>0</v>
      </c>
      <c r="DN1073" t="str">
        <f>IF(DG1073=1,DN$7,0)</f>
        <v>Timber</v>
      </c>
      <c r="DO1073">
        <v>0</v>
      </c>
      <c r="DP1073" s="143">
        <v>0</v>
      </c>
      <c r="DQ1073" s="143">
        <v>0</v>
      </c>
      <c r="DR1073" s="143">
        <v>0</v>
      </c>
      <c r="DS1073">
        <v>0</v>
      </c>
      <c r="DT1073">
        <f>SUM(DO1073:DP1073)</f>
        <v>0</v>
      </c>
      <c r="DU1073" s="143" t="str">
        <f>IF(DO1073=1,"self-calculated DF",IF(DP1073=1,"external DF used","explicit C balance"))</f>
        <v>explicit C balance</v>
      </c>
      <c r="DV1073">
        <v>0</v>
      </c>
      <c r="DW1073" s="143">
        <v>0</v>
      </c>
      <c r="DX1073" s="143">
        <v>0</v>
      </c>
      <c r="DY1073" s="143">
        <v>0</v>
      </c>
      <c r="DZ1073">
        <v>1</v>
      </c>
      <c r="EA1073" s="143">
        <v>1</v>
      </c>
      <c r="EB1073">
        <v>0</v>
      </c>
      <c r="EC1073" s="143">
        <v>1</v>
      </c>
      <c r="ED1073" s="143">
        <v>0</v>
      </c>
      <c r="EE1073">
        <v>0</v>
      </c>
      <c r="EF1073">
        <v>0</v>
      </c>
      <c r="EG1073" s="143">
        <v>0</v>
      </c>
      <c r="EH1073" s="143">
        <v>0</v>
      </c>
      <c r="EI1073" s="2">
        <v>0</v>
      </c>
      <c r="EK1073" t="str">
        <f>IF(AND(AND(AND(OR($DX1073=1,$DW1073=1),OR($EC1073=1,$EA1073=1)),SUM($DV1073:$DZ1073,$EF1073)&gt;=4),SUM($EA1073:$EE1073)&gt;=2),"Whole sector","")</f>
        <v/>
      </c>
      <c r="EL1073" t="str">
        <f>IF(AND(AND(OR($DX1073=1,$DW1073=1),AND($EC1073=0,$EA1073=0)),SUM($DV1073:$DZ1073,$EF1073)&gt;=4),"Ecosystem approach","")</f>
        <v/>
      </c>
      <c r="EM1073" s="2" t="str">
        <f>IF(AND(AND(AND($DX1073=0,$DW1073=0),OR($EC1073=1,$EA1073=1)),SUM($EB1073:$EE1073)&gt;=2),"Technology approach","")</f>
        <v/>
      </c>
      <c r="EN1073" t="s">
        <v>521</v>
      </c>
      <c r="EP1073" t="b">
        <f>IF(ISNUMBER(BU1073),IF(ABS(BU1073-[3]QC_indicators!$B$2)&gt;3*[3]QC_indicators!$C$2,"C ratio",IF(ISNUMBER(BY1073),IF(ABS(BY1073-[3]QC_indicators!$B$1)&gt;3*[3]QC_indicators!$C$1,"DF","no"))),IF(ISNUMBER(BY1073),IF(ABS(BY1073-[3]QC_indicators!$B$1)&gt;3*[3]QC_indicators!$C$1,"DF","no")))</f>
        <v>0</v>
      </c>
      <c r="ER1073" s="294" t="s">
        <v>349</v>
      </c>
      <c r="ET1073" s="264" t="s">
        <v>3407</v>
      </c>
    </row>
    <row r="1074" spans="1:150" ht="15" customHeight="1">
      <c r="A1074" s="1" t="s">
        <v>505</v>
      </c>
      <c r="B1074" t="s">
        <v>506</v>
      </c>
      <c r="C1074" t="s">
        <v>507</v>
      </c>
      <c r="D1074" t="s">
        <v>508</v>
      </c>
      <c r="E1074" t="s">
        <v>509</v>
      </c>
      <c r="F1074" t="s">
        <v>510</v>
      </c>
      <c r="G1074" t="s">
        <v>511</v>
      </c>
      <c r="H1074" t="s">
        <v>254</v>
      </c>
      <c r="I1074">
        <v>2021</v>
      </c>
      <c r="J1074">
        <v>7</v>
      </c>
      <c r="K1074" t="s">
        <v>512</v>
      </c>
      <c r="M1074" t="str">
        <f>LEFT($D1074,FIND(",",$D1074)-1)&amp;"_"&amp;I1074&amp;L1074</f>
        <v>Caldas_2021</v>
      </c>
      <c r="N1074" t="s">
        <v>222</v>
      </c>
      <c r="O1074" s="145" t="s">
        <v>223</v>
      </c>
      <c r="P1074" t="s">
        <v>513</v>
      </c>
      <c r="Q1074" s="264" t="s">
        <v>256</v>
      </c>
      <c r="R1074" s="269" t="s">
        <v>1154</v>
      </c>
      <c r="S1074" s="1" t="s">
        <v>514</v>
      </c>
      <c r="T1074" t="s">
        <v>515</v>
      </c>
      <c r="U1074" t="s">
        <v>516</v>
      </c>
      <c r="V1074">
        <v>0</v>
      </c>
      <c r="W1074">
        <v>0</v>
      </c>
      <c r="X1074">
        <v>0</v>
      </c>
      <c r="Y1074">
        <v>0</v>
      </c>
      <c r="Z1074">
        <v>0</v>
      </c>
      <c r="AA1074">
        <v>0</v>
      </c>
      <c r="AB1074">
        <v>0</v>
      </c>
      <c r="AC1074">
        <v>0</v>
      </c>
      <c r="AD1074">
        <v>0</v>
      </c>
      <c r="AE1074">
        <v>1</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s="141">
        <f>COUNTIF(V1074:AW1074,"&lt;&gt;0")</f>
        <v>1</v>
      </c>
      <c r="AY1074" s="141">
        <f>COUNTIF(V1074:AL1074,"&lt;&gt;0")</f>
        <v>1</v>
      </c>
      <c r="AZ1074">
        <f>COUNTIF(V1074:AC1074,"&lt;&gt;0")</f>
        <v>0</v>
      </c>
      <c r="BA1074">
        <f>COUNTIF(AD1074:AI1074,"&lt;&gt;0")</f>
        <v>1</v>
      </c>
      <c r="BB1074">
        <f>COUNTIF(AJ1074:AL1074,"&lt;&gt;0")</f>
        <v>0</v>
      </c>
      <c r="BC1074">
        <f>COUNTIF(AS1074:AW1074,"&lt;&gt;0")</f>
        <v>0</v>
      </c>
      <c r="BD1074">
        <f>COUNTIF(AM1074:AR1074,"&lt;&gt;0")</f>
        <v>0</v>
      </c>
      <c r="BE1074" t="str" cm="1">
        <f t="array" ref="BE1074">IF(AY1074=1,INDEX($V$7:$AL$7,MATCH(TRUE,INDEX($V1074:$AW1074&lt;&gt;0,),0)),IF(AY1074=0,INDEX($AM$7:$AW$7,MATCH(1,$AM1074:$AW1074,0)),IF(BF1074="Multiple strategies","mixed drivers",IF(BF1074="Supply chain","multiple supply","multiple silviculture"))))</f>
        <v>location of industry</v>
      </c>
      <c r="BF1074" s="2" t="str" cm="1">
        <f t="array" ref="BF1074">IF(COUNTIF(AZ1074:BB1074,"&lt;&gt;0")=1,INDEX($V$4:$AW$4,MATCH(TRUE,INDEX($V1074:$AW1074&lt;&gt;0,),0)),IF(COUNTIF(AZ1074:BB1074,"&lt;&gt;0")=0,INDEX($AM$4:$AW$4,MATCH(1,$AM1074:$AW1074,0)),"Multiple strategies"))</f>
        <v>Supply chain</v>
      </c>
      <c r="BG1074" s="1" t="s">
        <v>229</v>
      </c>
      <c r="BH1074" t="s">
        <v>517</v>
      </c>
      <c r="BJ1074" t="s">
        <v>518</v>
      </c>
      <c r="BK1074">
        <v>140</v>
      </c>
      <c r="BL1074">
        <v>140</v>
      </c>
      <c r="BN1074">
        <f>BL1074-BK1074</f>
        <v>0</v>
      </c>
      <c r="BO1074">
        <f>BN1074*kg_to_m3</f>
        <v>0</v>
      </c>
      <c r="BP1074" s="264" t="s">
        <v>232</v>
      </c>
      <c r="BQ1074" s="264"/>
      <c r="BR1074" t="s">
        <v>519</v>
      </c>
      <c r="BS1074">
        <v>-757.6</v>
      </c>
      <c r="BT1074">
        <v>-530.29999999999995</v>
      </c>
      <c r="BU1074" s="144">
        <v>0.69997360084477289</v>
      </c>
      <c r="BV1074">
        <v>227.30000000000007</v>
      </c>
      <c r="BX1074">
        <f>BV1074/1000</f>
        <v>0.22730000000000006</v>
      </c>
      <c r="BY1074" t="str">
        <f>IFERROR(BX1074/BO1074,"")</f>
        <v/>
      </c>
      <c r="BZ1074" s="143">
        <v>0</v>
      </c>
      <c r="CA1074" s="143">
        <v>0</v>
      </c>
      <c r="CB1074" s="143">
        <v>0</v>
      </c>
      <c r="CC1074" s="143">
        <v>0</v>
      </c>
      <c r="CD1074" s="143">
        <v>0</v>
      </c>
      <c r="CE1074" s="143">
        <v>0</v>
      </c>
      <c r="CF1074" s="143">
        <v>0</v>
      </c>
      <c r="CG1074" s="143">
        <v>0</v>
      </c>
      <c r="CH1074" s="143">
        <v>0</v>
      </c>
      <c r="CI1074" s="143">
        <v>0</v>
      </c>
      <c r="CJ1074" s="143">
        <v>0</v>
      </c>
      <c r="CK1074" s="143">
        <v>0</v>
      </c>
      <c r="CL1074" s="143">
        <v>0</v>
      </c>
      <c r="CM1074">
        <v>0</v>
      </c>
      <c r="CN1074" t="str">
        <f>IF($BL1074&lt;$BK1074,"refNeedCorrection","refOK")</f>
        <v>refOK</v>
      </c>
      <c r="CO1074">
        <f>IF($CN1074="refOK",$BK1074,$BL1074)</f>
        <v>140</v>
      </c>
      <c r="CP1074">
        <f>IF($CN1074="refOK",$BL1074,$BK1074)</f>
        <v>140</v>
      </c>
      <c r="CQ1074">
        <f>IF($CN1074="refOK",$BO1074,-$BO1074)</f>
        <v>0</v>
      </c>
      <c r="CR1074">
        <f>IF($CN1074="refOK",$BS1074,$BT1074)*IF($BP1074="Emissions positive",-1,1)</f>
        <v>-757.6</v>
      </c>
      <c r="CS1074">
        <f>IF($CN1074="refOK",$BT1074,$BS1074)*IF($BP1074="Emissions positive",-1,1)</f>
        <v>-530.29999999999995</v>
      </c>
      <c r="CT1074">
        <f>IF($CN1074="refNeedCorrection",-BX1074,BX1074)*IF($BP1074="Emissions positive",-1,1)</f>
        <v>0.22730000000000006</v>
      </c>
      <c r="CU1074" t="str">
        <f>IFERROR(CT1074/CQ1074,"")</f>
        <v/>
      </c>
      <c r="CV1074" s="2">
        <f>IFERROR((CS1074-CR1074)/ABS(CR1074),"")</f>
        <v>0.30002639915522711</v>
      </c>
      <c r="CW1074" s="1" t="s">
        <v>263</v>
      </c>
      <c r="CX1074" s="264" t="str">
        <f>IF(OR($CW1074="prd",$CW1074="std",$CW1074="cit"),"loc",IF(OR($CW1074="eur",$CW1074="reg",$CW1074="coy"),"reg",$CW1074))</f>
        <v>loc</v>
      </c>
      <c r="CY1074" t="s">
        <v>520</v>
      </c>
      <c r="CZ1074">
        <v>2014</v>
      </c>
      <c r="DA1074">
        <v>2014</v>
      </c>
      <c r="DB1074">
        <f>DA1074-CZ1074</f>
        <v>0</v>
      </c>
      <c r="DC1074" t="str">
        <f>IF(DB1074=0,"0",IF(AND(DB1074&gt;=1,DB1074&lt;=30),"1-30",IF(AND(DB1074&gt;30,DB1074&lt;=70),"31-70",IF(AND(DB1074&gt;70,DB1074&lt;=100),"71-100",IF(DB1074&gt;100,"+100")))))</f>
        <v>0</v>
      </c>
      <c r="DD1074">
        <v>0</v>
      </c>
      <c r="DE1074">
        <v>0</v>
      </c>
      <c r="DF1074">
        <v>0</v>
      </c>
      <c r="DG1074">
        <v>1</v>
      </c>
      <c r="DI1074">
        <f>SUM(DD1074:DG1074)</f>
        <v>1</v>
      </c>
      <c r="DJ1074" t="str">
        <f>IF(DI1074=1,INDEX($DD$7:$DG$7,MATCH(1,$DD1074:$DG1074,0)),"mixedProduct")</f>
        <v>TimberInput</v>
      </c>
      <c r="DK1074">
        <f>IF(DD1074=1,DK$7,0)</f>
        <v>0</v>
      </c>
      <c r="DL1074">
        <f>IF(DE1074=1,DL$7,0)</f>
        <v>0</v>
      </c>
      <c r="DM1074">
        <f>IF(DF1074=1,DM$7,0)</f>
        <v>0</v>
      </c>
      <c r="DN1074" t="str">
        <f>IF(DG1074=1,DN$7,0)</f>
        <v>Timber</v>
      </c>
      <c r="DO1074">
        <v>0</v>
      </c>
      <c r="DP1074" s="143">
        <v>0</v>
      </c>
      <c r="DQ1074" s="143">
        <v>0</v>
      </c>
      <c r="DR1074" s="143">
        <v>0</v>
      </c>
      <c r="DS1074">
        <v>0</v>
      </c>
      <c r="DT1074">
        <f>SUM(DO1074:DP1074)</f>
        <v>0</v>
      </c>
      <c r="DU1074" s="143" t="str">
        <f>IF(DO1074=1,"self-calculated DF",IF(DP1074=1,"external DF used","explicit C balance"))</f>
        <v>explicit C balance</v>
      </c>
      <c r="DV1074">
        <v>0</v>
      </c>
      <c r="DW1074" s="143">
        <v>0</v>
      </c>
      <c r="DX1074" s="143">
        <v>0</v>
      </c>
      <c r="DY1074" s="143">
        <v>0</v>
      </c>
      <c r="DZ1074">
        <v>0</v>
      </c>
      <c r="EA1074" s="143">
        <v>1</v>
      </c>
      <c r="EB1074">
        <v>0</v>
      </c>
      <c r="EC1074" s="143">
        <v>1</v>
      </c>
      <c r="ED1074" s="143">
        <v>0</v>
      </c>
      <c r="EE1074">
        <v>0</v>
      </c>
      <c r="EF1074">
        <v>0</v>
      </c>
      <c r="EG1074" s="143">
        <v>0</v>
      </c>
      <c r="EH1074" s="143">
        <v>0</v>
      </c>
      <c r="EI1074" s="2">
        <v>0</v>
      </c>
      <c r="EK1074" t="str">
        <f>IF(AND(AND(AND(OR($DX1074=1,$DW1074=1),OR($EC1074=1,$EA1074=1)),SUM($DV1074:$DZ1074,$EF1074)&gt;=4),SUM($EA1074:$EE1074)&gt;=2),"Whole sector","")</f>
        <v/>
      </c>
      <c r="EL1074" t="str">
        <f>IF(AND(AND(OR($DX1074=1,$DW1074=1),AND($EC1074=0,$EA1074=0)),SUM($DV1074:$DZ1074,$EF1074)&gt;=4),"Ecosystem approach","")</f>
        <v/>
      </c>
      <c r="EM1074" s="2" t="str">
        <f>IF(AND(AND(AND($DX1074=0,$DW1074=0),OR($EC1074=1,$EA1074=1)),SUM($EB1074:$EE1074)&gt;=2),"Technology approach","")</f>
        <v/>
      </c>
      <c r="EN1074" t="s">
        <v>522</v>
      </c>
      <c r="EP1074" t="b">
        <f>IF(ISNUMBER(BU1074),IF(ABS(BU1074-[3]QC_indicators!$B$2)&gt;3*[3]QC_indicators!$C$2,"C ratio",IF(ISNUMBER(BY1074),IF(ABS(BY1074-[3]QC_indicators!$B$1)&gt;3*[3]QC_indicators!$C$1,"DF","no"))),IF(ISNUMBER(BY1074),IF(ABS(BY1074-[3]QC_indicators!$B$1)&gt;3*[3]QC_indicators!$C$1,"DF","no")))</f>
        <v>0</v>
      </c>
      <c r="ER1074" s="294" t="s">
        <v>349</v>
      </c>
      <c r="ET1074" s="264" t="s">
        <v>3407</v>
      </c>
    </row>
    <row r="1075" spans="1:150" ht="15" customHeight="1">
      <c r="A1075" s="1" t="s">
        <v>505</v>
      </c>
      <c r="B1075" t="s">
        <v>506</v>
      </c>
      <c r="C1075" t="s">
        <v>507</v>
      </c>
      <c r="D1075" t="s">
        <v>508</v>
      </c>
      <c r="E1075" t="s">
        <v>509</v>
      </c>
      <c r="F1075" t="s">
        <v>510</v>
      </c>
      <c r="G1075" t="s">
        <v>511</v>
      </c>
      <c r="H1075" t="s">
        <v>254</v>
      </c>
      <c r="I1075">
        <v>2021</v>
      </c>
      <c r="J1075">
        <v>7</v>
      </c>
      <c r="K1075" t="s">
        <v>512</v>
      </c>
      <c r="M1075" t="str">
        <f>LEFT($D1075,FIND(",",$D1075)-1)&amp;"_"&amp;I1075&amp;L1075</f>
        <v>Caldas_2021</v>
      </c>
      <c r="N1075" t="s">
        <v>222</v>
      </c>
      <c r="O1075" s="145" t="s">
        <v>223</v>
      </c>
      <c r="P1075" t="s">
        <v>513</v>
      </c>
      <c r="Q1075" s="264" t="s">
        <v>256</v>
      </c>
      <c r="R1075" s="269" t="s">
        <v>1154</v>
      </c>
      <c r="S1075" s="1" t="s">
        <v>514</v>
      </c>
      <c r="T1075" t="s">
        <v>515</v>
      </c>
      <c r="U1075" t="s">
        <v>516</v>
      </c>
      <c r="V1075">
        <v>0</v>
      </c>
      <c r="W1075">
        <v>0</v>
      </c>
      <c r="X1075">
        <v>0</v>
      </c>
      <c r="Y1075">
        <v>0</v>
      </c>
      <c r="Z1075">
        <v>0</v>
      </c>
      <c r="AA1075">
        <v>0</v>
      </c>
      <c r="AB1075">
        <v>0</v>
      </c>
      <c r="AC1075">
        <v>0</v>
      </c>
      <c r="AD1075">
        <v>0</v>
      </c>
      <c r="AE1075">
        <v>1</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s="141">
        <f>COUNTIF(V1075:AW1075,"&lt;&gt;0")</f>
        <v>1</v>
      </c>
      <c r="AY1075" s="141">
        <f>COUNTIF(V1075:AL1075,"&lt;&gt;0")</f>
        <v>1</v>
      </c>
      <c r="AZ1075">
        <f>COUNTIF(V1075:AC1075,"&lt;&gt;0")</f>
        <v>0</v>
      </c>
      <c r="BA1075">
        <f>COUNTIF(AD1075:AI1075,"&lt;&gt;0")</f>
        <v>1</v>
      </c>
      <c r="BB1075">
        <f>COUNTIF(AJ1075:AL1075,"&lt;&gt;0")</f>
        <v>0</v>
      </c>
      <c r="BC1075">
        <f>COUNTIF(AS1075:AW1075,"&lt;&gt;0")</f>
        <v>0</v>
      </c>
      <c r="BD1075">
        <f>COUNTIF(AM1075:AR1075,"&lt;&gt;0")</f>
        <v>0</v>
      </c>
      <c r="BE1075" t="str" cm="1">
        <f t="array" ref="BE1075">IF(AY1075=1,INDEX($V$7:$AL$7,MATCH(TRUE,INDEX($V1075:$AW1075&lt;&gt;0,),0)),IF(AY1075=0,INDEX($AM$7:$AW$7,MATCH(1,$AM1075:$AW1075,0)),IF(BF1075="Multiple strategies","mixed drivers",IF(BF1075="Supply chain","multiple supply","multiple silviculture"))))</f>
        <v>location of industry</v>
      </c>
      <c r="BF1075" s="2" t="str" cm="1">
        <f t="array" ref="BF1075">IF(COUNTIF(AZ1075:BB1075,"&lt;&gt;0")=1,INDEX($V$4:$AW$4,MATCH(TRUE,INDEX($V1075:$AW1075&lt;&gt;0,),0)),IF(COUNTIF(AZ1075:BB1075,"&lt;&gt;0")=0,INDEX($AM$4:$AW$4,MATCH(1,$AM1075:$AW1075,0)),"Multiple strategies"))</f>
        <v>Supply chain</v>
      </c>
      <c r="BG1075" s="1" t="s">
        <v>229</v>
      </c>
      <c r="BH1075" t="s">
        <v>517</v>
      </c>
      <c r="BJ1075" t="s">
        <v>518</v>
      </c>
      <c r="BK1075">
        <v>140</v>
      </c>
      <c r="BL1075">
        <v>140</v>
      </c>
      <c r="BN1075">
        <f>BL1075-BK1075</f>
        <v>0</v>
      </c>
      <c r="BO1075">
        <f>BN1075*kg_to_m3</f>
        <v>0</v>
      </c>
      <c r="BP1075" s="264" t="s">
        <v>232</v>
      </c>
      <c r="BQ1075" s="264"/>
      <c r="BR1075" t="s">
        <v>519</v>
      </c>
      <c r="BS1075">
        <v>-624.20000000000005</v>
      </c>
      <c r="BT1075">
        <v>-530.29999999999995</v>
      </c>
      <c r="BU1075" s="144">
        <v>0.84956744633130399</v>
      </c>
      <c r="BV1075">
        <v>93.900000000000091</v>
      </c>
      <c r="BX1075">
        <f>BV1075/1000</f>
        <v>9.3900000000000095E-2</v>
      </c>
      <c r="BY1075" t="str">
        <f>IFERROR(BX1075/BO1075,"")</f>
        <v/>
      </c>
      <c r="BZ1075" s="143">
        <v>0</v>
      </c>
      <c r="CA1075" s="143">
        <v>0</v>
      </c>
      <c r="CB1075" s="143">
        <v>0</v>
      </c>
      <c r="CC1075" s="143">
        <v>0</v>
      </c>
      <c r="CD1075" s="143">
        <v>0</v>
      </c>
      <c r="CE1075" s="143">
        <v>0</v>
      </c>
      <c r="CF1075" s="143">
        <v>0</v>
      </c>
      <c r="CG1075" s="143">
        <v>0</v>
      </c>
      <c r="CH1075" s="143">
        <v>0</v>
      </c>
      <c r="CI1075" s="143">
        <v>0</v>
      </c>
      <c r="CJ1075" s="143">
        <v>0</v>
      </c>
      <c r="CK1075" s="143">
        <v>0</v>
      </c>
      <c r="CL1075" s="143">
        <v>0</v>
      </c>
      <c r="CM1075">
        <v>0</v>
      </c>
      <c r="CN1075" t="str">
        <f>IF($BL1075&lt;$BK1075,"refNeedCorrection","refOK")</f>
        <v>refOK</v>
      </c>
      <c r="CO1075">
        <f>IF($CN1075="refOK",$BK1075,$BL1075)</f>
        <v>140</v>
      </c>
      <c r="CP1075">
        <f>IF($CN1075="refOK",$BL1075,$BK1075)</f>
        <v>140</v>
      </c>
      <c r="CQ1075">
        <f>IF($CN1075="refOK",$BO1075,-$BO1075)</f>
        <v>0</v>
      </c>
      <c r="CR1075">
        <f>IF($CN1075="refOK",$BS1075,$BT1075)*IF($BP1075="Emissions positive",-1,1)</f>
        <v>-624.20000000000005</v>
      </c>
      <c r="CS1075">
        <f>IF($CN1075="refOK",$BT1075,$BS1075)*IF($BP1075="Emissions positive",-1,1)</f>
        <v>-530.29999999999995</v>
      </c>
      <c r="CT1075">
        <f>IF($CN1075="refNeedCorrection",-BX1075,BX1075)*IF($BP1075="Emissions positive",-1,1)</f>
        <v>9.3900000000000095E-2</v>
      </c>
      <c r="CU1075" t="str">
        <f>IFERROR(CT1075/CQ1075,"")</f>
        <v/>
      </c>
      <c r="CV1075" s="2">
        <f>IFERROR((CS1075-CR1075)/ABS(CR1075),"")</f>
        <v>0.15043255366869607</v>
      </c>
      <c r="CW1075" s="1" t="s">
        <v>263</v>
      </c>
      <c r="CX1075" s="264" t="str">
        <f>IF(OR($CW1075="prd",$CW1075="std",$CW1075="cit"),"loc",IF(OR($CW1075="eur",$CW1075="reg",$CW1075="coy"),"reg",$CW1075))</f>
        <v>loc</v>
      </c>
      <c r="CY1075" t="s">
        <v>520</v>
      </c>
      <c r="CZ1075">
        <v>2014</v>
      </c>
      <c r="DA1075">
        <v>2014</v>
      </c>
      <c r="DB1075">
        <f>DA1075-CZ1075</f>
        <v>0</v>
      </c>
      <c r="DC1075" t="str">
        <f>IF(DB1075=0,"0",IF(AND(DB1075&gt;=1,DB1075&lt;=30),"1-30",IF(AND(DB1075&gt;30,DB1075&lt;=70),"31-70",IF(AND(DB1075&gt;70,DB1075&lt;=100),"71-100",IF(DB1075&gt;100,"+100")))))</f>
        <v>0</v>
      </c>
      <c r="DD1075">
        <v>0</v>
      </c>
      <c r="DE1075">
        <v>0</v>
      </c>
      <c r="DF1075">
        <v>0</v>
      </c>
      <c r="DG1075">
        <v>1</v>
      </c>
      <c r="DI1075">
        <f>SUM(DD1075:DG1075)</f>
        <v>1</v>
      </c>
      <c r="DJ1075" t="str">
        <f>IF(DI1075=1,INDEX($DD$7:$DG$7,MATCH(1,$DD1075:$DG1075,0)),"mixedProduct")</f>
        <v>TimberInput</v>
      </c>
      <c r="DK1075">
        <f>IF(DD1075=1,DK$7,0)</f>
        <v>0</v>
      </c>
      <c r="DL1075">
        <f>IF(DE1075=1,DL$7,0)</f>
        <v>0</v>
      </c>
      <c r="DM1075">
        <f>IF(DF1075=1,DM$7,0)</f>
        <v>0</v>
      </c>
      <c r="DN1075" t="str">
        <f>IF(DG1075=1,DN$7,0)</f>
        <v>Timber</v>
      </c>
      <c r="DO1075">
        <v>0</v>
      </c>
      <c r="DP1075" s="143">
        <v>0</v>
      </c>
      <c r="DQ1075" s="143">
        <v>0</v>
      </c>
      <c r="DR1075" s="143">
        <v>0</v>
      </c>
      <c r="DS1075">
        <v>0</v>
      </c>
      <c r="DT1075">
        <f>SUM(DO1075:DP1075)</f>
        <v>0</v>
      </c>
      <c r="DU1075" s="143" t="str">
        <f>IF(DO1075=1,"self-calculated DF",IF(DP1075=1,"external DF used","explicit C balance"))</f>
        <v>explicit C balance</v>
      </c>
      <c r="DV1075">
        <v>0</v>
      </c>
      <c r="DW1075" s="143">
        <v>0</v>
      </c>
      <c r="DX1075" s="143">
        <v>0</v>
      </c>
      <c r="DY1075" s="143">
        <v>0</v>
      </c>
      <c r="DZ1075">
        <v>0</v>
      </c>
      <c r="EA1075" s="143">
        <v>1</v>
      </c>
      <c r="EB1075">
        <v>0</v>
      </c>
      <c r="EC1075" s="143">
        <v>1</v>
      </c>
      <c r="ED1075" s="143">
        <v>0</v>
      </c>
      <c r="EE1075">
        <v>0</v>
      </c>
      <c r="EF1075">
        <v>0</v>
      </c>
      <c r="EG1075" s="143">
        <v>0</v>
      </c>
      <c r="EH1075" s="143">
        <v>0</v>
      </c>
      <c r="EI1075" s="2">
        <v>0</v>
      </c>
      <c r="EK1075" t="str">
        <f>IF(AND(AND(AND(OR($DX1075=1,$DW1075=1),OR($EC1075=1,$EA1075=1)),SUM($DV1075:$DZ1075,$EF1075)&gt;=4),SUM($EA1075:$EE1075)&gt;=2),"Whole sector","")</f>
        <v/>
      </c>
      <c r="EL1075" t="str">
        <f>IF(AND(AND(OR($DX1075=1,$DW1075=1),AND($EC1075=0,$EA1075=0)),SUM($DV1075:$DZ1075,$EF1075)&gt;=4),"Ecosystem approach","")</f>
        <v/>
      </c>
      <c r="EM1075" s="2" t="str">
        <f>IF(AND(AND(AND($DX1075=0,$DW1075=0),OR($EC1075=1,$EA1075=1)),SUM($EB1075:$EE1075)&gt;=2),"Technology approach","")</f>
        <v/>
      </c>
      <c r="EN1075" t="s">
        <v>522</v>
      </c>
      <c r="EP1075" t="b">
        <f>IF(ISNUMBER(BU1075),IF(ABS(BU1075-[3]QC_indicators!$B$2)&gt;3*[3]QC_indicators!$C$2,"C ratio",IF(ISNUMBER(BY1075),IF(ABS(BY1075-[3]QC_indicators!$B$1)&gt;3*[3]QC_indicators!$C$1,"DF","no"))),IF(ISNUMBER(BY1075),IF(ABS(BY1075-[3]QC_indicators!$B$1)&gt;3*[3]QC_indicators!$C$1,"DF","no")))</f>
        <v>0</v>
      </c>
      <c r="ER1075" s="294" t="s">
        <v>349</v>
      </c>
      <c r="ET1075" s="264" t="s">
        <v>3407</v>
      </c>
    </row>
    <row r="1076" spans="1:150" ht="15" customHeight="1">
      <c r="A1076" s="1" t="s">
        <v>505</v>
      </c>
      <c r="B1076" t="s">
        <v>506</v>
      </c>
      <c r="C1076" t="s">
        <v>507</v>
      </c>
      <c r="D1076" t="s">
        <v>508</v>
      </c>
      <c r="E1076" t="s">
        <v>509</v>
      </c>
      <c r="F1076" t="s">
        <v>510</v>
      </c>
      <c r="G1076" t="s">
        <v>511</v>
      </c>
      <c r="H1076" t="s">
        <v>254</v>
      </c>
      <c r="I1076">
        <v>2021</v>
      </c>
      <c r="J1076">
        <v>7</v>
      </c>
      <c r="K1076" t="s">
        <v>512</v>
      </c>
      <c r="M1076" t="str">
        <f>LEFT($D1076,FIND(",",$D1076)-1)&amp;"_"&amp;I1076&amp;L1076</f>
        <v>Caldas_2021</v>
      </c>
      <c r="N1076" t="s">
        <v>222</v>
      </c>
      <c r="O1076" s="145" t="s">
        <v>223</v>
      </c>
      <c r="P1076" t="s">
        <v>513</v>
      </c>
      <c r="Q1076" s="264" t="s">
        <v>256</v>
      </c>
      <c r="R1076" s="269" t="s">
        <v>1154</v>
      </c>
      <c r="S1076" s="1" t="s">
        <v>523</v>
      </c>
      <c r="T1076" t="s">
        <v>524</v>
      </c>
      <c r="U1076" t="s">
        <v>525</v>
      </c>
      <c r="V1076">
        <v>0</v>
      </c>
      <c r="W1076">
        <v>0</v>
      </c>
      <c r="X1076">
        <v>0</v>
      </c>
      <c r="Y1076">
        <v>0</v>
      </c>
      <c r="Z1076">
        <v>0</v>
      </c>
      <c r="AA1076">
        <v>0</v>
      </c>
      <c r="AB1076">
        <v>0</v>
      </c>
      <c r="AC1076">
        <v>0</v>
      </c>
      <c r="AD1076">
        <v>0</v>
      </c>
      <c r="AE1076">
        <v>0</v>
      </c>
      <c r="AF1076">
        <v>1</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s="141">
        <f>COUNTIF(V1076:AW1076,"&lt;&gt;0")</f>
        <v>1</v>
      </c>
      <c r="AY1076" s="141">
        <f>COUNTIF(V1076:AL1076,"&lt;&gt;0")</f>
        <v>1</v>
      </c>
      <c r="AZ1076">
        <f>COUNTIF(V1076:AC1076,"&lt;&gt;0")</f>
        <v>0</v>
      </c>
      <c r="BA1076">
        <f>COUNTIF(AD1076:AI1076,"&lt;&gt;0")</f>
        <v>1</v>
      </c>
      <c r="BB1076">
        <f>COUNTIF(AJ1076:AL1076,"&lt;&gt;0")</f>
        <v>0</v>
      </c>
      <c r="BC1076">
        <f>COUNTIF(AS1076:AW1076,"&lt;&gt;0")</f>
        <v>0</v>
      </c>
      <c r="BD1076">
        <f>COUNTIF(AM1076:AR1076,"&lt;&gt;0")</f>
        <v>0</v>
      </c>
      <c r="BE1076" t="str" cm="1">
        <f t="array" ref="BE1076">IF(AY1076=1,INDEX($V$7:$AL$7,MATCH(TRUE,INDEX($V1076:$AW1076&lt;&gt;0,),0)),IF(AY1076=0,INDEX($AM$7:$AW$7,MATCH(1,$AM1076:$AW1076,0)),IF(BF1076="Multiple strategies","mixed drivers",IF(BF1076="Supply chain","multiple supply","multiple silviculture"))))</f>
        <v>supply chain organization</v>
      </c>
      <c r="BF1076" s="2" t="str" cm="1">
        <f t="array" ref="BF1076">IF(COUNTIF(AZ1076:BB1076,"&lt;&gt;0")=1,INDEX($V$4:$AW$4,MATCH(TRUE,INDEX($V1076:$AW1076&lt;&gt;0,),0)),IF(COUNTIF(AZ1076:BB1076,"&lt;&gt;0")=0,INDEX($AM$4:$AW$4,MATCH(1,$AM1076:$AW1076,0)),"Multiple strategies"))</f>
        <v>Supply chain</v>
      </c>
      <c r="BG1076" s="1" t="s">
        <v>229</v>
      </c>
      <c r="BH1076" t="s">
        <v>517</v>
      </c>
      <c r="BJ1076" t="s">
        <v>518</v>
      </c>
      <c r="BK1076">
        <v>140</v>
      </c>
      <c r="BL1076">
        <v>140</v>
      </c>
      <c r="BN1076">
        <f>BL1076-BK1076</f>
        <v>0</v>
      </c>
      <c r="BO1076">
        <f>BN1076*kg_to_m3</f>
        <v>0</v>
      </c>
      <c r="BP1076" s="264" t="s">
        <v>232</v>
      </c>
      <c r="BQ1076" s="264"/>
      <c r="BR1076" t="s">
        <v>519</v>
      </c>
      <c r="BS1076">
        <v>-757.6</v>
      </c>
      <c r="BT1076">
        <v>-624.20000000000005</v>
      </c>
      <c r="BU1076" s="144">
        <v>0.82391763463569168</v>
      </c>
      <c r="BV1076">
        <v>133.39999999999998</v>
      </c>
      <c r="BX1076">
        <f>BV1076/1000</f>
        <v>0.13339999999999999</v>
      </c>
      <c r="BY1076" t="str">
        <f>IFERROR(BX1076/BO1076,"")</f>
        <v/>
      </c>
      <c r="BZ1076" s="143">
        <v>0</v>
      </c>
      <c r="CA1076" s="143">
        <v>0</v>
      </c>
      <c r="CB1076" s="143">
        <v>0</v>
      </c>
      <c r="CC1076" s="143">
        <v>0</v>
      </c>
      <c r="CD1076" s="143">
        <v>0</v>
      </c>
      <c r="CE1076" s="143">
        <v>0</v>
      </c>
      <c r="CF1076" s="143">
        <v>0</v>
      </c>
      <c r="CG1076" s="143">
        <v>0</v>
      </c>
      <c r="CH1076" s="143">
        <v>0</v>
      </c>
      <c r="CI1076" s="143">
        <v>0</v>
      </c>
      <c r="CJ1076" s="143">
        <v>0</v>
      </c>
      <c r="CK1076" s="143">
        <v>0</v>
      </c>
      <c r="CL1076" s="143">
        <v>0</v>
      </c>
      <c r="CM1076">
        <v>0</v>
      </c>
      <c r="CN1076" t="str">
        <f>IF($BL1076&lt;$BK1076,"refNeedCorrection","refOK")</f>
        <v>refOK</v>
      </c>
      <c r="CO1076">
        <f>IF($CN1076="refOK",$BK1076,$BL1076)</f>
        <v>140</v>
      </c>
      <c r="CP1076">
        <f>IF($CN1076="refOK",$BL1076,$BK1076)</f>
        <v>140</v>
      </c>
      <c r="CQ1076">
        <f>IF($CN1076="refOK",$BO1076,-$BO1076)</f>
        <v>0</v>
      </c>
      <c r="CR1076">
        <f>IF($CN1076="refOK",$BS1076,$BT1076)*IF($BP1076="Emissions positive",-1,1)</f>
        <v>-757.6</v>
      </c>
      <c r="CS1076">
        <f>IF($CN1076="refOK",$BT1076,$BS1076)*IF($BP1076="Emissions positive",-1,1)</f>
        <v>-624.20000000000005</v>
      </c>
      <c r="CT1076">
        <f>IF($CN1076="refNeedCorrection",-BX1076,BX1076)*IF($BP1076="Emissions positive",-1,1)</f>
        <v>0.13339999999999999</v>
      </c>
      <c r="CU1076" t="str">
        <f>IFERROR(CT1076/CQ1076,"")</f>
        <v/>
      </c>
      <c r="CV1076" s="2">
        <f>IFERROR((CS1076-CR1076)/ABS(CR1076),"")</f>
        <v>0.1760823653643083</v>
      </c>
      <c r="CW1076" s="1" t="s">
        <v>263</v>
      </c>
      <c r="CX1076" s="264" t="str">
        <f>IF(OR($CW1076="prd",$CW1076="std",$CW1076="cit"),"loc",IF(OR($CW1076="eur",$CW1076="reg",$CW1076="coy"),"reg",$CW1076))</f>
        <v>loc</v>
      </c>
      <c r="CY1076" t="s">
        <v>520</v>
      </c>
      <c r="CZ1076">
        <v>2014</v>
      </c>
      <c r="DA1076">
        <v>2014</v>
      </c>
      <c r="DB1076">
        <f>DA1076-CZ1076</f>
        <v>0</v>
      </c>
      <c r="DC1076" t="str">
        <f>IF(DB1076=0,"0",IF(AND(DB1076&gt;=1,DB1076&lt;=30),"1-30",IF(AND(DB1076&gt;30,DB1076&lt;=70),"31-70",IF(AND(DB1076&gt;70,DB1076&lt;=100),"71-100",IF(DB1076&gt;100,"+100")))))</f>
        <v>0</v>
      </c>
      <c r="DD1076">
        <v>0</v>
      </c>
      <c r="DE1076">
        <v>0</v>
      </c>
      <c r="DF1076">
        <v>0</v>
      </c>
      <c r="DG1076">
        <v>1</v>
      </c>
      <c r="DI1076">
        <f>SUM(DD1076:DG1076)</f>
        <v>1</v>
      </c>
      <c r="DJ1076" t="str">
        <f>IF(DI1076=1,INDEX($DD$7:$DG$7,MATCH(1,$DD1076:$DG1076,0)),"mixedProduct")</f>
        <v>TimberInput</v>
      </c>
      <c r="DK1076">
        <f>IF(DD1076=1,DK$7,0)</f>
        <v>0</v>
      </c>
      <c r="DL1076">
        <f>IF(DE1076=1,DL$7,0)</f>
        <v>0</v>
      </c>
      <c r="DM1076">
        <f>IF(DF1076=1,DM$7,0)</f>
        <v>0</v>
      </c>
      <c r="DN1076" t="str">
        <f>IF(DG1076=1,DN$7,0)</f>
        <v>Timber</v>
      </c>
      <c r="DO1076">
        <v>0</v>
      </c>
      <c r="DP1076" s="143">
        <v>0</v>
      </c>
      <c r="DQ1076" s="143">
        <v>0</v>
      </c>
      <c r="DR1076" s="143">
        <v>0</v>
      </c>
      <c r="DS1076">
        <v>0</v>
      </c>
      <c r="DT1076">
        <f>SUM(DO1076:DP1076)</f>
        <v>0</v>
      </c>
      <c r="DU1076" s="143" t="str">
        <f>IF(DO1076=1,"self-calculated DF",IF(DP1076=1,"external DF used","explicit C balance"))</f>
        <v>explicit C balance</v>
      </c>
      <c r="DV1076">
        <v>0</v>
      </c>
      <c r="DW1076" s="143">
        <v>0</v>
      </c>
      <c r="DX1076" s="143">
        <v>0</v>
      </c>
      <c r="DY1076" s="143">
        <v>0</v>
      </c>
      <c r="DZ1076">
        <v>0</v>
      </c>
      <c r="EA1076" s="143">
        <v>1</v>
      </c>
      <c r="EB1076">
        <v>0</v>
      </c>
      <c r="EC1076" s="143">
        <v>1</v>
      </c>
      <c r="ED1076" s="143">
        <v>0</v>
      </c>
      <c r="EE1076">
        <v>0</v>
      </c>
      <c r="EF1076">
        <v>0</v>
      </c>
      <c r="EG1076" s="143">
        <v>0</v>
      </c>
      <c r="EH1076" s="143">
        <v>0</v>
      </c>
      <c r="EI1076" s="2">
        <v>0</v>
      </c>
      <c r="EK1076" t="str">
        <f>IF(AND(AND(AND(OR($DX1076=1,$DW1076=1),OR($EC1076=1,$EA1076=1)),SUM($DV1076:$DZ1076,$EF1076)&gt;=4),SUM($EA1076:$EE1076)&gt;=2),"Whole sector","")</f>
        <v/>
      </c>
      <c r="EL1076" t="str">
        <f>IF(AND(AND(OR($DX1076=1,$DW1076=1),AND($EC1076=0,$EA1076=0)),SUM($DV1076:$DZ1076,$EF1076)&gt;=4),"Ecosystem approach","")</f>
        <v/>
      </c>
      <c r="EM1076" s="2" t="str">
        <f>IF(AND(AND(AND($DX1076=0,$DW1076=0),OR($EC1076=1,$EA1076=1)),SUM($EB1076:$EE1076)&gt;=2),"Technology approach","")</f>
        <v/>
      </c>
      <c r="EN1076" t="s">
        <v>522</v>
      </c>
      <c r="EP1076" t="b">
        <f>IF(ISNUMBER(BU1076),IF(ABS(BU1076-[3]QC_indicators!$B$2)&gt;3*[3]QC_indicators!$C$2,"C ratio",IF(ISNUMBER(BY1076),IF(ABS(BY1076-[3]QC_indicators!$B$1)&gt;3*[3]QC_indicators!$C$1,"DF","no"))),IF(ISNUMBER(BY1076),IF(ABS(BY1076-[3]QC_indicators!$B$1)&gt;3*[3]QC_indicators!$C$1,"DF","no")))</f>
        <v>0</v>
      </c>
      <c r="ER1076" s="294" t="s">
        <v>349</v>
      </c>
      <c r="ET1076" s="264" t="s">
        <v>3407</v>
      </c>
    </row>
    <row r="1077" spans="1:150" ht="15" customHeight="1">
      <c r="A1077" s="1" t="s">
        <v>505</v>
      </c>
      <c r="B1077" t="s">
        <v>506</v>
      </c>
      <c r="C1077" t="s">
        <v>507</v>
      </c>
      <c r="D1077" t="s">
        <v>508</v>
      </c>
      <c r="E1077" t="s">
        <v>509</v>
      </c>
      <c r="F1077" t="s">
        <v>510</v>
      </c>
      <c r="G1077" t="s">
        <v>511</v>
      </c>
      <c r="H1077" t="s">
        <v>254</v>
      </c>
      <c r="I1077">
        <v>2021</v>
      </c>
      <c r="J1077">
        <v>7</v>
      </c>
      <c r="K1077" t="s">
        <v>512</v>
      </c>
      <c r="M1077" t="str">
        <f>LEFT($D1077,FIND(",",$D1077)-1)&amp;"_"&amp;I1077&amp;L1077</f>
        <v>Caldas_2021</v>
      </c>
      <c r="N1077" t="s">
        <v>222</v>
      </c>
      <c r="O1077" s="145" t="s">
        <v>223</v>
      </c>
      <c r="P1077" t="s">
        <v>513</v>
      </c>
      <c r="Q1077" s="264" t="s">
        <v>256</v>
      </c>
      <c r="R1077" s="269" t="s">
        <v>1154</v>
      </c>
      <c r="S1077" s="1" t="s">
        <v>523</v>
      </c>
      <c r="T1077" t="s">
        <v>524</v>
      </c>
      <c r="U1077" t="s">
        <v>525</v>
      </c>
      <c r="V1077">
        <v>0</v>
      </c>
      <c r="W1077">
        <v>0</v>
      </c>
      <c r="X1077">
        <v>0</v>
      </c>
      <c r="Y1077">
        <v>0</v>
      </c>
      <c r="Z1077">
        <v>0</v>
      </c>
      <c r="AA1077">
        <v>0</v>
      </c>
      <c r="AB1077">
        <v>0</v>
      </c>
      <c r="AC1077">
        <v>0</v>
      </c>
      <c r="AD1077">
        <v>0</v>
      </c>
      <c r="AE1077">
        <v>0</v>
      </c>
      <c r="AF1077">
        <v>1</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s="141">
        <f>COUNTIF(V1077:AW1077,"&lt;&gt;0")</f>
        <v>1</v>
      </c>
      <c r="AY1077" s="141">
        <f>COUNTIF(V1077:AL1077,"&lt;&gt;0")</f>
        <v>1</v>
      </c>
      <c r="AZ1077">
        <f>COUNTIF(V1077:AC1077,"&lt;&gt;0")</f>
        <v>0</v>
      </c>
      <c r="BA1077">
        <f>COUNTIF(AD1077:AI1077,"&lt;&gt;0")</f>
        <v>1</v>
      </c>
      <c r="BB1077">
        <f>COUNTIF(AJ1077:AL1077,"&lt;&gt;0")</f>
        <v>0</v>
      </c>
      <c r="BC1077">
        <f>COUNTIF(AS1077:AW1077,"&lt;&gt;0")</f>
        <v>0</v>
      </c>
      <c r="BD1077">
        <f>COUNTIF(AM1077:AR1077,"&lt;&gt;0")</f>
        <v>0</v>
      </c>
      <c r="BE1077" t="str" cm="1">
        <f t="array" ref="BE1077">IF(AY1077=1,INDEX($V$7:$AL$7,MATCH(TRUE,INDEX($V1077:$AW1077&lt;&gt;0,),0)),IF(AY1077=0,INDEX($AM$7:$AW$7,MATCH(1,$AM1077:$AW1077,0)),IF(BF1077="Multiple strategies","mixed drivers",IF(BF1077="Supply chain","multiple supply","multiple silviculture"))))</f>
        <v>supply chain organization</v>
      </c>
      <c r="BF1077" s="2" t="str" cm="1">
        <f t="array" ref="BF1077">IF(COUNTIF(AZ1077:BB1077,"&lt;&gt;0")=1,INDEX($V$4:$AW$4,MATCH(TRUE,INDEX($V1077:$AW1077&lt;&gt;0,),0)),IF(COUNTIF(AZ1077:BB1077,"&lt;&gt;0")=0,INDEX($AM$4:$AW$4,MATCH(1,$AM1077:$AW1077,0)),"Multiple strategies"))</f>
        <v>Supply chain</v>
      </c>
      <c r="BG1077" s="1" t="s">
        <v>229</v>
      </c>
      <c r="BH1077" t="s">
        <v>517</v>
      </c>
      <c r="BJ1077" t="s">
        <v>518</v>
      </c>
      <c r="BK1077">
        <v>140</v>
      </c>
      <c r="BL1077">
        <v>140</v>
      </c>
      <c r="BN1077">
        <f>BL1077-BK1077</f>
        <v>0</v>
      </c>
      <c r="BO1077">
        <f>BN1077*kg_to_m3</f>
        <v>0</v>
      </c>
      <c r="BP1077" s="264" t="s">
        <v>232</v>
      </c>
      <c r="BQ1077" s="264"/>
      <c r="BR1077" t="s">
        <v>519</v>
      </c>
      <c r="BS1077">
        <v>-530.29999999999995</v>
      </c>
      <c r="BT1077">
        <v>-530.29999999999995</v>
      </c>
      <c r="BU1077" s="144">
        <v>1</v>
      </c>
      <c r="BV1077">
        <v>0</v>
      </c>
      <c r="BX1077">
        <f>BV1077/1000</f>
        <v>0</v>
      </c>
      <c r="BY1077" t="str">
        <f>IFERROR(BX1077/BO1077,"")</f>
        <v/>
      </c>
      <c r="BZ1077" s="143">
        <v>0</v>
      </c>
      <c r="CA1077" s="143">
        <v>0</v>
      </c>
      <c r="CB1077" s="143">
        <v>0</v>
      </c>
      <c r="CC1077" s="143">
        <v>0</v>
      </c>
      <c r="CD1077" s="143">
        <v>0</v>
      </c>
      <c r="CE1077" s="143">
        <v>0</v>
      </c>
      <c r="CF1077" s="143">
        <v>0</v>
      </c>
      <c r="CG1077" s="143">
        <v>0</v>
      </c>
      <c r="CH1077" s="143">
        <v>0</v>
      </c>
      <c r="CI1077" s="143">
        <v>0</v>
      </c>
      <c r="CJ1077" s="143">
        <v>0</v>
      </c>
      <c r="CK1077" s="143">
        <v>0</v>
      </c>
      <c r="CL1077" s="143">
        <v>0</v>
      </c>
      <c r="CM1077">
        <v>0</v>
      </c>
      <c r="CN1077" t="str">
        <f>IF($BL1077&lt;$BK1077,"refNeedCorrection","refOK")</f>
        <v>refOK</v>
      </c>
      <c r="CO1077">
        <f>IF($CN1077="refOK",$BK1077,$BL1077)</f>
        <v>140</v>
      </c>
      <c r="CP1077">
        <f>IF($CN1077="refOK",$BL1077,$BK1077)</f>
        <v>140</v>
      </c>
      <c r="CQ1077">
        <f>IF($CN1077="refOK",$BO1077,-$BO1077)</f>
        <v>0</v>
      </c>
      <c r="CR1077">
        <f>IF($CN1077="refOK",$BS1077,$BT1077)*IF($BP1077="Emissions positive",-1,1)</f>
        <v>-530.29999999999995</v>
      </c>
      <c r="CS1077">
        <f>IF($CN1077="refOK",$BT1077,$BS1077)*IF($BP1077="Emissions positive",-1,1)</f>
        <v>-530.29999999999995</v>
      </c>
      <c r="CT1077"/>
      <c r="CU1077" t="str">
        <f>IFERROR(CT1077/CQ1077,"")</f>
        <v/>
      </c>
      <c r="CV1077" s="2"/>
      <c r="CW1077" s="1" t="s">
        <v>263</v>
      </c>
      <c r="CX1077" s="264" t="str">
        <f>IF(OR($CW1077="prd",$CW1077="std",$CW1077="cit"),"loc",IF(OR($CW1077="eur",$CW1077="reg",$CW1077="coy"),"reg",$CW1077))</f>
        <v>loc</v>
      </c>
      <c r="CY1077" t="s">
        <v>520</v>
      </c>
      <c r="CZ1077">
        <v>2014</v>
      </c>
      <c r="DA1077">
        <v>2014</v>
      </c>
      <c r="DB1077">
        <f>DA1077-CZ1077</f>
        <v>0</v>
      </c>
      <c r="DC1077" t="str">
        <f>IF(DB1077=0,"0",IF(AND(DB1077&gt;=1,DB1077&lt;=30),"1-30",IF(AND(DB1077&gt;30,DB1077&lt;=70),"31-70",IF(AND(DB1077&gt;70,DB1077&lt;=100),"71-100",IF(DB1077&gt;100,"+100")))))</f>
        <v>0</v>
      </c>
      <c r="DD1077">
        <v>0</v>
      </c>
      <c r="DE1077">
        <v>0</v>
      </c>
      <c r="DF1077">
        <v>0</v>
      </c>
      <c r="DG1077">
        <v>1</v>
      </c>
      <c r="DI1077">
        <f>SUM(DD1077:DG1077)</f>
        <v>1</v>
      </c>
      <c r="DJ1077" t="str">
        <f>IF(DI1077=1,INDEX($DD$7:$DG$7,MATCH(1,$DD1077:$DG1077,0)),"mixedProduct")</f>
        <v>TimberInput</v>
      </c>
      <c r="DK1077">
        <f>IF(DD1077=1,DK$7,0)</f>
        <v>0</v>
      </c>
      <c r="DL1077">
        <f>IF(DE1077=1,DL$7,0)</f>
        <v>0</v>
      </c>
      <c r="DM1077">
        <f>IF(DF1077=1,DM$7,0)</f>
        <v>0</v>
      </c>
      <c r="DN1077" t="str">
        <f>IF(DG1077=1,DN$7,0)</f>
        <v>Timber</v>
      </c>
      <c r="DO1077">
        <v>0</v>
      </c>
      <c r="DP1077" s="143">
        <v>0</v>
      </c>
      <c r="DQ1077" s="143">
        <v>0</v>
      </c>
      <c r="DR1077" s="143">
        <v>0</v>
      </c>
      <c r="DS1077">
        <v>0</v>
      </c>
      <c r="DT1077">
        <f>SUM(DO1077:DP1077)</f>
        <v>0</v>
      </c>
      <c r="DU1077" s="143" t="str">
        <f>IF(DO1077=1,"self-calculated DF",IF(DP1077=1,"external DF used","explicit C balance"))</f>
        <v>explicit C balance</v>
      </c>
      <c r="DV1077">
        <v>0</v>
      </c>
      <c r="DW1077" s="143">
        <v>0</v>
      </c>
      <c r="DX1077" s="143">
        <v>0</v>
      </c>
      <c r="DY1077" s="143">
        <v>0</v>
      </c>
      <c r="DZ1077">
        <v>0</v>
      </c>
      <c r="EA1077" s="143">
        <v>1</v>
      </c>
      <c r="EB1077">
        <v>0</v>
      </c>
      <c r="EC1077" s="143">
        <v>1</v>
      </c>
      <c r="ED1077" s="143">
        <v>0</v>
      </c>
      <c r="EE1077">
        <v>0</v>
      </c>
      <c r="EF1077">
        <v>0</v>
      </c>
      <c r="EG1077" s="143">
        <v>0</v>
      </c>
      <c r="EH1077" s="143">
        <v>0</v>
      </c>
      <c r="EI1077" s="2">
        <v>0</v>
      </c>
      <c r="EK1077" t="str">
        <f>IF(AND(AND(AND(OR($DX1077=1,$DW1077=1),OR($EC1077=1,$EA1077=1)),SUM($DV1077:$DZ1077,$EF1077)&gt;=4),SUM($EA1077:$EE1077)&gt;=2),"Whole sector","")</f>
        <v/>
      </c>
      <c r="EL1077" t="str">
        <f>IF(AND(AND(OR($DX1077=1,$DW1077=1),AND($EC1077=0,$EA1077=0)),SUM($DV1077:$DZ1077,$EF1077)&gt;=4),"Ecosystem approach","")</f>
        <v/>
      </c>
      <c r="EM1077" s="2" t="str">
        <f>IF(AND(AND(AND($DX1077=0,$DW1077=0),OR($EC1077=1,$EA1077=1)),SUM($EB1077:$EE1077)&gt;=2),"Technology approach","")</f>
        <v/>
      </c>
      <c r="EN1077" t="s">
        <v>522</v>
      </c>
      <c r="EP1077" t="b">
        <f>IF(ISNUMBER(BU1077),IF(ABS(BU1077-[3]QC_indicators!$B$2)&gt;3*[3]QC_indicators!$C$2,"C ratio",IF(ISNUMBER(BY1077),IF(ABS(BY1077-[3]QC_indicators!$B$1)&gt;3*[3]QC_indicators!$C$1,"DF","no"))),IF(ISNUMBER(BY1077),IF(ABS(BY1077-[3]QC_indicators!$B$1)&gt;3*[3]QC_indicators!$C$1,"DF","no")))</f>
        <v>0</v>
      </c>
      <c r="ER1077" s="294" t="s">
        <v>349</v>
      </c>
      <c r="ET1077" s="264" t="s">
        <v>3407</v>
      </c>
    </row>
    <row r="1078" spans="1:150" ht="15" customHeight="1">
      <c r="A1078" s="1" t="s">
        <v>1360</v>
      </c>
      <c r="B1078" t="s">
        <v>1361</v>
      </c>
      <c r="C1078" t="s">
        <v>1362</v>
      </c>
      <c r="D1078" t="s">
        <v>1363</v>
      </c>
      <c r="E1078" t="s">
        <v>1364</v>
      </c>
      <c r="F1078" t="s">
        <v>1365</v>
      </c>
      <c r="G1078" t="s">
        <v>1366</v>
      </c>
      <c r="H1078" t="s">
        <v>254</v>
      </c>
      <c r="I1078">
        <v>2012</v>
      </c>
      <c r="J1078">
        <v>27</v>
      </c>
      <c r="K1078" t="s">
        <v>1367</v>
      </c>
      <c r="M1078" t="str">
        <f>LEFT($D1078,FIND(",",$D1078)-1)&amp;"_"&amp;I1078&amp;L1078</f>
        <v>Colombo_2012</v>
      </c>
      <c r="N1078" t="s">
        <v>222</v>
      </c>
      <c r="O1078" s="145" t="s">
        <v>223</v>
      </c>
      <c r="Q1078" t="s">
        <v>256</v>
      </c>
      <c r="R1078" s="269" t="s">
        <v>274</v>
      </c>
      <c r="S1078" s="1" t="s">
        <v>1375</v>
      </c>
      <c r="T1078" t="s">
        <v>1376</v>
      </c>
      <c r="U1078" t="s">
        <v>1377</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1</v>
      </c>
      <c r="AR1078">
        <v>0</v>
      </c>
      <c r="AS1078">
        <v>0</v>
      </c>
      <c r="AT1078">
        <v>0</v>
      </c>
      <c r="AU1078">
        <v>0</v>
      </c>
      <c r="AV1078">
        <v>0</v>
      </c>
      <c r="AW1078">
        <v>0</v>
      </c>
      <c r="AX1078" s="141">
        <f>COUNTIF(V1078:AW1078,"&lt;&gt;0")</f>
        <v>1</v>
      </c>
      <c r="AY1078" s="141">
        <f>COUNTIF(V1078:AL1078,"&lt;&gt;0")</f>
        <v>0</v>
      </c>
      <c r="AZ1078">
        <f>COUNTIF(V1078:AC1078,"&lt;&gt;0")</f>
        <v>0</v>
      </c>
      <c r="BA1078">
        <f>COUNTIF(AD1078:AI1078,"&lt;&gt;0")</f>
        <v>0</v>
      </c>
      <c r="BB1078">
        <f>COUNTIF(AJ1078:AL1078,"&lt;&gt;0")</f>
        <v>0</v>
      </c>
      <c r="BC1078">
        <f>COUNTIF(AS1078:AW1078,"&lt;&gt;0")</f>
        <v>0</v>
      </c>
      <c r="BD1078">
        <f>COUNTIF(AM1078:AR1078,"&lt;&gt;0")</f>
        <v>1</v>
      </c>
      <c r="BE1078" t="str">
        <f t="array" ref="BE1078">IF(AY1078=1,INDEX($V$7:$AL$7,MATCH(TRUE,INDEX($V1078:$AW1078&lt;&gt;0,),0)),IF(AY1078=0,INDEX($AM$7:$AW$7,MATCH(1,$AM1078:$AW1078,0)),IF(BF1078="Multiple strategies","mixed drivers",IF(BF1078="Supply chain","multiple supply","multiple silviculture"))))</f>
        <v>disturbance</v>
      </c>
      <c r="BF1078" s="2" t="str" cm="1">
        <f t="array" ref="BF1078">IF(COUNTIF(AZ1078:BB1078,"&lt;&gt;0")=1,INDEX($V$4:$AW$4,MATCH(TRUE,INDEX($V1078:$AW1078&lt;&gt;0,),0)),IF(COUNTIF(AZ1078:BB1078,"&lt;&gt;0")=0,INDEX($AM$4:$AW$4,MATCH(1,$AM1078:$AW1078,0)),"Multiple strategies"))</f>
        <v>Environmental change</v>
      </c>
      <c r="BG1078" s="1" t="s">
        <v>229</v>
      </c>
      <c r="BH1078" t="s">
        <v>1371</v>
      </c>
      <c r="BI1078" s="264"/>
      <c r="BJ1078" t="s">
        <v>1372</v>
      </c>
      <c r="BK1078">
        <v>0</v>
      </c>
      <c r="BL1078">
        <v>0</v>
      </c>
      <c r="BN1078">
        <f>BL1078-BK1078</f>
        <v>0</v>
      </c>
      <c r="BO1078">
        <f>BN1078*10^6*t_to_m3</f>
        <v>0</v>
      </c>
      <c r="BP1078" s="143" t="s">
        <v>232</v>
      </c>
      <c r="BQ1078" s="143" t="s">
        <v>689</v>
      </c>
      <c r="BR1078" t="s">
        <v>1372</v>
      </c>
      <c r="BS1078">
        <v>492.76190476190402</v>
      </c>
      <c r="BT1078">
        <v>548.57142857142799</v>
      </c>
      <c r="BU1078" s="144">
        <f>IFERROR(BT1078/BS1078,"")</f>
        <v>1.1132586006957872</v>
      </c>
      <c r="BV1078">
        <f>BT1078-BS1078</f>
        <v>55.809523809523967</v>
      </c>
      <c r="BX1078">
        <f>BV1078*10^6*C_to_CO2</f>
        <v>204820952.38095295</v>
      </c>
      <c r="BY1078" t="str">
        <f>IFERROR(BX1078/BO1078,"")</f>
        <v/>
      </c>
      <c r="BZ1078">
        <v>0</v>
      </c>
      <c r="CA1078">
        <v>0</v>
      </c>
      <c r="CB1078">
        <v>0</v>
      </c>
      <c r="CC1078">
        <v>0</v>
      </c>
      <c r="CD1078">
        <v>0</v>
      </c>
      <c r="CE1078">
        <v>0</v>
      </c>
      <c r="CF1078">
        <v>0</v>
      </c>
      <c r="CG1078">
        <v>0</v>
      </c>
      <c r="CH1078">
        <v>0</v>
      </c>
      <c r="CI1078">
        <v>0</v>
      </c>
      <c r="CJ1078">
        <v>0</v>
      </c>
      <c r="CK1078">
        <v>0</v>
      </c>
      <c r="CL1078">
        <v>0</v>
      </c>
      <c r="CM1078">
        <v>0</v>
      </c>
      <c r="CN1078" t="str">
        <f>IF($BL1078&lt;$BK1078,"refNeedCorrection","refOK")</f>
        <v>refOK</v>
      </c>
      <c r="CO1078" s="271">
        <f>IF($CN1078="refOK",$BK1078,$BL1078)</f>
        <v>0</v>
      </c>
      <c r="CP1078" s="271">
        <f>IF($CN1078="refOK",$BL1078,$BK1078)</f>
        <v>0</v>
      </c>
      <c r="CQ1078">
        <f>IF($CN1078="refOK",$BO1078,-$BO1078)</f>
        <v>0</v>
      </c>
      <c r="CR1078">
        <f>IF($CN1078="refOK",$BS1078,$BT1078)*IF($BP1078="Emissions positive",-1,1)</f>
        <v>492.76190476190402</v>
      </c>
      <c r="CS1078">
        <f>IF($CN1078="refOK",$BT1078,$BS1078)*IF($BP1078="Emissions positive",-1,1)</f>
        <v>548.57142857142799</v>
      </c>
      <c r="CT1078">
        <f>IF($CN1078="refNeedCorrection",-BX1078,BX1078)*IF($BP1078="Emissions positive",-1,1)</f>
        <v>204820952.38095295</v>
      </c>
      <c r="CU1078" t="str">
        <f>IFERROR(CT1078/CQ1078,"")</f>
        <v/>
      </c>
      <c r="CV1078" s="2">
        <f>IFERROR((CS1078-CR1078)/ABS(CR1078),"")</f>
        <v>0.11325860069578711</v>
      </c>
      <c r="CW1078" s="1" t="s">
        <v>1199</v>
      </c>
      <c r="CX1078" t="str">
        <f>IF(OR($CW1078="prd",$CW1078="std",$CW1078="cit"),"loc",IF(OR($CW1078="eur",$CW1078="reg",$CW1078="coy"),"reg",$CW1078))</f>
        <v>reg</v>
      </c>
      <c r="CY1078" t="s">
        <v>540</v>
      </c>
      <c r="CZ1078">
        <v>2010</v>
      </c>
      <c r="DA1078">
        <v>2110</v>
      </c>
      <c r="DB1078">
        <f>DA1078-CZ1078</f>
        <v>100</v>
      </c>
      <c r="DC1078" t="str">
        <f>IF(DB1078=0,"0",IF(AND(DB1078&gt;=1,DB1078&lt;=30),"1-30",IF(AND(DB1078&gt;30,DB1078&lt;=70),"31-70",IF(AND(DB1078&gt;70,DB1078&lt;=100),"71-100",IF(DB1078&gt;100,"+100")))))</f>
        <v>71-100</v>
      </c>
      <c r="DD1078">
        <v>0</v>
      </c>
      <c r="DE1078">
        <v>1</v>
      </c>
      <c r="DF1078">
        <v>1</v>
      </c>
      <c r="DG1078">
        <v>1</v>
      </c>
      <c r="DI1078">
        <f>SUM(DD1078:DG1078)</f>
        <v>3</v>
      </c>
      <c r="DJ1078" t="str">
        <f>IF(DI1078=1,INDEX($DD$7:$DG$7,MATCH(1,$DD1078:$DG1078,0)),"mixedProduct")</f>
        <v>mixedProduct</v>
      </c>
      <c r="DK1078">
        <f>IF(DD1078=1,DK$7,0)</f>
        <v>0</v>
      </c>
      <c r="DL1078" t="str">
        <f>IF(DE1078=1,DL$7,0)</f>
        <v>Energy</v>
      </c>
      <c r="DM1078" t="str">
        <f>IF(DF1078=1,DM$7,0)</f>
        <v>Pulp/Paper</v>
      </c>
      <c r="DN1078" t="str">
        <f>IF(DG1078=1,DN$7,0)</f>
        <v>Timber</v>
      </c>
      <c r="DO1078">
        <v>0</v>
      </c>
      <c r="DP1078">
        <v>0</v>
      </c>
      <c r="DQ1078">
        <v>0</v>
      </c>
      <c r="DR1078">
        <v>0</v>
      </c>
      <c r="DS1078">
        <v>0</v>
      </c>
      <c r="DT1078">
        <f>SUM(DO1078:DP1078)</f>
        <v>0</v>
      </c>
      <c r="DU1078" s="143" t="str">
        <f>IF(DO1078=1,"self-calculated DF",IF(DP1078=1,"external DF used","explicit C balance"))</f>
        <v>explicit C balance</v>
      </c>
      <c r="DV1078">
        <v>1</v>
      </c>
      <c r="DW1078">
        <v>1</v>
      </c>
      <c r="DX1078">
        <v>1</v>
      </c>
      <c r="DY1078">
        <v>1</v>
      </c>
      <c r="DZ1078">
        <v>0</v>
      </c>
      <c r="EA1078" s="143">
        <v>0</v>
      </c>
      <c r="EB1078">
        <v>0</v>
      </c>
      <c r="EC1078">
        <v>0</v>
      </c>
      <c r="ED1078">
        <v>0</v>
      </c>
      <c r="EE1078">
        <v>0</v>
      </c>
      <c r="EF1078">
        <v>1</v>
      </c>
      <c r="EG1078">
        <v>0</v>
      </c>
      <c r="EH1078">
        <v>0</v>
      </c>
      <c r="EI1078" s="2">
        <v>0</v>
      </c>
      <c r="EK1078" t="str">
        <f>IF(AND(AND(AND(OR($DX1078=1,$DW1078=1),OR($EC1078=1,$EA1078=1)),SUM($DV1078:$DZ1078,$EF1078)&gt;=4),SUM($EA1078:$EE1078)&gt;=2),"Whole sector","")</f>
        <v/>
      </c>
      <c r="EL1078" t="str">
        <f>IF(AND(AND(OR($DX1078=1,$DW1078=1),AND($EC1078=0,$EA1078=0)),SUM($DV1078:$DZ1078,$EF1078)&gt;=4),"Ecosystem approach","")</f>
        <v>Ecosystem approach</v>
      </c>
      <c r="EM1078" s="2" t="str">
        <f>IF(AND(AND(AND($DX1078=0,$DW1078=0),OR($EC1078=1,$EA1078=1)),SUM($EB1078:$EE1078)&gt;=2),"Technology approach","")</f>
        <v/>
      </c>
      <c r="EP1078" t="b">
        <f>IF(ISNUMBER(BU1078),IF(ABS(BU1078-[2]QC_indicators!$B$2)&gt;3*[2]QC_indicators!$C$2,"C ratio",IF(ISNUMBER(BY1078),IF(ABS(BY1078-[2]QC_indicators!$B$1)&gt;3*[2]QC_indicators!$C$1,"DF","no"))),IF(ISNUMBER(BY1078),IF(ABS(BY1078-[2]QC_indicators!$B$1)&gt;3*[2]QC_indicators!$C$1,"DF","no")))</f>
        <v>0</v>
      </c>
      <c r="ET1078" s="264" t="s">
        <v>3151</v>
      </c>
    </row>
    <row r="1079" spans="1:150" ht="15" customHeight="1">
      <c r="A1079" s="1" t="s">
        <v>1360</v>
      </c>
      <c r="B1079" t="s">
        <v>1361</v>
      </c>
      <c r="C1079" t="s">
        <v>1362</v>
      </c>
      <c r="D1079" t="s">
        <v>1363</v>
      </c>
      <c r="E1079" t="s">
        <v>1364</v>
      </c>
      <c r="F1079" t="s">
        <v>1365</v>
      </c>
      <c r="G1079" t="s">
        <v>1366</v>
      </c>
      <c r="H1079" t="s">
        <v>254</v>
      </c>
      <c r="I1079">
        <v>2012</v>
      </c>
      <c r="J1079">
        <v>27</v>
      </c>
      <c r="K1079" t="s">
        <v>1367</v>
      </c>
      <c r="M1079" t="str">
        <f>LEFT($D1079,FIND(",",$D1079)-1)&amp;"_"&amp;I1079&amp;L1079</f>
        <v>Colombo_2012</v>
      </c>
      <c r="N1079" t="s">
        <v>222</v>
      </c>
      <c r="O1079" s="145" t="s">
        <v>223</v>
      </c>
      <c r="Q1079" t="s">
        <v>256</v>
      </c>
      <c r="R1079" s="269" t="s">
        <v>274</v>
      </c>
      <c r="S1079" s="1" t="s">
        <v>1375</v>
      </c>
      <c r="T1079" t="s">
        <v>1376</v>
      </c>
      <c r="U1079" t="s">
        <v>1377</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1</v>
      </c>
      <c r="AR1079">
        <v>0</v>
      </c>
      <c r="AS1079">
        <v>0</v>
      </c>
      <c r="AT1079">
        <v>0</v>
      </c>
      <c r="AU1079">
        <v>0</v>
      </c>
      <c r="AV1079">
        <v>0</v>
      </c>
      <c r="AW1079">
        <v>0</v>
      </c>
      <c r="AX1079" s="141">
        <f>COUNTIF(V1079:AW1079,"&lt;&gt;0")</f>
        <v>1</v>
      </c>
      <c r="AY1079" s="141">
        <f>COUNTIF(V1079:AL1079,"&lt;&gt;0")</f>
        <v>0</v>
      </c>
      <c r="AZ1079">
        <f>COUNTIF(V1079:AC1079,"&lt;&gt;0")</f>
        <v>0</v>
      </c>
      <c r="BA1079">
        <f>COUNTIF(AD1079:AI1079,"&lt;&gt;0")</f>
        <v>0</v>
      </c>
      <c r="BB1079">
        <f>COUNTIF(AJ1079:AL1079,"&lt;&gt;0")</f>
        <v>0</v>
      </c>
      <c r="BC1079">
        <f>COUNTIF(AS1079:AW1079,"&lt;&gt;0")</f>
        <v>0</v>
      </c>
      <c r="BD1079">
        <f>COUNTIF(AM1079:AR1079,"&lt;&gt;0")</f>
        <v>1</v>
      </c>
      <c r="BE1079" t="str">
        <f t="array" ref="BE1079">IF(AY1079=1,INDEX($V$7:$AL$7,MATCH(TRUE,INDEX($V1079:$AW1079&lt;&gt;0,),0)),IF(AY1079=0,INDEX($AM$7:$AW$7,MATCH(1,$AM1079:$AW1079,0)),IF(BF1079="Multiple strategies","mixed drivers",IF(BF1079="Supply chain","multiple supply","multiple silviculture"))))</f>
        <v>disturbance</v>
      </c>
      <c r="BF1079" s="2" t="str" cm="1">
        <f t="array" ref="BF1079">IF(COUNTIF(AZ1079:BB1079,"&lt;&gt;0")=1,INDEX($V$4:$AW$4,MATCH(TRUE,INDEX($V1079:$AW1079&lt;&gt;0,),0)),IF(COUNTIF(AZ1079:BB1079,"&lt;&gt;0")=0,INDEX($AM$4:$AW$4,MATCH(1,$AM1079:$AW1079,0)),"Multiple strategies"))</f>
        <v>Environmental change</v>
      </c>
      <c r="BG1079" s="1" t="s">
        <v>229</v>
      </c>
      <c r="BH1079" t="s">
        <v>1371</v>
      </c>
      <c r="BI1079" s="264"/>
      <c r="BJ1079" t="s">
        <v>1372</v>
      </c>
      <c r="BK1079">
        <v>0</v>
      </c>
      <c r="BL1079">
        <v>0</v>
      </c>
      <c r="BN1079">
        <f>BL1079-BK1079</f>
        <v>0</v>
      </c>
      <c r="BO1079">
        <f>BN1079*10^6*t_to_m3</f>
        <v>0</v>
      </c>
      <c r="BP1079" s="143" t="s">
        <v>232</v>
      </c>
      <c r="BQ1079" s="143" t="s">
        <v>689</v>
      </c>
      <c r="BR1079" t="s">
        <v>1372</v>
      </c>
      <c r="BS1079">
        <v>501.90476190476198</v>
      </c>
      <c r="BT1079">
        <v>554.66666666666595</v>
      </c>
      <c r="BU1079" s="144">
        <f>IFERROR(BT1079/BS1079,"")</f>
        <v>1.1051233396584423</v>
      </c>
      <c r="BV1079">
        <f>BT1079-BS1079</f>
        <v>52.761904761903963</v>
      </c>
      <c r="BX1079">
        <f>BV1079*10^6*C_to_CO2</f>
        <v>193636190.47618756</v>
      </c>
      <c r="BY1079" t="str">
        <f>IFERROR(BX1079/BO1079,"")</f>
        <v/>
      </c>
      <c r="BZ1079">
        <v>0</v>
      </c>
      <c r="CA1079">
        <v>0</v>
      </c>
      <c r="CB1079">
        <v>0</v>
      </c>
      <c r="CC1079">
        <v>0</v>
      </c>
      <c r="CD1079">
        <v>0</v>
      </c>
      <c r="CE1079">
        <v>0</v>
      </c>
      <c r="CF1079">
        <v>0</v>
      </c>
      <c r="CG1079">
        <v>0</v>
      </c>
      <c r="CH1079">
        <v>0</v>
      </c>
      <c r="CI1079">
        <v>0</v>
      </c>
      <c r="CJ1079">
        <v>0</v>
      </c>
      <c r="CK1079">
        <v>0</v>
      </c>
      <c r="CL1079">
        <v>0</v>
      </c>
      <c r="CM1079">
        <v>0</v>
      </c>
      <c r="CN1079" t="str">
        <f>IF($BL1079&lt;$BK1079,"refNeedCorrection","refOK")</f>
        <v>refOK</v>
      </c>
      <c r="CO1079" s="271">
        <f>IF($CN1079="refOK",$BK1079,$BL1079)</f>
        <v>0</v>
      </c>
      <c r="CP1079" s="271">
        <f>IF($CN1079="refOK",$BL1079,$BK1079)</f>
        <v>0</v>
      </c>
      <c r="CQ1079">
        <f>IF($CN1079="refOK",$BO1079,-$BO1079)</f>
        <v>0</v>
      </c>
      <c r="CR1079">
        <f>IF($CN1079="refOK",$BS1079,$BT1079)*IF($BP1079="Emissions positive",-1,1)</f>
        <v>501.90476190476198</v>
      </c>
      <c r="CS1079">
        <f>IF($CN1079="refOK",$BT1079,$BS1079)*IF($BP1079="Emissions positive",-1,1)</f>
        <v>554.66666666666595</v>
      </c>
      <c r="CT1079">
        <f>IF($CN1079="refNeedCorrection",-BX1079,BX1079)*IF($BP1079="Emissions positive",-1,1)</f>
        <v>193636190.47618756</v>
      </c>
      <c r="CU1079" t="str">
        <f>IFERROR(CT1079/CQ1079,"")</f>
        <v/>
      </c>
      <c r="CV1079" s="2">
        <f>IFERROR((CS1079-CR1079)/ABS(CR1079),"")</f>
        <v>0.10512333965844242</v>
      </c>
      <c r="CW1079" s="1" t="s">
        <v>1199</v>
      </c>
      <c r="CX1079" t="str">
        <f>IF(OR($CW1079="prd",$CW1079="std",$CW1079="cit"),"loc",IF(OR($CW1079="eur",$CW1079="reg",$CW1079="coy"),"reg",$CW1079))</f>
        <v>reg</v>
      </c>
      <c r="CY1079" t="s">
        <v>540</v>
      </c>
      <c r="CZ1079">
        <v>2010</v>
      </c>
      <c r="DA1079">
        <v>2050</v>
      </c>
      <c r="DB1079">
        <f>DA1079-CZ1079</f>
        <v>40</v>
      </c>
      <c r="DC1079" t="str">
        <f>IF(DB1079=0,"0",IF(AND(DB1079&gt;=1,DB1079&lt;=30),"1-30",IF(AND(DB1079&gt;30,DB1079&lt;=70),"31-70",IF(AND(DB1079&gt;70,DB1079&lt;=100),"71-100",IF(DB1079&gt;100,"+100")))))</f>
        <v>31-70</v>
      </c>
      <c r="DD1079">
        <v>0</v>
      </c>
      <c r="DE1079">
        <v>1</v>
      </c>
      <c r="DF1079">
        <v>1</v>
      </c>
      <c r="DG1079">
        <v>1</v>
      </c>
      <c r="DI1079">
        <f>SUM(DD1079:DG1079)</f>
        <v>3</v>
      </c>
      <c r="DJ1079" t="str">
        <f>IF(DI1079=1,INDEX($DD$7:$DG$7,MATCH(1,$DD1079:$DG1079,0)),"mixedProduct")</f>
        <v>mixedProduct</v>
      </c>
      <c r="DK1079">
        <f>IF(DD1079=1,DK$7,0)</f>
        <v>0</v>
      </c>
      <c r="DL1079" t="str">
        <f>IF(DE1079=1,DL$7,0)</f>
        <v>Energy</v>
      </c>
      <c r="DM1079" t="str">
        <f>IF(DF1079=1,DM$7,0)</f>
        <v>Pulp/Paper</v>
      </c>
      <c r="DN1079" t="str">
        <f>IF(DG1079=1,DN$7,0)</f>
        <v>Timber</v>
      </c>
      <c r="DO1079">
        <v>0</v>
      </c>
      <c r="DP1079">
        <v>0</v>
      </c>
      <c r="DQ1079">
        <v>0</v>
      </c>
      <c r="DR1079">
        <v>0</v>
      </c>
      <c r="DS1079">
        <v>0</v>
      </c>
      <c r="DT1079">
        <f>SUM(DO1079:DP1079)</f>
        <v>0</v>
      </c>
      <c r="DU1079" s="143" t="str">
        <f>IF(DO1079=1,"self-calculated DF",IF(DP1079=1,"external DF used","explicit C balance"))</f>
        <v>explicit C balance</v>
      </c>
      <c r="DV1079">
        <v>1</v>
      </c>
      <c r="DW1079">
        <v>1</v>
      </c>
      <c r="DX1079">
        <v>1</v>
      </c>
      <c r="DY1079">
        <v>1</v>
      </c>
      <c r="DZ1079">
        <v>0</v>
      </c>
      <c r="EA1079" s="143">
        <v>0</v>
      </c>
      <c r="EB1079">
        <v>0</v>
      </c>
      <c r="EC1079">
        <v>0</v>
      </c>
      <c r="ED1079">
        <v>0</v>
      </c>
      <c r="EE1079">
        <v>0</v>
      </c>
      <c r="EF1079">
        <v>1</v>
      </c>
      <c r="EG1079">
        <v>0</v>
      </c>
      <c r="EH1079">
        <v>0</v>
      </c>
      <c r="EI1079" s="2">
        <v>0</v>
      </c>
      <c r="EK1079" t="str">
        <f>IF(AND(AND(AND(OR($DX1079=1,$DW1079=1),OR($EC1079=1,$EA1079=1)),SUM($DV1079:$DZ1079,$EF1079)&gt;=4),SUM($EA1079:$EE1079)&gt;=2),"Whole sector","")</f>
        <v/>
      </c>
      <c r="EL1079" t="str">
        <f>IF(AND(AND(OR($DX1079=1,$DW1079=1),AND($EC1079=0,$EA1079=0)),SUM($DV1079:$DZ1079,$EF1079)&gt;=4),"Ecosystem approach","")</f>
        <v>Ecosystem approach</v>
      </c>
      <c r="EM1079" s="2" t="str">
        <f>IF(AND(AND(AND($DX1079=0,$DW1079=0),OR($EC1079=1,$EA1079=1)),SUM($EB1079:$EE1079)&gt;=2),"Technology approach","")</f>
        <v/>
      </c>
      <c r="EP1079" t="b">
        <f>IF(ISNUMBER(BU1079),IF(ABS(BU1079-[2]QC_indicators!$B$2)&gt;3*[2]QC_indicators!$C$2,"C ratio",IF(ISNUMBER(BY1079),IF(ABS(BY1079-[2]QC_indicators!$B$1)&gt;3*[2]QC_indicators!$C$1,"DF","no"))),IF(ISNUMBER(BY1079),IF(ABS(BY1079-[2]QC_indicators!$B$1)&gt;3*[2]QC_indicators!$C$1,"DF","no")))</f>
        <v>0</v>
      </c>
      <c r="ET1079" s="264" t="s">
        <v>3151</v>
      </c>
    </row>
    <row r="1080" spans="1:150" ht="15" customHeight="1">
      <c r="A1080" s="1" t="s">
        <v>545</v>
      </c>
      <c r="B1080" t="s">
        <v>546</v>
      </c>
      <c r="C1080" t="s">
        <v>547</v>
      </c>
      <c r="D1080" t="s">
        <v>548</v>
      </c>
      <c r="E1080" t="s">
        <v>549</v>
      </c>
      <c r="F1080" t="s">
        <v>550</v>
      </c>
      <c r="G1080" t="s">
        <v>551</v>
      </c>
      <c r="H1080" t="s">
        <v>254</v>
      </c>
      <c r="I1080">
        <v>2017</v>
      </c>
      <c r="J1080">
        <v>3</v>
      </c>
      <c r="K1080" t="s">
        <v>552</v>
      </c>
      <c r="M1080" t="str">
        <f>LEFT($D1080,FIND(",",$D1080)-1)&amp;"_"&amp;I1080&amp;L1080</f>
        <v>Crafford_2017</v>
      </c>
      <c r="N1080" t="s">
        <v>222</v>
      </c>
      <c r="O1080" s="145" t="s">
        <v>223</v>
      </c>
      <c r="Q1080" t="s">
        <v>256</v>
      </c>
      <c r="R1080" s="255" t="s">
        <v>225</v>
      </c>
      <c r="S1080" s="1" t="s">
        <v>553</v>
      </c>
      <c r="T1080" t="s">
        <v>554</v>
      </c>
      <c r="U1080" t="s">
        <v>555</v>
      </c>
      <c r="V1080">
        <v>0</v>
      </c>
      <c r="W1080">
        <v>0</v>
      </c>
      <c r="X1080">
        <v>0</v>
      </c>
      <c r="Y1080">
        <v>0</v>
      </c>
      <c r="Z1080">
        <v>1</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s="141">
        <f>COUNTIF(V1080:AW1080,"&lt;&gt;0")</f>
        <v>1</v>
      </c>
      <c r="AY1080" s="141">
        <f>COUNTIF(V1080:AL1080,"&lt;&gt;0")</f>
        <v>1</v>
      </c>
      <c r="AZ1080">
        <f>COUNTIF(V1080:AC1080,"&lt;&gt;0")</f>
        <v>1</v>
      </c>
      <c r="BA1080">
        <f>COUNTIF(AD1080:AI1080,"&lt;&gt;0")</f>
        <v>0</v>
      </c>
      <c r="BB1080">
        <f>COUNTIF(AJ1080:AL1080,"&lt;&gt;0")</f>
        <v>0</v>
      </c>
      <c r="BC1080">
        <f>COUNTIF(AS1080:AW1080,"&lt;&gt;0")</f>
        <v>0</v>
      </c>
      <c r="BD1080">
        <f>COUNTIF(AM1080:AR1080,"&lt;&gt;0")</f>
        <v>0</v>
      </c>
      <c r="BE1080" t="str">
        <f t="array" ref="BE1080">IF(AY1080=1,INDEX($V$7:$AL$7,MATCH(TRUE,INDEX($V1080:$AW1080&lt;&gt;0,),0)),IF(AY1080=0,INDEX($AM$7:$AW$7,MATCH(1,$AM1080:$AW1080,0)),IF(BF1080="Multiple strategies","mixed drivers",IF(BF1080="Supply chain","multiple supply","multiple silviculture"))))</f>
        <v>species</v>
      </c>
      <c r="BF1080" s="2" t="str" cm="1">
        <f t="array" ref="BF1080">IF(COUNTIF(AZ1080:BB1080,"&lt;&gt;0")=1,INDEX($V$4:$AW$4,MATCH(TRUE,INDEX($V1080:$AW1080&lt;&gt;0,),0)),IF(COUNTIF(AZ1080:BB1080,"&lt;&gt;0")=0,INDEX($AM$4:$AW$4,MATCH(1,$AM1080:$AW1080,0)),"Multiple strategies"))</f>
        <v>Silviculture for productivity</v>
      </c>
      <c r="BG1080" s="1" t="s">
        <v>229</v>
      </c>
      <c r="BH1080" t="s">
        <v>556</v>
      </c>
      <c r="BI1080" t="s">
        <v>424</v>
      </c>
      <c r="BJ1080" t="s">
        <v>498</v>
      </c>
      <c r="BK1080">
        <v>1.33</v>
      </c>
      <c r="BL1080">
        <v>1.33</v>
      </c>
      <c r="BN1080">
        <f>BL1080-BK1080</f>
        <v>0</v>
      </c>
      <c r="BO1080">
        <f>BN1080</f>
        <v>0</v>
      </c>
      <c r="BP1080" t="s">
        <v>232</v>
      </c>
      <c r="BQ1080" s="260" t="s">
        <v>3288</v>
      </c>
      <c r="BR1080" t="s">
        <v>397</v>
      </c>
      <c r="BS1080">
        <v>-164</v>
      </c>
      <c r="BT1080">
        <v>-85</v>
      </c>
      <c r="BU1080" s="144">
        <v>0.51829268292682928</v>
      </c>
      <c r="BV1080">
        <v>79</v>
      </c>
      <c r="BX1080">
        <f>BV1080/1000</f>
        <v>7.9000000000000001E-2</v>
      </c>
      <c r="BY1080" t="str">
        <f>IFERROR(BX1080/BO1080,"")</f>
        <v/>
      </c>
      <c r="BZ1080">
        <v>1</v>
      </c>
      <c r="CA1080">
        <v>0</v>
      </c>
      <c r="CB1080">
        <v>0</v>
      </c>
      <c r="CC1080">
        <v>0</v>
      </c>
      <c r="CD1080">
        <v>0</v>
      </c>
      <c r="CE1080">
        <v>0</v>
      </c>
      <c r="CF1080">
        <v>0</v>
      </c>
      <c r="CG1080">
        <v>0</v>
      </c>
      <c r="CH1080">
        <v>0</v>
      </c>
      <c r="CI1080">
        <v>0</v>
      </c>
      <c r="CJ1080">
        <v>0</v>
      </c>
      <c r="CK1080">
        <v>0</v>
      </c>
      <c r="CL1080">
        <v>0</v>
      </c>
      <c r="CM1080">
        <v>0</v>
      </c>
      <c r="CN1080" t="str">
        <f>IF($BL1080&lt;$BK1080,"refNeedCorrection","refOK")</f>
        <v>refOK</v>
      </c>
      <c r="CO1080">
        <f>IF($CN1080="refOK",$BK1080,$BL1080)</f>
        <v>1.33</v>
      </c>
      <c r="CP1080">
        <f>IF($CN1080="refOK",$BL1080,$BK1080)</f>
        <v>1.33</v>
      </c>
      <c r="CQ1080">
        <f>IF($CN1080="refOK",$BO1080,-$BO1080)</f>
        <v>0</v>
      </c>
      <c r="CR1080">
        <f>IF($CN1080="refOK",$BS1080,$BT1080)*IF($BP1080="Emissions positive",-1,1)</f>
        <v>-164</v>
      </c>
      <c r="CS1080">
        <f>IF($CN1080="refOK",$BT1080,$BS1080)*IF($BP1080="Emissions positive",-1,1)</f>
        <v>-85</v>
      </c>
      <c r="CT1080">
        <f>IF($CN1080="refNeedCorrection",-BX1080,BX1080)*IF($BP1080="Emissions positive",-1,1)</f>
        <v>7.9000000000000001E-2</v>
      </c>
      <c r="CU1080" t="str">
        <f>IFERROR(CT1080/CQ1080,"")</f>
        <v/>
      </c>
      <c r="CV1080" s="2">
        <f>IFERROR((CS1080-CR1080)/ABS(CR1080),"")</f>
        <v>0.48170731707317072</v>
      </c>
      <c r="CW1080" s="1" t="s">
        <v>263</v>
      </c>
      <c r="CX1080" t="str">
        <f>IF(OR($CW1080="prd",$CW1080="std",$CW1080="cit"),"loc",IF(OR($CW1080="eur",$CW1080="reg",$CW1080="coy"),"reg",$CW1080))</f>
        <v>loc</v>
      </c>
      <c r="CY1080" t="s">
        <v>557</v>
      </c>
      <c r="DB1080">
        <v>0</v>
      </c>
      <c r="DC1080" t="str">
        <f>IF(DB1080=0,"0",IF(AND(DB1080&gt;=1,DB1080&lt;=30),"1-30",IF(AND(DB1080&gt;30,DB1080&lt;=70),"31-70",IF(AND(DB1080&gt;70,DB1080&lt;=100),"71-100",IF(DB1080&gt;100,"+100")))))</f>
        <v>0</v>
      </c>
      <c r="DD1080">
        <v>0</v>
      </c>
      <c r="DE1080">
        <v>0</v>
      </c>
      <c r="DF1080">
        <v>0</v>
      </c>
      <c r="DG1080">
        <v>1</v>
      </c>
      <c r="DI1080">
        <f>SUM(DD1080:DG1080)</f>
        <v>1</v>
      </c>
      <c r="DJ1080" t="str">
        <f>IF(DI1080=1,INDEX($DD$7:$DG$7,MATCH(1,$DD1080:$DG1080,0)),"mixedProduct")</f>
        <v>TimberInput</v>
      </c>
      <c r="DK1080">
        <f>IF(DD1080=1,DK$7,0)</f>
        <v>0</v>
      </c>
      <c r="DL1080">
        <f>IF(DE1080=1,DL$7,0)</f>
        <v>0</v>
      </c>
      <c r="DM1080">
        <f>IF(DF1080=1,DM$7,0)</f>
        <v>0</v>
      </c>
      <c r="DN1080" t="str">
        <f>IF(DG1080=1,DN$7,0)</f>
        <v>Timber</v>
      </c>
      <c r="DO1080">
        <v>0</v>
      </c>
      <c r="DP1080">
        <v>0</v>
      </c>
      <c r="DQ1080">
        <v>0</v>
      </c>
      <c r="DR1080">
        <v>0</v>
      </c>
      <c r="DS1080">
        <v>0</v>
      </c>
      <c r="DT1080">
        <f>SUM(DO1080:DP1080)</f>
        <v>0</v>
      </c>
      <c r="DU1080" s="143" t="str">
        <f>IF(DO1080=1,"self-calculated DF",IF(DP1080=1,"external DF used","explicit C balance"))</f>
        <v>explicit C balance</v>
      </c>
      <c r="DV1080">
        <v>0</v>
      </c>
      <c r="DW1080">
        <v>0</v>
      </c>
      <c r="DX1080">
        <v>0</v>
      </c>
      <c r="DY1080">
        <v>1</v>
      </c>
      <c r="DZ1080">
        <v>1</v>
      </c>
      <c r="EA1080" s="143">
        <v>0</v>
      </c>
      <c r="EB1080">
        <v>0</v>
      </c>
      <c r="EC1080">
        <v>1</v>
      </c>
      <c r="ED1080">
        <v>0</v>
      </c>
      <c r="EE1080">
        <v>1</v>
      </c>
      <c r="EF1080">
        <v>0</v>
      </c>
      <c r="EG1080">
        <v>0</v>
      </c>
      <c r="EH1080">
        <v>0</v>
      </c>
      <c r="EI1080" s="2">
        <v>0</v>
      </c>
      <c r="EK1080" t="str">
        <f>IF(AND(AND(AND(OR($DX1080=1,$DW1080=1),OR($EC1080=1,$EA1080=1)),SUM($DV1080:$DZ1080,$EF1080)&gt;=4),SUM($EA1080:$EE1080)&gt;=2),"Whole sector","")</f>
        <v/>
      </c>
      <c r="EL1080" t="str">
        <f>IF(AND(AND(OR($DX1080=1,$DW1080=1),AND($EC1080=0,$EA1080=0)),SUM($DV1080:$DZ1080,$EF1080)&gt;=4),"Ecosystem approach","")</f>
        <v/>
      </c>
      <c r="EM1080" s="2" t="str">
        <f>IF(AND(AND(AND($DX1080=0,$DW1080=0),OR($EC1080=1,$EA1080=1)),SUM($EB1080:$EE1080)&gt;=2),"Technology approach","")</f>
        <v>Technology approach</v>
      </c>
      <c r="EP1080" t="b">
        <f>IF(ISNUMBER(BU1080),IF(ABS(BU1080-[4]QC_indicators!$B$2)&gt;3*[4]QC_indicators!$C$2,"C ratio",IF(ISNUMBER(BY1080),IF(ABS(BY1080-[4]QC_indicators!$B$1)&gt;3*[4]QC_indicators!$C$1,"DF","no"))),IF(ISNUMBER(BY1080),IF(ABS(BY1080-[4]QC_indicators!$B$1)&gt;3*[4]QC_indicators!$C$1,"DF","no")))</f>
        <v>0</v>
      </c>
      <c r="ER1080" s="149" t="s">
        <v>349</v>
      </c>
      <c r="ET1080" s="264" t="s">
        <v>3273</v>
      </c>
    </row>
    <row r="1081" spans="1:150" ht="15" customHeight="1">
      <c r="A1081" s="1" t="s">
        <v>545</v>
      </c>
      <c r="B1081" t="s">
        <v>546</v>
      </c>
      <c r="C1081" t="s">
        <v>547</v>
      </c>
      <c r="D1081" t="s">
        <v>548</v>
      </c>
      <c r="E1081" t="s">
        <v>549</v>
      </c>
      <c r="F1081" t="s">
        <v>550</v>
      </c>
      <c r="G1081" t="s">
        <v>551</v>
      </c>
      <c r="H1081" t="s">
        <v>254</v>
      </c>
      <c r="I1081">
        <v>2017</v>
      </c>
      <c r="J1081">
        <v>3</v>
      </c>
      <c r="K1081" t="s">
        <v>552</v>
      </c>
      <c r="M1081" t="str">
        <f>LEFT($D1081,FIND(",",$D1081)-1)&amp;"_"&amp;I1081&amp;L1081</f>
        <v>Crafford_2017</v>
      </c>
      <c r="N1081" t="s">
        <v>222</v>
      </c>
      <c r="O1081" s="145" t="s">
        <v>223</v>
      </c>
      <c r="Q1081" t="s">
        <v>256</v>
      </c>
      <c r="R1081" s="255" t="s">
        <v>225</v>
      </c>
      <c r="S1081" s="1" t="s">
        <v>553</v>
      </c>
      <c r="T1081" t="s">
        <v>555</v>
      </c>
      <c r="U1081" t="s">
        <v>554</v>
      </c>
      <c r="V1081">
        <v>0</v>
      </c>
      <c r="W1081">
        <v>0</v>
      </c>
      <c r="X1081">
        <v>0</v>
      </c>
      <c r="Y1081">
        <v>0</v>
      </c>
      <c r="Z1081">
        <v>1</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s="141">
        <f>COUNTIF(V1081:AW1081,"&lt;&gt;0")</f>
        <v>1</v>
      </c>
      <c r="AY1081" s="141">
        <f>COUNTIF(V1081:AL1081,"&lt;&gt;0")</f>
        <v>1</v>
      </c>
      <c r="AZ1081">
        <f>COUNTIF(V1081:AC1081,"&lt;&gt;0")</f>
        <v>1</v>
      </c>
      <c r="BA1081">
        <f>COUNTIF(AD1081:AI1081,"&lt;&gt;0")</f>
        <v>0</v>
      </c>
      <c r="BB1081">
        <f>COUNTIF(AJ1081:AL1081,"&lt;&gt;0")</f>
        <v>0</v>
      </c>
      <c r="BC1081">
        <f>COUNTIF(AS1081:AW1081,"&lt;&gt;0")</f>
        <v>0</v>
      </c>
      <c r="BD1081">
        <f>COUNTIF(AM1081:AR1081,"&lt;&gt;0")</f>
        <v>0</v>
      </c>
      <c r="BE1081" t="str">
        <f t="array" ref="BE1081">IF(AY1081=1,INDEX($V$7:$AL$7,MATCH(TRUE,INDEX($V1081:$AW1081&lt;&gt;0,),0)),IF(AY1081=0,INDEX($AM$7:$AW$7,MATCH(1,$AM1081:$AW1081,0)),IF(BF1081="Multiple strategies","mixed drivers",IF(BF1081="Supply chain","multiple supply","multiple silviculture"))))</f>
        <v>species</v>
      </c>
      <c r="BF1081" s="2" t="str" cm="1">
        <f t="array" ref="BF1081">IF(COUNTIF(AZ1081:BB1081,"&lt;&gt;0")=1,INDEX($V$4:$AW$4,MATCH(TRUE,INDEX($V1081:$AW1081&lt;&gt;0,),0)),IF(COUNTIF(AZ1081:BB1081,"&lt;&gt;0")=0,INDEX($AM$4:$AW$4,MATCH(1,$AM1081:$AW1081,0)),"Multiple strategies"))</f>
        <v>Silviculture for productivity</v>
      </c>
      <c r="BG1081" s="1" t="s">
        <v>229</v>
      </c>
      <c r="BH1081" t="s">
        <v>556</v>
      </c>
      <c r="BI1081" t="s">
        <v>424</v>
      </c>
      <c r="BJ1081" t="s">
        <v>498</v>
      </c>
      <c r="BK1081">
        <v>1.33</v>
      </c>
      <c r="BL1081">
        <v>1.33</v>
      </c>
      <c r="BN1081">
        <f>BL1081-BK1081</f>
        <v>0</v>
      </c>
      <c r="BO1081">
        <f>BN1081</f>
        <v>0</v>
      </c>
      <c r="BP1081" t="s">
        <v>232</v>
      </c>
      <c r="BQ1081" s="260" t="s">
        <v>3289</v>
      </c>
      <c r="BR1081" t="s">
        <v>397</v>
      </c>
      <c r="BS1081" s="264">
        <v>919</v>
      </c>
      <c r="BT1081" s="264">
        <v>1224</v>
      </c>
      <c r="BU1081" s="144">
        <v>1.3318824809575627</v>
      </c>
      <c r="BV1081">
        <v>305</v>
      </c>
      <c r="BX1081">
        <f>BV1081/1000</f>
        <v>0.30499999999999999</v>
      </c>
      <c r="BY1081" t="str">
        <f>IFERROR(BX1081/BO1081,"")</f>
        <v/>
      </c>
      <c r="BZ1081">
        <v>1</v>
      </c>
      <c r="CA1081">
        <v>0</v>
      </c>
      <c r="CB1081">
        <v>0</v>
      </c>
      <c r="CC1081">
        <v>0</v>
      </c>
      <c r="CD1081">
        <v>0</v>
      </c>
      <c r="CE1081">
        <v>0</v>
      </c>
      <c r="CF1081">
        <v>0</v>
      </c>
      <c r="CG1081">
        <v>0</v>
      </c>
      <c r="CH1081">
        <v>0</v>
      </c>
      <c r="CI1081">
        <v>0</v>
      </c>
      <c r="CJ1081">
        <v>0</v>
      </c>
      <c r="CK1081">
        <v>0</v>
      </c>
      <c r="CL1081">
        <v>0</v>
      </c>
      <c r="CM1081">
        <v>0</v>
      </c>
      <c r="CN1081" t="str">
        <f>IF($BL1081&lt;$BK1081,"refNeedCorrection","refOK")</f>
        <v>refOK</v>
      </c>
      <c r="CO1081">
        <f>IF($CN1081="refOK",$BK1081,$BL1081)</f>
        <v>1.33</v>
      </c>
      <c r="CP1081">
        <f>IF($CN1081="refOK",$BL1081,$BK1081)</f>
        <v>1.33</v>
      </c>
      <c r="CQ1081">
        <f>IF($CN1081="refOK",$BO1081,-$BO1081)</f>
        <v>0</v>
      </c>
      <c r="CR1081">
        <f>IF($CN1081="refOK",$BS1081,$BT1081)*IF($BP1081="Emissions positive",-1,1)</f>
        <v>919</v>
      </c>
      <c r="CS1081">
        <f>IF($CN1081="refOK",$BT1081,$BS1081)*IF($BP1081="Emissions positive",-1,1)</f>
        <v>1224</v>
      </c>
      <c r="CT1081">
        <f>IF($CN1081="refNeedCorrection",-BX1081,BX1081)*IF($BP1081="Emissions positive",-1,1)</f>
        <v>0.30499999999999999</v>
      </c>
      <c r="CU1081" t="str">
        <f>IFERROR(CT1081/CQ1081,"")</f>
        <v/>
      </c>
      <c r="CV1081" s="2">
        <f>IFERROR((CS1081-CR1081)/ABS(CR1081),"")</f>
        <v>0.33188248095756256</v>
      </c>
      <c r="CW1081" s="1" t="s">
        <v>263</v>
      </c>
      <c r="CX1081" t="str">
        <f>IF(OR($CW1081="prd",$CW1081="std",$CW1081="cit"),"loc",IF(OR($CW1081="eur",$CW1081="reg",$CW1081="coy"),"reg",$CW1081))</f>
        <v>loc</v>
      </c>
      <c r="CY1081" t="s">
        <v>557</v>
      </c>
      <c r="DB1081">
        <v>0</v>
      </c>
      <c r="DC1081" t="str">
        <f>IF(DB1081=0,"0",IF(AND(DB1081&gt;=1,DB1081&lt;=30),"1-30",IF(AND(DB1081&gt;30,DB1081&lt;=70),"31-70",IF(AND(DB1081&gt;70,DB1081&lt;=100),"71-100",IF(DB1081&gt;100,"+100")))))</f>
        <v>0</v>
      </c>
      <c r="DD1081">
        <v>0</v>
      </c>
      <c r="DE1081">
        <v>0</v>
      </c>
      <c r="DF1081">
        <v>0</v>
      </c>
      <c r="DG1081">
        <v>1</v>
      </c>
      <c r="DI1081">
        <f>SUM(DD1081:DG1081)</f>
        <v>1</v>
      </c>
      <c r="DJ1081" t="str">
        <f>IF(DI1081=1,INDEX($DD$7:$DG$7,MATCH(1,$DD1081:$DG1081,0)),"mixedProduct")</f>
        <v>TimberInput</v>
      </c>
      <c r="DK1081">
        <f>IF(DD1081=1,DK$7,0)</f>
        <v>0</v>
      </c>
      <c r="DL1081">
        <f>IF(DE1081=1,DL$7,0)</f>
        <v>0</v>
      </c>
      <c r="DM1081">
        <f>IF(DF1081=1,DM$7,0)</f>
        <v>0</v>
      </c>
      <c r="DN1081" t="str">
        <f>IF(DG1081=1,DN$7,0)</f>
        <v>Timber</v>
      </c>
      <c r="DO1081">
        <v>0</v>
      </c>
      <c r="DP1081">
        <v>0</v>
      </c>
      <c r="DQ1081">
        <v>0</v>
      </c>
      <c r="DR1081">
        <v>0</v>
      </c>
      <c r="DS1081">
        <v>0</v>
      </c>
      <c r="DT1081">
        <f>SUM(DO1081:DP1081)</f>
        <v>0</v>
      </c>
      <c r="DU1081" s="143" t="str">
        <f>IF(DO1081=1,"self-calculated DF",IF(DP1081=1,"external DF used","explicit C balance"))</f>
        <v>explicit C balance</v>
      </c>
      <c r="DV1081">
        <v>0</v>
      </c>
      <c r="DW1081">
        <v>0</v>
      </c>
      <c r="DX1081">
        <v>0</v>
      </c>
      <c r="DY1081">
        <v>1</v>
      </c>
      <c r="DZ1081">
        <v>1</v>
      </c>
      <c r="EA1081" s="143">
        <v>0</v>
      </c>
      <c r="EB1081">
        <v>0</v>
      </c>
      <c r="EC1081">
        <v>1</v>
      </c>
      <c r="ED1081">
        <v>0</v>
      </c>
      <c r="EE1081">
        <v>1</v>
      </c>
      <c r="EF1081">
        <v>0</v>
      </c>
      <c r="EG1081">
        <v>0</v>
      </c>
      <c r="EH1081">
        <v>0</v>
      </c>
      <c r="EI1081" s="2">
        <v>0</v>
      </c>
      <c r="EK1081" t="str">
        <f>IF(AND(AND(AND(OR($DX1081=1,$DW1081=1),OR($EC1081=1,$EA1081=1)),SUM($DV1081:$DZ1081,$EF1081)&gt;=4),SUM($EA1081:$EE1081)&gt;=2),"Whole sector","")</f>
        <v/>
      </c>
      <c r="EL1081" t="str">
        <f>IF(AND(AND(OR($DX1081=1,$DW1081=1),AND($EC1081=0,$EA1081=0)),SUM($DV1081:$DZ1081,$EF1081)&gt;=4),"Ecosystem approach","")</f>
        <v/>
      </c>
      <c r="EM1081" s="2" t="str">
        <f>IF(AND(AND(AND($DX1081=0,$DW1081=0),OR($EC1081=1,$EA1081=1)),SUM($EB1081:$EE1081)&gt;=2),"Technology approach","")</f>
        <v>Technology approach</v>
      </c>
      <c r="EP1081" t="b">
        <f>IF(ISNUMBER(BU1081),IF(ABS(BU1081-[4]QC_indicators!$B$2)&gt;3*[4]QC_indicators!$C$2,"C ratio",IF(ISNUMBER(BY1081),IF(ABS(BY1081-[4]QC_indicators!$B$1)&gt;3*[4]QC_indicators!$C$1,"DF","no"))),IF(ISNUMBER(BY1081),IF(ABS(BY1081-[4]QC_indicators!$B$1)&gt;3*[4]QC_indicators!$C$1,"DF","no")))</f>
        <v>0</v>
      </c>
      <c r="ER1081" s="149" t="s">
        <v>349</v>
      </c>
      <c r="ET1081" s="264" t="s">
        <v>3273</v>
      </c>
    </row>
    <row r="1082" spans="1:150" ht="15" customHeight="1">
      <c r="A1082" s="1" t="s">
        <v>545</v>
      </c>
      <c r="B1082" t="s">
        <v>546</v>
      </c>
      <c r="C1082" t="s">
        <v>547</v>
      </c>
      <c r="D1082" t="s">
        <v>548</v>
      </c>
      <c r="E1082" t="s">
        <v>549</v>
      </c>
      <c r="F1082" t="s">
        <v>550</v>
      </c>
      <c r="G1082" t="s">
        <v>551</v>
      </c>
      <c r="H1082" t="s">
        <v>254</v>
      </c>
      <c r="I1082">
        <v>2017</v>
      </c>
      <c r="J1082">
        <v>3</v>
      </c>
      <c r="K1082" t="s">
        <v>552</v>
      </c>
      <c r="M1082" t="str">
        <f>LEFT($D1082,FIND(",",$D1082)-1)&amp;"_"&amp;I1082&amp;L1082</f>
        <v>Crafford_2017</v>
      </c>
      <c r="N1082" t="s">
        <v>222</v>
      </c>
      <c r="O1082" s="145" t="s">
        <v>223</v>
      </c>
      <c r="Q1082" t="s">
        <v>256</v>
      </c>
      <c r="R1082" s="255" t="s">
        <v>225</v>
      </c>
      <c r="S1082" s="1" t="s">
        <v>558</v>
      </c>
      <c r="T1082" t="s">
        <v>554</v>
      </c>
      <c r="U1082" t="s">
        <v>555</v>
      </c>
      <c r="V1082">
        <v>0</v>
      </c>
      <c r="W1082">
        <v>0</v>
      </c>
      <c r="X1082">
        <v>0</v>
      </c>
      <c r="Y1082">
        <v>0</v>
      </c>
      <c r="Z1082">
        <v>1</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s="141">
        <f>COUNTIF(V1082:AW1082,"&lt;&gt;0")</f>
        <v>1</v>
      </c>
      <c r="AY1082" s="141">
        <f>COUNTIF(V1082:AL1082,"&lt;&gt;0")</f>
        <v>1</v>
      </c>
      <c r="AZ1082">
        <f>COUNTIF(V1082:AC1082,"&lt;&gt;0")</f>
        <v>1</v>
      </c>
      <c r="BA1082">
        <f>COUNTIF(AD1082:AI1082,"&lt;&gt;0")</f>
        <v>0</v>
      </c>
      <c r="BB1082">
        <f>COUNTIF(AJ1082:AL1082,"&lt;&gt;0")</f>
        <v>0</v>
      </c>
      <c r="BC1082">
        <f>COUNTIF(AS1082:AW1082,"&lt;&gt;0")</f>
        <v>0</v>
      </c>
      <c r="BD1082">
        <f>COUNTIF(AM1082:AR1082,"&lt;&gt;0")</f>
        <v>0</v>
      </c>
      <c r="BE1082" t="str">
        <f t="array" ref="BE1082">IF(AY1082=1,INDEX($V$7:$AL$7,MATCH(TRUE,INDEX($V1082:$AW1082&lt;&gt;0,),0)),IF(AY1082=0,INDEX($AM$7:$AW$7,MATCH(1,$AM1082:$AW1082,0)),IF(BF1082="Multiple strategies","mixed drivers",IF(BF1082="Supply chain","multiple supply","multiple silviculture"))))</f>
        <v>species</v>
      </c>
      <c r="BF1082" s="2" t="str" cm="1">
        <f t="array" ref="BF1082">IF(COUNTIF(AZ1082:BB1082,"&lt;&gt;0")=1,INDEX($V$4:$AW$4,MATCH(TRUE,INDEX($V1082:$AW1082&lt;&gt;0,),0)),IF(COUNTIF(AZ1082:BB1082,"&lt;&gt;0")=0,INDEX($AM$4:$AW$4,MATCH(1,$AM1082:$AW1082,0)),"Multiple strategies"))</f>
        <v>Silviculture for productivity</v>
      </c>
      <c r="BG1082" s="1" t="s">
        <v>229</v>
      </c>
      <c r="BH1082" t="s">
        <v>556</v>
      </c>
      <c r="BI1082" t="s">
        <v>424</v>
      </c>
      <c r="BJ1082" t="s">
        <v>498</v>
      </c>
      <c r="BK1082">
        <v>6.05</v>
      </c>
      <c r="BL1082">
        <v>6.05</v>
      </c>
      <c r="BN1082">
        <f>BL1082-BK1082</f>
        <v>0</v>
      </c>
      <c r="BO1082">
        <f>BN1082</f>
        <v>0</v>
      </c>
      <c r="BP1082" t="s">
        <v>232</v>
      </c>
      <c r="BQ1082" s="260" t="s">
        <v>3290</v>
      </c>
      <c r="BR1082" t="s">
        <v>397</v>
      </c>
      <c r="BS1082">
        <v>-1242</v>
      </c>
      <c r="BT1082">
        <v>-873</v>
      </c>
      <c r="BU1082" s="144">
        <v>0.70289855072463769</v>
      </c>
      <c r="BV1082">
        <v>369</v>
      </c>
      <c r="BX1082">
        <f>BV1082/1000</f>
        <v>0.36899999999999999</v>
      </c>
      <c r="BY1082" t="str">
        <f>IFERROR(BX1082/BO1082,"")</f>
        <v/>
      </c>
      <c r="BZ1082">
        <v>1</v>
      </c>
      <c r="CA1082">
        <v>0</v>
      </c>
      <c r="CB1082">
        <v>0</v>
      </c>
      <c r="CC1082">
        <v>0</v>
      </c>
      <c r="CD1082">
        <v>0</v>
      </c>
      <c r="CE1082">
        <v>0</v>
      </c>
      <c r="CF1082">
        <v>0</v>
      </c>
      <c r="CG1082">
        <v>0</v>
      </c>
      <c r="CH1082">
        <v>0</v>
      </c>
      <c r="CI1082">
        <v>0</v>
      </c>
      <c r="CJ1082">
        <v>0</v>
      </c>
      <c r="CK1082">
        <v>0</v>
      </c>
      <c r="CL1082">
        <v>0</v>
      </c>
      <c r="CM1082">
        <v>0</v>
      </c>
      <c r="CN1082" t="str">
        <f>IF($BL1082&lt;$BK1082,"refNeedCorrection","refOK")</f>
        <v>refOK</v>
      </c>
      <c r="CO1082">
        <f>IF($CN1082="refOK",$BK1082,$BL1082)</f>
        <v>6.05</v>
      </c>
      <c r="CP1082">
        <f>IF($CN1082="refOK",$BL1082,$BK1082)</f>
        <v>6.05</v>
      </c>
      <c r="CQ1082">
        <f>IF($CN1082="refOK",$BO1082,-$BO1082)</f>
        <v>0</v>
      </c>
      <c r="CR1082">
        <f>IF($CN1082="refOK",$BS1082,$BT1082)*IF($BP1082="Emissions positive",-1,1)</f>
        <v>-1242</v>
      </c>
      <c r="CS1082">
        <f>IF($CN1082="refOK",$BT1082,$BS1082)*IF($BP1082="Emissions positive",-1,1)</f>
        <v>-873</v>
      </c>
      <c r="CT1082">
        <f>IF($CN1082="refNeedCorrection",-BX1082,BX1082)*IF($BP1082="Emissions positive",-1,1)</f>
        <v>0.36899999999999999</v>
      </c>
      <c r="CU1082" t="str">
        <f>IFERROR(CT1082/CQ1082,"")</f>
        <v/>
      </c>
      <c r="CV1082" s="2">
        <f>IFERROR((CS1082-CR1082)/ABS(CR1082),"")</f>
        <v>0.29710144927536231</v>
      </c>
      <c r="CW1082" s="1" t="s">
        <v>263</v>
      </c>
      <c r="CX1082" t="str">
        <f>IF(OR($CW1082="prd",$CW1082="std",$CW1082="cit"),"loc",IF(OR($CW1082="eur",$CW1082="reg",$CW1082="coy"),"reg",$CW1082))</f>
        <v>loc</v>
      </c>
      <c r="CY1082" t="s">
        <v>557</v>
      </c>
      <c r="DB1082">
        <v>0</v>
      </c>
      <c r="DC1082" t="str">
        <f>IF(DB1082=0,"0",IF(AND(DB1082&gt;=1,DB1082&lt;=30),"1-30",IF(AND(DB1082&gt;30,DB1082&lt;=70),"31-70",IF(AND(DB1082&gt;70,DB1082&lt;=100),"71-100",IF(DB1082&gt;100,"+100")))))</f>
        <v>0</v>
      </c>
      <c r="DD1082">
        <v>0</v>
      </c>
      <c r="DE1082">
        <v>0</v>
      </c>
      <c r="DF1082">
        <v>0</v>
      </c>
      <c r="DG1082">
        <v>1</v>
      </c>
      <c r="DI1082">
        <f>SUM(DD1082:DG1082)</f>
        <v>1</v>
      </c>
      <c r="DJ1082" t="str">
        <f>IF(DI1082=1,INDEX($DD$7:$DG$7,MATCH(1,$DD1082:$DG1082,0)),"mixedProduct")</f>
        <v>TimberInput</v>
      </c>
      <c r="DK1082">
        <f>IF(DD1082=1,DK$7,0)</f>
        <v>0</v>
      </c>
      <c r="DL1082">
        <f>IF(DE1082=1,DL$7,0)</f>
        <v>0</v>
      </c>
      <c r="DM1082">
        <f>IF(DF1082=1,DM$7,0)</f>
        <v>0</v>
      </c>
      <c r="DN1082" t="str">
        <f>IF(DG1082=1,DN$7,0)</f>
        <v>Timber</v>
      </c>
      <c r="DO1082">
        <v>0</v>
      </c>
      <c r="DP1082">
        <v>0</v>
      </c>
      <c r="DQ1082">
        <v>0</v>
      </c>
      <c r="DR1082">
        <v>0</v>
      </c>
      <c r="DS1082">
        <v>0</v>
      </c>
      <c r="DT1082">
        <f>SUM(DO1082:DP1082)</f>
        <v>0</v>
      </c>
      <c r="DU1082" s="143" t="str">
        <f>IF(DO1082=1,"self-calculated DF",IF(DP1082=1,"external DF used","explicit C balance"))</f>
        <v>explicit C balance</v>
      </c>
      <c r="DV1082">
        <v>0</v>
      </c>
      <c r="DW1082">
        <v>0</v>
      </c>
      <c r="DX1082">
        <v>0</v>
      </c>
      <c r="DY1082">
        <v>1</v>
      </c>
      <c r="DZ1082">
        <v>1</v>
      </c>
      <c r="EA1082" s="143">
        <v>0</v>
      </c>
      <c r="EB1082">
        <v>0</v>
      </c>
      <c r="EC1082">
        <v>1</v>
      </c>
      <c r="ED1082">
        <v>0</v>
      </c>
      <c r="EE1082">
        <v>1</v>
      </c>
      <c r="EF1082">
        <v>0</v>
      </c>
      <c r="EG1082">
        <v>0</v>
      </c>
      <c r="EH1082">
        <v>0</v>
      </c>
      <c r="EI1082" s="2">
        <v>0</v>
      </c>
      <c r="EK1082" t="str">
        <f>IF(AND(AND(AND(OR($DX1082=1,$DW1082=1),OR($EC1082=1,$EA1082=1)),SUM($DV1082:$DZ1082,$EF1082)&gt;=4),SUM($EA1082:$EE1082)&gt;=2),"Whole sector","")</f>
        <v/>
      </c>
      <c r="EL1082" t="str">
        <f>IF(AND(AND(OR($DX1082=1,$DW1082=1),AND($EC1082=0,$EA1082=0)),SUM($DV1082:$DZ1082,$EF1082)&gt;=4),"Ecosystem approach","")</f>
        <v/>
      </c>
      <c r="EM1082" s="2" t="str">
        <f>IF(AND(AND(AND($DX1082=0,$DW1082=0),OR($EC1082=1,$EA1082=1)),SUM($EB1082:$EE1082)&gt;=2),"Technology approach","")</f>
        <v>Technology approach</v>
      </c>
      <c r="EP1082" t="b">
        <f>IF(ISNUMBER(BU1082),IF(ABS(BU1082-[4]QC_indicators!$B$2)&gt;3*[4]QC_indicators!$C$2,"C ratio",IF(ISNUMBER(BY1082),IF(ABS(BY1082-[4]QC_indicators!$B$1)&gt;3*[4]QC_indicators!$C$1,"DF","no"))),IF(ISNUMBER(BY1082),IF(ABS(BY1082-[4]QC_indicators!$B$1)&gt;3*[4]QC_indicators!$C$1,"DF","no")))</f>
        <v>0</v>
      </c>
      <c r="ER1082" s="149" t="s">
        <v>349</v>
      </c>
      <c r="ET1082" s="264" t="s">
        <v>3273</v>
      </c>
    </row>
    <row r="1083" spans="1:150" ht="15" customHeight="1">
      <c r="A1083" s="1" t="s">
        <v>545</v>
      </c>
      <c r="B1083" t="s">
        <v>546</v>
      </c>
      <c r="C1083" t="s">
        <v>547</v>
      </c>
      <c r="D1083" t="s">
        <v>548</v>
      </c>
      <c r="E1083" t="s">
        <v>549</v>
      </c>
      <c r="F1083" t="s">
        <v>550</v>
      </c>
      <c r="G1083" t="s">
        <v>551</v>
      </c>
      <c r="H1083" t="s">
        <v>254</v>
      </c>
      <c r="I1083">
        <v>2017</v>
      </c>
      <c r="J1083">
        <v>3</v>
      </c>
      <c r="K1083" t="s">
        <v>552</v>
      </c>
      <c r="M1083" t="str">
        <f>LEFT($D1083,FIND(",",$D1083)-1)&amp;"_"&amp;I1083&amp;L1083</f>
        <v>Crafford_2017</v>
      </c>
      <c r="N1083" t="s">
        <v>222</v>
      </c>
      <c r="O1083" s="145" t="s">
        <v>223</v>
      </c>
      <c r="Q1083" t="s">
        <v>256</v>
      </c>
      <c r="R1083" s="255" t="s">
        <v>225</v>
      </c>
      <c r="S1083" s="1" t="s">
        <v>558</v>
      </c>
      <c r="T1083" t="s">
        <v>555</v>
      </c>
      <c r="U1083" t="s">
        <v>554</v>
      </c>
      <c r="V1083">
        <v>0</v>
      </c>
      <c r="W1083">
        <v>0</v>
      </c>
      <c r="X1083">
        <v>0</v>
      </c>
      <c r="Y1083">
        <v>0</v>
      </c>
      <c r="Z1083">
        <v>1</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s="141">
        <f>COUNTIF(V1083:AW1083,"&lt;&gt;0")</f>
        <v>1</v>
      </c>
      <c r="AY1083" s="141">
        <f>COUNTIF(V1083:AL1083,"&lt;&gt;0")</f>
        <v>1</v>
      </c>
      <c r="AZ1083">
        <f>COUNTIF(V1083:AC1083,"&lt;&gt;0")</f>
        <v>1</v>
      </c>
      <c r="BA1083">
        <f>COUNTIF(AD1083:AI1083,"&lt;&gt;0")</f>
        <v>0</v>
      </c>
      <c r="BB1083">
        <f>COUNTIF(AJ1083:AL1083,"&lt;&gt;0")</f>
        <v>0</v>
      </c>
      <c r="BC1083">
        <f>COUNTIF(AS1083:AW1083,"&lt;&gt;0")</f>
        <v>0</v>
      </c>
      <c r="BD1083">
        <f>COUNTIF(AM1083:AR1083,"&lt;&gt;0")</f>
        <v>0</v>
      </c>
      <c r="BE1083" t="str">
        <f t="array" ref="BE1083">IF(AY1083=1,INDEX($V$7:$AL$7,MATCH(TRUE,INDEX($V1083:$AW1083&lt;&gt;0,),0)),IF(AY1083=0,INDEX($AM$7:$AW$7,MATCH(1,$AM1083:$AW1083,0)),IF(BF1083="Multiple strategies","mixed drivers",IF(BF1083="Supply chain","multiple supply","multiple silviculture"))))</f>
        <v>species</v>
      </c>
      <c r="BF1083" s="2" t="str" cm="1">
        <f t="array" ref="BF1083">IF(COUNTIF(AZ1083:BB1083,"&lt;&gt;0")=1,INDEX($V$4:$AW$4,MATCH(TRUE,INDEX($V1083:$AW1083&lt;&gt;0,),0)),IF(COUNTIF(AZ1083:BB1083,"&lt;&gt;0")=0,INDEX($AM$4:$AW$4,MATCH(1,$AM1083:$AW1083,0)),"Multiple strategies"))</f>
        <v>Silviculture for productivity</v>
      </c>
      <c r="BG1083" s="1" t="s">
        <v>229</v>
      </c>
      <c r="BH1083" t="s">
        <v>556</v>
      </c>
      <c r="BI1083" t="s">
        <v>424</v>
      </c>
      <c r="BJ1083" t="s">
        <v>498</v>
      </c>
      <c r="BK1083">
        <v>6.05</v>
      </c>
      <c r="BL1083">
        <v>6.05</v>
      </c>
      <c r="BN1083">
        <f>BL1083-BK1083</f>
        <v>0</v>
      </c>
      <c r="BO1083">
        <f>BN1083</f>
        <v>0</v>
      </c>
      <c r="BP1083" t="s">
        <v>232</v>
      </c>
      <c r="BQ1083" s="260" t="s">
        <v>3291</v>
      </c>
      <c r="BR1083" t="s">
        <v>397</v>
      </c>
      <c r="BS1083" s="141">
        <v>3721</v>
      </c>
      <c r="BT1083" s="141">
        <v>5100</v>
      </c>
      <c r="BU1083" s="144">
        <v>1.3705993012631013</v>
      </c>
      <c r="BV1083">
        <v>1379</v>
      </c>
      <c r="BX1083">
        <f>BV1083/1000</f>
        <v>1.379</v>
      </c>
      <c r="BY1083" t="str">
        <f>IFERROR(BX1083/BO1083,"")</f>
        <v/>
      </c>
      <c r="BZ1083">
        <v>1</v>
      </c>
      <c r="CA1083">
        <v>0</v>
      </c>
      <c r="CB1083">
        <v>0</v>
      </c>
      <c r="CC1083">
        <v>0</v>
      </c>
      <c r="CD1083">
        <v>0</v>
      </c>
      <c r="CE1083">
        <v>0</v>
      </c>
      <c r="CF1083">
        <v>0</v>
      </c>
      <c r="CG1083">
        <v>0</v>
      </c>
      <c r="CH1083">
        <v>0</v>
      </c>
      <c r="CI1083">
        <v>0</v>
      </c>
      <c r="CJ1083">
        <v>0</v>
      </c>
      <c r="CK1083">
        <v>0</v>
      </c>
      <c r="CL1083">
        <v>0</v>
      </c>
      <c r="CM1083">
        <v>0</v>
      </c>
      <c r="CN1083" t="str">
        <f>IF($BL1083&lt;$BK1083,"refNeedCorrection","refOK")</f>
        <v>refOK</v>
      </c>
      <c r="CO1083">
        <f>IF($CN1083="refOK",$BK1083,$BL1083)</f>
        <v>6.05</v>
      </c>
      <c r="CP1083">
        <f>IF($CN1083="refOK",$BL1083,$BK1083)</f>
        <v>6.05</v>
      </c>
      <c r="CQ1083">
        <f>IF($CN1083="refOK",$BO1083,-$BO1083)</f>
        <v>0</v>
      </c>
      <c r="CR1083">
        <f>IF($CN1083="refOK",$BS1083,$BT1083)*IF($BP1083="Emissions positive",-1,1)</f>
        <v>3721</v>
      </c>
      <c r="CS1083">
        <f>IF($CN1083="refOK",$BT1083,$BS1083)*IF($BP1083="Emissions positive",-1,1)</f>
        <v>5100</v>
      </c>
      <c r="CT1083">
        <f>IF($CN1083="refNeedCorrection",-BX1083,BX1083)*IF($BP1083="Emissions positive",-1,1)</f>
        <v>1.379</v>
      </c>
      <c r="CU1083" t="str">
        <f>IFERROR(CT1083/CQ1083,"")</f>
        <v/>
      </c>
      <c r="CV1083" s="2">
        <f>IFERROR((CS1083-CR1083)/ABS(CR1083),"")</f>
        <v>0.37059930126310131</v>
      </c>
      <c r="CW1083" s="1" t="s">
        <v>263</v>
      </c>
      <c r="CX1083" t="str">
        <f>IF(OR($CW1083="prd",$CW1083="std",$CW1083="cit"),"loc",IF(OR($CW1083="eur",$CW1083="reg",$CW1083="coy"),"reg",$CW1083))</f>
        <v>loc</v>
      </c>
      <c r="CY1083" t="s">
        <v>557</v>
      </c>
      <c r="DB1083">
        <v>0</v>
      </c>
      <c r="DC1083" t="str">
        <f>IF(DB1083=0,"0",IF(AND(DB1083&gt;=1,DB1083&lt;=30),"1-30",IF(AND(DB1083&gt;30,DB1083&lt;=70),"31-70",IF(AND(DB1083&gt;70,DB1083&lt;=100),"71-100",IF(DB1083&gt;100,"+100")))))</f>
        <v>0</v>
      </c>
      <c r="DD1083">
        <v>0</v>
      </c>
      <c r="DE1083">
        <v>0</v>
      </c>
      <c r="DF1083">
        <v>0</v>
      </c>
      <c r="DG1083">
        <v>1</v>
      </c>
      <c r="DI1083">
        <f>SUM(DD1083:DG1083)</f>
        <v>1</v>
      </c>
      <c r="DJ1083" t="str">
        <f>IF(DI1083=1,INDEX($DD$7:$DG$7,MATCH(1,$DD1083:$DG1083,0)),"mixedProduct")</f>
        <v>TimberInput</v>
      </c>
      <c r="DK1083">
        <f>IF(DD1083=1,DK$7,0)</f>
        <v>0</v>
      </c>
      <c r="DL1083">
        <f>IF(DE1083=1,DL$7,0)</f>
        <v>0</v>
      </c>
      <c r="DM1083">
        <f>IF(DF1083=1,DM$7,0)</f>
        <v>0</v>
      </c>
      <c r="DN1083" t="str">
        <f>IF(DG1083=1,DN$7,0)</f>
        <v>Timber</v>
      </c>
      <c r="DO1083">
        <v>0</v>
      </c>
      <c r="DP1083">
        <v>0</v>
      </c>
      <c r="DQ1083">
        <v>0</v>
      </c>
      <c r="DR1083">
        <v>0</v>
      </c>
      <c r="DS1083">
        <v>0</v>
      </c>
      <c r="DT1083">
        <f>SUM(DO1083:DP1083)</f>
        <v>0</v>
      </c>
      <c r="DU1083" s="143" t="str">
        <f>IF(DO1083=1,"self-calculated DF",IF(DP1083=1,"external DF used","explicit C balance"))</f>
        <v>explicit C balance</v>
      </c>
      <c r="DV1083">
        <v>0</v>
      </c>
      <c r="DW1083">
        <v>0</v>
      </c>
      <c r="DX1083">
        <v>0</v>
      </c>
      <c r="DY1083">
        <v>1</v>
      </c>
      <c r="DZ1083">
        <v>1</v>
      </c>
      <c r="EA1083" s="143">
        <v>0</v>
      </c>
      <c r="EB1083">
        <v>0</v>
      </c>
      <c r="EC1083">
        <v>1</v>
      </c>
      <c r="ED1083">
        <v>0</v>
      </c>
      <c r="EE1083">
        <v>1</v>
      </c>
      <c r="EF1083">
        <v>0</v>
      </c>
      <c r="EG1083">
        <v>0</v>
      </c>
      <c r="EH1083">
        <v>0</v>
      </c>
      <c r="EI1083" s="2">
        <v>0</v>
      </c>
      <c r="EK1083" t="str">
        <f>IF(AND(AND(AND(OR($DX1083=1,$DW1083=1),OR($EC1083=1,$EA1083=1)),SUM($DV1083:$DZ1083,$EF1083)&gt;=4),SUM($EA1083:$EE1083)&gt;=2),"Whole sector","")</f>
        <v/>
      </c>
      <c r="EL1083" t="str">
        <f>IF(AND(AND(OR($DX1083=1,$DW1083=1),AND($EC1083=0,$EA1083=0)),SUM($DV1083:$DZ1083,$EF1083)&gt;=4),"Ecosystem approach","")</f>
        <v/>
      </c>
      <c r="EM1083" s="2" t="str">
        <f>IF(AND(AND(AND($DX1083=0,$DW1083=0),OR($EC1083=1,$EA1083=1)),SUM($EB1083:$EE1083)&gt;=2),"Technology approach","")</f>
        <v>Technology approach</v>
      </c>
      <c r="EP1083" t="b">
        <f>IF(ISNUMBER(BU1083),IF(ABS(BU1083-[4]QC_indicators!$B$2)&gt;3*[4]QC_indicators!$C$2,"C ratio",IF(ISNUMBER(BY1083),IF(ABS(BY1083-[4]QC_indicators!$B$1)&gt;3*[4]QC_indicators!$C$1,"DF","no"))),IF(ISNUMBER(BY1083),IF(ABS(BY1083-[4]QC_indicators!$B$1)&gt;3*[4]QC_indicators!$C$1,"DF","no")))</f>
        <v>0</v>
      </c>
      <c r="ER1083" s="149" t="s">
        <v>349</v>
      </c>
      <c r="ET1083" s="264" t="s">
        <v>3273</v>
      </c>
    </row>
    <row r="1084" spans="1:150" ht="15" customHeight="1">
      <c r="A1084" s="1" t="s">
        <v>562</v>
      </c>
      <c r="B1084" t="s">
        <v>544</v>
      </c>
      <c r="C1084" t="s">
        <v>563</v>
      </c>
      <c r="D1084" t="s">
        <v>564</v>
      </c>
      <c r="E1084" t="s">
        <v>565</v>
      </c>
      <c r="F1084" t="s">
        <v>566</v>
      </c>
      <c r="G1084" t="s">
        <v>567</v>
      </c>
      <c r="H1084" t="s">
        <v>254</v>
      </c>
      <c r="I1084">
        <v>2009</v>
      </c>
      <c r="J1084">
        <v>16</v>
      </c>
      <c r="K1084" t="s">
        <v>568</v>
      </c>
      <c r="M1084" t="str">
        <f>LEFT($D1084,FIND(",",$D1084)-1)&amp;"_"&amp;I1084&amp;L1084</f>
        <v>Crawford_2009</v>
      </c>
      <c r="N1084" t="s">
        <v>222</v>
      </c>
      <c r="O1084" s="145" t="s">
        <v>223</v>
      </c>
      <c r="Q1084" s="264" t="s">
        <v>256</v>
      </c>
      <c r="R1084" s="269" t="s">
        <v>1154</v>
      </c>
      <c r="S1084" s="1" t="s">
        <v>569</v>
      </c>
      <c r="T1084" s="264" t="s">
        <v>570</v>
      </c>
      <c r="U1084" s="264" t="s">
        <v>571</v>
      </c>
      <c r="V1084">
        <v>0</v>
      </c>
      <c r="W1084">
        <v>0</v>
      </c>
      <c r="X1084">
        <v>0</v>
      </c>
      <c r="Y1084">
        <v>0</v>
      </c>
      <c r="Z1084">
        <v>0</v>
      </c>
      <c r="AA1084">
        <v>0</v>
      </c>
      <c r="AB1084">
        <v>0</v>
      </c>
      <c r="AC1084">
        <v>0</v>
      </c>
      <c r="AD1084">
        <v>0</v>
      </c>
      <c r="AE1084">
        <v>0</v>
      </c>
      <c r="AF1084">
        <v>0</v>
      </c>
      <c r="AG1084">
        <v>0</v>
      </c>
      <c r="AH1084">
        <v>0</v>
      </c>
      <c r="AI1084">
        <v>1</v>
      </c>
      <c r="AJ1084">
        <v>0</v>
      </c>
      <c r="AK1084">
        <v>0</v>
      </c>
      <c r="AL1084">
        <v>0</v>
      </c>
      <c r="AM1084">
        <v>0</v>
      </c>
      <c r="AN1084">
        <v>0</v>
      </c>
      <c r="AO1084">
        <v>0</v>
      </c>
      <c r="AP1084">
        <v>0</v>
      </c>
      <c r="AQ1084">
        <v>0</v>
      </c>
      <c r="AR1084">
        <v>0</v>
      </c>
      <c r="AS1084">
        <v>0</v>
      </c>
      <c r="AT1084">
        <v>0</v>
      </c>
      <c r="AU1084">
        <v>0</v>
      </c>
      <c r="AV1084">
        <v>0</v>
      </c>
      <c r="AW1084">
        <v>0</v>
      </c>
      <c r="AX1084" s="141">
        <f>COUNTIF(V1084:AW1084,"&lt;&gt;0")</f>
        <v>1</v>
      </c>
      <c r="AY1084" s="141">
        <f>COUNTIF(V1084:AL1084,"&lt;&gt;0")</f>
        <v>1</v>
      </c>
      <c r="AZ1084">
        <f>COUNTIF(V1084:AC1084,"&lt;&gt;0")</f>
        <v>0</v>
      </c>
      <c r="BA1084">
        <f>COUNTIF(AD1084:AI1084,"&lt;&gt;0")</f>
        <v>1</v>
      </c>
      <c r="BB1084">
        <f>COUNTIF(AJ1084:AL1084,"&lt;&gt;0")</f>
        <v>0</v>
      </c>
      <c r="BC1084">
        <f>COUNTIF(AS1084:AW1084,"&lt;&gt;0")</f>
        <v>0</v>
      </c>
      <c r="BD1084">
        <f>COUNTIF(AM1084:AR1084,"&lt;&gt;0")</f>
        <v>0</v>
      </c>
      <c r="BE1084" t="str" cm="1">
        <f t="array" ref="BE1084">IF(AY1084=1,INDEX($V$7:$AL$7,MATCH(TRUE,INDEX($V1084:$AW1084&lt;&gt;0,),0)),IF(AY1084=0,INDEX($AM$7:$AW$7,MATCH(1,$AM1084:$AW1084,0)),IF(BF1084="Multiple strategies","mixed drivers",IF(BF1084="Supply chain","multiple supply","multiple silviculture"))))</f>
        <v>products lifespan</v>
      </c>
      <c r="BF1084" s="2" t="str" cm="1">
        <f t="array" ref="BF1084">IF(COUNTIF(AZ1084:BB1084,"&lt;&gt;0")=1,INDEX($V$4:$AW$4,MATCH(TRUE,INDEX($V1084:$AW1084&lt;&gt;0,),0)),IF(COUNTIF(AZ1084:BB1084,"&lt;&gt;0")=0,INDEX($AM$4:$AW$4,MATCH(1,$AM1084:$AW1084,0)),"Multiple strategies"))</f>
        <v>Supply chain</v>
      </c>
      <c r="BG1084" s="1" t="s">
        <v>229</v>
      </c>
      <c r="BH1084" t="s">
        <v>572</v>
      </c>
      <c r="BJ1084" t="s">
        <v>345</v>
      </c>
      <c r="BK1084">
        <f>80.2*1460</f>
        <v>117092</v>
      </c>
      <c r="BL1084">
        <f>80.2*1460</f>
        <v>117092</v>
      </c>
      <c r="BN1084">
        <f>BL1084-BK1084</f>
        <v>0</v>
      </c>
      <c r="BO1084">
        <f>BN1084*kg_to_m3</f>
        <v>0</v>
      </c>
      <c r="BP1084" s="264" t="s">
        <v>232</v>
      </c>
      <c r="BQ1084" s="264"/>
      <c r="BR1084" t="s">
        <v>573</v>
      </c>
      <c r="BS1084">
        <v>-4834</v>
      </c>
      <c r="BT1084">
        <v>-3656</v>
      </c>
      <c r="BU1084" s="144">
        <v>0.75630947455523378</v>
      </c>
      <c r="BV1084">
        <v>1178</v>
      </c>
      <c r="BX1084">
        <f>BV1084</f>
        <v>1178</v>
      </c>
      <c r="BY1084" t="str">
        <f>IFERROR(BX1084/BO1084,"")</f>
        <v/>
      </c>
      <c r="BZ1084">
        <v>0</v>
      </c>
      <c r="CA1084">
        <v>0</v>
      </c>
      <c r="CB1084">
        <v>0</v>
      </c>
      <c r="CC1084">
        <v>0</v>
      </c>
      <c r="CD1084">
        <v>0</v>
      </c>
      <c r="CE1084">
        <v>0</v>
      </c>
      <c r="CF1084">
        <v>0</v>
      </c>
      <c r="CG1084">
        <v>0</v>
      </c>
      <c r="CH1084">
        <v>0</v>
      </c>
      <c r="CI1084">
        <v>0</v>
      </c>
      <c r="CJ1084">
        <v>0</v>
      </c>
      <c r="CK1084">
        <v>0</v>
      </c>
      <c r="CL1084">
        <v>0</v>
      </c>
      <c r="CM1084">
        <v>0</v>
      </c>
      <c r="CN1084" t="str">
        <f>IF($BL1084&lt;$BK1084,"refNeedCorrection","refOK")</f>
        <v>refOK</v>
      </c>
      <c r="CO1084">
        <f>IF($CN1084="refNeedCorrection",BL1084,BK1084)</f>
        <v>117092</v>
      </c>
      <c r="CP1084">
        <f>IF($CN1084="refNeedCorrection",BK1084,BL1084)</f>
        <v>117092</v>
      </c>
      <c r="CQ1084">
        <f>IF($CN1084="refOK",$BO1084,-$BO1084)</f>
        <v>0</v>
      </c>
      <c r="CR1084">
        <f>IF($CN1084="refOK",$BS1084,$BT1084)*IF($BP1084="Emissions positive",-1,1)</f>
        <v>-4834</v>
      </c>
      <c r="CS1084">
        <f>IF($CN1084="refOK",$BT1084,$BS1084)*IF($BP1084="Emissions positive",-1,1)</f>
        <v>-3656</v>
      </c>
      <c r="CT1084">
        <f>IF($CN1084="refNeedCorrection",-BX1084,BX1084)*IF($BP1084="Emissions positive",-1,1)</f>
        <v>1178</v>
      </c>
      <c r="CU1084" t="str">
        <f>IFERROR(CT1084/CQ1084,"")</f>
        <v/>
      </c>
      <c r="CV1084" s="2">
        <f>IFERROR((CS1084-CR1084)/ABS(CR1084),"")</f>
        <v>0.24369052544476624</v>
      </c>
      <c r="CW1084" s="1" t="s">
        <v>263</v>
      </c>
      <c r="CX1084" s="264" t="str">
        <f>IF(OR($CW1084="prd",$CW1084="std",$CW1084="cit"),"loc",IF(OR($CW1084="eur",$CW1084="reg",$CW1084="coy"),"reg",$CW1084))</f>
        <v>loc</v>
      </c>
      <c r="CY1084" t="s">
        <v>574</v>
      </c>
      <c r="DB1084">
        <v>100</v>
      </c>
      <c r="DC1084" t="str">
        <f>IF(DB1084=0,"0",IF(AND(DB1084&gt;=1,DB1084&lt;=30),"1-30",IF(AND(DB1084&gt;30,DB1084&lt;=70),"31-70",IF(AND(DB1084&gt;70,DB1084&lt;=100),"71-100",IF(DB1084&gt;100,"+100")))))</f>
        <v>71-100</v>
      </c>
      <c r="DD1084">
        <v>0</v>
      </c>
      <c r="DE1084">
        <v>0</v>
      </c>
      <c r="DF1084">
        <v>0</v>
      </c>
      <c r="DG1084">
        <v>1</v>
      </c>
      <c r="DI1084">
        <f>SUM(DD1084:DG1084)</f>
        <v>1</v>
      </c>
      <c r="DJ1084" t="str">
        <f>IF(DI1084=1,INDEX($DD$7:$DG$7,MATCH(1,$DD1084:$DG1084,0)),"mixedProduct")</f>
        <v>TimberInput</v>
      </c>
      <c r="DK1084">
        <f>IF(DD1084=1,DK$7,0)</f>
        <v>0</v>
      </c>
      <c r="DL1084">
        <f>IF(DE1084=1,DL$7,0)</f>
        <v>0</v>
      </c>
      <c r="DM1084">
        <f>IF(DF1084=1,DM$7,0)</f>
        <v>0</v>
      </c>
      <c r="DN1084" t="str">
        <f>IF(DG1084=1,DN$7,0)</f>
        <v>Timber</v>
      </c>
      <c r="DO1084">
        <v>0</v>
      </c>
      <c r="DP1084">
        <v>0</v>
      </c>
      <c r="DQ1084">
        <v>0</v>
      </c>
      <c r="DR1084">
        <v>0</v>
      </c>
      <c r="DS1084">
        <v>0</v>
      </c>
      <c r="DT1084">
        <f>SUM(DO1084:DP1084)</f>
        <v>0</v>
      </c>
      <c r="DU1084" s="143" t="str">
        <f>IF(DO1084=1,"self-calculated DF",IF(DP1084=1,"external DF used","explicit C balance"))</f>
        <v>explicit C balance</v>
      </c>
      <c r="DV1084">
        <v>0</v>
      </c>
      <c r="DW1084">
        <v>1</v>
      </c>
      <c r="DX1084">
        <v>0</v>
      </c>
      <c r="DY1084">
        <v>1</v>
      </c>
      <c r="DZ1084">
        <v>1</v>
      </c>
      <c r="EA1084" s="143">
        <v>0</v>
      </c>
      <c r="EB1084">
        <v>1</v>
      </c>
      <c r="EC1084">
        <v>1</v>
      </c>
      <c r="ED1084">
        <v>0</v>
      </c>
      <c r="EE1084">
        <v>1</v>
      </c>
      <c r="EF1084">
        <v>0</v>
      </c>
      <c r="EG1084">
        <v>0</v>
      </c>
      <c r="EH1084">
        <v>0</v>
      </c>
      <c r="EI1084" s="2">
        <v>0</v>
      </c>
      <c r="EK1084" t="str">
        <f>IF(AND(AND(AND(OR($DX1084=1,$DW1084=1),OR($EC1084=1,$EA1084=1)),SUM($DV1084:$DZ1084,$EF1084)&gt;=4),SUM($EA1084:$EE1084)&gt;=2),"Whole sector","")</f>
        <v/>
      </c>
      <c r="EL1084" t="str">
        <f>IF(AND(AND(OR($DX1084=1,$DW1084=1),AND($EC1084=0,$EA1084=0)),SUM($DV1084:$DZ1084,$EF1084)&gt;=4),"Ecosystem approach","")</f>
        <v/>
      </c>
      <c r="EM1084" s="2" t="str">
        <f>IF(AND(AND(AND($DX1084=0,$DW1084=0),OR($EC1084=1,$EA1084=1)),SUM($EB1084:$EE1084)&gt;=2),"Technology approach","")</f>
        <v/>
      </c>
      <c r="EP1084" t="b">
        <f>IF(ISNUMBER(BU1084),IF(ABS(BU1084-[3]QC_indicators!$B$2)&gt;3*[3]QC_indicators!$C$2,"C ratio",IF(ISNUMBER(BY1084),IF(ABS(BY1084-[3]QC_indicators!$B$1)&gt;3*[3]QC_indicators!$C$1,"DF","no"))),IF(ISNUMBER(BY1084),IF(ABS(BY1084-[3]QC_indicators!$B$1)&gt;3*[3]QC_indicators!$C$1,"DF","no")))</f>
        <v>0</v>
      </c>
      <c r="ER1084" s="294" t="s">
        <v>349</v>
      </c>
      <c r="ET1084" s="264" t="s">
        <v>3407</v>
      </c>
    </row>
    <row r="1085" spans="1:150" ht="15" customHeight="1">
      <c r="A1085" s="1" t="s">
        <v>562</v>
      </c>
      <c r="B1085" t="s">
        <v>544</v>
      </c>
      <c r="C1085" t="s">
        <v>563</v>
      </c>
      <c r="D1085" t="s">
        <v>564</v>
      </c>
      <c r="E1085" t="s">
        <v>565</v>
      </c>
      <c r="F1085" t="s">
        <v>566</v>
      </c>
      <c r="G1085" t="s">
        <v>567</v>
      </c>
      <c r="H1085" t="s">
        <v>254</v>
      </c>
      <c r="I1085">
        <v>2009</v>
      </c>
      <c r="J1085">
        <v>16</v>
      </c>
      <c r="K1085" t="s">
        <v>568</v>
      </c>
      <c r="M1085" t="str">
        <f>LEFT($D1085,FIND(",",$D1085)-1)&amp;"_"&amp;I1085&amp;L1085</f>
        <v>Crawford_2009</v>
      </c>
      <c r="N1085" t="s">
        <v>222</v>
      </c>
      <c r="O1085" s="145" t="s">
        <v>223</v>
      </c>
      <c r="Q1085" s="264" t="s">
        <v>256</v>
      </c>
      <c r="R1085" s="269" t="s">
        <v>1154</v>
      </c>
      <c r="S1085" s="1" t="s">
        <v>569</v>
      </c>
      <c r="T1085" s="264" t="s">
        <v>575</v>
      </c>
      <c r="U1085" s="264" t="s">
        <v>576</v>
      </c>
      <c r="V1085">
        <v>0</v>
      </c>
      <c r="W1085">
        <v>0</v>
      </c>
      <c r="X1085">
        <v>0</v>
      </c>
      <c r="Y1085">
        <v>0</v>
      </c>
      <c r="Z1085">
        <v>0</v>
      </c>
      <c r="AA1085">
        <v>0</v>
      </c>
      <c r="AB1085">
        <v>0</v>
      </c>
      <c r="AC1085">
        <v>0</v>
      </c>
      <c r="AD1085">
        <v>0</v>
      </c>
      <c r="AE1085">
        <v>0</v>
      </c>
      <c r="AF1085">
        <v>0</v>
      </c>
      <c r="AG1085">
        <v>0</v>
      </c>
      <c r="AH1085">
        <v>0</v>
      </c>
      <c r="AI1085">
        <v>1</v>
      </c>
      <c r="AJ1085">
        <v>0</v>
      </c>
      <c r="AK1085">
        <v>0</v>
      </c>
      <c r="AL1085">
        <v>0</v>
      </c>
      <c r="AM1085">
        <v>0</v>
      </c>
      <c r="AN1085">
        <v>0</v>
      </c>
      <c r="AO1085">
        <v>0</v>
      </c>
      <c r="AP1085">
        <v>0</v>
      </c>
      <c r="AQ1085">
        <v>0</v>
      </c>
      <c r="AR1085">
        <v>0</v>
      </c>
      <c r="AS1085">
        <v>0</v>
      </c>
      <c r="AT1085">
        <v>0</v>
      </c>
      <c r="AU1085">
        <v>0</v>
      </c>
      <c r="AV1085">
        <v>0</v>
      </c>
      <c r="AW1085">
        <v>0</v>
      </c>
      <c r="AX1085" s="141">
        <f>COUNTIF(V1085:AW1085,"&lt;&gt;0")</f>
        <v>1</v>
      </c>
      <c r="AY1085" s="141">
        <f>COUNTIF(V1085:AL1085,"&lt;&gt;0")</f>
        <v>1</v>
      </c>
      <c r="AZ1085">
        <f>COUNTIF(V1085:AC1085,"&lt;&gt;0")</f>
        <v>0</v>
      </c>
      <c r="BA1085">
        <f>COUNTIF(AD1085:AI1085,"&lt;&gt;0")</f>
        <v>1</v>
      </c>
      <c r="BB1085">
        <f>COUNTIF(AJ1085:AL1085,"&lt;&gt;0")</f>
        <v>0</v>
      </c>
      <c r="BC1085">
        <f>COUNTIF(AS1085:AW1085,"&lt;&gt;0")</f>
        <v>0</v>
      </c>
      <c r="BD1085">
        <f>COUNTIF(AM1085:AR1085,"&lt;&gt;0")</f>
        <v>0</v>
      </c>
      <c r="BE1085" t="str" cm="1">
        <f t="array" ref="BE1085">IF(AY1085=1,INDEX($V$7:$AL$7,MATCH(TRUE,INDEX($V1085:$AW1085&lt;&gt;0,),0)),IF(AY1085=0,INDEX($AM$7:$AW$7,MATCH(1,$AM1085:$AW1085,0)),IF(BF1085="Multiple strategies","mixed drivers",IF(BF1085="Supply chain","multiple supply","multiple silviculture"))))</f>
        <v>products lifespan</v>
      </c>
      <c r="BF1085" s="2" t="str" cm="1">
        <f t="array" ref="BF1085">IF(COUNTIF(AZ1085:BB1085,"&lt;&gt;0")=1,INDEX($V$4:$AW$4,MATCH(TRUE,INDEX($V1085:$AW1085&lt;&gt;0,),0)),IF(COUNTIF(AZ1085:BB1085,"&lt;&gt;0")=0,INDEX($AM$4:$AW$4,MATCH(1,$AM1085:$AW1085,0)),"Multiple strategies"))</f>
        <v>Supply chain</v>
      </c>
      <c r="BG1085" s="1" t="s">
        <v>229</v>
      </c>
      <c r="BH1085" t="s">
        <v>572</v>
      </c>
      <c r="BJ1085" t="s">
        <v>345</v>
      </c>
      <c r="BK1085">
        <f>80.2*1460</f>
        <v>117092</v>
      </c>
      <c r="BL1085">
        <f>80.2*1460</f>
        <v>117092</v>
      </c>
      <c r="BN1085">
        <f>BL1085-BK1085</f>
        <v>0</v>
      </c>
      <c r="BO1085">
        <f>BN1085*kg_to_m3</f>
        <v>0</v>
      </c>
      <c r="BP1085" s="264" t="s">
        <v>232</v>
      </c>
      <c r="BQ1085" s="264"/>
      <c r="BR1085" t="s">
        <v>573</v>
      </c>
      <c r="BS1085">
        <v>-4208</v>
      </c>
      <c r="BT1085">
        <v>-3185</v>
      </c>
      <c r="BU1085" s="144">
        <v>0.75689163498098855</v>
      </c>
      <c r="BV1085">
        <v>1023</v>
      </c>
      <c r="BX1085">
        <f>BV1085</f>
        <v>1023</v>
      </c>
      <c r="BY1085" t="str">
        <f>IFERROR(BX1085/BO1085,"")</f>
        <v/>
      </c>
      <c r="BZ1085">
        <v>0</v>
      </c>
      <c r="CA1085">
        <v>0</v>
      </c>
      <c r="CB1085">
        <v>0</v>
      </c>
      <c r="CC1085">
        <v>0</v>
      </c>
      <c r="CD1085">
        <v>0</v>
      </c>
      <c r="CE1085">
        <v>0</v>
      </c>
      <c r="CF1085">
        <v>0</v>
      </c>
      <c r="CG1085">
        <v>0</v>
      </c>
      <c r="CH1085">
        <v>0</v>
      </c>
      <c r="CI1085">
        <v>0</v>
      </c>
      <c r="CJ1085">
        <v>0</v>
      </c>
      <c r="CK1085">
        <v>0</v>
      </c>
      <c r="CL1085">
        <v>0</v>
      </c>
      <c r="CM1085">
        <v>0</v>
      </c>
      <c r="CN1085" t="str">
        <f>IF($BL1085&lt;$BK1085,"refNeedCorrection","refOK")</f>
        <v>refOK</v>
      </c>
      <c r="CO1085">
        <f>IF($CN1085="refNeedCorrection",BL1085,BK1085)</f>
        <v>117092</v>
      </c>
      <c r="CP1085">
        <f>IF($CN1085="refNeedCorrection",BK1085,BL1085)</f>
        <v>117092</v>
      </c>
      <c r="CQ1085">
        <f>IF($CN1085="refOK",$BO1085,-$BO1085)</f>
        <v>0</v>
      </c>
      <c r="CR1085">
        <f>IF($CN1085="refOK",$BS1085,$BT1085)*IF($BP1085="Emissions positive",-1,1)</f>
        <v>-4208</v>
      </c>
      <c r="CS1085">
        <f>IF($CN1085="refOK",$BT1085,$BS1085)*IF($BP1085="Emissions positive",-1,1)</f>
        <v>-3185</v>
      </c>
      <c r="CT1085">
        <f>IF($CN1085="refNeedCorrection",-BX1085,BX1085)*IF($BP1085="Emissions positive",-1,1)</f>
        <v>1023</v>
      </c>
      <c r="CU1085" t="str">
        <f>IFERROR(CT1085/CQ1085,"")</f>
        <v/>
      </c>
      <c r="CV1085" s="2">
        <f>IFERROR((CS1085-CR1085)/ABS(CR1085),"")</f>
        <v>0.2431083650190114</v>
      </c>
      <c r="CW1085" s="1" t="s">
        <v>263</v>
      </c>
      <c r="CX1085" s="264" t="str">
        <f>IF(OR($CW1085="prd",$CW1085="std",$CW1085="cit"),"loc",IF(OR($CW1085="eur",$CW1085="reg",$CW1085="coy"),"reg",$CW1085))</f>
        <v>loc</v>
      </c>
      <c r="CY1085" t="s">
        <v>574</v>
      </c>
      <c r="DB1085">
        <v>100</v>
      </c>
      <c r="DC1085" t="str">
        <f>IF(DB1085=0,"0",IF(AND(DB1085&gt;=1,DB1085&lt;=30),"1-30",IF(AND(DB1085&gt;30,DB1085&lt;=70),"31-70",IF(AND(DB1085&gt;70,DB1085&lt;=100),"71-100",IF(DB1085&gt;100,"+100")))))</f>
        <v>71-100</v>
      </c>
      <c r="DD1085">
        <v>0</v>
      </c>
      <c r="DE1085">
        <v>0</v>
      </c>
      <c r="DF1085">
        <v>0</v>
      </c>
      <c r="DG1085">
        <v>1</v>
      </c>
      <c r="DI1085">
        <f>SUM(DD1085:DG1085)</f>
        <v>1</v>
      </c>
      <c r="DJ1085" t="str">
        <f>IF(DI1085=1,INDEX($DD$7:$DG$7,MATCH(1,$DD1085:$DG1085,0)),"mixedProduct")</f>
        <v>TimberInput</v>
      </c>
      <c r="DK1085">
        <f>IF(DD1085=1,DK$7,0)</f>
        <v>0</v>
      </c>
      <c r="DL1085">
        <f>IF(DE1085=1,DL$7,0)</f>
        <v>0</v>
      </c>
      <c r="DM1085">
        <f>IF(DF1085=1,DM$7,0)</f>
        <v>0</v>
      </c>
      <c r="DN1085" t="str">
        <f>IF(DG1085=1,DN$7,0)</f>
        <v>Timber</v>
      </c>
      <c r="DO1085">
        <v>0</v>
      </c>
      <c r="DP1085">
        <v>0</v>
      </c>
      <c r="DQ1085">
        <v>0</v>
      </c>
      <c r="DR1085">
        <v>0</v>
      </c>
      <c r="DS1085">
        <v>0</v>
      </c>
      <c r="DT1085">
        <f>SUM(DO1085:DP1085)</f>
        <v>0</v>
      </c>
      <c r="DU1085" s="143" t="str">
        <f>IF(DO1085=1,"self-calculated DF",IF(DP1085=1,"external DF used","explicit C balance"))</f>
        <v>explicit C balance</v>
      </c>
      <c r="DV1085">
        <v>0</v>
      </c>
      <c r="DW1085">
        <v>1</v>
      </c>
      <c r="DX1085">
        <v>0</v>
      </c>
      <c r="DY1085">
        <v>1</v>
      </c>
      <c r="DZ1085">
        <v>1</v>
      </c>
      <c r="EA1085" s="143">
        <v>0</v>
      </c>
      <c r="EB1085">
        <v>1</v>
      </c>
      <c r="EC1085">
        <v>1</v>
      </c>
      <c r="ED1085">
        <v>0</v>
      </c>
      <c r="EE1085">
        <v>1</v>
      </c>
      <c r="EF1085">
        <v>0</v>
      </c>
      <c r="EG1085">
        <v>0</v>
      </c>
      <c r="EH1085">
        <v>0</v>
      </c>
      <c r="EI1085" s="2">
        <v>0</v>
      </c>
      <c r="EK1085" t="str">
        <f>IF(AND(AND(AND(OR($DX1085=1,$DW1085=1),OR($EC1085=1,$EA1085=1)),SUM($DV1085:$DZ1085,$EF1085)&gt;=4),SUM($EA1085:$EE1085)&gt;=2),"Whole sector","")</f>
        <v/>
      </c>
      <c r="EL1085" t="str">
        <f>IF(AND(AND(OR($DX1085=1,$DW1085=1),AND($EC1085=0,$EA1085=0)),SUM($DV1085:$DZ1085,$EF1085)&gt;=4),"Ecosystem approach","")</f>
        <v/>
      </c>
      <c r="EM1085" s="2" t="str">
        <f>IF(AND(AND(AND($DX1085=0,$DW1085=0),OR($EC1085=1,$EA1085=1)),SUM($EB1085:$EE1085)&gt;=2),"Technology approach","")</f>
        <v/>
      </c>
      <c r="EP1085" t="b">
        <f>IF(ISNUMBER(BU1085),IF(ABS(BU1085-[3]QC_indicators!$B$2)&gt;3*[3]QC_indicators!$C$2,"C ratio",IF(ISNUMBER(BY1085),IF(ABS(BY1085-[3]QC_indicators!$B$1)&gt;3*[3]QC_indicators!$C$1,"DF","no"))),IF(ISNUMBER(BY1085),IF(ABS(BY1085-[3]QC_indicators!$B$1)&gt;3*[3]QC_indicators!$C$1,"DF","no")))</f>
        <v>0</v>
      </c>
      <c r="ER1085" s="294" t="s">
        <v>349</v>
      </c>
      <c r="ET1085" s="264" t="s">
        <v>3407</v>
      </c>
    </row>
    <row r="1086" spans="1:150" ht="15" customHeight="1">
      <c r="A1086" s="1" t="s">
        <v>562</v>
      </c>
      <c r="B1086" t="s">
        <v>544</v>
      </c>
      <c r="C1086" t="s">
        <v>563</v>
      </c>
      <c r="D1086" t="s">
        <v>564</v>
      </c>
      <c r="E1086" t="s">
        <v>565</v>
      </c>
      <c r="F1086" t="s">
        <v>566</v>
      </c>
      <c r="G1086" t="s">
        <v>567</v>
      </c>
      <c r="H1086" t="s">
        <v>254</v>
      </c>
      <c r="I1086">
        <v>2009</v>
      </c>
      <c r="J1086">
        <v>16</v>
      </c>
      <c r="K1086" t="s">
        <v>568</v>
      </c>
      <c r="M1086" t="str">
        <f>LEFT($D1086,FIND(",",$D1086)-1)&amp;"_"&amp;I1086&amp;L1086</f>
        <v>Crawford_2009</v>
      </c>
      <c r="N1086" t="s">
        <v>222</v>
      </c>
      <c r="O1086" s="145" t="s">
        <v>223</v>
      </c>
      <c r="Q1086" s="264" t="s">
        <v>256</v>
      </c>
      <c r="R1086" s="269" t="s">
        <v>1154</v>
      </c>
      <c r="S1086" s="1" t="s">
        <v>569</v>
      </c>
      <c r="T1086" s="264" t="s">
        <v>577</v>
      </c>
      <c r="U1086" s="264" t="s">
        <v>578</v>
      </c>
      <c r="V1086">
        <v>0</v>
      </c>
      <c r="W1086">
        <v>0</v>
      </c>
      <c r="X1086">
        <v>0</v>
      </c>
      <c r="Y1086">
        <v>0</v>
      </c>
      <c r="Z1086">
        <v>0</v>
      </c>
      <c r="AA1086">
        <v>0</v>
      </c>
      <c r="AB1086">
        <v>0</v>
      </c>
      <c r="AC1086">
        <v>0</v>
      </c>
      <c r="AD1086">
        <v>0</v>
      </c>
      <c r="AE1086">
        <v>0</v>
      </c>
      <c r="AF1086">
        <v>0</v>
      </c>
      <c r="AG1086">
        <v>0</v>
      </c>
      <c r="AH1086">
        <v>0</v>
      </c>
      <c r="AI1086">
        <v>1</v>
      </c>
      <c r="AJ1086">
        <v>0</v>
      </c>
      <c r="AK1086">
        <v>0</v>
      </c>
      <c r="AL1086">
        <v>0</v>
      </c>
      <c r="AM1086">
        <v>0</v>
      </c>
      <c r="AN1086">
        <v>0</v>
      </c>
      <c r="AO1086">
        <v>0</v>
      </c>
      <c r="AP1086">
        <v>0</v>
      </c>
      <c r="AQ1086">
        <v>0</v>
      </c>
      <c r="AR1086">
        <v>0</v>
      </c>
      <c r="AS1086">
        <v>0</v>
      </c>
      <c r="AT1086">
        <v>0</v>
      </c>
      <c r="AU1086">
        <v>0</v>
      </c>
      <c r="AV1086">
        <v>0</v>
      </c>
      <c r="AW1086">
        <v>0</v>
      </c>
      <c r="AX1086" s="141">
        <f>COUNTIF(V1086:AW1086,"&lt;&gt;0")</f>
        <v>1</v>
      </c>
      <c r="AY1086" s="141">
        <f>COUNTIF(V1086:AL1086,"&lt;&gt;0")</f>
        <v>1</v>
      </c>
      <c r="AZ1086">
        <f>COUNTIF(V1086:AC1086,"&lt;&gt;0")</f>
        <v>0</v>
      </c>
      <c r="BA1086">
        <f>COUNTIF(AD1086:AI1086,"&lt;&gt;0")</f>
        <v>1</v>
      </c>
      <c r="BB1086">
        <f>COUNTIF(AJ1086:AL1086,"&lt;&gt;0")</f>
        <v>0</v>
      </c>
      <c r="BC1086">
        <f>COUNTIF(AS1086:AW1086,"&lt;&gt;0")</f>
        <v>0</v>
      </c>
      <c r="BD1086">
        <f>COUNTIF(AM1086:AR1086,"&lt;&gt;0")</f>
        <v>0</v>
      </c>
      <c r="BE1086" t="str" cm="1">
        <f t="array" ref="BE1086">IF(AY1086=1,INDEX($V$7:$AL$7,MATCH(TRUE,INDEX($V1086:$AW1086&lt;&gt;0,),0)),IF(AY1086=0,INDEX($AM$7:$AW$7,MATCH(1,$AM1086:$AW1086,0)),IF(BF1086="Multiple strategies","mixed drivers",IF(BF1086="Supply chain","multiple supply","multiple silviculture"))))</f>
        <v>products lifespan</v>
      </c>
      <c r="BF1086" s="2" t="str" cm="1">
        <f t="array" ref="BF1086">IF(COUNTIF(AZ1086:BB1086,"&lt;&gt;0")=1,INDEX($V$4:$AW$4,MATCH(TRUE,INDEX($V1086:$AW1086&lt;&gt;0,),0)),IF(COUNTIF(AZ1086:BB1086,"&lt;&gt;0")=0,INDEX($AM$4:$AW$4,MATCH(1,$AM1086:$AW1086,0)),"Multiple strategies"))</f>
        <v>Supply chain</v>
      </c>
      <c r="BG1086" s="1" t="s">
        <v>229</v>
      </c>
      <c r="BH1086" t="s">
        <v>572</v>
      </c>
      <c r="BJ1086" t="s">
        <v>345</v>
      </c>
      <c r="BK1086">
        <f>80.2*1460</f>
        <v>117092</v>
      </c>
      <c r="BL1086">
        <f>80.2*1460</f>
        <v>117092</v>
      </c>
      <c r="BN1086">
        <f>BL1086-BK1086</f>
        <v>0</v>
      </c>
      <c r="BO1086">
        <f>BN1086*kg_to_m3</f>
        <v>0</v>
      </c>
      <c r="BP1086" s="264" t="s">
        <v>232</v>
      </c>
      <c r="BQ1086" s="264"/>
      <c r="BR1086" t="s">
        <v>573</v>
      </c>
      <c r="BS1086">
        <v>-3631</v>
      </c>
      <c r="BT1086">
        <v>-2751</v>
      </c>
      <c r="BU1086" s="144">
        <v>0.75764252272101351</v>
      </c>
      <c r="BV1086">
        <v>880</v>
      </c>
      <c r="BX1086">
        <f>BV1086</f>
        <v>880</v>
      </c>
      <c r="BY1086" t="str">
        <f>IFERROR(BX1086/BO1086,"")</f>
        <v/>
      </c>
      <c r="BZ1086">
        <v>0</v>
      </c>
      <c r="CA1086">
        <v>0</v>
      </c>
      <c r="CB1086">
        <v>0</v>
      </c>
      <c r="CC1086">
        <v>0</v>
      </c>
      <c r="CD1086">
        <v>0</v>
      </c>
      <c r="CE1086">
        <v>0</v>
      </c>
      <c r="CF1086">
        <v>0</v>
      </c>
      <c r="CG1086">
        <v>0</v>
      </c>
      <c r="CH1086">
        <v>0</v>
      </c>
      <c r="CI1086">
        <v>0</v>
      </c>
      <c r="CJ1086">
        <v>0</v>
      </c>
      <c r="CK1086">
        <v>0</v>
      </c>
      <c r="CL1086">
        <v>0</v>
      </c>
      <c r="CM1086">
        <v>0</v>
      </c>
      <c r="CN1086" t="str">
        <f>IF($BL1086&lt;$BK1086,"refNeedCorrection","refOK")</f>
        <v>refOK</v>
      </c>
      <c r="CO1086">
        <f>IF($CN1086="refNeedCorrection",BL1086,BK1086)</f>
        <v>117092</v>
      </c>
      <c r="CP1086">
        <f>IF($CN1086="refNeedCorrection",BK1086,BL1086)</f>
        <v>117092</v>
      </c>
      <c r="CQ1086">
        <f>IF($CN1086="refOK",$BO1086,-$BO1086)</f>
        <v>0</v>
      </c>
      <c r="CR1086">
        <f>IF($CN1086="refOK",$BS1086,$BT1086)*IF($BP1086="Emissions positive",-1,1)</f>
        <v>-3631</v>
      </c>
      <c r="CS1086">
        <f>IF($CN1086="refOK",$BT1086,$BS1086)*IF($BP1086="Emissions positive",-1,1)</f>
        <v>-2751</v>
      </c>
      <c r="CT1086">
        <f>IF($CN1086="refNeedCorrection",-BX1086,BX1086)*IF($BP1086="Emissions positive",-1,1)</f>
        <v>880</v>
      </c>
      <c r="CU1086" t="str">
        <f>IFERROR(CT1086/CQ1086,"")</f>
        <v/>
      </c>
      <c r="CV1086" s="2">
        <f>IFERROR((CS1086-CR1086)/ABS(CR1086),"")</f>
        <v>0.24235747727898652</v>
      </c>
      <c r="CW1086" s="1" t="s">
        <v>263</v>
      </c>
      <c r="CX1086" s="264" t="str">
        <f>IF(OR($CW1086="prd",$CW1086="std",$CW1086="cit"),"loc",IF(OR($CW1086="eur",$CW1086="reg",$CW1086="coy"),"reg",$CW1086))</f>
        <v>loc</v>
      </c>
      <c r="CY1086" t="s">
        <v>574</v>
      </c>
      <c r="DB1086">
        <v>100</v>
      </c>
      <c r="DC1086" t="str">
        <f>IF(DB1086=0,"0",IF(AND(DB1086&gt;=1,DB1086&lt;=30),"1-30",IF(AND(DB1086&gt;30,DB1086&lt;=70),"31-70",IF(AND(DB1086&gt;70,DB1086&lt;=100),"71-100",IF(DB1086&gt;100,"+100")))))</f>
        <v>71-100</v>
      </c>
      <c r="DD1086">
        <v>0</v>
      </c>
      <c r="DE1086">
        <v>0</v>
      </c>
      <c r="DF1086">
        <v>0</v>
      </c>
      <c r="DG1086">
        <v>1</v>
      </c>
      <c r="DI1086">
        <f>SUM(DD1086:DG1086)</f>
        <v>1</v>
      </c>
      <c r="DJ1086" t="str">
        <f>IF(DI1086=1,INDEX($DD$7:$DG$7,MATCH(1,$DD1086:$DG1086,0)),"mixedProduct")</f>
        <v>TimberInput</v>
      </c>
      <c r="DK1086">
        <f>IF(DD1086=1,DK$7,0)</f>
        <v>0</v>
      </c>
      <c r="DL1086">
        <f>IF(DE1086=1,DL$7,0)</f>
        <v>0</v>
      </c>
      <c r="DM1086">
        <f>IF(DF1086=1,DM$7,0)</f>
        <v>0</v>
      </c>
      <c r="DN1086" t="str">
        <f>IF(DG1086=1,DN$7,0)</f>
        <v>Timber</v>
      </c>
      <c r="DO1086">
        <v>0</v>
      </c>
      <c r="DP1086">
        <v>0</v>
      </c>
      <c r="DQ1086">
        <v>0</v>
      </c>
      <c r="DR1086">
        <v>0</v>
      </c>
      <c r="DS1086">
        <v>0</v>
      </c>
      <c r="DT1086">
        <f>SUM(DO1086:DP1086)</f>
        <v>0</v>
      </c>
      <c r="DU1086" s="143" t="str">
        <f>IF(DO1086=1,"self-calculated DF",IF(DP1086=1,"external DF used","explicit C balance"))</f>
        <v>explicit C balance</v>
      </c>
      <c r="DV1086">
        <v>0</v>
      </c>
      <c r="DW1086">
        <v>1</v>
      </c>
      <c r="DX1086">
        <v>0</v>
      </c>
      <c r="DY1086">
        <v>1</v>
      </c>
      <c r="DZ1086">
        <v>1</v>
      </c>
      <c r="EA1086" s="143">
        <v>0</v>
      </c>
      <c r="EB1086">
        <v>1</v>
      </c>
      <c r="EC1086">
        <v>1</v>
      </c>
      <c r="ED1086">
        <v>0</v>
      </c>
      <c r="EE1086">
        <v>1</v>
      </c>
      <c r="EF1086">
        <v>0</v>
      </c>
      <c r="EG1086">
        <v>0</v>
      </c>
      <c r="EH1086">
        <v>0</v>
      </c>
      <c r="EI1086" s="2">
        <v>0</v>
      </c>
      <c r="EK1086" t="str">
        <f>IF(AND(AND(AND(OR($DX1086=1,$DW1086=1),OR($EC1086=1,$EA1086=1)),SUM($DV1086:$DZ1086,$EF1086)&gt;=4),SUM($EA1086:$EE1086)&gt;=2),"Whole sector","")</f>
        <v/>
      </c>
      <c r="EL1086" t="str">
        <f>IF(AND(AND(OR($DX1086=1,$DW1086=1),AND($EC1086=0,$EA1086=0)),SUM($DV1086:$DZ1086,$EF1086)&gt;=4),"Ecosystem approach","")</f>
        <v/>
      </c>
      <c r="EM1086" s="2" t="str">
        <f>IF(AND(AND(AND($DX1086=0,$DW1086=0),OR($EC1086=1,$EA1086=1)),SUM($EB1086:$EE1086)&gt;=2),"Technology approach","")</f>
        <v/>
      </c>
      <c r="EP1086" t="b">
        <f>IF(ISNUMBER(BU1086),IF(ABS(BU1086-[3]QC_indicators!$B$2)&gt;3*[3]QC_indicators!$C$2,"C ratio",IF(ISNUMBER(BY1086),IF(ABS(BY1086-[3]QC_indicators!$B$1)&gt;3*[3]QC_indicators!$C$1,"DF","no"))),IF(ISNUMBER(BY1086),IF(ABS(BY1086-[3]QC_indicators!$B$1)&gt;3*[3]QC_indicators!$C$1,"DF","no")))</f>
        <v>0</v>
      </c>
      <c r="ER1086" s="294" t="s">
        <v>349</v>
      </c>
      <c r="ET1086" s="264" t="s">
        <v>3407</v>
      </c>
    </row>
    <row r="1087" spans="1:150" ht="15" customHeight="1">
      <c r="A1087" s="1" t="s">
        <v>562</v>
      </c>
      <c r="B1087" t="s">
        <v>544</v>
      </c>
      <c r="C1087" t="s">
        <v>563</v>
      </c>
      <c r="D1087" t="s">
        <v>564</v>
      </c>
      <c r="E1087" t="s">
        <v>565</v>
      </c>
      <c r="F1087" t="s">
        <v>566</v>
      </c>
      <c r="G1087" t="s">
        <v>567</v>
      </c>
      <c r="H1087" t="s">
        <v>254</v>
      </c>
      <c r="I1087">
        <v>2009</v>
      </c>
      <c r="J1087">
        <v>16</v>
      </c>
      <c r="K1087" t="s">
        <v>568</v>
      </c>
      <c r="M1087" t="str">
        <f>LEFT($D1087,FIND(",",$D1087)-1)&amp;"_"&amp;I1087&amp;L1087</f>
        <v>Crawford_2009</v>
      </c>
      <c r="N1087" t="s">
        <v>222</v>
      </c>
      <c r="O1087" s="145" t="s">
        <v>223</v>
      </c>
      <c r="Q1087" s="264" t="s">
        <v>256</v>
      </c>
      <c r="R1087" s="269" t="s">
        <v>1154</v>
      </c>
      <c r="S1087" s="1" t="s">
        <v>569</v>
      </c>
      <c r="T1087" s="264" t="s">
        <v>586</v>
      </c>
      <c r="U1087" s="264" t="s">
        <v>578</v>
      </c>
      <c r="V1087">
        <v>0</v>
      </c>
      <c r="W1087">
        <v>0</v>
      </c>
      <c r="X1087">
        <v>0</v>
      </c>
      <c r="Y1087">
        <v>0</v>
      </c>
      <c r="Z1087">
        <v>0</v>
      </c>
      <c r="AA1087">
        <v>0</v>
      </c>
      <c r="AB1087">
        <v>0</v>
      </c>
      <c r="AC1087">
        <v>0</v>
      </c>
      <c r="AD1087">
        <v>0</v>
      </c>
      <c r="AE1087">
        <v>0</v>
      </c>
      <c r="AF1087">
        <v>0</v>
      </c>
      <c r="AG1087">
        <v>0</v>
      </c>
      <c r="AH1087">
        <v>0</v>
      </c>
      <c r="AI1087">
        <v>0</v>
      </c>
      <c r="AJ1087">
        <v>0</v>
      </c>
      <c r="AK1087">
        <v>1</v>
      </c>
      <c r="AL1087">
        <v>0</v>
      </c>
      <c r="AM1087">
        <v>0</v>
      </c>
      <c r="AN1087">
        <v>0</v>
      </c>
      <c r="AO1087">
        <v>0</v>
      </c>
      <c r="AP1087">
        <v>0</v>
      </c>
      <c r="AQ1087">
        <v>0</v>
      </c>
      <c r="AR1087">
        <v>0</v>
      </c>
      <c r="AS1087">
        <v>0</v>
      </c>
      <c r="AT1087">
        <v>0</v>
      </c>
      <c r="AU1087">
        <v>0</v>
      </c>
      <c r="AV1087">
        <v>0</v>
      </c>
      <c r="AW1087">
        <v>0</v>
      </c>
      <c r="AX1087" s="141">
        <f>COUNTIF(V1087:AW1087,"&lt;&gt;0")</f>
        <v>1</v>
      </c>
      <c r="AY1087" s="141">
        <f>COUNTIF(V1087:AL1087,"&lt;&gt;0")</f>
        <v>1</v>
      </c>
      <c r="AZ1087">
        <f>COUNTIF(V1087:AC1087,"&lt;&gt;0")</f>
        <v>0</v>
      </c>
      <c r="BA1087">
        <f>COUNTIF(AD1087:AI1087,"&lt;&gt;0")</f>
        <v>0</v>
      </c>
      <c r="BB1087">
        <f>COUNTIF(AJ1087:AL1087,"&lt;&gt;0")</f>
        <v>1</v>
      </c>
      <c r="BC1087">
        <f>COUNTIF(AS1087:AW1087,"&lt;&gt;0")</f>
        <v>0</v>
      </c>
      <c r="BD1087">
        <f>COUNTIF(AM1087:AR1087,"&lt;&gt;0")</f>
        <v>0</v>
      </c>
      <c r="BE1087" t="str" cm="1">
        <f t="array" ref="BE1087">IF(AY1087=1,INDEX($V$7:$AL$7,MATCH(TRUE,INDEX($V1087:$AW1087&lt;&gt;0,),0)),IF(AY1087=0,INDEX($AM$7:$AW$7,MATCH(1,$AM1087:$AW1087,0)),IF(BF1087="Multiple strategies","mixed drivers",IF(BF1087="Supply chain","multiple supply","multiple silviculture"))))</f>
        <v>technologies/design switch</v>
      </c>
      <c r="BF1087" s="2" t="str" cm="1">
        <f t="array" ref="BF1087">IF(COUNTIF(AZ1087:BB1087,"&lt;&gt;0")=1,INDEX($V$4:$AW$4,MATCH(TRUE,INDEX($V1087:$AW1087&lt;&gt;0,),0)),IF(COUNTIF(AZ1087:BB1087,"&lt;&gt;0")=0,INDEX($AM$4:$AW$4,MATCH(1,$AM1087:$AW1087,0)),"Multiple strategies"))</f>
        <v>Technology</v>
      </c>
      <c r="BG1087" s="1" t="s">
        <v>229</v>
      </c>
      <c r="BH1087" t="s">
        <v>572</v>
      </c>
      <c r="BJ1087" t="s">
        <v>345</v>
      </c>
      <c r="BK1087">
        <f>80.2*1460</f>
        <v>117092</v>
      </c>
      <c r="BL1087">
        <f>80.2*1460</f>
        <v>117092</v>
      </c>
      <c r="BN1087">
        <f>BL1087-BK1087</f>
        <v>0</v>
      </c>
      <c r="BO1087">
        <f>BN1087*kg_to_m3</f>
        <v>0</v>
      </c>
      <c r="BP1087" s="264" t="s">
        <v>232</v>
      </c>
      <c r="BR1087" t="s">
        <v>573</v>
      </c>
      <c r="BS1087">
        <v>-3185</v>
      </c>
      <c r="BT1087">
        <v>-2751</v>
      </c>
      <c r="BY1087" t="str">
        <f>IFERROR(BX1087/BO1087,"")</f>
        <v/>
      </c>
      <c r="CN1087"/>
      <c r="CO1087"/>
      <c r="CP1087"/>
      <c r="CQ1087"/>
      <c r="CR1087"/>
      <c r="CS1087"/>
      <c r="CT1087"/>
      <c r="CU1087" t="str">
        <f>IFERROR(CT1087/CQ1087,"")</f>
        <v/>
      </c>
      <c r="CV1087" s="2"/>
      <c r="CW1087" s="1" t="s">
        <v>263</v>
      </c>
      <c r="CX1087" s="264" t="str">
        <f>IF(OR($CW1087="prd",$CW1087="std",$CW1087="cit"),"loc",IF(OR($CW1087="eur",$CW1087="reg",$CW1087="coy"),"reg",$CW1087))</f>
        <v>loc</v>
      </c>
      <c r="CY1087" t="s">
        <v>574</v>
      </c>
      <c r="DB1087">
        <v>100</v>
      </c>
      <c r="DC1087" t="str">
        <f>IF(DB1087=0,"0",IF(AND(DB1087&gt;=1,DB1087&lt;=30),"1-30",IF(AND(DB1087&gt;30,DB1087&lt;=70),"31-70",IF(AND(DB1087&gt;70,DB1087&lt;=100),"71-100",IF(DB1087&gt;100,"+100")))))</f>
        <v>71-100</v>
      </c>
      <c r="DD1087">
        <v>0</v>
      </c>
      <c r="DE1087">
        <v>0</v>
      </c>
      <c r="DF1087">
        <v>0</v>
      </c>
      <c r="DG1087">
        <v>1</v>
      </c>
      <c r="DI1087">
        <f>SUM(DD1087:DG1087)</f>
        <v>1</v>
      </c>
      <c r="DJ1087" t="str">
        <f>IF(DI1087=1,INDEX($DD$7:$DG$7,MATCH(1,$DD1087:$DG1087,0)),"mixedProduct")</f>
        <v>TimberInput</v>
      </c>
      <c r="DK1087">
        <f>IF(DD1087=1,DK$7,0)</f>
        <v>0</v>
      </c>
      <c r="DL1087">
        <f>IF(DE1087=1,DL$7,0)</f>
        <v>0</v>
      </c>
      <c r="DM1087">
        <f>IF(DF1087=1,DM$7,0)</f>
        <v>0</v>
      </c>
      <c r="DN1087" t="str">
        <f>IF(DG1087=1,DN$7,0)</f>
        <v>Timber</v>
      </c>
      <c r="DO1087">
        <v>0</v>
      </c>
      <c r="DP1087">
        <v>0</v>
      </c>
      <c r="DQ1087">
        <v>0</v>
      </c>
      <c r="DR1087">
        <v>0</v>
      </c>
      <c r="DS1087">
        <v>0</v>
      </c>
      <c r="DT1087">
        <f>SUM(DO1087:DP1087)</f>
        <v>0</v>
      </c>
      <c r="DU1087" s="143" t="str">
        <f>IF(DO1087=1,"self-calculated DF",IF(DP1087=1,"external DF used","explicit C balance"))</f>
        <v>explicit C balance</v>
      </c>
      <c r="DV1087">
        <v>0</v>
      </c>
      <c r="DW1087">
        <v>1</v>
      </c>
      <c r="DX1087">
        <v>0</v>
      </c>
      <c r="DY1087">
        <v>1</v>
      </c>
      <c r="DZ1087">
        <v>1</v>
      </c>
      <c r="EA1087" s="143">
        <v>0</v>
      </c>
      <c r="EB1087">
        <v>1</v>
      </c>
      <c r="EC1087">
        <v>1</v>
      </c>
      <c r="ED1087">
        <v>0</v>
      </c>
      <c r="EE1087">
        <v>1</v>
      </c>
      <c r="EF1087">
        <v>0</v>
      </c>
      <c r="EG1087">
        <v>0</v>
      </c>
      <c r="EH1087">
        <v>0</v>
      </c>
      <c r="EI1087" s="2">
        <v>0</v>
      </c>
      <c r="EK1087" t="str">
        <f>IF(AND(AND(AND(OR($DX1087=1,$DW1087=1),OR($EC1087=1,$EA1087=1)),SUM($DV1087:$DZ1087,$EF1087)&gt;=4),SUM($EA1087:$EE1087)&gt;=2),"Whole sector","")</f>
        <v/>
      </c>
      <c r="EL1087" t="str">
        <f>IF(AND(AND(OR($DX1087=1,$DW1087=1),AND($EC1087=0,$EA1087=0)),SUM($DV1087:$DZ1087,$EF1087)&gt;=4),"Ecosystem approach","")</f>
        <v/>
      </c>
      <c r="EM1087" s="2" t="str">
        <f>IF(AND(AND(AND($DX1087=0,$DW1087=0),OR($EC1087=1,$EA1087=1)),SUM($EB1087:$EE1087)&gt;=2),"Technology approach","")</f>
        <v/>
      </c>
      <c r="ET1087" s="264" t="s">
        <v>3407</v>
      </c>
    </row>
    <row r="1088" spans="1:150" ht="15" customHeight="1">
      <c r="A1088" s="1" t="s">
        <v>1378</v>
      </c>
      <c r="B1088" t="s">
        <v>1379</v>
      </c>
      <c r="C1088" t="s">
        <v>1380</v>
      </c>
      <c r="D1088" t="s">
        <v>1381</v>
      </c>
      <c r="E1088" t="s">
        <v>1382</v>
      </c>
      <c r="F1088" t="s">
        <v>1383</v>
      </c>
      <c r="G1088" t="s">
        <v>1384</v>
      </c>
      <c r="H1088" t="s">
        <v>254</v>
      </c>
      <c r="I1088">
        <v>2021</v>
      </c>
      <c r="J1088">
        <v>0</v>
      </c>
      <c r="K1088" t="s">
        <v>1385</v>
      </c>
      <c r="M1088" t="str">
        <f>LEFT($D1088,FIND(",",$D1088)-1)&amp;"_"&amp;I1088&amp;L1088</f>
        <v>Delacote_2021</v>
      </c>
      <c r="N1088" t="s">
        <v>222</v>
      </c>
      <c r="O1088" s="145" t="s">
        <v>223</v>
      </c>
      <c r="Q1088" s="264" t="s">
        <v>256</v>
      </c>
      <c r="R1088" s="269" t="s">
        <v>1154</v>
      </c>
      <c r="S1088" s="1" t="s">
        <v>1392</v>
      </c>
      <c r="T1088" t="s">
        <v>1387</v>
      </c>
      <c r="U1088" t="s">
        <v>1393</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1</v>
      </c>
      <c r="AU1088">
        <v>0</v>
      </c>
      <c r="AV1088">
        <v>0</v>
      </c>
      <c r="AW1088">
        <v>0</v>
      </c>
      <c r="AX1088" s="141">
        <f>COUNTIF(V1088:AW1088,"&lt;&gt;0")</f>
        <v>1</v>
      </c>
      <c r="AY1088" s="141">
        <f>COUNTIF(V1088:AL1088,"&lt;&gt;0")</f>
        <v>0</v>
      </c>
      <c r="AZ1088">
        <f>COUNTIF(V1088:AC1088,"&lt;&gt;0")</f>
        <v>0</v>
      </c>
      <c r="BA1088">
        <f>COUNTIF(AD1088:AI1088,"&lt;&gt;0")</f>
        <v>0</v>
      </c>
      <c r="BB1088">
        <f>COUNTIF(AJ1088:AL1088,"&lt;&gt;0")</f>
        <v>0</v>
      </c>
      <c r="BC1088">
        <f>COUNTIF(AS1088:AW1088,"&lt;&gt;0")</f>
        <v>1</v>
      </c>
      <c r="BD1088">
        <f>COUNTIF(AM1088:AR1088,"&lt;&gt;0")</f>
        <v>0</v>
      </c>
      <c r="BE1088" t="str" cm="1">
        <f t="array" ref="BE1088">IF(AY1088=1,INDEX($V$7:$AL$7,MATCH(TRUE,INDEX($V1088:$AW1088&lt;&gt;0,),0)),IF(AY1088=0,INDEX($AM$7:$AW$7,MATCH(1,$AM1088:$AW1088,0)),IF(BF1088="Multiple strategies","mixed drivers",IF(BF1088="Supply chain","multiple supply","multiple silviculture"))))</f>
        <v>gdp, population</v>
      </c>
      <c r="BF1088" s="2" t="str" cm="1">
        <f t="array" ref="BF1088">IF(COUNTIF(AZ1088:BB1088,"&lt;&gt;0")=1,INDEX($V$4:$AW$4,MATCH(TRUE,INDEX($V1088:$AW1088&lt;&gt;0,),0)),IF(COUNTIF(AZ1088:BB1088,"&lt;&gt;0")=0,INDEX($AM$4:$AW$4,MATCH(1,$AM1088:$AW1088,0)),"Multiple strategies"))</f>
        <v>Demand</v>
      </c>
      <c r="BG1088" s="1" t="s">
        <v>321</v>
      </c>
      <c r="BH1088" t="s">
        <v>1297</v>
      </c>
      <c r="BJ1088" t="s">
        <v>1214</v>
      </c>
      <c r="BK1088">
        <v>58.277999999999999</v>
      </c>
      <c r="BL1088">
        <f>BK1088</f>
        <v>58.277999999999999</v>
      </c>
      <c r="BM1088">
        <f>BL1088/BK1088</f>
        <v>1</v>
      </c>
      <c r="BN1088">
        <f>BL1088-BK1088</f>
        <v>0</v>
      </c>
      <c r="BO1088">
        <f>BN1088*10^6</f>
        <v>0</v>
      </c>
      <c r="BP1088" t="s">
        <v>232</v>
      </c>
      <c r="BR1088" t="s">
        <v>1230</v>
      </c>
      <c r="BS1088">
        <v>86.4</v>
      </c>
      <c r="BT1088">
        <f>BS1088*(1+0.12/100)</f>
        <v>86.503680000000017</v>
      </c>
      <c r="BU1088" s="144">
        <f>IFERROR(BT1088/BS1088,"")</f>
        <v>1.0012000000000001</v>
      </c>
      <c r="BV1088">
        <f>BT1088-BS1088</f>
        <v>0.10368000000001132</v>
      </c>
      <c r="BX1088">
        <f>BV1088*10^6</f>
        <v>103680.00000001132</v>
      </c>
      <c r="BY1088" t="str">
        <f>IFERROR(BX1088/BO1088,"")</f>
        <v/>
      </c>
      <c r="BZ1088">
        <v>0</v>
      </c>
      <c r="CA1088">
        <v>0</v>
      </c>
      <c r="CB1088">
        <v>0</v>
      </c>
      <c r="CC1088">
        <v>0</v>
      </c>
      <c r="CD1088">
        <v>0</v>
      </c>
      <c r="CE1088">
        <v>0</v>
      </c>
      <c r="CF1088">
        <v>0</v>
      </c>
      <c r="CG1088">
        <v>0</v>
      </c>
      <c r="CH1088">
        <v>0</v>
      </c>
      <c r="CI1088">
        <v>0</v>
      </c>
      <c r="CJ1088">
        <v>0</v>
      </c>
      <c r="CK1088">
        <v>0</v>
      </c>
      <c r="CL1088">
        <v>0</v>
      </c>
      <c r="CM1088">
        <v>1</v>
      </c>
      <c r="CN1088" t="str">
        <f>IF($BL1088&lt;$BK1088,"refNeedCorrection","refOK")</f>
        <v>refOK</v>
      </c>
      <c r="CO1088">
        <f>IF($CN1088="refOK",$BK1088,$BL1088)</f>
        <v>58.277999999999999</v>
      </c>
      <c r="CP1088">
        <f>IF($CN1088="refOK",$BL1088,$BK1088)</f>
        <v>58.277999999999999</v>
      </c>
      <c r="CQ1088">
        <f>IF($CN1088="refOK",$BO1088,-$BO1088)</f>
        <v>0</v>
      </c>
      <c r="CR1088">
        <f>IF($CN1088="refOK",$BS1088,$BT1088)*IF($BP1088="Emissions positive",-1,1)</f>
        <v>86.4</v>
      </c>
      <c r="CS1088">
        <f>IF($CN1088="refOK",$BT1088,$BS1088)*IF($BP1088="Emissions positive",-1,1)</f>
        <v>86.503680000000017</v>
      </c>
      <c r="CT1088">
        <f>IF($CN1088="refNeedCorrection",-BX1088,BX1088)*IF($BP1088="Emissions positive",-1,1)</f>
        <v>103680.00000001132</v>
      </c>
      <c r="CU1088" t="str">
        <f>IFERROR(CT1088/CQ1088,"")</f>
        <v/>
      </c>
      <c r="CV1088" s="2">
        <f>IFERROR((CS1088-CR1088)/ABS(CR1088),"")</f>
        <v>1.2000000000001309E-3</v>
      </c>
      <c r="CW1088" s="1" t="s">
        <v>1203</v>
      </c>
      <c r="CX1088" s="264" t="str">
        <f>IF(OR($CW1088="prd",$CW1088="std",$CW1088="cit"),"loc",IF(OR($CW1088="eur",$CW1088="reg",$CW1088="coy"),"reg",$CW1088))</f>
        <v>reg</v>
      </c>
      <c r="CY1088" t="s">
        <v>729</v>
      </c>
      <c r="CZ1088">
        <v>2015</v>
      </c>
      <c r="DA1088">
        <v>2100</v>
      </c>
      <c r="DB1088">
        <f>DA1088-CZ1088</f>
        <v>85</v>
      </c>
      <c r="DC1088" t="str">
        <f>IF(DB1088=0,"0",IF(AND(DB1088&gt;=1,DB1088&lt;=30),"1-30",IF(AND(DB1088&gt;30,DB1088&lt;=70),"31-70",IF(AND(DB1088&gt;70,DB1088&lt;=100),"71-100",IF(DB1088&gt;100,"+100")))))</f>
        <v>71-100</v>
      </c>
      <c r="DD1088">
        <v>0</v>
      </c>
      <c r="DE1088">
        <v>1</v>
      </c>
      <c r="DF1088">
        <v>1</v>
      </c>
      <c r="DG1088">
        <v>1</v>
      </c>
      <c r="DI1088">
        <f>SUM(DD1088:DG1088)</f>
        <v>3</v>
      </c>
      <c r="DJ1088" t="str">
        <f>IF(DI1088=1,INDEX($DD$7:$DG$7,MATCH(1,$DD1088:$DG1088,0)),"mixedProduct")</f>
        <v>mixedProduct</v>
      </c>
      <c r="DK1088">
        <f>IF(DD1088=1,DK$7,0)</f>
        <v>0</v>
      </c>
      <c r="DL1088" t="str">
        <f>IF(DE1088=1,DL$7,0)</f>
        <v>Energy</v>
      </c>
      <c r="DM1088" t="str">
        <f>IF(DF1088=1,DM$7,0)</f>
        <v>Pulp/Paper</v>
      </c>
      <c r="DN1088" t="str">
        <f>IF(DG1088=1,DN$7,0)</f>
        <v>Timber</v>
      </c>
      <c r="DO1088">
        <v>0</v>
      </c>
      <c r="DP1088">
        <v>1</v>
      </c>
      <c r="DQ1088" t="s">
        <v>1389</v>
      </c>
      <c r="DR1088" t="s">
        <v>1389</v>
      </c>
      <c r="DS1088" t="s">
        <v>1389</v>
      </c>
      <c r="DT1088">
        <f>SUM(DO1088:DP1088)</f>
        <v>1</v>
      </c>
      <c r="DU1088" s="143" t="str">
        <f>IF(DO1088=1,"self-calculated DF",IF(DP1088=1,"external DF used","explicit C balance"))</f>
        <v>external DF used</v>
      </c>
      <c r="DV1088">
        <v>0</v>
      </c>
      <c r="DW1088">
        <v>1</v>
      </c>
      <c r="DX1088">
        <v>1</v>
      </c>
      <c r="DY1088">
        <v>1</v>
      </c>
      <c r="DZ1088">
        <v>0</v>
      </c>
      <c r="EA1088">
        <v>1</v>
      </c>
      <c r="EB1088">
        <v>1</v>
      </c>
      <c r="EC1088">
        <v>1</v>
      </c>
      <c r="ED1088">
        <v>0</v>
      </c>
      <c r="EE1088">
        <v>0</v>
      </c>
      <c r="EF1088">
        <v>1</v>
      </c>
      <c r="EG1088">
        <v>0</v>
      </c>
      <c r="EH1088">
        <v>1</v>
      </c>
      <c r="EI1088" s="2">
        <v>1</v>
      </c>
      <c r="EK1088" t="str">
        <f>IF(AND(AND(AND(OR($DX1088=1,$DW1088=1),OR($EC1088=1,$EA1088=1)),SUM($DV1088:$DZ1088,$EF1088)&gt;=4),SUM($EA1088:$EE1088)&gt;=2),"Whole sector","")</f>
        <v>Whole sector</v>
      </c>
      <c r="EL1088" t="str">
        <f>IF(AND(AND(OR($DX1088=1,$DW1088=1),AND($EC1088=0,$EA1088=0)),SUM($DV1088:$DZ1088,$EF1088)&gt;=4),"Ecosystem approach","")</f>
        <v/>
      </c>
      <c r="EM1088" s="2" t="str">
        <f>IF(AND(AND(AND($DX1088=0,$DW1088=0),OR($EC1088=1,$EA1088=1)),SUM($EB1088:$EE1088)&gt;=2),"Technology approach","")</f>
        <v/>
      </c>
      <c r="EP1088" t="b">
        <f>IF(ISNUMBER(BU1088),IF(ABS(BU1088-[3]QC_indicators!$B$2)&gt;3*[3]QC_indicators!$C$2,"C ratio",IF(ISNUMBER(BY1088),IF(ABS(BY1088-[3]QC_indicators!$B$1)&gt;3*[3]QC_indicators!$C$1,"DF","no"))),IF(ISNUMBER(BY1088),IF(ABS(BY1088-[3]QC_indicators!$B$1)&gt;3*[3]QC_indicators!$C$1,"DF","no")))</f>
        <v>0</v>
      </c>
      <c r="ET1088" s="264" t="s">
        <v>3407</v>
      </c>
    </row>
    <row r="1089" spans="1:150" ht="15" customHeight="1">
      <c r="A1089" s="1" t="s">
        <v>1400</v>
      </c>
      <c r="B1089" t="s">
        <v>1401</v>
      </c>
      <c r="C1089" t="s">
        <v>1402</v>
      </c>
      <c r="D1089" t="s">
        <v>1403</v>
      </c>
      <c r="E1089" t="s">
        <v>1404</v>
      </c>
      <c r="F1089" t="s">
        <v>1405</v>
      </c>
      <c r="G1089" t="s">
        <v>1406</v>
      </c>
      <c r="H1089" t="s">
        <v>254</v>
      </c>
      <c r="I1089">
        <v>2021</v>
      </c>
      <c r="J1089">
        <v>0</v>
      </c>
      <c r="K1089" t="s">
        <v>1407</v>
      </c>
      <c r="M1089" t="str">
        <f>LEFT($D1089,FIND(",",$D1089)-1)&amp;"_"&amp;I1089&amp;L1089</f>
        <v>Dugan_2021</v>
      </c>
      <c r="N1089" t="s">
        <v>222</v>
      </c>
      <c r="O1089" s="145" t="s">
        <v>274</v>
      </c>
      <c r="Q1089" t="s">
        <v>256</v>
      </c>
      <c r="R1089" s="255" t="s">
        <v>225</v>
      </c>
      <c r="S1089" s="1" t="s">
        <v>1415</v>
      </c>
      <c r="T1089" t="s">
        <v>1111</v>
      </c>
      <c r="U1089" t="s">
        <v>1416</v>
      </c>
      <c r="V1089">
        <v>0</v>
      </c>
      <c r="W1089">
        <v>0</v>
      </c>
      <c r="X1089">
        <v>0</v>
      </c>
      <c r="Y1089">
        <v>0</v>
      </c>
      <c r="Z1089">
        <v>1</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s="141">
        <f>COUNTIF(V1089:AW1089,"&lt;&gt;0")</f>
        <v>1</v>
      </c>
      <c r="AY1089" s="141">
        <f>COUNTIF(V1089:AL1089,"&lt;&gt;0")</f>
        <v>1</v>
      </c>
      <c r="AZ1089">
        <f>COUNTIF(V1089:AC1089,"&lt;&gt;0")</f>
        <v>1</v>
      </c>
      <c r="BA1089">
        <f>COUNTIF(AD1089:AI1089,"&lt;&gt;0")</f>
        <v>0</v>
      </c>
      <c r="BB1089">
        <f>COUNTIF(AJ1089:AL1089,"&lt;&gt;0")</f>
        <v>0</v>
      </c>
      <c r="BC1089">
        <f>COUNTIF(AS1089:AW1089,"&lt;&gt;0")</f>
        <v>0</v>
      </c>
      <c r="BD1089">
        <f>COUNTIF(AM1089:AR1089,"&lt;&gt;0")</f>
        <v>0</v>
      </c>
      <c r="BE1089" t="str">
        <f t="array" ref="BE1089">IF(AY1089=1,INDEX($V$7:$AL$7,MATCH(TRUE,INDEX($V1089:$AW1089&lt;&gt;0,),0)),IF(AY1089=0,INDEX($AM$7:$AW$7,MATCH(1,$AM1089:$AW1089,0)),IF(BF1089="Multiple strategies","mixed drivers",IF(BF1089="Supply chain","multiple supply","multiple silviculture"))))</f>
        <v>species</v>
      </c>
      <c r="BF1089" s="2" t="str" cm="1">
        <f t="array" ref="BF1089">IF(COUNTIF(AZ1089:BB1089,"&lt;&gt;0")=1,INDEX($V$4:$AW$4,MATCH(TRUE,INDEX($V1089:$AW1089&lt;&gt;0,),0)),IF(COUNTIF(AZ1089:BB1089,"&lt;&gt;0")=0,INDEX($AM$4:$AW$4,MATCH(1,$AM1089:$AW1089,0)),"Multiple strategies"))</f>
        <v>Silviculture for productivity</v>
      </c>
      <c r="BG1089" s="1" t="s">
        <v>321</v>
      </c>
      <c r="BH1089" t="s">
        <v>1410</v>
      </c>
      <c r="BI1089" s="260" t="s">
        <v>3318</v>
      </c>
      <c r="BJ1089" t="s">
        <v>1359</v>
      </c>
      <c r="BK1089" s="264">
        <v>14.61</v>
      </c>
      <c r="BL1089">
        <f>BK1089*1.15</f>
        <v>16.801499999999997</v>
      </c>
      <c r="BN1089" s="227">
        <f>BL1089-BK1089</f>
        <v>2.1914999999999978</v>
      </c>
      <c r="BP1089" t="s">
        <v>232</v>
      </c>
      <c r="BQ1089" s="260" t="s">
        <v>3320</v>
      </c>
      <c r="BR1089" t="s">
        <v>1300</v>
      </c>
      <c r="BS1089" s="152"/>
      <c r="BT1089" s="152"/>
      <c r="BU1089" s="144"/>
      <c r="BV1089" s="284">
        <v>1.4453648692510654</v>
      </c>
      <c r="BX1089">
        <f>BV1089*10^6</f>
        <v>1445364.8692510654</v>
      </c>
      <c r="BY1089" t="str">
        <f>IFERROR(BX1089/BO1089,"")</f>
        <v/>
      </c>
      <c r="BZ1089">
        <v>0</v>
      </c>
      <c r="CA1089">
        <v>0</v>
      </c>
      <c r="CB1089">
        <v>0</v>
      </c>
      <c r="CC1089">
        <v>0</v>
      </c>
      <c r="CD1089">
        <v>0</v>
      </c>
      <c r="CE1089">
        <v>0</v>
      </c>
      <c r="CF1089">
        <v>0</v>
      </c>
      <c r="CG1089">
        <v>0</v>
      </c>
      <c r="CH1089">
        <v>0</v>
      </c>
      <c r="CI1089">
        <v>0</v>
      </c>
      <c r="CJ1089">
        <v>0</v>
      </c>
      <c r="CK1089">
        <v>0</v>
      </c>
      <c r="CL1089">
        <v>0</v>
      </c>
      <c r="CM1089">
        <v>0</v>
      </c>
      <c r="CN1089" t="str">
        <f>IF(BL1089&lt;BK1089,"refNeedCorrection","refOK")</f>
        <v>refOK</v>
      </c>
      <c r="CO1089"/>
      <c r="CP1089"/>
      <c r="CQ1089"/>
      <c r="CR1089">
        <f>IF($CN1089="refOK",$BS1089,$BT1089)*IF($BP1089="Emissions positive",-1,1)</f>
        <v>0</v>
      </c>
      <c r="CS1089">
        <f>IF($CN1089="refOK",$BT1089,$BS1089)*IF($BP1089="Emissions positive",-1,1)</f>
        <v>0</v>
      </c>
      <c r="CT1089">
        <f>IF($CN1089="refNeedCorrection",-BX1089,BX1089)*IF($BP1089="Emissions positive",-1,1)</f>
        <v>1445364.8692510654</v>
      </c>
      <c r="CU1089" t="str">
        <f>IFERROR(CT1089/CQ1089,"")</f>
        <v/>
      </c>
      <c r="CV1089" s="2" t="str">
        <f>IFERROR((CS1089-CR1089)/ABS(CR1089),"")</f>
        <v/>
      </c>
      <c r="CW1089" s="1" t="s">
        <v>1199</v>
      </c>
      <c r="CX1089" t="str">
        <f>IF(OR($CW1089="prd",$CW1089="std",$CW1089="cit"),"loc",IF(OR($CW1089="eur",$CW1089="reg",$CW1089="coy"),"reg",$CW1089))</f>
        <v>reg</v>
      </c>
      <c r="CY1089" t="s">
        <v>428</v>
      </c>
      <c r="CZ1089">
        <v>2020</v>
      </c>
      <c r="DA1089">
        <v>2050</v>
      </c>
      <c r="DB1089">
        <v>30</v>
      </c>
      <c r="DC1089" t="str">
        <f>IF(DB1089=0,"0",IF(AND(DB1089&gt;=1,DB1089&lt;=30),"1-30",IF(AND(DB1089&gt;30,DB1089&lt;=70),"31-70",IF(AND(DB1089&gt;70,DB1089&lt;=100),"71-100",IF(DB1089&gt;100,"+100")))))</f>
        <v>1-30</v>
      </c>
      <c r="DD1089">
        <v>0</v>
      </c>
      <c r="DE1089">
        <v>1</v>
      </c>
      <c r="DF1089">
        <v>1</v>
      </c>
      <c r="DG1089">
        <v>1</v>
      </c>
      <c r="DI1089">
        <f>SUM(DD1089:DG1089)</f>
        <v>3</v>
      </c>
      <c r="DJ1089" t="str">
        <f>IF(DI1089=1,INDEX($DD$7:$DG$7,MATCH(1,$DD1089:$DG1089,0)),"mixedProduct")</f>
        <v>mixedProduct</v>
      </c>
      <c r="DK1089">
        <f>IF(DD1089=1,DK$7,0)</f>
        <v>0</v>
      </c>
      <c r="DL1089" t="str">
        <f>IF(DE1089=1,DL$7,0)</f>
        <v>Energy</v>
      </c>
      <c r="DM1089" t="str">
        <f>IF(DF1089=1,DM$7,0)</f>
        <v>Pulp/Paper</v>
      </c>
      <c r="DN1089" t="str">
        <f>IF(DG1089=1,DN$7,0)</f>
        <v>Timber</v>
      </c>
      <c r="DO1089">
        <v>0</v>
      </c>
      <c r="DP1089">
        <v>1</v>
      </c>
      <c r="DQ1089" t="s">
        <v>1411</v>
      </c>
      <c r="DR1089" t="s">
        <v>1412</v>
      </c>
      <c r="DS1089">
        <v>0</v>
      </c>
      <c r="DT1089">
        <f>SUM(DO1089:DP1089)</f>
        <v>1</v>
      </c>
      <c r="DU1089" s="143" t="str">
        <f>IF(DO1089=1,"self-calculated DF",IF(DP1089=1,"external DF used","explicit C balance"))</f>
        <v>external DF used</v>
      </c>
      <c r="DV1089">
        <v>1</v>
      </c>
      <c r="DW1089">
        <v>1</v>
      </c>
      <c r="DX1089">
        <v>1</v>
      </c>
      <c r="DY1089">
        <v>1</v>
      </c>
      <c r="DZ1089">
        <v>0</v>
      </c>
      <c r="EA1089" s="143">
        <v>1</v>
      </c>
      <c r="EB1089">
        <v>0</v>
      </c>
      <c r="EC1089">
        <v>1</v>
      </c>
      <c r="ED1089">
        <v>0</v>
      </c>
      <c r="EE1089">
        <v>0</v>
      </c>
      <c r="EF1089">
        <v>1</v>
      </c>
      <c r="EG1089" s="143">
        <v>0</v>
      </c>
      <c r="EH1089" s="143">
        <v>0</v>
      </c>
      <c r="EI1089" s="2">
        <v>0</v>
      </c>
      <c r="EK1089" t="str">
        <f>IF(AND(AND(AND(OR($DX1089=1,$DW1089=1),OR($EC1089=1,$EA1089=1)),SUM($DV1089:$DZ1089,$EF1089)&gt;=4),SUM($EA1089:$EE1089)&gt;=2),"Whole sector","")</f>
        <v>Whole sector</v>
      </c>
      <c r="EL1089" t="str">
        <f>IF(AND(AND(OR($DX1089=1,$DW1089=1),AND($EC1089=0,$EA1089=0)),SUM($DV1089:$DZ1089,$EF1089)&gt;=4),"Ecosystem approach","")</f>
        <v/>
      </c>
      <c r="EM1089" s="2" t="str">
        <f>IF(AND(AND(AND($DX1089=0,$DW1089=0),OR($EC1089=1,$EA1089=1)),SUM($EB1089:$EE1089)&gt;=2),"Technology approach","")</f>
        <v/>
      </c>
      <c r="EP1089" t="b">
        <f>IF(ISNUMBER(BU1089),IF(ABS(BU1089-[4]QC_indicators!$B$2)&gt;3*[4]QC_indicators!$C$2,"C ratio",IF(ISNUMBER(BY1089),IF(ABS(BY1089-[4]QC_indicators!$B$1)&gt;3*[4]QC_indicators!$C$1,"DF","no"))),IF(ISNUMBER(BY1089),IF(ABS(BY1089-[4]QC_indicators!$B$1)&gt;3*[4]QC_indicators!$C$1,"DF","no")))</f>
        <v>0</v>
      </c>
      <c r="EQ1089" t="s">
        <v>286</v>
      </c>
      <c r="ER1089" s="149" t="s">
        <v>349</v>
      </c>
      <c r="ET1089" s="264" t="s">
        <v>3273</v>
      </c>
    </row>
    <row r="1090" spans="1:150" ht="15" customHeight="1">
      <c r="A1090" s="1" t="s">
        <v>1400</v>
      </c>
      <c r="B1090" t="s">
        <v>1401</v>
      </c>
      <c r="C1090" t="s">
        <v>1402</v>
      </c>
      <c r="D1090" t="s">
        <v>1403</v>
      </c>
      <c r="E1090" t="s">
        <v>1404</v>
      </c>
      <c r="F1090" t="s">
        <v>1405</v>
      </c>
      <c r="G1090" t="s">
        <v>1406</v>
      </c>
      <c r="H1090" t="s">
        <v>254</v>
      </c>
      <c r="I1090">
        <v>2021</v>
      </c>
      <c r="J1090">
        <v>0</v>
      </c>
      <c r="K1090" t="s">
        <v>1407</v>
      </c>
      <c r="M1090" t="str">
        <f>LEFT($D1090,FIND(",",$D1090)-1)&amp;"_"&amp;I1090&amp;L1090</f>
        <v>Dugan_2021</v>
      </c>
      <c r="N1090" t="s">
        <v>222</v>
      </c>
      <c r="O1090" s="145" t="s">
        <v>274</v>
      </c>
      <c r="Q1090" t="s">
        <v>256</v>
      </c>
      <c r="R1090" s="255" t="s">
        <v>225</v>
      </c>
      <c r="S1090" s="1" t="s">
        <v>1415</v>
      </c>
      <c r="T1090" t="s">
        <v>1111</v>
      </c>
      <c r="U1090" t="s">
        <v>1416</v>
      </c>
      <c r="V1090">
        <v>0</v>
      </c>
      <c r="W1090">
        <v>0</v>
      </c>
      <c r="X1090">
        <v>0</v>
      </c>
      <c r="Y1090">
        <v>0</v>
      </c>
      <c r="Z1090">
        <v>1</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s="141">
        <f>COUNTIF(V1090:AW1090,"&lt;&gt;0")</f>
        <v>1</v>
      </c>
      <c r="AY1090" s="141">
        <f>COUNTIF(V1090:AL1090,"&lt;&gt;0")</f>
        <v>1</v>
      </c>
      <c r="AZ1090">
        <f>COUNTIF(V1090:AC1090,"&lt;&gt;0")</f>
        <v>1</v>
      </c>
      <c r="BA1090">
        <f>COUNTIF(AD1090:AI1090,"&lt;&gt;0")</f>
        <v>0</v>
      </c>
      <c r="BB1090">
        <f>COUNTIF(AJ1090:AL1090,"&lt;&gt;0")</f>
        <v>0</v>
      </c>
      <c r="BC1090">
        <f>COUNTIF(AS1090:AW1090,"&lt;&gt;0")</f>
        <v>0</v>
      </c>
      <c r="BD1090">
        <f>COUNTIF(AM1090:AR1090,"&lt;&gt;0")</f>
        <v>0</v>
      </c>
      <c r="BE1090" t="str">
        <f t="array" ref="BE1090">IF(AY1090=1,INDEX($V$7:$AL$7,MATCH(TRUE,INDEX($V1090:$AW1090&lt;&gt;0,),0)),IF(AY1090=0,INDEX($AM$7:$AW$7,MATCH(1,$AM1090:$AW1090,0)),IF(BF1090="Multiple strategies","mixed drivers",IF(BF1090="Supply chain","multiple supply","multiple silviculture"))))</f>
        <v>species</v>
      </c>
      <c r="BF1090" s="2" t="str" cm="1">
        <f t="array" ref="BF1090">IF(COUNTIF(AZ1090:BB1090,"&lt;&gt;0")=1,INDEX($V$4:$AW$4,MATCH(TRUE,INDEX($V1090:$AW1090&lt;&gt;0,),0)),IF(COUNTIF(AZ1090:BB1090,"&lt;&gt;0")=0,INDEX($AM$4:$AW$4,MATCH(1,$AM1090:$AW1090,0)),"Multiple strategies"))</f>
        <v>Silviculture for productivity</v>
      </c>
      <c r="BG1090" s="1" t="s">
        <v>321</v>
      </c>
      <c r="BH1090" t="s">
        <v>1410</v>
      </c>
      <c r="BI1090" s="260" t="s">
        <v>3318</v>
      </c>
      <c r="BJ1090" t="s">
        <v>1359</v>
      </c>
      <c r="BK1090" s="264">
        <v>14.61</v>
      </c>
      <c r="BL1090">
        <f>BK1090*1.15</f>
        <v>16.801499999999997</v>
      </c>
      <c r="BN1090" s="227">
        <f>BL1090-BK1090</f>
        <v>2.1914999999999978</v>
      </c>
      <c r="BP1090" t="s">
        <v>232</v>
      </c>
      <c r="BQ1090" s="260" t="s">
        <v>3319</v>
      </c>
      <c r="BR1090" t="s">
        <v>1300</v>
      </c>
      <c r="BS1090" s="152"/>
      <c r="BT1090" s="152"/>
      <c r="BU1090" s="144"/>
      <c r="BV1090" s="284">
        <v>1.4453648692510599</v>
      </c>
      <c r="BX1090">
        <f>BV1090*10^6</f>
        <v>1445364.8692510598</v>
      </c>
      <c r="BY1090" t="str">
        <f>IFERROR(BX1090/BO1090,"")</f>
        <v/>
      </c>
      <c r="BZ1090">
        <v>0</v>
      </c>
      <c r="CA1090">
        <v>0</v>
      </c>
      <c r="CB1090">
        <v>0</v>
      </c>
      <c r="CC1090">
        <v>0</v>
      </c>
      <c r="CD1090">
        <v>0</v>
      </c>
      <c r="CE1090">
        <v>0</v>
      </c>
      <c r="CF1090">
        <v>0</v>
      </c>
      <c r="CG1090">
        <v>0</v>
      </c>
      <c r="CH1090">
        <v>0</v>
      </c>
      <c r="CI1090">
        <v>0</v>
      </c>
      <c r="CJ1090">
        <v>0</v>
      </c>
      <c r="CK1090">
        <v>0</v>
      </c>
      <c r="CL1090">
        <v>0</v>
      </c>
      <c r="CM1090">
        <v>0</v>
      </c>
      <c r="CN1090" t="str">
        <f>IF(BL1090&lt;BK1090,"refNeedCorrection","refOK")</f>
        <v>refOK</v>
      </c>
      <c r="CO1090"/>
      <c r="CP1090"/>
      <c r="CQ1090"/>
      <c r="CR1090">
        <f>IF($CN1090="refOK",$BS1090,$BT1090)*IF($BP1090="Emissions positive",-1,1)</f>
        <v>0</v>
      </c>
      <c r="CS1090">
        <f>IF($CN1090="refOK",$BT1090,$BS1090)*IF($BP1090="Emissions positive",-1,1)</f>
        <v>0</v>
      </c>
      <c r="CT1090">
        <f>IF($CN1090="refNeedCorrection",-BX1090,BX1090)*IF($BP1090="Emissions positive",-1,1)</f>
        <v>1445364.8692510598</v>
      </c>
      <c r="CU1090" t="str">
        <f>IFERROR(CT1090/CQ1090,"")</f>
        <v/>
      </c>
      <c r="CV1090" s="2" t="str">
        <f>IFERROR((CS1090-CR1090)/ABS(CR1090),"")</f>
        <v/>
      </c>
      <c r="CW1090" s="1" t="s">
        <v>1199</v>
      </c>
      <c r="CX1090" t="str">
        <f>IF(OR($CW1090="prd",$CW1090="std",$CW1090="cit"),"loc",IF(OR($CW1090="eur",$CW1090="reg",$CW1090="coy"),"reg",$CW1090))</f>
        <v>reg</v>
      </c>
      <c r="CY1090" t="s">
        <v>428</v>
      </c>
      <c r="CZ1090">
        <v>2020</v>
      </c>
      <c r="DA1090">
        <v>2050</v>
      </c>
      <c r="DB1090">
        <v>30</v>
      </c>
      <c r="DC1090" t="str">
        <f>IF(DB1090=0,"0",IF(AND(DB1090&gt;=1,DB1090&lt;=30),"1-30",IF(AND(DB1090&gt;30,DB1090&lt;=70),"31-70",IF(AND(DB1090&gt;70,DB1090&lt;=100),"71-100",IF(DB1090&gt;100,"+100")))))</f>
        <v>1-30</v>
      </c>
      <c r="DD1090">
        <v>0</v>
      </c>
      <c r="DE1090">
        <v>1</v>
      </c>
      <c r="DF1090">
        <v>1</v>
      </c>
      <c r="DG1090">
        <v>1</v>
      </c>
      <c r="DI1090">
        <f>SUM(DD1090:DG1090)</f>
        <v>3</v>
      </c>
      <c r="DJ1090" t="str">
        <f>IF(DI1090=1,INDEX($DD$7:$DG$7,MATCH(1,$DD1090:$DG1090,0)),"mixedProduct")</f>
        <v>mixedProduct</v>
      </c>
      <c r="DK1090">
        <f>IF(DD1090=1,DK$7,0)</f>
        <v>0</v>
      </c>
      <c r="DL1090" t="str">
        <f>IF(DE1090=1,DL$7,0)</f>
        <v>Energy</v>
      </c>
      <c r="DM1090" t="str">
        <f>IF(DF1090=1,DM$7,0)</f>
        <v>Pulp/Paper</v>
      </c>
      <c r="DN1090" t="str">
        <f>IF(DG1090=1,DN$7,0)</f>
        <v>Timber</v>
      </c>
      <c r="DO1090">
        <v>0</v>
      </c>
      <c r="DP1090">
        <v>1</v>
      </c>
      <c r="DQ1090" t="s">
        <v>1411</v>
      </c>
      <c r="DR1090" t="s">
        <v>1412</v>
      </c>
      <c r="DS1090">
        <v>0</v>
      </c>
      <c r="DT1090">
        <f>SUM(DO1090:DP1090)</f>
        <v>1</v>
      </c>
      <c r="DU1090" s="143" t="str">
        <f>IF(DO1090=1,"self-calculated DF",IF(DP1090=1,"external DF used","explicit C balance"))</f>
        <v>external DF used</v>
      </c>
      <c r="DV1090">
        <v>1</v>
      </c>
      <c r="DW1090">
        <v>1</v>
      </c>
      <c r="DX1090">
        <v>1</v>
      </c>
      <c r="DY1090">
        <v>1</v>
      </c>
      <c r="DZ1090">
        <v>0</v>
      </c>
      <c r="EA1090" s="143">
        <v>0</v>
      </c>
      <c r="EB1090">
        <v>0</v>
      </c>
      <c r="EC1090">
        <v>0</v>
      </c>
      <c r="ED1090">
        <v>0</v>
      </c>
      <c r="EE1090">
        <v>0</v>
      </c>
      <c r="EF1090">
        <v>1</v>
      </c>
      <c r="EG1090" s="143">
        <v>0</v>
      </c>
      <c r="EH1090" s="143">
        <v>0</v>
      </c>
      <c r="EI1090" s="2">
        <v>0</v>
      </c>
      <c r="EK1090" t="str">
        <f>IF(AND(AND(AND(OR($DX1090=1,$DW1090=1),OR($EC1090=1,$EA1090=1)),SUM($DV1090:$DZ1090,$EF1090)&gt;=4),SUM($EA1090:$EE1090)&gt;=2),"Whole sector","")</f>
        <v/>
      </c>
      <c r="EL1090" t="str">
        <f>IF(AND(AND(OR($DX1090=1,$DW1090=1),AND($EC1090=0,$EA1090=0)),SUM($DV1090:$DZ1090,$EF1090)&gt;=4),"Ecosystem approach","")</f>
        <v>Ecosystem approach</v>
      </c>
      <c r="EM1090" s="2" t="str">
        <f>IF(AND(AND(AND($DX1090=0,$DW1090=0),OR($EC1090=1,$EA1090=1)),SUM($EB1090:$EE1090)&gt;=2),"Technology approach","")</f>
        <v/>
      </c>
      <c r="EP1090" t="b">
        <f>IF(ISNUMBER(BU1090),IF(ABS(BU1090-[4]QC_indicators!$B$2)&gt;3*[4]QC_indicators!$C$2,"C ratio",IF(ISNUMBER(BY1090),IF(ABS(BY1090-[4]QC_indicators!$B$1)&gt;3*[4]QC_indicators!$C$1,"DF","no"))),IF(ISNUMBER(BY1090),IF(ABS(BY1090-[4]QC_indicators!$B$1)&gt;3*[4]QC_indicators!$C$1,"DF","no")))</f>
        <v>0</v>
      </c>
      <c r="EQ1090" t="s">
        <v>286</v>
      </c>
      <c r="ER1090" s="149" t="s">
        <v>349</v>
      </c>
      <c r="ET1090" s="264" t="s">
        <v>3273</v>
      </c>
    </row>
    <row r="1091" spans="1:150" ht="15" customHeight="1">
      <c r="A1091" s="1" t="s">
        <v>1400</v>
      </c>
      <c r="B1091" t="s">
        <v>1401</v>
      </c>
      <c r="C1091" t="s">
        <v>1402</v>
      </c>
      <c r="D1091" t="s">
        <v>1403</v>
      </c>
      <c r="E1091" t="s">
        <v>1404</v>
      </c>
      <c r="F1091" t="s">
        <v>1405</v>
      </c>
      <c r="G1091" t="s">
        <v>1406</v>
      </c>
      <c r="H1091" t="s">
        <v>254</v>
      </c>
      <c r="I1091">
        <v>2021</v>
      </c>
      <c r="J1091">
        <v>0</v>
      </c>
      <c r="K1091" t="s">
        <v>1407</v>
      </c>
      <c r="M1091" t="str">
        <f>LEFT($D1091,FIND(",",$D1091)-1)&amp;"_"&amp;I1091&amp;L1091</f>
        <v>Dugan_2021</v>
      </c>
      <c r="N1091" t="s">
        <v>222</v>
      </c>
      <c r="O1091" s="145" t="s">
        <v>274</v>
      </c>
      <c r="Q1091" t="s">
        <v>256</v>
      </c>
      <c r="R1091" s="255" t="s">
        <v>225</v>
      </c>
      <c r="S1091" s="1" t="s">
        <v>1415</v>
      </c>
      <c r="T1091" t="s">
        <v>1111</v>
      </c>
      <c r="U1091" t="s">
        <v>1416</v>
      </c>
      <c r="V1091">
        <v>0</v>
      </c>
      <c r="W1091">
        <v>0</v>
      </c>
      <c r="X1091">
        <v>0</v>
      </c>
      <c r="Y1091">
        <v>0</v>
      </c>
      <c r="Z1091">
        <v>1</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s="141">
        <f>COUNTIF(V1091:AW1091,"&lt;&gt;0")</f>
        <v>1</v>
      </c>
      <c r="AY1091" s="141">
        <f>COUNTIF(V1091:AL1091,"&lt;&gt;0")</f>
        <v>1</v>
      </c>
      <c r="AZ1091">
        <f>COUNTIF(V1091:AC1091,"&lt;&gt;0")</f>
        <v>1</v>
      </c>
      <c r="BA1091">
        <f>COUNTIF(AD1091:AI1091,"&lt;&gt;0")</f>
        <v>0</v>
      </c>
      <c r="BB1091">
        <f>COUNTIF(AJ1091:AL1091,"&lt;&gt;0")</f>
        <v>0</v>
      </c>
      <c r="BC1091">
        <f>COUNTIF(AS1091:AW1091,"&lt;&gt;0")</f>
        <v>0</v>
      </c>
      <c r="BD1091">
        <f>COUNTIF(AM1091:AR1091,"&lt;&gt;0")</f>
        <v>0</v>
      </c>
      <c r="BE1091" t="str">
        <f t="array" ref="BE1091">IF(AY1091=1,INDEX($V$7:$AL$7,MATCH(TRUE,INDEX($V1091:$AW1091&lt;&gt;0,),0)),IF(AY1091=0,INDEX($AM$7:$AW$7,MATCH(1,$AM1091:$AW1091,0)),IF(BF1091="Multiple strategies","mixed drivers",IF(BF1091="Supply chain","multiple supply","multiple silviculture"))))</f>
        <v>species</v>
      </c>
      <c r="BF1091" s="2" t="str" cm="1">
        <f t="array" ref="BF1091">IF(COUNTIF(AZ1091:BB1091,"&lt;&gt;0")=1,INDEX($V$4:$AW$4,MATCH(TRUE,INDEX($V1091:$AW1091&lt;&gt;0,),0)),IF(COUNTIF(AZ1091:BB1091,"&lt;&gt;0")=0,INDEX($AM$4:$AW$4,MATCH(1,$AM1091:$AW1091,0)),"Multiple strategies"))</f>
        <v>Silviculture for productivity</v>
      </c>
      <c r="BG1091" s="1" t="s">
        <v>321</v>
      </c>
      <c r="BH1091" t="s">
        <v>1410</v>
      </c>
      <c r="BI1091" s="260" t="s">
        <v>3318</v>
      </c>
      <c r="BJ1091" t="s">
        <v>1359</v>
      </c>
      <c r="BK1091" s="264">
        <v>14.61</v>
      </c>
      <c r="BL1091">
        <f>BK1091*1.15</f>
        <v>16.801499999999997</v>
      </c>
      <c r="BN1091" s="227">
        <f>BL1091-BK1091</f>
        <v>2.1914999999999978</v>
      </c>
      <c r="BP1091" t="s">
        <v>232</v>
      </c>
      <c r="BQ1091" s="260" t="s">
        <v>3319</v>
      </c>
      <c r="BR1091" t="s">
        <v>1300</v>
      </c>
      <c r="BS1091" s="152"/>
      <c r="BT1091" s="152"/>
      <c r="BU1091" s="144"/>
      <c r="BV1091" s="141">
        <v>1.4453648692510599</v>
      </c>
      <c r="BX1091">
        <f>BV1091*10^6</f>
        <v>1445364.8692510598</v>
      </c>
      <c r="BY1091" t="str">
        <f>IFERROR(BX1091/BO1091,"")</f>
        <v/>
      </c>
      <c r="BZ1091">
        <v>0</v>
      </c>
      <c r="CA1091">
        <v>0</v>
      </c>
      <c r="CB1091">
        <v>0</v>
      </c>
      <c r="CC1091">
        <v>0</v>
      </c>
      <c r="CD1091">
        <v>0</v>
      </c>
      <c r="CE1091">
        <v>0</v>
      </c>
      <c r="CF1091">
        <v>0</v>
      </c>
      <c r="CG1091">
        <v>0</v>
      </c>
      <c r="CH1091">
        <v>0</v>
      </c>
      <c r="CI1091">
        <v>0</v>
      </c>
      <c r="CJ1091">
        <v>0</v>
      </c>
      <c r="CK1091">
        <v>0</v>
      </c>
      <c r="CL1091">
        <v>0</v>
      </c>
      <c r="CM1091">
        <v>0</v>
      </c>
      <c r="CN1091" t="str">
        <f>IF(BL1091&lt;BK1091,"refNeedCorrection","refOK")</f>
        <v>refOK</v>
      </c>
      <c r="CO1091"/>
      <c r="CP1091"/>
      <c r="CQ1091"/>
      <c r="CR1091">
        <f>IF($CN1091="refOK",$BS1091,$BT1091)*IF($BP1091="Emissions positive",-1,1)</f>
        <v>0</v>
      </c>
      <c r="CS1091">
        <f>IF($CN1091="refOK",$BT1091,$BS1091)*IF($BP1091="Emissions positive",-1,1)</f>
        <v>0</v>
      </c>
      <c r="CT1091">
        <f>IF($CN1091="refNeedCorrection",-BX1091,BX1091)*IF($BP1091="Emissions positive",-1,1)</f>
        <v>1445364.8692510598</v>
      </c>
      <c r="CU1091" t="str">
        <f>IFERROR(CT1091/CQ1091,"")</f>
        <v/>
      </c>
      <c r="CV1091" s="2" t="str">
        <f>IFERROR((CS1091-CR1091)/ABS(CR1091),"")</f>
        <v/>
      </c>
      <c r="CW1091" s="1" t="s">
        <v>1199</v>
      </c>
      <c r="CX1091" t="str">
        <f>IF(OR($CW1091="prd",$CW1091="std",$CW1091="cit"),"loc",IF(OR($CW1091="eur",$CW1091="reg",$CW1091="coy"),"reg",$CW1091))</f>
        <v>reg</v>
      </c>
      <c r="CY1091" t="s">
        <v>428</v>
      </c>
      <c r="CZ1091">
        <v>2020</v>
      </c>
      <c r="DA1091">
        <v>2050</v>
      </c>
      <c r="DB1091">
        <v>30</v>
      </c>
      <c r="DC1091" t="str">
        <f>IF(DB1091=0,"0",IF(AND(DB1091&gt;=1,DB1091&lt;=30),"1-30",IF(AND(DB1091&gt;30,DB1091&lt;=70),"31-70",IF(AND(DB1091&gt;70,DB1091&lt;=100),"71-100",IF(DB1091&gt;100,"+100")))))</f>
        <v>1-30</v>
      </c>
      <c r="DD1091">
        <v>0</v>
      </c>
      <c r="DE1091">
        <v>1</v>
      </c>
      <c r="DF1091">
        <v>1</v>
      </c>
      <c r="DG1091">
        <v>1</v>
      </c>
      <c r="DI1091">
        <f>SUM(DD1091:DG1091)</f>
        <v>3</v>
      </c>
      <c r="DJ1091" t="str">
        <f>IF(DI1091=1,INDEX($DD$7:$DG$7,MATCH(1,$DD1091:$DG1091,0)),"mixedProduct")</f>
        <v>mixedProduct</v>
      </c>
      <c r="DK1091">
        <f>IF(DD1091=1,DK$7,0)</f>
        <v>0</v>
      </c>
      <c r="DL1091" t="str">
        <f>IF(DE1091=1,DL$7,0)</f>
        <v>Energy</v>
      </c>
      <c r="DM1091" t="str">
        <f>IF(DF1091=1,DM$7,0)</f>
        <v>Pulp/Paper</v>
      </c>
      <c r="DN1091" t="str">
        <f>IF(DG1091=1,DN$7,0)</f>
        <v>Timber</v>
      </c>
      <c r="DO1091">
        <v>0</v>
      </c>
      <c r="DP1091">
        <v>1</v>
      </c>
      <c r="DQ1091" t="s">
        <v>1411</v>
      </c>
      <c r="DR1091" t="s">
        <v>1412</v>
      </c>
      <c r="DS1091">
        <v>0</v>
      </c>
      <c r="DT1091">
        <f>SUM(DO1091:DP1091)</f>
        <v>1</v>
      </c>
      <c r="DU1091" s="143" t="str">
        <f>IF(DO1091=1,"self-calculated DF",IF(DP1091=1,"external DF used","explicit C balance"))</f>
        <v>external DF used</v>
      </c>
      <c r="DV1091">
        <v>1</v>
      </c>
      <c r="DW1091">
        <v>1</v>
      </c>
      <c r="DX1091">
        <v>1</v>
      </c>
      <c r="DY1091">
        <v>0</v>
      </c>
      <c r="DZ1091">
        <v>0</v>
      </c>
      <c r="EA1091" s="143">
        <v>0</v>
      </c>
      <c r="EB1091">
        <v>0</v>
      </c>
      <c r="EC1091">
        <v>0</v>
      </c>
      <c r="ED1091">
        <v>0</v>
      </c>
      <c r="EE1091">
        <v>0</v>
      </c>
      <c r="EF1091">
        <v>1</v>
      </c>
      <c r="EG1091" s="143">
        <v>0</v>
      </c>
      <c r="EH1091" s="143">
        <v>0</v>
      </c>
      <c r="EI1091" s="2">
        <v>0</v>
      </c>
      <c r="EK1091" t="str">
        <f>IF(AND(AND(AND(OR($DX1091=1,$DW1091=1),OR($EC1091=1,$EA1091=1)),SUM($DV1091:$DZ1091,$EF1091)&gt;=4),SUM($EA1091:$EE1091)&gt;=2),"Whole sector","")</f>
        <v/>
      </c>
      <c r="EL1091" t="str">
        <f>IF(AND(AND(OR($DX1091=1,$DW1091=1),AND($EC1091=0,$EA1091=0)),SUM($DV1091:$DZ1091,$EF1091)&gt;=4),"Ecosystem approach","")</f>
        <v>Ecosystem approach</v>
      </c>
      <c r="EM1091" s="2" t="str">
        <f>IF(AND(AND(AND($DX1091=0,$DW1091=0),OR($EC1091=1,$EA1091=1)),SUM($EB1091:$EE1091)&gt;=2),"Technology approach","")</f>
        <v/>
      </c>
      <c r="EP1091" t="b">
        <f>IF(ISNUMBER(BU1091),IF(ABS(BU1091-[4]QC_indicators!$B$2)&gt;3*[4]QC_indicators!$C$2,"C ratio",IF(ISNUMBER(BY1091),IF(ABS(BY1091-[4]QC_indicators!$B$1)&gt;3*[4]QC_indicators!$C$1,"DF","no"))),IF(ISNUMBER(BY1091),IF(ABS(BY1091-[4]QC_indicators!$B$1)&gt;3*[4]QC_indicators!$C$1,"DF","no")))</f>
        <v>0</v>
      </c>
      <c r="EQ1091" t="s">
        <v>286</v>
      </c>
      <c r="ER1091" s="149" t="s">
        <v>349</v>
      </c>
      <c r="ET1091" s="264" t="s">
        <v>3273</v>
      </c>
    </row>
    <row r="1092" spans="1:150" ht="15" customHeight="1">
      <c r="A1092" s="1" t="s">
        <v>1400</v>
      </c>
      <c r="B1092" t="s">
        <v>1401</v>
      </c>
      <c r="C1092" t="s">
        <v>1402</v>
      </c>
      <c r="D1092" t="s">
        <v>1403</v>
      </c>
      <c r="E1092" t="s">
        <v>1404</v>
      </c>
      <c r="F1092" t="s">
        <v>1405</v>
      </c>
      <c r="G1092" t="s">
        <v>1406</v>
      </c>
      <c r="H1092" t="s">
        <v>254</v>
      </c>
      <c r="I1092">
        <v>2021</v>
      </c>
      <c r="J1092">
        <v>0</v>
      </c>
      <c r="K1092" t="s">
        <v>1407</v>
      </c>
      <c r="M1092" t="str">
        <f>LEFT($D1092,FIND(",",$D1092)-1)&amp;"_"&amp;I1092&amp;L1092</f>
        <v>Dugan_2021</v>
      </c>
      <c r="N1092" t="s">
        <v>222</v>
      </c>
      <c r="O1092" s="145" t="s">
        <v>274</v>
      </c>
      <c r="Q1092" t="s">
        <v>256</v>
      </c>
      <c r="R1092" s="255" t="s">
        <v>225</v>
      </c>
      <c r="S1092" s="1" t="s">
        <v>1419</v>
      </c>
      <c r="T1092" t="s">
        <v>1111</v>
      </c>
      <c r="U1092" t="s">
        <v>1420</v>
      </c>
      <c r="V1092">
        <v>0</v>
      </c>
      <c r="W1092">
        <v>0</v>
      </c>
      <c r="X1092">
        <v>0</v>
      </c>
      <c r="Y1092">
        <v>1</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s="141">
        <f>COUNTIF(V1092:AW1092,"&lt;&gt;0")</f>
        <v>1</v>
      </c>
      <c r="AY1092" s="141">
        <f>COUNTIF(V1092:AL1092,"&lt;&gt;0")</f>
        <v>1</v>
      </c>
      <c r="AZ1092">
        <f>COUNTIF(V1092:AC1092,"&lt;&gt;0")</f>
        <v>1</v>
      </c>
      <c r="BA1092">
        <f>COUNTIF(AD1092:AI1092,"&lt;&gt;0")</f>
        <v>0</v>
      </c>
      <c r="BB1092">
        <f>COUNTIF(AJ1092:AL1092,"&lt;&gt;0")</f>
        <v>0</v>
      </c>
      <c r="BC1092">
        <f>COUNTIF(AS1092:AW1092,"&lt;&gt;0")</f>
        <v>0</v>
      </c>
      <c r="BD1092">
        <f>COUNTIF(AM1092:AR1092,"&lt;&gt;0")</f>
        <v>0</v>
      </c>
      <c r="BE1092" t="str">
        <f t="array" ref="BE1092">IF(AY1092=1,INDEX($V$7:$AL$7,MATCH(TRUE,INDEX($V1092:$AW1092&lt;&gt;0,),0)),IF(AY1092=0,INDEX($AM$7:$AW$7,MATCH(1,$AM1092:$AW1092,0)),IF(BF1092="Multiple strategies","mixed drivers",IF(BF1092="Supply chain","multiple supply","multiple silviculture"))))</f>
        <v xml:space="preserve">cutting intensity </v>
      </c>
      <c r="BF1092" s="2" t="str" cm="1">
        <f t="array" ref="BF1092">IF(COUNTIF(AZ1092:BB1092,"&lt;&gt;0")=1,INDEX($V$4:$AW$4,MATCH(TRUE,INDEX($V1092:$AW1092&lt;&gt;0,),0)),IF(COUNTIF(AZ1092:BB1092,"&lt;&gt;0")=0,INDEX($AM$4:$AW$4,MATCH(1,$AM1092:$AW1092,0)),"Multiple strategies"))</f>
        <v>Silviculture for removals</v>
      </c>
      <c r="BG1092" s="1" t="s">
        <v>321</v>
      </c>
      <c r="BH1092" t="s">
        <v>1410</v>
      </c>
      <c r="BI1092" s="260" t="s">
        <v>3318</v>
      </c>
      <c r="BJ1092" t="s">
        <v>1359</v>
      </c>
      <c r="BK1092" s="264">
        <v>14.61</v>
      </c>
      <c r="BL1092" s="264">
        <v>14.61</v>
      </c>
      <c r="BN1092" s="227">
        <f>BL1092-BK1092</f>
        <v>0</v>
      </c>
      <c r="BO1092">
        <f>BN1092*10^6*tC_to_m3</f>
        <v>0</v>
      </c>
      <c r="BP1092" t="s">
        <v>232</v>
      </c>
      <c r="BQ1092" s="260" t="s">
        <v>3320</v>
      </c>
      <c r="BR1092" t="s">
        <v>1300</v>
      </c>
      <c r="BS1092" s="152"/>
      <c r="BT1092" s="152"/>
      <c r="BU1092" s="144"/>
      <c r="BV1092" s="284">
        <v>3.9411937334774052</v>
      </c>
      <c r="BX1092">
        <f>BV1092*10^6</f>
        <v>3941193.7334774053</v>
      </c>
      <c r="BY1092" t="str">
        <f>IFERROR(BX1092/BO1092,"")</f>
        <v/>
      </c>
      <c r="BZ1092">
        <v>0</v>
      </c>
      <c r="CA1092">
        <v>0</v>
      </c>
      <c r="CB1092">
        <v>0</v>
      </c>
      <c r="CC1092">
        <v>0</v>
      </c>
      <c r="CD1092">
        <v>0</v>
      </c>
      <c r="CE1092">
        <v>0</v>
      </c>
      <c r="CF1092">
        <v>0</v>
      </c>
      <c r="CG1092">
        <v>0</v>
      </c>
      <c r="CH1092">
        <v>0</v>
      </c>
      <c r="CI1092">
        <v>0</v>
      </c>
      <c r="CJ1092">
        <v>0</v>
      </c>
      <c r="CK1092">
        <v>0</v>
      </c>
      <c r="CL1092">
        <v>0</v>
      </c>
      <c r="CM1092">
        <v>0</v>
      </c>
      <c r="CN1092" t="str">
        <f>IF(BL1092&lt;BK1092,"refNeedCorrection","refOK")</f>
        <v>refOK</v>
      </c>
      <c r="CO1092"/>
      <c r="CP1092"/>
      <c r="CQ1092">
        <f>IF($CN1092="refNeedCorrection",-BO1092,BO1092)</f>
        <v>0</v>
      </c>
      <c r="CR1092">
        <f>IF($CN1092="refOK",$BS1092,$BT1092)*IF($BP1092="Emissions positive",-1,1)</f>
        <v>0</v>
      </c>
      <c r="CS1092">
        <f>IF($CN1092="refOK",$BT1092,$BS1092)*IF($BP1092="Emissions positive",-1,1)</f>
        <v>0</v>
      </c>
      <c r="CT1092">
        <f>IF($CN1092="refNeedCorrection",-BX1092,BX1092)*IF($BP1092="Emissions positive",-1,1)</f>
        <v>3941193.7334774053</v>
      </c>
      <c r="CU1092" t="str">
        <f>IFERROR(CT1092/CQ1092,"")</f>
        <v/>
      </c>
      <c r="CV1092" s="2" t="str">
        <f>IFERROR((CS1092-CR1092)/ABS(CR1092),"")</f>
        <v/>
      </c>
      <c r="CW1092" s="1" t="s">
        <v>1199</v>
      </c>
      <c r="CX1092" t="str">
        <f>IF(OR($CW1092="prd",$CW1092="std",$CW1092="cit"),"loc",IF(OR($CW1092="eur",$CW1092="reg",$CW1092="coy"),"reg",$CW1092))</f>
        <v>reg</v>
      </c>
      <c r="CY1092" t="s">
        <v>428</v>
      </c>
      <c r="CZ1092">
        <v>2020</v>
      </c>
      <c r="DA1092">
        <v>2050</v>
      </c>
      <c r="DB1092">
        <v>30</v>
      </c>
      <c r="DC1092" t="str">
        <f>IF(DB1092=0,"0",IF(AND(DB1092&gt;=1,DB1092&lt;=30),"1-30",IF(AND(DB1092&gt;30,DB1092&lt;=70),"31-70",IF(AND(DB1092&gt;70,DB1092&lt;=100),"71-100",IF(DB1092&gt;100,"+100")))))</f>
        <v>1-30</v>
      </c>
      <c r="DD1092">
        <v>0</v>
      </c>
      <c r="DE1092">
        <v>1</v>
      </c>
      <c r="DF1092">
        <v>0</v>
      </c>
      <c r="DG1092">
        <v>0</v>
      </c>
      <c r="DI1092">
        <f>SUM(DD1092:DG1092)</f>
        <v>1</v>
      </c>
      <c r="DJ1092" t="str">
        <f>IF(DI1092=1,INDEX($DD$7:$DG$7,MATCH(1,$DD1092:$DG1092,0)),"mixedProduct")</f>
        <v>EnergyInput</v>
      </c>
      <c r="DK1092">
        <f>IF(DD1092=1,DK$7,0)</f>
        <v>0</v>
      </c>
      <c r="DL1092" t="str">
        <f>IF(DE1092=1,DL$7,0)</f>
        <v>Energy</v>
      </c>
      <c r="DM1092">
        <f>IF(DF1092=1,DM$7,0)</f>
        <v>0</v>
      </c>
      <c r="DN1092">
        <f>IF(DG1092=1,DN$7,0)</f>
        <v>0</v>
      </c>
      <c r="DO1092">
        <v>0</v>
      </c>
      <c r="DP1092">
        <v>1</v>
      </c>
      <c r="DQ1092" t="s">
        <v>1411</v>
      </c>
      <c r="DR1092" t="s">
        <v>1412</v>
      </c>
      <c r="DS1092">
        <v>0</v>
      </c>
      <c r="DT1092">
        <f>SUM(DO1092:DP1092)</f>
        <v>1</v>
      </c>
      <c r="DU1092" s="143" t="str">
        <f>IF(DO1092=1,"self-calculated DF",IF(DP1092=1,"external DF used","explicit C balance"))</f>
        <v>external DF used</v>
      </c>
      <c r="DV1092">
        <v>1</v>
      </c>
      <c r="DW1092">
        <v>1</v>
      </c>
      <c r="DX1092">
        <v>1</v>
      </c>
      <c r="DY1092">
        <v>1</v>
      </c>
      <c r="DZ1092">
        <v>0</v>
      </c>
      <c r="EA1092" s="143">
        <v>1</v>
      </c>
      <c r="EB1092">
        <v>0</v>
      </c>
      <c r="EC1092">
        <v>1</v>
      </c>
      <c r="ED1092">
        <v>0</v>
      </c>
      <c r="EE1092">
        <v>0</v>
      </c>
      <c r="EF1092">
        <v>1</v>
      </c>
      <c r="EG1092" s="143">
        <v>0</v>
      </c>
      <c r="EH1092" s="143">
        <v>0</v>
      </c>
      <c r="EI1092" s="2">
        <v>0</v>
      </c>
      <c r="EK1092" t="str">
        <f>IF(AND(AND(AND(OR($DX1092=1,$DW1092=1),OR($EC1092=1,$EA1092=1)),SUM($DV1092:$DZ1092,$EF1092)&gt;=4),SUM($EA1092:$EE1092)&gt;=2),"Whole sector","")</f>
        <v>Whole sector</v>
      </c>
      <c r="EL1092" t="str">
        <f>IF(AND(AND(OR($DX1092=1,$DW1092=1),AND($EC1092=0,$EA1092=0)),SUM($DV1092:$DZ1092,$EF1092)&gt;=4),"Ecosystem approach","")</f>
        <v/>
      </c>
      <c r="EM1092" s="2" t="str">
        <f>IF(AND(AND(AND($DX1092=0,$DW1092=0),OR($EC1092=1,$EA1092=1)),SUM($EB1092:$EE1092)&gt;=2),"Technology approach","")</f>
        <v/>
      </c>
      <c r="EP1092" t="b">
        <f>IF(ISNUMBER(BU1092),IF(ABS(BU1092-[4]QC_indicators!$B$2)&gt;3*[4]QC_indicators!$C$2,"C ratio",IF(ISNUMBER(BY1092),IF(ABS(BY1092-[4]QC_indicators!$B$1)&gt;3*[4]QC_indicators!$C$1,"DF","no"))),IF(ISNUMBER(BY1092),IF(ABS(BY1092-[4]QC_indicators!$B$1)&gt;3*[4]QC_indicators!$C$1,"DF","no")))</f>
        <v>0</v>
      </c>
      <c r="EQ1092" t="s">
        <v>286</v>
      </c>
      <c r="ER1092" s="149" t="s">
        <v>349</v>
      </c>
      <c r="ET1092" s="264" t="s">
        <v>3273</v>
      </c>
    </row>
    <row r="1093" spans="1:150" ht="15" customHeight="1">
      <c r="A1093" s="1" t="s">
        <v>1400</v>
      </c>
      <c r="B1093" t="s">
        <v>1401</v>
      </c>
      <c r="C1093" t="s">
        <v>1402</v>
      </c>
      <c r="D1093" t="s">
        <v>1403</v>
      </c>
      <c r="E1093" t="s">
        <v>1404</v>
      </c>
      <c r="F1093" t="s">
        <v>1405</v>
      </c>
      <c r="G1093" t="s">
        <v>1406</v>
      </c>
      <c r="H1093" t="s">
        <v>254</v>
      </c>
      <c r="I1093">
        <v>2021</v>
      </c>
      <c r="J1093">
        <v>0</v>
      </c>
      <c r="K1093" t="s">
        <v>1407</v>
      </c>
      <c r="M1093" t="str">
        <f>LEFT($D1093,FIND(",",$D1093)-1)&amp;"_"&amp;I1093&amp;L1093</f>
        <v>Dugan_2021</v>
      </c>
      <c r="N1093" t="s">
        <v>222</v>
      </c>
      <c r="O1093" s="145" t="s">
        <v>274</v>
      </c>
      <c r="Q1093" t="s">
        <v>256</v>
      </c>
      <c r="R1093" s="255" t="s">
        <v>225</v>
      </c>
      <c r="S1093" s="1" t="s">
        <v>1419</v>
      </c>
      <c r="T1093" t="s">
        <v>1111</v>
      </c>
      <c r="U1093" t="s">
        <v>1420</v>
      </c>
      <c r="V1093">
        <v>0</v>
      </c>
      <c r="W1093">
        <v>0</v>
      </c>
      <c r="X1093">
        <v>0</v>
      </c>
      <c r="Y1093">
        <v>1</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s="141">
        <f>COUNTIF(V1093:AW1093,"&lt;&gt;0")</f>
        <v>1</v>
      </c>
      <c r="AY1093" s="141">
        <f>COUNTIF(V1093:AL1093,"&lt;&gt;0")</f>
        <v>1</v>
      </c>
      <c r="AZ1093">
        <f>COUNTIF(V1093:AC1093,"&lt;&gt;0")</f>
        <v>1</v>
      </c>
      <c r="BA1093">
        <f>COUNTIF(AD1093:AI1093,"&lt;&gt;0")</f>
        <v>0</v>
      </c>
      <c r="BB1093">
        <f>COUNTIF(AJ1093:AL1093,"&lt;&gt;0")</f>
        <v>0</v>
      </c>
      <c r="BC1093">
        <f>COUNTIF(AS1093:AW1093,"&lt;&gt;0")</f>
        <v>0</v>
      </c>
      <c r="BD1093">
        <f>COUNTIF(AM1093:AR1093,"&lt;&gt;0")</f>
        <v>0</v>
      </c>
      <c r="BE1093" t="str">
        <f t="array" ref="BE1093">IF(AY1093=1,INDEX($V$7:$AL$7,MATCH(TRUE,INDEX($V1093:$AW1093&lt;&gt;0,),0)),IF(AY1093=0,INDEX($AM$7:$AW$7,MATCH(1,$AM1093:$AW1093,0)),IF(BF1093="Multiple strategies","mixed drivers",IF(BF1093="Supply chain","multiple supply","multiple silviculture"))))</f>
        <v xml:space="preserve">cutting intensity </v>
      </c>
      <c r="BF1093" s="2" t="str" cm="1">
        <f t="array" ref="BF1093">IF(COUNTIF(AZ1093:BB1093,"&lt;&gt;0")=1,INDEX($V$4:$AW$4,MATCH(TRUE,INDEX($V1093:$AW1093&lt;&gt;0,),0)),IF(COUNTIF(AZ1093:BB1093,"&lt;&gt;0")=0,INDEX($AM$4:$AW$4,MATCH(1,$AM1093:$AW1093,0)),"Multiple strategies"))</f>
        <v>Silviculture for removals</v>
      </c>
      <c r="BG1093" s="1" t="s">
        <v>321</v>
      </c>
      <c r="BH1093" t="s">
        <v>1410</v>
      </c>
      <c r="BI1093" s="260" t="s">
        <v>3318</v>
      </c>
      <c r="BJ1093" t="s">
        <v>1359</v>
      </c>
      <c r="BK1093" s="264">
        <v>14.61</v>
      </c>
      <c r="BL1093" s="264">
        <v>14.61</v>
      </c>
      <c r="BN1093" s="227">
        <f>BL1093-BK1093</f>
        <v>0</v>
      </c>
      <c r="BO1093">
        <f>BN1093*10^6*tC_to_m3</f>
        <v>0</v>
      </c>
      <c r="BP1093" t="s">
        <v>232</v>
      </c>
      <c r="BQ1093" s="260" t="s">
        <v>3319</v>
      </c>
      <c r="BR1093" t="s">
        <v>1300</v>
      </c>
      <c r="BS1093" s="152"/>
      <c r="BT1093" s="152"/>
      <c r="BU1093" s="144"/>
      <c r="BV1093" s="284">
        <v>-2.56567911875627</v>
      </c>
      <c r="BX1093">
        <f>BV1093*10^6</f>
        <v>-2565679.11875627</v>
      </c>
      <c r="BY1093" t="str">
        <f>IFERROR(BX1093/BO1093,"")</f>
        <v/>
      </c>
      <c r="BZ1093">
        <v>0</v>
      </c>
      <c r="CA1093">
        <v>0</v>
      </c>
      <c r="CB1093">
        <v>0</v>
      </c>
      <c r="CC1093">
        <v>0</v>
      </c>
      <c r="CD1093">
        <v>0</v>
      </c>
      <c r="CE1093">
        <v>0</v>
      </c>
      <c r="CF1093">
        <v>0</v>
      </c>
      <c r="CG1093">
        <v>0</v>
      </c>
      <c r="CH1093">
        <v>0</v>
      </c>
      <c r="CI1093">
        <v>0</v>
      </c>
      <c r="CJ1093">
        <v>0</v>
      </c>
      <c r="CK1093">
        <v>0</v>
      </c>
      <c r="CL1093">
        <v>0</v>
      </c>
      <c r="CM1093">
        <v>0</v>
      </c>
      <c r="CN1093" t="str">
        <f>IF(BL1093&lt;BK1093,"refNeedCorrection","refOK")</f>
        <v>refOK</v>
      </c>
      <c r="CO1093"/>
      <c r="CP1093"/>
      <c r="CQ1093">
        <f>IF($CN1093="refNeedCorrection",-BO1093,BO1093)</f>
        <v>0</v>
      </c>
      <c r="CR1093">
        <f>IF($CN1093="refOK",$BS1093,$BT1093)*IF($BP1093="Emissions positive",-1,1)</f>
        <v>0</v>
      </c>
      <c r="CS1093">
        <f>IF($CN1093="refOK",$BT1093,$BS1093)*IF($BP1093="Emissions positive",-1,1)</f>
        <v>0</v>
      </c>
      <c r="CT1093">
        <f>IF($CN1093="refNeedCorrection",-BX1093,BX1093)*IF($BP1093="Emissions positive",-1,1)</f>
        <v>-2565679.11875627</v>
      </c>
      <c r="CU1093" t="str">
        <f>IFERROR(CT1093/CQ1093,"")</f>
        <v/>
      </c>
      <c r="CV1093" s="2" t="str">
        <f>IFERROR((CS1093-CR1093)/ABS(CR1093),"")</f>
        <v/>
      </c>
      <c r="CW1093" s="1" t="s">
        <v>1199</v>
      </c>
      <c r="CX1093" t="str">
        <f>IF(OR($CW1093="prd",$CW1093="std",$CW1093="cit"),"loc",IF(OR($CW1093="eur",$CW1093="reg",$CW1093="coy"),"reg",$CW1093))</f>
        <v>reg</v>
      </c>
      <c r="CY1093" t="s">
        <v>428</v>
      </c>
      <c r="CZ1093">
        <v>2020</v>
      </c>
      <c r="DA1093">
        <v>2050</v>
      </c>
      <c r="DB1093">
        <v>30</v>
      </c>
      <c r="DC1093" t="str">
        <f>IF(DB1093=0,"0",IF(AND(DB1093&gt;=1,DB1093&lt;=30),"1-30",IF(AND(DB1093&gt;30,DB1093&lt;=70),"31-70",IF(AND(DB1093&gt;70,DB1093&lt;=100),"71-100",IF(DB1093&gt;100,"+100")))))</f>
        <v>1-30</v>
      </c>
      <c r="DD1093">
        <v>0</v>
      </c>
      <c r="DE1093">
        <v>1</v>
      </c>
      <c r="DF1093">
        <v>0</v>
      </c>
      <c r="DG1093">
        <v>0</v>
      </c>
      <c r="DI1093">
        <f>SUM(DD1093:DG1093)</f>
        <v>1</v>
      </c>
      <c r="DJ1093" t="str">
        <f>IF(DI1093=1,INDEX($DD$7:$DG$7,MATCH(1,$DD1093:$DG1093,0)),"mixedProduct")</f>
        <v>EnergyInput</v>
      </c>
      <c r="DK1093">
        <f>IF(DD1093=1,DK$7,0)</f>
        <v>0</v>
      </c>
      <c r="DL1093" t="str">
        <f>IF(DE1093=1,DL$7,0)</f>
        <v>Energy</v>
      </c>
      <c r="DM1093">
        <f>IF(DF1093=1,DM$7,0)</f>
        <v>0</v>
      </c>
      <c r="DN1093">
        <f>IF(DG1093=1,DN$7,0)</f>
        <v>0</v>
      </c>
      <c r="DO1093">
        <v>0</v>
      </c>
      <c r="DP1093">
        <v>1</v>
      </c>
      <c r="DQ1093" t="s">
        <v>1411</v>
      </c>
      <c r="DR1093" t="s">
        <v>1412</v>
      </c>
      <c r="DS1093">
        <v>0</v>
      </c>
      <c r="DT1093">
        <f>SUM(DO1093:DP1093)</f>
        <v>1</v>
      </c>
      <c r="DU1093" s="143" t="str">
        <f>IF(DO1093=1,"self-calculated DF",IF(DP1093=1,"external DF used","explicit C balance"))</f>
        <v>external DF used</v>
      </c>
      <c r="DV1093">
        <v>1</v>
      </c>
      <c r="DW1093">
        <v>1</v>
      </c>
      <c r="DX1093">
        <v>1</v>
      </c>
      <c r="DY1093">
        <v>1</v>
      </c>
      <c r="DZ1093">
        <v>0</v>
      </c>
      <c r="EA1093" s="143">
        <v>0</v>
      </c>
      <c r="EB1093">
        <v>0</v>
      </c>
      <c r="EC1093">
        <v>0</v>
      </c>
      <c r="ED1093">
        <v>0</v>
      </c>
      <c r="EE1093">
        <v>0</v>
      </c>
      <c r="EF1093">
        <v>1</v>
      </c>
      <c r="EG1093" s="143">
        <v>0</v>
      </c>
      <c r="EH1093" s="143">
        <v>0</v>
      </c>
      <c r="EI1093" s="2">
        <v>0</v>
      </c>
      <c r="EK1093" t="str">
        <f>IF(AND(AND(AND(OR($DX1093=1,$DW1093=1),OR($EC1093=1,$EA1093=1)),SUM($DV1093:$DZ1093,$EF1093)&gt;=4),SUM($EA1093:$EE1093)&gt;=2),"Whole sector","")</f>
        <v/>
      </c>
      <c r="EL1093" t="str">
        <f>IF(AND(AND(OR($DX1093=1,$DW1093=1),AND($EC1093=0,$EA1093=0)),SUM($DV1093:$DZ1093,$EF1093)&gt;=4),"Ecosystem approach","")</f>
        <v>Ecosystem approach</v>
      </c>
      <c r="EM1093" s="2" t="str">
        <f>IF(AND(AND(AND($DX1093=0,$DW1093=0),OR($EC1093=1,$EA1093=1)),SUM($EB1093:$EE1093)&gt;=2),"Technology approach","")</f>
        <v/>
      </c>
      <c r="EP1093" t="b">
        <f>IF(ISNUMBER(BU1093),IF(ABS(BU1093-[4]QC_indicators!$B$2)&gt;3*[4]QC_indicators!$C$2,"C ratio",IF(ISNUMBER(BY1093),IF(ABS(BY1093-[4]QC_indicators!$B$1)&gt;3*[4]QC_indicators!$C$1,"DF","no"))),IF(ISNUMBER(BY1093),IF(ABS(BY1093-[4]QC_indicators!$B$1)&gt;3*[4]QC_indicators!$C$1,"DF","no")))</f>
        <v>0</v>
      </c>
      <c r="EQ1093" t="s">
        <v>286</v>
      </c>
      <c r="ER1093" s="149" t="s">
        <v>349</v>
      </c>
      <c r="ET1093" s="264" t="s">
        <v>3273</v>
      </c>
    </row>
    <row r="1094" spans="1:150" ht="187">
      <c r="A1094" s="1" t="s">
        <v>1400</v>
      </c>
      <c r="B1094" t="s">
        <v>1401</v>
      </c>
      <c r="C1094" t="s">
        <v>1402</v>
      </c>
      <c r="D1094" t="s">
        <v>1403</v>
      </c>
      <c r="E1094" t="s">
        <v>1404</v>
      </c>
      <c r="F1094" t="s">
        <v>1405</v>
      </c>
      <c r="G1094" t="s">
        <v>1406</v>
      </c>
      <c r="H1094" t="s">
        <v>254</v>
      </c>
      <c r="I1094">
        <v>2021</v>
      </c>
      <c r="J1094">
        <v>0</v>
      </c>
      <c r="K1094" t="s">
        <v>1407</v>
      </c>
      <c r="M1094" t="str">
        <f>LEFT($D1094,FIND(",",$D1094)-1)&amp;"_"&amp;I1094&amp;L1094</f>
        <v>Dugan_2021</v>
      </c>
      <c r="N1094" t="s">
        <v>222</v>
      </c>
      <c r="O1094" s="145" t="s">
        <v>274</v>
      </c>
      <c r="Q1094" t="s">
        <v>256</v>
      </c>
      <c r="R1094" s="255" t="s">
        <v>225</v>
      </c>
      <c r="S1094" s="1" t="s">
        <v>1419</v>
      </c>
      <c r="T1094" t="s">
        <v>1111</v>
      </c>
      <c r="U1094" t="s">
        <v>1420</v>
      </c>
      <c r="V1094">
        <v>0</v>
      </c>
      <c r="W1094">
        <v>0</v>
      </c>
      <c r="X1094">
        <v>0</v>
      </c>
      <c r="Y1094">
        <v>1</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s="141">
        <f>COUNTIF(V1094:AW1094,"&lt;&gt;0")</f>
        <v>1</v>
      </c>
      <c r="AY1094" s="141">
        <f>COUNTIF(V1094:AL1094,"&lt;&gt;0")</f>
        <v>1</v>
      </c>
      <c r="AZ1094">
        <f>COUNTIF(V1094:AC1094,"&lt;&gt;0")</f>
        <v>1</v>
      </c>
      <c r="BA1094">
        <f>COUNTIF(AD1094:AI1094,"&lt;&gt;0")</f>
        <v>0</v>
      </c>
      <c r="BB1094">
        <f>COUNTIF(AJ1094:AL1094,"&lt;&gt;0")</f>
        <v>0</v>
      </c>
      <c r="BC1094">
        <f>COUNTIF(AS1094:AW1094,"&lt;&gt;0")</f>
        <v>0</v>
      </c>
      <c r="BD1094">
        <f>COUNTIF(AM1094:AR1094,"&lt;&gt;0")</f>
        <v>0</v>
      </c>
      <c r="BE1094" t="str">
        <f t="array" ref="BE1094">IF(AY1094=1,INDEX($V$7:$AL$7,MATCH(TRUE,INDEX($V1094:$AW1094&lt;&gt;0,),0)),IF(AY1094=0,INDEX($AM$7:$AW$7,MATCH(1,$AM1094:$AW1094,0)),IF(BF1094="Multiple strategies","mixed drivers",IF(BF1094="Supply chain","multiple supply","multiple silviculture"))))</f>
        <v xml:space="preserve">cutting intensity </v>
      </c>
      <c r="BF1094" s="2" t="str" cm="1">
        <f t="array" ref="BF1094">IF(COUNTIF(AZ1094:BB1094,"&lt;&gt;0")=1,INDEX($V$4:$AW$4,MATCH(TRUE,INDEX($V1094:$AW1094&lt;&gt;0,),0)),IF(COUNTIF(AZ1094:BB1094,"&lt;&gt;0")=0,INDEX($AM$4:$AW$4,MATCH(1,$AM1094:$AW1094,0)),"Multiple strategies"))</f>
        <v>Silviculture for removals</v>
      </c>
      <c r="BG1094" s="1" t="s">
        <v>321</v>
      </c>
      <c r="BH1094" t="s">
        <v>1410</v>
      </c>
      <c r="BI1094" s="260" t="s">
        <v>3318</v>
      </c>
      <c r="BJ1094" t="s">
        <v>1359</v>
      </c>
      <c r="BK1094" s="264">
        <v>14.61</v>
      </c>
      <c r="BL1094" s="264">
        <v>14.61</v>
      </c>
      <c r="BN1094" s="227">
        <f>BL1094-BK1094</f>
        <v>0</v>
      </c>
      <c r="BO1094">
        <f>BN1094*10^6*tC_to_m3</f>
        <v>0</v>
      </c>
      <c r="BP1094" t="s">
        <v>232</v>
      </c>
      <c r="BQ1094" s="260" t="s">
        <v>3321</v>
      </c>
      <c r="BR1094" t="s">
        <v>1300</v>
      </c>
      <c r="BS1094" s="152"/>
      <c r="BT1094" s="152"/>
      <c r="BU1094" s="144"/>
      <c r="BV1094" s="141">
        <v>4.7403037872266296</v>
      </c>
      <c r="BX1094">
        <f>BV1094*10^6</f>
        <v>4740303.7872266294</v>
      </c>
      <c r="BY1094" t="str">
        <f>IFERROR(BX1094/BO1094,"")</f>
        <v/>
      </c>
      <c r="BZ1094">
        <v>0</v>
      </c>
      <c r="CA1094">
        <v>0</v>
      </c>
      <c r="CB1094">
        <v>0</v>
      </c>
      <c r="CC1094">
        <v>0</v>
      </c>
      <c r="CD1094">
        <v>0</v>
      </c>
      <c r="CE1094">
        <v>0</v>
      </c>
      <c r="CF1094">
        <v>0</v>
      </c>
      <c r="CG1094">
        <v>0</v>
      </c>
      <c r="CH1094">
        <v>0</v>
      </c>
      <c r="CI1094">
        <v>0</v>
      </c>
      <c r="CJ1094">
        <v>0</v>
      </c>
      <c r="CK1094">
        <v>0</v>
      </c>
      <c r="CL1094">
        <v>0</v>
      </c>
      <c r="CM1094">
        <v>0</v>
      </c>
      <c r="CN1094" t="str">
        <f>IF(BL1094&lt;BK1094,"refNeedCorrection","refOK")</f>
        <v>refOK</v>
      </c>
      <c r="CO1094"/>
      <c r="CP1094"/>
      <c r="CQ1094">
        <f>IF($CN1094="refNeedCorrection",-BO1094,BO1094)</f>
        <v>0</v>
      </c>
      <c r="CR1094">
        <f>IF($CN1094="refOK",$BS1094,$BT1094)*IF($BP1094="Emissions positive",-1,1)</f>
        <v>0</v>
      </c>
      <c r="CS1094">
        <f>IF($CN1094="refOK",$BT1094,$BS1094)*IF($BP1094="Emissions positive",-1,1)</f>
        <v>0</v>
      </c>
      <c r="CT1094">
        <f>IF($CN1094="refNeedCorrection",-BX1094,BX1094)*IF($BP1094="Emissions positive",-1,1)</f>
        <v>4740303.7872266294</v>
      </c>
      <c r="CU1094" t="str">
        <f>IFERROR(CT1094/CQ1094,"")</f>
        <v/>
      </c>
      <c r="CV1094" s="2" t="str">
        <f>IFERROR((CS1094-CR1094)/ABS(CR1094),"")</f>
        <v/>
      </c>
      <c r="CW1094" s="1" t="s">
        <v>1199</v>
      </c>
      <c r="CX1094" t="str">
        <f>IF(OR($CW1094="prd",$CW1094="std",$CW1094="cit"),"loc",IF(OR($CW1094="eur",$CW1094="reg",$CW1094="coy"),"reg",$CW1094))</f>
        <v>reg</v>
      </c>
      <c r="CY1094" t="s">
        <v>428</v>
      </c>
      <c r="CZ1094">
        <v>2020</v>
      </c>
      <c r="DA1094">
        <v>2050</v>
      </c>
      <c r="DB1094">
        <v>30</v>
      </c>
      <c r="DC1094" t="str">
        <f>IF(DB1094=0,"0",IF(AND(DB1094&gt;=1,DB1094&lt;=30),"1-30",IF(AND(DB1094&gt;30,DB1094&lt;=70),"31-70",IF(AND(DB1094&gt;70,DB1094&lt;=100),"71-100",IF(DB1094&gt;100,"+100")))))</f>
        <v>1-30</v>
      </c>
      <c r="DD1094">
        <v>0</v>
      </c>
      <c r="DE1094">
        <v>1</v>
      </c>
      <c r="DF1094">
        <v>0</v>
      </c>
      <c r="DG1094">
        <v>0</v>
      </c>
      <c r="DI1094">
        <f>SUM(DD1094:DG1094)</f>
        <v>1</v>
      </c>
      <c r="DJ1094" t="str">
        <f>IF(DI1094=1,INDEX($DD$7:$DG$7,MATCH(1,$DD1094:$DG1094,0)),"mixedProduct")</f>
        <v>EnergyInput</v>
      </c>
      <c r="DK1094">
        <f>IF(DD1094=1,DK$7,0)</f>
        <v>0</v>
      </c>
      <c r="DL1094" t="str">
        <f>IF(DE1094=1,DL$7,0)</f>
        <v>Energy</v>
      </c>
      <c r="DM1094">
        <f>IF(DF1094=1,DM$7,0)</f>
        <v>0</v>
      </c>
      <c r="DN1094">
        <f>IF(DG1094=1,DN$7,0)</f>
        <v>0</v>
      </c>
      <c r="DO1094">
        <v>0</v>
      </c>
      <c r="DP1094">
        <v>1</v>
      </c>
      <c r="DQ1094" t="s">
        <v>1411</v>
      </c>
      <c r="DR1094" t="s">
        <v>1412</v>
      </c>
      <c r="DS1094">
        <v>0</v>
      </c>
      <c r="DT1094">
        <f>SUM(DO1094:DP1094)</f>
        <v>1</v>
      </c>
      <c r="DU1094" s="143" t="str">
        <f>IF(DO1094=1,"self-calculated DF",IF(DP1094=1,"external DF used","explicit C balance"))</f>
        <v>external DF used</v>
      </c>
      <c r="DV1094">
        <v>1</v>
      </c>
      <c r="DW1094">
        <v>1</v>
      </c>
      <c r="DX1094">
        <v>1</v>
      </c>
      <c r="DY1094">
        <v>0</v>
      </c>
      <c r="DZ1094">
        <v>0</v>
      </c>
      <c r="EA1094" s="143">
        <v>0</v>
      </c>
      <c r="EB1094">
        <v>0</v>
      </c>
      <c r="EC1094">
        <v>0</v>
      </c>
      <c r="ED1094">
        <v>0</v>
      </c>
      <c r="EE1094">
        <v>0</v>
      </c>
      <c r="EF1094">
        <v>1</v>
      </c>
      <c r="EG1094" s="143">
        <v>0</v>
      </c>
      <c r="EH1094" s="143">
        <v>0</v>
      </c>
      <c r="EI1094" s="2">
        <v>0</v>
      </c>
      <c r="EK1094" t="str">
        <f>IF(AND(AND(AND(OR($DX1094=1,$DW1094=1),OR($EC1094=1,$EA1094=1)),SUM($DV1094:$DZ1094,$EF1094)&gt;=4),SUM($EA1094:$EE1094)&gt;=2),"Whole sector","")</f>
        <v/>
      </c>
      <c r="EL1094" t="str">
        <f>IF(AND(AND(OR($DX1094=1,$DW1094=1),AND($EC1094=0,$EA1094=0)),SUM($DV1094:$DZ1094,$EF1094)&gt;=4),"Ecosystem approach","")</f>
        <v>Ecosystem approach</v>
      </c>
      <c r="EM1094" s="2" t="str">
        <f>IF(AND(AND(AND($DX1094=0,$DW1094=0),OR($EC1094=1,$EA1094=1)),SUM($EB1094:$EE1094)&gt;=2),"Technology approach","")</f>
        <v/>
      </c>
      <c r="EP1094" t="b">
        <f>IF(ISNUMBER(BU1094),IF(ABS(BU1094-[4]QC_indicators!$B$2)&gt;3*[4]QC_indicators!$C$2,"C ratio",IF(ISNUMBER(BY1094),IF(ABS(BY1094-[4]QC_indicators!$B$1)&gt;3*[4]QC_indicators!$C$1,"DF","no"))),IF(ISNUMBER(BY1094),IF(ABS(BY1094-[4]QC_indicators!$B$1)&gt;3*[4]QC_indicators!$C$1,"DF","no")))</f>
        <v>0</v>
      </c>
      <c r="EQ1094" t="s">
        <v>286</v>
      </c>
      <c r="ER1094" s="149" t="s">
        <v>349</v>
      </c>
      <c r="ET1094" s="264" t="s">
        <v>3273</v>
      </c>
    </row>
    <row r="1095" spans="1:150" ht="187">
      <c r="A1095" s="1" t="s">
        <v>1400</v>
      </c>
      <c r="B1095" t="s">
        <v>1401</v>
      </c>
      <c r="C1095" t="s">
        <v>1402</v>
      </c>
      <c r="D1095" t="s">
        <v>1403</v>
      </c>
      <c r="E1095" t="s">
        <v>1404</v>
      </c>
      <c r="F1095" t="s">
        <v>1405</v>
      </c>
      <c r="G1095" t="s">
        <v>1406</v>
      </c>
      <c r="H1095" t="s">
        <v>254</v>
      </c>
      <c r="I1095">
        <v>2021</v>
      </c>
      <c r="J1095">
        <v>0</v>
      </c>
      <c r="K1095" t="s">
        <v>1407</v>
      </c>
      <c r="M1095" t="str">
        <f>LEFT($D1095,FIND(",",$D1095)-1)&amp;"_"&amp;I1095&amp;L1095</f>
        <v>Dugan_2021</v>
      </c>
      <c r="N1095" t="s">
        <v>222</v>
      </c>
      <c r="O1095" s="145" t="s">
        <v>274</v>
      </c>
      <c r="Q1095" t="s">
        <v>256</v>
      </c>
      <c r="R1095" s="255" t="s">
        <v>225</v>
      </c>
      <c r="S1095" s="1" t="s">
        <v>1417</v>
      </c>
      <c r="T1095" t="s">
        <v>1418</v>
      </c>
      <c r="U1095" t="s">
        <v>1111</v>
      </c>
      <c r="V1095">
        <v>0</v>
      </c>
      <c r="W1095">
        <v>0</v>
      </c>
      <c r="X1095">
        <v>0</v>
      </c>
      <c r="Y1095">
        <v>0</v>
      </c>
      <c r="Z1095">
        <v>0</v>
      </c>
      <c r="AA1095">
        <v>0</v>
      </c>
      <c r="AB1095">
        <v>0</v>
      </c>
      <c r="AC1095">
        <v>0</v>
      </c>
      <c r="AD1095">
        <v>0</v>
      </c>
      <c r="AE1095">
        <v>0</v>
      </c>
      <c r="AF1095">
        <v>1</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s="141">
        <f>COUNTIF(V1095:AW1095,"&lt;&gt;0")</f>
        <v>1</v>
      </c>
      <c r="AY1095" s="141">
        <f>COUNTIF(V1095:AL1095,"&lt;&gt;0")</f>
        <v>1</v>
      </c>
      <c r="AZ1095">
        <f>COUNTIF(V1095:AC1095,"&lt;&gt;0")</f>
        <v>0</v>
      </c>
      <c r="BA1095">
        <f>COUNTIF(AD1095:AI1095,"&lt;&gt;0")</f>
        <v>1</v>
      </c>
      <c r="BB1095">
        <f>COUNTIF(AJ1095:AL1095,"&lt;&gt;0")</f>
        <v>0</v>
      </c>
      <c r="BC1095">
        <f>COUNTIF(AS1095:AW1095,"&lt;&gt;0")</f>
        <v>0</v>
      </c>
      <c r="BD1095">
        <f>COUNTIF(AM1095:AR1095,"&lt;&gt;0")</f>
        <v>0</v>
      </c>
      <c r="BE1095" t="str">
        <f t="array" ref="BE1095">IF(AY1095=1,INDEX($V$7:$AL$7,MATCH(TRUE,INDEX($V1095:$AW1095&lt;&gt;0,),0)),IF(AY1095=0,INDEX($AM$7:$AW$7,MATCH(1,$AM1095:$AW1095,0)),IF(BF1095="Multiple strategies","mixed drivers",IF(BF1095="Supply chain","multiple supply","multiple silviculture"))))</f>
        <v>supply chain organization</v>
      </c>
      <c r="BF1095" s="2" t="str" cm="1">
        <f t="array" ref="BF1095">IF(COUNTIF(AZ1095:BB1095,"&lt;&gt;0")=1,INDEX($V$4:$AW$4,MATCH(TRUE,INDEX($V1095:$AW1095&lt;&gt;0,),0)),IF(COUNTIF(AZ1095:BB1095,"&lt;&gt;0")=0,INDEX($AM$4:$AW$4,MATCH(1,$AM1095:$AW1095,0)),"Multiple strategies"))</f>
        <v>Supply chain</v>
      </c>
      <c r="BG1095" s="1" t="s">
        <v>321</v>
      </c>
      <c r="BH1095" t="s">
        <v>1410</v>
      </c>
      <c r="BI1095" s="260" t="s">
        <v>3318</v>
      </c>
      <c r="BJ1095" t="s">
        <v>1359</v>
      </c>
      <c r="BK1095" s="264">
        <v>14.61</v>
      </c>
      <c r="BL1095" s="264">
        <v>14.61</v>
      </c>
      <c r="BN1095" s="227">
        <f>BL1095-BK1095</f>
        <v>0</v>
      </c>
      <c r="BO1095">
        <f>BN1095*10^6*tC_to_m3</f>
        <v>0</v>
      </c>
      <c r="BP1095" t="s">
        <v>232</v>
      </c>
      <c r="BQ1095" s="260" t="s">
        <v>3319</v>
      </c>
      <c r="BR1095" t="s">
        <v>1300</v>
      </c>
      <c r="BS1095" s="152"/>
      <c r="BT1095" s="152"/>
      <c r="BU1095" s="144"/>
      <c r="BV1095" s="284">
        <v>0.70085470085469903</v>
      </c>
      <c r="BX1095">
        <f>BV1095*10^6</f>
        <v>700854.70085469901</v>
      </c>
      <c r="BY1095" t="str">
        <f>IFERROR(BX1095/BO1095,"")</f>
        <v/>
      </c>
      <c r="BZ1095">
        <v>0</v>
      </c>
      <c r="CA1095">
        <v>0</v>
      </c>
      <c r="CB1095">
        <v>0</v>
      </c>
      <c r="CC1095">
        <v>0</v>
      </c>
      <c r="CD1095">
        <v>0</v>
      </c>
      <c r="CE1095">
        <v>0</v>
      </c>
      <c r="CF1095">
        <v>0</v>
      </c>
      <c r="CG1095">
        <v>0</v>
      </c>
      <c r="CH1095">
        <v>0</v>
      </c>
      <c r="CI1095">
        <v>0</v>
      </c>
      <c r="CJ1095">
        <v>0</v>
      </c>
      <c r="CK1095">
        <v>0</v>
      </c>
      <c r="CL1095">
        <v>0</v>
      </c>
      <c r="CM1095">
        <v>0</v>
      </c>
      <c r="CN1095" t="str">
        <f>IF(BL1095&lt;BK1095,"refNeedCorrection","refOK")</f>
        <v>refOK</v>
      </c>
      <c r="CO1095"/>
      <c r="CP1095"/>
      <c r="CQ1095">
        <f>IF($CN1095="refNeedCorrection",-BO1095,BO1095)</f>
        <v>0</v>
      </c>
      <c r="CR1095">
        <f>IF($CN1095="refOK",$BS1095,$BT1095)*IF($BP1095="Emissions positive",-1,1)</f>
        <v>0</v>
      </c>
      <c r="CS1095">
        <f>IF($CN1095="refOK",$BT1095,$BS1095)*IF($BP1095="Emissions positive",-1,1)</f>
        <v>0</v>
      </c>
      <c r="CT1095">
        <f>IF($CN1095="refNeedCorrection",-BX1095,BX1095)*IF($BP1095="Emissions positive",-1,1)</f>
        <v>700854.70085469901</v>
      </c>
      <c r="CU1095" t="str">
        <f>IFERROR(CT1095/CQ1095,"")</f>
        <v/>
      </c>
      <c r="CV1095" s="2" t="str">
        <f>IFERROR((CS1095-CR1095)/ABS(CR1095),"")</f>
        <v/>
      </c>
      <c r="CW1095" s="1" t="s">
        <v>1199</v>
      </c>
      <c r="CX1095" t="str">
        <f>IF(OR($CW1095="prd",$CW1095="std",$CW1095="cit"),"loc",IF(OR($CW1095="eur",$CW1095="reg",$CW1095="coy"),"reg",$CW1095))</f>
        <v>reg</v>
      </c>
      <c r="CY1095" t="s">
        <v>428</v>
      </c>
      <c r="CZ1095">
        <v>2020</v>
      </c>
      <c r="DA1095">
        <v>2050</v>
      </c>
      <c r="DB1095">
        <v>30</v>
      </c>
      <c r="DC1095" t="str">
        <f>IF(DB1095=0,"0",IF(AND(DB1095&gt;=1,DB1095&lt;=30),"1-30",IF(AND(DB1095&gt;30,DB1095&lt;=70),"31-70",IF(AND(DB1095&gt;70,DB1095&lt;=100),"71-100",IF(DB1095&gt;100,"+100")))))</f>
        <v>1-30</v>
      </c>
      <c r="DD1095">
        <v>0</v>
      </c>
      <c r="DE1095">
        <v>1</v>
      </c>
      <c r="DF1095">
        <v>1</v>
      </c>
      <c r="DG1095">
        <v>0</v>
      </c>
      <c r="DI1095">
        <f>SUM(DD1095:DG1095)</f>
        <v>2</v>
      </c>
      <c r="DJ1095" t="str">
        <f>IF(DI1095=1,INDEX($DD$7:$DG$7,MATCH(1,$DD1095:$DG1095,0)),"mixedProduct")</f>
        <v>mixedProduct</v>
      </c>
      <c r="DK1095">
        <f>IF(DD1095=1,DK$7,0)</f>
        <v>0</v>
      </c>
      <c r="DL1095" t="str">
        <f>IF(DE1095=1,DL$7,0)</f>
        <v>Energy</v>
      </c>
      <c r="DM1095" t="str">
        <f>IF(DF1095=1,DM$7,0)</f>
        <v>Pulp/Paper</v>
      </c>
      <c r="DN1095">
        <f>IF(DG1095=1,DN$7,0)</f>
        <v>0</v>
      </c>
      <c r="DO1095">
        <v>0</v>
      </c>
      <c r="DP1095">
        <v>1</v>
      </c>
      <c r="DQ1095" t="s">
        <v>1411</v>
      </c>
      <c r="DR1095" t="s">
        <v>1412</v>
      </c>
      <c r="DS1095">
        <v>0</v>
      </c>
      <c r="DT1095">
        <f>SUM(DO1095:DP1095)</f>
        <v>1</v>
      </c>
      <c r="DU1095" s="143" t="str">
        <f>IF(DO1095=1,"self-calculated DF",IF(DP1095=1,"external DF used","explicit C balance"))</f>
        <v>external DF used</v>
      </c>
      <c r="DV1095">
        <v>1</v>
      </c>
      <c r="DW1095">
        <v>1</v>
      </c>
      <c r="DX1095">
        <v>1</v>
      </c>
      <c r="DY1095">
        <v>1</v>
      </c>
      <c r="DZ1095">
        <v>0</v>
      </c>
      <c r="EA1095" s="143">
        <v>0</v>
      </c>
      <c r="EB1095">
        <v>0</v>
      </c>
      <c r="EC1095">
        <v>0</v>
      </c>
      <c r="ED1095">
        <v>0</v>
      </c>
      <c r="EE1095">
        <v>0</v>
      </c>
      <c r="EF1095">
        <v>1</v>
      </c>
      <c r="EG1095" s="143">
        <v>0</v>
      </c>
      <c r="EH1095" s="143">
        <v>0</v>
      </c>
      <c r="EI1095" s="2">
        <v>0</v>
      </c>
      <c r="EK1095" t="str">
        <f>IF(AND(AND(AND(OR($DX1095=1,$DW1095=1),OR($EC1095=1,$EA1095=1)),SUM($DV1095:$DZ1095,$EF1095)&gt;=4),SUM($EA1095:$EE1095)&gt;=2),"Whole sector","")</f>
        <v/>
      </c>
      <c r="EL1095" t="str">
        <f>IF(AND(AND(OR($DX1095=1,$DW1095=1),AND($EC1095=0,$EA1095=0)),SUM($DV1095:$DZ1095,$EF1095)&gt;=4),"Ecosystem approach","")</f>
        <v>Ecosystem approach</v>
      </c>
      <c r="EM1095" s="2" t="str">
        <f>IF(AND(AND(AND($DX1095=0,$DW1095=0),OR($EC1095=1,$EA1095=1)),SUM($EB1095:$EE1095)&gt;=2),"Technology approach","")</f>
        <v/>
      </c>
      <c r="EP1095" t="b">
        <f>IF(ISNUMBER(BU1095),IF(ABS(BU1095-[4]QC_indicators!$B$2)&gt;3*[4]QC_indicators!$C$2,"C ratio",IF(ISNUMBER(BY1095),IF(ABS(BY1095-[4]QC_indicators!$B$1)&gt;3*[4]QC_indicators!$C$1,"DF","no"))),IF(ISNUMBER(BY1095),IF(ABS(BY1095-[4]QC_indicators!$B$1)&gt;3*[4]QC_indicators!$C$1,"DF","no")))</f>
        <v>0</v>
      </c>
      <c r="EQ1095" t="s">
        <v>286</v>
      </c>
      <c r="ER1095" s="149" t="s">
        <v>349</v>
      </c>
      <c r="ET1095" s="264" t="s">
        <v>3273</v>
      </c>
    </row>
    <row r="1096" spans="1:150" ht="187">
      <c r="A1096" s="1" t="s">
        <v>1400</v>
      </c>
      <c r="B1096" t="s">
        <v>1401</v>
      </c>
      <c r="C1096" t="s">
        <v>1402</v>
      </c>
      <c r="D1096" t="s">
        <v>1403</v>
      </c>
      <c r="E1096" t="s">
        <v>1404</v>
      </c>
      <c r="F1096" t="s">
        <v>1405</v>
      </c>
      <c r="G1096" t="s">
        <v>1406</v>
      </c>
      <c r="H1096" t="s">
        <v>254</v>
      </c>
      <c r="I1096">
        <v>2021</v>
      </c>
      <c r="J1096">
        <v>0</v>
      </c>
      <c r="K1096" t="s">
        <v>1407</v>
      </c>
      <c r="M1096" t="str">
        <f>LEFT($D1096,FIND(",",$D1096)-1)&amp;"_"&amp;I1096&amp;L1096</f>
        <v>Dugan_2021</v>
      </c>
      <c r="N1096" t="s">
        <v>222</v>
      </c>
      <c r="O1096" s="145" t="s">
        <v>274</v>
      </c>
      <c r="Q1096" t="s">
        <v>256</v>
      </c>
      <c r="R1096" s="255" t="s">
        <v>225</v>
      </c>
      <c r="S1096" s="1" t="s">
        <v>1417</v>
      </c>
      <c r="T1096" t="s">
        <v>1418</v>
      </c>
      <c r="U1096" t="s">
        <v>1111</v>
      </c>
      <c r="V1096">
        <v>0</v>
      </c>
      <c r="W1096">
        <v>0</v>
      </c>
      <c r="X1096">
        <v>0</v>
      </c>
      <c r="Y1096">
        <v>0</v>
      </c>
      <c r="Z1096">
        <v>0</v>
      </c>
      <c r="AA1096">
        <v>0</v>
      </c>
      <c r="AB1096">
        <v>0</v>
      </c>
      <c r="AC1096">
        <v>0</v>
      </c>
      <c r="AD1096">
        <v>0</v>
      </c>
      <c r="AE1096">
        <v>0</v>
      </c>
      <c r="AF1096">
        <v>1</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s="141">
        <f>COUNTIF(V1096:AW1096,"&lt;&gt;0")</f>
        <v>1</v>
      </c>
      <c r="AY1096" s="141">
        <f>COUNTIF(V1096:AL1096,"&lt;&gt;0")</f>
        <v>1</v>
      </c>
      <c r="AZ1096">
        <f>COUNTIF(V1096:AC1096,"&lt;&gt;0")</f>
        <v>0</v>
      </c>
      <c r="BA1096">
        <f>COUNTIF(AD1096:AI1096,"&lt;&gt;0")</f>
        <v>1</v>
      </c>
      <c r="BB1096">
        <f>COUNTIF(AJ1096:AL1096,"&lt;&gt;0")</f>
        <v>0</v>
      </c>
      <c r="BC1096">
        <f>COUNTIF(AS1096:AW1096,"&lt;&gt;0")</f>
        <v>0</v>
      </c>
      <c r="BD1096">
        <f>COUNTIF(AM1096:AR1096,"&lt;&gt;0")</f>
        <v>0</v>
      </c>
      <c r="BE1096" t="str">
        <f t="array" ref="BE1096">IF(AY1096=1,INDEX($V$7:$AL$7,MATCH(TRUE,INDEX($V1096:$AW1096&lt;&gt;0,),0)),IF(AY1096=0,INDEX($AM$7:$AW$7,MATCH(1,$AM1096:$AW1096,0)),IF(BF1096="Multiple strategies","mixed drivers",IF(BF1096="Supply chain","multiple supply","multiple silviculture"))))</f>
        <v>supply chain organization</v>
      </c>
      <c r="BF1096" s="2" t="str" cm="1">
        <f t="array" ref="BF1096">IF(COUNTIF(AZ1096:BB1096,"&lt;&gt;0")=1,INDEX($V$4:$AW$4,MATCH(TRUE,INDEX($V1096:$AW1096&lt;&gt;0,),0)),IF(COUNTIF(AZ1096:BB1096,"&lt;&gt;0")=0,INDEX($AM$4:$AW$4,MATCH(1,$AM1096:$AW1096,0)),"Multiple strategies"))</f>
        <v>Supply chain</v>
      </c>
      <c r="BG1096" s="1" t="s">
        <v>321</v>
      </c>
      <c r="BH1096" t="s">
        <v>1410</v>
      </c>
      <c r="BI1096" s="260" t="s">
        <v>3318</v>
      </c>
      <c r="BJ1096" t="s">
        <v>1359</v>
      </c>
      <c r="BK1096" s="264">
        <v>14.61</v>
      </c>
      <c r="BL1096" s="264">
        <v>14.61</v>
      </c>
      <c r="BN1096" s="227">
        <f>BL1096-BK1096</f>
        <v>0</v>
      </c>
      <c r="BO1096">
        <f>BN1096*10^6*tC_to_m3</f>
        <v>0</v>
      </c>
      <c r="BP1096" t="s">
        <v>232</v>
      </c>
      <c r="BQ1096" s="260" t="s">
        <v>3321</v>
      </c>
      <c r="BR1096" t="s">
        <v>1300</v>
      </c>
      <c r="BS1096" s="152"/>
      <c r="BT1096" s="152"/>
      <c r="BU1096" s="144"/>
      <c r="BV1096" s="285">
        <v>0</v>
      </c>
      <c r="BX1096">
        <f>BV1096*10^6</f>
        <v>0</v>
      </c>
      <c r="BY1096" t="str">
        <f>IFERROR(BX1096/BO1096,"")</f>
        <v/>
      </c>
      <c r="BZ1096">
        <v>0</v>
      </c>
      <c r="CA1096">
        <v>0</v>
      </c>
      <c r="CB1096">
        <v>0</v>
      </c>
      <c r="CC1096">
        <v>0</v>
      </c>
      <c r="CD1096">
        <v>0</v>
      </c>
      <c r="CE1096">
        <v>0</v>
      </c>
      <c r="CF1096">
        <v>0</v>
      </c>
      <c r="CG1096">
        <v>0</v>
      </c>
      <c r="CH1096">
        <v>0</v>
      </c>
      <c r="CI1096">
        <v>0</v>
      </c>
      <c r="CJ1096">
        <v>0</v>
      </c>
      <c r="CK1096">
        <v>0</v>
      </c>
      <c r="CL1096">
        <v>0</v>
      </c>
      <c r="CM1096">
        <v>0</v>
      </c>
      <c r="CN1096" t="str">
        <f>IF(BL1096&lt;BK1096,"refNeedCorrection","refOK")</f>
        <v>refOK</v>
      </c>
      <c r="CO1096"/>
      <c r="CP1096"/>
      <c r="CQ1096">
        <f>IF($CN1096="refNeedCorrection",-BO1096,BO1096)</f>
        <v>0</v>
      </c>
      <c r="CR1096">
        <f>IF($CN1096="refOK",$BS1096,$BT1096)*IF($BP1096="Emissions positive",-1,1)</f>
        <v>0</v>
      </c>
      <c r="CS1096">
        <f>IF($CN1096="refOK",$BT1096,$BS1096)*IF($BP1096="Emissions positive",-1,1)</f>
        <v>0</v>
      </c>
      <c r="CT1096">
        <f>IF($CN1096="refNeedCorrection",-BX1096,BX1096)*IF($BP1096="Emissions positive",-1,1)</f>
        <v>0</v>
      </c>
      <c r="CU1096" t="str">
        <f>IFERROR(CT1096/CQ1096,"")</f>
        <v/>
      </c>
      <c r="CV1096" s="2" t="str">
        <f>IFERROR((CS1096-CR1096)/ABS(CR1096),"")</f>
        <v/>
      </c>
      <c r="CW1096" s="1" t="s">
        <v>1199</v>
      </c>
      <c r="CX1096" t="str">
        <f>IF(OR($CW1096="prd",$CW1096="std",$CW1096="cit"),"loc",IF(OR($CW1096="eur",$CW1096="reg",$CW1096="coy"),"reg",$CW1096))</f>
        <v>reg</v>
      </c>
      <c r="CY1096" t="s">
        <v>428</v>
      </c>
      <c r="CZ1096">
        <v>2020</v>
      </c>
      <c r="DA1096">
        <v>2050</v>
      </c>
      <c r="DB1096">
        <v>30</v>
      </c>
      <c r="DC1096" t="str">
        <f>IF(DB1096=0,"0",IF(AND(DB1096&gt;=1,DB1096&lt;=30),"1-30",IF(AND(DB1096&gt;30,DB1096&lt;=70),"31-70",IF(AND(DB1096&gt;70,DB1096&lt;=100),"71-100",IF(DB1096&gt;100,"+100")))))</f>
        <v>1-30</v>
      </c>
      <c r="DD1096">
        <v>0</v>
      </c>
      <c r="DE1096">
        <v>1</v>
      </c>
      <c r="DF1096">
        <v>1</v>
      </c>
      <c r="DG1096">
        <v>0</v>
      </c>
      <c r="DI1096">
        <f>SUM(DD1096:DG1096)</f>
        <v>2</v>
      </c>
      <c r="DJ1096" t="str">
        <f>IF(DI1096=1,INDEX($DD$7:$DG$7,MATCH(1,$DD1096:$DG1096,0)),"mixedProduct")</f>
        <v>mixedProduct</v>
      </c>
      <c r="DK1096">
        <f>IF(DD1096=1,DK$7,0)</f>
        <v>0</v>
      </c>
      <c r="DL1096" t="str">
        <f>IF(DE1096=1,DL$7,0)</f>
        <v>Energy</v>
      </c>
      <c r="DM1096" t="str">
        <f>IF(DF1096=1,DM$7,0)</f>
        <v>Pulp/Paper</v>
      </c>
      <c r="DN1096">
        <f>IF(DG1096=1,DN$7,0)</f>
        <v>0</v>
      </c>
      <c r="DO1096">
        <v>0</v>
      </c>
      <c r="DP1096">
        <v>1</v>
      </c>
      <c r="DQ1096" t="s">
        <v>1411</v>
      </c>
      <c r="DR1096" t="s">
        <v>1412</v>
      </c>
      <c r="DS1096">
        <v>0</v>
      </c>
      <c r="DT1096">
        <f>SUM(DO1096:DP1096)</f>
        <v>1</v>
      </c>
      <c r="DU1096" s="143" t="str">
        <f>IF(DO1096=1,"self-calculated DF",IF(DP1096=1,"external DF used","explicit C balance"))</f>
        <v>external DF used</v>
      </c>
      <c r="DV1096">
        <v>1</v>
      </c>
      <c r="DW1096">
        <v>1</v>
      </c>
      <c r="DX1096">
        <v>1</v>
      </c>
      <c r="DY1096">
        <v>0</v>
      </c>
      <c r="DZ1096">
        <v>0</v>
      </c>
      <c r="EA1096" s="143">
        <v>0</v>
      </c>
      <c r="EB1096">
        <v>0</v>
      </c>
      <c r="EC1096">
        <v>0</v>
      </c>
      <c r="ED1096">
        <v>0</v>
      </c>
      <c r="EE1096">
        <v>0</v>
      </c>
      <c r="EF1096">
        <v>1</v>
      </c>
      <c r="EG1096" s="143">
        <v>0</v>
      </c>
      <c r="EH1096" s="143">
        <v>0</v>
      </c>
      <c r="EI1096" s="2">
        <v>0</v>
      </c>
      <c r="EK1096" t="str">
        <f>IF(AND(AND(AND(OR($DX1096=1,$DW1096=1),OR($EC1096=1,$EA1096=1)),SUM($DV1096:$DZ1096,$EF1096)&gt;=4),SUM($EA1096:$EE1096)&gt;=2),"Whole sector","")</f>
        <v/>
      </c>
      <c r="EL1096" t="str">
        <f>IF(AND(AND(OR($DX1096=1,$DW1096=1),AND($EC1096=0,$EA1096=0)),SUM($DV1096:$DZ1096,$EF1096)&gt;=4),"Ecosystem approach","")</f>
        <v>Ecosystem approach</v>
      </c>
      <c r="EM1096" s="2" t="str">
        <f>IF(AND(AND(AND($DX1096=0,$DW1096=0),OR($EC1096=1,$EA1096=1)),SUM($EB1096:$EE1096)&gt;=2),"Technology approach","")</f>
        <v/>
      </c>
      <c r="EP1096" t="b">
        <f>IF(ISNUMBER(BU1096),IF(ABS(BU1096-[4]QC_indicators!$B$2)&gt;3*[4]QC_indicators!$C$2,"C ratio",IF(ISNUMBER(BY1096),IF(ABS(BY1096-[4]QC_indicators!$B$1)&gt;3*[4]QC_indicators!$C$1,"DF","no"))),IF(ISNUMBER(BY1096),IF(ABS(BY1096-[4]QC_indicators!$B$1)&gt;3*[4]QC_indicators!$C$1,"DF","no")))</f>
        <v>0</v>
      </c>
      <c r="EQ1096" t="s">
        <v>286</v>
      </c>
      <c r="ER1096" s="149" t="s">
        <v>349</v>
      </c>
      <c r="ET1096" s="264" t="s">
        <v>3273</v>
      </c>
    </row>
    <row r="1097" spans="1:150" ht="187">
      <c r="A1097" s="1" t="s">
        <v>1400</v>
      </c>
      <c r="B1097" t="s">
        <v>1401</v>
      </c>
      <c r="C1097" t="s">
        <v>1402</v>
      </c>
      <c r="D1097" t="s">
        <v>1403</v>
      </c>
      <c r="E1097" t="s">
        <v>1404</v>
      </c>
      <c r="F1097" t="s">
        <v>1405</v>
      </c>
      <c r="G1097" t="s">
        <v>1406</v>
      </c>
      <c r="H1097" t="s">
        <v>254</v>
      </c>
      <c r="I1097">
        <v>2021</v>
      </c>
      <c r="J1097">
        <v>0</v>
      </c>
      <c r="K1097" t="s">
        <v>1407</v>
      </c>
      <c r="M1097" t="str">
        <f>LEFT($D1097,FIND(",",$D1097)-1)&amp;"_"&amp;I1097&amp;L1097</f>
        <v>Dugan_2021</v>
      </c>
      <c r="N1097" t="s">
        <v>222</v>
      </c>
      <c r="O1097" s="145" t="s">
        <v>274</v>
      </c>
      <c r="Q1097" t="s">
        <v>256</v>
      </c>
      <c r="R1097" s="255" t="s">
        <v>225</v>
      </c>
      <c r="S1097" s="1" t="s">
        <v>1417</v>
      </c>
      <c r="T1097" t="s">
        <v>1111</v>
      </c>
      <c r="U1097" t="s">
        <v>1399</v>
      </c>
      <c r="V1097">
        <v>0</v>
      </c>
      <c r="W1097">
        <v>0</v>
      </c>
      <c r="X1097">
        <v>0</v>
      </c>
      <c r="Y1097">
        <v>0</v>
      </c>
      <c r="Z1097">
        <v>0</v>
      </c>
      <c r="AA1097">
        <v>0</v>
      </c>
      <c r="AB1097">
        <v>0</v>
      </c>
      <c r="AC1097">
        <v>0</v>
      </c>
      <c r="AD1097">
        <v>0</v>
      </c>
      <c r="AE1097">
        <v>0</v>
      </c>
      <c r="AF1097">
        <v>1</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s="141">
        <f>COUNTIF(V1097:AW1097,"&lt;&gt;0")</f>
        <v>1</v>
      </c>
      <c r="AY1097" s="141">
        <f>COUNTIF(V1097:AL1097,"&lt;&gt;0")</f>
        <v>1</v>
      </c>
      <c r="AZ1097">
        <f>COUNTIF(V1097:AC1097,"&lt;&gt;0")</f>
        <v>0</v>
      </c>
      <c r="BA1097">
        <f>COUNTIF(AD1097:AI1097,"&lt;&gt;0")</f>
        <v>1</v>
      </c>
      <c r="BB1097">
        <f>COUNTIF(AJ1097:AL1097,"&lt;&gt;0")</f>
        <v>0</v>
      </c>
      <c r="BC1097">
        <f>COUNTIF(AS1097:AW1097,"&lt;&gt;0")</f>
        <v>0</v>
      </c>
      <c r="BD1097">
        <f>COUNTIF(AM1097:AR1097,"&lt;&gt;0")</f>
        <v>0</v>
      </c>
      <c r="BE1097" t="str">
        <f t="array" ref="BE1097">IF(AY1097=1,INDEX($V$7:$AL$7,MATCH(TRUE,INDEX($V1097:$AW1097&lt;&gt;0,),0)),IF(AY1097=0,INDEX($AM$7:$AW$7,MATCH(1,$AM1097:$AW1097,0)),IF(BF1097="Multiple strategies","mixed drivers",IF(BF1097="Supply chain","multiple supply","multiple silviculture"))))</f>
        <v>supply chain organization</v>
      </c>
      <c r="BF1097" s="2" t="str" cm="1">
        <f t="array" ref="BF1097">IF(COUNTIF(AZ1097:BB1097,"&lt;&gt;0")=1,INDEX($V$4:$AW$4,MATCH(TRUE,INDEX($V1097:$AW1097&lt;&gt;0,),0)),IF(COUNTIF(AZ1097:BB1097,"&lt;&gt;0")=0,INDEX($AM$4:$AW$4,MATCH(1,$AM1097:$AW1097,0)),"Multiple strategies"))</f>
        <v>Supply chain</v>
      </c>
      <c r="BG1097" s="1" t="s">
        <v>321</v>
      </c>
      <c r="BH1097" t="s">
        <v>1410</v>
      </c>
      <c r="BI1097" s="260" t="s">
        <v>3318</v>
      </c>
      <c r="BJ1097" t="s">
        <v>1359</v>
      </c>
      <c r="BK1097" s="264">
        <v>14.61</v>
      </c>
      <c r="BL1097" s="264">
        <v>14.61</v>
      </c>
      <c r="BN1097" s="227">
        <f>BL1097-BK1097</f>
        <v>0</v>
      </c>
      <c r="BO1097">
        <f>BN1097*10^6*tC_to_m3</f>
        <v>0</v>
      </c>
      <c r="BP1097" t="s">
        <v>232</v>
      </c>
      <c r="BQ1097" s="260" t="s">
        <v>3321</v>
      </c>
      <c r="BR1097" t="s">
        <v>1300</v>
      </c>
      <c r="BS1097" s="152"/>
      <c r="BT1097" s="152"/>
      <c r="BU1097" s="144"/>
      <c r="BV1097" s="285">
        <v>0</v>
      </c>
      <c r="BX1097">
        <f>BV1097*10^6</f>
        <v>0</v>
      </c>
      <c r="BY1097" t="str">
        <f>IFERROR(BX1097/BO1097,"")</f>
        <v/>
      </c>
      <c r="BZ1097">
        <v>0</v>
      </c>
      <c r="CA1097">
        <v>0</v>
      </c>
      <c r="CB1097">
        <v>0</v>
      </c>
      <c r="CC1097">
        <v>0</v>
      </c>
      <c r="CD1097">
        <v>0</v>
      </c>
      <c r="CE1097">
        <v>0</v>
      </c>
      <c r="CF1097">
        <v>0</v>
      </c>
      <c r="CG1097">
        <v>0</v>
      </c>
      <c r="CH1097">
        <v>0</v>
      </c>
      <c r="CI1097">
        <v>0</v>
      </c>
      <c r="CJ1097">
        <v>0</v>
      </c>
      <c r="CK1097">
        <v>0</v>
      </c>
      <c r="CL1097">
        <v>0</v>
      </c>
      <c r="CM1097">
        <v>0</v>
      </c>
      <c r="CN1097" t="str">
        <f>IF(BL1097&lt;BK1097,"refNeedCorrection","refOK")</f>
        <v>refOK</v>
      </c>
      <c r="CO1097"/>
      <c r="CP1097"/>
      <c r="CQ1097">
        <f>IF($CN1097="refNeedCorrection",-BO1097,BO1097)</f>
        <v>0</v>
      </c>
      <c r="CR1097">
        <f>IF($CN1097="refOK",$BS1097,$BT1097)*IF($BP1097="Emissions positive",-1,1)</f>
        <v>0</v>
      </c>
      <c r="CS1097">
        <f>IF($CN1097="refOK",$BT1097,$BS1097)*IF($BP1097="Emissions positive",-1,1)</f>
        <v>0</v>
      </c>
      <c r="CT1097">
        <f>IF($CN1097="refNeedCorrection",-BX1097,BX1097)*IF($BP1097="Emissions positive",-1,1)</f>
        <v>0</v>
      </c>
      <c r="CU1097" t="str">
        <f>IFERROR(CT1097/CQ1097,"")</f>
        <v/>
      </c>
      <c r="CV1097" s="2" t="str">
        <f>IFERROR((CS1097-CR1097)/ABS(CR1097),"")</f>
        <v/>
      </c>
      <c r="CW1097" s="1" t="s">
        <v>1199</v>
      </c>
      <c r="CX1097" t="str">
        <f>IF(OR($CW1097="prd",$CW1097="std",$CW1097="cit"),"loc",IF(OR($CW1097="eur",$CW1097="reg",$CW1097="coy"),"reg",$CW1097))</f>
        <v>reg</v>
      </c>
      <c r="CY1097" t="s">
        <v>428</v>
      </c>
      <c r="CZ1097">
        <v>2020</v>
      </c>
      <c r="DA1097">
        <v>2050</v>
      </c>
      <c r="DB1097">
        <v>30</v>
      </c>
      <c r="DC1097" t="str">
        <f>IF(DB1097=0,"0",IF(AND(DB1097&gt;=1,DB1097&lt;=30),"1-30",IF(AND(DB1097&gt;30,DB1097&lt;=70),"31-70",IF(AND(DB1097&gt;70,DB1097&lt;=100),"71-100",IF(DB1097&gt;100,"+100")))))</f>
        <v>1-30</v>
      </c>
      <c r="DD1097">
        <v>0</v>
      </c>
      <c r="DE1097">
        <v>0</v>
      </c>
      <c r="DF1097">
        <v>1</v>
      </c>
      <c r="DG1097">
        <v>1</v>
      </c>
      <c r="DI1097">
        <f>SUM(DD1097:DG1097)</f>
        <v>2</v>
      </c>
      <c r="DJ1097" t="str">
        <f>IF(DI1097=1,INDEX($DD$7:$DG$7,MATCH(1,$DD1097:$DG1097,0)),"mixedProduct")</f>
        <v>mixedProduct</v>
      </c>
      <c r="DK1097">
        <f>IF(DD1097=1,DK$7,0)</f>
        <v>0</v>
      </c>
      <c r="DL1097">
        <f>IF(DE1097=1,DL$7,0)</f>
        <v>0</v>
      </c>
      <c r="DM1097" t="str">
        <f>IF(DF1097=1,DM$7,0)</f>
        <v>Pulp/Paper</v>
      </c>
      <c r="DN1097" t="str">
        <f>IF(DG1097=1,DN$7,0)</f>
        <v>Timber</v>
      </c>
      <c r="DO1097">
        <v>0</v>
      </c>
      <c r="DP1097">
        <v>1</v>
      </c>
      <c r="DQ1097" t="s">
        <v>1411</v>
      </c>
      <c r="DR1097" t="s">
        <v>1412</v>
      </c>
      <c r="DS1097">
        <v>0</v>
      </c>
      <c r="DT1097">
        <f>SUM(DO1097:DP1097)</f>
        <v>1</v>
      </c>
      <c r="DU1097" s="143" t="str">
        <f>IF(DO1097=1,"self-calculated DF",IF(DP1097=1,"external DF used","explicit C balance"))</f>
        <v>external DF used</v>
      </c>
      <c r="DV1097">
        <v>1</v>
      </c>
      <c r="DW1097">
        <v>1</v>
      </c>
      <c r="DX1097">
        <v>1</v>
      </c>
      <c r="DY1097">
        <v>0</v>
      </c>
      <c r="DZ1097">
        <v>0</v>
      </c>
      <c r="EA1097" s="143">
        <v>0</v>
      </c>
      <c r="EB1097">
        <v>0</v>
      </c>
      <c r="EC1097">
        <v>0</v>
      </c>
      <c r="ED1097">
        <v>0</v>
      </c>
      <c r="EE1097">
        <v>0</v>
      </c>
      <c r="EF1097">
        <v>1</v>
      </c>
      <c r="EG1097" s="143">
        <v>0</v>
      </c>
      <c r="EH1097" s="143">
        <v>0</v>
      </c>
      <c r="EI1097" s="2">
        <v>0</v>
      </c>
      <c r="EK1097" t="str">
        <f>IF(AND(AND(AND(OR($DX1097=1,$DW1097=1),OR($EC1097=1,$EA1097=1)),SUM($DV1097:$DZ1097,$EF1097)&gt;=4),SUM($EA1097:$EE1097)&gt;=2),"Whole sector","")</f>
        <v/>
      </c>
      <c r="EL1097" t="str">
        <f>IF(AND(AND(OR($DX1097=1,$DW1097=1),AND($EC1097=0,$EA1097=0)),SUM($DV1097:$DZ1097,$EF1097)&gt;=4),"Ecosystem approach","")</f>
        <v>Ecosystem approach</v>
      </c>
      <c r="EM1097" s="2" t="str">
        <f>IF(AND(AND(AND($DX1097=0,$DW1097=0),OR($EC1097=1,$EA1097=1)),SUM($EB1097:$EE1097)&gt;=2),"Technology approach","")</f>
        <v/>
      </c>
      <c r="EP1097" t="b">
        <f>IF(ISNUMBER(BU1097),IF(ABS(BU1097-[4]QC_indicators!$B$2)&gt;3*[4]QC_indicators!$C$2,"C ratio",IF(ISNUMBER(BY1097),IF(ABS(BY1097-[4]QC_indicators!$B$1)&gt;3*[4]QC_indicators!$C$1,"DF","no"))),IF(ISNUMBER(BY1097),IF(ABS(BY1097-[4]QC_indicators!$B$1)&gt;3*[4]QC_indicators!$C$1,"DF","no")))</f>
        <v>0</v>
      </c>
      <c r="EQ1097" t="s">
        <v>286</v>
      </c>
      <c r="ER1097" s="149" t="s">
        <v>349</v>
      </c>
      <c r="ET1097" s="264" t="s">
        <v>3273</v>
      </c>
    </row>
    <row r="1098" spans="1:150" ht="187">
      <c r="A1098" s="1" t="s">
        <v>1400</v>
      </c>
      <c r="B1098" t="s">
        <v>1401</v>
      </c>
      <c r="C1098" t="s">
        <v>1402</v>
      </c>
      <c r="D1098" t="s">
        <v>1403</v>
      </c>
      <c r="E1098" t="s">
        <v>1404</v>
      </c>
      <c r="F1098" t="s">
        <v>1405</v>
      </c>
      <c r="G1098" t="s">
        <v>1406</v>
      </c>
      <c r="H1098" t="s">
        <v>254</v>
      </c>
      <c r="I1098">
        <v>2021</v>
      </c>
      <c r="J1098">
        <v>0</v>
      </c>
      <c r="K1098" t="s">
        <v>1407</v>
      </c>
      <c r="M1098" t="str">
        <f>LEFT($D1098,FIND(",",$D1098)-1)&amp;"_"&amp;I1098&amp;L1098</f>
        <v>Dugan_2021</v>
      </c>
      <c r="N1098" t="s">
        <v>222</v>
      </c>
      <c r="O1098" s="145" t="s">
        <v>274</v>
      </c>
      <c r="Q1098" t="s">
        <v>256</v>
      </c>
      <c r="R1098" s="255" t="s">
        <v>225</v>
      </c>
      <c r="S1098" s="1" t="s">
        <v>1417</v>
      </c>
      <c r="T1098" t="s">
        <v>1111</v>
      </c>
      <c r="U1098" t="s">
        <v>1399</v>
      </c>
      <c r="V1098">
        <v>0</v>
      </c>
      <c r="W1098">
        <v>0</v>
      </c>
      <c r="X1098">
        <v>0</v>
      </c>
      <c r="Y1098">
        <v>0</v>
      </c>
      <c r="Z1098">
        <v>0</v>
      </c>
      <c r="AA1098">
        <v>0</v>
      </c>
      <c r="AB1098">
        <v>0</v>
      </c>
      <c r="AC1098">
        <v>0</v>
      </c>
      <c r="AD1098">
        <v>0</v>
      </c>
      <c r="AE1098">
        <v>0</v>
      </c>
      <c r="AF1098">
        <v>1</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s="141">
        <f>COUNTIF(V1098:AW1098,"&lt;&gt;0")</f>
        <v>1</v>
      </c>
      <c r="AY1098" s="141">
        <f>COUNTIF(V1098:AL1098,"&lt;&gt;0")</f>
        <v>1</v>
      </c>
      <c r="AZ1098">
        <f>COUNTIF(V1098:AC1098,"&lt;&gt;0")</f>
        <v>0</v>
      </c>
      <c r="BA1098">
        <f>COUNTIF(AD1098:AI1098,"&lt;&gt;0")</f>
        <v>1</v>
      </c>
      <c r="BB1098">
        <f>COUNTIF(AJ1098:AL1098,"&lt;&gt;0")</f>
        <v>0</v>
      </c>
      <c r="BC1098">
        <f>COUNTIF(AS1098:AW1098,"&lt;&gt;0")</f>
        <v>0</v>
      </c>
      <c r="BD1098">
        <f>COUNTIF(AM1098:AR1098,"&lt;&gt;0")</f>
        <v>0</v>
      </c>
      <c r="BE1098" t="str">
        <f t="array" ref="BE1098">IF(AY1098=1,INDEX($V$7:$AL$7,MATCH(TRUE,INDEX($V1098:$AW1098&lt;&gt;0,),0)),IF(AY1098=0,INDEX($AM$7:$AW$7,MATCH(1,$AM1098:$AW1098,0)),IF(BF1098="Multiple strategies","mixed drivers",IF(BF1098="Supply chain","multiple supply","multiple silviculture"))))</f>
        <v>supply chain organization</v>
      </c>
      <c r="BF1098" s="2" t="str" cm="1">
        <f t="array" ref="BF1098">IF(COUNTIF(AZ1098:BB1098,"&lt;&gt;0")=1,INDEX($V$4:$AW$4,MATCH(TRUE,INDEX($V1098:$AW1098&lt;&gt;0,),0)),IF(COUNTIF(AZ1098:BB1098,"&lt;&gt;0")=0,INDEX($AM$4:$AW$4,MATCH(1,$AM1098:$AW1098,0)),"Multiple strategies"))</f>
        <v>Supply chain</v>
      </c>
      <c r="BG1098" s="1" t="s">
        <v>321</v>
      </c>
      <c r="BH1098" t="s">
        <v>1410</v>
      </c>
      <c r="BI1098" s="260" t="s">
        <v>3318</v>
      </c>
      <c r="BJ1098" t="s">
        <v>1359</v>
      </c>
      <c r="BK1098" s="264">
        <v>14.61</v>
      </c>
      <c r="BL1098" s="264">
        <v>14.61</v>
      </c>
      <c r="BN1098" s="227">
        <f>BL1098-BK1098</f>
        <v>0</v>
      </c>
      <c r="BO1098">
        <f>BN1098*10^6*tC_to_m3</f>
        <v>0</v>
      </c>
      <c r="BP1098" t="s">
        <v>232</v>
      </c>
      <c r="BQ1098" s="260" t="s">
        <v>3319</v>
      </c>
      <c r="BR1098" t="s">
        <v>1300</v>
      </c>
      <c r="BS1098" s="152"/>
      <c r="BT1098" s="152"/>
      <c r="BU1098" s="144"/>
      <c r="BV1098" s="284">
        <v>4.3247863247863201</v>
      </c>
      <c r="BX1098">
        <f>BV1098*10^6</f>
        <v>4324786.3247863203</v>
      </c>
      <c r="BY1098" t="str">
        <f>IFERROR(BX1098/BO1098,"")</f>
        <v/>
      </c>
      <c r="BZ1098">
        <v>0</v>
      </c>
      <c r="CA1098">
        <v>0</v>
      </c>
      <c r="CB1098">
        <v>0</v>
      </c>
      <c r="CC1098">
        <v>0</v>
      </c>
      <c r="CD1098">
        <v>0</v>
      </c>
      <c r="CE1098">
        <v>0</v>
      </c>
      <c r="CF1098">
        <v>0</v>
      </c>
      <c r="CG1098">
        <v>0</v>
      </c>
      <c r="CH1098">
        <v>0</v>
      </c>
      <c r="CI1098">
        <v>0</v>
      </c>
      <c r="CJ1098">
        <v>0</v>
      </c>
      <c r="CK1098">
        <v>0</v>
      </c>
      <c r="CL1098">
        <v>0</v>
      </c>
      <c r="CM1098">
        <v>0</v>
      </c>
      <c r="CN1098" t="str">
        <f>IF(BL1098&lt;BK1098,"refNeedCorrection","refOK")</f>
        <v>refOK</v>
      </c>
      <c r="CO1098"/>
      <c r="CP1098"/>
      <c r="CQ1098">
        <f>IF($CN1098="refNeedCorrection",-BO1098,BO1098)</f>
        <v>0</v>
      </c>
      <c r="CR1098">
        <f>IF($CN1098="refOK",$BS1098,$BT1098)*IF($BP1098="Emissions positive",-1,1)</f>
        <v>0</v>
      </c>
      <c r="CS1098">
        <f>IF($CN1098="refOK",$BT1098,$BS1098)*IF($BP1098="Emissions positive",-1,1)</f>
        <v>0</v>
      </c>
      <c r="CT1098">
        <f>IF($CN1098="refNeedCorrection",-BX1098,BX1098)*IF($BP1098="Emissions positive",-1,1)</f>
        <v>4324786.3247863203</v>
      </c>
      <c r="CU1098" t="str">
        <f>IFERROR(CT1098/CQ1098,"")</f>
        <v/>
      </c>
      <c r="CV1098" s="2" t="str">
        <f>IFERROR((CS1098-CR1098)/ABS(CR1098),"")</f>
        <v/>
      </c>
      <c r="CW1098" s="1" t="s">
        <v>1199</v>
      </c>
      <c r="CX1098" t="str">
        <f>IF(OR($CW1098="prd",$CW1098="std",$CW1098="cit"),"loc",IF(OR($CW1098="eur",$CW1098="reg",$CW1098="coy"),"reg",$CW1098))</f>
        <v>reg</v>
      </c>
      <c r="CY1098" t="s">
        <v>428</v>
      </c>
      <c r="CZ1098">
        <v>2020</v>
      </c>
      <c r="DA1098">
        <v>2050</v>
      </c>
      <c r="DB1098">
        <v>30</v>
      </c>
      <c r="DC1098" t="str">
        <f>IF(DB1098=0,"0",IF(AND(DB1098&gt;=1,DB1098&lt;=30),"1-30",IF(AND(DB1098&gt;30,DB1098&lt;=70),"31-70",IF(AND(DB1098&gt;70,DB1098&lt;=100),"71-100",IF(DB1098&gt;100,"+100")))))</f>
        <v>1-30</v>
      </c>
      <c r="DD1098">
        <v>0</v>
      </c>
      <c r="DE1098">
        <v>0</v>
      </c>
      <c r="DF1098">
        <v>1</v>
      </c>
      <c r="DG1098">
        <v>1</v>
      </c>
      <c r="DI1098">
        <f>SUM(DD1098:DG1098)</f>
        <v>2</v>
      </c>
      <c r="DJ1098" t="str">
        <f>IF(DI1098=1,INDEX($DD$7:$DG$7,MATCH(1,$DD1098:$DG1098,0)),"mixedProduct")</f>
        <v>mixedProduct</v>
      </c>
      <c r="DK1098">
        <f>IF(DD1098=1,DK$7,0)</f>
        <v>0</v>
      </c>
      <c r="DL1098">
        <f>IF(DE1098=1,DL$7,0)</f>
        <v>0</v>
      </c>
      <c r="DM1098" t="str">
        <f>IF(DF1098=1,DM$7,0)</f>
        <v>Pulp/Paper</v>
      </c>
      <c r="DN1098" t="str">
        <f>IF(DG1098=1,DN$7,0)</f>
        <v>Timber</v>
      </c>
      <c r="DO1098">
        <v>0</v>
      </c>
      <c r="DP1098">
        <v>1</v>
      </c>
      <c r="DQ1098" t="s">
        <v>1411</v>
      </c>
      <c r="DR1098" t="s">
        <v>1412</v>
      </c>
      <c r="DS1098">
        <v>0</v>
      </c>
      <c r="DT1098">
        <f>SUM(DO1098:DP1098)</f>
        <v>1</v>
      </c>
      <c r="DU1098" s="143" t="str">
        <f>IF(DO1098=1,"self-calculated DF",IF(DP1098=1,"external DF used","explicit C balance"))</f>
        <v>external DF used</v>
      </c>
      <c r="DV1098">
        <v>1</v>
      </c>
      <c r="DW1098">
        <v>1</v>
      </c>
      <c r="DX1098">
        <v>1</v>
      </c>
      <c r="DY1098">
        <v>1</v>
      </c>
      <c r="DZ1098">
        <v>0</v>
      </c>
      <c r="EA1098" s="143">
        <v>0</v>
      </c>
      <c r="EB1098">
        <v>0</v>
      </c>
      <c r="EC1098">
        <v>0</v>
      </c>
      <c r="ED1098">
        <v>0</v>
      </c>
      <c r="EE1098">
        <v>0</v>
      </c>
      <c r="EF1098">
        <v>1</v>
      </c>
      <c r="EG1098" s="143">
        <v>0</v>
      </c>
      <c r="EH1098" s="143">
        <v>0</v>
      </c>
      <c r="EI1098" s="2">
        <v>0</v>
      </c>
      <c r="EK1098" t="str">
        <f>IF(AND(AND(AND(OR($DX1098=1,$DW1098=1),OR($EC1098=1,$EA1098=1)),SUM($DV1098:$DZ1098,$EF1098)&gt;=4),SUM($EA1098:$EE1098)&gt;=2),"Whole sector","")</f>
        <v/>
      </c>
      <c r="EL1098" t="str">
        <f>IF(AND(AND(OR($DX1098=1,$DW1098=1),AND($EC1098=0,$EA1098=0)),SUM($DV1098:$DZ1098,$EF1098)&gt;=4),"Ecosystem approach","")</f>
        <v>Ecosystem approach</v>
      </c>
      <c r="EM1098" s="2" t="str">
        <f>IF(AND(AND(AND($DX1098=0,$DW1098=0),OR($EC1098=1,$EA1098=1)),SUM($EB1098:$EE1098)&gt;=2),"Technology approach","")</f>
        <v/>
      </c>
      <c r="EP1098" t="b">
        <f>IF(ISNUMBER(BU1098),IF(ABS(BU1098-[4]QC_indicators!$B$2)&gt;3*[4]QC_indicators!$C$2,"C ratio",IF(ISNUMBER(BY1098),IF(ABS(BY1098-[4]QC_indicators!$B$1)&gt;3*[4]QC_indicators!$C$1,"DF","no"))),IF(ISNUMBER(BY1098),IF(ABS(BY1098-[4]QC_indicators!$B$1)&gt;3*[4]QC_indicators!$C$1,"DF","no")))</f>
        <v>0</v>
      </c>
      <c r="EQ1098" t="s">
        <v>286</v>
      </c>
      <c r="ER1098" s="149" t="s">
        <v>349</v>
      </c>
      <c r="ET1098" s="264" t="s">
        <v>3273</v>
      </c>
    </row>
    <row r="1099" spans="1:150" ht="187">
      <c r="A1099" s="1" t="s">
        <v>1400</v>
      </c>
      <c r="B1099" t="s">
        <v>1401</v>
      </c>
      <c r="C1099" t="s">
        <v>1402</v>
      </c>
      <c r="D1099" t="s">
        <v>1403</v>
      </c>
      <c r="E1099" t="s">
        <v>1404</v>
      </c>
      <c r="F1099" t="s">
        <v>1405</v>
      </c>
      <c r="G1099" t="s">
        <v>1406</v>
      </c>
      <c r="H1099" t="s">
        <v>254</v>
      </c>
      <c r="I1099">
        <v>2021</v>
      </c>
      <c r="J1099">
        <v>0</v>
      </c>
      <c r="K1099" t="s">
        <v>1407</v>
      </c>
      <c r="M1099" t="str">
        <f>LEFT($D1099,FIND(",",$D1099)-1)&amp;"_"&amp;I1099&amp;L1099</f>
        <v>Dugan_2021</v>
      </c>
      <c r="N1099" t="s">
        <v>222</v>
      </c>
      <c r="O1099" s="145" t="s">
        <v>274</v>
      </c>
      <c r="Q1099" t="s">
        <v>256</v>
      </c>
      <c r="R1099" s="255" t="s">
        <v>225</v>
      </c>
      <c r="S1099" s="1" t="s">
        <v>1421</v>
      </c>
      <c r="T1099" t="s">
        <v>1422</v>
      </c>
      <c r="U1099" t="s">
        <v>1414</v>
      </c>
      <c r="V1099">
        <v>0</v>
      </c>
      <c r="W1099">
        <v>0</v>
      </c>
      <c r="X1099">
        <v>0</v>
      </c>
      <c r="Y1099">
        <v>0</v>
      </c>
      <c r="Z1099">
        <v>0</v>
      </c>
      <c r="AA1099">
        <v>0</v>
      </c>
      <c r="AB1099">
        <v>0</v>
      </c>
      <c r="AC1099">
        <v>0</v>
      </c>
      <c r="AD1099">
        <v>0</v>
      </c>
      <c r="AE1099">
        <v>0</v>
      </c>
      <c r="AF1099">
        <v>1</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s="141">
        <f>COUNTIF(V1099:AW1099,"&lt;&gt;0")</f>
        <v>1</v>
      </c>
      <c r="AY1099" s="141">
        <f>COUNTIF(V1099:AL1099,"&lt;&gt;0")</f>
        <v>1</v>
      </c>
      <c r="AZ1099">
        <f>COUNTIF(V1099:AC1099,"&lt;&gt;0")</f>
        <v>0</v>
      </c>
      <c r="BA1099">
        <f>COUNTIF(AD1099:AI1099,"&lt;&gt;0")</f>
        <v>1</v>
      </c>
      <c r="BB1099">
        <f>COUNTIF(AJ1099:AL1099,"&lt;&gt;0")</f>
        <v>0</v>
      </c>
      <c r="BC1099">
        <f>COUNTIF(AS1099:AW1099,"&lt;&gt;0")</f>
        <v>0</v>
      </c>
      <c r="BD1099">
        <f>COUNTIF(AM1099:AR1099,"&lt;&gt;0")</f>
        <v>0</v>
      </c>
      <c r="BE1099" t="str">
        <f t="array" ref="BE1099">IF(AY1099=1,INDEX($V$7:$AL$7,MATCH(TRUE,INDEX($V1099:$AW1099&lt;&gt;0,),0)),IF(AY1099=0,INDEX($AM$7:$AW$7,MATCH(1,$AM1099:$AW1099,0)),IF(BF1099="Multiple strategies","mixed drivers",IF(BF1099="Supply chain","multiple supply","multiple silviculture"))))</f>
        <v>supply chain organization</v>
      </c>
      <c r="BF1099" s="2" t="str" cm="1">
        <f t="array" ref="BF1099">IF(COUNTIF(AZ1099:BB1099,"&lt;&gt;0")=1,INDEX($V$4:$AW$4,MATCH(TRUE,INDEX($V1099:$AW1099&lt;&gt;0,),0)),IF(COUNTIF(AZ1099:BB1099,"&lt;&gt;0")=0,INDEX($AM$4:$AW$4,MATCH(1,$AM1099:$AW1099,0)),"Multiple strategies"))</f>
        <v>Supply chain</v>
      </c>
      <c r="BG1099" s="1" t="s">
        <v>321</v>
      </c>
      <c r="BH1099" t="s">
        <v>1410</v>
      </c>
      <c r="BI1099" s="260" t="s">
        <v>3318</v>
      </c>
      <c r="BJ1099" t="s">
        <v>1359</v>
      </c>
      <c r="BK1099" s="264">
        <f>14.61*1.1</f>
        <v>16.071000000000002</v>
      </c>
      <c r="BL1099" s="264">
        <f>14.61*1.1</f>
        <v>16.071000000000002</v>
      </c>
      <c r="BN1099" s="227">
        <f>BL1099-BK1099</f>
        <v>0</v>
      </c>
      <c r="BO1099">
        <f>BN1099*10^6*tC_to_m3</f>
        <v>0</v>
      </c>
      <c r="BP1099" t="s">
        <v>232</v>
      </c>
      <c r="BQ1099" s="260" t="s">
        <v>3319</v>
      </c>
      <c r="BR1099" t="s">
        <v>1300</v>
      </c>
      <c r="BS1099" s="152"/>
      <c r="BT1099" s="152"/>
      <c r="BU1099" s="144"/>
      <c r="BV1099" s="284">
        <v>3.54188034188034</v>
      </c>
      <c r="BX1099">
        <f>BV1099*10^6</f>
        <v>3541880.3418803401</v>
      </c>
      <c r="BY1099" t="str">
        <f>IFERROR(BX1099/BO1099,"")</f>
        <v/>
      </c>
      <c r="BZ1099">
        <v>0</v>
      </c>
      <c r="CA1099">
        <v>0</v>
      </c>
      <c r="CB1099">
        <v>0</v>
      </c>
      <c r="CC1099">
        <v>0</v>
      </c>
      <c r="CD1099">
        <v>0</v>
      </c>
      <c r="CE1099">
        <v>0</v>
      </c>
      <c r="CF1099">
        <v>0</v>
      </c>
      <c r="CG1099">
        <v>0</v>
      </c>
      <c r="CH1099">
        <v>0</v>
      </c>
      <c r="CI1099">
        <v>0</v>
      </c>
      <c r="CJ1099">
        <v>0</v>
      </c>
      <c r="CK1099">
        <v>0</v>
      </c>
      <c r="CL1099">
        <v>0</v>
      </c>
      <c r="CM1099">
        <v>0</v>
      </c>
      <c r="CN1099" t="str">
        <f>IF(BL1099&lt;BK1099,"refNeedCorrection","refOK")</f>
        <v>refOK</v>
      </c>
      <c r="CO1099"/>
      <c r="CP1099"/>
      <c r="CQ1099">
        <f>IF($CN1099="refNeedCorrection",-BO1099,BO1099)</f>
        <v>0</v>
      </c>
      <c r="CR1099">
        <f>IF($CN1099="refOK",$BS1099,$BT1099)*IF($BP1099="Emissions positive",-1,1)</f>
        <v>0</v>
      </c>
      <c r="CS1099">
        <f>IF($CN1099="refOK",$BT1099,$BS1099)*IF($BP1099="Emissions positive",-1,1)</f>
        <v>0</v>
      </c>
      <c r="CT1099">
        <f>IF($CN1099="refNeedCorrection",-BX1099,BX1099)*IF($BP1099="Emissions positive",-1,1)</f>
        <v>3541880.3418803401</v>
      </c>
      <c r="CU1099" t="str">
        <f>IFERROR(CT1099/CQ1099,"")</f>
        <v/>
      </c>
      <c r="CV1099" s="2" t="str">
        <f>IFERROR((CS1099-CR1099)/ABS(CR1099),"")</f>
        <v/>
      </c>
      <c r="CW1099" s="1" t="s">
        <v>1199</v>
      </c>
      <c r="CX1099" t="str">
        <f>IF(OR($CW1099="prd",$CW1099="std",$CW1099="cit"),"loc",IF(OR($CW1099="eur",$CW1099="reg",$CW1099="coy"),"reg",$CW1099))</f>
        <v>reg</v>
      </c>
      <c r="CY1099" t="s">
        <v>428</v>
      </c>
      <c r="CZ1099">
        <v>2020</v>
      </c>
      <c r="DA1099">
        <v>2050</v>
      </c>
      <c r="DB1099">
        <v>30</v>
      </c>
      <c r="DC1099" t="str">
        <f>IF(DB1099=0,"0",IF(AND(DB1099&gt;=1,DB1099&lt;=30),"1-30",IF(AND(DB1099&gt;30,DB1099&lt;=70),"31-70",IF(AND(DB1099&gt;70,DB1099&lt;=100),"71-100",IF(DB1099&gt;100,"+100")))))</f>
        <v>1-30</v>
      </c>
      <c r="DD1099">
        <v>0</v>
      </c>
      <c r="DE1099">
        <v>1</v>
      </c>
      <c r="DF1099">
        <v>0</v>
      </c>
      <c r="DG1099">
        <v>0</v>
      </c>
      <c r="DI1099">
        <f>SUM(DD1099:DG1099)</f>
        <v>1</v>
      </c>
      <c r="DJ1099" t="str">
        <f>IF(DI1099=1,INDEX($DD$7:$DG$7,MATCH(1,$DD1099:$DG1099,0)),"mixedProduct")</f>
        <v>EnergyInput</v>
      </c>
      <c r="DK1099">
        <f>IF(DD1099=1,DK$7,0)</f>
        <v>0</v>
      </c>
      <c r="DL1099" t="str">
        <f>IF(DE1099=1,DL$7,0)</f>
        <v>Energy</v>
      </c>
      <c r="DM1099">
        <f>IF(DF1099=1,DM$7,0)</f>
        <v>0</v>
      </c>
      <c r="DN1099">
        <f>IF(DG1099=1,DN$7,0)</f>
        <v>0</v>
      </c>
      <c r="DO1099">
        <v>0</v>
      </c>
      <c r="DP1099">
        <v>1</v>
      </c>
      <c r="DQ1099" t="s">
        <v>1411</v>
      </c>
      <c r="DR1099" t="s">
        <v>1412</v>
      </c>
      <c r="DS1099">
        <v>0</v>
      </c>
      <c r="DT1099">
        <f>SUM(DO1099:DP1099)</f>
        <v>1</v>
      </c>
      <c r="DU1099" s="143" t="str">
        <f>IF(DO1099=1,"self-calculated DF",IF(DP1099=1,"external DF used","explicit C balance"))</f>
        <v>external DF used</v>
      </c>
      <c r="DV1099">
        <v>1</v>
      </c>
      <c r="DW1099">
        <v>1</v>
      </c>
      <c r="DX1099">
        <v>1</v>
      </c>
      <c r="DY1099">
        <v>1</v>
      </c>
      <c r="DZ1099">
        <v>0</v>
      </c>
      <c r="EA1099" s="143">
        <v>0</v>
      </c>
      <c r="EB1099">
        <v>0</v>
      </c>
      <c r="EC1099">
        <v>0</v>
      </c>
      <c r="ED1099">
        <v>0</v>
      </c>
      <c r="EE1099">
        <v>0</v>
      </c>
      <c r="EF1099">
        <v>1</v>
      </c>
      <c r="EG1099" s="143">
        <v>0</v>
      </c>
      <c r="EH1099" s="143">
        <v>0</v>
      </c>
      <c r="EI1099" s="2">
        <v>0</v>
      </c>
      <c r="EK1099" t="str">
        <f>IF(AND(AND(AND(OR($DX1099=1,$DW1099=1),OR($EC1099=1,$EA1099=1)),SUM($DV1099:$DZ1099,$EF1099)&gt;=4),SUM($EA1099:$EE1099)&gt;=2),"Whole sector","")</f>
        <v/>
      </c>
      <c r="EL1099" t="str">
        <f>IF(AND(AND(OR($DX1099=1,$DW1099=1),AND($EC1099=0,$EA1099=0)),SUM($DV1099:$DZ1099,$EF1099)&gt;=4),"Ecosystem approach","")</f>
        <v>Ecosystem approach</v>
      </c>
      <c r="EM1099" s="2" t="str">
        <f>IF(AND(AND(AND($DX1099=0,$DW1099=0),OR($EC1099=1,$EA1099=1)),SUM($EB1099:$EE1099)&gt;=2),"Technology approach","")</f>
        <v/>
      </c>
      <c r="EP1099" t="b">
        <f>IF(ISNUMBER(BU1099),IF(ABS(BU1099-[4]QC_indicators!$B$2)&gt;3*[4]QC_indicators!$C$2,"C ratio",IF(ISNUMBER(BY1099),IF(ABS(BY1099-[4]QC_indicators!$B$1)&gt;3*[4]QC_indicators!$C$1,"DF","no"))),IF(ISNUMBER(BY1099),IF(ABS(BY1099-[4]QC_indicators!$B$1)&gt;3*[4]QC_indicators!$C$1,"DF","no")))</f>
        <v>0</v>
      </c>
      <c r="EQ1099" t="s">
        <v>286</v>
      </c>
      <c r="ER1099" s="149" t="s">
        <v>349</v>
      </c>
      <c r="ET1099" s="264" t="s">
        <v>3273</v>
      </c>
    </row>
    <row r="1100" spans="1:150" ht="187">
      <c r="A1100" s="1" t="s">
        <v>1400</v>
      </c>
      <c r="B1100" t="s">
        <v>1401</v>
      </c>
      <c r="C1100" t="s">
        <v>1402</v>
      </c>
      <c r="D1100" t="s">
        <v>1403</v>
      </c>
      <c r="E1100" t="s">
        <v>1404</v>
      </c>
      <c r="F1100" t="s">
        <v>1405</v>
      </c>
      <c r="G1100" t="s">
        <v>1406</v>
      </c>
      <c r="H1100" t="s">
        <v>254</v>
      </c>
      <c r="I1100">
        <v>2021</v>
      </c>
      <c r="J1100">
        <v>0</v>
      </c>
      <c r="K1100" t="s">
        <v>1407</v>
      </c>
      <c r="M1100" t="str">
        <f>LEFT($D1100,FIND(",",$D1100)-1)&amp;"_"&amp;I1100&amp;L1100</f>
        <v>Dugan_2021</v>
      </c>
      <c r="N1100" t="s">
        <v>222</v>
      </c>
      <c r="O1100" s="145" t="s">
        <v>274</v>
      </c>
      <c r="Q1100" t="s">
        <v>256</v>
      </c>
      <c r="R1100" s="255" t="s">
        <v>225</v>
      </c>
      <c r="S1100" s="1" t="s">
        <v>1417</v>
      </c>
      <c r="T1100" t="s">
        <v>1418</v>
      </c>
      <c r="U1100" t="s">
        <v>1111</v>
      </c>
      <c r="V1100">
        <v>0</v>
      </c>
      <c r="W1100">
        <v>0</v>
      </c>
      <c r="X1100">
        <v>0</v>
      </c>
      <c r="Y1100">
        <v>0</v>
      </c>
      <c r="Z1100">
        <v>0</v>
      </c>
      <c r="AA1100">
        <v>0</v>
      </c>
      <c r="AB1100">
        <v>0</v>
      </c>
      <c r="AC1100">
        <v>0</v>
      </c>
      <c r="AD1100">
        <v>0</v>
      </c>
      <c r="AE1100">
        <v>0</v>
      </c>
      <c r="AF1100">
        <v>1</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s="141">
        <f>COUNTIF(V1100:AW1100,"&lt;&gt;0")</f>
        <v>1</v>
      </c>
      <c r="AY1100" s="141">
        <f>COUNTIF(V1100:AL1100,"&lt;&gt;0")</f>
        <v>1</v>
      </c>
      <c r="AZ1100">
        <f>COUNTIF(V1100:AC1100,"&lt;&gt;0")</f>
        <v>0</v>
      </c>
      <c r="BA1100">
        <f>COUNTIF(AD1100:AI1100,"&lt;&gt;0")</f>
        <v>1</v>
      </c>
      <c r="BB1100">
        <f>COUNTIF(AJ1100:AL1100,"&lt;&gt;0")</f>
        <v>0</v>
      </c>
      <c r="BC1100">
        <f>COUNTIF(AS1100:AW1100,"&lt;&gt;0")</f>
        <v>0</v>
      </c>
      <c r="BD1100">
        <f>COUNTIF(AM1100:AR1100,"&lt;&gt;0")</f>
        <v>0</v>
      </c>
      <c r="BE1100" t="str">
        <f t="array" ref="BE1100">IF(AY1100=1,INDEX($V$7:$AL$7,MATCH(TRUE,INDEX($V1100:$AW1100&lt;&gt;0,),0)),IF(AY1100=0,INDEX($AM$7:$AW$7,MATCH(1,$AM1100:$AW1100,0)),IF(BF1100="Multiple strategies","mixed drivers",IF(BF1100="Supply chain","multiple supply","multiple silviculture"))))</f>
        <v>supply chain organization</v>
      </c>
      <c r="BF1100" s="2" t="str" cm="1">
        <f t="array" ref="BF1100">IF(COUNTIF(AZ1100:BB1100,"&lt;&gt;0")=1,INDEX($V$4:$AW$4,MATCH(TRUE,INDEX($V1100:$AW1100&lt;&gt;0,),0)),IF(COUNTIF(AZ1100:BB1100,"&lt;&gt;0")=0,INDEX($AM$4:$AW$4,MATCH(1,$AM1100:$AW1100,0)),"Multiple strategies"))</f>
        <v>Supply chain</v>
      </c>
      <c r="BG1100" s="1" t="s">
        <v>321</v>
      </c>
      <c r="BH1100" t="s">
        <v>1410</v>
      </c>
      <c r="BI1100" s="260" t="s">
        <v>3318</v>
      </c>
      <c r="BJ1100" t="s">
        <v>1359</v>
      </c>
      <c r="BK1100" s="264">
        <v>14.61</v>
      </c>
      <c r="BL1100" s="264">
        <v>14.61</v>
      </c>
      <c r="BN1100" s="227">
        <f>BL1100-BK1100</f>
        <v>0</v>
      </c>
      <c r="BO1100">
        <f>BN1100*10^6*tC_to_m3</f>
        <v>0</v>
      </c>
      <c r="BP1100" t="s">
        <v>232</v>
      </c>
      <c r="BQ1100" s="260" t="s">
        <v>3320</v>
      </c>
      <c r="BR1100" t="s">
        <v>1300</v>
      </c>
      <c r="BS1100" s="152"/>
      <c r="BT1100" s="152"/>
      <c r="BU1100" s="144"/>
      <c r="BV1100" s="284">
        <v>4.8799013128910005</v>
      </c>
      <c r="BX1100">
        <f>BV1100*10^6</f>
        <v>4879901.3128910009</v>
      </c>
      <c r="BY1100" t="str">
        <f>IFERROR(BX1100/BO1100,"")</f>
        <v/>
      </c>
      <c r="BZ1100">
        <v>0</v>
      </c>
      <c r="CA1100">
        <v>0</v>
      </c>
      <c r="CB1100">
        <v>0</v>
      </c>
      <c r="CC1100">
        <v>0</v>
      </c>
      <c r="CD1100">
        <v>0</v>
      </c>
      <c r="CE1100">
        <v>0</v>
      </c>
      <c r="CF1100">
        <v>0</v>
      </c>
      <c r="CG1100">
        <v>0</v>
      </c>
      <c r="CH1100">
        <v>0</v>
      </c>
      <c r="CI1100">
        <v>0</v>
      </c>
      <c r="CJ1100">
        <v>0</v>
      </c>
      <c r="CK1100">
        <v>0</v>
      </c>
      <c r="CL1100">
        <v>0</v>
      </c>
      <c r="CM1100">
        <v>0</v>
      </c>
      <c r="CN1100" t="str">
        <f>IF($BL1100&lt;$BK1100,"refNeedCorrection","refOK")</f>
        <v>refOK</v>
      </c>
      <c r="CO1100"/>
      <c r="CP1100"/>
      <c r="CQ1100">
        <f>IF($CN1100="refNeedCorrection",-BO1100,BO1100)</f>
        <v>0</v>
      </c>
      <c r="CR1100">
        <f>IF($CN1100="refOK",$BS1100,$BT1100)*IF($BP1100="Emissions positive",-1,1)</f>
        <v>0</v>
      </c>
      <c r="CS1100">
        <f>IF($CN1100="refOK",$BT1100,$BS1100)*IF($BP1100="Emissions positive",-1,1)</f>
        <v>0</v>
      </c>
      <c r="CT1100">
        <f>IF($CN1100="refNeedCorrection",-BX1100,BX1100)*IF($BP1100="Emissions positive",-1,1)</f>
        <v>4879901.3128910009</v>
      </c>
      <c r="CU1100" t="str">
        <f>IFERROR(CT1100/CQ1100,"")</f>
        <v/>
      </c>
      <c r="CV1100" s="2" t="str">
        <f>IFERROR((CS1100-CR1100)/ABS(CR1100),"")</f>
        <v/>
      </c>
      <c r="CW1100" s="1" t="s">
        <v>1199</v>
      </c>
      <c r="CX1100" t="str">
        <f>IF(OR($CW1100="prd",$CW1100="std",$CW1100="cit"),"loc",IF(OR($CW1100="eur",$CW1100="reg",$CW1100="coy"),"reg",$CW1100))</f>
        <v>reg</v>
      </c>
      <c r="CY1100" t="s">
        <v>428</v>
      </c>
      <c r="CZ1100">
        <v>2020</v>
      </c>
      <c r="DA1100">
        <v>2050</v>
      </c>
      <c r="DB1100">
        <v>30</v>
      </c>
      <c r="DC1100" t="str">
        <f>IF(DB1100=0,"0",IF(AND(DB1100&gt;=1,DB1100&lt;=30),"1-30",IF(AND(DB1100&gt;30,DB1100&lt;=70),"31-70",IF(AND(DB1100&gt;70,DB1100&lt;=100),"71-100",IF(DB1100&gt;100,"+100")))))</f>
        <v>1-30</v>
      </c>
      <c r="DD1100">
        <v>0</v>
      </c>
      <c r="DE1100">
        <v>1</v>
      </c>
      <c r="DF1100">
        <v>1</v>
      </c>
      <c r="DG1100">
        <v>0</v>
      </c>
      <c r="DI1100">
        <f>SUM(DD1100:DG1100)</f>
        <v>2</v>
      </c>
      <c r="DJ1100" t="str">
        <f>IF(DI1100=1,INDEX($DD$7:$DG$7,MATCH(1,$DD1100:$DG1100,0)),"mixedProduct")</f>
        <v>mixedProduct</v>
      </c>
      <c r="DK1100">
        <f>IF(DD1100=1,DK$7,0)</f>
        <v>0</v>
      </c>
      <c r="DL1100" t="str">
        <f>IF(DE1100=1,DL$7,0)</f>
        <v>Energy</v>
      </c>
      <c r="DM1100" t="str">
        <f>IF(DF1100=1,DM$7,0)</f>
        <v>Pulp/Paper</v>
      </c>
      <c r="DN1100">
        <f>IF(DG1100=1,DN$7,0)</f>
        <v>0</v>
      </c>
      <c r="DO1100">
        <v>0</v>
      </c>
      <c r="DP1100">
        <v>1</v>
      </c>
      <c r="DQ1100" t="s">
        <v>1411</v>
      </c>
      <c r="DR1100" t="s">
        <v>1412</v>
      </c>
      <c r="DS1100">
        <v>0</v>
      </c>
      <c r="DT1100">
        <f>SUM(DO1100:DP1100)</f>
        <v>1</v>
      </c>
      <c r="DU1100" s="143" t="str">
        <f>IF(DO1100=1,"self-calculated DF",IF(DP1100=1,"external DF used","explicit C balance"))</f>
        <v>external DF used</v>
      </c>
      <c r="DV1100">
        <v>1</v>
      </c>
      <c r="DW1100">
        <v>1</v>
      </c>
      <c r="DX1100">
        <v>1</v>
      </c>
      <c r="DY1100">
        <v>1</v>
      </c>
      <c r="DZ1100">
        <v>0</v>
      </c>
      <c r="EA1100" s="143">
        <v>1</v>
      </c>
      <c r="EB1100">
        <v>0</v>
      </c>
      <c r="EC1100">
        <v>1</v>
      </c>
      <c r="ED1100">
        <v>0</v>
      </c>
      <c r="EE1100">
        <v>0</v>
      </c>
      <c r="EF1100">
        <v>1</v>
      </c>
      <c r="EG1100" s="143">
        <v>0</v>
      </c>
      <c r="EH1100" s="143">
        <v>0</v>
      </c>
      <c r="EI1100" s="2">
        <v>0</v>
      </c>
      <c r="EK1100" t="str">
        <f>IF(AND(AND(AND(OR($DX1100=1,$DW1100=1),OR($EC1100=1,$EA1100=1)),SUM($DV1100:$DZ1100,$EF1100)&gt;=4),SUM($EA1100:$EE1100)&gt;=2),"Whole sector","")</f>
        <v>Whole sector</v>
      </c>
      <c r="EL1100" t="str">
        <f>IF(AND(AND(OR($DX1100=1,$DW1100=1),AND($EC1100=0,$EA1100=0)),SUM($DV1100:$DZ1100,$EF1100)&gt;=4),"Ecosystem approach","")</f>
        <v/>
      </c>
      <c r="EM1100" s="2" t="str">
        <f>IF(AND(AND(AND($DX1100=0,$DW1100=0),OR($EC1100=1,$EA1100=1)),SUM($EB1100:$EE1100)&gt;=2),"Technology approach","")</f>
        <v/>
      </c>
      <c r="EP1100" t="b">
        <f>IF(ISNUMBER(BU1100),IF(ABS(BU1100-[4]QC_indicators!$B$2)&gt;3*[4]QC_indicators!$C$2,"C ratio",IF(ISNUMBER(BY1100),IF(ABS(BY1100-[4]QC_indicators!$B$1)&gt;3*[4]QC_indicators!$C$1,"DF","no"))),IF(ISNUMBER(BY1100),IF(ABS(BY1100-[4]QC_indicators!$B$1)&gt;3*[4]QC_indicators!$C$1,"DF","no")))</f>
        <v>0</v>
      </c>
      <c r="EQ1100" t="s">
        <v>286</v>
      </c>
      <c r="ER1100" s="149" t="s">
        <v>349</v>
      </c>
      <c r="ET1100" s="264" t="s">
        <v>3273</v>
      </c>
    </row>
    <row r="1101" spans="1:150" ht="187">
      <c r="A1101" s="1" t="s">
        <v>1400</v>
      </c>
      <c r="B1101" t="s">
        <v>1401</v>
      </c>
      <c r="C1101" t="s">
        <v>1402</v>
      </c>
      <c r="D1101" t="s">
        <v>1403</v>
      </c>
      <c r="E1101" t="s">
        <v>1404</v>
      </c>
      <c r="F1101" t="s">
        <v>1405</v>
      </c>
      <c r="G1101" t="s">
        <v>1406</v>
      </c>
      <c r="H1101" t="s">
        <v>254</v>
      </c>
      <c r="I1101">
        <v>2021</v>
      </c>
      <c r="J1101">
        <v>0</v>
      </c>
      <c r="K1101" t="s">
        <v>1407</v>
      </c>
      <c r="M1101" t="str">
        <f>LEFT($D1101,FIND(",",$D1101)-1)&amp;"_"&amp;I1101&amp;L1101</f>
        <v>Dugan_2021</v>
      </c>
      <c r="N1101" t="s">
        <v>222</v>
      </c>
      <c r="O1101" s="145" t="s">
        <v>274</v>
      </c>
      <c r="Q1101" t="s">
        <v>256</v>
      </c>
      <c r="R1101" s="255" t="s">
        <v>225</v>
      </c>
      <c r="S1101" s="1" t="s">
        <v>1421</v>
      </c>
      <c r="T1101" t="s">
        <v>1422</v>
      </c>
      <c r="U1101" t="s">
        <v>1414</v>
      </c>
      <c r="V1101">
        <v>0</v>
      </c>
      <c r="W1101">
        <v>0</v>
      </c>
      <c r="X1101">
        <v>0</v>
      </c>
      <c r="Y1101">
        <v>0</v>
      </c>
      <c r="Z1101">
        <v>0</v>
      </c>
      <c r="AA1101">
        <v>0</v>
      </c>
      <c r="AB1101">
        <v>0</v>
      </c>
      <c r="AC1101">
        <v>0</v>
      </c>
      <c r="AD1101">
        <v>0</v>
      </c>
      <c r="AE1101">
        <v>0</v>
      </c>
      <c r="AF1101">
        <v>1</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s="141">
        <f>COUNTIF(V1101:AW1101,"&lt;&gt;0")</f>
        <v>1</v>
      </c>
      <c r="AY1101" s="141">
        <f>COUNTIF(V1101:AL1101,"&lt;&gt;0")</f>
        <v>1</v>
      </c>
      <c r="AZ1101">
        <f>COUNTIF(V1101:AC1101,"&lt;&gt;0")</f>
        <v>0</v>
      </c>
      <c r="BA1101">
        <f>COUNTIF(AD1101:AI1101,"&lt;&gt;0")</f>
        <v>1</v>
      </c>
      <c r="BB1101">
        <f>COUNTIF(AJ1101:AL1101,"&lt;&gt;0")</f>
        <v>0</v>
      </c>
      <c r="BC1101">
        <f>COUNTIF(AS1101:AW1101,"&lt;&gt;0")</f>
        <v>0</v>
      </c>
      <c r="BD1101">
        <f>COUNTIF(AM1101:AR1101,"&lt;&gt;0")</f>
        <v>0</v>
      </c>
      <c r="BE1101" t="str">
        <f t="array" ref="BE1101">IF(AY1101=1,INDEX($V$7:$AL$7,MATCH(TRUE,INDEX($V1101:$AW1101&lt;&gt;0,),0)),IF(AY1101=0,INDEX($AM$7:$AW$7,MATCH(1,$AM1101:$AW1101,0)),IF(BF1101="Multiple strategies","mixed drivers",IF(BF1101="Supply chain","multiple supply","multiple silviculture"))))</f>
        <v>supply chain organization</v>
      </c>
      <c r="BF1101" s="2" t="str" cm="1">
        <f t="array" ref="BF1101">IF(COUNTIF(AZ1101:BB1101,"&lt;&gt;0")=1,INDEX($V$4:$AW$4,MATCH(TRUE,INDEX($V1101:$AW1101&lt;&gt;0,),0)),IF(COUNTIF(AZ1101:BB1101,"&lt;&gt;0")=0,INDEX($AM$4:$AW$4,MATCH(1,$AM1101:$AW1101,0)),"Multiple strategies"))</f>
        <v>Supply chain</v>
      </c>
      <c r="BG1101" s="1" t="s">
        <v>321</v>
      </c>
      <c r="BH1101" t="s">
        <v>1410</v>
      </c>
      <c r="BI1101" s="260" t="s">
        <v>3318</v>
      </c>
      <c r="BJ1101" t="s">
        <v>1359</v>
      </c>
      <c r="BK1101" s="264">
        <f>14.61*1.1</f>
        <v>16.071000000000002</v>
      </c>
      <c r="BL1101" s="264">
        <f>14.61*1.1</f>
        <v>16.071000000000002</v>
      </c>
      <c r="BN1101" s="227">
        <f>BL1101-BK1101</f>
        <v>0</v>
      </c>
      <c r="BO1101">
        <f>BN1101*10^6*tC_to_m3</f>
        <v>0</v>
      </c>
      <c r="BP1101" t="s">
        <v>232</v>
      </c>
      <c r="BQ1101" s="260" t="s">
        <v>3321</v>
      </c>
      <c r="BR1101" t="s">
        <v>1300</v>
      </c>
      <c r="BS1101" s="152"/>
      <c r="BT1101" s="152"/>
      <c r="BU1101" s="144"/>
      <c r="BV1101" s="285">
        <v>0</v>
      </c>
      <c r="BX1101">
        <f>BV1101*10^6</f>
        <v>0</v>
      </c>
      <c r="BY1101" t="str">
        <f>IFERROR(BX1101/BO1101,"")</f>
        <v/>
      </c>
      <c r="BZ1101">
        <v>0</v>
      </c>
      <c r="CA1101">
        <v>0</v>
      </c>
      <c r="CB1101">
        <v>0</v>
      </c>
      <c r="CC1101">
        <v>0</v>
      </c>
      <c r="CD1101">
        <v>0</v>
      </c>
      <c r="CE1101">
        <v>0</v>
      </c>
      <c r="CF1101">
        <v>0</v>
      </c>
      <c r="CG1101">
        <v>0</v>
      </c>
      <c r="CH1101">
        <v>0</v>
      </c>
      <c r="CI1101">
        <v>0</v>
      </c>
      <c r="CJ1101">
        <v>0</v>
      </c>
      <c r="CK1101">
        <v>0</v>
      </c>
      <c r="CL1101">
        <v>0</v>
      </c>
      <c r="CM1101">
        <v>0</v>
      </c>
      <c r="CN1101" t="str">
        <f>IF(BL1101&lt;BK1101,"refNeedCorrection","refOK")</f>
        <v>refOK</v>
      </c>
      <c r="CO1101"/>
      <c r="CP1101"/>
      <c r="CQ1101">
        <f>IF($CN1101="refNeedCorrection",-BO1101,BO1101)</f>
        <v>0</v>
      </c>
      <c r="CR1101">
        <f>IF($CN1101="refOK",$BS1101,$BT1101)*IF($BP1101="Emissions positive",-1,1)</f>
        <v>0</v>
      </c>
      <c r="CS1101">
        <f>IF($CN1101="refOK",$BT1101,$BS1101)*IF($BP1101="Emissions positive",-1,1)</f>
        <v>0</v>
      </c>
      <c r="CT1101">
        <f>IF($CN1101="refNeedCorrection",-BX1101,BX1101)*IF($BP1101="Emissions positive",-1,1)</f>
        <v>0</v>
      </c>
      <c r="CU1101" t="str">
        <f>IFERROR(CT1101/CQ1101,"")</f>
        <v/>
      </c>
      <c r="CV1101" s="2" t="str">
        <f>IFERROR((CS1101-CR1101)/ABS(CR1101),"")</f>
        <v/>
      </c>
      <c r="CW1101" s="1" t="s">
        <v>1199</v>
      </c>
      <c r="CX1101" t="str">
        <f>IF(OR($CW1101="prd",$CW1101="std",$CW1101="cit"),"loc",IF(OR($CW1101="eur",$CW1101="reg",$CW1101="coy"),"reg",$CW1101))</f>
        <v>reg</v>
      </c>
      <c r="CY1101" t="s">
        <v>428</v>
      </c>
      <c r="CZ1101">
        <v>2020</v>
      </c>
      <c r="DA1101">
        <v>2050</v>
      </c>
      <c r="DB1101">
        <v>30</v>
      </c>
      <c r="DC1101" t="str">
        <f>IF(DB1101=0,"0",IF(AND(DB1101&gt;=1,DB1101&lt;=30),"1-30",IF(AND(DB1101&gt;30,DB1101&lt;=70),"31-70",IF(AND(DB1101&gt;70,DB1101&lt;=100),"71-100",IF(DB1101&gt;100,"+100")))))</f>
        <v>1-30</v>
      </c>
      <c r="DD1101">
        <v>0</v>
      </c>
      <c r="DE1101">
        <v>1</v>
      </c>
      <c r="DF1101">
        <v>0</v>
      </c>
      <c r="DG1101">
        <v>0</v>
      </c>
      <c r="DI1101">
        <f>SUM(DD1101:DG1101)</f>
        <v>1</v>
      </c>
      <c r="DJ1101" t="str">
        <f>IF(DI1101=1,INDEX($DD$7:$DG$7,MATCH(1,$DD1101:$DG1101,0)),"mixedProduct")</f>
        <v>EnergyInput</v>
      </c>
      <c r="DK1101">
        <f>IF(DD1101=1,DK$7,0)</f>
        <v>0</v>
      </c>
      <c r="DL1101" t="str">
        <f>IF(DE1101=1,DL$7,0)</f>
        <v>Energy</v>
      </c>
      <c r="DM1101">
        <f>IF(DF1101=1,DM$7,0)</f>
        <v>0</v>
      </c>
      <c r="DN1101">
        <f>IF(DG1101=1,DN$7,0)</f>
        <v>0</v>
      </c>
      <c r="DO1101">
        <v>0</v>
      </c>
      <c r="DP1101">
        <v>1</v>
      </c>
      <c r="DQ1101" t="s">
        <v>1411</v>
      </c>
      <c r="DR1101" t="s">
        <v>1412</v>
      </c>
      <c r="DS1101">
        <v>0</v>
      </c>
      <c r="DT1101">
        <f>SUM(DO1101:DP1101)</f>
        <v>1</v>
      </c>
      <c r="DU1101" s="143" t="str">
        <f>IF(DO1101=1,"self-calculated DF",IF(DP1101=1,"external DF used","explicit C balance"))</f>
        <v>external DF used</v>
      </c>
      <c r="DV1101">
        <v>1</v>
      </c>
      <c r="DW1101">
        <v>1</v>
      </c>
      <c r="DX1101">
        <v>1</v>
      </c>
      <c r="DY1101">
        <v>0</v>
      </c>
      <c r="DZ1101">
        <v>0</v>
      </c>
      <c r="EA1101" s="143">
        <v>0</v>
      </c>
      <c r="EB1101">
        <v>0</v>
      </c>
      <c r="EC1101">
        <v>0</v>
      </c>
      <c r="ED1101">
        <v>0</v>
      </c>
      <c r="EE1101">
        <v>0</v>
      </c>
      <c r="EF1101">
        <v>1</v>
      </c>
      <c r="EG1101" s="143">
        <v>0</v>
      </c>
      <c r="EH1101" s="143">
        <v>0</v>
      </c>
      <c r="EI1101" s="2">
        <v>0</v>
      </c>
      <c r="EK1101" t="str">
        <f>IF(AND(AND(AND(OR($DX1101=1,$DW1101=1),OR($EC1101=1,$EA1101=1)),SUM($DV1101:$DZ1101,$EF1101)&gt;=4),SUM($EA1101:$EE1101)&gt;=2),"Whole sector","")</f>
        <v/>
      </c>
      <c r="EL1101" t="str">
        <f>IF(AND(AND(OR($DX1101=1,$DW1101=1),AND($EC1101=0,$EA1101=0)),SUM($DV1101:$DZ1101,$EF1101)&gt;=4),"Ecosystem approach","")</f>
        <v>Ecosystem approach</v>
      </c>
      <c r="EM1101" s="2" t="str">
        <f>IF(AND(AND(AND($DX1101=0,$DW1101=0),OR($EC1101=1,$EA1101=1)),SUM($EB1101:$EE1101)&gt;=2),"Technology approach","")</f>
        <v/>
      </c>
      <c r="EP1101" t="b">
        <f>IF(ISNUMBER(BU1101),IF(ABS(BU1101-[4]QC_indicators!$B$2)&gt;3*[4]QC_indicators!$C$2,"C ratio",IF(ISNUMBER(BY1101),IF(ABS(BY1101-[4]QC_indicators!$B$1)&gt;3*[4]QC_indicators!$C$1,"DF","no"))),IF(ISNUMBER(BY1101),IF(ABS(BY1101-[4]QC_indicators!$B$1)&gt;3*[4]QC_indicators!$C$1,"DF","no")))</f>
        <v>0</v>
      </c>
      <c r="EQ1101" t="s">
        <v>286</v>
      </c>
      <c r="ER1101" s="149" t="s">
        <v>349</v>
      </c>
      <c r="ET1101" s="264" t="s">
        <v>3273</v>
      </c>
    </row>
    <row r="1102" spans="1:150" ht="187">
      <c r="A1102" s="1" t="s">
        <v>1400</v>
      </c>
      <c r="B1102" t="s">
        <v>1401</v>
      </c>
      <c r="C1102" t="s">
        <v>1402</v>
      </c>
      <c r="D1102" t="s">
        <v>1403</v>
      </c>
      <c r="E1102" t="s">
        <v>1404</v>
      </c>
      <c r="F1102" t="s">
        <v>1405</v>
      </c>
      <c r="G1102" t="s">
        <v>1406</v>
      </c>
      <c r="H1102" t="s">
        <v>254</v>
      </c>
      <c r="I1102">
        <v>2021</v>
      </c>
      <c r="J1102">
        <v>0</v>
      </c>
      <c r="K1102" t="s">
        <v>1407</v>
      </c>
      <c r="M1102" t="str">
        <f>LEFT($D1102,FIND(",",$D1102)-1)&amp;"_"&amp;I1102&amp;L1102</f>
        <v>Dugan_2021</v>
      </c>
      <c r="N1102" t="s">
        <v>222</v>
      </c>
      <c r="O1102" s="145" t="s">
        <v>274</v>
      </c>
      <c r="Q1102" t="s">
        <v>256</v>
      </c>
      <c r="R1102" s="255" t="s">
        <v>225</v>
      </c>
      <c r="S1102" s="1" t="s">
        <v>1417</v>
      </c>
      <c r="T1102" t="s">
        <v>1111</v>
      </c>
      <c r="U1102" t="s">
        <v>1399</v>
      </c>
      <c r="V1102">
        <v>0</v>
      </c>
      <c r="W1102">
        <v>0</v>
      </c>
      <c r="X1102">
        <v>0</v>
      </c>
      <c r="Y1102">
        <v>0</v>
      </c>
      <c r="Z1102">
        <v>0</v>
      </c>
      <c r="AA1102">
        <v>0</v>
      </c>
      <c r="AB1102">
        <v>0</v>
      </c>
      <c r="AC1102">
        <v>0</v>
      </c>
      <c r="AD1102">
        <v>0</v>
      </c>
      <c r="AE1102">
        <v>0</v>
      </c>
      <c r="AF1102">
        <v>1</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s="141">
        <f>COUNTIF(V1102:AW1102,"&lt;&gt;0")</f>
        <v>1</v>
      </c>
      <c r="AY1102" s="141">
        <f>COUNTIF(V1102:AL1102,"&lt;&gt;0")</f>
        <v>1</v>
      </c>
      <c r="AZ1102">
        <f>COUNTIF(V1102:AC1102,"&lt;&gt;0")</f>
        <v>0</v>
      </c>
      <c r="BA1102">
        <f>COUNTIF(AD1102:AI1102,"&lt;&gt;0")</f>
        <v>1</v>
      </c>
      <c r="BB1102">
        <f>COUNTIF(AJ1102:AL1102,"&lt;&gt;0")</f>
        <v>0</v>
      </c>
      <c r="BC1102">
        <f>COUNTIF(AS1102:AW1102,"&lt;&gt;0")</f>
        <v>0</v>
      </c>
      <c r="BD1102">
        <f>COUNTIF(AM1102:AR1102,"&lt;&gt;0")</f>
        <v>0</v>
      </c>
      <c r="BE1102" t="str">
        <f t="array" ref="BE1102">IF(AY1102=1,INDEX($V$7:$AL$7,MATCH(TRUE,INDEX($V1102:$AW1102&lt;&gt;0,),0)),IF(AY1102=0,INDEX($AM$7:$AW$7,MATCH(1,$AM1102:$AW1102,0)),IF(BF1102="Multiple strategies","mixed drivers",IF(BF1102="Supply chain","multiple supply","multiple silviculture"))))</f>
        <v>supply chain organization</v>
      </c>
      <c r="BF1102" s="2" t="str" cm="1">
        <f t="array" ref="BF1102">IF(COUNTIF(AZ1102:BB1102,"&lt;&gt;0")=1,INDEX($V$4:$AW$4,MATCH(TRUE,INDEX($V1102:$AW1102&lt;&gt;0,),0)),IF(COUNTIF(AZ1102:BB1102,"&lt;&gt;0")=0,INDEX($AM$4:$AW$4,MATCH(1,$AM1102:$AW1102,0)),"Multiple strategies"))</f>
        <v>Supply chain</v>
      </c>
      <c r="BG1102" s="1" t="s">
        <v>321</v>
      </c>
      <c r="BH1102" t="s">
        <v>1410</v>
      </c>
      <c r="BI1102" s="260" t="s">
        <v>3318</v>
      </c>
      <c r="BJ1102" t="s">
        <v>1359</v>
      </c>
      <c r="BK1102" s="264">
        <v>14.61</v>
      </c>
      <c r="BL1102" s="264">
        <v>14.61</v>
      </c>
      <c r="BN1102" s="227">
        <f>BL1102-BK1102</f>
        <v>0</v>
      </c>
      <c r="BO1102">
        <f>BN1102*10^6*tC_to_m3</f>
        <v>0</v>
      </c>
      <c r="BP1102" t="s">
        <v>232</v>
      </c>
      <c r="BQ1102" s="260" t="s">
        <v>3320</v>
      </c>
      <c r="BR1102" t="s">
        <v>1300</v>
      </c>
      <c r="BS1102" s="152"/>
      <c r="BT1102" s="152"/>
      <c r="BU1102" s="144"/>
      <c r="BV1102" s="284">
        <v>9.3033695208324332</v>
      </c>
      <c r="BX1102">
        <f>BV1102*10^6</f>
        <v>9303369.5208324324</v>
      </c>
      <c r="BY1102" t="str">
        <f>IFERROR(BX1102/BO1102,"")</f>
        <v/>
      </c>
      <c r="BZ1102">
        <v>0</v>
      </c>
      <c r="CA1102">
        <v>0</v>
      </c>
      <c r="CB1102">
        <v>0</v>
      </c>
      <c r="CC1102">
        <v>0</v>
      </c>
      <c r="CD1102">
        <v>0</v>
      </c>
      <c r="CE1102">
        <v>0</v>
      </c>
      <c r="CF1102">
        <v>0</v>
      </c>
      <c r="CG1102">
        <v>0</v>
      </c>
      <c r="CH1102">
        <v>0</v>
      </c>
      <c r="CI1102">
        <v>0</v>
      </c>
      <c r="CJ1102">
        <v>0</v>
      </c>
      <c r="CK1102">
        <v>0</v>
      </c>
      <c r="CL1102">
        <v>0</v>
      </c>
      <c r="CM1102">
        <v>0</v>
      </c>
      <c r="CN1102" t="str">
        <f>IF(BL1102&lt;BK1102,"refNeedCorrection","refOK")</f>
        <v>refOK</v>
      </c>
      <c r="CO1102"/>
      <c r="CP1102"/>
      <c r="CQ1102">
        <f>IF($CN1102="refNeedCorrection",-BO1102,BO1102)</f>
        <v>0</v>
      </c>
      <c r="CR1102">
        <f>IF($CN1102="refOK",$BS1102,$BT1102)*IF($BP1102="Emissions positive",-1,1)</f>
        <v>0</v>
      </c>
      <c r="CS1102">
        <f>IF($CN1102="refOK",$BT1102,$BS1102)*IF($BP1102="Emissions positive",-1,1)</f>
        <v>0</v>
      </c>
      <c r="CT1102">
        <f>IF($CN1102="refNeedCorrection",-BX1102,BX1102)*IF($BP1102="Emissions positive",-1,1)</f>
        <v>9303369.5208324324</v>
      </c>
      <c r="CU1102" t="str">
        <f>IFERROR(CT1102/CQ1102,"")</f>
        <v/>
      </c>
      <c r="CV1102" s="2" t="str">
        <f>IFERROR((CS1102-CR1102)/ABS(CR1102),"")</f>
        <v/>
      </c>
      <c r="CW1102" s="1" t="s">
        <v>1199</v>
      </c>
      <c r="CX1102" t="str">
        <f>IF(OR($CW1102="prd",$CW1102="std",$CW1102="cit"),"loc",IF(OR($CW1102="eur",$CW1102="reg",$CW1102="coy"),"reg",$CW1102))</f>
        <v>reg</v>
      </c>
      <c r="CY1102" t="s">
        <v>428</v>
      </c>
      <c r="CZ1102">
        <v>2020</v>
      </c>
      <c r="DA1102">
        <v>2050</v>
      </c>
      <c r="DB1102">
        <v>30</v>
      </c>
      <c r="DC1102" t="str">
        <f>IF(DB1102=0,"0",IF(AND(DB1102&gt;=1,DB1102&lt;=30),"1-30",IF(AND(DB1102&gt;30,DB1102&lt;=70),"31-70",IF(AND(DB1102&gt;70,DB1102&lt;=100),"71-100",IF(DB1102&gt;100,"+100")))))</f>
        <v>1-30</v>
      </c>
      <c r="DD1102">
        <v>0</v>
      </c>
      <c r="DE1102">
        <v>0</v>
      </c>
      <c r="DF1102">
        <v>1</v>
      </c>
      <c r="DG1102">
        <v>1</v>
      </c>
      <c r="DI1102">
        <f>SUM(DD1102:DG1102)</f>
        <v>2</v>
      </c>
      <c r="DJ1102" t="str">
        <f>IF(DI1102=1,INDEX($DD$7:$DG$7,MATCH(1,$DD1102:$DG1102,0)),"mixedProduct")</f>
        <v>mixedProduct</v>
      </c>
      <c r="DK1102">
        <f>IF(DD1102=1,DK$7,0)</f>
        <v>0</v>
      </c>
      <c r="DL1102">
        <f>IF(DE1102=1,DL$7,0)</f>
        <v>0</v>
      </c>
      <c r="DM1102" t="str">
        <f>IF(DF1102=1,DM$7,0)</f>
        <v>Pulp/Paper</v>
      </c>
      <c r="DN1102" t="str">
        <f>IF(DG1102=1,DN$7,0)</f>
        <v>Timber</v>
      </c>
      <c r="DO1102">
        <v>0</v>
      </c>
      <c r="DP1102">
        <v>1</v>
      </c>
      <c r="DQ1102" t="s">
        <v>1411</v>
      </c>
      <c r="DR1102" t="s">
        <v>1412</v>
      </c>
      <c r="DS1102">
        <v>0</v>
      </c>
      <c r="DT1102">
        <f>SUM(DO1102:DP1102)</f>
        <v>1</v>
      </c>
      <c r="DU1102" s="143" t="str">
        <f>IF(DO1102=1,"self-calculated DF",IF(DP1102=1,"external DF used","explicit C balance"))</f>
        <v>external DF used</v>
      </c>
      <c r="DV1102">
        <v>1</v>
      </c>
      <c r="DW1102">
        <v>1</v>
      </c>
      <c r="DX1102">
        <v>1</v>
      </c>
      <c r="DY1102">
        <v>1</v>
      </c>
      <c r="DZ1102">
        <v>0</v>
      </c>
      <c r="EA1102" s="143">
        <v>1</v>
      </c>
      <c r="EB1102">
        <v>0</v>
      </c>
      <c r="EC1102">
        <v>1</v>
      </c>
      <c r="ED1102">
        <v>0</v>
      </c>
      <c r="EE1102">
        <v>0</v>
      </c>
      <c r="EF1102">
        <v>1</v>
      </c>
      <c r="EG1102" s="143">
        <v>0</v>
      </c>
      <c r="EH1102" s="143">
        <v>0</v>
      </c>
      <c r="EI1102" s="2">
        <v>0</v>
      </c>
      <c r="EK1102" t="str">
        <f>IF(AND(AND(AND(OR($DX1102=1,$DW1102=1),OR($EC1102=1,$EA1102=1)),SUM($DV1102:$DZ1102,$EF1102)&gt;=4),SUM($EA1102:$EE1102)&gt;=2),"Whole sector","")</f>
        <v>Whole sector</v>
      </c>
      <c r="EL1102" t="str">
        <f>IF(AND(AND(OR($DX1102=1,$DW1102=1),AND($EC1102=0,$EA1102=0)),SUM($DV1102:$DZ1102,$EF1102)&gt;=4),"Ecosystem approach","")</f>
        <v/>
      </c>
      <c r="EM1102" s="2" t="str">
        <f>IF(AND(AND(AND($DX1102=0,$DW1102=0),OR($EC1102=1,$EA1102=1)),SUM($EB1102:$EE1102)&gt;=2),"Technology approach","")</f>
        <v/>
      </c>
      <c r="EP1102" t="b">
        <f>IF(ISNUMBER(BU1102),IF(ABS(BU1102-[4]QC_indicators!$B$2)&gt;3*[4]QC_indicators!$C$2,"C ratio",IF(ISNUMBER(BY1102),IF(ABS(BY1102-[4]QC_indicators!$B$1)&gt;3*[4]QC_indicators!$C$1,"DF","no"))),IF(ISNUMBER(BY1102),IF(ABS(BY1102-[4]QC_indicators!$B$1)&gt;3*[4]QC_indicators!$C$1,"DF","no")))</f>
        <v>0</v>
      </c>
      <c r="EQ1102" t="s">
        <v>286</v>
      </c>
      <c r="ER1102" s="149" t="s">
        <v>349</v>
      </c>
      <c r="ET1102" s="264" t="s">
        <v>3273</v>
      </c>
    </row>
    <row r="1103" spans="1:150" ht="187">
      <c r="A1103" s="1" t="s">
        <v>1400</v>
      </c>
      <c r="B1103" t="s">
        <v>1401</v>
      </c>
      <c r="C1103" t="s">
        <v>1402</v>
      </c>
      <c r="D1103" t="s">
        <v>1403</v>
      </c>
      <c r="E1103" t="s">
        <v>1404</v>
      </c>
      <c r="F1103" t="s">
        <v>1405</v>
      </c>
      <c r="G1103" t="s">
        <v>1406</v>
      </c>
      <c r="H1103" t="s">
        <v>254</v>
      </c>
      <c r="I1103">
        <v>2021</v>
      </c>
      <c r="J1103">
        <v>0</v>
      </c>
      <c r="K1103" t="s">
        <v>1407</v>
      </c>
      <c r="M1103" t="str">
        <f>LEFT($D1103,FIND(",",$D1103)-1)&amp;"_"&amp;I1103&amp;L1103</f>
        <v>Dugan_2021</v>
      </c>
      <c r="N1103" t="s">
        <v>222</v>
      </c>
      <c r="O1103" s="145" t="s">
        <v>274</v>
      </c>
      <c r="Q1103" t="s">
        <v>256</v>
      </c>
      <c r="R1103" s="255" t="s">
        <v>225</v>
      </c>
      <c r="S1103" s="1" t="s">
        <v>1421</v>
      </c>
      <c r="T1103" t="s">
        <v>1422</v>
      </c>
      <c r="U1103" t="s">
        <v>1414</v>
      </c>
      <c r="V1103">
        <v>0</v>
      </c>
      <c r="W1103">
        <v>0</v>
      </c>
      <c r="X1103">
        <v>0</v>
      </c>
      <c r="Y1103">
        <v>0</v>
      </c>
      <c r="Z1103">
        <v>0</v>
      </c>
      <c r="AA1103">
        <v>0</v>
      </c>
      <c r="AB1103">
        <v>0</v>
      </c>
      <c r="AC1103">
        <v>0</v>
      </c>
      <c r="AD1103">
        <v>0</v>
      </c>
      <c r="AE1103">
        <v>0</v>
      </c>
      <c r="AF1103">
        <v>1</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s="141">
        <f>COUNTIF(V1103:AW1103,"&lt;&gt;0")</f>
        <v>1</v>
      </c>
      <c r="AY1103" s="141">
        <f>COUNTIF(V1103:AL1103,"&lt;&gt;0")</f>
        <v>1</v>
      </c>
      <c r="AZ1103">
        <f>COUNTIF(V1103:AC1103,"&lt;&gt;0")</f>
        <v>0</v>
      </c>
      <c r="BA1103">
        <f>COUNTIF(AD1103:AI1103,"&lt;&gt;0")</f>
        <v>1</v>
      </c>
      <c r="BB1103">
        <f>COUNTIF(AJ1103:AL1103,"&lt;&gt;0")</f>
        <v>0</v>
      </c>
      <c r="BC1103">
        <f>COUNTIF(AS1103:AW1103,"&lt;&gt;0")</f>
        <v>0</v>
      </c>
      <c r="BD1103">
        <f>COUNTIF(AM1103:AR1103,"&lt;&gt;0")</f>
        <v>0</v>
      </c>
      <c r="BE1103" t="str">
        <f t="array" ref="BE1103">IF(AY1103=1,INDEX($V$7:$AL$7,MATCH(TRUE,INDEX($V1103:$AW1103&lt;&gt;0,),0)),IF(AY1103=0,INDEX($AM$7:$AW$7,MATCH(1,$AM1103:$AW1103,0)),IF(BF1103="Multiple strategies","mixed drivers",IF(BF1103="Supply chain","multiple supply","multiple silviculture"))))</f>
        <v>supply chain organization</v>
      </c>
      <c r="BF1103" s="2" t="str" cm="1">
        <f t="array" ref="BF1103">IF(COUNTIF(AZ1103:BB1103,"&lt;&gt;0")=1,INDEX($V$4:$AW$4,MATCH(TRUE,INDEX($V1103:$AW1103&lt;&gt;0,),0)),IF(COUNTIF(AZ1103:BB1103,"&lt;&gt;0")=0,INDEX($AM$4:$AW$4,MATCH(1,$AM1103:$AW1103,0)),"Multiple strategies"))</f>
        <v>Supply chain</v>
      </c>
      <c r="BG1103" s="1" t="s">
        <v>321</v>
      </c>
      <c r="BH1103" t="s">
        <v>1410</v>
      </c>
      <c r="BI1103" s="260" t="s">
        <v>3318</v>
      </c>
      <c r="BJ1103" t="s">
        <v>1359</v>
      </c>
      <c r="BK1103" s="264">
        <f>14.61*1.1</f>
        <v>16.071000000000002</v>
      </c>
      <c r="BL1103" s="264">
        <f>14.61*1.1</f>
        <v>16.071000000000002</v>
      </c>
      <c r="BN1103" s="227">
        <f>BL1103-BK1103</f>
        <v>0</v>
      </c>
      <c r="BO1103">
        <f>BN1103*10^6*tC_to_m3</f>
        <v>0</v>
      </c>
      <c r="BP1103" t="s">
        <v>232</v>
      </c>
      <c r="BQ1103" s="260" t="s">
        <v>3320</v>
      </c>
      <c r="BR1103" t="s">
        <v>1300</v>
      </c>
      <c r="BS1103" s="152"/>
      <c r="BT1103" s="152"/>
      <c r="BU1103" s="144"/>
      <c r="BV1103" s="284">
        <v>1.8554103497495831</v>
      </c>
      <c r="BX1103">
        <f>BV1103*10^6</f>
        <v>1855410.3497495831</v>
      </c>
      <c r="BY1103" t="str">
        <f>IFERROR(BX1103/BO1103,"")</f>
        <v/>
      </c>
      <c r="BZ1103">
        <v>0</v>
      </c>
      <c r="CA1103">
        <v>0</v>
      </c>
      <c r="CB1103">
        <v>0</v>
      </c>
      <c r="CC1103">
        <v>0</v>
      </c>
      <c r="CD1103">
        <v>0</v>
      </c>
      <c r="CE1103">
        <v>0</v>
      </c>
      <c r="CF1103">
        <v>0</v>
      </c>
      <c r="CG1103">
        <v>0</v>
      </c>
      <c r="CH1103">
        <v>0</v>
      </c>
      <c r="CI1103">
        <v>0</v>
      </c>
      <c r="CJ1103">
        <v>0</v>
      </c>
      <c r="CK1103">
        <v>0</v>
      </c>
      <c r="CL1103">
        <v>0</v>
      </c>
      <c r="CM1103">
        <v>0</v>
      </c>
      <c r="CN1103" t="str">
        <f>IF($BL1103&lt;$BK1103,"refNeedCorrection","refOK")</f>
        <v>refOK</v>
      </c>
      <c r="CO1103"/>
      <c r="CP1103"/>
      <c r="CQ1103">
        <f>IF($CN1103="refNeedCorrection",-BO1103,BO1103)</f>
        <v>0</v>
      </c>
      <c r="CR1103">
        <f>IF($CN1103="refOK",$BS1103,$BT1103)*IF($BP1103="Emissions positive",-1,1)</f>
        <v>0</v>
      </c>
      <c r="CS1103">
        <f>IF($CN1103="refOK",$BT1103,$BS1103)*IF($BP1103="Emissions positive",-1,1)</f>
        <v>0</v>
      </c>
      <c r="CT1103">
        <f>IF($CN1103="refNeedCorrection",-BX1103,BX1103)*IF($BP1103="Emissions positive",-1,1)</f>
        <v>1855410.3497495831</v>
      </c>
      <c r="CU1103" t="str">
        <f>IFERROR(CT1103/CQ1103,"")</f>
        <v/>
      </c>
      <c r="CV1103" s="2" t="str">
        <f>IFERROR((CS1103-CR1103)/ABS(CR1103),"")</f>
        <v/>
      </c>
      <c r="CW1103" s="1" t="s">
        <v>1199</v>
      </c>
      <c r="CX1103" t="str">
        <f>IF(OR($CW1103="prd",$CW1103="std",$CW1103="cit"),"loc",IF(OR($CW1103="eur",$CW1103="reg",$CW1103="coy"),"reg",$CW1103))</f>
        <v>reg</v>
      </c>
      <c r="CY1103" t="s">
        <v>428</v>
      </c>
      <c r="CZ1103">
        <v>2020</v>
      </c>
      <c r="DA1103">
        <v>2050</v>
      </c>
      <c r="DB1103">
        <v>30</v>
      </c>
      <c r="DC1103" t="str">
        <f>IF(DB1103=0,"0",IF(AND(DB1103&gt;=1,DB1103&lt;=30),"1-30",IF(AND(DB1103&gt;30,DB1103&lt;=70),"31-70",IF(AND(DB1103&gt;70,DB1103&lt;=100),"71-100",IF(DB1103&gt;100,"+100")))))</f>
        <v>1-30</v>
      </c>
      <c r="DD1103">
        <v>0</v>
      </c>
      <c r="DE1103">
        <v>1</v>
      </c>
      <c r="DF1103">
        <v>0</v>
      </c>
      <c r="DG1103">
        <v>0</v>
      </c>
      <c r="DI1103">
        <f>SUM(DD1103:DG1103)</f>
        <v>1</v>
      </c>
      <c r="DJ1103" t="str">
        <f>IF(DI1103=1,INDEX($DD$7:$DG$7,MATCH(1,$DD1103:$DG1103,0)),"mixedProduct")</f>
        <v>EnergyInput</v>
      </c>
      <c r="DK1103">
        <f>IF(DD1103=1,DK$7,0)</f>
        <v>0</v>
      </c>
      <c r="DL1103" t="str">
        <f>IF(DE1103=1,DL$7,0)</f>
        <v>Energy</v>
      </c>
      <c r="DM1103">
        <f>IF(DF1103=1,DM$7,0)</f>
        <v>0</v>
      </c>
      <c r="DN1103">
        <f>IF(DG1103=1,DN$7,0)</f>
        <v>0</v>
      </c>
      <c r="DO1103">
        <v>0</v>
      </c>
      <c r="DP1103">
        <v>1</v>
      </c>
      <c r="DQ1103" t="s">
        <v>1411</v>
      </c>
      <c r="DR1103" t="s">
        <v>1412</v>
      </c>
      <c r="DS1103">
        <v>0</v>
      </c>
      <c r="DT1103">
        <f>SUM(DO1103:DP1103)</f>
        <v>1</v>
      </c>
      <c r="DU1103" s="143" t="str">
        <f>IF(DO1103=1,"self-calculated DF",IF(DP1103=1,"external DF used","explicit C balance"))</f>
        <v>external DF used</v>
      </c>
      <c r="DV1103">
        <v>1</v>
      </c>
      <c r="DW1103">
        <v>1</v>
      </c>
      <c r="DX1103">
        <v>1</v>
      </c>
      <c r="DY1103">
        <v>1</v>
      </c>
      <c r="DZ1103">
        <v>0</v>
      </c>
      <c r="EA1103" s="143">
        <v>1</v>
      </c>
      <c r="EB1103">
        <v>0</v>
      </c>
      <c r="EC1103">
        <v>1</v>
      </c>
      <c r="ED1103">
        <v>0</v>
      </c>
      <c r="EE1103">
        <v>0</v>
      </c>
      <c r="EF1103">
        <v>1</v>
      </c>
      <c r="EG1103" s="143">
        <v>0</v>
      </c>
      <c r="EH1103" s="143">
        <v>0</v>
      </c>
      <c r="EI1103" s="2">
        <v>0</v>
      </c>
      <c r="EK1103" t="str">
        <f>IF(AND(AND(AND(OR($DX1103=1,$DW1103=1),OR($EC1103=1,$EA1103=1)),SUM($DV1103:$DZ1103,$EF1103)&gt;=4),SUM($EA1103:$EE1103)&gt;=2),"Whole sector","")</f>
        <v>Whole sector</v>
      </c>
      <c r="EL1103" t="str">
        <f>IF(AND(AND(OR($DX1103=1,$DW1103=1),AND($EC1103=0,$EA1103=0)),SUM($DV1103:$DZ1103,$EF1103)&gt;=4),"Ecosystem approach","")</f>
        <v/>
      </c>
      <c r="EM1103" s="2" t="str">
        <f>IF(AND(AND(AND($DX1103=0,$DW1103=0),OR($EC1103=1,$EA1103=1)),SUM($EB1103:$EE1103)&gt;=2),"Technology approach","")</f>
        <v/>
      </c>
      <c r="EP1103" t="b">
        <f>IF(ISNUMBER(BU1103),IF(ABS(BU1103-[4]QC_indicators!$B$2)&gt;3*[4]QC_indicators!$C$2,"C ratio",IF(ISNUMBER(BY1103),IF(ABS(BY1103-[4]QC_indicators!$B$1)&gt;3*[4]QC_indicators!$C$1,"DF","no"))),IF(ISNUMBER(BY1103),IF(ABS(BY1103-[4]QC_indicators!$B$1)&gt;3*[4]QC_indicators!$C$1,"DF","no")))</f>
        <v>0</v>
      </c>
      <c r="EQ1103" t="s">
        <v>286</v>
      </c>
      <c r="ER1103" s="149" t="s">
        <v>349</v>
      </c>
      <c r="ET1103" s="264" t="s">
        <v>3273</v>
      </c>
    </row>
    <row r="1104" spans="1:150" ht="187">
      <c r="A1104" s="1" t="s">
        <v>265</v>
      </c>
      <c r="B1104" t="s">
        <v>1531</v>
      </c>
      <c r="C1104" t="s">
        <v>1532</v>
      </c>
      <c r="D1104" t="s">
        <v>1533</v>
      </c>
      <c r="E1104" t="s">
        <v>1534</v>
      </c>
      <c r="F1104" t="s">
        <v>1535</v>
      </c>
      <c r="G1104" t="s">
        <v>271</v>
      </c>
      <c r="H1104" t="s">
        <v>254</v>
      </c>
      <c r="I1104">
        <v>2019</v>
      </c>
      <c r="J1104">
        <v>26</v>
      </c>
      <c r="K1104" t="s">
        <v>1536</v>
      </c>
      <c r="M1104" t="str">
        <f>LEFT($D1104,FIND(",",$D1104)-1)&amp;"_"&amp;I1104&amp;L1104</f>
        <v>Faraca_2019</v>
      </c>
      <c r="N1104" t="s">
        <v>222</v>
      </c>
      <c r="O1104" s="145" t="s">
        <v>274</v>
      </c>
      <c r="P1104" s="180" t="s">
        <v>223</v>
      </c>
      <c r="Q1104" t="s">
        <v>256</v>
      </c>
      <c r="R1104" s="262" t="s">
        <v>223</v>
      </c>
      <c r="S1104" s="263" t="s">
        <v>3130</v>
      </c>
      <c r="T1104" t="s">
        <v>1538</v>
      </c>
      <c r="U1104" t="s">
        <v>969</v>
      </c>
      <c r="V1104">
        <v>0</v>
      </c>
      <c r="W1104">
        <v>0</v>
      </c>
      <c r="X1104">
        <v>0</v>
      </c>
      <c r="Y1104">
        <v>0</v>
      </c>
      <c r="Z1104">
        <v>0</v>
      </c>
      <c r="AA1104">
        <v>0</v>
      </c>
      <c r="AB1104">
        <v>0</v>
      </c>
      <c r="AC1104">
        <v>0</v>
      </c>
      <c r="AD1104">
        <v>0</v>
      </c>
      <c r="AE1104">
        <v>0</v>
      </c>
      <c r="AF1104">
        <v>0</v>
      </c>
      <c r="AG1104">
        <v>0</v>
      </c>
      <c r="AH1104">
        <v>0</v>
      </c>
      <c r="AI1104">
        <v>0</v>
      </c>
      <c r="AJ1104">
        <v>1</v>
      </c>
      <c r="AK1104">
        <v>0</v>
      </c>
      <c r="AL1104">
        <v>0</v>
      </c>
      <c r="AM1104">
        <v>0</v>
      </c>
      <c r="AN1104">
        <v>0</v>
      </c>
      <c r="AO1104">
        <v>0</v>
      </c>
      <c r="AP1104">
        <v>0</v>
      </c>
      <c r="AQ1104">
        <v>0</v>
      </c>
      <c r="AR1104">
        <v>0</v>
      </c>
      <c r="AS1104">
        <v>0</v>
      </c>
      <c r="AT1104">
        <v>0</v>
      </c>
      <c r="AU1104">
        <v>0</v>
      </c>
      <c r="AV1104">
        <v>0</v>
      </c>
      <c r="AW1104">
        <v>0</v>
      </c>
      <c r="AX1104" s="141">
        <f>COUNTIF(V1104:AW1104,"&lt;&gt;0")</f>
        <v>1</v>
      </c>
      <c r="AY1104" s="141">
        <f>COUNTIF(V1104:AL1104,"&lt;&gt;0")</f>
        <v>1</v>
      </c>
      <c r="AZ1104">
        <f>COUNTIF(V1104:AC1104,"&lt;&gt;0")</f>
        <v>0</v>
      </c>
      <c r="BA1104">
        <f>COUNTIF(AD1104:AI1104,"&lt;&gt;0")</f>
        <v>0</v>
      </c>
      <c r="BB1104">
        <f>COUNTIF(AJ1104:AL1104,"&lt;&gt;0")</f>
        <v>1</v>
      </c>
      <c r="BC1104">
        <f>COUNTIF(AS1104:AW1104,"&lt;&gt;0")</f>
        <v>0</v>
      </c>
      <c r="BD1104">
        <f>COUNTIF(AM1104:AR1104,"&lt;&gt;0")</f>
        <v>0</v>
      </c>
      <c r="BE1104" t="str">
        <f t="array" ref="BE1104">IF(AY1104=1,INDEX($V$7:$AL$7,MATCH(TRUE,INDEX($V1104:$AW1104&lt;&gt;0,),0)),IF(AY1104=0,INDEX($AM$7:$AW$7,MATCH(1,$AM1104:$AW1104,0)),IF(BF1104="Multiple strategies","mixed drivers",IF(BF1104="Supply chain","multiple supply","multiple silviculture"))))</f>
        <v>efficiency improvement</v>
      </c>
      <c r="BF1104" s="2" t="str" cm="1">
        <f t="array" ref="BF1104">IF(COUNTIF(AZ1104:BB1104,"&lt;&gt;0")=1,INDEX($V$4:$AW$4,MATCH(TRUE,INDEX($V1104:$AW1104&lt;&gt;0,),0)),IF(COUNTIF(AZ1104:BB1104,"&lt;&gt;0")=0,INDEX($AM$4:$AW$4,MATCH(1,$AM1104:$AW1104,0)),"Multiple strategies"))</f>
        <v>Technology</v>
      </c>
      <c r="BG1104" s="1" t="s">
        <v>229</v>
      </c>
      <c r="BH1104" t="s">
        <v>1548</v>
      </c>
      <c r="BI1104" s="264" t="s">
        <v>3121</v>
      </c>
      <c r="BJ1104" t="s">
        <v>345</v>
      </c>
      <c r="BK1104">
        <v>562</v>
      </c>
      <c r="BL1104">
        <v>562</v>
      </c>
      <c r="BM1104">
        <v>1</v>
      </c>
      <c r="BN1104">
        <f>BL1104-BK1104</f>
        <v>0</v>
      </c>
      <c r="BO1104">
        <f>BN1104*kg_to_m3</f>
        <v>0</v>
      </c>
      <c r="BP1104" s="264" t="s">
        <v>395</v>
      </c>
      <c r="BQ1104" t="s">
        <v>426</v>
      </c>
      <c r="BR1104" t="s">
        <v>728</v>
      </c>
      <c r="BS1104">
        <v>515.29999999999995</v>
      </c>
      <c r="BT1104">
        <v>474.6</v>
      </c>
      <c r="BU1104" s="144"/>
      <c r="BV1104">
        <f>BT1104-BS1104</f>
        <v>-40.699999999999932</v>
      </c>
      <c r="BX1104">
        <f>BV1104/1000</f>
        <v>-4.0699999999999931E-2</v>
      </c>
      <c r="BY1104" t="str">
        <f>IFERROR(BX1104/BO1104,"")</f>
        <v/>
      </c>
      <c r="BZ1104">
        <v>0</v>
      </c>
      <c r="CA1104">
        <v>0</v>
      </c>
      <c r="CB1104">
        <v>0</v>
      </c>
      <c r="CC1104">
        <v>0</v>
      </c>
      <c r="CD1104">
        <v>0</v>
      </c>
      <c r="CE1104">
        <v>0</v>
      </c>
      <c r="CF1104">
        <v>0</v>
      </c>
      <c r="CG1104">
        <v>0</v>
      </c>
      <c r="CH1104">
        <v>0</v>
      </c>
      <c r="CI1104">
        <v>0</v>
      </c>
      <c r="CJ1104">
        <v>0</v>
      </c>
      <c r="CK1104">
        <v>0</v>
      </c>
      <c r="CL1104">
        <v>0</v>
      </c>
      <c r="CM1104">
        <v>0</v>
      </c>
      <c r="CN1104" t="str">
        <f>IF($BL1104&lt;$BK1104,"refNeedCorrection","refOK")</f>
        <v>refOK</v>
      </c>
      <c r="CO1104">
        <f>IF($CN1104="refNeedCorrection",BL1104,BK1104)</f>
        <v>562</v>
      </c>
      <c r="CP1104">
        <f>IF($CN1104="refNeedCorrection",BK1104,BL1104)</f>
        <v>562</v>
      </c>
      <c r="CQ1104">
        <f>IF($CN1104="refOK",$BO1104,-$BO1104)</f>
        <v>0</v>
      </c>
      <c r="CR1104">
        <f>IF($CN1104="refOK",$BS1104,$BT1104)*IF($BP1104="Emissions positive",-1,1)</f>
        <v>-515.29999999999995</v>
      </c>
      <c r="CS1104">
        <f>IF($CN1104="refOK",$BT1104,$BS1104)*IF($BP1104="Emissions positive",-1,1)</f>
        <v>-474.6</v>
      </c>
      <c r="CT1104">
        <f>IF($CN1104="refNeedCorrection",-BX1104,BX1104)*IF($BP1104="Emissions positive",-1,1)</f>
        <v>4.0699999999999931E-2</v>
      </c>
      <c r="CU1104" t="str">
        <f>IFERROR(CT1104/CQ1104,"")</f>
        <v/>
      </c>
      <c r="CV1104" s="2">
        <f>IFERROR((CS1104-CR1104)/ABS(CR1104),"")</f>
        <v>7.8983116631088562E-2</v>
      </c>
      <c r="CW1104" s="1" t="s">
        <v>1199</v>
      </c>
      <c r="CX1104" t="str">
        <f>IF(OR($CW1104="prd",$CW1104="std",$CW1104="cit"),"loc",IF(OR($CW1104="eur",$CW1104="reg",$CW1104="coy"),"reg",$CW1104))</f>
        <v>reg</v>
      </c>
      <c r="CY1104" t="s">
        <v>1540</v>
      </c>
      <c r="DB1104">
        <v>100</v>
      </c>
      <c r="DC1104" t="str">
        <f>IF(DB1104=0,"0",IF(AND(DB1104&gt;=1,DB1104&lt;=30),"1-30",IF(AND(DB1104&gt;30,DB1104&lt;=70),"31-70",IF(AND(DB1104&gt;70,DB1104&lt;=100),"71-100",IF(DB1104&gt;100,"+100")))))</f>
        <v>71-100</v>
      </c>
      <c r="DD1104">
        <v>0</v>
      </c>
      <c r="DE1104">
        <v>0</v>
      </c>
      <c r="DF1104">
        <v>0</v>
      </c>
      <c r="DG1104">
        <v>1</v>
      </c>
      <c r="DI1104">
        <f>SUM(DD1104:DG1104)</f>
        <v>1</v>
      </c>
      <c r="DJ1104" t="str">
        <f>IF(DI1104=1,INDEX($DD$7:$DG$7,MATCH(1,$DD1104:$DG1104,0)),"mixedProduct")</f>
        <v>TimberInput</v>
      </c>
      <c r="DK1104">
        <f>IF(DD1104=1,DK$7,0)</f>
        <v>0</v>
      </c>
      <c r="DL1104">
        <f>IF(DE1104=1,DL$7,0)</f>
        <v>0</v>
      </c>
      <c r="DM1104">
        <f>IF(DF1104=1,DM$7,0)</f>
        <v>0</v>
      </c>
      <c r="DN1104" t="str">
        <f>IF(DG1104=1,DN$7,0)</f>
        <v>Timber</v>
      </c>
      <c r="DO1104">
        <v>0</v>
      </c>
      <c r="DP1104">
        <v>0</v>
      </c>
      <c r="DQ1104">
        <v>0</v>
      </c>
      <c r="DR1104">
        <v>0</v>
      </c>
      <c r="DS1104">
        <v>0</v>
      </c>
      <c r="DT1104">
        <f>SUM(DO1104:DP1104)</f>
        <v>0</v>
      </c>
      <c r="DU1104" s="143" t="str">
        <f>IF(DO1104=1,"self-calculated DF",IF(DP1104=1,"external DF used","explicit C balance"))</f>
        <v>explicit C balance</v>
      </c>
      <c r="DV1104">
        <v>0</v>
      </c>
      <c r="DW1104">
        <v>0</v>
      </c>
      <c r="DX1104">
        <v>0</v>
      </c>
      <c r="DY1104">
        <v>0</v>
      </c>
      <c r="DZ1104">
        <v>1</v>
      </c>
      <c r="EA1104" s="143">
        <v>0</v>
      </c>
      <c r="EB1104">
        <v>0</v>
      </c>
      <c r="EC1104">
        <v>1</v>
      </c>
      <c r="ED1104">
        <v>0</v>
      </c>
      <c r="EE1104">
        <v>1</v>
      </c>
      <c r="EF1104">
        <v>1</v>
      </c>
      <c r="EG1104">
        <v>1</v>
      </c>
      <c r="EH1104">
        <v>0</v>
      </c>
      <c r="EI1104" s="2">
        <v>0</v>
      </c>
      <c r="EK1104" t="str">
        <f>IF(AND(AND(AND(OR($DX1104=1,$DW1104=1),OR($EC1104=1,$EA1104=1)),SUM($DV1104:$DZ1104,$EF1104)&gt;=4),SUM($EA1104:$EE1104)&gt;=2),"Whole sector","")</f>
        <v/>
      </c>
      <c r="EL1104" t="str">
        <f>IF(AND(AND(OR($DX1104=1,$DW1104=1),AND($EC1104=0,$EA1104=0)),SUM($DV1104:$DZ1104,$EF1104)&gt;=4),"Ecosystem approach","")</f>
        <v/>
      </c>
      <c r="EM1104" s="2" t="str">
        <f>IF(AND(AND(AND($DX1104=0,$DW1104=0),OR($EC1104=1,$EA1104=1)),SUM($EB1104:$EE1104)&gt;=2),"Technology approach","")</f>
        <v>Technology approach</v>
      </c>
      <c r="EP1104" t="b">
        <f>IF(ISNUMBER(BU1104),IF(ABS(BU1104-[1]QC_indicators!$B$2)&gt;3*[1]QC_indicators!$C$2,"C ratio",IF(ISNUMBER(BY1104),IF(ABS(BY1104-[1]QC_indicators!$B$1)&gt;3*[1]QC_indicators!$C$1,"DF","no"))),IF(ISNUMBER(BY1104),IF(ABS(BY1104-[1]QC_indicators!$B$1)&gt;3*[1]QC_indicators!$C$1,"DF","no")))</f>
        <v>0</v>
      </c>
      <c r="ET1104" s="264" t="s">
        <v>3273</v>
      </c>
    </row>
    <row r="1105" spans="1:150" ht="187">
      <c r="A1105" s="1" t="s">
        <v>265</v>
      </c>
      <c r="B1105" t="s">
        <v>1531</v>
      </c>
      <c r="C1105" t="s">
        <v>1532</v>
      </c>
      <c r="D1105" t="s">
        <v>1533</v>
      </c>
      <c r="E1105" t="s">
        <v>1534</v>
      </c>
      <c r="F1105" t="s">
        <v>1535</v>
      </c>
      <c r="G1105" t="s">
        <v>271</v>
      </c>
      <c r="H1105" t="s">
        <v>254</v>
      </c>
      <c r="I1105">
        <v>2019</v>
      </c>
      <c r="J1105">
        <v>26</v>
      </c>
      <c r="K1105" t="s">
        <v>1536</v>
      </c>
      <c r="M1105" t="str">
        <f>LEFT($D1105,FIND(",",$D1105)-1)&amp;"_"&amp;I1105&amp;L1105</f>
        <v>Faraca_2019</v>
      </c>
      <c r="N1105" t="s">
        <v>222</v>
      </c>
      <c r="O1105" s="145" t="s">
        <v>274</v>
      </c>
      <c r="P1105" s="180" t="s">
        <v>223</v>
      </c>
      <c r="Q1105" t="s">
        <v>256</v>
      </c>
      <c r="R1105" s="262" t="s">
        <v>223</v>
      </c>
      <c r="S1105" s="263" t="s">
        <v>3131</v>
      </c>
      <c r="T1105" t="s">
        <v>1538</v>
      </c>
      <c r="U1105" t="s">
        <v>969</v>
      </c>
      <c r="V1105">
        <v>0</v>
      </c>
      <c r="W1105">
        <v>0</v>
      </c>
      <c r="X1105">
        <v>0</v>
      </c>
      <c r="Y1105">
        <v>0</v>
      </c>
      <c r="Z1105">
        <v>0</v>
      </c>
      <c r="AA1105">
        <v>0</v>
      </c>
      <c r="AB1105">
        <v>0</v>
      </c>
      <c r="AC1105">
        <v>0</v>
      </c>
      <c r="AD1105">
        <v>0</v>
      </c>
      <c r="AE1105">
        <v>0</v>
      </c>
      <c r="AF1105">
        <v>0</v>
      </c>
      <c r="AG1105">
        <v>0</v>
      </c>
      <c r="AH1105">
        <v>0</v>
      </c>
      <c r="AI1105">
        <v>0</v>
      </c>
      <c r="AJ1105">
        <v>1</v>
      </c>
      <c r="AK1105">
        <v>0</v>
      </c>
      <c r="AL1105">
        <v>0</v>
      </c>
      <c r="AM1105">
        <v>0</v>
      </c>
      <c r="AN1105">
        <v>0</v>
      </c>
      <c r="AO1105">
        <v>0</v>
      </c>
      <c r="AP1105">
        <v>0</v>
      </c>
      <c r="AQ1105">
        <v>0</v>
      </c>
      <c r="AR1105">
        <v>0</v>
      </c>
      <c r="AS1105">
        <v>0</v>
      </c>
      <c r="AT1105">
        <v>0</v>
      </c>
      <c r="AU1105">
        <v>0</v>
      </c>
      <c r="AV1105">
        <v>0</v>
      </c>
      <c r="AW1105">
        <v>0</v>
      </c>
      <c r="AX1105" s="141">
        <f>COUNTIF(V1105:AW1105,"&lt;&gt;0")</f>
        <v>1</v>
      </c>
      <c r="AY1105" s="141">
        <f>COUNTIF(V1105:AL1105,"&lt;&gt;0")</f>
        <v>1</v>
      </c>
      <c r="AZ1105">
        <f>COUNTIF(V1105:AC1105,"&lt;&gt;0")</f>
        <v>0</v>
      </c>
      <c r="BA1105">
        <f>COUNTIF(AD1105:AI1105,"&lt;&gt;0")</f>
        <v>0</v>
      </c>
      <c r="BB1105">
        <f>COUNTIF(AJ1105:AL1105,"&lt;&gt;0")</f>
        <v>1</v>
      </c>
      <c r="BC1105">
        <f>COUNTIF(AS1105:AW1105,"&lt;&gt;0")</f>
        <v>0</v>
      </c>
      <c r="BD1105">
        <f>COUNTIF(AM1105:AR1105,"&lt;&gt;0")</f>
        <v>0</v>
      </c>
      <c r="BE1105" t="str">
        <f t="array" ref="BE1105">IF(AY1105=1,INDEX($V$7:$AL$7,MATCH(TRUE,INDEX($V1105:$AW1105&lt;&gt;0,),0)),IF(AY1105=0,INDEX($AM$7:$AW$7,MATCH(1,$AM1105:$AW1105,0)),IF(BF1105="Multiple strategies","mixed drivers",IF(BF1105="Supply chain","multiple supply","multiple silviculture"))))</f>
        <v>efficiency improvement</v>
      </c>
      <c r="BF1105" s="2" t="str" cm="1">
        <f t="array" ref="BF1105">IF(COUNTIF(AZ1105:BB1105,"&lt;&gt;0")=1,INDEX($V$4:$AW$4,MATCH(TRUE,INDEX($V1105:$AW1105&lt;&gt;0,),0)),IF(COUNTIF(AZ1105:BB1105,"&lt;&gt;0")=0,INDEX($AM$4:$AW$4,MATCH(1,$AM1105:$AW1105,0)),"Multiple strategies"))</f>
        <v>Technology</v>
      </c>
      <c r="BG1105" s="1" t="s">
        <v>229</v>
      </c>
      <c r="BH1105" t="s">
        <v>1548</v>
      </c>
      <c r="BI1105" s="264" t="s">
        <v>3121</v>
      </c>
      <c r="BJ1105" t="s">
        <v>345</v>
      </c>
      <c r="BK1105">
        <v>562</v>
      </c>
      <c r="BL1105">
        <v>562</v>
      </c>
      <c r="BM1105">
        <v>1</v>
      </c>
      <c r="BN1105">
        <f>BL1105-BK1105</f>
        <v>0</v>
      </c>
      <c r="BO1105">
        <f>BN1105*kg_to_m3</f>
        <v>0</v>
      </c>
      <c r="BP1105" s="264" t="s">
        <v>395</v>
      </c>
      <c r="BQ1105" t="s">
        <v>426</v>
      </c>
      <c r="BR1105" t="s">
        <v>728</v>
      </c>
      <c r="BS1105">
        <v>33.9</v>
      </c>
      <c r="BT1105">
        <v>-40.700000000000003</v>
      </c>
      <c r="BU1105" s="144">
        <v>1</v>
      </c>
      <c r="BV1105">
        <f>BT1105-BS1105</f>
        <v>-74.599999999999994</v>
      </c>
      <c r="BX1105">
        <f>BV1105/1000</f>
        <v>-7.46E-2</v>
      </c>
      <c r="BY1105" t="str">
        <f>IFERROR(BX1105/BO1105,"")</f>
        <v/>
      </c>
      <c r="BZ1105">
        <v>0</v>
      </c>
      <c r="CA1105">
        <v>0</v>
      </c>
      <c r="CB1105">
        <v>0</v>
      </c>
      <c r="CC1105">
        <v>0</v>
      </c>
      <c r="CD1105">
        <v>0</v>
      </c>
      <c r="CE1105">
        <v>0</v>
      </c>
      <c r="CF1105">
        <v>0</v>
      </c>
      <c r="CG1105">
        <v>0</v>
      </c>
      <c r="CH1105">
        <v>0</v>
      </c>
      <c r="CI1105">
        <v>0</v>
      </c>
      <c r="CJ1105">
        <v>0</v>
      </c>
      <c r="CK1105">
        <v>0</v>
      </c>
      <c r="CL1105">
        <v>0</v>
      </c>
      <c r="CM1105">
        <v>0</v>
      </c>
      <c r="CN1105" t="str">
        <f>IF($BL1105&lt;$BK1105,"refNeedCorrection","refOK")</f>
        <v>refOK</v>
      </c>
      <c r="CO1105">
        <f>IF($CN1105="refNeedCorrection",BL1105,BK1105)</f>
        <v>562</v>
      </c>
      <c r="CP1105">
        <f>IF($CN1105="refNeedCorrection",BK1105,BL1105)</f>
        <v>562</v>
      </c>
      <c r="CQ1105">
        <f>IF($CN1105="refOK",$BO1105,-$BO1105)</f>
        <v>0</v>
      </c>
      <c r="CR1105">
        <f>IF($CN1105="refOK",$BS1105,$BT1105)*IF($BP1105="Emissions positive",-1,1)</f>
        <v>-33.9</v>
      </c>
      <c r="CS1105">
        <f>IF($CN1105="refOK",$BT1105,$BS1105)*IF($BP1105="Emissions positive",-1,1)</f>
        <v>40.700000000000003</v>
      </c>
      <c r="CT1105">
        <f>IF($CN1105="refNeedCorrection",-BX1105,BX1105)*IF($BP1105="Emissions positive",-1,1)</f>
        <v>7.46E-2</v>
      </c>
      <c r="CU1105" t="str">
        <f>IFERROR(CT1105/CQ1105,"")</f>
        <v/>
      </c>
      <c r="CV1105" s="2">
        <f>IFERROR((CS1105-CR1105)/ABS(CR1105),"")</f>
        <v>2.2005899705014746</v>
      </c>
      <c r="CW1105" s="1" t="s">
        <v>1199</v>
      </c>
      <c r="CX1105" t="str">
        <f>IF(OR($CW1105="prd",$CW1105="std",$CW1105="cit"),"loc",IF(OR($CW1105="eur",$CW1105="reg",$CW1105="coy"),"reg",$CW1105))</f>
        <v>reg</v>
      </c>
      <c r="CY1105" t="s">
        <v>1540</v>
      </c>
      <c r="DB1105">
        <v>100</v>
      </c>
      <c r="DC1105" t="str">
        <f>IF(DB1105=0,"0",IF(AND(DB1105&gt;=1,DB1105&lt;=30),"1-30",IF(AND(DB1105&gt;30,DB1105&lt;=70),"31-70",IF(AND(DB1105&gt;70,DB1105&lt;=100),"71-100",IF(DB1105&gt;100,"+100")))))</f>
        <v>71-100</v>
      </c>
      <c r="DD1105">
        <v>0</v>
      </c>
      <c r="DE1105">
        <v>0</v>
      </c>
      <c r="DF1105">
        <v>0</v>
      </c>
      <c r="DG1105">
        <v>1</v>
      </c>
      <c r="DI1105">
        <f>SUM(DD1105:DG1105)</f>
        <v>1</v>
      </c>
      <c r="DJ1105" t="str">
        <f>IF(DI1105=1,INDEX($DD$7:$DG$7,MATCH(1,$DD1105:$DG1105,0)),"mixedProduct")</f>
        <v>TimberInput</v>
      </c>
      <c r="DK1105">
        <f>IF(DD1105=1,DK$7,0)</f>
        <v>0</v>
      </c>
      <c r="DL1105">
        <f>IF(DE1105=1,DL$7,0)</f>
        <v>0</v>
      </c>
      <c r="DM1105">
        <f>IF(DF1105=1,DM$7,0)</f>
        <v>0</v>
      </c>
      <c r="DN1105" t="str">
        <f>IF(DG1105=1,DN$7,0)</f>
        <v>Timber</v>
      </c>
      <c r="DO1105">
        <v>0</v>
      </c>
      <c r="DP1105">
        <v>1</v>
      </c>
      <c r="DQ1105">
        <v>0</v>
      </c>
      <c r="DR1105">
        <v>0</v>
      </c>
      <c r="DS1105" t="s">
        <v>1541</v>
      </c>
      <c r="DT1105">
        <f>SUM(DO1105:DP1105)</f>
        <v>1</v>
      </c>
      <c r="DU1105" s="143" t="str">
        <f>IF(DO1105=1,"self-calculated DF",IF(DP1105=1,"external DF used","explicit C balance"))</f>
        <v>external DF used</v>
      </c>
      <c r="DV1105">
        <v>0</v>
      </c>
      <c r="DW1105">
        <v>0</v>
      </c>
      <c r="DX1105">
        <v>0</v>
      </c>
      <c r="DY1105">
        <v>0</v>
      </c>
      <c r="DZ1105">
        <v>1</v>
      </c>
      <c r="EA1105" s="143">
        <v>1</v>
      </c>
      <c r="EB1105">
        <v>0</v>
      </c>
      <c r="EC1105">
        <v>1</v>
      </c>
      <c r="ED1105">
        <v>0</v>
      </c>
      <c r="EE1105">
        <v>1</v>
      </c>
      <c r="EF1105">
        <v>1</v>
      </c>
      <c r="EG1105">
        <v>1</v>
      </c>
      <c r="EH1105">
        <v>0</v>
      </c>
      <c r="EI1105" s="2">
        <v>0</v>
      </c>
      <c r="EK1105" t="str">
        <f>IF(AND(AND(AND(OR($DX1105=1,$DW1105=1),OR($EC1105=1,$EA1105=1)),SUM($DV1105:$DZ1105,$EF1105)&gt;=4),SUM($EA1105:$EE1105)&gt;=2),"Whole sector","")</f>
        <v/>
      </c>
      <c r="EL1105" t="str">
        <f>IF(AND(AND(OR($DX1105=1,$DW1105=1),AND($EC1105=0,$EA1105=0)),SUM($DV1105:$DZ1105,$EF1105)&gt;=4),"Ecosystem approach","")</f>
        <v/>
      </c>
      <c r="EM1105" s="2" t="str">
        <f>IF(AND(AND(AND($DX1105=0,$DW1105=0),OR($EC1105=1,$EA1105=1)),SUM($EB1105:$EE1105)&gt;=2),"Technology approach","")</f>
        <v>Technology approach</v>
      </c>
      <c r="EP1105" t="b">
        <f>IF(ISNUMBER(BU1105),IF(ABS(BU1105-[1]QC_indicators!$B$2)&gt;3*[1]QC_indicators!$C$2,"C ratio",IF(ISNUMBER(BY1105),IF(ABS(BY1105-[1]QC_indicators!$B$1)&gt;3*[1]QC_indicators!$C$1,"DF","no"))),IF(ISNUMBER(BY1105),IF(ABS(BY1105-[1]QC_indicators!$B$1)&gt;3*[1]QC_indicators!$C$1,"DF","no")))</f>
        <v>0</v>
      </c>
      <c r="ET1105" s="264" t="s">
        <v>3273</v>
      </c>
    </row>
    <row r="1106" spans="1:150" ht="187">
      <c r="A1106" s="1" t="s">
        <v>265</v>
      </c>
      <c r="B1106" t="s">
        <v>1531</v>
      </c>
      <c r="C1106" t="s">
        <v>1532</v>
      </c>
      <c r="D1106" t="s">
        <v>1533</v>
      </c>
      <c r="E1106" t="s">
        <v>1534</v>
      </c>
      <c r="F1106" t="s">
        <v>1535</v>
      </c>
      <c r="G1106" t="s">
        <v>271</v>
      </c>
      <c r="H1106" t="s">
        <v>254</v>
      </c>
      <c r="I1106">
        <v>2019</v>
      </c>
      <c r="J1106">
        <v>26</v>
      </c>
      <c r="K1106" t="s">
        <v>1536</v>
      </c>
      <c r="M1106" t="str">
        <f>LEFT($D1106,FIND(",",$D1106)-1)&amp;"_"&amp;I1106&amp;L1106</f>
        <v>Faraca_2019</v>
      </c>
      <c r="N1106" t="s">
        <v>222</v>
      </c>
      <c r="O1106" s="145" t="s">
        <v>274</v>
      </c>
      <c r="P1106" s="180" t="s">
        <v>223</v>
      </c>
      <c r="Q1106" t="s">
        <v>256</v>
      </c>
      <c r="R1106" s="262" t="s">
        <v>223</v>
      </c>
      <c r="S1106" s="1" t="s">
        <v>1537</v>
      </c>
      <c r="T1106" t="s">
        <v>1538</v>
      </c>
      <c r="U1106" t="s">
        <v>969</v>
      </c>
      <c r="V1106">
        <v>0</v>
      </c>
      <c r="W1106">
        <v>0</v>
      </c>
      <c r="X1106">
        <v>0</v>
      </c>
      <c r="Y1106">
        <v>0</v>
      </c>
      <c r="Z1106">
        <v>0</v>
      </c>
      <c r="AA1106">
        <v>0</v>
      </c>
      <c r="AB1106">
        <v>0</v>
      </c>
      <c r="AC1106">
        <v>0</v>
      </c>
      <c r="AD1106">
        <v>0</v>
      </c>
      <c r="AE1106">
        <v>0</v>
      </c>
      <c r="AF1106">
        <v>0</v>
      </c>
      <c r="AG1106">
        <v>0</v>
      </c>
      <c r="AH1106">
        <v>0</v>
      </c>
      <c r="AI1106">
        <v>0</v>
      </c>
      <c r="AJ1106">
        <v>1</v>
      </c>
      <c r="AK1106">
        <v>0</v>
      </c>
      <c r="AL1106">
        <v>0</v>
      </c>
      <c r="AM1106">
        <v>0</v>
      </c>
      <c r="AN1106">
        <v>0</v>
      </c>
      <c r="AO1106">
        <v>0</v>
      </c>
      <c r="AP1106">
        <v>0</v>
      </c>
      <c r="AQ1106">
        <v>0</v>
      </c>
      <c r="AR1106">
        <v>0</v>
      </c>
      <c r="AS1106">
        <v>0</v>
      </c>
      <c r="AT1106">
        <v>0</v>
      </c>
      <c r="AU1106">
        <v>0</v>
      </c>
      <c r="AV1106">
        <v>0</v>
      </c>
      <c r="AW1106">
        <v>0</v>
      </c>
      <c r="AX1106" s="141">
        <f>COUNTIF(V1106:AW1106,"&lt;&gt;0")</f>
        <v>1</v>
      </c>
      <c r="AY1106" s="141">
        <f>COUNTIF(V1106:AL1106,"&lt;&gt;0")</f>
        <v>1</v>
      </c>
      <c r="AZ1106">
        <f>COUNTIF(V1106:AC1106,"&lt;&gt;0")</f>
        <v>0</v>
      </c>
      <c r="BA1106">
        <f>COUNTIF(AD1106:AI1106,"&lt;&gt;0")</f>
        <v>0</v>
      </c>
      <c r="BB1106">
        <f>COUNTIF(AJ1106:AL1106,"&lt;&gt;0")</f>
        <v>1</v>
      </c>
      <c r="BC1106">
        <f>COUNTIF(AS1106:AW1106,"&lt;&gt;0")</f>
        <v>0</v>
      </c>
      <c r="BD1106">
        <f>COUNTIF(AM1106:AR1106,"&lt;&gt;0")</f>
        <v>0</v>
      </c>
      <c r="BE1106" t="str">
        <f t="array" ref="BE1106">IF(AY1106=1,INDEX($V$7:$AL$7,MATCH(TRUE,INDEX($V1106:$AW1106&lt;&gt;0,),0)),IF(AY1106=0,INDEX($AM$7:$AW$7,MATCH(1,$AM1106:$AW1106,0)),IF(BF1106="Multiple strategies","mixed drivers",IF(BF1106="Supply chain","multiple supply","multiple silviculture"))))</f>
        <v>efficiency improvement</v>
      </c>
      <c r="BF1106" s="2" t="str" cm="1">
        <f t="array" ref="BF1106">IF(COUNTIF(AZ1106:BB1106,"&lt;&gt;0")=1,INDEX($V$4:$AW$4,MATCH(TRUE,INDEX($V1106:$AW1106&lt;&gt;0,),0)),IF(COUNTIF(AZ1106:BB1106,"&lt;&gt;0")=0,INDEX($AM$4:$AW$4,MATCH(1,$AM1106:$AW1106,0)),"Multiple strategies"))</f>
        <v>Technology</v>
      </c>
      <c r="BG1106" s="1" t="s">
        <v>229</v>
      </c>
      <c r="BH1106" t="s">
        <v>1548</v>
      </c>
      <c r="BI1106" s="264" t="s">
        <v>3121</v>
      </c>
      <c r="BJ1106" t="s">
        <v>345</v>
      </c>
      <c r="BK1106">
        <v>562</v>
      </c>
      <c r="BL1106">
        <v>562</v>
      </c>
      <c r="BM1106">
        <v>1</v>
      </c>
      <c r="BN1106">
        <f>BL1106-BK1106</f>
        <v>0</v>
      </c>
      <c r="BO1106">
        <f>BN1106*kg_to_m3</f>
        <v>0</v>
      </c>
      <c r="BP1106" s="264" t="s">
        <v>395</v>
      </c>
      <c r="BQ1106" t="s">
        <v>426</v>
      </c>
      <c r="BR1106" t="s">
        <v>728</v>
      </c>
      <c r="BS1106">
        <v>-16.899999999999999</v>
      </c>
      <c r="BT1106">
        <v>-84.7</v>
      </c>
      <c r="BU1106" s="144"/>
      <c r="BV1106">
        <f>BT1106-BS1106</f>
        <v>-67.800000000000011</v>
      </c>
      <c r="BX1106">
        <f>BV1106/1000</f>
        <v>-6.7800000000000013E-2</v>
      </c>
      <c r="BY1106" t="str">
        <f>IFERROR(BX1106/BO1106,"")</f>
        <v/>
      </c>
      <c r="BZ1106">
        <v>0</v>
      </c>
      <c r="CA1106">
        <v>0</v>
      </c>
      <c r="CB1106">
        <v>0</v>
      </c>
      <c r="CC1106">
        <v>0</v>
      </c>
      <c r="CD1106">
        <v>0</v>
      </c>
      <c r="CE1106">
        <v>0</v>
      </c>
      <c r="CF1106">
        <v>0</v>
      </c>
      <c r="CG1106">
        <v>0</v>
      </c>
      <c r="CH1106">
        <v>0</v>
      </c>
      <c r="CI1106">
        <v>0</v>
      </c>
      <c r="CJ1106">
        <v>0</v>
      </c>
      <c r="CK1106">
        <v>0</v>
      </c>
      <c r="CL1106">
        <v>0</v>
      </c>
      <c r="CM1106">
        <v>0</v>
      </c>
      <c r="CN1106" t="str">
        <f>IF($BL1106&lt;$BK1106,"refNeedCorrection","refOK")</f>
        <v>refOK</v>
      </c>
      <c r="CO1106">
        <f>IF($CN1106="refNeedCorrection",BL1106,BK1106)</f>
        <v>562</v>
      </c>
      <c r="CP1106">
        <f>IF($CN1106="refNeedCorrection",BK1106,BL1106)</f>
        <v>562</v>
      </c>
      <c r="CQ1106">
        <f>IF($CN1106="refOK",$BO1106,-$BO1106)</f>
        <v>0</v>
      </c>
      <c r="CR1106">
        <f>IF($CN1106="refOK",$BS1106,$BT1106)*IF($BP1106="Emissions positive",-1,1)</f>
        <v>16.899999999999999</v>
      </c>
      <c r="CS1106">
        <f>IF($CN1106="refOK",$BS1106,#REF!)*IF($BP1106="Emissions positive",-1,1)</f>
        <v>16.899999999999999</v>
      </c>
      <c r="CT1106">
        <f>IF($CN1106="refNeedCorrection",-BX1106,BX1106)*IF($BP1106="Emissions positive",-1,1)</f>
        <v>6.7800000000000013E-2</v>
      </c>
      <c r="CU1106" t="str">
        <f>IFERROR(CT1106/CQ1106,"")</f>
        <v/>
      </c>
      <c r="CV1106" s="2">
        <f>IFERROR((CS1106-CR1106)/ABS(CR1106),"")</f>
        <v>0</v>
      </c>
      <c r="CW1106" s="1" t="s">
        <v>1199</v>
      </c>
      <c r="CX1106" t="str">
        <f>IF(OR($CW1106="prd",$CW1106="std",$CW1106="cit"),"loc",IF(OR($CW1106="eur",$CW1106="reg",$CW1106="coy"),"reg",$CW1106))</f>
        <v>reg</v>
      </c>
      <c r="CY1106" t="s">
        <v>1540</v>
      </c>
      <c r="DB1106">
        <v>500</v>
      </c>
      <c r="DC1106" t="str">
        <f>IF(DB1106=0,"0",IF(AND(DB1106&gt;=1,DB1106&lt;=30),"1-30",IF(AND(DB1106&gt;30,DB1106&lt;=70),"31-70",IF(AND(DB1106&gt;70,DB1106&lt;=100),"71-100",IF(DB1106&gt;100,"+100")))))</f>
        <v>+100</v>
      </c>
      <c r="DD1106">
        <v>0</v>
      </c>
      <c r="DE1106">
        <v>0</v>
      </c>
      <c r="DF1106">
        <v>0</v>
      </c>
      <c r="DG1106">
        <v>1</v>
      </c>
      <c r="DI1106">
        <f>SUM(DD1106:DG1106)</f>
        <v>1</v>
      </c>
      <c r="DJ1106" t="str">
        <f>IF(DI1106=1,INDEX($DD$7:$DG$7,MATCH(1,$DD1106:$DG1106,0)),"mixedProduct")</f>
        <v>TimberInput</v>
      </c>
      <c r="DK1106">
        <f>IF(DD1106=1,DK$7,0)</f>
        <v>0</v>
      </c>
      <c r="DL1106">
        <f>IF(DE1106=1,DL$7,0)</f>
        <v>0</v>
      </c>
      <c r="DM1106">
        <f>IF(DF1106=1,DM$7,0)</f>
        <v>0</v>
      </c>
      <c r="DN1106" t="str">
        <f>IF(DG1106=1,DN$7,0)</f>
        <v>Timber</v>
      </c>
      <c r="DO1106">
        <v>0</v>
      </c>
      <c r="DP1106">
        <v>0</v>
      </c>
      <c r="DQ1106">
        <v>0</v>
      </c>
      <c r="DR1106">
        <v>0</v>
      </c>
      <c r="DS1106">
        <v>0</v>
      </c>
      <c r="DT1106">
        <f>SUM(DO1106:DP1106)</f>
        <v>0</v>
      </c>
      <c r="DU1106" s="143" t="str">
        <f>IF(DO1106=1,"self-calculated DF",IF(DP1106=1,"external DF used","explicit C balance"))</f>
        <v>explicit C balance</v>
      </c>
      <c r="DV1106">
        <v>0</v>
      </c>
      <c r="DW1106">
        <v>0</v>
      </c>
      <c r="DX1106">
        <v>0</v>
      </c>
      <c r="DY1106">
        <v>0</v>
      </c>
      <c r="DZ1106">
        <v>1</v>
      </c>
      <c r="EA1106" s="143">
        <v>1</v>
      </c>
      <c r="EB1106">
        <v>0</v>
      </c>
      <c r="EC1106">
        <v>1</v>
      </c>
      <c r="ED1106">
        <v>0</v>
      </c>
      <c r="EE1106">
        <v>1</v>
      </c>
      <c r="EF1106">
        <v>1</v>
      </c>
      <c r="EG1106">
        <v>1</v>
      </c>
      <c r="EH1106">
        <v>0</v>
      </c>
      <c r="EI1106" s="2">
        <v>0</v>
      </c>
      <c r="EK1106" t="str">
        <f>IF(AND(AND(AND(OR($DX1106=1,$DW1106=1),OR($EC1106=1,$EA1106=1)),SUM($DV1106:$DZ1106,$EF1106)&gt;=4),SUM($EA1106:$EE1106)&gt;=2),"Whole sector","")</f>
        <v/>
      </c>
      <c r="EL1106" t="str">
        <f>IF(AND(AND(OR($DX1106=1,$DW1106=1),AND($EC1106=0,$EA1106=0)),SUM($DV1106:$DZ1106,$EF1106)&gt;=4),"Ecosystem approach","")</f>
        <v/>
      </c>
      <c r="EM1106" s="2" t="str">
        <f>IF(AND(AND(AND($DX1106=0,$DW1106=0),OR($EC1106=1,$EA1106=1)),SUM($EB1106:$EE1106)&gt;=2),"Technology approach","")</f>
        <v>Technology approach</v>
      </c>
      <c r="EP1106" t="b">
        <f>IF(ISNUMBER(BU1106),IF(ABS(BU1106-[1]QC_indicators!$B$2)&gt;3*[1]QC_indicators!$C$2,"C ratio",IF(ISNUMBER(BY1106),IF(ABS(BY1106-[1]QC_indicators!$B$1)&gt;3*[1]QC_indicators!$C$1,"DF","no"))),IF(ISNUMBER(BY1106),IF(ABS(BY1106-[1]QC_indicators!$B$1)&gt;3*[1]QC_indicators!$C$1,"DF","no")))</f>
        <v>0</v>
      </c>
      <c r="ET1106" s="264" t="s">
        <v>3273</v>
      </c>
    </row>
    <row r="1107" spans="1:150" ht="187">
      <c r="A1107" s="1" t="s">
        <v>265</v>
      </c>
      <c r="B1107" t="s">
        <v>1531</v>
      </c>
      <c r="C1107" t="s">
        <v>1532</v>
      </c>
      <c r="D1107" t="s">
        <v>1533</v>
      </c>
      <c r="E1107" t="s">
        <v>1534</v>
      </c>
      <c r="F1107" t="s">
        <v>1535</v>
      </c>
      <c r="G1107" t="s">
        <v>271</v>
      </c>
      <c r="H1107" t="s">
        <v>254</v>
      </c>
      <c r="I1107">
        <v>2019</v>
      </c>
      <c r="J1107">
        <v>26</v>
      </c>
      <c r="K1107" t="s">
        <v>1536</v>
      </c>
      <c r="M1107" t="str">
        <f>LEFT($D1107,FIND(",",$D1107)-1)&amp;"_"&amp;I1107&amp;L1107</f>
        <v>Faraca_2019</v>
      </c>
      <c r="N1107" t="s">
        <v>222</v>
      </c>
      <c r="O1107" s="145" t="s">
        <v>274</v>
      </c>
      <c r="P1107" s="180" t="s">
        <v>223</v>
      </c>
      <c r="Q1107" t="s">
        <v>256</v>
      </c>
      <c r="R1107" s="262" t="s">
        <v>223</v>
      </c>
      <c r="S1107" s="1" t="s">
        <v>1537</v>
      </c>
      <c r="T1107" t="s">
        <v>1538</v>
      </c>
      <c r="U1107" t="s">
        <v>969</v>
      </c>
      <c r="V1107">
        <v>0</v>
      </c>
      <c r="W1107">
        <v>0</v>
      </c>
      <c r="X1107">
        <v>0</v>
      </c>
      <c r="Y1107">
        <v>0</v>
      </c>
      <c r="Z1107">
        <v>0</v>
      </c>
      <c r="AA1107">
        <v>0</v>
      </c>
      <c r="AB1107">
        <v>0</v>
      </c>
      <c r="AC1107">
        <v>0</v>
      </c>
      <c r="AD1107">
        <v>0</v>
      </c>
      <c r="AE1107">
        <v>0</v>
      </c>
      <c r="AF1107">
        <v>0</v>
      </c>
      <c r="AG1107">
        <v>0</v>
      </c>
      <c r="AH1107">
        <v>0</v>
      </c>
      <c r="AI1107">
        <v>0</v>
      </c>
      <c r="AJ1107">
        <v>1</v>
      </c>
      <c r="AK1107">
        <v>0</v>
      </c>
      <c r="AL1107">
        <v>0</v>
      </c>
      <c r="AM1107">
        <v>0</v>
      </c>
      <c r="AN1107">
        <v>0</v>
      </c>
      <c r="AO1107">
        <v>0</v>
      </c>
      <c r="AP1107">
        <v>0</v>
      </c>
      <c r="AQ1107">
        <v>0</v>
      </c>
      <c r="AR1107">
        <v>0</v>
      </c>
      <c r="AS1107">
        <v>0</v>
      </c>
      <c r="AT1107">
        <v>0</v>
      </c>
      <c r="AU1107">
        <v>0</v>
      </c>
      <c r="AV1107">
        <v>0</v>
      </c>
      <c r="AW1107">
        <v>0</v>
      </c>
      <c r="AX1107" s="141">
        <f>COUNTIF(V1107:AW1107,"&lt;&gt;0")</f>
        <v>1</v>
      </c>
      <c r="AY1107" s="141">
        <f>COUNTIF(V1107:AL1107,"&lt;&gt;0")</f>
        <v>1</v>
      </c>
      <c r="AZ1107">
        <f>COUNTIF(V1107:AC1107,"&lt;&gt;0")</f>
        <v>0</v>
      </c>
      <c r="BA1107">
        <f>COUNTIF(AD1107:AI1107,"&lt;&gt;0")</f>
        <v>0</v>
      </c>
      <c r="BB1107">
        <f>COUNTIF(AJ1107:AL1107,"&lt;&gt;0")</f>
        <v>1</v>
      </c>
      <c r="BC1107">
        <f>COUNTIF(AS1107:AW1107,"&lt;&gt;0")</f>
        <v>0</v>
      </c>
      <c r="BD1107">
        <f>COUNTIF(AM1107:AR1107,"&lt;&gt;0")</f>
        <v>0</v>
      </c>
      <c r="BE1107" t="str">
        <f t="array" ref="BE1107">IF(AY1107=1,INDEX($V$7:$AL$7,MATCH(TRUE,INDEX($V1107:$AW1107&lt;&gt;0,),0)),IF(AY1107=0,INDEX($AM$7:$AW$7,MATCH(1,$AM1107:$AW1107,0)),IF(BF1107="Multiple strategies","mixed drivers",IF(BF1107="Supply chain","multiple supply","multiple silviculture"))))</f>
        <v>efficiency improvement</v>
      </c>
      <c r="BF1107" s="2" t="str" cm="1">
        <f t="array" ref="BF1107">IF(COUNTIF(AZ1107:BB1107,"&lt;&gt;0")=1,INDEX($V$4:$AW$4,MATCH(TRUE,INDEX($V1107:$AW1107&lt;&gt;0,),0)),IF(COUNTIF(AZ1107:BB1107,"&lt;&gt;0")=0,INDEX($AM$4:$AW$4,MATCH(1,$AM1107:$AW1107,0)),"Multiple strategies"))</f>
        <v>Technology</v>
      </c>
      <c r="BG1107" s="1" t="s">
        <v>229</v>
      </c>
      <c r="BH1107" t="s">
        <v>1548</v>
      </c>
      <c r="BI1107" s="264" t="s">
        <v>3121</v>
      </c>
      <c r="BJ1107" t="s">
        <v>345</v>
      </c>
      <c r="BK1107">
        <v>562</v>
      </c>
      <c r="BL1107">
        <v>562</v>
      </c>
      <c r="BM1107">
        <v>1</v>
      </c>
      <c r="BN1107">
        <f>BL1107-BK1107</f>
        <v>0</v>
      </c>
      <c r="BO1107">
        <f>BN1107*kg_to_m3</f>
        <v>0</v>
      </c>
      <c r="BP1107" s="264" t="s">
        <v>395</v>
      </c>
      <c r="BR1107" t="s">
        <v>728</v>
      </c>
      <c r="BS1107">
        <v>-462.1</v>
      </c>
      <c r="BT1107">
        <v>-589.70000000000005</v>
      </c>
      <c r="BU1107" s="144">
        <v>1</v>
      </c>
      <c r="BV1107">
        <f>BT1107-BS1107</f>
        <v>-127.60000000000002</v>
      </c>
      <c r="BX1107">
        <f>BV1107/1000</f>
        <v>-0.12760000000000002</v>
      </c>
      <c r="BY1107" t="str">
        <f>IFERROR(BX1107/BO1107,"")</f>
        <v/>
      </c>
      <c r="BZ1107">
        <v>0</v>
      </c>
      <c r="CA1107">
        <v>0</v>
      </c>
      <c r="CB1107">
        <v>0</v>
      </c>
      <c r="CC1107">
        <v>0</v>
      </c>
      <c r="CD1107">
        <v>0</v>
      </c>
      <c r="CE1107">
        <v>0</v>
      </c>
      <c r="CF1107">
        <v>0</v>
      </c>
      <c r="CG1107">
        <v>0</v>
      </c>
      <c r="CH1107">
        <v>0</v>
      </c>
      <c r="CI1107">
        <v>0</v>
      </c>
      <c r="CJ1107">
        <v>0</v>
      </c>
      <c r="CK1107">
        <v>0</v>
      </c>
      <c r="CL1107">
        <v>0</v>
      </c>
      <c r="CM1107">
        <v>0</v>
      </c>
      <c r="CN1107" t="str">
        <f>IF($BL1107&lt;$BK1107,"refNeedCorrection","refOK")</f>
        <v>refOK</v>
      </c>
      <c r="CO1107">
        <f>IF($CN1107="refNeedCorrection",BL1107,BK1107)</f>
        <v>562</v>
      </c>
      <c r="CP1107">
        <f>IF($CN1107="refNeedCorrection",BK1107,BL1107)</f>
        <v>562</v>
      </c>
      <c r="CQ1107">
        <f>IF($CN1107="refOK",$BO1107,-$BO1107)</f>
        <v>0</v>
      </c>
      <c r="CR1107">
        <f>IF($CN1107="refOK",$BS1107,$BT1107)*IF($BP1107="Emissions positive",-1,1)</f>
        <v>462.1</v>
      </c>
      <c r="CS1107">
        <f>IF($CN1107="refOK",$BT1107,$BS1107)*IF($BP1107="Emissions positive",-1,1)</f>
        <v>589.70000000000005</v>
      </c>
      <c r="CT1107">
        <f>IF($CN1107="refNeedCorrection",-BX1107,BX1107)*IF($BP1107="Emissions positive",-1,1)</f>
        <v>0.12760000000000002</v>
      </c>
      <c r="CU1107" t="str">
        <f>IFERROR(CT1107/CQ1107,"")</f>
        <v/>
      </c>
      <c r="CV1107" s="2">
        <f>IFERROR((CS1107-CR1107)/ABS(CR1107),"")</f>
        <v>0.27613070763903919</v>
      </c>
      <c r="CW1107" s="1" t="s">
        <v>1199</v>
      </c>
      <c r="CX1107" t="str">
        <f>IF(OR($CW1107="prd",$CW1107="std",$CW1107="cit"),"loc",IF(OR($CW1107="eur",$CW1107="reg",$CW1107="coy"),"reg",$CW1107))</f>
        <v>reg</v>
      </c>
      <c r="CY1107" t="s">
        <v>1540</v>
      </c>
      <c r="DB1107">
        <v>500</v>
      </c>
      <c r="DC1107" t="str">
        <f>IF(DB1107=0,"0",IF(AND(DB1107&gt;=1,DB1107&lt;=30),"1-30",IF(AND(DB1107&gt;30,DB1107&lt;=70),"31-70",IF(AND(DB1107&gt;70,DB1107&lt;=100),"71-100",IF(DB1107&gt;100,"+100")))))</f>
        <v>+100</v>
      </c>
      <c r="DD1107">
        <v>0</v>
      </c>
      <c r="DE1107">
        <v>0</v>
      </c>
      <c r="DF1107">
        <v>0</v>
      </c>
      <c r="DG1107">
        <v>1</v>
      </c>
      <c r="DI1107">
        <f>SUM(DD1107:DG1107)</f>
        <v>1</v>
      </c>
      <c r="DJ1107" t="str">
        <f>IF(DI1107=1,INDEX($DD$7:$DG$7,MATCH(1,$DD1107:$DG1107,0)),"mixedProduct")</f>
        <v>TimberInput</v>
      </c>
      <c r="DK1107">
        <f>IF(DD1107=1,DK$7,0)</f>
        <v>0</v>
      </c>
      <c r="DL1107">
        <f>IF(DE1107=1,DL$7,0)</f>
        <v>0</v>
      </c>
      <c r="DM1107">
        <f>IF(DF1107=1,DM$7,0)</f>
        <v>0</v>
      </c>
      <c r="DN1107" t="str">
        <f>IF(DG1107=1,DN$7,0)</f>
        <v>Timber</v>
      </c>
      <c r="DO1107">
        <v>0</v>
      </c>
      <c r="DP1107">
        <v>1</v>
      </c>
      <c r="DQ1107">
        <v>0</v>
      </c>
      <c r="DR1107">
        <v>0</v>
      </c>
      <c r="DS1107" t="s">
        <v>1541</v>
      </c>
      <c r="DT1107">
        <f>SUM(DO1107:DP1107)</f>
        <v>1</v>
      </c>
      <c r="DU1107" s="143" t="str">
        <f>IF(DO1107=1,"self-calculated DF",IF(DP1107=1,"external DF used","explicit C balance"))</f>
        <v>external DF used</v>
      </c>
      <c r="DV1107">
        <v>0</v>
      </c>
      <c r="DW1107">
        <v>0</v>
      </c>
      <c r="DX1107">
        <v>0</v>
      </c>
      <c r="DY1107">
        <v>0</v>
      </c>
      <c r="DZ1107">
        <v>1</v>
      </c>
      <c r="EA1107" s="143">
        <v>1</v>
      </c>
      <c r="EB1107">
        <v>0</v>
      </c>
      <c r="EC1107">
        <v>1</v>
      </c>
      <c r="ED1107">
        <v>0</v>
      </c>
      <c r="EE1107">
        <v>1</v>
      </c>
      <c r="EF1107">
        <v>1</v>
      </c>
      <c r="EG1107">
        <v>1</v>
      </c>
      <c r="EH1107">
        <v>1</v>
      </c>
      <c r="EI1107" s="2">
        <v>0</v>
      </c>
      <c r="EK1107" t="str">
        <f>IF(AND(AND(AND(OR($DX1107=1,$DW1107=1),OR($EC1107=1,$EA1107=1)),SUM($DV1107:$DZ1107,$EF1107)&gt;=4),SUM($EA1107:$EE1107)&gt;=2),"Whole sector","")</f>
        <v/>
      </c>
      <c r="EL1107" t="str">
        <f>IF(AND(AND(OR($DX1107=1,$DW1107=1),AND($EC1107=0,$EA1107=0)),SUM($DV1107:$DZ1107,$EF1107)&gt;=4),"Ecosystem approach","")</f>
        <v/>
      </c>
      <c r="EM1107" s="2" t="str">
        <f>IF(AND(AND(AND($DX1107=0,$DW1107=0),OR($EC1107=1,$EA1107=1)),SUM($EB1107:$EE1107)&gt;=2),"Technology approach","")</f>
        <v>Technology approach</v>
      </c>
      <c r="EP1107" t="b">
        <f>IF(ISNUMBER(BU1107),IF(ABS(BU1107-[1]QC_indicators!$B$2)&gt;3*[1]QC_indicators!$C$2,"C ratio",IF(ISNUMBER(BY1107),IF(ABS(BY1107-[1]QC_indicators!$B$1)&gt;3*[1]QC_indicators!$C$1,"DF","no"))),IF(ISNUMBER(BY1107),IF(ABS(BY1107-[1]QC_indicators!$B$1)&gt;3*[1]QC_indicators!$C$1,"DF","no")))</f>
        <v>0</v>
      </c>
      <c r="ET1107" s="264" t="s">
        <v>3273</v>
      </c>
    </row>
    <row r="1108" spans="1:150" ht="187">
      <c r="A1108" s="1" t="s">
        <v>333</v>
      </c>
      <c r="B1108" t="s">
        <v>719</v>
      </c>
      <c r="C1108" t="s">
        <v>720</v>
      </c>
      <c r="D1108" t="s">
        <v>721</v>
      </c>
      <c r="E1108" t="s">
        <v>722</v>
      </c>
      <c r="F1108" t="s">
        <v>723</v>
      </c>
      <c r="G1108" t="s">
        <v>339</v>
      </c>
      <c r="H1108" t="s">
        <v>254</v>
      </c>
      <c r="I1108">
        <v>2015</v>
      </c>
      <c r="J1108">
        <v>86</v>
      </c>
      <c r="K1108" t="s">
        <v>724</v>
      </c>
      <c r="M1108" t="str">
        <f>LEFT($D1108,FIND(",",$D1108)-1)&amp;"_"&amp;I1108&amp;L1108</f>
        <v>Fouquet_2015</v>
      </c>
      <c r="N1108" t="s">
        <v>222</v>
      </c>
      <c r="O1108" s="145" t="s">
        <v>274</v>
      </c>
      <c r="Q1108" t="s">
        <v>256</v>
      </c>
      <c r="R1108" s="255" t="s">
        <v>225</v>
      </c>
      <c r="S1108" s="1" t="s">
        <v>725</v>
      </c>
      <c r="T1108" s="264" t="s">
        <v>3324</v>
      </c>
      <c r="U1108" s="264" t="s">
        <v>3325</v>
      </c>
      <c r="V1108">
        <v>0</v>
      </c>
      <c r="W1108">
        <v>0</v>
      </c>
      <c r="X1108">
        <v>0</v>
      </c>
      <c r="Y1108">
        <v>0</v>
      </c>
      <c r="Z1108">
        <v>0</v>
      </c>
      <c r="AA1108">
        <v>0</v>
      </c>
      <c r="AB1108">
        <v>0</v>
      </c>
      <c r="AC1108">
        <v>0</v>
      </c>
      <c r="AD1108">
        <v>0</v>
      </c>
      <c r="AE1108">
        <v>0</v>
      </c>
      <c r="AF1108">
        <v>0</v>
      </c>
      <c r="AG1108">
        <v>0</v>
      </c>
      <c r="AH1108">
        <v>1</v>
      </c>
      <c r="AI1108">
        <v>0</v>
      </c>
      <c r="AJ1108">
        <v>0</v>
      </c>
      <c r="AK1108">
        <v>0</v>
      </c>
      <c r="AL1108">
        <v>0</v>
      </c>
      <c r="AM1108">
        <v>0</v>
      </c>
      <c r="AN1108">
        <v>0</v>
      </c>
      <c r="AO1108">
        <v>0</v>
      </c>
      <c r="AP1108">
        <v>0</v>
      </c>
      <c r="AQ1108">
        <v>0</v>
      </c>
      <c r="AR1108">
        <v>0</v>
      </c>
      <c r="AS1108">
        <v>0</v>
      </c>
      <c r="AT1108">
        <v>0</v>
      </c>
      <c r="AU1108">
        <v>0</v>
      </c>
      <c r="AV1108">
        <v>0</v>
      </c>
      <c r="AW1108">
        <v>0</v>
      </c>
      <c r="AX1108" s="141">
        <f>COUNTIF(V1108:AW1108,"&lt;&gt;0")</f>
        <v>1</v>
      </c>
      <c r="AY1108" s="141">
        <f>COUNTIF(V1108:AL1108,"&lt;&gt;0")</f>
        <v>1</v>
      </c>
      <c r="AZ1108">
        <f>COUNTIF(V1108:AC1108,"&lt;&gt;0")</f>
        <v>0</v>
      </c>
      <c r="BA1108">
        <f>COUNTIF(AD1108:AI1108,"&lt;&gt;0")</f>
        <v>1</v>
      </c>
      <c r="BB1108">
        <f>COUNTIF(AJ1108:AL1108,"&lt;&gt;0")</f>
        <v>0</v>
      </c>
      <c r="BC1108">
        <f>COUNTIF(AS1108:AW1108,"&lt;&gt;0")</f>
        <v>0</v>
      </c>
      <c r="BD1108">
        <f>COUNTIF(AM1108:AR1108,"&lt;&gt;0")</f>
        <v>0</v>
      </c>
      <c r="BE1108" t="str">
        <f t="array" ref="BE1108">IF(AY1108=1,INDEX($V$7:$AL$7,MATCH(TRUE,INDEX($V1108:$AW1108&lt;&gt;0,),0)),IF(AY1108=0,INDEX($AM$7:$AW$7,MATCH(1,$AM1108:$AW1108,0)),IF(BF1108="Multiple strategies","mixed drivers",IF(BF1108="Supply chain","multiple supply","multiple silviculture"))))</f>
        <v xml:space="preserve">end of life disposal </v>
      </c>
      <c r="BF1108" s="2" t="str" cm="1">
        <f t="array" ref="BF1108">IF(COUNTIF(AZ1108:BB1108,"&lt;&gt;0")=1,INDEX($V$4:$AW$4,MATCH(TRUE,INDEX($V1108:$AW1108&lt;&gt;0,),0)),IF(COUNTIF(AZ1108:BB1108,"&lt;&gt;0")=0,INDEX($AM$4:$AW$4,MATCH(1,$AM1108:$AW1108,0)),"Multiple strategies"))</f>
        <v>Supply chain</v>
      </c>
      <c r="BG1108" s="1" t="s">
        <v>229</v>
      </c>
      <c r="BH1108" t="s">
        <v>727</v>
      </c>
      <c r="BI1108" s="260" t="s">
        <v>3326</v>
      </c>
      <c r="BJ1108" s="264" t="s">
        <v>345</v>
      </c>
      <c r="BK1108" s="260">
        <f xml:space="preserve"> 5341+3892+7551+1439+923+477</f>
        <v>19623</v>
      </c>
      <c r="BL1108" s="260">
        <f xml:space="preserve"> 5341+3892+7551+1439+923+477</f>
        <v>19623</v>
      </c>
      <c r="BM1108">
        <v>1</v>
      </c>
      <c r="BN1108">
        <f>BL1108-BK1108</f>
        <v>0</v>
      </c>
      <c r="BO1108">
        <v>0</v>
      </c>
      <c r="BP1108" s="260" t="s">
        <v>395</v>
      </c>
      <c r="BQ1108" s="260" t="s">
        <v>3327</v>
      </c>
      <c r="BR1108" t="s">
        <v>397</v>
      </c>
      <c r="BS1108" s="260">
        <f>7475</f>
        <v>7475</v>
      </c>
      <c r="BT1108" s="260">
        <f>9761</f>
        <v>9761</v>
      </c>
      <c r="BU1108" s="144">
        <f>IFERROR(BT1108/BS1108,"")</f>
        <v>1.305819397993311</v>
      </c>
      <c r="BV1108">
        <f>BT1108-BS1108</f>
        <v>2286</v>
      </c>
      <c r="BX1108">
        <f>BV1108/1000</f>
        <v>2.286</v>
      </c>
      <c r="BY1108" t="str">
        <f>IFERROR(BX1108/BO1108,"")</f>
        <v/>
      </c>
      <c r="BZ1108">
        <v>0</v>
      </c>
      <c r="CA1108">
        <v>0</v>
      </c>
      <c r="CB1108">
        <v>0</v>
      </c>
      <c r="CC1108">
        <v>0</v>
      </c>
      <c r="CD1108">
        <v>0</v>
      </c>
      <c r="CE1108">
        <v>0</v>
      </c>
      <c r="CF1108">
        <v>0</v>
      </c>
      <c r="CG1108">
        <v>0</v>
      </c>
      <c r="CH1108">
        <v>0</v>
      </c>
      <c r="CI1108">
        <v>0</v>
      </c>
      <c r="CJ1108">
        <v>0</v>
      </c>
      <c r="CK1108">
        <v>0</v>
      </c>
      <c r="CL1108">
        <v>0</v>
      </c>
      <c r="CM1108">
        <v>0</v>
      </c>
      <c r="CN1108" t="str">
        <f>IF($BL1108&lt;$BK1108,"refNeedCorrection","refOK")</f>
        <v>refOK</v>
      </c>
      <c r="CO1108">
        <f>IF($CN1108="refNeedCorrection",BL1108,BK1108)</f>
        <v>19623</v>
      </c>
      <c r="CP1108">
        <f>IF($CN1108="refNeedCorrection",BK1108,BL1108)</f>
        <v>19623</v>
      </c>
      <c r="CQ1108">
        <f>IF($CN1108="refOK",$BO1108,-$BO1108)</f>
        <v>0</v>
      </c>
      <c r="CR1108">
        <f>IF($CN1108="refOK",$BS1108,$BT1108)*IF($BP1108="Emissions positive",-1,1)</f>
        <v>-7475</v>
      </c>
      <c r="CS1108">
        <f>IF($CN1108="refOK",$BT1108,$BS1108)*IF($BP1108="Emissions positive",-1,1)</f>
        <v>-9761</v>
      </c>
      <c r="CT1108">
        <f>IF($CN1108="refNeedCorrection",-BX1108,BX1108)*IF($BP1108="Emissions positive",-1,1)</f>
        <v>-2.286</v>
      </c>
      <c r="CU1108" t="str">
        <f>IFERROR(CT1108/CQ1108,"")</f>
        <v/>
      </c>
      <c r="CV1108" s="2">
        <f>IFERROR((CS1108-CR1108)/ABS(CR1108),"")</f>
        <v>-0.30581939799331104</v>
      </c>
      <c r="CW1108" s="1" t="s">
        <v>263</v>
      </c>
      <c r="CX1108" t="str">
        <f>IF(OR($CW1108="prd",$CW1108="std",$CW1108="cit"),"loc",IF(OR($CW1108="eur",$CW1108="reg",$CW1108="coy"),"reg",$CW1108))</f>
        <v>loc</v>
      </c>
      <c r="CY1108" t="s">
        <v>729</v>
      </c>
      <c r="DB1108">
        <v>100</v>
      </c>
      <c r="DC1108" t="str">
        <f>IF(DB1108=0,"0",IF(AND(DB1108&gt;=1,DB1108&lt;=30),"1-30",IF(AND(DB1108&gt;30,DB1108&lt;=70),"31-70",IF(AND(DB1108&gt;70,DB1108&lt;=100),"71-100",IF(DB1108&gt;100,"+100")))))</f>
        <v>71-100</v>
      </c>
      <c r="DD1108">
        <v>0</v>
      </c>
      <c r="DE1108">
        <v>0</v>
      </c>
      <c r="DF1108">
        <v>0</v>
      </c>
      <c r="DG1108">
        <v>1</v>
      </c>
      <c r="DI1108">
        <f>SUM(DD1108:DG1108)</f>
        <v>1</v>
      </c>
      <c r="DJ1108" t="str">
        <f>IF(DI1108=1,INDEX($DD$7:$DG$7,MATCH(1,$DD1108:$DG1108,0)),"mixedProduct")</f>
        <v>TimberInput</v>
      </c>
      <c r="DK1108">
        <f>IF(DD1108=1,DK$7,0)</f>
        <v>0</v>
      </c>
      <c r="DL1108">
        <f>IF(DE1108=1,DL$7,0)</f>
        <v>0</v>
      </c>
      <c r="DM1108">
        <f>IF(DF1108=1,DM$7,0)</f>
        <v>0</v>
      </c>
      <c r="DN1108" t="str">
        <f>IF(DG1108=1,DN$7,0)</f>
        <v>Timber</v>
      </c>
      <c r="DO1108">
        <v>0</v>
      </c>
      <c r="DP1108">
        <v>0</v>
      </c>
      <c r="DQ1108">
        <v>0</v>
      </c>
      <c r="DR1108">
        <v>0</v>
      </c>
      <c r="DS1108">
        <v>0</v>
      </c>
      <c r="DT1108">
        <f>SUM(DO1108:DP1108)</f>
        <v>0</v>
      </c>
      <c r="DU1108" s="143" t="str">
        <f>IF(DO1108=1,"self-calculated DF",IF(DP1108=1,"external DF used","explicit C balance"))</f>
        <v>explicit C balance</v>
      </c>
      <c r="DV1108">
        <v>0</v>
      </c>
      <c r="DW1108">
        <v>0</v>
      </c>
      <c r="DX1108">
        <v>0</v>
      </c>
      <c r="DY1108">
        <v>1</v>
      </c>
      <c r="DZ1108">
        <v>1</v>
      </c>
      <c r="EA1108">
        <v>1</v>
      </c>
      <c r="EB1108">
        <v>0</v>
      </c>
      <c r="EC1108">
        <v>1</v>
      </c>
      <c r="ED1108">
        <v>1</v>
      </c>
      <c r="EE1108">
        <v>1</v>
      </c>
      <c r="EF1108">
        <v>0</v>
      </c>
      <c r="EG1108">
        <v>0</v>
      </c>
      <c r="EH1108">
        <v>0</v>
      </c>
      <c r="EI1108" s="2">
        <v>0</v>
      </c>
      <c r="EK1108" t="str">
        <f>IF(AND(AND(AND(OR($DX1108=1,$DW1108=1),OR($EC1108=1,$EA1108=1)),SUM($DV1108:$DZ1108,$EF1108)&gt;=4),SUM($EA1108:$EE1108)&gt;=2),"Whole sector","")</f>
        <v/>
      </c>
      <c r="EL1108" t="str">
        <f>IF(AND(AND(OR($DX1108=1,$DW1108=1),AND($EC1108=0,$EA1108=0)),SUM($DV1108:$DZ1108,$EF1108)&gt;=4),"Ecosystem approach","")</f>
        <v/>
      </c>
      <c r="EM1108" s="2" t="str">
        <f>IF(AND(AND(AND($DX1108=0,$DW1108=0),OR($EC1108=1,$EA1108=1)),SUM($EB1108:$EE1108)&gt;=2),"Technology approach","")</f>
        <v>Technology approach</v>
      </c>
      <c r="EP1108" t="b">
        <f>IF(ISNUMBER(BU1108),IF(ABS(BU1108-[4]QC_indicators!$B$2)&gt;3*[4]QC_indicators!$C$2,"C ratio",IF(ISNUMBER(BY1108),IF(ABS(BY1108-[4]QC_indicators!$B$1)&gt;3*[4]QC_indicators!$C$1,"DF","no"))),IF(ISNUMBER(BY1108),IF(ABS(BY1108-[4]QC_indicators!$B$1)&gt;3*[4]QC_indicators!$C$1,"DF","no")))</f>
        <v>0</v>
      </c>
      <c r="ET1108" s="264" t="s">
        <v>3273</v>
      </c>
    </row>
    <row r="1109" spans="1:150" ht="187">
      <c r="A1109" s="1" t="s">
        <v>333</v>
      </c>
      <c r="B1109" t="s">
        <v>719</v>
      </c>
      <c r="C1109" t="s">
        <v>720</v>
      </c>
      <c r="D1109" t="s">
        <v>721</v>
      </c>
      <c r="E1109" t="s">
        <v>722</v>
      </c>
      <c r="F1109" t="s">
        <v>723</v>
      </c>
      <c r="G1109" t="s">
        <v>339</v>
      </c>
      <c r="H1109" t="s">
        <v>254</v>
      </c>
      <c r="I1109">
        <v>2015</v>
      </c>
      <c r="J1109">
        <v>86</v>
      </c>
      <c r="K1109" t="s">
        <v>724</v>
      </c>
      <c r="M1109" t="str">
        <f>LEFT($D1109,FIND(",",$D1109)-1)&amp;"_"&amp;I1109&amp;L1109</f>
        <v>Fouquet_2015</v>
      </c>
      <c r="N1109" t="s">
        <v>222</v>
      </c>
      <c r="O1109" s="145" t="s">
        <v>274</v>
      </c>
      <c r="Q1109" t="s">
        <v>256</v>
      </c>
      <c r="R1109" s="255" t="s">
        <v>225</v>
      </c>
      <c r="S1109" s="1" t="s">
        <v>725</v>
      </c>
      <c r="T1109" s="264" t="s">
        <v>3328</v>
      </c>
      <c r="U1109" s="264" t="s">
        <v>3325</v>
      </c>
      <c r="V1109">
        <v>0</v>
      </c>
      <c r="W1109">
        <v>0</v>
      </c>
      <c r="X1109">
        <v>0</v>
      </c>
      <c r="Y1109">
        <v>0</v>
      </c>
      <c r="Z1109">
        <v>0</v>
      </c>
      <c r="AA1109">
        <v>0</v>
      </c>
      <c r="AB1109">
        <v>0</v>
      </c>
      <c r="AC1109">
        <v>0</v>
      </c>
      <c r="AD1109">
        <v>0</v>
      </c>
      <c r="AE1109">
        <v>0</v>
      </c>
      <c r="AF1109">
        <v>0</v>
      </c>
      <c r="AG1109">
        <v>0</v>
      </c>
      <c r="AH1109">
        <v>1</v>
      </c>
      <c r="AI1109">
        <v>0</v>
      </c>
      <c r="AJ1109">
        <v>0</v>
      </c>
      <c r="AK1109">
        <v>0</v>
      </c>
      <c r="AL1109">
        <v>0</v>
      </c>
      <c r="AM1109">
        <v>0</v>
      </c>
      <c r="AN1109">
        <v>0</v>
      </c>
      <c r="AO1109">
        <v>0</v>
      </c>
      <c r="AP1109">
        <v>0</v>
      </c>
      <c r="AQ1109">
        <v>0</v>
      </c>
      <c r="AR1109">
        <v>0</v>
      </c>
      <c r="AS1109">
        <v>0</v>
      </c>
      <c r="AT1109">
        <v>0</v>
      </c>
      <c r="AU1109">
        <v>0</v>
      </c>
      <c r="AV1109">
        <v>0</v>
      </c>
      <c r="AW1109">
        <v>0</v>
      </c>
      <c r="AX1109" s="141">
        <f>COUNTIF(V1109:AW1109,"&lt;&gt;0")</f>
        <v>1</v>
      </c>
      <c r="AY1109" s="141">
        <f>COUNTIF(V1109:AL1109,"&lt;&gt;0")</f>
        <v>1</v>
      </c>
      <c r="AZ1109">
        <f>COUNTIF(V1109:AC1109,"&lt;&gt;0")</f>
        <v>0</v>
      </c>
      <c r="BA1109">
        <f>COUNTIF(AD1109:AI1109,"&lt;&gt;0")</f>
        <v>1</v>
      </c>
      <c r="BB1109">
        <f>COUNTIF(AJ1109:AL1109,"&lt;&gt;0")</f>
        <v>0</v>
      </c>
      <c r="BC1109">
        <f>COUNTIF(AS1109:AW1109,"&lt;&gt;0")</f>
        <v>0</v>
      </c>
      <c r="BD1109">
        <f>COUNTIF(AM1109:AR1109,"&lt;&gt;0")</f>
        <v>0</v>
      </c>
      <c r="BE1109" t="str">
        <f t="array" ref="BE1109">IF(AY1109=1,INDEX($V$7:$AL$7,MATCH(TRUE,INDEX($V1109:$AW1109&lt;&gt;0,),0)),IF(AY1109=0,INDEX($AM$7:$AW$7,MATCH(1,$AM1109:$AW1109,0)),IF(BF1109="Multiple strategies","mixed drivers",IF(BF1109="Supply chain","multiple supply","multiple silviculture"))))</f>
        <v xml:space="preserve">end of life disposal </v>
      </c>
      <c r="BF1109" s="2" t="str" cm="1">
        <f t="array" ref="BF1109">IF(COUNTIF(AZ1109:BB1109,"&lt;&gt;0")=1,INDEX($V$4:$AW$4,MATCH(TRUE,INDEX($V1109:$AW1109&lt;&gt;0,),0)),IF(COUNTIF(AZ1109:BB1109,"&lt;&gt;0")=0,INDEX($AM$4:$AW$4,MATCH(1,$AM1109:$AW1109,0)),"Multiple strategies"))</f>
        <v>Supply chain</v>
      </c>
      <c r="BG1109" s="1" t="s">
        <v>229</v>
      </c>
      <c r="BH1109" t="s">
        <v>727</v>
      </c>
      <c r="BI1109" s="260" t="s">
        <v>3326</v>
      </c>
      <c r="BJ1109" s="260" t="s">
        <v>345</v>
      </c>
      <c r="BK1109" s="260">
        <f xml:space="preserve"> 5341+3892+7551+1439+923+477</f>
        <v>19623</v>
      </c>
      <c r="BL1109" s="260">
        <f xml:space="preserve"> 5341+3892+7551+1439+923+477</f>
        <v>19623</v>
      </c>
      <c r="BM1109">
        <v>1</v>
      </c>
      <c r="BN1109">
        <f>BL1109-BK1109</f>
        <v>0</v>
      </c>
      <c r="BO1109">
        <v>0</v>
      </c>
      <c r="BP1109" s="260" t="s">
        <v>395</v>
      </c>
      <c r="BQ1109" s="260" t="s">
        <v>3327</v>
      </c>
      <c r="BR1109" t="s">
        <v>397</v>
      </c>
      <c r="BS1109" s="260">
        <v>13395</v>
      </c>
      <c r="BT1109" s="260">
        <v>17696</v>
      </c>
      <c r="BU1109" s="144">
        <f>IFERROR(BT1109/BS1109,"")</f>
        <v>1.321089958939903</v>
      </c>
      <c r="BV1109">
        <f>BT1109-BS1109</f>
        <v>4301</v>
      </c>
      <c r="BX1109">
        <f>BV1109/1000</f>
        <v>4.3010000000000002</v>
      </c>
      <c r="BY1109" t="str">
        <f>IFERROR(BX1109/BO1109,"")</f>
        <v/>
      </c>
      <c r="BZ1109">
        <v>0</v>
      </c>
      <c r="CA1109">
        <v>0</v>
      </c>
      <c r="CB1109">
        <v>0</v>
      </c>
      <c r="CC1109">
        <v>0</v>
      </c>
      <c r="CD1109">
        <v>0</v>
      </c>
      <c r="CE1109">
        <v>0</v>
      </c>
      <c r="CF1109">
        <v>0</v>
      </c>
      <c r="CG1109">
        <v>0</v>
      </c>
      <c r="CH1109">
        <v>0</v>
      </c>
      <c r="CI1109">
        <v>0</v>
      </c>
      <c r="CJ1109">
        <v>0</v>
      </c>
      <c r="CK1109">
        <v>0</v>
      </c>
      <c r="CL1109">
        <v>0</v>
      </c>
      <c r="CM1109">
        <v>0</v>
      </c>
      <c r="CN1109" t="str">
        <f>IF($BL1109&lt;$BK1109,"refNeedCorrection","refOK")</f>
        <v>refOK</v>
      </c>
      <c r="CO1109">
        <f>IF($CN1109="refNeedCorrection",BL1109,BK1109)</f>
        <v>19623</v>
      </c>
      <c r="CP1109">
        <f>IF($CN1109="refNeedCorrection",BK1109,BL1109)</f>
        <v>19623</v>
      </c>
      <c r="CQ1109">
        <f>IF($CN1109="refOK",$BO1109,-$BO1109)</f>
        <v>0</v>
      </c>
      <c r="CR1109">
        <f>IF($CN1109="refOK",$BS1109,$BT1109)*IF($BP1109="Emissions positive",-1,1)</f>
        <v>-13395</v>
      </c>
      <c r="CS1109">
        <f>IF($CN1109="refOK",$BT1109,$BS1109)*IF($BP1109="Emissions positive",-1,1)</f>
        <v>-17696</v>
      </c>
      <c r="CT1109">
        <f>IF($CN1109="refNeedCorrection",-BX1109,BX1109)*IF($BP1109="Emissions positive",-1,1)</f>
        <v>-4.3010000000000002</v>
      </c>
      <c r="CU1109" t="str">
        <f>IFERROR(CT1109/CQ1109,"")</f>
        <v/>
      </c>
      <c r="CV1109" s="2">
        <f>IFERROR((CS1109-CR1109)/ABS(CR1109),"")</f>
        <v>-0.32108995893990294</v>
      </c>
      <c r="CW1109" s="1" t="s">
        <v>263</v>
      </c>
      <c r="CX1109" t="str">
        <f>IF(OR($CW1109="prd",$CW1109="std",$CW1109="cit"),"loc",IF(OR($CW1109="eur",$CW1109="reg",$CW1109="coy"),"reg",$CW1109))</f>
        <v>loc</v>
      </c>
      <c r="CY1109" t="s">
        <v>729</v>
      </c>
      <c r="DB1109">
        <v>100</v>
      </c>
      <c r="DC1109" t="str">
        <f>IF(DB1109=0,"0",IF(AND(DB1109&gt;=1,DB1109&lt;=30),"1-30",IF(AND(DB1109&gt;30,DB1109&lt;=70),"31-70",IF(AND(DB1109&gt;70,DB1109&lt;=100),"71-100",IF(DB1109&gt;100,"+100")))))</f>
        <v>71-100</v>
      </c>
      <c r="DD1109">
        <v>0</v>
      </c>
      <c r="DE1109">
        <v>0</v>
      </c>
      <c r="DF1109">
        <v>0</v>
      </c>
      <c r="DG1109">
        <v>1</v>
      </c>
      <c r="DI1109">
        <f>SUM(DD1109:DG1109)</f>
        <v>1</v>
      </c>
      <c r="DJ1109" t="str">
        <f>IF(DI1109=1,INDEX($DD$7:$DG$7,MATCH(1,$DD1109:$DG1109,0)),"mixedProduct")</f>
        <v>TimberInput</v>
      </c>
      <c r="DK1109">
        <f>IF(DD1109=1,DK$7,0)</f>
        <v>0</v>
      </c>
      <c r="DL1109">
        <f>IF(DE1109=1,DL$7,0)</f>
        <v>0</v>
      </c>
      <c r="DM1109">
        <f>IF(DF1109=1,DM$7,0)</f>
        <v>0</v>
      </c>
      <c r="DN1109" t="str">
        <f>IF(DG1109=1,DN$7,0)</f>
        <v>Timber</v>
      </c>
      <c r="DO1109">
        <v>0</v>
      </c>
      <c r="DP1109">
        <v>0</v>
      </c>
      <c r="DQ1109">
        <v>0</v>
      </c>
      <c r="DR1109">
        <v>0</v>
      </c>
      <c r="DS1109">
        <v>0</v>
      </c>
      <c r="DT1109">
        <f>SUM(DO1109:DP1109)</f>
        <v>0</v>
      </c>
      <c r="DU1109" s="143" t="str">
        <f>IF(DO1109=1,"self-calculated DF",IF(DP1109=1,"external DF used","explicit C balance"))</f>
        <v>explicit C balance</v>
      </c>
      <c r="DV1109">
        <v>0</v>
      </c>
      <c r="DW1109">
        <v>0</v>
      </c>
      <c r="DX1109">
        <v>0</v>
      </c>
      <c r="DY1109">
        <v>0</v>
      </c>
      <c r="DZ1109">
        <v>0</v>
      </c>
      <c r="EA1109" s="143">
        <v>0</v>
      </c>
      <c r="EB1109">
        <v>0</v>
      </c>
      <c r="EC1109">
        <v>1</v>
      </c>
      <c r="ED1109">
        <v>1</v>
      </c>
      <c r="EE1109">
        <v>1</v>
      </c>
      <c r="EF1109">
        <v>0</v>
      </c>
      <c r="EG1109">
        <v>0</v>
      </c>
      <c r="EH1109">
        <v>0</v>
      </c>
      <c r="EI1109" s="2">
        <v>0</v>
      </c>
      <c r="EK1109" t="str">
        <f>IF(AND(AND(AND(OR($DX1109=1,$DW1109=1),OR($EC1109=1,$EA1109=1)),SUM($DV1109:$DZ1109,$EF1109)&gt;=4),SUM($EA1109:$EE1109)&gt;=2),"Whole sector","")</f>
        <v/>
      </c>
      <c r="EL1109" t="str">
        <f>IF(AND(AND(OR($DX1109=1,$DW1109=1),AND($EC1109=0,$EA1109=0)),SUM($DV1109:$DZ1109,$EF1109)&gt;=4),"Ecosystem approach","")</f>
        <v/>
      </c>
      <c r="EM1109" s="2" t="str">
        <f>IF(AND(AND(AND($DX1109=0,$DW1109=0),OR($EC1109=1,$EA1109=1)),SUM($EB1109:$EE1109)&gt;=2),"Technology approach","")</f>
        <v>Technology approach</v>
      </c>
      <c r="EP1109" t="b">
        <f>IF(ISNUMBER(BU1109),IF(ABS(BU1109-[4]QC_indicators!$B$2)&gt;3*[4]QC_indicators!$C$2,"C ratio",IF(ISNUMBER(BY1109),IF(ABS(BY1109-[4]QC_indicators!$B$1)&gt;3*[4]QC_indicators!$C$1,"DF","no"))),IF(ISNUMBER(BY1109),IF(ABS(BY1109-[4]QC_indicators!$B$1)&gt;3*[4]QC_indicators!$C$1,"DF","no")))</f>
        <v>0</v>
      </c>
      <c r="ET1109" s="264" t="s">
        <v>3273</v>
      </c>
    </row>
    <row r="1110" spans="1:150" ht="187">
      <c r="D1110" t="s">
        <v>733</v>
      </c>
      <c r="E1110" t="s">
        <v>734</v>
      </c>
      <c r="G1110" t="s">
        <v>735</v>
      </c>
      <c r="I1110">
        <v>2005</v>
      </c>
      <c r="K1110" s="156" t="s">
        <v>736</v>
      </c>
      <c r="M1110" t="str">
        <f>LEFT($D1110,FIND(",",$D1110)-1)&amp;"_"&amp;I1110&amp;L1110</f>
        <v>Gustavsson_2005</v>
      </c>
      <c r="N1110" t="s">
        <v>222</v>
      </c>
      <c r="O1110" t="s">
        <v>223</v>
      </c>
      <c r="Q1110" t="s">
        <v>256</v>
      </c>
      <c r="R1110" s="255" t="s">
        <v>225</v>
      </c>
      <c r="S1110" s="1" t="s">
        <v>749</v>
      </c>
      <c r="T1110" t="s">
        <v>750</v>
      </c>
      <c r="U1110" s="264" t="s">
        <v>751</v>
      </c>
      <c r="V1110">
        <v>0</v>
      </c>
      <c r="W1110">
        <v>0</v>
      </c>
      <c r="X1110">
        <v>0</v>
      </c>
      <c r="Y1110">
        <v>0</v>
      </c>
      <c r="Z1110">
        <v>0</v>
      </c>
      <c r="AA1110">
        <v>0</v>
      </c>
      <c r="AB1110">
        <v>0</v>
      </c>
      <c r="AC1110">
        <v>1</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s="141">
        <f>COUNTIF(V1110:AW1110,"&lt;&gt;0")</f>
        <v>1</v>
      </c>
      <c r="AY1110" s="141">
        <f>COUNTIF(V1110:AL1110,"&lt;&gt;0")</f>
        <v>1</v>
      </c>
      <c r="AZ1110">
        <f>COUNTIF(V1110:AC1110,"&lt;&gt;0")</f>
        <v>1</v>
      </c>
      <c r="BA1110">
        <f>COUNTIF(AD1110:AI1110,"&lt;&gt;0")</f>
        <v>0</v>
      </c>
      <c r="BB1110">
        <f>COUNTIF(AJ1110:AL1110,"&lt;&gt;0")</f>
        <v>0</v>
      </c>
      <c r="BC1110">
        <f>COUNTIF(AS1110:AW1110,"&lt;&gt;0")</f>
        <v>0</v>
      </c>
      <c r="BD1110">
        <f>COUNTIF(AM1110:AR1110,"&lt;&gt;0")</f>
        <v>0</v>
      </c>
      <c r="BE1110" t="str">
        <f t="array" ref="BE1110">IF(AY1110=1,INDEX($V$7:$AL$7,MATCH(TRUE,INDEX($V1110:$AW1110&lt;&gt;0,),0)),IF(AY1110=0,INDEX($AM$7:$AW$7,MATCH(1,$AM1110:$AW1110,0)),IF(BF1110="Multiple strategies","mixed drivers",IF(BF1110="Supply chain","multiple supply","multiple silviculture"))))</f>
        <v>site fertility</v>
      </c>
      <c r="BF1110" s="2" t="str" cm="1">
        <f t="array" ref="BF1110">IF(COUNTIF(AZ1110:BB1110,"&lt;&gt;0")=1,INDEX($V$4:$AW$4,MATCH(TRUE,INDEX($V1110:$AW1110&lt;&gt;0,),0)),IF(COUNTIF(AZ1110:BB1110,"&lt;&gt;0")=0,INDEX($AM$4:$AW$4,MATCH(1,$AM1110:$AW1110,0)),"Multiple strategies"))</f>
        <v>Silviculture for productivity</v>
      </c>
      <c r="BG1110" s="263" t="s">
        <v>321</v>
      </c>
      <c r="BH1110" s="264" t="s">
        <v>740</v>
      </c>
      <c r="BI1110" s="264" t="s">
        <v>3336</v>
      </c>
      <c r="BJ1110" s="264" t="s">
        <v>741</v>
      </c>
      <c r="BK1110" s="264">
        <v>107.6</v>
      </c>
      <c r="BL1110" s="264">
        <v>107.6</v>
      </c>
      <c r="BM1110" s="264">
        <f>BL1110/BK1110</f>
        <v>1</v>
      </c>
      <c r="BN1110" s="264">
        <f>BL1110-BK1110</f>
        <v>0</v>
      </c>
      <c r="BO1110" s="264">
        <f>BN1110*t_to_m3</f>
        <v>0</v>
      </c>
      <c r="BP1110" t="s">
        <v>232</v>
      </c>
      <c r="BQ1110" s="304" t="s">
        <v>3333</v>
      </c>
      <c r="BR1110" t="s">
        <v>442</v>
      </c>
      <c r="BS1110" s="264">
        <v>16.5</v>
      </c>
      <c r="BT1110" s="264">
        <v>-9.1</v>
      </c>
      <c r="BV1110">
        <v>-25.6</v>
      </c>
      <c r="BX1110">
        <f>BV1110*C_to_CO2</f>
        <v>-93.951999999999998</v>
      </c>
      <c r="BY1110" t="str">
        <f>IFERROR(BX1110/BO1110,"")</f>
        <v/>
      </c>
      <c r="BZ1110" s="143">
        <v>0</v>
      </c>
      <c r="CA1110" s="143">
        <v>0</v>
      </c>
      <c r="CB1110" s="143">
        <v>0</v>
      </c>
      <c r="CC1110" s="143">
        <v>0</v>
      </c>
      <c r="CD1110" s="143">
        <v>0</v>
      </c>
      <c r="CE1110" s="143">
        <v>0</v>
      </c>
      <c r="CF1110" s="143">
        <v>0</v>
      </c>
      <c r="CG1110" s="143">
        <v>0</v>
      </c>
      <c r="CH1110" s="143">
        <v>0</v>
      </c>
      <c r="CI1110" s="143">
        <v>0</v>
      </c>
      <c r="CJ1110" s="143">
        <v>0</v>
      </c>
      <c r="CK1110" s="143">
        <v>0</v>
      </c>
      <c r="CL1110" s="143">
        <v>0</v>
      </c>
      <c r="CM1110">
        <v>0</v>
      </c>
      <c r="CN1110" t="str">
        <f>IF($BL1110&lt;$BK1110,"refNeedCorrection","refOK")</f>
        <v>refOK</v>
      </c>
      <c r="CO1110">
        <f>IF($CN1110="refOK",$BK1110,$BL1110)</f>
        <v>107.6</v>
      </c>
      <c r="CP1110">
        <f>IF($CN1110="refOK",$BL1110,$BK1110)</f>
        <v>107.6</v>
      </c>
      <c r="CQ1110">
        <f>IF($CN1110="refOK",$BO1110,-$BO1110)</f>
        <v>0</v>
      </c>
      <c r="CR1110">
        <f>IF($CN1110="refOK",$BS1110,$BT1110)*IF($BP1110="Emissions positive",-1,1)</f>
        <v>16.5</v>
      </c>
      <c r="CS1110">
        <f>IF($CN1110="refOK",$BT1110,$BS1110)*IF($BP1110="Emissions positive",-1,1)</f>
        <v>-9.1</v>
      </c>
      <c r="CT1110">
        <f>IF($CN1110="refNeedCorrection",-BX1110,BX1110)*IF($BP1110="Emissions positive",-1,1)</f>
        <v>-93.951999999999998</v>
      </c>
      <c r="CU1110" t="str">
        <f>IFERROR(CT1110/CQ1110,"")</f>
        <v/>
      </c>
      <c r="CV1110" s="2">
        <f>IFERROR((CS1110-CR1110)/ABS(CR1110),"")</f>
        <v>-1.5515151515151515</v>
      </c>
      <c r="CW1110" s="1" t="s">
        <v>263</v>
      </c>
      <c r="CX1110" t="str">
        <f>IF(OR($CW1110="prd",$CW1110="std",$CW1110="cit"),"loc",IF(OR($CW1110="eur",$CW1110="reg",$CW1110="coy"),"reg",$CW1110))</f>
        <v>loc</v>
      </c>
      <c r="CY1110" t="s">
        <v>743</v>
      </c>
      <c r="DA1110" s="143"/>
      <c r="DB1110" s="143">
        <v>0</v>
      </c>
      <c r="DC1110" t="str">
        <f>IF(DB1110=0,"0",IF(AND(DB1110&gt;=1,DB1110&lt;=30),"1-30",IF(AND(DB1110&gt;30,DB1110&lt;=70),"31-70",IF(AND(DB1110&gt;70,DB1110&lt;=100),"71-100",IF(DB1110&gt;100,"+100")))))</f>
        <v>0</v>
      </c>
      <c r="DD1110">
        <v>0</v>
      </c>
      <c r="DE1110">
        <v>0</v>
      </c>
      <c r="DF1110">
        <v>0</v>
      </c>
      <c r="DG1110">
        <v>1</v>
      </c>
      <c r="DI1110">
        <f>SUM(DD1110:DG1110)</f>
        <v>1</v>
      </c>
      <c r="DJ1110" t="str">
        <f>IF(DI1110=1,INDEX($DD$7:$DG$7,MATCH(1,$DD1110:$DG1110,0)),"mixedProduct")</f>
        <v>TimberInput</v>
      </c>
      <c r="DK1110">
        <f>IF(DD1110=1,DK$7,0)</f>
        <v>0</v>
      </c>
      <c r="DL1110">
        <f>IF(DE1110=1,DL$7,0)</f>
        <v>0</v>
      </c>
      <c r="DM1110">
        <f>IF(DF1110=1,DM$7,0)</f>
        <v>0</v>
      </c>
      <c r="DN1110" t="str">
        <f>IF(DG1110=1,DN$7,0)</f>
        <v>Timber</v>
      </c>
      <c r="DO1110">
        <v>1</v>
      </c>
      <c r="DP1110" s="143">
        <v>0</v>
      </c>
      <c r="DQ1110" s="143">
        <v>0</v>
      </c>
      <c r="DR1110">
        <v>0</v>
      </c>
      <c r="DS1110" s="143">
        <v>0</v>
      </c>
      <c r="DT1110">
        <f>SUM(DO1110:DP1110)</f>
        <v>1</v>
      </c>
      <c r="DU1110" s="143" t="str">
        <f>IF(DO1110=1,"self-calculated DF",IF(DP1110=1,"external DF used","explicit C balance"))</f>
        <v>self-calculated DF</v>
      </c>
      <c r="DV1110" s="143">
        <v>0</v>
      </c>
      <c r="DW1110" s="264">
        <v>1</v>
      </c>
      <c r="DX1110" s="264">
        <v>1</v>
      </c>
      <c r="DY1110" s="264">
        <v>0</v>
      </c>
      <c r="DZ1110" s="264">
        <v>0</v>
      </c>
      <c r="EA1110" s="264">
        <v>1</v>
      </c>
      <c r="EB1110" s="264">
        <v>1</v>
      </c>
      <c r="EC1110" s="264">
        <v>1</v>
      </c>
      <c r="ED1110" s="143">
        <v>0</v>
      </c>
      <c r="EE1110">
        <v>0</v>
      </c>
      <c r="EF1110">
        <v>0</v>
      </c>
      <c r="EG1110" s="143">
        <v>0</v>
      </c>
      <c r="EH1110" s="143">
        <v>0</v>
      </c>
      <c r="EI1110" s="2">
        <v>0</v>
      </c>
      <c r="EK1110" t="str">
        <f>IF(AND(AND(AND(OR($DX1110=1,$DW1110=1),OR($EC1110=1,$EA1110=1)),SUM($DV1110:$DZ1110,$EF1110)&gt;=4),SUM($EA1110:$EE1110)&gt;=2),"Whole sector","")</f>
        <v/>
      </c>
      <c r="EL1110" t="str">
        <f>IF(AND(AND(OR($DX1110=1,$DW1110=1),AND($EC1110=0,$EA1110=0)),SUM($DV1110:$DZ1110,$EF1110)&gt;=4),"Ecosystem approach","")</f>
        <v/>
      </c>
      <c r="EM1110" s="2" t="str">
        <f>IF(AND(AND(AND($DX1110=0,$DW1110=0),OR($EC1110=1,$EA1110=1)),SUM($EB1110:$EE1110)&gt;=2),"Technology approach","")</f>
        <v/>
      </c>
      <c r="EP1110" t="b">
        <f>IF(ISNUMBER(BU1110),IF(ABS(BU1110-[4]QC_indicators!$B$2)&gt;3*[4]QC_indicators!$C$2,"C ratio",IF(ISNUMBER(BY1110),IF(ABS(BY1110-[4]QC_indicators!$B$1)&gt;3*[4]QC_indicators!$C$1,"DF","no"))),IF(ISNUMBER(BY1110),IF(ABS(BY1110-[4]QC_indicators!$B$1)&gt;3*[4]QC_indicators!$C$1,"DF","no")))</f>
        <v>0</v>
      </c>
      <c r="ER1110" s="149" t="s">
        <v>349</v>
      </c>
      <c r="ET1110" s="264" t="s">
        <v>3273</v>
      </c>
    </row>
    <row r="1111" spans="1:150" ht="187">
      <c r="D1111" t="s">
        <v>733</v>
      </c>
      <c r="E1111" t="s">
        <v>734</v>
      </c>
      <c r="G1111" t="s">
        <v>735</v>
      </c>
      <c r="I1111">
        <v>2005</v>
      </c>
      <c r="K1111" s="156" t="s">
        <v>736</v>
      </c>
      <c r="M1111" t="str">
        <f>LEFT($D1111,FIND(",",$D1111)-1)&amp;"_"&amp;I1111&amp;L1111</f>
        <v>Gustavsson_2005</v>
      </c>
      <c r="N1111" t="s">
        <v>222</v>
      </c>
      <c r="O1111" t="s">
        <v>223</v>
      </c>
      <c r="Q1111" t="s">
        <v>256</v>
      </c>
      <c r="R1111" s="255" t="s">
        <v>225</v>
      </c>
      <c r="S1111" s="1" t="s">
        <v>746</v>
      </c>
      <c r="T1111" t="s">
        <v>747</v>
      </c>
      <c r="U1111" s="264" t="s">
        <v>748</v>
      </c>
      <c r="V1111">
        <v>0</v>
      </c>
      <c r="W1111">
        <v>0</v>
      </c>
      <c r="X1111">
        <v>0</v>
      </c>
      <c r="Y1111">
        <v>0</v>
      </c>
      <c r="Z1111">
        <v>0</v>
      </c>
      <c r="AA1111">
        <v>0</v>
      </c>
      <c r="AB1111">
        <v>0</v>
      </c>
      <c r="AC1111">
        <v>0</v>
      </c>
      <c r="AD1111">
        <v>0</v>
      </c>
      <c r="AE1111">
        <v>1</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s="141">
        <f>COUNTIF(V1111:AW1111,"&lt;&gt;0")</f>
        <v>1</v>
      </c>
      <c r="AY1111" s="141">
        <f>COUNTIF(V1111:AL1111,"&lt;&gt;0")</f>
        <v>1</v>
      </c>
      <c r="AZ1111">
        <f>COUNTIF(V1111:AC1111,"&lt;&gt;0")</f>
        <v>0</v>
      </c>
      <c r="BA1111">
        <f>COUNTIF(AD1111:AI1111,"&lt;&gt;0")</f>
        <v>1</v>
      </c>
      <c r="BB1111">
        <f>COUNTIF(AJ1111:AL1111,"&lt;&gt;0")</f>
        <v>0</v>
      </c>
      <c r="BC1111">
        <f>COUNTIF(AS1111:AW1111,"&lt;&gt;0")</f>
        <v>0</v>
      </c>
      <c r="BD1111">
        <f>COUNTIF(AM1111:AR1111,"&lt;&gt;0")</f>
        <v>0</v>
      </c>
      <c r="BE1111" t="str">
        <f t="array" ref="BE1111">IF(AY1111=1,INDEX($V$7:$AL$7,MATCH(TRUE,INDEX($V1111:$AW1111&lt;&gt;0,),0)),IF(AY1111=0,INDEX($AM$7:$AW$7,MATCH(1,$AM1111:$AW1111,0)),IF(BF1111="Multiple strategies","mixed drivers",IF(BF1111="Supply chain","multiple supply","multiple silviculture"))))</f>
        <v>location of industry</v>
      </c>
      <c r="BF1111" s="2" t="str" cm="1">
        <f t="array" ref="BF1111">IF(COUNTIF(AZ1111:BB1111,"&lt;&gt;0")=1,INDEX($V$4:$AW$4,MATCH(TRUE,INDEX($V1111:$AW1111&lt;&gt;0,),0)),IF(COUNTIF(AZ1111:BB1111,"&lt;&gt;0")=0,INDEX($AM$4:$AW$4,MATCH(1,$AM1111:$AW1111,0)),"Multiple strategies"))</f>
        <v>Supply chain</v>
      </c>
      <c r="BG1111" s="263" t="s">
        <v>229</v>
      </c>
      <c r="BH1111" s="264" t="s">
        <v>740</v>
      </c>
      <c r="BI1111" s="260" t="s">
        <v>424</v>
      </c>
      <c r="BJ1111" s="264" t="s">
        <v>741</v>
      </c>
      <c r="BK1111" s="264">
        <v>80.5</v>
      </c>
      <c r="BL1111" s="264">
        <v>80.5</v>
      </c>
      <c r="BM1111" s="264">
        <f>BL1111/BK1111</f>
        <v>1</v>
      </c>
      <c r="BN1111" s="264">
        <f>BL1111-BK1111</f>
        <v>0</v>
      </c>
      <c r="BO1111" s="264">
        <f>BN1111*t_to_m3</f>
        <v>0</v>
      </c>
      <c r="BP1111" t="s">
        <v>232</v>
      </c>
      <c r="BQ1111" s="304" t="s">
        <v>3333</v>
      </c>
      <c r="BR1111" t="s">
        <v>442</v>
      </c>
      <c r="BS1111" s="264">
        <v>44.2</v>
      </c>
      <c r="BT1111" s="151">
        <v>36.700000000000003</v>
      </c>
      <c r="BV1111">
        <v>-7.5</v>
      </c>
      <c r="BX1111">
        <f>BV1111*C_to_CO2</f>
        <v>-27.524999999999999</v>
      </c>
      <c r="BY1111" t="str">
        <f>IFERROR(BX1111/BO1111,"")</f>
        <v/>
      </c>
      <c r="BZ1111" s="143">
        <v>0</v>
      </c>
      <c r="CA1111" s="143">
        <v>0</v>
      </c>
      <c r="CB1111" s="143">
        <v>0</v>
      </c>
      <c r="CC1111" s="143">
        <v>0</v>
      </c>
      <c r="CD1111" s="143">
        <v>0</v>
      </c>
      <c r="CE1111" s="143">
        <v>0</v>
      </c>
      <c r="CF1111" s="143">
        <v>0</v>
      </c>
      <c r="CG1111" s="143">
        <v>0</v>
      </c>
      <c r="CH1111" s="143">
        <v>0</v>
      </c>
      <c r="CI1111" s="143">
        <v>0</v>
      </c>
      <c r="CJ1111" s="143">
        <v>0</v>
      </c>
      <c r="CK1111" s="143">
        <v>0</v>
      </c>
      <c r="CL1111" s="143">
        <v>0</v>
      </c>
      <c r="CM1111">
        <v>0</v>
      </c>
      <c r="CN1111" t="str">
        <f>IF($BL1111&lt;$BK1111,"refNeedCorrection","refOK")</f>
        <v>refOK</v>
      </c>
      <c r="CO1111">
        <f>IF($CN1111="refOK",$BK1111,$BL1111)</f>
        <v>80.5</v>
      </c>
      <c r="CP1111">
        <f>IF($CN1111="refOK",$BL1111,$BK1111)</f>
        <v>80.5</v>
      </c>
      <c r="CQ1111">
        <f>IF($CN1111="refOK",$BO1111,-$BO1111)</f>
        <v>0</v>
      </c>
      <c r="CR1111">
        <f>IF($CN1111="refOK",$BS1111,$BT1111)*IF($BP1111="Emissions positive",-1,1)</f>
        <v>44.2</v>
      </c>
      <c r="CS1111">
        <f>IF($CN1111="refOK",$BT1111,$BS1111)*IF($BP1111="Emissions positive",-1,1)</f>
        <v>36.700000000000003</v>
      </c>
      <c r="CT1111">
        <f>IF($CN1111="refNeedCorrection",-BX1111,BX1111)*IF($BP1111="Emissions positive",-1,1)</f>
        <v>-27.524999999999999</v>
      </c>
      <c r="CU1111" t="str">
        <f>IFERROR(CT1111/CQ1111,"")</f>
        <v/>
      </c>
      <c r="CV1111" s="2">
        <f>IFERROR((CS1111-CR1111)/ABS(CR1111),"")</f>
        <v>-0.16968325791855202</v>
      </c>
      <c r="CW1111" s="1" t="s">
        <v>263</v>
      </c>
      <c r="CX1111" t="str">
        <f>IF(OR($CW1111="prd",$CW1111="std",$CW1111="cit"),"loc",IF(OR($CW1111="eur",$CW1111="reg",$CW1111="coy"),"reg",$CW1111))</f>
        <v>loc</v>
      </c>
      <c r="CY1111" t="s">
        <v>743</v>
      </c>
      <c r="DA1111" s="143"/>
      <c r="DB1111" s="143">
        <v>0</v>
      </c>
      <c r="DC1111" t="str">
        <f>IF(DB1111=0,"0",IF(AND(DB1111&gt;=1,DB1111&lt;=30),"1-30",IF(AND(DB1111&gt;30,DB1111&lt;=70),"31-70",IF(AND(DB1111&gt;70,DB1111&lt;=100),"71-100",IF(DB1111&gt;100,"+100")))))</f>
        <v>0</v>
      </c>
      <c r="DD1111">
        <v>0</v>
      </c>
      <c r="DE1111">
        <v>0</v>
      </c>
      <c r="DF1111">
        <v>0</v>
      </c>
      <c r="DG1111">
        <v>1</v>
      </c>
      <c r="DI1111">
        <f>SUM(DD1111:DG1111)</f>
        <v>1</v>
      </c>
      <c r="DJ1111" t="str">
        <f>IF(DI1111=1,INDEX($DD$7:$DG$7,MATCH(1,$DD1111:$DG1111,0)),"mixedProduct")</f>
        <v>TimberInput</v>
      </c>
      <c r="DK1111">
        <f>IF(DD1111=1,DK$7,0)</f>
        <v>0</v>
      </c>
      <c r="DL1111">
        <f>IF(DE1111=1,DL$7,0)</f>
        <v>0</v>
      </c>
      <c r="DM1111">
        <f>IF(DF1111=1,DM$7,0)</f>
        <v>0</v>
      </c>
      <c r="DN1111" t="str">
        <f>IF(DG1111=1,DN$7,0)</f>
        <v>Timber</v>
      </c>
      <c r="DO1111">
        <v>1</v>
      </c>
      <c r="DP1111" s="143">
        <v>0</v>
      </c>
      <c r="DQ1111" s="143">
        <v>0</v>
      </c>
      <c r="DR1111">
        <v>0</v>
      </c>
      <c r="DS1111" s="143">
        <v>0</v>
      </c>
      <c r="DT1111">
        <f>SUM(DO1111:DP1111)</f>
        <v>1</v>
      </c>
      <c r="DU1111" s="143" t="str">
        <f>IF(DO1111=1,"self-calculated DF",IF(DP1111=1,"external DF used","explicit C balance"))</f>
        <v>self-calculated DF</v>
      </c>
      <c r="DV1111" s="143">
        <v>0</v>
      </c>
      <c r="DW1111" s="264">
        <v>1</v>
      </c>
      <c r="DX1111" s="264">
        <v>1</v>
      </c>
      <c r="DY1111" s="264">
        <v>0</v>
      </c>
      <c r="DZ1111" s="264">
        <v>0</v>
      </c>
      <c r="EA1111" s="264">
        <v>1</v>
      </c>
      <c r="EB1111" s="264">
        <v>1</v>
      </c>
      <c r="EC1111" s="264">
        <v>1</v>
      </c>
      <c r="ED1111" s="143">
        <v>0</v>
      </c>
      <c r="EE1111">
        <v>0</v>
      </c>
      <c r="EF1111">
        <v>0</v>
      </c>
      <c r="EG1111" s="143">
        <v>0</v>
      </c>
      <c r="EH1111" s="143">
        <v>0</v>
      </c>
      <c r="EI1111" s="2">
        <v>0</v>
      </c>
      <c r="EK1111" t="str">
        <f>IF(AND(AND(AND(OR($DX1111=1,$DW1111=1),OR($EC1111=1,$EA1111=1)),SUM($DV1111:$DZ1111,$EF1111)&gt;=4),SUM($EA1111:$EE1111)&gt;=2),"Whole sector","")</f>
        <v/>
      </c>
      <c r="EL1111" t="str">
        <f>IF(AND(AND(OR($DX1111=1,$DW1111=1),AND($EC1111=0,$EA1111=0)),SUM($DV1111:$DZ1111,$EF1111)&gt;=4),"Ecosystem approach","")</f>
        <v/>
      </c>
      <c r="EM1111" s="2" t="str">
        <f>IF(AND(AND(AND($DX1111=0,$DW1111=0),OR($EC1111=1,$EA1111=1)),SUM($EB1111:$EE1111)&gt;=2),"Technology approach","")</f>
        <v/>
      </c>
      <c r="EP1111" t="b">
        <f>IF(ISNUMBER(BU1111),IF(ABS(BU1111-[4]QC_indicators!$B$2)&gt;3*[4]QC_indicators!$C$2,"C ratio",IF(ISNUMBER(BY1111),IF(ABS(BY1111-[4]QC_indicators!$B$1)&gt;3*[4]QC_indicators!$C$1,"DF","no"))),IF(ISNUMBER(BY1111),IF(ABS(BY1111-[4]QC_indicators!$B$1)&gt;3*[4]QC_indicators!$C$1,"DF","no")))</f>
        <v>0</v>
      </c>
      <c r="ER1111" s="149" t="s">
        <v>349</v>
      </c>
      <c r="ET1111" s="264" t="s">
        <v>3273</v>
      </c>
    </row>
    <row r="1112" spans="1:150" ht="187">
      <c r="A1112" s="1" t="s">
        <v>1138</v>
      </c>
      <c r="B1112" t="s">
        <v>1691</v>
      </c>
      <c r="C1112" t="s">
        <v>1692</v>
      </c>
      <c r="D1112" t="s">
        <v>1693</v>
      </c>
      <c r="E1112" t="s">
        <v>1694</v>
      </c>
      <c r="F1112" t="s">
        <v>1695</v>
      </c>
      <c r="G1112" t="s">
        <v>1139</v>
      </c>
      <c r="H1112" t="s">
        <v>254</v>
      </c>
      <c r="I1112">
        <v>2020</v>
      </c>
      <c r="J1112">
        <v>4</v>
      </c>
      <c r="K1112" t="s">
        <v>1696</v>
      </c>
      <c r="M1112" t="str">
        <f>LEFT($D1112,FIND(",",$D1112)-1)&amp;"_"&amp;I1112&amp;L1112</f>
        <v>Gusti_2020</v>
      </c>
      <c r="N1112" t="s">
        <v>222</v>
      </c>
      <c r="O1112" s="181" t="s">
        <v>341</v>
      </c>
      <c r="Q1112" t="s">
        <v>256</v>
      </c>
      <c r="R1112" s="283" t="s">
        <v>225</v>
      </c>
      <c r="S1112" s="1" t="s">
        <v>1697</v>
      </c>
      <c r="T1112" s="151" t="s">
        <v>1111</v>
      </c>
      <c r="U1112" t="s">
        <v>3079</v>
      </c>
      <c r="V1112">
        <v>0</v>
      </c>
      <c r="W1112">
        <v>0</v>
      </c>
      <c r="X1112">
        <v>1</v>
      </c>
      <c r="Y1112">
        <v>1</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s="141">
        <f>COUNTIF(V1112:AW1112,"&lt;&gt;0")</f>
        <v>2</v>
      </c>
      <c r="AY1112" s="141">
        <f>COUNTIF(V1112:AL1112,"&lt;&gt;0")</f>
        <v>2</v>
      </c>
      <c r="AZ1112">
        <f>COUNTIF(V1112:AC1112,"&lt;&gt;0")</f>
        <v>2</v>
      </c>
      <c r="BA1112">
        <f>COUNTIF(AD1112:AI1112,"&lt;&gt;0")</f>
        <v>0</v>
      </c>
      <c r="BB1112">
        <f>COUNTIF(AJ1112:AL1112,"&lt;&gt;0")</f>
        <v>0</v>
      </c>
      <c r="BC1112">
        <f>COUNTIF(AS1112:AW1112,"&lt;&gt;0")</f>
        <v>0</v>
      </c>
      <c r="BD1112">
        <f>COUNTIF(AM1112:AR1112,"&lt;&gt;0")</f>
        <v>0</v>
      </c>
      <c r="BE1112" t="str">
        <f t="array" ref="BE1112">IF(AY1112=1,INDEX($V$7:$AL$7,MATCH(TRUE,INDEX($V1112:$AW1112&lt;&gt;0,),0)),IF(AY1112=0,INDEX($AM$7:$AW$7,MATCH(1,$AM1112:$AW1112,0)),IF(BF1112="Multiple strategies","mixed drivers",IF(BF1112="Supply chain","multiple supply","multiple silviculture"))))</f>
        <v>multiple silviculture</v>
      </c>
      <c r="BF1112" s="2" t="str" cm="1">
        <f t="array" ref="BF1112">IF(COUNTIF(AZ1112:BB1112,"&lt;&gt;0")=1,INDEX($V$4:$AW$4,MATCH(TRUE,INDEX($V1112:$AW1112&lt;&gt;0,),0)),IF(COUNTIF(AZ1112:BB1112,"&lt;&gt;0")=0,INDEX($AM$4:$AW$4,MATCH(1,$AM1112:$AW1112,0)),"Multiple strategies"))</f>
        <v>Silviculture for removals</v>
      </c>
      <c r="BG1112" s="1" t="s">
        <v>321</v>
      </c>
      <c r="BH1112" t="s">
        <v>1322</v>
      </c>
      <c r="BI1112" t="s">
        <v>581</v>
      </c>
      <c r="BJ1112" t="s">
        <v>1323</v>
      </c>
      <c r="BK1112" s="151">
        <v>9999</v>
      </c>
      <c r="BL1112" s="151">
        <v>9999</v>
      </c>
      <c r="BM1112">
        <f>BL1112/BK1112</f>
        <v>1</v>
      </c>
      <c r="BN1112">
        <f>BL1112-BK1112</f>
        <v>0</v>
      </c>
      <c r="BO1112">
        <f>BN1112*10^6</f>
        <v>0</v>
      </c>
      <c r="BP1112" t="s">
        <v>232</v>
      </c>
      <c r="BQ1112" t="s">
        <v>581</v>
      </c>
      <c r="BR1112" t="s">
        <v>1699</v>
      </c>
      <c r="BS1112">
        <v>426</v>
      </c>
      <c r="BT1112">
        <v>366</v>
      </c>
      <c r="BU1112" s="144">
        <f>IFERROR(BT1112/BS1112,"")</f>
        <v>0.85915492957746475</v>
      </c>
      <c r="BV1112" s="151">
        <v>-36</v>
      </c>
      <c r="BX1112">
        <f>BV1112*10^6</f>
        <v>-36000000</v>
      </c>
      <c r="BY1112" t="str">
        <f>IFERROR(BX1112/BO1112,"")</f>
        <v/>
      </c>
      <c r="BZ1112">
        <v>0</v>
      </c>
      <c r="CA1112">
        <v>0</v>
      </c>
      <c r="CB1112">
        <v>0</v>
      </c>
      <c r="CC1112">
        <v>0</v>
      </c>
      <c r="CD1112">
        <v>0</v>
      </c>
      <c r="CE1112">
        <v>0</v>
      </c>
      <c r="CF1112">
        <v>0</v>
      </c>
      <c r="CG1112">
        <v>0</v>
      </c>
      <c r="CH1112">
        <v>0</v>
      </c>
      <c r="CI1112">
        <v>0</v>
      </c>
      <c r="CJ1112">
        <v>0</v>
      </c>
      <c r="CK1112">
        <v>0</v>
      </c>
      <c r="CL1112">
        <v>0</v>
      </c>
      <c r="CM1112">
        <v>0</v>
      </c>
      <c r="CN1112" t="str">
        <f>IF($BL1112&lt;$BK1112,"refNeedCorrection","refOK")</f>
        <v>refOK</v>
      </c>
      <c r="CO1112">
        <f>IF($CN1112="refNeedCorrection",BK1112,BL1112)</f>
        <v>9999</v>
      </c>
      <c r="CP1112">
        <f>IF($CN1112="refNeedCorrection",BL1112,BK1112)</f>
        <v>9999</v>
      </c>
      <c r="CQ1112">
        <f>IF($CN1112="refOK",$BO1112,-$BO1112)</f>
        <v>0</v>
      </c>
      <c r="CR1112">
        <f>IF($CN1112="refOK",$BS1112,$BT1112)*IF($BP1112="Emissions positive",-1,1)</f>
        <v>426</v>
      </c>
      <c r="CS1112">
        <f>IF($CN1112="refOK",$BT1112,$BS1112)*IF($BP1112="Emissions positive",-1,1)</f>
        <v>366</v>
      </c>
      <c r="CT1112">
        <f>IF($CN1112="refNeedCorrection",-BX1112,BX1112)*IF($BP1112="Emissions positive",-1,1)</f>
        <v>-36000000</v>
      </c>
      <c r="CU1112" t="str">
        <f>IFERROR(CT1112/CQ1112,"")</f>
        <v/>
      </c>
      <c r="CV1112" s="2">
        <f>IFERROR((CS1112-CR1112)/ABS(CR1112),"")</f>
        <v>-0.14084507042253522</v>
      </c>
      <c r="CW1112" s="1" t="s">
        <v>1231</v>
      </c>
      <c r="CX1112" t="str">
        <f>IF(OR($CW1112="prd",$CW1112="std",$CW1112="cit"),"loc",IF(OR($CW1112="eur",$CW1112="reg",$CW1112="coy"),"reg",$CW1112))</f>
        <v>reg</v>
      </c>
      <c r="CY1112" t="s">
        <v>743</v>
      </c>
      <c r="CZ1112">
        <v>2026</v>
      </c>
      <c r="DA1112">
        <v>2030</v>
      </c>
      <c r="DB1112">
        <v>5</v>
      </c>
      <c r="DC1112" t="str">
        <f>IF(DB1112=0,"0",IF(AND(DB1112&gt;=1,DB1112&lt;=30),"1-30",IF(AND(DB1112&gt;30,DB1112&lt;=70),"31-70",IF(AND(DB1112&gt;70,DB1112&lt;=100),"71-100",IF(DB1112&gt;100,"+100")))))</f>
        <v>1-30</v>
      </c>
      <c r="DD1112">
        <v>1</v>
      </c>
      <c r="DE1112">
        <v>0</v>
      </c>
      <c r="DF1112">
        <v>0</v>
      </c>
      <c r="DG1112">
        <v>0</v>
      </c>
      <c r="DI1112">
        <f>SUM(DD1112:DG1112)</f>
        <v>1</v>
      </c>
      <c r="DJ1112" t="str">
        <f>IF(DI1112=1,INDEX($DD$7:$DG$7,MATCH(1,$DD1112:$DG1112,0)),"mixedProduct")</f>
        <v>UpstreamInput</v>
      </c>
      <c r="DK1112" t="str">
        <f>IF(DD1112=1,DK$7,0)</f>
        <v>Upstream</v>
      </c>
      <c r="DL1112">
        <f>IF(DE1112=1,DL$7,0)</f>
        <v>0</v>
      </c>
      <c r="DM1112">
        <f>IF(DF1112=1,DM$7,0)</f>
        <v>0</v>
      </c>
      <c r="DN1112">
        <f>IF(DG1112=1,DN$7,0)</f>
        <v>0</v>
      </c>
      <c r="DO1112">
        <v>0</v>
      </c>
      <c r="DP1112">
        <v>0</v>
      </c>
      <c r="DQ1112">
        <v>0</v>
      </c>
      <c r="DR1112">
        <v>0</v>
      </c>
      <c r="DS1112">
        <v>0</v>
      </c>
      <c r="DT1112">
        <f>SUM(DO1112:DP1112)</f>
        <v>0</v>
      </c>
      <c r="DU1112" s="143" t="str">
        <f>IF(DO1112=1,"self-calculated DF",IF(DP1112=1,"external DF used","explicit C balance"))</f>
        <v>explicit C balance</v>
      </c>
      <c r="DV1112">
        <v>1</v>
      </c>
      <c r="DW1112">
        <v>0</v>
      </c>
      <c r="DX1112">
        <v>1</v>
      </c>
      <c r="DY1112">
        <v>0</v>
      </c>
      <c r="DZ1112">
        <v>0</v>
      </c>
      <c r="EA1112" s="143">
        <v>0</v>
      </c>
      <c r="EB1112">
        <v>0</v>
      </c>
      <c r="EC1112">
        <v>0</v>
      </c>
      <c r="ED1112">
        <v>0</v>
      </c>
      <c r="EE1112">
        <v>0</v>
      </c>
      <c r="EF1112">
        <v>1</v>
      </c>
      <c r="EG1112">
        <v>0</v>
      </c>
      <c r="EH1112">
        <v>0</v>
      </c>
      <c r="EI1112" s="2">
        <v>0</v>
      </c>
      <c r="EK1112" t="str">
        <f>IF(AND(AND(AND(OR($DX1112=1,$DW1112=1),OR($EC1112=1,$EA1112=1)),SUM($DV1112:$DZ1112,$EF1112)&gt;=4),SUM($EA1112:$EE1112)&gt;=2),"Whole sector","")</f>
        <v/>
      </c>
      <c r="EL1112" t="str">
        <f>IF(AND(AND(OR($DX1112=1,$DW1112=1),AND($EC1112=0,$EA1112=0)),SUM($DV1112:$DZ1112,$EF1112)&gt;=4),"Ecosystem approach","")</f>
        <v/>
      </c>
      <c r="EM1112" s="2" t="str">
        <f>IF(AND(AND(AND($DX1112=0,$DW1112=0),OR($EC1112=1,$EA1112=1)),SUM($EB1112:$EE1112)&gt;=2),"Technology approach","")</f>
        <v/>
      </c>
      <c r="EN1112" s="149" t="s">
        <v>1700</v>
      </c>
      <c r="EP1112" t="b">
        <f>IF(ISNUMBER(BU1112),IF(ABS(BU1112-[4]QC_indicators!$B$2)&gt;3*[4]QC_indicators!$C$2,"C ratio",IF(ISNUMBER(BY1112),IF(ABS(BY1112-[4]QC_indicators!$B$1)&gt;3*[4]QC_indicators!$C$1,"DF","no"))),IF(ISNUMBER(BY1112),IF(ABS(BY1112-[4]QC_indicators!$B$1)&gt;3*[4]QC_indicators!$C$1,"DF","no")))</f>
        <v>0</v>
      </c>
      <c r="ER1112" s="149" t="s">
        <v>349</v>
      </c>
      <c r="ET1112" s="264" t="s">
        <v>3273</v>
      </c>
    </row>
    <row r="1113" spans="1:150" ht="187">
      <c r="A1113" s="1" t="s">
        <v>1138</v>
      </c>
      <c r="B1113" t="s">
        <v>1691</v>
      </c>
      <c r="C1113" t="s">
        <v>1692</v>
      </c>
      <c r="D1113" t="s">
        <v>1693</v>
      </c>
      <c r="E1113" t="s">
        <v>1694</v>
      </c>
      <c r="F1113" t="s">
        <v>1695</v>
      </c>
      <c r="G1113" t="s">
        <v>1139</v>
      </c>
      <c r="H1113" t="s">
        <v>254</v>
      </c>
      <c r="I1113">
        <v>2020</v>
      </c>
      <c r="J1113">
        <v>4</v>
      </c>
      <c r="K1113" t="s">
        <v>1696</v>
      </c>
      <c r="M1113" t="str">
        <f>LEFT($D1113,FIND(",",$D1113)-1)&amp;"_"&amp;I1113&amp;L1113</f>
        <v>Gusti_2020</v>
      </c>
      <c r="N1113" t="s">
        <v>222</v>
      </c>
      <c r="O1113" s="181" t="s">
        <v>341</v>
      </c>
      <c r="Q1113" t="s">
        <v>256</v>
      </c>
      <c r="R1113" s="283" t="s">
        <v>225</v>
      </c>
      <c r="S1113" s="1" t="s">
        <v>1701</v>
      </c>
      <c r="T1113" s="151" t="s">
        <v>1111</v>
      </c>
      <c r="U1113" t="s">
        <v>3080</v>
      </c>
      <c r="V1113">
        <v>0</v>
      </c>
      <c r="W1113">
        <v>0</v>
      </c>
      <c r="X1113">
        <v>1</v>
      </c>
      <c r="Y1113">
        <v>1</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s="141">
        <f>COUNTIF(V1113:AW1113,"&lt;&gt;0")</f>
        <v>2</v>
      </c>
      <c r="AY1113" s="141">
        <f>COUNTIF(V1113:AL1113,"&lt;&gt;0")</f>
        <v>2</v>
      </c>
      <c r="AZ1113">
        <f>COUNTIF(V1113:AC1113,"&lt;&gt;0")</f>
        <v>2</v>
      </c>
      <c r="BA1113">
        <f>COUNTIF(AD1113:AI1113,"&lt;&gt;0")</f>
        <v>0</v>
      </c>
      <c r="BB1113">
        <f>COUNTIF(AJ1113:AL1113,"&lt;&gt;0")</f>
        <v>0</v>
      </c>
      <c r="BC1113">
        <f>COUNTIF(AS1113:AW1113,"&lt;&gt;0")</f>
        <v>0</v>
      </c>
      <c r="BD1113">
        <f>COUNTIF(AM1113:AR1113,"&lt;&gt;0")</f>
        <v>0</v>
      </c>
      <c r="BE1113" t="str">
        <f t="array" ref="BE1113">IF(AY1113=1,INDEX($V$7:$AL$7,MATCH(TRUE,INDEX($V1113:$AW1113&lt;&gt;0,),0)),IF(AY1113=0,INDEX($AM$7:$AW$7,MATCH(1,$AM1113:$AW1113,0)),IF(BF1113="Multiple strategies","mixed drivers",IF(BF1113="Supply chain","multiple supply","multiple silviculture"))))</f>
        <v>multiple silviculture</v>
      </c>
      <c r="BF1113" s="2" t="str" cm="1">
        <f t="array" ref="BF1113">IF(COUNTIF(AZ1113:BB1113,"&lt;&gt;0")=1,INDEX($V$4:$AW$4,MATCH(TRUE,INDEX($V1113:$AW1113&lt;&gt;0,),0)),IF(COUNTIF(AZ1113:BB1113,"&lt;&gt;0")=0,INDEX($AM$4:$AW$4,MATCH(1,$AM1113:$AW1113,0)),"Multiple strategies"))</f>
        <v>Silviculture for removals</v>
      </c>
      <c r="BG1113" s="1" t="s">
        <v>321</v>
      </c>
      <c r="BH1113" t="s">
        <v>1322</v>
      </c>
      <c r="BI1113" t="s">
        <v>581</v>
      </c>
      <c r="BJ1113" t="s">
        <v>1323</v>
      </c>
      <c r="BK1113" s="151">
        <v>9999</v>
      </c>
      <c r="BL1113" s="151">
        <v>9999</v>
      </c>
      <c r="BM1113">
        <f>BL1113/BK1113</f>
        <v>1</v>
      </c>
      <c r="BN1113">
        <f>BL1113-BK1113</f>
        <v>0</v>
      </c>
      <c r="BO1113">
        <f>BN1113*10^6</f>
        <v>0</v>
      </c>
      <c r="BP1113" t="s">
        <v>232</v>
      </c>
      <c r="BQ1113" t="s">
        <v>581</v>
      </c>
      <c r="BR1113" t="s">
        <v>1699</v>
      </c>
      <c r="BS1113">
        <v>402</v>
      </c>
      <c r="BT1113">
        <v>366</v>
      </c>
      <c r="BU1113" s="144">
        <f>IFERROR(BT1113/BS1113,"")</f>
        <v>0.91044776119402981</v>
      </c>
      <c r="BV1113" s="151">
        <v>-60</v>
      </c>
      <c r="BX1113">
        <f>BV1113*10^6</f>
        <v>-60000000</v>
      </c>
      <c r="BY1113" t="str">
        <f>IFERROR(BX1113/BO1113,"")</f>
        <v/>
      </c>
      <c r="BZ1113">
        <v>0</v>
      </c>
      <c r="CA1113">
        <v>0</v>
      </c>
      <c r="CB1113">
        <v>0</v>
      </c>
      <c r="CC1113">
        <v>0</v>
      </c>
      <c r="CD1113">
        <v>0</v>
      </c>
      <c r="CE1113">
        <v>0</v>
      </c>
      <c r="CF1113">
        <v>0</v>
      </c>
      <c r="CG1113">
        <v>0</v>
      </c>
      <c r="CH1113">
        <v>0</v>
      </c>
      <c r="CI1113">
        <v>0</v>
      </c>
      <c r="CJ1113">
        <v>0</v>
      </c>
      <c r="CK1113">
        <v>0</v>
      </c>
      <c r="CL1113">
        <v>0</v>
      </c>
      <c r="CM1113">
        <v>0</v>
      </c>
      <c r="CN1113" t="str">
        <f>IF($BL1113&lt;$BK1113,"refNeedCorrection","refOK")</f>
        <v>refOK</v>
      </c>
      <c r="CO1113">
        <f>IF($CN1113="refNeedCorrection",BK1113,BL1113)</f>
        <v>9999</v>
      </c>
      <c r="CP1113">
        <f>IF($CN1113="refNeedCorrection",BL1113,BK1113)</f>
        <v>9999</v>
      </c>
      <c r="CQ1113">
        <f>IF($CN1113="refOK",$BO1113,-$BO1113)</f>
        <v>0</v>
      </c>
      <c r="CR1113">
        <f>IF($CN1113="refOK",$BS1113,$BT1113)*IF($BP1113="Emissions positive",-1,1)</f>
        <v>402</v>
      </c>
      <c r="CS1113">
        <f>IF($CN1113="refOK",$BT1113,$BS1113)*IF($BP1113="Emissions positive",-1,1)</f>
        <v>366</v>
      </c>
      <c r="CT1113">
        <f>IF($CN1113="refNeedCorrection",-BX1113,BX1113)*IF($BP1113="Emissions positive",-1,1)</f>
        <v>-60000000</v>
      </c>
      <c r="CU1113" t="str">
        <f>IFERROR(CT1113/CQ1113,"")</f>
        <v/>
      </c>
      <c r="CV1113" s="2">
        <f>IFERROR((CS1113-CR1113)/ABS(CR1113),"")</f>
        <v>-8.9552238805970144E-2</v>
      </c>
      <c r="CW1113" s="1" t="s">
        <v>1231</v>
      </c>
      <c r="CX1113" t="str">
        <f>IF(OR($CW1113="prd",$CW1113="std",$CW1113="cit"),"loc",IF(OR($CW1113="eur",$CW1113="reg",$CW1113="coy"),"reg",$CW1113))</f>
        <v>reg</v>
      </c>
      <c r="CY1113" t="s">
        <v>743</v>
      </c>
      <c r="CZ1113">
        <v>2026</v>
      </c>
      <c r="DA1113">
        <v>2030</v>
      </c>
      <c r="DB1113">
        <v>5</v>
      </c>
      <c r="DC1113" t="str">
        <f>IF(DB1113=0,"0",IF(AND(DB1113&gt;=1,DB1113&lt;=30),"1-30",IF(AND(DB1113&gt;30,DB1113&lt;=70),"31-70",IF(AND(DB1113&gt;70,DB1113&lt;=100),"71-100",IF(DB1113&gt;100,"+100")))))</f>
        <v>1-30</v>
      </c>
      <c r="DD1113">
        <v>1</v>
      </c>
      <c r="DE1113">
        <v>0</v>
      </c>
      <c r="DF1113">
        <v>0</v>
      </c>
      <c r="DG1113">
        <v>0</v>
      </c>
      <c r="DI1113">
        <f>SUM(DD1113:DG1113)</f>
        <v>1</v>
      </c>
      <c r="DJ1113" t="str">
        <f>IF(DI1113=1,INDEX($DD$7:$DG$7,MATCH(1,$DD1113:$DG1113,0)),"mixedProduct")</f>
        <v>UpstreamInput</v>
      </c>
      <c r="DK1113" t="str">
        <f>IF(DD1113=1,DK$7,0)</f>
        <v>Upstream</v>
      </c>
      <c r="DL1113">
        <f>IF(DE1113=1,DL$7,0)</f>
        <v>0</v>
      </c>
      <c r="DM1113">
        <f>IF(DF1113=1,DM$7,0)</f>
        <v>0</v>
      </c>
      <c r="DN1113">
        <f>IF(DG1113=1,DN$7,0)</f>
        <v>0</v>
      </c>
      <c r="DO1113">
        <v>0</v>
      </c>
      <c r="DP1113">
        <v>0</v>
      </c>
      <c r="DQ1113">
        <v>0</v>
      </c>
      <c r="DR1113">
        <v>0</v>
      </c>
      <c r="DS1113">
        <v>0</v>
      </c>
      <c r="DT1113">
        <f>SUM(DO1113:DP1113)</f>
        <v>0</v>
      </c>
      <c r="DU1113" s="143" t="str">
        <f>IF(DO1113=1,"self-calculated DF",IF(DP1113=1,"external DF used","explicit C balance"))</f>
        <v>explicit C balance</v>
      </c>
      <c r="DV1113">
        <v>1</v>
      </c>
      <c r="DW1113">
        <v>0</v>
      </c>
      <c r="DX1113">
        <v>1</v>
      </c>
      <c r="DY1113">
        <v>0</v>
      </c>
      <c r="DZ1113">
        <v>0</v>
      </c>
      <c r="EA1113" s="143">
        <v>0</v>
      </c>
      <c r="EB1113">
        <v>0</v>
      </c>
      <c r="EC1113">
        <v>0</v>
      </c>
      <c r="ED1113">
        <v>0</v>
      </c>
      <c r="EE1113">
        <v>0</v>
      </c>
      <c r="EF1113">
        <v>1</v>
      </c>
      <c r="EG1113">
        <v>0</v>
      </c>
      <c r="EH1113">
        <v>0</v>
      </c>
      <c r="EI1113" s="2">
        <v>0</v>
      </c>
      <c r="EK1113" t="str">
        <f>IF(AND(AND(AND(OR($DX1113=1,$DW1113=1),OR($EC1113=1,$EA1113=1)),SUM($DV1113:$DZ1113,$EF1113)&gt;=4),SUM($EA1113:$EE1113)&gt;=2),"Whole sector","")</f>
        <v/>
      </c>
      <c r="EL1113" t="str">
        <f>IF(AND(AND(OR($DX1113=1,$DW1113=1),AND($EC1113=0,$EA1113=0)),SUM($DV1113:$DZ1113,$EF1113)&gt;=4),"Ecosystem approach","")</f>
        <v/>
      </c>
      <c r="EM1113" s="2" t="str">
        <f>IF(AND(AND(AND($DX1113=0,$DW1113=0),OR($EC1113=1,$EA1113=1)),SUM($EB1113:$EE1113)&gt;=2),"Technology approach","")</f>
        <v/>
      </c>
      <c r="EN1113" s="149" t="s">
        <v>1702</v>
      </c>
      <c r="EP1113" t="b">
        <f>IF(ISNUMBER(BU1113),IF(ABS(BU1113-[4]QC_indicators!$B$2)&gt;3*[4]QC_indicators!$C$2,"C ratio",IF(ISNUMBER(BY1113),IF(ABS(BY1113-[4]QC_indicators!$B$1)&gt;3*[4]QC_indicators!$C$1,"DF","no"))),IF(ISNUMBER(BY1113),IF(ABS(BY1113-[4]QC_indicators!$B$1)&gt;3*[4]QC_indicators!$C$1,"DF","no")))</f>
        <v>0</v>
      </c>
      <c r="ER1113" s="149" t="s">
        <v>349</v>
      </c>
      <c r="ET1113" s="264" t="s">
        <v>3273</v>
      </c>
    </row>
    <row r="1114" spans="1:150" ht="187">
      <c r="A1114" s="1" t="s">
        <v>614</v>
      </c>
      <c r="B1114" t="s">
        <v>1719</v>
      </c>
      <c r="C1114" t="s">
        <v>1720</v>
      </c>
      <c r="D1114" t="s">
        <v>1721</v>
      </c>
      <c r="E1114" t="s">
        <v>1722</v>
      </c>
      <c r="F1114" t="s">
        <v>1723</v>
      </c>
      <c r="G1114" t="s">
        <v>620</v>
      </c>
      <c r="H1114" t="s">
        <v>254</v>
      </c>
      <c r="I1114">
        <v>2021</v>
      </c>
      <c r="J1114">
        <v>2</v>
      </c>
      <c r="K1114" t="s">
        <v>1724</v>
      </c>
      <c r="M1114" t="str">
        <f>LEFT($D1114,FIND(",",$D1114)-1)&amp;"_"&amp;I1114&amp;L1114</f>
        <v>Hawkins_2021</v>
      </c>
      <c r="N1114" t="s">
        <v>222</v>
      </c>
      <c r="O1114" s="145" t="s">
        <v>513</v>
      </c>
      <c r="Q1114" t="s">
        <v>256</v>
      </c>
      <c r="R1114" s="2" t="s">
        <v>274</v>
      </c>
      <c r="S1114" s="1" t="s">
        <v>1733</v>
      </c>
      <c r="T1114" t="s">
        <v>1731</v>
      </c>
      <c r="U1114" t="s">
        <v>1726</v>
      </c>
      <c r="V1114">
        <v>0</v>
      </c>
      <c r="W1114">
        <v>0</v>
      </c>
      <c r="X1114">
        <v>0</v>
      </c>
      <c r="Y1114">
        <v>0</v>
      </c>
      <c r="Z1114">
        <v>0</v>
      </c>
      <c r="AA1114">
        <v>1</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s="141">
        <f>COUNTIF(V1114:AW1114,"&lt;&gt;0")</f>
        <v>1</v>
      </c>
      <c r="AY1114" s="141">
        <f>COUNTIF(V1114:AL1114,"&lt;&gt;0")</f>
        <v>1</v>
      </c>
      <c r="AZ1114">
        <f>COUNTIF(V1114:AC1114,"&lt;&gt;0")</f>
        <v>1</v>
      </c>
      <c r="BA1114">
        <f>COUNTIF(AD1114:AI1114,"&lt;&gt;0")</f>
        <v>0</v>
      </c>
      <c r="BB1114">
        <f>COUNTIF(AJ1114:AL1114,"&lt;&gt;0")</f>
        <v>0</v>
      </c>
      <c r="BC1114">
        <f>COUNTIF(AS1114:AW1114,"&lt;&gt;0")</f>
        <v>0</v>
      </c>
      <c r="BD1114">
        <f>COUNTIF(AM1114:AR1114,"&lt;&gt;0")</f>
        <v>0</v>
      </c>
      <c r="BE1114" t="str">
        <f t="array" ref="BE1114">IF(AY1114=1,INDEX($V$7:$AL$7,MATCH(TRUE,INDEX($V1114:$AW1114&lt;&gt;0,),0)),IF(AY1114=0,INDEX($AM$7:$AW$7,MATCH(1,$AM1114:$AW1114,0)),IF(BF1114="Multiple strategies","mixed drivers",IF(BF1114="Supply chain","multiple supply","multiple silviculture"))))</f>
        <v>plantation density</v>
      </c>
      <c r="BF1114" s="2" t="str" cm="1">
        <f t="array" ref="BF1114">IF(COUNTIF(AZ1114:BB1114,"&lt;&gt;0")=1,INDEX($V$4:$AW$4,MATCH(TRUE,INDEX($V1114:$AW1114&lt;&gt;0,),0)),IF(COUNTIF(AZ1114:BB1114,"&lt;&gt;0")=0,INDEX($AM$4:$AW$4,MATCH(1,$AM1114:$AW1114,0)),"Multiple strategies"))</f>
        <v>Silviculture for productivity</v>
      </c>
      <c r="BG1114" s="1" t="s">
        <v>229</v>
      </c>
      <c r="BH1114" t="s">
        <v>229</v>
      </c>
      <c r="BJ1114" t="s">
        <v>756</v>
      </c>
      <c r="BK1114">
        <v>1105.3</v>
      </c>
      <c r="BL1114">
        <v>1105.3</v>
      </c>
      <c r="BN1114">
        <f>BL1114-BK1114</f>
        <v>0</v>
      </c>
      <c r="BO1114">
        <f>BN1114*t_to_m3</f>
        <v>0</v>
      </c>
      <c r="BP1114" t="s">
        <v>232</v>
      </c>
      <c r="BQ1114" s="264" t="s">
        <v>3261</v>
      </c>
      <c r="BR1114" t="s">
        <v>728</v>
      </c>
      <c r="BS1114" s="179">
        <v>-1400000</v>
      </c>
      <c r="BT1114" s="179">
        <v>-816000</v>
      </c>
      <c r="BU1114" s="144">
        <f>IFERROR(BT1114/BS1114,"")</f>
        <v>0.58285714285714285</v>
      </c>
      <c r="BV1114" s="179">
        <f>BT1114-BS1114</f>
        <v>584000</v>
      </c>
      <c r="BW1114" s="179"/>
      <c r="BX1114">
        <f>BV1114/1000</f>
        <v>584</v>
      </c>
      <c r="BY1114" t="str">
        <f>IFERROR(BX1114/BO1114,"")</f>
        <v/>
      </c>
      <c r="BZ1114">
        <v>0</v>
      </c>
      <c r="CA1114">
        <v>1</v>
      </c>
      <c r="CB1114">
        <v>0</v>
      </c>
      <c r="CC1114">
        <v>1</v>
      </c>
      <c r="CD1114">
        <v>0</v>
      </c>
      <c r="CE1114">
        <v>0</v>
      </c>
      <c r="CF1114">
        <v>0</v>
      </c>
      <c r="CG1114">
        <v>1</v>
      </c>
      <c r="CH1114">
        <v>0</v>
      </c>
      <c r="CI1114">
        <v>0</v>
      </c>
      <c r="CJ1114">
        <v>0</v>
      </c>
      <c r="CK1114">
        <v>0</v>
      </c>
      <c r="CL1114">
        <v>0</v>
      </c>
      <c r="CM1114">
        <v>0</v>
      </c>
      <c r="CN1114" t="str">
        <f>IF($BL1114&lt;$BK1114,"refNeedCorrection","refOK")</f>
        <v>refOK</v>
      </c>
      <c r="CO1114">
        <f>IF($CN1114="refNeedCorrection",BL1114,BK1114)</f>
        <v>1105.3</v>
      </c>
      <c r="CP1114">
        <f>IF($CN1114="refNeedCorrection",BK1114,BL1114)</f>
        <v>1105.3</v>
      </c>
      <c r="CQ1114">
        <f>IF($CN1114="refOK",$BO1114,-$BO1114)</f>
        <v>0</v>
      </c>
      <c r="CR1114">
        <f>IF($CN1114="refOK",$BS1114,$BT1114)*IF($BP1114="Emissions positive",-1,1)</f>
        <v>-1400000</v>
      </c>
      <c r="CS1114">
        <f>IF($CN1114="refOK",$BT1114,$BS1114)*IF($BP1114="Emissions positive",-1,1)</f>
        <v>-816000</v>
      </c>
      <c r="CT1114">
        <f>IF($CN1114="refNeedCorrection",-BX1114,BX1114)*IF($BP1114="Emissions positive",-1,1)</f>
        <v>584</v>
      </c>
      <c r="CU1114" t="str">
        <f>IFERROR(CT1114/CQ1114,"")</f>
        <v/>
      </c>
      <c r="CV1114" s="2">
        <f>IFERROR((CS1114-CR1114)/ABS(CR1114),"")</f>
        <v>0.41714285714285715</v>
      </c>
      <c r="CW1114" s="1" t="s">
        <v>1203</v>
      </c>
      <c r="CX1114" t="str">
        <f>IF(OR($CW1114="prd",$CW1114="std",$CW1114="cit"),"loc",IF(OR($CW1114="eur",$CW1114="reg",$CW1114="coy"),"reg",$CW1114))</f>
        <v>reg</v>
      </c>
      <c r="CY1114" s="309" t="s">
        <v>3423</v>
      </c>
      <c r="DB1114">
        <v>100</v>
      </c>
      <c r="DC1114" t="str">
        <f>IF(DB1114=0,"0",IF(AND(DB1114&gt;=1,DB1114&lt;=30),"1-30",IF(AND(DB1114&gt;30,DB1114&lt;=70),"31-70",IF(AND(DB1114&gt;70,DB1114&lt;=100),"71-100",IF(DB1114&gt;100,"+100")))))</f>
        <v>71-100</v>
      </c>
      <c r="DD1114">
        <v>0</v>
      </c>
      <c r="DE1114">
        <v>0</v>
      </c>
      <c r="DF1114">
        <v>0</v>
      </c>
      <c r="DG1114">
        <v>1</v>
      </c>
      <c r="DI1114">
        <f>SUM(DD1114:DG1114)</f>
        <v>1</v>
      </c>
      <c r="DJ1114" t="str">
        <f>IF(DI1114=1,INDEX($DD$7:$DG$7,MATCH(1,$DD1114:$DG1114,0)),"mixedProduct")</f>
        <v>TimberInput</v>
      </c>
      <c r="DK1114">
        <f>IF(DD1114=1,DK$7,0)</f>
        <v>0</v>
      </c>
      <c r="DL1114">
        <f>IF(DE1114=1,DL$7,0)</f>
        <v>0</v>
      </c>
      <c r="DM1114">
        <f>IF(DF1114=1,DM$7,0)</f>
        <v>0</v>
      </c>
      <c r="DN1114" t="str">
        <f>IF(DG1114=1,DN$7,0)</f>
        <v>Timber</v>
      </c>
      <c r="DO1114">
        <v>0</v>
      </c>
      <c r="DP1114">
        <v>0</v>
      </c>
      <c r="DQ1114">
        <v>0</v>
      </c>
      <c r="DR1114">
        <v>0</v>
      </c>
      <c r="DS1114">
        <v>0</v>
      </c>
      <c r="DT1114">
        <f>SUM(DO1114:DP1114)</f>
        <v>0</v>
      </c>
      <c r="DU1114" s="143" t="str">
        <f>IF(DO1114=1,"self-calculated DF",IF(DP1114=1,"external DF used","explicit C balance"))</f>
        <v>explicit C balance</v>
      </c>
      <c r="DV1114">
        <v>0</v>
      </c>
      <c r="DW1114">
        <v>0</v>
      </c>
      <c r="DX1114">
        <v>1</v>
      </c>
      <c r="DY1114">
        <v>1</v>
      </c>
      <c r="DZ1114">
        <v>1</v>
      </c>
      <c r="EA1114">
        <v>1</v>
      </c>
      <c r="EB1114">
        <v>1</v>
      </c>
      <c r="EC1114">
        <v>1</v>
      </c>
      <c r="ED1114">
        <v>1</v>
      </c>
      <c r="EE1114">
        <v>1</v>
      </c>
      <c r="EF1114">
        <v>1</v>
      </c>
      <c r="EG1114">
        <v>1</v>
      </c>
      <c r="EH1114">
        <v>0</v>
      </c>
      <c r="EI1114" s="2">
        <v>0</v>
      </c>
      <c r="EK1114" t="str">
        <f>IF(AND(AND(AND(OR($DX1114=1,$DW1114=1),OR($EC1114=1,$EA1114=1)),SUM($DV1114:$DZ1114,$EF1114)&gt;=4),SUM($EA1114:$EE1114)&gt;=2),"Whole sector","")</f>
        <v>Whole sector</v>
      </c>
      <c r="EL1114" t="str">
        <f>IF(AND(AND(OR($DX1114=1,$DW1114=1),AND($EC1114=0,$EA1114=0)),SUM($DV1114:$DZ1114,$EF1114)&gt;=4),"Ecosystem approach","")</f>
        <v/>
      </c>
      <c r="EM1114" s="2" t="str">
        <f>IF(AND(AND(AND($DX1114=0,$DW1114=0),OR($EC1114=1,$EA1114=1)),SUM($EB1114:$EE1114)&gt;=2),"Technology approach","")</f>
        <v/>
      </c>
      <c r="EN1114" t="s">
        <v>1732</v>
      </c>
      <c r="EP1114" t="b">
        <f>IF(ISNUMBER(BU1114),IF(ABS(BU1114-[2]QC_indicators!$B$2)&gt;3*[2]QC_indicators!$C$2,"C ratio",IF(ISNUMBER(BY1114),IF(ABS(BY1114-[2]QC_indicators!$B$1)&gt;3*[2]QC_indicators!$C$1,"DF","no"))),IF(ISNUMBER(BY1114),IF(ABS(BY1114-[2]QC_indicators!$B$1)&gt;3*[2]QC_indicators!$C$1,"DF","no")))</f>
        <v>0</v>
      </c>
      <c r="ET1114" s="264" t="s">
        <v>3151</v>
      </c>
    </row>
    <row r="1115" spans="1:150" ht="17">
      <c r="A1115" s="1" t="s">
        <v>614</v>
      </c>
      <c r="B1115" t="s">
        <v>1719</v>
      </c>
      <c r="C1115" t="s">
        <v>1720</v>
      </c>
      <c r="D1115" t="s">
        <v>1721</v>
      </c>
      <c r="E1115" t="s">
        <v>1722</v>
      </c>
      <c r="F1115" t="s">
        <v>1723</v>
      </c>
      <c r="G1115" t="s">
        <v>620</v>
      </c>
      <c r="H1115" t="s">
        <v>254</v>
      </c>
      <c r="I1115">
        <v>2021</v>
      </c>
      <c r="J1115">
        <v>2</v>
      </c>
      <c r="K1115" t="s">
        <v>1724</v>
      </c>
      <c r="M1115" t="str">
        <f>LEFT($D1115,FIND(",",$D1115)-1)&amp;"_"&amp;I1115&amp;L1115</f>
        <v>Hawkins_2021</v>
      </c>
      <c r="N1115" t="s">
        <v>222</v>
      </c>
      <c r="O1115" s="145" t="s">
        <v>513</v>
      </c>
      <c r="Q1115" t="s">
        <v>256</v>
      </c>
      <c r="R1115" s="2" t="s">
        <v>274</v>
      </c>
      <c r="S1115" s="1" t="s">
        <v>1730</v>
      </c>
      <c r="T1115" t="s">
        <v>1731</v>
      </c>
      <c r="U1115" t="s">
        <v>1726</v>
      </c>
      <c r="V1115">
        <v>0</v>
      </c>
      <c r="W1115">
        <v>0</v>
      </c>
      <c r="X1115">
        <v>0</v>
      </c>
      <c r="Y1115">
        <v>0</v>
      </c>
      <c r="Z1115">
        <v>0</v>
      </c>
      <c r="AA1115">
        <v>1</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s="141">
        <f>COUNTIF(V1115:AW1115,"&lt;&gt;0")</f>
        <v>1</v>
      </c>
      <c r="AY1115" s="141">
        <f>COUNTIF(V1115:AL1115,"&lt;&gt;0")</f>
        <v>1</v>
      </c>
      <c r="AZ1115">
        <f>COUNTIF(V1115:AC1115,"&lt;&gt;0")</f>
        <v>1</v>
      </c>
      <c r="BA1115">
        <f>COUNTIF(AD1115:AI1115,"&lt;&gt;0")</f>
        <v>0</v>
      </c>
      <c r="BB1115">
        <f>COUNTIF(AJ1115:AL1115,"&lt;&gt;0")</f>
        <v>0</v>
      </c>
      <c r="BC1115">
        <f>COUNTIF(AS1115:AW1115,"&lt;&gt;0")</f>
        <v>0</v>
      </c>
      <c r="BD1115">
        <f>COUNTIF(AM1115:AR1115,"&lt;&gt;0")</f>
        <v>0</v>
      </c>
      <c r="BE1115" t="str">
        <f t="array" ref="BE1115">IF(AY1115=1,INDEX($V$7:$AL$7,MATCH(TRUE,INDEX($V1115:$AW1115&lt;&gt;0,),0)),IF(AY1115=0,INDEX($AM$7:$AW$7,MATCH(1,$AM1115:$AW1115,0)),IF(BF1115="Multiple strategies","mixed drivers",IF(BF1115="Supply chain","multiple supply","multiple silviculture"))))</f>
        <v>plantation density</v>
      </c>
      <c r="BF1115" s="2" t="str" cm="1">
        <f t="array" ref="BF1115">IF(COUNTIF(AZ1115:BB1115,"&lt;&gt;0")=1,INDEX($V$4:$AW$4,MATCH(TRUE,INDEX($V1115:$AW1115&lt;&gt;0,),0)),IF(COUNTIF(AZ1115:BB1115,"&lt;&gt;0")=0,INDEX($AM$4:$AW$4,MATCH(1,$AM1115:$AW1115,0)),"Multiple strategies"))</f>
        <v>Silviculture for productivity</v>
      </c>
      <c r="BG1115" s="1" t="s">
        <v>229</v>
      </c>
      <c r="BH1115" t="s">
        <v>229</v>
      </c>
      <c r="BJ1115" t="s">
        <v>756</v>
      </c>
      <c r="BK1115">
        <v>1105.3</v>
      </c>
      <c r="BL1115">
        <v>1105.3</v>
      </c>
      <c r="BN1115">
        <f>BL1115-BK1115</f>
        <v>0</v>
      </c>
      <c r="BO1115">
        <f>BN1115*t_to_m3</f>
        <v>0</v>
      </c>
      <c r="BP1115" t="s">
        <v>232</v>
      </c>
      <c r="BQ1115" s="264" t="s">
        <v>3261</v>
      </c>
      <c r="BR1115" t="s">
        <v>728</v>
      </c>
      <c r="BS1115" s="179">
        <v>-745000</v>
      </c>
      <c r="BT1115" s="179">
        <v>10200</v>
      </c>
      <c r="BU1115" s="144">
        <f>IFERROR(BT1115/BS1115,"")</f>
        <v>-1.3691275167785235E-2</v>
      </c>
      <c r="BV1115" s="179">
        <f>BT1115-BS1115</f>
        <v>755200</v>
      </c>
      <c r="BW1115" s="179"/>
      <c r="BX1115">
        <f>BV1115/1000</f>
        <v>755.2</v>
      </c>
      <c r="BY1115" t="str">
        <f>IFERROR(BX1115/BO1115,"")</f>
        <v/>
      </c>
      <c r="BZ1115">
        <v>0</v>
      </c>
      <c r="CA1115">
        <v>1</v>
      </c>
      <c r="CB1115">
        <v>0</v>
      </c>
      <c r="CC1115">
        <v>1</v>
      </c>
      <c r="CD1115">
        <v>0</v>
      </c>
      <c r="CE1115">
        <v>0</v>
      </c>
      <c r="CF1115">
        <v>0</v>
      </c>
      <c r="CG1115">
        <v>1</v>
      </c>
      <c r="CH1115">
        <v>0</v>
      </c>
      <c r="CI1115">
        <v>0</v>
      </c>
      <c r="CJ1115">
        <v>0</v>
      </c>
      <c r="CK1115">
        <v>0</v>
      </c>
      <c r="CL1115">
        <v>0</v>
      </c>
      <c r="CM1115">
        <v>0</v>
      </c>
      <c r="CN1115" t="str">
        <f>IF($BL1115&lt;$BK1115,"refNeedCorrection","refOK")</f>
        <v>refOK</v>
      </c>
      <c r="CO1115">
        <f>IF($CN1115="refNeedCorrection",BL1115,BK1115)</f>
        <v>1105.3</v>
      </c>
      <c r="CP1115">
        <f>IF($CN1115="refNeedCorrection",BK1115,BL1115)</f>
        <v>1105.3</v>
      </c>
      <c r="CQ1115">
        <f>IF($CN1115="refOK",$BO1115,-$BO1115)</f>
        <v>0</v>
      </c>
      <c r="CR1115">
        <f>IF($CN1115="refOK",$BS1115,$BT1115)*IF($BP1115="Emissions positive",-1,1)</f>
        <v>-745000</v>
      </c>
      <c r="CS1115">
        <f>IF($CN1115="refOK",$BT1115,$BS1115)*IF($BP1115="Emissions positive",-1,1)</f>
        <v>10200</v>
      </c>
      <c r="CT1115">
        <f>IF($CN1115="refNeedCorrection",-BX1115,BX1115)*IF($BP1115="Emissions positive",-1,1)</f>
        <v>755.2</v>
      </c>
      <c r="CU1115" t="str">
        <f>IFERROR(CT1115/CQ1115,"")</f>
        <v/>
      </c>
      <c r="CV1115" s="2">
        <f>IFERROR((CS1115-CR1115)/ABS(CR1115),"")</f>
        <v>1.0136912751677853</v>
      </c>
      <c r="CW1115" s="1" t="s">
        <v>1203</v>
      </c>
      <c r="CX1115" t="str">
        <f>IF(OR($CW1115="prd",$CW1115="std",$CW1115="cit"),"loc",IF(OR($CW1115="eur",$CW1115="reg",$CW1115="coy"),"reg",$CW1115))</f>
        <v>reg</v>
      </c>
      <c r="CY1115" s="309" t="s">
        <v>3423</v>
      </c>
      <c r="DB1115">
        <v>35</v>
      </c>
      <c r="DC1115" t="str">
        <f>IF(DB1115=0,"0",IF(AND(DB1115&gt;=1,DB1115&lt;=30),"1-30",IF(AND(DB1115&gt;30,DB1115&lt;=70),"31-70",IF(AND(DB1115&gt;70,DB1115&lt;=100),"71-100",IF(DB1115&gt;100,"+100")))))</f>
        <v>31-70</v>
      </c>
      <c r="DD1115">
        <v>0</v>
      </c>
      <c r="DE1115">
        <v>0</v>
      </c>
      <c r="DF1115">
        <v>0</v>
      </c>
      <c r="DG1115">
        <v>1</v>
      </c>
      <c r="DI1115">
        <f>SUM(DD1115:DG1115)</f>
        <v>1</v>
      </c>
      <c r="DJ1115" t="str">
        <f>IF(DI1115=1,INDEX($DD$7:$DG$7,MATCH(1,$DD1115:$DG1115,0)),"mixedProduct")</f>
        <v>TimberInput</v>
      </c>
      <c r="DK1115">
        <f>IF(DD1115=1,DK$7,0)</f>
        <v>0</v>
      </c>
      <c r="DL1115">
        <f>IF(DE1115=1,DL$7,0)</f>
        <v>0</v>
      </c>
      <c r="DM1115">
        <f>IF(DF1115=1,DM$7,0)</f>
        <v>0</v>
      </c>
      <c r="DN1115" t="str">
        <f>IF(DG1115=1,DN$7,0)</f>
        <v>Timber</v>
      </c>
      <c r="DO1115">
        <v>0</v>
      </c>
      <c r="DP1115">
        <v>0</v>
      </c>
      <c r="DQ1115">
        <v>0</v>
      </c>
      <c r="DR1115">
        <v>0</v>
      </c>
      <c r="DS1115">
        <v>0</v>
      </c>
      <c r="DT1115">
        <f>SUM(DO1115:DP1115)</f>
        <v>0</v>
      </c>
      <c r="DU1115" s="143" t="str">
        <f>IF(DO1115=1,"self-calculated DF",IF(DP1115=1,"external DF used","explicit C balance"))</f>
        <v>explicit C balance</v>
      </c>
      <c r="DV1115">
        <v>0</v>
      </c>
      <c r="DW1115">
        <v>0</v>
      </c>
      <c r="DX1115">
        <v>1</v>
      </c>
      <c r="DY1115">
        <v>1</v>
      </c>
      <c r="DZ1115">
        <v>1</v>
      </c>
      <c r="EA1115">
        <v>1</v>
      </c>
      <c r="EB1115">
        <v>1</v>
      </c>
      <c r="EC1115">
        <v>1</v>
      </c>
      <c r="ED1115">
        <v>1</v>
      </c>
      <c r="EE1115">
        <v>1</v>
      </c>
      <c r="EF1115">
        <v>1</v>
      </c>
      <c r="EG1115">
        <v>1</v>
      </c>
      <c r="EH1115">
        <v>0</v>
      </c>
      <c r="EI1115" s="2">
        <v>0</v>
      </c>
      <c r="EK1115" t="str">
        <f>IF(AND(AND(AND(OR($DX1115=1,$DW1115=1),OR($EC1115=1,$EA1115=1)),SUM($DV1115:$DZ1115,$EF1115)&gt;=4),SUM($EA1115:$EE1115)&gt;=2),"Whole sector","")</f>
        <v>Whole sector</v>
      </c>
      <c r="EL1115" t="str">
        <f>IF(AND(AND(OR($DX1115=1,$DW1115=1),AND($EC1115=0,$EA1115=0)),SUM($DV1115:$DZ1115,$EF1115)&gt;=4),"Ecosystem approach","")</f>
        <v/>
      </c>
      <c r="EM1115" s="2" t="str">
        <f>IF(AND(AND(AND($DX1115=0,$DW1115=0),OR($EC1115=1,$EA1115=1)),SUM($EB1115:$EE1115)&gt;=2),"Technology approach","")</f>
        <v/>
      </c>
      <c r="EN1115" t="s">
        <v>1732</v>
      </c>
      <c r="EP1115" t="b">
        <f>IF(ISNUMBER(BU1115),IF(ABS(BU1115-[2]QC_indicators!$B$2)&gt;3*[2]QC_indicators!$C$2,"C ratio",IF(ISNUMBER(BY1115),IF(ABS(BY1115-[2]QC_indicators!$B$1)&gt;3*[2]QC_indicators!$C$1,"DF","no"))),IF(ISNUMBER(BY1115),IF(ABS(BY1115-[2]QC_indicators!$B$1)&gt;3*[2]QC_indicators!$C$1,"DF","no")))</f>
        <v>0</v>
      </c>
      <c r="ET1115" s="264" t="s">
        <v>3151</v>
      </c>
    </row>
    <row r="1116" spans="1:150">
      <c r="A1116" s="1" t="s">
        <v>614</v>
      </c>
      <c r="B1116" t="s">
        <v>1719</v>
      </c>
      <c r="C1116" t="s">
        <v>1720</v>
      </c>
      <c r="D1116" t="s">
        <v>1721</v>
      </c>
      <c r="E1116" t="s">
        <v>1722</v>
      </c>
      <c r="F1116" t="s">
        <v>1723</v>
      </c>
      <c r="G1116" t="s">
        <v>620</v>
      </c>
      <c r="H1116" t="s">
        <v>254</v>
      </c>
      <c r="I1116">
        <v>2021</v>
      </c>
      <c r="J1116">
        <v>2</v>
      </c>
      <c r="K1116" t="s">
        <v>1724</v>
      </c>
      <c r="M1116" t="str">
        <f>LEFT($D1116,FIND(",",$D1116)-1)&amp;"_"&amp;I1116&amp;L1116</f>
        <v>Hawkins_2021</v>
      </c>
      <c r="N1116" t="s">
        <v>222</v>
      </c>
      <c r="O1116" s="145" t="s">
        <v>513</v>
      </c>
      <c r="Q1116" t="s">
        <v>256</v>
      </c>
      <c r="R1116" s="2" t="s">
        <v>274</v>
      </c>
      <c r="S1116" s="1" t="s">
        <v>1734</v>
      </c>
      <c r="T1116" t="s">
        <v>1731</v>
      </c>
      <c r="U1116" t="s">
        <v>1726</v>
      </c>
      <c r="V1116">
        <v>0</v>
      </c>
      <c r="W1116">
        <v>0</v>
      </c>
      <c r="X1116">
        <v>0</v>
      </c>
      <c r="Y1116">
        <v>0</v>
      </c>
      <c r="Z1116">
        <v>0</v>
      </c>
      <c r="AA1116">
        <v>1</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s="141">
        <f>COUNTIF(V1116:AW1116,"&lt;&gt;0")</f>
        <v>1</v>
      </c>
      <c r="AY1116" s="141">
        <f>COUNTIF(V1116:AL1116,"&lt;&gt;0")</f>
        <v>1</v>
      </c>
      <c r="AZ1116">
        <f>COUNTIF(V1116:AC1116,"&lt;&gt;0")</f>
        <v>1</v>
      </c>
      <c r="BA1116">
        <f>COUNTIF(AD1116:AI1116,"&lt;&gt;0")</f>
        <v>0</v>
      </c>
      <c r="BB1116">
        <f>COUNTIF(AJ1116:AL1116,"&lt;&gt;0")</f>
        <v>0</v>
      </c>
      <c r="BC1116">
        <f>COUNTIF(AS1116:AW1116,"&lt;&gt;0")</f>
        <v>0</v>
      </c>
      <c r="BD1116">
        <f>COUNTIF(AM1116:AR1116,"&lt;&gt;0")</f>
        <v>0</v>
      </c>
      <c r="BE1116" t="str">
        <f t="array" ref="BE1116">IF(AY1116=1,INDEX($V$7:$AL$7,MATCH(TRUE,INDEX($V1116:$AW1116&lt;&gt;0,),0)),IF(AY1116=0,INDEX($AM$7:$AW$7,MATCH(1,$AM1116:$AW1116,0)),IF(BF1116="Multiple strategies","mixed drivers",IF(BF1116="Supply chain","multiple supply","multiple silviculture"))))</f>
        <v>plantation density</v>
      </c>
      <c r="BF1116" s="2" t="str" cm="1">
        <f t="array" ref="BF1116">IF(COUNTIF(AZ1116:BB1116,"&lt;&gt;0")=1,INDEX($V$4:$AW$4,MATCH(TRUE,INDEX($V1116:$AW1116&lt;&gt;0,),0)),IF(COUNTIF(AZ1116:BB1116,"&lt;&gt;0")=0,INDEX($AM$4:$AW$4,MATCH(1,$AM1116:$AW1116,0)),"Multiple strategies"))</f>
        <v>Silviculture for productivity</v>
      </c>
      <c r="BG1116" s="1" t="s">
        <v>229</v>
      </c>
      <c r="BH1116" t="s">
        <v>229</v>
      </c>
      <c r="BJ1116" t="s">
        <v>756</v>
      </c>
      <c r="BK1116">
        <v>1105.3</v>
      </c>
      <c r="BL1116">
        <v>1105.3</v>
      </c>
      <c r="BN1116">
        <f>BL1116-BK1116</f>
        <v>0</v>
      </c>
      <c r="BO1116">
        <f>BN1116*t_to_m3</f>
        <v>0</v>
      </c>
      <c r="BP1116" t="s">
        <v>232</v>
      </c>
      <c r="BQ1116" s="264" t="s">
        <v>3261</v>
      </c>
      <c r="BR1116" t="s">
        <v>728</v>
      </c>
      <c r="BS1116" s="179">
        <v>-1310000</v>
      </c>
      <c r="BT1116" s="179">
        <v>-1310000</v>
      </c>
      <c r="BU1116" s="144">
        <f>IFERROR(BT1116/BS1116,"")</f>
        <v>1</v>
      </c>
      <c r="BV1116" s="179">
        <f>BT1116-BS1116</f>
        <v>0</v>
      </c>
      <c r="BW1116" s="179"/>
      <c r="BX1116">
        <f>BV1116/1000</f>
        <v>0</v>
      </c>
      <c r="BY1116" t="str">
        <f>IFERROR(BX1116/BO1116,"")</f>
        <v/>
      </c>
      <c r="BZ1116">
        <v>0</v>
      </c>
      <c r="CA1116">
        <v>1</v>
      </c>
      <c r="CB1116">
        <v>0</v>
      </c>
      <c r="CC1116">
        <v>1</v>
      </c>
      <c r="CD1116">
        <v>0</v>
      </c>
      <c r="CE1116">
        <v>0</v>
      </c>
      <c r="CF1116">
        <v>0</v>
      </c>
      <c r="CG1116">
        <v>1</v>
      </c>
      <c r="CH1116">
        <v>0</v>
      </c>
      <c r="CI1116">
        <v>0</v>
      </c>
      <c r="CJ1116">
        <v>0</v>
      </c>
      <c r="CK1116">
        <v>0</v>
      </c>
      <c r="CL1116">
        <v>0</v>
      </c>
      <c r="CM1116">
        <v>0</v>
      </c>
      <c r="CN1116" t="str">
        <f>IF($BL1116&lt;$BK1116,"refNeedCorrection","refOK")</f>
        <v>refOK</v>
      </c>
      <c r="CO1116">
        <f>IF($CN1116="refNeedCorrection",BL1116,BK1116)</f>
        <v>1105.3</v>
      </c>
      <c r="CP1116">
        <f>IF($CN1116="refNeedCorrection",BK1116,BL1116)</f>
        <v>1105.3</v>
      </c>
      <c r="CQ1116">
        <f>IF($CN1116="refOK",$BO1116,-$BO1116)</f>
        <v>0</v>
      </c>
      <c r="CR1116">
        <f>IF($CN1116="refOK",$BS1116,$BT1116)*IF($BP1116="Emissions positive",-1,1)</f>
        <v>-1310000</v>
      </c>
      <c r="CS1116">
        <f>IF($CN1116="refOK",$BT1116,$BS1116)*IF($BP1116="Emissions positive",-1,1)</f>
        <v>-1310000</v>
      </c>
      <c r="CT1116">
        <f>IF($CN1116="refNeedCorrection",-BX1116,BX1116)*IF($BP1116="Emissions positive",-1,1)</f>
        <v>0</v>
      </c>
      <c r="CU1116" t="str">
        <f>IFERROR(CT1116/CQ1116,"")</f>
        <v/>
      </c>
      <c r="CV1116" s="2">
        <f>IFERROR((CS1116-CR1116)/ABS(CR1116),"")</f>
        <v>0</v>
      </c>
      <c r="CW1116" s="1" t="s">
        <v>1203</v>
      </c>
      <c r="CX1116" t="str">
        <f>IF(OR($CW1116="prd",$CW1116="std",$CW1116="cit"),"loc",IF(OR($CW1116="eur",$CW1116="reg",$CW1116="coy"),"reg",$CW1116))</f>
        <v>reg</v>
      </c>
      <c r="CY1116" s="309" t="s">
        <v>3423</v>
      </c>
      <c r="DB1116">
        <v>2</v>
      </c>
      <c r="DC1116" t="str">
        <f>IF(DB1116=0,"0",IF(AND(DB1116&gt;=1,DB1116&lt;=30),"1-30",IF(AND(DB1116&gt;30,DB1116&lt;=70),"31-70",IF(AND(DB1116&gt;70,DB1116&lt;=100),"71-100",IF(DB1116&gt;100,"+100")))))</f>
        <v>1-30</v>
      </c>
      <c r="DD1116">
        <v>0</v>
      </c>
      <c r="DE1116">
        <v>0</v>
      </c>
      <c r="DF1116">
        <v>0</v>
      </c>
      <c r="DG1116">
        <v>1</v>
      </c>
      <c r="DI1116">
        <f>SUM(DD1116:DG1116)</f>
        <v>1</v>
      </c>
      <c r="DJ1116" t="str">
        <f>IF(DI1116=1,INDEX($DD$7:$DG$7,MATCH(1,$DD1116:$DG1116,0)),"mixedProduct")</f>
        <v>TimberInput</v>
      </c>
      <c r="DK1116">
        <f>IF(DD1116=1,DK$7,0)</f>
        <v>0</v>
      </c>
      <c r="DL1116">
        <f>IF(DE1116=1,DL$7,0)</f>
        <v>0</v>
      </c>
      <c r="DM1116">
        <f>IF(DF1116=1,DM$7,0)</f>
        <v>0</v>
      </c>
      <c r="DN1116" t="str">
        <f>IF(DG1116=1,DN$7,0)</f>
        <v>Timber</v>
      </c>
      <c r="DO1116">
        <v>0</v>
      </c>
      <c r="DP1116">
        <v>0</v>
      </c>
      <c r="DQ1116">
        <v>0</v>
      </c>
      <c r="DR1116">
        <v>0</v>
      </c>
      <c r="DS1116">
        <v>0</v>
      </c>
      <c r="DT1116">
        <f>SUM(DO1116:DP1116)</f>
        <v>0</v>
      </c>
      <c r="DU1116" s="143" t="str">
        <f>IF(DO1116=1,"self-calculated DF",IF(DP1116=1,"external DF used","explicit C balance"))</f>
        <v>explicit C balance</v>
      </c>
      <c r="DV1116">
        <v>0</v>
      </c>
      <c r="DW1116">
        <v>0</v>
      </c>
      <c r="DX1116">
        <v>1</v>
      </c>
      <c r="DY1116">
        <v>1</v>
      </c>
      <c r="DZ1116">
        <v>1</v>
      </c>
      <c r="EA1116">
        <v>1</v>
      </c>
      <c r="EB1116">
        <v>1</v>
      </c>
      <c r="EC1116">
        <v>1</v>
      </c>
      <c r="ED1116">
        <v>1</v>
      </c>
      <c r="EE1116">
        <v>1</v>
      </c>
      <c r="EF1116">
        <v>1</v>
      </c>
      <c r="EG1116">
        <v>1</v>
      </c>
      <c r="EH1116">
        <v>0</v>
      </c>
      <c r="EI1116" s="2">
        <v>0</v>
      </c>
      <c r="EK1116" t="str">
        <f>IF(AND(AND(AND(OR($DX1116=1,$DW1116=1),OR($EC1116=1,$EA1116=1)),SUM($DV1116:$DZ1116,$EF1116)&gt;=4),SUM($EA1116:$EE1116)&gt;=2),"Whole sector","")</f>
        <v>Whole sector</v>
      </c>
      <c r="EL1116" t="str">
        <f>IF(AND(AND(OR($DX1116=1,$DW1116=1),AND($EC1116=0,$EA1116=0)),SUM($DV1116:$DZ1116,$EF1116)&gt;=4),"Ecosystem approach","")</f>
        <v/>
      </c>
      <c r="EM1116" s="2" t="str">
        <f>IF(AND(AND(AND($DX1116=0,$DW1116=0),OR($EC1116=1,$EA1116=1)),SUM($EB1116:$EE1116)&gt;=2),"Technology approach","")</f>
        <v/>
      </c>
      <c r="EN1116" t="s">
        <v>1732</v>
      </c>
      <c r="EP1116" t="b">
        <f>IF(ISNUMBER(BU1116),IF(ABS(BU1116-[2]QC_indicators!$B$2)&gt;3*[2]QC_indicators!$C$2,"C ratio",IF(ISNUMBER(BY1116),IF(ABS(BY1116-[2]QC_indicators!$B$1)&gt;3*[2]QC_indicators!$C$1,"DF","no"))),IF(ISNUMBER(BY1116),IF(ABS(BY1116-[2]QC_indicators!$B$1)&gt;3*[2]QC_indicators!$C$1,"DF","no")))</f>
        <v>0</v>
      </c>
      <c r="ET1116" s="264" t="s">
        <v>3151</v>
      </c>
    </row>
    <row r="1117" spans="1:150">
      <c r="A1117" s="1" t="s">
        <v>614</v>
      </c>
      <c r="B1117" t="s">
        <v>1719</v>
      </c>
      <c r="C1117" t="s">
        <v>1720</v>
      </c>
      <c r="D1117" t="s">
        <v>1721</v>
      </c>
      <c r="E1117" t="s">
        <v>1722</v>
      </c>
      <c r="F1117" t="s">
        <v>1723</v>
      </c>
      <c r="G1117" t="s">
        <v>620</v>
      </c>
      <c r="H1117" t="s">
        <v>254</v>
      </c>
      <c r="I1117">
        <v>2021</v>
      </c>
      <c r="J1117">
        <v>2</v>
      </c>
      <c r="K1117" t="s">
        <v>1724</v>
      </c>
      <c r="M1117" t="str">
        <f>LEFT($D1117,FIND(",",$D1117)-1)&amp;"_"&amp;I1117&amp;L1117</f>
        <v>Hawkins_2021</v>
      </c>
      <c r="N1117" t="s">
        <v>222</v>
      </c>
      <c r="O1117" s="145" t="s">
        <v>513</v>
      </c>
      <c r="Q1117" t="s">
        <v>256</v>
      </c>
      <c r="R1117" s="2" t="s">
        <v>274</v>
      </c>
      <c r="S1117" s="1" t="s">
        <v>1725</v>
      </c>
      <c r="T1117" t="s">
        <v>1726</v>
      </c>
      <c r="U1117" t="s">
        <v>1727</v>
      </c>
      <c r="V1117">
        <v>0</v>
      </c>
      <c r="W1117">
        <v>0</v>
      </c>
      <c r="X1117">
        <v>0</v>
      </c>
      <c r="Y1117">
        <v>0</v>
      </c>
      <c r="Z1117">
        <v>0</v>
      </c>
      <c r="AA1117">
        <v>0</v>
      </c>
      <c r="AB1117">
        <v>0</v>
      </c>
      <c r="AC1117">
        <v>0</v>
      </c>
      <c r="AD1117">
        <v>0</v>
      </c>
      <c r="AE1117">
        <v>0</v>
      </c>
      <c r="AF1117">
        <v>0</v>
      </c>
      <c r="AG1117">
        <v>0</v>
      </c>
      <c r="AH1117">
        <v>0</v>
      </c>
      <c r="AI1117">
        <v>0</v>
      </c>
      <c r="AJ1117">
        <v>0</v>
      </c>
      <c r="AK1117">
        <v>0</v>
      </c>
      <c r="AL1117">
        <v>1</v>
      </c>
      <c r="AM1117">
        <v>0</v>
      </c>
      <c r="AN1117">
        <v>0</v>
      </c>
      <c r="AO1117">
        <v>0</v>
      </c>
      <c r="AP1117">
        <v>0</v>
      </c>
      <c r="AQ1117">
        <v>0</v>
      </c>
      <c r="AR1117">
        <v>0</v>
      </c>
      <c r="AS1117">
        <v>0</v>
      </c>
      <c r="AT1117">
        <v>0</v>
      </c>
      <c r="AU1117">
        <v>0</v>
      </c>
      <c r="AV1117">
        <v>0</v>
      </c>
      <c r="AW1117">
        <v>0</v>
      </c>
      <c r="AX1117" s="141">
        <f>COUNTIF(V1117:AW1117,"&lt;&gt;0")</f>
        <v>1</v>
      </c>
      <c r="AY1117" s="141">
        <f>COUNTIF(V1117:AL1117,"&lt;&gt;0")</f>
        <v>1</v>
      </c>
      <c r="AZ1117">
        <f>COUNTIF(V1117:AC1117,"&lt;&gt;0")</f>
        <v>0</v>
      </c>
      <c r="BA1117">
        <f>COUNTIF(AD1117:AI1117,"&lt;&gt;0")</f>
        <v>0</v>
      </c>
      <c r="BB1117">
        <f>COUNTIF(AJ1117:AL1117,"&lt;&gt;0")</f>
        <v>1</v>
      </c>
      <c r="BC1117">
        <f>COUNTIF(AS1117:AW1117,"&lt;&gt;0")</f>
        <v>0</v>
      </c>
      <c r="BD1117">
        <f>COUNTIF(AM1117:AR1117,"&lt;&gt;0")</f>
        <v>0</v>
      </c>
      <c r="BE1117" t="str">
        <f t="array" ref="BE1117">IF(AY1117=1,INDEX($V$7:$AL$7,MATCH(TRUE,INDEX($V1117:$AW1117&lt;&gt;0,),0)),IF(AY1117=0,INDEX($AM$7:$AW$7,MATCH(1,$AM1117:$AW1117,0)),IF(BF1117="Multiple strategies","mixed drivers",IF(BF1117="Supply chain","multiple supply","multiple silviculture"))))</f>
        <v>CCS</v>
      </c>
      <c r="BF1117" s="2" t="str" cm="1">
        <f t="array" ref="BF1117">IF(COUNTIF(AZ1117:BB1117,"&lt;&gt;0")=1,INDEX($V$4:$AW$4,MATCH(TRUE,INDEX($V1117:$AW1117&lt;&gt;0,),0)),IF(COUNTIF(AZ1117:BB1117,"&lt;&gt;0")=0,INDEX($AM$4:$AW$4,MATCH(1,$AM1117:$AW1117,0)),"Multiple strategies"))</f>
        <v>Technology</v>
      </c>
      <c r="BG1117" s="1" t="s">
        <v>229</v>
      </c>
      <c r="BH1117" t="s">
        <v>229</v>
      </c>
      <c r="BJ1117" t="s">
        <v>756</v>
      </c>
      <c r="BK1117">
        <v>1105.3</v>
      </c>
      <c r="BL1117">
        <v>1105.3</v>
      </c>
      <c r="BN1117">
        <f>BL1117-BK1117</f>
        <v>0</v>
      </c>
      <c r="BO1117">
        <f>BN1117*t_to_m3</f>
        <v>0</v>
      </c>
      <c r="BP1117" t="s">
        <v>232</v>
      </c>
      <c r="BQ1117" s="264" t="s">
        <v>3261</v>
      </c>
      <c r="BR1117" t="s">
        <v>728</v>
      </c>
      <c r="BS1117" s="179">
        <v>-816000</v>
      </c>
      <c r="BT1117" s="179">
        <v>27900</v>
      </c>
      <c r="BU1117" s="144">
        <f>IFERROR(BT1117/BS1117,"")</f>
        <v>-3.4191176470588239E-2</v>
      </c>
      <c r="BV1117" s="179">
        <f>BT1117-BS1117</f>
        <v>843900</v>
      </c>
      <c r="BW1117" s="179"/>
      <c r="BX1117">
        <f>BV1117/1000</f>
        <v>843.9</v>
      </c>
      <c r="BY1117" t="str">
        <f>IFERROR(BX1117/BO1117,"")</f>
        <v/>
      </c>
      <c r="BZ1117">
        <v>0</v>
      </c>
      <c r="CA1117">
        <v>1</v>
      </c>
      <c r="CB1117">
        <v>0</v>
      </c>
      <c r="CC1117">
        <v>1</v>
      </c>
      <c r="CD1117">
        <v>0</v>
      </c>
      <c r="CE1117">
        <v>0</v>
      </c>
      <c r="CF1117">
        <v>0</v>
      </c>
      <c r="CG1117">
        <v>1</v>
      </c>
      <c r="CH1117">
        <v>0</v>
      </c>
      <c r="CI1117">
        <v>0</v>
      </c>
      <c r="CJ1117">
        <v>0</v>
      </c>
      <c r="CK1117">
        <v>0</v>
      </c>
      <c r="CL1117">
        <v>0</v>
      </c>
      <c r="CM1117">
        <v>0</v>
      </c>
      <c r="CN1117" t="str">
        <f>IF($BL1117&lt;$BK1117,"refNeedCorrection","refOK")</f>
        <v>refOK</v>
      </c>
      <c r="CO1117">
        <f>IF($CN1117="refNeedCorrection",BL1117,BK1117)</f>
        <v>1105.3</v>
      </c>
      <c r="CP1117">
        <f>IF($CN1117="refNeedCorrection",BK1117,BL1117)</f>
        <v>1105.3</v>
      </c>
      <c r="CQ1117">
        <f>IF($CN1117="refOK",$BO1117,-$BO1117)</f>
        <v>0</v>
      </c>
      <c r="CR1117">
        <f>IF($CN1117="refOK",$BS1117,$BT1117)*IF($BP1117="Emissions positive",-1,1)</f>
        <v>-816000</v>
      </c>
      <c r="CS1117">
        <f>IF($CN1117="refOK",$BT1117,$BS1117)*IF($BP1117="Emissions positive",-1,1)</f>
        <v>27900</v>
      </c>
      <c r="CT1117">
        <f>IF($CN1117="refNeedCorrection",-BX1117,BX1117)*IF($BP1117="Emissions positive",-1,1)</f>
        <v>843.9</v>
      </c>
      <c r="CU1117" t="str">
        <f>IFERROR(CT1117/CQ1117,"")</f>
        <v/>
      </c>
      <c r="CV1117" s="2">
        <f>IFERROR((CS1117-CR1117)/ABS(CR1117),"")</f>
        <v>1.0341911764705882</v>
      </c>
      <c r="CW1117" s="1" t="s">
        <v>1203</v>
      </c>
      <c r="CX1117" t="str">
        <f>IF(OR($CW1117="prd",$CW1117="std",$CW1117="cit"),"loc",IF(OR($CW1117="eur",$CW1117="reg",$CW1117="coy"),"reg",$CW1117))</f>
        <v>reg</v>
      </c>
      <c r="CY1117" s="309" t="s">
        <v>3423</v>
      </c>
      <c r="DB1117">
        <v>100</v>
      </c>
      <c r="DC1117" t="str">
        <f>IF(DB1117=0,"0",IF(AND(DB1117&gt;=1,DB1117&lt;=30),"1-30",IF(AND(DB1117&gt;30,DB1117&lt;=70),"31-70",IF(AND(DB1117&gt;70,DB1117&lt;=100),"71-100",IF(DB1117&gt;100,"+100")))))</f>
        <v>71-100</v>
      </c>
      <c r="DD1117">
        <v>0</v>
      </c>
      <c r="DE1117">
        <v>0</v>
      </c>
      <c r="DF1117">
        <v>0</v>
      </c>
      <c r="DG1117">
        <v>1</v>
      </c>
      <c r="DI1117">
        <f>SUM(DD1117:DG1117)</f>
        <v>1</v>
      </c>
      <c r="DJ1117" t="str">
        <f>IF(DI1117=1,INDEX($DD$7:$DG$7,MATCH(1,$DD1117:$DG1117,0)),"mixedProduct")</f>
        <v>TimberInput</v>
      </c>
      <c r="DK1117">
        <f>IF(DD1117=1,DK$7,0)</f>
        <v>0</v>
      </c>
      <c r="DL1117">
        <f>IF(DE1117=1,DL$7,0)</f>
        <v>0</v>
      </c>
      <c r="DM1117">
        <f>IF(DF1117=1,DM$7,0)</f>
        <v>0</v>
      </c>
      <c r="DN1117" t="str">
        <f>IF(DG1117=1,DN$7,0)</f>
        <v>Timber</v>
      </c>
      <c r="DO1117">
        <v>0</v>
      </c>
      <c r="DP1117">
        <v>0</v>
      </c>
      <c r="DQ1117">
        <v>0</v>
      </c>
      <c r="DR1117">
        <v>0</v>
      </c>
      <c r="DS1117">
        <v>0</v>
      </c>
      <c r="DT1117">
        <f>SUM(DO1117:DP1117)</f>
        <v>0</v>
      </c>
      <c r="DU1117" s="143" t="str">
        <f>IF(DO1117=1,"self-calculated DF",IF(DP1117=1,"external DF used","explicit C balance"))</f>
        <v>explicit C balance</v>
      </c>
      <c r="DV1117">
        <v>0</v>
      </c>
      <c r="DW1117">
        <v>0</v>
      </c>
      <c r="DX1117">
        <v>0</v>
      </c>
      <c r="DY1117">
        <v>1</v>
      </c>
      <c r="DZ1117">
        <v>0</v>
      </c>
      <c r="EA1117" s="143">
        <v>0</v>
      </c>
      <c r="EB1117">
        <v>1</v>
      </c>
      <c r="EC1117">
        <v>1</v>
      </c>
      <c r="ED1117">
        <v>1</v>
      </c>
      <c r="EE1117">
        <v>1</v>
      </c>
      <c r="EF1117">
        <v>1</v>
      </c>
      <c r="EG1117">
        <v>1</v>
      </c>
      <c r="EH1117">
        <v>0</v>
      </c>
      <c r="EI1117" s="2">
        <v>0</v>
      </c>
      <c r="EK1117" t="str">
        <f>IF(AND(AND(AND(OR($DX1117=1,$DW1117=1),OR($EC1117=1,$EA1117=1)),SUM($DV1117:$DZ1117,$EF1117)&gt;=4),SUM($EA1117:$EE1117)&gt;=2),"Whole sector","")</f>
        <v/>
      </c>
      <c r="EL1117" t="str">
        <f>IF(AND(AND(OR($DX1117=1,$DW1117=1),AND($EC1117=0,$EA1117=0)),SUM($DV1117:$DZ1117,$EF1117)&gt;=4),"Ecosystem approach","")</f>
        <v/>
      </c>
      <c r="EM1117" s="2" t="str">
        <f>IF(AND(AND(AND($DX1117=0,$DW1117=0),OR($EC1117=1,$EA1117=1)),SUM($EB1117:$EE1117)&gt;=2),"Technology approach","")</f>
        <v>Technology approach</v>
      </c>
      <c r="EP1117" t="b">
        <f>IF(ISNUMBER(BU1117),IF(ABS(BU1117-[2]QC_indicators!$B$2)&gt;3*[2]QC_indicators!$C$2,"C ratio",IF(ISNUMBER(BY1117),IF(ABS(BY1117-[2]QC_indicators!$B$1)&gt;3*[2]QC_indicators!$C$1,"DF","no"))),IF(ISNUMBER(BY1117),IF(ABS(BY1117-[2]QC_indicators!$B$1)&gt;3*[2]QC_indicators!$C$1,"DF","no")))</f>
        <v>0</v>
      </c>
      <c r="ET1117" s="264" t="s">
        <v>3151</v>
      </c>
    </row>
    <row r="1118" spans="1:150">
      <c r="A1118" s="1" t="s">
        <v>614</v>
      </c>
      <c r="B1118" t="s">
        <v>1719</v>
      </c>
      <c r="C1118" t="s">
        <v>1720</v>
      </c>
      <c r="D1118" t="s">
        <v>1721</v>
      </c>
      <c r="E1118" t="s">
        <v>1722</v>
      </c>
      <c r="F1118" t="s">
        <v>1723</v>
      </c>
      <c r="G1118" t="s">
        <v>620</v>
      </c>
      <c r="H1118" t="s">
        <v>254</v>
      </c>
      <c r="I1118">
        <v>2021</v>
      </c>
      <c r="J1118">
        <v>2</v>
      </c>
      <c r="K1118" t="s">
        <v>1724</v>
      </c>
      <c r="M1118" t="str">
        <f>LEFT($D1118,FIND(",",$D1118)-1)&amp;"_"&amp;I1118&amp;L1118</f>
        <v>Hawkins_2021</v>
      </c>
      <c r="N1118" t="s">
        <v>222</v>
      </c>
      <c r="O1118" s="145" t="s">
        <v>513</v>
      </c>
      <c r="Q1118" t="s">
        <v>256</v>
      </c>
      <c r="R1118" s="2" t="s">
        <v>274</v>
      </c>
      <c r="S1118" s="1" t="s">
        <v>1728</v>
      </c>
      <c r="T1118" t="s">
        <v>1726</v>
      </c>
      <c r="U1118" t="s">
        <v>1727</v>
      </c>
      <c r="V1118">
        <v>0</v>
      </c>
      <c r="W1118">
        <v>0</v>
      </c>
      <c r="X1118">
        <v>0</v>
      </c>
      <c r="Y1118">
        <v>0</v>
      </c>
      <c r="Z1118">
        <v>0</v>
      </c>
      <c r="AA1118">
        <v>0</v>
      </c>
      <c r="AB1118">
        <v>0</v>
      </c>
      <c r="AC1118">
        <v>0</v>
      </c>
      <c r="AD1118">
        <v>0</v>
      </c>
      <c r="AE1118">
        <v>0</v>
      </c>
      <c r="AF1118">
        <v>0</v>
      </c>
      <c r="AG1118">
        <v>0</v>
      </c>
      <c r="AH1118">
        <v>0</v>
      </c>
      <c r="AI1118">
        <v>0</v>
      </c>
      <c r="AJ1118">
        <v>0</v>
      </c>
      <c r="AK1118">
        <v>0</v>
      </c>
      <c r="AL1118">
        <v>1</v>
      </c>
      <c r="AM1118">
        <v>0</v>
      </c>
      <c r="AN1118">
        <v>0</v>
      </c>
      <c r="AO1118">
        <v>0</v>
      </c>
      <c r="AP1118">
        <v>0</v>
      </c>
      <c r="AQ1118">
        <v>0</v>
      </c>
      <c r="AR1118">
        <v>0</v>
      </c>
      <c r="AS1118">
        <v>0</v>
      </c>
      <c r="AT1118">
        <v>0</v>
      </c>
      <c r="AU1118">
        <v>0</v>
      </c>
      <c r="AV1118">
        <v>0</v>
      </c>
      <c r="AW1118">
        <v>0</v>
      </c>
      <c r="AX1118" s="141">
        <f>COUNTIF(V1118:AW1118,"&lt;&gt;0")</f>
        <v>1</v>
      </c>
      <c r="AY1118" s="141">
        <f>COUNTIF(V1118:AL1118,"&lt;&gt;0")</f>
        <v>1</v>
      </c>
      <c r="AZ1118">
        <f>COUNTIF(V1118:AC1118,"&lt;&gt;0")</f>
        <v>0</v>
      </c>
      <c r="BA1118">
        <f>COUNTIF(AD1118:AI1118,"&lt;&gt;0")</f>
        <v>0</v>
      </c>
      <c r="BB1118">
        <f>COUNTIF(AJ1118:AL1118,"&lt;&gt;0")</f>
        <v>1</v>
      </c>
      <c r="BC1118">
        <f>COUNTIF(AS1118:AW1118,"&lt;&gt;0")</f>
        <v>0</v>
      </c>
      <c r="BD1118">
        <f>COUNTIF(AM1118:AR1118,"&lt;&gt;0")</f>
        <v>0</v>
      </c>
      <c r="BE1118" t="str">
        <f t="array" ref="BE1118">IF(AY1118=1,INDEX($V$7:$AL$7,MATCH(TRUE,INDEX($V1118:$AW1118&lt;&gt;0,),0)),IF(AY1118=0,INDEX($AM$7:$AW$7,MATCH(1,$AM1118:$AW1118,0)),IF(BF1118="Multiple strategies","mixed drivers",IF(BF1118="Supply chain","multiple supply","multiple silviculture"))))</f>
        <v>CCS</v>
      </c>
      <c r="BF1118" s="2" t="str" cm="1">
        <f t="array" ref="BF1118">IF(COUNTIF(AZ1118:BB1118,"&lt;&gt;0")=1,INDEX($V$4:$AW$4,MATCH(TRUE,INDEX($V1118:$AW1118&lt;&gt;0,),0)),IF(COUNTIF(AZ1118:BB1118,"&lt;&gt;0")=0,INDEX($AM$4:$AW$4,MATCH(1,$AM1118:$AW1118,0)),"Multiple strategies"))</f>
        <v>Technology</v>
      </c>
      <c r="BG1118" s="1" t="s">
        <v>229</v>
      </c>
      <c r="BH1118" t="s">
        <v>229</v>
      </c>
      <c r="BJ1118" t="s">
        <v>756</v>
      </c>
      <c r="BK1118">
        <v>1105.3</v>
      </c>
      <c r="BL1118">
        <v>1105.3</v>
      </c>
      <c r="BN1118">
        <f>BL1118-BK1118</f>
        <v>0</v>
      </c>
      <c r="BO1118">
        <f>BN1118*t_to_m3</f>
        <v>0</v>
      </c>
      <c r="BP1118" t="s">
        <v>232</v>
      </c>
      <c r="BQ1118" s="264" t="s">
        <v>3261</v>
      </c>
      <c r="BR1118" t="s">
        <v>728</v>
      </c>
      <c r="BS1118" s="179">
        <v>10200</v>
      </c>
      <c r="BT1118" s="179">
        <v>10200</v>
      </c>
      <c r="BU1118" s="144">
        <f>IFERROR(BT1118/BS1118,"")</f>
        <v>1</v>
      </c>
      <c r="BV1118" s="179">
        <f>BT1118-BS1118</f>
        <v>0</v>
      </c>
      <c r="BW1118" s="179"/>
      <c r="BX1118">
        <f>BV1118/1000</f>
        <v>0</v>
      </c>
      <c r="BY1118" t="str">
        <f>IFERROR(BX1118/BO1118,"")</f>
        <v/>
      </c>
      <c r="BZ1118">
        <v>0</v>
      </c>
      <c r="CA1118">
        <v>1</v>
      </c>
      <c r="CB1118">
        <v>0</v>
      </c>
      <c r="CC1118">
        <v>1</v>
      </c>
      <c r="CD1118">
        <v>0</v>
      </c>
      <c r="CE1118">
        <v>0</v>
      </c>
      <c r="CF1118">
        <v>0</v>
      </c>
      <c r="CG1118">
        <v>1</v>
      </c>
      <c r="CH1118">
        <v>0</v>
      </c>
      <c r="CI1118">
        <v>0</v>
      </c>
      <c r="CJ1118">
        <v>0</v>
      </c>
      <c r="CK1118">
        <v>0</v>
      </c>
      <c r="CL1118">
        <v>0</v>
      </c>
      <c r="CM1118">
        <v>0</v>
      </c>
      <c r="CN1118" t="str">
        <f>IF($BL1118&lt;$BK1118,"refNeedCorrection","refOK")</f>
        <v>refOK</v>
      </c>
      <c r="CO1118">
        <f>IF($CN1118="refNeedCorrection",BL1118,BK1118)</f>
        <v>1105.3</v>
      </c>
      <c r="CP1118">
        <f>IF($CN1118="refNeedCorrection",BK1118,BL1118)</f>
        <v>1105.3</v>
      </c>
      <c r="CQ1118">
        <f>IF($CN1118="refOK",$BO1118,-$BO1118)</f>
        <v>0</v>
      </c>
      <c r="CR1118">
        <f>IF($CN1118="refOK",$BS1118,$BT1118)*IF($BP1118="Emissions positive",-1,1)</f>
        <v>10200</v>
      </c>
      <c r="CS1118">
        <f>IF($CN1118="refOK",$BT1118,$BS1118)*IF($BP1118="Emissions positive",-1,1)</f>
        <v>10200</v>
      </c>
      <c r="CT1118">
        <f>IF($CN1118="refNeedCorrection",-BX1118,BX1118)*IF($BP1118="Emissions positive",-1,1)</f>
        <v>0</v>
      </c>
      <c r="CU1118" t="str">
        <f>IFERROR(CT1118/CQ1118,"")</f>
        <v/>
      </c>
      <c r="CV1118" s="2">
        <f>IFERROR((CS1118-CR1118)/ABS(CR1118),"")</f>
        <v>0</v>
      </c>
      <c r="CW1118" s="1" t="s">
        <v>1203</v>
      </c>
      <c r="CX1118" t="str">
        <f>IF(OR($CW1118="prd",$CW1118="std",$CW1118="cit"),"loc",IF(OR($CW1118="eur",$CW1118="reg",$CW1118="coy"),"reg",$CW1118))</f>
        <v>reg</v>
      </c>
      <c r="CY1118" s="309" t="s">
        <v>3423</v>
      </c>
      <c r="DB1118">
        <v>35</v>
      </c>
      <c r="DC1118" t="str">
        <f>IF(DB1118=0,"0",IF(AND(DB1118&gt;=1,DB1118&lt;=30),"1-30",IF(AND(DB1118&gt;30,DB1118&lt;=70),"31-70",IF(AND(DB1118&gt;70,DB1118&lt;=100),"71-100",IF(DB1118&gt;100,"+100")))))</f>
        <v>31-70</v>
      </c>
      <c r="DD1118">
        <v>0</v>
      </c>
      <c r="DE1118">
        <v>0</v>
      </c>
      <c r="DF1118">
        <v>0</v>
      </c>
      <c r="DG1118">
        <v>1</v>
      </c>
      <c r="DI1118">
        <f>SUM(DD1118:DG1118)</f>
        <v>1</v>
      </c>
      <c r="DJ1118" t="str">
        <f>IF(DI1118=1,INDEX($DD$7:$DG$7,MATCH(1,$DD1118:$DG1118,0)),"mixedProduct")</f>
        <v>TimberInput</v>
      </c>
      <c r="DK1118">
        <f>IF(DD1118=1,DK$7,0)</f>
        <v>0</v>
      </c>
      <c r="DL1118">
        <f>IF(DE1118=1,DL$7,0)</f>
        <v>0</v>
      </c>
      <c r="DM1118">
        <f>IF(DF1118=1,DM$7,0)</f>
        <v>0</v>
      </c>
      <c r="DN1118" t="str">
        <f>IF(DG1118=1,DN$7,0)</f>
        <v>Timber</v>
      </c>
      <c r="DO1118">
        <v>0</v>
      </c>
      <c r="DP1118">
        <v>0</v>
      </c>
      <c r="DQ1118">
        <v>0</v>
      </c>
      <c r="DR1118">
        <v>0</v>
      </c>
      <c r="DS1118">
        <v>0</v>
      </c>
      <c r="DT1118">
        <f>SUM(DO1118:DP1118)</f>
        <v>0</v>
      </c>
      <c r="DU1118" s="143" t="str">
        <f>IF(DO1118=1,"self-calculated DF",IF(DP1118=1,"external DF used","explicit C balance"))</f>
        <v>explicit C balance</v>
      </c>
      <c r="DV1118">
        <v>0</v>
      </c>
      <c r="DW1118">
        <v>0</v>
      </c>
      <c r="DX1118">
        <v>0</v>
      </c>
      <c r="DY1118">
        <v>1</v>
      </c>
      <c r="DZ1118">
        <v>0</v>
      </c>
      <c r="EA1118" s="143">
        <v>0</v>
      </c>
      <c r="EB1118">
        <v>1</v>
      </c>
      <c r="EC1118">
        <v>1</v>
      </c>
      <c r="ED1118">
        <v>1</v>
      </c>
      <c r="EE1118">
        <v>1</v>
      </c>
      <c r="EF1118">
        <v>1</v>
      </c>
      <c r="EG1118">
        <v>1</v>
      </c>
      <c r="EH1118">
        <v>0</v>
      </c>
      <c r="EI1118" s="2">
        <v>0</v>
      </c>
      <c r="EK1118" t="str">
        <f>IF(AND(AND(AND(OR($DX1118=1,$DW1118=1),OR($EC1118=1,$EA1118=1)),SUM($DV1118:$DZ1118,$EF1118)&gt;=4),SUM($EA1118:$EE1118)&gt;=2),"Whole sector","")</f>
        <v/>
      </c>
      <c r="EL1118" t="str">
        <f>IF(AND(AND(OR($DX1118=1,$DW1118=1),AND($EC1118=0,$EA1118=0)),SUM($DV1118:$DZ1118,$EF1118)&gt;=4),"Ecosystem approach","")</f>
        <v/>
      </c>
      <c r="EM1118" s="2" t="str">
        <f>IF(AND(AND(AND($DX1118=0,$DW1118=0),OR($EC1118=1,$EA1118=1)),SUM($EB1118:$EE1118)&gt;=2),"Technology approach","")</f>
        <v>Technology approach</v>
      </c>
      <c r="EP1118" t="b">
        <f>IF(ISNUMBER(BU1118),IF(ABS(BU1118-[2]QC_indicators!$B$2)&gt;3*[2]QC_indicators!$C$2,"C ratio",IF(ISNUMBER(BY1118),IF(ABS(BY1118-[2]QC_indicators!$B$1)&gt;3*[2]QC_indicators!$C$1,"DF","no"))),IF(ISNUMBER(BY1118),IF(ABS(BY1118-[2]QC_indicators!$B$1)&gt;3*[2]QC_indicators!$C$1,"DF","no")))</f>
        <v>0</v>
      </c>
      <c r="ET1118" s="264" t="s">
        <v>3151</v>
      </c>
    </row>
    <row r="1119" spans="1:150">
      <c r="A1119" s="1" t="s">
        <v>614</v>
      </c>
      <c r="B1119" t="s">
        <v>1719</v>
      </c>
      <c r="C1119" t="s">
        <v>1720</v>
      </c>
      <c r="D1119" t="s">
        <v>1721</v>
      </c>
      <c r="E1119" t="s">
        <v>1722</v>
      </c>
      <c r="F1119" t="s">
        <v>1723</v>
      </c>
      <c r="G1119" t="s">
        <v>620</v>
      </c>
      <c r="H1119" t="s">
        <v>254</v>
      </c>
      <c r="I1119">
        <v>2021</v>
      </c>
      <c r="J1119">
        <v>2</v>
      </c>
      <c r="K1119" t="s">
        <v>1724</v>
      </c>
      <c r="M1119" t="str">
        <f>LEFT($D1119,FIND(",",$D1119)-1)&amp;"_"&amp;I1119&amp;L1119</f>
        <v>Hawkins_2021</v>
      </c>
      <c r="N1119" t="s">
        <v>222</v>
      </c>
      <c r="O1119" s="145" t="s">
        <v>513</v>
      </c>
      <c r="Q1119" t="s">
        <v>256</v>
      </c>
      <c r="R1119" s="2" t="s">
        <v>274</v>
      </c>
      <c r="S1119" s="1" t="s">
        <v>1729</v>
      </c>
      <c r="T1119" t="s">
        <v>1726</v>
      </c>
      <c r="U1119" t="s">
        <v>1727</v>
      </c>
      <c r="V1119">
        <v>0</v>
      </c>
      <c r="W1119">
        <v>0</v>
      </c>
      <c r="X1119">
        <v>0</v>
      </c>
      <c r="Y1119">
        <v>0</v>
      </c>
      <c r="Z1119">
        <v>0</v>
      </c>
      <c r="AA1119">
        <v>0</v>
      </c>
      <c r="AB1119">
        <v>0</v>
      </c>
      <c r="AC1119">
        <v>0</v>
      </c>
      <c r="AD1119">
        <v>0</v>
      </c>
      <c r="AE1119">
        <v>0</v>
      </c>
      <c r="AF1119">
        <v>0</v>
      </c>
      <c r="AG1119">
        <v>0</v>
      </c>
      <c r="AH1119">
        <v>0</v>
      </c>
      <c r="AI1119">
        <v>0</v>
      </c>
      <c r="AJ1119">
        <v>0</v>
      </c>
      <c r="AK1119">
        <v>0</v>
      </c>
      <c r="AL1119">
        <v>1</v>
      </c>
      <c r="AM1119">
        <v>0</v>
      </c>
      <c r="AN1119">
        <v>0</v>
      </c>
      <c r="AO1119">
        <v>0</v>
      </c>
      <c r="AP1119">
        <v>0</v>
      </c>
      <c r="AQ1119">
        <v>0</v>
      </c>
      <c r="AR1119">
        <v>0</v>
      </c>
      <c r="AS1119">
        <v>0</v>
      </c>
      <c r="AT1119">
        <v>0</v>
      </c>
      <c r="AU1119">
        <v>0</v>
      </c>
      <c r="AV1119">
        <v>0</v>
      </c>
      <c r="AW1119">
        <v>0</v>
      </c>
      <c r="AX1119" s="141">
        <f>COUNTIF(V1119:AW1119,"&lt;&gt;0")</f>
        <v>1</v>
      </c>
      <c r="AY1119" s="141">
        <f>COUNTIF(V1119:AL1119,"&lt;&gt;0")</f>
        <v>1</v>
      </c>
      <c r="AZ1119">
        <f>COUNTIF(V1119:AC1119,"&lt;&gt;0")</f>
        <v>0</v>
      </c>
      <c r="BA1119">
        <f>COUNTIF(AD1119:AI1119,"&lt;&gt;0")</f>
        <v>0</v>
      </c>
      <c r="BB1119">
        <f>COUNTIF(AJ1119:AL1119,"&lt;&gt;0")</f>
        <v>1</v>
      </c>
      <c r="BC1119">
        <f>COUNTIF(AS1119:AW1119,"&lt;&gt;0")</f>
        <v>0</v>
      </c>
      <c r="BD1119">
        <f>COUNTIF(AM1119:AR1119,"&lt;&gt;0")</f>
        <v>0</v>
      </c>
      <c r="BE1119" t="str">
        <f t="array" ref="BE1119">IF(AY1119=1,INDEX($V$7:$AL$7,MATCH(TRUE,INDEX($V1119:$AW1119&lt;&gt;0,),0)),IF(AY1119=0,INDEX($AM$7:$AW$7,MATCH(1,$AM1119:$AW1119,0)),IF(BF1119="Multiple strategies","mixed drivers",IF(BF1119="Supply chain","multiple supply","multiple silviculture"))))</f>
        <v>CCS</v>
      </c>
      <c r="BF1119" s="2" t="str" cm="1">
        <f t="array" ref="BF1119">IF(COUNTIF(AZ1119:BB1119,"&lt;&gt;0")=1,INDEX($V$4:$AW$4,MATCH(TRUE,INDEX($V1119:$AW1119&lt;&gt;0,),0)),IF(COUNTIF(AZ1119:BB1119,"&lt;&gt;0")=0,INDEX($AM$4:$AW$4,MATCH(1,$AM1119:$AW1119,0)),"Multiple strategies"))</f>
        <v>Technology</v>
      </c>
      <c r="BG1119" s="1" t="s">
        <v>229</v>
      </c>
      <c r="BH1119" t="s">
        <v>229</v>
      </c>
      <c r="BJ1119" t="s">
        <v>756</v>
      </c>
      <c r="BK1119">
        <v>1105.3</v>
      </c>
      <c r="BL1119">
        <v>1105.3</v>
      </c>
      <c r="BN1119">
        <f>BL1119-BK1119</f>
        <v>0</v>
      </c>
      <c r="BO1119">
        <f>BN1119*t_to_m3</f>
        <v>0</v>
      </c>
      <c r="BP1119" t="s">
        <v>232</v>
      </c>
      <c r="BQ1119" s="264" t="s">
        <v>3261</v>
      </c>
      <c r="BR1119" t="s">
        <v>728</v>
      </c>
      <c r="BS1119" s="179">
        <v>-1310000</v>
      </c>
      <c r="BT1119" s="179">
        <v>-1310000</v>
      </c>
      <c r="BU1119" s="144">
        <f>IFERROR(BT1119/BS1119,"")</f>
        <v>1</v>
      </c>
      <c r="BV1119" s="179">
        <f>BT1119-BS1119</f>
        <v>0</v>
      </c>
      <c r="BW1119" s="179"/>
      <c r="BX1119">
        <f>BV1119/1000</f>
        <v>0</v>
      </c>
      <c r="BY1119" t="str">
        <f>IFERROR(BX1119/BO1119,"")</f>
        <v/>
      </c>
      <c r="BZ1119">
        <v>0</v>
      </c>
      <c r="CA1119">
        <v>1</v>
      </c>
      <c r="CB1119">
        <v>0</v>
      </c>
      <c r="CC1119">
        <v>1</v>
      </c>
      <c r="CD1119">
        <v>0</v>
      </c>
      <c r="CE1119">
        <v>0</v>
      </c>
      <c r="CF1119">
        <v>0</v>
      </c>
      <c r="CG1119">
        <v>1</v>
      </c>
      <c r="CH1119">
        <v>0</v>
      </c>
      <c r="CI1119">
        <v>0</v>
      </c>
      <c r="CJ1119">
        <v>0</v>
      </c>
      <c r="CK1119">
        <v>0</v>
      </c>
      <c r="CL1119">
        <v>0</v>
      </c>
      <c r="CM1119">
        <v>0</v>
      </c>
      <c r="CN1119" t="str">
        <f>IF($BL1119&lt;$BK1119,"refNeedCorrection","refOK")</f>
        <v>refOK</v>
      </c>
      <c r="CO1119">
        <f>IF($CN1119="refNeedCorrection",BL1119,BK1119)</f>
        <v>1105.3</v>
      </c>
      <c r="CP1119">
        <f>IF($CN1119="refNeedCorrection",BK1119,BL1119)</f>
        <v>1105.3</v>
      </c>
      <c r="CQ1119">
        <f>IF($CN1119="refOK",$BO1119,-$BO1119)</f>
        <v>0</v>
      </c>
      <c r="CR1119">
        <f>IF($CN1119="refOK",$BS1119,$BT1119)*IF($BP1119="Emissions positive",-1,1)</f>
        <v>-1310000</v>
      </c>
      <c r="CS1119">
        <f>IF($CN1119="refOK",$BT1119,$BS1119)*IF($BP1119="Emissions positive",-1,1)</f>
        <v>-1310000</v>
      </c>
      <c r="CT1119">
        <f>IF($CN1119="refNeedCorrection",-BX1119,BX1119)*IF($BP1119="Emissions positive",-1,1)</f>
        <v>0</v>
      </c>
      <c r="CU1119" t="str">
        <f>IFERROR(CT1119/CQ1119,"")</f>
        <v/>
      </c>
      <c r="CV1119" s="2">
        <f>IFERROR((CS1119-CR1119)/ABS(CR1119),"")</f>
        <v>0</v>
      </c>
      <c r="CW1119" s="1" t="s">
        <v>1203</v>
      </c>
      <c r="CX1119" t="str">
        <f>IF(OR($CW1119="prd",$CW1119="std",$CW1119="cit"),"loc",IF(OR($CW1119="eur",$CW1119="reg",$CW1119="coy"),"reg",$CW1119))</f>
        <v>reg</v>
      </c>
      <c r="CY1119" s="309" t="s">
        <v>3423</v>
      </c>
      <c r="DB1119">
        <v>2</v>
      </c>
      <c r="DC1119" t="str">
        <f>IF(DB1119=0,"0",IF(AND(DB1119&gt;=1,DB1119&lt;=30),"1-30",IF(AND(DB1119&gt;30,DB1119&lt;=70),"31-70",IF(AND(DB1119&gt;70,DB1119&lt;=100),"71-100",IF(DB1119&gt;100,"+100")))))</f>
        <v>1-30</v>
      </c>
      <c r="DD1119">
        <v>0</v>
      </c>
      <c r="DE1119">
        <v>0</v>
      </c>
      <c r="DF1119">
        <v>0</v>
      </c>
      <c r="DG1119">
        <v>1</v>
      </c>
      <c r="DI1119">
        <f>SUM(DD1119:DG1119)</f>
        <v>1</v>
      </c>
      <c r="DJ1119" t="str">
        <f>IF(DI1119=1,INDEX($DD$7:$DG$7,MATCH(1,$DD1119:$DG1119,0)),"mixedProduct")</f>
        <v>TimberInput</v>
      </c>
      <c r="DK1119">
        <f>IF(DD1119=1,DK$7,0)</f>
        <v>0</v>
      </c>
      <c r="DL1119">
        <f>IF(DE1119=1,DL$7,0)</f>
        <v>0</v>
      </c>
      <c r="DM1119">
        <f>IF(DF1119=1,DM$7,0)</f>
        <v>0</v>
      </c>
      <c r="DN1119" t="str">
        <f>IF(DG1119=1,DN$7,0)</f>
        <v>Timber</v>
      </c>
      <c r="DO1119">
        <v>0</v>
      </c>
      <c r="DP1119">
        <v>0</v>
      </c>
      <c r="DQ1119">
        <v>0</v>
      </c>
      <c r="DR1119">
        <v>0</v>
      </c>
      <c r="DS1119">
        <v>0</v>
      </c>
      <c r="DT1119">
        <f>SUM(DO1119:DP1119)</f>
        <v>0</v>
      </c>
      <c r="DU1119" s="143" t="str">
        <f>IF(DO1119=1,"self-calculated DF",IF(DP1119=1,"external DF used","explicit C balance"))</f>
        <v>explicit C balance</v>
      </c>
      <c r="DV1119">
        <v>0</v>
      </c>
      <c r="DW1119">
        <v>0</v>
      </c>
      <c r="DX1119">
        <v>0</v>
      </c>
      <c r="DY1119">
        <v>1</v>
      </c>
      <c r="DZ1119">
        <v>0</v>
      </c>
      <c r="EA1119" s="143">
        <v>0</v>
      </c>
      <c r="EB1119">
        <v>1</v>
      </c>
      <c r="EC1119">
        <v>1</v>
      </c>
      <c r="ED1119">
        <v>1</v>
      </c>
      <c r="EE1119">
        <v>1</v>
      </c>
      <c r="EF1119">
        <v>1</v>
      </c>
      <c r="EG1119">
        <v>1</v>
      </c>
      <c r="EH1119">
        <v>0</v>
      </c>
      <c r="EI1119" s="2">
        <v>0</v>
      </c>
      <c r="EK1119" t="str">
        <f>IF(AND(AND(AND(OR($DX1119=1,$DW1119=1),OR($EC1119=1,$EA1119=1)),SUM($DV1119:$DZ1119,$EF1119)&gt;=4),SUM($EA1119:$EE1119)&gt;=2),"Whole sector","")</f>
        <v/>
      </c>
      <c r="EL1119" t="str">
        <f>IF(AND(AND(OR($DX1119=1,$DW1119=1),AND($EC1119=0,$EA1119=0)),SUM($DV1119:$DZ1119,$EF1119)&gt;=4),"Ecosystem approach","")</f>
        <v/>
      </c>
      <c r="EM1119" s="2" t="str">
        <f>IF(AND(AND(AND($DX1119=0,$DW1119=0),OR($EC1119=1,$EA1119=1)),SUM($EB1119:$EE1119)&gt;=2),"Technology approach","")</f>
        <v>Technology approach</v>
      </c>
      <c r="EP1119" t="b">
        <f>IF(ISNUMBER(BU1119),IF(ABS(BU1119-[2]QC_indicators!$B$2)&gt;3*[2]QC_indicators!$C$2,"C ratio",IF(ISNUMBER(BY1119),IF(ABS(BY1119-[2]QC_indicators!$B$1)&gt;3*[2]QC_indicators!$C$1,"DF","no"))),IF(ISNUMBER(BY1119),IF(ABS(BY1119-[2]QC_indicators!$B$1)&gt;3*[2]QC_indicators!$C$1,"DF","no")))</f>
        <v>0</v>
      </c>
      <c r="ET1119" s="264" t="s">
        <v>3151</v>
      </c>
    </row>
    <row r="1120" spans="1:150">
      <c r="A1120" s="1" t="s">
        <v>247</v>
      </c>
      <c r="B1120" t="s">
        <v>799</v>
      </c>
      <c r="C1120" t="s">
        <v>800</v>
      </c>
      <c r="D1120" t="s">
        <v>801</v>
      </c>
      <c r="E1120" t="s">
        <v>802</v>
      </c>
      <c r="F1120" t="s">
        <v>803</v>
      </c>
      <c r="G1120" t="s">
        <v>253</v>
      </c>
      <c r="H1120" t="s">
        <v>254</v>
      </c>
      <c r="I1120">
        <v>2020</v>
      </c>
      <c r="J1120">
        <v>15</v>
      </c>
      <c r="K1120" t="s">
        <v>804</v>
      </c>
      <c r="M1120" t="str">
        <f>LEFT($D1120,FIND(",",$D1120)-1)&amp;"_"&amp;I1120&amp;L1120</f>
        <v>Jayalath_2020</v>
      </c>
      <c r="N1120" t="s">
        <v>222</v>
      </c>
      <c r="O1120" s="145" t="s">
        <v>513</v>
      </c>
      <c r="Q1120" t="s">
        <v>256</v>
      </c>
      <c r="R1120" s="262" t="s">
        <v>225</v>
      </c>
      <c r="S1120" s="1" t="s">
        <v>805</v>
      </c>
      <c r="T1120" t="s">
        <v>806</v>
      </c>
      <c r="U1120" t="s">
        <v>807</v>
      </c>
      <c r="V1120">
        <v>0</v>
      </c>
      <c r="W1120">
        <v>0</v>
      </c>
      <c r="X1120">
        <v>0</v>
      </c>
      <c r="Y1120">
        <v>0</v>
      </c>
      <c r="Z1120">
        <v>0</v>
      </c>
      <c r="AA1120">
        <v>0</v>
      </c>
      <c r="AB1120">
        <v>0</v>
      </c>
      <c r="AC1120">
        <v>0</v>
      </c>
      <c r="AD1120">
        <v>0</v>
      </c>
      <c r="AE1120">
        <v>1</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s="141">
        <f>COUNTIF(V1120:AW1120,"&lt;&gt;0")</f>
        <v>1</v>
      </c>
      <c r="AY1120" s="141">
        <f>COUNTIF(V1120:AL1120,"&lt;&gt;0")</f>
        <v>1</v>
      </c>
      <c r="AZ1120">
        <f>COUNTIF(V1120:AC1120,"&lt;&gt;0")</f>
        <v>0</v>
      </c>
      <c r="BA1120">
        <f>COUNTIF(AD1120:AI1120,"&lt;&gt;0")</f>
        <v>1</v>
      </c>
      <c r="BB1120">
        <f>COUNTIF(AJ1120:AL1120,"&lt;&gt;0")</f>
        <v>0</v>
      </c>
      <c r="BC1120">
        <f>COUNTIF(AS1120:AW1120,"&lt;&gt;0")</f>
        <v>0</v>
      </c>
      <c r="BD1120">
        <f>COUNTIF(AM1120:AR1120,"&lt;&gt;0")</f>
        <v>0</v>
      </c>
      <c r="BE1120" t="str">
        <f t="array" ref="BE1120">IF(AY1120=1,INDEX($V$7:$AL$7,MATCH(TRUE,INDEX($V1120:$AW1120&lt;&gt;0,),0)),IF(AY1120=0,INDEX($AM$7:$AW$7,MATCH(1,$AM1120:$AW1120,0)),IF(BF1120="Multiple strategies","mixed drivers",IF(BF1120="Supply chain","multiple supply","multiple silviculture"))))</f>
        <v>location of industry</v>
      </c>
      <c r="BF1120" s="2" t="str" cm="1">
        <f t="array" ref="BF1120">IF(COUNTIF(AZ1120:BB1120,"&lt;&gt;0")=1,INDEX($V$4:$AW$4,MATCH(TRUE,INDEX($V1120:$AW1120&lt;&gt;0,),0)),IF(COUNTIF(AZ1120:BB1120,"&lt;&gt;0")=0,INDEX($AM$4:$AW$4,MATCH(1,$AM1120:$AW1120,0)),"Multiple strategies"))</f>
        <v>Supply chain</v>
      </c>
      <c r="BG1120" s="1" t="s">
        <v>229</v>
      </c>
      <c r="BH1120" t="s">
        <v>808</v>
      </c>
      <c r="BI1120" s="260" t="s">
        <v>3340</v>
      </c>
      <c r="BJ1120" t="s">
        <v>345</v>
      </c>
      <c r="BK1120" s="264">
        <f>119193+8552+2924</f>
        <v>130669</v>
      </c>
      <c r="BL1120" s="264">
        <f>119193+8552+2924</f>
        <v>130669</v>
      </c>
      <c r="BN1120">
        <f>BL1120-BK1120</f>
        <v>0</v>
      </c>
      <c r="BO1120">
        <f>BN1120*kg_to_m3</f>
        <v>0</v>
      </c>
      <c r="BP1120" t="s">
        <v>395</v>
      </c>
      <c r="BQ1120" s="260" t="s">
        <v>3341</v>
      </c>
      <c r="BR1120" s="264" t="s">
        <v>3342</v>
      </c>
      <c r="BS1120">
        <f>0.538+0.438-0.083</f>
        <v>0.89300000000000002</v>
      </c>
      <c r="BT1120">
        <f>0.526+0.314-0.083</f>
        <v>0.75700000000000012</v>
      </c>
      <c r="BU1120" s="144">
        <f>IFERROR(BT1120/BS1120,"")</f>
        <v>0.84770436730123189</v>
      </c>
      <c r="BV1120">
        <f>BT1120-BS1120</f>
        <v>-0.1359999999999999</v>
      </c>
      <c r="BX1120">
        <f>BV1120</f>
        <v>-0.1359999999999999</v>
      </c>
      <c r="BY1120" t="str">
        <f>IFERROR(BX1120/BO1120,"")</f>
        <v/>
      </c>
      <c r="BZ1120">
        <v>0</v>
      </c>
      <c r="CA1120">
        <v>0</v>
      </c>
      <c r="CB1120">
        <v>0</v>
      </c>
      <c r="CC1120">
        <v>0</v>
      </c>
      <c r="CD1120">
        <v>0</v>
      </c>
      <c r="CE1120">
        <v>0</v>
      </c>
      <c r="CF1120">
        <v>0</v>
      </c>
      <c r="CG1120">
        <v>0</v>
      </c>
      <c r="CH1120">
        <v>0</v>
      </c>
      <c r="CI1120">
        <v>0</v>
      </c>
      <c r="CJ1120">
        <v>0</v>
      </c>
      <c r="CK1120">
        <v>0</v>
      </c>
      <c r="CL1120">
        <v>0</v>
      </c>
      <c r="CM1120">
        <v>1</v>
      </c>
      <c r="CN1120" t="str">
        <f>IF(BL1120&lt;BK1120,"refNeedCorrection","refOK")</f>
        <v>refOK</v>
      </c>
      <c r="CO1120">
        <f>IF($CN1120="refOK",$BK1120,$BL1120)</f>
        <v>130669</v>
      </c>
      <c r="CP1120">
        <f>IF($CN1120="refOK",$BL1120,$BK1120)</f>
        <v>130669</v>
      </c>
      <c r="CQ1120">
        <f>IF($CN1120="refOK",$BO1120,-$BO1120)</f>
        <v>0</v>
      </c>
      <c r="CR1120">
        <f>IF($CN1120="refOK",$BS1120,$BT1120)*IF($BP1120="Emissions positive",-1,1)</f>
        <v>-0.89300000000000002</v>
      </c>
      <c r="CS1120">
        <f>IF($CN1120="refOK",$BT1120,$BS1120)*IF($BP1120="Emissions positive",-1,1)</f>
        <v>-0.75700000000000012</v>
      </c>
      <c r="CT1120">
        <f>IF($CN1120="refNeedCorrection",-BX1120,BX1120)*IF($BP1120="Emissions positive",-1,1)</f>
        <v>0.1359999999999999</v>
      </c>
      <c r="CU1120" t="str">
        <f>IFERROR(CT1120/CQ1120,"")</f>
        <v/>
      </c>
      <c r="CV1120" s="2">
        <f>IFERROR((CS1120-CR1120)/ABS(CR1120),"")</f>
        <v>0.15229563269876809</v>
      </c>
      <c r="CW1120" s="1" t="s">
        <v>347</v>
      </c>
      <c r="CX1120" t="str">
        <f>IF(OR($CW1120="prd",$CW1120="std",$CW1120="cit"),"loc",IF(OR($CW1120="eur",$CW1120="reg",$CW1120="coy"),"reg",$CW1120))</f>
        <v>loc</v>
      </c>
      <c r="CY1120" t="s">
        <v>574</v>
      </c>
      <c r="DB1120">
        <v>0</v>
      </c>
      <c r="DC1120" t="str">
        <f>IF(DB1120=0,"0",IF(AND(DB1120&gt;=1,DB1120&lt;=30),"1-30",IF(AND(DB1120&gt;30,DB1120&lt;=70),"31-70",IF(AND(DB1120&gt;70,DB1120&lt;=100),"71-100",IF(DB1120&gt;100,"+100")))))</f>
        <v>0</v>
      </c>
      <c r="DD1120">
        <v>0</v>
      </c>
      <c r="DE1120">
        <v>0</v>
      </c>
      <c r="DF1120">
        <v>0</v>
      </c>
      <c r="DG1120">
        <v>1</v>
      </c>
      <c r="DI1120">
        <f>SUM(DD1120:DG1120)</f>
        <v>1</v>
      </c>
      <c r="DJ1120" t="str">
        <f>IF(DI1120=1,INDEX($DD$7:$DG$7,MATCH(1,$DD1120:$DG1120,0)),"mixedProduct")</f>
        <v>TimberInput</v>
      </c>
      <c r="DK1120">
        <f>IF(DD1120=1,DK$7,0)</f>
        <v>0</v>
      </c>
      <c r="DL1120">
        <f>IF(DE1120=1,DL$7,0)</f>
        <v>0</v>
      </c>
      <c r="DM1120">
        <f>IF(DF1120=1,DM$7,0)</f>
        <v>0</v>
      </c>
      <c r="DN1120" t="str">
        <f>IF(DG1120=1,DN$7,0)</f>
        <v>Timber</v>
      </c>
      <c r="DO1120">
        <v>0</v>
      </c>
      <c r="DP1120">
        <v>0</v>
      </c>
      <c r="DQ1120">
        <v>0</v>
      </c>
      <c r="DR1120">
        <v>0</v>
      </c>
      <c r="DS1120">
        <v>0</v>
      </c>
      <c r="DT1120">
        <f>SUM(DO1120:DP1120)</f>
        <v>0</v>
      </c>
      <c r="DU1120" s="143" t="str">
        <f>IF(DO1120=1,"self-calculated DF",IF(DP1120=1,"external DF used","explicit C balance"))</f>
        <v>explicit C balance</v>
      </c>
      <c r="DV1120">
        <v>0</v>
      </c>
      <c r="DW1120">
        <v>0</v>
      </c>
      <c r="DX1120">
        <v>0</v>
      </c>
      <c r="DY1120">
        <v>0</v>
      </c>
      <c r="DZ1120">
        <v>0</v>
      </c>
      <c r="EA1120">
        <v>1</v>
      </c>
      <c r="EB1120">
        <v>0</v>
      </c>
      <c r="EC1120">
        <v>1</v>
      </c>
      <c r="ED1120">
        <v>1</v>
      </c>
      <c r="EE1120">
        <v>1</v>
      </c>
      <c r="EF1120">
        <v>0</v>
      </c>
      <c r="EG1120">
        <v>0</v>
      </c>
      <c r="EH1120">
        <v>0</v>
      </c>
      <c r="EI1120" s="2">
        <v>0</v>
      </c>
      <c r="EK1120" t="str">
        <f>IF(AND(AND(AND(OR($DX1120=1,$DW1120=1),OR($EC1120=1,$EA1120=1)),SUM($DV1120:$DZ1120,$EF1120)&gt;=4),SUM($EA1120:$EE1120)&gt;=2),"Whole sector","")</f>
        <v/>
      </c>
      <c r="EL1120" t="str">
        <f>IF(AND(AND(OR($DX1120=1,$DW1120=1),AND($EC1120=0,$EA1120=0)),SUM($DV1120:$DZ1120,$EF1120)&gt;=4),"Ecosystem approach","")</f>
        <v/>
      </c>
      <c r="EM1120" s="2" t="str">
        <f>IF(AND(AND(AND($DX1120=0,$DW1120=0),OR($EC1120=1,$EA1120=1)),SUM($EB1120:$EE1120)&gt;=2),"Technology approach","")</f>
        <v>Technology approach</v>
      </c>
      <c r="EP1120" t="b">
        <f>IF(ISNUMBER(BU1120),IF(ABS(BU1120-[4]QC_indicators!$B$2)&gt;3*[4]QC_indicators!$C$2,"C ratio",IF(ISNUMBER(BY1120),IF(ABS(BY1120-[4]QC_indicators!$B$1)&gt;3*[4]QC_indicators!$C$1,"DF","no"))),IF(ISNUMBER(BY1120),IF(ABS(BY1120-[4]QC_indicators!$B$1)&gt;3*[4]QC_indicators!$C$1,"DF","no")))</f>
        <v>0</v>
      </c>
      <c r="ER1120" s="149" t="s">
        <v>349</v>
      </c>
      <c r="ET1120" s="264" t="s">
        <v>3273</v>
      </c>
    </row>
    <row r="1121" spans="1:150">
      <c r="A1121" s="1" t="s">
        <v>878</v>
      </c>
      <c r="B1121" t="s">
        <v>1791</v>
      </c>
      <c r="C1121" t="s">
        <v>1792</v>
      </c>
      <c r="D1121" t="s">
        <v>1793</v>
      </c>
      <c r="E1121" t="s">
        <v>1794</v>
      </c>
      <c r="F1121" t="s">
        <v>1795</v>
      </c>
      <c r="G1121" t="s">
        <v>1184</v>
      </c>
      <c r="H1121" t="s">
        <v>254</v>
      </c>
      <c r="I1121">
        <v>2011</v>
      </c>
      <c r="J1121">
        <v>6</v>
      </c>
      <c r="K1121" t="s">
        <v>1796</v>
      </c>
      <c r="M1121" t="str">
        <f>LEFT($D1121,FIND(",",$D1121)-1)&amp;"_"&amp;I1121&amp;L1121</f>
        <v>Kayo_2011</v>
      </c>
      <c r="N1121" t="s">
        <v>222</v>
      </c>
      <c r="O1121" s="145" t="s">
        <v>513</v>
      </c>
      <c r="Q1121" t="s">
        <v>256</v>
      </c>
      <c r="R1121" s="255" t="s">
        <v>225</v>
      </c>
      <c r="S1121" s="263" t="s">
        <v>3349</v>
      </c>
      <c r="T1121" t="s">
        <v>1797</v>
      </c>
      <c r="U1121" s="264" t="s">
        <v>1798</v>
      </c>
      <c r="V1121">
        <v>0</v>
      </c>
      <c r="W1121">
        <v>0</v>
      </c>
      <c r="X1121">
        <v>1</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s="141">
        <f>COUNTIF(V1121:AW1121,"&lt;&gt;0")</f>
        <v>1</v>
      </c>
      <c r="AY1121" s="141">
        <f>COUNTIF(V1121:AL1121,"&lt;&gt;0")</f>
        <v>1</v>
      </c>
      <c r="AZ1121">
        <f>COUNTIF(V1121:AC1121,"&lt;&gt;0")</f>
        <v>1</v>
      </c>
      <c r="BA1121">
        <f>COUNTIF(AD1121:AI1121,"&lt;&gt;0")</f>
        <v>0</v>
      </c>
      <c r="BB1121">
        <f>COUNTIF(AJ1121:AL1121,"&lt;&gt;0")</f>
        <v>0</v>
      </c>
      <c r="BC1121">
        <f>COUNTIF(AS1121:AW1121,"&lt;&gt;0")</f>
        <v>0</v>
      </c>
      <c r="BD1121">
        <f>COUNTIF(AM1121:AR1121,"&lt;&gt;0")</f>
        <v>0</v>
      </c>
      <c r="BE1121" t="str">
        <f t="array" ref="BE1121">IF(AY1121=1,INDEX($V$7:$AL$7,MATCH(TRUE,INDEX($V1121:$AW1121&lt;&gt;0,),0)),IF(AY1121=0,INDEX($AM$7:$AW$7,MATCH(1,$AM1121:$AW1121,0)),IF(BF1121="Multiple strategies","mixed drivers",IF(BF1121="Supply chain","multiple supply","multiple silviculture"))))</f>
        <v>rotation length</v>
      </c>
      <c r="BF1121" s="2" t="str" cm="1">
        <f t="array" ref="BF1121">IF(COUNTIF(AZ1121:BB1121,"&lt;&gt;0")=1,INDEX($V$4:$AW$4,MATCH(TRUE,INDEX($V1121:$AW1121&lt;&gt;0,),0)),IF(COUNTIF(AZ1121:BB1121,"&lt;&gt;0")=0,INDEX($AM$4:$AW$4,MATCH(1,$AM1121:$AW1121,0)),"Multiple strategies"))</f>
        <v>Silviculture for removals</v>
      </c>
      <c r="BG1121" s="1" t="s">
        <v>229</v>
      </c>
      <c r="BH1121" t="s">
        <v>1799</v>
      </c>
      <c r="BI1121" s="260" t="s">
        <v>3350</v>
      </c>
      <c r="BJ1121" s="260" t="s">
        <v>3347</v>
      </c>
      <c r="BK1121">
        <v>15</v>
      </c>
      <c r="BL1121">
        <v>15</v>
      </c>
      <c r="BN1121">
        <f>BL1121-BK1121</f>
        <v>0</v>
      </c>
      <c r="BO1121">
        <f>BN1121*10^6*t_to_m3</f>
        <v>0</v>
      </c>
      <c r="BP1121" t="s">
        <v>232</v>
      </c>
      <c r="BQ1121" s="260" t="s">
        <v>3353</v>
      </c>
      <c r="BR1121" t="s">
        <v>1300</v>
      </c>
      <c r="BU1121" s="288"/>
      <c r="BV1121">
        <v>-4.5</v>
      </c>
      <c r="BX1121">
        <f>BV1121*10^6</f>
        <v>-4500000</v>
      </c>
      <c r="BY1121" t="str">
        <f>IFERROR(BX1121/BO1121,"")</f>
        <v/>
      </c>
      <c r="BZ1121">
        <v>0</v>
      </c>
      <c r="CA1121">
        <v>0</v>
      </c>
      <c r="CB1121">
        <v>0</v>
      </c>
      <c r="CC1121">
        <v>0</v>
      </c>
      <c r="CD1121">
        <v>0</v>
      </c>
      <c r="CE1121">
        <v>0</v>
      </c>
      <c r="CF1121">
        <v>0</v>
      </c>
      <c r="CG1121">
        <v>0</v>
      </c>
      <c r="CH1121">
        <v>0</v>
      </c>
      <c r="CI1121">
        <v>0</v>
      </c>
      <c r="CJ1121">
        <v>0</v>
      </c>
      <c r="CK1121">
        <v>0</v>
      </c>
      <c r="CL1121">
        <v>0</v>
      </c>
      <c r="CM1121">
        <v>0</v>
      </c>
      <c r="CN1121" t="str">
        <f>IF(BL1121&lt;BK1121,"refNeedCorrection","refOK")</f>
        <v>refOK</v>
      </c>
      <c r="CO1121">
        <f>IF($CN1121="refOK",$BK1121,$BL1121)</f>
        <v>15</v>
      </c>
      <c r="CP1121">
        <f>IF($CN1121="refOK",$BL1121,$BK1121)</f>
        <v>15</v>
      </c>
      <c r="CQ1121">
        <f>IF($CN1121="refOK",$BO1121,-$BO1121)</f>
        <v>0</v>
      </c>
      <c r="CR1121">
        <f>IF($CN1121="refOK",$BS1121,$BT1121)*IF($BP1121="Emissions positive",-1,1)</f>
        <v>0</v>
      </c>
      <c r="CS1121">
        <f>IF($CN1121="refOK",$BT1121,$BS1121)*IF($BP1121="Emissions positive",-1,1)</f>
        <v>0</v>
      </c>
      <c r="CT1121">
        <f>IF($CN1121="refNeedCorrection",-BX1121,BX1121)*IF($BP1121="Emissions positive",-1,1)</f>
        <v>-4500000</v>
      </c>
      <c r="CU1121" t="str">
        <f>IFERROR(CT1121/CQ1121,"")</f>
        <v/>
      </c>
      <c r="CV1121" s="2" t="str">
        <f>IFERROR((CS1121-CR1121)/ABS(CR1121),"")</f>
        <v/>
      </c>
      <c r="CW1121" s="1" t="s">
        <v>1203</v>
      </c>
      <c r="CX1121" t="str">
        <f>IF(OR($CW1121="prd",$CW1121="std",$CW1121="cit"),"loc",IF(OR($CW1121="eur",$CW1121="reg",$CW1121="coy"),"reg",$CW1121))</f>
        <v>reg</v>
      </c>
      <c r="CY1121" t="s">
        <v>961</v>
      </c>
      <c r="CZ1121">
        <v>2005</v>
      </c>
      <c r="DA1121">
        <v>2020</v>
      </c>
      <c r="DB1121">
        <v>15</v>
      </c>
      <c r="DC1121" t="str">
        <f>IF(DB1121=0,"0",IF(AND(DB1121&gt;=1,DB1121&lt;=30),"1-30",IF(AND(DB1121&gt;30,DB1121&lt;=70),"31-70",IF(AND(DB1121&gt;70,DB1121&lt;=100),"71-100",IF(DB1121&gt;100,"+100")))))</f>
        <v>1-30</v>
      </c>
      <c r="DD1121">
        <v>0</v>
      </c>
      <c r="DE1121">
        <v>1</v>
      </c>
      <c r="DF1121">
        <v>0</v>
      </c>
      <c r="DG1121">
        <v>0</v>
      </c>
      <c r="DI1121">
        <f>SUM(DD1121:DG1121)</f>
        <v>1</v>
      </c>
      <c r="DJ1121" t="str">
        <f>IF(DI1121=1,INDEX($DD$7:$DG$7,MATCH(1,$DD1121:$DG1121,0)),"mixedProduct")</f>
        <v>EnergyInput</v>
      </c>
      <c r="DK1121">
        <f>IF(DD1121=1,DK$7,0)</f>
        <v>0</v>
      </c>
      <c r="DL1121" t="str">
        <f>IF(DE1121=1,DL$7,0)</f>
        <v>Energy</v>
      </c>
      <c r="DM1121">
        <f>IF(DF1121=1,DM$7,0)</f>
        <v>0</v>
      </c>
      <c r="DN1121">
        <f>IF(DG1121=1,DN$7,0)</f>
        <v>0</v>
      </c>
      <c r="DO1121">
        <v>0</v>
      </c>
      <c r="DP1121">
        <v>0</v>
      </c>
      <c r="DQ1121">
        <v>0</v>
      </c>
      <c r="DR1121">
        <v>0</v>
      </c>
      <c r="DS1121">
        <v>0</v>
      </c>
      <c r="DT1121">
        <f>SUM(DO1121:DP1121)</f>
        <v>0</v>
      </c>
      <c r="DU1121" s="143" t="str">
        <f>IF(DO1121=1,"self-calculated DF",IF(DP1121=1,"external DF used","explicit C balance"))</f>
        <v>explicit C balance</v>
      </c>
      <c r="DV1121">
        <v>0</v>
      </c>
      <c r="DW1121">
        <v>1</v>
      </c>
      <c r="DX1121">
        <v>1</v>
      </c>
      <c r="DY1121">
        <v>0</v>
      </c>
      <c r="DZ1121">
        <v>0</v>
      </c>
      <c r="EA1121" s="143">
        <v>1</v>
      </c>
      <c r="EB1121">
        <v>1</v>
      </c>
      <c r="EC1121">
        <v>0</v>
      </c>
      <c r="ED1121">
        <v>0</v>
      </c>
      <c r="EE1121">
        <v>0</v>
      </c>
      <c r="EF1121">
        <v>1</v>
      </c>
      <c r="EG1121">
        <v>1</v>
      </c>
      <c r="EH1121">
        <v>0</v>
      </c>
      <c r="EI1121" s="2">
        <v>0</v>
      </c>
      <c r="EK1121" t="str">
        <f>IF(AND(AND(AND(OR($DX1121=1,$DW1121=1),OR($EC1121=1,$EA1121=1)),SUM($DV1121:$DZ1121,$EF1121)&gt;=4),SUM($EA1121:$EE1121)&gt;=2),"Whole sector","")</f>
        <v/>
      </c>
      <c r="EL1121" t="str">
        <f>IF(AND(AND(OR($DX1121=1,$DW1121=1),AND($EC1121=0,$EA1121=0)),SUM($DV1121:$DZ1121,$EF1121)&gt;=4),"Ecosystem approach","")</f>
        <v/>
      </c>
      <c r="EM1121" s="2" t="str">
        <f>IF(AND(AND(AND($DX1121=0,$DW1121=0),OR($EC1121=1,$EA1121=1)),SUM($EB1121:$EE1121)&gt;=2),"Technology approach","")</f>
        <v/>
      </c>
      <c r="EP1121" t="b">
        <f>IF(ISNUMBER(BU1121),IF(ABS(BU1121-[4]QC_indicators!$B$2)&gt;3*[4]QC_indicators!$C$2,"C ratio",IF(ISNUMBER(BY1121),IF(ABS(BY1121-[4]QC_indicators!$B$1)&gt;3*[4]QC_indicators!$C$1,"DF","no"))),IF(ISNUMBER(BY1121),IF(ABS(BY1121-[4]QC_indicators!$B$1)&gt;3*[4]QC_indicators!$C$1,"DF","no")))</f>
        <v>0</v>
      </c>
      <c r="ET1121" s="264" t="s">
        <v>3273</v>
      </c>
    </row>
    <row r="1122" spans="1:150">
      <c r="A1122" s="1" t="s">
        <v>878</v>
      </c>
      <c r="B1122" t="s">
        <v>1791</v>
      </c>
      <c r="C1122" t="s">
        <v>1792</v>
      </c>
      <c r="D1122" t="s">
        <v>1793</v>
      </c>
      <c r="E1122" t="s">
        <v>1794</v>
      </c>
      <c r="F1122" t="s">
        <v>1795</v>
      </c>
      <c r="G1122" t="s">
        <v>1184</v>
      </c>
      <c r="H1122" t="s">
        <v>254</v>
      </c>
      <c r="I1122">
        <v>2011</v>
      </c>
      <c r="J1122">
        <v>6</v>
      </c>
      <c r="K1122" t="s">
        <v>1796</v>
      </c>
      <c r="M1122" t="str">
        <f>LEFT($D1122,FIND(",",$D1122)-1)&amp;"_"&amp;I1122&amp;L1122</f>
        <v>Kayo_2011</v>
      </c>
      <c r="N1122" t="s">
        <v>222</v>
      </c>
      <c r="O1122" s="145" t="s">
        <v>513</v>
      </c>
      <c r="Q1122" t="s">
        <v>256</v>
      </c>
      <c r="R1122" s="255" t="s">
        <v>225</v>
      </c>
      <c r="S1122" s="263" t="s">
        <v>3351</v>
      </c>
      <c r="T1122" t="s">
        <v>1800</v>
      </c>
      <c r="U1122" t="s">
        <v>1803</v>
      </c>
      <c r="V1122">
        <v>0</v>
      </c>
      <c r="W1122">
        <v>0</v>
      </c>
      <c r="X1122">
        <v>1</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s="141">
        <f>COUNTIF(V1122:AW1122,"&lt;&gt;0")</f>
        <v>1</v>
      </c>
      <c r="AY1122" s="141">
        <f>COUNTIF(V1122:AL1122,"&lt;&gt;0")</f>
        <v>1</v>
      </c>
      <c r="AZ1122">
        <f>COUNTIF(V1122:AC1122,"&lt;&gt;0")</f>
        <v>1</v>
      </c>
      <c r="BA1122">
        <f>COUNTIF(AD1122:AI1122,"&lt;&gt;0")</f>
        <v>0</v>
      </c>
      <c r="BB1122">
        <f>COUNTIF(AJ1122:AL1122,"&lt;&gt;0")</f>
        <v>0</v>
      </c>
      <c r="BC1122">
        <f>COUNTIF(AS1122:AW1122,"&lt;&gt;0")</f>
        <v>0</v>
      </c>
      <c r="BD1122">
        <f>COUNTIF(AM1122:AR1122,"&lt;&gt;0")</f>
        <v>0</v>
      </c>
      <c r="BE1122" t="str">
        <f t="array" ref="BE1122">IF(AY1122=1,INDEX($V$7:$AL$7,MATCH(TRUE,INDEX($V1122:$AW1122&lt;&gt;0,),0)),IF(AY1122=0,INDEX($AM$7:$AW$7,MATCH(1,$AM1122:$AW1122,0)),IF(BF1122="Multiple strategies","mixed drivers",IF(BF1122="Supply chain","multiple supply","multiple silviculture"))))</f>
        <v>rotation length</v>
      </c>
      <c r="BF1122" s="2" t="str" cm="1">
        <f t="array" ref="BF1122">IF(COUNTIF(AZ1122:BB1122,"&lt;&gt;0")=1,INDEX($V$4:$AW$4,MATCH(TRUE,INDEX($V1122:$AW1122&lt;&gt;0,),0)),IF(COUNTIF(AZ1122:BB1122,"&lt;&gt;0")=0,INDEX($AM$4:$AW$4,MATCH(1,$AM1122:$AW1122,0)),"Multiple strategies"))</f>
        <v>Silviculture for removals</v>
      </c>
      <c r="BG1122" s="1" t="s">
        <v>229</v>
      </c>
      <c r="BH1122" t="s">
        <v>1799</v>
      </c>
      <c r="BI1122" s="260" t="s">
        <v>3350</v>
      </c>
      <c r="BJ1122" s="260" t="s">
        <v>3347</v>
      </c>
      <c r="BK1122">
        <v>15</v>
      </c>
      <c r="BL1122">
        <v>15</v>
      </c>
      <c r="BN1122">
        <f>BL1122-BK1122</f>
        <v>0</v>
      </c>
      <c r="BO1122">
        <f>BN1122*10^6*t_to_m3</f>
        <v>0</v>
      </c>
      <c r="BP1122" t="s">
        <v>232</v>
      </c>
      <c r="BQ1122" s="260" t="s">
        <v>3356</v>
      </c>
      <c r="BR1122" t="s">
        <v>1300</v>
      </c>
      <c r="BU1122" s="144" t="str">
        <f>IFERROR(BT1122/BS1122,"")</f>
        <v/>
      </c>
      <c r="BV1122" s="260">
        <v>-5</v>
      </c>
      <c r="BX1122">
        <f>BV1122*10^6</f>
        <v>-5000000</v>
      </c>
      <c r="BY1122" t="str">
        <f>IFERROR(BX1122/BO1122,"")</f>
        <v/>
      </c>
      <c r="BZ1122">
        <v>0</v>
      </c>
      <c r="CA1122">
        <v>0</v>
      </c>
      <c r="CB1122">
        <v>0</v>
      </c>
      <c r="CC1122">
        <v>0</v>
      </c>
      <c r="CD1122">
        <v>0</v>
      </c>
      <c r="CE1122">
        <v>0</v>
      </c>
      <c r="CF1122">
        <v>0</v>
      </c>
      <c r="CG1122">
        <v>0</v>
      </c>
      <c r="CH1122">
        <v>0</v>
      </c>
      <c r="CI1122">
        <v>0</v>
      </c>
      <c r="CJ1122">
        <v>0</v>
      </c>
      <c r="CK1122">
        <v>0</v>
      </c>
      <c r="CL1122">
        <v>0</v>
      </c>
      <c r="CM1122">
        <v>0</v>
      </c>
      <c r="CN1122" t="str">
        <f>IF(BL1122&lt;BK1122,"refNeedCorrection","refOK")</f>
        <v>refOK</v>
      </c>
      <c r="CO1122">
        <f>IF($CN1122="refOK",$BK1122,$BL1122)</f>
        <v>15</v>
      </c>
      <c r="CP1122">
        <f>IF($CN1122="refOK",$BL1122,$BK1122)</f>
        <v>15</v>
      </c>
      <c r="CQ1122">
        <f>IF($CN1122="refOK",$BO1122,-$BO1122)</f>
        <v>0</v>
      </c>
      <c r="CR1122">
        <f>IF($CN1122="refOK",$BS1122,$BT1122)*IF($BP1122="Emissions positive",-1,1)</f>
        <v>0</v>
      </c>
      <c r="CS1122">
        <f>IF($CN1122="refOK",$BT1122,$BS1122)*IF($BP1122="Emissions positive",-1,1)</f>
        <v>0</v>
      </c>
      <c r="CT1122">
        <f>IF($CN1122="refNeedCorrection",-BX1122,BX1122)*IF($BP1122="Emissions positive",-1,1)</f>
        <v>-5000000</v>
      </c>
      <c r="CU1122" t="str">
        <f>IFERROR(CT1122/CQ1122,"")</f>
        <v/>
      </c>
      <c r="CV1122" s="2" t="str">
        <f>IFERROR((CS1122-CR1122)/ABS(CR1122),"")</f>
        <v/>
      </c>
      <c r="CW1122" s="1" t="s">
        <v>1203</v>
      </c>
      <c r="CX1122" t="str">
        <f>IF(OR($CW1122="prd",$CW1122="std",$CW1122="cit"),"loc",IF(OR($CW1122="eur",$CW1122="reg",$CW1122="coy"),"reg",$CW1122))</f>
        <v>reg</v>
      </c>
      <c r="CY1122" t="s">
        <v>961</v>
      </c>
      <c r="CZ1122">
        <v>2005</v>
      </c>
      <c r="DA1122">
        <v>2020</v>
      </c>
      <c r="DB1122">
        <v>15</v>
      </c>
      <c r="DC1122" t="str">
        <f>IF(DB1122=0,"0",IF(AND(DB1122&gt;=1,DB1122&lt;=30),"1-30",IF(AND(DB1122&gt;30,DB1122&lt;=70),"31-70",IF(AND(DB1122&gt;70,DB1122&lt;=100),"71-100",IF(DB1122&gt;100,"+100")))))</f>
        <v>1-30</v>
      </c>
      <c r="DD1122">
        <v>0</v>
      </c>
      <c r="DE1122">
        <v>1</v>
      </c>
      <c r="DF1122">
        <v>0</v>
      </c>
      <c r="DG1122">
        <v>0</v>
      </c>
      <c r="DI1122">
        <f>SUM(DD1122:DG1122)</f>
        <v>1</v>
      </c>
      <c r="DJ1122" t="str">
        <f>IF(DI1122=1,INDEX($DD$7:$DG$7,MATCH(1,$DD1122:$DG1122,0)),"mixedProduct")</f>
        <v>EnergyInput</v>
      </c>
      <c r="DK1122">
        <f>IF(DD1122=1,DK$7,0)</f>
        <v>0</v>
      </c>
      <c r="DL1122" t="str">
        <f>IF(DE1122=1,DL$7,0)</f>
        <v>Energy</v>
      </c>
      <c r="DM1122">
        <f>IF(DF1122=1,DM$7,0)</f>
        <v>0</v>
      </c>
      <c r="DN1122">
        <f>IF(DG1122=1,DN$7,0)</f>
        <v>0</v>
      </c>
      <c r="DO1122">
        <v>0</v>
      </c>
      <c r="DP1122">
        <v>0</v>
      </c>
      <c r="DQ1122">
        <v>0</v>
      </c>
      <c r="DR1122">
        <v>0</v>
      </c>
      <c r="DS1122">
        <v>0</v>
      </c>
      <c r="DT1122">
        <f>SUM(DO1122:DP1122)</f>
        <v>0</v>
      </c>
      <c r="DU1122" s="143" t="str">
        <f>IF(DO1122=1,"self-calculated DF",IF(DP1122=1,"external DF used","explicit C balance"))</f>
        <v>explicit C balance</v>
      </c>
      <c r="DV1122">
        <v>0</v>
      </c>
      <c r="DW1122">
        <v>1</v>
      </c>
      <c r="DX1122">
        <v>1</v>
      </c>
      <c r="DY1122">
        <v>0</v>
      </c>
      <c r="DZ1122">
        <v>0</v>
      </c>
      <c r="EA1122" s="143">
        <v>1</v>
      </c>
      <c r="EB1122">
        <v>1</v>
      </c>
      <c r="EC1122">
        <v>0</v>
      </c>
      <c r="ED1122">
        <v>0</v>
      </c>
      <c r="EE1122">
        <v>0</v>
      </c>
      <c r="EF1122">
        <v>1</v>
      </c>
      <c r="EG1122">
        <v>1</v>
      </c>
      <c r="EH1122">
        <v>0</v>
      </c>
      <c r="EI1122" s="2">
        <v>0</v>
      </c>
      <c r="EK1122" t="str">
        <f>IF(AND(AND(AND(OR($DX1122=1,$DW1122=1),OR($EC1122=1,$EA1122=1)),SUM($DV1122:$DZ1122,$EF1122)&gt;=4),SUM($EA1122:$EE1122)&gt;=2),"Whole sector","")</f>
        <v/>
      </c>
      <c r="EL1122" t="str">
        <f>IF(AND(AND(OR($DX1122=1,$DW1122=1),AND($EC1122=0,$EA1122=0)),SUM($DV1122:$DZ1122,$EF1122)&gt;=4),"Ecosystem approach","")</f>
        <v/>
      </c>
      <c r="EM1122" s="2" t="str">
        <f>IF(AND(AND(AND($DX1122=0,$DW1122=0),OR($EC1122=1,$EA1122=1)),SUM($EB1122:$EE1122)&gt;=2),"Technology approach","")</f>
        <v/>
      </c>
      <c r="EP1122" t="b">
        <f>IF(ISNUMBER(BU1122),IF(ABS(BU1122-[4]QC_indicators!$B$2)&gt;3*[4]QC_indicators!$C$2,"C ratio",IF(ISNUMBER(BY1122),IF(ABS(BY1122-[4]QC_indicators!$B$1)&gt;3*[4]QC_indicators!$C$1,"DF","no"))),IF(ISNUMBER(BY1122),IF(ABS(BY1122-[4]QC_indicators!$B$1)&gt;3*[4]QC_indicators!$C$1,"DF","no")))</f>
        <v>0</v>
      </c>
      <c r="ET1122" s="264" t="s">
        <v>3273</v>
      </c>
    </row>
    <row r="1123" spans="1:150">
      <c r="A1123" s="1" t="s">
        <v>848</v>
      </c>
      <c r="B1123" t="s">
        <v>849</v>
      </c>
      <c r="C1123" t="s">
        <v>850</v>
      </c>
      <c r="D1123" t="s">
        <v>851</v>
      </c>
      <c r="E1123" t="s">
        <v>852</v>
      </c>
      <c r="F1123" t="s">
        <v>853</v>
      </c>
      <c r="G1123" t="s">
        <v>854</v>
      </c>
      <c r="H1123" t="s">
        <v>254</v>
      </c>
      <c r="I1123">
        <v>2020</v>
      </c>
      <c r="J1123">
        <v>5</v>
      </c>
      <c r="K1123" t="s">
        <v>855</v>
      </c>
      <c r="M1123" t="str">
        <f>LEFT($D1123,FIND(",",$D1123)-1)&amp;"_"&amp;I1123&amp;L1123</f>
        <v>Lan_2020</v>
      </c>
      <c r="N1123" t="s">
        <v>222</v>
      </c>
      <c r="O1123" s="145" t="s">
        <v>225</v>
      </c>
      <c r="Q1123" t="s">
        <v>256</v>
      </c>
      <c r="R1123" s="262" t="s">
        <v>223</v>
      </c>
      <c r="S1123" s="1" t="s">
        <v>856</v>
      </c>
      <c r="T1123" t="s">
        <v>857</v>
      </c>
      <c r="U1123" t="s">
        <v>858</v>
      </c>
      <c r="V1123">
        <v>0</v>
      </c>
      <c r="W1123">
        <v>0</v>
      </c>
      <c r="X1123">
        <v>0</v>
      </c>
      <c r="Y1123">
        <v>0</v>
      </c>
      <c r="Z1123">
        <v>0</v>
      </c>
      <c r="AA1123">
        <v>0</v>
      </c>
      <c r="AB1123">
        <v>0</v>
      </c>
      <c r="AC1123">
        <v>0</v>
      </c>
      <c r="AD1123">
        <v>0</v>
      </c>
      <c r="AE1123">
        <v>0</v>
      </c>
      <c r="AF1123">
        <v>0</v>
      </c>
      <c r="AG1123">
        <v>0</v>
      </c>
      <c r="AH1123">
        <v>1</v>
      </c>
      <c r="AI1123">
        <v>0</v>
      </c>
      <c r="AJ1123">
        <v>0</v>
      </c>
      <c r="AK1123">
        <v>0</v>
      </c>
      <c r="AL1123">
        <v>0</v>
      </c>
      <c r="AM1123">
        <v>0</v>
      </c>
      <c r="AN1123">
        <v>0</v>
      </c>
      <c r="AO1123">
        <v>0</v>
      </c>
      <c r="AP1123">
        <v>0</v>
      </c>
      <c r="AQ1123">
        <v>0</v>
      </c>
      <c r="AR1123">
        <v>0</v>
      </c>
      <c r="AS1123">
        <v>0</v>
      </c>
      <c r="AT1123">
        <v>0</v>
      </c>
      <c r="AU1123">
        <v>0</v>
      </c>
      <c r="AV1123">
        <v>0</v>
      </c>
      <c r="AW1123">
        <v>0</v>
      </c>
      <c r="AX1123" s="141">
        <f>COUNTIF(V1123:AW1123,"&lt;&gt;0")</f>
        <v>1</v>
      </c>
      <c r="AY1123" s="141">
        <f>COUNTIF(V1123:AL1123,"&lt;&gt;0")</f>
        <v>1</v>
      </c>
      <c r="AZ1123">
        <f>COUNTIF(V1123:AC1123,"&lt;&gt;0")</f>
        <v>0</v>
      </c>
      <c r="BA1123">
        <f>COUNTIF(AD1123:AI1123,"&lt;&gt;0")</f>
        <v>1</v>
      </c>
      <c r="BB1123">
        <f>COUNTIF(AJ1123:AL1123,"&lt;&gt;0")</f>
        <v>0</v>
      </c>
      <c r="BC1123">
        <f>COUNTIF(AS1123:AW1123,"&lt;&gt;0")</f>
        <v>0</v>
      </c>
      <c r="BD1123">
        <f>COUNTIF(AM1123:AR1123,"&lt;&gt;0")</f>
        <v>0</v>
      </c>
      <c r="BE1123" t="str">
        <f t="array" ref="BE1123">IF(AY1123=1,INDEX($V$7:$AL$7,MATCH(TRUE,INDEX($V1123:$AW1123&lt;&gt;0,),0)),IF(AY1123=0,INDEX($AM$7:$AW$7,MATCH(1,$AM1123:$AW1123,0)),IF(BF1123="Multiple strategies","mixed drivers",IF(BF1123="Supply chain","multiple supply","multiple silviculture"))))</f>
        <v xml:space="preserve">end of life disposal </v>
      </c>
      <c r="BF1123" s="2" t="str" cm="1">
        <f t="array" ref="BF1123">IF(COUNTIF(AZ1123:BB1123,"&lt;&gt;0")=1,INDEX($V$4:$AW$4,MATCH(TRUE,INDEX($V1123:$AW1123&lt;&gt;0,),0)),IF(COUNTIF(AZ1123:BB1123,"&lt;&gt;0")=0,INDEX($AM$4:$AW$4,MATCH(1,$AM1123:$AW1123,0)),"Multiple strategies"))</f>
        <v>Supply chain</v>
      </c>
      <c r="BG1123" s="142"/>
      <c r="BJ1123" s="143"/>
      <c r="BL1123" s="143"/>
      <c r="BM1123" s="163"/>
      <c r="BN1123" s="158"/>
      <c r="BO1123" s="143"/>
      <c r="BP1123" t="s">
        <v>232</v>
      </c>
      <c r="BQ1123" s="153" t="s">
        <v>429</v>
      </c>
      <c r="BR1123" t="s">
        <v>859</v>
      </c>
      <c r="BS1123">
        <v>726.60500000000002</v>
      </c>
      <c r="BT1123">
        <v>739.44899999999996</v>
      </c>
      <c r="BU1123" s="144">
        <f>IFERROR(BT1123/BS1123,"")</f>
        <v>1.0176767294472235</v>
      </c>
      <c r="BV1123">
        <f>BT1123-BS1123</f>
        <v>12.843999999999937</v>
      </c>
      <c r="BX1123">
        <f>BV1123</f>
        <v>12.843999999999937</v>
      </c>
      <c r="BY1123" t="str">
        <f>IFERROR(BX1123/BO1123,"")</f>
        <v/>
      </c>
      <c r="BZ1123">
        <v>0</v>
      </c>
      <c r="CA1123">
        <v>0</v>
      </c>
      <c r="CB1123">
        <v>0</v>
      </c>
      <c r="CC1123">
        <v>0</v>
      </c>
      <c r="CD1123">
        <v>0</v>
      </c>
      <c r="CE1123">
        <v>0</v>
      </c>
      <c r="CF1123">
        <v>0</v>
      </c>
      <c r="CG1123">
        <v>0</v>
      </c>
      <c r="CH1123">
        <v>0</v>
      </c>
      <c r="CI1123">
        <v>0</v>
      </c>
      <c r="CJ1123">
        <v>0</v>
      </c>
      <c r="CK1123">
        <v>0</v>
      </c>
      <c r="CL1123">
        <v>0</v>
      </c>
      <c r="CM1123">
        <v>0</v>
      </c>
      <c r="CN1123" t="str">
        <f>IF(BL1123&lt;BK1123,"refNeedCorrection","refOK")</f>
        <v>refOK</v>
      </c>
      <c r="CO1123"/>
      <c r="CP1123"/>
      <c r="CQ1123"/>
      <c r="CR1123">
        <f>IF($CN1123="refOK",$BS1123,$BT1123)*IF($BP1123="Emissions positive",-1,1)</f>
        <v>726.60500000000002</v>
      </c>
      <c r="CS1123">
        <f>IF($CN1123="refOK",$BT1123,$BS1123)*IF($BP1123="Emissions positive",-1,1)</f>
        <v>739.44899999999996</v>
      </c>
      <c r="CT1123">
        <f>IF($CN1123="refNeedCorrection",-BX1123,BX1123)*IF($BP1123="Emissions positive",-1,1)</f>
        <v>12.843999999999937</v>
      </c>
      <c r="CU1123" t="str">
        <f>IFERROR(CT1123/CQ1123,"")</f>
        <v/>
      </c>
      <c r="CV1123" s="2">
        <f>IFERROR((CS1123-CR1123)/ABS(CR1123),"")</f>
        <v>1.7676729447223646E-2</v>
      </c>
      <c r="CW1123" s="1" t="s">
        <v>234</v>
      </c>
      <c r="CX1123" t="str">
        <f>IF(OR($CW1123="prd",$CW1123="std",$CW1123="cit"),"loc",IF(OR($CW1123="eur",$CW1123="reg",$CW1123="coy"),"reg",$CW1123))</f>
        <v>loc</v>
      </c>
      <c r="CY1123" t="s">
        <v>428</v>
      </c>
      <c r="CZ1123">
        <v>2021</v>
      </c>
      <c r="DA1123" s="143">
        <v>2120</v>
      </c>
      <c r="DB1123" s="143">
        <v>100</v>
      </c>
      <c r="DC1123" t="str">
        <f>IF(DB1123=0,"0",IF(AND(DB1123&gt;=1,DB1123&lt;=30),"1-30",IF(AND(DB1123&gt;30,DB1123&lt;=70),"31-70",IF(AND(DB1123&gt;70,DB1123&lt;=100),"71-100",IF(DB1123&gt;100,"+100")))))</f>
        <v>71-100</v>
      </c>
      <c r="DD1123">
        <v>1</v>
      </c>
      <c r="DE1123">
        <v>1</v>
      </c>
      <c r="DF1123">
        <v>0</v>
      </c>
      <c r="DG1123">
        <v>1</v>
      </c>
      <c r="DI1123">
        <f>SUM(DD1123:DG1123)</f>
        <v>3</v>
      </c>
      <c r="DJ1123" t="str">
        <f>IF(DI1123=1,INDEX($DD$7:$DG$7,MATCH(1,$DD1123:$DG1123,0)),"mixedProduct")</f>
        <v>mixedProduct</v>
      </c>
      <c r="DK1123" t="str">
        <f>IF(DD1123=1,DK$7,0)</f>
        <v>Upstream</v>
      </c>
      <c r="DL1123" t="str">
        <f>IF(DE1123=1,DL$7,0)</f>
        <v>Energy</v>
      </c>
      <c r="DM1123">
        <f>IF(DF1123=1,DM$7,0)</f>
        <v>0</v>
      </c>
      <c r="DN1123" t="str">
        <f>IF(DG1123=1,DN$7,0)</f>
        <v>Timber</v>
      </c>
      <c r="DO1123">
        <v>0</v>
      </c>
      <c r="DP1123" s="143">
        <v>0</v>
      </c>
      <c r="DQ1123" s="143">
        <v>0</v>
      </c>
      <c r="DR1123">
        <v>0</v>
      </c>
      <c r="DS1123" s="143">
        <v>0</v>
      </c>
      <c r="DT1123">
        <f>SUM(DO1123:DP1123)</f>
        <v>0</v>
      </c>
      <c r="DU1123" s="143" t="str">
        <f>IF(DO1123=1,"self-calculated DF",IF(DP1123=1,"external DF used","explicit C balance"))</f>
        <v>explicit C balance</v>
      </c>
      <c r="DV1123" s="143">
        <v>0</v>
      </c>
      <c r="DW1123" s="143">
        <v>1</v>
      </c>
      <c r="DX1123" s="143">
        <v>1</v>
      </c>
      <c r="DY1123" s="143">
        <v>1</v>
      </c>
      <c r="DZ1123">
        <v>1</v>
      </c>
      <c r="EA1123" s="143">
        <v>0</v>
      </c>
      <c r="EB1123" s="143">
        <v>1</v>
      </c>
      <c r="EC1123" s="143">
        <v>1</v>
      </c>
      <c r="ED1123" s="143">
        <v>1</v>
      </c>
      <c r="EE1123">
        <v>0</v>
      </c>
      <c r="EF1123">
        <v>1</v>
      </c>
      <c r="EG1123" s="143">
        <v>1</v>
      </c>
      <c r="EH1123">
        <v>0</v>
      </c>
      <c r="EI1123" s="2">
        <v>0</v>
      </c>
      <c r="EK1123" t="str">
        <f>IF(AND(AND(AND(OR($DX1123=1,$DW1123=1),OR($EC1123=1,$EA1123=1)),SUM($DV1123:$DZ1123,$EF1123)&gt;=4),SUM($EA1123:$EE1123)&gt;=2),"Whole sector","")</f>
        <v>Whole sector</v>
      </c>
      <c r="EL1123" t="str">
        <f>IF(AND(AND(OR($DX1123=1,$DW1123=1),AND($EC1123=0,$EA1123=0)),SUM($DV1123:$DZ1123,$EF1123)&gt;=4),"Ecosystem approach","")</f>
        <v/>
      </c>
      <c r="EM1123" s="2" t="str">
        <f>IF(AND(AND(AND($DX1123=0,$DW1123=0),OR($EC1123=1,$EA1123=1)),SUM($EB1123:$EE1123)&gt;=2),"Technology approach","")</f>
        <v/>
      </c>
      <c r="EP1123" t="b">
        <f>IF(ISNUMBER(BU1123),IF(ABS(BU1123-[1]QC_indicators!$B$2)&gt;3*[1]QC_indicators!$C$2,"C ratio",IF(ISNUMBER(BY1123),IF(ABS(BY1123-[1]QC_indicators!$B$1)&gt;3*[1]QC_indicators!$C$1,"DF","no"))),IF(ISNUMBER(BY1123),IF(ABS(BY1123-[1]QC_indicators!$B$1)&gt;3*[1]QC_indicators!$C$1,"DF","no")))</f>
        <v>0</v>
      </c>
      <c r="ER1123" t="s">
        <v>860</v>
      </c>
      <c r="ET1123" s="264" t="s">
        <v>3151</v>
      </c>
    </row>
    <row r="1124" spans="1:150" ht="15" customHeight="1">
      <c r="A1124" s="1" t="s">
        <v>848</v>
      </c>
      <c r="B1124" t="s">
        <v>849</v>
      </c>
      <c r="C1124" t="s">
        <v>850</v>
      </c>
      <c r="D1124" t="s">
        <v>851</v>
      </c>
      <c r="E1124" t="s">
        <v>852</v>
      </c>
      <c r="F1124" t="s">
        <v>853</v>
      </c>
      <c r="G1124" t="s">
        <v>854</v>
      </c>
      <c r="H1124" t="s">
        <v>254</v>
      </c>
      <c r="I1124">
        <v>2020</v>
      </c>
      <c r="J1124">
        <v>5</v>
      </c>
      <c r="K1124" t="s">
        <v>855</v>
      </c>
      <c r="M1124" t="str">
        <f>LEFT($D1124,FIND(",",$D1124)-1)&amp;"_"&amp;I1124&amp;L1124</f>
        <v>Lan_2020</v>
      </c>
      <c r="N1124" t="s">
        <v>222</v>
      </c>
      <c r="O1124" s="145" t="s">
        <v>225</v>
      </c>
      <c r="Q1124" t="s">
        <v>256</v>
      </c>
      <c r="R1124" s="262" t="s">
        <v>223</v>
      </c>
      <c r="S1124" s="1" t="s">
        <v>856</v>
      </c>
      <c r="T1124" t="s">
        <v>861</v>
      </c>
      <c r="U1124" t="s">
        <v>862</v>
      </c>
      <c r="V1124">
        <v>0</v>
      </c>
      <c r="W1124">
        <v>0</v>
      </c>
      <c r="X1124">
        <v>0</v>
      </c>
      <c r="Y1124">
        <v>0</v>
      </c>
      <c r="Z1124">
        <v>0</v>
      </c>
      <c r="AA1124">
        <v>0</v>
      </c>
      <c r="AB1124">
        <v>0</v>
      </c>
      <c r="AC1124">
        <v>0</v>
      </c>
      <c r="AD1124">
        <v>0</v>
      </c>
      <c r="AE1124">
        <v>0</v>
      </c>
      <c r="AF1124">
        <v>0</v>
      </c>
      <c r="AG1124">
        <v>0</v>
      </c>
      <c r="AH1124">
        <v>1</v>
      </c>
      <c r="AI1124">
        <v>0</v>
      </c>
      <c r="AJ1124">
        <v>0</v>
      </c>
      <c r="AK1124">
        <v>0</v>
      </c>
      <c r="AL1124">
        <v>0</v>
      </c>
      <c r="AM1124">
        <v>0</v>
      </c>
      <c r="AN1124">
        <v>0</v>
      </c>
      <c r="AO1124">
        <v>0</v>
      </c>
      <c r="AP1124">
        <v>0</v>
      </c>
      <c r="AQ1124">
        <v>0</v>
      </c>
      <c r="AR1124">
        <v>0</v>
      </c>
      <c r="AS1124">
        <v>0</v>
      </c>
      <c r="AT1124">
        <v>0</v>
      </c>
      <c r="AU1124">
        <v>0</v>
      </c>
      <c r="AV1124">
        <v>0</v>
      </c>
      <c r="AW1124">
        <v>0</v>
      </c>
      <c r="AX1124" s="141">
        <f>COUNTIF(V1124:AW1124,"&lt;&gt;0")</f>
        <v>1</v>
      </c>
      <c r="AY1124" s="141">
        <f>COUNTIF(V1124:AL1124,"&lt;&gt;0")</f>
        <v>1</v>
      </c>
      <c r="AZ1124">
        <f>COUNTIF(V1124:AC1124,"&lt;&gt;0")</f>
        <v>0</v>
      </c>
      <c r="BA1124">
        <f>COUNTIF(AD1124:AI1124,"&lt;&gt;0")</f>
        <v>1</v>
      </c>
      <c r="BB1124">
        <f>COUNTIF(AJ1124:AL1124,"&lt;&gt;0")</f>
        <v>0</v>
      </c>
      <c r="BC1124">
        <f>COUNTIF(AS1124:AW1124,"&lt;&gt;0")</f>
        <v>0</v>
      </c>
      <c r="BD1124">
        <f>COUNTIF(AM1124:AR1124,"&lt;&gt;0")</f>
        <v>0</v>
      </c>
      <c r="BE1124" t="str">
        <f t="array" ref="BE1124">IF(AY1124=1,INDEX($V$7:$AL$7,MATCH(TRUE,INDEX($V1124:$AW1124&lt;&gt;0,),0)),IF(AY1124=0,INDEX($AM$7:$AW$7,MATCH(1,$AM1124:$AW1124,0)),IF(BF1124="Multiple strategies","mixed drivers",IF(BF1124="Supply chain","multiple supply","multiple silviculture"))))</f>
        <v xml:space="preserve">end of life disposal </v>
      </c>
      <c r="BF1124" s="2" t="str" cm="1">
        <f t="array" ref="BF1124">IF(COUNTIF(AZ1124:BB1124,"&lt;&gt;0")=1,INDEX($V$4:$AW$4,MATCH(TRUE,INDEX($V1124:$AW1124&lt;&gt;0,),0)),IF(COUNTIF(AZ1124:BB1124,"&lt;&gt;0")=0,INDEX($AM$4:$AW$4,MATCH(1,$AM1124:$AW1124,0)),"Multiple strategies"))</f>
        <v>Supply chain</v>
      </c>
      <c r="BG1124" s="142"/>
      <c r="BJ1124" s="143"/>
      <c r="BL1124" s="143"/>
      <c r="BM1124" s="163"/>
      <c r="BN1124" s="158"/>
      <c r="BO1124" s="143"/>
      <c r="BP1124" t="s">
        <v>232</v>
      </c>
      <c r="BQ1124" s="153" t="s">
        <v>429</v>
      </c>
      <c r="BR1124" t="s">
        <v>859</v>
      </c>
      <c r="BS1124">
        <v>816.51300000000003</v>
      </c>
      <c r="BT1124">
        <v>829.35699999999997</v>
      </c>
      <c r="BU1124" s="144">
        <f>IFERROR(BT1124/BS1124,"")</f>
        <v>1.0157303068046681</v>
      </c>
      <c r="BV1124">
        <f>BT1124-BS1124</f>
        <v>12.843999999999937</v>
      </c>
      <c r="BX1124">
        <f>BV1124</f>
        <v>12.843999999999937</v>
      </c>
      <c r="BY1124" t="str">
        <f>IFERROR(BX1124/BO1124,"")</f>
        <v/>
      </c>
      <c r="BZ1124">
        <v>0</v>
      </c>
      <c r="CA1124">
        <v>0</v>
      </c>
      <c r="CB1124">
        <v>0</v>
      </c>
      <c r="CC1124">
        <v>0</v>
      </c>
      <c r="CD1124">
        <v>0</v>
      </c>
      <c r="CE1124">
        <v>0</v>
      </c>
      <c r="CF1124">
        <v>0</v>
      </c>
      <c r="CG1124">
        <v>0</v>
      </c>
      <c r="CH1124">
        <v>0</v>
      </c>
      <c r="CI1124">
        <v>0</v>
      </c>
      <c r="CJ1124">
        <v>0</v>
      </c>
      <c r="CK1124">
        <v>0</v>
      </c>
      <c r="CL1124">
        <v>0</v>
      </c>
      <c r="CM1124">
        <v>0</v>
      </c>
      <c r="CN1124" t="str">
        <f>IF(BL1124&lt;BK1124,"refNeedCorrection","refOK")</f>
        <v>refOK</v>
      </c>
      <c r="CO1124"/>
      <c r="CP1124"/>
      <c r="CQ1124"/>
      <c r="CR1124">
        <f>IF($CN1124="refOK",$BS1124,$BT1124)*IF($BP1124="Emissions positive",-1,1)</f>
        <v>816.51300000000003</v>
      </c>
      <c r="CS1124">
        <f>IF($CN1124="refOK",$BT1124,$BS1124)*IF($BP1124="Emissions positive",-1,1)</f>
        <v>829.35699999999997</v>
      </c>
      <c r="CT1124">
        <f>IF($CN1124="refNeedCorrection",-BX1124,BX1124)*IF($BP1124="Emissions positive",-1,1)</f>
        <v>12.843999999999937</v>
      </c>
      <c r="CU1124" t="str">
        <f>IFERROR(CT1124/CQ1124,"")</f>
        <v/>
      </c>
      <c r="CV1124" s="2">
        <f>IFERROR((CS1124-CR1124)/ABS(CR1124),"")</f>
        <v>1.5730306804668068E-2</v>
      </c>
      <c r="CW1124" s="1" t="s">
        <v>234</v>
      </c>
      <c r="CX1124" t="str">
        <f>IF(OR($CW1124="prd",$CW1124="std",$CW1124="cit"),"loc",IF(OR($CW1124="eur",$CW1124="reg",$CW1124="coy"),"reg",$CW1124))</f>
        <v>loc</v>
      </c>
      <c r="CY1124" t="s">
        <v>428</v>
      </c>
      <c r="CZ1124">
        <v>2021</v>
      </c>
      <c r="DA1124" s="143">
        <v>2120</v>
      </c>
      <c r="DB1124" s="143">
        <v>100</v>
      </c>
      <c r="DC1124" t="str">
        <f>IF(DB1124=0,"0",IF(AND(DB1124&gt;=1,DB1124&lt;=30),"1-30",IF(AND(DB1124&gt;30,DB1124&lt;=70),"31-70",IF(AND(DB1124&gt;70,DB1124&lt;=100),"71-100",IF(DB1124&gt;100,"+100")))))</f>
        <v>71-100</v>
      </c>
      <c r="DD1124">
        <v>1</v>
      </c>
      <c r="DE1124">
        <v>1</v>
      </c>
      <c r="DF1124">
        <v>0</v>
      </c>
      <c r="DG1124">
        <v>1</v>
      </c>
      <c r="DI1124">
        <f>SUM(DD1124:DG1124)</f>
        <v>3</v>
      </c>
      <c r="DJ1124" t="str">
        <f>IF(DI1124=1,INDEX($DD$7:$DG$7,MATCH(1,$DD1124:$DG1124,0)),"mixedProduct")</f>
        <v>mixedProduct</v>
      </c>
      <c r="DK1124" t="str">
        <f>IF(DD1124=1,DK$7,0)</f>
        <v>Upstream</v>
      </c>
      <c r="DL1124" t="str">
        <f>IF(DE1124=1,DL$7,0)</f>
        <v>Energy</v>
      </c>
      <c r="DM1124">
        <f>IF(DF1124=1,DM$7,0)</f>
        <v>0</v>
      </c>
      <c r="DN1124" t="str">
        <f>IF(DG1124=1,DN$7,0)</f>
        <v>Timber</v>
      </c>
      <c r="DO1124">
        <v>0</v>
      </c>
      <c r="DP1124" s="143">
        <v>0</v>
      </c>
      <c r="DQ1124" s="143">
        <v>0</v>
      </c>
      <c r="DR1124">
        <v>0</v>
      </c>
      <c r="DS1124" s="143">
        <v>0</v>
      </c>
      <c r="DT1124">
        <f>SUM(DO1124:DP1124)</f>
        <v>0</v>
      </c>
      <c r="DU1124" s="143" t="str">
        <f>IF(DO1124=1,"self-calculated DF",IF(DP1124=1,"external DF used","explicit C balance"))</f>
        <v>explicit C balance</v>
      </c>
      <c r="DV1124" s="143">
        <v>0</v>
      </c>
      <c r="DW1124" s="143">
        <v>1</v>
      </c>
      <c r="DX1124" s="143">
        <v>1</v>
      </c>
      <c r="DY1124" s="143">
        <v>1</v>
      </c>
      <c r="DZ1124">
        <v>1</v>
      </c>
      <c r="EA1124" s="143">
        <v>0</v>
      </c>
      <c r="EB1124" s="143">
        <v>1</v>
      </c>
      <c r="EC1124" s="143">
        <v>1</v>
      </c>
      <c r="ED1124" s="143">
        <v>1</v>
      </c>
      <c r="EE1124">
        <v>0</v>
      </c>
      <c r="EF1124">
        <v>1</v>
      </c>
      <c r="EG1124" s="143">
        <v>1</v>
      </c>
      <c r="EH1124">
        <v>0</v>
      </c>
      <c r="EI1124" s="2">
        <v>0</v>
      </c>
      <c r="EK1124" t="str">
        <f>IF(AND(AND(AND(OR($DX1124=1,$DW1124=1),OR($EC1124=1,$EA1124=1)),SUM($DV1124:$DZ1124,$EF1124)&gt;=4),SUM($EA1124:$EE1124)&gt;=2),"Whole sector","")</f>
        <v>Whole sector</v>
      </c>
      <c r="EL1124" t="str">
        <f>IF(AND(AND(OR($DX1124=1,$DW1124=1),AND($EC1124=0,$EA1124=0)),SUM($DV1124:$DZ1124,$EF1124)&gt;=4),"Ecosystem approach","")</f>
        <v/>
      </c>
      <c r="EM1124" s="2" t="str">
        <f>IF(AND(AND(AND($DX1124=0,$DW1124=0),OR($EC1124=1,$EA1124=1)),SUM($EB1124:$EE1124)&gt;=2),"Technology approach","")</f>
        <v/>
      </c>
      <c r="EP1124" t="b">
        <f>IF(ISNUMBER(BU1124),IF(ABS(BU1124-[1]QC_indicators!$B$2)&gt;3*[1]QC_indicators!$C$2,"C ratio",IF(ISNUMBER(BY1124),IF(ABS(BY1124-[1]QC_indicators!$B$1)&gt;3*[1]QC_indicators!$C$1,"DF","no"))),IF(ISNUMBER(BY1124),IF(ABS(BY1124-[1]QC_indicators!$B$1)&gt;3*[1]QC_indicators!$C$1,"DF","no")))</f>
        <v>0</v>
      </c>
      <c r="ER1124" t="s">
        <v>860</v>
      </c>
      <c r="ET1124" s="264" t="s">
        <v>3151</v>
      </c>
    </row>
    <row r="1125" spans="1:150" ht="15" customHeight="1">
      <c r="A1125" s="1" t="s">
        <v>848</v>
      </c>
      <c r="B1125" t="s">
        <v>849</v>
      </c>
      <c r="C1125" t="s">
        <v>850</v>
      </c>
      <c r="D1125" t="s">
        <v>851</v>
      </c>
      <c r="E1125" t="s">
        <v>852</v>
      </c>
      <c r="F1125" t="s">
        <v>853</v>
      </c>
      <c r="G1125" t="s">
        <v>854</v>
      </c>
      <c r="H1125" t="s">
        <v>254</v>
      </c>
      <c r="I1125">
        <v>2020</v>
      </c>
      <c r="J1125">
        <v>5</v>
      </c>
      <c r="K1125" t="s">
        <v>855</v>
      </c>
      <c r="M1125" t="str">
        <f>LEFT($D1125,FIND(",",$D1125)-1)&amp;"_"&amp;I1125&amp;L1125</f>
        <v>Lan_2020</v>
      </c>
      <c r="N1125" t="s">
        <v>222</v>
      </c>
      <c r="O1125" s="145" t="s">
        <v>225</v>
      </c>
      <c r="Q1125" t="s">
        <v>256</v>
      </c>
      <c r="R1125" s="262" t="s">
        <v>223</v>
      </c>
      <c r="S1125" s="1" t="s">
        <v>856</v>
      </c>
      <c r="T1125" t="s">
        <v>863</v>
      </c>
      <c r="U1125" t="s">
        <v>864</v>
      </c>
      <c r="V1125">
        <v>0</v>
      </c>
      <c r="W1125">
        <v>0</v>
      </c>
      <c r="X1125">
        <v>0</v>
      </c>
      <c r="Y1125">
        <v>0</v>
      </c>
      <c r="Z1125">
        <v>0</v>
      </c>
      <c r="AA1125">
        <v>0</v>
      </c>
      <c r="AB1125">
        <v>0</v>
      </c>
      <c r="AC1125">
        <v>0</v>
      </c>
      <c r="AD1125">
        <v>0</v>
      </c>
      <c r="AE1125">
        <v>0</v>
      </c>
      <c r="AF1125">
        <v>0</v>
      </c>
      <c r="AG1125">
        <v>0</v>
      </c>
      <c r="AH1125">
        <v>1</v>
      </c>
      <c r="AI1125">
        <v>0</v>
      </c>
      <c r="AJ1125">
        <v>0</v>
      </c>
      <c r="AK1125">
        <v>0</v>
      </c>
      <c r="AL1125">
        <v>0</v>
      </c>
      <c r="AM1125">
        <v>0</v>
      </c>
      <c r="AN1125">
        <v>0</v>
      </c>
      <c r="AO1125">
        <v>0</v>
      </c>
      <c r="AP1125">
        <v>0</v>
      </c>
      <c r="AQ1125">
        <v>0</v>
      </c>
      <c r="AR1125">
        <v>0</v>
      </c>
      <c r="AS1125">
        <v>0</v>
      </c>
      <c r="AT1125">
        <v>0</v>
      </c>
      <c r="AU1125">
        <v>0</v>
      </c>
      <c r="AV1125">
        <v>0</v>
      </c>
      <c r="AW1125">
        <v>0</v>
      </c>
      <c r="AX1125" s="141">
        <f>COUNTIF(V1125:AW1125,"&lt;&gt;0")</f>
        <v>1</v>
      </c>
      <c r="AY1125" s="141">
        <f>COUNTIF(V1125:AL1125,"&lt;&gt;0")</f>
        <v>1</v>
      </c>
      <c r="AZ1125">
        <f>COUNTIF(V1125:AC1125,"&lt;&gt;0")</f>
        <v>0</v>
      </c>
      <c r="BA1125">
        <f>COUNTIF(AD1125:AI1125,"&lt;&gt;0")</f>
        <v>1</v>
      </c>
      <c r="BB1125">
        <f>COUNTIF(AJ1125:AL1125,"&lt;&gt;0")</f>
        <v>0</v>
      </c>
      <c r="BC1125">
        <f>COUNTIF(AS1125:AW1125,"&lt;&gt;0")</f>
        <v>0</v>
      </c>
      <c r="BD1125">
        <f>COUNTIF(AM1125:AR1125,"&lt;&gt;0")</f>
        <v>0</v>
      </c>
      <c r="BE1125" t="str">
        <f t="array" ref="BE1125">IF(AY1125=1,INDEX($V$7:$AL$7,MATCH(TRUE,INDEX($V1125:$AW1125&lt;&gt;0,),0)),IF(AY1125=0,INDEX($AM$7:$AW$7,MATCH(1,$AM1125:$AW1125,0)),IF(BF1125="Multiple strategies","mixed drivers",IF(BF1125="Supply chain","multiple supply","multiple silviculture"))))</f>
        <v xml:space="preserve">end of life disposal </v>
      </c>
      <c r="BF1125" s="2" t="str" cm="1">
        <f t="array" ref="BF1125">IF(COUNTIF(AZ1125:BB1125,"&lt;&gt;0")=1,INDEX($V$4:$AW$4,MATCH(TRUE,INDEX($V1125:$AW1125&lt;&gt;0,),0)),IF(COUNTIF(AZ1125:BB1125,"&lt;&gt;0")=0,INDEX($AM$4:$AW$4,MATCH(1,$AM1125:$AW1125,0)),"Multiple strategies"))</f>
        <v>Supply chain</v>
      </c>
      <c r="BG1125" s="142"/>
      <c r="BJ1125" s="143"/>
      <c r="BL1125" s="143"/>
      <c r="BM1125" s="163"/>
      <c r="BN1125" s="158"/>
      <c r="BO1125" s="143"/>
      <c r="BP1125" t="s">
        <v>232</v>
      </c>
      <c r="BQ1125" s="153" t="s">
        <v>429</v>
      </c>
      <c r="BR1125" t="s">
        <v>859</v>
      </c>
      <c r="BS1125">
        <v>1124.77</v>
      </c>
      <c r="BT1125">
        <v>1150.4580000000001</v>
      </c>
      <c r="BU1125" s="144">
        <f>IFERROR(BT1125/BS1125,"")</f>
        <v>1.0228384469713809</v>
      </c>
      <c r="BV1125">
        <f>BT1125-BS1125</f>
        <v>25.688000000000102</v>
      </c>
      <c r="BX1125">
        <f>BV1125</f>
        <v>25.688000000000102</v>
      </c>
      <c r="BY1125" t="str">
        <f>IFERROR(BX1125/BO1125,"")</f>
        <v/>
      </c>
      <c r="BZ1125">
        <v>0</v>
      </c>
      <c r="CA1125">
        <v>0</v>
      </c>
      <c r="CB1125">
        <v>0</v>
      </c>
      <c r="CC1125">
        <v>0</v>
      </c>
      <c r="CD1125">
        <v>0</v>
      </c>
      <c r="CE1125">
        <v>0</v>
      </c>
      <c r="CF1125">
        <v>0</v>
      </c>
      <c r="CG1125">
        <v>0</v>
      </c>
      <c r="CH1125">
        <v>0</v>
      </c>
      <c r="CI1125">
        <v>0</v>
      </c>
      <c r="CJ1125">
        <v>0</v>
      </c>
      <c r="CK1125">
        <v>0</v>
      </c>
      <c r="CL1125">
        <v>0</v>
      </c>
      <c r="CM1125">
        <v>0</v>
      </c>
      <c r="CN1125" t="str">
        <f>IF(BL1125&lt;BK1125,"refNeedCorrection","refOK")</f>
        <v>refOK</v>
      </c>
      <c r="CO1125"/>
      <c r="CP1125"/>
      <c r="CQ1125"/>
      <c r="CR1125">
        <f>IF($CN1125="refOK",$BS1125,$BT1125)*IF($BP1125="Emissions positive",-1,1)</f>
        <v>1124.77</v>
      </c>
      <c r="CS1125">
        <f>IF($CN1125="refOK",$BT1125,$BS1125)*IF($BP1125="Emissions positive",-1,1)</f>
        <v>1150.4580000000001</v>
      </c>
      <c r="CT1125">
        <f>IF($CN1125="refNeedCorrection",-BX1125,BX1125)*IF($BP1125="Emissions positive",-1,1)</f>
        <v>25.688000000000102</v>
      </c>
      <c r="CU1125" t="str">
        <f>IFERROR(CT1125/CQ1125,"")</f>
        <v/>
      </c>
      <c r="CV1125" s="2">
        <f>IFERROR((CS1125-CR1125)/ABS(CR1125),"")</f>
        <v>2.2838446971380908E-2</v>
      </c>
      <c r="CW1125" s="1" t="s">
        <v>234</v>
      </c>
      <c r="CX1125" t="str">
        <f>IF(OR($CW1125="prd",$CW1125="std",$CW1125="cit"),"loc",IF(OR($CW1125="eur",$CW1125="reg",$CW1125="coy"),"reg",$CW1125))</f>
        <v>loc</v>
      </c>
      <c r="CY1125" t="s">
        <v>428</v>
      </c>
      <c r="CZ1125">
        <v>2021</v>
      </c>
      <c r="DA1125" s="143">
        <v>2120</v>
      </c>
      <c r="DB1125" s="143">
        <v>100</v>
      </c>
      <c r="DC1125" t="str">
        <f>IF(DB1125=0,"0",IF(AND(DB1125&gt;=1,DB1125&lt;=30),"1-30",IF(AND(DB1125&gt;30,DB1125&lt;=70),"31-70",IF(AND(DB1125&gt;70,DB1125&lt;=100),"71-100",IF(DB1125&gt;100,"+100")))))</f>
        <v>71-100</v>
      </c>
      <c r="DD1125">
        <v>1</v>
      </c>
      <c r="DE1125">
        <v>1</v>
      </c>
      <c r="DF1125">
        <v>0</v>
      </c>
      <c r="DG1125">
        <v>1</v>
      </c>
      <c r="DI1125">
        <f>SUM(DD1125:DG1125)</f>
        <v>3</v>
      </c>
      <c r="DJ1125" t="str">
        <f>IF(DI1125=1,INDEX($DD$7:$DG$7,MATCH(1,$DD1125:$DG1125,0)),"mixedProduct")</f>
        <v>mixedProduct</v>
      </c>
      <c r="DK1125" t="str">
        <f>IF(DD1125=1,DK$7,0)</f>
        <v>Upstream</v>
      </c>
      <c r="DL1125" t="str">
        <f>IF(DE1125=1,DL$7,0)</f>
        <v>Energy</v>
      </c>
      <c r="DM1125">
        <f>IF(DF1125=1,DM$7,0)</f>
        <v>0</v>
      </c>
      <c r="DN1125" t="str">
        <f>IF(DG1125=1,DN$7,0)</f>
        <v>Timber</v>
      </c>
      <c r="DO1125">
        <v>0</v>
      </c>
      <c r="DP1125" s="143">
        <v>0</v>
      </c>
      <c r="DQ1125" s="143">
        <v>0</v>
      </c>
      <c r="DR1125">
        <v>0</v>
      </c>
      <c r="DS1125" s="143">
        <v>0</v>
      </c>
      <c r="DT1125">
        <f>SUM(DO1125:DP1125)</f>
        <v>0</v>
      </c>
      <c r="DU1125" s="143" t="str">
        <f>IF(DO1125=1,"self-calculated DF",IF(DP1125=1,"external DF used","explicit C balance"))</f>
        <v>explicit C balance</v>
      </c>
      <c r="DV1125" s="143">
        <v>0</v>
      </c>
      <c r="DW1125" s="143">
        <v>1</v>
      </c>
      <c r="DX1125" s="143">
        <v>1</v>
      </c>
      <c r="DY1125" s="143">
        <v>1</v>
      </c>
      <c r="DZ1125">
        <v>1</v>
      </c>
      <c r="EA1125" s="143">
        <v>0</v>
      </c>
      <c r="EB1125" s="143">
        <v>1</v>
      </c>
      <c r="EC1125" s="143">
        <v>1</v>
      </c>
      <c r="ED1125" s="143">
        <v>1</v>
      </c>
      <c r="EE1125">
        <v>0</v>
      </c>
      <c r="EF1125">
        <v>1</v>
      </c>
      <c r="EG1125" s="143">
        <v>1</v>
      </c>
      <c r="EH1125">
        <v>0</v>
      </c>
      <c r="EI1125" s="2">
        <v>0</v>
      </c>
      <c r="EK1125" t="str">
        <f>IF(AND(AND(AND(OR($DX1125=1,$DW1125=1),OR($EC1125=1,$EA1125=1)),SUM($DV1125:$DZ1125,$EF1125)&gt;=4),SUM($EA1125:$EE1125)&gt;=2),"Whole sector","")</f>
        <v>Whole sector</v>
      </c>
      <c r="EL1125" t="str">
        <f>IF(AND(AND(OR($DX1125=1,$DW1125=1),AND($EC1125=0,$EA1125=0)),SUM($DV1125:$DZ1125,$EF1125)&gt;=4),"Ecosystem approach","")</f>
        <v/>
      </c>
      <c r="EM1125" s="2" t="str">
        <f>IF(AND(AND(AND($DX1125=0,$DW1125=0),OR($EC1125=1,$EA1125=1)),SUM($EB1125:$EE1125)&gt;=2),"Technology approach","")</f>
        <v/>
      </c>
      <c r="EP1125" t="b">
        <f>IF(ISNUMBER(BU1125),IF(ABS(BU1125-[1]QC_indicators!$B$2)&gt;3*[1]QC_indicators!$C$2,"C ratio",IF(ISNUMBER(BY1125),IF(ABS(BY1125-[1]QC_indicators!$B$1)&gt;3*[1]QC_indicators!$C$1,"DF","no"))),IF(ISNUMBER(BY1125),IF(ABS(BY1125-[1]QC_indicators!$B$1)&gt;3*[1]QC_indicators!$C$1,"DF","no")))</f>
        <v>0</v>
      </c>
      <c r="ER1125" t="s">
        <v>860</v>
      </c>
      <c r="ET1125" s="264" t="s">
        <v>3151</v>
      </c>
    </row>
    <row r="1126" spans="1:150" ht="15" customHeight="1">
      <c r="A1126" s="1" t="s">
        <v>848</v>
      </c>
      <c r="B1126" t="s">
        <v>849</v>
      </c>
      <c r="C1126" t="s">
        <v>850</v>
      </c>
      <c r="D1126" t="s">
        <v>851</v>
      </c>
      <c r="E1126" t="s">
        <v>852</v>
      </c>
      <c r="F1126" t="s">
        <v>853</v>
      </c>
      <c r="G1126" t="s">
        <v>854</v>
      </c>
      <c r="H1126" t="s">
        <v>254</v>
      </c>
      <c r="I1126">
        <v>2020</v>
      </c>
      <c r="J1126">
        <v>5</v>
      </c>
      <c r="K1126" t="s">
        <v>855</v>
      </c>
      <c r="M1126" t="str">
        <f>LEFT($D1126,FIND(",",$D1126)-1)&amp;"_"&amp;I1126&amp;L1126</f>
        <v>Lan_2020</v>
      </c>
      <c r="N1126" t="s">
        <v>222</v>
      </c>
      <c r="O1126" s="145" t="s">
        <v>225</v>
      </c>
      <c r="Q1126" t="s">
        <v>256</v>
      </c>
      <c r="R1126" s="262" t="s">
        <v>223</v>
      </c>
      <c r="S1126" s="1" t="s">
        <v>856</v>
      </c>
      <c r="T1126" t="s">
        <v>865</v>
      </c>
      <c r="U1126" t="s">
        <v>866</v>
      </c>
      <c r="V1126">
        <v>0</v>
      </c>
      <c r="W1126">
        <v>0</v>
      </c>
      <c r="X1126">
        <v>0</v>
      </c>
      <c r="Y1126">
        <v>0</v>
      </c>
      <c r="Z1126">
        <v>0</v>
      </c>
      <c r="AA1126">
        <v>0</v>
      </c>
      <c r="AB1126">
        <v>0</v>
      </c>
      <c r="AC1126">
        <v>0</v>
      </c>
      <c r="AD1126">
        <v>0</v>
      </c>
      <c r="AE1126">
        <v>0</v>
      </c>
      <c r="AF1126">
        <v>0</v>
      </c>
      <c r="AG1126">
        <v>0</v>
      </c>
      <c r="AH1126">
        <v>1</v>
      </c>
      <c r="AI1126">
        <v>0</v>
      </c>
      <c r="AJ1126">
        <v>0</v>
      </c>
      <c r="AK1126">
        <v>0</v>
      </c>
      <c r="AL1126">
        <v>0</v>
      </c>
      <c r="AM1126">
        <v>0</v>
      </c>
      <c r="AN1126">
        <v>0</v>
      </c>
      <c r="AO1126">
        <v>0</v>
      </c>
      <c r="AP1126">
        <v>0</v>
      </c>
      <c r="AQ1126">
        <v>0</v>
      </c>
      <c r="AR1126">
        <v>0</v>
      </c>
      <c r="AS1126">
        <v>0</v>
      </c>
      <c r="AT1126">
        <v>0</v>
      </c>
      <c r="AU1126">
        <v>0</v>
      </c>
      <c r="AV1126">
        <v>0</v>
      </c>
      <c r="AW1126">
        <v>0</v>
      </c>
      <c r="AX1126" s="141">
        <f>COUNTIF(V1126:AW1126,"&lt;&gt;0")</f>
        <v>1</v>
      </c>
      <c r="AY1126" s="141">
        <f>COUNTIF(V1126:AL1126,"&lt;&gt;0")</f>
        <v>1</v>
      </c>
      <c r="AZ1126">
        <f>COUNTIF(V1126:AC1126,"&lt;&gt;0")</f>
        <v>0</v>
      </c>
      <c r="BA1126">
        <f>COUNTIF(AD1126:AI1126,"&lt;&gt;0")</f>
        <v>1</v>
      </c>
      <c r="BB1126">
        <f>COUNTIF(AJ1126:AL1126,"&lt;&gt;0")</f>
        <v>0</v>
      </c>
      <c r="BC1126">
        <f>COUNTIF(AS1126:AW1126,"&lt;&gt;0")</f>
        <v>0</v>
      </c>
      <c r="BD1126">
        <f>COUNTIF(AM1126:AR1126,"&lt;&gt;0")</f>
        <v>0</v>
      </c>
      <c r="BE1126" t="str">
        <f t="array" ref="BE1126">IF(AY1126=1,INDEX($V$7:$AL$7,MATCH(TRUE,INDEX($V1126:$AW1126&lt;&gt;0,),0)),IF(AY1126=0,INDEX($AM$7:$AW$7,MATCH(1,$AM1126:$AW1126,0)),IF(BF1126="Multiple strategies","mixed drivers",IF(BF1126="Supply chain","multiple supply","multiple silviculture"))))</f>
        <v xml:space="preserve">end of life disposal </v>
      </c>
      <c r="BF1126" s="2" t="str" cm="1">
        <f t="array" ref="BF1126">IF(COUNTIF(AZ1126:BB1126,"&lt;&gt;0")=1,INDEX($V$4:$AW$4,MATCH(TRUE,INDEX($V1126:$AW1126&lt;&gt;0,),0)),IF(COUNTIF(AZ1126:BB1126,"&lt;&gt;0")=0,INDEX($AM$4:$AW$4,MATCH(1,$AM1126:$AW1126,0)),"Multiple strategies"))</f>
        <v>Supply chain</v>
      </c>
      <c r="BM1126" s="163"/>
      <c r="BN1126" s="158"/>
      <c r="BO1126" s="143"/>
      <c r="BP1126" t="s">
        <v>232</v>
      </c>
      <c r="BQ1126" s="153" t="s">
        <v>429</v>
      </c>
      <c r="BR1126" t="s">
        <v>859</v>
      </c>
      <c r="BS1126">
        <v>1266.0550000000001</v>
      </c>
      <c r="BT1126">
        <v>1291.7429999999999</v>
      </c>
      <c r="BU1126" s="144">
        <f>IFERROR(BT1126/BS1126,"")</f>
        <v>1.0202897978365868</v>
      </c>
      <c r="BV1126">
        <f>BT1126-BS1126</f>
        <v>25.687999999999874</v>
      </c>
      <c r="BX1126">
        <f>BV1126</f>
        <v>25.687999999999874</v>
      </c>
      <c r="BY1126" t="str">
        <f>IFERROR(BX1126/BO1126,"")</f>
        <v/>
      </c>
      <c r="BZ1126">
        <v>0</v>
      </c>
      <c r="CA1126">
        <v>0</v>
      </c>
      <c r="CB1126">
        <v>0</v>
      </c>
      <c r="CC1126">
        <v>0</v>
      </c>
      <c r="CD1126">
        <v>0</v>
      </c>
      <c r="CE1126">
        <v>0</v>
      </c>
      <c r="CF1126">
        <v>0</v>
      </c>
      <c r="CG1126">
        <v>0</v>
      </c>
      <c r="CH1126">
        <v>0</v>
      </c>
      <c r="CI1126">
        <v>0</v>
      </c>
      <c r="CJ1126">
        <v>0</v>
      </c>
      <c r="CK1126">
        <v>0</v>
      </c>
      <c r="CL1126">
        <v>0</v>
      </c>
      <c r="CM1126">
        <v>0</v>
      </c>
      <c r="CN1126" t="str">
        <f>IF(BL1126&lt;BK1126,"refNeedCorrection","refOK")</f>
        <v>refOK</v>
      </c>
      <c r="CO1126"/>
      <c r="CP1126"/>
      <c r="CQ1126"/>
      <c r="CR1126">
        <f>IF($CN1126="refOK",$BS1126,$BT1126)*IF($BP1126="Emissions positive",-1,1)</f>
        <v>1266.0550000000001</v>
      </c>
      <c r="CS1126">
        <f>IF($CN1126="refOK",$BT1126,$BS1126)*IF($BP1126="Emissions positive",-1,1)</f>
        <v>1291.7429999999999</v>
      </c>
      <c r="CT1126">
        <f>IF($CN1126="refNeedCorrection",-BX1126,BX1126)*IF($BP1126="Emissions positive",-1,1)</f>
        <v>25.687999999999874</v>
      </c>
      <c r="CU1126" t="str">
        <f>IFERROR(CT1126/CQ1126,"")</f>
        <v/>
      </c>
      <c r="CV1126" s="2">
        <f>IFERROR((CS1126-CR1126)/ABS(CR1126),"")</f>
        <v>2.0289797836586777E-2</v>
      </c>
      <c r="CW1126" s="1" t="s">
        <v>234</v>
      </c>
      <c r="CX1126" t="str">
        <f>IF(OR($CW1126="prd",$CW1126="std",$CW1126="cit"),"loc",IF(OR($CW1126="eur",$CW1126="reg",$CW1126="coy"),"reg",$CW1126))</f>
        <v>loc</v>
      </c>
      <c r="CY1126" t="s">
        <v>428</v>
      </c>
      <c r="CZ1126">
        <v>2021</v>
      </c>
      <c r="DA1126" s="143">
        <v>2120</v>
      </c>
      <c r="DB1126" s="143">
        <v>100</v>
      </c>
      <c r="DC1126" t="str">
        <f>IF(DB1126=0,"0",IF(AND(DB1126&gt;=1,DB1126&lt;=30),"1-30",IF(AND(DB1126&gt;30,DB1126&lt;=70),"31-70",IF(AND(DB1126&gt;70,DB1126&lt;=100),"71-100",IF(DB1126&gt;100,"+100")))))</f>
        <v>71-100</v>
      </c>
      <c r="DD1126">
        <v>1</v>
      </c>
      <c r="DE1126">
        <v>1</v>
      </c>
      <c r="DF1126">
        <v>0</v>
      </c>
      <c r="DG1126">
        <v>1</v>
      </c>
      <c r="DI1126">
        <f>SUM(DD1126:DG1126)</f>
        <v>3</v>
      </c>
      <c r="DJ1126" t="str">
        <f>IF(DI1126=1,INDEX($DD$7:$DG$7,MATCH(1,$DD1126:$DG1126,0)),"mixedProduct")</f>
        <v>mixedProduct</v>
      </c>
      <c r="DK1126" t="str">
        <f>IF(DD1126=1,DK$7,0)</f>
        <v>Upstream</v>
      </c>
      <c r="DL1126" t="str">
        <f>IF(DE1126=1,DL$7,0)</f>
        <v>Energy</v>
      </c>
      <c r="DM1126">
        <f>IF(DF1126=1,DM$7,0)</f>
        <v>0</v>
      </c>
      <c r="DN1126" t="str">
        <f>IF(DG1126=1,DN$7,0)</f>
        <v>Timber</v>
      </c>
      <c r="DO1126">
        <v>0</v>
      </c>
      <c r="DP1126" s="143">
        <v>0</v>
      </c>
      <c r="DQ1126" s="143">
        <v>0</v>
      </c>
      <c r="DR1126">
        <v>0</v>
      </c>
      <c r="DS1126" s="143">
        <v>0</v>
      </c>
      <c r="DT1126">
        <f>SUM(DO1126:DP1126)</f>
        <v>0</v>
      </c>
      <c r="DU1126" s="143" t="str">
        <f>IF(DO1126=1,"self-calculated DF",IF(DP1126=1,"external DF used","explicit C balance"))</f>
        <v>explicit C balance</v>
      </c>
      <c r="DV1126" s="143">
        <v>0</v>
      </c>
      <c r="DW1126" s="143">
        <v>1</v>
      </c>
      <c r="DX1126" s="143">
        <v>1</v>
      </c>
      <c r="DY1126" s="143">
        <v>1</v>
      </c>
      <c r="DZ1126">
        <v>1</v>
      </c>
      <c r="EA1126" s="143">
        <v>0</v>
      </c>
      <c r="EB1126" s="143">
        <v>1</v>
      </c>
      <c r="EC1126" s="143">
        <v>1</v>
      </c>
      <c r="ED1126" s="143">
        <v>1</v>
      </c>
      <c r="EE1126">
        <v>0</v>
      </c>
      <c r="EF1126">
        <v>1</v>
      </c>
      <c r="EG1126" s="143">
        <v>1</v>
      </c>
      <c r="EH1126">
        <v>0</v>
      </c>
      <c r="EI1126" s="2">
        <v>0</v>
      </c>
      <c r="EK1126" t="str">
        <f>IF(AND(AND(AND(OR($DX1126=1,$DW1126=1),OR($EC1126=1,$EA1126=1)),SUM($DV1126:$DZ1126,$EF1126)&gt;=4),SUM($EA1126:$EE1126)&gt;=2),"Whole sector","")</f>
        <v>Whole sector</v>
      </c>
      <c r="EL1126" t="str">
        <f>IF(AND(AND(OR($DX1126=1,$DW1126=1),AND($EC1126=0,$EA1126=0)),SUM($DV1126:$DZ1126,$EF1126)&gt;=4),"Ecosystem approach","")</f>
        <v/>
      </c>
      <c r="EM1126" s="2" t="str">
        <f>IF(AND(AND(AND($DX1126=0,$DW1126=0),OR($EC1126=1,$EA1126=1)),SUM($EB1126:$EE1126)&gt;=2),"Technology approach","")</f>
        <v/>
      </c>
      <c r="EP1126" t="b">
        <f>IF(ISNUMBER(BU1126),IF(ABS(BU1126-[1]QC_indicators!$B$2)&gt;3*[1]QC_indicators!$C$2,"C ratio",IF(ISNUMBER(BY1126),IF(ABS(BY1126-[1]QC_indicators!$B$1)&gt;3*[1]QC_indicators!$C$1,"DF","no"))),IF(ISNUMBER(BY1126),IF(ABS(BY1126-[1]QC_indicators!$B$1)&gt;3*[1]QC_indicators!$C$1,"DF","no")))</f>
        <v>0</v>
      </c>
      <c r="ER1126" t="s">
        <v>860</v>
      </c>
      <c r="ET1126" s="264" t="s">
        <v>3151</v>
      </c>
    </row>
    <row r="1127" spans="1:150" ht="15" customHeight="1">
      <c r="A1127" s="1" t="s">
        <v>848</v>
      </c>
      <c r="B1127" t="s">
        <v>849</v>
      </c>
      <c r="C1127" t="s">
        <v>850</v>
      </c>
      <c r="D1127" t="s">
        <v>851</v>
      </c>
      <c r="E1127" t="s">
        <v>852</v>
      </c>
      <c r="F1127" t="s">
        <v>853</v>
      </c>
      <c r="G1127" t="s">
        <v>854</v>
      </c>
      <c r="H1127" t="s">
        <v>254</v>
      </c>
      <c r="I1127">
        <v>2020</v>
      </c>
      <c r="J1127">
        <v>5</v>
      </c>
      <c r="K1127" t="s">
        <v>855</v>
      </c>
      <c r="M1127" t="str">
        <f>LEFT($D1127,FIND(",",$D1127)-1)&amp;"_"&amp;I1127&amp;L1127</f>
        <v>Lan_2020</v>
      </c>
      <c r="N1127" t="s">
        <v>222</v>
      </c>
      <c r="O1127" s="145" t="s">
        <v>225</v>
      </c>
      <c r="Q1127" t="s">
        <v>256</v>
      </c>
      <c r="R1127" s="262" t="s">
        <v>223</v>
      </c>
      <c r="S1127" s="1" t="s">
        <v>869</v>
      </c>
      <c r="T1127" t="s">
        <v>870</v>
      </c>
      <c r="U1127" t="s">
        <v>871</v>
      </c>
      <c r="V1127">
        <v>0</v>
      </c>
      <c r="W1127">
        <v>0</v>
      </c>
      <c r="X1127">
        <v>0</v>
      </c>
      <c r="Y1127">
        <v>0</v>
      </c>
      <c r="Z1127">
        <v>0</v>
      </c>
      <c r="AA1127">
        <v>0</v>
      </c>
      <c r="AB1127">
        <v>0</v>
      </c>
      <c r="AC1127">
        <v>0</v>
      </c>
      <c r="AD1127">
        <v>0</v>
      </c>
      <c r="AE1127">
        <v>0</v>
      </c>
      <c r="AF1127">
        <v>1</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s="141">
        <f>COUNTIF(V1127:AW1127,"&lt;&gt;0")</f>
        <v>1</v>
      </c>
      <c r="AY1127" s="141">
        <f>COUNTIF(V1127:AL1127,"&lt;&gt;0")</f>
        <v>1</v>
      </c>
      <c r="AZ1127">
        <f>COUNTIF(V1127:AC1127,"&lt;&gt;0")</f>
        <v>0</v>
      </c>
      <c r="BA1127">
        <f>COUNTIF(AD1127:AI1127,"&lt;&gt;0")</f>
        <v>1</v>
      </c>
      <c r="BB1127">
        <f>COUNTIF(AJ1127:AL1127,"&lt;&gt;0")</f>
        <v>0</v>
      </c>
      <c r="BC1127">
        <f>COUNTIF(AS1127:AW1127,"&lt;&gt;0")</f>
        <v>0</v>
      </c>
      <c r="BD1127">
        <f>COUNTIF(AM1127:AR1127,"&lt;&gt;0")</f>
        <v>0</v>
      </c>
      <c r="BE1127" t="str">
        <f t="array" ref="BE1127">IF(AY1127=1,INDEX($V$7:$AL$7,MATCH(TRUE,INDEX($V1127:$AW1127&lt;&gt;0,),0)),IF(AY1127=0,INDEX($AM$7:$AW$7,MATCH(1,$AM1127:$AW1127,0)),IF(BF1127="Multiple strategies","mixed drivers",IF(BF1127="Supply chain","multiple supply","multiple silviculture"))))</f>
        <v>supply chain organization</v>
      </c>
      <c r="BF1127" s="2" t="str" cm="1">
        <f t="array" ref="BF1127">IF(COUNTIF(AZ1127:BB1127,"&lt;&gt;0")=1,INDEX($V$4:$AW$4,MATCH(TRUE,INDEX($V1127:$AW1127&lt;&gt;0,),0)),IF(COUNTIF(AZ1127:BB1127,"&lt;&gt;0")=0,INDEX($AM$4:$AW$4,MATCH(1,$AM1127:$AW1127,0)),"Multiple strategies"))</f>
        <v>Supply chain</v>
      </c>
      <c r="BG1127" s="142"/>
      <c r="BH1127" s="264"/>
      <c r="BI1127" s="264"/>
      <c r="BJ1127" s="143"/>
      <c r="BL1127" s="143"/>
      <c r="BM1127" s="163"/>
      <c r="BO1127" s="159"/>
      <c r="BP1127" t="s">
        <v>232</v>
      </c>
      <c r="BQ1127" s="153" t="s">
        <v>429</v>
      </c>
      <c r="BR1127" t="s">
        <v>859</v>
      </c>
      <c r="BS1127">
        <v>1266.0550000000001</v>
      </c>
      <c r="BT1127">
        <v>1124.77</v>
      </c>
      <c r="BU1127" s="144">
        <f>IFERROR(BS1127/BT1127,"")</f>
        <v>1.1256123474132491</v>
      </c>
      <c r="BV1127">
        <f>BS1127-BT1127</f>
        <v>141.28500000000008</v>
      </c>
      <c r="BX1127">
        <f>BV1127</f>
        <v>141.28500000000008</v>
      </c>
      <c r="BY1127" t="str">
        <f>IFERROR(BX1127/BO1127,"")</f>
        <v/>
      </c>
      <c r="BZ1127">
        <v>0</v>
      </c>
      <c r="CA1127">
        <v>0</v>
      </c>
      <c r="CB1127">
        <v>0</v>
      </c>
      <c r="CC1127">
        <v>0</v>
      </c>
      <c r="CD1127">
        <v>0</v>
      </c>
      <c r="CE1127">
        <v>0</v>
      </c>
      <c r="CF1127">
        <v>0</v>
      </c>
      <c r="CG1127">
        <v>0</v>
      </c>
      <c r="CH1127">
        <v>0</v>
      </c>
      <c r="CI1127">
        <v>0</v>
      </c>
      <c r="CJ1127">
        <v>0</v>
      </c>
      <c r="CK1127">
        <v>0</v>
      </c>
      <c r="CL1127">
        <v>0</v>
      </c>
      <c r="CM1127">
        <v>0</v>
      </c>
      <c r="CN1127" t="str">
        <f>IF(BL1127&lt;BK1127,"refNeedCorrection","refOK")</f>
        <v>refOK</v>
      </c>
      <c r="CO1127"/>
      <c r="CP1127"/>
      <c r="CQ1127"/>
      <c r="CR1127">
        <f>IF($CN1127="refOK",$BT1127,$BS1127)*IF($BP1127="Emissions positive",-1,1)</f>
        <v>1124.77</v>
      </c>
      <c r="CS1127">
        <f>IF($CN1127="refOK",$BS1127,$BT1127)*IF($BP1127="Emissions positive",-1,1)</f>
        <v>1266.0550000000001</v>
      </c>
      <c r="CT1127">
        <f>IF($CN1127="refNeedCorrection",-BX1127,BX1127)*IF($BP1127="Emissions positive",-1,1)</f>
        <v>141.28500000000008</v>
      </c>
      <c r="CU1127" t="str">
        <f>IFERROR(CT1127/CQ1127,"")</f>
        <v/>
      </c>
      <c r="CV1127" s="2">
        <f>IFERROR((CS1127-CR1127)/ABS(CR1127),"")</f>
        <v>0.125612347413249</v>
      </c>
      <c r="CW1127" s="1" t="s">
        <v>234</v>
      </c>
      <c r="CX1127" t="str">
        <f>IF(OR($CW1127="prd",$CW1127="std",$CW1127="cit"),"loc",IF(OR($CW1127="eur",$CW1127="reg",$CW1127="coy"),"reg",$CW1127))</f>
        <v>loc</v>
      </c>
      <c r="CY1127" t="s">
        <v>428</v>
      </c>
      <c r="CZ1127">
        <v>2021</v>
      </c>
      <c r="DA1127" s="143">
        <v>2120</v>
      </c>
      <c r="DB1127" s="143">
        <v>100</v>
      </c>
      <c r="DC1127" t="str">
        <f>IF(DB1127=0,"0",IF(AND(DB1127&gt;=1,DB1127&lt;=30),"1-30",IF(AND(DB1127&gt;30,DB1127&lt;=70),"31-70",IF(AND(DB1127&gt;70,DB1127&lt;=100),"71-100",IF(DB1127&gt;100,"+100")))))</f>
        <v>71-100</v>
      </c>
      <c r="DD1127">
        <v>0</v>
      </c>
      <c r="DE1127">
        <v>1</v>
      </c>
      <c r="DF1127">
        <v>0</v>
      </c>
      <c r="DG1127">
        <v>0</v>
      </c>
      <c r="DI1127">
        <f>SUM(DD1127:DG1127)</f>
        <v>1</v>
      </c>
      <c r="DJ1127" t="str">
        <f>IF(DI1127=1,INDEX($DD$7:$DG$7,MATCH(1,$DD1127:$DG1127,0)),"mixedProduct")</f>
        <v>EnergyInput</v>
      </c>
      <c r="DK1127">
        <f>IF(DD1127=1,DK$7,0)</f>
        <v>0</v>
      </c>
      <c r="DL1127" t="str">
        <f>IF(DE1127=1,DL$7,0)</f>
        <v>Energy</v>
      </c>
      <c r="DM1127">
        <f>IF(DF1127=1,DM$7,0)</f>
        <v>0</v>
      </c>
      <c r="DN1127">
        <f>IF(DG1127=1,DN$7,0)</f>
        <v>0</v>
      </c>
      <c r="DO1127">
        <v>0</v>
      </c>
      <c r="DP1127" s="143">
        <v>0</v>
      </c>
      <c r="DQ1127" s="143">
        <v>0</v>
      </c>
      <c r="DR1127">
        <v>0</v>
      </c>
      <c r="DS1127" s="143">
        <v>0</v>
      </c>
      <c r="DT1127">
        <f>SUM(DO1127:DP1127)</f>
        <v>0</v>
      </c>
      <c r="DU1127" s="143" t="str">
        <f>IF(DO1127=1,"self-calculated DF",IF(DP1127=1,"external DF used","explicit C balance"))</f>
        <v>explicit C balance</v>
      </c>
      <c r="DV1127" s="143">
        <v>0</v>
      </c>
      <c r="DW1127" s="143">
        <v>1</v>
      </c>
      <c r="DX1127" s="143">
        <v>1</v>
      </c>
      <c r="DY1127" s="143">
        <v>1</v>
      </c>
      <c r="DZ1127">
        <v>1</v>
      </c>
      <c r="EA1127" s="143">
        <v>0</v>
      </c>
      <c r="EB1127" s="143">
        <v>1</v>
      </c>
      <c r="EC1127" s="143">
        <v>1</v>
      </c>
      <c r="ED1127" s="143">
        <v>1</v>
      </c>
      <c r="EE1127">
        <v>0</v>
      </c>
      <c r="EF1127">
        <v>1</v>
      </c>
      <c r="EG1127" s="143">
        <v>1</v>
      </c>
      <c r="EH1127">
        <v>0</v>
      </c>
      <c r="EI1127" s="2">
        <v>0</v>
      </c>
      <c r="EK1127" t="str">
        <f>IF(AND(AND(AND(OR($DX1127=1,$DW1127=1),OR($EC1127=1,$EA1127=1)),SUM($DV1127:$DZ1127,$EF1127)&gt;=4),SUM($EA1127:$EE1127)&gt;=2),"Whole sector","")</f>
        <v>Whole sector</v>
      </c>
      <c r="EL1127" t="str">
        <f>IF(AND(AND(OR($DX1127=1,$DW1127=1),AND($EC1127=0,$EA1127=0)),SUM($DV1127:$DZ1127,$EF1127)&gt;=4),"Ecosystem approach","")</f>
        <v/>
      </c>
      <c r="EM1127" s="2" t="str">
        <f>IF(AND(AND(AND($DX1127=0,$DW1127=0),OR($EC1127=1,$EA1127=1)),SUM($EB1127:$EE1127)&gt;=2),"Technology approach","")</f>
        <v/>
      </c>
      <c r="EP1127" t="b">
        <f>IF(ISNUMBER(BU1127),IF(ABS(BU1127-[1]QC_indicators!$B$2)&gt;3*[1]QC_indicators!$C$2,"C ratio",IF(ISNUMBER(BY1127),IF(ABS(BY1127-[1]QC_indicators!$B$1)&gt;3*[1]QC_indicators!$C$1,"DF","no"))),IF(ISNUMBER(BY1127),IF(ABS(BY1127-[1]QC_indicators!$B$1)&gt;3*[1]QC_indicators!$C$1,"DF","no")))</f>
        <v>0</v>
      </c>
      <c r="ER1127" s="264" t="s">
        <v>3152</v>
      </c>
      <c r="ET1127" s="264" t="s">
        <v>3153</v>
      </c>
    </row>
    <row r="1128" spans="1:150" ht="15" customHeight="1">
      <c r="A1128" s="1" t="s">
        <v>848</v>
      </c>
      <c r="B1128" t="s">
        <v>849</v>
      </c>
      <c r="C1128" t="s">
        <v>850</v>
      </c>
      <c r="D1128" t="s">
        <v>851</v>
      </c>
      <c r="E1128" t="s">
        <v>852</v>
      </c>
      <c r="F1128" t="s">
        <v>853</v>
      </c>
      <c r="G1128" t="s">
        <v>854</v>
      </c>
      <c r="H1128" t="s">
        <v>254</v>
      </c>
      <c r="I1128">
        <v>2020</v>
      </c>
      <c r="J1128">
        <v>5</v>
      </c>
      <c r="K1128" t="s">
        <v>855</v>
      </c>
      <c r="M1128" t="str">
        <f>LEFT($D1128,FIND(",",$D1128)-1)&amp;"_"&amp;I1128&amp;L1128</f>
        <v>Lan_2020</v>
      </c>
      <c r="N1128" t="s">
        <v>222</v>
      </c>
      <c r="O1128" s="145" t="s">
        <v>225</v>
      </c>
      <c r="Q1128" t="s">
        <v>256</v>
      </c>
      <c r="R1128" s="262" t="s">
        <v>223</v>
      </c>
      <c r="S1128" s="1" t="s">
        <v>869</v>
      </c>
      <c r="T1128" t="s">
        <v>872</v>
      </c>
      <c r="U1128" t="s">
        <v>873</v>
      </c>
      <c r="V1128">
        <v>0</v>
      </c>
      <c r="W1128">
        <v>0</v>
      </c>
      <c r="X1128">
        <v>0</v>
      </c>
      <c r="Y1128">
        <v>0</v>
      </c>
      <c r="Z1128">
        <v>0</v>
      </c>
      <c r="AA1128">
        <v>0</v>
      </c>
      <c r="AB1128">
        <v>0</v>
      </c>
      <c r="AC1128">
        <v>0</v>
      </c>
      <c r="AD1128">
        <v>0</v>
      </c>
      <c r="AE1128">
        <v>0</v>
      </c>
      <c r="AF1128">
        <v>1</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s="141">
        <f>COUNTIF(V1128:AW1128,"&lt;&gt;0")</f>
        <v>1</v>
      </c>
      <c r="AY1128" s="141">
        <f>COUNTIF(V1128:AL1128,"&lt;&gt;0")</f>
        <v>1</v>
      </c>
      <c r="AZ1128">
        <f>COUNTIF(V1128:AC1128,"&lt;&gt;0")</f>
        <v>0</v>
      </c>
      <c r="BA1128">
        <f>COUNTIF(AD1128:AI1128,"&lt;&gt;0")</f>
        <v>1</v>
      </c>
      <c r="BB1128">
        <f>COUNTIF(AJ1128:AL1128,"&lt;&gt;0")</f>
        <v>0</v>
      </c>
      <c r="BC1128">
        <f>COUNTIF(AS1128:AW1128,"&lt;&gt;0")</f>
        <v>0</v>
      </c>
      <c r="BD1128">
        <f>COUNTIF(AM1128:AR1128,"&lt;&gt;0")</f>
        <v>0</v>
      </c>
      <c r="BE1128" t="str">
        <f t="array" ref="BE1128">IF(AY1128=1,INDEX($V$7:$AL$7,MATCH(TRUE,INDEX($V1128:$AW1128&lt;&gt;0,),0)),IF(AY1128=0,INDEX($AM$7:$AW$7,MATCH(1,$AM1128:$AW1128,0)),IF(BF1128="Multiple strategies","mixed drivers",IF(BF1128="Supply chain","multiple supply","multiple silviculture"))))</f>
        <v>supply chain organization</v>
      </c>
      <c r="BF1128" s="2" t="str" cm="1">
        <f t="array" ref="BF1128">IF(COUNTIF(AZ1128:BB1128,"&lt;&gt;0")=1,INDEX($V$4:$AW$4,MATCH(TRUE,INDEX($V1128:$AW1128&lt;&gt;0,),0)),IF(COUNTIF(AZ1128:BB1128,"&lt;&gt;0")=0,INDEX($AM$4:$AW$4,MATCH(1,$AM1128:$AW1128,0)),"Multiple strategies"))</f>
        <v>Supply chain</v>
      </c>
      <c r="BG1128" s="142"/>
      <c r="BH1128" s="264"/>
      <c r="BI1128" s="264"/>
      <c r="BJ1128" s="143"/>
      <c r="BL1128" s="143"/>
      <c r="BM1128" s="163"/>
      <c r="BO1128" s="159"/>
      <c r="BP1128" t="s">
        <v>232</v>
      </c>
      <c r="BQ1128" s="153" t="s">
        <v>429</v>
      </c>
      <c r="BR1128" t="s">
        <v>859</v>
      </c>
      <c r="BS1128">
        <v>1291.7429999999999</v>
      </c>
      <c r="BT1128">
        <v>1150.4580000000001</v>
      </c>
      <c r="BU1128" s="144">
        <f>IFERROR(BS1128/BT1128,"")</f>
        <v>1.1228076122726773</v>
      </c>
      <c r="BV1128">
        <f>BS1128-BT1128</f>
        <v>141.28499999999985</v>
      </c>
      <c r="BX1128">
        <f>BV1128</f>
        <v>141.28499999999985</v>
      </c>
      <c r="BY1128" t="str">
        <f>IFERROR(BX1128/BO1128,"")</f>
        <v/>
      </c>
      <c r="BZ1128">
        <v>0</v>
      </c>
      <c r="CA1128">
        <v>0</v>
      </c>
      <c r="CB1128">
        <v>0</v>
      </c>
      <c r="CC1128">
        <v>0</v>
      </c>
      <c r="CD1128">
        <v>0</v>
      </c>
      <c r="CE1128">
        <v>0</v>
      </c>
      <c r="CF1128">
        <v>0</v>
      </c>
      <c r="CG1128">
        <v>0</v>
      </c>
      <c r="CH1128">
        <v>0</v>
      </c>
      <c r="CI1128">
        <v>0</v>
      </c>
      <c r="CJ1128">
        <v>0</v>
      </c>
      <c r="CK1128">
        <v>0</v>
      </c>
      <c r="CL1128">
        <v>0</v>
      </c>
      <c r="CM1128">
        <v>0</v>
      </c>
      <c r="CN1128" t="str">
        <f>IF($BL1128&lt;$BK1128,"refNeedCorrection","refOK")</f>
        <v>refOK</v>
      </c>
      <c r="CO1128"/>
      <c r="CP1128"/>
      <c r="CQ1128"/>
      <c r="CR1128">
        <f>IF($CN1128="refOK",$BT1128,$BS1128)*IF($BP1128="Emissions positive",-1,1)</f>
        <v>1150.4580000000001</v>
      </c>
      <c r="CS1128">
        <f>IF($CN1128="refOK",$BS1128,$BT1128)*IF($BP1128="Emissions positive",-1,1)</f>
        <v>1291.7429999999999</v>
      </c>
      <c r="CT1128">
        <f>IF($CN1128="refNeedCorrection",-BX1128,BX1128)*IF($BP1128="Emissions positive",-1,1)</f>
        <v>141.28499999999985</v>
      </c>
      <c r="CU1128" t="str">
        <f>IFERROR(CT1128/CQ1128,"")</f>
        <v/>
      </c>
      <c r="CV1128" s="2">
        <f>IFERROR((CS1128-CR1128)/ABS(CR1128),"")</f>
        <v>0.12280761227267735</v>
      </c>
      <c r="CW1128" s="1" t="s">
        <v>234</v>
      </c>
      <c r="CX1128" t="str">
        <f>IF(OR($CW1128="prd",$CW1128="std",$CW1128="cit"),"loc",IF(OR($CW1128="eur",$CW1128="reg",$CW1128="coy"),"reg",$CW1128))</f>
        <v>loc</v>
      </c>
      <c r="CY1128" t="s">
        <v>428</v>
      </c>
      <c r="CZ1128">
        <v>2021</v>
      </c>
      <c r="DA1128" s="143">
        <v>2120</v>
      </c>
      <c r="DB1128" s="143">
        <v>100</v>
      </c>
      <c r="DC1128" t="str">
        <f>IF(DB1128=0,"0",IF(AND(DB1128&gt;=1,DB1128&lt;=30),"1-30",IF(AND(DB1128&gt;30,DB1128&lt;=70),"31-70",IF(AND(DB1128&gt;70,DB1128&lt;=100),"71-100",IF(DB1128&gt;100,"+100")))))</f>
        <v>71-100</v>
      </c>
      <c r="DD1128">
        <v>0</v>
      </c>
      <c r="DE1128">
        <v>1</v>
      </c>
      <c r="DF1128">
        <v>0</v>
      </c>
      <c r="DG1128">
        <v>0</v>
      </c>
      <c r="DI1128">
        <f>SUM(DD1128:DG1128)</f>
        <v>1</v>
      </c>
      <c r="DJ1128" t="str">
        <f>IF(DI1128=1,INDEX($DD$7:$DG$7,MATCH(1,$DD1128:$DG1128,0)),"mixedProduct")</f>
        <v>EnergyInput</v>
      </c>
      <c r="DK1128">
        <f>IF(DD1128=1,DK$7,0)</f>
        <v>0</v>
      </c>
      <c r="DL1128" t="str">
        <f>IF(DE1128=1,DL$7,0)</f>
        <v>Energy</v>
      </c>
      <c r="DM1128">
        <f>IF(DF1128=1,DM$7,0)</f>
        <v>0</v>
      </c>
      <c r="DN1128">
        <f>IF(DG1128=1,DN$7,0)</f>
        <v>0</v>
      </c>
      <c r="DO1128">
        <v>0</v>
      </c>
      <c r="DP1128" s="143">
        <v>0</v>
      </c>
      <c r="DQ1128" s="143">
        <v>0</v>
      </c>
      <c r="DR1128">
        <v>0</v>
      </c>
      <c r="DS1128" s="143">
        <v>0</v>
      </c>
      <c r="DT1128">
        <f>SUM(DO1128:DP1128)</f>
        <v>0</v>
      </c>
      <c r="DU1128" s="143" t="str">
        <f>IF(DO1128=1,"self-calculated DF",IF(DP1128=1,"external DF used","explicit C balance"))</f>
        <v>explicit C balance</v>
      </c>
      <c r="DV1128" s="143">
        <v>0</v>
      </c>
      <c r="DW1128" s="143">
        <v>1</v>
      </c>
      <c r="DX1128" s="143">
        <v>1</v>
      </c>
      <c r="DY1128" s="143">
        <v>1</v>
      </c>
      <c r="DZ1128">
        <v>1</v>
      </c>
      <c r="EA1128" s="143">
        <v>0</v>
      </c>
      <c r="EB1128" s="143">
        <v>1</v>
      </c>
      <c r="EC1128" s="143">
        <v>1</v>
      </c>
      <c r="ED1128" s="143">
        <v>1</v>
      </c>
      <c r="EE1128">
        <v>0</v>
      </c>
      <c r="EF1128">
        <v>1</v>
      </c>
      <c r="EG1128" s="143">
        <v>1</v>
      </c>
      <c r="EH1128">
        <v>0</v>
      </c>
      <c r="EI1128" s="2">
        <v>0</v>
      </c>
      <c r="EK1128" t="str">
        <f>IF(AND(AND(AND(OR($DX1128=1,$DW1128=1),OR($EC1128=1,$EA1128=1)),SUM($DV1128:$DZ1128,$EF1128)&gt;=4),SUM($EA1128:$EE1128)&gt;=2),"Whole sector","")</f>
        <v>Whole sector</v>
      </c>
      <c r="EL1128" t="str">
        <f>IF(AND(AND(OR($DX1128=1,$DW1128=1),AND($EC1128=0,$EA1128=0)),SUM($DV1128:$DZ1128,$EF1128)&gt;=4),"Ecosystem approach","")</f>
        <v/>
      </c>
      <c r="EM1128" s="2" t="str">
        <f>IF(AND(AND(AND($DX1128=0,$DW1128=0),OR($EC1128=1,$EA1128=1)),SUM($EB1128:$EE1128)&gt;=2),"Technology approach","")</f>
        <v/>
      </c>
      <c r="EP1128" t="b">
        <f>IF(ISNUMBER(BU1128),IF(ABS(BU1128-[1]QC_indicators!$B$2)&gt;3*[1]QC_indicators!$C$2,"C ratio",IF(ISNUMBER(BY1128),IF(ABS(BY1128-[1]QC_indicators!$B$1)&gt;3*[1]QC_indicators!$C$1,"DF","no"))),IF(ISNUMBER(BY1128),IF(ABS(BY1128-[1]QC_indicators!$B$1)&gt;3*[1]QC_indicators!$C$1,"DF","no")))</f>
        <v>0</v>
      </c>
      <c r="ER1128" s="264" t="s">
        <v>3152</v>
      </c>
      <c r="ET1128" s="264" t="s">
        <v>3153</v>
      </c>
    </row>
    <row r="1129" spans="1:150" ht="15" customHeight="1">
      <c r="A1129" s="1" t="s">
        <v>848</v>
      </c>
      <c r="B1129" t="s">
        <v>849</v>
      </c>
      <c r="C1129" t="s">
        <v>850</v>
      </c>
      <c r="D1129" t="s">
        <v>851</v>
      </c>
      <c r="E1129" t="s">
        <v>852</v>
      </c>
      <c r="F1129" t="s">
        <v>853</v>
      </c>
      <c r="G1129" t="s">
        <v>854</v>
      </c>
      <c r="H1129" t="s">
        <v>254</v>
      </c>
      <c r="I1129">
        <v>2020</v>
      </c>
      <c r="J1129">
        <v>5</v>
      </c>
      <c r="K1129" t="s">
        <v>855</v>
      </c>
      <c r="M1129" t="str">
        <f>LEFT($D1129,FIND(",",$D1129)-1)&amp;"_"&amp;I1129&amp;L1129</f>
        <v>Lan_2020</v>
      </c>
      <c r="N1129" t="s">
        <v>222</v>
      </c>
      <c r="O1129" s="145" t="s">
        <v>225</v>
      </c>
      <c r="Q1129" t="s">
        <v>256</v>
      </c>
      <c r="R1129" s="262" t="s">
        <v>223</v>
      </c>
      <c r="S1129" s="1" t="s">
        <v>869</v>
      </c>
      <c r="T1129" t="s">
        <v>874</v>
      </c>
      <c r="U1129" t="s">
        <v>875</v>
      </c>
      <c r="V1129">
        <v>0</v>
      </c>
      <c r="W1129">
        <v>0</v>
      </c>
      <c r="X1129">
        <v>0</v>
      </c>
      <c r="Y1129">
        <v>0</v>
      </c>
      <c r="Z1129">
        <v>0</v>
      </c>
      <c r="AA1129">
        <v>0</v>
      </c>
      <c r="AB1129">
        <v>0</v>
      </c>
      <c r="AC1129">
        <v>0</v>
      </c>
      <c r="AD1129">
        <v>0</v>
      </c>
      <c r="AE1129">
        <v>0</v>
      </c>
      <c r="AF1129">
        <v>1</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s="141">
        <f>COUNTIF(V1129:AW1129,"&lt;&gt;0")</f>
        <v>1</v>
      </c>
      <c r="AY1129" s="141">
        <f>COUNTIF(V1129:AL1129,"&lt;&gt;0")</f>
        <v>1</v>
      </c>
      <c r="AZ1129">
        <f>COUNTIF(V1129:AC1129,"&lt;&gt;0")</f>
        <v>0</v>
      </c>
      <c r="BA1129">
        <f>COUNTIF(AD1129:AI1129,"&lt;&gt;0")</f>
        <v>1</v>
      </c>
      <c r="BB1129">
        <f>COUNTIF(AJ1129:AL1129,"&lt;&gt;0")</f>
        <v>0</v>
      </c>
      <c r="BC1129">
        <f>COUNTIF(AS1129:AW1129,"&lt;&gt;0")</f>
        <v>0</v>
      </c>
      <c r="BD1129">
        <f>COUNTIF(AM1129:AR1129,"&lt;&gt;0")</f>
        <v>0</v>
      </c>
      <c r="BE1129" t="str">
        <f t="array" ref="BE1129">IF(AY1129=1,INDEX($V$7:$AL$7,MATCH(TRUE,INDEX($V1129:$AW1129&lt;&gt;0,),0)),IF(AY1129=0,INDEX($AM$7:$AW$7,MATCH(1,$AM1129:$AW1129,0)),IF(BF1129="Multiple strategies","mixed drivers",IF(BF1129="Supply chain","multiple supply","multiple silviculture"))))</f>
        <v>supply chain organization</v>
      </c>
      <c r="BF1129" s="2" t="str" cm="1">
        <f t="array" ref="BF1129">IF(COUNTIF(AZ1129:BB1129,"&lt;&gt;0")=1,INDEX($V$4:$AW$4,MATCH(TRUE,INDEX($V1129:$AW1129&lt;&gt;0,),0)),IF(COUNTIF(AZ1129:BB1129,"&lt;&gt;0")=0,INDEX($AM$4:$AW$4,MATCH(1,$AM1129:$AW1129,0)),"Multiple strategies"))</f>
        <v>Supply chain</v>
      </c>
      <c r="BG1129" s="142"/>
      <c r="BH1129" s="264"/>
      <c r="BI1129" s="264"/>
      <c r="BJ1129" s="143"/>
      <c r="BL1129" s="143"/>
      <c r="BM1129" s="163"/>
      <c r="BO1129" s="159"/>
      <c r="BP1129" t="s">
        <v>232</v>
      </c>
      <c r="BQ1129" s="153" t="s">
        <v>429</v>
      </c>
      <c r="BR1129" t="s">
        <v>859</v>
      </c>
      <c r="BS1129">
        <v>816.51300000000003</v>
      </c>
      <c r="BT1129">
        <v>726.60500000000002</v>
      </c>
      <c r="BU1129" s="144">
        <f>IFERROR(BS1129/BT1129,"")</f>
        <v>1.1237371061305661</v>
      </c>
      <c r="BV1129">
        <f>BS1129-BT1129</f>
        <v>89.908000000000015</v>
      </c>
      <c r="BX1129">
        <f>BV1129</f>
        <v>89.908000000000015</v>
      </c>
      <c r="BY1129" t="str">
        <f>IFERROR(BX1129/BO1129,"")</f>
        <v/>
      </c>
      <c r="BZ1129">
        <v>0</v>
      </c>
      <c r="CA1129">
        <v>0</v>
      </c>
      <c r="CB1129">
        <v>0</v>
      </c>
      <c r="CC1129">
        <v>0</v>
      </c>
      <c r="CD1129">
        <v>0</v>
      </c>
      <c r="CE1129">
        <v>0</v>
      </c>
      <c r="CF1129">
        <v>0</v>
      </c>
      <c r="CG1129">
        <v>0</v>
      </c>
      <c r="CH1129">
        <v>0</v>
      </c>
      <c r="CI1129">
        <v>0</v>
      </c>
      <c r="CJ1129">
        <v>0</v>
      </c>
      <c r="CK1129">
        <v>0</v>
      </c>
      <c r="CL1129">
        <v>0</v>
      </c>
      <c r="CM1129">
        <v>0</v>
      </c>
      <c r="CN1129" t="str">
        <f>IF(BL1129&lt;BK1129,"refNeedCorrection","refOK")</f>
        <v>refOK</v>
      </c>
      <c r="CO1129"/>
      <c r="CP1129"/>
      <c r="CQ1129"/>
      <c r="CR1129">
        <f>IF($CN1129="refOK",$BT1129,$BS1129)*IF($BP1129="Emissions positive",-1,1)</f>
        <v>726.60500000000002</v>
      </c>
      <c r="CS1129">
        <f>IF($CN1129="refOK",$BS1129,$BT1129)*IF($BP1129="Emissions positive",-1,1)</f>
        <v>816.51300000000003</v>
      </c>
      <c r="CT1129">
        <f>IF($CN1129="refNeedCorrection",-BX1129,BX1129)*IF($BP1129="Emissions positive",-1,1)</f>
        <v>89.908000000000015</v>
      </c>
      <c r="CU1129" t="str">
        <f>IFERROR(CT1129/CQ1129,"")</f>
        <v/>
      </c>
      <c r="CV1129" s="2">
        <f>IFERROR((CS1129-CR1129)/ABS(CR1129),"")</f>
        <v>0.12373710613056614</v>
      </c>
      <c r="CW1129" s="1" t="s">
        <v>234</v>
      </c>
      <c r="CX1129" t="str">
        <f>IF(OR($CW1129="prd",$CW1129="std",$CW1129="cit"),"loc",IF(OR($CW1129="eur",$CW1129="reg",$CW1129="coy"),"reg",$CW1129))</f>
        <v>loc</v>
      </c>
      <c r="CY1129" t="s">
        <v>428</v>
      </c>
      <c r="CZ1129">
        <v>2021</v>
      </c>
      <c r="DA1129" s="143">
        <v>2120</v>
      </c>
      <c r="DB1129" s="143">
        <v>100</v>
      </c>
      <c r="DC1129" t="str">
        <f>IF(DB1129=0,"0",IF(AND(DB1129&gt;=1,DB1129&lt;=30),"1-30",IF(AND(DB1129&gt;30,DB1129&lt;=70),"31-70",IF(AND(DB1129&gt;70,DB1129&lt;=100),"71-100",IF(DB1129&gt;100,"+100")))))</f>
        <v>71-100</v>
      </c>
      <c r="DD1129">
        <v>0</v>
      </c>
      <c r="DE1129">
        <v>1</v>
      </c>
      <c r="DF1129">
        <v>0</v>
      </c>
      <c r="DG1129">
        <v>0</v>
      </c>
      <c r="DI1129">
        <f>SUM(DD1129:DG1129)</f>
        <v>1</v>
      </c>
      <c r="DJ1129" t="str">
        <f>IF(DI1129=1,INDEX($DD$7:$DG$7,MATCH(1,$DD1129:$DG1129,0)),"mixedProduct")</f>
        <v>EnergyInput</v>
      </c>
      <c r="DK1129">
        <f>IF(DD1129=1,DK$7,0)</f>
        <v>0</v>
      </c>
      <c r="DL1129" t="str">
        <f>IF(DE1129=1,DL$7,0)</f>
        <v>Energy</v>
      </c>
      <c r="DM1129">
        <f>IF(DF1129=1,DM$7,0)</f>
        <v>0</v>
      </c>
      <c r="DN1129">
        <f>IF(DG1129=1,DN$7,0)</f>
        <v>0</v>
      </c>
      <c r="DO1129">
        <v>0</v>
      </c>
      <c r="DP1129" s="143">
        <v>0</v>
      </c>
      <c r="DQ1129" s="143">
        <v>0</v>
      </c>
      <c r="DR1129">
        <v>0</v>
      </c>
      <c r="DS1129" s="143">
        <v>0</v>
      </c>
      <c r="DT1129">
        <f>SUM(DO1129:DP1129)</f>
        <v>0</v>
      </c>
      <c r="DU1129" s="143" t="str">
        <f>IF(DO1129=1,"self-calculated DF",IF(DP1129=1,"external DF used","explicit C balance"))</f>
        <v>explicit C balance</v>
      </c>
      <c r="DV1129" s="143">
        <v>0</v>
      </c>
      <c r="DW1129" s="143">
        <v>1</v>
      </c>
      <c r="DX1129" s="143">
        <v>1</v>
      </c>
      <c r="DY1129" s="143">
        <v>1</v>
      </c>
      <c r="DZ1129">
        <v>1</v>
      </c>
      <c r="EA1129" s="143">
        <v>0</v>
      </c>
      <c r="EB1129" s="143">
        <v>1</v>
      </c>
      <c r="EC1129" s="143">
        <v>1</v>
      </c>
      <c r="ED1129" s="143">
        <v>1</v>
      </c>
      <c r="EE1129">
        <v>0</v>
      </c>
      <c r="EF1129">
        <v>1</v>
      </c>
      <c r="EG1129" s="143">
        <v>1</v>
      </c>
      <c r="EH1129">
        <v>0</v>
      </c>
      <c r="EI1129" s="2">
        <v>0</v>
      </c>
      <c r="EK1129" t="str">
        <f>IF(AND(AND(AND(OR($DX1129=1,$DW1129=1),OR($EC1129=1,$EA1129=1)),SUM($DV1129:$DZ1129,$EF1129)&gt;=4),SUM($EA1129:$EE1129)&gt;=2),"Whole sector","")</f>
        <v>Whole sector</v>
      </c>
      <c r="EL1129" t="str">
        <f>IF(AND(AND(OR($DX1129=1,$DW1129=1),AND($EC1129=0,$EA1129=0)),SUM($DV1129:$DZ1129,$EF1129)&gt;=4),"Ecosystem approach","")</f>
        <v/>
      </c>
      <c r="EM1129" s="2" t="str">
        <f>IF(AND(AND(AND($DX1129=0,$DW1129=0),OR($EC1129=1,$EA1129=1)),SUM($EB1129:$EE1129)&gt;=2),"Technology approach","")</f>
        <v/>
      </c>
      <c r="EP1129" t="b">
        <f>IF(ISNUMBER(BU1129),IF(ABS(BU1129-[1]QC_indicators!$B$2)&gt;3*[1]QC_indicators!$C$2,"C ratio",IF(ISNUMBER(BY1129),IF(ABS(BY1129-[1]QC_indicators!$B$1)&gt;3*[1]QC_indicators!$C$1,"DF","no"))),IF(ISNUMBER(BY1129),IF(ABS(BY1129-[1]QC_indicators!$B$1)&gt;3*[1]QC_indicators!$C$1,"DF","no")))</f>
        <v>0</v>
      </c>
      <c r="ER1129" s="264" t="s">
        <v>3152</v>
      </c>
      <c r="ET1129" s="264" t="s">
        <v>3153</v>
      </c>
    </row>
    <row r="1130" spans="1:150" ht="15" customHeight="1">
      <c r="A1130" s="1" t="s">
        <v>848</v>
      </c>
      <c r="B1130" t="s">
        <v>849</v>
      </c>
      <c r="C1130" t="s">
        <v>850</v>
      </c>
      <c r="D1130" t="s">
        <v>851</v>
      </c>
      <c r="E1130" t="s">
        <v>852</v>
      </c>
      <c r="F1130" t="s">
        <v>853</v>
      </c>
      <c r="G1130" t="s">
        <v>854</v>
      </c>
      <c r="H1130" t="s">
        <v>254</v>
      </c>
      <c r="I1130">
        <v>2020</v>
      </c>
      <c r="J1130">
        <v>5</v>
      </c>
      <c r="K1130" t="s">
        <v>855</v>
      </c>
      <c r="M1130" t="str">
        <f>LEFT($D1130,FIND(",",$D1130)-1)&amp;"_"&amp;I1130&amp;L1130</f>
        <v>Lan_2020</v>
      </c>
      <c r="N1130" t="s">
        <v>222</v>
      </c>
      <c r="O1130" s="145" t="s">
        <v>225</v>
      </c>
      <c r="Q1130" t="s">
        <v>256</v>
      </c>
      <c r="R1130" s="262" t="s">
        <v>223</v>
      </c>
      <c r="S1130" s="1" t="s">
        <v>869</v>
      </c>
      <c r="T1130" t="s">
        <v>876</v>
      </c>
      <c r="U1130" t="s">
        <v>877</v>
      </c>
      <c r="V1130">
        <v>0</v>
      </c>
      <c r="W1130">
        <v>0</v>
      </c>
      <c r="X1130">
        <v>0</v>
      </c>
      <c r="Y1130">
        <v>0</v>
      </c>
      <c r="Z1130">
        <v>0</v>
      </c>
      <c r="AA1130">
        <v>0</v>
      </c>
      <c r="AB1130">
        <v>0</v>
      </c>
      <c r="AC1130">
        <v>0</v>
      </c>
      <c r="AD1130">
        <v>0</v>
      </c>
      <c r="AE1130">
        <v>0</v>
      </c>
      <c r="AF1130">
        <v>1</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s="141">
        <f>COUNTIF(V1130:AW1130,"&lt;&gt;0")</f>
        <v>1</v>
      </c>
      <c r="AY1130" s="141">
        <f>COUNTIF(V1130:AL1130,"&lt;&gt;0")</f>
        <v>1</v>
      </c>
      <c r="AZ1130">
        <f>COUNTIF(V1130:AC1130,"&lt;&gt;0")</f>
        <v>0</v>
      </c>
      <c r="BA1130">
        <f>COUNTIF(AD1130:AI1130,"&lt;&gt;0")</f>
        <v>1</v>
      </c>
      <c r="BB1130">
        <f>COUNTIF(AJ1130:AL1130,"&lt;&gt;0")</f>
        <v>0</v>
      </c>
      <c r="BC1130">
        <f>COUNTIF(AS1130:AW1130,"&lt;&gt;0")</f>
        <v>0</v>
      </c>
      <c r="BD1130">
        <f>COUNTIF(AM1130:AR1130,"&lt;&gt;0")</f>
        <v>0</v>
      </c>
      <c r="BE1130" t="str">
        <f t="array" ref="BE1130">IF(AY1130=1,INDEX($V$7:$AL$7,MATCH(TRUE,INDEX($V1130:$AW1130&lt;&gt;0,),0)),IF(AY1130=0,INDEX($AM$7:$AW$7,MATCH(1,$AM1130:$AW1130,0)),IF(BF1130="Multiple strategies","mixed drivers",IF(BF1130="Supply chain","multiple supply","multiple silviculture"))))</f>
        <v>supply chain organization</v>
      </c>
      <c r="BF1130" s="2" t="str" cm="1">
        <f t="array" ref="BF1130">IF(COUNTIF(AZ1130:BB1130,"&lt;&gt;0")=1,INDEX($V$4:$AW$4,MATCH(TRUE,INDEX($V1130:$AW1130&lt;&gt;0,),0)),IF(COUNTIF(AZ1130:BB1130,"&lt;&gt;0")=0,INDEX($AM$4:$AW$4,MATCH(1,$AM1130:$AW1130,0)),"Multiple strategies"))</f>
        <v>Supply chain</v>
      </c>
      <c r="BG1130" s="142"/>
      <c r="BH1130" s="264"/>
      <c r="BI1130" s="264"/>
      <c r="BJ1130" s="143"/>
      <c r="BL1130" s="143"/>
      <c r="BM1130" s="163"/>
      <c r="BO1130" s="159"/>
      <c r="BP1130" t="s">
        <v>232</v>
      </c>
      <c r="BQ1130" s="153" t="s">
        <v>429</v>
      </c>
      <c r="BR1130" t="s">
        <v>859</v>
      </c>
      <c r="BS1130">
        <v>829.35699999999997</v>
      </c>
      <c r="BT1130">
        <v>739.44899999999996</v>
      </c>
      <c r="BU1130" s="144">
        <f>IFERROR(BS1130/BT1130,"")</f>
        <v>1.1215878309389831</v>
      </c>
      <c r="BV1130">
        <f>BS1130-BT1130</f>
        <v>89.908000000000015</v>
      </c>
      <c r="BX1130">
        <f>BV1130</f>
        <v>89.908000000000015</v>
      </c>
      <c r="BY1130" t="str">
        <f>IFERROR(BX1130/BO1130,"")</f>
        <v/>
      </c>
      <c r="BZ1130">
        <v>0</v>
      </c>
      <c r="CA1130">
        <v>0</v>
      </c>
      <c r="CB1130">
        <v>0</v>
      </c>
      <c r="CC1130">
        <v>0</v>
      </c>
      <c r="CD1130">
        <v>0</v>
      </c>
      <c r="CE1130">
        <v>0</v>
      </c>
      <c r="CF1130">
        <v>0</v>
      </c>
      <c r="CG1130">
        <v>0</v>
      </c>
      <c r="CH1130">
        <v>0</v>
      </c>
      <c r="CI1130">
        <v>0</v>
      </c>
      <c r="CJ1130">
        <v>0</v>
      </c>
      <c r="CK1130">
        <v>0</v>
      </c>
      <c r="CL1130">
        <v>0</v>
      </c>
      <c r="CM1130">
        <v>0</v>
      </c>
      <c r="CN1130" t="str">
        <f>IF(BL1130&lt;BK1130,"refNeedCorrection","refOK")</f>
        <v>refOK</v>
      </c>
      <c r="CO1130"/>
      <c r="CP1130"/>
      <c r="CQ1130"/>
      <c r="CR1130">
        <f>IF($CN1130="refOK",$BT1130,$BS1130)*IF($BP1130="Emissions positive",-1,1)</f>
        <v>739.44899999999996</v>
      </c>
      <c r="CS1130">
        <f>IF($CN1130="refOK",$BS1130,$BT1130)*IF($BP1130="Emissions positive",-1,1)</f>
        <v>829.35699999999997</v>
      </c>
      <c r="CT1130">
        <f>IF($CN1130="refNeedCorrection",-BX1130,BX1130)*IF($BP1130="Emissions positive",-1,1)</f>
        <v>89.908000000000015</v>
      </c>
      <c r="CU1130" t="str">
        <f>IFERROR(CT1130/CQ1130,"")</f>
        <v/>
      </c>
      <c r="CV1130" s="2">
        <f>IFERROR((CS1130-CR1130)/ABS(CR1130),"")</f>
        <v>0.12158783093898297</v>
      </c>
      <c r="CW1130" s="1" t="s">
        <v>234</v>
      </c>
      <c r="CX1130" t="str">
        <f>IF(OR($CW1130="prd",$CW1130="std",$CW1130="cit"),"loc",IF(OR($CW1130="eur",$CW1130="reg",$CW1130="coy"),"reg",$CW1130))</f>
        <v>loc</v>
      </c>
      <c r="CY1130" t="s">
        <v>428</v>
      </c>
      <c r="CZ1130">
        <v>2021</v>
      </c>
      <c r="DA1130" s="143">
        <v>2120</v>
      </c>
      <c r="DB1130" s="143">
        <v>100</v>
      </c>
      <c r="DC1130" t="str">
        <f>IF(DB1130=0,"0",IF(AND(DB1130&gt;=1,DB1130&lt;=30),"1-30",IF(AND(DB1130&gt;30,DB1130&lt;=70),"31-70",IF(AND(DB1130&gt;70,DB1130&lt;=100),"71-100",IF(DB1130&gt;100,"+100")))))</f>
        <v>71-100</v>
      </c>
      <c r="DD1130">
        <v>0</v>
      </c>
      <c r="DE1130">
        <v>1</v>
      </c>
      <c r="DF1130">
        <v>0</v>
      </c>
      <c r="DG1130">
        <v>0</v>
      </c>
      <c r="DI1130">
        <f>SUM(DD1130:DG1130)</f>
        <v>1</v>
      </c>
      <c r="DJ1130" t="str">
        <f>IF(DI1130=1,INDEX($DD$7:$DG$7,MATCH(1,$DD1130:$DG1130,0)),"mixedProduct")</f>
        <v>EnergyInput</v>
      </c>
      <c r="DK1130">
        <f>IF(DD1130=1,DK$7,0)</f>
        <v>0</v>
      </c>
      <c r="DL1130" t="str">
        <f>IF(DE1130=1,DL$7,0)</f>
        <v>Energy</v>
      </c>
      <c r="DM1130">
        <f>IF(DF1130=1,DM$7,0)</f>
        <v>0</v>
      </c>
      <c r="DN1130">
        <f>IF(DG1130=1,DN$7,0)</f>
        <v>0</v>
      </c>
      <c r="DO1130">
        <v>0</v>
      </c>
      <c r="DP1130" s="143">
        <v>0</v>
      </c>
      <c r="DQ1130" s="143">
        <v>0</v>
      </c>
      <c r="DR1130">
        <v>0</v>
      </c>
      <c r="DS1130" s="143">
        <v>0</v>
      </c>
      <c r="DT1130">
        <f>SUM(DO1130:DP1130)</f>
        <v>0</v>
      </c>
      <c r="DU1130" s="143" t="str">
        <f>IF(DO1130=1,"self-calculated DF",IF(DP1130=1,"external DF used","explicit C balance"))</f>
        <v>explicit C balance</v>
      </c>
      <c r="DV1130" s="143">
        <v>0</v>
      </c>
      <c r="DW1130" s="143">
        <v>1</v>
      </c>
      <c r="DX1130" s="143">
        <v>1</v>
      </c>
      <c r="DY1130" s="143">
        <v>1</v>
      </c>
      <c r="DZ1130">
        <v>1</v>
      </c>
      <c r="EA1130" s="143">
        <v>0</v>
      </c>
      <c r="EB1130" s="143">
        <v>1</v>
      </c>
      <c r="EC1130" s="143">
        <v>1</v>
      </c>
      <c r="ED1130" s="143">
        <v>1</v>
      </c>
      <c r="EE1130">
        <v>0</v>
      </c>
      <c r="EF1130">
        <v>1</v>
      </c>
      <c r="EG1130" s="143">
        <v>1</v>
      </c>
      <c r="EH1130">
        <v>0</v>
      </c>
      <c r="EI1130" s="2">
        <v>0</v>
      </c>
      <c r="EK1130" t="str">
        <f>IF(AND(AND(AND(OR($DX1130=1,$DW1130=1),OR($EC1130=1,$EA1130=1)),SUM($DV1130:$DZ1130,$EF1130)&gt;=4),SUM($EA1130:$EE1130)&gt;=2),"Whole sector","")</f>
        <v>Whole sector</v>
      </c>
      <c r="EL1130" t="str">
        <f>IF(AND(AND(OR($DX1130=1,$DW1130=1),AND($EC1130=0,$EA1130=0)),SUM($DV1130:$DZ1130,$EF1130)&gt;=4),"Ecosystem approach","")</f>
        <v/>
      </c>
      <c r="EM1130" s="2" t="str">
        <f>IF(AND(AND(AND($DX1130=0,$DW1130=0),OR($EC1130=1,$EA1130=1)),SUM($EB1130:$EE1130)&gt;=2),"Technology approach","")</f>
        <v/>
      </c>
      <c r="EP1130" t="b">
        <f>IF(ISNUMBER(BU1130),IF(ABS(BU1130-[1]QC_indicators!$B$2)&gt;3*[1]QC_indicators!$C$2,"C ratio",IF(ISNUMBER(BY1130),IF(ABS(BY1130-[1]QC_indicators!$B$1)&gt;3*[1]QC_indicators!$C$1,"DF","no"))),IF(ISNUMBER(BY1130),IF(ABS(BY1130-[1]QC_indicators!$B$1)&gt;3*[1]QC_indicators!$C$1,"DF","no")))</f>
        <v>0</v>
      </c>
      <c r="ER1130" s="264" t="s">
        <v>3152</v>
      </c>
      <c r="ET1130" s="264" t="s">
        <v>3153</v>
      </c>
    </row>
    <row r="1131" spans="1:150" ht="15" customHeight="1">
      <c r="A1131" s="1" t="s">
        <v>878</v>
      </c>
      <c r="D1131" s="264" t="s">
        <v>879</v>
      </c>
      <c r="E1131" t="s">
        <v>892</v>
      </c>
      <c r="H1131" t="s">
        <v>881</v>
      </c>
      <c r="I1131">
        <v>2020</v>
      </c>
      <c r="J1131">
        <v>8</v>
      </c>
      <c r="K1131" t="s">
        <v>882</v>
      </c>
      <c r="M1131" t="str">
        <f>LEFT($D1131,FIND(",",$D1131)-1)&amp;"_"&amp;I1131&amp;L1131</f>
        <v>Lausselet_2020</v>
      </c>
      <c r="N1131" t="s">
        <v>222</v>
      </c>
      <c r="O1131" s="145" t="s">
        <v>225</v>
      </c>
      <c r="Q1131" s="264" t="s">
        <v>256</v>
      </c>
      <c r="R1131" s="269" t="s">
        <v>341</v>
      </c>
      <c r="S1131" s="1" t="s">
        <v>893</v>
      </c>
      <c r="T1131" t="s">
        <v>885</v>
      </c>
      <c r="U1131" s="143" t="s">
        <v>894</v>
      </c>
      <c r="V1131">
        <v>0</v>
      </c>
      <c r="W1131">
        <v>0</v>
      </c>
      <c r="X1131">
        <v>0</v>
      </c>
      <c r="Y1131">
        <v>0</v>
      </c>
      <c r="Z1131">
        <v>0</v>
      </c>
      <c r="AA1131">
        <v>0</v>
      </c>
      <c r="AB1131">
        <v>0</v>
      </c>
      <c r="AC1131">
        <v>0</v>
      </c>
      <c r="AD1131">
        <v>0</v>
      </c>
      <c r="AE1131">
        <v>0</v>
      </c>
      <c r="AF1131">
        <v>0</v>
      </c>
      <c r="AG1131">
        <v>0</v>
      </c>
      <c r="AH1131">
        <v>0</v>
      </c>
      <c r="AI1131">
        <v>1</v>
      </c>
      <c r="AJ1131">
        <v>0</v>
      </c>
      <c r="AK1131">
        <v>0</v>
      </c>
      <c r="AL1131">
        <v>0</v>
      </c>
      <c r="AM1131">
        <v>0</v>
      </c>
      <c r="AN1131">
        <v>0</v>
      </c>
      <c r="AO1131">
        <v>0</v>
      </c>
      <c r="AP1131">
        <v>0</v>
      </c>
      <c r="AQ1131">
        <v>0</v>
      </c>
      <c r="AR1131">
        <v>0</v>
      </c>
      <c r="AS1131">
        <v>0</v>
      </c>
      <c r="AT1131">
        <v>0</v>
      </c>
      <c r="AU1131">
        <v>0</v>
      </c>
      <c r="AV1131">
        <v>0</v>
      </c>
      <c r="AW1131">
        <v>0</v>
      </c>
      <c r="AX1131" s="141">
        <f>COUNTIF(V1131:AW1131,"&lt;&gt;0")</f>
        <v>1</v>
      </c>
      <c r="AY1131" s="141">
        <f>COUNTIF(V1131:AL1131,"&lt;&gt;0")</f>
        <v>1</v>
      </c>
      <c r="AZ1131">
        <f>COUNTIF(V1131:AC1131,"&lt;&gt;0")</f>
        <v>0</v>
      </c>
      <c r="BA1131">
        <f>COUNTIF(AD1131:AI1131,"&lt;&gt;0")</f>
        <v>1</v>
      </c>
      <c r="BB1131">
        <f>COUNTIF(AJ1131:AL1131,"&lt;&gt;0")</f>
        <v>0</v>
      </c>
      <c r="BC1131">
        <f>COUNTIF(AS1131:AW1131,"&lt;&gt;0")</f>
        <v>0</v>
      </c>
      <c r="BD1131">
        <f>COUNTIF(AM1131:AR1131,"&lt;&gt;0")</f>
        <v>0</v>
      </c>
      <c r="BE1131" t="str" cm="1">
        <f t="array" ref="BE1131">IF(AY1131=1,INDEX($V$7:$AL$7,MATCH(TRUE,INDEX($V1131:$AW1131&lt;&gt;0,),0)),IF(AY1131=0,INDEX($AM$7:$AW$7,MATCH(1,$AM1131:$AW1131,0)),IF(BF1131="Multiple strategies","mixed drivers",IF(BF1131="Supply chain","multiple supply","multiple silviculture"))))</f>
        <v>products lifespan</v>
      </c>
      <c r="BF1131" s="2" t="str" cm="1">
        <f t="array" ref="BF1131">IF(COUNTIF(AZ1131:BB1131,"&lt;&gt;0")=1,INDEX($V$4:$AW$4,MATCH(TRUE,INDEX($V1131:$AW1131&lt;&gt;0,),0)),IF(COUNTIF(AZ1131:BB1131,"&lt;&gt;0")=0,INDEX($AM$4:$AW$4,MATCH(1,$AM1131:$AW1131,0)),"Multiple strategies"))</f>
        <v>Supply chain</v>
      </c>
      <c r="BG1131" s="164" t="s">
        <v>229</v>
      </c>
      <c r="BH1131" s="165" t="s">
        <v>3416</v>
      </c>
      <c r="BI1131" s="165" t="s">
        <v>3415</v>
      </c>
      <c r="BJ1131" s="166" t="s">
        <v>345</v>
      </c>
      <c r="BK1131" s="167"/>
      <c r="BL1131" s="167"/>
      <c r="BM1131" s="168" t="s">
        <v>886</v>
      </c>
      <c r="BN1131">
        <f>BL1131-BK1131</f>
        <v>0</v>
      </c>
      <c r="BO1131">
        <f>BN1131*kg_to_m3</f>
        <v>0</v>
      </c>
      <c r="BP1131" s="306" t="s">
        <v>395</v>
      </c>
      <c r="BQ1131" s="264" t="s">
        <v>887</v>
      </c>
      <c r="BR1131" s="264" t="s">
        <v>888</v>
      </c>
      <c r="BS1131" s="169">
        <v>81960007.070510104</v>
      </c>
      <c r="BT1131" s="170">
        <v>75925100</v>
      </c>
      <c r="BU1131" s="144">
        <v>0.93</v>
      </c>
      <c r="BV1131">
        <f>BT1131-BS1131</f>
        <v>-6034907.0705101043</v>
      </c>
      <c r="BX1131">
        <f>BV1131/1000</f>
        <v>-6034.9070705101039</v>
      </c>
      <c r="BY1131" t="str">
        <f>IFERROR(BX1131/BO1131,"")</f>
        <v/>
      </c>
      <c r="BZ1131">
        <v>0</v>
      </c>
      <c r="CA1131">
        <v>0</v>
      </c>
      <c r="CB1131">
        <v>0</v>
      </c>
      <c r="CC1131">
        <v>0</v>
      </c>
      <c r="CD1131">
        <v>0</v>
      </c>
      <c r="CE1131">
        <v>0</v>
      </c>
      <c r="CF1131">
        <v>0</v>
      </c>
      <c r="CG1131">
        <v>0</v>
      </c>
      <c r="CH1131">
        <v>0</v>
      </c>
      <c r="CI1131">
        <v>0</v>
      </c>
      <c r="CJ1131">
        <v>0</v>
      </c>
      <c r="CK1131">
        <v>0</v>
      </c>
      <c r="CL1131">
        <v>0</v>
      </c>
      <c r="CM1131">
        <v>0</v>
      </c>
      <c r="CN1131" t="str">
        <f>IF(BL1131&lt;BK1131,"refNeedCorrection","refOK")</f>
        <v>refOK</v>
      </c>
      <c r="CO1131"/>
      <c r="CP1131"/>
      <c r="CQ1131">
        <f>IF($CN1131="refOK",$BO1131,-$BO1131)</f>
        <v>0</v>
      </c>
      <c r="CR1131">
        <f>IF($CN1131="refOK",$BS1131,$BT1131)*IF($BP1131="Emissions positive",-1,1)</f>
        <v>-81960007.070510104</v>
      </c>
      <c r="CS1131">
        <f>IF($CN1131="refOK",$BT1131,$BS1131)*IF($BP1131="Emissions positive",-1,1)</f>
        <v>-75925100</v>
      </c>
      <c r="CT1131">
        <f>IF($CN1131="refNeedCorrection",-BX1131,BX1131)*IF($BP1131="Emissions positive",-1,1)</f>
        <v>6034.9070705101039</v>
      </c>
      <c r="CU1131" t="str">
        <f>IFERROR(CT1131/CQ1131,"")</f>
        <v/>
      </c>
      <c r="CV1131" s="2">
        <f>IFERROR((CS1131-CR1131)/ABS(CR1131),"")</f>
        <v>7.3632339554562026E-2</v>
      </c>
      <c r="CW1131" s="1" t="s">
        <v>347</v>
      </c>
      <c r="CX1131" s="264" t="str">
        <f>IF(OR($CW1131="prd",$CW1131="std",$CW1131="cit"),"loc",IF(OR($CW1131="eur",$CW1131="reg",$CW1131="coy"),"reg",$CW1131))</f>
        <v>loc</v>
      </c>
      <c r="CY1131" t="s">
        <v>264</v>
      </c>
      <c r="CZ1131">
        <v>2019</v>
      </c>
      <c r="DA1131" s="143">
        <v>2080</v>
      </c>
      <c r="DB1131" s="143">
        <f>DA1131-CZ1131</f>
        <v>61</v>
      </c>
      <c r="DC1131" t="str">
        <f>IF(DB1131=0,"0",IF(AND(DB1131&gt;=1,DB1131&lt;=30),"1-30",IF(AND(DB1131&gt;30,DB1131&lt;=70),"31-70",IF(AND(DB1131&gt;70,DB1131&lt;=100),"71-100",IF(DB1131&gt;100,"+100")))))</f>
        <v>31-70</v>
      </c>
      <c r="DD1131">
        <v>0</v>
      </c>
      <c r="DE1131">
        <v>0</v>
      </c>
      <c r="DF1131">
        <v>0</v>
      </c>
      <c r="DG1131">
        <v>1</v>
      </c>
      <c r="DI1131">
        <f>SUM(DD1131:DG1131)</f>
        <v>1</v>
      </c>
      <c r="DJ1131" t="str">
        <f>IF(DI1131=1,INDEX($DD$7:$DG$7,MATCH(1,$DD1131:$DG1131,0)),"mixedProduct")</f>
        <v>TimberInput</v>
      </c>
      <c r="DK1131">
        <f>IF(DD1131=1,DK$7,0)</f>
        <v>0</v>
      </c>
      <c r="DL1131">
        <f>IF(DE1131=1,DL$7,0)</f>
        <v>0</v>
      </c>
      <c r="DM1131">
        <f>IF(DF1131=1,DM$7,0)</f>
        <v>0</v>
      </c>
      <c r="DN1131" t="str">
        <f>IF(DG1131=1,DN$7,0)</f>
        <v>Timber</v>
      </c>
      <c r="DO1131">
        <v>0</v>
      </c>
      <c r="DP1131" s="143">
        <v>0</v>
      </c>
      <c r="DQ1131" s="143">
        <v>0</v>
      </c>
      <c r="DR1131">
        <v>0</v>
      </c>
      <c r="DS1131" s="143">
        <v>0</v>
      </c>
      <c r="DT1131">
        <f>SUM(DO1131:DP1131)</f>
        <v>0</v>
      </c>
      <c r="DU1131" s="143" t="str">
        <f>IF(DO1131=1,"self-calculated DF",IF(DP1131=1,"external DF used","explicit C balance"))</f>
        <v>explicit C balance</v>
      </c>
      <c r="DV1131" s="143">
        <v>0</v>
      </c>
      <c r="DW1131" s="143">
        <v>0</v>
      </c>
      <c r="DX1131" s="143">
        <v>0</v>
      </c>
      <c r="DY1131" s="143">
        <v>1</v>
      </c>
      <c r="DZ1131">
        <v>0</v>
      </c>
      <c r="EA1131" s="143">
        <v>0</v>
      </c>
      <c r="EB1131" s="143">
        <v>1</v>
      </c>
      <c r="EC1131" s="143">
        <v>1</v>
      </c>
      <c r="ED1131" s="143">
        <v>1</v>
      </c>
      <c r="EE1131">
        <v>0</v>
      </c>
      <c r="EF1131">
        <v>0</v>
      </c>
      <c r="EG1131" s="143">
        <v>0</v>
      </c>
      <c r="EH1131">
        <v>0</v>
      </c>
      <c r="EI1131" s="2">
        <v>0</v>
      </c>
      <c r="EK1131" t="str">
        <f>IF(AND(AND(AND(OR($DX1131=1,$DW1131=1),OR($EC1131=1,$EA1131=1)),SUM($DV1131:$DZ1131,$EF1131)&gt;=4),SUM($EA1131:$EE1131)&gt;=2),"Whole sector","")</f>
        <v/>
      </c>
      <c r="EL1131" t="str">
        <f>IF(AND(AND(OR($DX1131=1,$DW1131=1),AND($EC1131=0,$EA1131=0)),SUM($DV1131:$DZ1131,$EF1131)&gt;=4),"Ecosystem approach","")</f>
        <v/>
      </c>
      <c r="EM1131" s="2" t="str">
        <f>IF(AND(AND(AND($DX1131=0,$DW1131=0),OR($EC1131=1,$EA1131=1)),SUM($EB1131:$EE1131)&gt;=2),"Technology approach","")</f>
        <v>Technology approach</v>
      </c>
      <c r="EP1131" t="b">
        <f>IF(ISNUMBER(BU1131),IF(ABS(BU1131-[3]QC_indicators!$B$2)&gt;3*[3]QC_indicators!$C$2,"C ratio",IF(ISNUMBER(BY1131),IF(ABS(BY1131-[3]QC_indicators!$B$1)&gt;3*[3]QC_indicators!$C$1,"DF","no"))),IF(ISNUMBER(BY1131),IF(ABS(BY1131-[3]QC_indicators!$B$1)&gt;3*[3]QC_indicators!$C$1,"DF","no")))</f>
        <v>0</v>
      </c>
      <c r="ER1131" s="294" t="s">
        <v>349</v>
      </c>
      <c r="ET1131" s="306" t="s">
        <v>3419</v>
      </c>
    </row>
    <row r="1132" spans="1:150" ht="15" customHeight="1">
      <c r="A1132" s="1" t="s">
        <v>878</v>
      </c>
      <c r="D1132" s="264" t="s">
        <v>879</v>
      </c>
      <c r="E1132" t="s">
        <v>892</v>
      </c>
      <c r="H1132" t="s">
        <v>881</v>
      </c>
      <c r="I1132">
        <v>2020</v>
      </c>
      <c r="J1132">
        <v>8</v>
      </c>
      <c r="K1132" t="s">
        <v>882</v>
      </c>
      <c r="M1132" t="str">
        <f>LEFT($D1132,FIND(",",$D1132)-1)&amp;"_"&amp;I1132&amp;L1132</f>
        <v>Lausselet_2020</v>
      </c>
      <c r="N1132" t="s">
        <v>222</v>
      </c>
      <c r="O1132" s="145" t="s">
        <v>225</v>
      </c>
      <c r="Q1132" s="264" t="s">
        <v>256</v>
      </c>
      <c r="R1132" s="269" t="s">
        <v>341</v>
      </c>
      <c r="S1132" s="1" t="s">
        <v>893</v>
      </c>
      <c r="T1132" t="s">
        <v>885</v>
      </c>
      <c r="U1132" s="143" t="s">
        <v>895</v>
      </c>
      <c r="V1132">
        <v>0</v>
      </c>
      <c r="W1132">
        <v>0</v>
      </c>
      <c r="X1132">
        <v>0</v>
      </c>
      <c r="Y1132">
        <v>0</v>
      </c>
      <c r="Z1132">
        <v>0</v>
      </c>
      <c r="AA1132">
        <v>0</v>
      </c>
      <c r="AB1132">
        <v>0</v>
      </c>
      <c r="AC1132">
        <v>0</v>
      </c>
      <c r="AD1132">
        <v>0</v>
      </c>
      <c r="AE1132">
        <v>0</v>
      </c>
      <c r="AF1132">
        <v>0</v>
      </c>
      <c r="AG1132">
        <v>0</v>
      </c>
      <c r="AH1132">
        <v>0</v>
      </c>
      <c r="AI1132">
        <v>1</v>
      </c>
      <c r="AJ1132">
        <v>0</v>
      </c>
      <c r="AK1132">
        <v>0</v>
      </c>
      <c r="AL1132">
        <v>0</v>
      </c>
      <c r="AM1132">
        <v>0</v>
      </c>
      <c r="AN1132">
        <v>0</v>
      </c>
      <c r="AO1132">
        <v>0</v>
      </c>
      <c r="AP1132">
        <v>0</v>
      </c>
      <c r="AQ1132">
        <v>0</v>
      </c>
      <c r="AR1132">
        <v>0</v>
      </c>
      <c r="AS1132">
        <v>0</v>
      </c>
      <c r="AT1132">
        <v>0</v>
      </c>
      <c r="AU1132">
        <v>0</v>
      </c>
      <c r="AV1132">
        <v>0</v>
      </c>
      <c r="AW1132">
        <v>0</v>
      </c>
      <c r="AX1132" s="141">
        <f>COUNTIF(V1132:AW1132,"&lt;&gt;0")</f>
        <v>1</v>
      </c>
      <c r="AY1132" s="141">
        <f>COUNTIF(V1132:AL1132,"&lt;&gt;0")</f>
        <v>1</v>
      </c>
      <c r="AZ1132">
        <f>COUNTIF(V1132:AC1132,"&lt;&gt;0")</f>
        <v>0</v>
      </c>
      <c r="BA1132">
        <f>COUNTIF(AD1132:AI1132,"&lt;&gt;0")</f>
        <v>1</v>
      </c>
      <c r="BB1132">
        <f>COUNTIF(AJ1132:AL1132,"&lt;&gt;0")</f>
        <v>0</v>
      </c>
      <c r="BC1132">
        <f>COUNTIF(AS1132:AW1132,"&lt;&gt;0")</f>
        <v>0</v>
      </c>
      <c r="BD1132">
        <f>COUNTIF(AM1132:AR1132,"&lt;&gt;0")</f>
        <v>0</v>
      </c>
      <c r="BE1132" t="str" cm="1">
        <f t="array" ref="BE1132">IF(AY1132=1,INDEX($V$7:$AL$7,MATCH(TRUE,INDEX($V1132:$AW1132&lt;&gt;0,),0)),IF(AY1132=0,INDEX($AM$7:$AW$7,MATCH(1,$AM1132:$AW1132,0)),IF(BF1132="Multiple strategies","mixed drivers",IF(BF1132="Supply chain","multiple supply","multiple silviculture"))))</f>
        <v>products lifespan</v>
      </c>
      <c r="BF1132" s="2" t="str" cm="1">
        <f t="array" ref="BF1132">IF(COUNTIF(AZ1132:BB1132,"&lt;&gt;0")=1,INDEX($V$4:$AW$4,MATCH(TRUE,INDEX($V1132:$AW1132&lt;&gt;0,),0)),IF(COUNTIF(AZ1132:BB1132,"&lt;&gt;0")=0,INDEX($AM$4:$AW$4,MATCH(1,$AM1132:$AW1132,0)),"Multiple strategies"))</f>
        <v>Supply chain</v>
      </c>
      <c r="BG1132" s="164" t="s">
        <v>229</v>
      </c>
      <c r="BH1132" s="165" t="s">
        <v>3416</v>
      </c>
      <c r="BI1132" s="165" t="s">
        <v>3415</v>
      </c>
      <c r="BJ1132" s="166" t="s">
        <v>345</v>
      </c>
      <c r="BK1132" s="167"/>
      <c r="BL1132" s="167"/>
      <c r="BM1132" s="168" t="s">
        <v>886</v>
      </c>
      <c r="BN1132">
        <f>BL1132-BK1132</f>
        <v>0</v>
      </c>
      <c r="BO1132">
        <f>BN1132*kg_to_m3</f>
        <v>0</v>
      </c>
      <c r="BP1132" s="306" t="s">
        <v>395</v>
      </c>
      <c r="BQ1132" s="264" t="s">
        <v>887</v>
      </c>
      <c r="BR1132" s="264" t="s">
        <v>888</v>
      </c>
      <c r="BS1132" s="169">
        <v>81960007.070510104</v>
      </c>
      <c r="BT1132" s="169">
        <v>72552900</v>
      </c>
      <c r="BU1132" s="144">
        <v>0.89</v>
      </c>
      <c r="BV1132">
        <f>BT1132-BS1132</f>
        <v>-9407107.0705101043</v>
      </c>
      <c r="BX1132">
        <f>BV1132/1000</f>
        <v>-9407.1070705101047</v>
      </c>
      <c r="BY1132" t="str">
        <f>IFERROR(BX1132/BO1132,"")</f>
        <v/>
      </c>
      <c r="BZ1132">
        <v>0</v>
      </c>
      <c r="CA1132">
        <v>0</v>
      </c>
      <c r="CB1132">
        <v>0</v>
      </c>
      <c r="CC1132">
        <v>0</v>
      </c>
      <c r="CD1132">
        <v>0</v>
      </c>
      <c r="CE1132">
        <v>0</v>
      </c>
      <c r="CF1132">
        <v>0</v>
      </c>
      <c r="CG1132">
        <v>0</v>
      </c>
      <c r="CH1132">
        <v>0</v>
      </c>
      <c r="CI1132">
        <v>0</v>
      </c>
      <c r="CJ1132">
        <v>0</v>
      </c>
      <c r="CK1132">
        <v>0</v>
      </c>
      <c r="CL1132">
        <v>0</v>
      </c>
      <c r="CM1132">
        <v>0</v>
      </c>
      <c r="CN1132" t="str">
        <f>IF(BL1132&lt;BK1132,"refNeedCorrection","refOK")</f>
        <v>refOK</v>
      </c>
      <c r="CO1132"/>
      <c r="CP1132"/>
      <c r="CQ1132">
        <f>IF($CN1132="refOK",$BO1132,-$BO1132)</f>
        <v>0</v>
      </c>
      <c r="CR1132">
        <f>IF($CN1132="refOK",$BS1132,$BT1132)*IF($BP1132="Emissions positive",-1,1)</f>
        <v>-81960007.070510104</v>
      </c>
      <c r="CS1132">
        <f>IF($CN1132="refOK",$BT1132,$BS1132)*IF($BP1132="Emissions positive",-1,1)</f>
        <v>-72552900</v>
      </c>
      <c r="CT1132">
        <f>IF($CN1132="refNeedCorrection",-BX1132,BX1132)*IF($BP1132="Emissions positive",-1,1)</f>
        <v>9407.1070705101047</v>
      </c>
      <c r="CU1132" t="str">
        <f>IFERROR(CT1132/CQ1132,"")</f>
        <v/>
      </c>
      <c r="CV1132" s="2">
        <f>IFERROR((CS1132-CR1132)/ABS(CR1132),"")</f>
        <v>0.11477679671766232</v>
      </c>
      <c r="CW1132" s="1" t="s">
        <v>347</v>
      </c>
      <c r="CX1132" s="264" t="str">
        <f>IF(OR($CW1132="prd",$CW1132="std",$CW1132="cit"),"loc",IF(OR($CW1132="eur",$CW1132="reg",$CW1132="coy"),"reg",$CW1132))</f>
        <v>loc</v>
      </c>
      <c r="CY1132" t="s">
        <v>264</v>
      </c>
      <c r="CZ1132">
        <v>2019</v>
      </c>
      <c r="DA1132" s="143">
        <v>2080</v>
      </c>
      <c r="DB1132" s="143">
        <f>DA1132-CZ1132</f>
        <v>61</v>
      </c>
      <c r="DC1132" t="str">
        <f>IF(DB1132=0,"0",IF(AND(DB1132&gt;=1,DB1132&lt;=30),"1-30",IF(AND(DB1132&gt;30,DB1132&lt;=70),"31-70",IF(AND(DB1132&gt;70,DB1132&lt;=100),"71-100",IF(DB1132&gt;100,"+100")))))</f>
        <v>31-70</v>
      </c>
      <c r="DD1132">
        <v>0</v>
      </c>
      <c r="DE1132">
        <v>0</v>
      </c>
      <c r="DF1132">
        <v>0</v>
      </c>
      <c r="DG1132">
        <v>1</v>
      </c>
      <c r="DI1132">
        <f>SUM(DD1132:DG1132)</f>
        <v>1</v>
      </c>
      <c r="DJ1132" t="str">
        <f>IF(DI1132=1,INDEX($DD$7:$DG$7,MATCH(1,$DD1132:$DG1132,0)),"mixedProduct")</f>
        <v>TimberInput</v>
      </c>
      <c r="DK1132">
        <f>IF(DD1132=1,DK$7,0)</f>
        <v>0</v>
      </c>
      <c r="DL1132">
        <f>IF(DE1132=1,DL$7,0)</f>
        <v>0</v>
      </c>
      <c r="DM1132">
        <f>IF(DF1132=1,DM$7,0)</f>
        <v>0</v>
      </c>
      <c r="DN1132" t="str">
        <f>IF(DG1132=1,DN$7,0)</f>
        <v>Timber</v>
      </c>
      <c r="DO1132">
        <v>0</v>
      </c>
      <c r="DP1132" s="143">
        <v>0</v>
      </c>
      <c r="DQ1132" s="143">
        <v>0</v>
      </c>
      <c r="DR1132">
        <v>0</v>
      </c>
      <c r="DS1132" s="143">
        <v>0</v>
      </c>
      <c r="DT1132">
        <f>SUM(DO1132:DP1132)</f>
        <v>0</v>
      </c>
      <c r="DU1132" s="143" t="str">
        <f>IF(DO1132=1,"self-calculated DF",IF(DP1132=1,"external DF used","explicit C balance"))</f>
        <v>explicit C balance</v>
      </c>
      <c r="DV1132" s="143">
        <v>0</v>
      </c>
      <c r="DW1132" s="143">
        <v>0</v>
      </c>
      <c r="DX1132" s="143">
        <v>0</v>
      </c>
      <c r="DY1132" s="143">
        <v>1</v>
      </c>
      <c r="DZ1132">
        <v>0</v>
      </c>
      <c r="EA1132" s="143">
        <v>0</v>
      </c>
      <c r="EB1132" s="143">
        <v>1</v>
      </c>
      <c r="EC1132" s="143">
        <v>1</v>
      </c>
      <c r="ED1132" s="143">
        <v>1</v>
      </c>
      <c r="EE1132">
        <v>0</v>
      </c>
      <c r="EF1132">
        <v>0</v>
      </c>
      <c r="EG1132" s="143">
        <v>0</v>
      </c>
      <c r="EH1132">
        <v>0</v>
      </c>
      <c r="EI1132" s="2">
        <v>0</v>
      </c>
      <c r="EK1132" t="str">
        <f>IF(AND(AND(AND(OR($DX1132=1,$DW1132=1),OR($EC1132=1,$EA1132=1)),SUM($DV1132:$DZ1132,$EF1132)&gt;=4),SUM($EA1132:$EE1132)&gt;=2),"Whole sector","")</f>
        <v/>
      </c>
      <c r="EL1132" t="str">
        <f>IF(AND(AND(OR($DX1132=1,$DW1132=1),AND($EC1132=0,$EA1132=0)),SUM($DV1132:$DZ1132,$EF1132)&gt;=4),"Ecosystem approach","")</f>
        <v/>
      </c>
      <c r="EM1132" s="2" t="str">
        <f>IF(AND(AND(AND($DX1132=0,$DW1132=0),OR($EC1132=1,$EA1132=1)),SUM($EB1132:$EE1132)&gt;=2),"Technology approach","")</f>
        <v>Technology approach</v>
      </c>
      <c r="EP1132" t="b">
        <f>IF(ISNUMBER(BU1132),IF(ABS(BU1132-[3]QC_indicators!$B$2)&gt;3*[3]QC_indicators!$C$2,"C ratio",IF(ISNUMBER(BY1132),IF(ABS(BY1132-[3]QC_indicators!$B$1)&gt;3*[3]QC_indicators!$C$1,"DF","no"))),IF(ISNUMBER(BY1132),IF(ABS(BY1132-[3]QC_indicators!$B$1)&gt;3*[3]QC_indicators!$C$1,"DF","no")))</f>
        <v>0</v>
      </c>
      <c r="ER1132" s="294" t="s">
        <v>349</v>
      </c>
      <c r="ET1132" s="306" t="s">
        <v>3419</v>
      </c>
    </row>
    <row r="1133" spans="1:150" ht="15" customHeight="1">
      <c r="A1133" s="1" t="s">
        <v>878</v>
      </c>
      <c r="D1133" s="264" t="s">
        <v>879</v>
      </c>
      <c r="E1133" t="s">
        <v>892</v>
      </c>
      <c r="H1133" t="s">
        <v>881</v>
      </c>
      <c r="I1133">
        <v>2020</v>
      </c>
      <c r="J1133">
        <v>8</v>
      </c>
      <c r="K1133" t="s">
        <v>882</v>
      </c>
      <c r="M1133" t="str">
        <f>LEFT($D1133,FIND(",",$D1133)-1)&amp;"_"&amp;I1133&amp;L1133</f>
        <v>Lausselet_2020</v>
      </c>
      <c r="N1133" t="s">
        <v>222</v>
      </c>
      <c r="O1133" s="145" t="s">
        <v>225</v>
      </c>
      <c r="Q1133" s="264" t="s">
        <v>256</v>
      </c>
      <c r="R1133" s="269" t="s">
        <v>341</v>
      </c>
      <c r="S1133" s="1" t="s">
        <v>893</v>
      </c>
      <c r="T1133" t="s">
        <v>885</v>
      </c>
      <c r="U1133" s="143" t="s">
        <v>896</v>
      </c>
      <c r="V1133">
        <v>0</v>
      </c>
      <c r="W1133">
        <v>0</v>
      </c>
      <c r="X1133">
        <v>0</v>
      </c>
      <c r="Y1133">
        <v>0</v>
      </c>
      <c r="Z1133">
        <v>0</v>
      </c>
      <c r="AA1133">
        <v>0</v>
      </c>
      <c r="AB1133">
        <v>0</v>
      </c>
      <c r="AC1133">
        <v>0</v>
      </c>
      <c r="AD1133">
        <v>0</v>
      </c>
      <c r="AE1133">
        <v>0</v>
      </c>
      <c r="AF1133">
        <v>0</v>
      </c>
      <c r="AG1133">
        <v>0</v>
      </c>
      <c r="AH1133">
        <v>0</v>
      </c>
      <c r="AI1133">
        <v>1</v>
      </c>
      <c r="AJ1133">
        <v>0</v>
      </c>
      <c r="AK1133">
        <v>0</v>
      </c>
      <c r="AL1133">
        <v>0</v>
      </c>
      <c r="AM1133">
        <v>0</v>
      </c>
      <c r="AN1133">
        <v>0</v>
      </c>
      <c r="AO1133">
        <v>0</v>
      </c>
      <c r="AP1133">
        <v>0</v>
      </c>
      <c r="AQ1133">
        <v>0</v>
      </c>
      <c r="AR1133">
        <v>0</v>
      </c>
      <c r="AS1133">
        <v>0</v>
      </c>
      <c r="AT1133">
        <v>0</v>
      </c>
      <c r="AU1133">
        <v>0</v>
      </c>
      <c r="AV1133">
        <v>0</v>
      </c>
      <c r="AW1133">
        <v>0</v>
      </c>
      <c r="AX1133" s="141">
        <f>COUNTIF(V1133:AW1133,"&lt;&gt;0")</f>
        <v>1</v>
      </c>
      <c r="AY1133" s="141">
        <f>COUNTIF(V1133:AL1133,"&lt;&gt;0")</f>
        <v>1</v>
      </c>
      <c r="AZ1133">
        <f>COUNTIF(V1133:AC1133,"&lt;&gt;0")</f>
        <v>0</v>
      </c>
      <c r="BA1133">
        <f>COUNTIF(AD1133:AI1133,"&lt;&gt;0")</f>
        <v>1</v>
      </c>
      <c r="BB1133">
        <f>COUNTIF(AJ1133:AL1133,"&lt;&gt;0")</f>
        <v>0</v>
      </c>
      <c r="BC1133">
        <f>COUNTIF(AS1133:AW1133,"&lt;&gt;0")</f>
        <v>0</v>
      </c>
      <c r="BD1133">
        <f>COUNTIF(AM1133:AR1133,"&lt;&gt;0")</f>
        <v>0</v>
      </c>
      <c r="BE1133" t="str" cm="1">
        <f t="array" ref="BE1133">IF(AY1133=1,INDEX($V$7:$AL$7,MATCH(TRUE,INDEX($V1133:$AW1133&lt;&gt;0,),0)),IF(AY1133=0,INDEX($AM$7:$AW$7,MATCH(1,$AM1133:$AW1133,0)),IF(BF1133="Multiple strategies","mixed drivers",IF(BF1133="Supply chain","multiple supply","multiple silviculture"))))</f>
        <v>products lifespan</v>
      </c>
      <c r="BF1133" s="2" t="str" cm="1">
        <f t="array" ref="BF1133">IF(COUNTIF(AZ1133:BB1133,"&lt;&gt;0")=1,INDEX($V$4:$AW$4,MATCH(TRUE,INDEX($V1133:$AW1133&lt;&gt;0,),0)),IF(COUNTIF(AZ1133:BB1133,"&lt;&gt;0")=0,INDEX($AM$4:$AW$4,MATCH(1,$AM1133:$AW1133,0)),"Multiple strategies"))</f>
        <v>Supply chain</v>
      </c>
      <c r="BG1133" s="164" t="s">
        <v>229</v>
      </c>
      <c r="BH1133" s="165" t="s">
        <v>3416</v>
      </c>
      <c r="BI1133" s="165" t="s">
        <v>3415</v>
      </c>
      <c r="BJ1133" s="166" t="s">
        <v>345</v>
      </c>
      <c r="BK1133" s="167"/>
      <c r="BL1133" s="167"/>
      <c r="BM1133" s="168" t="s">
        <v>886</v>
      </c>
      <c r="BN1133">
        <f>BL1133-BK1133</f>
        <v>0</v>
      </c>
      <c r="BO1133">
        <f>BN1133*kg_to_m3</f>
        <v>0</v>
      </c>
      <c r="BP1133" s="306" t="s">
        <v>395</v>
      </c>
      <c r="BQ1133" s="264" t="s">
        <v>887</v>
      </c>
      <c r="BR1133" s="264" t="s">
        <v>888</v>
      </c>
      <c r="BS1133" s="169">
        <v>81960007.070510104</v>
      </c>
      <c r="BT1133" s="169">
        <v>97621800</v>
      </c>
      <c r="BU1133" s="144">
        <v>1.19</v>
      </c>
      <c r="BV1133">
        <f>BT1133-BS1133</f>
        <v>15661792.929489896</v>
      </c>
      <c r="BX1133">
        <f>BV1133/1000</f>
        <v>15661.792929489895</v>
      </c>
      <c r="BY1133" t="str">
        <f>IFERROR(BX1133/BO1133,"")</f>
        <v/>
      </c>
      <c r="BZ1133">
        <v>0</v>
      </c>
      <c r="CA1133">
        <v>0</v>
      </c>
      <c r="CB1133">
        <v>0</v>
      </c>
      <c r="CC1133">
        <v>0</v>
      </c>
      <c r="CD1133">
        <v>0</v>
      </c>
      <c r="CE1133">
        <v>0</v>
      </c>
      <c r="CF1133">
        <v>0</v>
      </c>
      <c r="CG1133">
        <v>0</v>
      </c>
      <c r="CH1133">
        <v>0</v>
      </c>
      <c r="CI1133">
        <v>0</v>
      </c>
      <c r="CJ1133">
        <v>0</v>
      </c>
      <c r="CK1133">
        <v>0</v>
      </c>
      <c r="CL1133">
        <v>0</v>
      </c>
      <c r="CM1133">
        <v>0</v>
      </c>
      <c r="CN1133" t="str">
        <f>IF(BL1133&lt;BK1133,"refNeedCorrection","refOK")</f>
        <v>refOK</v>
      </c>
      <c r="CO1133"/>
      <c r="CP1133"/>
      <c r="CQ1133">
        <f>IF($CN1133="refOK",$BO1133,-$BO1133)</f>
        <v>0</v>
      </c>
      <c r="CR1133">
        <f>IF($CN1133="refOK",$BS1133,$BT1133)*IF($BP1133="Emissions positive",-1,1)</f>
        <v>-81960007.070510104</v>
      </c>
      <c r="CS1133">
        <f>IF($CN1133="refOK",$BT1133,$BS1133)*IF($BP1133="Emissions positive",-1,1)</f>
        <v>-97621800</v>
      </c>
      <c r="CT1133">
        <f>IF($CN1133="refNeedCorrection",-BX1133,BX1133)*IF($BP1133="Emissions positive",-1,1)</f>
        <v>-15661.792929489895</v>
      </c>
      <c r="CU1133" t="str">
        <f>IFERROR(CT1133/CQ1133,"")</f>
        <v/>
      </c>
      <c r="CV1133" s="2">
        <f>IFERROR((CS1133-CR1133)/ABS(CR1133),"")</f>
        <v>-0.1910906732354973</v>
      </c>
      <c r="CW1133" s="1" t="s">
        <v>347</v>
      </c>
      <c r="CX1133" s="264" t="str">
        <f>IF(OR($CW1133="prd",$CW1133="std",$CW1133="cit"),"loc",IF(OR($CW1133="eur",$CW1133="reg",$CW1133="coy"),"reg",$CW1133))</f>
        <v>loc</v>
      </c>
      <c r="CY1133" t="s">
        <v>264</v>
      </c>
      <c r="CZ1133">
        <v>2019</v>
      </c>
      <c r="DA1133" s="143">
        <v>2080</v>
      </c>
      <c r="DB1133" s="143">
        <f>DA1133-CZ1133</f>
        <v>61</v>
      </c>
      <c r="DC1133" t="str">
        <f>IF(DB1133=0,"0",IF(AND(DB1133&gt;=1,DB1133&lt;=30),"1-30",IF(AND(DB1133&gt;30,DB1133&lt;=70),"31-70",IF(AND(DB1133&gt;70,DB1133&lt;=100),"71-100",IF(DB1133&gt;100,"+100")))))</f>
        <v>31-70</v>
      </c>
      <c r="DD1133">
        <v>0</v>
      </c>
      <c r="DE1133">
        <v>0</v>
      </c>
      <c r="DF1133">
        <v>0</v>
      </c>
      <c r="DG1133">
        <v>1</v>
      </c>
      <c r="DI1133">
        <f>SUM(DD1133:DG1133)</f>
        <v>1</v>
      </c>
      <c r="DJ1133" t="str">
        <f>IF(DI1133=1,INDEX($DD$7:$DG$7,MATCH(1,$DD1133:$DG1133,0)),"mixedProduct")</f>
        <v>TimberInput</v>
      </c>
      <c r="DK1133">
        <f>IF(DD1133=1,DK$7,0)</f>
        <v>0</v>
      </c>
      <c r="DL1133">
        <f>IF(DE1133=1,DL$7,0)</f>
        <v>0</v>
      </c>
      <c r="DM1133">
        <f>IF(DF1133=1,DM$7,0)</f>
        <v>0</v>
      </c>
      <c r="DN1133" t="str">
        <f>IF(DG1133=1,DN$7,0)</f>
        <v>Timber</v>
      </c>
      <c r="DO1133">
        <v>0</v>
      </c>
      <c r="DP1133" s="143">
        <v>0</v>
      </c>
      <c r="DQ1133" s="143">
        <v>0</v>
      </c>
      <c r="DR1133">
        <v>0</v>
      </c>
      <c r="DS1133" s="143">
        <v>0</v>
      </c>
      <c r="DT1133">
        <f>SUM(DO1133:DP1133)</f>
        <v>0</v>
      </c>
      <c r="DU1133" s="143" t="str">
        <f>IF(DO1133=1,"self-calculated DF",IF(DP1133=1,"external DF used","explicit C balance"))</f>
        <v>explicit C balance</v>
      </c>
      <c r="DV1133" s="143">
        <v>0</v>
      </c>
      <c r="DW1133" s="143">
        <v>0</v>
      </c>
      <c r="DX1133" s="143">
        <v>0</v>
      </c>
      <c r="DY1133" s="143">
        <v>1</v>
      </c>
      <c r="DZ1133">
        <v>0</v>
      </c>
      <c r="EA1133" s="143">
        <v>0</v>
      </c>
      <c r="EB1133" s="143">
        <v>1</v>
      </c>
      <c r="EC1133" s="143">
        <v>1</v>
      </c>
      <c r="ED1133" s="143">
        <v>1</v>
      </c>
      <c r="EE1133">
        <v>0</v>
      </c>
      <c r="EF1133">
        <v>0</v>
      </c>
      <c r="EG1133" s="143">
        <v>0</v>
      </c>
      <c r="EH1133">
        <v>0</v>
      </c>
      <c r="EI1133" s="2">
        <v>0</v>
      </c>
      <c r="EK1133" t="str">
        <f>IF(AND(AND(AND(OR($DX1133=1,$DW1133=1),OR($EC1133=1,$EA1133=1)),SUM($DV1133:$DZ1133,$EF1133)&gt;=4),SUM($EA1133:$EE1133)&gt;=2),"Whole sector","")</f>
        <v/>
      </c>
      <c r="EL1133" t="str">
        <f>IF(AND(AND(OR($DX1133=1,$DW1133=1),AND($EC1133=0,$EA1133=0)),SUM($DV1133:$DZ1133,$EF1133)&gt;=4),"Ecosystem approach","")</f>
        <v/>
      </c>
      <c r="EM1133" s="2" t="str">
        <f>IF(AND(AND(AND($DX1133=0,$DW1133=0),OR($EC1133=1,$EA1133=1)),SUM($EB1133:$EE1133)&gt;=2),"Technology approach","")</f>
        <v>Technology approach</v>
      </c>
      <c r="EP1133" t="b">
        <f>IF(ISNUMBER(BU1133),IF(ABS(BU1133-[3]QC_indicators!$B$2)&gt;3*[3]QC_indicators!$C$2,"C ratio",IF(ISNUMBER(BY1133),IF(ABS(BY1133-[3]QC_indicators!$B$1)&gt;3*[3]QC_indicators!$C$1,"DF","no"))),IF(ISNUMBER(BY1133),IF(ABS(BY1133-[3]QC_indicators!$B$1)&gt;3*[3]QC_indicators!$C$1,"DF","no")))</f>
        <v>0</v>
      </c>
      <c r="ER1133" s="294" t="s">
        <v>349</v>
      </c>
      <c r="ET1133" s="306" t="s">
        <v>3419</v>
      </c>
    </row>
    <row r="1134" spans="1:150" ht="15" customHeight="1">
      <c r="A1134" s="1" t="s">
        <v>878</v>
      </c>
      <c r="D1134" s="264" t="s">
        <v>879</v>
      </c>
      <c r="E1134" s="264" t="s">
        <v>880</v>
      </c>
      <c r="H1134" t="s">
        <v>881</v>
      </c>
      <c r="I1134">
        <v>2020</v>
      </c>
      <c r="J1134">
        <v>8</v>
      </c>
      <c r="K1134" t="s">
        <v>882</v>
      </c>
      <c r="M1134" t="str">
        <f>LEFT($D1134,FIND(",",$D1134)-1)&amp;"_"&amp;I1134&amp;L1134</f>
        <v>Lausselet_2020</v>
      </c>
      <c r="N1134" t="s">
        <v>222</v>
      </c>
      <c r="O1134" s="145" t="s">
        <v>225</v>
      </c>
      <c r="Q1134" s="264" t="s">
        <v>256</v>
      </c>
      <c r="R1134" s="269" t="s">
        <v>341</v>
      </c>
      <c r="S1134" s="1" t="s">
        <v>889</v>
      </c>
      <c r="T1134" t="s">
        <v>885</v>
      </c>
      <c r="U1134" s="143" t="s">
        <v>890</v>
      </c>
      <c r="V1134">
        <v>0</v>
      </c>
      <c r="W1134">
        <v>0</v>
      </c>
      <c r="X1134">
        <v>0</v>
      </c>
      <c r="Y1134">
        <v>0</v>
      </c>
      <c r="Z1134">
        <v>0</v>
      </c>
      <c r="AA1134">
        <v>0</v>
      </c>
      <c r="AB1134">
        <v>0</v>
      </c>
      <c r="AC1134">
        <v>0</v>
      </c>
      <c r="AD1134">
        <v>0</v>
      </c>
      <c r="AE1134">
        <v>0</v>
      </c>
      <c r="AF1134">
        <v>0</v>
      </c>
      <c r="AG1134">
        <v>0</v>
      </c>
      <c r="AH1134">
        <v>0</v>
      </c>
      <c r="AI1134">
        <v>0</v>
      </c>
      <c r="AJ1134">
        <v>1</v>
      </c>
      <c r="AK1134">
        <v>0</v>
      </c>
      <c r="AL1134">
        <v>0</v>
      </c>
      <c r="AM1134">
        <v>0</v>
      </c>
      <c r="AN1134">
        <v>0</v>
      </c>
      <c r="AO1134">
        <v>0</v>
      </c>
      <c r="AP1134">
        <v>0</v>
      </c>
      <c r="AQ1134">
        <v>0</v>
      </c>
      <c r="AR1134">
        <v>0</v>
      </c>
      <c r="AS1134">
        <v>0</v>
      </c>
      <c r="AT1134">
        <v>0</v>
      </c>
      <c r="AU1134">
        <v>0</v>
      </c>
      <c r="AV1134">
        <v>0</v>
      </c>
      <c r="AW1134">
        <v>0</v>
      </c>
      <c r="AX1134" s="141">
        <f>COUNTIF(V1134:AW1134,"&lt;&gt;0")</f>
        <v>1</v>
      </c>
      <c r="AY1134" s="141">
        <f>COUNTIF(V1134:AL1134,"&lt;&gt;0")</f>
        <v>1</v>
      </c>
      <c r="AZ1134">
        <f>COUNTIF(V1134:AC1134,"&lt;&gt;0")</f>
        <v>0</v>
      </c>
      <c r="BA1134">
        <f>COUNTIF(AD1134:AI1134,"&lt;&gt;0")</f>
        <v>0</v>
      </c>
      <c r="BB1134">
        <f>COUNTIF(AJ1134:AL1134,"&lt;&gt;0")</f>
        <v>1</v>
      </c>
      <c r="BC1134">
        <f>COUNTIF(AS1134:AW1134,"&lt;&gt;0")</f>
        <v>0</v>
      </c>
      <c r="BD1134">
        <f>COUNTIF(AM1134:AR1134,"&lt;&gt;0")</f>
        <v>0</v>
      </c>
      <c r="BE1134" t="str" cm="1">
        <f t="array" ref="BE1134">IF(AY1134=1,INDEX($V$7:$AL$7,MATCH(TRUE,INDEX($V1134:$AW1134&lt;&gt;0,),0)),IF(AY1134=0,INDEX($AM$7:$AW$7,MATCH(1,$AM1134:$AW1134,0)),IF(BF1134="Multiple strategies","mixed drivers",IF(BF1134="Supply chain","multiple supply","multiple silviculture"))))</f>
        <v>efficiency improvement</v>
      </c>
      <c r="BF1134" s="2" t="str" cm="1">
        <f t="array" ref="BF1134">IF(COUNTIF(AZ1134:BB1134,"&lt;&gt;0")=1,INDEX($V$4:$AW$4,MATCH(TRUE,INDEX($V1134:$AW1134&lt;&gt;0,),0)),IF(COUNTIF(AZ1134:BB1134,"&lt;&gt;0")=0,INDEX($AM$4:$AW$4,MATCH(1,$AM1134:$AW1134,0)),"Multiple strategies"))</f>
        <v>Technology</v>
      </c>
      <c r="BG1134" s="164" t="s">
        <v>229</v>
      </c>
      <c r="BH1134" s="165" t="s">
        <v>3416</v>
      </c>
      <c r="BI1134" s="165" t="s">
        <v>3415</v>
      </c>
      <c r="BJ1134" s="166" t="s">
        <v>345</v>
      </c>
      <c r="BK1134" s="167"/>
      <c r="BL1134" s="167"/>
      <c r="BM1134" s="168" t="s">
        <v>886</v>
      </c>
      <c r="BN1134">
        <f>BL1134-BK1134</f>
        <v>0</v>
      </c>
      <c r="BO1134">
        <f>BN1134*kg_to_m3</f>
        <v>0</v>
      </c>
      <c r="BP1134" s="306" t="s">
        <v>395</v>
      </c>
      <c r="BQ1134" s="264" t="s">
        <v>887</v>
      </c>
      <c r="BR1134" s="264" t="s">
        <v>888</v>
      </c>
      <c r="BS1134" s="169">
        <v>81960007.070510104</v>
      </c>
      <c r="BT1134" s="169">
        <v>63759415.453145199</v>
      </c>
      <c r="BU1134" s="144">
        <v>0.78</v>
      </c>
      <c r="BV1134">
        <f>BT1134-BS1134</f>
        <v>-18200591.617364906</v>
      </c>
      <c r="BX1134">
        <f>BV1134/1000</f>
        <v>-18200.591617364906</v>
      </c>
      <c r="BY1134" t="str">
        <f>IFERROR(BX1134/BO1134,"")</f>
        <v/>
      </c>
      <c r="BZ1134">
        <v>0</v>
      </c>
      <c r="CA1134">
        <v>0</v>
      </c>
      <c r="CB1134">
        <v>0</v>
      </c>
      <c r="CC1134">
        <v>0</v>
      </c>
      <c r="CD1134">
        <v>0</v>
      </c>
      <c r="CE1134">
        <v>0</v>
      </c>
      <c r="CF1134">
        <v>0</v>
      </c>
      <c r="CG1134">
        <v>0</v>
      </c>
      <c r="CH1134">
        <v>0</v>
      </c>
      <c r="CI1134">
        <v>0</v>
      </c>
      <c r="CJ1134">
        <v>0</v>
      </c>
      <c r="CK1134">
        <v>0</v>
      </c>
      <c r="CL1134">
        <v>0</v>
      </c>
      <c r="CM1134">
        <v>0</v>
      </c>
      <c r="CN1134" t="str">
        <f>IF($BL1134&lt;$BK1134,"refNeedCorrection","refOK")</f>
        <v>refOK</v>
      </c>
      <c r="CO1134"/>
      <c r="CP1134"/>
      <c r="CQ1134">
        <f>IF($CN1134="refOK",$BO1134,-$BO1134)</f>
        <v>0</v>
      </c>
      <c r="CR1134">
        <f>IF($CN1134="refOK",$BS1134,$BT1134)*IF($BP1134="Emissions positive",-1,1)</f>
        <v>-81960007.070510104</v>
      </c>
      <c r="CS1134">
        <f>IF($CN1134="refOK",$BT1134,$BS1134)*IF($BP1134="Emissions positive",-1,1)</f>
        <v>-63759415.453145199</v>
      </c>
      <c r="CT1134">
        <f>IF($CN1134="refNeedCorrection",-BX1134,BX1134)*IF($BP1134="Emissions positive",-1,1)</f>
        <v>18200.591617364906</v>
      </c>
      <c r="CU1134" t="str">
        <f>IFERROR(CT1134/CQ1134,"")</f>
        <v/>
      </c>
      <c r="CV1134" s="2">
        <f>IFERROR((CS1134-CR1134)/ABS(CR1134),"")</f>
        <v>0.2220667404494848</v>
      </c>
      <c r="CW1134" s="1" t="s">
        <v>347</v>
      </c>
      <c r="CX1134" s="264" t="str">
        <f>IF(OR($CW1134="prd",$CW1134="std",$CW1134="cit"),"loc",IF(OR($CW1134="eur",$CW1134="reg",$CW1134="coy"),"reg",$CW1134))</f>
        <v>loc</v>
      </c>
      <c r="CY1134" t="s">
        <v>264</v>
      </c>
      <c r="CZ1134">
        <v>2019</v>
      </c>
      <c r="DA1134" s="143">
        <v>2080</v>
      </c>
      <c r="DB1134" s="143">
        <f>DA1134-CZ1134</f>
        <v>61</v>
      </c>
      <c r="DC1134" t="str">
        <f>IF(DB1134=0,"0",IF(AND(DB1134&gt;=1,DB1134&lt;=30),"1-30",IF(AND(DB1134&gt;30,DB1134&lt;=70),"31-70",IF(AND(DB1134&gt;70,DB1134&lt;=100),"71-100",IF(DB1134&gt;100,"+100")))))</f>
        <v>31-70</v>
      </c>
      <c r="DD1134">
        <v>0</v>
      </c>
      <c r="DE1134">
        <v>0</v>
      </c>
      <c r="DF1134">
        <v>0</v>
      </c>
      <c r="DG1134">
        <v>1</v>
      </c>
      <c r="DI1134">
        <f>SUM(DD1134:DG1134)</f>
        <v>1</v>
      </c>
      <c r="DJ1134" t="str">
        <f>IF(DI1134=1,INDEX($DD$7:$DG$7,MATCH(1,$DD1134:$DG1134,0)),"mixedProduct")</f>
        <v>TimberInput</v>
      </c>
      <c r="DK1134">
        <f>IF(DD1134=1,DK$7,0)</f>
        <v>0</v>
      </c>
      <c r="DL1134">
        <f>IF(DE1134=1,DL$7,0)</f>
        <v>0</v>
      </c>
      <c r="DM1134">
        <f>IF(DF1134=1,DM$7,0)</f>
        <v>0</v>
      </c>
      <c r="DN1134" t="str">
        <f>IF(DG1134=1,DN$7,0)</f>
        <v>Timber</v>
      </c>
      <c r="DO1134">
        <v>0</v>
      </c>
      <c r="DP1134" s="143">
        <v>0</v>
      </c>
      <c r="DQ1134" s="143">
        <v>0</v>
      </c>
      <c r="DR1134">
        <v>0</v>
      </c>
      <c r="DS1134" s="143">
        <v>0</v>
      </c>
      <c r="DT1134">
        <f>SUM(DO1134:DP1134)</f>
        <v>0</v>
      </c>
      <c r="DU1134" s="143" t="str">
        <f>IF(DO1134=1,"self-calculated DF",IF(DP1134=1,"external DF used","explicit C balance"))</f>
        <v>explicit C balance</v>
      </c>
      <c r="DV1134" s="143">
        <v>0</v>
      </c>
      <c r="DW1134" s="143">
        <v>0</v>
      </c>
      <c r="DX1134" s="143">
        <v>0</v>
      </c>
      <c r="DY1134" s="143">
        <v>1</v>
      </c>
      <c r="DZ1134">
        <v>0</v>
      </c>
      <c r="EA1134" s="143">
        <v>0</v>
      </c>
      <c r="EB1134" s="143">
        <v>1</v>
      </c>
      <c r="EC1134" s="143">
        <v>1</v>
      </c>
      <c r="ED1134" s="143">
        <v>1</v>
      </c>
      <c r="EE1134">
        <v>0</v>
      </c>
      <c r="EF1134">
        <v>0</v>
      </c>
      <c r="EG1134" s="143">
        <v>0</v>
      </c>
      <c r="EH1134">
        <v>0</v>
      </c>
      <c r="EI1134" s="2">
        <v>0</v>
      </c>
      <c r="EK1134" t="str">
        <f>IF(AND(AND(AND(OR($DX1134=1,$DW1134=1),OR($EC1134=1,$EA1134=1)),SUM($DV1134:$DZ1134,$EF1134)&gt;=4),SUM($EA1134:$EE1134)&gt;=2),"Whole sector","")</f>
        <v/>
      </c>
      <c r="EL1134" t="str">
        <f>IF(AND(AND(OR($DX1134=1,$DW1134=1),AND($EC1134=0,$EA1134=0)),SUM($DV1134:$DZ1134,$EF1134)&gt;=4),"Ecosystem approach","")</f>
        <v/>
      </c>
      <c r="EM1134" s="2" t="str">
        <f>IF(AND(AND(AND($DX1134=0,$DW1134=0),OR($EC1134=1,$EA1134=1)),SUM($EB1134:$EE1134)&gt;=2),"Technology approach","")</f>
        <v>Technology approach</v>
      </c>
      <c r="EP1134" t="b">
        <f>IF(ISNUMBER(BU1134),IF(ABS(BU1134-[3]QC_indicators!$B$2)&gt;3*[3]QC_indicators!$C$2,"C ratio",IF(ISNUMBER(BY1134),IF(ABS(BY1134-[3]QC_indicators!$B$1)&gt;3*[3]QC_indicators!$C$1,"DF","no"))),IF(ISNUMBER(BY1134),IF(ABS(BY1134-[3]QC_indicators!$B$1)&gt;3*[3]QC_indicators!$C$1,"DF","no")))</f>
        <v>0</v>
      </c>
      <c r="ER1134" s="294" t="s">
        <v>349</v>
      </c>
      <c r="ET1134" s="306" t="s">
        <v>3419</v>
      </c>
    </row>
    <row r="1135" spans="1:150" ht="15" customHeight="1">
      <c r="A1135" s="1" t="s">
        <v>878</v>
      </c>
      <c r="D1135" s="264" t="s">
        <v>879</v>
      </c>
      <c r="E1135" s="264" t="s">
        <v>880</v>
      </c>
      <c r="H1135" t="s">
        <v>881</v>
      </c>
      <c r="I1135">
        <v>2020</v>
      </c>
      <c r="J1135">
        <v>8</v>
      </c>
      <c r="K1135" t="s">
        <v>882</v>
      </c>
      <c r="M1135" t="str">
        <f>LEFT($D1135,FIND(",",$D1135)-1)&amp;"_"&amp;I1135&amp;L1135</f>
        <v>Lausselet_2020</v>
      </c>
      <c r="N1135" t="s">
        <v>222</v>
      </c>
      <c r="O1135" s="145" t="s">
        <v>225</v>
      </c>
      <c r="Q1135" s="264" t="s">
        <v>256</v>
      </c>
      <c r="R1135" s="269" t="s">
        <v>341</v>
      </c>
      <c r="S1135" s="1" t="s">
        <v>889</v>
      </c>
      <c r="T1135" t="s">
        <v>885</v>
      </c>
      <c r="U1135" s="143" t="s">
        <v>891</v>
      </c>
      <c r="V1135">
        <v>0</v>
      </c>
      <c r="W1135">
        <v>0</v>
      </c>
      <c r="X1135">
        <v>0</v>
      </c>
      <c r="Y1135">
        <v>0</v>
      </c>
      <c r="Z1135">
        <v>0</v>
      </c>
      <c r="AA1135">
        <v>0</v>
      </c>
      <c r="AB1135">
        <v>0</v>
      </c>
      <c r="AC1135">
        <v>0</v>
      </c>
      <c r="AD1135">
        <v>0</v>
      </c>
      <c r="AE1135">
        <v>0</v>
      </c>
      <c r="AF1135">
        <v>0</v>
      </c>
      <c r="AG1135">
        <v>0</v>
      </c>
      <c r="AH1135">
        <v>0</v>
      </c>
      <c r="AI1135">
        <v>0</v>
      </c>
      <c r="AJ1135">
        <v>1</v>
      </c>
      <c r="AK1135">
        <v>0</v>
      </c>
      <c r="AL1135">
        <v>0</v>
      </c>
      <c r="AM1135">
        <v>0</v>
      </c>
      <c r="AN1135">
        <v>0</v>
      </c>
      <c r="AO1135">
        <v>0</v>
      </c>
      <c r="AP1135">
        <v>0</v>
      </c>
      <c r="AQ1135">
        <v>0</v>
      </c>
      <c r="AR1135">
        <v>0</v>
      </c>
      <c r="AS1135">
        <v>0</v>
      </c>
      <c r="AT1135">
        <v>0</v>
      </c>
      <c r="AU1135">
        <v>0</v>
      </c>
      <c r="AV1135">
        <v>0</v>
      </c>
      <c r="AW1135">
        <v>0</v>
      </c>
      <c r="AX1135" s="141">
        <f>COUNTIF(V1135:AW1135,"&lt;&gt;0")</f>
        <v>1</v>
      </c>
      <c r="AY1135" s="141">
        <f>COUNTIF(V1135:AL1135,"&lt;&gt;0")</f>
        <v>1</v>
      </c>
      <c r="AZ1135">
        <f>COUNTIF(V1135:AC1135,"&lt;&gt;0")</f>
        <v>0</v>
      </c>
      <c r="BA1135">
        <f>COUNTIF(AD1135:AI1135,"&lt;&gt;0")</f>
        <v>0</v>
      </c>
      <c r="BB1135">
        <f>COUNTIF(AJ1135:AL1135,"&lt;&gt;0")</f>
        <v>1</v>
      </c>
      <c r="BC1135">
        <f>COUNTIF(AS1135:AW1135,"&lt;&gt;0")</f>
        <v>0</v>
      </c>
      <c r="BD1135">
        <f>COUNTIF(AM1135:AR1135,"&lt;&gt;0")</f>
        <v>0</v>
      </c>
      <c r="BE1135" t="str" cm="1">
        <f t="array" ref="BE1135">IF(AY1135=1,INDEX($V$7:$AL$7,MATCH(TRUE,INDEX($V1135:$AW1135&lt;&gt;0,),0)),IF(AY1135=0,INDEX($AM$7:$AW$7,MATCH(1,$AM1135:$AW1135,0)),IF(BF1135="Multiple strategies","mixed drivers",IF(BF1135="Supply chain","multiple supply","multiple silviculture"))))</f>
        <v>efficiency improvement</v>
      </c>
      <c r="BF1135" s="2" t="str" cm="1">
        <f t="array" ref="BF1135">IF(COUNTIF(AZ1135:BB1135,"&lt;&gt;0")=1,INDEX($V$4:$AW$4,MATCH(TRUE,INDEX($V1135:$AW1135&lt;&gt;0,),0)),IF(COUNTIF(AZ1135:BB1135,"&lt;&gt;0")=0,INDEX($AM$4:$AW$4,MATCH(1,$AM1135:$AW1135,0)),"Multiple strategies"))</f>
        <v>Technology</v>
      </c>
      <c r="BG1135" s="164" t="s">
        <v>229</v>
      </c>
      <c r="BH1135" s="165" t="s">
        <v>3416</v>
      </c>
      <c r="BI1135" s="165" t="s">
        <v>3415</v>
      </c>
      <c r="BJ1135" s="166" t="s">
        <v>345</v>
      </c>
      <c r="BK1135" s="167"/>
      <c r="BL1135" s="167"/>
      <c r="BM1135" s="168" t="s">
        <v>886</v>
      </c>
      <c r="BN1135">
        <f>BL1135-BK1135</f>
        <v>0</v>
      </c>
      <c r="BO1135">
        <f>BN1135*kg_to_m3</f>
        <v>0</v>
      </c>
      <c r="BP1135" s="306" t="s">
        <v>395</v>
      </c>
      <c r="BQ1135" s="264" t="s">
        <v>887</v>
      </c>
      <c r="BR1135" s="264" t="s">
        <v>888</v>
      </c>
      <c r="BS1135" s="169">
        <v>81960007.070510104</v>
      </c>
      <c r="BT1135" s="169">
        <v>69008389.932988703</v>
      </c>
      <c r="BU1135" s="144">
        <v>0.83999999999999986</v>
      </c>
      <c r="BV1135">
        <f>BT1135-BS1135</f>
        <v>-12951617.137521401</v>
      </c>
      <c r="BX1135">
        <f>BV1135/1000</f>
        <v>-12951.617137521402</v>
      </c>
      <c r="BY1135" t="str">
        <f>IFERROR(BX1135/BO1135,"")</f>
        <v/>
      </c>
      <c r="BZ1135">
        <v>0</v>
      </c>
      <c r="CA1135">
        <v>0</v>
      </c>
      <c r="CB1135">
        <v>0</v>
      </c>
      <c r="CC1135">
        <v>0</v>
      </c>
      <c r="CD1135">
        <v>0</v>
      </c>
      <c r="CE1135">
        <v>0</v>
      </c>
      <c r="CF1135">
        <v>0</v>
      </c>
      <c r="CG1135">
        <v>0</v>
      </c>
      <c r="CH1135">
        <v>0</v>
      </c>
      <c r="CI1135">
        <v>0</v>
      </c>
      <c r="CJ1135">
        <v>0</v>
      </c>
      <c r="CK1135">
        <v>0</v>
      </c>
      <c r="CL1135">
        <v>0</v>
      </c>
      <c r="CM1135">
        <v>0</v>
      </c>
      <c r="CN1135" t="str">
        <f>IF($BL1135&lt;$BK1135,"refNeedCorrection","refOK")</f>
        <v>refOK</v>
      </c>
      <c r="CO1135"/>
      <c r="CP1135"/>
      <c r="CQ1135">
        <f>IF($CN1135="refOK",$BO1135,-$BO1135)</f>
        <v>0</v>
      </c>
      <c r="CR1135">
        <f>IF($CN1135="refOK",$BS1135,$BT1135)*IF($BP1135="Emissions positive",-1,1)</f>
        <v>-81960007.070510104</v>
      </c>
      <c r="CS1135">
        <f>IF($CN1135="refOK",$BT1135,$BS1135)*IF($BP1135="Emissions positive",-1,1)</f>
        <v>-69008389.932988703</v>
      </c>
      <c r="CT1135">
        <f>IF($CN1135="refNeedCorrection",-BX1135,BX1135)*IF($BP1135="Emissions positive",-1,1)</f>
        <v>12951.617137521402</v>
      </c>
      <c r="CU1135" t="str">
        <f>IFERROR(CT1135/CQ1135,"")</f>
        <v/>
      </c>
      <c r="CV1135" s="2">
        <f>IFERROR((CS1135-CR1135)/ABS(CR1135),"")</f>
        <v>0.15802362152530244</v>
      </c>
      <c r="CW1135" s="1" t="s">
        <v>347</v>
      </c>
      <c r="CX1135" s="264" t="str">
        <f>IF(OR($CW1135="prd",$CW1135="std",$CW1135="cit"),"loc",IF(OR($CW1135="eur",$CW1135="reg",$CW1135="coy"),"reg",$CW1135))</f>
        <v>loc</v>
      </c>
      <c r="CY1135" t="s">
        <v>264</v>
      </c>
      <c r="CZ1135">
        <v>2019</v>
      </c>
      <c r="DA1135" s="143">
        <v>2080</v>
      </c>
      <c r="DB1135" s="143">
        <f>DA1135-CZ1135</f>
        <v>61</v>
      </c>
      <c r="DC1135" t="str">
        <f>IF(DB1135=0,"0",IF(AND(DB1135&gt;=1,DB1135&lt;=30),"1-30",IF(AND(DB1135&gt;30,DB1135&lt;=70),"31-70",IF(AND(DB1135&gt;70,DB1135&lt;=100),"71-100",IF(DB1135&gt;100,"+100")))))</f>
        <v>31-70</v>
      </c>
      <c r="DD1135">
        <v>0</v>
      </c>
      <c r="DE1135">
        <v>0</v>
      </c>
      <c r="DF1135">
        <v>0</v>
      </c>
      <c r="DG1135">
        <v>1</v>
      </c>
      <c r="DI1135">
        <f>SUM(DD1135:DG1135)</f>
        <v>1</v>
      </c>
      <c r="DJ1135" t="str">
        <f>IF(DI1135=1,INDEX($DD$7:$DG$7,MATCH(1,$DD1135:$DG1135,0)),"mixedProduct")</f>
        <v>TimberInput</v>
      </c>
      <c r="DK1135">
        <f>IF(DD1135=1,DK$7,0)</f>
        <v>0</v>
      </c>
      <c r="DL1135">
        <f>IF(DE1135=1,DL$7,0)</f>
        <v>0</v>
      </c>
      <c r="DM1135">
        <f>IF(DF1135=1,DM$7,0)</f>
        <v>0</v>
      </c>
      <c r="DN1135" t="str">
        <f>IF(DG1135=1,DN$7,0)</f>
        <v>Timber</v>
      </c>
      <c r="DO1135">
        <v>0</v>
      </c>
      <c r="DP1135" s="143">
        <v>0</v>
      </c>
      <c r="DQ1135" s="143">
        <v>0</v>
      </c>
      <c r="DR1135">
        <v>0</v>
      </c>
      <c r="DS1135" s="143">
        <v>0</v>
      </c>
      <c r="DT1135">
        <f>SUM(DO1135:DP1135)</f>
        <v>0</v>
      </c>
      <c r="DU1135" s="143" t="str">
        <f>IF(DO1135=1,"self-calculated DF",IF(DP1135=1,"external DF used","explicit C balance"))</f>
        <v>explicit C balance</v>
      </c>
      <c r="DV1135" s="143">
        <v>0</v>
      </c>
      <c r="DW1135" s="143">
        <v>0</v>
      </c>
      <c r="DX1135" s="143">
        <v>0</v>
      </c>
      <c r="DY1135" s="143">
        <v>1</v>
      </c>
      <c r="DZ1135">
        <v>0</v>
      </c>
      <c r="EA1135" s="143">
        <v>0</v>
      </c>
      <c r="EB1135" s="143">
        <v>1</v>
      </c>
      <c r="EC1135" s="143">
        <v>1</v>
      </c>
      <c r="ED1135" s="143">
        <v>1</v>
      </c>
      <c r="EE1135">
        <v>0</v>
      </c>
      <c r="EF1135">
        <v>0</v>
      </c>
      <c r="EG1135" s="143">
        <v>0</v>
      </c>
      <c r="EH1135">
        <v>0</v>
      </c>
      <c r="EI1135" s="2">
        <v>0</v>
      </c>
      <c r="EK1135" t="str">
        <f>IF(AND(AND(AND(OR($DX1135=1,$DW1135=1),OR($EC1135=1,$EA1135=1)),SUM($DV1135:$DZ1135,$EF1135)&gt;=4),SUM($EA1135:$EE1135)&gt;=2),"Whole sector","")</f>
        <v/>
      </c>
      <c r="EL1135" t="str">
        <f>IF(AND(AND(OR($DX1135=1,$DW1135=1),AND($EC1135=0,$EA1135=0)),SUM($DV1135:$DZ1135,$EF1135)&gt;=4),"Ecosystem approach","")</f>
        <v/>
      </c>
      <c r="EM1135" s="2" t="str">
        <f>IF(AND(AND(AND($DX1135=0,$DW1135=0),OR($EC1135=1,$EA1135=1)),SUM($EB1135:$EE1135)&gt;=2),"Technology approach","")</f>
        <v>Technology approach</v>
      </c>
      <c r="EP1135" t="b">
        <f>IF(ISNUMBER(BU1135),IF(ABS(BU1135-[3]QC_indicators!$B$2)&gt;3*[3]QC_indicators!$C$2,"C ratio",IF(ISNUMBER(BY1135),IF(ABS(BY1135-[3]QC_indicators!$B$1)&gt;3*[3]QC_indicators!$C$1,"DF","no"))),IF(ISNUMBER(BY1135),IF(ABS(BY1135-[3]QC_indicators!$B$1)&gt;3*[3]QC_indicators!$C$1,"DF","no")))</f>
        <v>0</v>
      </c>
      <c r="ER1135" s="294" t="s">
        <v>349</v>
      </c>
      <c r="ET1135" s="306" t="s">
        <v>3419</v>
      </c>
    </row>
    <row r="1136" spans="1:150" ht="15" customHeight="1">
      <c r="A1136" s="1" t="s">
        <v>1891</v>
      </c>
      <c r="B1136" t="s">
        <v>1892</v>
      </c>
      <c r="D1136" t="s">
        <v>1893</v>
      </c>
      <c r="E1136" t="s">
        <v>1894</v>
      </c>
      <c r="F1136" t="s">
        <v>1895</v>
      </c>
      <c r="G1136" t="s">
        <v>1896</v>
      </c>
      <c r="H1136" t="s">
        <v>254</v>
      </c>
      <c r="I1136">
        <v>2009</v>
      </c>
      <c r="J1136">
        <v>31</v>
      </c>
      <c r="K1136" t="s">
        <v>1897</v>
      </c>
      <c r="M1136" t="str">
        <f>LEFT($D1136,FIND(",",$D1136)-1)&amp;"_"&amp;I1136&amp;L1136</f>
        <v>Liu_2009</v>
      </c>
      <c r="N1136" t="s">
        <v>222</v>
      </c>
      <c r="O1136" s="145" t="s">
        <v>225</v>
      </c>
      <c r="Q1136" t="s">
        <v>256</v>
      </c>
      <c r="R1136" s="262" t="s">
        <v>223</v>
      </c>
      <c r="S1136" s="1" t="s">
        <v>1902</v>
      </c>
      <c r="T1136" s="143" t="s">
        <v>1903</v>
      </c>
      <c r="U1136" s="143" t="s">
        <v>1904</v>
      </c>
      <c r="V1136">
        <v>0</v>
      </c>
      <c r="W1136">
        <v>0</v>
      </c>
      <c r="X1136">
        <v>0</v>
      </c>
      <c r="Y1136">
        <v>0</v>
      </c>
      <c r="Z1136">
        <v>0</v>
      </c>
      <c r="AA1136">
        <v>0</v>
      </c>
      <c r="AB1136">
        <v>0</v>
      </c>
      <c r="AC1136">
        <v>0</v>
      </c>
      <c r="AD1136">
        <v>0</v>
      </c>
      <c r="AE1136">
        <v>0</v>
      </c>
      <c r="AF1136">
        <v>0</v>
      </c>
      <c r="AG1136">
        <v>0</v>
      </c>
      <c r="AH1136">
        <v>0</v>
      </c>
      <c r="AI1136">
        <v>1</v>
      </c>
      <c r="AJ1136">
        <v>0</v>
      </c>
      <c r="AK1136">
        <v>0</v>
      </c>
      <c r="AL1136">
        <v>0</v>
      </c>
      <c r="AM1136">
        <v>0</v>
      </c>
      <c r="AN1136">
        <v>0</v>
      </c>
      <c r="AO1136">
        <v>0</v>
      </c>
      <c r="AP1136">
        <v>0</v>
      </c>
      <c r="AQ1136">
        <v>0</v>
      </c>
      <c r="AR1136">
        <v>0</v>
      </c>
      <c r="AS1136">
        <v>0</v>
      </c>
      <c r="AT1136">
        <v>0</v>
      </c>
      <c r="AU1136">
        <v>0</v>
      </c>
      <c r="AV1136">
        <v>0</v>
      </c>
      <c r="AW1136">
        <v>0</v>
      </c>
      <c r="AX1136" s="141">
        <f>COUNTIF(V1136:AW1136,"&lt;&gt;0")</f>
        <v>1</v>
      </c>
      <c r="AY1136" s="141">
        <f>COUNTIF(V1136:AL1136,"&lt;&gt;0")</f>
        <v>1</v>
      </c>
      <c r="AZ1136">
        <f>COUNTIF(V1136:AC1136,"&lt;&gt;0")</f>
        <v>0</v>
      </c>
      <c r="BA1136">
        <f>COUNTIF(AD1136:AI1136,"&lt;&gt;0")</f>
        <v>1</v>
      </c>
      <c r="BB1136">
        <f>COUNTIF(AJ1136:AL1136,"&lt;&gt;0")</f>
        <v>0</v>
      </c>
      <c r="BC1136">
        <f>COUNTIF(AS1136:AW1136,"&lt;&gt;0")</f>
        <v>0</v>
      </c>
      <c r="BD1136">
        <f>COUNTIF(AM1136:AR1136,"&lt;&gt;0")</f>
        <v>0</v>
      </c>
      <c r="BE1136" t="str">
        <f t="array" ref="BE1136">IF(AY1136=1,INDEX($V$7:$AL$7,MATCH(TRUE,INDEX($V1136:$AW1136&lt;&gt;0,),0)),IF(AY1136=0,INDEX($AM$7:$AW$7,MATCH(1,$AM1136:$AW1136,0)),IF(BF1136="Multiple strategies","mixed drivers",IF(BF1136="Supply chain","multiple supply","multiple silviculture"))))</f>
        <v>products lifespan</v>
      </c>
      <c r="BF1136" s="2" t="str" cm="1">
        <f t="array" ref="BF1136">IF(COUNTIF(AZ1136:BB1136,"&lt;&gt;0")=1,INDEX($V$4:$AW$4,MATCH(TRUE,INDEX($V1136:$AW1136&lt;&gt;0,),0)),IF(COUNTIF(AZ1136:BB1136,"&lt;&gt;0")=0,INDEX($AM$4:$AW$4,MATCH(1,$AM1136:$AW1136,0)),"Multiple strategies"))</f>
        <v>Supply chain</v>
      </c>
      <c r="BG1136" s="142" t="s">
        <v>321</v>
      </c>
      <c r="BH1136" s="264" t="s">
        <v>3157</v>
      </c>
      <c r="BI1136" s="264" t="s">
        <v>3158</v>
      </c>
      <c r="BJ1136" s="143" t="s">
        <v>1355</v>
      </c>
      <c r="BK1136" s="143">
        <f>4.8*10+3.3*390</f>
        <v>1335</v>
      </c>
      <c r="BL1136" s="143">
        <f>4.8*10+3.3*390</f>
        <v>1335</v>
      </c>
      <c r="BM1136" s="163">
        <f>BL1136/BK1136</f>
        <v>1</v>
      </c>
      <c r="BN1136">
        <f>BL1136-BK1136</f>
        <v>0</v>
      </c>
      <c r="BO1136">
        <f>BN1136*10^6</f>
        <v>0</v>
      </c>
      <c r="BP1136" t="s">
        <v>232</v>
      </c>
      <c r="BQ1136" s="153" t="s">
        <v>3159</v>
      </c>
      <c r="BR1136" t="s">
        <v>1900</v>
      </c>
      <c r="BS1136" s="143">
        <f>500</f>
        <v>500</v>
      </c>
      <c r="BT1136">
        <f>560</f>
        <v>560</v>
      </c>
      <c r="BU1136" s="144">
        <f>IFERROR(BT1136/BS1136,"")</f>
        <v>1.1200000000000001</v>
      </c>
      <c r="BV1136">
        <f>BT1136-BS1136</f>
        <v>60</v>
      </c>
      <c r="BX1136">
        <f>BV1136*10^6*C_to_CO2</f>
        <v>220200000</v>
      </c>
      <c r="BY1136" t="str">
        <f>IFERROR(BX1136/BO1136,"")</f>
        <v/>
      </c>
      <c r="BZ1136">
        <v>0</v>
      </c>
      <c r="CA1136">
        <v>0</v>
      </c>
      <c r="CB1136">
        <v>0</v>
      </c>
      <c r="CC1136">
        <v>0</v>
      </c>
      <c r="CD1136">
        <v>0</v>
      </c>
      <c r="CE1136">
        <v>0</v>
      </c>
      <c r="CF1136">
        <v>0</v>
      </c>
      <c r="CG1136">
        <v>0</v>
      </c>
      <c r="CH1136">
        <v>0</v>
      </c>
      <c r="CI1136">
        <v>0</v>
      </c>
      <c r="CJ1136">
        <v>0</v>
      </c>
      <c r="CK1136">
        <v>0</v>
      </c>
      <c r="CL1136">
        <v>0</v>
      </c>
      <c r="CM1136">
        <v>0</v>
      </c>
      <c r="CN1136" t="str">
        <f>IF($BL1136&lt;$BK1136,"refNeedCorrection","refOK")</f>
        <v>refOK</v>
      </c>
      <c r="CO1136">
        <f>IF($CN1136="refOK",$BK1136,$BL1136)</f>
        <v>1335</v>
      </c>
      <c r="CP1136">
        <f>IF($CN1136="refOK",$BL1136,$BK1136)</f>
        <v>1335</v>
      </c>
      <c r="CQ1136">
        <f>IF($CN1136="refOK",$BO1136,-$BO1136)</f>
        <v>0</v>
      </c>
      <c r="CR1136">
        <f>IF($CN1136="refOK",$BS1136,$BT1136)*IF($BP1136="Emissions positive",-1,1)</f>
        <v>500</v>
      </c>
      <c r="CS1136">
        <f>IF($CN1136="refOK",$BT1136,$BS1136)*IF($BP1136="Emissions positive",-1,1)</f>
        <v>560</v>
      </c>
      <c r="CT1136">
        <f>IF($CN1136="refNeedCorrection",-BX1136,BX1136)*IF($BP1136="Emissions positive",-1,1)</f>
        <v>220200000</v>
      </c>
      <c r="CU1136" t="str">
        <f>IFERROR(CT1136/CQ1136,"")</f>
        <v/>
      </c>
      <c r="CV1136" s="2">
        <f>IFERROR((CS1136-CR1136)/ABS(CR1136),"")</f>
        <v>0.12</v>
      </c>
      <c r="CW1136" s="1" t="s">
        <v>1199</v>
      </c>
      <c r="CX1136" t="str">
        <f>IF(OR($CW1136="prd",$CW1136="std",$CW1136="cit"),"loc",IF(OR($CW1136="eur",$CW1136="reg",$CW1136="coy"),"reg",$CW1136))</f>
        <v>reg</v>
      </c>
      <c r="CY1136" t="s">
        <v>540</v>
      </c>
      <c r="DA1136" s="143"/>
      <c r="DB1136" s="143">
        <v>400</v>
      </c>
      <c r="DC1136" t="str">
        <f>IF(DB1136=0,"0",IF(AND(DB1136&gt;=1,DB1136&lt;=30),"1-30",IF(AND(DB1136&gt;30,DB1136&lt;=70),"31-70",IF(AND(DB1136&gt;70,DB1136&lt;=100),"71-100",IF(DB1136&gt;100,"+100")))))</f>
        <v>+100</v>
      </c>
      <c r="DD1136">
        <v>0</v>
      </c>
      <c r="DE1136">
        <v>0</v>
      </c>
      <c r="DF1136">
        <v>0</v>
      </c>
      <c r="DG1136">
        <v>1</v>
      </c>
      <c r="DI1136">
        <f>SUM(DD1136:DG1136)</f>
        <v>1</v>
      </c>
      <c r="DJ1136" t="str">
        <f>IF(DI1136=1,INDEX($DD$7:$DG$7,MATCH(1,$DD1136:$DG1136,0)),"mixedProduct")</f>
        <v>TimberInput</v>
      </c>
      <c r="DK1136">
        <f>IF(DD1136=1,DK$7,0)</f>
        <v>0</v>
      </c>
      <c r="DL1136">
        <f>IF(DE1136=1,DL$7,0)</f>
        <v>0</v>
      </c>
      <c r="DM1136">
        <f>IF(DF1136=1,DM$7,0)</f>
        <v>0</v>
      </c>
      <c r="DN1136" t="str">
        <f>IF(DG1136=1,DN$7,0)</f>
        <v>Timber</v>
      </c>
      <c r="DO1136">
        <v>0</v>
      </c>
      <c r="DP1136" s="143">
        <v>0</v>
      </c>
      <c r="DQ1136" s="143">
        <v>0</v>
      </c>
      <c r="DR1136">
        <v>0</v>
      </c>
      <c r="DS1136" s="143">
        <v>0</v>
      </c>
      <c r="DT1136">
        <f>SUM(DO1136:DP1136)</f>
        <v>0</v>
      </c>
      <c r="DU1136" s="143" t="str">
        <f>IF(DO1136=1,"self-calculated DF",IF(DP1136=1,"external DF used","explicit C balance"))</f>
        <v>explicit C balance</v>
      </c>
      <c r="DV1136" s="143">
        <v>1</v>
      </c>
      <c r="DW1136" s="143">
        <v>0</v>
      </c>
      <c r="DX1136" s="143">
        <v>1</v>
      </c>
      <c r="DY1136" s="143">
        <v>1</v>
      </c>
      <c r="DZ1136">
        <v>1</v>
      </c>
      <c r="EA1136" s="143">
        <v>0</v>
      </c>
      <c r="EB1136" s="143">
        <v>0</v>
      </c>
      <c r="EC1136" s="143">
        <v>0</v>
      </c>
      <c r="ED1136" s="143">
        <v>0</v>
      </c>
      <c r="EE1136">
        <v>0</v>
      </c>
      <c r="EF1136">
        <v>1</v>
      </c>
      <c r="EG1136" s="143">
        <v>0</v>
      </c>
      <c r="EH1136">
        <v>0</v>
      </c>
      <c r="EI1136" s="2">
        <v>0</v>
      </c>
      <c r="EJ1136" s="263" t="s">
        <v>3160</v>
      </c>
      <c r="EK1136" t="str">
        <f>IF(AND(AND(AND(OR($DX1136=1,$DW1136=1),OR($EC1136=1,$EA1136=1)),SUM($DV1136:$DZ1136,$EF1136)&gt;=4),SUM($EA1136:$EE1136)&gt;=2),"Whole sector","")</f>
        <v/>
      </c>
      <c r="EL1136" t="str">
        <f>IF(AND(AND(OR($DX1136=1,$DW1136=1),AND($EC1136=0,$EA1136=0)),SUM($DV1136:$DZ1136,$EF1136)&gt;=4),"Ecosystem approach","")</f>
        <v>Ecosystem approach</v>
      </c>
      <c r="EM1136" s="2" t="str">
        <f>IF(AND(AND(AND($DX1136=0,$DW1136=0),OR($EC1136=1,$EA1136=1)),SUM($EB1136:$EE1136)&gt;=2),"Technology approach","")</f>
        <v/>
      </c>
      <c r="EP1136" t="b">
        <f>IF(ISNUMBER(BU1136),IF(ABS(BU1136-[1]QC_indicators!$B$2)&gt;3*[1]QC_indicators!$C$2,"C ratio",IF(ISNUMBER(BY1136),IF(ABS(BY1136-[1]QC_indicators!$B$1)&gt;3*[1]QC_indicators!$C$1,"DF","no"))),IF(ISNUMBER(BY1136),IF(ABS(BY1136-[1]QC_indicators!$B$1)&gt;3*[1]QC_indicators!$C$1,"DF","no")))</f>
        <v>0</v>
      </c>
      <c r="ET1136" s="264" t="s">
        <v>3161</v>
      </c>
    </row>
    <row r="1137" spans="1:150" ht="15" customHeight="1">
      <c r="A1137" s="1" t="s">
        <v>656</v>
      </c>
      <c r="B1137" t="s">
        <v>1905</v>
      </c>
      <c r="C1137" t="s">
        <v>1906</v>
      </c>
      <c r="D1137" t="s">
        <v>1907</v>
      </c>
      <c r="E1137" t="s">
        <v>1908</v>
      </c>
      <c r="F1137" t="s">
        <v>1909</v>
      </c>
      <c r="G1137" t="s">
        <v>662</v>
      </c>
      <c r="H1137" t="s">
        <v>254</v>
      </c>
      <c r="I1137">
        <v>2016</v>
      </c>
      <c r="J1137">
        <v>41</v>
      </c>
      <c r="K1137" t="s">
        <v>1910</v>
      </c>
      <c r="M1137" t="str">
        <f>LEFT($D1137,FIND(",",$D1137)-1)&amp;"_"&amp;I1137&amp;L1137</f>
        <v>Liu_2016</v>
      </c>
      <c r="N1137" t="s">
        <v>222</v>
      </c>
      <c r="O1137" s="145" t="s">
        <v>225</v>
      </c>
      <c r="Q1137" s="264" t="s">
        <v>256</v>
      </c>
      <c r="R1137" s="269" t="s">
        <v>1154</v>
      </c>
      <c r="S1137" s="1" t="s">
        <v>1911</v>
      </c>
      <c r="T1137" s="183">
        <v>0.55000000000000004</v>
      </c>
      <c r="U1137" s="183">
        <v>0.9</v>
      </c>
      <c r="V1137">
        <v>0</v>
      </c>
      <c r="W1137">
        <v>0</v>
      </c>
      <c r="X1137">
        <v>0</v>
      </c>
      <c r="Y1137">
        <v>0</v>
      </c>
      <c r="Z1137">
        <v>0</v>
      </c>
      <c r="AA1137">
        <v>0</v>
      </c>
      <c r="AB1137">
        <v>0</v>
      </c>
      <c r="AC1137">
        <v>0</v>
      </c>
      <c r="AD1137">
        <v>0</v>
      </c>
      <c r="AE1137">
        <v>0</v>
      </c>
      <c r="AF1137">
        <v>0</v>
      </c>
      <c r="AG1137">
        <v>1</v>
      </c>
      <c r="AH1137">
        <v>0</v>
      </c>
      <c r="AI1137">
        <v>0</v>
      </c>
      <c r="AJ1137">
        <v>0</v>
      </c>
      <c r="AK1137">
        <v>0</v>
      </c>
      <c r="AL1137">
        <v>0</v>
      </c>
      <c r="AM1137">
        <v>0</v>
      </c>
      <c r="AN1137">
        <v>0</v>
      </c>
      <c r="AO1137">
        <v>0</v>
      </c>
      <c r="AP1137">
        <v>0</v>
      </c>
      <c r="AQ1137">
        <v>0</v>
      </c>
      <c r="AR1137">
        <v>0</v>
      </c>
      <c r="AS1137">
        <v>0</v>
      </c>
      <c r="AT1137">
        <v>0</v>
      </c>
      <c r="AU1137">
        <v>0</v>
      </c>
      <c r="AV1137">
        <v>0</v>
      </c>
      <c r="AW1137">
        <v>0</v>
      </c>
      <c r="AX1137" s="141">
        <f>COUNTIF(V1137:AW1137,"&lt;&gt;0")</f>
        <v>1</v>
      </c>
      <c r="AY1137" s="141">
        <f>COUNTIF(V1137:AL1137,"&lt;&gt;0")</f>
        <v>1</v>
      </c>
      <c r="AZ1137">
        <f>COUNTIF(V1137:AC1137,"&lt;&gt;0")</f>
        <v>0</v>
      </c>
      <c r="BA1137">
        <f>COUNTIF(AD1137:AI1137,"&lt;&gt;0")</f>
        <v>1</v>
      </c>
      <c r="BB1137">
        <f>COUNTIF(AJ1137:AL1137,"&lt;&gt;0")</f>
        <v>0</v>
      </c>
      <c r="BC1137">
        <f>COUNTIF(AS1137:AW1137,"&lt;&gt;0")</f>
        <v>0</v>
      </c>
      <c r="BD1137">
        <f>COUNTIF(AM1137:AR1137,"&lt;&gt;0")</f>
        <v>0</v>
      </c>
      <c r="BE1137" t="str" cm="1">
        <f t="array" ref="BE1137">IF(AY1137=1,INDEX($V$7:$AL$7,MATCH(TRUE,INDEX($V1137:$AW1137&lt;&gt;0,),0)),IF(AY1137=0,INDEX($AM$7:$AW$7,MATCH(1,$AM1137:$AW1137,0)),IF(BF1137="Multiple strategies","mixed drivers",IF(BF1137="Supply chain","multiple supply","multiple silviculture"))))</f>
        <v>recycling</v>
      </c>
      <c r="BF1137" s="2" t="str" cm="1">
        <f t="array" ref="BF1137">IF(COUNTIF(AZ1137:BB1137,"&lt;&gt;0")=1,INDEX($V$4:$AW$4,MATCH(TRUE,INDEX($V1137:$AW1137&lt;&gt;0,),0)),IF(COUNTIF(AZ1137:BB1137,"&lt;&gt;0")=0,INDEX($AM$4:$AW$4,MATCH(1,$AM1137:$AW1137,0)),"Multiple strategies"))</f>
        <v>Supply chain</v>
      </c>
      <c r="BG1137" s="142" t="s">
        <v>229</v>
      </c>
      <c r="BH1137" t="s">
        <v>1912</v>
      </c>
      <c r="BJ1137" s="143" t="s">
        <v>1913</v>
      </c>
      <c r="BK1137">
        <v>606</v>
      </c>
      <c r="BL1137" s="143">
        <v>606</v>
      </c>
      <c r="BM1137" s="163"/>
      <c r="BN1137">
        <f>BL1137-BK1137</f>
        <v>0</v>
      </c>
      <c r="BO1137" s="143">
        <f>BN1137*t_to_m3</f>
        <v>0</v>
      </c>
      <c r="BP1137" s="264" t="s">
        <v>232</v>
      </c>
      <c r="BQ1137" s="264"/>
      <c r="BR1137" t="s">
        <v>1914</v>
      </c>
      <c r="BS1137" s="143">
        <v>-2295.4259999999999</v>
      </c>
      <c r="BT1137">
        <v>-2043.489</v>
      </c>
      <c r="BU1137" s="144">
        <v>0.8902439024390244</v>
      </c>
      <c r="BV1137">
        <f>BT1137-BS1137</f>
        <v>251.9369999999999</v>
      </c>
      <c r="BX1137">
        <f>BV1137</f>
        <v>251.9369999999999</v>
      </c>
      <c r="BY1137" t="str">
        <f>IFERROR(BX1137/BO1137,"")</f>
        <v/>
      </c>
      <c r="BZ1137">
        <v>0</v>
      </c>
      <c r="CA1137">
        <v>0</v>
      </c>
      <c r="CB1137">
        <v>0</v>
      </c>
      <c r="CC1137">
        <v>0</v>
      </c>
      <c r="CD1137">
        <v>0</v>
      </c>
      <c r="CE1137">
        <v>0</v>
      </c>
      <c r="CF1137">
        <v>0</v>
      </c>
      <c r="CG1137">
        <v>0</v>
      </c>
      <c r="CH1137">
        <v>0</v>
      </c>
      <c r="CI1137">
        <v>0</v>
      </c>
      <c r="CJ1137">
        <v>0</v>
      </c>
      <c r="CK1137">
        <v>0</v>
      </c>
      <c r="CL1137">
        <v>0</v>
      </c>
      <c r="CM1137">
        <v>0</v>
      </c>
      <c r="CN1137" t="str">
        <f>IF($BL1137&lt;$BK1137,"refNeedCorrection","refOK")</f>
        <v>refOK</v>
      </c>
      <c r="CO1137">
        <f>IF($CN1137="refNeedCorrection",BL1137,BK1137)</f>
        <v>606</v>
      </c>
      <c r="CP1137">
        <f>IF($CN1137="refNeedCorrection",BK1137,BL1137)</f>
        <v>606</v>
      </c>
      <c r="CQ1137">
        <f>IF($CN1137="refOK",$BO1137,-$BO1137)</f>
        <v>0</v>
      </c>
      <c r="CR1137">
        <f>IF($CN1137="refOK",$BS1137,$BT1137)*IF($BP1137="Emissions positive",-1,1)</f>
        <v>-2295.4259999999999</v>
      </c>
      <c r="CS1137">
        <f>IF($CN1137="refOK",$BT1137,$BS1137)*IF($BP1137="Emissions positive",-1,1)</f>
        <v>-2043.489</v>
      </c>
      <c r="CT1137">
        <f>IF($CN1137="refNeedCorrection",-BX1137,BX1137)*IF($BP1137="Emissions positive",-1,1)</f>
        <v>251.9369999999999</v>
      </c>
      <c r="CU1137" t="str">
        <f>IFERROR(CT1137/CQ1137,"")</f>
        <v/>
      </c>
      <c r="CV1137" s="2">
        <f>IFERROR((CS1137-CR1137)/ABS(CR1137),"")</f>
        <v>0.10975609756097557</v>
      </c>
      <c r="CW1137" s="1" t="s">
        <v>1199</v>
      </c>
      <c r="CX1137" s="264" t="str">
        <f>IF(OR($CW1137="prd",$CW1137="std",$CW1137="cit"),"loc",IF(OR($CW1137="eur",$CW1137="reg",$CW1137="coy"),"reg",$CW1137))</f>
        <v>reg</v>
      </c>
      <c r="CY1137" t="s">
        <v>690</v>
      </c>
      <c r="DA1137" s="143"/>
      <c r="DB1137" s="143">
        <v>50</v>
      </c>
      <c r="DC1137" t="str">
        <f>IF(DB1137=0,"0",IF(AND(DB1137&gt;=1,DB1137&lt;=30),"1-30",IF(AND(DB1137&gt;30,DB1137&lt;=70),"31-70",IF(AND(DB1137&gt;70,DB1137&lt;=100),"71-100",IF(DB1137&gt;100,"+100")))))</f>
        <v>31-70</v>
      </c>
      <c r="DD1137">
        <v>0</v>
      </c>
      <c r="DE1137">
        <v>0</v>
      </c>
      <c r="DF1137">
        <v>0</v>
      </c>
      <c r="DG1137">
        <v>1</v>
      </c>
      <c r="DI1137">
        <f>SUM(DD1137:DG1137)</f>
        <v>1</v>
      </c>
      <c r="DJ1137" t="str">
        <f>IF(DI1137=1,INDEX($DD$7:$DG$7,MATCH(1,$DD1137:$DG1137,0)),"mixedProduct")</f>
        <v>TimberInput</v>
      </c>
      <c r="DK1137">
        <f>IF(DD1137=1,DK$7,0)</f>
        <v>0</v>
      </c>
      <c r="DL1137">
        <f>IF(DE1137=1,DL$7,0)</f>
        <v>0</v>
      </c>
      <c r="DM1137">
        <f>IF(DF1137=1,DM$7,0)</f>
        <v>0</v>
      </c>
      <c r="DN1137" t="str">
        <f>IF(DG1137=1,DN$7,0)</f>
        <v>Timber</v>
      </c>
      <c r="DO1137">
        <v>0</v>
      </c>
      <c r="DP1137" s="143">
        <v>0</v>
      </c>
      <c r="DQ1137" s="143">
        <v>0</v>
      </c>
      <c r="DR1137">
        <v>0</v>
      </c>
      <c r="DS1137" s="143">
        <v>0</v>
      </c>
      <c r="DT1137">
        <f>SUM(DO1137:DP1137)</f>
        <v>0</v>
      </c>
      <c r="DU1137" s="143" t="str">
        <f>IF(DO1137=1,"self-calculated DF",IF(DP1137=1,"external DF used","explicit C balance"))</f>
        <v>explicit C balance</v>
      </c>
      <c r="DV1137" s="143">
        <v>0</v>
      </c>
      <c r="DW1137" s="143">
        <v>0</v>
      </c>
      <c r="DX1137" s="143">
        <v>0</v>
      </c>
      <c r="DY1137" s="143">
        <v>1</v>
      </c>
      <c r="DZ1137">
        <v>0</v>
      </c>
      <c r="EA1137" s="143">
        <v>0</v>
      </c>
      <c r="EB1137" s="143">
        <v>1</v>
      </c>
      <c r="EC1137" s="143">
        <v>1</v>
      </c>
      <c r="ED1137" s="143">
        <v>1</v>
      </c>
      <c r="EE1137">
        <v>1</v>
      </c>
      <c r="EF1137">
        <v>0</v>
      </c>
      <c r="EG1137" s="143">
        <v>0</v>
      </c>
      <c r="EH1137">
        <v>0</v>
      </c>
      <c r="EI1137" s="2">
        <v>0</v>
      </c>
      <c r="EK1137" t="str">
        <f>IF(AND(AND(AND(OR($DX1137=1,$DW1137=1),OR($EC1137=1,$EA1137=1)),SUM($DV1137:$DZ1137,$EF1137)&gt;=4),SUM($EA1137:$EE1137)&gt;=2),"Whole sector","")</f>
        <v/>
      </c>
      <c r="EL1137" t="str">
        <f>IF(AND(AND(OR($DX1137=1,$DW1137=1),AND($EC1137=0,$EA1137=0)),SUM($DV1137:$DZ1137,$EF1137)&gt;=4),"Ecosystem approach","")</f>
        <v/>
      </c>
      <c r="EM1137" s="2" t="str">
        <f>IF(AND(AND(AND($DX1137=0,$DW1137=0),OR($EC1137=1,$EA1137=1)),SUM($EB1137:$EE1137)&gt;=2),"Technology approach","")</f>
        <v>Technology approach</v>
      </c>
      <c r="EN1137" t="s">
        <v>1915</v>
      </c>
      <c r="EP1137" t="b">
        <f>IF(ISNUMBER(BU1137),IF(ABS(BU1137-[3]QC_indicators!$B$2)&gt;3*[3]QC_indicators!$C$2,"C ratio",IF(ISNUMBER(BY1137),IF(ABS(BY1137-[3]QC_indicators!$B$1)&gt;3*[3]QC_indicators!$C$1,"DF","no"))),IF(ISNUMBER(BY1137),IF(ABS(BY1137-[3]QC_indicators!$B$1)&gt;3*[3]QC_indicators!$C$1,"DF","no")))</f>
        <v>0</v>
      </c>
      <c r="EQ1137" t="s">
        <v>1164</v>
      </c>
      <c r="ER1137" s="264" t="s">
        <v>1916</v>
      </c>
      <c r="ET1137" s="264" t="s">
        <v>3407</v>
      </c>
    </row>
    <row r="1138" spans="1:150" ht="15" customHeight="1">
      <c r="A1138" s="1" t="s">
        <v>656</v>
      </c>
      <c r="B1138" t="s">
        <v>1905</v>
      </c>
      <c r="C1138" t="s">
        <v>1906</v>
      </c>
      <c r="D1138" t="s">
        <v>1907</v>
      </c>
      <c r="E1138" t="s">
        <v>1908</v>
      </c>
      <c r="F1138" t="s">
        <v>1909</v>
      </c>
      <c r="G1138" t="s">
        <v>662</v>
      </c>
      <c r="H1138" t="s">
        <v>254</v>
      </c>
      <c r="I1138">
        <v>2016</v>
      </c>
      <c r="J1138">
        <v>41</v>
      </c>
      <c r="K1138" t="s">
        <v>1910</v>
      </c>
      <c r="M1138" t="str">
        <f>LEFT($D1138,FIND(",",$D1138)-1)&amp;"_"&amp;I1138&amp;L1138</f>
        <v>Liu_2016</v>
      </c>
      <c r="N1138" t="s">
        <v>222</v>
      </c>
      <c r="O1138" s="145" t="s">
        <v>225</v>
      </c>
      <c r="Q1138" s="264" t="s">
        <v>256</v>
      </c>
      <c r="R1138" s="269" t="s">
        <v>1154</v>
      </c>
      <c r="S1138" s="1" t="s">
        <v>1917</v>
      </c>
      <c r="T1138" s="183">
        <v>0.55000000000000004</v>
      </c>
      <c r="U1138" s="183">
        <v>0.9</v>
      </c>
      <c r="V1138">
        <v>0</v>
      </c>
      <c r="W1138">
        <v>0</v>
      </c>
      <c r="X1138">
        <v>0</v>
      </c>
      <c r="Y1138">
        <v>0</v>
      </c>
      <c r="Z1138">
        <v>0</v>
      </c>
      <c r="AA1138">
        <v>0</v>
      </c>
      <c r="AB1138">
        <v>0</v>
      </c>
      <c r="AC1138">
        <v>0</v>
      </c>
      <c r="AD1138">
        <v>0</v>
      </c>
      <c r="AE1138">
        <v>0</v>
      </c>
      <c r="AF1138">
        <v>0</v>
      </c>
      <c r="AG1138">
        <v>1</v>
      </c>
      <c r="AH1138">
        <v>0</v>
      </c>
      <c r="AI1138">
        <v>0</v>
      </c>
      <c r="AJ1138">
        <v>0</v>
      </c>
      <c r="AK1138">
        <v>0</v>
      </c>
      <c r="AL1138">
        <v>0</v>
      </c>
      <c r="AM1138">
        <v>0</v>
      </c>
      <c r="AN1138">
        <v>0</v>
      </c>
      <c r="AO1138">
        <v>0</v>
      </c>
      <c r="AP1138">
        <v>0</v>
      </c>
      <c r="AQ1138">
        <v>0</v>
      </c>
      <c r="AR1138">
        <v>0</v>
      </c>
      <c r="AS1138">
        <v>0</v>
      </c>
      <c r="AT1138">
        <v>0</v>
      </c>
      <c r="AU1138">
        <v>0</v>
      </c>
      <c r="AV1138">
        <v>0</v>
      </c>
      <c r="AW1138">
        <v>0</v>
      </c>
      <c r="AX1138" s="141">
        <f>COUNTIF(V1138:AW1138,"&lt;&gt;0")</f>
        <v>1</v>
      </c>
      <c r="AY1138" s="141">
        <f>COUNTIF(V1138:AL1138,"&lt;&gt;0")</f>
        <v>1</v>
      </c>
      <c r="AZ1138">
        <f>COUNTIF(V1138:AC1138,"&lt;&gt;0")</f>
        <v>0</v>
      </c>
      <c r="BA1138">
        <f>COUNTIF(AD1138:AI1138,"&lt;&gt;0")</f>
        <v>1</v>
      </c>
      <c r="BB1138">
        <f>COUNTIF(AJ1138:AL1138,"&lt;&gt;0")</f>
        <v>0</v>
      </c>
      <c r="BC1138">
        <f>COUNTIF(AS1138:AW1138,"&lt;&gt;0")</f>
        <v>0</v>
      </c>
      <c r="BD1138">
        <f>COUNTIF(AM1138:AR1138,"&lt;&gt;0")</f>
        <v>0</v>
      </c>
      <c r="BE1138" t="str" cm="1">
        <f t="array" ref="BE1138">IF(AY1138=1,INDEX($V$7:$AL$7,MATCH(TRUE,INDEX($V1138:$AW1138&lt;&gt;0,),0)),IF(AY1138=0,INDEX($AM$7:$AW$7,MATCH(1,$AM1138:$AW1138,0)),IF(BF1138="Multiple strategies","mixed drivers",IF(BF1138="Supply chain","multiple supply","multiple silviculture"))))</f>
        <v>recycling</v>
      </c>
      <c r="BF1138" s="2" t="str" cm="1">
        <f t="array" ref="BF1138">IF(COUNTIF(AZ1138:BB1138,"&lt;&gt;0")=1,INDEX($V$4:$AW$4,MATCH(TRUE,INDEX($V1138:$AW1138&lt;&gt;0,),0)),IF(COUNTIF(AZ1138:BB1138,"&lt;&gt;0")=0,INDEX($AM$4:$AW$4,MATCH(1,$AM1138:$AW1138,0)),"Multiple strategies"))</f>
        <v>Supply chain</v>
      </c>
      <c r="BG1138" s="142" t="s">
        <v>229</v>
      </c>
      <c r="BH1138" t="s">
        <v>1912</v>
      </c>
      <c r="BJ1138" s="143" t="s">
        <v>1913</v>
      </c>
      <c r="BK1138">
        <v>606</v>
      </c>
      <c r="BL1138" s="143">
        <v>606</v>
      </c>
      <c r="BM1138" s="163"/>
      <c r="BN1138">
        <f>BL1138-BK1138</f>
        <v>0</v>
      </c>
      <c r="BO1138" s="143">
        <f>BN1138*t_to_m3</f>
        <v>0</v>
      </c>
      <c r="BP1138" s="264" t="s">
        <v>232</v>
      </c>
      <c r="BQ1138" s="264"/>
      <c r="BR1138" t="s">
        <v>1914</v>
      </c>
      <c r="BS1138" s="143">
        <v>-2995.2510000000002</v>
      </c>
      <c r="BT1138">
        <v>-2771.3070000000002</v>
      </c>
      <c r="BU1138" s="144">
        <v>0.92523364485981308</v>
      </c>
      <c r="BV1138">
        <f>BT1138-BS1138</f>
        <v>223.94399999999996</v>
      </c>
      <c r="BX1138">
        <f>BV1138</f>
        <v>223.94399999999996</v>
      </c>
      <c r="BY1138" t="str">
        <f>IFERROR(BX1138/BO1138,"")</f>
        <v/>
      </c>
      <c r="BZ1138">
        <v>0</v>
      </c>
      <c r="CA1138">
        <v>0</v>
      </c>
      <c r="CB1138">
        <v>0</v>
      </c>
      <c r="CC1138">
        <v>0</v>
      </c>
      <c r="CD1138">
        <v>0</v>
      </c>
      <c r="CE1138">
        <v>0</v>
      </c>
      <c r="CF1138">
        <v>0</v>
      </c>
      <c r="CG1138">
        <v>0</v>
      </c>
      <c r="CH1138">
        <v>0</v>
      </c>
      <c r="CI1138">
        <v>0</v>
      </c>
      <c r="CJ1138">
        <v>0</v>
      </c>
      <c r="CK1138">
        <v>0</v>
      </c>
      <c r="CL1138">
        <v>0</v>
      </c>
      <c r="CM1138">
        <v>0</v>
      </c>
      <c r="CN1138" t="str">
        <f>IF($BL1138&lt;$BK1138,"refNeedCorrection","refOK")</f>
        <v>refOK</v>
      </c>
      <c r="CO1138">
        <f>IF($CN1138="refNeedCorrection",BL1138,BK1138)</f>
        <v>606</v>
      </c>
      <c r="CP1138">
        <f>IF($CN1138="refNeedCorrection",BK1138,BL1138)</f>
        <v>606</v>
      </c>
      <c r="CQ1138">
        <f>IF($CN1138="refOK",$BO1138,-$BO1138)</f>
        <v>0</v>
      </c>
      <c r="CR1138">
        <f>IF($CN1138="refOK",$BS1138,$BT1138)*IF($BP1138="Emissions positive",-1,1)</f>
        <v>-2995.2510000000002</v>
      </c>
      <c r="CS1138">
        <f>IF($CN1138="refOK",$BT1138,$BS1138)*IF($BP1138="Emissions positive",-1,1)</f>
        <v>-2771.3070000000002</v>
      </c>
      <c r="CT1138">
        <f>IF($CN1138="refNeedCorrection",-BX1138,BX1138)*IF($BP1138="Emissions positive",-1,1)</f>
        <v>223.94399999999996</v>
      </c>
      <c r="CU1138" t="str">
        <f>IFERROR(CT1138/CQ1138,"")</f>
        <v/>
      </c>
      <c r="CV1138" s="2">
        <f>IFERROR((CS1138-CR1138)/ABS(CR1138),"")</f>
        <v>7.4766355140186896E-2</v>
      </c>
      <c r="CW1138" s="1" t="s">
        <v>1199</v>
      </c>
      <c r="CX1138" s="264" t="str">
        <f>IF(OR($CW1138="prd",$CW1138="std",$CW1138="cit"),"loc",IF(OR($CW1138="eur",$CW1138="reg",$CW1138="coy"),"reg",$CW1138))</f>
        <v>reg</v>
      </c>
      <c r="CY1138" t="s">
        <v>690</v>
      </c>
      <c r="DA1138" s="143"/>
      <c r="DB1138" s="143">
        <v>50</v>
      </c>
      <c r="DC1138" t="str">
        <f>IF(DB1138=0,"0",IF(AND(DB1138&gt;=1,DB1138&lt;=30),"1-30",IF(AND(DB1138&gt;30,DB1138&lt;=70),"31-70",IF(AND(DB1138&gt;70,DB1138&lt;=100),"71-100",IF(DB1138&gt;100,"+100")))))</f>
        <v>31-70</v>
      </c>
      <c r="DD1138">
        <v>0</v>
      </c>
      <c r="DE1138">
        <v>0</v>
      </c>
      <c r="DF1138">
        <v>0</v>
      </c>
      <c r="DG1138">
        <v>1</v>
      </c>
      <c r="DI1138">
        <f>SUM(DD1138:DG1138)</f>
        <v>1</v>
      </c>
      <c r="DJ1138" t="str">
        <f>IF(DI1138=1,INDEX($DD$7:$DG$7,MATCH(1,$DD1138:$DG1138,0)),"mixedProduct")</f>
        <v>TimberInput</v>
      </c>
      <c r="DK1138">
        <f>IF(DD1138=1,DK$7,0)</f>
        <v>0</v>
      </c>
      <c r="DL1138">
        <f>IF(DE1138=1,DL$7,0)</f>
        <v>0</v>
      </c>
      <c r="DM1138">
        <f>IF(DF1138=1,DM$7,0)</f>
        <v>0</v>
      </c>
      <c r="DN1138" t="str">
        <f>IF(DG1138=1,DN$7,0)</f>
        <v>Timber</v>
      </c>
      <c r="DO1138">
        <v>0</v>
      </c>
      <c r="DP1138" s="143">
        <v>0</v>
      </c>
      <c r="DQ1138" s="143">
        <v>0</v>
      </c>
      <c r="DR1138">
        <v>0</v>
      </c>
      <c r="DS1138" s="143">
        <v>0</v>
      </c>
      <c r="DT1138">
        <f>SUM(DO1138:DP1138)</f>
        <v>0</v>
      </c>
      <c r="DU1138" s="143" t="str">
        <f>IF(DO1138=1,"self-calculated DF",IF(DP1138=1,"external DF used","explicit C balance"))</f>
        <v>explicit C balance</v>
      </c>
      <c r="DV1138" s="143">
        <v>0</v>
      </c>
      <c r="DW1138" s="143">
        <v>0</v>
      </c>
      <c r="DX1138" s="143">
        <v>0</v>
      </c>
      <c r="DY1138" s="143">
        <v>1</v>
      </c>
      <c r="DZ1138">
        <v>0</v>
      </c>
      <c r="EA1138" s="143">
        <v>0</v>
      </c>
      <c r="EB1138" s="143">
        <v>1</v>
      </c>
      <c r="EC1138" s="143">
        <v>1</v>
      </c>
      <c r="ED1138" s="143">
        <v>1</v>
      </c>
      <c r="EE1138">
        <v>1</v>
      </c>
      <c r="EF1138">
        <v>0</v>
      </c>
      <c r="EG1138" s="143">
        <v>0</v>
      </c>
      <c r="EH1138">
        <v>0</v>
      </c>
      <c r="EI1138" s="2">
        <v>0</v>
      </c>
      <c r="EK1138" t="str">
        <f>IF(AND(AND(AND(OR($DX1138=1,$DW1138=1),OR($EC1138=1,$EA1138=1)),SUM($DV1138:$DZ1138,$EF1138)&gt;=4),SUM($EA1138:$EE1138)&gt;=2),"Whole sector","")</f>
        <v/>
      </c>
      <c r="EL1138" t="str">
        <f>IF(AND(AND(OR($DX1138=1,$DW1138=1),AND($EC1138=0,$EA1138=0)),SUM($DV1138:$DZ1138,$EF1138)&gt;=4),"Ecosystem approach","")</f>
        <v/>
      </c>
      <c r="EM1138" s="2" t="str">
        <f>IF(AND(AND(AND($DX1138=0,$DW1138=0),OR($EC1138=1,$EA1138=1)),SUM($EB1138:$EE1138)&gt;=2),"Technology approach","")</f>
        <v>Technology approach</v>
      </c>
      <c r="EN1138" t="s">
        <v>1915</v>
      </c>
      <c r="EP1138" t="b">
        <f>IF(ISNUMBER(BU1138),IF(ABS(BU1138-[3]QC_indicators!$B$2)&gt;3*[3]QC_indicators!$C$2,"C ratio",IF(ISNUMBER(BY1138),IF(ABS(BY1138-[3]QC_indicators!$B$1)&gt;3*[3]QC_indicators!$C$1,"DF","no"))),IF(ISNUMBER(BY1138),IF(ABS(BY1138-[3]QC_indicators!$B$1)&gt;3*[3]QC_indicators!$C$1,"DF","no")))</f>
        <v>0</v>
      </c>
      <c r="EQ1138" t="s">
        <v>1164</v>
      </c>
      <c r="ER1138" s="264" t="s">
        <v>1916</v>
      </c>
      <c r="ET1138" s="264" t="s">
        <v>3407</v>
      </c>
    </row>
    <row r="1139" spans="1:150" ht="15" customHeight="1">
      <c r="A1139" s="1" t="s">
        <v>1937</v>
      </c>
      <c r="B1139" t="s">
        <v>1938</v>
      </c>
      <c r="C1139" t="s">
        <v>1939</v>
      </c>
      <c r="D1139" t="s">
        <v>1940</v>
      </c>
      <c r="E1139" t="s">
        <v>1941</v>
      </c>
      <c r="F1139" t="s">
        <v>1942</v>
      </c>
      <c r="G1139" t="s">
        <v>1943</v>
      </c>
      <c r="H1139" t="s">
        <v>1628</v>
      </c>
      <c r="I1139">
        <v>2005</v>
      </c>
      <c r="J1139">
        <v>91</v>
      </c>
      <c r="K1139" t="s">
        <v>1944</v>
      </c>
      <c r="M1139" t="str">
        <f>LEFT($D1139,FIND(",",$D1139)-1)&amp;"_"&amp;I1139&amp;L1139</f>
        <v>Loustau_2005</v>
      </c>
      <c r="N1139" t="s">
        <v>222</v>
      </c>
      <c r="O1139" s="145" t="s">
        <v>225</v>
      </c>
      <c r="Q1139" t="s">
        <v>256</v>
      </c>
      <c r="R1139" s="262" t="s">
        <v>223</v>
      </c>
      <c r="S1139" s="1" t="s">
        <v>90</v>
      </c>
      <c r="T1139" s="143" t="s">
        <v>1945</v>
      </c>
      <c r="U1139" t="s">
        <v>1946</v>
      </c>
      <c r="V1139">
        <v>0</v>
      </c>
      <c r="W1139">
        <v>0</v>
      </c>
      <c r="X1139">
        <v>1</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s="141">
        <f>COUNTIF(V1139:AW1139,"&lt;&gt;0")</f>
        <v>1</v>
      </c>
      <c r="AY1139" s="141">
        <f>COUNTIF(V1139:AL1139,"&lt;&gt;0")</f>
        <v>1</v>
      </c>
      <c r="AZ1139">
        <f>COUNTIF(V1139:AC1139,"&lt;&gt;0")</f>
        <v>1</v>
      </c>
      <c r="BA1139">
        <f>COUNTIF(AD1139:AI1139,"&lt;&gt;0")</f>
        <v>0</v>
      </c>
      <c r="BB1139">
        <f>COUNTIF(AJ1139:AL1139,"&lt;&gt;0")</f>
        <v>0</v>
      </c>
      <c r="BC1139">
        <f>COUNTIF(AS1139:AW1139,"&lt;&gt;0")</f>
        <v>0</v>
      </c>
      <c r="BD1139">
        <f>COUNTIF(AM1139:AR1139,"&lt;&gt;0")</f>
        <v>0</v>
      </c>
      <c r="BE1139" t="str">
        <f t="array" ref="BE1139">IF(AY1139=1,INDEX($V$7:$AL$7,MATCH(TRUE,INDEX($V1139:$AW1139&lt;&gt;0,),0)),IF(AY1139=0,INDEX($AM$7:$AW$7,MATCH(1,$AM1139:$AW1139,0)),IF(BF1139="Multiple strategies","mixed drivers",IF(BF1139="Supply chain","multiple supply","multiple silviculture"))))</f>
        <v>rotation length</v>
      </c>
      <c r="BF1139" s="2" t="str" cm="1">
        <f t="array" ref="BF1139">IF(COUNTIF(AZ1139:BB1139,"&lt;&gt;0")=1,INDEX($V$4:$AW$4,MATCH(TRUE,INDEX($V1139:$AW1139&lt;&gt;0,),0)),IF(COUNTIF(AZ1139:BB1139,"&lt;&gt;0")=0,INDEX($AM$4:$AW$4,MATCH(1,$AM1139:$AW1139,0)),"Multiple strategies"))</f>
        <v>Silviculture for removals</v>
      </c>
      <c r="BG1139" s="142"/>
      <c r="BK1139" s="143"/>
      <c r="BL1139" s="143"/>
      <c r="BO1139" s="159"/>
      <c r="BP1139" t="s">
        <v>232</v>
      </c>
      <c r="BQ1139" s="153" t="s">
        <v>3176</v>
      </c>
      <c r="BR1139" t="s">
        <v>1947</v>
      </c>
      <c r="BS1139">
        <v>552</v>
      </c>
      <c r="BT1139" s="143">
        <v>473</v>
      </c>
      <c r="BU1139" s="144">
        <f>IFERROR(BT1139/BS1139,"")</f>
        <v>0.85688405797101452</v>
      </c>
      <c r="BV1139">
        <f>BT1139-BS1139</f>
        <v>-79</v>
      </c>
      <c r="BX1139">
        <f>BV1139/10^6*C_to_CO2</f>
        <v>-2.8992999999999998E-4</v>
      </c>
      <c r="BY1139" t="str">
        <f>IFERROR(BX1139/BO1139,"")</f>
        <v/>
      </c>
      <c r="BZ1139">
        <v>0</v>
      </c>
      <c r="CA1139">
        <v>0</v>
      </c>
      <c r="CB1139">
        <v>0</v>
      </c>
      <c r="CC1139">
        <v>0</v>
      </c>
      <c r="CD1139">
        <v>0</v>
      </c>
      <c r="CE1139">
        <v>0</v>
      </c>
      <c r="CF1139">
        <v>0</v>
      </c>
      <c r="CG1139">
        <v>0</v>
      </c>
      <c r="CH1139">
        <v>0</v>
      </c>
      <c r="CI1139">
        <v>0</v>
      </c>
      <c r="CJ1139">
        <v>0</v>
      </c>
      <c r="CK1139">
        <v>0</v>
      </c>
      <c r="CL1139">
        <v>0</v>
      </c>
      <c r="CM1139">
        <v>0</v>
      </c>
      <c r="CN1139" t="str">
        <f>IF($BL1139&lt;$BK1139,"refNeedCorrection","refOK")</f>
        <v>refOK</v>
      </c>
      <c r="CO1139">
        <f>IF($CN1139="refOK",$BK1139,$BL1139)</f>
        <v>0</v>
      </c>
      <c r="CP1139">
        <f>IF($CN1139="refOK",$BL1139,$BK1139)</f>
        <v>0</v>
      </c>
      <c r="CQ1139">
        <f>IF($CN1139="refOK",$BO1139,-$BO1139)</f>
        <v>0</v>
      </c>
      <c r="CR1139">
        <f>IF($CN1139="refOK",$BS1139,$BT1139)*IF($BP1139="Emissions positive",-1,1)</f>
        <v>552</v>
      </c>
      <c r="CS1139">
        <f>IF($CN1139="refOK",$BT1139,$BS1139)*IF($BP1139="Emissions positive",-1,1)</f>
        <v>473</v>
      </c>
      <c r="CT1139">
        <f>IF($CN1139="refNeedCorrection",-BX1139,BX1139)*IF($BP1139="Emissions positive",-1,1)</f>
        <v>-2.8992999999999998E-4</v>
      </c>
      <c r="CU1139" t="str">
        <f>IFERROR(CT1139/CQ1139,"")</f>
        <v/>
      </c>
      <c r="CV1139" s="2">
        <f>IFERROR((CS1139-CR1139)/ABS(CR1139),"")</f>
        <v>-0.1431159420289855</v>
      </c>
      <c r="CW1139" s="1" t="s">
        <v>1203</v>
      </c>
      <c r="CX1139" t="str">
        <f>IF(OR($CW1139="prd",$CW1139="std",$CW1139="cit"),"loc",IF(OR($CW1139="eur",$CW1139="reg",$CW1139="coy"),"reg",$CW1139))</f>
        <v>reg</v>
      </c>
      <c r="CY1139" t="s">
        <v>729</v>
      </c>
      <c r="CZ1139">
        <v>1981</v>
      </c>
      <c r="DA1139" s="143">
        <v>2080</v>
      </c>
      <c r="DB1139" s="143">
        <f>DA1139-CZ1139</f>
        <v>99</v>
      </c>
      <c r="DC1139" t="str">
        <f>IF(DB1139=0,"0",IF(AND(DB1139&gt;=1,DB1139&lt;=30),"1-30",IF(AND(DB1139&gt;30,DB1139&lt;=70),"31-70",IF(AND(DB1139&gt;70,DB1139&lt;=100),"71-100",IF(DB1139&gt;100,"+100")))))</f>
        <v>71-100</v>
      </c>
      <c r="DD1139">
        <v>1</v>
      </c>
      <c r="DE1139">
        <v>0</v>
      </c>
      <c r="DF1139">
        <v>0</v>
      </c>
      <c r="DG1139">
        <v>0</v>
      </c>
      <c r="DI1139">
        <f>SUM(DD1139:DG1139)</f>
        <v>1</v>
      </c>
      <c r="DJ1139" t="str">
        <f>IF(DI1139=1,INDEX($DD$7:$DG$7,MATCH(1,$DD1139:$DG1139,0)),"mixedProduct")</f>
        <v>UpstreamInput</v>
      </c>
      <c r="DK1139" t="str">
        <f>IF(DD1139=1,DK$7,0)</f>
        <v>Upstream</v>
      </c>
      <c r="DL1139">
        <f>IF(DE1139=1,DL$7,0)</f>
        <v>0</v>
      </c>
      <c r="DM1139">
        <f>IF(DF1139=1,DM$7,0)</f>
        <v>0</v>
      </c>
      <c r="DN1139">
        <f>IF(DG1139=1,DN$7,0)</f>
        <v>0</v>
      </c>
      <c r="DO1139">
        <v>0</v>
      </c>
      <c r="DP1139" s="143">
        <v>0</v>
      </c>
      <c r="DQ1139" s="143">
        <v>0</v>
      </c>
      <c r="DR1139">
        <v>0</v>
      </c>
      <c r="DS1139" s="143">
        <v>0</v>
      </c>
      <c r="DT1139">
        <f>SUM(DO1139:DP1139)</f>
        <v>0</v>
      </c>
      <c r="DU1139" s="143" t="str">
        <f>IF(DO1139=1,"self-calculated DF",IF(DP1139=1,"external DF used","explicit C balance"))</f>
        <v>explicit C balance</v>
      </c>
      <c r="DV1139" s="143">
        <v>1</v>
      </c>
      <c r="DW1139" s="143">
        <v>1</v>
      </c>
      <c r="DX1139" s="143">
        <v>1</v>
      </c>
      <c r="DY1139" s="143">
        <v>0</v>
      </c>
      <c r="DZ1139">
        <v>0</v>
      </c>
      <c r="EA1139" s="143">
        <v>0</v>
      </c>
      <c r="EB1139" s="143">
        <v>0</v>
      </c>
      <c r="EC1139" s="143">
        <v>0</v>
      </c>
      <c r="ED1139" s="143">
        <v>0</v>
      </c>
      <c r="EE1139">
        <v>0</v>
      </c>
      <c r="EF1139">
        <v>0</v>
      </c>
      <c r="EG1139" s="143">
        <v>0</v>
      </c>
      <c r="EH1139">
        <v>0</v>
      </c>
      <c r="EI1139" s="2">
        <v>0</v>
      </c>
      <c r="EK1139" t="str">
        <f>IF(AND(AND(AND(OR($DX1139=1,$DW1139=1),OR($EC1139=1,$EA1139=1)),SUM($DV1139:$DZ1139,$EF1139)&gt;=4),SUM($EA1139:$EE1139)&gt;=2),"Whole sector","")</f>
        <v/>
      </c>
      <c r="EL1139" t="str">
        <f>IF(AND(AND(OR($DX1139=1,$DW1139=1),AND($EC1139=0,$EA1139=0)),SUM($DV1139:$DZ1139,$EF1139)&gt;=4),"Ecosystem approach","")</f>
        <v/>
      </c>
      <c r="EM1139" s="2" t="str">
        <f>IF(AND(AND(AND($DX1139=0,$DW1139=0),OR($EC1139=1,$EA1139=1)),SUM($EB1139:$EE1139)&gt;=2),"Technology approach","")</f>
        <v/>
      </c>
      <c r="EP1139" t="b">
        <f>IF(ISNUMBER(BU1139),IF(ABS(BU1139-[1]QC_indicators!$B$2)&gt;3*[1]QC_indicators!$C$2,"C ratio",IF(ISNUMBER(BY1139),IF(ABS(BY1139-[1]QC_indicators!$B$1)&gt;3*[1]QC_indicators!$C$1,"DF","no"))),IF(ISNUMBER(BY1139),IF(ABS(BY1139-[1]QC_indicators!$B$1)&gt;3*[1]QC_indicators!$C$1,"DF","no")))</f>
        <v>0</v>
      </c>
      <c r="ET1139" s="264" t="s">
        <v>3177</v>
      </c>
    </row>
    <row r="1140" spans="1:150" ht="15" customHeight="1">
      <c r="A1140" s="1" t="s">
        <v>1937</v>
      </c>
      <c r="B1140" t="s">
        <v>1938</v>
      </c>
      <c r="C1140" t="s">
        <v>1939</v>
      </c>
      <c r="D1140" t="s">
        <v>1940</v>
      </c>
      <c r="E1140" t="s">
        <v>1941</v>
      </c>
      <c r="F1140" t="s">
        <v>1942</v>
      </c>
      <c r="G1140" t="s">
        <v>1943</v>
      </c>
      <c r="H1140" t="s">
        <v>1628</v>
      </c>
      <c r="I1140">
        <v>2005</v>
      </c>
      <c r="J1140">
        <v>91</v>
      </c>
      <c r="K1140" t="s">
        <v>1944</v>
      </c>
      <c r="M1140" t="str">
        <f>LEFT($D1140,FIND(",",$D1140)-1)&amp;"_"&amp;I1140&amp;L1140</f>
        <v>Loustau_2005</v>
      </c>
      <c r="N1140" t="s">
        <v>222</v>
      </c>
      <c r="O1140" s="145" t="s">
        <v>225</v>
      </c>
      <c r="Q1140" t="s">
        <v>256</v>
      </c>
      <c r="R1140" s="262" t="s">
        <v>223</v>
      </c>
      <c r="S1140" s="1" t="s">
        <v>90</v>
      </c>
      <c r="T1140" s="143" t="s">
        <v>1948</v>
      </c>
      <c r="U1140" t="s">
        <v>1949</v>
      </c>
      <c r="V1140">
        <v>0</v>
      </c>
      <c r="W1140">
        <v>0</v>
      </c>
      <c r="X1140">
        <v>1</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s="141">
        <f>COUNTIF(V1140:AW1140,"&lt;&gt;0")</f>
        <v>1</v>
      </c>
      <c r="AY1140" s="141">
        <f>COUNTIF(V1140:AL1140,"&lt;&gt;0")</f>
        <v>1</v>
      </c>
      <c r="AZ1140">
        <f>COUNTIF(V1140:AC1140,"&lt;&gt;0")</f>
        <v>1</v>
      </c>
      <c r="BA1140">
        <f>COUNTIF(AD1140:AI1140,"&lt;&gt;0")</f>
        <v>0</v>
      </c>
      <c r="BB1140">
        <f>COUNTIF(AJ1140:AL1140,"&lt;&gt;0")</f>
        <v>0</v>
      </c>
      <c r="BC1140">
        <f>COUNTIF(AS1140:AW1140,"&lt;&gt;0")</f>
        <v>0</v>
      </c>
      <c r="BD1140">
        <f>COUNTIF(AM1140:AR1140,"&lt;&gt;0")</f>
        <v>0</v>
      </c>
      <c r="BE1140" t="str">
        <f t="array" ref="BE1140">IF(AY1140=1,INDEX($V$7:$AL$7,MATCH(TRUE,INDEX($V1140:$AW1140&lt;&gt;0,),0)),IF(AY1140=0,INDEX($AM$7:$AW$7,MATCH(1,$AM1140:$AW1140,0)),IF(BF1140="Multiple strategies","mixed drivers",IF(BF1140="Supply chain","multiple supply","multiple silviculture"))))</f>
        <v>rotation length</v>
      </c>
      <c r="BF1140" s="2" t="str" cm="1">
        <f t="array" ref="BF1140">IF(COUNTIF(AZ1140:BB1140,"&lt;&gt;0")=1,INDEX($V$4:$AW$4,MATCH(TRUE,INDEX($V1140:$AW1140&lt;&gt;0,),0)),IF(COUNTIF(AZ1140:BB1140,"&lt;&gt;0")=0,INDEX($AM$4:$AW$4,MATCH(1,$AM1140:$AW1140,0)),"Multiple strategies"))</f>
        <v>Silviculture for removals</v>
      </c>
      <c r="BG1140" s="142"/>
      <c r="BK1140" s="143"/>
      <c r="BO1140" s="159"/>
      <c r="BP1140" t="s">
        <v>232</v>
      </c>
      <c r="BQ1140" s="153" t="s">
        <v>3176</v>
      </c>
      <c r="BR1140" t="s">
        <v>1947</v>
      </c>
      <c r="BS1140">
        <v>473</v>
      </c>
      <c r="BT1140" s="143">
        <v>453</v>
      </c>
      <c r="BU1140" s="144">
        <f>IFERROR(BT1140/BS1140,"")</f>
        <v>0.95771670190274838</v>
      </c>
      <c r="BV1140">
        <f>BT1140-BS1140</f>
        <v>-20</v>
      </c>
      <c r="BX1140">
        <f>BV1140/10^6*C_to_CO2</f>
        <v>-7.3400000000000009E-5</v>
      </c>
      <c r="BY1140" t="str">
        <f>IFERROR(BX1140/BO1140,"")</f>
        <v/>
      </c>
      <c r="BZ1140">
        <v>0</v>
      </c>
      <c r="CA1140">
        <v>0</v>
      </c>
      <c r="CB1140">
        <v>0</v>
      </c>
      <c r="CC1140">
        <v>0</v>
      </c>
      <c r="CD1140">
        <v>0</v>
      </c>
      <c r="CE1140">
        <v>0</v>
      </c>
      <c r="CF1140">
        <v>0</v>
      </c>
      <c r="CG1140">
        <v>0</v>
      </c>
      <c r="CH1140">
        <v>0</v>
      </c>
      <c r="CI1140">
        <v>0</v>
      </c>
      <c r="CJ1140">
        <v>0</v>
      </c>
      <c r="CK1140">
        <v>0</v>
      </c>
      <c r="CL1140">
        <v>0</v>
      </c>
      <c r="CM1140">
        <v>0</v>
      </c>
      <c r="CN1140" t="str">
        <f>IF($BL1140&lt;$BK1140,"refNeedCorrection","refOK")</f>
        <v>refOK</v>
      </c>
      <c r="CO1140">
        <f>IF($CN1140="refOK",$BK1140,$BL1140)</f>
        <v>0</v>
      </c>
      <c r="CP1140">
        <f>IF($CN1140="refOK",$BL1140,$BK1140)</f>
        <v>0</v>
      </c>
      <c r="CQ1140">
        <f>IF($CN1140="refOK",$BO1140,-$BO1140)</f>
        <v>0</v>
      </c>
      <c r="CR1140">
        <f>IF($CN1140="refOK",$BS1140,$BT1140)*IF($BP1140="Emissions positive",-1,1)</f>
        <v>473</v>
      </c>
      <c r="CS1140">
        <f>IF($CN1140="refOK",$BT1140,$BS1140)*IF($BP1140="Emissions positive",-1,1)</f>
        <v>453</v>
      </c>
      <c r="CT1140">
        <f>IF($CN1140="refNeedCorrection",-BX1140,BX1140)*IF($BP1140="Emissions positive",-1,1)</f>
        <v>-7.3400000000000009E-5</v>
      </c>
      <c r="CU1140" t="str">
        <f>IFERROR(CT1140/CQ1140,"")</f>
        <v/>
      </c>
      <c r="CV1140" s="2">
        <f>IFERROR((CS1140-CR1140)/ABS(CR1140),"")</f>
        <v>-4.2283298097251586E-2</v>
      </c>
      <c r="CW1140" s="1" t="s">
        <v>1203</v>
      </c>
      <c r="CX1140" t="str">
        <f>IF(OR($CW1140="prd",$CW1140="std",$CW1140="cit"),"loc",IF(OR($CW1140="eur",$CW1140="reg",$CW1140="coy"),"reg",$CW1140))</f>
        <v>reg</v>
      </c>
      <c r="CY1140" t="s">
        <v>729</v>
      </c>
      <c r="CZ1140">
        <v>1981</v>
      </c>
      <c r="DA1140" s="143">
        <v>2080</v>
      </c>
      <c r="DB1140" s="143">
        <f>DA1140-CZ1140</f>
        <v>99</v>
      </c>
      <c r="DC1140" t="str">
        <f>IF(DB1140=0,"0",IF(AND(DB1140&gt;=1,DB1140&lt;=30),"1-30",IF(AND(DB1140&gt;30,DB1140&lt;=70),"31-70",IF(AND(DB1140&gt;70,DB1140&lt;=100),"71-100",IF(DB1140&gt;100,"+100")))))</f>
        <v>71-100</v>
      </c>
      <c r="DD1140">
        <v>1</v>
      </c>
      <c r="DE1140">
        <v>0</v>
      </c>
      <c r="DF1140">
        <v>0</v>
      </c>
      <c r="DG1140">
        <v>0</v>
      </c>
      <c r="DI1140">
        <f>SUM(DD1140:DG1140)</f>
        <v>1</v>
      </c>
      <c r="DJ1140" t="str">
        <f>IF(DI1140=1,INDEX($DD$7:$DG$7,MATCH(1,$DD1140:$DG1140,0)),"mixedProduct")</f>
        <v>UpstreamInput</v>
      </c>
      <c r="DK1140" t="str">
        <f>IF(DD1140=1,DK$7,0)</f>
        <v>Upstream</v>
      </c>
      <c r="DL1140">
        <f>IF(DE1140=1,DL$7,0)</f>
        <v>0</v>
      </c>
      <c r="DM1140">
        <f>IF(DF1140=1,DM$7,0)</f>
        <v>0</v>
      </c>
      <c r="DN1140">
        <f>IF(DG1140=1,DN$7,0)</f>
        <v>0</v>
      </c>
      <c r="DO1140">
        <v>0</v>
      </c>
      <c r="DP1140" s="143">
        <v>0</v>
      </c>
      <c r="DQ1140" s="143">
        <v>0</v>
      </c>
      <c r="DR1140">
        <v>0</v>
      </c>
      <c r="DS1140" s="143">
        <v>0</v>
      </c>
      <c r="DT1140">
        <f>SUM(DO1140:DP1140)</f>
        <v>0</v>
      </c>
      <c r="DU1140" s="143" t="str">
        <f>IF(DO1140=1,"self-calculated DF",IF(DP1140=1,"external DF used","explicit C balance"))</f>
        <v>explicit C balance</v>
      </c>
      <c r="DV1140" s="143">
        <v>1</v>
      </c>
      <c r="DW1140" s="143">
        <v>1</v>
      </c>
      <c r="DX1140" s="143">
        <v>1</v>
      </c>
      <c r="DY1140" s="143">
        <v>0</v>
      </c>
      <c r="DZ1140">
        <v>0</v>
      </c>
      <c r="EA1140" s="143">
        <v>0</v>
      </c>
      <c r="EB1140" s="143">
        <v>0</v>
      </c>
      <c r="EC1140" s="143">
        <v>0</v>
      </c>
      <c r="ED1140" s="143">
        <v>0</v>
      </c>
      <c r="EE1140">
        <v>0</v>
      </c>
      <c r="EF1140">
        <v>0</v>
      </c>
      <c r="EG1140" s="143">
        <v>0</v>
      </c>
      <c r="EH1140">
        <v>0</v>
      </c>
      <c r="EI1140" s="2">
        <v>0</v>
      </c>
      <c r="EK1140" t="str">
        <f>IF(AND(AND(AND(OR($DX1140=1,$DW1140=1),OR($EC1140=1,$EA1140=1)),SUM($DV1140:$DZ1140,$EF1140)&gt;=4),SUM($EA1140:$EE1140)&gt;=2),"Whole sector","")</f>
        <v/>
      </c>
      <c r="EL1140" t="str">
        <f>IF(AND(AND(OR($DX1140=1,$DW1140=1),AND($EC1140=0,$EA1140=0)),SUM($DV1140:$DZ1140,$EF1140)&gt;=4),"Ecosystem approach","")</f>
        <v/>
      </c>
      <c r="EM1140" s="2" t="str">
        <f>IF(AND(AND(AND($DX1140=0,$DW1140=0),OR($EC1140=1,$EA1140=1)),SUM($EB1140:$EE1140)&gt;=2),"Technology approach","")</f>
        <v/>
      </c>
      <c r="EP1140" t="b">
        <f>IF(ISNUMBER(BU1140),IF(ABS(BU1140-[1]QC_indicators!$B$2)&gt;3*[1]QC_indicators!$C$2,"C ratio",IF(ISNUMBER(BY1140),IF(ABS(BY1140-[1]QC_indicators!$B$1)&gt;3*[1]QC_indicators!$C$1,"DF","no"))),IF(ISNUMBER(BY1140),IF(ABS(BY1140-[1]QC_indicators!$B$1)&gt;3*[1]QC_indicators!$C$1,"DF","no")))</f>
        <v>0</v>
      </c>
      <c r="ET1140" s="264" t="s">
        <v>3177</v>
      </c>
    </row>
    <row r="1141" spans="1:150" ht="15" customHeight="1">
      <c r="A1141" s="1" t="s">
        <v>1937</v>
      </c>
      <c r="B1141" t="s">
        <v>1938</v>
      </c>
      <c r="C1141" t="s">
        <v>1939</v>
      </c>
      <c r="D1141" t="s">
        <v>1940</v>
      </c>
      <c r="E1141" t="s">
        <v>1941</v>
      </c>
      <c r="F1141" t="s">
        <v>1942</v>
      </c>
      <c r="G1141" t="s">
        <v>1943</v>
      </c>
      <c r="H1141" t="s">
        <v>1628</v>
      </c>
      <c r="I1141">
        <v>2005</v>
      </c>
      <c r="J1141">
        <v>91</v>
      </c>
      <c r="K1141" t="s">
        <v>1944</v>
      </c>
      <c r="M1141" t="str">
        <f>LEFT($D1141,FIND(",",$D1141)-1)&amp;"_"&amp;I1141&amp;L1141</f>
        <v>Loustau_2005</v>
      </c>
      <c r="N1141" t="s">
        <v>222</v>
      </c>
      <c r="O1141" s="145" t="s">
        <v>225</v>
      </c>
      <c r="Q1141" t="s">
        <v>256</v>
      </c>
      <c r="R1141" s="262" t="s">
        <v>223</v>
      </c>
      <c r="S1141" s="1" t="s">
        <v>90</v>
      </c>
      <c r="T1141" t="s">
        <v>1950</v>
      </c>
      <c r="U1141" s="143" t="s">
        <v>1951</v>
      </c>
      <c r="V1141">
        <v>0</v>
      </c>
      <c r="W1141">
        <v>0</v>
      </c>
      <c r="X1141">
        <v>1</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s="141">
        <f>COUNTIF(V1141:AW1141,"&lt;&gt;0")</f>
        <v>1</v>
      </c>
      <c r="AY1141" s="141">
        <f>COUNTIF(V1141:AL1141,"&lt;&gt;0")</f>
        <v>1</v>
      </c>
      <c r="AZ1141">
        <f>COUNTIF(V1141:AC1141,"&lt;&gt;0")</f>
        <v>1</v>
      </c>
      <c r="BA1141">
        <f>COUNTIF(AD1141:AI1141,"&lt;&gt;0")</f>
        <v>0</v>
      </c>
      <c r="BB1141">
        <f>COUNTIF(AJ1141:AL1141,"&lt;&gt;0")</f>
        <v>0</v>
      </c>
      <c r="BC1141">
        <f>COUNTIF(AS1141:AW1141,"&lt;&gt;0")</f>
        <v>0</v>
      </c>
      <c r="BD1141">
        <f>COUNTIF(AM1141:AR1141,"&lt;&gt;0")</f>
        <v>0</v>
      </c>
      <c r="BE1141" t="str">
        <f t="array" ref="BE1141">IF(AY1141=1,INDEX($V$7:$AL$7,MATCH(TRUE,INDEX($V1141:$AW1141&lt;&gt;0,),0)),IF(AY1141=0,INDEX($AM$7:$AW$7,MATCH(1,$AM1141:$AW1141,0)),IF(BF1141="Multiple strategies","mixed drivers",IF(BF1141="Supply chain","multiple supply","multiple silviculture"))))</f>
        <v>rotation length</v>
      </c>
      <c r="BF1141" s="2" t="str" cm="1">
        <f t="array" ref="BF1141">IF(COUNTIF(AZ1141:BB1141,"&lt;&gt;0")=1,INDEX($V$4:$AW$4,MATCH(TRUE,INDEX($V1141:$AW1141&lt;&gt;0,),0)),IF(COUNTIF(AZ1141:BB1141,"&lt;&gt;0")=0,INDEX($AM$4:$AW$4,MATCH(1,$AM1141:$AW1141,0)),"Multiple strategies"))</f>
        <v>Silviculture for removals</v>
      </c>
      <c r="BG1141" s="142"/>
      <c r="BL1141" s="143"/>
      <c r="BM1141" s="163"/>
      <c r="BO1141" s="159"/>
      <c r="BP1141" t="s">
        <v>232</v>
      </c>
      <c r="BQ1141" s="153" t="s">
        <v>3176</v>
      </c>
      <c r="BR1141" t="s">
        <v>1947</v>
      </c>
      <c r="BS1141" s="143">
        <v>355</v>
      </c>
      <c r="BT1141">
        <v>377</v>
      </c>
      <c r="BU1141" s="144">
        <f>IFERROR(BT1141/BS1141,"")</f>
        <v>1.0619718309859154</v>
      </c>
      <c r="BV1141">
        <f>BT1141-BS1141</f>
        <v>22</v>
      </c>
      <c r="BX1141">
        <f>BV1141/10^6*C_to_CO2</f>
        <v>8.0740000000000003E-5</v>
      </c>
      <c r="BY1141" t="str">
        <f>IFERROR(BX1141/BO1141,"")</f>
        <v/>
      </c>
      <c r="BZ1141">
        <v>0</v>
      </c>
      <c r="CA1141">
        <v>0</v>
      </c>
      <c r="CB1141">
        <v>0</v>
      </c>
      <c r="CC1141">
        <v>0</v>
      </c>
      <c r="CD1141">
        <v>0</v>
      </c>
      <c r="CE1141">
        <v>0</v>
      </c>
      <c r="CF1141">
        <v>0</v>
      </c>
      <c r="CG1141">
        <v>0</v>
      </c>
      <c r="CH1141">
        <v>0</v>
      </c>
      <c r="CI1141">
        <v>0</v>
      </c>
      <c r="CJ1141">
        <v>0</v>
      </c>
      <c r="CK1141">
        <v>0</v>
      </c>
      <c r="CL1141">
        <v>0</v>
      </c>
      <c r="CM1141">
        <v>0</v>
      </c>
      <c r="CN1141" t="str">
        <f>IF($BL1141&lt;$BK1141,"refNeedCorrection","refOK")</f>
        <v>refOK</v>
      </c>
      <c r="CO1141">
        <f>IF($CN1141="refOK",$BK1141,$BL1141)</f>
        <v>0</v>
      </c>
      <c r="CP1141">
        <f>IF($CN1141="refOK",$BL1141,$BK1141)</f>
        <v>0</v>
      </c>
      <c r="CQ1141">
        <f>IF($CN1141="refOK",$BO1141,-$BO1141)</f>
        <v>0</v>
      </c>
      <c r="CR1141">
        <f>IF($CN1141="refOK",$BS1141,$BT1141)*IF($BP1141="Emissions positive",-1,1)</f>
        <v>355</v>
      </c>
      <c r="CS1141">
        <f>IF($CN1141="refOK",$BT1141,$BS1141)*IF($BP1141="Emissions positive",-1,1)</f>
        <v>377</v>
      </c>
      <c r="CT1141">
        <f>IF($CN1141="refNeedCorrection",-BX1141,BX1141)*IF($BP1141="Emissions positive",-1,1)</f>
        <v>8.0740000000000003E-5</v>
      </c>
      <c r="CU1141" t="str">
        <f>IFERROR(CT1141/CQ1141,"")</f>
        <v/>
      </c>
      <c r="CV1141" s="2">
        <f>IFERROR((CS1141-CR1141)/ABS(CR1141),"")</f>
        <v>6.1971830985915494E-2</v>
      </c>
      <c r="CW1141" s="1" t="s">
        <v>1203</v>
      </c>
      <c r="CX1141" t="str">
        <f>IF(OR($CW1141="prd",$CW1141="std",$CW1141="cit"),"loc",IF(OR($CW1141="eur",$CW1141="reg",$CW1141="coy"),"reg",$CW1141))</f>
        <v>reg</v>
      </c>
      <c r="CY1141" t="s">
        <v>729</v>
      </c>
      <c r="CZ1141">
        <v>1981</v>
      </c>
      <c r="DA1141" s="143">
        <v>2080</v>
      </c>
      <c r="DB1141" s="143">
        <f>DA1141-CZ1141</f>
        <v>99</v>
      </c>
      <c r="DC1141" t="str">
        <f>IF(DB1141=0,"0",IF(AND(DB1141&gt;=1,DB1141&lt;=30),"1-30",IF(AND(DB1141&gt;30,DB1141&lt;=70),"31-70",IF(AND(DB1141&gt;70,DB1141&lt;=100),"71-100",IF(DB1141&gt;100,"+100")))))</f>
        <v>71-100</v>
      </c>
      <c r="DD1141">
        <v>1</v>
      </c>
      <c r="DE1141">
        <v>0</v>
      </c>
      <c r="DF1141">
        <v>0</v>
      </c>
      <c r="DG1141">
        <v>0</v>
      </c>
      <c r="DI1141">
        <f>SUM(DD1141:DG1141)</f>
        <v>1</v>
      </c>
      <c r="DJ1141" t="str">
        <f>IF(DI1141=1,INDEX($DD$7:$DG$7,MATCH(1,$DD1141:$DG1141,0)),"mixedProduct")</f>
        <v>UpstreamInput</v>
      </c>
      <c r="DK1141" t="str">
        <f>IF(DD1141=1,DK$7,0)</f>
        <v>Upstream</v>
      </c>
      <c r="DL1141">
        <f>IF(DE1141=1,DL$7,0)</f>
        <v>0</v>
      </c>
      <c r="DM1141">
        <f>IF(DF1141=1,DM$7,0)</f>
        <v>0</v>
      </c>
      <c r="DN1141">
        <f>IF(DG1141=1,DN$7,0)</f>
        <v>0</v>
      </c>
      <c r="DO1141">
        <v>0</v>
      </c>
      <c r="DP1141" s="143">
        <v>0</v>
      </c>
      <c r="DQ1141" s="143">
        <v>0</v>
      </c>
      <c r="DR1141">
        <v>0</v>
      </c>
      <c r="DS1141" s="143">
        <v>0</v>
      </c>
      <c r="DT1141">
        <f>SUM(DO1141:DP1141)</f>
        <v>0</v>
      </c>
      <c r="DU1141" s="143" t="str">
        <f>IF(DO1141=1,"self-calculated DF",IF(DP1141=1,"external DF used","explicit C balance"))</f>
        <v>explicit C balance</v>
      </c>
      <c r="DV1141" s="143">
        <v>1</v>
      </c>
      <c r="DW1141" s="143">
        <v>1</v>
      </c>
      <c r="DX1141" s="143">
        <v>1</v>
      </c>
      <c r="DY1141" s="143">
        <v>0</v>
      </c>
      <c r="DZ1141">
        <v>0</v>
      </c>
      <c r="EA1141" s="143">
        <v>0</v>
      </c>
      <c r="EB1141" s="143">
        <v>0</v>
      </c>
      <c r="EC1141" s="143">
        <v>0</v>
      </c>
      <c r="ED1141" s="143">
        <v>0</v>
      </c>
      <c r="EE1141">
        <v>0</v>
      </c>
      <c r="EF1141">
        <v>0</v>
      </c>
      <c r="EG1141" s="143">
        <v>0</v>
      </c>
      <c r="EH1141">
        <v>0</v>
      </c>
      <c r="EI1141" s="2">
        <v>0</v>
      </c>
      <c r="EK1141" t="str">
        <f>IF(AND(AND(AND(OR($DX1141=1,$DW1141=1),OR($EC1141=1,$EA1141=1)),SUM($DV1141:$DZ1141,$EF1141)&gt;=4),SUM($EA1141:$EE1141)&gt;=2),"Whole sector","")</f>
        <v/>
      </c>
      <c r="EL1141" t="str">
        <f>IF(AND(AND(OR($DX1141=1,$DW1141=1),AND($EC1141=0,$EA1141=0)),SUM($DV1141:$DZ1141,$EF1141)&gt;=4),"Ecosystem approach","")</f>
        <v/>
      </c>
      <c r="EM1141" s="2" t="str">
        <f>IF(AND(AND(AND($DX1141=0,$DW1141=0),OR($EC1141=1,$EA1141=1)),SUM($EB1141:$EE1141)&gt;=2),"Technology approach","")</f>
        <v/>
      </c>
      <c r="EP1141" t="b">
        <f>IF(ISNUMBER(BU1141),IF(ABS(BU1141-[1]QC_indicators!$B$2)&gt;3*[1]QC_indicators!$C$2,"C ratio",IF(ISNUMBER(BY1141),IF(ABS(BY1141-[1]QC_indicators!$B$1)&gt;3*[1]QC_indicators!$C$1,"DF","no"))),IF(ISNUMBER(BY1141),IF(ABS(BY1141-[1]QC_indicators!$B$1)&gt;3*[1]QC_indicators!$C$1,"DF","no")))</f>
        <v>0</v>
      </c>
      <c r="ET1141" s="264" t="s">
        <v>3177</v>
      </c>
    </row>
    <row r="1142" spans="1:150" ht="15" customHeight="1">
      <c r="A1142" s="1" t="s">
        <v>1937</v>
      </c>
      <c r="B1142" t="s">
        <v>1938</v>
      </c>
      <c r="C1142" t="s">
        <v>1939</v>
      </c>
      <c r="D1142" t="s">
        <v>1940</v>
      </c>
      <c r="E1142" t="s">
        <v>1941</v>
      </c>
      <c r="F1142" t="s">
        <v>1942</v>
      </c>
      <c r="G1142" t="s">
        <v>1943</v>
      </c>
      <c r="H1142" t="s">
        <v>1628</v>
      </c>
      <c r="I1142">
        <v>2005</v>
      </c>
      <c r="J1142">
        <v>91</v>
      </c>
      <c r="K1142" t="s">
        <v>1944</v>
      </c>
      <c r="M1142" t="str">
        <f>LEFT($D1142,FIND(",",$D1142)-1)&amp;"_"&amp;I1142&amp;L1142</f>
        <v>Loustau_2005</v>
      </c>
      <c r="N1142" t="s">
        <v>222</v>
      </c>
      <c r="O1142" s="145" t="s">
        <v>225</v>
      </c>
      <c r="Q1142" t="s">
        <v>256</v>
      </c>
      <c r="R1142" s="262" t="s">
        <v>223</v>
      </c>
      <c r="S1142" s="1" t="s">
        <v>90</v>
      </c>
      <c r="T1142" t="s">
        <v>1952</v>
      </c>
      <c r="U1142" s="143" t="s">
        <v>1953</v>
      </c>
      <c r="V1142">
        <v>0</v>
      </c>
      <c r="W1142">
        <v>0</v>
      </c>
      <c r="X1142">
        <v>1</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s="141">
        <f>COUNTIF(V1142:AW1142,"&lt;&gt;0")</f>
        <v>1</v>
      </c>
      <c r="AY1142" s="141">
        <f>COUNTIF(V1142:AL1142,"&lt;&gt;0")</f>
        <v>1</v>
      </c>
      <c r="AZ1142">
        <f>COUNTIF(V1142:AC1142,"&lt;&gt;0")</f>
        <v>1</v>
      </c>
      <c r="BA1142">
        <f>COUNTIF(AD1142:AI1142,"&lt;&gt;0")</f>
        <v>0</v>
      </c>
      <c r="BB1142">
        <f>COUNTIF(AJ1142:AL1142,"&lt;&gt;0")</f>
        <v>0</v>
      </c>
      <c r="BC1142">
        <f>COUNTIF(AS1142:AW1142,"&lt;&gt;0")</f>
        <v>0</v>
      </c>
      <c r="BD1142">
        <f>COUNTIF(AM1142:AR1142,"&lt;&gt;0")</f>
        <v>0</v>
      </c>
      <c r="BE1142" t="str">
        <f t="array" ref="BE1142">IF(AY1142=1,INDEX($V$7:$AL$7,MATCH(TRUE,INDEX($V1142:$AW1142&lt;&gt;0,),0)),IF(AY1142=0,INDEX($AM$7:$AW$7,MATCH(1,$AM1142:$AW1142,0)),IF(BF1142="Multiple strategies","mixed drivers",IF(BF1142="Supply chain","multiple supply","multiple silviculture"))))</f>
        <v>rotation length</v>
      </c>
      <c r="BF1142" s="2" t="str" cm="1">
        <f t="array" ref="BF1142">IF(COUNTIF(AZ1142:BB1142,"&lt;&gt;0")=1,INDEX($V$4:$AW$4,MATCH(TRUE,INDEX($V1142:$AW1142&lt;&gt;0,),0)),IF(COUNTIF(AZ1142:BB1142,"&lt;&gt;0")=0,INDEX($AM$4:$AW$4,MATCH(1,$AM1142:$AW1142,0)),"Multiple strategies"))</f>
        <v>Silviculture for removals</v>
      </c>
      <c r="BG1142" s="142"/>
      <c r="BL1142" s="143"/>
      <c r="BM1142" s="163"/>
      <c r="BO1142" s="159"/>
      <c r="BP1142" t="s">
        <v>232</v>
      </c>
      <c r="BQ1142" s="153" t="s">
        <v>3176</v>
      </c>
      <c r="BR1142" t="s">
        <v>1947</v>
      </c>
      <c r="BS1142" s="143">
        <v>377</v>
      </c>
      <c r="BT1142">
        <v>444</v>
      </c>
      <c r="BU1142" s="144">
        <f>IFERROR(BT1142/BS1142,"")</f>
        <v>1.1777188328912467</v>
      </c>
      <c r="BV1142">
        <f>BT1142-BS1142</f>
        <v>67</v>
      </c>
      <c r="BX1142">
        <f>BV1142/10^6*C_to_CO2</f>
        <v>2.4589000000000002E-4</v>
      </c>
      <c r="BY1142" t="str">
        <f>IFERROR(BX1142/BO1142,"")</f>
        <v/>
      </c>
      <c r="BZ1142">
        <v>0</v>
      </c>
      <c r="CA1142">
        <v>0</v>
      </c>
      <c r="CB1142">
        <v>0</v>
      </c>
      <c r="CC1142">
        <v>0</v>
      </c>
      <c r="CD1142">
        <v>0</v>
      </c>
      <c r="CE1142">
        <v>0</v>
      </c>
      <c r="CF1142">
        <v>0</v>
      </c>
      <c r="CG1142">
        <v>0</v>
      </c>
      <c r="CH1142">
        <v>0</v>
      </c>
      <c r="CI1142">
        <v>0</v>
      </c>
      <c r="CJ1142">
        <v>0</v>
      </c>
      <c r="CK1142">
        <v>0</v>
      </c>
      <c r="CL1142">
        <v>0</v>
      </c>
      <c r="CM1142">
        <v>0</v>
      </c>
      <c r="CN1142" t="str">
        <f>IF($BL1142&lt;$BK1142,"refNeedCorrection","refOK")</f>
        <v>refOK</v>
      </c>
      <c r="CO1142">
        <f>IF($CN1142="refOK",$BK1142,$BL1142)</f>
        <v>0</v>
      </c>
      <c r="CP1142">
        <f>IF($CN1142="refOK",$BL1142,$BK1142)</f>
        <v>0</v>
      </c>
      <c r="CQ1142">
        <f>IF($CN1142="refOK",$BO1142,-$BO1142)</f>
        <v>0</v>
      </c>
      <c r="CR1142">
        <f>IF($CN1142="refOK",$BS1142,$BT1142)*IF($BP1142="Emissions positive",-1,1)</f>
        <v>377</v>
      </c>
      <c r="CS1142">
        <f>IF($CN1142="refOK",$BT1142,$BS1142)*IF($BP1142="Emissions positive",-1,1)</f>
        <v>444</v>
      </c>
      <c r="CT1142">
        <f>IF($CN1142="refNeedCorrection",-BX1142,BX1142)*IF($BP1142="Emissions positive",-1,1)</f>
        <v>2.4589000000000002E-4</v>
      </c>
      <c r="CU1142" t="str">
        <f>IFERROR(CT1142/CQ1142,"")</f>
        <v/>
      </c>
      <c r="CV1142" s="2">
        <f>IFERROR((CS1142-CR1142)/ABS(CR1142),"")</f>
        <v>0.17771883289124668</v>
      </c>
      <c r="CW1142" s="1" t="s">
        <v>1203</v>
      </c>
      <c r="CX1142" t="str">
        <f>IF(OR($CW1142="prd",$CW1142="std",$CW1142="cit"),"loc",IF(OR($CW1142="eur",$CW1142="reg",$CW1142="coy"),"reg",$CW1142))</f>
        <v>reg</v>
      </c>
      <c r="CY1142" t="s">
        <v>729</v>
      </c>
      <c r="CZ1142">
        <v>1981</v>
      </c>
      <c r="DA1142" s="143">
        <v>2080</v>
      </c>
      <c r="DB1142" s="143">
        <f>DA1142-CZ1142</f>
        <v>99</v>
      </c>
      <c r="DC1142" t="str">
        <f>IF(DB1142=0,"0",IF(AND(DB1142&gt;=1,DB1142&lt;=30),"1-30",IF(AND(DB1142&gt;30,DB1142&lt;=70),"31-70",IF(AND(DB1142&gt;70,DB1142&lt;=100),"71-100",IF(DB1142&gt;100,"+100")))))</f>
        <v>71-100</v>
      </c>
      <c r="DD1142">
        <v>1</v>
      </c>
      <c r="DE1142">
        <v>0</v>
      </c>
      <c r="DF1142">
        <v>0</v>
      </c>
      <c r="DG1142">
        <v>0</v>
      </c>
      <c r="DI1142">
        <f>SUM(DD1142:DG1142)</f>
        <v>1</v>
      </c>
      <c r="DJ1142" t="str">
        <f>IF(DI1142=1,INDEX($DD$7:$DG$7,MATCH(1,$DD1142:$DG1142,0)),"mixedProduct")</f>
        <v>UpstreamInput</v>
      </c>
      <c r="DK1142" t="str">
        <f>IF(DD1142=1,DK$7,0)</f>
        <v>Upstream</v>
      </c>
      <c r="DL1142">
        <f>IF(DE1142=1,DL$7,0)</f>
        <v>0</v>
      </c>
      <c r="DM1142">
        <f>IF(DF1142=1,DM$7,0)</f>
        <v>0</v>
      </c>
      <c r="DN1142">
        <f>IF(DG1142=1,DN$7,0)</f>
        <v>0</v>
      </c>
      <c r="DO1142">
        <v>0</v>
      </c>
      <c r="DP1142" s="143">
        <v>0</v>
      </c>
      <c r="DQ1142" s="143">
        <v>0</v>
      </c>
      <c r="DR1142">
        <v>0</v>
      </c>
      <c r="DS1142" s="143">
        <v>0</v>
      </c>
      <c r="DT1142">
        <f>SUM(DO1142:DP1142)</f>
        <v>0</v>
      </c>
      <c r="DU1142" s="143" t="str">
        <f>IF(DO1142=1,"self-calculated DF",IF(DP1142=1,"external DF used","explicit C balance"))</f>
        <v>explicit C balance</v>
      </c>
      <c r="DV1142" s="143">
        <v>1</v>
      </c>
      <c r="DW1142" s="143">
        <v>1</v>
      </c>
      <c r="DX1142" s="143">
        <v>1</v>
      </c>
      <c r="DY1142" s="143">
        <v>0</v>
      </c>
      <c r="DZ1142">
        <v>0</v>
      </c>
      <c r="EA1142" s="143">
        <v>0</v>
      </c>
      <c r="EB1142" s="143">
        <v>0</v>
      </c>
      <c r="EC1142" s="143">
        <v>0</v>
      </c>
      <c r="ED1142" s="143">
        <v>0</v>
      </c>
      <c r="EE1142">
        <v>0</v>
      </c>
      <c r="EF1142">
        <v>0</v>
      </c>
      <c r="EG1142" s="143">
        <v>0</v>
      </c>
      <c r="EH1142">
        <v>0</v>
      </c>
      <c r="EI1142" s="2">
        <v>0</v>
      </c>
      <c r="EK1142" t="str">
        <f>IF(AND(AND(AND(OR($DX1142=1,$DW1142=1),OR($EC1142=1,$EA1142=1)),SUM($DV1142:$DZ1142,$EF1142)&gt;=4),SUM($EA1142:$EE1142)&gt;=2),"Whole sector","")</f>
        <v/>
      </c>
      <c r="EL1142" t="str">
        <f>IF(AND(AND(OR($DX1142=1,$DW1142=1),AND($EC1142=0,$EA1142=0)),SUM($DV1142:$DZ1142,$EF1142)&gt;=4),"Ecosystem approach","")</f>
        <v/>
      </c>
      <c r="EM1142" s="2" t="str">
        <f>IF(AND(AND(AND($DX1142=0,$DW1142=0),OR($EC1142=1,$EA1142=1)),SUM($EB1142:$EE1142)&gt;=2),"Technology approach","")</f>
        <v/>
      </c>
      <c r="EP1142" t="b">
        <f>IF(ISNUMBER(BU1142),IF(ABS(BU1142-[1]QC_indicators!$B$2)&gt;3*[1]QC_indicators!$C$2,"C ratio",IF(ISNUMBER(BY1142),IF(ABS(BY1142-[1]QC_indicators!$B$1)&gt;3*[1]QC_indicators!$C$1,"DF","no"))),IF(ISNUMBER(BY1142),IF(ABS(BY1142-[1]QC_indicators!$B$1)&gt;3*[1]QC_indicators!$C$1,"DF","no")))</f>
        <v>0</v>
      </c>
      <c r="ET1142" s="264" t="s">
        <v>3177</v>
      </c>
    </row>
    <row r="1143" spans="1:150" ht="15" customHeight="1">
      <c r="A1143" s="1" t="s">
        <v>1937</v>
      </c>
      <c r="B1143" t="s">
        <v>1938</v>
      </c>
      <c r="C1143" t="s">
        <v>1939</v>
      </c>
      <c r="D1143" t="s">
        <v>1940</v>
      </c>
      <c r="E1143" t="s">
        <v>1941</v>
      </c>
      <c r="F1143" t="s">
        <v>1942</v>
      </c>
      <c r="G1143" t="s">
        <v>1943</v>
      </c>
      <c r="H1143" t="s">
        <v>1628</v>
      </c>
      <c r="I1143">
        <v>2005</v>
      </c>
      <c r="J1143">
        <v>91</v>
      </c>
      <c r="K1143" t="s">
        <v>1944</v>
      </c>
      <c r="M1143" t="str">
        <f>LEFT($D1143,FIND(",",$D1143)-1)&amp;"_"&amp;I1143&amp;L1143</f>
        <v>Loustau_2005</v>
      </c>
      <c r="N1143" t="s">
        <v>222</v>
      </c>
      <c r="O1143" s="145" t="s">
        <v>225</v>
      </c>
      <c r="Q1143" t="s">
        <v>256</v>
      </c>
      <c r="R1143" s="262" t="s">
        <v>223</v>
      </c>
      <c r="S1143" s="1" t="s">
        <v>90</v>
      </c>
      <c r="T1143" s="143" t="s">
        <v>1954</v>
      </c>
      <c r="U1143" t="s">
        <v>1946</v>
      </c>
      <c r="V1143">
        <v>0</v>
      </c>
      <c r="W1143">
        <v>0</v>
      </c>
      <c r="X1143">
        <v>1</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s="141">
        <f>COUNTIF(V1143:AW1143,"&lt;&gt;0")</f>
        <v>1</v>
      </c>
      <c r="AY1143" s="141">
        <f>COUNTIF(V1143:AL1143,"&lt;&gt;0")</f>
        <v>1</v>
      </c>
      <c r="AZ1143">
        <f>COUNTIF(V1143:AC1143,"&lt;&gt;0")</f>
        <v>1</v>
      </c>
      <c r="BA1143">
        <f>COUNTIF(AD1143:AI1143,"&lt;&gt;0")</f>
        <v>0</v>
      </c>
      <c r="BB1143">
        <f>COUNTIF(AJ1143:AL1143,"&lt;&gt;0")</f>
        <v>0</v>
      </c>
      <c r="BC1143">
        <f>COUNTIF(AS1143:AW1143,"&lt;&gt;0")</f>
        <v>0</v>
      </c>
      <c r="BD1143">
        <f>COUNTIF(AM1143:AR1143,"&lt;&gt;0")</f>
        <v>0</v>
      </c>
      <c r="BE1143" t="str">
        <f t="array" ref="BE1143">IF(AY1143=1,INDEX($V$7:$AL$7,MATCH(TRUE,INDEX($V1143:$AW1143&lt;&gt;0,),0)),IF(AY1143=0,INDEX($AM$7:$AW$7,MATCH(1,$AM1143:$AW1143,0)),IF(BF1143="Multiple strategies","mixed drivers",IF(BF1143="Supply chain","multiple supply","multiple silviculture"))))</f>
        <v>rotation length</v>
      </c>
      <c r="BF1143" s="2" t="str" cm="1">
        <f t="array" ref="BF1143">IF(COUNTIF(AZ1143:BB1143,"&lt;&gt;0")=1,INDEX($V$4:$AW$4,MATCH(TRUE,INDEX($V1143:$AW1143&lt;&gt;0,),0)),IF(COUNTIF(AZ1143:BB1143,"&lt;&gt;0")=0,INDEX($AM$4:$AW$4,MATCH(1,$AM1143:$AW1143,0)),"Multiple strategies"))</f>
        <v>Silviculture for removals</v>
      </c>
      <c r="BG1143" s="142"/>
      <c r="BK1143" s="143"/>
      <c r="BL1143" s="143"/>
      <c r="BO1143" s="159"/>
      <c r="BP1143" t="s">
        <v>232</v>
      </c>
      <c r="BQ1143" s="153" t="s">
        <v>3176</v>
      </c>
      <c r="BR1143" t="s">
        <v>1947</v>
      </c>
      <c r="BS1143">
        <v>177</v>
      </c>
      <c r="BT1143" s="143">
        <v>473</v>
      </c>
      <c r="BU1143" s="144">
        <f>IFERROR(BT1143/BS1143,"")</f>
        <v>2.6723163841807911</v>
      </c>
      <c r="BV1143">
        <f>BT1143-BS1143</f>
        <v>296</v>
      </c>
      <c r="BX1143">
        <f>BV1143/10^6*C_to_CO2</f>
        <v>1.08632E-3</v>
      </c>
      <c r="BY1143" t="str">
        <f>IFERROR(BX1143/BO1143,"")</f>
        <v/>
      </c>
      <c r="BZ1143">
        <v>0</v>
      </c>
      <c r="CA1143">
        <v>0</v>
      </c>
      <c r="CB1143">
        <v>0</v>
      </c>
      <c r="CC1143">
        <v>0</v>
      </c>
      <c r="CD1143">
        <v>0</v>
      </c>
      <c r="CE1143">
        <v>0</v>
      </c>
      <c r="CF1143">
        <v>0</v>
      </c>
      <c r="CG1143">
        <v>0</v>
      </c>
      <c r="CH1143">
        <v>0</v>
      </c>
      <c r="CI1143">
        <v>0</v>
      </c>
      <c r="CJ1143">
        <v>0</v>
      </c>
      <c r="CK1143">
        <v>0</v>
      </c>
      <c r="CL1143">
        <v>0</v>
      </c>
      <c r="CM1143">
        <v>0</v>
      </c>
      <c r="CN1143" t="str">
        <f>IF($BL1143&lt;$BK1143,"refNeedCorrection","refOK")</f>
        <v>refOK</v>
      </c>
      <c r="CO1143">
        <f>IF($CN1143="refOK",$BK1143,$BL1143)</f>
        <v>0</v>
      </c>
      <c r="CP1143">
        <f>IF($CN1143="refOK",$BL1143,$BK1143)</f>
        <v>0</v>
      </c>
      <c r="CQ1143">
        <f>IF($CN1143="refOK",$BO1143,-$BO1143)</f>
        <v>0</v>
      </c>
      <c r="CR1143">
        <f>IF($CN1143="refOK",$BS1143,$BT1143)*IF($BP1143="Emissions positive",-1,1)</f>
        <v>177</v>
      </c>
      <c r="CS1143">
        <f>IF($CN1143="refOK",$BT1143,$BS1143)*IF($BP1143="Emissions positive",-1,1)</f>
        <v>473</v>
      </c>
      <c r="CT1143">
        <f>IF($CN1143="refNeedCorrection",-BX1143,BX1143)*IF($BP1143="Emissions positive",-1,1)</f>
        <v>1.08632E-3</v>
      </c>
      <c r="CU1143" t="str">
        <f>IFERROR(CT1143/CQ1143,"")</f>
        <v/>
      </c>
      <c r="CV1143" s="2">
        <f>IFERROR((CS1143-CR1143)/ABS(CR1143),"")</f>
        <v>1.6723163841807909</v>
      </c>
      <c r="CW1143" s="1" t="s">
        <v>1203</v>
      </c>
      <c r="CX1143" t="str">
        <f>IF(OR($CW1143="prd",$CW1143="std",$CW1143="cit"),"loc",IF(OR($CW1143="eur",$CW1143="reg",$CW1143="coy"),"reg",$CW1143))</f>
        <v>reg</v>
      </c>
      <c r="CY1143" t="s">
        <v>729</v>
      </c>
      <c r="CZ1143">
        <v>1981</v>
      </c>
      <c r="DA1143" s="143">
        <v>2080</v>
      </c>
      <c r="DB1143" s="143">
        <f>DA1143-CZ1143</f>
        <v>99</v>
      </c>
      <c r="DC1143" t="str">
        <f>IF(DB1143=0,"0",IF(AND(DB1143&gt;=1,DB1143&lt;=30),"1-30",IF(AND(DB1143&gt;30,DB1143&lt;=70),"31-70",IF(AND(DB1143&gt;70,DB1143&lt;=100),"71-100",IF(DB1143&gt;100,"+100")))))</f>
        <v>71-100</v>
      </c>
      <c r="DD1143">
        <v>1</v>
      </c>
      <c r="DE1143">
        <v>0</v>
      </c>
      <c r="DF1143">
        <v>0</v>
      </c>
      <c r="DG1143">
        <v>0</v>
      </c>
      <c r="DI1143">
        <f>SUM(DD1143:DG1143)</f>
        <v>1</v>
      </c>
      <c r="DJ1143" t="str">
        <f>IF(DI1143=1,INDEX($DD$7:$DG$7,MATCH(1,$DD1143:$DG1143,0)),"mixedProduct")</f>
        <v>UpstreamInput</v>
      </c>
      <c r="DK1143" t="str">
        <f>IF(DD1143=1,DK$7,0)</f>
        <v>Upstream</v>
      </c>
      <c r="DL1143">
        <f>IF(DE1143=1,DL$7,0)</f>
        <v>0</v>
      </c>
      <c r="DM1143">
        <f>IF(DF1143=1,DM$7,0)</f>
        <v>0</v>
      </c>
      <c r="DN1143">
        <f>IF(DG1143=1,DN$7,0)</f>
        <v>0</v>
      </c>
      <c r="DO1143">
        <v>0</v>
      </c>
      <c r="DP1143" s="143">
        <v>0</v>
      </c>
      <c r="DQ1143" s="143">
        <v>0</v>
      </c>
      <c r="DR1143">
        <v>0</v>
      </c>
      <c r="DS1143" s="143">
        <v>0</v>
      </c>
      <c r="DT1143">
        <f>SUM(DO1143:DP1143)</f>
        <v>0</v>
      </c>
      <c r="DU1143" s="143" t="str">
        <f>IF(DO1143=1,"self-calculated DF",IF(DP1143=1,"external DF used","explicit C balance"))</f>
        <v>explicit C balance</v>
      </c>
      <c r="DV1143" s="143">
        <v>1</v>
      </c>
      <c r="DW1143" s="143">
        <v>1</v>
      </c>
      <c r="DX1143" s="143">
        <v>1</v>
      </c>
      <c r="DY1143" s="143">
        <v>0</v>
      </c>
      <c r="DZ1143">
        <v>0</v>
      </c>
      <c r="EA1143" s="143">
        <v>0</v>
      </c>
      <c r="EB1143" s="143">
        <v>0</v>
      </c>
      <c r="EC1143" s="143">
        <v>0</v>
      </c>
      <c r="ED1143" s="143">
        <v>0</v>
      </c>
      <c r="EE1143">
        <v>0</v>
      </c>
      <c r="EF1143">
        <v>0</v>
      </c>
      <c r="EG1143" s="143">
        <v>0</v>
      </c>
      <c r="EH1143">
        <v>0</v>
      </c>
      <c r="EI1143" s="2">
        <v>0</v>
      </c>
      <c r="EK1143" t="str">
        <f>IF(AND(AND(AND(OR($DX1143=1,$DW1143=1),OR($EC1143=1,$EA1143=1)),SUM($DV1143:$DZ1143,$EF1143)&gt;=4),SUM($EA1143:$EE1143)&gt;=2),"Whole sector","")</f>
        <v/>
      </c>
      <c r="EL1143" t="str">
        <f>IF(AND(AND(OR($DX1143=1,$DW1143=1),AND($EC1143=0,$EA1143=0)),SUM($DV1143:$DZ1143,$EF1143)&gt;=4),"Ecosystem approach","")</f>
        <v/>
      </c>
      <c r="EM1143" s="2" t="str">
        <f>IF(AND(AND(AND($DX1143=0,$DW1143=0),OR($EC1143=1,$EA1143=1)),SUM($EB1143:$EE1143)&gt;=2),"Technology approach","")</f>
        <v/>
      </c>
      <c r="EP1143" t="b">
        <f>IF(ISNUMBER(BU1143),IF(ABS(BU1143-[1]QC_indicators!$B$2)&gt;3*[1]QC_indicators!$C$2,"C ratio",IF(ISNUMBER(BY1143),IF(ABS(BY1143-[1]QC_indicators!$B$1)&gt;3*[1]QC_indicators!$C$1,"DF","no"))),IF(ISNUMBER(BY1143),IF(ABS(BY1143-[1]QC_indicators!$B$1)&gt;3*[1]QC_indicators!$C$1,"DF","no")))</f>
        <v>0</v>
      </c>
      <c r="ET1143" s="264" t="s">
        <v>3177</v>
      </c>
    </row>
    <row r="1144" spans="1:150" ht="15" customHeight="1">
      <c r="A1144" s="1" t="s">
        <v>1937</v>
      </c>
      <c r="B1144" t="s">
        <v>1938</v>
      </c>
      <c r="C1144" t="s">
        <v>1939</v>
      </c>
      <c r="D1144" t="s">
        <v>1940</v>
      </c>
      <c r="E1144" t="s">
        <v>1941</v>
      </c>
      <c r="F1144" t="s">
        <v>1942</v>
      </c>
      <c r="G1144" t="s">
        <v>1943</v>
      </c>
      <c r="H1144" t="s">
        <v>1628</v>
      </c>
      <c r="I1144">
        <v>2005</v>
      </c>
      <c r="J1144">
        <v>91</v>
      </c>
      <c r="K1144" t="s">
        <v>1944</v>
      </c>
      <c r="M1144" t="str">
        <f>LEFT($D1144,FIND(",",$D1144)-1)&amp;"_"&amp;I1144&amp;L1144</f>
        <v>Loustau_2005</v>
      </c>
      <c r="N1144" t="s">
        <v>222</v>
      </c>
      <c r="O1144" s="145" t="s">
        <v>225</v>
      </c>
      <c r="Q1144" t="s">
        <v>256</v>
      </c>
      <c r="R1144" s="262" t="s">
        <v>223</v>
      </c>
      <c r="S1144" s="1" t="s">
        <v>90</v>
      </c>
      <c r="T1144" s="143" t="s">
        <v>1955</v>
      </c>
      <c r="U1144" t="s">
        <v>1956</v>
      </c>
      <c r="V1144">
        <v>0</v>
      </c>
      <c r="W1144">
        <v>0</v>
      </c>
      <c r="X1144">
        <v>1</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s="141">
        <f>COUNTIF(V1144:AW1144,"&lt;&gt;0")</f>
        <v>1</v>
      </c>
      <c r="AY1144" s="141">
        <f>COUNTIF(V1144:AL1144,"&lt;&gt;0")</f>
        <v>1</v>
      </c>
      <c r="AZ1144">
        <f>COUNTIF(V1144:AC1144,"&lt;&gt;0")</f>
        <v>1</v>
      </c>
      <c r="BA1144">
        <f>COUNTIF(AD1144:AI1144,"&lt;&gt;0")</f>
        <v>0</v>
      </c>
      <c r="BB1144">
        <f>COUNTIF(AJ1144:AL1144,"&lt;&gt;0")</f>
        <v>0</v>
      </c>
      <c r="BC1144">
        <f>COUNTIF(AS1144:AW1144,"&lt;&gt;0")</f>
        <v>0</v>
      </c>
      <c r="BD1144">
        <f>COUNTIF(AM1144:AR1144,"&lt;&gt;0")</f>
        <v>0</v>
      </c>
      <c r="BE1144" t="str">
        <f t="array" ref="BE1144">IF(AY1144=1,INDEX($V$7:$AL$7,MATCH(TRUE,INDEX($V1144:$AW1144&lt;&gt;0,),0)),IF(AY1144=0,INDEX($AM$7:$AW$7,MATCH(1,$AM1144:$AW1144,0)),IF(BF1144="Multiple strategies","mixed drivers",IF(BF1144="Supply chain","multiple supply","multiple silviculture"))))</f>
        <v>rotation length</v>
      </c>
      <c r="BF1144" s="2" t="str" cm="1">
        <f t="array" ref="BF1144">IF(COUNTIF(AZ1144:BB1144,"&lt;&gt;0")=1,INDEX($V$4:$AW$4,MATCH(TRUE,INDEX($V1144:$AW1144&lt;&gt;0,),0)),IF(COUNTIF(AZ1144:BB1144,"&lt;&gt;0")=0,INDEX($AM$4:$AW$4,MATCH(1,$AM1144:$AW1144,0)),"Multiple strategies"))</f>
        <v>Silviculture for removals</v>
      </c>
      <c r="BG1144" s="142"/>
      <c r="BK1144" s="143"/>
      <c r="BO1144" s="159"/>
      <c r="BP1144" t="s">
        <v>232</v>
      </c>
      <c r="BQ1144" s="153" t="s">
        <v>3176</v>
      </c>
      <c r="BR1144" t="s">
        <v>1947</v>
      </c>
      <c r="BS1144">
        <v>217</v>
      </c>
      <c r="BT1144" s="143">
        <v>453</v>
      </c>
      <c r="BU1144" s="144">
        <f>IFERROR(BT1144/BS1144,"")</f>
        <v>2.0875576036866361</v>
      </c>
      <c r="BV1144">
        <f>BT1144-BS1144</f>
        <v>236</v>
      </c>
      <c r="BX1144">
        <f>BV1144/10^6*C_to_CO2</f>
        <v>8.6611999999999995E-4</v>
      </c>
      <c r="BY1144" t="str">
        <f>IFERROR(BX1144/BO1144,"")</f>
        <v/>
      </c>
      <c r="BZ1144">
        <v>0</v>
      </c>
      <c r="CA1144">
        <v>0</v>
      </c>
      <c r="CB1144">
        <v>0</v>
      </c>
      <c r="CC1144">
        <v>0</v>
      </c>
      <c r="CD1144">
        <v>0</v>
      </c>
      <c r="CE1144">
        <v>0</v>
      </c>
      <c r="CF1144">
        <v>0</v>
      </c>
      <c r="CG1144">
        <v>0</v>
      </c>
      <c r="CH1144">
        <v>0</v>
      </c>
      <c r="CI1144">
        <v>0</v>
      </c>
      <c r="CJ1144">
        <v>0</v>
      </c>
      <c r="CK1144">
        <v>0</v>
      </c>
      <c r="CL1144">
        <v>0</v>
      </c>
      <c r="CM1144">
        <v>0</v>
      </c>
      <c r="CN1144" t="str">
        <f>IF($BL1144&lt;$BK1144,"refNeedCorrection","refOK")</f>
        <v>refOK</v>
      </c>
      <c r="CO1144">
        <f>IF($CN1144="refOK",$BK1144,$BL1144)</f>
        <v>0</v>
      </c>
      <c r="CP1144">
        <f>IF($CN1144="refOK",$BL1144,$BK1144)</f>
        <v>0</v>
      </c>
      <c r="CQ1144">
        <f>IF($CN1144="refOK",$BO1144,-$BO1144)</f>
        <v>0</v>
      </c>
      <c r="CR1144">
        <f>IF($CN1144="refOK",$BS1144,$BT1144)*IF($BP1144="Emissions positive",-1,1)</f>
        <v>217</v>
      </c>
      <c r="CS1144">
        <f>IF($CN1144="refOK",$BT1144,$BS1144)*IF($BP1144="Emissions positive",-1,1)</f>
        <v>453</v>
      </c>
      <c r="CT1144">
        <f>IF($CN1144="refNeedCorrection",-BX1144,BX1144)*IF($BP1144="Emissions positive",-1,1)</f>
        <v>8.6611999999999995E-4</v>
      </c>
      <c r="CU1144" t="str">
        <f>IFERROR(CT1144/CQ1144,"")</f>
        <v/>
      </c>
      <c r="CV1144" s="2">
        <f>IFERROR((CS1144-CR1144)/ABS(CR1144),"")</f>
        <v>1.0875576036866359</v>
      </c>
      <c r="CW1144" s="1" t="s">
        <v>1203</v>
      </c>
      <c r="CX1144" t="str">
        <f>IF(OR($CW1144="prd",$CW1144="std",$CW1144="cit"),"loc",IF(OR($CW1144="eur",$CW1144="reg",$CW1144="coy"),"reg",$CW1144))</f>
        <v>reg</v>
      </c>
      <c r="CY1144" t="s">
        <v>729</v>
      </c>
      <c r="CZ1144">
        <v>1981</v>
      </c>
      <c r="DA1144" s="143">
        <v>2080</v>
      </c>
      <c r="DB1144" s="143">
        <f>DA1144-CZ1144</f>
        <v>99</v>
      </c>
      <c r="DC1144" t="str">
        <f>IF(DB1144=0,"0",IF(AND(DB1144&gt;=1,DB1144&lt;=30),"1-30",IF(AND(DB1144&gt;30,DB1144&lt;=70),"31-70",IF(AND(DB1144&gt;70,DB1144&lt;=100),"71-100",IF(DB1144&gt;100,"+100")))))</f>
        <v>71-100</v>
      </c>
      <c r="DD1144">
        <v>1</v>
      </c>
      <c r="DE1144">
        <v>0</v>
      </c>
      <c r="DF1144">
        <v>0</v>
      </c>
      <c r="DG1144">
        <v>0</v>
      </c>
      <c r="DI1144">
        <f>SUM(DD1144:DG1144)</f>
        <v>1</v>
      </c>
      <c r="DJ1144" t="str">
        <f>IF(DI1144=1,INDEX($DD$7:$DG$7,MATCH(1,$DD1144:$DG1144,0)),"mixedProduct")</f>
        <v>UpstreamInput</v>
      </c>
      <c r="DK1144" t="str">
        <f>IF(DD1144=1,DK$7,0)</f>
        <v>Upstream</v>
      </c>
      <c r="DL1144">
        <f>IF(DE1144=1,DL$7,0)</f>
        <v>0</v>
      </c>
      <c r="DM1144">
        <f>IF(DF1144=1,DM$7,0)</f>
        <v>0</v>
      </c>
      <c r="DN1144">
        <f>IF(DG1144=1,DN$7,0)</f>
        <v>0</v>
      </c>
      <c r="DO1144">
        <v>0</v>
      </c>
      <c r="DP1144" s="143">
        <v>0</v>
      </c>
      <c r="DQ1144" s="143">
        <v>0</v>
      </c>
      <c r="DR1144">
        <v>0</v>
      </c>
      <c r="DS1144" s="143">
        <v>0</v>
      </c>
      <c r="DT1144">
        <f>SUM(DO1144:DP1144)</f>
        <v>0</v>
      </c>
      <c r="DU1144" s="143" t="str">
        <f>IF(DO1144=1,"self-calculated DF",IF(DP1144=1,"external DF used","explicit C balance"))</f>
        <v>explicit C balance</v>
      </c>
      <c r="DV1144" s="143">
        <v>1</v>
      </c>
      <c r="DW1144" s="143">
        <v>1</v>
      </c>
      <c r="DX1144" s="143">
        <v>1</v>
      </c>
      <c r="DY1144" s="143">
        <v>0</v>
      </c>
      <c r="DZ1144">
        <v>0</v>
      </c>
      <c r="EA1144" s="143">
        <v>0</v>
      </c>
      <c r="EB1144" s="143">
        <v>0</v>
      </c>
      <c r="EC1144" s="143">
        <v>0</v>
      </c>
      <c r="ED1144" s="143">
        <v>0</v>
      </c>
      <c r="EE1144">
        <v>0</v>
      </c>
      <c r="EF1144">
        <v>0</v>
      </c>
      <c r="EG1144" s="143">
        <v>0</v>
      </c>
      <c r="EH1144">
        <v>0</v>
      </c>
      <c r="EI1144" s="2">
        <v>0</v>
      </c>
      <c r="EK1144" t="str">
        <f>IF(AND(AND(AND(OR($DX1144=1,$DW1144=1),OR($EC1144=1,$EA1144=1)),SUM($DV1144:$DZ1144,$EF1144)&gt;=4),SUM($EA1144:$EE1144)&gt;=2),"Whole sector","")</f>
        <v/>
      </c>
      <c r="EL1144" t="str">
        <f>IF(AND(AND(OR($DX1144=1,$DW1144=1),AND($EC1144=0,$EA1144=0)),SUM($DV1144:$DZ1144,$EF1144)&gt;=4),"Ecosystem approach","")</f>
        <v/>
      </c>
      <c r="EM1144" s="2" t="str">
        <f>IF(AND(AND(AND($DX1144=0,$DW1144=0),OR($EC1144=1,$EA1144=1)),SUM($EB1144:$EE1144)&gt;=2),"Technology approach","")</f>
        <v/>
      </c>
      <c r="EP1144" t="b">
        <f>IF(ISNUMBER(BU1144),IF(ABS(BU1144-[1]QC_indicators!$B$2)&gt;3*[1]QC_indicators!$C$2,"C ratio",IF(ISNUMBER(BY1144),IF(ABS(BY1144-[1]QC_indicators!$B$1)&gt;3*[1]QC_indicators!$C$1,"DF","no"))),IF(ISNUMBER(BY1144),IF(ABS(BY1144-[1]QC_indicators!$B$1)&gt;3*[1]QC_indicators!$C$1,"DF","no")))</f>
        <v>0</v>
      </c>
      <c r="ET1144" s="264" t="s">
        <v>3177</v>
      </c>
    </row>
    <row r="1145" spans="1:150" ht="15" customHeight="1">
      <c r="A1145" s="1" t="s">
        <v>2554</v>
      </c>
      <c r="B1145" t="s">
        <v>2555</v>
      </c>
      <c r="C1145" t="s">
        <v>2556</v>
      </c>
      <c r="D1145" t="s">
        <v>2557</v>
      </c>
      <c r="E1145" t="s">
        <v>2558</v>
      </c>
      <c r="F1145" t="s">
        <v>2559</v>
      </c>
      <c r="G1145" t="s">
        <v>2560</v>
      </c>
      <c r="H1145" t="s">
        <v>254</v>
      </c>
      <c r="I1145">
        <v>2015</v>
      </c>
      <c r="J1145">
        <v>20</v>
      </c>
      <c r="K1145" t="s">
        <v>2561</v>
      </c>
      <c r="M1145" t="str">
        <f>LEFT($D1145,FIND(",",$D1145)-1)&amp;"_"&amp;I1145&amp;L1145</f>
        <v>Meiyappan_2015</v>
      </c>
      <c r="N1145" t="s">
        <v>222</v>
      </c>
      <c r="O1145" s="145" t="s">
        <v>225</v>
      </c>
      <c r="Q1145" s="264" t="s">
        <v>256</v>
      </c>
      <c r="R1145" s="269" t="s">
        <v>1154</v>
      </c>
      <c r="S1145" s="1" t="s">
        <v>2562</v>
      </c>
      <c r="T1145" t="s">
        <v>2563</v>
      </c>
      <c r="U1145" s="143" t="s">
        <v>2570</v>
      </c>
      <c r="V1145">
        <v>2</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1</v>
      </c>
      <c r="AO1145">
        <v>2</v>
      </c>
      <c r="AP1145">
        <v>2</v>
      </c>
      <c r="AQ1145">
        <v>0</v>
      </c>
      <c r="AR1145">
        <v>2</v>
      </c>
      <c r="AS1145">
        <v>0</v>
      </c>
      <c r="AT1145">
        <v>0</v>
      </c>
      <c r="AU1145">
        <v>0</v>
      </c>
      <c r="AV1145">
        <v>0</v>
      </c>
      <c r="AW1145">
        <v>0</v>
      </c>
      <c r="AX1145" s="141">
        <f>COUNTIF(V1145:AW1145,"&lt;&gt;0")</f>
        <v>5</v>
      </c>
      <c r="AY1145" s="141">
        <f>COUNTIF(V1145:AL1145,"&lt;&gt;0")</f>
        <v>1</v>
      </c>
      <c r="AZ1145">
        <f>COUNTIF(V1145:AC1145,"&lt;&gt;0")</f>
        <v>1</v>
      </c>
      <c r="BA1145">
        <f>COUNTIF(AD1145:AI1145,"&lt;&gt;0")</f>
        <v>0</v>
      </c>
      <c r="BB1145">
        <f>COUNTIF(AJ1145:AL1145,"&lt;&gt;0")</f>
        <v>0</v>
      </c>
      <c r="BC1145">
        <f>COUNTIF(AS1145:AW1145,"&lt;&gt;0")</f>
        <v>0</v>
      </c>
      <c r="BD1145">
        <f>COUNTIF(AM1145:AR1145,"&lt;&gt;0")</f>
        <v>4</v>
      </c>
      <c r="BE1145" t="str" cm="1">
        <f t="array" ref="BE1145">IF(AY1145=1,INDEX($V$7:$AL$7,MATCH(TRUE,INDEX($V1145:$AW1145&lt;&gt;0,),0)),IF(AY1145=0,INDEX($AM$7:$AW$7,MATCH(1,$AM1145:$AW1145,0)),IF(BF1145="Multiple strategies","mixed drivers",IF(BF1145="Supply chain","multiple supply","multiple silviculture"))))</f>
        <v>area subject to harvest</v>
      </c>
      <c r="BF1145" s="2" t="str" cm="1">
        <f t="array" ref="BF1145">IF(COUNTIF(AZ1145:BB1145,"&lt;&gt;0")=1,INDEX($V$4:$AW$4,MATCH(TRUE,INDEX($V1145:$AW1145&lt;&gt;0,),0)),IF(COUNTIF(AZ1145:BB1145,"&lt;&gt;0")=0,INDEX($AM$4:$AW$4,MATCH(1,$AM1145:$AW1145,0)),"Multiple strategies"))</f>
        <v>Silviculture for removals</v>
      </c>
      <c r="BG1145" s="142" t="s">
        <v>321</v>
      </c>
      <c r="BH1145" t="s">
        <v>2565</v>
      </c>
      <c r="BJ1145" s="143" t="s">
        <v>2566</v>
      </c>
      <c r="BK1145" s="143">
        <v>69</v>
      </c>
      <c r="BL1145" s="143">
        <v>69</v>
      </c>
      <c r="BM1145">
        <f>BL1145/BK1145</f>
        <v>1</v>
      </c>
      <c r="BN1145">
        <f>BL1145-BK1145</f>
        <v>0</v>
      </c>
      <c r="BO1145" s="143">
        <f>BN1145*10^9*tC_to_m3</f>
        <v>0</v>
      </c>
      <c r="BP1145" s="264" t="s">
        <v>232</v>
      </c>
      <c r="BQ1145" s="264"/>
      <c r="BR1145" t="s">
        <v>2567</v>
      </c>
      <c r="BS1145" s="143">
        <v>-163</v>
      </c>
      <c r="BT1145">
        <v>-112</v>
      </c>
      <c r="BU1145" s="144">
        <v>0.68711656441717794</v>
      </c>
      <c r="BV1145">
        <v>51</v>
      </c>
      <c r="BX1145">
        <f>BV1145*10^9*C_to_CO2</f>
        <v>187170000000</v>
      </c>
      <c r="BY1145" t="str">
        <f>IFERROR(BX1145/BO1145,"")</f>
        <v/>
      </c>
      <c r="BZ1145">
        <v>0</v>
      </c>
      <c r="CA1145">
        <v>0</v>
      </c>
      <c r="CB1145">
        <v>0</v>
      </c>
      <c r="CC1145">
        <v>0</v>
      </c>
      <c r="CD1145">
        <v>0</v>
      </c>
      <c r="CE1145">
        <v>0</v>
      </c>
      <c r="CF1145">
        <v>0</v>
      </c>
      <c r="CG1145">
        <v>0</v>
      </c>
      <c r="CH1145">
        <v>0</v>
      </c>
      <c r="CI1145">
        <v>0</v>
      </c>
      <c r="CJ1145">
        <v>0</v>
      </c>
      <c r="CK1145">
        <v>0</v>
      </c>
      <c r="CL1145">
        <v>0</v>
      </c>
      <c r="CM1145">
        <v>0</v>
      </c>
      <c r="CN1145" t="str">
        <f>IF($BL1145&lt;$BK1145,"refNeedCorrection","refOK")</f>
        <v>refOK</v>
      </c>
      <c r="CO1145">
        <f>IF($CN1145="refOK",$BK1145,$BL1145)</f>
        <v>69</v>
      </c>
      <c r="CP1145">
        <f>IF($CN1145="refOK",$BL1145,$BK1145)</f>
        <v>69</v>
      </c>
      <c r="CQ1145">
        <f>IF($CN1145="refOK",$BO1145,-$BO1145)</f>
        <v>0</v>
      </c>
      <c r="CR1145">
        <f>IF($CN1145="refOK",$BS1145,$BT1145)*IF($BP1145="Emissions positive",-1,1)</f>
        <v>-163</v>
      </c>
      <c r="CS1145">
        <f>IF($CN1145="refOK",$BT1145,$BS1145)*IF($BP1145="Emissions positive",-1,1)</f>
        <v>-112</v>
      </c>
      <c r="CT1145">
        <f>IF($CN1145="refNeedCorrection",-BX1145,BX1145)*IF($BP1145="Emissions positive",-1,1)</f>
        <v>187170000000</v>
      </c>
      <c r="CU1145" t="str">
        <f>IFERROR(CT1145/CQ1145,"")</f>
        <v/>
      </c>
      <c r="CV1145" s="2">
        <f>IFERROR((CS1145-CR1145)/ABS(CR1145),"")</f>
        <v>0.31288343558282211</v>
      </c>
      <c r="CW1145" s="1" t="s">
        <v>2539</v>
      </c>
      <c r="CX1145" s="264" t="str">
        <f>IF(OR($CW1145="prd",$CW1145="std",$CW1145="cit"),"loc",IF(OR($CW1145="eur",$CW1145="reg",$CW1145="coy"),"reg",$CW1145))</f>
        <v>w</v>
      </c>
      <c r="CY1145" s="264" t="s">
        <v>2540</v>
      </c>
      <c r="CZ1145">
        <v>1901</v>
      </c>
      <c r="DA1145" s="143">
        <v>2100</v>
      </c>
      <c r="DB1145" s="143">
        <v>200</v>
      </c>
      <c r="DC1145" t="str">
        <f>IF(DB1145=0,"0",IF(AND(DB1145&gt;=1,DB1145&lt;=30),"1-30",IF(AND(DB1145&gt;30,DB1145&lt;=70),"31-70",IF(AND(DB1145&gt;70,DB1145&lt;=100),"71-100",IF(DB1145&gt;100,"+100")))))</f>
        <v>+100</v>
      </c>
      <c r="DD1145">
        <v>1</v>
      </c>
      <c r="DE1145">
        <v>0</v>
      </c>
      <c r="DF1145">
        <v>0</v>
      </c>
      <c r="DG1145">
        <v>0</v>
      </c>
      <c r="DI1145">
        <f>SUM(DD1145:DG1145)</f>
        <v>1</v>
      </c>
      <c r="DJ1145" t="str">
        <f>IF(DI1145=1,INDEX($DD$7:$DG$7,MATCH(1,$DD1145:$DG1145,0)),"mixedProduct")</f>
        <v>UpstreamInput</v>
      </c>
      <c r="DK1145" t="str">
        <f>IF(DD1145=1,DK$7,0)</f>
        <v>Upstream</v>
      </c>
      <c r="DL1145">
        <f>IF(DE1145=1,DL$7,0)</f>
        <v>0</v>
      </c>
      <c r="DM1145">
        <f>IF(DF1145=1,DM$7,0)</f>
        <v>0</v>
      </c>
      <c r="DN1145">
        <f>IF(DG1145=1,DN$7,0)</f>
        <v>0</v>
      </c>
      <c r="DO1145">
        <v>0</v>
      </c>
      <c r="DP1145" s="143">
        <v>0</v>
      </c>
      <c r="DQ1145" s="143">
        <v>0</v>
      </c>
      <c r="DR1145">
        <v>0</v>
      </c>
      <c r="DS1145" s="143">
        <v>0</v>
      </c>
      <c r="DT1145">
        <f>SUM(DO1145:DP1145)</f>
        <v>0</v>
      </c>
      <c r="DU1145" s="143" t="str">
        <f>IF(DO1145=1,"self-calculated DF",IF(DP1145=1,"external DF used","explicit C balance"))</f>
        <v>explicit C balance</v>
      </c>
      <c r="DV1145" s="143">
        <v>1</v>
      </c>
      <c r="DW1145" s="143">
        <v>1</v>
      </c>
      <c r="DX1145" s="143">
        <v>1</v>
      </c>
      <c r="DY1145" s="143">
        <v>1</v>
      </c>
      <c r="DZ1145">
        <v>1</v>
      </c>
      <c r="EA1145" s="143">
        <v>0</v>
      </c>
      <c r="EB1145" s="143">
        <v>0</v>
      </c>
      <c r="EC1145" s="143">
        <v>0</v>
      </c>
      <c r="ED1145" s="143">
        <v>0</v>
      </c>
      <c r="EE1145">
        <v>0</v>
      </c>
      <c r="EF1145">
        <v>0</v>
      </c>
      <c r="EG1145" s="143">
        <v>0</v>
      </c>
      <c r="EH1145">
        <v>0</v>
      </c>
      <c r="EI1145" s="2">
        <v>0</v>
      </c>
      <c r="EK1145" t="str">
        <f>IF(AND(AND(AND(OR($DX1145=1,$DW1145=1),OR($EC1145=1,$EA1145=1)),SUM($DV1145:$DZ1145,$EF1145)&gt;=4),SUM($EA1145:$EE1145)&gt;=2),"Whole sector","")</f>
        <v/>
      </c>
      <c r="EL1145" t="str">
        <f>IF(AND(AND(OR($DX1145=1,$DW1145=1),AND($EC1145=0,$EA1145=0)),SUM($DV1145:$DZ1145,$EF1145)&gt;=4),"Ecosystem approach","")</f>
        <v>Ecosystem approach</v>
      </c>
      <c r="EM1145" s="2" t="str">
        <f>IF(AND(AND(AND($DX1145=0,$DW1145=0),OR($EC1145=1,$EA1145=1)),SUM($EB1145:$EE1145)&gt;=2),"Technology approach","")</f>
        <v/>
      </c>
      <c r="EP1145" t="b">
        <f>IF(ISNUMBER(BU1145),IF(ABS(BU1145-[3]QC_indicators!$B$2)&gt;3*[3]QC_indicators!$C$2,"C ratio",IF(ISNUMBER(BY1145),IF(ABS(BY1145-[3]QC_indicators!$B$1)&gt;3*[3]QC_indicators!$C$1,"DF","no"))),IF(ISNUMBER(BY1145),IF(ABS(BY1145-[3]QC_indicators!$B$1)&gt;3*[3]QC_indicators!$C$1,"DF","no")))</f>
        <v>0</v>
      </c>
      <c r="ER1145" s="294" t="s">
        <v>349</v>
      </c>
      <c r="ET1145" s="264" t="s">
        <v>3407</v>
      </c>
    </row>
    <row r="1146" spans="1:150" ht="15" customHeight="1">
      <c r="A1146" s="1" t="s">
        <v>333</v>
      </c>
      <c r="B1146" t="s">
        <v>945</v>
      </c>
      <c r="C1146" t="s">
        <v>946</v>
      </c>
      <c r="D1146" t="s">
        <v>947</v>
      </c>
      <c r="E1146" t="s">
        <v>948</v>
      </c>
      <c r="F1146" t="s">
        <v>949</v>
      </c>
      <c r="G1146" t="s">
        <v>339</v>
      </c>
      <c r="H1146" t="s">
        <v>254</v>
      </c>
      <c r="I1146">
        <v>2021</v>
      </c>
      <c r="J1146">
        <v>0</v>
      </c>
      <c r="K1146" t="s">
        <v>950</v>
      </c>
      <c r="M1146" t="str">
        <f>LEFT($D1146,FIND(",",$D1146)-1)&amp;"_"&amp;I1146&amp;L1146</f>
        <v>Morris_2021</v>
      </c>
      <c r="N1146" t="s">
        <v>222</v>
      </c>
      <c r="O1146" t="s">
        <v>223</v>
      </c>
      <c r="Q1146" t="s">
        <v>256</v>
      </c>
      <c r="R1146" s="255" t="s">
        <v>225</v>
      </c>
      <c r="S1146" s="1" t="s">
        <v>951</v>
      </c>
      <c r="T1146" t="s">
        <v>952</v>
      </c>
      <c r="U1146" s="143" t="s">
        <v>953</v>
      </c>
      <c r="V1146">
        <v>0</v>
      </c>
      <c r="W1146">
        <v>0</v>
      </c>
      <c r="X1146">
        <v>0</v>
      </c>
      <c r="Y1146">
        <v>0</v>
      </c>
      <c r="Z1146">
        <v>0</v>
      </c>
      <c r="AA1146">
        <v>0</v>
      </c>
      <c r="AB1146">
        <v>0</v>
      </c>
      <c r="AC1146">
        <v>0</v>
      </c>
      <c r="AD1146">
        <v>0</v>
      </c>
      <c r="AE1146">
        <v>0</v>
      </c>
      <c r="AF1146">
        <v>0</v>
      </c>
      <c r="AG1146">
        <v>0</v>
      </c>
      <c r="AH1146">
        <v>1</v>
      </c>
      <c r="AI1146">
        <v>0</v>
      </c>
      <c r="AJ1146">
        <v>0</v>
      </c>
      <c r="AK1146">
        <v>0</v>
      </c>
      <c r="AL1146">
        <v>0</v>
      </c>
      <c r="AM1146">
        <v>0</v>
      </c>
      <c r="AN1146">
        <v>0</v>
      </c>
      <c r="AO1146">
        <v>0</v>
      </c>
      <c r="AP1146">
        <v>0</v>
      </c>
      <c r="AQ1146">
        <v>0</v>
      </c>
      <c r="AR1146">
        <v>0</v>
      </c>
      <c r="AS1146">
        <v>0</v>
      </c>
      <c r="AT1146">
        <v>0</v>
      </c>
      <c r="AU1146">
        <v>0</v>
      </c>
      <c r="AV1146">
        <v>0</v>
      </c>
      <c r="AW1146">
        <v>0</v>
      </c>
      <c r="AX1146" s="141">
        <f>COUNTIF(V1146:AW1146,"&lt;&gt;0")</f>
        <v>1</v>
      </c>
      <c r="AY1146" s="141">
        <f>COUNTIF(V1146:AL1146,"&lt;&gt;0")</f>
        <v>1</v>
      </c>
      <c r="AZ1146">
        <f>COUNTIF(V1146:AC1146,"&lt;&gt;0")</f>
        <v>0</v>
      </c>
      <c r="BA1146">
        <f>COUNTIF(AD1146:AI1146,"&lt;&gt;0")</f>
        <v>1</v>
      </c>
      <c r="BB1146">
        <f>COUNTIF(AJ1146:AL1146,"&lt;&gt;0")</f>
        <v>0</v>
      </c>
      <c r="BC1146">
        <f>COUNTIF(AS1146:AW1146,"&lt;&gt;0")</f>
        <v>0</v>
      </c>
      <c r="BD1146">
        <f>COUNTIF(AM1146:AR1146,"&lt;&gt;0")</f>
        <v>0</v>
      </c>
      <c r="BE1146" t="str">
        <f t="array" ref="BE1146">IF(AY1146=1,INDEX($V$7:$AL$7,MATCH(TRUE,INDEX($V1146:$AW1146&lt;&gt;0,),0)),IF(AY1146=0,INDEX($AM$7:$AW$7,MATCH(1,$AM1146:$AW1146,0)),IF(BF1146="Multiple strategies","mixed drivers",IF(BF1146="Supply chain","multiple supply","multiple silviculture"))))</f>
        <v xml:space="preserve">end of life disposal </v>
      </c>
      <c r="BF1146" s="2" t="str" cm="1">
        <f t="array" ref="BF1146">IF(COUNTIF(AZ1146:BB1146,"&lt;&gt;0")=1,INDEX($V$4:$AW$4,MATCH(TRUE,INDEX($V1146:$AW1146&lt;&gt;0,),0)),IF(COUNTIF(AZ1146:BB1146,"&lt;&gt;0")=0,INDEX($AM$4:$AW$4,MATCH(1,$AM1146:$AW1146,0)),"Multiple strategies"))</f>
        <v>Supply chain</v>
      </c>
      <c r="BG1146" s="1" t="s">
        <v>229</v>
      </c>
      <c r="BH1146" t="s">
        <v>954</v>
      </c>
      <c r="BI1146" s="260" t="s">
        <v>3373</v>
      </c>
      <c r="BJ1146" t="s">
        <v>345</v>
      </c>
      <c r="BK1146">
        <v>116.6</v>
      </c>
      <c r="BL1146">
        <v>116.6</v>
      </c>
      <c r="BM1146" s="143"/>
      <c r="BN1146">
        <f>BL1146-BK1146</f>
        <v>0</v>
      </c>
      <c r="BO1146">
        <f>BN1146*kg_to_m3</f>
        <v>0</v>
      </c>
      <c r="BP1146" t="s">
        <v>232</v>
      </c>
      <c r="BQ1146" s="260" t="s">
        <v>3374</v>
      </c>
      <c r="BR1146" t="s">
        <v>955</v>
      </c>
      <c r="BS1146" s="143">
        <v>-175.4</v>
      </c>
      <c r="BT1146">
        <v>13.8</v>
      </c>
      <c r="BU1146" s="144">
        <f>IFERROR(BT1146/BS1146,"")</f>
        <v>-7.8677309007981755E-2</v>
      </c>
      <c r="BV1146">
        <f>BT1146-BS1146</f>
        <v>189.20000000000002</v>
      </c>
      <c r="BX1146">
        <f>BV1146/1000</f>
        <v>0.18920000000000001</v>
      </c>
      <c r="BY1146" t="str">
        <f>IFERROR(BX1146/BO1146,"")</f>
        <v/>
      </c>
      <c r="BZ1146">
        <v>1</v>
      </c>
      <c r="CA1146">
        <v>0</v>
      </c>
      <c r="CB1146">
        <v>0</v>
      </c>
      <c r="CC1146">
        <v>0</v>
      </c>
      <c r="CD1146">
        <v>0</v>
      </c>
      <c r="CE1146">
        <v>1</v>
      </c>
      <c r="CF1146">
        <v>0</v>
      </c>
      <c r="CG1146">
        <v>1</v>
      </c>
      <c r="CH1146">
        <v>0</v>
      </c>
      <c r="CI1146">
        <v>0</v>
      </c>
      <c r="CJ1146">
        <v>0</v>
      </c>
      <c r="CK1146">
        <v>0</v>
      </c>
      <c r="CL1146">
        <v>0</v>
      </c>
      <c r="CM1146">
        <v>0</v>
      </c>
      <c r="CN1146" t="str">
        <f>IF($BL1146&lt;$BK1146,"refNeedCorrection","refOK")</f>
        <v>refOK</v>
      </c>
      <c r="CO1146">
        <f>IF($CN1146="refOK",$BK1146,$BL1146)</f>
        <v>116.6</v>
      </c>
      <c r="CP1146">
        <f>IF($CN1146="refOK",$BL1146,$BK1146)</f>
        <v>116.6</v>
      </c>
      <c r="CQ1146">
        <f>IF($CN1146="refOK",$BO1146,-$BO1146)</f>
        <v>0</v>
      </c>
      <c r="CR1146">
        <f>IF($CN1146="refOK",$BS1146,$BT1146)*IF($BP1146="Emissions positive",-1,1)</f>
        <v>-175.4</v>
      </c>
      <c r="CS1146">
        <f>IF($CN1146="refOK",$BT1146,$BS1146)*IF($BP1146="Emissions positive",-1,1)</f>
        <v>13.8</v>
      </c>
      <c r="CT1146">
        <f>IF($CN1146="refNeedCorrection",-BX1146,BX1146)*IF($BP1146="Emissions positive",-1,1)</f>
        <v>0.18920000000000001</v>
      </c>
      <c r="CU1146" t="str">
        <f>IFERROR(CT1146/CQ1146,"")</f>
        <v/>
      </c>
      <c r="CV1146" s="2">
        <f>IFERROR((CS1146-CR1146)/ABS(CR1146),"")</f>
        <v>1.0786773090079818</v>
      </c>
      <c r="CW1146" s="1" t="s">
        <v>263</v>
      </c>
      <c r="CX1146" t="str">
        <f>IF(OR($CW1146="prd",$CW1146="std",$CW1146="cit"),"loc",IF(OR($CW1146="eur",$CW1146="reg",$CW1146="coy"),"reg",$CW1146))</f>
        <v>loc</v>
      </c>
      <c r="CY1146" s="309" t="s">
        <v>3423</v>
      </c>
      <c r="DB1146">
        <v>0</v>
      </c>
      <c r="DC1146" t="str">
        <f>IF(DB1146=0,"0",IF(AND(DB1146&gt;=1,DB1146&lt;=30),"1-30",IF(AND(DB1146&gt;30,DB1146&lt;=70),"31-70",IF(AND(DB1146&gt;70,DB1146&lt;=100),"71-100",IF(DB1146&gt;100,"+100")))))</f>
        <v>0</v>
      </c>
      <c r="DD1146">
        <v>0</v>
      </c>
      <c r="DE1146">
        <v>0</v>
      </c>
      <c r="DF1146">
        <v>0</v>
      </c>
      <c r="DG1146">
        <v>1</v>
      </c>
      <c r="DI1146">
        <f>SUM(DD1146:DG1146)</f>
        <v>1</v>
      </c>
      <c r="DJ1146" t="str">
        <f>IF(DI1146=1,INDEX($DD$7:$DG$7,MATCH(1,$DD1146:$DG1146,0)),"mixedProduct")</f>
        <v>TimberInput</v>
      </c>
      <c r="DK1146">
        <f>IF(DD1146=1,DK$7,0)</f>
        <v>0</v>
      </c>
      <c r="DL1146">
        <f>IF(DE1146=1,DL$7,0)</f>
        <v>0</v>
      </c>
      <c r="DM1146">
        <f>IF(DF1146=1,DM$7,0)</f>
        <v>0</v>
      </c>
      <c r="DN1146" t="str">
        <f>IF(DG1146=1,DN$7,0)</f>
        <v>Timber</v>
      </c>
      <c r="DO1146">
        <v>0</v>
      </c>
      <c r="DP1146">
        <v>1</v>
      </c>
      <c r="DQ1146">
        <v>0</v>
      </c>
      <c r="DR1146">
        <v>0</v>
      </c>
      <c r="DS1146">
        <v>0</v>
      </c>
      <c r="DT1146">
        <f>SUM(DO1146:DP1146)</f>
        <v>1</v>
      </c>
      <c r="DU1146" s="143" t="str">
        <f>IF(DO1146=1,"self-calculated DF",IF(DP1146=1,"external DF used","explicit C balance"))</f>
        <v>external DF used</v>
      </c>
      <c r="DV1146">
        <v>0</v>
      </c>
      <c r="DW1146">
        <v>0</v>
      </c>
      <c r="DX1146">
        <v>0</v>
      </c>
      <c r="DY1146">
        <v>1</v>
      </c>
      <c r="DZ1146">
        <v>0</v>
      </c>
      <c r="EA1146" s="143">
        <v>1</v>
      </c>
      <c r="EB1146">
        <v>1</v>
      </c>
      <c r="EC1146">
        <v>1</v>
      </c>
      <c r="ED1146">
        <v>0</v>
      </c>
      <c r="EE1146">
        <v>1</v>
      </c>
      <c r="EF1146">
        <v>0</v>
      </c>
      <c r="EG1146">
        <v>0</v>
      </c>
      <c r="EH1146">
        <v>0</v>
      </c>
      <c r="EI1146" s="2">
        <v>0</v>
      </c>
      <c r="EK1146" t="str">
        <f>IF(AND(AND(AND(OR($DX1146=1,$DW1146=1),OR($EC1146=1,$EA1146=1)),SUM($DV1146:$DZ1146,$EF1146)&gt;=4),SUM($EA1146:$EE1146)&gt;=2),"Whole sector","")</f>
        <v/>
      </c>
      <c r="EL1146" t="str">
        <f>IF(AND(AND(OR($DX1146=1,$DW1146=1),AND($EC1146=0,$EA1146=0)),SUM($DV1146:$DZ1146,$EF1146)&gt;=4),"Ecosystem approach","")</f>
        <v/>
      </c>
      <c r="EM1146" s="2" t="str">
        <f>IF(AND(AND(AND($DX1146=0,$DW1146=0),OR($EC1146=1,$EA1146=1)),SUM($EB1146:$EE1146)&gt;=2),"Technology approach","")</f>
        <v>Technology approach</v>
      </c>
      <c r="EP1146" t="b">
        <f>IF(ISNUMBER(BU1146),IF(ABS(BU1146-[4]QC_indicators!$B$2)&gt;3*[4]QC_indicators!$C$2,"C ratio",IF(ISNUMBER(BY1146),IF(ABS(BY1146-[4]QC_indicators!$B$1)&gt;3*[4]QC_indicators!$C$1,"DF","no"))),IF(ISNUMBER(BY1146),IF(ABS(BY1146-[4]QC_indicators!$B$1)&gt;3*[4]QC_indicators!$C$1,"DF","no")))</f>
        <v>0</v>
      </c>
      <c r="ER1146" s="149" t="s">
        <v>349</v>
      </c>
      <c r="ET1146" s="264" t="s">
        <v>3273</v>
      </c>
    </row>
    <row r="1147" spans="1:150" ht="15" customHeight="1">
      <c r="A1147" s="1" t="s">
        <v>333</v>
      </c>
      <c r="B1147" t="s">
        <v>945</v>
      </c>
      <c r="C1147" t="s">
        <v>946</v>
      </c>
      <c r="D1147" t="s">
        <v>947</v>
      </c>
      <c r="E1147" t="s">
        <v>948</v>
      </c>
      <c r="F1147" t="s">
        <v>949</v>
      </c>
      <c r="G1147" t="s">
        <v>339</v>
      </c>
      <c r="H1147" t="s">
        <v>254</v>
      </c>
      <c r="I1147">
        <v>2021</v>
      </c>
      <c r="J1147">
        <v>0</v>
      </c>
      <c r="K1147" t="s">
        <v>950</v>
      </c>
      <c r="M1147" t="str">
        <f>LEFT($D1147,FIND(",",$D1147)-1)&amp;"_"&amp;I1147&amp;L1147</f>
        <v>Morris_2021</v>
      </c>
      <c r="N1147" t="s">
        <v>222</v>
      </c>
      <c r="O1147" t="s">
        <v>223</v>
      </c>
      <c r="Q1147" t="s">
        <v>256</v>
      </c>
      <c r="R1147" s="255" t="s">
        <v>225</v>
      </c>
      <c r="S1147" s="1" t="s">
        <v>951</v>
      </c>
      <c r="T1147" t="s">
        <v>952</v>
      </c>
      <c r="U1147" s="143" t="s">
        <v>953</v>
      </c>
      <c r="V1147">
        <v>0</v>
      </c>
      <c r="W1147">
        <v>0</v>
      </c>
      <c r="X1147">
        <v>0</v>
      </c>
      <c r="Y1147">
        <v>0</v>
      </c>
      <c r="Z1147">
        <v>0</v>
      </c>
      <c r="AA1147">
        <v>0</v>
      </c>
      <c r="AB1147">
        <v>0</v>
      </c>
      <c r="AC1147">
        <v>0</v>
      </c>
      <c r="AD1147">
        <v>0</v>
      </c>
      <c r="AE1147">
        <v>0</v>
      </c>
      <c r="AF1147">
        <v>0</v>
      </c>
      <c r="AG1147">
        <v>0</v>
      </c>
      <c r="AH1147">
        <v>1</v>
      </c>
      <c r="AI1147">
        <v>0</v>
      </c>
      <c r="AJ1147">
        <v>0</v>
      </c>
      <c r="AK1147">
        <v>0</v>
      </c>
      <c r="AL1147">
        <v>0</v>
      </c>
      <c r="AM1147">
        <v>0</v>
      </c>
      <c r="AN1147">
        <v>0</v>
      </c>
      <c r="AO1147">
        <v>0</v>
      </c>
      <c r="AP1147">
        <v>0</v>
      </c>
      <c r="AQ1147">
        <v>0</v>
      </c>
      <c r="AR1147">
        <v>0</v>
      </c>
      <c r="AS1147">
        <v>0</v>
      </c>
      <c r="AT1147">
        <v>0</v>
      </c>
      <c r="AU1147">
        <v>0</v>
      </c>
      <c r="AV1147">
        <v>0</v>
      </c>
      <c r="AW1147">
        <v>0</v>
      </c>
      <c r="AX1147" s="141">
        <f>COUNTIF(V1147:AW1147,"&lt;&gt;0")</f>
        <v>1</v>
      </c>
      <c r="AY1147" s="141">
        <f>COUNTIF(V1147:AL1147,"&lt;&gt;0")</f>
        <v>1</v>
      </c>
      <c r="AZ1147">
        <f>COUNTIF(V1147:AC1147,"&lt;&gt;0")</f>
        <v>0</v>
      </c>
      <c r="BA1147">
        <f>COUNTIF(AD1147:AI1147,"&lt;&gt;0")</f>
        <v>1</v>
      </c>
      <c r="BB1147">
        <f>COUNTIF(AJ1147:AL1147,"&lt;&gt;0")</f>
        <v>0</v>
      </c>
      <c r="BC1147">
        <f>COUNTIF(AS1147:AW1147,"&lt;&gt;0")</f>
        <v>0</v>
      </c>
      <c r="BD1147">
        <f>COUNTIF(AM1147:AR1147,"&lt;&gt;0")</f>
        <v>0</v>
      </c>
      <c r="BE1147" t="str">
        <f t="array" ref="BE1147">IF(AY1147=1,INDEX($V$7:$AL$7,MATCH(TRUE,INDEX($V1147:$AW1147&lt;&gt;0,),0)),IF(AY1147=0,INDEX($AM$7:$AW$7,MATCH(1,$AM1147:$AW1147,0)),IF(BF1147="Multiple strategies","mixed drivers",IF(BF1147="Supply chain","multiple supply","multiple silviculture"))))</f>
        <v xml:space="preserve">end of life disposal </v>
      </c>
      <c r="BF1147" s="2" t="str" cm="1">
        <f t="array" ref="BF1147">IF(COUNTIF(AZ1147:BB1147,"&lt;&gt;0")=1,INDEX($V$4:$AW$4,MATCH(TRUE,INDEX($V1147:$AW1147&lt;&gt;0,),0)),IF(COUNTIF(AZ1147:BB1147,"&lt;&gt;0")=0,INDEX($AM$4:$AW$4,MATCH(1,$AM1147:$AW1147,0)),"Multiple strategies"))</f>
        <v>Supply chain</v>
      </c>
      <c r="BG1147" s="1" t="s">
        <v>229</v>
      </c>
      <c r="BH1147" t="s">
        <v>954</v>
      </c>
      <c r="BI1147" s="260" t="s">
        <v>3373</v>
      </c>
      <c r="BJ1147" t="s">
        <v>345</v>
      </c>
      <c r="BK1147">
        <v>116.6</v>
      </c>
      <c r="BL1147">
        <v>116.6</v>
      </c>
      <c r="BM1147" s="143"/>
      <c r="BN1147">
        <f>BL1147-BK1147</f>
        <v>0</v>
      </c>
      <c r="BO1147">
        <f>BN1147*kg_to_m3</f>
        <v>0</v>
      </c>
      <c r="BP1147" t="s">
        <v>232</v>
      </c>
      <c r="BQ1147" s="260" t="s">
        <v>3375</v>
      </c>
      <c r="BR1147" t="s">
        <v>955</v>
      </c>
      <c r="BS1147">
        <v>-159.69999999999999</v>
      </c>
      <c r="BT1147">
        <v>-32.799999999999997</v>
      </c>
      <c r="BU1147" s="144">
        <f>IFERROR(BT1147/BS1147,"")</f>
        <v>0.20538509705698182</v>
      </c>
      <c r="BV1147">
        <f>BT1147-BS1147</f>
        <v>126.89999999999999</v>
      </c>
      <c r="BX1147">
        <f>BV1147/1000</f>
        <v>0.12689999999999999</v>
      </c>
      <c r="BY1147" t="str">
        <f>IFERROR(BX1147/BO1147,"")</f>
        <v/>
      </c>
      <c r="BZ1147">
        <v>1</v>
      </c>
      <c r="CA1147">
        <v>0</v>
      </c>
      <c r="CB1147">
        <v>0</v>
      </c>
      <c r="CC1147">
        <v>0</v>
      </c>
      <c r="CD1147">
        <v>0</v>
      </c>
      <c r="CE1147">
        <v>1</v>
      </c>
      <c r="CF1147">
        <v>0</v>
      </c>
      <c r="CG1147">
        <v>1</v>
      </c>
      <c r="CH1147">
        <v>0</v>
      </c>
      <c r="CI1147">
        <v>0</v>
      </c>
      <c r="CJ1147">
        <v>0</v>
      </c>
      <c r="CK1147">
        <v>0</v>
      </c>
      <c r="CL1147">
        <v>0</v>
      </c>
      <c r="CM1147">
        <v>0</v>
      </c>
      <c r="CN1147" t="str">
        <f>IF($BL1147&lt;$BK1147,"refNeedCorrection","refOK")</f>
        <v>refOK</v>
      </c>
      <c r="CO1147">
        <f>IF($CN1147="refOK",$BK1147,$BL1147)</f>
        <v>116.6</v>
      </c>
      <c r="CP1147">
        <f>IF($CN1147="refOK",$BL1147,$BK1147)</f>
        <v>116.6</v>
      </c>
      <c r="CQ1147">
        <f>IF($CN1147="refOK",$BO1147,-$BO1147)</f>
        <v>0</v>
      </c>
      <c r="CR1147">
        <f>IF($CN1147="refOK",$BS1147,$BT1147)*IF($BP1147="Emissions positive",-1,1)</f>
        <v>-159.69999999999999</v>
      </c>
      <c r="CS1147">
        <f>IF($CN1147="refOK",$BT1147,$BS1147)*IF($BP1147="Emissions positive",-1,1)</f>
        <v>-32.799999999999997</v>
      </c>
      <c r="CT1147">
        <f>IF($CN1147="refNeedCorrection",-BX1147,BX1147)*IF($BP1147="Emissions positive",-1,1)</f>
        <v>0.12689999999999999</v>
      </c>
      <c r="CU1147" t="str">
        <f>IFERROR(CT1147/CQ1147,"")</f>
        <v/>
      </c>
      <c r="CV1147" s="2">
        <f>IFERROR((CS1147-CR1147)/ABS(CR1147),"")</f>
        <v>0.79461490294301818</v>
      </c>
      <c r="CW1147" s="1" t="s">
        <v>263</v>
      </c>
      <c r="CX1147" t="str">
        <f>IF(OR($CW1147="prd",$CW1147="std",$CW1147="cit"),"loc",IF(OR($CW1147="eur",$CW1147="reg",$CW1147="coy"),"reg",$CW1147))</f>
        <v>loc</v>
      </c>
      <c r="CY1147" s="309" t="s">
        <v>3423</v>
      </c>
      <c r="DB1147">
        <v>0</v>
      </c>
      <c r="DC1147" t="str">
        <f>IF(DB1147=0,"0",IF(AND(DB1147&gt;=1,DB1147&lt;=30),"1-30",IF(AND(DB1147&gt;30,DB1147&lt;=70),"31-70",IF(AND(DB1147&gt;70,DB1147&lt;=100),"71-100",IF(DB1147&gt;100,"+100")))))</f>
        <v>0</v>
      </c>
      <c r="DD1147">
        <v>0</v>
      </c>
      <c r="DE1147">
        <v>0</v>
      </c>
      <c r="DF1147">
        <v>0</v>
      </c>
      <c r="DG1147">
        <v>1</v>
      </c>
      <c r="DI1147">
        <f>SUM(DD1147:DG1147)</f>
        <v>1</v>
      </c>
      <c r="DJ1147" t="str">
        <f>IF(DI1147=1,INDEX($DD$7:$DG$7,MATCH(1,$DD1147:$DG1147,0)),"mixedProduct")</f>
        <v>TimberInput</v>
      </c>
      <c r="DK1147">
        <f>IF(DD1147=1,DK$7,0)</f>
        <v>0</v>
      </c>
      <c r="DL1147">
        <f>IF(DE1147=1,DL$7,0)</f>
        <v>0</v>
      </c>
      <c r="DM1147">
        <f>IF(DF1147=1,DM$7,0)</f>
        <v>0</v>
      </c>
      <c r="DN1147" t="str">
        <f>IF(DG1147=1,DN$7,0)</f>
        <v>Timber</v>
      </c>
      <c r="DO1147">
        <v>0</v>
      </c>
      <c r="DP1147">
        <v>0</v>
      </c>
      <c r="DQ1147">
        <v>0</v>
      </c>
      <c r="DR1147">
        <v>0</v>
      </c>
      <c r="DS1147">
        <v>0</v>
      </c>
      <c r="DT1147">
        <f>SUM(DO1147:DP1147)</f>
        <v>0</v>
      </c>
      <c r="DU1147" s="143" t="str">
        <f>IF(DO1147=1,"self-calculated DF",IF(DP1147=1,"external DF used","explicit C balance"))</f>
        <v>explicit C balance</v>
      </c>
      <c r="DV1147">
        <v>0</v>
      </c>
      <c r="DW1147">
        <v>0</v>
      </c>
      <c r="DX1147">
        <v>0</v>
      </c>
      <c r="DY1147">
        <v>0</v>
      </c>
      <c r="DZ1147">
        <v>0</v>
      </c>
      <c r="EA1147" s="143">
        <v>0</v>
      </c>
      <c r="EB1147">
        <v>1</v>
      </c>
      <c r="EC1147">
        <v>1</v>
      </c>
      <c r="ED1147">
        <v>0</v>
      </c>
      <c r="EE1147">
        <v>1</v>
      </c>
      <c r="EF1147">
        <v>0</v>
      </c>
      <c r="EG1147">
        <v>0</v>
      </c>
      <c r="EH1147">
        <v>0</v>
      </c>
      <c r="EI1147" s="2">
        <v>0</v>
      </c>
      <c r="EK1147" t="str">
        <f>IF(AND(AND(AND(OR($DX1147=1,$DW1147=1),OR($EC1147=1,$EA1147=1)),SUM($DV1147:$DZ1147,$EF1147)&gt;=4),SUM($EA1147:$EE1147)&gt;=2),"Whole sector","")</f>
        <v/>
      </c>
      <c r="EL1147" t="str">
        <f>IF(AND(AND(OR($DX1147=1,$DW1147=1),AND($EC1147=0,$EA1147=0)),SUM($DV1147:$DZ1147,$EF1147)&gt;=4),"Ecosystem approach","")</f>
        <v/>
      </c>
      <c r="EM1147" s="2" t="str">
        <f>IF(AND(AND(AND($DX1147=0,$DW1147=0),OR($EC1147=1,$EA1147=1)),SUM($EB1147:$EE1147)&gt;=2),"Technology approach","")</f>
        <v>Technology approach</v>
      </c>
      <c r="EP1147" t="b">
        <f>IF(ISNUMBER(BU1147),IF(ABS(BU1147-[4]QC_indicators!$B$2)&gt;3*[4]QC_indicators!$C$2,"C ratio",IF(ISNUMBER(BY1147),IF(ABS(BY1147-[4]QC_indicators!$B$1)&gt;3*[4]QC_indicators!$C$1,"DF","no"))),IF(ISNUMBER(BY1147),IF(ABS(BY1147-[4]QC_indicators!$B$1)&gt;3*[4]QC_indicators!$C$1,"DF","no")))</f>
        <v>0</v>
      </c>
      <c r="ER1147" s="149" t="s">
        <v>349</v>
      </c>
      <c r="ET1147" s="264" t="s">
        <v>3273</v>
      </c>
    </row>
    <row r="1148" spans="1:150" ht="15" customHeight="1">
      <c r="A1148" s="1" t="s">
        <v>333</v>
      </c>
      <c r="B1148" t="s">
        <v>945</v>
      </c>
      <c r="C1148" t="s">
        <v>946</v>
      </c>
      <c r="D1148" t="s">
        <v>947</v>
      </c>
      <c r="E1148" t="s">
        <v>948</v>
      </c>
      <c r="F1148" t="s">
        <v>949</v>
      </c>
      <c r="G1148" t="s">
        <v>339</v>
      </c>
      <c r="H1148" t="s">
        <v>254</v>
      </c>
      <c r="I1148">
        <v>2021</v>
      </c>
      <c r="J1148">
        <v>0</v>
      </c>
      <c r="K1148" t="s">
        <v>950</v>
      </c>
      <c r="M1148" t="str">
        <f>LEFT($D1148,FIND(",",$D1148)-1)&amp;"_"&amp;I1148&amp;L1148</f>
        <v>Morris_2021</v>
      </c>
      <c r="N1148" t="s">
        <v>222</v>
      </c>
      <c r="O1148" t="s">
        <v>223</v>
      </c>
      <c r="Q1148" t="s">
        <v>256</v>
      </c>
      <c r="R1148" s="255" t="s">
        <v>225</v>
      </c>
      <c r="S1148" s="1" t="s">
        <v>951</v>
      </c>
      <c r="T1148" t="s">
        <v>952</v>
      </c>
      <c r="U1148" s="143" t="s">
        <v>953</v>
      </c>
      <c r="V1148">
        <v>0</v>
      </c>
      <c r="W1148">
        <v>0</v>
      </c>
      <c r="X1148">
        <v>0</v>
      </c>
      <c r="Y1148">
        <v>0</v>
      </c>
      <c r="Z1148">
        <v>0</v>
      </c>
      <c r="AA1148">
        <v>0</v>
      </c>
      <c r="AB1148">
        <v>0</v>
      </c>
      <c r="AC1148">
        <v>0</v>
      </c>
      <c r="AD1148">
        <v>0</v>
      </c>
      <c r="AE1148">
        <v>0</v>
      </c>
      <c r="AF1148">
        <v>0</v>
      </c>
      <c r="AG1148">
        <v>0</v>
      </c>
      <c r="AH1148">
        <v>1</v>
      </c>
      <c r="AI1148">
        <v>0</v>
      </c>
      <c r="AJ1148">
        <v>0</v>
      </c>
      <c r="AK1148">
        <v>0</v>
      </c>
      <c r="AL1148">
        <v>0</v>
      </c>
      <c r="AM1148">
        <v>0</v>
      </c>
      <c r="AN1148">
        <v>0</v>
      </c>
      <c r="AO1148">
        <v>0</v>
      </c>
      <c r="AP1148">
        <v>0</v>
      </c>
      <c r="AQ1148">
        <v>0</v>
      </c>
      <c r="AR1148">
        <v>0</v>
      </c>
      <c r="AS1148">
        <v>0</v>
      </c>
      <c r="AT1148">
        <v>0</v>
      </c>
      <c r="AU1148">
        <v>0</v>
      </c>
      <c r="AV1148">
        <v>0</v>
      </c>
      <c r="AW1148">
        <v>0</v>
      </c>
      <c r="AX1148" s="141">
        <f>COUNTIF(V1148:AW1148,"&lt;&gt;0")</f>
        <v>1</v>
      </c>
      <c r="AY1148" s="141">
        <f>COUNTIF(V1148:AL1148,"&lt;&gt;0")</f>
        <v>1</v>
      </c>
      <c r="AZ1148">
        <f>COUNTIF(V1148:AC1148,"&lt;&gt;0")</f>
        <v>0</v>
      </c>
      <c r="BA1148">
        <f>COUNTIF(AD1148:AI1148,"&lt;&gt;0")</f>
        <v>1</v>
      </c>
      <c r="BB1148">
        <f>COUNTIF(AJ1148:AL1148,"&lt;&gt;0")</f>
        <v>0</v>
      </c>
      <c r="BC1148">
        <f>COUNTIF(AS1148:AW1148,"&lt;&gt;0")</f>
        <v>0</v>
      </c>
      <c r="BD1148">
        <f>COUNTIF(AM1148:AR1148,"&lt;&gt;0")</f>
        <v>0</v>
      </c>
      <c r="BE1148" t="str">
        <f t="array" ref="BE1148">IF(AY1148=1,INDEX($V$7:$AL$7,MATCH(TRUE,INDEX($V1148:$AW1148&lt;&gt;0,),0)),IF(AY1148=0,INDEX($AM$7:$AW$7,MATCH(1,$AM1148:$AW1148,0)),IF(BF1148="Multiple strategies","mixed drivers",IF(BF1148="Supply chain","multiple supply","multiple silviculture"))))</f>
        <v xml:space="preserve">end of life disposal </v>
      </c>
      <c r="BF1148" s="2" t="str" cm="1">
        <f t="array" ref="BF1148">IF(COUNTIF(AZ1148:BB1148,"&lt;&gt;0")=1,INDEX($V$4:$AW$4,MATCH(TRUE,INDEX($V1148:$AW1148&lt;&gt;0,),0)),IF(COUNTIF(AZ1148:BB1148,"&lt;&gt;0")=0,INDEX($AM$4:$AW$4,MATCH(1,$AM1148:$AW1148,0)),"Multiple strategies"))</f>
        <v>Supply chain</v>
      </c>
      <c r="BG1148" s="1" t="s">
        <v>229</v>
      </c>
      <c r="BH1148" t="s">
        <v>954</v>
      </c>
      <c r="BI1148" s="260" t="s">
        <v>3373</v>
      </c>
      <c r="BJ1148" t="s">
        <v>345</v>
      </c>
      <c r="BK1148">
        <v>116.6</v>
      </c>
      <c r="BL1148">
        <v>116.6</v>
      </c>
      <c r="BM1148" s="143"/>
      <c r="BN1148">
        <f>BL1148-BK1148</f>
        <v>0</v>
      </c>
      <c r="BO1148">
        <f>BN1148*kg_to_m3</f>
        <v>0</v>
      </c>
      <c r="BP1148" t="s">
        <v>232</v>
      </c>
      <c r="BQ1148" s="260" t="s">
        <v>3374</v>
      </c>
      <c r="BR1148" t="s">
        <v>955</v>
      </c>
      <c r="BS1148" s="143">
        <v>-179.7</v>
      </c>
      <c r="BT1148">
        <v>-71.3</v>
      </c>
      <c r="BU1148" s="144">
        <f>IFERROR(BT1148/BS1148,"")</f>
        <v>0.39677239844184753</v>
      </c>
      <c r="BV1148">
        <f>BT1148-BS1148</f>
        <v>108.39999999999999</v>
      </c>
      <c r="BX1148">
        <f>BV1148/1000</f>
        <v>0.1084</v>
      </c>
      <c r="BY1148" t="str">
        <f>IFERROR(BX1148/BO1148,"")</f>
        <v/>
      </c>
      <c r="BZ1148">
        <v>1</v>
      </c>
      <c r="CA1148">
        <v>0</v>
      </c>
      <c r="CB1148">
        <v>0</v>
      </c>
      <c r="CC1148">
        <v>0</v>
      </c>
      <c r="CD1148">
        <v>0</v>
      </c>
      <c r="CE1148">
        <v>1</v>
      </c>
      <c r="CF1148">
        <v>0</v>
      </c>
      <c r="CG1148">
        <v>1</v>
      </c>
      <c r="CH1148">
        <v>0</v>
      </c>
      <c r="CI1148">
        <v>0</v>
      </c>
      <c r="CJ1148">
        <v>0</v>
      </c>
      <c r="CK1148">
        <v>0</v>
      </c>
      <c r="CL1148">
        <v>0</v>
      </c>
      <c r="CM1148">
        <v>0</v>
      </c>
      <c r="CN1148" t="str">
        <f>IF($BL1148&lt;$BK1148,"refNeedCorrection","refOK")</f>
        <v>refOK</v>
      </c>
      <c r="CO1148">
        <f>IF($CN1148="refOK",$BK1148,$BL1148)</f>
        <v>116.6</v>
      </c>
      <c r="CP1148">
        <f>IF($CN1148="refOK",$BL1148,$BK1148)</f>
        <v>116.6</v>
      </c>
      <c r="CQ1148">
        <f>IF($CN1148="refOK",$BO1148,-$BO1148)</f>
        <v>0</v>
      </c>
      <c r="CR1148">
        <f>IF($CN1148="refOK",$BS1148,$BT1148)*IF($BP1148="Emissions positive",-1,1)</f>
        <v>-179.7</v>
      </c>
      <c r="CS1148">
        <f>IF($CN1148="refOK",$BT1148,$BS1148)*IF($BP1148="Emissions positive",-1,1)</f>
        <v>-71.3</v>
      </c>
      <c r="CT1148">
        <f>IF($CN1148="refNeedCorrection",-BX1148,BX1148)*IF($BP1148="Emissions positive",-1,1)</f>
        <v>0.1084</v>
      </c>
      <c r="CU1148" t="str">
        <f>IFERROR(CT1148/CQ1148,"")</f>
        <v/>
      </c>
      <c r="CV1148" s="2">
        <f>IFERROR((CS1148-CR1148)/ABS(CR1148),"")</f>
        <v>0.60322760155815247</v>
      </c>
      <c r="CW1148" s="1" t="s">
        <v>263</v>
      </c>
      <c r="CX1148" t="str">
        <f>IF(OR($CW1148="prd",$CW1148="std",$CW1148="cit"),"loc",IF(OR($CW1148="eur",$CW1148="reg",$CW1148="coy"),"reg",$CW1148))</f>
        <v>loc</v>
      </c>
      <c r="CY1148" s="309" t="s">
        <v>3423</v>
      </c>
      <c r="DB1148">
        <v>0</v>
      </c>
      <c r="DC1148" t="str">
        <f>IF(DB1148=0,"0",IF(AND(DB1148&gt;=1,DB1148&lt;=30),"1-30",IF(AND(DB1148&gt;30,DB1148&lt;=70),"31-70",IF(AND(DB1148&gt;70,DB1148&lt;=100),"71-100",IF(DB1148&gt;100,"+100")))))</f>
        <v>0</v>
      </c>
      <c r="DD1148">
        <v>0</v>
      </c>
      <c r="DE1148">
        <v>0</v>
      </c>
      <c r="DF1148">
        <v>0</v>
      </c>
      <c r="DG1148">
        <v>1</v>
      </c>
      <c r="DI1148">
        <f>SUM(DD1148:DG1148)</f>
        <v>1</v>
      </c>
      <c r="DJ1148" t="str">
        <f>IF(DI1148=1,INDEX($DD$7:$DG$7,MATCH(1,$DD1148:$DG1148,0)),"mixedProduct")</f>
        <v>TimberInput</v>
      </c>
      <c r="DK1148">
        <f>IF(DD1148=1,DK$7,0)</f>
        <v>0</v>
      </c>
      <c r="DL1148">
        <f>IF(DE1148=1,DL$7,0)</f>
        <v>0</v>
      </c>
      <c r="DM1148">
        <f>IF(DF1148=1,DM$7,0)</f>
        <v>0</v>
      </c>
      <c r="DN1148" t="str">
        <f>IF(DG1148=1,DN$7,0)</f>
        <v>Timber</v>
      </c>
      <c r="DO1148">
        <v>0</v>
      </c>
      <c r="DP1148">
        <v>0</v>
      </c>
      <c r="DQ1148">
        <v>0</v>
      </c>
      <c r="DR1148">
        <v>0</v>
      </c>
      <c r="DS1148">
        <v>0</v>
      </c>
      <c r="DT1148">
        <f>SUM(DO1148:DP1148)</f>
        <v>0</v>
      </c>
      <c r="DU1148" s="143" t="str">
        <f>IF(DO1148=1,"self-calculated DF",IF(DP1148=1,"external DF used","explicit C balance"))</f>
        <v>explicit C balance</v>
      </c>
      <c r="DV1148">
        <v>0</v>
      </c>
      <c r="DW1148">
        <v>0</v>
      </c>
      <c r="DX1148">
        <v>0</v>
      </c>
      <c r="DY1148">
        <v>1</v>
      </c>
      <c r="DZ1148">
        <v>0</v>
      </c>
      <c r="EA1148" s="143">
        <v>1</v>
      </c>
      <c r="EB1148">
        <v>1</v>
      </c>
      <c r="EC1148">
        <v>1</v>
      </c>
      <c r="ED1148">
        <v>0</v>
      </c>
      <c r="EE1148">
        <v>1</v>
      </c>
      <c r="EF1148">
        <v>0</v>
      </c>
      <c r="EG1148">
        <v>0</v>
      </c>
      <c r="EH1148">
        <v>0</v>
      </c>
      <c r="EI1148" s="2">
        <v>0</v>
      </c>
      <c r="EK1148" t="str">
        <f>IF(AND(AND(AND(OR($DX1148=1,$DW1148=1),OR($EC1148=1,$EA1148=1)),SUM($DV1148:$DZ1148,$EF1148)&gt;=4),SUM($EA1148:$EE1148)&gt;=2),"Whole sector","")</f>
        <v/>
      </c>
      <c r="EL1148" t="str">
        <f>IF(AND(AND(OR($DX1148=1,$DW1148=1),AND($EC1148=0,$EA1148=0)),SUM($DV1148:$DZ1148,$EF1148)&gt;=4),"Ecosystem approach","")</f>
        <v/>
      </c>
      <c r="EM1148" s="2" t="str">
        <f>IF(AND(AND(AND($DX1148=0,$DW1148=0),OR($EC1148=1,$EA1148=1)),SUM($EB1148:$EE1148)&gt;=2),"Technology approach","")</f>
        <v>Technology approach</v>
      </c>
      <c r="EP1148" t="b">
        <f>IF(ISNUMBER(BU1148),IF(ABS(BU1148-[4]QC_indicators!$B$2)&gt;3*[4]QC_indicators!$C$2,"C ratio",IF(ISNUMBER(BY1148),IF(ABS(BY1148-[4]QC_indicators!$B$1)&gt;3*[4]QC_indicators!$C$1,"DF","no"))),IF(ISNUMBER(BY1148),IF(ABS(BY1148-[4]QC_indicators!$B$1)&gt;3*[4]QC_indicators!$C$1,"DF","no")))</f>
        <v>0</v>
      </c>
      <c r="ER1148" s="149" t="s">
        <v>349</v>
      </c>
      <c r="ET1148" s="264" t="s">
        <v>3273</v>
      </c>
    </row>
    <row r="1149" spans="1:150" ht="15" customHeight="1">
      <c r="A1149" s="1" t="s">
        <v>333</v>
      </c>
      <c r="B1149" t="s">
        <v>945</v>
      </c>
      <c r="C1149" t="s">
        <v>946</v>
      </c>
      <c r="D1149" t="s">
        <v>947</v>
      </c>
      <c r="E1149" t="s">
        <v>948</v>
      </c>
      <c r="F1149" t="s">
        <v>949</v>
      </c>
      <c r="G1149" t="s">
        <v>339</v>
      </c>
      <c r="H1149" t="s">
        <v>254</v>
      </c>
      <c r="I1149">
        <v>2021</v>
      </c>
      <c r="J1149">
        <v>0</v>
      </c>
      <c r="K1149" t="s">
        <v>950</v>
      </c>
      <c r="M1149" t="str">
        <f>LEFT($D1149,FIND(",",$D1149)-1)&amp;"_"&amp;I1149&amp;L1149</f>
        <v>Morris_2021</v>
      </c>
      <c r="N1149" t="s">
        <v>222</v>
      </c>
      <c r="O1149" t="s">
        <v>223</v>
      </c>
      <c r="Q1149" t="s">
        <v>256</v>
      </c>
      <c r="R1149" s="255" t="s">
        <v>225</v>
      </c>
      <c r="S1149" s="1" t="s">
        <v>951</v>
      </c>
      <c r="T1149" t="s">
        <v>952</v>
      </c>
      <c r="U1149" s="143" t="s">
        <v>953</v>
      </c>
      <c r="V1149">
        <v>0</v>
      </c>
      <c r="W1149">
        <v>0</v>
      </c>
      <c r="X1149">
        <v>0</v>
      </c>
      <c r="Y1149">
        <v>0</v>
      </c>
      <c r="Z1149">
        <v>0</v>
      </c>
      <c r="AA1149">
        <v>0</v>
      </c>
      <c r="AB1149">
        <v>0</v>
      </c>
      <c r="AC1149">
        <v>0</v>
      </c>
      <c r="AD1149">
        <v>0</v>
      </c>
      <c r="AE1149">
        <v>0</v>
      </c>
      <c r="AF1149">
        <v>0</v>
      </c>
      <c r="AG1149">
        <v>0</v>
      </c>
      <c r="AH1149">
        <v>1</v>
      </c>
      <c r="AI1149">
        <v>0</v>
      </c>
      <c r="AJ1149">
        <v>0</v>
      </c>
      <c r="AK1149">
        <v>0</v>
      </c>
      <c r="AL1149">
        <v>0</v>
      </c>
      <c r="AM1149">
        <v>0</v>
      </c>
      <c r="AN1149">
        <v>0</v>
      </c>
      <c r="AO1149">
        <v>0</v>
      </c>
      <c r="AP1149">
        <v>0</v>
      </c>
      <c r="AQ1149">
        <v>0</v>
      </c>
      <c r="AR1149">
        <v>0</v>
      </c>
      <c r="AS1149">
        <v>0</v>
      </c>
      <c r="AT1149">
        <v>0</v>
      </c>
      <c r="AU1149">
        <v>0</v>
      </c>
      <c r="AV1149">
        <v>0</v>
      </c>
      <c r="AW1149">
        <v>0</v>
      </c>
      <c r="AX1149" s="141">
        <f>COUNTIF(V1149:AW1149,"&lt;&gt;0")</f>
        <v>1</v>
      </c>
      <c r="AY1149" s="141">
        <f>COUNTIF(V1149:AL1149,"&lt;&gt;0")</f>
        <v>1</v>
      </c>
      <c r="AZ1149">
        <f>COUNTIF(V1149:AC1149,"&lt;&gt;0")</f>
        <v>0</v>
      </c>
      <c r="BA1149">
        <f>COUNTIF(AD1149:AI1149,"&lt;&gt;0")</f>
        <v>1</v>
      </c>
      <c r="BB1149">
        <f>COUNTIF(AJ1149:AL1149,"&lt;&gt;0")</f>
        <v>0</v>
      </c>
      <c r="BC1149">
        <f>COUNTIF(AS1149:AW1149,"&lt;&gt;0")</f>
        <v>0</v>
      </c>
      <c r="BD1149">
        <f>COUNTIF(AM1149:AR1149,"&lt;&gt;0")</f>
        <v>0</v>
      </c>
      <c r="BE1149" t="str">
        <f t="array" ref="BE1149">IF(AY1149=1,INDEX($V$7:$AL$7,MATCH(TRUE,INDEX($V1149:$AW1149&lt;&gt;0,),0)),IF(AY1149=0,INDEX($AM$7:$AW$7,MATCH(1,$AM1149:$AW1149,0)),IF(BF1149="Multiple strategies","mixed drivers",IF(BF1149="Supply chain","multiple supply","multiple silviculture"))))</f>
        <v xml:space="preserve">end of life disposal </v>
      </c>
      <c r="BF1149" s="2" t="str" cm="1">
        <f t="array" ref="BF1149">IF(COUNTIF(AZ1149:BB1149,"&lt;&gt;0")=1,INDEX($V$4:$AW$4,MATCH(TRUE,INDEX($V1149:$AW1149&lt;&gt;0,),0)),IF(COUNTIF(AZ1149:BB1149,"&lt;&gt;0")=0,INDEX($AM$4:$AW$4,MATCH(1,$AM1149:$AW1149,0)),"Multiple strategies"))</f>
        <v>Supply chain</v>
      </c>
      <c r="BG1149" s="1" t="s">
        <v>229</v>
      </c>
      <c r="BH1149" t="s">
        <v>954</v>
      </c>
      <c r="BI1149" s="260" t="s">
        <v>3373</v>
      </c>
      <c r="BJ1149" t="s">
        <v>345</v>
      </c>
      <c r="BK1149">
        <v>116.6</v>
      </c>
      <c r="BL1149">
        <v>116.6</v>
      </c>
      <c r="BM1149" s="143"/>
      <c r="BN1149">
        <f>BL1149-BK1149</f>
        <v>0</v>
      </c>
      <c r="BO1149">
        <f>BN1149*kg_to_m3</f>
        <v>0</v>
      </c>
      <c r="BP1149" t="s">
        <v>232</v>
      </c>
      <c r="BQ1149" s="260" t="s">
        <v>3375</v>
      </c>
      <c r="BR1149" t="s">
        <v>955</v>
      </c>
      <c r="BS1149" s="143">
        <v>-165.4</v>
      </c>
      <c r="BT1149">
        <v>-67.400000000000006</v>
      </c>
      <c r="BU1149" s="144">
        <f>IFERROR(BT1149/BS1149,"")</f>
        <v>0.407496977025393</v>
      </c>
      <c r="BV1149">
        <f>BT1149-BS1149</f>
        <v>98</v>
      </c>
      <c r="BX1149">
        <f>BV1149/1000</f>
        <v>9.8000000000000004E-2</v>
      </c>
      <c r="BY1149" t="str">
        <f>IFERROR(BX1149/BO1149,"")</f>
        <v/>
      </c>
      <c r="BZ1149">
        <v>1</v>
      </c>
      <c r="CA1149">
        <v>0</v>
      </c>
      <c r="CB1149">
        <v>0</v>
      </c>
      <c r="CC1149">
        <v>0</v>
      </c>
      <c r="CD1149">
        <v>0</v>
      </c>
      <c r="CE1149">
        <v>1</v>
      </c>
      <c r="CF1149">
        <v>0</v>
      </c>
      <c r="CG1149">
        <v>1</v>
      </c>
      <c r="CH1149">
        <v>0</v>
      </c>
      <c r="CI1149">
        <v>0</v>
      </c>
      <c r="CJ1149">
        <v>0</v>
      </c>
      <c r="CK1149">
        <v>0</v>
      </c>
      <c r="CL1149">
        <v>0</v>
      </c>
      <c r="CM1149">
        <v>0</v>
      </c>
      <c r="CN1149" t="str">
        <f>IF($BL1149&lt;$BK1149,"refNeedCorrection","refOK")</f>
        <v>refOK</v>
      </c>
      <c r="CO1149">
        <f>IF($CN1149="refOK",$BK1149,$BL1149)</f>
        <v>116.6</v>
      </c>
      <c r="CP1149">
        <f>IF($CN1149="refOK",$BL1149,$BK1149)</f>
        <v>116.6</v>
      </c>
      <c r="CQ1149">
        <f>IF($CN1149="refOK",$BO1149,-$BO1149)</f>
        <v>0</v>
      </c>
      <c r="CR1149">
        <f>IF($CN1149="refOK",$BS1149,$BT1149)*IF($BP1149="Emissions positive",-1,1)</f>
        <v>-165.4</v>
      </c>
      <c r="CS1149">
        <f>IF($CN1149="refOK",$BT1149,$BS1149)*IF($BP1149="Emissions positive",-1,1)</f>
        <v>-67.400000000000006</v>
      </c>
      <c r="CT1149">
        <f>IF($CN1149="refNeedCorrection",-BX1149,BX1149)*IF($BP1149="Emissions positive",-1,1)</f>
        <v>9.8000000000000004E-2</v>
      </c>
      <c r="CU1149" t="str">
        <f>IFERROR(CT1149/CQ1149,"")</f>
        <v/>
      </c>
      <c r="CV1149" s="2">
        <f>IFERROR((CS1149-CR1149)/ABS(CR1149),"")</f>
        <v>0.592503022974607</v>
      </c>
      <c r="CW1149" s="1" t="s">
        <v>263</v>
      </c>
      <c r="CX1149" t="str">
        <f>IF(OR($CW1149="prd",$CW1149="std",$CW1149="cit"),"loc",IF(OR($CW1149="eur",$CW1149="reg",$CW1149="coy"),"reg",$CW1149))</f>
        <v>loc</v>
      </c>
      <c r="CY1149" s="309" t="s">
        <v>3423</v>
      </c>
      <c r="DB1149">
        <v>0</v>
      </c>
      <c r="DC1149" t="str">
        <f>IF(DB1149=0,"0",IF(AND(DB1149&gt;=1,DB1149&lt;=30),"1-30",IF(AND(DB1149&gt;30,DB1149&lt;=70),"31-70",IF(AND(DB1149&gt;70,DB1149&lt;=100),"71-100",IF(DB1149&gt;100,"+100")))))</f>
        <v>0</v>
      </c>
      <c r="DD1149">
        <v>0</v>
      </c>
      <c r="DE1149">
        <v>0</v>
      </c>
      <c r="DF1149">
        <v>0</v>
      </c>
      <c r="DG1149">
        <v>1</v>
      </c>
      <c r="DI1149">
        <f>SUM(DD1149:DG1149)</f>
        <v>1</v>
      </c>
      <c r="DJ1149" t="str">
        <f>IF(DI1149=1,INDEX($DD$7:$DG$7,MATCH(1,$DD1149:$DG1149,0)),"mixedProduct")</f>
        <v>TimberInput</v>
      </c>
      <c r="DK1149">
        <f>IF(DD1149=1,DK$7,0)</f>
        <v>0</v>
      </c>
      <c r="DL1149">
        <f>IF(DE1149=1,DL$7,0)</f>
        <v>0</v>
      </c>
      <c r="DM1149">
        <f>IF(DF1149=1,DM$7,0)</f>
        <v>0</v>
      </c>
      <c r="DN1149" t="str">
        <f>IF(DG1149=1,DN$7,0)</f>
        <v>Timber</v>
      </c>
      <c r="DO1149">
        <v>0</v>
      </c>
      <c r="DP1149">
        <v>1</v>
      </c>
      <c r="DQ1149">
        <v>0</v>
      </c>
      <c r="DR1149">
        <v>0</v>
      </c>
      <c r="DS1149">
        <v>0</v>
      </c>
      <c r="DT1149">
        <f>SUM(DO1149:DP1149)</f>
        <v>1</v>
      </c>
      <c r="DU1149" s="143" t="str">
        <f>IF(DO1149=1,"self-calculated DF",IF(DP1149=1,"external DF used","explicit C balance"))</f>
        <v>external DF used</v>
      </c>
      <c r="DV1149">
        <v>0</v>
      </c>
      <c r="DW1149">
        <v>0</v>
      </c>
      <c r="DX1149">
        <v>0</v>
      </c>
      <c r="DY1149">
        <v>0</v>
      </c>
      <c r="DZ1149">
        <v>0</v>
      </c>
      <c r="EA1149" s="143">
        <v>1</v>
      </c>
      <c r="EB1149">
        <v>1</v>
      </c>
      <c r="EC1149">
        <v>1</v>
      </c>
      <c r="ED1149">
        <v>0</v>
      </c>
      <c r="EE1149">
        <v>1</v>
      </c>
      <c r="EF1149">
        <v>0</v>
      </c>
      <c r="EG1149">
        <v>0</v>
      </c>
      <c r="EH1149">
        <v>0</v>
      </c>
      <c r="EI1149" s="2">
        <v>0</v>
      </c>
      <c r="EK1149" t="str">
        <f>IF(AND(AND(AND(OR($DX1149=1,$DW1149=1),OR($EC1149=1,$EA1149=1)),SUM($DV1149:$DZ1149,$EF1149)&gt;=4),SUM($EA1149:$EE1149)&gt;=2),"Whole sector","")</f>
        <v/>
      </c>
      <c r="EL1149" t="str">
        <f>IF(AND(AND(OR($DX1149=1,$DW1149=1),AND($EC1149=0,$EA1149=0)),SUM($DV1149:$DZ1149,$EF1149)&gt;=4),"Ecosystem approach","")</f>
        <v/>
      </c>
      <c r="EM1149" s="2" t="str">
        <f>IF(AND(AND(AND($DX1149=0,$DW1149=0),OR($EC1149=1,$EA1149=1)),SUM($EB1149:$EE1149)&gt;=2),"Technology approach","")</f>
        <v>Technology approach</v>
      </c>
      <c r="EP1149" t="b">
        <f>IF(ISNUMBER(BU1149),IF(ABS(BU1149-[4]QC_indicators!$B$2)&gt;3*[4]QC_indicators!$C$2,"C ratio",IF(ISNUMBER(BY1149),IF(ABS(BY1149-[4]QC_indicators!$B$1)&gt;3*[4]QC_indicators!$C$1,"DF","no"))),IF(ISNUMBER(BY1149),IF(ABS(BY1149-[4]QC_indicators!$B$1)&gt;3*[4]QC_indicators!$C$1,"DF","no")))</f>
        <v>0</v>
      </c>
      <c r="ER1149" s="149" t="s">
        <v>349</v>
      </c>
      <c r="ET1149" s="264" t="s">
        <v>3273</v>
      </c>
    </row>
    <row r="1150" spans="1:150" ht="15" customHeight="1">
      <c r="A1150" s="1" t="s">
        <v>333</v>
      </c>
      <c r="B1150" t="s">
        <v>945</v>
      </c>
      <c r="C1150" t="s">
        <v>946</v>
      </c>
      <c r="D1150" t="s">
        <v>947</v>
      </c>
      <c r="E1150" t="s">
        <v>948</v>
      </c>
      <c r="F1150" t="s">
        <v>949</v>
      </c>
      <c r="G1150" t="s">
        <v>339</v>
      </c>
      <c r="H1150" t="s">
        <v>254</v>
      </c>
      <c r="I1150">
        <v>2021</v>
      </c>
      <c r="J1150">
        <v>0</v>
      </c>
      <c r="K1150" t="s">
        <v>950</v>
      </c>
      <c r="M1150" t="str">
        <f>LEFT($D1150,FIND(",",$D1150)-1)&amp;"_"&amp;I1150&amp;L1150</f>
        <v>Morris_2021</v>
      </c>
      <c r="N1150" t="s">
        <v>222</v>
      </c>
      <c r="O1150" t="s">
        <v>223</v>
      </c>
      <c r="Q1150" t="s">
        <v>256</v>
      </c>
      <c r="R1150" s="255" t="s">
        <v>225</v>
      </c>
      <c r="S1150" s="1" t="s">
        <v>951</v>
      </c>
      <c r="T1150" t="s">
        <v>952</v>
      </c>
      <c r="U1150" s="143" t="s">
        <v>99</v>
      </c>
      <c r="V1150">
        <v>0</v>
      </c>
      <c r="W1150">
        <v>0</v>
      </c>
      <c r="X1150">
        <v>0</v>
      </c>
      <c r="Y1150">
        <v>0</v>
      </c>
      <c r="Z1150">
        <v>0</v>
      </c>
      <c r="AA1150">
        <v>0</v>
      </c>
      <c r="AB1150">
        <v>0</v>
      </c>
      <c r="AC1150">
        <v>0</v>
      </c>
      <c r="AD1150">
        <v>0</v>
      </c>
      <c r="AE1150">
        <v>0</v>
      </c>
      <c r="AF1150">
        <v>0</v>
      </c>
      <c r="AG1150">
        <v>0</v>
      </c>
      <c r="AH1150">
        <v>1</v>
      </c>
      <c r="AI1150">
        <v>0</v>
      </c>
      <c r="AJ1150">
        <v>0</v>
      </c>
      <c r="AK1150">
        <v>0</v>
      </c>
      <c r="AL1150">
        <v>0</v>
      </c>
      <c r="AM1150">
        <v>0</v>
      </c>
      <c r="AN1150">
        <v>0</v>
      </c>
      <c r="AO1150">
        <v>0</v>
      </c>
      <c r="AP1150">
        <v>0</v>
      </c>
      <c r="AQ1150">
        <v>0</v>
      </c>
      <c r="AR1150">
        <v>0</v>
      </c>
      <c r="AS1150">
        <v>0</v>
      </c>
      <c r="AT1150">
        <v>0</v>
      </c>
      <c r="AU1150">
        <v>0</v>
      </c>
      <c r="AV1150">
        <v>0</v>
      </c>
      <c r="AW1150">
        <v>0</v>
      </c>
      <c r="AX1150" s="141">
        <f>COUNTIF(V1150:AW1150,"&lt;&gt;0")</f>
        <v>1</v>
      </c>
      <c r="AY1150" s="141">
        <f>COUNTIF(V1150:AL1150,"&lt;&gt;0")</f>
        <v>1</v>
      </c>
      <c r="AZ1150">
        <f>COUNTIF(V1150:AC1150,"&lt;&gt;0")</f>
        <v>0</v>
      </c>
      <c r="BA1150">
        <f>COUNTIF(AD1150:AI1150,"&lt;&gt;0")</f>
        <v>1</v>
      </c>
      <c r="BB1150">
        <f>COUNTIF(AJ1150:AL1150,"&lt;&gt;0")</f>
        <v>0</v>
      </c>
      <c r="BC1150">
        <f>COUNTIF(AS1150:AW1150,"&lt;&gt;0")</f>
        <v>0</v>
      </c>
      <c r="BD1150">
        <f>COUNTIF(AM1150:AR1150,"&lt;&gt;0")</f>
        <v>0</v>
      </c>
      <c r="BE1150" t="str">
        <f t="array" ref="BE1150">IF(AY1150=1,INDEX($V$7:$AL$7,MATCH(TRUE,INDEX($V1150:$AW1150&lt;&gt;0,),0)),IF(AY1150=0,INDEX($AM$7:$AW$7,MATCH(1,$AM1150:$AW1150,0)),IF(BF1150="Multiple strategies","mixed drivers",IF(BF1150="Supply chain","multiple supply","multiple silviculture"))))</f>
        <v xml:space="preserve">end of life disposal </v>
      </c>
      <c r="BF1150" s="2" t="str" cm="1">
        <f t="array" ref="BF1150">IF(COUNTIF(AZ1150:BB1150,"&lt;&gt;0")=1,INDEX($V$4:$AW$4,MATCH(TRUE,INDEX($V1150:$AW1150&lt;&gt;0,),0)),IF(COUNTIF(AZ1150:BB1150,"&lt;&gt;0")=0,INDEX($AM$4:$AW$4,MATCH(1,$AM1150:$AW1150,0)),"Multiple strategies"))</f>
        <v>Supply chain</v>
      </c>
      <c r="BG1150" s="1" t="s">
        <v>229</v>
      </c>
      <c r="BH1150" t="s">
        <v>954</v>
      </c>
      <c r="BI1150" s="260" t="s">
        <v>3373</v>
      </c>
      <c r="BJ1150" t="s">
        <v>345</v>
      </c>
      <c r="BK1150">
        <v>116.6</v>
      </c>
      <c r="BL1150">
        <v>116.6</v>
      </c>
      <c r="BM1150" s="143"/>
      <c r="BN1150">
        <f>BL1150-BK1150</f>
        <v>0</v>
      </c>
      <c r="BO1150">
        <f>BN1150*kg_to_m3</f>
        <v>0</v>
      </c>
      <c r="BP1150" t="s">
        <v>232</v>
      </c>
      <c r="BQ1150" s="260" t="s">
        <v>3375</v>
      </c>
      <c r="BR1150" t="s">
        <v>955</v>
      </c>
      <c r="BS1150">
        <v>-159.69999999999999</v>
      </c>
      <c r="BT1150">
        <v>-39.799999999999997</v>
      </c>
      <c r="BU1150" s="144">
        <f>IFERROR(BT1150/BS1150,"")</f>
        <v>0.24921728240450847</v>
      </c>
      <c r="BV1150">
        <f>BT1150-BS1150</f>
        <v>119.89999999999999</v>
      </c>
      <c r="BX1150">
        <f>BV1150/1000</f>
        <v>0.11989999999999999</v>
      </c>
      <c r="BY1150" t="str">
        <f>IFERROR(BX1150/BO1150,"")</f>
        <v/>
      </c>
      <c r="BZ1150">
        <v>1</v>
      </c>
      <c r="CA1150">
        <v>0</v>
      </c>
      <c r="CB1150">
        <v>0</v>
      </c>
      <c r="CC1150">
        <v>0</v>
      </c>
      <c r="CD1150">
        <v>0</v>
      </c>
      <c r="CE1150">
        <v>1</v>
      </c>
      <c r="CF1150">
        <v>0</v>
      </c>
      <c r="CG1150">
        <v>1</v>
      </c>
      <c r="CH1150">
        <v>0</v>
      </c>
      <c r="CI1150">
        <v>0</v>
      </c>
      <c r="CJ1150">
        <v>0</v>
      </c>
      <c r="CK1150">
        <v>0</v>
      </c>
      <c r="CL1150">
        <v>0</v>
      </c>
      <c r="CM1150">
        <v>0</v>
      </c>
      <c r="CN1150" t="str">
        <f>IF($BL1150&lt;$BK1150,"refNeedCorrection","refOK")</f>
        <v>refOK</v>
      </c>
      <c r="CO1150">
        <f>IF($CN1150="refOK",$BK1150,$BL1150)</f>
        <v>116.6</v>
      </c>
      <c r="CP1150">
        <f>IF($CN1150="refOK",$BL1150,$BK1150)</f>
        <v>116.6</v>
      </c>
      <c r="CQ1150">
        <f>IF($CN1150="refOK",$BO1150,-$BO1150)</f>
        <v>0</v>
      </c>
      <c r="CR1150">
        <f>IF($CN1150="refOK",$BS1150,$BT1150)*IF($BP1150="Emissions positive",-1,1)</f>
        <v>-159.69999999999999</v>
      </c>
      <c r="CS1150">
        <f>IF($CN1150="refOK",$BT1150,$BS1150)*IF($BP1150="Emissions positive",-1,1)</f>
        <v>-39.799999999999997</v>
      </c>
      <c r="CT1150">
        <f>IF($CN1150="refNeedCorrection",-BX1150,BX1150)*IF($BP1150="Emissions positive",-1,1)</f>
        <v>0.11989999999999999</v>
      </c>
      <c r="CU1150" t="str">
        <f>IFERROR(CT1150/CQ1150,"")</f>
        <v/>
      </c>
      <c r="CV1150" s="2">
        <f>IFERROR((CS1150-CR1150)/ABS(CR1150),"")</f>
        <v>0.75078271759549153</v>
      </c>
      <c r="CW1150" s="1" t="s">
        <v>263</v>
      </c>
      <c r="CX1150" t="str">
        <f>IF(OR($CW1150="prd",$CW1150="std",$CW1150="cit"),"loc",IF(OR($CW1150="eur",$CW1150="reg",$CW1150="coy"),"reg",$CW1150))</f>
        <v>loc</v>
      </c>
      <c r="CY1150" s="309" t="s">
        <v>3423</v>
      </c>
      <c r="DB1150">
        <v>0</v>
      </c>
      <c r="DC1150" t="str">
        <f>IF(DB1150=0,"0",IF(AND(DB1150&gt;=1,DB1150&lt;=30),"1-30",IF(AND(DB1150&gt;30,DB1150&lt;=70),"31-70",IF(AND(DB1150&gt;70,DB1150&lt;=100),"71-100",IF(DB1150&gt;100,"+100")))))</f>
        <v>0</v>
      </c>
      <c r="DD1150">
        <v>0</v>
      </c>
      <c r="DE1150">
        <v>0</v>
      </c>
      <c r="DF1150">
        <v>0</v>
      </c>
      <c r="DG1150">
        <v>1</v>
      </c>
      <c r="DI1150">
        <f>SUM(DD1150:DG1150)</f>
        <v>1</v>
      </c>
      <c r="DJ1150" t="str">
        <f>IF(DI1150=1,INDEX($DD$7:$DG$7,MATCH(1,$DD1150:$DG1150,0)),"mixedProduct")</f>
        <v>TimberInput</v>
      </c>
      <c r="DK1150">
        <f>IF(DD1150=1,DK$7,0)</f>
        <v>0</v>
      </c>
      <c r="DL1150">
        <f>IF(DE1150=1,DL$7,0)</f>
        <v>0</v>
      </c>
      <c r="DM1150">
        <f>IF(DF1150=1,DM$7,0)</f>
        <v>0</v>
      </c>
      <c r="DN1150" t="str">
        <f>IF(DG1150=1,DN$7,0)</f>
        <v>Timber</v>
      </c>
      <c r="DO1150">
        <v>0</v>
      </c>
      <c r="DP1150">
        <v>0</v>
      </c>
      <c r="DQ1150">
        <v>0</v>
      </c>
      <c r="DR1150">
        <v>0</v>
      </c>
      <c r="DS1150">
        <v>0</v>
      </c>
      <c r="DT1150">
        <f>SUM(DO1150:DP1150)</f>
        <v>0</v>
      </c>
      <c r="DU1150" s="143" t="str">
        <f>IF(DO1150=1,"self-calculated DF",IF(DP1150=1,"external DF used","explicit C balance"))</f>
        <v>explicit C balance</v>
      </c>
      <c r="DV1150">
        <v>0</v>
      </c>
      <c r="DW1150">
        <v>0</v>
      </c>
      <c r="DX1150">
        <v>0</v>
      </c>
      <c r="DY1150">
        <v>0</v>
      </c>
      <c r="DZ1150">
        <v>0</v>
      </c>
      <c r="EA1150" s="143">
        <v>0</v>
      </c>
      <c r="EB1150">
        <v>1</v>
      </c>
      <c r="EC1150">
        <v>1</v>
      </c>
      <c r="ED1150">
        <v>0</v>
      </c>
      <c r="EE1150">
        <v>1</v>
      </c>
      <c r="EF1150">
        <v>0</v>
      </c>
      <c r="EG1150">
        <v>0</v>
      </c>
      <c r="EH1150">
        <v>0</v>
      </c>
      <c r="EI1150" s="2">
        <v>0</v>
      </c>
      <c r="EK1150" t="str">
        <f>IF(AND(AND(AND(OR($DX1150=1,$DW1150=1),OR($EC1150=1,$EA1150=1)),SUM($DV1150:$DZ1150,$EF1150)&gt;=4),SUM($EA1150:$EE1150)&gt;=2),"Whole sector","")</f>
        <v/>
      </c>
      <c r="EL1150" t="str">
        <f>IF(AND(AND(OR($DX1150=1,$DW1150=1),AND($EC1150=0,$EA1150=0)),SUM($DV1150:$DZ1150,$EF1150)&gt;=4),"Ecosystem approach","")</f>
        <v/>
      </c>
      <c r="EM1150" s="2" t="str">
        <f>IF(AND(AND(AND($DX1150=0,$DW1150=0),OR($EC1150=1,$EA1150=1)),SUM($EB1150:$EE1150)&gt;=2),"Technology approach","")</f>
        <v>Technology approach</v>
      </c>
      <c r="EP1150" t="b">
        <f>IF(ISNUMBER(BU1150),IF(ABS(BU1150-[4]QC_indicators!$B$2)&gt;3*[4]QC_indicators!$C$2,"C ratio",IF(ISNUMBER(BY1150),IF(ABS(BY1150-[4]QC_indicators!$B$1)&gt;3*[4]QC_indicators!$C$1,"DF","no"))),IF(ISNUMBER(BY1150),IF(ABS(BY1150-[4]QC_indicators!$B$1)&gt;3*[4]QC_indicators!$C$1,"DF","no")))</f>
        <v>0</v>
      </c>
      <c r="ER1150" s="149" t="s">
        <v>349</v>
      </c>
      <c r="ET1150" s="264" t="s">
        <v>3273</v>
      </c>
    </row>
    <row r="1151" spans="1:150" ht="15" customHeight="1">
      <c r="A1151" s="1" t="s">
        <v>333</v>
      </c>
      <c r="B1151" t="s">
        <v>945</v>
      </c>
      <c r="C1151" t="s">
        <v>946</v>
      </c>
      <c r="D1151" t="s">
        <v>947</v>
      </c>
      <c r="E1151" t="s">
        <v>948</v>
      </c>
      <c r="F1151" t="s">
        <v>949</v>
      </c>
      <c r="G1151" t="s">
        <v>339</v>
      </c>
      <c r="H1151" t="s">
        <v>254</v>
      </c>
      <c r="I1151">
        <v>2021</v>
      </c>
      <c r="J1151">
        <v>0</v>
      </c>
      <c r="K1151" t="s">
        <v>950</v>
      </c>
      <c r="M1151" t="str">
        <f>LEFT($D1151,FIND(",",$D1151)-1)&amp;"_"&amp;I1151&amp;L1151</f>
        <v>Morris_2021</v>
      </c>
      <c r="N1151" t="s">
        <v>222</v>
      </c>
      <c r="O1151" t="s">
        <v>223</v>
      </c>
      <c r="Q1151" t="s">
        <v>256</v>
      </c>
      <c r="R1151" s="255" t="s">
        <v>225</v>
      </c>
      <c r="S1151" s="1" t="s">
        <v>951</v>
      </c>
      <c r="T1151" t="s">
        <v>952</v>
      </c>
      <c r="U1151" s="143" t="s">
        <v>99</v>
      </c>
      <c r="V1151">
        <v>0</v>
      </c>
      <c r="W1151">
        <v>0</v>
      </c>
      <c r="X1151">
        <v>0</v>
      </c>
      <c r="Y1151">
        <v>0</v>
      </c>
      <c r="Z1151">
        <v>0</v>
      </c>
      <c r="AA1151">
        <v>0</v>
      </c>
      <c r="AB1151">
        <v>0</v>
      </c>
      <c r="AC1151">
        <v>0</v>
      </c>
      <c r="AD1151">
        <v>0</v>
      </c>
      <c r="AE1151">
        <v>0</v>
      </c>
      <c r="AF1151">
        <v>0</v>
      </c>
      <c r="AG1151">
        <v>0</v>
      </c>
      <c r="AH1151">
        <v>1</v>
      </c>
      <c r="AI1151">
        <v>0</v>
      </c>
      <c r="AJ1151">
        <v>0</v>
      </c>
      <c r="AK1151">
        <v>0</v>
      </c>
      <c r="AL1151">
        <v>0</v>
      </c>
      <c r="AM1151">
        <v>0</v>
      </c>
      <c r="AN1151">
        <v>0</v>
      </c>
      <c r="AO1151">
        <v>0</v>
      </c>
      <c r="AP1151">
        <v>0</v>
      </c>
      <c r="AQ1151">
        <v>0</v>
      </c>
      <c r="AR1151">
        <v>0</v>
      </c>
      <c r="AS1151">
        <v>0</v>
      </c>
      <c r="AT1151">
        <v>0</v>
      </c>
      <c r="AU1151">
        <v>0</v>
      </c>
      <c r="AV1151">
        <v>0</v>
      </c>
      <c r="AW1151">
        <v>0</v>
      </c>
      <c r="AX1151" s="141">
        <f>COUNTIF(V1151:AW1151,"&lt;&gt;0")</f>
        <v>1</v>
      </c>
      <c r="AY1151" s="141">
        <f>COUNTIF(V1151:AL1151,"&lt;&gt;0")</f>
        <v>1</v>
      </c>
      <c r="AZ1151">
        <f>COUNTIF(V1151:AC1151,"&lt;&gt;0")</f>
        <v>0</v>
      </c>
      <c r="BA1151">
        <f>COUNTIF(AD1151:AI1151,"&lt;&gt;0")</f>
        <v>1</v>
      </c>
      <c r="BB1151">
        <f>COUNTIF(AJ1151:AL1151,"&lt;&gt;0")</f>
        <v>0</v>
      </c>
      <c r="BC1151">
        <f>COUNTIF(AS1151:AW1151,"&lt;&gt;0")</f>
        <v>0</v>
      </c>
      <c r="BD1151">
        <f>COUNTIF(AM1151:AR1151,"&lt;&gt;0")</f>
        <v>0</v>
      </c>
      <c r="BE1151" t="str">
        <f t="array" ref="BE1151">IF(AY1151=1,INDEX($V$7:$AL$7,MATCH(TRUE,INDEX($V1151:$AW1151&lt;&gt;0,),0)),IF(AY1151=0,INDEX($AM$7:$AW$7,MATCH(1,$AM1151:$AW1151,0)),IF(BF1151="Multiple strategies","mixed drivers",IF(BF1151="Supply chain","multiple supply","multiple silviculture"))))</f>
        <v xml:space="preserve">end of life disposal </v>
      </c>
      <c r="BF1151" s="2" t="str" cm="1">
        <f t="array" ref="BF1151">IF(COUNTIF(AZ1151:BB1151,"&lt;&gt;0")=1,INDEX($V$4:$AW$4,MATCH(TRUE,INDEX($V1151:$AW1151&lt;&gt;0,),0)),IF(COUNTIF(AZ1151:BB1151,"&lt;&gt;0")=0,INDEX($AM$4:$AW$4,MATCH(1,$AM1151:$AW1151,0)),"Multiple strategies"))</f>
        <v>Supply chain</v>
      </c>
      <c r="BG1151" s="1" t="s">
        <v>229</v>
      </c>
      <c r="BH1151" t="s">
        <v>954</v>
      </c>
      <c r="BI1151" s="260" t="s">
        <v>3373</v>
      </c>
      <c r="BJ1151" t="s">
        <v>345</v>
      </c>
      <c r="BK1151">
        <v>116.6</v>
      </c>
      <c r="BL1151">
        <v>116.6</v>
      </c>
      <c r="BM1151" s="143"/>
      <c r="BN1151">
        <f>BL1151-BK1151</f>
        <v>0</v>
      </c>
      <c r="BO1151">
        <f>BN1151*kg_to_m3</f>
        <v>0</v>
      </c>
      <c r="BP1151" t="s">
        <v>232</v>
      </c>
      <c r="BQ1151" s="260" t="s">
        <v>3374</v>
      </c>
      <c r="BR1151" t="s">
        <v>955</v>
      </c>
      <c r="BS1151" s="143">
        <v>-175.4</v>
      </c>
      <c r="BT1151">
        <v>-103.2</v>
      </c>
      <c r="BU1151" s="144">
        <f>IFERROR(BT1151/BS1151,"")</f>
        <v>0.58836944127708091</v>
      </c>
      <c r="BV1151">
        <f>BT1151-BS1151</f>
        <v>72.2</v>
      </c>
      <c r="BX1151">
        <f>BV1151/1000</f>
        <v>7.22E-2</v>
      </c>
      <c r="BY1151" t="str">
        <f>IFERROR(BX1151/BO1151,"")</f>
        <v/>
      </c>
      <c r="BZ1151">
        <v>1</v>
      </c>
      <c r="CA1151">
        <v>0</v>
      </c>
      <c r="CB1151">
        <v>0</v>
      </c>
      <c r="CC1151">
        <v>0</v>
      </c>
      <c r="CD1151">
        <v>0</v>
      </c>
      <c r="CE1151">
        <v>1</v>
      </c>
      <c r="CF1151">
        <v>0</v>
      </c>
      <c r="CG1151">
        <v>1</v>
      </c>
      <c r="CH1151">
        <v>0</v>
      </c>
      <c r="CI1151">
        <v>0</v>
      </c>
      <c r="CJ1151">
        <v>0</v>
      </c>
      <c r="CK1151">
        <v>0</v>
      </c>
      <c r="CL1151">
        <v>0</v>
      </c>
      <c r="CM1151">
        <v>0</v>
      </c>
      <c r="CN1151" t="str">
        <f>IF($BL1151&lt;$BK1151,"refNeedCorrection","refOK")</f>
        <v>refOK</v>
      </c>
      <c r="CO1151">
        <f>IF($CN1151="refOK",$BK1151,$BL1151)</f>
        <v>116.6</v>
      </c>
      <c r="CP1151">
        <f>IF($CN1151="refOK",$BL1151,$BK1151)</f>
        <v>116.6</v>
      </c>
      <c r="CQ1151">
        <f>IF($CN1151="refOK",$BO1151,-$BO1151)</f>
        <v>0</v>
      </c>
      <c r="CR1151">
        <f>IF($CN1151="refOK",$BS1151,$BT1151)*IF($BP1151="Emissions positive",-1,1)</f>
        <v>-175.4</v>
      </c>
      <c r="CS1151">
        <f>IF($CN1151="refOK",$BT1151,$BS1151)*IF($BP1151="Emissions positive",-1,1)</f>
        <v>-103.2</v>
      </c>
      <c r="CT1151">
        <f>IF($CN1151="refNeedCorrection",-BX1151,BX1151)*IF($BP1151="Emissions positive",-1,1)</f>
        <v>7.22E-2</v>
      </c>
      <c r="CU1151" t="str">
        <f>IFERROR(CT1151/CQ1151,"")</f>
        <v/>
      </c>
      <c r="CV1151" s="2">
        <f>IFERROR((CS1151-CR1151)/ABS(CR1151),"")</f>
        <v>0.41163055872291904</v>
      </c>
      <c r="CW1151" s="1" t="s">
        <v>263</v>
      </c>
      <c r="CX1151" t="str">
        <f>IF(OR($CW1151="prd",$CW1151="std",$CW1151="cit"),"loc",IF(OR($CW1151="eur",$CW1151="reg",$CW1151="coy"),"reg",$CW1151))</f>
        <v>loc</v>
      </c>
      <c r="CY1151" s="309" t="s">
        <v>3423</v>
      </c>
      <c r="DB1151">
        <v>0</v>
      </c>
      <c r="DC1151" t="str">
        <f>IF(DB1151=0,"0",IF(AND(DB1151&gt;=1,DB1151&lt;=30),"1-30",IF(AND(DB1151&gt;30,DB1151&lt;=70),"31-70",IF(AND(DB1151&gt;70,DB1151&lt;=100),"71-100",IF(DB1151&gt;100,"+100")))))</f>
        <v>0</v>
      </c>
      <c r="DD1151">
        <v>0</v>
      </c>
      <c r="DE1151">
        <v>0</v>
      </c>
      <c r="DF1151">
        <v>0</v>
      </c>
      <c r="DG1151">
        <v>1</v>
      </c>
      <c r="DI1151">
        <f>SUM(DD1151:DG1151)</f>
        <v>1</v>
      </c>
      <c r="DJ1151" t="str">
        <f>IF(DI1151=1,INDEX($DD$7:$DG$7,MATCH(1,$DD1151:$DG1151,0)),"mixedProduct")</f>
        <v>TimberInput</v>
      </c>
      <c r="DK1151">
        <f>IF(DD1151=1,DK$7,0)</f>
        <v>0</v>
      </c>
      <c r="DL1151">
        <f>IF(DE1151=1,DL$7,0)</f>
        <v>0</v>
      </c>
      <c r="DM1151">
        <f>IF(DF1151=1,DM$7,0)</f>
        <v>0</v>
      </c>
      <c r="DN1151" t="str">
        <f>IF(DG1151=1,DN$7,0)</f>
        <v>Timber</v>
      </c>
      <c r="DO1151">
        <v>0</v>
      </c>
      <c r="DP1151">
        <v>1</v>
      </c>
      <c r="DQ1151">
        <v>0</v>
      </c>
      <c r="DR1151">
        <v>0</v>
      </c>
      <c r="DS1151">
        <v>0</v>
      </c>
      <c r="DT1151">
        <f>SUM(DO1151:DP1151)</f>
        <v>1</v>
      </c>
      <c r="DU1151" s="143" t="str">
        <f>IF(DO1151=1,"self-calculated DF",IF(DP1151=1,"external DF used","explicit C balance"))</f>
        <v>external DF used</v>
      </c>
      <c r="DV1151">
        <v>0</v>
      </c>
      <c r="DW1151">
        <v>0</v>
      </c>
      <c r="DX1151">
        <v>0</v>
      </c>
      <c r="DY1151">
        <v>1</v>
      </c>
      <c r="DZ1151">
        <v>0</v>
      </c>
      <c r="EA1151" s="143">
        <v>1</v>
      </c>
      <c r="EB1151">
        <v>1</v>
      </c>
      <c r="EC1151">
        <v>1</v>
      </c>
      <c r="ED1151">
        <v>0</v>
      </c>
      <c r="EE1151">
        <v>1</v>
      </c>
      <c r="EF1151">
        <v>0</v>
      </c>
      <c r="EG1151">
        <v>0</v>
      </c>
      <c r="EH1151">
        <v>0</v>
      </c>
      <c r="EI1151" s="2">
        <v>0</v>
      </c>
      <c r="EK1151" t="str">
        <f>IF(AND(AND(AND(OR($DX1151=1,$DW1151=1),OR($EC1151=1,$EA1151=1)),SUM($DV1151:$DZ1151,$EF1151)&gt;=4),SUM($EA1151:$EE1151)&gt;=2),"Whole sector","")</f>
        <v/>
      </c>
      <c r="EL1151" t="str">
        <f>IF(AND(AND(OR($DX1151=1,$DW1151=1),AND($EC1151=0,$EA1151=0)),SUM($DV1151:$DZ1151,$EF1151)&gt;=4),"Ecosystem approach","")</f>
        <v/>
      </c>
      <c r="EM1151" s="2" t="str">
        <f>IF(AND(AND(AND($DX1151=0,$DW1151=0),OR($EC1151=1,$EA1151=1)),SUM($EB1151:$EE1151)&gt;=2),"Technology approach","")</f>
        <v>Technology approach</v>
      </c>
      <c r="EP1151" t="b">
        <f>IF(ISNUMBER(BU1151),IF(ABS(BU1151-[4]QC_indicators!$B$2)&gt;3*[4]QC_indicators!$C$2,"C ratio",IF(ISNUMBER(BY1151),IF(ABS(BY1151-[4]QC_indicators!$B$1)&gt;3*[4]QC_indicators!$C$1,"DF","no"))),IF(ISNUMBER(BY1151),IF(ABS(BY1151-[4]QC_indicators!$B$1)&gt;3*[4]QC_indicators!$C$1,"DF","no")))</f>
        <v>0</v>
      </c>
      <c r="ER1151" s="149" t="s">
        <v>349</v>
      </c>
      <c r="ET1151" s="264" t="s">
        <v>3273</v>
      </c>
    </row>
    <row r="1152" spans="1:150" ht="15" customHeight="1">
      <c r="A1152" s="1" t="s">
        <v>333</v>
      </c>
      <c r="B1152" t="s">
        <v>945</v>
      </c>
      <c r="C1152" t="s">
        <v>946</v>
      </c>
      <c r="D1152" t="s">
        <v>947</v>
      </c>
      <c r="E1152" t="s">
        <v>948</v>
      </c>
      <c r="F1152" t="s">
        <v>949</v>
      </c>
      <c r="G1152" t="s">
        <v>339</v>
      </c>
      <c r="H1152" t="s">
        <v>254</v>
      </c>
      <c r="I1152">
        <v>2021</v>
      </c>
      <c r="J1152">
        <v>0</v>
      </c>
      <c r="K1152" t="s">
        <v>950</v>
      </c>
      <c r="M1152" t="str">
        <f>LEFT($D1152,FIND(",",$D1152)-1)&amp;"_"&amp;I1152&amp;L1152</f>
        <v>Morris_2021</v>
      </c>
      <c r="N1152" t="s">
        <v>222</v>
      </c>
      <c r="O1152" t="s">
        <v>223</v>
      </c>
      <c r="Q1152" t="s">
        <v>256</v>
      </c>
      <c r="R1152" s="255" t="s">
        <v>225</v>
      </c>
      <c r="S1152" s="1" t="s">
        <v>951</v>
      </c>
      <c r="T1152" t="s">
        <v>952</v>
      </c>
      <c r="U1152" s="143" t="s">
        <v>99</v>
      </c>
      <c r="V1152">
        <v>0</v>
      </c>
      <c r="W1152">
        <v>0</v>
      </c>
      <c r="X1152">
        <v>0</v>
      </c>
      <c r="Y1152">
        <v>0</v>
      </c>
      <c r="Z1152">
        <v>0</v>
      </c>
      <c r="AA1152">
        <v>0</v>
      </c>
      <c r="AB1152">
        <v>0</v>
      </c>
      <c r="AC1152">
        <v>0</v>
      </c>
      <c r="AD1152">
        <v>0</v>
      </c>
      <c r="AE1152">
        <v>0</v>
      </c>
      <c r="AF1152">
        <v>0</v>
      </c>
      <c r="AG1152">
        <v>0</v>
      </c>
      <c r="AH1152">
        <v>1</v>
      </c>
      <c r="AI1152">
        <v>0</v>
      </c>
      <c r="AJ1152">
        <v>0</v>
      </c>
      <c r="AK1152">
        <v>0</v>
      </c>
      <c r="AL1152">
        <v>0</v>
      </c>
      <c r="AM1152">
        <v>0</v>
      </c>
      <c r="AN1152">
        <v>0</v>
      </c>
      <c r="AO1152">
        <v>0</v>
      </c>
      <c r="AP1152">
        <v>0</v>
      </c>
      <c r="AQ1152">
        <v>0</v>
      </c>
      <c r="AR1152">
        <v>0</v>
      </c>
      <c r="AS1152">
        <v>0</v>
      </c>
      <c r="AT1152">
        <v>0</v>
      </c>
      <c r="AU1152">
        <v>0</v>
      </c>
      <c r="AV1152">
        <v>0</v>
      </c>
      <c r="AW1152">
        <v>0</v>
      </c>
      <c r="AX1152" s="141">
        <f>COUNTIF(V1152:AW1152,"&lt;&gt;0")</f>
        <v>1</v>
      </c>
      <c r="AY1152" s="141">
        <f>COUNTIF(V1152:AL1152,"&lt;&gt;0")</f>
        <v>1</v>
      </c>
      <c r="AZ1152">
        <f>COUNTIF(V1152:AC1152,"&lt;&gt;0")</f>
        <v>0</v>
      </c>
      <c r="BA1152">
        <f>COUNTIF(AD1152:AI1152,"&lt;&gt;0")</f>
        <v>1</v>
      </c>
      <c r="BB1152">
        <f>COUNTIF(AJ1152:AL1152,"&lt;&gt;0")</f>
        <v>0</v>
      </c>
      <c r="BC1152">
        <f>COUNTIF(AS1152:AW1152,"&lt;&gt;0")</f>
        <v>0</v>
      </c>
      <c r="BD1152">
        <f>COUNTIF(AM1152:AR1152,"&lt;&gt;0")</f>
        <v>0</v>
      </c>
      <c r="BE1152" t="str">
        <f t="array" ref="BE1152">IF(AY1152=1,INDEX($V$7:$AL$7,MATCH(TRUE,INDEX($V1152:$AW1152&lt;&gt;0,),0)),IF(AY1152=0,INDEX($AM$7:$AW$7,MATCH(1,$AM1152:$AW1152,0)),IF(BF1152="Multiple strategies","mixed drivers",IF(BF1152="Supply chain","multiple supply","multiple silviculture"))))</f>
        <v xml:space="preserve">end of life disposal </v>
      </c>
      <c r="BF1152" s="2" t="str" cm="1">
        <f t="array" ref="BF1152">IF(COUNTIF(AZ1152:BB1152,"&lt;&gt;0")=1,INDEX($V$4:$AW$4,MATCH(TRUE,INDEX($V1152:$AW1152&lt;&gt;0,),0)),IF(COUNTIF(AZ1152:BB1152,"&lt;&gt;0")=0,INDEX($AM$4:$AW$4,MATCH(1,$AM1152:$AW1152,0)),"Multiple strategies"))</f>
        <v>Supply chain</v>
      </c>
      <c r="BG1152" s="1" t="s">
        <v>229</v>
      </c>
      <c r="BH1152" t="s">
        <v>954</v>
      </c>
      <c r="BI1152" s="260" t="s">
        <v>3373</v>
      </c>
      <c r="BJ1152" t="s">
        <v>345</v>
      </c>
      <c r="BK1152">
        <v>116.6</v>
      </c>
      <c r="BL1152">
        <v>116.6</v>
      </c>
      <c r="BM1152" s="143"/>
      <c r="BN1152">
        <f>BL1152-BK1152</f>
        <v>0</v>
      </c>
      <c r="BO1152">
        <f>BN1152*kg_to_m3</f>
        <v>0</v>
      </c>
      <c r="BP1152" t="s">
        <v>232</v>
      </c>
      <c r="BQ1152" s="260" t="s">
        <v>3375</v>
      </c>
      <c r="BR1152" t="s">
        <v>955</v>
      </c>
      <c r="BS1152" s="143">
        <v>-165.4</v>
      </c>
      <c r="BT1152">
        <v>-105.88</v>
      </c>
      <c r="BU1152" s="144">
        <f>IFERROR(BT1152/BS1152,"")</f>
        <v>0.64014510278113657</v>
      </c>
      <c r="BV1152">
        <f>BT1152-BS1152</f>
        <v>59.52000000000001</v>
      </c>
      <c r="BX1152">
        <f>BV1152/1000</f>
        <v>5.952000000000001E-2</v>
      </c>
      <c r="BY1152" t="str">
        <f>IFERROR(BX1152/BO1152,"")</f>
        <v/>
      </c>
      <c r="BZ1152">
        <v>1</v>
      </c>
      <c r="CA1152">
        <v>0</v>
      </c>
      <c r="CB1152">
        <v>0</v>
      </c>
      <c r="CC1152">
        <v>0</v>
      </c>
      <c r="CD1152">
        <v>0</v>
      </c>
      <c r="CE1152">
        <v>1</v>
      </c>
      <c r="CF1152">
        <v>0</v>
      </c>
      <c r="CG1152">
        <v>1</v>
      </c>
      <c r="CH1152">
        <v>0</v>
      </c>
      <c r="CI1152">
        <v>0</v>
      </c>
      <c r="CJ1152">
        <v>0</v>
      </c>
      <c r="CK1152">
        <v>0</v>
      </c>
      <c r="CL1152">
        <v>0</v>
      </c>
      <c r="CM1152">
        <v>0</v>
      </c>
      <c r="CN1152" t="str">
        <f>IF($BL1152&lt;$BK1152,"refNeedCorrection","refOK")</f>
        <v>refOK</v>
      </c>
      <c r="CO1152">
        <f>IF($CN1152="refOK",$BK1152,$BL1152)</f>
        <v>116.6</v>
      </c>
      <c r="CP1152">
        <f>IF($CN1152="refOK",$BL1152,$BK1152)</f>
        <v>116.6</v>
      </c>
      <c r="CQ1152">
        <f>IF($CN1152="refOK",$BO1152,-$BO1152)</f>
        <v>0</v>
      </c>
      <c r="CR1152">
        <f>IF($CN1152="refOK",$BS1152,$BT1152)*IF($BP1152="Emissions positive",-1,1)</f>
        <v>-165.4</v>
      </c>
      <c r="CS1152">
        <f>IF($CN1152="refOK",$BT1152,$BS1152)*IF($BP1152="Emissions positive",-1,1)</f>
        <v>-105.88</v>
      </c>
      <c r="CT1152">
        <f>IF($CN1152="refNeedCorrection",-BX1152,BX1152)*IF($BP1152="Emissions positive",-1,1)</f>
        <v>5.952000000000001E-2</v>
      </c>
      <c r="CU1152" t="str">
        <f>IFERROR(CT1152/CQ1152,"")</f>
        <v/>
      </c>
      <c r="CV1152" s="2">
        <f>IFERROR((CS1152-CR1152)/ABS(CR1152),"")</f>
        <v>0.35985489721886343</v>
      </c>
      <c r="CW1152" s="1" t="s">
        <v>263</v>
      </c>
      <c r="CX1152" t="str">
        <f>IF(OR($CW1152="prd",$CW1152="std",$CW1152="cit"),"loc",IF(OR($CW1152="eur",$CW1152="reg",$CW1152="coy"),"reg",$CW1152))</f>
        <v>loc</v>
      </c>
      <c r="CY1152" s="309" t="s">
        <v>3423</v>
      </c>
      <c r="DB1152">
        <v>0</v>
      </c>
      <c r="DC1152" t="str">
        <f>IF(DB1152=0,"0",IF(AND(DB1152&gt;=1,DB1152&lt;=30),"1-30",IF(AND(DB1152&gt;30,DB1152&lt;=70),"31-70",IF(AND(DB1152&gt;70,DB1152&lt;=100),"71-100",IF(DB1152&gt;100,"+100")))))</f>
        <v>0</v>
      </c>
      <c r="DD1152">
        <v>0</v>
      </c>
      <c r="DE1152">
        <v>0</v>
      </c>
      <c r="DF1152">
        <v>0</v>
      </c>
      <c r="DG1152">
        <v>1</v>
      </c>
      <c r="DI1152">
        <f>SUM(DD1152:DG1152)</f>
        <v>1</v>
      </c>
      <c r="DJ1152" t="str">
        <f>IF(DI1152=1,INDEX($DD$7:$DG$7,MATCH(1,$DD1152:$DG1152,0)),"mixedProduct")</f>
        <v>TimberInput</v>
      </c>
      <c r="DK1152">
        <f>IF(DD1152=1,DK$7,0)</f>
        <v>0</v>
      </c>
      <c r="DL1152">
        <f>IF(DE1152=1,DL$7,0)</f>
        <v>0</v>
      </c>
      <c r="DM1152">
        <f>IF(DF1152=1,DM$7,0)</f>
        <v>0</v>
      </c>
      <c r="DN1152" t="str">
        <f>IF(DG1152=1,DN$7,0)</f>
        <v>Timber</v>
      </c>
      <c r="DO1152">
        <v>0</v>
      </c>
      <c r="DP1152">
        <v>1</v>
      </c>
      <c r="DQ1152">
        <v>0</v>
      </c>
      <c r="DR1152">
        <v>0</v>
      </c>
      <c r="DS1152">
        <v>0</v>
      </c>
      <c r="DT1152">
        <f>SUM(DO1152:DP1152)</f>
        <v>1</v>
      </c>
      <c r="DU1152" s="143" t="str">
        <f>IF(DO1152=1,"self-calculated DF",IF(DP1152=1,"external DF used","explicit C balance"))</f>
        <v>external DF used</v>
      </c>
      <c r="DV1152">
        <v>0</v>
      </c>
      <c r="DW1152">
        <v>0</v>
      </c>
      <c r="DX1152">
        <v>0</v>
      </c>
      <c r="DY1152">
        <v>0</v>
      </c>
      <c r="DZ1152">
        <v>0</v>
      </c>
      <c r="EA1152" s="143">
        <v>1</v>
      </c>
      <c r="EB1152">
        <v>1</v>
      </c>
      <c r="EC1152">
        <v>1</v>
      </c>
      <c r="ED1152">
        <v>0</v>
      </c>
      <c r="EE1152">
        <v>1</v>
      </c>
      <c r="EF1152">
        <v>0</v>
      </c>
      <c r="EG1152">
        <v>0</v>
      </c>
      <c r="EH1152">
        <v>0</v>
      </c>
      <c r="EI1152" s="2">
        <v>0</v>
      </c>
      <c r="EK1152" t="str">
        <f>IF(AND(AND(AND(OR($DX1152=1,$DW1152=1),OR($EC1152=1,$EA1152=1)),SUM($DV1152:$DZ1152,$EF1152)&gt;=4),SUM($EA1152:$EE1152)&gt;=2),"Whole sector","")</f>
        <v/>
      </c>
      <c r="EL1152" t="str">
        <f>IF(AND(AND(OR($DX1152=1,$DW1152=1),AND($EC1152=0,$EA1152=0)),SUM($DV1152:$DZ1152,$EF1152)&gt;=4),"Ecosystem approach","")</f>
        <v/>
      </c>
      <c r="EM1152" s="2" t="str">
        <f>IF(AND(AND(AND($DX1152=0,$DW1152=0),OR($EC1152=1,$EA1152=1)),SUM($EB1152:$EE1152)&gt;=2),"Technology approach","")</f>
        <v>Technology approach</v>
      </c>
      <c r="EP1152" t="b">
        <f>IF(ISNUMBER(BU1152),IF(ABS(BU1152-[4]QC_indicators!$B$2)&gt;3*[4]QC_indicators!$C$2,"C ratio",IF(ISNUMBER(BY1152),IF(ABS(BY1152-[4]QC_indicators!$B$1)&gt;3*[4]QC_indicators!$C$1,"DF","no"))),IF(ISNUMBER(BY1152),IF(ABS(BY1152-[4]QC_indicators!$B$1)&gt;3*[4]QC_indicators!$C$1,"DF","no")))</f>
        <v>0</v>
      </c>
      <c r="ER1152" s="149" t="s">
        <v>349</v>
      </c>
      <c r="ET1152" s="264" t="s">
        <v>3273</v>
      </c>
    </row>
    <row r="1153" spans="1:150" ht="15" customHeight="1">
      <c r="A1153" s="1" t="s">
        <v>333</v>
      </c>
      <c r="B1153" t="s">
        <v>945</v>
      </c>
      <c r="C1153" t="s">
        <v>946</v>
      </c>
      <c r="D1153" t="s">
        <v>947</v>
      </c>
      <c r="E1153" t="s">
        <v>948</v>
      </c>
      <c r="F1153" t="s">
        <v>949</v>
      </c>
      <c r="G1153" t="s">
        <v>339</v>
      </c>
      <c r="H1153" t="s">
        <v>254</v>
      </c>
      <c r="I1153">
        <v>2021</v>
      </c>
      <c r="J1153">
        <v>0</v>
      </c>
      <c r="K1153" t="s">
        <v>950</v>
      </c>
      <c r="M1153" t="str">
        <f>LEFT($D1153,FIND(",",$D1153)-1)&amp;"_"&amp;I1153&amp;L1153</f>
        <v>Morris_2021</v>
      </c>
      <c r="N1153" t="s">
        <v>222</v>
      </c>
      <c r="O1153" t="s">
        <v>223</v>
      </c>
      <c r="Q1153" t="s">
        <v>256</v>
      </c>
      <c r="R1153" s="255" t="s">
        <v>225</v>
      </c>
      <c r="S1153" s="1" t="s">
        <v>951</v>
      </c>
      <c r="T1153" t="s">
        <v>952</v>
      </c>
      <c r="U1153" s="143" t="s">
        <v>99</v>
      </c>
      <c r="V1153">
        <v>0</v>
      </c>
      <c r="W1153">
        <v>0</v>
      </c>
      <c r="X1153">
        <v>0</v>
      </c>
      <c r="Y1153">
        <v>0</v>
      </c>
      <c r="Z1153">
        <v>0</v>
      </c>
      <c r="AA1153">
        <v>0</v>
      </c>
      <c r="AB1153">
        <v>0</v>
      </c>
      <c r="AC1153">
        <v>0</v>
      </c>
      <c r="AD1153">
        <v>0</v>
      </c>
      <c r="AE1153">
        <v>0</v>
      </c>
      <c r="AF1153">
        <v>0</v>
      </c>
      <c r="AG1153">
        <v>0</v>
      </c>
      <c r="AH1153">
        <v>1</v>
      </c>
      <c r="AI1153">
        <v>0</v>
      </c>
      <c r="AJ1153">
        <v>0</v>
      </c>
      <c r="AK1153">
        <v>0</v>
      </c>
      <c r="AL1153">
        <v>0</v>
      </c>
      <c r="AM1153">
        <v>0</v>
      </c>
      <c r="AN1153">
        <v>0</v>
      </c>
      <c r="AO1153">
        <v>0</v>
      </c>
      <c r="AP1153">
        <v>0</v>
      </c>
      <c r="AQ1153">
        <v>0</v>
      </c>
      <c r="AR1153">
        <v>0</v>
      </c>
      <c r="AS1153">
        <v>0</v>
      </c>
      <c r="AT1153">
        <v>0</v>
      </c>
      <c r="AU1153">
        <v>0</v>
      </c>
      <c r="AV1153">
        <v>0</v>
      </c>
      <c r="AW1153">
        <v>0</v>
      </c>
      <c r="AX1153" s="141">
        <f>COUNTIF(V1153:AW1153,"&lt;&gt;0")</f>
        <v>1</v>
      </c>
      <c r="AY1153" s="141">
        <f>COUNTIF(V1153:AL1153,"&lt;&gt;0")</f>
        <v>1</v>
      </c>
      <c r="AZ1153">
        <f>COUNTIF(V1153:AC1153,"&lt;&gt;0")</f>
        <v>0</v>
      </c>
      <c r="BA1153">
        <f>COUNTIF(AD1153:AI1153,"&lt;&gt;0")</f>
        <v>1</v>
      </c>
      <c r="BB1153">
        <f>COUNTIF(AJ1153:AL1153,"&lt;&gt;0")</f>
        <v>0</v>
      </c>
      <c r="BC1153">
        <f>COUNTIF(AS1153:AW1153,"&lt;&gt;0")</f>
        <v>0</v>
      </c>
      <c r="BD1153">
        <f>COUNTIF(AM1153:AR1153,"&lt;&gt;0")</f>
        <v>0</v>
      </c>
      <c r="BE1153" t="str">
        <f t="array" ref="BE1153">IF(AY1153=1,INDEX($V$7:$AL$7,MATCH(TRUE,INDEX($V1153:$AW1153&lt;&gt;0,),0)),IF(AY1153=0,INDEX($AM$7:$AW$7,MATCH(1,$AM1153:$AW1153,0)),IF(BF1153="Multiple strategies","mixed drivers",IF(BF1153="Supply chain","multiple supply","multiple silviculture"))))</f>
        <v xml:space="preserve">end of life disposal </v>
      </c>
      <c r="BF1153" s="2" t="str" cm="1">
        <f t="array" ref="BF1153">IF(COUNTIF(AZ1153:BB1153,"&lt;&gt;0")=1,INDEX($V$4:$AW$4,MATCH(TRUE,INDEX($V1153:$AW1153&lt;&gt;0,),0)),IF(COUNTIF(AZ1153:BB1153,"&lt;&gt;0")=0,INDEX($AM$4:$AW$4,MATCH(1,$AM1153:$AW1153,0)),"Multiple strategies"))</f>
        <v>Supply chain</v>
      </c>
      <c r="BG1153" s="1" t="s">
        <v>229</v>
      </c>
      <c r="BH1153" t="s">
        <v>954</v>
      </c>
      <c r="BI1153" s="260" t="s">
        <v>3373</v>
      </c>
      <c r="BJ1153" t="s">
        <v>345</v>
      </c>
      <c r="BK1153">
        <v>116.6</v>
      </c>
      <c r="BL1153">
        <v>116.6</v>
      </c>
      <c r="BM1153" s="143"/>
      <c r="BN1153">
        <f>BL1153-BK1153</f>
        <v>0</v>
      </c>
      <c r="BO1153">
        <f>BN1153*kg_to_m3</f>
        <v>0</v>
      </c>
      <c r="BP1153" t="s">
        <v>232</v>
      </c>
      <c r="BQ1153" s="260" t="s">
        <v>3374</v>
      </c>
      <c r="BR1153" t="s">
        <v>955</v>
      </c>
      <c r="BS1153" s="143">
        <v>-179.7</v>
      </c>
      <c r="BT1153">
        <v>-122.9</v>
      </c>
      <c r="BU1153" s="144">
        <f>IFERROR(BT1153/BS1153,"")</f>
        <v>0.68391764051196446</v>
      </c>
      <c r="BV1153">
        <f>BT1153-BS1153</f>
        <v>56.799999999999983</v>
      </c>
      <c r="BX1153">
        <f>BV1153/1000</f>
        <v>5.6799999999999982E-2</v>
      </c>
      <c r="BY1153" t="str">
        <f>IFERROR(BX1153/BO1153,"")</f>
        <v/>
      </c>
      <c r="BZ1153">
        <v>1</v>
      </c>
      <c r="CA1153">
        <v>0</v>
      </c>
      <c r="CB1153">
        <v>0</v>
      </c>
      <c r="CC1153">
        <v>0</v>
      </c>
      <c r="CD1153">
        <v>0</v>
      </c>
      <c r="CE1153">
        <v>1</v>
      </c>
      <c r="CF1153">
        <v>0</v>
      </c>
      <c r="CG1153">
        <v>1</v>
      </c>
      <c r="CH1153">
        <v>0</v>
      </c>
      <c r="CI1153">
        <v>0</v>
      </c>
      <c r="CJ1153">
        <v>0</v>
      </c>
      <c r="CK1153">
        <v>0</v>
      </c>
      <c r="CL1153">
        <v>0</v>
      </c>
      <c r="CM1153">
        <v>0</v>
      </c>
      <c r="CN1153" t="str">
        <f>IF($BL1153&lt;$BK1153,"refNeedCorrection","refOK")</f>
        <v>refOK</v>
      </c>
      <c r="CO1153">
        <f>IF($CN1153="refOK",$BK1153,$BL1153)</f>
        <v>116.6</v>
      </c>
      <c r="CP1153">
        <f>IF($CN1153="refOK",$BL1153,$BK1153)</f>
        <v>116.6</v>
      </c>
      <c r="CQ1153">
        <f>IF($CN1153="refOK",$BO1153,-$BO1153)</f>
        <v>0</v>
      </c>
      <c r="CR1153">
        <f>IF($CN1153="refOK",$BS1153,$BT1153)*IF($BP1153="Emissions positive",-1,1)</f>
        <v>-179.7</v>
      </c>
      <c r="CS1153">
        <f>IF($CN1153="refOK",$BT1153,$BS1153)*IF($BP1153="Emissions positive",-1,1)</f>
        <v>-122.9</v>
      </c>
      <c r="CT1153">
        <f>IF($CN1153="refNeedCorrection",-BX1153,BX1153)*IF($BP1153="Emissions positive",-1,1)</f>
        <v>5.6799999999999982E-2</v>
      </c>
      <c r="CU1153" t="str">
        <f>IFERROR(CT1153/CQ1153,"")</f>
        <v/>
      </c>
      <c r="CV1153" s="2">
        <f>IFERROR((CS1153-CR1153)/ABS(CR1153),"")</f>
        <v>0.31608235948803554</v>
      </c>
      <c r="CW1153" s="1" t="s">
        <v>263</v>
      </c>
      <c r="CX1153" t="str">
        <f>IF(OR($CW1153="prd",$CW1153="std",$CW1153="cit"),"loc",IF(OR($CW1153="eur",$CW1153="reg",$CW1153="coy"),"reg",$CW1153))</f>
        <v>loc</v>
      </c>
      <c r="CY1153" s="309" t="s">
        <v>3423</v>
      </c>
      <c r="DB1153">
        <v>0</v>
      </c>
      <c r="DC1153" t="str">
        <f>IF(DB1153=0,"0",IF(AND(DB1153&gt;=1,DB1153&lt;=30),"1-30",IF(AND(DB1153&gt;30,DB1153&lt;=70),"31-70",IF(AND(DB1153&gt;70,DB1153&lt;=100),"71-100",IF(DB1153&gt;100,"+100")))))</f>
        <v>0</v>
      </c>
      <c r="DD1153">
        <v>0</v>
      </c>
      <c r="DE1153">
        <v>0</v>
      </c>
      <c r="DF1153">
        <v>0</v>
      </c>
      <c r="DG1153">
        <v>1</v>
      </c>
      <c r="DI1153">
        <f>SUM(DD1153:DG1153)</f>
        <v>1</v>
      </c>
      <c r="DJ1153" t="str">
        <f>IF(DI1153=1,INDEX($DD$7:$DG$7,MATCH(1,$DD1153:$DG1153,0)),"mixedProduct")</f>
        <v>TimberInput</v>
      </c>
      <c r="DK1153">
        <f>IF(DD1153=1,DK$7,0)</f>
        <v>0</v>
      </c>
      <c r="DL1153">
        <f>IF(DE1153=1,DL$7,0)</f>
        <v>0</v>
      </c>
      <c r="DM1153">
        <f>IF(DF1153=1,DM$7,0)</f>
        <v>0</v>
      </c>
      <c r="DN1153" t="str">
        <f>IF(DG1153=1,DN$7,0)</f>
        <v>Timber</v>
      </c>
      <c r="DO1153">
        <v>0</v>
      </c>
      <c r="DP1153">
        <v>0</v>
      </c>
      <c r="DQ1153">
        <v>0</v>
      </c>
      <c r="DR1153">
        <v>0</v>
      </c>
      <c r="DS1153">
        <v>0</v>
      </c>
      <c r="DT1153">
        <f>SUM(DO1153:DP1153)</f>
        <v>0</v>
      </c>
      <c r="DU1153" s="143" t="str">
        <f>IF(DO1153=1,"self-calculated DF",IF(DP1153=1,"external DF used","explicit C balance"))</f>
        <v>explicit C balance</v>
      </c>
      <c r="DV1153">
        <v>0</v>
      </c>
      <c r="DW1153">
        <v>0</v>
      </c>
      <c r="DX1153">
        <v>0</v>
      </c>
      <c r="DY1153">
        <v>1</v>
      </c>
      <c r="DZ1153">
        <v>0</v>
      </c>
      <c r="EA1153" s="143">
        <v>1</v>
      </c>
      <c r="EB1153">
        <v>1</v>
      </c>
      <c r="EC1153">
        <v>1</v>
      </c>
      <c r="ED1153">
        <v>0</v>
      </c>
      <c r="EE1153">
        <v>1</v>
      </c>
      <c r="EF1153">
        <v>0</v>
      </c>
      <c r="EG1153">
        <v>0</v>
      </c>
      <c r="EH1153">
        <v>0</v>
      </c>
      <c r="EI1153" s="2">
        <v>0</v>
      </c>
      <c r="EK1153" t="str">
        <f>IF(AND(AND(AND(OR($DX1153=1,$DW1153=1),OR($EC1153=1,$EA1153=1)),SUM($DV1153:$DZ1153,$EF1153)&gt;=4),SUM($EA1153:$EE1153)&gt;=2),"Whole sector","")</f>
        <v/>
      </c>
      <c r="EL1153" t="str">
        <f>IF(AND(AND(OR($DX1153=1,$DW1153=1),AND($EC1153=0,$EA1153=0)),SUM($DV1153:$DZ1153,$EF1153)&gt;=4),"Ecosystem approach","")</f>
        <v/>
      </c>
      <c r="EM1153" s="2" t="str">
        <f>IF(AND(AND(AND($DX1153=0,$DW1153=0),OR($EC1153=1,$EA1153=1)),SUM($EB1153:$EE1153)&gt;=2),"Technology approach","")</f>
        <v>Technology approach</v>
      </c>
      <c r="EP1153" t="b">
        <f>IF(ISNUMBER(BU1153),IF(ABS(BU1153-[4]QC_indicators!$B$2)&gt;3*[4]QC_indicators!$C$2,"C ratio",IF(ISNUMBER(BY1153),IF(ABS(BY1153-[4]QC_indicators!$B$1)&gt;3*[4]QC_indicators!$C$1,"DF","no"))),IF(ISNUMBER(BY1153),IF(ABS(BY1153-[4]QC_indicators!$B$1)&gt;3*[4]QC_indicators!$C$1,"DF","no")))</f>
        <v>0</v>
      </c>
      <c r="ER1153" s="149" t="s">
        <v>349</v>
      </c>
      <c r="ET1153" s="264" t="s">
        <v>3273</v>
      </c>
    </row>
    <row r="1154" spans="1:150" ht="15" customHeight="1">
      <c r="A1154" s="1" t="s">
        <v>587</v>
      </c>
      <c r="B1154" t="s">
        <v>1987</v>
      </c>
      <c r="C1154" t="s">
        <v>1988</v>
      </c>
      <c r="D1154" t="s">
        <v>1989</v>
      </c>
      <c r="E1154" t="s">
        <v>1990</v>
      </c>
      <c r="F1154" t="s">
        <v>1991</v>
      </c>
      <c r="G1154" t="s">
        <v>593</v>
      </c>
      <c r="H1154" t="s">
        <v>254</v>
      </c>
      <c r="I1154">
        <v>2018</v>
      </c>
      <c r="J1154">
        <v>7</v>
      </c>
      <c r="K1154" t="s">
        <v>1992</v>
      </c>
      <c r="M1154" t="str">
        <f>LEFT($D1154,FIND(",",$D1154)-1)&amp;"_"&amp;I1154&amp;L1154</f>
        <v>Nakano_2018</v>
      </c>
      <c r="N1154" t="s">
        <v>222</v>
      </c>
      <c r="O1154" s="157" t="s">
        <v>274</v>
      </c>
      <c r="P1154" t="s">
        <v>960</v>
      </c>
      <c r="Q1154" t="s">
        <v>389</v>
      </c>
      <c r="R1154" s="262" t="s">
        <v>223</v>
      </c>
      <c r="S1154" s="1" t="s">
        <v>2002</v>
      </c>
      <c r="T1154" t="s">
        <v>2003</v>
      </c>
      <c r="U1154" t="s">
        <v>2004</v>
      </c>
      <c r="V1154">
        <v>0</v>
      </c>
      <c r="W1154">
        <v>0</v>
      </c>
      <c r="X1154">
        <v>0</v>
      </c>
      <c r="Y1154">
        <v>1</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s="141">
        <f>COUNTIF(V1154:AW1154,"&lt;&gt;0")</f>
        <v>1</v>
      </c>
      <c r="AY1154" s="141">
        <f>COUNTIF(V1154:AL1154,"&lt;&gt;0")</f>
        <v>1</v>
      </c>
      <c r="AZ1154">
        <f>COUNTIF(V1154:AC1154,"&lt;&gt;0")</f>
        <v>1</v>
      </c>
      <c r="BA1154">
        <f>COUNTIF(AD1154:AI1154,"&lt;&gt;0")</f>
        <v>0</v>
      </c>
      <c r="BB1154">
        <f>COUNTIF(AJ1154:AL1154,"&lt;&gt;0")</f>
        <v>0</v>
      </c>
      <c r="BC1154">
        <f>COUNTIF(AS1154:AW1154,"&lt;&gt;0")</f>
        <v>0</v>
      </c>
      <c r="BD1154">
        <f>COUNTIF(AM1154:AR1154,"&lt;&gt;0")</f>
        <v>0</v>
      </c>
      <c r="BE1154" t="str">
        <f t="array" ref="BE1154">IF(AY1154=1,INDEX($V$7:$AL$7,MATCH(TRUE,INDEX($V1154:$AW1154&lt;&gt;0,),0)),IF(AY1154=0,INDEX($AM$7:$AW$7,MATCH(1,$AM1154:$AW1154,0)),IF(BF1154="Multiple strategies","mixed drivers",IF(BF1154="Supply chain","multiple supply","multiple silviculture"))))</f>
        <v xml:space="preserve">cutting intensity </v>
      </c>
      <c r="BF1154" s="2" t="str" cm="1">
        <f t="array" ref="BF1154">IF(COUNTIF(AZ1154:BB1154,"&lt;&gt;0")=1,INDEX($V$4:$AW$4,MATCH(TRUE,INDEX($V1154:$AW1154&lt;&gt;0,),0)),IF(COUNTIF(AZ1154:BB1154,"&lt;&gt;0")=0,INDEX($AM$4:$AW$4,MATCH(1,$AM1154:$AW1154,0)),"Multiple strategies"))</f>
        <v>Silviculture for removals</v>
      </c>
      <c r="BG1154" s="1" t="s">
        <v>321</v>
      </c>
      <c r="BH1154" t="s">
        <v>1996</v>
      </c>
      <c r="BI1154" t="s">
        <v>1997</v>
      </c>
      <c r="BJ1154" t="s">
        <v>1998</v>
      </c>
      <c r="BK1154">
        <v>1</v>
      </c>
      <c r="BL1154">
        <v>1</v>
      </c>
      <c r="BM1154">
        <v>1</v>
      </c>
      <c r="BN1154">
        <f>BL1154-BK1154</f>
        <v>0</v>
      </c>
      <c r="BO1154">
        <f>BN1154</f>
        <v>0</v>
      </c>
      <c r="BP1154" t="s">
        <v>395</v>
      </c>
      <c r="BQ1154" s="264" t="s">
        <v>3183</v>
      </c>
      <c r="BR1154" t="s">
        <v>2005</v>
      </c>
      <c r="BS1154">
        <v>2.5973154362416099E-2</v>
      </c>
      <c r="BT1154">
        <v>2.5973154362416099E-2</v>
      </c>
      <c r="BU1154" s="144">
        <v>1</v>
      </c>
      <c r="BV1154">
        <f>BT1154-BS1154</f>
        <v>0</v>
      </c>
      <c r="BX1154">
        <v>0</v>
      </c>
      <c r="BY1154" t="str">
        <f>IFERROR(BX1154/BO1154,"")</f>
        <v/>
      </c>
      <c r="BZ1154">
        <v>0</v>
      </c>
      <c r="CA1154">
        <v>0</v>
      </c>
      <c r="CB1154">
        <v>0</v>
      </c>
      <c r="CC1154">
        <v>0</v>
      </c>
      <c r="CD1154">
        <v>0</v>
      </c>
      <c r="CE1154">
        <v>0</v>
      </c>
      <c r="CF1154">
        <v>0</v>
      </c>
      <c r="CG1154">
        <v>0</v>
      </c>
      <c r="CH1154">
        <v>0</v>
      </c>
      <c r="CI1154">
        <v>0</v>
      </c>
      <c r="CJ1154">
        <v>0</v>
      </c>
      <c r="CK1154">
        <v>0</v>
      </c>
      <c r="CL1154">
        <v>0</v>
      </c>
      <c r="CM1154">
        <v>0</v>
      </c>
      <c r="CN1154" t="str">
        <f>IF($BL1154&lt;$BK1154,"refNeedCorrection","refOK")</f>
        <v>refOK</v>
      </c>
      <c r="CO1154">
        <f>IF($CN1154="refOK",$BK1154,$BL1154)</f>
        <v>1</v>
      </c>
      <c r="CP1154">
        <f>IF($CN1154="refOK",$BL1154,$BK1154)</f>
        <v>1</v>
      </c>
      <c r="CQ1154">
        <f>IF($CN1154="refOK",$BO1154,-$BO1154)</f>
        <v>0</v>
      </c>
      <c r="CR1154">
        <f>IF($CN1154="refOK",$BS1154,$BT1154)*IF($BP1154="Emissions positive",-1,1)</f>
        <v>-2.5973154362416099E-2</v>
      </c>
      <c r="CS1154">
        <f>IF($CN1154="refOK",$BT1154,$BS1154)*IF($BP1154="Emissions positive",-1,1)</f>
        <v>-2.5973154362416099E-2</v>
      </c>
      <c r="CT1154">
        <f>IF($CN1154="refNeedCorrection",-BX1154,BX1154)*IF($BP1154="Emissions positive",-1,1)</f>
        <v>0</v>
      </c>
      <c r="CU1154" t="str">
        <f>IFERROR(CT1154/CQ1154,"")</f>
        <v/>
      </c>
      <c r="CV1154" s="2">
        <f>IFERROR((CS1154-CR1154)/ABS(CR1154),"")</f>
        <v>0</v>
      </c>
      <c r="CW1154" s="1" t="s">
        <v>1203</v>
      </c>
      <c r="CX1154" t="str">
        <f>IF(OR($CW1154="prd",$CW1154="std",$CW1154="cit"),"loc",IF(OR($CW1154="eur",$CW1154="reg",$CW1154="coy"),"reg",$CW1154))</f>
        <v>reg</v>
      </c>
      <c r="CY1154" t="s">
        <v>961</v>
      </c>
      <c r="CZ1154">
        <v>0</v>
      </c>
      <c r="DA1154">
        <v>0</v>
      </c>
      <c r="DB1154">
        <v>0</v>
      </c>
      <c r="DC1154" t="str">
        <f>IF(DB1154=0,"0",IF(AND(DB1154&gt;=1,DB1154&lt;=30),"1-30",IF(AND(DB1154&gt;30,DB1154&lt;=70),"31-70",IF(AND(DB1154&gt;70,DB1154&lt;=100),"71-100",IF(DB1154&gt;100,"+100")))))</f>
        <v>0</v>
      </c>
      <c r="DD1154">
        <v>1</v>
      </c>
      <c r="DE1154">
        <v>0</v>
      </c>
      <c r="DF1154">
        <v>0</v>
      </c>
      <c r="DG1154">
        <v>0</v>
      </c>
      <c r="DI1154">
        <v>1</v>
      </c>
      <c r="DJ1154" t="str">
        <f>IF(DI1154=1,INDEX($DD$7:$DG$7,MATCH(1,$DD1154:$DG1154,0)),"mixedProduct")</f>
        <v>UpstreamInput</v>
      </c>
      <c r="DK1154" t="str">
        <f>IF(DD1154=1,DK$7,0)</f>
        <v>Upstream</v>
      </c>
      <c r="DL1154">
        <f>IF(DE1154=1,DL$7,0)</f>
        <v>0</v>
      </c>
      <c r="DM1154">
        <f>IF(DF1154=1,DM$7,0)</f>
        <v>0</v>
      </c>
      <c r="DN1154">
        <f>IF(DG1154=1,DN$7,0)</f>
        <v>0</v>
      </c>
      <c r="DO1154">
        <v>0</v>
      </c>
      <c r="DP1154">
        <v>0</v>
      </c>
      <c r="DQ1154">
        <v>0</v>
      </c>
      <c r="DR1154">
        <v>0</v>
      </c>
      <c r="DS1154">
        <v>0</v>
      </c>
      <c r="DT1154">
        <f>SUM(DO1154:DP1154)</f>
        <v>0</v>
      </c>
      <c r="DU1154" s="143" t="s">
        <v>962</v>
      </c>
      <c r="DV1154">
        <v>0</v>
      </c>
      <c r="DW1154">
        <v>0</v>
      </c>
      <c r="DX1154">
        <v>0</v>
      </c>
      <c r="DY1154">
        <v>0</v>
      </c>
      <c r="DZ1154">
        <v>0</v>
      </c>
      <c r="EA1154" s="143">
        <v>0</v>
      </c>
      <c r="EB1154">
        <v>1</v>
      </c>
      <c r="EC1154">
        <v>0</v>
      </c>
      <c r="ED1154">
        <v>0</v>
      </c>
      <c r="EE1154">
        <v>0</v>
      </c>
      <c r="EF1154">
        <v>0</v>
      </c>
      <c r="EG1154">
        <v>0</v>
      </c>
      <c r="EH1154">
        <v>0</v>
      </c>
      <c r="EI1154" s="2">
        <v>0</v>
      </c>
      <c r="EK1154" t="str">
        <f>IF(AND(AND(AND(OR($DX1154=1,$DW1154=1),OR($EC1154=1,$EA1154=1)),SUM($DV1154:$DZ1154,$EF1154)&gt;=4),SUM($EA1154:$EE1154)&gt;=2),"Whole sector","")</f>
        <v/>
      </c>
      <c r="EL1154" t="str">
        <f>IF(AND(AND(OR($DX1154=1,$DW1154=1),AND($EC1154=0,$EA1154=0)),SUM($DV1154:$DZ1154,$EF1154)&gt;=4),"Ecosystem approach","")</f>
        <v/>
      </c>
      <c r="EM1154" s="2" t="str">
        <f>IF(AND(AND(AND($DX1154=0,$DW1154=0),OR($EC1154=1,$EA1154=1)),SUM($EB1154:$EE1154)&gt;=2),"Technology approach","")</f>
        <v/>
      </c>
      <c r="EP1154" t="b">
        <f>IF(ISNUMBER(BU1154),IF(ABS(BU1154-[1]QC_indicators!$B$2)&gt;3*[1]QC_indicators!$C$2,"C ratio",IF(ISNUMBER(BY1154),IF(ABS(BY1154-[1]QC_indicators!$B$1)&gt;3*[1]QC_indicators!$C$1,"DF","no"))),IF(ISNUMBER(BY1154),IF(ABS(BY1154-[1]QC_indicators!$B$1)&gt;3*[1]QC_indicators!$C$1,"DF","no")))</f>
        <v>0</v>
      </c>
      <c r="ET1154" s="264" t="s">
        <v>3182</v>
      </c>
    </row>
    <row r="1155" spans="1:150" ht="15" customHeight="1">
      <c r="A1155" s="1" t="s">
        <v>587</v>
      </c>
      <c r="B1155" t="s">
        <v>1987</v>
      </c>
      <c r="C1155" t="s">
        <v>1988</v>
      </c>
      <c r="D1155" t="s">
        <v>1989</v>
      </c>
      <c r="E1155" t="s">
        <v>1990</v>
      </c>
      <c r="F1155" t="s">
        <v>1991</v>
      </c>
      <c r="G1155" t="s">
        <v>593</v>
      </c>
      <c r="H1155" t="s">
        <v>254</v>
      </c>
      <c r="I1155">
        <v>2018</v>
      </c>
      <c r="J1155">
        <v>7</v>
      </c>
      <c r="K1155" t="s">
        <v>1992</v>
      </c>
      <c r="M1155" t="str">
        <f>LEFT($D1155,FIND(",",$D1155)-1)&amp;"_"&amp;I1155&amp;L1155</f>
        <v>Nakano_2018</v>
      </c>
      <c r="N1155" t="s">
        <v>222</v>
      </c>
      <c r="O1155" s="157" t="s">
        <v>274</v>
      </c>
      <c r="P1155" t="s">
        <v>960</v>
      </c>
      <c r="Q1155" t="s">
        <v>389</v>
      </c>
      <c r="R1155" s="262" t="s">
        <v>223</v>
      </c>
      <c r="S1155" s="1" t="s">
        <v>2006</v>
      </c>
      <c r="T1155" t="s">
        <v>2007</v>
      </c>
      <c r="U1155" t="s">
        <v>2008</v>
      </c>
      <c r="V1155">
        <v>0</v>
      </c>
      <c r="W1155">
        <v>0</v>
      </c>
      <c r="X1155">
        <v>0</v>
      </c>
      <c r="Y1155">
        <v>1</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s="141">
        <f>COUNTIF(V1155:AW1155,"&lt;&gt;0")</f>
        <v>1</v>
      </c>
      <c r="AY1155" s="141">
        <f>COUNTIF(V1155:AL1155,"&lt;&gt;0")</f>
        <v>1</v>
      </c>
      <c r="AZ1155">
        <f>COUNTIF(V1155:AC1155,"&lt;&gt;0")</f>
        <v>1</v>
      </c>
      <c r="BA1155">
        <f>COUNTIF(AD1155:AI1155,"&lt;&gt;0")</f>
        <v>0</v>
      </c>
      <c r="BB1155">
        <f>COUNTIF(AJ1155:AL1155,"&lt;&gt;0")</f>
        <v>0</v>
      </c>
      <c r="BC1155">
        <f>COUNTIF(AS1155:AW1155,"&lt;&gt;0")</f>
        <v>0</v>
      </c>
      <c r="BD1155">
        <f>COUNTIF(AM1155:AR1155,"&lt;&gt;0")</f>
        <v>0</v>
      </c>
      <c r="BE1155" t="str">
        <f t="array" ref="BE1155">IF(AY1155=1,INDEX($V$7:$AL$7,MATCH(TRUE,INDEX($V1155:$AW1155&lt;&gt;0,),0)),IF(AY1155=0,INDEX($AM$7:$AW$7,MATCH(1,$AM1155:$AW1155,0)),IF(BF1155="Multiple strategies","mixed drivers",IF(BF1155="Supply chain","multiple supply","multiple silviculture"))))</f>
        <v xml:space="preserve">cutting intensity </v>
      </c>
      <c r="BF1155" s="2" t="str" cm="1">
        <f t="array" ref="BF1155">IF(COUNTIF(AZ1155:BB1155,"&lt;&gt;0")=1,INDEX($V$4:$AW$4,MATCH(TRUE,INDEX($V1155:$AW1155&lt;&gt;0,),0)),IF(COUNTIF(AZ1155:BB1155,"&lt;&gt;0")=0,INDEX($AM$4:$AW$4,MATCH(1,$AM1155:$AW1155,0)),"Multiple strategies"))</f>
        <v>Silviculture for removals</v>
      </c>
      <c r="BG1155" s="1" t="s">
        <v>321</v>
      </c>
      <c r="BH1155" t="s">
        <v>1996</v>
      </c>
      <c r="BI1155" t="s">
        <v>1997</v>
      </c>
      <c r="BJ1155" t="s">
        <v>1998</v>
      </c>
      <c r="BK1155">
        <v>1</v>
      </c>
      <c r="BL1155">
        <v>1</v>
      </c>
      <c r="BM1155">
        <v>1</v>
      </c>
      <c r="BN1155">
        <f>BL1155-BK1155</f>
        <v>0</v>
      </c>
      <c r="BO1155">
        <f>BN1155</f>
        <v>0</v>
      </c>
      <c r="BP1155" t="s">
        <v>395</v>
      </c>
      <c r="BQ1155" s="264" t="s">
        <v>3183</v>
      </c>
      <c r="BR1155" t="s">
        <v>2005</v>
      </c>
      <c r="BS1155">
        <v>2.1208053691275101E-2</v>
      </c>
      <c r="BT1155">
        <v>2.2080536912751601E-2</v>
      </c>
      <c r="BU1155" s="144">
        <v>1.0411392405063289</v>
      </c>
      <c r="BV1155">
        <f>BT1155-BS1155</f>
        <v>8.7248322147650062E-4</v>
      </c>
      <c r="BX1155">
        <v>8.7248322147650062E-4</v>
      </c>
      <c r="BY1155" t="str">
        <f>IFERROR(BX1155/BO1155,"")</f>
        <v/>
      </c>
      <c r="BZ1155">
        <v>0</v>
      </c>
      <c r="CA1155">
        <v>0</v>
      </c>
      <c r="CB1155">
        <v>0</v>
      </c>
      <c r="CC1155">
        <v>0</v>
      </c>
      <c r="CD1155">
        <v>0</v>
      </c>
      <c r="CE1155">
        <v>0</v>
      </c>
      <c r="CF1155">
        <v>0</v>
      </c>
      <c r="CG1155">
        <v>0</v>
      </c>
      <c r="CH1155">
        <v>0</v>
      </c>
      <c r="CI1155">
        <v>0</v>
      </c>
      <c r="CJ1155">
        <v>0</v>
      </c>
      <c r="CK1155">
        <v>0</v>
      </c>
      <c r="CL1155">
        <v>0</v>
      </c>
      <c r="CM1155">
        <v>0</v>
      </c>
      <c r="CN1155" t="str">
        <f>IF($BL1155&lt;$BK1155,"refNeedCorrection","refOK")</f>
        <v>refOK</v>
      </c>
      <c r="CO1155">
        <f>IF($CN1155="refOK",$BK1155,$BL1155)</f>
        <v>1</v>
      </c>
      <c r="CP1155">
        <f>IF($CN1155="refOK",$BL1155,$BK1155)</f>
        <v>1</v>
      </c>
      <c r="CQ1155">
        <f>IF($CN1155="refOK",$BO1155,-$BO1155)</f>
        <v>0</v>
      </c>
      <c r="CR1155">
        <f>IF($CN1155="refOK",$BS1155,$BT1155)*IF($BP1155="Emissions positive",-1,1)</f>
        <v>-2.1208053691275101E-2</v>
      </c>
      <c r="CS1155">
        <f>IF($CN1155="refOK",$BT1155,$BS1155)*IF($BP1155="Emissions positive",-1,1)</f>
        <v>-2.2080536912751601E-2</v>
      </c>
      <c r="CT1155">
        <f>IF($CN1155="refNeedCorrection",-BX1155,BX1155)*IF($BP1155="Emissions positive",-1,1)</f>
        <v>-8.7248322147650062E-4</v>
      </c>
      <c r="CU1155" t="str">
        <f>IFERROR(CT1155/CQ1155,"")</f>
        <v/>
      </c>
      <c r="CV1155" s="2">
        <f>IFERROR((CS1155-CR1155)/ABS(CR1155),"")</f>
        <v>-4.1139240506328799E-2</v>
      </c>
      <c r="CW1155" s="1" t="s">
        <v>1203</v>
      </c>
      <c r="CX1155" t="str">
        <f>IF(OR($CW1155="prd",$CW1155="std",$CW1155="cit"),"loc",IF(OR($CW1155="eur",$CW1155="reg",$CW1155="coy"),"reg",$CW1155))</f>
        <v>reg</v>
      </c>
      <c r="CY1155" t="s">
        <v>961</v>
      </c>
      <c r="CZ1155">
        <v>0</v>
      </c>
      <c r="DA1155">
        <v>0</v>
      </c>
      <c r="DB1155">
        <v>0</v>
      </c>
      <c r="DC1155" t="str">
        <f>IF(DB1155=0,"0",IF(AND(DB1155&gt;=1,DB1155&lt;=30),"1-30",IF(AND(DB1155&gt;30,DB1155&lt;=70),"31-70",IF(AND(DB1155&gt;70,DB1155&lt;=100),"71-100",IF(DB1155&gt;100,"+100")))))</f>
        <v>0</v>
      </c>
      <c r="DD1155">
        <v>1</v>
      </c>
      <c r="DE1155">
        <v>0</v>
      </c>
      <c r="DF1155">
        <v>0</v>
      </c>
      <c r="DG1155">
        <v>0</v>
      </c>
      <c r="DI1155">
        <v>1</v>
      </c>
      <c r="DJ1155" t="str">
        <f>IF(DI1155=1,INDEX($DD$7:$DG$7,MATCH(1,$DD1155:$DG1155,0)),"mixedProduct")</f>
        <v>UpstreamInput</v>
      </c>
      <c r="DK1155" t="str">
        <f>IF(DD1155=1,DK$7,0)</f>
        <v>Upstream</v>
      </c>
      <c r="DL1155">
        <f>IF(DE1155=1,DL$7,0)</f>
        <v>0</v>
      </c>
      <c r="DM1155">
        <f>IF(DF1155=1,DM$7,0)</f>
        <v>0</v>
      </c>
      <c r="DN1155">
        <f>IF(DG1155=1,DN$7,0)</f>
        <v>0</v>
      </c>
      <c r="DO1155">
        <v>0</v>
      </c>
      <c r="DP1155">
        <v>0</v>
      </c>
      <c r="DQ1155">
        <v>0</v>
      </c>
      <c r="DR1155">
        <v>0</v>
      </c>
      <c r="DS1155">
        <v>0</v>
      </c>
      <c r="DT1155">
        <f>SUM(DO1155:DP1155)</f>
        <v>0</v>
      </c>
      <c r="DU1155" s="143" t="s">
        <v>962</v>
      </c>
      <c r="DV1155">
        <v>0</v>
      </c>
      <c r="DW1155">
        <v>0</v>
      </c>
      <c r="DX1155">
        <v>0</v>
      </c>
      <c r="DY1155">
        <v>0</v>
      </c>
      <c r="DZ1155">
        <v>0</v>
      </c>
      <c r="EA1155" s="143">
        <v>0</v>
      </c>
      <c r="EB1155">
        <v>1</v>
      </c>
      <c r="EC1155">
        <v>0</v>
      </c>
      <c r="ED1155">
        <v>0</v>
      </c>
      <c r="EE1155">
        <v>0</v>
      </c>
      <c r="EF1155">
        <v>0</v>
      </c>
      <c r="EG1155">
        <v>0</v>
      </c>
      <c r="EH1155">
        <v>0</v>
      </c>
      <c r="EI1155" s="2">
        <v>0</v>
      </c>
      <c r="EK1155" t="str">
        <f>IF(AND(AND(AND(OR($DX1155=1,$DW1155=1),OR($EC1155=1,$EA1155=1)),SUM($DV1155:$DZ1155,$EF1155)&gt;=4),SUM($EA1155:$EE1155)&gt;=2),"Whole sector","")</f>
        <v/>
      </c>
      <c r="EL1155" t="str">
        <f>IF(AND(AND(OR($DX1155=1,$DW1155=1),AND($EC1155=0,$EA1155=0)),SUM($DV1155:$DZ1155,$EF1155)&gt;=4),"Ecosystem approach","")</f>
        <v/>
      </c>
      <c r="EM1155" s="2" t="str">
        <f>IF(AND(AND(AND($DX1155=0,$DW1155=0),OR($EC1155=1,$EA1155=1)),SUM($EB1155:$EE1155)&gt;=2),"Technology approach","")</f>
        <v/>
      </c>
      <c r="EP1155" t="b">
        <f>IF(ISNUMBER(BU1155),IF(ABS(BU1155-[1]QC_indicators!$B$2)&gt;3*[1]QC_indicators!$C$2,"C ratio",IF(ISNUMBER(BY1155),IF(ABS(BY1155-[1]QC_indicators!$B$1)&gt;3*[1]QC_indicators!$C$1,"DF","no"))),IF(ISNUMBER(BY1155),IF(ABS(BY1155-[1]QC_indicators!$B$1)&gt;3*[1]QC_indicators!$C$1,"DF","no")))</f>
        <v>0</v>
      </c>
      <c r="ET1155" s="264" t="s">
        <v>3182</v>
      </c>
    </row>
    <row r="1156" spans="1:150" ht="15" customHeight="1">
      <c r="A1156" s="1" t="s">
        <v>587</v>
      </c>
      <c r="B1156" t="s">
        <v>1987</v>
      </c>
      <c r="C1156" t="s">
        <v>1988</v>
      </c>
      <c r="D1156" t="s">
        <v>1989</v>
      </c>
      <c r="E1156" t="s">
        <v>1990</v>
      </c>
      <c r="F1156" t="s">
        <v>1991</v>
      </c>
      <c r="G1156" t="s">
        <v>593</v>
      </c>
      <c r="H1156" t="s">
        <v>254</v>
      </c>
      <c r="I1156">
        <v>2018</v>
      </c>
      <c r="J1156">
        <v>7</v>
      </c>
      <c r="K1156" t="s">
        <v>1992</v>
      </c>
      <c r="M1156" t="str">
        <f>LEFT($D1156,FIND(",",$D1156)-1)&amp;"_"&amp;I1156&amp;L1156</f>
        <v>Nakano_2018</v>
      </c>
      <c r="N1156" t="s">
        <v>222</v>
      </c>
      <c r="O1156" s="157" t="s">
        <v>274</v>
      </c>
      <c r="P1156" t="s">
        <v>960</v>
      </c>
      <c r="Q1156" t="s">
        <v>389</v>
      </c>
      <c r="R1156" s="262" t="s">
        <v>223</v>
      </c>
      <c r="S1156" s="1" t="s">
        <v>2002</v>
      </c>
      <c r="T1156" t="s">
        <v>2009</v>
      </c>
      <c r="U1156" t="s">
        <v>2010</v>
      </c>
      <c r="V1156">
        <v>0</v>
      </c>
      <c r="W1156">
        <v>0</v>
      </c>
      <c r="X1156">
        <v>0</v>
      </c>
      <c r="Y1156">
        <v>1</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s="141">
        <f>COUNTIF(V1156:AW1156,"&lt;&gt;0")</f>
        <v>1</v>
      </c>
      <c r="AY1156" s="141">
        <f>COUNTIF(V1156:AL1156,"&lt;&gt;0")</f>
        <v>1</v>
      </c>
      <c r="AZ1156">
        <f>COUNTIF(V1156:AC1156,"&lt;&gt;0")</f>
        <v>1</v>
      </c>
      <c r="BA1156">
        <f>COUNTIF(AD1156:AI1156,"&lt;&gt;0")</f>
        <v>0</v>
      </c>
      <c r="BB1156">
        <f>COUNTIF(AJ1156:AL1156,"&lt;&gt;0")</f>
        <v>0</v>
      </c>
      <c r="BC1156">
        <f>COUNTIF(AS1156:AW1156,"&lt;&gt;0")</f>
        <v>0</v>
      </c>
      <c r="BD1156">
        <f>COUNTIF(AM1156:AR1156,"&lt;&gt;0")</f>
        <v>0</v>
      </c>
      <c r="BE1156" t="str">
        <f t="array" ref="BE1156">IF(AY1156=1,INDEX($V$7:$AL$7,MATCH(TRUE,INDEX($V1156:$AW1156&lt;&gt;0,),0)),IF(AY1156=0,INDEX($AM$7:$AW$7,MATCH(1,$AM1156:$AW1156,0)),IF(BF1156="Multiple strategies","mixed drivers",IF(BF1156="Supply chain","multiple supply","multiple silviculture"))))</f>
        <v xml:space="preserve">cutting intensity </v>
      </c>
      <c r="BF1156" s="2" t="str" cm="1">
        <f t="array" ref="BF1156">IF(COUNTIF(AZ1156:BB1156,"&lt;&gt;0")=1,INDEX($V$4:$AW$4,MATCH(TRUE,INDEX($V1156:$AW1156&lt;&gt;0,),0)),IF(COUNTIF(AZ1156:BB1156,"&lt;&gt;0")=0,INDEX($AM$4:$AW$4,MATCH(1,$AM1156:$AW1156,0)),"Multiple strategies"))</f>
        <v>Silviculture for removals</v>
      </c>
      <c r="BG1156" s="1" t="s">
        <v>321</v>
      </c>
      <c r="BH1156" t="s">
        <v>1996</v>
      </c>
      <c r="BI1156" t="s">
        <v>1997</v>
      </c>
      <c r="BJ1156" t="s">
        <v>1998</v>
      </c>
      <c r="BK1156">
        <v>1</v>
      </c>
      <c r="BL1156">
        <v>1</v>
      </c>
      <c r="BM1156">
        <v>1</v>
      </c>
      <c r="BN1156">
        <f>BL1156-BK1156</f>
        <v>0</v>
      </c>
      <c r="BO1156">
        <f>BN1156</f>
        <v>0</v>
      </c>
      <c r="BP1156" t="s">
        <v>395</v>
      </c>
      <c r="BQ1156" s="264" t="s">
        <v>3183</v>
      </c>
      <c r="BR1156" t="s">
        <v>2005</v>
      </c>
      <c r="BS1156">
        <v>2.43624161073825E-2</v>
      </c>
      <c r="BT1156">
        <v>2.5234899328859001E-2</v>
      </c>
      <c r="BU1156" s="144">
        <v>1.0358126721763081</v>
      </c>
      <c r="BV1156">
        <f>BT1156-BS1156</f>
        <v>8.7248322147650062E-4</v>
      </c>
      <c r="BX1156">
        <v>8.7248322147650062E-4</v>
      </c>
      <c r="BY1156" t="str">
        <f>IFERROR(BX1156/BO1156,"")</f>
        <v/>
      </c>
      <c r="BZ1156">
        <v>0</v>
      </c>
      <c r="CA1156">
        <v>0</v>
      </c>
      <c r="CB1156">
        <v>0</v>
      </c>
      <c r="CC1156">
        <v>0</v>
      </c>
      <c r="CD1156">
        <v>0</v>
      </c>
      <c r="CE1156">
        <v>0</v>
      </c>
      <c r="CF1156">
        <v>0</v>
      </c>
      <c r="CG1156">
        <v>0</v>
      </c>
      <c r="CH1156">
        <v>0</v>
      </c>
      <c r="CI1156">
        <v>0</v>
      </c>
      <c r="CJ1156">
        <v>0</v>
      </c>
      <c r="CK1156">
        <v>0</v>
      </c>
      <c r="CL1156">
        <v>0</v>
      </c>
      <c r="CM1156">
        <v>0</v>
      </c>
      <c r="CN1156" t="str">
        <f>IF($BL1156&lt;$BK1156,"refNeedCorrection","refOK")</f>
        <v>refOK</v>
      </c>
      <c r="CO1156">
        <f>IF($CN1156="refOK",$BK1156,$BL1156)</f>
        <v>1</v>
      </c>
      <c r="CP1156">
        <f>IF($CN1156="refOK",$BL1156,$BK1156)</f>
        <v>1</v>
      </c>
      <c r="CQ1156">
        <f>IF($CN1156="refOK",$BO1156,-$BO1156)</f>
        <v>0</v>
      </c>
      <c r="CR1156">
        <f>IF($CN1156="refOK",$BS1156,$BT1156)*IF($BP1156="Emissions positive",-1,1)</f>
        <v>-2.43624161073825E-2</v>
      </c>
      <c r="CS1156">
        <f>IF($CN1156="refOK",$BT1156,$BS1156)*IF($BP1156="Emissions positive",-1,1)</f>
        <v>-2.5234899328859001E-2</v>
      </c>
      <c r="CT1156">
        <f>IF($CN1156="refNeedCorrection",-BX1156,BX1156)*IF($BP1156="Emissions positive",-1,1)</f>
        <v>-8.7248322147650062E-4</v>
      </c>
      <c r="CU1156" t="str">
        <f>IFERROR(CT1156/CQ1156,"")</f>
        <v/>
      </c>
      <c r="CV1156" s="2">
        <f>IFERROR((CS1156-CR1156)/ABS(CR1156),"")</f>
        <v>-3.5812672176308229E-2</v>
      </c>
      <c r="CW1156" s="1" t="s">
        <v>1203</v>
      </c>
      <c r="CX1156" t="str">
        <f>IF(OR($CW1156="prd",$CW1156="std",$CW1156="cit"),"loc",IF(OR($CW1156="eur",$CW1156="reg",$CW1156="coy"),"reg",$CW1156))</f>
        <v>reg</v>
      </c>
      <c r="CY1156" t="s">
        <v>961</v>
      </c>
      <c r="CZ1156">
        <v>0</v>
      </c>
      <c r="DA1156">
        <v>0</v>
      </c>
      <c r="DB1156">
        <v>0</v>
      </c>
      <c r="DC1156" t="str">
        <f>IF(DB1156=0,"0",IF(AND(DB1156&gt;=1,DB1156&lt;=30),"1-30",IF(AND(DB1156&gt;30,DB1156&lt;=70),"31-70",IF(AND(DB1156&gt;70,DB1156&lt;=100),"71-100",IF(DB1156&gt;100,"+100")))))</f>
        <v>0</v>
      </c>
      <c r="DD1156">
        <v>1</v>
      </c>
      <c r="DE1156">
        <v>0</v>
      </c>
      <c r="DF1156">
        <v>0</v>
      </c>
      <c r="DG1156">
        <v>0</v>
      </c>
      <c r="DI1156">
        <v>1</v>
      </c>
      <c r="DJ1156" t="str">
        <f>IF(DI1156=1,INDEX($DD$7:$DG$7,MATCH(1,$DD1156:$DG1156,0)),"mixedProduct")</f>
        <v>UpstreamInput</v>
      </c>
      <c r="DK1156" t="str">
        <f>IF(DD1156=1,DK$7,0)</f>
        <v>Upstream</v>
      </c>
      <c r="DL1156">
        <f>IF(DE1156=1,DL$7,0)</f>
        <v>0</v>
      </c>
      <c r="DM1156">
        <f>IF(DF1156=1,DM$7,0)</f>
        <v>0</v>
      </c>
      <c r="DN1156">
        <f>IF(DG1156=1,DN$7,0)</f>
        <v>0</v>
      </c>
      <c r="DO1156">
        <v>0</v>
      </c>
      <c r="DP1156">
        <v>0</v>
      </c>
      <c r="DQ1156">
        <v>0</v>
      </c>
      <c r="DR1156">
        <v>0</v>
      </c>
      <c r="DS1156">
        <v>0</v>
      </c>
      <c r="DT1156">
        <f>SUM(DO1156:DP1156)</f>
        <v>0</v>
      </c>
      <c r="DU1156" s="143" t="s">
        <v>962</v>
      </c>
      <c r="DV1156">
        <v>0</v>
      </c>
      <c r="DW1156">
        <v>0</v>
      </c>
      <c r="DX1156">
        <v>0</v>
      </c>
      <c r="DY1156">
        <v>0</v>
      </c>
      <c r="DZ1156">
        <v>0</v>
      </c>
      <c r="EA1156" s="143">
        <v>0</v>
      </c>
      <c r="EB1156">
        <v>1</v>
      </c>
      <c r="EC1156">
        <v>0</v>
      </c>
      <c r="ED1156">
        <v>0</v>
      </c>
      <c r="EE1156">
        <v>0</v>
      </c>
      <c r="EF1156">
        <v>0</v>
      </c>
      <c r="EG1156">
        <v>0</v>
      </c>
      <c r="EH1156">
        <v>0</v>
      </c>
      <c r="EI1156" s="2">
        <v>0</v>
      </c>
      <c r="EK1156" t="str">
        <f>IF(AND(AND(AND(OR($DX1156=1,$DW1156=1),OR($EC1156=1,$EA1156=1)),SUM($DV1156:$DZ1156,$EF1156)&gt;=4),SUM($EA1156:$EE1156)&gt;=2),"Whole sector","")</f>
        <v/>
      </c>
      <c r="EL1156" t="str">
        <f>IF(AND(AND(OR($DX1156=1,$DW1156=1),AND($EC1156=0,$EA1156=0)),SUM($DV1156:$DZ1156,$EF1156)&gt;=4),"Ecosystem approach","")</f>
        <v/>
      </c>
      <c r="EM1156" s="2" t="str">
        <f>IF(AND(AND(AND($DX1156=0,$DW1156=0),OR($EC1156=1,$EA1156=1)),SUM($EB1156:$EE1156)&gt;=2),"Technology approach","")</f>
        <v/>
      </c>
      <c r="EP1156" t="b">
        <f>IF(ISNUMBER(BU1156),IF(ABS(BU1156-[1]QC_indicators!$B$2)&gt;3*[1]QC_indicators!$C$2,"C ratio",IF(ISNUMBER(BY1156),IF(ABS(BY1156-[1]QC_indicators!$B$1)&gt;3*[1]QC_indicators!$C$1,"DF","no"))),IF(ISNUMBER(BY1156),IF(ABS(BY1156-[1]QC_indicators!$B$1)&gt;3*[1]QC_indicators!$C$1,"DF","no")))</f>
        <v>0</v>
      </c>
      <c r="ET1156" s="264" t="s">
        <v>3182</v>
      </c>
    </row>
    <row r="1157" spans="1:150" ht="15" customHeight="1">
      <c r="A1157" s="1" t="s">
        <v>587</v>
      </c>
      <c r="B1157" t="s">
        <v>1987</v>
      </c>
      <c r="C1157" t="s">
        <v>1988</v>
      </c>
      <c r="D1157" t="s">
        <v>1989</v>
      </c>
      <c r="E1157" t="s">
        <v>1990</v>
      </c>
      <c r="F1157" t="s">
        <v>1991</v>
      </c>
      <c r="G1157" t="s">
        <v>593</v>
      </c>
      <c r="H1157" t="s">
        <v>254</v>
      </c>
      <c r="I1157">
        <v>2018</v>
      </c>
      <c r="J1157">
        <v>7</v>
      </c>
      <c r="K1157" t="s">
        <v>1992</v>
      </c>
      <c r="M1157" t="str">
        <f>LEFT($D1157,FIND(",",$D1157)-1)&amp;"_"&amp;I1157&amp;L1157</f>
        <v>Nakano_2018</v>
      </c>
      <c r="N1157" t="s">
        <v>222</v>
      </c>
      <c r="O1157" s="157" t="s">
        <v>274</v>
      </c>
      <c r="P1157" t="s">
        <v>960</v>
      </c>
      <c r="Q1157" t="s">
        <v>389</v>
      </c>
      <c r="R1157" s="262" t="s">
        <v>223</v>
      </c>
      <c r="S1157" s="1" t="s">
        <v>2002</v>
      </c>
      <c r="T1157" t="s">
        <v>2011</v>
      </c>
      <c r="U1157" t="s">
        <v>2012</v>
      </c>
      <c r="V1157">
        <v>0</v>
      </c>
      <c r="W1157">
        <v>0</v>
      </c>
      <c r="X1157">
        <v>0</v>
      </c>
      <c r="Y1157">
        <v>1</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s="141">
        <f>COUNTIF(V1157:AW1157,"&lt;&gt;0")</f>
        <v>1</v>
      </c>
      <c r="AY1157" s="141">
        <f>COUNTIF(V1157:AL1157,"&lt;&gt;0")</f>
        <v>1</v>
      </c>
      <c r="AZ1157">
        <f>COUNTIF(V1157:AC1157,"&lt;&gt;0")</f>
        <v>1</v>
      </c>
      <c r="BA1157">
        <f>COUNTIF(AD1157:AI1157,"&lt;&gt;0")</f>
        <v>0</v>
      </c>
      <c r="BB1157">
        <f>COUNTIF(AJ1157:AL1157,"&lt;&gt;0")</f>
        <v>0</v>
      </c>
      <c r="BC1157">
        <f>COUNTIF(AS1157:AW1157,"&lt;&gt;0")</f>
        <v>0</v>
      </c>
      <c r="BD1157">
        <f>COUNTIF(AM1157:AR1157,"&lt;&gt;0")</f>
        <v>0</v>
      </c>
      <c r="BE1157" t="str">
        <f t="array" ref="BE1157">IF(AY1157=1,INDEX($V$7:$AL$7,MATCH(TRUE,INDEX($V1157:$AW1157&lt;&gt;0,),0)),IF(AY1157=0,INDEX($AM$7:$AW$7,MATCH(1,$AM1157:$AW1157,0)),IF(BF1157="Multiple strategies","mixed drivers",IF(BF1157="Supply chain","multiple supply","multiple silviculture"))))</f>
        <v xml:space="preserve">cutting intensity </v>
      </c>
      <c r="BF1157" s="2" t="str" cm="1">
        <f t="array" ref="BF1157">IF(COUNTIF(AZ1157:BB1157,"&lt;&gt;0")=1,INDEX($V$4:$AW$4,MATCH(TRUE,INDEX($V1157:$AW1157&lt;&gt;0,),0)),IF(COUNTIF(AZ1157:BB1157,"&lt;&gt;0")=0,INDEX($AM$4:$AW$4,MATCH(1,$AM1157:$AW1157,0)),"Multiple strategies"))</f>
        <v>Silviculture for removals</v>
      </c>
      <c r="BG1157" s="1" t="s">
        <v>321</v>
      </c>
      <c r="BH1157" t="s">
        <v>1996</v>
      </c>
      <c r="BI1157" t="s">
        <v>1997</v>
      </c>
      <c r="BJ1157" t="s">
        <v>1998</v>
      </c>
      <c r="BK1157">
        <v>1</v>
      </c>
      <c r="BL1157">
        <v>1</v>
      </c>
      <c r="BM1157">
        <v>1</v>
      </c>
      <c r="BN1157">
        <f>BL1157-BK1157</f>
        <v>0</v>
      </c>
      <c r="BO1157">
        <f>BN1157</f>
        <v>0</v>
      </c>
      <c r="BP1157" t="s">
        <v>395</v>
      </c>
      <c r="BQ1157" s="264" t="s">
        <v>3183</v>
      </c>
      <c r="BR1157" t="s">
        <v>2005</v>
      </c>
      <c r="BS1157">
        <v>2.5033557046979803E-2</v>
      </c>
      <c r="BT1157">
        <v>2.5771812080536902E-2</v>
      </c>
      <c r="BU1157" s="144">
        <v>1.0294906166219859</v>
      </c>
      <c r="BV1157">
        <f>BT1157-BS1157</f>
        <v>7.3825503355709823E-4</v>
      </c>
      <c r="BX1157">
        <v>7.3825503355709823E-4</v>
      </c>
      <c r="BY1157" t="str">
        <f>IFERROR(BX1157/BO1157,"")</f>
        <v/>
      </c>
      <c r="BZ1157">
        <v>0</v>
      </c>
      <c r="CA1157">
        <v>0</v>
      </c>
      <c r="CB1157">
        <v>0</v>
      </c>
      <c r="CC1157">
        <v>0</v>
      </c>
      <c r="CD1157">
        <v>0</v>
      </c>
      <c r="CE1157">
        <v>0</v>
      </c>
      <c r="CF1157">
        <v>0</v>
      </c>
      <c r="CG1157">
        <v>0</v>
      </c>
      <c r="CH1157">
        <v>0</v>
      </c>
      <c r="CI1157">
        <v>0</v>
      </c>
      <c r="CJ1157">
        <v>0</v>
      </c>
      <c r="CK1157">
        <v>0</v>
      </c>
      <c r="CL1157">
        <v>0</v>
      </c>
      <c r="CM1157">
        <v>0</v>
      </c>
      <c r="CN1157" t="str">
        <f>IF($BL1157&lt;$BK1157,"refNeedCorrection","refOK")</f>
        <v>refOK</v>
      </c>
      <c r="CO1157">
        <f>IF($CN1157="refOK",$BK1157,$BL1157)</f>
        <v>1</v>
      </c>
      <c r="CP1157">
        <f>IF($CN1157="refOK",$BL1157,$BK1157)</f>
        <v>1</v>
      </c>
      <c r="CQ1157">
        <f>IF($CN1157="refOK",$BO1157,-$BO1157)</f>
        <v>0</v>
      </c>
      <c r="CR1157">
        <f>IF($CN1157="refOK",$BS1157,$BT1157)*IF($BP1157="Emissions positive",-1,1)</f>
        <v>-2.5033557046979803E-2</v>
      </c>
      <c r="CS1157">
        <f>IF($CN1157="refOK",$BT1157,$BS1157)*IF($BP1157="Emissions positive",-1,1)</f>
        <v>-2.5771812080536902E-2</v>
      </c>
      <c r="CT1157">
        <f>IF($CN1157="refNeedCorrection",-BX1157,BX1157)*IF($BP1157="Emissions positive",-1,1)</f>
        <v>-7.3825503355709823E-4</v>
      </c>
      <c r="CU1157" t="str">
        <f>IFERROR(CT1157/CQ1157,"")</f>
        <v/>
      </c>
      <c r="CV1157" s="2">
        <f>IFERROR((CS1157-CR1157)/ABS(CR1157),"")</f>
        <v>-2.9490616621986036E-2</v>
      </c>
      <c r="CW1157" s="1" t="s">
        <v>1203</v>
      </c>
      <c r="CX1157" t="str">
        <f>IF(OR($CW1157="prd",$CW1157="std",$CW1157="cit"),"loc",IF(OR($CW1157="eur",$CW1157="reg",$CW1157="coy"),"reg",$CW1157))</f>
        <v>reg</v>
      </c>
      <c r="CY1157" t="s">
        <v>961</v>
      </c>
      <c r="CZ1157">
        <v>0</v>
      </c>
      <c r="DA1157">
        <v>0</v>
      </c>
      <c r="DB1157">
        <v>0</v>
      </c>
      <c r="DC1157" t="str">
        <f>IF(DB1157=0,"0",IF(AND(DB1157&gt;=1,DB1157&lt;=30),"1-30",IF(AND(DB1157&gt;30,DB1157&lt;=70),"31-70",IF(AND(DB1157&gt;70,DB1157&lt;=100),"71-100",IF(DB1157&gt;100,"+100")))))</f>
        <v>0</v>
      </c>
      <c r="DD1157">
        <v>1</v>
      </c>
      <c r="DE1157">
        <v>0</v>
      </c>
      <c r="DF1157">
        <v>0</v>
      </c>
      <c r="DG1157">
        <v>0</v>
      </c>
      <c r="DI1157">
        <v>1</v>
      </c>
      <c r="DJ1157" t="str">
        <f>IF(DI1157=1,INDEX($DD$7:$DG$7,MATCH(1,$DD1157:$DG1157,0)),"mixedProduct")</f>
        <v>UpstreamInput</v>
      </c>
      <c r="DK1157" t="str">
        <f>IF(DD1157=1,DK$7,0)</f>
        <v>Upstream</v>
      </c>
      <c r="DL1157">
        <f>IF(DE1157=1,DL$7,0)</f>
        <v>0</v>
      </c>
      <c r="DM1157">
        <f>IF(DF1157=1,DM$7,0)</f>
        <v>0</v>
      </c>
      <c r="DN1157">
        <f>IF(DG1157=1,DN$7,0)</f>
        <v>0</v>
      </c>
      <c r="DO1157">
        <v>0</v>
      </c>
      <c r="DP1157">
        <v>0</v>
      </c>
      <c r="DQ1157">
        <v>0</v>
      </c>
      <c r="DR1157">
        <v>0</v>
      </c>
      <c r="DS1157">
        <v>0</v>
      </c>
      <c r="DT1157">
        <f>SUM(DO1157:DP1157)</f>
        <v>0</v>
      </c>
      <c r="DU1157" s="143" t="s">
        <v>962</v>
      </c>
      <c r="DV1157">
        <v>0</v>
      </c>
      <c r="DW1157">
        <v>0</v>
      </c>
      <c r="DX1157">
        <v>0</v>
      </c>
      <c r="DY1157">
        <v>0</v>
      </c>
      <c r="DZ1157">
        <v>0</v>
      </c>
      <c r="EA1157" s="143">
        <v>0</v>
      </c>
      <c r="EB1157">
        <v>1</v>
      </c>
      <c r="EC1157">
        <v>0</v>
      </c>
      <c r="ED1157">
        <v>0</v>
      </c>
      <c r="EE1157">
        <v>0</v>
      </c>
      <c r="EF1157">
        <v>0</v>
      </c>
      <c r="EG1157">
        <v>0</v>
      </c>
      <c r="EH1157">
        <v>0</v>
      </c>
      <c r="EI1157" s="2">
        <v>0</v>
      </c>
      <c r="EK1157" t="str">
        <f>IF(AND(AND(AND(OR($DX1157=1,$DW1157=1),OR($EC1157=1,$EA1157=1)),SUM($DV1157:$DZ1157,$EF1157)&gt;=4),SUM($EA1157:$EE1157)&gt;=2),"Whole sector","")</f>
        <v/>
      </c>
      <c r="EL1157" t="str">
        <f>IF(AND(AND(OR($DX1157=1,$DW1157=1),AND($EC1157=0,$EA1157=0)),SUM($DV1157:$DZ1157,$EF1157)&gt;=4),"Ecosystem approach","")</f>
        <v/>
      </c>
      <c r="EM1157" s="2" t="str">
        <f>IF(AND(AND(AND($DX1157=0,$DW1157=0),OR($EC1157=1,$EA1157=1)),SUM($EB1157:$EE1157)&gt;=2),"Technology approach","")</f>
        <v/>
      </c>
      <c r="EP1157" t="b">
        <f>IF(ISNUMBER(BU1157),IF(ABS(BU1157-[1]QC_indicators!$B$2)&gt;3*[1]QC_indicators!$C$2,"C ratio",IF(ISNUMBER(BY1157),IF(ABS(BY1157-[1]QC_indicators!$B$1)&gt;3*[1]QC_indicators!$C$1,"DF","no"))),IF(ISNUMBER(BY1157),IF(ABS(BY1157-[1]QC_indicators!$B$1)&gt;3*[1]QC_indicators!$C$1,"DF","no")))</f>
        <v>0</v>
      </c>
      <c r="ET1157" s="264" t="s">
        <v>3182</v>
      </c>
    </row>
    <row r="1158" spans="1:150" ht="15" customHeight="1">
      <c r="A1158" s="1" t="s">
        <v>265</v>
      </c>
      <c r="B1158" t="s">
        <v>2013</v>
      </c>
      <c r="C1158" t="s">
        <v>2014</v>
      </c>
      <c r="D1158" t="s">
        <v>2015</v>
      </c>
      <c r="E1158" t="s">
        <v>2016</v>
      </c>
      <c r="F1158" t="s">
        <v>2017</v>
      </c>
      <c r="G1158" t="s">
        <v>271</v>
      </c>
      <c r="H1158" t="s">
        <v>254</v>
      </c>
      <c r="I1158">
        <v>2022</v>
      </c>
      <c r="J1158">
        <v>0</v>
      </c>
      <c r="K1158" t="s">
        <v>2018</v>
      </c>
      <c r="M1158" t="str">
        <f>LEFT($D1158,FIND(",",$D1158)-1)&amp;"_"&amp;I1158&amp;L1158</f>
        <v>Nandimandalam_2022</v>
      </c>
      <c r="N1158" t="s">
        <v>222</v>
      </c>
      <c r="O1158" s="157" t="s">
        <v>274</v>
      </c>
      <c r="P1158" t="s">
        <v>960</v>
      </c>
      <c r="Q1158" t="s">
        <v>389</v>
      </c>
      <c r="R1158" s="262" t="s">
        <v>223</v>
      </c>
      <c r="S1158" s="1" t="s">
        <v>2019</v>
      </c>
      <c r="T1158" t="s">
        <v>2025</v>
      </c>
      <c r="U1158" t="s">
        <v>2026</v>
      </c>
      <c r="V1158">
        <v>0</v>
      </c>
      <c r="W1158">
        <v>0</v>
      </c>
      <c r="X1158">
        <v>0</v>
      </c>
      <c r="Y1158">
        <v>0</v>
      </c>
      <c r="Z1158">
        <v>0</v>
      </c>
      <c r="AA1158">
        <v>0</v>
      </c>
      <c r="AB1158">
        <v>0</v>
      </c>
      <c r="AC1158">
        <v>0</v>
      </c>
      <c r="AD1158">
        <v>1</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s="141">
        <f>COUNTIF(V1158:AW1158,"&lt;&gt;0")</f>
        <v>1</v>
      </c>
      <c r="AY1158" s="141">
        <f>COUNTIF(V1158:AL1158,"&lt;&gt;0")</f>
        <v>1</v>
      </c>
      <c r="AZ1158">
        <f>COUNTIF(V1158:AC1158,"&lt;&gt;0")</f>
        <v>0</v>
      </c>
      <c r="BA1158">
        <f>COUNTIF(AD1158:AI1158,"&lt;&gt;0")</f>
        <v>1</v>
      </c>
      <c r="BB1158">
        <f>COUNTIF(AJ1158:AL1158,"&lt;&gt;0")</f>
        <v>0</v>
      </c>
      <c r="BC1158">
        <f>COUNTIF(AS1158:AW1158,"&lt;&gt;0")</f>
        <v>0</v>
      </c>
      <c r="BD1158">
        <f>COUNTIF(AM1158:AR1158,"&lt;&gt;0")</f>
        <v>0</v>
      </c>
      <c r="BE1158" t="str">
        <f t="array" ref="BE1158">IF(AY1158=1,INDEX($V$7:$AL$7,MATCH(TRUE,INDEX($V1158:$AW1158&lt;&gt;0,),0)),IF(AY1158=0,INDEX($AM$7:$AW$7,MATCH(1,$AM1158:$AW1158,0)),IF(BF1158="Multiple strategies","mixed drivers",IF(BF1158="Supply chain","multiple supply","multiple silviculture"))))</f>
        <v>harvesting system</v>
      </c>
      <c r="BF1158" s="2" t="str" cm="1">
        <f t="array" ref="BF1158">IF(COUNTIF(AZ1158:BB1158,"&lt;&gt;0")=1,INDEX($V$4:$AW$4,MATCH(TRUE,INDEX($V1158:$AW1158&lt;&gt;0,),0)),IF(COUNTIF(AZ1158:BB1158,"&lt;&gt;0")=0,INDEX($AM$4:$AW$4,MATCH(1,$AM1158:$AW1158,0)),"Multiple strategies"))</f>
        <v>Supply chain</v>
      </c>
      <c r="BG1158" s="1" t="s">
        <v>321</v>
      </c>
      <c r="BH1158" t="s">
        <v>2022</v>
      </c>
      <c r="BI1158" s="264" t="s">
        <v>3184</v>
      </c>
      <c r="BJ1158" s="264" t="s">
        <v>3185</v>
      </c>
      <c r="BK1158">
        <v>18066.118399999999</v>
      </c>
      <c r="BL1158">
        <v>18066.118399999999</v>
      </c>
      <c r="BM1158">
        <v>1</v>
      </c>
      <c r="BN1158">
        <f>BL1158-BK1158</f>
        <v>0</v>
      </c>
      <c r="BO1158">
        <f>BN1158</f>
        <v>0</v>
      </c>
      <c r="BP1158" t="s">
        <v>395</v>
      </c>
      <c r="BQ1158" s="264" t="s">
        <v>3186</v>
      </c>
      <c r="BR1158" t="s">
        <v>2023</v>
      </c>
      <c r="BS1158">
        <f>0.0011452</f>
        <v>1.1452000000000001E-3</v>
      </c>
      <c r="BT1158" s="264">
        <f>0.0011461</f>
        <v>1.1460999999999999E-3</v>
      </c>
      <c r="BU1158" s="144">
        <v>1.0007858889276982</v>
      </c>
      <c r="BV1158">
        <f>BT1158-BS1158</f>
        <v>8.9999999999985925E-7</v>
      </c>
      <c r="BX1158">
        <f>BV1158*(11.3+35.4+2.7+4.3)*12*10^6</f>
        <v>579.95999999990943</v>
      </c>
      <c r="BY1158" t="str">
        <f>IFERROR(BX1158/BO1158,"")</f>
        <v/>
      </c>
      <c r="BZ1158">
        <v>0</v>
      </c>
      <c r="CA1158">
        <v>0</v>
      </c>
      <c r="CB1158">
        <v>0</v>
      </c>
      <c r="CC1158">
        <v>0</v>
      </c>
      <c r="CD1158">
        <v>0</v>
      </c>
      <c r="CE1158">
        <v>0</v>
      </c>
      <c r="CF1158">
        <v>0</v>
      </c>
      <c r="CG1158">
        <v>0</v>
      </c>
      <c r="CH1158">
        <v>0</v>
      </c>
      <c r="CI1158">
        <v>0</v>
      </c>
      <c r="CJ1158">
        <v>0</v>
      </c>
      <c r="CK1158">
        <v>0</v>
      </c>
      <c r="CL1158">
        <v>0</v>
      </c>
      <c r="CM1158">
        <v>0</v>
      </c>
      <c r="CN1158" t="str">
        <f>IF($BL1158&lt;$BK1158,"refNeedCorrection","refOK")</f>
        <v>refOK</v>
      </c>
      <c r="CO1158">
        <f>IF($CN1158="refOK",$BK1158,$BL1158)</f>
        <v>18066.118399999999</v>
      </c>
      <c r="CP1158">
        <f>IF($CN1158="refOK",$BL1158,$BK1158)</f>
        <v>18066.118399999999</v>
      </c>
      <c r="CQ1158">
        <f>IF($CN1158="refOK",$BO1158,-$BO1158)</f>
        <v>0</v>
      </c>
      <c r="CR1158">
        <f>IF($CN1158="refOK",$BS1158,$BT1158)*IF($BP1158="Emissions positive",-1,1)</f>
        <v>-1.1452000000000001E-3</v>
      </c>
      <c r="CS1158">
        <f>IF($CN1158="refOK",$BT1158,$BS1158)*IF($BP1158="Emissions positive",-1,1)</f>
        <v>-1.1460999999999999E-3</v>
      </c>
      <c r="CT1158">
        <f>IF($CN1158="refNeedCorrection",-BX1158,BX1158)*IF($BP1158="Emissions positive",-1,1)</f>
        <v>-579.95999999990943</v>
      </c>
      <c r="CU1158" t="str">
        <f>IFERROR(CT1158/CQ1158,"")</f>
        <v/>
      </c>
      <c r="CV1158" s="2">
        <f>IFERROR((CS1158-CR1158)/ABS(CR1158),"")</f>
        <v>-7.8588892769809564E-4</v>
      </c>
      <c r="CW1158" s="1" t="s">
        <v>1199</v>
      </c>
      <c r="CX1158" t="str">
        <f>IF(OR($CW1158="prd",$CW1158="std",$CW1158="cit"),"loc",IF(OR($CW1158="eur",$CW1158="reg",$CW1158="coy"),"reg",$CW1158))</f>
        <v>reg</v>
      </c>
      <c r="CY1158" t="s">
        <v>428</v>
      </c>
      <c r="CZ1158">
        <v>2010</v>
      </c>
      <c r="DA1158">
        <v>2018</v>
      </c>
      <c r="DB1158">
        <v>1</v>
      </c>
      <c r="DC1158" t="str">
        <f>IF(DB1158=0,"0",IF(AND(DB1158&gt;=1,DB1158&lt;=30),"1-30",IF(AND(DB1158&gt;30,DB1158&lt;=70),"31-70",IF(AND(DB1158&gt;70,DB1158&lt;=100),"71-100",IF(DB1158&gt;100,"+100")))))</f>
        <v>1-30</v>
      </c>
      <c r="DD1158">
        <v>0</v>
      </c>
      <c r="DE1158">
        <v>1</v>
      </c>
      <c r="DF1158">
        <v>0</v>
      </c>
      <c r="DG1158">
        <v>0</v>
      </c>
      <c r="DH1158">
        <v>0</v>
      </c>
      <c r="DI1158">
        <v>1</v>
      </c>
      <c r="DJ1158" t="str">
        <f>IF(DI1158=1,INDEX($DD$7:$DG$7,MATCH(1,$DD1158:$DG1158,0)),"mixedProduct")</f>
        <v>EnergyInput</v>
      </c>
      <c r="DK1158">
        <f>IF(DD1158=1,DK$7,0)</f>
        <v>0</v>
      </c>
      <c r="DL1158" t="str">
        <f>IF(DE1158=1,DL$7,0)</f>
        <v>Energy</v>
      </c>
      <c r="DM1158">
        <f>IF(DF1158=1,DM$7,0)</f>
        <v>0</v>
      </c>
      <c r="DN1158">
        <f>IF(DG1158=1,DN$7,0)</f>
        <v>0</v>
      </c>
      <c r="DO1158">
        <v>0</v>
      </c>
      <c r="DP1158">
        <v>0</v>
      </c>
      <c r="DQ1158">
        <v>0</v>
      </c>
      <c r="DR1158">
        <v>0</v>
      </c>
      <c r="DS1158">
        <v>0</v>
      </c>
      <c r="DT1158">
        <f>SUM(DO1158:DP1158)</f>
        <v>0</v>
      </c>
      <c r="DU1158" s="143" t="s">
        <v>962</v>
      </c>
      <c r="DV1158">
        <v>0</v>
      </c>
      <c r="DW1158">
        <v>1</v>
      </c>
      <c r="DX1158">
        <v>0</v>
      </c>
      <c r="DY1158">
        <v>0</v>
      </c>
      <c r="DZ1158">
        <v>0</v>
      </c>
      <c r="EA1158" s="143">
        <v>0</v>
      </c>
      <c r="EB1158">
        <v>1</v>
      </c>
      <c r="EC1158">
        <v>1</v>
      </c>
      <c r="ED1158">
        <v>0</v>
      </c>
      <c r="EE1158">
        <v>0</v>
      </c>
      <c r="EF1158">
        <v>0</v>
      </c>
      <c r="EG1158">
        <v>0</v>
      </c>
      <c r="EH1158">
        <v>0</v>
      </c>
      <c r="EI1158" s="2">
        <v>0</v>
      </c>
      <c r="EK1158" t="str">
        <f>IF(AND(AND(AND(OR($DX1158=1,$DW1158=1),OR($EC1158=1,$EA1158=1)),SUM($DV1158:$DZ1158,$EF1158)&gt;=4),SUM($EA1158:$EE1158)&gt;=2),"Whole sector","")</f>
        <v/>
      </c>
      <c r="EL1158" t="str">
        <f>IF(AND(AND(OR($DX1158=1,$DW1158=1),AND($EC1158=0,$EA1158=0)),SUM($DV1158:$DZ1158,$EF1158)&gt;=4),"Ecosystem approach","")</f>
        <v/>
      </c>
      <c r="EM1158" s="2" t="str">
        <f>IF(AND(AND(AND($DX1158=0,$DW1158=0),OR($EC1158=1,$EA1158=1)),SUM($EB1158:$EE1158)&gt;=2),"Technology approach","")</f>
        <v/>
      </c>
      <c r="EP1158" t="b">
        <f>IF(ISNUMBER(BU1158),IF(ABS(BU1158-[1]QC_indicators!$B$2)&gt;3*[1]QC_indicators!$C$2,"C ratio",IF(ISNUMBER(BY1158),IF(ABS(BY1158-[1]QC_indicators!$B$1)&gt;3*[1]QC_indicators!$C$1,"DF","no"))),IF(ISNUMBER(BY1158),IF(ABS(BY1158-[1]QC_indicators!$B$1)&gt;3*[1]QC_indicators!$C$1,"DF","no")))</f>
        <v>0</v>
      </c>
      <c r="ET1158" s="264" t="s">
        <v>3187</v>
      </c>
    </row>
    <row r="1159" spans="1:150" ht="15" customHeight="1">
      <c r="A1159" s="1" t="s">
        <v>247</v>
      </c>
      <c r="B1159" t="s">
        <v>1028</v>
      </c>
      <c r="C1159" t="s">
        <v>1029</v>
      </c>
      <c r="D1159" t="s">
        <v>1030</v>
      </c>
      <c r="E1159" t="s">
        <v>1031</v>
      </c>
      <c r="F1159" t="s">
        <v>1032</v>
      </c>
      <c r="G1159" t="s">
        <v>253</v>
      </c>
      <c r="H1159" t="s">
        <v>254</v>
      </c>
      <c r="I1159">
        <v>2021</v>
      </c>
      <c r="J1159">
        <v>0</v>
      </c>
      <c r="K1159" t="s">
        <v>1033</v>
      </c>
      <c r="M1159" t="str">
        <f>LEFT($D1159,FIND(",",$D1159)-1)&amp;"_"&amp;I1159&amp;L1159</f>
        <v>Piccardo_2021</v>
      </c>
      <c r="N1159" t="s">
        <v>222</v>
      </c>
      <c r="O1159" s="171" t="s">
        <v>513</v>
      </c>
      <c r="P1159" s="141" t="s">
        <v>225</v>
      </c>
      <c r="Q1159" t="s">
        <v>389</v>
      </c>
      <c r="R1159" s="262" t="s">
        <v>223</v>
      </c>
      <c r="S1159" s="1" t="s">
        <v>1034</v>
      </c>
      <c r="T1159" s="264" t="s">
        <v>3214</v>
      </c>
      <c r="U1159" s="264" t="s">
        <v>3215</v>
      </c>
      <c r="V1159">
        <v>0</v>
      </c>
      <c r="W1159">
        <v>0</v>
      </c>
      <c r="X1159">
        <v>0</v>
      </c>
      <c r="Y1159">
        <v>0</v>
      </c>
      <c r="Z1159">
        <v>0</v>
      </c>
      <c r="AA1159">
        <v>0</v>
      </c>
      <c r="AB1159">
        <v>0</v>
      </c>
      <c r="AC1159">
        <v>0</v>
      </c>
      <c r="AD1159">
        <v>0</v>
      </c>
      <c r="AE1159">
        <v>0</v>
      </c>
      <c r="AF1159">
        <v>0</v>
      </c>
      <c r="AG1159">
        <v>1</v>
      </c>
      <c r="AH1159">
        <v>0</v>
      </c>
      <c r="AI1159">
        <v>0</v>
      </c>
      <c r="AJ1159">
        <v>0</v>
      </c>
      <c r="AK1159">
        <v>0</v>
      </c>
      <c r="AL1159">
        <v>0</v>
      </c>
      <c r="AM1159">
        <v>0</v>
      </c>
      <c r="AN1159">
        <v>0</v>
      </c>
      <c r="AO1159">
        <v>0</v>
      </c>
      <c r="AP1159">
        <v>0</v>
      </c>
      <c r="AQ1159">
        <v>0</v>
      </c>
      <c r="AR1159">
        <v>0</v>
      </c>
      <c r="AS1159">
        <v>0</v>
      </c>
      <c r="AT1159">
        <v>0</v>
      </c>
      <c r="AU1159">
        <v>0</v>
      </c>
      <c r="AV1159">
        <v>0</v>
      </c>
      <c r="AW1159">
        <v>0</v>
      </c>
      <c r="AX1159" s="141">
        <f>COUNTIF(V1159:AW1159,"&lt;&gt;0")</f>
        <v>1</v>
      </c>
      <c r="AY1159" s="141">
        <f>COUNTIF(V1159:AL1159,"&lt;&gt;0")</f>
        <v>1</v>
      </c>
      <c r="AZ1159">
        <f>COUNTIF(V1159:AC1159,"&lt;&gt;0")</f>
        <v>0</v>
      </c>
      <c r="BA1159">
        <f>COUNTIF(AD1159:AI1159,"&lt;&gt;0")</f>
        <v>1</v>
      </c>
      <c r="BB1159">
        <f>COUNTIF(AJ1159:AL1159,"&lt;&gt;0")</f>
        <v>0</v>
      </c>
      <c r="BC1159">
        <f>COUNTIF(AS1159:AW1159,"&lt;&gt;0")</f>
        <v>0</v>
      </c>
      <c r="BD1159">
        <f>COUNTIF(AM1159:AR1159,"&lt;&gt;0")</f>
        <v>0</v>
      </c>
      <c r="BE1159" t="str">
        <f t="array" ref="BE1159">IF(AY1159=1,INDEX($V$7:$AL$7,MATCH(TRUE,INDEX($V1159:$AW1159&lt;&gt;0,),0)),IF(AY1159=0,INDEX($AM$7:$AW$7,MATCH(1,$AM1159:$AW1159,0)),IF(BF1159="Multiple strategies","mixed drivers",IF(BF1159="Supply chain","multiple supply","multiple silviculture"))))</f>
        <v>recycling</v>
      </c>
      <c r="BF1159" s="2" t="str" cm="1">
        <f t="array" ref="BF1159">IF(COUNTIF(AZ1159:BB1159,"&lt;&gt;0")=1,INDEX($V$4:$AW$4,MATCH(TRUE,INDEX($V1159:$AW1159&lt;&gt;0,),0)),IF(COUNTIF(AZ1159:BB1159,"&lt;&gt;0")=0,INDEX($AM$4:$AW$4,MATCH(1,$AM1159:$AW1159,0)),"Multiple strategies"))</f>
        <v>Supply chain</v>
      </c>
      <c r="BG1159" s="142" t="s">
        <v>229</v>
      </c>
      <c r="BH1159" t="s">
        <v>1035</v>
      </c>
      <c r="BI1159" t="s">
        <v>1036</v>
      </c>
      <c r="BJ1159" t="s">
        <v>1037</v>
      </c>
      <c r="BK1159">
        <f>35+3+20+8+8</f>
        <v>74</v>
      </c>
      <c r="BL1159">
        <f>35+3+20+8+8</f>
        <v>74</v>
      </c>
      <c r="BM1159">
        <f>IFERROR(BL1159/BK1159,"")</f>
        <v>1</v>
      </c>
      <c r="BN1159">
        <f>BL1159-BK1159</f>
        <v>0</v>
      </c>
      <c r="BO1159">
        <f>BN1159*t_to_m3</f>
        <v>0</v>
      </c>
      <c r="BP1159" s="264" t="s">
        <v>395</v>
      </c>
      <c r="BQ1159" t="s">
        <v>1038</v>
      </c>
      <c r="BR1159" t="s">
        <v>1039</v>
      </c>
      <c r="BS1159">
        <v>99</v>
      </c>
      <c r="BT1159">
        <v>267</v>
      </c>
      <c r="BU1159" s="144"/>
      <c r="BV1159">
        <f>(BT1159-BS1159)</f>
        <v>168</v>
      </c>
      <c r="BX1159">
        <f>BV1159</f>
        <v>168</v>
      </c>
      <c r="BY1159" t="str">
        <f>IFERROR(BX1159/BO1159,"")</f>
        <v/>
      </c>
      <c r="BZ1159">
        <v>0</v>
      </c>
      <c r="CA1159">
        <v>0</v>
      </c>
      <c r="CB1159">
        <v>0</v>
      </c>
      <c r="CC1159">
        <v>0</v>
      </c>
      <c r="CD1159">
        <v>0</v>
      </c>
      <c r="CE1159">
        <v>0</v>
      </c>
      <c r="CF1159">
        <v>0</v>
      </c>
      <c r="CG1159">
        <v>0</v>
      </c>
      <c r="CH1159">
        <v>0</v>
      </c>
      <c r="CI1159">
        <v>0</v>
      </c>
      <c r="CJ1159">
        <v>0</v>
      </c>
      <c r="CK1159">
        <v>0</v>
      </c>
      <c r="CL1159">
        <v>0</v>
      </c>
      <c r="CM1159">
        <v>0</v>
      </c>
      <c r="CN1159" t="str">
        <f>IF($BL1159&lt;$BK1159,"refNeedCorrection","refOK")</f>
        <v>refOK</v>
      </c>
      <c r="CO1159">
        <f>IF($CN1159="refOK",$BK1159,$BL1159)</f>
        <v>74</v>
      </c>
      <c r="CP1159">
        <f>IF($CN1159="refOK",$BL1159,$BK1159)</f>
        <v>74</v>
      </c>
      <c r="CQ1159">
        <f>IF($CN1159="refOK",$BO1159,-$BO1159)</f>
        <v>0</v>
      </c>
      <c r="CR1159">
        <f>IF($CN1159="refOK",$BS1159,$BT1159)*IF($BP1159="Emissions positive",-1,1)</f>
        <v>-99</v>
      </c>
      <c r="CS1159">
        <f>IF($CN1159="refOK",$BT1159,$BS1159)*IF($BP1159="Emissions positive",-1,1)</f>
        <v>-267</v>
      </c>
      <c r="CT1159">
        <f>IF($CN1159="refNeedCorrection",-BX1159,BX1159)*IF($BP1159="Emissions positive",-1,1)</f>
        <v>-168</v>
      </c>
      <c r="CU1159" t="str">
        <f>IFERROR(CT1159/CQ1159,"")</f>
        <v/>
      </c>
      <c r="CV1159" s="2">
        <f>IFERROR((CS1159-CR1159)/ABS(CR1159),"")</f>
        <v>-1.696969696969697</v>
      </c>
      <c r="CW1159" s="1" t="s">
        <v>263</v>
      </c>
      <c r="CX1159" t="str">
        <f>IF(OR($CW1159="prd",$CW1159="std",$CW1159="cit"),"loc",IF(OR($CW1159="eur",$CW1159="reg",$CW1159="coy"),"reg",$CW1159))</f>
        <v>loc</v>
      </c>
      <c r="CY1159" t="s">
        <v>743</v>
      </c>
      <c r="DB1159">
        <v>50</v>
      </c>
      <c r="DC1159" t="str">
        <f>IF(DB1159=0,"0",IF(AND(DB1159&gt;=1,DB1159&lt;=30),"1-30",IF(AND(DB1159&gt;30,DB1159&lt;=70),"31-70",IF(AND(DB1159&gt;70,DB1159&lt;=100),"71-100",IF(DB1159&gt;100,"+100")))))</f>
        <v>31-70</v>
      </c>
      <c r="DD1159">
        <v>0</v>
      </c>
      <c r="DE1159">
        <v>1</v>
      </c>
      <c r="DF1159">
        <v>0</v>
      </c>
      <c r="DG1159">
        <v>1</v>
      </c>
      <c r="DI1159">
        <f>SUM(DD1159:DG1159)</f>
        <v>2</v>
      </c>
      <c r="DJ1159" t="str">
        <f>IF(DI1159=1,INDEX($DD$7:$DG$7,MATCH(1,$DD1159:$DG1159,0)),"mixedProduct")</f>
        <v>mixedProduct</v>
      </c>
      <c r="DK1159">
        <f>IF(DD1159=1,DK$7,0)</f>
        <v>0</v>
      </c>
      <c r="DL1159" t="str">
        <f>IF(DE1159=1,DL$7,0)</f>
        <v>Energy</v>
      </c>
      <c r="DM1159">
        <f>IF(DF1159=1,DM$7,0)</f>
        <v>0</v>
      </c>
      <c r="DN1159" t="str">
        <f>IF(DG1159=1,DN$7,0)</f>
        <v>Timber</v>
      </c>
      <c r="DO1159">
        <v>1</v>
      </c>
      <c r="DP1159">
        <v>0</v>
      </c>
      <c r="DQ1159">
        <v>0</v>
      </c>
      <c r="DR1159">
        <v>0</v>
      </c>
      <c r="DS1159">
        <v>0</v>
      </c>
      <c r="DT1159">
        <f>SUM(DO1159:DP1159)</f>
        <v>1</v>
      </c>
      <c r="DU1159" s="143" t="str">
        <f>IF(DO1159=1,"self-calculated DF",IF(DP1159=1,"external DF used","explicit C balance"))</f>
        <v>self-calculated DF</v>
      </c>
      <c r="DV1159">
        <v>0</v>
      </c>
      <c r="DW1159">
        <v>0</v>
      </c>
      <c r="DX1159">
        <v>0</v>
      </c>
      <c r="DY1159">
        <v>1</v>
      </c>
      <c r="DZ1159">
        <v>1</v>
      </c>
      <c r="EA1159" s="143">
        <v>1</v>
      </c>
      <c r="EB1159">
        <v>0</v>
      </c>
      <c r="EC1159">
        <v>1</v>
      </c>
      <c r="ED1159">
        <v>1</v>
      </c>
      <c r="EE1159">
        <v>1</v>
      </c>
      <c r="EF1159">
        <v>0</v>
      </c>
      <c r="EG1159" s="143">
        <v>0</v>
      </c>
      <c r="EH1159" s="143">
        <v>0</v>
      </c>
      <c r="EI1159" s="2">
        <v>0</v>
      </c>
      <c r="EK1159" t="str">
        <f>IF(AND(AND(AND(OR($DX1159=1,$DW1159=1),OR($EC1159=1,$EA1159=1)),SUM($DV1159:$DZ1159,$EF1159)&gt;=4),SUM($EA1159:$EE1159)&gt;=2),"Whole sector","")</f>
        <v/>
      </c>
      <c r="EL1159" t="str">
        <f>IF(AND(AND(OR($DX1159=1,$DW1159=1),AND($EC1159=0,$EA1159=0)),SUM($DV1159:$DZ1159,$EF1159)&gt;=4),"Ecosystem approach","")</f>
        <v/>
      </c>
      <c r="EM1159" s="2" t="str">
        <f>IF(AND(AND(AND($DX1159=0,$DW1159=0),OR($EC1159=1,$EA1159=1)),SUM($EB1159:$EE1159)&gt;=2),"Technology approach","")</f>
        <v>Technology approach</v>
      </c>
      <c r="EP1159" t="b">
        <f>IF(ISNUMBER(BU1159),IF(ABS(BU1159-[1]QC_indicators!$B$2)&gt;3*[1]QC_indicators!$C$2,"C ratio",IF(ISNUMBER(BY1159),IF(ABS(BY1159-[1]QC_indicators!$B$1)&gt;3*[1]QC_indicators!$C$1,"DF","no"))),IF(ISNUMBER(BY1159),IF(ABS(BY1159-[1]QC_indicators!$B$1)&gt;3*[1]QC_indicators!$C$1,"DF","no")))</f>
        <v>0</v>
      </c>
      <c r="ET1159" s="264" t="s">
        <v>3216</v>
      </c>
    </row>
    <row r="1160" spans="1:150" ht="15" customHeight="1">
      <c r="A1160" s="1" t="s">
        <v>247</v>
      </c>
      <c r="B1160" t="s">
        <v>1028</v>
      </c>
      <c r="C1160" t="s">
        <v>1029</v>
      </c>
      <c r="D1160" t="s">
        <v>1030</v>
      </c>
      <c r="E1160" t="s">
        <v>1031</v>
      </c>
      <c r="F1160" t="s">
        <v>1032</v>
      </c>
      <c r="G1160" t="s">
        <v>253</v>
      </c>
      <c r="H1160" t="s">
        <v>254</v>
      </c>
      <c r="I1160">
        <v>2021</v>
      </c>
      <c r="J1160">
        <v>0</v>
      </c>
      <c r="K1160" t="s">
        <v>1033</v>
      </c>
      <c r="M1160" t="str">
        <f>LEFT($D1160,FIND(",",$D1160)-1)&amp;"_"&amp;I1160&amp;L1160</f>
        <v>Piccardo_2021</v>
      </c>
      <c r="N1160" t="s">
        <v>222</v>
      </c>
      <c r="O1160" s="171" t="s">
        <v>513</v>
      </c>
      <c r="P1160" s="141" t="s">
        <v>225</v>
      </c>
      <c r="Q1160" t="s">
        <v>389</v>
      </c>
      <c r="R1160" s="262" t="s">
        <v>223</v>
      </c>
      <c r="S1160" s="1" t="s">
        <v>1034</v>
      </c>
      <c r="T1160" s="264" t="s">
        <v>3217</v>
      </c>
      <c r="U1160" s="264" t="s">
        <v>3218</v>
      </c>
      <c r="V1160">
        <v>0</v>
      </c>
      <c r="W1160">
        <v>0</v>
      </c>
      <c r="X1160">
        <v>0</v>
      </c>
      <c r="Y1160">
        <v>0</v>
      </c>
      <c r="Z1160">
        <v>0</v>
      </c>
      <c r="AA1160">
        <v>0</v>
      </c>
      <c r="AB1160">
        <v>0</v>
      </c>
      <c r="AC1160">
        <v>0</v>
      </c>
      <c r="AD1160">
        <v>0</v>
      </c>
      <c r="AE1160">
        <v>0</v>
      </c>
      <c r="AF1160">
        <v>0</v>
      </c>
      <c r="AG1160">
        <v>1</v>
      </c>
      <c r="AH1160">
        <v>0</v>
      </c>
      <c r="AI1160">
        <v>0</v>
      </c>
      <c r="AJ1160">
        <v>0</v>
      </c>
      <c r="AK1160">
        <v>0</v>
      </c>
      <c r="AL1160">
        <v>0</v>
      </c>
      <c r="AM1160">
        <v>0</v>
      </c>
      <c r="AN1160">
        <v>0</v>
      </c>
      <c r="AO1160">
        <v>0</v>
      </c>
      <c r="AP1160">
        <v>0</v>
      </c>
      <c r="AQ1160">
        <v>0</v>
      </c>
      <c r="AR1160">
        <v>0</v>
      </c>
      <c r="AS1160">
        <v>0</v>
      </c>
      <c r="AT1160">
        <v>0</v>
      </c>
      <c r="AU1160">
        <v>0</v>
      </c>
      <c r="AV1160">
        <v>0</v>
      </c>
      <c r="AW1160">
        <v>0</v>
      </c>
      <c r="AX1160" s="141">
        <f>COUNTIF(V1160:AW1160,"&lt;&gt;0")</f>
        <v>1</v>
      </c>
      <c r="AY1160" s="141">
        <f>COUNTIF(V1160:AL1160,"&lt;&gt;0")</f>
        <v>1</v>
      </c>
      <c r="AZ1160">
        <f>COUNTIF(V1160:AC1160,"&lt;&gt;0")</f>
        <v>0</v>
      </c>
      <c r="BA1160">
        <f>COUNTIF(AD1160:AI1160,"&lt;&gt;0")</f>
        <v>1</v>
      </c>
      <c r="BB1160">
        <f>COUNTIF(AJ1160:AL1160,"&lt;&gt;0")</f>
        <v>0</v>
      </c>
      <c r="BC1160">
        <f>COUNTIF(AS1160:AW1160,"&lt;&gt;0")</f>
        <v>0</v>
      </c>
      <c r="BD1160">
        <f>COUNTIF(AM1160:AR1160,"&lt;&gt;0")</f>
        <v>0</v>
      </c>
      <c r="BE1160" t="str">
        <f t="array" ref="BE1160">IF(AY1160=1,INDEX($V$7:$AL$7,MATCH(TRUE,INDEX($V1160:$AW1160&lt;&gt;0,),0)),IF(AY1160=0,INDEX($AM$7:$AW$7,MATCH(1,$AM1160:$AW1160,0)),IF(BF1160="Multiple strategies","mixed drivers",IF(BF1160="Supply chain","multiple supply","multiple silviculture"))))</f>
        <v>recycling</v>
      </c>
      <c r="BF1160" s="2" t="str" cm="1">
        <f t="array" ref="BF1160">IF(COUNTIF(AZ1160:BB1160,"&lt;&gt;0")=1,INDEX($V$4:$AW$4,MATCH(TRUE,INDEX($V1160:$AW1160&lt;&gt;0,),0)),IF(COUNTIF(AZ1160:BB1160,"&lt;&gt;0")=0,INDEX($AM$4:$AW$4,MATCH(1,$AM1160:$AW1160,0)),"Multiple strategies"))</f>
        <v>Supply chain</v>
      </c>
      <c r="BG1160" s="142" t="s">
        <v>229</v>
      </c>
      <c r="BH1160" t="s">
        <v>1035</v>
      </c>
      <c r="BI1160" t="s">
        <v>1036</v>
      </c>
      <c r="BJ1160" t="s">
        <v>1037</v>
      </c>
      <c r="BK1160">
        <f>175+40+77+18+35+3+8+8</f>
        <v>364</v>
      </c>
      <c r="BL1160">
        <f>175+40+77+18+35+3+8+8</f>
        <v>364</v>
      </c>
      <c r="BM1160">
        <f>IFERROR(BL1160/BK1160,"")</f>
        <v>1</v>
      </c>
      <c r="BN1160">
        <f>BL1160-BK1160</f>
        <v>0</v>
      </c>
      <c r="BO1160">
        <f>BN1160*t_to_m3</f>
        <v>0</v>
      </c>
      <c r="BP1160" s="264" t="s">
        <v>395</v>
      </c>
      <c r="BQ1160" t="s">
        <v>1038</v>
      </c>
      <c r="BR1160" t="s">
        <v>1039</v>
      </c>
      <c r="BS1160">
        <v>-1415</v>
      </c>
      <c r="BT1160">
        <v>-370</v>
      </c>
      <c r="BU1160" s="144"/>
      <c r="BV1160">
        <f>(BT1160-BS1160)</f>
        <v>1045</v>
      </c>
      <c r="BX1160">
        <f>BV1160</f>
        <v>1045</v>
      </c>
      <c r="BY1160" t="str">
        <f>IFERROR(BX1160/BO1160,"")</f>
        <v/>
      </c>
      <c r="BZ1160">
        <v>0</v>
      </c>
      <c r="CA1160">
        <v>0</v>
      </c>
      <c r="CB1160">
        <v>0</v>
      </c>
      <c r="CC1160">
        <v>0</v>
      </c>
      <c r="CD1160">
        <v>0</v>
      </c>
      <c r="CE1160">
        <v>0</v>
      </c>
      <c r="CF1160">
        <v>0</v>
      </c>
      <c r="CG1160">
        <v>0</v>
      </c>
      <c r="CH1160">
        <v>0</v>
      </c>
      <c r="CI1160">
        <v>0</v>
      </c>
      <c r="CJ1160">
        <v>0</v>
      </c>
      <c r="CK1160">
        <v>0</v>
      </c>
      <c r="CL1160">
        <v>0</v>
      </c>
      <c r="CM1160">
        <v>0</v>
      </c>
      <c r="CN1160" t="str">
        <f>IF($BL1160&lt;$BK1160,"refNeedCorrection","refOK")</f>
        <v>refOK</v>
      </c>
      <c r="CO1160">
        <f>IF($CN1160="refOK",$BK1160,$BL1160)</f>
        <v>364</v>
      </c>
      <c r="CP1160">
        <f>IF($CN1160="refOK",$BL1160,$BK1160)</f>
        <v>364</v>
      </c>
      <c r="CQ1160">
        <f>IF($CN1160="refOK",$BO1160,-$BO1160)</f>
        <v>0</v>
      </c>
      <c r="CR1160">
        <f>IF($CN1160="refOK",$BS1160,$BT1160)*IF($BP1160="Emissions positive",-1,1)</f>
        <v>1415</v>
      </c>
      <c r="CS1160">
        <f>IF($CN1160="refOK",$BT1160,$BS1160)*IF($BP1160="Emissions positive",-1,1)</f>
        <v>370</v>
      </c>
      <c r="CT1160">
        <f>IF($CN1160="refNeedCorrection",-BX1160,BX1160)*IF($BP1160="Emissions positive",-1,1)</f>
        <v>-1045</v>
      </c>
      <c r="CU1160" t="str">
        <f>IFERROR(CT1160/CQ1160,"")</f>
        <v/>
      </c>
      <c r="CV1160" s="2">
        <f>IFERROR((CS1160-CR1160)/ABS(CR1160),"")</f>
        <v>-0.7385159010600707</v>
      </c>
      <c r="CW1160" s="1" t="s">
        <v>263</v>
      </c>
      <c r="CX1160" t="str">
        <f>IF(OR($CW1160="prd",$CW1160="std",$CW1160="cit"),"loc",IF(OR($CW1160="eur",$CW1160="reg",$CW1160="coy"),"reg",$CW1160))</f>
        <v>loc</v>
      </c>
      <c r="CY1160" t="s">
        <v>743</v>
      </c>
      <c r="DB1160">
        <v>50</v>
      </c>
      <c r="DC1160" t="str">
        <f>IF(DB1160=0,"0",IF(AND(DB1160&gt;=1,DB1160&lt;=30),"1-30",IF(AND(DB1160&gt;30,DB1160&lt;=70),"31-70",IF(AND(DB1160&gt;70,DB1160&lt;=100),"71-100",IF(DB1160&gt;100,"+100")))))</f>
        <v>31-70</v>
      </c>
      <c r="DD1160">
        <v>0</v>
      </c>
      <c r="DE1160">
        <v>1</v>
      </c>
      <c r="DF1160">
        <v>0</v>
      </c>
      <c r="DG1160">
        <v>1</v>
      </c>
      <c r="DI1160">
        <f>SUM(DD1160:DG1160)</f>
        <v>2</v>
      </c>
      <c r="DJ1160" t="str">
        <f>IF(DI1160=1,INDEX($DD$7:$DG$7,MATCH(1,$DD1160:$DG1160,0)),"mixedProduct")</f>
        <v>mixedProduct</v>
      </c>
      <c r="DK1160">
        <f>IF(DD1160=1,DK$7,0)</f>
        <v>0</v>
      </c>
      <c r="DL1160" t="str">
        <f>IF(DE1160=1,DL$7,0)</f>
        <v>Energy</v>
      </c>
      <c r="DM1160">
        <f>IF(DF1160=1,DM$7,0)</f>
        <v>0</v>
      </c>
      <c r="DN1160" t="str">
        <f>IF(DG1160=1,DN$7,0)</f>
        <v>Timber</v>
      </c>
      <c r="DO1160">
        <v>1</v>
      </c>
      <c r="DP1160">
        <v>0</v>
      </c>
      <c r="DQ1160">
        <v>0</v>
      </c>
      <c r="DR1160">
        <v>0</v>
      </c>
      <c r="DS1160">
        <v>0</v>
      </c>
      <c r="DT1160">
        <f>SUM(DO1160:DP1160)</f>
        <v>1</v>
      </c>
      <c r="DU1160" s="143" t="str">
        <f>IF(DO1160=1,"self-calculated DF",IF(DP1160=1,"external DF used","explicit C balance"))</f>
        <v>self-calculated DF</v>
      </c>
      <c r="DV1160">
        <v>0</v>
      </c>
      <c r="DW1160">
        <v>0</v>
      </c>
      <c r="DX1160">
        <v>0</v>
      </c>
      <c r="DY1160">
        <v>1</v>
      </c>
      <c r="DZ1160">
        <v>1</v>
      </c>
      <c r="EA1160" s="143">
        <v>1</v>
      </c>
      <c r="EB1160">
        <v>0</v>
      </c>
      <c r="EC1160">
        <v>1</v>
      </c>
      <c r="ED1160">
        <v>1</v>
      </c>
      <c r="EE1160">
        <v>1</v>
      </c>
      <c r="EF1160">
        <v>0</v>
      </c>
      <c r="EG1160" s="143">
        <v>0</v>
      </c>
      <c r="EH1160" s="143">
        <v>0</v>
      </c>
      <c r="EI1160" s="2">
        <v>0</v>
      </c>
      <c r="EK1160" t="str">
        <f>IF(AND(AND(AND(OR($DX1160=1,$DW1160=1),OR($EC1160=1,$EA1160=1)),SUM($DV1160:$DZ1160,$EF1160)&gt;=4),SUM($EA1160:$EE1160)&gt;=2),"Whole sector","")</f>
        <v/>
      </c>
      <c r="EL1160" t="str">
        <f>IF(AND(AND(OR($DX1160=1,$DW1160=1),AND($EC1160=0,$EA1160=0)),SUM($DV1160:$DZ1160,$EF1160)&gt;=4),"Ecosystem approach","")</f>
        <v/>
      </c>
      <c r="EM1160" s="2" t="str">
        <f>IF(AND(AND(AND($DX1160=0,$DW1160=0),OR($EC1160=1,$EA1160=1)),SUM($EB1160:$EE1160)&gt;=2),"Technology approach","")</f>
        <v>Technology approach</v>
      </c>
      <c r="EP1160" t="b">
        <f>IF(ISNUMBER(BU1160),IF(ABS(BU1160-[1]QC_indicators!$B$2)&gt;3*[1]QC_indicators!$C$2,"C ratio",IF(ISNUMBER(BY1160),IF(ABS(BY1160-[1]QC_indicators!$B$1)&gt;3*[1]QC_indicators!$C$1,"DF","no"))),IF(ISNUMBER(BY1160),IF(ABS(BY1160-[1]QC_indicators!$B$1)&gt;3*[1]QC_indicators!$C$1,"DF","no")))</f>
        <v>0</v>
      </c>
      <c r="ET1160" s="264" t="s">
        <v>3216</v>
      </c>
    </row>
    <row r="1161" spans="1:150" ht="15" customHeight="1">
      <c r="A1161" s="1" t="s">
        <v>247</v>
      </c>
      <c r="B1161" t="s">
        <v>1028</v>
      </c>
      <c r="C1161" t="s">
        <v>1029</v>
      </c>
      <c r="D1161" t="s">
        <v>1030</v>
      </c>
      <c r="E1161" t="s">
        <v>1031</v>
      </c>
      <c r="F1161" t="s">
        <v>1032</v>
      </c>
      <c r="G1161" t="s">
        <v>253</v>
      </c>
      <c r="H1161" t="s">
        <v>254</v>
      </c>
      <c r="I1161">
        <v>2021</v>
      </c>
      <c r="J1161">
        <v>0</v>
      </c>
      <c r="K1161" t="s">
        <v>1033</v>
      </c>
      <c r="M1161" t="str">
        <f>LEFT($D1161,FIND(",",$D1161)-1)&amp;"_"&amp;I1161&amp;L1161</f>
        <v>Piccardo_2021</v>
      </c>
      <c r="N1161" t="s">
        <v>222</v>
      </c>
      <c r="O1161" s="171" t="s">
        <v>513</v>
      </c>
      <c r="P1161" s="141" t="s">
        <v>225</v>
      </c>
      <c r="Q1161" t="s">
        <v>389</v>
      </c>
      <c r="R1161" s="262" t="s">
        <v>223</v>
      </c>
      <c r="S1161" s="1" t="s">
        <v>1034</v>
      </c>
      <c r="T1161" s="264" t="s">
        <v>3219</v>
      </c>
      <c r="U1161" t="s">
        <v>1040</v>
      </c>
      <c r="V1161">
        <v>0</v>
      </c>
      <c r="W1161">
        <v>0</v>
      </c>
      <c r="X1161">
        <v>0</v>
      </c>
      <c r="Y1161">
        <v>0</v>
      </c>
      <c r="Z1161">
        <v>0</v>
      </c>
      <c r="AA1161">
        <v>0</v>
      </c>
      <c r="AB1161">
        <v>0</v>
      </c>
      <c r="AC1161">
        <v>0</v>
      </c>
      <c r="AD1161">
        <v>0</v>
      </c>
      <c r="AE1161">
        <v>0</v>
      </c>
      <c r="AF1161">
        <v>0</v>
      </c>
      <c r="AG1161">
        <v>1</v>
      </c>
      <c r="AH1161">
        <v>0</v>
      </c>
      <c r="AI1161">
        <v>0</v>
      </c>
      <c r="AJ1161">
        <v>0</v>
      </c>
      <c r="AK1161">
        <v>0</v>
      </c>
      <c r="AL1161">
        <v>0</v>
      </c>
      <c r="AM1161">
        <v>0</v>
      </c>
      <c r="AN1161">
        <v>0</v>
      </c>
      <c r="AO1161">
        <v>0</v>
      </c>
      <c r="AP1161">
        <v>0</v>
      </c>
      <c r="AQ1161">
        <v>0</v>
      </c>
      <c r="AR1161">
        <v>0</v>
      </c>
      <c r="AS1161">
        <v>0</v>
      </c>
      <c r="AT1161">
        <v>0</v>
      </c>
      <c r="AU1161">
        <v>0</v>
      </c>
      <c r="AV1161">
        <v>0</v>
      </c>
      <c r="AW1161">
        <v>0</v>
      </c>
      <c r="AX1161" s="141">
        <f>COUNTIF(V1161:AW1161,"&lt;&gt;0")</f>
        <v>1</v>
      </c>
      <c r="AY1161" s="141">
        <f>COUNTIF(V1161:AL1161,"&lt;&gt;0")</f>
        <v>1</v>
      </c>
      <c r="AZ1161">
        <f>COUNTIF(V1161:AC1161,"&lt;&gt;0")</f>
        <v>0</v>
      </c>
      <c r="BA1161">
        <f>COUNTIF(AD1161:AI1161,"&lt;&gt;0")</f>
        <v>1</v>
      </c>
      <c r="BB1161">
        <f>COUNTIF(AJ1161:AL1161,"&lt;&gt;0")</f>
        <v>0</v>
      </c>
      <c r="BC1161">
        <f>COUNTIF(AS1161:AW1161,"&lt;&gt;0")</f>
        <v>0</v>
      </c>
      <c r="BD1161">
        <f>COUNTIF(AM1161:AR1161,"&lt;&gt;0")</f>
        <v>0</v>
      </c>
      <c r="BE1161" t="str">
        <f t="array" ref="BE1161">IF(AY1161=1,INDEX($V$7:$AL$7,MATCH(TRUE,INDEX($V1161:$AW1161&lt;&gt;0,),0)),IF(AY1161=0,INDEX($AM$7:$AW$7,MATCH(1,$AM1161:$AW1161,0)),IF(BF1161="Multiple strategies","mixed drivers",IF(BF1161="Supply chain","multiple supply","multiple silviculture"))))</f>
        <v>recycling</v>
      </c>
      <c r="BF1161" s="2" t="str" cm="1">
        <f t="array" ref="BF1161">IF(COUNTIF(AZ1161:BB1161,"&lt;&gt;0")=1,INDEX($V$4:$AW$4,MATCH(TRUE,INDEX($V1161:$AW1161&lt;&gt;0,),0)),IF(COUNTIF(AZ1161:BB1161,"&lt;&gt;0")=0,INDEX($AM$4:$AW$4,MATCH(1,$AM1161:$AW1161,0)),"Multiple strategies"))</f>
        <v>Supply chain</v>
      </c>
      <c r="BG1161" s="142" t="s">
        <v>229</v>
      </c>
      <c r="BH1161" t="s">
        <v>1035</v>
      </c>
      <c r="BI1161" t="s">
        <v>1036</v>
      </c>
      <c r="BJ1161" t="s">
        <v>1037</v>
      </c>
      <c r="BK1161">
        <f>8+103+26+23+35+3+8+8</f>
        <v>214</v>
      </c>
      <c r="BL1161">
        <f>8+103+26+23+35+3+8+8</f>
        <v>214</v>
      </c>
      <c r="BM1161">
        <f>IFERROR(BL1161/BK1161,"")</f>
        <v>1</v>
      </c>
      <c r="BN1161">
        <f>BL1161-BK1161</f>
        <v>0</v>
      </c>
      <c r="BO1161">
        <f>BN1161*t_to_m3</f>
        <v>0</v>
      </c>
      <c r="BP1161" s="264" t="s">
        <v>395</v>
      </c>
      <c r="BQ1161" t="s">
        <v>1038</v>
      </c>
      <c r="BR1161" t="s">
        <v>1039</v>
      </c>
      <c r="BS1161">
        <v>-747</v>
      </c>
      <c r="BT1161">
        <v>-161</v>
      </c>
      <c r="BU1161" s="144"/>
      <c r="BV1161">
        <f>(BT1161-BS1161)</f>
        <v>586</v>
      </c>
      <c r="BX1161">
        <f>BV1161</f>
        <v>586</v>
      </c>
      <c r="BY1161" t="str">
        <f>IFERROR(BX1161/BO1161,"")</f>
        <v/>
      </c>
      <c r="BZ1161">
        <v>0</v>
      </c>
      <c r="CA1161">
        <v>0</v>
      </c>
      <c r="CB1161">
        <v>0</v>
      </c>
      <c r="CC1161">
        <v>0</v>
      </c>
      <c r="CD1161">
        <v>0</v>
      </c>
      <c r="CE1161">
        <v>0</v>
      </c>
      <c r="CF1161">
        <v>0</v>
      </c>
      <c r="CG1161">
        <v>0</v>
      </c>
      <c r="CH1161">
        <v>0</v>
      </c>
      <c r="CI1161">
        <v>0</v>
      </c>
      <c r="CJ1161">
        <v>0</v>
      </c>
      <c r="CK1161">
        <v>0</v>
      </c>
      <c r="CL1161">
        <v>0</v>
      </c>
      <c r="CM1161">
        <v>0</v>
      </c>
      <c r="CN1161" t="str">
        <f>IF($BL1161&lt;$BK1161,"refNeedCorrection","refOK")</f>
        <v>refOK</v>
      </c>
      <c r="CO1161">
        <f>IF($CN1161="refOK",$BK1161,$BL1161)</f>
        <v>214</v>
      </c>
      <c r="CP1161">
        <f>IF($CN1161="refOK",$BL1161,$BK1161)</f>
        <v>214</v>
      </c>
      <c r="CQ1161">
        <f>IF($CN1161="refOK",$BO1161,-$BO1161)</f>
        <v>0</v>
      </c>
      <c r="CR1161">
        <f>IF($CN1161="refOK",$BS1161,$BT1161)*IF($BP1161="Emissions positive",-1,1)</f>
        <v>747</v>
      </c>
      <c r="CS1161">
        <f>IF($CN1161="refOK",$BT1161,$BS1161)*IF($BP1161="Emissions positive",-1,1)</f>
        <v>161</v>
      </c>
      <c r="CT1161">
        <f>IF($CN1161="refNeedCorrection",-BX1161,BX1161)*IF($BP1161="Emissions positive",-1,1)</f>
        <v>-586</v>
      </c>
      <c r="CU1161" t="str">
        <f>IFERROR(CT1161/CQ1161,"")</f>
        <v/>
      </c>
      <c r="CV1161" s="2">
        <f>IFERROR((CS1161-CR1161)/ABS(CR1161),"")</f>
        <v>-0.78447121820615795</v>
      </c>
      <c r="CW1161" s="1" t="s">
        <v>263</v>
      </c>
      <c r="CX1161" t="str">
        <f>IF(OR($CW1161="prd",$CW1161="std",$CW1161="cit"),"loc",IF(OR($CW1161="eur",$CW1161="reg",$CW1161="coy"),"reg",$CW1161))</f>
        <v>loc</v>
      </c>
      <c r="CY1161" t="s">
        <v>743</v>
      </c>
      <c r="DB1161">
        <v>50</v>
      </c>
      <c r="DC1161" t="str">
        <f>IF(DB1161=0,"0",IF(AND(DB1161&gt;=1,DB1161&lt;=30),"1-30",IF(AND(DB1161&gt;30,DB1161&lt;=70),"31-70",IF(AND(DB1161&gt;70,DB1161&lt;=100),"71-100",IF(DB1161&gt;100,"+100")))))</f>
        <v>31-70</v>
      </c>
      <c r="DD1161">
        <v>0</v>
      </c>
      <c r="DE1161">
        <v>1</v>
      </c>
      <c r="DF1161">
        <v>0</v>
      </c>
      <c r="DG1161">
        <v>1</v>
      </c>
      <c r="DI1161">
        <f>SUM(DD1161:DG1161)</f>
        <v>2</v>
      </c>
      <c r="DJ1161" t="str">
        <f>IF(DI1161=1,INDEX($DD$7:$DG$7,MATCH(1,$DD1161:$DG1161,0)),"mixedProduct")</f>
        <v>mixedProduct</v>
      </c>
      <c r="DK1161">
        <f>IF(DD1161=1,DK$7,0)</f>
        <v>0</v>
      </c>
      <c r="DL1161" t="str">
        <f>IF(DE1161=1,DL$7,0)</f>
        <v>Energy</v>
      </c>
      <c r="DM1161">
        <f>IF(DF1161=1,DM$7,0)</f>
        <v>0</v>
      </c>
      <c r="DN1161" t="str">
        <f>IF(DG1161=1,DN$7,0)</f>
        <v>Timber</v>
      </c>
      <c r="DO1161">
        <v>1</v>
      </c>
      <c r="DP1161">
        <v>0</v>
      </c>
      <c r="DQ1161">
        <v>0</v>
      </c>
      <c r="DR1161">
        <v>0</v>
      </c>
      <c r="DS1161">
        <v>0</v>
      </c>
      <c r="DT1161">
        <f>SUM(DO1161:DP1161)</f>
        <v>1</v>
      </c>
      <c r="DU1161" s="143" t="str">
        <f>IF(DO1161=1,"self-calculated DF",IF(DP1161=1,"external DF used","explicit C balance"))</f>
        <v>self-calculated DF</v>
      </c>
      <c r="DV1161">
        <v>0</v>
      </c>
      <c r="DW1161">
        <v>0</v>
      </c>
      <c r="DX1161">
        <v>0</v>
      </c>
      <c r="DY1161">
        <v>1</v>
      </c>
      <c r="DZ1161">
        <v>1</v>
      </c>
      <c r="EA1161" s="143">
        <v>1</v>
      </c>
      <c r="EB1161">
        <v>0</v>
      </c>
      <c r="EC1161">
        <v>1</v>
      </c>
      <c r="ED1161">
        <v>1</v>
      </c>
      <c r="EE1161">
        <v>1</v>
      </c>
      <c r="EF1161">
        <v>0</v>
      </c>
      <c r="EG1161" s="143">
        <v>0</v>
      </c>
      <c r="EH1161" s="143">
        <v>0</v>
      </c>
      <c r="EI1161" s="2">
        <v>0</v>
      </c>
      <c r="EK1161" t="str">
        <f>IF(AND(AND(AND(OR($DX1161=1,$DW1161=1),OR($EC1161=1,$EA1161=1)),SUM($DV1161:$DZ1161,$EF1161)&gt;=4),SUM($EA1161:$EE1161)&gt;=2),"Whole sector","")</f>
        <v/>
      </c>
      <c r="EL1161" t="str">
        <f>IF(AND(AND(OR($DX1161=1,$DW1161=1),AND($EC1161=0,$EA1161=0)),SUM($DV1161:$DZ1161,$EF1161)&gt;=4),"Ecosystem approach","")</f>
        <v/>
      </c>
      <c r="EM1161" s="2" t="str">
        <f>IF(AND(AND(AND($DX1161=0,$DW1161=0),OR($EC1161=1,$EA1161=1)),SUM($EB1161:$EE1161)&gt;=2),"Technology approach","")</f>
        <v>Technology approach</v>
      </c>
      <c r="EP1161" t="b">
        <f>IF(ISNUMBER(BU1161),IF(ABS(BU1161-[1]QC_indicators!$B$2)&gt;3*[1]QC_indicators!$C$2,"C ratio",IF(ISNUMBER(BY1161),IF(ABS(BY1161-[1]QC_indicators!$B$1)&gt;3*[1]QC_indicators!$C$1,"DF","no"))),IF(ISNUMBER(BY1161),IF(ABS(BY1161-[1]QC_indicators!$B$1)&gt;3*[1]QC_indicators!$C$1,"DF","no")))</f>
        <v>0</v>
      </c>
      <c r="ET1161" s="264" t="s">
        <v>3216</v>
      </c>
    </row>
    <row r="1162" spans="1:150" ht="15" customHeight="1">
      <c r="A1162" s="1" t="s">
        <v>1360</v>
      </c>
      <c r="B1162" t="s">
        <v>2135</v>
      </c>
      <c r="C1162" t="s">
        <v>2136</v>
      </c>
      <c r="D1162" t="s">
        <v>2137</v>
      </c>
      <c r="E1162" t="s">
        <v>2138</v>
      </c>
      <c r="F1162" t="s">
        <v>2139</v>
      </c>
      <c r="G1162" t="s">
        <v>1366</v>
      </c>
      <c r="H1162" t="s">
        <v>254</v>
      </c>
      <c r="I1162">
        <v>2012</v>
      </c>
      <c r="J1162">
        <v>21</v>
      </c>
      <c r="K1162" t="s">
        <v>2140</v>
      </c>
      <c r="L1162" s="192"/>
      <c r="M1162" t="str">
        <f>LEFT($D1162,FIND(",",$D1162)-1)&amp;"_"&amp;I1162&amp;L1162</f>
        <v>Pyorala_2012</v>
      </c>
      <c r="N1162" t="s">
        <v>222</v>
      </c>
      <c r="O1162" s="145" t="s">
        <v>341</v>
      </c>
      <c r="Q1162" s="264" t="s">
        <v>256</v>
      </c>
      <c r="R1162" s="269" t="s">
        <v>1154</v>
      </c>
      <c r="S1162" s="1" t="s">
        <v>2167</v>
      </c>
      <c r="T1162" t="s">
        <v>798</v>
      </c>
      <c r="U1162" t="s">
        <v>2168</v>
      </c>
      <c r="V1162">
        <v>0</v>
      </c>
      <c r="W1162">
        <v>0</v>
      </c>
      <c r="X1162">
        <v>0</v>
      </c>
      <c r="Y1162">
        <v>0</v>
      </c>
      <c r="Z1162">
        <v>0</v>
      </c>
      <c r="AA1162">
        <v>0</v>
      </c>
      <c r="AB1162">
        <v>0</v>
      </c>
      <c r="AC1162">
        <v>0</v>
      </c>
      <c r="AD1162">
        <v>0</v>
      </c>
      <c r="AE1162">
        <v>0</v>
      </c>
      <c r="AF1162">
        <v>0</v>
      </c>
      <c r="AG1162">
        <v>0</v>
      </c>
      <c r="AH1162">
        <v>0</v>
      </c>
      <c r="AI1162">
        <v>0</v>
      </c>
      <c r="AJ1162">
        <v>0</v>
      </c>
      <c r="AK1162">
        <v>1</v>
      </c>
      <c r="AL1162">
        <v>0</v>
      </c>
      <c r="AM1162">
        <v>0</v>
      </c>
      <c r="AN1162">
        <v>0</v>
      </c>
      <c r="AO1162">
        <v>0</v>
      </c>
      <c r="AP1162">
        <v>0</v>
      </c>
      <c r="AQ1162">
        <v>0</v>
      </c>
      <c r="AR1162">
        <v>0</v>
      </c>
      <c r="AS1162">
        <v>0</v>
      </c>
      <c r="AT1162">
        <v>0</v>
      </c>
      <c r="AU1162">
        <v>0</v>
      </c>
      <c r="AV1162">
        <v>0</v>
      </c>
      <c r="AW1162">
        <v>0</v>
      </c>
      <c r="AX1162" s="141">
        <f>COUNTIF(V1162:AW1162,"&lt;&gt;0")</f>
        <v>1</v>
      </c>
      <c r="AY1162" s="141">
        <f>COUNTIF(V1162:AL1162,"&lt;&gt;0")</f>
        <v>1</v>
      </c>
      <c r="AZ1162">
        <f>COUNTIF(V1162:AC1162,"&lt;&gt;0")</f>
        <v>0</v>
      </c>
      <c r="BA1162">
        <f>COUNTIF(AD1162:AI1162,"&lt;&gt;0")</f>
        <v>0</v>
      </c>
      <c r="BB1162">
        <f>COUNTIF(AJ1162:AL1162,"&lt;&gt;0")</f>
        <v>1</v>
      </c>
      <c r="BC1162">
        <f>COUNTIF(AS1162:AW1162,"&lt;&gt;0")</f>
        <v>0</v>
      </c>
      <c r="BD1162">
        <f>COUNTIF(AM1162:AR1162,"&lt;&gt;0")</f>
        <v>0</v>
      </c>
      <c r="BE1162" t="str" cm="1">
        <f t="array" ref="BE1162">IF(AY1162=1,INDEX($V$7:$AL$7,MATCH(TRUE,INDEX($V1162:$AW1162&lt;&gt;0,),0)),IF(AY1162=0,INDEX($AM$7:$AW$7,MATCH(1,$AM1162:$AW1162,0)),IF(BF1162="Multiple strategies","mixed drivers",IF(BF1162="Supply chain","multiple supply","multiple silviculture"))))</f>
        <v>technologies/design switch</v>
      </c>
      <c r="BF1162" s="2" t="str" cm="1">
        <f t="array" ref="BF1162">IF(COUNTIF(AZ1162:BB1162,"&lt;&gt;0")=1,INDEX($V$4:$AW$4,MATCH(TRUE,INDEX($V1162:$AW1162&lt;&gt;0,),0)),IF(COUNTIF(AZ1162:BB1162,"&lt;&gt;0")=0,INDEX($AM$4:$AW$4,MATCH(1,$AM1162:$AW1162,0)),"Multiple strategies"))</f>
        <v>Technology</v>
      </c>
      <c r="BH1162" t="s">
        <v>2169</v>
      </c>
      <c r="BN1162" s="143"/>
      <c r="BP1162" s="264" t="s">
        <v>232</v>
      </c>
      <c r="BQ1162" s="264"/>
      <c r="BR1162" t="s">
        <v>2170</v>
      </c>
      <c r="BS1162">
        <v>-157</v>
      </c>
      <c r="BT1162">
        <v>-49</v>
      </c>
      <c r="BU1162" s="144">
        <v>0.14369501466275661</v>
      </c>
      <c r="BV1162">
        <v>292</v>
      </c>
      <c r="BX1162">
        <f>BV1162/1000</f>
        <v>0.29199999999999998</v>
      </c>
      <c r="BY1162" t="str">
        <f>IFERROR(BX1162/BO1162,"")</f>
        <v/>
      </c>
      <c r="BZ1162">
        <v>0</v>
      </c>
      <c r="CA1162">
        <v>0</v>
      </c>
      <c r="CB1162">
        <v>0</v>
      </c>
      <c r="CC1162">
        <v>0</v>
      </c>
      <c r="CD1162">
        <v>0</v>
      </c>
      <c r="CE1162">
        <v>0</v>
      </c>
      <c r="CF1162">
        <v>0</v>
      </c>
      <c r="CG1162">
        <v>0</v>
      </c>
      <c r="CH1162">
        <v>0</v>
      </c>
      <c r="CI1162">
        <v>0</v>
      </c>
      <c r="CJ1162">
        <v>0</v>
      </c>
      <c r="CK1162">
        <v>0</v>
      </c>
      <c r="CL1162">
        <v>0</v>
      </c>
      <c r="CM1162">
        <v>0</v>
      </c>
      <c r="CN1162" t="str">
        <f>IF(BL1162&lt;BK1162,"refNeedCorrection","refOK")</f>
        <v>refOK</v>
      </c>
      <c r="CO1162"/>
      <c r="CP1162"/>
      <c r="CQ1162"/>
      <c r="CR1162">
        <f>IF($CN1162="refOK",$BS1162,$BT1162)*IF($BP1162="Emissions positive",-1,1)</f>
        <v>-157</v>
      </c>
      <c r="CS1162">
        <f>IF($CN1162="refOK",$BT1162,$BS1162)*IF($BP1162="Emissions positive",-1,1)</f>
        <v>-49</v>
      </c>
      <c r="CT1162">
        <f>IF($CN1162="refNeedCorrection",-BX1162,BX1162)*IF($BP1162="Emissions positive",-1,1)</f>
        <v>0.29199999999999998</v>
      </c>
      <c r="CU1162" t="str">
        <f>IFERROR(CT1162/CQ1162,"")</f>
        <v/>
      </c>
      <c r="CV1162" s="2">
        <f>IFERROR((CS1162-CR1162)/ABS(CR1162),"")</f>
        <v>0.68789808917197448</v>
      </c>
      <c r="CW1162" s="1" t="s">
        <v>1199</v>
      </c>
      <c r="CX1162" s="264" t="str">
        <f>IF(OR($CW1162="prd",$CW1162="std",$CW1162="cit"),"loc",IF(OR($CW1162="eur",$CW1162="reg",$CW1162="coy"),"reg",$CW1162))</f>
        <v>reg</v>
      </c>
      <c r="CY1162" t="s">
        <v>235</v>
      </c>
      <c r="DB1162">
        <v>80</v>
      </c>
      <c r="DC1162" t="str">
        <f>IF(DB1162=0,"0",IF(AND(DB1162&gt;=1,DB1162&lt;=30),"1-30",IF(AND(DB1162&gt;30,DB1162&lt;=70),"31-70",IF(AND(DB1162&gt;70,DB1162&lt;=100),"71-100",IF(DB1162&gt;100,"+100")))))</f>
        <v>71-100</v>
      </c>
      <c r="DD1162">
        <v>0</v>
      </c>
      <c r="DE1162">
        <v>1</v>
      </c>
      <c r="DF1162">
        <v>0</v>
      </c>
      <c r="DG1162">
        <v>0</v>
      </c>
      <c r="DI1162">
        <f>SUM(DD1162:DG1162)</f>
        <v>1</v>
      </c>
      <c r="DJ1162" t="str">
        <f>IF(DI1162=1,INDEX($DD$7:$DG$7,MATCH(1,$DD1162:$DG1162,0)),"mixedProduct")</f>
        <v>EnergyInput</v>
      </c>
      <c r="DK1162">
        <f>IF(DD1162=1,DK$7,0)</f>
        <v>0</v>
      </c>
      <c r="DL1162" t="str">
        <f>IF(DE1162=1,DL$7,0)</f>
        <v>Energy</v>
      </c>
      <c r="DM1162">
        <f>IF(DF1162=1,DM$7,0)</f>
        <v>0</v>
      </c>
      <c r="DN1162">
        <f>IF(DG1162=1,DN$7,0)</f>
        <v>0</v>
      </c>
      <c r="DO1162">
        <v>0</v>
      </c>
      <c r="DP1162">
        <v>1</v>
      </c>
      <c r="DQ1162" t="s">
        <v>2146</v>
      </c>
      <c r="DR1162">
        <v>0</v>
      </c>
      <c r="DS1162">
        <v>0</v>
      </c>
      <c r="DT1162">
        <f>SUM(DO1162:DP1162)</f>
        <v>1</v>
      </c>
      <c r="DU1162" s="143" t="str">
        <f>IF(DO1162=1,"self-calculated DF",IF(DP1162=1,"external DF used","explicit C balance"))</f>
        <v>external DF used</v>
      </c>
      <c r="DV1162">
        <v>1</v>
      </c>
      <c r="DW1162">
        <v>1</v>
      </c>
      <c r="DX1162">
        <v>1</v>
      </c>
      <c r="DY1162">
        <v>1</v>
      </c>
      <c r="DZ1162">
        <v>1</v>
      </c>
      <c r="EA1162">
        <v>0</v>
      </c>
      <c r="EB1162">
        <v>1</v>
      </c>
      <c r="EC1162">
        <v>1</v>
      </c>
      <c r="ED1162">
        <v>0</v>
      </c>
      <c r="EE1162">
        <v>0</v>
      </c>
      <c r="EF1162">
        <v>1</v>
      </c>
      <c r="EG1162">
        <v>0</v>
      </c>
      <c r="EH1162">
        <v>0</v>
      </c>
      <c r="EI1162" s="2">
        <v>0</v>
      </c>
      <c r="EK1162" t="str">
        <f>IF(AND(AND(AND(OR($DX1162=1,$DW1162=1),OR($EC1162=1,$EA1162=1)),SUM($DV1162:$DZ1162,$EF1162)&gt;=4),SUM($EA1162:$EE1162)&gt;=2),"Whole sector","")</f>
        <v>Whole sector</v>
      </c>
      <c r="EL1162" t="str">
        <f>IF(AND(AND(OR($DX1162=1,$DW1162=1),AND($EC1162=0,$EA1162=0)),SUM($DV1162:$DZ1162,$EF1162)&gt;=4),"Ecosystem approach","")</f>
        <v/>
      </c>
      <c r="EM1162" s="2" t="str">
        <f>IF(AND(AND(AND($DX1162=0,$DW1162=0),OR($EC1162=1,$EA1162=1)),SUM($EB1162:$EE1162)&gt;=2),"Technology approach","")</f>
        <v/>
      </c>
      <c r="EP1162" t="b">
        <f>IF(ISNUMBER(BU1162),IF(ABS(BU1162-[3]QC_indicators!$B$2)&gt;3*[3]QC_indicators!$C$2,"C ratio",IF(ISNUMBER(BY1162),IF(ABS(BY1162-[3]QC_indicators!$B$1)&gt;3*[3]QC_indicators!$C$1,"DF","no"))),IF(ISNUMBER(BY1162),IF(ABS(BY1162-[3]QC_indicators!$B$1)&gt;3*[3]QC_indicators!$C$1,"DF","no")))</f>
        <v>0</v>
      </c>
      <c r="ER1162" s="294" t="s">
        <v>2171</v>
      </c>
      <c r="ET1162" s="264" t="s">
        <v>3407</v>
      </c>
    </row>
    <row r="1163" spans="1:150" ht="15" customHeight="1">
      <c r="A1163" s="1" t="s">
        <v>1360</v>
      </c>
      <c r="B1163" t="s">
        <v>2135</v>
      </c>
      <c r="C1163" t="s">
        <v>2136</v>
      </c>
      <c r="D1163" t="s">
        <v>2137</v>
      </c>
      <c r="E1163" t="s">
        <v>2138</v>
      </c>
      <c r="F1163" t="s">
        <v>2139</v>
      </c>
      <c r="G1163" t="s">
        <v>1366</v>
      </c>
      <c r="H1163" t="s">
        <v>254</v>
      </c>
      <c r="I1163">
        <v>2012</v>
      </c>
      <c r="J1163">
        <v>21</v>
      </c>
      <c r="K1163" t="s">
        <v>2140</v>
      </c>
      <c r="M1163" t="str">
        <f>LEFT($D1163,FIND(",",$D1163)-1)&amp;"_"&amp;I1163&amp;L1163</f>
        <v>Pyorala_2012</v>
      </c>
      <c r="N1163" t="s">
        <v>222</v>
      </c>
      <c r="O1163" s="145" t="s">
        <v>341</v>
      </c>
      <c r="Q1163" s="264" t="s">
        <v>256</v>
      </c>
      <c r="R1163" s="269" t="s">
        <v>1154</v>
      </c>
      <c r="S1163" s="1" t="s">
        <v>2172</v>
      </c>
      <c r="T1163" t="s">
        <v>798</v>
      </c>
      <c r="U1163" t="s">
        <v>2168</v>
      </c>
      <c r="V1163">
        <v>0</v>
      </c>
      <c r="W1163">
        <v>0</v>
      </c>
      <c r="X1163">
        <v>0</v>
      </c>
      <c r="Y1163">
        <v>0</v>
      </c>
      <c r="Z1163">
        <v>0</v>
      </c>
      <c r="AA1163">
        <v>0</v>
      </c>
      <c r="AB1163">
        <v>0</v>
      </c>
      <c r="AC1163">
        <v>0</v>
      </c>
      <c r="AD1163">
        <v>0</v>
      </c>
      <c r="AE1163">
        <v>0</v>
      </c>
      <c r="AF1163">
        <v>0</v>
      </c>
      <c r="AG1163">
        <v>0</v>
      </c>
      <c r="AH1163">
        <v>0</v>
      </c>
      <c r="AI1163">
        <v>0</v>
      </c>
      <c r="AJ1163">
        <v>0</v>
      </c>
      <c r="AK1163">
        <v>1</v>
      </c>
      <c r="AL1163">
        <v>0</v>
      </c>
      <c r="AM1163">
        <v>0</v>
      </c>
      <c r="AN1163">
        <v>0</v>
      </c>
      <c r="AO1163">
        <v>0</v>
      </c>
      <c r="AP1163">
        <v>0</v>
      </c>
      <c r="AQ1163">
        <v>0</v>
      </c>
      <c r="AR1163">
        <v>0</v>
      </c>
      <c r="AS1163">
        <v>0</v>
      </c>
      <c r="AT1163">
        <v>0</v>
      </c>
      <c r="AU1163">
        <v>0</v>
      </c>
      <c r="AV1163">
        <v>0</v>
      </c>
      <c r="AW1163">
        <v>0</v>
      </c>
      <c r="AX1163" s="141">
        <f>COUNTIF(V1163:AW1163,"&lt;&gt;0")</f>
        <v>1</v>
      </c>
      <c r="AY1163" s="141">
        <f>COUNTIF(V1163:AL1163,"&lt;&gt;0")</f>
        <v>1</v>
      </c>
      <c r="AZ1163">
        <f>COUNTIF(V1163:AC1163,"&lt;&gt;0")</f>
        <v>0</v>
      </c>
      <c r="BA1163">
        <f>COUNTIF(AD1163:AI1163,"&lt;&gt;0")</f>
        <v>0</v>
      </c>
      <c r="BB1163">
        <f>COUNTIF(AJ1163:AL1163,"&lt;&gt;0")</f>
        <v>1</v>
      </c>
      <c r="BC1163">
        <f>COUNTIF(AS1163:AW1163,"&lt;&gt;0")</f>
        <v>0</v>
      </c>
      <c r="BD1163">
        <f>COUNTIF(AM1163:AR1163,"&lt;&gt;0")</f>
        <v>0</v>
      </c>
      <c r="BE1163" t="str" cm="1">
        <f t="array" ref="BE1163">IF(AY1163=1,INDEX($V$7:$AL$7,MATCH(TRUE,INDEX($V1163:$AW1163&lt;&gt;0,),0)),IF(AY1163=0,INDEX($AM$7:$AW$7,MATCH(1,$AM1163:$AW1163,0)),IF(BF1163="Multiple strategies","mixed drivers",IF(BF1163="Supply chain","multiple supply","multiple silviculture"))))</f>
        <v>technologies/design switch</v>
      </c>
      <c r="BF1163" s="2" t="str" cm="1">
        <f t="array" ref="BF1163">IF(COUNTIF(AZ1163:BB1163,"&lt;&gt;0")=1,INDEX($V$4:$AW$4,MATCH(TRUE,INDEX($V1163:$AW1163&lt;&gt;0,),0)),IF(COUNTIF(AZ1163:BB1163,"&lt;&gt;0")=0,INDEX($AM$4:$AW$4,MATCH(1,$AM1163:$AW1163,0)),"Multiple strategies"))</f>
        <v>Technology</v>
      </c>
      <c r="BH1163" t="s">
        <v>2169</v>
      </c>
      <c r="BN1163" s="143"/>
      <c r="BP1163" s="264" t="s">
        <v>232</v>
      </c>
      <c r="BQ1163" s="264"/>
      <c r="BR1163" t="s">
        <v>2170</v>
      </c>
      <c r="BS1163">
        <v>-157</v>
      </c>
      <c r="BT1163">
        <v>-80</v>
      </c>
      <c r="BU1163" s="144">
        <v>0.23460410557184752</v>
      </c>
      <c r="BV1163">
        <v>261</v>
      </c>
      <c r="BX1163">
        <f>BV1163/1000</f>
        <v>0.26100000000000001</v>
      </c>
      <c r="BY1163" t="str">
        <f>IFERROR(BX1163/BO1163,"")</f>
        <v/>
      </c>
      <c r="BZ1163">
        <v>0</v>
      </c>
      <c r="CA1163">
        <v>0</v>
      </c>
      <c r="CB1163">
        <v>0</v>
      </c>
      <c r="CC1163">
        <v>0</v>
      </c>
      <c r="CD1163">
        <v>0</v>
      </c>
      <c r="CE1163">
        <v>0</v>
      </c>
      <c r="CF1163">
        <v>0</v>
      </c>
      <c r="CG1163">
        <v>0</v>
      </c>
      <c r="CH1163">
        <v>0</v>
      </c>
      <c r="CI1163">
        <v>0</v>
      </c>
      <c r="CJ1163">
        <v>0</v>
      </c>
      <c r="CK1163">
        <v>0</v>
      </c>
      <c r="CL1163">
        <v>0</v>
      </c>
      <c r="CM1163">
        <v>0</v>
      </c>
      <c r="CN1163" t="str">
        <f>IF(BL1163&lt;BK1163,"refNeedCorrection","refOK")</f>
        <v>refOK</v>
      </c>
      <c r="CO1163"/>
      <c r="CP1163"/>
      <c r="CQ1163"/>
      <c r="CR1163">
        <f>IF($CN1163="refOK",$BS1163,$BT1163)*IF($BP1163="Emissions positive",-1,1)</f>
        <v>-157</v>
      </c>
      <c r="CS1163">
        <f>IF($CN1163="refOK",$BT1163,$BS1163)*IF($BP1163="Emissions positive",-1,1)</f>
        <v>-80</v>
      </c>
      <c r="CT1163">
        <f>IF($CN1163="refNeedCorrection",-BX1163,BX1163)*IF($BP1163="Emissions positive",-1,1)</f>
        <v>0.26100000000000001</v>
      </c>
      <c r="CU1163" t="str">
        <f>IFERROR(CT1163/CQ1163,"")</f>
        <v/>
      </c>
      <c r="CV1163" s="2">
        <f>IFERROR((CS1163-CR1163)/ABS(CR1163),"")</f>
        <v>0.49044585987261147</v>
      </c>
      <c r="CW1163" s="1" t="s">
        <v>1199</v>
      </c>
      <c r="CX1163" s="264" t="str">
        <f>IF(OR($CW1163="prd",$CW1163="std",$CW1163="cit"),"loc",IF(OR($CW1163="eur",$CW1163="reg",$CW1163="coy"),"reg",$CW1163))</f>
        <v>reg</v>
      </c>
      <c r="CY1163" t="s">
        <v>235</v>
      </c>
      <c r="DB1163">
        <v>80</v>
      </c>
      <c r="DC1163" t="str">
        <f>IF(DB1163=0,"0",IF(AND(DB1163&gt;=1,DB1163&lt;=30),"1-30",IF(AND(DB1163&gt;30,DB1163&lt;=70),"31-70",IF(AND(DB1163&gt;70,DB1163&lt;=100),"71-100",IF(DB1163&gt;100,"+100")))))</f>
        <v>71-100</v>
      </c>
      <c r="DD1163">
        <v>0</v>
      </c>
      <c r="DE1163">
        <v>1</v>
      </c>
      <c r="DF1163">
        <v>0</v>
      </c>
      <c r="DG1163">
        <v>0</v>
      </c>
      <c r="DI1163">
        <f>SUM(DD1163:DG1163)</f>
        <v>1</v>
      </c>
      <c r="DJ1163" t="str">
        <f>IF(DI1163=1,INDEX($DD$7:$DG$7,MATCH(1,$DD1163:$DG1163,0)),"mixedProduct")</f>
        <v>EnergyInput</v>
      </c>
      <c r="DK1163">
        <f>IF(DD1163=1,DK$7,0)</f>
        <v>0</v>
      </c>
      <c r="DL1163" t="str">
        <f>IF(DE1163=1,DL$7,0)</f>
        <v>Energy</v>
      </c>
      <c r="DM1163">
        <f>IF(DF1163=1,DM$7,0)</f>
        <v>0</v>
      </c>
      <c r="DN1163">
        <f>IF(DG1163=1,DN$7,0)</f>
        <v>0</v>
      </c>
      <c r="DO1163">
        <v>0</v>
      </c>
      <c r="DP1163">
        <v>1</v>
      </c>
      <c r="DQ1163" t="s">
        <v>2146</v>
      </c>
      <c r="DR1163">
        <v>0</v>
      </c>
      <c r="DS1163">
        <v>0</v>
      </c>
      <c r="DT1163">
        <f>SUM(DO1163:DP1163)</f>
        <v>1</v>
      </c>
      <c r="DU1163" s="143" t="str">
        <f>IF(DO1163=1,"self-calculated DF",IF(DP1163=1,"external DF used","explicit C balance"))</f>
        <v>external DF used</v>
      </c>
      <c r="DV1163">
        <v>1</v>
      </c>
      <c r="DW1163">
        <v>1</v>
      </c>
      <c r="DX1163">
        <v>1</v>
      </c>
      <c r="DY1163">
        <v>1</v>
      </c>
      <c r="DZ1163">
        <v>1</v>
      </c>
      <c r="EA1163">
        <v>0</v>
      </c>
      <c r="EB1163">
        <v>1</v>
      </c>
      <c r="EC1163">
        <v>1</v>
      </c>
      <c r="ED1163">
        <v>0</v>
      </c>
      <c r="EE1163">
        <v>0</v>
      </c>
      <c r="EF1163">
        <v>1</v>
      </c>
      <c r="EG1163">
        <v>0</v>
      </c>
      <c r="EH1163">
        <v>0</v>
      </c>
      <c r="EI1163" s="2">
        <v>0</v>
      </c>
      <c r="EK1163" t="str">
        <f>IF(AND(AND(AND(OR($DX1163=1,$DW1163=1),OR($EC1163=1,$EA1163=1)),SUM($DV1163:$DZ1163,$EF1163)&gt;=4),SUM($EA1163:$EE1163)&gt;=2),"Whole sector","")</f>
        <v>Whole sector</v>
      </c>
      <c r="EL1163" t="str">
        <f>IF(AND(AND(OR($DX1163=1,$DW1163=1),AND($EC1163=0,$EA1163=0)),SUM($DV1163:$DZ1163,$EF1163)&gt;=4),"Ecosystem approach","")</f>
        <v/>
      </c>
      <c r="EM1163" s="2" t="str">
        <f>IF(AND(AND(AND($DX1163=0,$DW1163=0),OR($EC1163=1,$EA1163=1)),SUM($EB1163:$EE1163)&gt;=2),"Technology approach","")</f>
        <v/>
      </c>
      <c r="EP1163" t="b">
        <f>IF(ISNUMBER(BU1163),IF(ABS(BU1163-[3]QC_indicators!$B$2)&gt;3*[3]QC_indicators!$C$2,"C ratio",IF(ISNUMBER(BY1163),IF(ABS(BY1163-[3]QC_indicators!$B$1)&gt;3*[3]QC_indicators!$C$1,"DF","no"))),IF(ISNUMBER(BY1163),IF(ABS(BY1163-[3]QC_indicators!$B$1)&gt;3*[3]QC_indicators!$C$1,"DF","no")))</f>
        <v>0</v>
      </c>
      <c r="ER1163" s="294" t="s">
        <v>2171</v>
      </c>
      <c r="ET1163" s="264" t="s">
        <v>3407</v>
      </c>
    </row>
    <row r="1164" spans="1:150" ht="15" customHeight="1">
      <c r="A1164" s="1" t="s">
        <v>1360</v>
      </c>
      <c r="B1164" t="s">
        <v>2135</v>
      </c>
      <c r="C1164" t="s">
        <v>2136</v>
      </c>
      <c r="D1164" t="s">
        <v>2137</v>
      </c>
      <c r="E1164" t="s">
        <v>2138</v>
      </c>
      <c r="F1164" t="s">
        <v>2139</v>
      </c>
      <c r="G1164" t="s">
        <v>1366</v>
      </c>
      <c r="H1164" t="s">
        <v>254</v>
      </c>
      <c r="I1164">
        <v>2012</v>
      </c>
      <c r="J1164">
        <v>21</v>
      </c>
      <c r="K1164" t="s">
        <v>2140</v>
      </c>
      <c r="L1164" s="192"/>
      <c r="M1164" t="str">
        <f>LEFT($D1164,FIND(",",$D1164)-1)&amp;"_"&amp;I1164&amp;L1164</f>
        <v>Pyorala_2012</v>
      </c>
      <c r="N1164" t="s">
        <v>222</v>
      </c>
      <c r="O1164" s="145" t="s">
        <v>341</v>
      </c>
      <c r="Q1164" s="264" t="s">
        <v>256</v>
      </c>
      <c r="R1164" s="269" t="s">
        <v>1154</v>
      </c>
      <c r="S1164" s="1" t="s">
        <v>2173</v>
      </c>
      <c r="T1164" t="s">
        <v>798</v>
      </c>
      <c r="U1164" t="s">
        <v>2168</v>
      </c>
      <c r="V1164">
        <v>0</v>
      </c>
      <c r="W1164">
        <v>0</v>
      </c>
      <c r="X1164">
        <v>0</v>
      </c>
      <c r="Y1164">
        <v>0</v>
      </c>
      <c r="Z1164">
        <v>0</v>
      </c>
      <c r="AA1164">
        <v>0</v>
      </c>
      <c r="AB1164">
        <v>0</v>
      </c>
      <c r="AC1164">
        <v>0</v>
      </c>
      <c r="AD1164">
        <v>0</v>
      </c>
      <c r="AE1164">
        <v>0</v>
      </c>
      <c r="AF1164">
        <v>0</v>
      </c>
      <c r="AG1164">
        <v>0</v>
      </c>
      <c r="AH1164">
        <v>0</v>
      </c>
      <c r="AI1164">
        <v>0</v>
      </c>
      <c r="AJ1164">
        <v>0</v>
      </c>
      <c r="AK1164">
        <v>1</v>
      </c>
      <c r="AL1164">
        <v>0</v>
      </c>
      <c r="AM1164">
        <v>0</v>
      </c>
      <c r="AN1164">
        <v>0</v>
      </c>
      <c r="AO1164">
        <v>0</v>
      </c>
      <c r="AP1164">
        <v>0</v>
      </c>
      <c r="AQ1164">
        <v>0</v>
      </c>
      <c r="AR1164">
        <v>0</v>
      </c>
      <c r="AS1164">
        <v>0</v>
      </c>
      <c r="AT1164">
        <v>0</v>
      </c>
      <c r="AU1164">
        <v>0</v>
      </c>
      <c r="AV1164">
        <v>0</v>
      </c>
      <c r="AW1164">
        <v>0</v>
      </c>
      <c r="AX1164" s="141">
        <f>COUNTIF(V1164:AW1164,"&lt;&gt;0")</f>
        <v>1</v>
      </c>
      <c r="AY1164" s="141">
        <f>COUNTIF(V1164:AL1164,"&lt;&gt;0")</f>
        <v>1</v>
      </c>
      <c r="AZ1164">
        <f>COUNTIF(V1164:AC1164,"&lt;&gt;0")</f>
        <v>0</v>
      </c>
      <c r="BA1164">
        <f>COUNTIF(AD1164:AI1164,"&lt;&gt;0")</f>
        <v>0</v>
      </c>
      <c r="BB1164">
        <f>COUNTIF(AJ1164:AL1164,"&lt;&gt;0")</f>
        <v>1</v>
      </c>
      <c r="BC1164">
        <f>COUNTIF(AS1164:AW1164,"&lt;&gt;0")</f>
        <v>0</v>
      </c>
      <c r="BD1164">
        <f>COUNTIF(AM1164:AR1164,"&lt;&gt;0")</f>
        <v>0</v>
      </c>
      <c r="BE1164" t="str" cm="1">
        <f t="array" ref="BE1164">IF(AY1164=1,INDEX($V$7:$AL$7,MATCH(TRUE,INDEX($V1164:$AW1164&lt;&gt;0,),0)),IF(AY1164=0,INDEX($AM$7:$AW$7,MATCH(1,$AM1164:$AW1164,0)),IF(BF1164="Multiple strategies","mixed drivers",IF(BF1164="Supply chain","multiple supply","multiple silviculture"))))</f>
        <v>technologies/design switch</v>
      </c>
      <c r="BF1164" s="2" t="str" cm="1">
        <f t="array" ref="BF1164">IF(COUNTIF(AZ1164:BB1164,"&lt;&gt;0")=1,INDEX($V$4:$AW$4,MATCH(TRUE,INDEX($V1164:$AW1164&lt;&gt;0,),0)),IF(COUNTIF(AZ1164:BB1164,"&lt;&gt;0")=0,INDEX($AM$4:$AW$4,MATCH(1,$AM1164:$AW1164,0)),"Multiple strategies"))</f>
        <v>Technology</v>
      </c>
      <c r="BH1164" t="s">
        <v>2169</v>
      </c>
      <c r="BN1164" s="143"/>
      <c r="BP1164" s="264" t="s">
        <v>232</v>
      </c>
      <c r="BQ1164" s="264"/>
      <c r="BR1164" t="s">
        <v>2170</v>
      </c>
      <c r="BS1164">
        <v>-157</v>
      </c>
      <c r="BT1164">
        <v>-118</v>
      </c>
      <c r="BU1164" s="144">
        <v>0.3460410557184751</v>
      </c>
      <c r="BV1164">
        <v>223</v>
      </c>
      <c r="BX1164">
        <f>BV1164/1000</f>
        <v>0.223</v>
      </c>
      <c r="BY1164" t="str">
        <f>IFERROR(BX1164/BO1164,"")</f>
        <v/>
      </c>
      <c r="BZ1164">
        <v>0</v>
      </c>
      <c r="CA1164">
        <v>0</v>
      </c>
      <c r="CB1164">
        <v>0</v>
      </c>
      <c r="CC1164">
        <v>0</v>
      </c>
      <c r="CD1164">
        <v>0</v>
      </c>
      <c r="CE1164">
        <v>0</v>
      </c>
      <c r="CF1164">
        <v>0</v>
      </c>
      <c r="CG1164">
        <v>0</v>
      </c>
      <c r="CH1164">
        <v>0</v>
      </c>
      <c r="CI1164">
        <v>0</v>
      </c>
      <c r="CJ1164">
        <v>0</v>
      </c>
      <c r="CK1164">
        <v>0</v>
      </c>
      <c r="CL1164">
        <v>0</v>
      </c>
      <c r="CM1164">
        <v>0</v>
      </c>
      <c r="CN1164" t="str">
        <f>IF(BL1164&lt;BK1164,"refNeedCorrection","refOK")</f>
        <v>refOK</v>
      </c>
      <c r="CO1164"/>
      <c r="CP1164"/>
      <c r="CQ1164"/>
      <c r="CR1164">
        <f>IF($CN1164="refOK",$BS1164,$BT1164)*IF($BP1164="Emissions positive",-1,1)</f>
        <v>-157</v>
      </c>
      <c r="CS1164">
        <f>IF($CN1164="refOK",$BT1164,$BS1164)*IF($BP1164="Emissions positive",-1,1)</f>
        <v>-118</v>
      </c>
      <c r="CT1164">
        <f>IF($CN1164="refNeedCorrection",-BX1164,BX1164)*IF($BP1164="Emissions positive",-1,1)</f>
        <v>0.223</v>
      </c>
      <c r="CU1164" t="str">
        <f>IFERROR(CT1164/CQ1164,"")</f>
        <v/>
      </c>
      <c r="CV1164" s="2">
        <f>IFERROR((CS1164-CR1164)/ABS(CR1164),"")</f>
        <v>0.24840764331210191</v>
      </c>
      <c r="CW1164" s="1" t="s">
        <v>1199</v>
      </c>
      <c r="CX1164" s="264" t="str">
        <f>IF(OR($CW1164="prd",$CW1164="std",$CW1164="cit"),"loc",IF(OR($CW1164="eur",$CW1164="reg",$CW1164="coy"),"reg",$CW1164))</f>
        <v>reg</v>
      </c>
      <c r="CY1164" t="s">
        <v>235</v>
      </c>
      <c r="DB1164">
        <v>80</v>
      </c>
      <c r="DC1164" t="str">
        <f>IF(DB1164=0,"0",IF(AND(DB1164&gt;=1,DB1164&lt;=30),"1-30",IF(AND(DB1164&gt;30,DB1164&lt;=70),"31-70",IF(AND(DB1164&gt;70,DB1164&lt;=100),"71-100",IF(DB1164&gt;100,"+100")))))</f>
        <v>71-100</v>
      </c>
      <c r="DD1164">
        <v>0</v>
      </c>
      <c r="DE1164">
        <v>1</v>
      </c>
      <c r="DF1164">
        <v>0</v>
      </c>
      <c r="DG1164">
        <v>0</v>
      </c>
      <c r="DI1164">
        <f>SUM(DD1164:DG1164)</f>
        <v>1</v>
      </c>
      <c r="DJ1164" t="str">
        <f>IF(DI1164=1,INDEX($DD$7:$DG$7,MATCH(1,$DD1164:$DG1164,0)),"mixedProduct")</f>
        <v>EnergyInput</v>
      </c>
      <c r="DK1164">
        <f>IF(DD1164=1,DK$7,0)</f>
        <v>0</v>
      </c>
      <c r="DL1164" t="str">
        <f>IF(DE1164=1,DL$7,0)</f>
        <v>Energy</v>
      </c>
      <c r="DM1164">
        <f>IF(DF1164=1,DM$7,0)</f>
        <v>0</v>
      </c>
      <c r="DN1164">
        <f>IF(DG1164=1,DN$7,0)</f>
        <v>0</v>
      </c>
      <c r="DO1164">
        <v>0</v>
      </c>
      <c r="DP1164">
        <v>1</v>
      </c>
      <c r="DQ1164" t="s">
        <v>2146</v>
      </c>
      <c r="DR1164">
        <v>0</v>
      </c>
      <c r="DS1164">
        <v>0</v>
      </c>
      <c r="DT1164">
        <f>SUM(DO1164:DP1164)</f>
        <v>1</v>
      </c>
      <c r="DU1164" s="143" t="str">
        <f>IF(DO1164=1,"self-calculated DF",IF(DP1164=1,"external DF used","explicit C balance"))</f>
        <v>external DF used</v>
      </c>
      <c r="DV1164">
        <v>1</v>
      </c>
      <c r="DW1164">
        <v>1</v>
      </c>
      <c r="DX1164">
        <v>1</v>
      </c>
      <c r="DY1164">
        <v>1</v>
      </c>
      <c r="DZ1164">
        <v>1</v>
      </c>
      <c r="EA1164">
        <v>0</v>
      </c>
      <c r="EB1164">
        <v>1</v>
      </c>
      <c r="EC1164">
        <v>1</v>
      </c>
      <c r="ED1164">
        <v>0</v>
      </c>
      <c r="EE1164">
        <v>0</v>
      </c>
      <c r="EF1164">
        <v>1</v>
      </c>
      <c r="EG1164">
        <v>0</v>
      </c>
      <c r="EH1164">
        <v>0</v>
      </c>
      <c r="EI1164" s="2">
        <v>0</v>
      </c>
      <c r="EK1164" t="str">
        <f>IF(AND(AND(AND(OR($DX1164=1,$DW1164=1),OR($EC1164=1,$EA1164=1)),SUM($DV1164:$DZ1164,$EF1164)&gt;=4),SUM($EA1164:$EE1164)&gt;=2),"Whole sector","")</f>
        <v>Whole sector</v>
      </c>
      <c r="EL1164" t="str">
        <f>IF(AND(AND(OR($DX1164=1,$DW1164=1),AND($EC1164=0,$EA1164=0)),SUM($DV1164:$DZ1164,$EF1164)&gt;=4),"Ecosystem approach","")</f>
        <v/>
      </c>
      <c r="EM1164" s="2" t="str">
        <f>IF(AND(AND(AND($DX1164=0,$DW1164=0),OR($EC1164=1,$EA1164=1)),SUM($EB1164:$EE1164)&gt;=2),"Technology approach","")</f>
        <v/>
      </c>
      <c r="EP1164" t="b">
        <f>IF(ISNUMBER(BU1164),IF(ABS(BU1164-[3]QC_indicators!$B$2)&gt;3*[3]QC_indicators!$C$2,"C ratio",IF(ISNUMBER(BY1164),IF(ABS(BY1164-[3]QC_indicators!$B$1)&gt;3*[3]QC_indicators!$C$1,"DF","no"))),IF(ISNUMBER(BY1164),IF(ABS(BY1164-[3]QC_indicators!$B$1)&gt;3*[3]QC_indicators!$C$1,"DF","no")))</f>
        <v>0</v>
      </c>
      <c r="ER1164" s="294" t="s">
        <v>2171</v>
      </c>
      <c r="ET1164" s="264" t="s">
        <v>3407</v>
      </c>
    </row>
    <row r="1165" spans="1:150" ht="15" customHeight="1">
      <c r="A1165" s="1" t="s">
        <v>1360</v>
      </c>
      <c r="B1165" t="s">
        <v>2135</v>
      </c>
      <c r="C1165" t="s">
        <v>2136</v>
      </c>
      <c r="D1165" t="s">
        <v>2137</v>
      </c>
      <c r="E1165" t="s">
        <v>2138</v>
      </c>
      <c r="F1165" t="s">
        <v>2139</v>
      </c>
      <c r="G1165" t="s">
        <v>1366</v>
      </c>
      <c r="H1165" t="s">
        <v>254</v>
      </c>
      <c r="I1165">
        <v>2012</v>
      </c>
      <c r="J1165">
        <v>21</v>
      </c>
      <c r="K1165" t="s">
        <v>2140</v>
      </c>
      <c r="L1165" s="192"/>
      <c r="M1165" t="str">
        <f>LEFT($D1165,FIND(",",$D1165)-1)&amp;"_"&amp;I1165&amp;L1165</f>
        <v>Pyorala_2012</v>
      </c>
      <c r="N1165" t="s">
        <v>222</v>
      </c>
      <c r="O1165" s="145" t="s">
        <v>341</v>
      </c>
      <c r="Q1165" s="264" t="s">
        <v>256</v>
      </c>
      <c r="R1165" s="269" t="s">
        <v>1154</v>
      </c>
      <c r="S1165" s="1" t="s">
        <v>2174</v>
      </c>
      <c r="T1165" t="s">
        <v>798</v>
      </c>
      <c r="U1165" t="s">
        <v>2168</v>
      </c>
      <c r="V1165">
        <v>0</v>
      </c>
      <c r="W1165">
        <v>0</v>
      </c>
      <c r="X1165">
        <v>0</v>
      </c>
      <c r="Y1165">
        <v>0</v>
      </c>
      <c r="Z1165">
        <v>0</v>
      </c>
      <c r="AA1165">
        <v>0</v>
      </c>
      <c r="AB1165">
        <v>0</v>
      </c>
      <c r="AC1165">
        <v>0</v>
      </c>
      <c r="AD1165">
        <v>0</v>
      </c>
      <c r="AE1165">
        <v>0</v>
      </c>
      <c r="AF1165">
        <v>0</v>
      </c>
      <c r="AG1165">
        <v>0</v>
      </c>
      <c r="AH1165">
        <v>0</v>
      </c>
      <c r="AI1165">
        <v>0</v>
      </c>
      <c r="AJ1165">
        <v>0</v>
      </c>
      <c r="AK1165">
        <v>1</v>
      </c>
      <c r="AL1165">
        <v>0</v>
      </c>
      <c r="AM1165">
        <v>0</v>
      </c>
      <c r="AN1165">
        <v>0</v>
      </c>
      <c r="AO1165">
        <v>0</v>
      </c>
      <c r="AP1165">
        <v>0</v>
      </c>
      <c r="AQ1165">
        <v>0</v>
      </c>
      <c r="AR1165">
        <v>0</v>
      </c>
      <c r="AS1165">
        <v>0</v>
      </c>
      <c r="AT1165">
        <v>0</v>
      </c>
      <c r="AU1165">
        <v>0</v>
      </c>
      <c r="AV1165">
        <v>0</v>
      </c>
      <c r="AW1165">
        <v>0</v>
      </c>
      <c r="AX1165" s="141">
        <f>COUNTIF(V1165:AW1165,"&lt;&gt;0")</f>
        <v>1</v>
      </c>
      <c r="AY1165" s="141">
        <f>COUNTIF(V1165:AL1165,"&lt;&gt;0")</f>
        <v>1</v>
      </c>
      <c r="AZ1165">
        <f>COUNTIF(V1165:AC1165,"&lt;&gt;0")</f>
        <v>0</v>
      </c>
      <c r="BA1165">
        <f>COUNTIF(AD1165:AI1165,"&lt;&gt;0")</f>
        <v>0</v>
      </c>
      <c r="BB1165">
        <f>COUNTIF(AJ1165:AL1165,"&lt;&gt;0")</f>
        <v>1</v>
      </c>
      <c r="BC1165">
        <f>COUNTIF(AS1165:AW1165,"&lt;&gt;0")</f>
        <v>0</v>
      </c>
      <c r="BD1165">
        <f>COUNTIF(AM1165:AR1165,"&lt;&gt;0")</f>
        <v>0</v>
      </c>
      <c r="BE1165" t="str" cm="1">
        <f t="array" ref="BE1165">IF(AY1165=1,INDEX($V$7:$AL$7,MATCH(TRUE,INDEX($V1165:$AW1165&lt;&gt;0,),0)),IF(AY1165=0,INDEX($AM$7:$AW$7,MATCH(1,$AM1165:$AW1165,0)),IF(BF1165="Multiple strategies","mixed drivers",IF(BF1165="Supply chain","multiple supply","multiple silviculture"))))</f>
        <v>technologies/design switch</v>
      </c>
      <c r="BF1165" s="2" t="str" cm="1">
        <f t="array" ref="BF1165">IF(COUNTIF(AZ1165:BB1165,"&lt;&gt;0")=1,INDEX($V$4:$AW$4,MATCH(TRUE,INDEX($V1165:$AW1165&lt;&gt;0,),0)),IF(COUNTIF(AZ1165:BB1165,"&lt;&gt;0")=0,INDEX($AM$4:$AW$4,MATCH(1,$AM1165:$AW1165,0)),"Multiple strategies"))</f>
        <v>Technology</v>
      </c>
      <c r="BH1165" t="s">
        <v>2169</v>
      </c>
      <c r="BN1165" s="143"/>
      <c r="BP1165" s="264" t="s">
        <v>232</v>
      </c>
      <c r="BQ1165" s="264"/>
      <c r="BR1165" t="s">
        <v>2170</v>
      </c>
      <c r="BS1165">
        <v>-157</v>
      </c>
      <c r="BT1165">
        <v>-127</v>
      </c>
      <c r="BU1165" s="144">
        <v>0.37243401759530792</v>
      </c>
      <c r="BV1165">
        <v>214</v>
      </c>
      <c r="BX1165">
        <f>BV1165/1000</f>
        <v>0.214</v>
      </c>
      <c r="BY1165" t="str">
        <f>IFERROR(BX1165/BO1165,"")</f>
        <v/>
      </c>
      <c r="BZ1165">
        <v>0</v>
      </c>
      <c r="CA1165">
        <v>0</v>
      </c>
      <c r="CB1165">
        <v>0</v>
      </c>
      <c r="CC1165">
        <v>0</v>
      </c>
      <c r="CD1165">
        <v>0</v>
      </c>
      <c r="CE1165">
        <v>0</v>
      </c>
      <c r="CF1165">
        <v>0</v>
      </c>
      <c r="CG1165">
        <v>0</v>
      </c>
      <c r="CH1165">
        <v>0</v>
      </c>
      <c r="CI1165">
        <v>0</v>
      </c>
      <c r="CJ1165">
        <v>0</v>
      </c>
      <c r="CK1165">
        <v>0</v>
      </c>
      <c r="CL1165">
        <v>0</v>
      </c>
      <c r="CM1165">
        <v>0</v>
      </c>
      <c r="CN1165" t="str">
        <f>IF(BL1165&lt;BK1165,"refNeedCorrection","refOK")</f>
        <v>refOK</v>
      </c>
      <c r="CO1165"/>
      <c r="CP1165"/>
      <c r="CQ1165"/>
      <c r="CR1165">
        <f>IF($CN1165="refOK",$BS1165,$BT1165)*IF($BP1165="Emissions positive",-1,1)</f>
        <v>-157</v>
      </c>
      <c r="CS1165">
        <f>IF($CN1165="refOK",$BT1165,$BS1165)*IF($BP1165="Emissions positive",-1,1)</f>
        <v>-127</v>
      </c>
      <c r="CT1165">
        <f>IF($CN1165="refNeedCorrection",-BX1165,BX1165)*IF($BP1165="Emissions positive",-1,1)</f>
        <v>0.214</v>
      </c>
      <c r="CU1165" t="str">
        <f>IFERROR(CT1165/CQ1165,"")</f>
        <v/>
      </c>
      <c r="CV1165" s="2">
        <f>IFERROR((CS1165-CR1165)/ABS(CR1165),"")</f>
        <v>0.19108280254777071</v>
      </c>
      <c r="CW1165" s="1" t="s">
        <v>1199</v>
      </c>
      <c r="CX1165" s="264" t="str">
        <f>IF(OR($CW1165="prd",$CW1165="std",$CW1165="cit"),"loc",IF(OR($CW1165="eur",$CW1165="reg",$CW1165="coy"),"reg",$CW1165))</f>
        <v>reg</v>
      </c>
      <c r="CY1165" t="s">
        <v>235</v>
      </c>
      <c r="DB1165">
        <v>80</v>
      </c>
      <c r="DC1165" t="str">
        <f>IF(DB1165=0,"0",IF(AND(DB1165&gt;=1,DB1165&lt;=30),"1-30",IF(AND(DB1165&gt;30,DB1165&lt;=70),"31-70",IF(AND(DB1165&gt;70,DB1165&lt;=100),"71-100",IF(DB1165&gt;100,"+100")))))</f>
        <v>71-100</v>
      </c>
      <c r="DD1165">
        <v>0</v>
      </c>
      <c r="DE1165">
        <v>1</v>
      </c>
      <c r="DF1165">
        <v>0</v>
      </c>
      <c r="DG1165">
        <v>0</v>
      </c>
      <c r="DI1165">
        <f>SUM(DD1165:DG1165)</f>
        <v>1</v>
      </c>
      <c r="DJ1165" t="str">
        <f>IF(DI1165=1,INDEX($DD$7:$DG$7,MATCH(1,$DD1165:$DG1165,0)),"mixedProduct")</f>
        <v>EnergyInput</v>
      </c>
      <c r="DK1165">
        <f>IF(DD1165=1,DK$7,0)</f>
        <v>0</v>
      </c>
      <c r="DL1165" t="str">
        <f>IF(DE1165=1,DL$7,0)</f>
        <v>Energy</v>
      </c>
      <c r="DM1165">
        <f>IF(DF1165=1,DM$7,0)</f>
        <v>0</v>
      </c>
      <c r="DN1165">
        <f>IF(DG1165=1,DN$7,0)</f>
        <v>0</v>
      </c>
      <c r="DO1165">
        <v>0</v>
      </c>
      <c r="DP1165">
        <v>1</v>
      </c>
      <c r="DQ1165" t="s">
        <v>2146</v>
      </c>
      <c r="DR1165">
        <v>0</v>
      </c>
      <c r="DS1165">
        <v>0</v>
      </c>
      <c r="DT1165">
        <f>SUM(DO1165:DP1165)</f>
        <v>1</v>
      </c>
      <c r="DU1165" s="143" t="str">
        <f>IF(DO1165=1,"self-calculated DF",IF(DP1165=1,"external DF used","explicit C balance"))</f>
        <v>external DF used</v>
      </c>
      <c r="DV1165">
        <v>1</v>
      </c>
      <c r="DW1165">
        <v>1</v>
      </c>
      <c r="DX1165">
        <v>1</v>
      </c>
      <c r="DY1165">
        <v>1</v>
      </c>
      <c r="DZ1165">
        <v>1</v>
      </c>
      <c r="EA1165">
        <v>0</v>
      </c>
      <c r="EB1165">
        <v>1</v>
      </c>
      <c r="EC1165">
        <v>1</v>
      </c>
      <c r="ED1165">
        <v>0</v>
      </c>
      <c r="EE1165">
        <v>0</v>
      </c>
      <c r="EF1165">
        <v>1</v>
      </c>
      <c r="EG1165">
        <v>0</v>
      </c>
      <c r="EH1165">
        <v>0</v>
      </c>
      <c r="EI1165" s="2">
        <v>0</v>
      </c>
      <c r="EK1165" t="str">
        <f>IF(AND(AND(AND(OR($DX1165=1,$DW1165=1),OR($EC1165=1,$EA1165=1)),SUM($DV1165:$DZ1165,$EF1165)&gt;=4),SUM($EA1165:$EE1165)&gt;=2),"Whole sector","")</f>
        <v>Whole sector</v>
      </c>
      <c r="EL1165" t="str">
        <f>IF(AND(AND(OR($DX1165=1,$DW1165=1),AND($EC1165=0,$EA1165=0)),SUM($DV1165:$DZ1165,$EF1165)&gt;=4),"Ecosystem approach","")</f>
        <v/>
      </c>
      <c r="EM1165" s="2" t="str">
        <f>IF(AND(AND(AND($DX1165=0,$DW1165=0),OR($EC1165=1,$EA1165=1)),SUM($EB1165:$EE1165)&gt;=2),"Technology approach","")</f>
        <v/>
      </c>
      <c r="EP1165" t="b">
        <f>IF(ISNUMBER(BU1165),IF(ABS(BU1165-[3]QC_indicators!$B$2)&gt;3*[3]QC_indicators!$C$2,"C ratio",IF(ISNUMBER(BY1165),IF(ABS(BY1165-[3]QC_indicators!$B$1)&gt;3*[3]QC_indicators!$C$1,"DF","no"))),IF(ISNUMBER(BY1165),IF(ABS(BY1165-[3]QC_indicators!$B$1)&gt;3*[3]QC_indicators!$C$1,"DF","no")))</f>
        <v>0</v>
      </c>
      <c r="ER1165" s="294" t="s">
        <v>2171</v>
      </c>
      <c r="ET1165" s="264" t="s">
        <v>3407</v>
      </c>
    </row>
    <row r="1166" spans="1:150" ht="15" customHeight="1">
      <c r="A1166" s="1" t="s">
        <v>1360</v>
      </c>
      <c r="B1166" t="s">
        <v>2135</v>
      </c>
      <c r="C1166" t="s">
        <v>2136</v>
      </c>
      <c r="D1166" t="s">
        <v>2137</v>
      </c>
      <c r="E1166" t="s">
        <v>2138</v>
      </c>
      <c r="F1166" t="s">
        <v>2139</v>
      </c>
      <c r="G1166" t="s">
        <v>1366</v>
      </c>
      <c r="H1166" t="s">
        <v>254</v>
      </c>
      <c r="I1166">
        <v>2012</v>
      </c>
      <c r="J1166">
        <v>21</v>
      </c>
      <c r="K1166" t="s">
        <v>2140</v>
      </c>
      <c r="L1166" s="192"/>
      <c r="M1166" t="str">
        <f>LEFT($D1166,FIND(",",$D1166)-1)&amp;"_"&amp;I1166&amp;L1166</f>
        <v>Pyorala_2012</v>
      </c>
      <c r="N1166" t="s">
        <v>222</v>
      </c>
      <c r="O1166" s="145" t="s">
        <v>341</v>
      </c>
      <c r="Q1166" s="264" t="s">
        <v>256</v>
      </c>
      <c r="R1166" s="269" t="s">
        <v>1154</v>
      </c>
      <c r="S1166" s="1" t="s">
        <v>2175</v>
      </c>
      <c r="T1166" t="s">
        <v>798</v>
      </c>
      <c r="U1166" t="s">
        <v>2168</v>
      </c>
      <c r="V1166">
        <v>0</v>
      </c>
      <c r="W1166">
        <v>0</v>
      </c>
      <c r="X1166">
        <v>0</v>
      </c>
      <c r="Y1166">
        <v>0</v>
      </c>
      <c r="Z1166">
        <v>0</v>
      </c>
      <c r="AA1166">
        <v>0</v>
      </c>
      <c r="AB1166">
        <v>0</v>
      </c>
      <c r="AC1166">
        <v>0</v>
      </c>
      <c r="AD1166">
        <v>0</v>
      </c>
      <c r="AE1166">
        <v>0</v>
      </c>
      <c r="AF1166">
        <v>0</v>
      </c>
      <c r="AG1166">
        <v>0</v>
      </c>
      <c r="AH1166">
        <v>0</v>
      </c>
      <c r="AI1166">
        <v>0</v>
      </c>
      <c r="AJ1166">
        <v>0</v>
      </c>
      <c r="AK1166">
        <v>1</v>
      </c>
      <c r="AL1166">
        <v>0</v>
      </c>
      <c r="AM1166">
        <v>0</v>
      </c>
      <c r="AN1166">
        <v>0</v>
      </c>
      <c r="AO1166">
        <v>0</v>
      </c>
      <c r="AP1166">
        <v>0</v>
      </c>
      <c r="AQ1166">
        <v>0</v>
      </c>
      <c r="AR1166">
        <v>0</v>
      </c>
      <c r="AS1166">
        <v>0</v>
      </c>
      <c r="AT1166">
        <v>0</v>
      </c>
      <c r="AU1166">
        <v>0</v>
      </c>
      <c r="AV1166">
        <v>0</v>
      </c>
      <c r="AW1166">
        <v>0</v>
      </c>
      <c r="AX1166" s="141">
        <f>COUNTIF(V1166:AW1166,"&lt;&gt;0")</f>
        <v>1</v>
      </c>
      <c r="AY1166" s="141">
        <f>COUNTIF(V1166:AL1166,"&lt;&gt;0")</f>
        <v>1</v>
      </c>
      <c r="AZ1166">
        <f>COUNTIF(V1166:AC1166,"&lt;&gt;0")</f>
        <v>0</v>
      </c>
      <c r="BA1166">
        <f>COUNTIF(AD1166:AI1166,"&lt;&gt;0")</f>
        <v>0</v>
      </c>
      <c r="BB1166">
        <f>COUNTIF(AJ1166:AL1166,"&lt;&gt;0")</f>
        <v>1</v>
      </c>
      <c r="BC1166">
        <f>COUNTIF(AS1166:AW1166,"&lt;&gt;0")</f>
        <v>0</v>
      </c>
      <c r="BD1166">
        <f>COUNTIF(AM1166:AR1166,"&lt;&gt;0")</f>
        <v>0</v>
      </c>
      <c r="BE1166" t="str" cm="1">
        <f t="array" ref="BE1166">IF(AY1166=1,INDEX($V$7:$AL$7,MATCH(TRUE,INDEX($V1166:$AW1166&lt;&gt;0,),0)),IF(AY1166=0,INDEX($AM$7:$AW$7,MATCH(1,$AM1166:$AW1166,0)),IF(BF1166="Multiple strategies","mixed drivers",IF(BF1166="Supply chain","multiple supply","multiple silviculture"))))</f>
        <v>technologies/design switch</v>
      </c>
      <c r="BF1166" s="2" t="str" cm="1">
        <f t="array" ref="BF1166">IF(COUNTIF(AZ1166:BB1166,"&lt;&gt;0")=1,INDEX($V$4:$AW$4,MATCH(TRUE,INDEX($V1166:$AW1166&lt;&gt;0,),0)),IF(COUNTIF(AZ1166:BB1166,"&lt;&gt;0")=0,INDEX($AM$4:$AW$4,MATCH(1,$AM1166:$AW1166,0)),"Multiple strategies"))</f>
        <v>Technology</v>
      </c>
      <c r="BH1166" t="s">
        <v>2169</v>
      </c>
      <c r="BN1166" s="143"/>
      <c r="BP1166" s="264" t="s">
        <v>232</v>
      </c>
      <c r="BQ1166" s="264"/>
      <c r="BR1166" t="s">
        <v>2170</v>
      </c>
      <c r="BS1166">
        <v>-157</v>
      </c>
      <c r="BT1166">
        <v>-135</v>
      </c>
      <c r="BU1166" s="144">
        <v>0.39589442815249265</v>
      </c>
      <c r="BV1166">
        <v>206</v>
      </c>
      <c r="BX1166">
        <f>BV1166/1000</f>
        <v>0.20599999999999999</v>
      </c>
      <c r="BY1166" t="str">
        <f>IFERROR(BX1166/BO1166,"")</f>
        <v/>
      </c>
      <c r="BZ1166">
        <v>0</v>
      </c>
      <c r="CA1166">
        <v>0</v>
      </c>
      <c r="CB1166">
        <v>0</v>
      </c>
      <c r="CC1166">
        <v>0</v>
      </c>
      <c r="CD1166">
        <v>0</v>
      </c>
      <c r="CE1166">
        <v>0</v>
      </c>
      <c r="CF1166">
        <v>0</v>
      </c>
      <c r="CG1166">
        <v>0</v>
      </c>
      <c r="CH1166">
        <v>0</v>
      </c>
      <c r="CI1166">
        <v>0</v>
      </c>
      <c r="CJ1166">
        <v>0</v>
      </c>
      <c r="CK1166">
        <v>0</v>
      </c>
      <c r="CL1166">
        <v>0</v>
      </c>
      <c r="CM1166">
        <v>0</v>
      </c>
      <c r="CN1166" t="str">
        <f>IF(BL1166&lt;BK1166,"refNeedCorrection","refOK")</f>
        <v>refOK</v>
      </c>
      <c r="CO1166"/>
      <c r="CP1166"/>
      <c r="CQ1166"/>
      <c r="CR1166">
        <f>IF($CN1166="refOK",$BS1166,$BT1166)*IF($BP1166="Emissions positive",-1,1)</f>
        <v>-157</v>
      </c>
      <c r="CS1166">
        <f>IF($CN1166="refOK",$BT1166,$BS1166)*IF($BP1166="Emissions positive",-1,1)</f>
        <v>-135</v>
      </c>
      <c r="CT1166">
        <f>IF($CN1166="refNeedCorrection",-BX1166,BX1166)*IF($BP1166="Emissions positive",-1,1)</f>
        <v>0.20599999999999999</v>
      </c>
      <c r="CU1166" t="str">
        <f>IFERROR(CT1166/CQ1166,"")</f>
        <v/>
      </c>
      <c r="CV1166" s="2">
        <f>IFERROR((CS1166-CR1166)/ABS(CR1166),"")</f>
        <v>0.14012738853503184</v>
      </c>
      <c r="CW1166" s="1" t="s">
        <v>1199</v>
      </c>
      <c r="CX1166" s="264" t="str">
        <f>IF(OR($CW1166="prd",$CW1166="std",$CW1166="cit"),"loc",IF(OR($CW1166="eur",$CW1166="reg",$CW1166="coy"),"reg",$CW1166))</f>
        <v>reg</v>
      </c>
      <c r="CY1166" t="s">
        <v>235</v>
      </c>
      <c r="DB1166">
        <v>80</v>
      </c>
      <c r="DC1166" t="str">
        <f>IF(DB1166=0,"0",IF(AND(DB1166&gt;=1,DB1166&lt;=30),"1-30",IF(AND(DB1166&gt;30,DB1166&lt;=70),"31-70",IF(AND(DB1166&gt;70,DB1166&lt;=100),"71-100",IF(DB1166&gt;100,"+100")))))</f>
        <v>71-100</v>
      </c>
      <c r="DD1166">
        <v>0</v>
      </c>
      <c r="DE1166">
        <v>1</v>
      </c>
      <c r="DF1166">
        <v>0</v>
      </c>
      <c r="DG1166">
        <v>0</v>
      </c>
      <c r="DI1166">
        <f>SUM(DD1166:DG1166)</f>
        <v>1</v>
      </c>
      <c r="DJ1166" t="str">
        <f>IF(DI1166=1,INDEX($DD$7:$DG$7,MATCH(1,$DD1166:$DG1166,0)),"mixedProduct")</f>
        <v>EnergyInput</v>
      </c>
      <c r="DK1166">
        <f>IF(DD1166=1,DK$7,0)</f>
        <v>0</v>
      </c>
      <c r="DL1166" t="str">
        <f>IF(DE1166=1,DL$7,0)</f>
        <v>Energy</v>
      </c>
      <c r="DM1166">
        <f>IF(DF1166=1,DM$7,0)</f>
        <v>0</v>
      </c>
      <c r="DN1166">
        <f>IF(DG1166=1,DN$7,0)</f>
        <v>0</v>
      </c>
      <c r="DO1166">
        <v>0</v>
      </c>
      <c r="DP1166">
        <v>1</v>
      </c>
      <c r="DQ1166" t="s">
        <v>2146</v>
      </c>
      <c r="DR1166">
        <v>0</v>
      </c>
      <c r="DS1166">
        <v>0</v>
      </c>
      <c r="DT1166">
        <f>SUM(DO1166:DP1166)</f>
        <v>1</v>
      </c>
      <c r="DU1166" s="143" t="str">
        <f>IF(DO1166=1,"self-calculated DF",IF(DP1166=1,"external DF used","explicit C balance"))</f>
        <v>external DF used</v>
      </c>
      <c r="DV1166">
        <v>1</v>
      </c>
      <c r="DW1166">
        <v>1</v>
      </c>
      <c r="DX1166">
        <v>1</v>
      </c>
      <c r="DY1166">
        <v>1</v>
      </c>
      <c r="DZ1166">
        <v>1</v>
      </c>
      <c r="EA1166">
        <v>0</v>
      </c>
      <c r="EB1166">
        <v>1</v>
      </c>
      <c r="EC1166">
        <v>1</v>
      </c>
      <c r="ED1166">
        <v>0</v>
      </c>
      <c r="EE1166">
        <v>0</v>
      </c>
      <c r="EF1166">
        <v>1</v>
      </c>
      <c r="EG1166">
        <v>0</v>
      </c>
      <c r="EH1166">
        <v>0</v>
      </c>
      <c r="EI1166" s="2">
        <v>0</v>
      </c>
      <c r="EK1166" t="str">
        <f>IF(AND(AND(AND(OR($DX1166=1,$DW1166=1),OR($EC1166=1,$EA1166=1)),SUM($DV1166:$DZ1166,$EF1166)&gt;=4),SUM($EA1166:$EE1166)&gt;=2),"Whole sector","")</f>
        <v>Whole sector</v>
      </c>
      <c r="EL1166" t="str">
        <f>IF(AND(AND(OR($DX1166=1,$DW1166=1),AND($EC1166=0,$EA1166=0)),SUM($DV1166:$DZ1166,$EF1166)&gt;=4),"Ecosystem approach","")</f>
        <v/>
      </c>
      <c r="EM1166" s="2" t="str">
        <f>IF(AND(AND(AND($DX1166=0,$DW1166=0),OR($EC1166=1,$EA1166=1)),SUM($EB1166:$EE1166)&gt;=2),"Technology approach","")</f>
        <v/>
      </c>
      <c r="EP1166" t="b">
        <f>IF(ISNUMBER(BU1166),IF(ABS(BU1166-[3]QC_indicators!$B$2)&gt;3*[3]QC_indicators!$C$2,"C ratio",IF(ISNUMBER(BY1166),IF(ABS(BY1166-[3]QC_indicators!$B$1)&gt;3*[3]QC_indicators!$C$1,"DF","no"))),IF(ISNUMBER(BY1166),IF(ABS(BY1166-[3]QC_indicators!$B$1)&gt;3*[3]QC_indicators!$C$1,"DF","no")))</f>
        <v>0</v>
      </c>
      <c r="ER1166" s="294" t="s">
        <v>2171</v>
      </c>
      <c r="ET1166" s="264" t="s">
        <v>3407</v>
      </c>
    </row>
    <row r="1167" spans="1:150" ht="15" customHeight="1">
      <c r="A1167" s="1" t="s">
        <v>1360</v>
      </c>
      <c r="B1167" t="s">
        <v>2135</v>
      </c>
      <c r="C1167" t="s">
        <v>2136</v>
      </c>
      <c r="D1167" t="s">
        <v>2137</v>
      </c>
      <c r="E1167" t="s">
        <v>2138</v>
      </c>
      <c r="F1167" t="s">
        <v>2139</v>
      </c>
      <c r="G1167" t="s">
        <v>1366</v>
      </c>
      <c r="H1167" t="s">
        <v>254</v>
      </c>
      <c r="I1167">
        <v>2012</v>
      </c>
      <c r="J1167">
        <v>21</v>
      </c>
      <c r="K1167" t="s">
        <v>2140</v>
      </c>
      <c r="L1167" s="192"/>
      <c r="M1167" t="str">
        <f>LEFT($D1167,FIND(",",$D1167)-1)&amp;"_"&amp;I1167&amp;L1167</f>
        <v>Pyorala_2012</v>
      </c>
      <c r="N1167" t="s">
        <v>222</v>
      </c>
      <c r="O1167" s="145" t="s">
        <v>341</v>
      </c>
      <c r="Q1167" s="264" t="s">
        <v>256</v>
      </c>
      <c r="R1167" s="269" t="s">
        <v>1154</v>
      </c>
      <c r="S1167" s="1" t="s">
        <v>2176</v>
      </c>
      <c r="T1167" t="s">
        <v>798</v>
      </c>
      <c r="U1167" t="s">
        <v>2168</v>
      </c>
      <c r="V1167">
        <v>0</v>
      </c>
      <c r="W1167">
        <v>0</v>
      </c>
      <c r="X1167">
        <v>0</v>
      </c>
      <c r="Y1167">
        <v>0</v>
      </c>
      <c r="Z1167">
        <v>0</v>
      </c>
      <c r="AA1167">
        <v>0</v>
      </c>
      <c r="AB1167">
        <v>0</v>
      </c>
      <c r="AC1167">
        <v>0</v>
      </c>
      <c r="AD1167">
        <v>0</v>
      </c>
      <c r="AE1167">
        <v>0</v>
      </c>
      <c r="AF1167">
        <v>0</v>
      </c>
      <c r="AG1167">
        <v>0</v>
      </c>
      <c r="AH1167">
        <v>0</v>
      </c>
      <c r="AI1167">
        <v>0</v>
      </c>
      <c r="AJ1167">
        <v>0</v>
      </c>
      <c r="AK1167">
        <v>1</v>
      </c>
      <c r="AL1167">
        <v>0</v>
      </c>
      <c r="AM1167">
        <v>0</v>
      </c>
      <c r="AN1167">
        <v>0</v>
      </c>
      <c r="AO1167">
        <v>0</v>
      </c>
      <c r="AP1167">
        <v>0</v>
      </c>
      <c r="AQ1167">
        <v>0</v>
      </c>
      <c r="AR1167">
        <v>0</v>
      </c>
      <c r="AS1167">
        <v>0</v>
      </c>
      <c r="AT1167">
        <v>0</v>
      </c>
      <c r="AU1167">
        <v>0</v>
      </c>
      <c r="AV1167">
        <v>0</v>
      </c>
      <c r="AW1167">
        <v>0</v>
      </c>
      <c r="AX1167" s="141">
        <f>COUNTIF(V1167:AW1167,"&lt;&gt;0")</f>
        <v>1</v>
      </c>
      <c r="AY1167" s="141">
        <f>COUNTIF(V1167:AL1167,"&lt;&gt;0")</f>
        <v>1</v>
      </c>
      <c r="AZ1167">
        <f>COUNTIF(V1167:AC1167,"&lt;&gt;0")</f>
        <v>0</v>
      </c>
      <c r="BA1167">
        <f>COUNTIF(AD1167:AI1167,"&lt;&gt;0")</f>
        <v>0</v>
      </c>
      <c r="BB1167">
        <f>COUNTIF(AJ1167:AL1167,"&lt;&gt;0")</f>
        <v>1</v>
      </c>
      <c r="BC1167">
        <f>COUNTIF(AS1167:AW1167,"&lt;&gt;0")</f>
        <v>0</v>
      </c>
      <c r="BD1167">
        <f>COUNTIF(AM1167:AR1167,"&lt;&gt;0")</f>
        <v>0</v>
      </c>
      <c r="BE1167" t="str" cm="1">
        <f t="array" ref="BE1167">IF(AY1167=1,INDEX($V$7:$AL$7,MATCH(TRUE,INDEX($V1167:$AW1167&lt;&gt;0,),0)),IF(AY1167=0,INDEX($AM$7:$AW$7,MATCH(1,$AM1167:$AW1167,0)),IF(BF1167="Multiple strategies","mixed drivers",IF(BF1167="Supply chain","multiple supply","multiple silviculture"))))</f>
        <v>technologies/design switch</v>
      </c>
      <c r="BF1167" s="2" t="str" cm="1">
        <f t="array" ref="BF1167">IF(COUNTIF(AZ1167:BB1167,"&lt;&gt;0")=1,INDEX($V$4:$AW$4,MATCH(TRUE,INDEX($V1167:$AW1167&lt;&gt;0,),0)),IF(COUNTIF(AZ1167:BB1167,"&lt;&gt;0")=0,INDEX($AM$4:$AW$4,MATCH(1,$AM1167:$AW1167,0)),"Multiple strategies"))</f>
        <v>Technology</v>
      </c>
      <c r="BH1167" t="s">
        <v>2169</v>
      </c>
      <c r="BN1167" s="143"/>
      <c r="BP1167" s="264" t="s">
        <v>232</v>
      </c>
      <c r="BQ1167" s="264"/>
      <c r="BR1167" t="s">
        <v>2170</v>
      </c>
      <c r="BS1167">
        <v>-157</v>
      </c>
      <c r="BT1167">
        <v>-137</v>
      </c>
      <c r="BU1167" s="144">
        <v>0.40175953079178883</v>
      </c>
      <c r="BV1167">
        <v>204</v>
      </c>
      <c r="BX1167">
        <f>BV1167/1000</f>
        <v>0.20399999999999999</v>
      </c>
      <c r="BY1167" t="str">
        <f>IFERROR(BX1167/BO1167,"")</f>
        <v/>
      </c>
      <c r="BZ1167">
        <v>0</v>
      </c>
      <c r="CA1167">
        <v>0</v>
      </c>
      <c r="CB1167">
        <v>0</v>
      </c>
      <c r="CC1167">
        <v>0</v>
      </c>
      <c r="CD1167">
        <v>0</v>
      </c>
      <c r="CE1167">
        <v>0</v>
      </c>
      <c r="CF1167">
        <v>0</v>
      </c>
      <c r="CG1167">
        <v>0</v>
      </c>
      <c r="CH1167">
        <v>0</v>
      </c>
      <c r="CI1167">
        <v>0</v>
      </c>
      <c r="CJ1167">
        <v>0</v>
      </c>
      <c r="CK1167">
        <v>0</v>
      </c>
      <c r="CL1167">
        <v>0</v>
      </c>
      <c r="CM1167">
        <v>0</v>
      </c>
      <c r="CN1167" t="str">
        <f>IF(BL1167&lt;BK1167,"refNeedCorrection","refOK")</f>
        <v>refOK</v>
      </c>
      <c r="CO1167"/>
      <c r="CP1167"/>
      <c r="CQ1167"/>
      <c r="CR1167">
        <f>IF($CN1167="refOK",$BS1167,$BT1167)*IF($BP1167="Emissions positive",-1,1)</f>
        <v>-157</v>
      </c>
      <c r="CS1167">
        <f>IF($CN1167="refOK",$BT1167,$BS1167)*IF($BP1167="Emissions positive",-1,1)</f>
        <v>-137</v>
      </c>
      <c r="CT1167">
        <f>IF($CN1167="refNeedCorrection",-BX1167,BX1167)*IF($BP1167="Emissions positive",-1,1)</f>
        <v>0.20399999999999999</v>
      </c>
      <c r="CU1167" t="str">
        <f>IFERROR(CT1167/CQ1167,"")</f>
        <v/>
      </c>
      <c r="CV1167" s="2">
        <f>IFERROR((CS1167-CR1167)/ABS(CR1167),"")</f>
        <v>0.12738853503184713</v>
      </c>
      <c r="CW1167" s="1" t="s">
        <v>1199</v>
      </c>
      <c r="CX1167" s="264" t="str">
        <f>IF(OR($CW1167="prd",$CW1167="std",$CW1167="cit"),"loc",IF(OR($CW1167="eur",$CW1167="reg",$CW1167="coy"),"reg",$CW1167))</f>
        <v>reg</v>
      </c>
      <c r="CY1167" t="s">
        <v>235</v>
      </c>
      <c r="DB1167">
        <v>80</v>
      </c>
      <c r="DC1167" t="str">
        <f>IF(DB1167=0,"0",IF(AND(DB1167&gt;=1,DB1167&lt;=30),"1-30",IF(AND(DB1167&gt;30,DB1167&lt;=70),"31-70",IF(AND(DB1167&gt;70,DB1167&lt;=100),"71-100",IF(DB1167&gt;100,"+100")))))</f>
        <v>71-100</v>
      </c>
      <c r="DD1167">
        <v>0</v>
      </c>
      <c r="DE1167">
        <v>1</v>
      </c>
      <c r="DF1167">
        <v>0</v>
      </c>
      <c r="DG1167">
        <v>0</v>
      </c>
      <c r="DI1167">
        <f>SUM(DD1167:DG1167)</f>
        <v>1</v>
      </c>
      <c r="DJ1167" t="str">
        <f>IF(DI1167=1,INDEX($DD$7:$DG$7,MATCH(1,$DD1167:$DG1167,0)),"mixedProduct")</f>
        <v>EnergyInput</v>
      </c>
      <c r="DK1167">
        <f>IF(DD1167=1,DK$7,0)</f>
        <v>0</v>
      </c>
      <c r="DL1167" t="str">
        <f>IF(DE1167=1,DL$7,0)</f>
        <v>Energy</v>
      </c>
      <c r="DM1167">
        <f>IF(DF1167=1,DM$7,0)</f>
        <v>0</v>
      </c>
      <c r="DN1167">
        <f>IF(DG1167=1,DN$7,0)</f>
        <v>0</v>
      </c>
      <c r="DO1167">
        <v>0</v>
      </c>
      <c r="DP1167">
        <v>1</v>
      </c>
      <c r="DQ1167" t="s">
        <v>2146</v>
      </c>
      <c r="DR1167">
        <v>0</v>
      </c>
      <c r="DS1167">
        <v>0</v>
      </c>
      <c r="DT1167">
        <f>SUM(DO1167:DP1167)</f>
        <v>1</v>
      </c>
      <c r="DU1167" s="143" t="str">
        <f>IF(DO1167=1,"self-calculated DF",IF(DP1167=1,"external DF used","explicit C balance"))</f>
        <v>external DF used</v>
      </c>
      <c r="DV1167">
        <v>1</v>
      </c>
      <c r="DW1167">
        <v>1</v>
      </c>
      <c r="DX1167">
        <v>1</v>
      </c>
      <c r="DY1167">
        <v>1</v>
      </c>
      <c r="DZ1167">
        <v>1</v>
      </c>
      <c r="EA1167">
        <v>0</v>
      </c>
      <c r="EB1167">
        <v>1</v>
      </c>
      <c r="EC1167">
        <v>1</v>
      </c>
      <c r="ED1167">
        <v>0</v>
      </c>
      <c r="EE1167">
        <v>0</v>
      </c>
      <c r="EF1167">
        <v>1</v>
      </c>
      <c r="EG1167">
        <v>0</v>
      </c>
      <c r="EH1167">
        <v>0</v>
      </c>
      <c r="EI1167" s="2">
        <v>0</v>
      </c>
      <c r="EK1167" t="str">
        <f>IF(AND(AND(AND(OR($DX1167=1,$DW1167=1),OR($EC1167=1,$EA1167=1)),SUM($DV1167:$DZ1167,$EF1167)&gt;=4),SUM($EA1167:$EE1167)&gt;=2),"Whole sector","")</f>
        <v>Whole sector</v>
      </c>
      <c r="EL1167" t="str">
        <f>IF(AND(AND(OR($DX1167=1,$DW1167=1),AND($EC1167=0,$EA1167=0)),SUM($DV1167:$DZ1167,$EF1167)&gt;=4),"Ecosystem approach","")</f>
        <v/>
      </c>
      <c r="EM1167" s="2" t="str">
        <f>IF(AND(AND(AND($DX1167=0,$DW1167=0),OR($EC1167=1,$EA1167=1)),SUM($EB1167:$EE1167)&gt;=2),"Technology approach","")</f>
        <v/>
      </c>
      <c r="EP1167" t="b">
        <f>IF(ISNUMBER(BU1167),IF(ABS(BU1167-[3]QC_indicators!$B$2)&gt;3*[3]QC_indicators!$C$2,"C ratio",IF(ISNUMBER(BY1167),IF(ABS(BY1167-[3]QC_indicators!$B$1)&gt;3*[3]QC_indicators!$C$1,"DF","no"))),IF(ISNUMBER(BY1167),IF(ABS(BY1167-[3]QC_indicators!$B$1)&gt;3*[3]QC_indicators!$C$1,"DF","no")))</f>
        <v>0</v>
      </c>
      <c r="ER1167" s="294" t="s">
        <v>2171</v>
      </c>
      <c r="ET1167" s="264" t="s">
        <v>3407</v>
      </c>
    </row>
    <row r="1168" spans="1:150" ht="15" customHeight="1">
      <c r="A1168" s="1" t="s">
        <v>1360</v>
      </c>
      <c r="B1168" t="s">
        <v>2135</v>
      </c>
      <c r="C1168" t="s">
        <v>2136</v>
      </c>
      <c r="D1168" t="s">
        <v>2137</v>
      </c>
      <c r="E1168" t="s">
        <v>2138</v>
      </c>
      <c r="F1168" t="s">
        <v>2139</v>
      </c>
      <c r="G1168" t="s">
        <v>1366</v>
      </c>
      <c r="H1168" t="s">
        <v>254</v>
      </c>
      <c r="I1168">
        <v>2012</v>
      </c>
      <c r="J1168">
        <v>21</v>
      </c>
      <c r="K1168" t="s">
        <v>2140</v>
      </c>
      <c r="L1168" s="192"/>
      <c r="M1168" t="str">
        <f>LEFT($D1168,FIND(",",$D1168)-1)&amp;"_"&amp;I1168&amp;L1168</f>
        <v>Pyorala_2012</v>
      </c>
      <c r="N1168" t="s">
        <v>222</v>
      </c>
      <c r="O1168" s="145" t="s">
        <v>341</v>
      </c>
      <c r="Q1168" s="264" t="s">
        <v>256</v>
      </c>
      <c r="R1168" s="269" t="s">
        <v>1154</v>
      </c>
      <c r="S1168" s="1" t="s">
        <v>2177</v>
      </c>
      <c r="T1168" t="s">
        <v>798</v>
      </c>
      <c r="U1168" t="s">
        <v>2168</v>
      </c>
      <c r="V1168">
        <v>0</v>
      </c>
      <c r="W1168">
        <v>0</v>
      </c>
      <c r="X1168">
        <v>0</v>
      </c>
      <c r="Y1168">
        <v>0</v>
      </c>
      <c r="Z1168">
        <v>0</v>
      </c>
      <c r="AA1168">
        <v>0</v>
      </c>
      <c r="AB1168">
        <v>0</v>
      </c>
      <c r="AC1168">
        <v>0</v>
      </c>
      <c r="AD1168">
        <v>0</v>
      </c>
      <c r="AE1168">
        <v>0</v>
      </c>
      <c r="AF1168">
        <v>0</v>
      </c>
      <c r="AG1168">
        <v>0</v>
      </c>
      <c r="AH1168">
        <v>0</v>
      </c>
      <c r="AI1168">
        <v>0</v>
      </c>
      <c r="AJ1168">
        <v>0</v>
      </c>
      <c r="AK1168">
        <v>1</v>
      </c>
      <c r="AL1168">
        <v>0</v>
      </c>
      <c r="AM1168">
        <v>0</v>
      </c>
      <c r="AN1168">
        <v>0</v>
      </c>
      <c r="AO1168">
        <v>0</v>
      </c>
      <c r="AP1168">
        <v>0</v>
      </c>
      <c r="AQ1168">
        <v>0</v>
      </c>
      <c r="AR1168">
        <v>0</v>
      </c>
      <c r="AS1168">
        <v>0</v>
      </c>
      <c r="AT1168">
        <v>0</v>
      </c>
      <c r="AU1168">
        <v>0</v>
      </c>
      <c r="AV1168">
        <v>0</v>
      </c>
      <c r="AW1168">
        <v>0</v>
      </c>
      <c r="AX1168" s="141">
        <f>COUNTIF(V1168:AW1168,"&lt;&gt;0")</f>
        <v>1</v>
      </c>
      <c r="AY1168" s="141">
        <f>COUNTIF(V1168:AL1168,"&lt;&gt;0")</f>
        <v>1</v>
      </c>
      <c r="AZ1168">
        <f>COUNTIF(V1168:AC1168,"&lt;&gt;0")</f>
        <v>0</v>
      </c>
      <c r="BA1168">
        <f>COUNTIF(AD1168:AI1168,"&lt;&gt;0")</f>
        <v>0</v>
      </c>
      <c r="BB1168">
        <f>COUNTIF(AJ1168:AL1168,"&lt;&gt;0")</f>
        <v>1</v>
      </c>
      <c r="BC1168">
        <f>COUNTIF(AS1168:AW1168,"&lt;&gt;0")</f>
        <v>0</v>
      </c>
      <c r="BD1168">
        <f>COUNTIF(AM1168:AR1168,"&lt;&gt;0")</f>
        <v>0</v>
      </c>
      <c r="BE1168" t="str" cm="1">
        <f t="array" ref="BE1168">IF(AY1168=1,INDEX($V$7:$AL$7,MATCH(TRUE,INDEX($V1168:$AW1168&lt;&gt;0,),0)),IF(AY1168=0,INDEX($AM$7:$AW$7,MATCH(1,$AM1168:$AW1168,0)),IF(BF1168="Multiple strategies","mixed drivers",IF(BF1168="Supply chain","multiple supply","multiple silviculture"))))</f>
        <v>technologies/design switch</v>
      </c>
      <c r="BF1168" s="2" t="str" cm="1">
        <f t="array" ref="BF1168">IF(COUNTIF(AZ1168:BB1168,"&lt;&gt;0")=1,INDEX($V$4:$AW$4,MATCH(TRUE,INDEX($V1168:$AW1168&lt;&gt;0,),0)),IF(COUNTIF(AZ1168:BB1168,"&lt;&gt;0")=0,INDEX($AM$4:$AW$4,MATCH(1,$AM1168:$AW1168,0)),"Multiple strategies"))</f>
        <v>Technology</v>
      </c>
      <c r="BH1168" t="s">
        <v>2169</v>
      </c>
      <c r="BN1168" s="143"/>
      <c r="BP1168" s="264" t="s">
        <v>232</v>
      </c>
      <c r="BQ1168" s="264"/>
      <c r="BR1168" t="s">
        <v>2170</v>
      </c>
      <c r="BS1168">
        <v>-157</v>
      </c>
      <c r="BT1168">
        <v>-142</v>
      </c>
      <c r="BU1168" s="144">
        <v>0.41642228739002934</v>
      </c>
      <c r="BV1168">
        <v>199</v>
      </c>
      <c r="BX1168">
        <f>BV1168/1000</f>
        <v>0.19900000000000001</v>
      </c>
      <c r="BY1168" t="str">
        <f>IFERROR(BX1168/BO1168,"")</f>
        <v/>
      </c>
      <c r="BZ1168">
        <v>0</v>
      </c>
      <c r="CA1168">
        <v>0</v>
      </c>
      <c r="CB1168">
        <v>0</v>
      </c>
      <c r="CC1168">
        <v>0</v>
      </c>
      <c r="CD1168">
        <v>0</v>
      </c>
      <c r="CE1168">
        <v>0</v>
      </c>
      <c r="CF1168">
        <v>0</v>
      </c>
      <c r="CG1168">
        <v>0</v>
      </c>
      <c r="CH1168">
        <v>0</v>
      </c>
      <c r="CI1168">
        <v>0</v>
      </c>
      <c r="CJ1168">
        <v>0</v>
      </c>
      <c r="CK1168">
        <v>0</v>
      </c>
      <c r="CL1168">
        <v>0</v>
      </c>
      <c r="CM1168">
        <v>0</v>
      </c>
      <c r="CN1168" t="str">
        <f>IF(BL1168&lt;BK1168,"refNeedCorrection","refOK")</f>
        <v>refOK</v>
      </c>
      <c r="CO1168"/>
      <c r="CP1168"/>
      <c r="CQ1168"/>
      <c r="CR1168">
        <f>IF($CN1168="refOK",$BS1168,$BT1168)*IF($BP1168="Emissions positive",-1,1)</f>
        <v>-157</v>
      </c>
      <c r="CS1168">
        <f>IF($CN1168="refOK",$BT1168,$BS1168)*IF($BP1168="Emissions positive",-1,1)</f>
        <v>-142</v>
      </c>
      <c r="CT1168">
        <f>IF($CN1168="refNeedCorrection",-BX1168,BX1168)*IF($BP1168="Emissions positive",-1,1)</f>
        <v>0.19900000000000001</v>
      </c>
      <c r="CU1168" t="str">
        <f>IFERROR(CT1168/CQ1168,"")</f>
        <v/>
      </c>
      <c r="CV1168" s="2">
        <f>IFERROR((CS1168-CR1168)/ABS(CR1168),"")</f>
        <v>9.5541401273885357E-2</v>
      </c>
      <c r="CW1168" s="1" t="s">
        <v>1199</v>
      </c>
      <c r="CX1168" s="264" t="str">
        <f>IF(OR($CW1168="prd",$CW1168="std",$CW1168="cit"),"loc",IF(OR($CW1168="eur",$CW1168="reg",$CW1168="coy"),"reg",$CW1168))</f>
        <v>reg</v>
      </c>
      <c r="CY1168" t="s">
        <v>235</v>
      </c>
      <c r="DB1168">
        <v>80</v>
      </c>
      <c r="DC1168" t="str">
        <f>IF(DB1168=0,"0",IF(AND(DB1168&gt;=1,DB1168&lt;=30),"1-30",IF(AND(DB1168&gt;30,DB1168&lt;=70),"31-70",IF(AND(DB1168&gt;70,DB1168&lt;=100),"71-100",IF(DB1168&gt;100,"+100")))))</f>
        <v>71-100</v>
      </c>
      <c r="DD1168">
        <v>0</v>
      </c>
      <c r="DE1168">
        <v>1</v>
      </c>
      <c r="DF1168">
        <v>0</v>
      </c>
      <c r="DG1168">
        <v>0</v>
      </c>
      <c r="DI1168">
        <f>SUM(DD1168:DG1168)</f>
        <v>1</v>
      </c>
      <c r="DJ1168" t="str">
        <f>IF(DI1168=1,INDEX($DD$7:$DG$7,MATCH(1,$DD1168:$DG1168,0)),"mixedProduct")</f>
        <v>EnergyInput</v>
      </c>
      <c r="DK1168">
        <f>IF(DD1168=1,DK$7,0)</f>
        <v>0</v>
      </c>
      <c r="DL1168" t="str">
        <f>IF(DE1168=1,DL$7,0)</f>
        <v>Energy</v>
      </c>
      <c r="DM1168">
        <f>IF(DF1168=1,DM$7,0)</f>
        <v>0</v>
      </c>
      <c r="DN1168">
        <f>IF(DG1168=1,DN$7,0)</f>
        <v>0</v>
      </c>
      <c r="DO1168">
        <v>0</v>
      </c>
      <c r="DP1168">
        <v>1</v>
      </c>
      <c r="DQ1168" t="s">
        <v>2146</v>
      </c>
      <c r="DR1168">
        <v>0</v>
      </c>
      <c r="DS1168">
        <v>0</v>
      </c>
      <c r="DT1168">
        <f>SUM(DO1168:DP1168)</f>
        <v>1</v>
      </c>
      <c r="DU1168" s="143" t="str">
        <f>IF(DO1168=1,"self-calculated DF",IF(DP1168=1,"external DF used","explicit C balance"))</f>
        <v>external DF used</v>
      </c>
      <c r="DV1168">
        <v>1</v>
      </c>
      <c r="DW1168">
        <v>1</v>
      </c>
      <c r="DX1168">
        <v>1</v>
      </c>
      <c r="DY1168">
        <v>1</v>
      </c>
      <c r="DZ1168">
        <v>1</v>
      </c>
      <c r="EA1168">
        <v>0</v>
      </c>
      <c r="EB1168">
        <v>1</v>
      </c>
      <c r="EC1168">
        <v>1</v>
      </c>
      <c r="ED1168">
        <v>0</v>
      </c>
      <c r="EE1168">
        <v>0</v>
      </c>
      <c r="EF1168">
        <v>1</v>
      </c>
      <c r="EG1168">
        <v>0</v>
      </c>
      <c r="EH1168">
        <v>0</v>
      </c>
      <c r="EI1168" s="2">
        <v>0</v>
      </c>
      <c r="EK1168" t="str">
        <f>IF(AND(AND(AND(OR($DX1168=1,$DW1168=1),OR($EC1168=1,$EA1168=1)),SUM($DV1168:$DZ1168,$EF1168)&gt;=4),SUM($EA1168:$EE1168)&gt;=2),"Whole sector","")</f>
        <v>Whole sector</v>
      </c>
      <c r="EL1168" t="str">
        <f>IF(AND(AND(OR($DX1168=1,$DW1168=1),AND($EC1168=0,$EA1168=0)),SUM($DV1168:$DZ1168,$EF1168)&gt;=4),"Ecosystem approach","")</f>
        <v/>
      </c>
      <c r="EM1168" s="2" t="str">
        <f>IF(AND(AND(AND($DX1168=0,$DW1168=0),OR($EC1168=1,$EA1168=1)),SUM($EB1168:$EE1168)&gt;=2),"Technology approach","")</f>
        <v/>
      </c>
      <c r="EP1168" t="b">
        <f>IF(ISNUMBER(BU1168),IF(ABS(BU1168-[3]QC_indicators!$B$2)&gt;3*[3]QC_indicators!$C$2,"C ratio",IF(ISNUMBER(BY1168),IF(ABS(BY1168-[3]QC_indicators!$B$1)&gt;3*[3]QC_indicators!$C$1,"DF","no"))),IF(ISNUMBER(BY1168),IF(ABS(BY1168-[3]QC_indicators!$B$1)&gt;3*[3]QC_indicators!$C$1,"DF","no")))</f>
        <v>0</v>
      </c>
      <c r="ER1168" s="294" t="s">
        <v>2171</v>
      </c>
      <c r="ET1168" s="264" t="s">
        <v>3407</v>
      </c>
    </row>
    <row r="1169" spans="1:150" ht="15" customHeight="1">
      <c r="A1169" s="1" t="s">
        <v>1360</v>
      </c>
      <c r="B1169" t="s">
        <v>2135</v>
      </c>
      <c r="C1169" t="s">
        <v>2136</v>
      </c>
      <c r="D1169" t="s">
        <v>2137</v>
      </c>
      <c r="E1169" t="s">
        <v>2138</v>
      </c>
      <c r="F1169" t="s">
        <v>2139</v>
      </c>
      <c r="G1169" t="s">
        <v>1366</v>
      </c>
      <c r="H1169" t="s">
        <v>254</v>
      </c>
      <c r="I1169">
        <v>2012</v>
      </c>
      <c r="J1169">
        <v>21</v>
      </c>
      <c r="K1169" t="s">
        <v>2140</v>
      </c>
      <c r="L1169" s="192"/>
      <c r="M1169" t="str">
        <f>LEFT($D1169,FIND(",",$D1169)-1)&amp;"_"&amp;I1169&amp;L1169</f>
        <v>Pyorala_2012</v>
      </c>
      <c r="N1169" t="s">
        <v>222</v>
      </c>
      <c r="O1169" s="145" t="s">
        <v>341</v>
      </c>
      <c r="Q1169" s="264" t="s">
        <v>256</v>
      </c>
      <c r="R1169" s="269" t="s">
        <v>1154</v>
      </c>
      <c r="S1169" s="1" t="s">
        <v>2178</v>
      </c>
      <c r="T1169" t="s">
        <v>798</v>
      </c>
      <c r="U1169" t="s">
        <v>2168</v>
      </c>
      <c r="V1169">
        <v>0</v>
      </c>
      <c r="W1169">
        <v>0</v>
      </c>
      <c r="X1169">
        <v>0</v>
      </c>
      <c r="Y1169">
        <v>0</v>
      </c>
      <c r="Z1169">
        <v>0</v>
      </c>
      <c r="AA1169">
        <v>0</v>
      </c>
      <c r="AB1169">
        <v>0</v>
      </c>
      <c r="AC1169">
        <v>0</v>
      </c>
      <c r="AD1169">
        <v>0</v>
      </c>
      <c r="AE1169">
        <v>0</v>
      </c>
      <c r="AF1169">
        <v>0</v>
      </c>
      <c r="AG1169">
        <v>0</v>
      </c>
      <c r="AH1169">
        <v>0</v>
      </c>
      <c r="AI1169">
        <v>0</v>
      </c>
      <c r="AJ1169">
        <v>0</v>
      </c>
      <c r="AK1169">
        <v>1</v>
      </c>
      <c r="AL1169">
        <v>0</v>
      </c>
      <c r="AM1169">
        <v>0</v>
      </c>
      <c r="AN1169">
        <v>0</v>
      </c>
      <c r="AO1169">
        <v>0</v>
      </c>
      <c r="AP1169">
        <v>0</v>
      </c>
      <c r="AQ1169">
        <v>0</v>
      </c>
      <c r="AR1169">
        <v>0</v>
      </c>
      <c r="AS1169">
        <v>0</v>
      </c>
      <c r="AT1169">
        <v>0</v>
      </c>
      <c r="AU1169">
        <v>0</v>
      </c>
      <c r="AV1169">
        <v>0</v>
      </c>
      <c r="AW1169">
        <v>0</v>
      </c>
      <c r="AX1169" s="141">
        <f>COUNTIF(V1169:AW1169,"&lt;&gt;0")</f>
        <v>1</v>
      </c>
      <c r="AY1169" s="141">
        <f>COUNTIF(V1169:AL1169,"&lt;&gt;0")</f>
        <v>1</v>
      </c>
      <c r="AZ1169">
        <f>COUNTIF(V1169:AC1169,"&lt;&gt;0")</f>
        <v>0</v>
      </c>
      <c r="BA1169">
        <f>COUNTIF(AD1169:AI1169,"&lt;&gt;0")</f>
        <v>0</v>
      </c>
      <c r="BB1169">
        <f>COUNTIF(AJ1169:AL1169,"&lt;&gt;0")</f>
        <v>1</v>
      </c>
      <c r="BC1169">
        <f>COUNTIF(AS1169:AW1169,"&lt;&gt;0")</f>
        <v>0</v>
      </c>
      <c r="BD1169">
        <f>COUNTIF(AM1169:AR1169,"&lt;&gt;0")</f>
        <v>0</v>
      </c>
      <c r="BE1169" t="str" cm="1">
        <f t="array" ref="BE1169">IF(AY1169=1,INDEX($V$7:$AL$7,MATCH(TRUE,INDEX($V1169:$AW1169&lt;&gt;0,),0)),IF(AY1169=0,INDEX($AM$7:$AW$7,MATCH(1,$AM1169:$AW1169,0)),IF(BF1169="Multiple strategies","mixed drivers",IF(BF1169="Supply chain","multiple supply","multiple silviculture"))))</f>
        <v>technologies/design switch</v>
      </c>
      <c r="BF1169" s="2" t="str" cm="1">
        <f t="array" ref="BF1169">IF(COUNTIF(AZ1169:BB1169,"&lt;&gt;0")=1,INDEX($V$4:$AW$4,MATCH(TRUE,INDEX($V1169:$AW1169&lt;&gt;0,),0)),IF(COUNTIF(AZ1169:BB1169,"&lt;&gt;0")=0,INDEX($AM$4:$AW$4,MATCH(1,$AM1169:$AW1169,0)),"Multiple strategies"))</f>
        <v>Technology</v>
      </c>
      <c r="BH1169" t="s">
        <v>2169</v>
      </c>
      <c r="BN1169" s="143"/>
      <c r="BP1169" s="264" t="s">
        <v>232</v>
      </c>
      <c r="BQ1169" s="264"/>
      <c r="BR1169" t="s">
        <v>2170</v>
      </c>
      <c r="BS1169">
        <v>-157</v>
      </c>
      <c r="BT1169">
        <v>-150</v>
      </c>
      <c r="BU1169" s="144">
        <v>0.43988269794721407</v>
      </c>
      <c r="BV1169">
        <v>191</v>
      </c>
      <c r="BX1169">
        <f>BV1169/1000</f>
        <v>0.191</v>
      </c>
      <c r="BY1169" t="str">
        <f>IFERROR(BX1169/BO1169,"")</f>
        <v/>
      </c>
      <c r="BZ1169">
        <v>0</v>
      </c>
      <c r="CA1169">
        <v>0</v>
      </c>
      <c r="CB1169">
        <v>0</v>
      </c>
      <c r="CC1169">
        <v>0</v>
      </c>
      <c r="CD1169">
        <v>0</v>
      </c>
      <c r="CE1169">
        <v>0</v>
      </c>
      <c r="CF1169">
        <v>0</v>
      </c>
      <c r="CG1169">
        <v>0</v>
      </c>
      <c r="CH1169">
        <v>0</v>
      </c>
      <c r="CI1169">
        <v>0</v>
      </c>
      <c r="CJ1169">
        <v>0</v>
      </c>
      <c r="CK1169">
        <v>0</v>
      </c>
      <c r="CL1169">
        <v>0</v>
      </c>
      <c r="CM1169">
        <v>0</v>
      </c>
      <c r="CN1169" t="str">
        <f>IF(BL1169&lt;BK1169,"refNeedCorrection","refOK")</f>
        <v>refOK</v>
      </c>
      <c r="CO1169"/>
      <c r="CP1169"/>
      <c r="CQ1169"/>
      <c r="CR1169">
        <f>IF($CN1169="refOK",$BS1169,$BT1169)*IF($BP1169="Emissions positive",-1,1)</f>
        <v>-157</v>
      </c>
      <c r="CS1169">
        <f>IF($CN1169="refOK",$BT1169,$BS1169)*IF($BP1169="Emissions positive",-1,1)</f>
        <v>-150</v>
      </c>
      <c r="CT1169">
        <f>IF($CN1169="refNeedCorrection",-BX1169,BX1169)*IF($BP1169="Emissions positive",-1,1)</f>
        <v>0.191</v>
      </c>
      <c r="CU1169" t="str">
        <f>IFERROR(CT1169/CQ1169,"")</f>
        <v/>
      </c>
      <c r="CV1169" s="2">
        <f>IFERROR((CS1169-CR1169)/ABS(CR1169),"")</f>
        <v>4.4585987261146494E-2</v>
      </c>
      <c r="CW1169" s="1" t="s">
        <v>1199</v>
      </c>
      <c r="CX1169" s="264" t="str">
        <f>IF(OR($CW1169="prd",$CW1169="std",$CW1169="cit"),"loc",IF(OR($CW1169="eur",$CW1169="reg",$CW1169="coy"),"reg",$CW1169))</f>
        <v>reg</v>
      </c>
      <c r="CY1169" t="s">
        <v>235</v>
      </c>
      <c r="DB1169">
        <v>80</v>
      </c>
      <c r="DC1169" t="str">
        <f>IF(DB1169=0,"0",IF(AND(DB1169&gt;=1,DB1169&lt;=30),"1-30",IF(AND(DB1169&gt;30,DB1169&lt;=70),"31-70",IF(AND(DB1169&gt;70,DB1169&lt;=100),"71-100",IF(DB1169&gt;100,"+100")))))</f>
        <v>71-100</v>
      </c>
      <c r="DD1169">
        <v>0</v>
      </c>
      <c r="DE1169">
        <v>1</v>
      </c>
      <c r="DF1169">
        <v>0</v>
      </c>
      <c r="DG1169">
        <v>0</v>
      </c>
      <c r="DI1169">
        <f>SUM(DD1169:DG1169)</f>
        <v>1</v>
      </c>
      <c r="DJ1169" t="str">
        <f>IF(DI1169=1,INDEX($DD$7:$DG$7,MATCH(1,$DD1169:$DG1169,0)),"mixedProduct")</f>
        <v>EnergyInput</v>
      </c>
      <c r="DK1169">
        <f>IF(DD1169=1,DK$7,0)</f>
        <v>0</v>
      </c>
      <c r="DL1169" t="str">
        <f>IF(DE1169=1,DL$7,0)</f>
        <v>Energy</v>
      </c>
      <c r="DM1169">
        <f>IF(DF1169=1,DM$7,0)</f>
        <v>0</v>
      </c>
      <c r="DN1169">
        <f>IF(DG1169=1,DN$7,0)</f>
        <v>0</v>
      </c>
      <c r="DO1169">
        <v>0</v>
      </c>
      <c r="DP1169">
        <v>1</v>
      </c>
      <c r="DQ1169" t="s">
        <v>2146</v>
      </c>
      <c r="DR1169">
        <v>0</v>
      </c>
      <c r="DS1169">
        <v>0</v>
      </c>
      <c r="DT1169">
        <f>SUM(DO1169:DP1169)</f>
        <v>1</v>
      </c>
      <c r="DU1169" s="143" t="str">
        <f>IF(DO1169=1,"self-calculated DF",IF(DP1169=1,"external DF used","explicit C balance"))</f>
        <v>external DF used</v>
      </c>
      <c r="DV1169">
        <v>1</v>
      </c>
      <c r="DW1169">
        <v>1</v>
      </c>
      <c r="DX1169">
        <v>1</v>
      </c>
      <c r="DY1169">
        <v>1</v>
      </c>
      <c r="DZ1169">
        <v>1</v>
      </c>
      <c r="EA1169">
        <v>0</v>
      </c>
      <c r="EB1169">
        <v>1</v>
      </c>
      <c r="EC1169">
        <v>1</v>
      </c>
      <c r="ED1169">
        <v>0</v>
      </c>
      <c r="EE1169">
        <v>0</v>
      </c>
      <c r="EF1169">
        <v>1</v>
      </c>
      <c r="EG1169">
        <v>0</v>
      </c>
      <c r="EH1169">
        <v>0</v>
      </c>
      <c r="EI1169" s="2">
        <v>0</v>
      </c>
      <c r="EK1169" t="str">
        <f>IF(AND(AND(AND(OR($DX1169=1,$DW1169=1),OR($EC1169=1,$EA1169=1)),SUM($DV1169:$DZ1169,$EF1169)&gt;=4),SUM($EA1169:$EE1169)&gt;=2),"Whole sector","")</f>
        <v>Whole sector</v>
      </c>
      <c r="EL1169" t="str">
        <f>IF(AND(AND(OR($DX1169=1,$DW1169=1),AND($EC1169=0,$EA1169=0)),SUM($DV1169:$DZ1169,$EF1169)&gt;=4),"Ecosystem approach","")</f>
        <v/>
      </c>
      <c r="EM1169" s="2" t="str">
        <f>IF(AND(AND(AND($DX1169=0,$DW1169=0),OR($EC1169=1,$EA1169=1)),SUM($EB1169:$EE1169)&gt;=2),"Technology approach","")</f>
        <v/>
      </c>
      <c r="EP1169" t="b">
        <f>IF(ISNUMBER(BU1169),IF(ABS(BU1169-[3]QC_indicators!$B$2)&gt;3*[3]QC_indicators!$C$2,"C ratio",IF(ISNUMBER(BY1169),IF(ABS(BY1169-[3]QC_indicators!$B$1)&gt;3*[3]QC_indicators!$C$1,"DF","no"))),IF(ISNUMBER(BY1169),IF(ABS(BY1169-[3]QC_indicators!$B$1)&gt;3*[3]QC_indicators!$C$1,"DF","no")))</f>
        <v>0</v>
      </c>
      <c r="ER1169" s="294" t="s">
        <v>2171</v>
      </c>
      <c r="ET1169" s="264" t="s">
        <v>3407</v>
      </c>
    </row>
    <row r="1170" spans="1:150" ht="15" customHeight="1">
      <c r="A1170" s="1" t="s">
        <v>1360</v>
      </c>
      <c r="B1170" t="s">
        <v>2135</v>
      </c>
      <c r="C1170" t="s">
        <v>2136</v>
      </c>
      <c r="D1170" t="s">
        <v>2137</v>
      </c>
      <c r="E1170" t="s">
        <v>2138</v>
      </c>
      <c r="F1170" t="s">
        <v>2139</v>
      </c>
      <c r="G1170" t="s">
        <v>1366</v>
      </c>
      <c r="H1170" t="s">
        <v>254</v>
      </c>
      <c r="I1170">
        <v>2012</v>
      </c>
      <c r="J1170">
        <v>21</v>
      </c>
      <c r="K1170" t="s">
        <v>2140</v>
      </c>
      <c r="L1170" s="192"/>
      <c r="M1170" t="str">
        <f>LEFT($D1170,FIND(",",$D1170)-1)&amp;"_"&amp;I1170&amp;L1170</f>
        <v>Pyorala_2012</v>
      </c>
      <c r="N1170" t="s">
        <v>222</v>
      </c>
      <c r="O1170" s="145" t="s">
        <v>341</v>
      </c>
      <c r="Q1170" s="264" t="s">
        <v>256</v>
      </c>
      <c r="R1170" s="269" t="s">
        <v>1154</v>
      </c>
      <c r="S1170" s="1" t="s">
        <v>2179</v>
      </c>
      <c r="T1170" t="s">
        <v>798</v>
      </c>
      <c r="U1170" t="s">
        <v>2168</v>
      </c>
      <c r="V1170">
        <v>0</v>
      </c>
      <c r="W1170">
        <v>0</v>
      </c>
      <c r="X1170">
        <v>0</v>
      </c>
      <c r="Y1170">
        <v>0</v>
      </c>
      <c r="Z1170">
        <v>0</v>
      </c>
      <c r="AA1170">
        <v>0</v>
      </c>
      <c r="AB1170">
        <v>0</v>
      </c>
      <c r="AC1170">
        <v>0</v>
      </c>
      <c r="AD1170">
        <v>0</v>
      </c>
      <c r="AE1170">
        <v>0</v>
      </c>
      <c r="AF1170">
        <v>0</v>
      </c>
      <c r="AG1170">
        <v>0</v>
      </c>
      <c r="AH1170">
        <v>0</v>
      </c>
      <c r="AI1170">
        <v>0</v>
      </c>
      <c r="AJ1170">
        <v>0</v>
      </c>
      <c r="AK1170">
        <v>1</v>
      </c>
      <c r="AL1170">
        <v>0</v>
      </c>
      <c r="AM1170">
        <v>0</v>
      </c>
      <c r="AN1170">
        <v>0</v>
      </c>
      <c r="AO1170">
        <v>0</v>
      </c>
      <c r="AP1170">
        <v>0</v>
      </c>
      <c r="AQ1170">
        <v>0</v>
      </c>
      <c r="AR1170">
        <v>0</v>
      </c>
      <c r="AS1170">
        <v>0</v>
      </c>
      <c r="AT1170">
        <v>0</v>
      </c>
      <c r="AU1170">
        <v>0</v>
      </c>
      <c r="AV1170">
        <v>0</v>
      </c>
      <c r="AW1170">
        <v>0</v>
      </c>
      <c r="AX1170" s="141">
        <f>COUNTIF(V1170:AW1170,"&lt;&gt;0")</f>
        <v>1</v>
      </c>
      <c r="AY1170" s="141">
        <f>COUNTIF(V1170:AL1170,"&lt;&gt;0")</f>
        <v>1</v>
      </c>
      <c r="AZ1170">
        <f>COUNTIF(V1170:AC1170,"&lt;&gt;0")</f>
        <v>0</v>
      </c>
      <c r="BA1170">
        <f>COUNTIF(AD1170:AI1170,"&lt;&gt;0")</f>
        <v>0</v>
      </c>
      <c r="BB1170">
        <f>COUNTIF(AJ1170:AL1170,"&lt;&gt;0")</f>
        <v>1</v>
      </c>
      <c r="BC1170">
        <f>COUNTIF(AS1170:AW1170,"&lt;&gt;0")</f>
        <v>0</v>
      </c>
      <c r="BD1170">
        <f>COUNTIF(AM1170:AR1170,"&lt;&gt;0")</f>
        <v>0</v>
      </c>
      <c r="BE1170" t="str" cm="1">
        <f t="array" ref="BE1170">IF(AY1170=1,INDEX($V$7:$AL$7,MATCH(TRUE,INDEX($V1170:$AW1170&lt;&gt;0,),0)),IF(AY1170=0,INDEX($AM$7:$AW$7,MATCH(1,$AM1170:$AW1170,0)),IF(BF1170="Multiple strategies","mixed drivers",IF(BF1170="Supply chain","multiple supply","multiple silviculture"))))</f>
        <v>technologies/design switch</v>
      </c>
      <c r="BF1170" s="2" t="str" cm="1">
        <f t="array" ref="BF1170">IF(COUNTIF(AZ1170:BB1170,"&lt;&gt;0")=1,INDEX($V$4:$AW$4,MATCH(TRUE,INDEX($V1170:$AW1170&lt;&gt;0,),0)),IF(COUNTIF(AZ1170:BB1170,"&lt;&gt;0")=0,INDEX($AM$4:$AW$4,MATCH(1,$AM1170:$AW1170,0)),"Multiple strategies"))</f>
        <v>Technology</v>
      </c>
      <c r="BH1170" t="s">
        <v>2169</v>
      </c>
      <c r="BN1170" s="143"/>
      <c r="BP1170" s="264" t="s">
        <v>232</v>
      </c>
      <c r="BQ1170" s="264"/>
      <c r="BR1170" t="s">
        <v>2170</v>
      </c>
      <c r="BS1170">
        <v>-157</v>
      </c>
      <c r="BT1170">
        <v>-156</v>
      </c>
      <c r="BU1170" s="144">
        <v>0.45747800586510262</v>
      </c>
      <c r="BV1170">
        <v>185</v>
      </c>
      <c r="BX1170">
        <f>BV1170/1000</f>
        <v>0.185</v>
      </c>
      <c r="BY1170" t="str">
        <f>IFERROR(BX1170/BO1170,"")</f>
        <v/>
      </c>
      <c r="BZ1170">
        <v>0</v>
      </c>
      <c r="CA1170">
        <v>0</v>
      </c>
      <c r="CB1170">
        <v>0</v>
      </c>
      <c r="CC1170">
        <v>0</v>
      </c>
      <c r="CD1170">
        <v>0</v>
      </c>
      <c r="CE1170">
        <v>0</v>
      </c>
      <c r="CF1170">
        <v>0</v>
      </c>
      <c r="CG1170">
        <v>0</v>
      </c>
      <c r="CH1170">
        <v>0</v>
      </c>
      <c r="CI1170">
        <v>0</v>
      </c>
      <c r="CJ1170">
        <v>0</v>
      </c>
      <c r="CK1170">
        <v>0</v>
      </c>
      <c r="CL1170">
        <v>0</v>
      </c>
      <c r="CM1170">
        <v>0</v>
      </c>
      <c r="CN1170" t="str">
        <f>IF(BL1170&lt;BK1170,"refNeedCorrection","refOK")</f>
        <v>refOK</v>
      </c>
      <c r="CO1170"/>
      <c r="CP1170"/>
      <c r="CQ1170"/>
      <c r="CR1170">
        <f>IF($CN1170="refOK",$BS1170,$BT1170)*IF($BP1170="Emissions positive",-1,1)</f>
        <v>-157</v>
      </c>
      <c r="CS1170">
        <f>IF($CN1170="refOK",$BT1170,$BS1170)*IF($BP1170="Emissions positive",-1,1)</f>
        <v>-156</v>
      </c>
      <c r="CT1170">
        <f>IF($CN1170="refNeedCorrection",-BX1170,BX1170)*IF($BP1170="Emissions positive",-1,1)</f>
        <v>0.185</v>
      </c>
      <c r="CU1170" t="str">
        <f>IFERROR(CT1170/CQ1170,"")</f>
        <v/>
      </c>
      <c r="CV1170" s="2">
        <f>IFERROR((CS1170-CR1170)/ABS(CR1170),"")</f>
        <v>6.369426751592357E-3</v>
      </c>
      <c r="CW1170" s="1" t="s">
        <v>1199</v>
      </c>
      <c r="CX1170" s="264" t="str">
        <f>IF(OR($CW1170="prd",$CW1170="std",$CW1170="cit"),"loc",IF(OR($CW1170="eur",$CW1170="reg",$CW1170="coy"),"reg",$CW1170))</f>
        <v>reg</v>
      </c>
      <c r="CY1170" t="s">
        <v>235</v>
      </c>
      <c r="DB1170">
        <v>80</v>
      </c>
      <c r="DC1170" t="str">
        <f>IF(DB1170=0,"0",IF(AND(DB1170&gt;=1,DB1170&lt;=30),"1-30",IF(AND(DB1170&gt;30,DB1170&lt;=70),"31-70",IF(AND(DB1170&gt;70,DB1170&lt;=100),"71-100",IF(DB1170&gt;100,"+100")))))</f>
        <v>71-100</v>
      </c>
      <c r="DD1170">
        <v>0</v>
      </c>
      <c r="DE1170">
        <v>1</v>
      </c>
      <c r="DF1170">
        <v>0</v>
      </c>
      <c r="DG1170">
        <v>0</v>
      </c>
      <c r="DI1170">
        <f>SUM(DD1170:DG1170)</f>
        <v>1</v>
      </c>
      <c r="DJ1170" t="str">
        <f>IF(DI1170=1,INDEX($DD$7:$DG$7,MATCH(1,$DD1170:$DG1170,0)),"mixedProduct")</f>
        <v>EnergyInput</v>
      </c>
      <c r="DK1170">
        <f>IF(DD1170=1,DK$7,0)</f>
        <v>0</v>
      </c>
      <c r="DL1170" t="str">
        <f>IF(DE1170=1,DL$7,0)</f>
        <v>Energy</v>
      </c>
      <c r="DM1170">
        <f>IF(DF1170=1,DM$7,0)</f>
        <v>0</v>
      </c>
      <c r="DN1170">
        <f>IF(DG1170=1,DN$7,0)</f>
        <v>0</v>
      </c>
      <c r="DO1170">
        <v>0</v>
      </c>
      <c r="DP1170">
        <v>1</v>
      </c>
      <c r="DQ1170" t="s">
        <v>2146</v>
      </c>
      <c r="DR1170">
        <v>0</v>
      </c>
      <c r="DS1170">
        <v>0</v>
      </c>
      <c r="DT1170">
        <f>SUM(DO1170:DP1170)</f>
        <v>1</v>
      </c>
      <c r="DU1170" s="143" t="str">
        <f>IF(DO1170=1,"self-calculated DF",IF(DP1170=1,"external DF used","explicit C balance"))</f>
        <v>external DF used</v>
      </c>
      <c r="DV1170">
        <v>1</v>
      </c>
      <c r="DW1170">
        <v>1</v>
      </c>
      <c r="DX1170">
        <v>1</v>
      </c>
      <c r="DY1170">
        <v>1</v>
      </c>
      <c r="DZ1170">
        <v>1</v>
      </c>
      <c r="EA1170">
        <v>0</v>
      </c>
      <c r="EB1170">
        <v>1</v>
      </c>
      <c r="EC1170">
        <v>1</v>
      </c>
      <c r="ED1170">
        <v>0</v>
      </c>
      <c r="EE1170">
        <v>0</v>
      </c>
      <c r="EF1170">
        <v>1</v>
      </c>
      <c r="EG1170">
        <v>0</v>
      </c>
      <c r="EH1170">
        <v>0</v>
      </c>
      <c r="EI1170" s="2">
        <v>0</v>
      </c>
      <c r="EK1170" t="str">
        <f>IF(AND(AND(AND(OR($DX1170=1,$DW1170=1),OR($EC1170=1,$EA1170=1)),SUM($DV1170:$DZ1170,$EF1170)&gt;=4),SUM($EA1170:$EE1170)&gt;=2),"Whole sector","")</f>
        <v>Whole sector</v>
      </c>
      <c r="EL1170" t="str">
        <f>IF(AND(AND(OR($DX1170=1,$DW1170=1),AND($EC1170=0,$EA1170=0)),SUM($DV1170:$DZ1170,$EF1170)&gt;=4),"Ecosystem approach","")</f>
        <v/>
      </c>
      <c r="EM1170" s="2" t="str">
        <f>IF(AND(AND(AND($DX1170=0,$DW1170=0),OR($EC1170=1,$EA1170=1)),SUM($EB1170:$EE1170)&gt;=2),"Technology approach","")</f>
        <v/>
      </c>
      <c r="EP1170" t="b">
        <f>IF(ISNUMBER(BU1170),IF(ABS(BU1170-[3]QC_indicators!$B$2)&gt;3*[3]QC_indicators!$C$2,"C ratio",IF(ISNUMBER(BY1170),IF(ABS(BY1170-[3]QC_indicators!$B$1)&gt;3*[3]QC_indicators!$C$1,"DF","no"))),IF(ISNUMBER(BY1170),IF(ABS(BY1170-[3]QC_indicators!$B$1)&gt;3*[3]QC_indicators!$C$1,"DF","no")))</f>
        <v>0</v>
      </c>
      <c r="ER1170" s="294" t="s">
        <v>2171</v>
      </c>
      <c r="ET1170" s="264" t="s">
        <v>3407</v>
      </c>
    </row>
    <row r="1171" spans="1:150" ht="15" customHeight="1">
      <c r="A1171" s="1" t="s">
        <v>1360</v>
      </c>
      <c r="B1171" t="s">
        <v>2135</v>
      </c>
      <c r="C1171" t="s">
        <v>2136</v>
      </c>
      <c r="D1171" t="s">
        <v>2137</v>
      </c>
      <c r="E1171" t="s">
        <v>2138</v>
      </c>
      <c r="F1171" t="s">
        <v>2139</v>
      </c>
      <c r="G1171" t="s">
        <v>1366</v>
      </c>
      <c r="H1171" t="s">
        <v>254</v>
      </c>
      <c r="I1171">
        <v>2012</v>
      </c>
      <c r="J1171">
        <v>21</v>
      </c>
      <c r="K1171" t="s">
        <v>2140</v>
      </c>
      <c r="L1171" s="192"/>
      <c r="M1171" t="str">
        <f>LEFT($D1171,FIND(",",$D1171)-1)&amp;"_"&amp;I1171&amp;L1171</f>
        <v>Pyorala_2012</v>
      </c>
      <c r="N1171" t="s">
        <v>222</v>
      </c>
      <c r="O1171" s="145" t="s">
        <v>341</v>
      </c>
      <c r="Q1171" s="264" t="s">
        <v>256</v>
      </c>
      <c r="R1171" s="269" t="s">
        <v>1154</v>
      </c>
      <c r="S1171" s="1" t="s">
        <v>2180</v>
      </c>
      <c r="T1171" t="s">
        <v>798</v>
      </c>
      <c r="U1171" t="s">
        <v>2168</v>
      </c>
      <c r="V1171">
        <v>0</v>
      </c>
      <c r="W1171">
        <v>0</v>
      </c>
      <c r="X1171">
        <v>0</v>
      </c>
      <c r="Y1171">
        <v>0</v>
      </c>
      <c r="Z1171">
        <v>0</v>
      </c>
      <c r="AA1171">
        <v>0</v>
      </c>
      <c r="AB1171">
        <v>0</v>
      </c>
      <c r="AC1171">
        <v>0</v>
      </c>
      <c r="AD1171">
        <v>0</v>
      </c>
      <c r="AE1171">
        <v>0</v>
      </c>
      <c r="AF1171">
        <v>0</v>
      </c>
      <c r="AG1171">
        <v>0</v>
      </c>
      <c r="AH1171">
        <v>0</v>
      </c>
      <c r="AI1171">
        <v>0</v>
      </c>
      <c r="AJ1171">
        <v>0</v>
      </c>
      <c r="AK1171">
        <v>1</v>
      </c>
      <c r="AL1171">
        <v>0</v>
      </c>
      <c r="AM1171">
        <v>0</v>
      </c>
      <c r="AN1171">
        <v>0</v>
      </c>
      <c r="AO1171">
        <v>0</v>
      </c>
      <c r="AP1171">
        <v>0</v>
      </c>
      <c r="AQ1171">
        <v>0</v>
      </c>
      <c r="AR1171">
        <v>0</v>
      </c>
      <c r="AS1171">
        <v>0</v>
      </c>
      <c r="AT1171">
        <v>0</v>
      </c>
      <c r="AU1171">
        <v>0</v>
      </c>
      <c r="AV1171">
        <v>0</v>
      </c>
      <c r="AW1171">
        <v>0</v>
      </c>
      <c r="AX1171" s="141">
        <f>COUNTIF(V1171:AW1171,"&lt;&gt;0")</f>
        <v>1</v>
      </c>
      <c r="AY1171" s="141">
        <f>COUNTIF(V1171:AL1171,"&lt;&gt;0")</f>
        <v>1</v>
      </c>
      <c r="AZ1171">
        <f>COUNTIF(V1171:AC1171,"&lt;&gt;0")</f>
        <v>0</v>
      </c>
      <c r="BA1171">
        <f>COUNTIF(AD1171:AI1171,"&lt;&gt;0")</f>
        <v>0</v>
      </c>
      <c r="BB1171">
        <f>COUNTIF(AJ1171:AL1171,"&lt;&gt;0")</f>
        <v>1</v>
      </c>
      <c r="BC1171">
        <f>COUNTIF(AS1171:AW1171,"&lt;&gt;0")</f>
        <v>0</v>
      </c>
      <c r="BD1171">
        <f>COUNTIF(AM1171:AR1171,"&lt;&gt;0")</f>
        <v>0</v>
      </c>
      <c r="BE1171" t="str" cm="1">
        <f t="array" ref="BE1171">IF(AY1171=1,INDEX($V$7:$AL$7,MATCH(TRUE,INDEX($V1171:$AW1171&lt;&gt;0,),0)),IF(AY1171=0,INDEX($AM$7:$AW$7,MATCH(1,$AM1171:$AW1171,0)),IF(BF1171="Multiple strategies","mixed drivers",IF(BF1171="Supply chain","multiple supply","multiple silviculture"))))</f>
        <v>technologies/design switch</v>
      </c>
      <c r="BF1171" s="2" t="str" cm="1">
        <f t="array" ref="BF1171">IF(COUNTIF(AZ1171:BB1171,"&lt;&gt;0")=1,INDEX($V$4:$AW$4,MATCH(TRUE,INDEX($V1171:$AW1171&lt;&gt;0,),0)),IF(COUNTIF(AZ1171:BB1171,"&lt;&gt;0")=0,INDEX($AM$4:$AW$4,MATCH(1,$AM1171:$AW1171,0)),"Multiple strategies"))</f>
        <v>Technology</v>
      </c>
      <c r="BH1171" t="s">
        <v>2169</v>
      </c>
      <c r="BN1171" s="143"/>
      <c r="BP1171" s="264" t="s">
        <v>232</v>
      </c>
      <c r="BQ1171" s="264"/>
      <c r="BR1171" t="s">
        <v>2170</v>
      </c>
      <c r="BS1171">
        <v>-157</v>
      </c>
      <c r="BT1171">
        <v>-162</v>
      </c>
      <c r="BU1171" s="144">
        <v>0.47507331378299122</v>
      </c>
      <c r="BV1171">
        <v>179</v>
      </c>
      <c r="BX1171">
        <f>BV1171/1000</f>
        <v>0.17899999999999999</v>
      </c>
      <c r="BY1171" t="str">
        <f>IFERROR(BX1171/BO1171,"")</f>
        <v/>
      </c>
      <c r="BZ1171">
        <v>0</v>
      </c>
      <c r="CA1171">
        <v>0</v>
      </c>
      <c r="CB1171">
        <v>0</v>
      </c>
      <c r="CC1171">
        <v>0</v>
      </c>
      <c r="CD1171">
        <v>0</v>
      </c>
      <c r="CE1171">
        <v>0</v>
      </c>
      <c r="CF1171">
        <v>0</v>
      </c>
      <c r="CG1171">
        <v>0</v>
      </c>
      <c r="CH1171">
        <v>0</v>
      </c>
      <c r="CI1171">
        <v>0</v>
      </c>
      <c r="CJ1171">
        <v>0</v>
      </c>
      <c r="CK1171">
        <v>0</v>
      </c>
      <c r="CL1171">
        <v>0</v>
      </c>
      <c r="CM1171">
        <v>0</v>
      </c>
      <c r="CN1171" t="str">
        <f>IF(BL1171&lt;BK1171,"refNeedCorrection","refOK")</f>
        <v>refOK</v>
      </c>
      <c r="CO1171"/>
      <c r="CP1171"/>
      <c r="CQ1171"/>
      <c r="CR1171">
        <f>IF($CN1171="refOK",$BS1171,$BT1171)*IF($BP1171="Emissions positive",-1,1)</f>
        <v>-157</v>
      </c>
      <c r="CS1171">
        <f>IF($CN1171="refOK",$BT1171,$BS1171)*IF($BP1171="Emissions positive",-1,1)</f>
        <v>-162</v>
      </c>
      <c r="CT1171">
        <f>IF($CN1171="refNeedCorrection",-BX1171,BX1171)*IF($BP1171="Emissions positive",-1,1)</f>
        <v>0.17899999999999999</v>
      </c>
      <c r="CU1171" t="str">
        <f>IFERROR(CT1171/CQ1171,"")</f>
        <v/>
      </c>
      <c r="CV1171" s="2">
        <f>IFERROR((CS1171-CR1171)/ABS(CR1171),"")</f>
        <v>-3.1847133757961783E-2</v>
      </c>
      <c r="CW1171" s="1" t="s">
        <v>1199</v>
      </c>
      <c r="CX1171" s="264" t="str">
        <f>IF(OR($CW1171="prd",$CW1171="std",$CW1171="cit"),"loc",IF(OR($CW1171="eur",$CW1171="reg",$CW1171="coy"),"reg",$CW1171))</f>
        <v>reg</v>
      </c>
      <c r="CY1171" t="s">
        <v>235</v>
      </c>
      <c r="DB1171">
        <v>80</v>
      </c>
      <c r="DC1171" t="str">
        <f>IF(DB1171=0,"0",IF(AND(DB1171&gt;=1,DB1171&lt;=30),"1-30",IF(AND(DB1171&gt;30,DB1171&lt;=70),"31-70",IF(AND(DB1171&gt;70,DB1171&lt;=100),"71-100",IF(DB1171&gt;100,"+100")))))</f>
        <v>71-100</v>
      </c>
      <c r="DD1171">
        <v>0</v>
      </c>
      <c r="DE1171">
        <v>1</v>
      </c>
      <c r="DF1171">
        <v>0</v>
      </c>
      <c r="DG1171">
        <v>0</v>
      </c>
      <c r="DI1171">
        <f>SUM(DD1171:DG1171)</f>
        <v>1</v>
      </c>
      <c r="DJ1171" t="str">
        <f>IF(DI1171=1,INDEX($DD$7:$DG$7,MATCH(1,$DD1171:$DG1171,0)),"mixedProduct")</f>
        <v>EnergyInput</v>
      </c>
      <c r="DK1171">
        <f>IF(DD1171=1,DK$7,0)</f>
        <v>0</v>
      </c>
      <c r="DL1171" t="str">
        <f>IF(DE1171=1,DL$7,0)</f>
        <v>Energy</v>
      </c>
      <c r="DM1171">
        <f>IF(DF1171=1,DM$7,0)</f>
        <v>0</v>
      </c>
      <c r="DN1171">
        <f>IF(DG1171=1,DN$7,0)</f>
        <v>0</v>
      </c>
      <c r="DO1171">
        <v>0</v>
      </c>
      <c r="DP1171">
        <v>1</v>
      </c>
      <c r="DQ1171" t="s">
        <v>2146</v>
      </c>
      <c r="DR1171">
        <v>0</v>
      </c>
      <c r="DS1171">
        <v>0</v>
      </c>
      <c r="DT1171">
        <f>SUM(DO1171:DP1171)</f>
        <v>1</v>
      </c>
      <c r="DU1171" s="143" t="str">
        <f>IF(DO1171=1,"self-calculated DF",IF(DP1171=1,"external DF used","explicit C balance"))</f>
        <v>external DF used</v>
      </c>
      <c r="DV1171">
        <v>1</v>
      </c>
      <c r="DW1171">
        <v>1</v>
      </c>
      <c r="DX1171">
        <v>1</v>
      </c>
      <c r="DY1171">
        <v>1</v>
      </c>
      <c r="DZ1171">
        <v>1</v>
      </c>
      <c r="EA1171">
        <v>0</v>
      </c>
      <c r="EB1171">
        <v>1</v>
      </c>
      <c r="EC1171">
        <v>1</v>
      </c>
      <c r="ED1171">
        <v>0</v>
      </c>
      <c r="EE1171">
        <v>0</v>
      </c>
      <c r="EF1171">
        <v>1</v>
      </c>
      <c r="EG1171">
        <v>0</v>
      </c>
      <c r="EH1171">
        <v>0</v>
      </c>
      <c r="EI1171" s="2">
        <v>0</v>
      </c>
      <c r="EK1171" t="str">
        <f>IF(AND(AND(AND(OR($DX1171=1,$DW1171=1),OR($EC1171=1,$EA1171=1)),SUM($DV1171:$DZ1171,$EF1171)&gt;=4),SUM($EA1171:$EE1171)&gt;=2),"Whole sector","")</f>
        <v>Whole sector</v>
      </c>
      <c r="EL1171" t="str">
        <f>IF(AND(AND(OR($DX1171=1,$DW1171=1),AND($EC1171=0,$EA1171=0)),SUM($DV1171:$DZ1171,$EF1171)&gt;=4),"Ecosystem approach","")</f>
        <v/>
      </c>
      <c r="EM1171" s="2" t="str">
        <f>IF(AND(AND(AND($DX1171=0,$DW1171=0),OR($EC1171=1,$EA1171=1)),SUM($EB1171:$EE1171)&gt;=2),"Technology approach","")</f>
        <v/>
      </c>
      <c r="EP1171" t="b">
        <f>IF(ISNUMBER(BU1171),IF(ABS(BU1171-[3]QC_indicators!$B$2)&gt;3*[3]QC_indicators!$C$2,"C ratio",IF(ISNUMBER(BY1171),IF(ABS(BY1171-[3]QC_indicators!$B$1)&gt;3*[3]QC_indicators!$C$1,"DF","no"))),IF(ISNUMBER(BY1171),IF(ABS(BY1171-[3]QC_indicators!$B$1)&gt;3*[3]QC_indicators!$C$1,"DF","no")))</f>
        <v>0</v>
      </c>
      <c r="ER1171" s="294" t="s">
        <v>2171</v>
      </c>
      <c r="ET1171" s="264" t="s">
        <v>3407</v>
      </c>
    </row>
    <row r="1172" spans="1:150" ht="15" customHeight="1">
      <c r="A1172" s="1" t="s">
        <v>1360</v>
      </c>
      <c r="B1172" t="s">
        <v>2135</v>
      </c>
      <c r="C1172" t="s">
        <v>2136</v>
      </c>
      <c r="D1172" t="s">
        <v>2137</v>
      </c>
      <c r="E1172" t="s">
        <v>2138</v>
      </c>
      <c r="F1172" t="s">
        <v>2139</v>
      </c>
      <c r="G1172" t="s">
        <v>1366</v>
      </c>
      <c r="H1172" t="s">
        <v>254</v>
      </c>
      <c r="I1172">
        <v>2012</v>
      </c>
      <c r="J1172">
        <v>21</v>
      </c>
      <c r="K1172" t="s">
        <v>2140</v>
      </c>
      <c r="L1172" s="192"/>
      <c r="M1172" t="str">
        <f>LEFT($D1172,FIND(",",$D1172)-1)&amp;"_"&amp;I1172&amp;L1172</f>
        <v>Pyorala_2012</v>
      </c>
      <c r="N1172" t="s">
        <v>222</v>
      </c>
      <c r="O1172" s="145" t="s">
        <v>341</v>
      </c>
      <c r="Q1172" s="264" t="s">
        <v>256</v>
      </c>
      <c r="R1172" s="269" t="s">
        <v>1154</v>
      </c>
      <c r="S1172" s="1" t="s">
        <v>2181</v>
      </c>
      <c r="T1172" t="s">
        <v>798</v>
      </c>
      <c r="U1172" t="s">
        <v>2168</v>
      </c>
      <c r="V1172">
        <v>0</v>
      </c>
      <c r="W1172">
        <v>0</v>
      </c>
      <c r="X1172">
        <v>0</v>
      </c>
      <c r="Y1172">
        <v>0</v>
      </c>
      <c r="Z1172">
        <v>0</v>
      </c>
      <c r="AA1172">
        <v>0</v>
      </c>
      <c r="AB1172">
        <v>0</v>
      </c>
      <c r="AC1172">
        <v>0</v>
      </c>
      <c r="AD1172">
        <v>0</v>
      </c>
      <c r="AE1172">
        <v>0</v>
      </c>
      <c r="AF1172">
        <v>0</v>
      </c>
      <c r="AG1172">
        <v>0</v>
      </c>
      <c r="AH1172">
        <v>0</v>
      </c>
      <c r="AI1172">
        <v>0</v>
      </c>
      <c r="AJ1172">
        <v>0</v>
      </c>
      <c r="AK1172">
        <v>1</v>
      </c>
      <c r="AL1172">
        <v>0</v>
      </c>
      <c r="AM1172">
        <v>0</v>
      </c>
      <c r="AN1172">
        <v>0</v>
      </c>
      <c r="AO1172">
        <v>0</v>
      </c>
      <c r="AP1172">
        <v>0</v>
      </c>
      <c r="AQ1172">
        <v>0</v>
      </c>
      <c r="AR1172">
        <v>0</v>
      </c>
      <c r="AS1172">
        <v>0</v>
      </c>
      <c r="AT1172">
        <v>0</v>
      </c>
      <c r="AU1172">
        <v>0</v>
      </c>
      <c r="AV1172">
        <v>0</v>
      </c>
      <c r="AW1172">
        <v>0</v>
      </c>
      <c r="AX1172" s="141">
        <f>COUNTIF(V1172:AW1172,"&lt;&gt;0")</f>
        <v>1</v>
      </c>
      <c r="AY1172" s="141">
        <f>COUNTIF(V1172:AL1172,"&lt;&gt;0")</f>
        <v>1</v>
      </c>
      <c r="AZ1172">
        <f>COUNTIF(V1172:AC1172,"&lt;&gt;0")</f>
        <v>0</v>
      </c>
      <c r="BA1172">
        <f>COUNTIF(AD1172:AI1172,"&lt;&gt;0")</f>
        <v>0</v>
      </c>
      <c r="BB1172">
        <f>COUNTIF(AJ1172:AL1172,"&lt;&gt;0")</f>
        <v>1</v>
      </c>
      <c r="BC1172">
        <f>COUNTIF(AS1172:AW1172,"&lt;&gt;0")</f>
        <v>0</v>
      </c>
      <c r="BD1172">
        <f>COUNTIF(AM1172:AR1172,"&lt;&gt;0")</f>
        <v>0</v>
      </c>
      <c r="BE1172" t="str" cm="1">
        <f t="array" ref="BE1172">IF(AY1172=1,INDEX($V$7:$AL$7,MATCH(TRUE,INDEX($V1172:$AW1172&lt;&gt;0,),0)),IF(AY1172=0,INDEX($AM$7:$AW$7,MATCH(1,$AM1172:$AW1172,0)),IF(BF1172="Multiple strategies","mixed drivers",IF(BF1172="Supply chain","multiple supply","multiple silviculture"))))</f>
        <v>technologies/design switch</v>
      </c>
      <c r="BF1172" s="2" t="str" cm="1">
        <f t="array" ref="BF1172">IF(COUNTIF(AZ1172:BB1172,"&lt;&gt;0")=1,INDEX($V$4:$AW$4,MATCH(TRUE,INDEX($V1172:$AW1172&lt;&gt;0,),0)),IF(COUNTIF(AZ1172:BB1172,"&lt;&gt;0")=0,INDEX($AM$4:$AW$4,MATCH(1,$AM1172:$AW1172,0)),"Multiple strategies"))</f>
        <v>Technology</v>
      </c>
      <c r="BH1172" t="s">
        <v>2169</v>
      </c>
      <c r="BN1172" s="143"/>
      <c r="BP1172" s="264" t="s">
        <v>232</v>
      </c>
      <c r="BQ1172" s="264"/>
      <c r="BR1172" t="s">
        <v>2170</v>
      </c>
      <c r="BS1172">
        <v>-157</v>
      </c>
      <c r="BT1172">
        <v>-179</v>
      </c>
      <c r="BU1172" s="144">
        <v>0.52492668621700878</v>
      </c>
      <c r="BV1172">
        <v>162</v>
      </c>
      <c r="BX1172">
        <f>BV1172/1000</f>
        <v>0.16200000000000001</v>
      </c>
      <c r="BY1172" t="str">
        <f>IFERROR(BX1172/BO1172,"")</f>
        <v/>
      </c>
      <c r="BZ1172">
        <v>0</v>
      </c>
      <c r="CA1172">
        <v>0</v>
      </c>
      <c r="CB1172">
        <v>0</v>
      </c>
      <c r="CC1172">
        <v>0</v>
      </c>
      <c r="CD1172">
        <v>0</v>
      </c>
      <c r="CE1172">
        <v>0</v>
      </c>
      <c r="CF1172">
        <v>0</v>
      </c>
      <c r="CG1172">
        <v>0</v>
      </c>
      <c r="CH1172">
        <v>0</v>
      </c>
      <c r="CI1172">
        <v>0</v>
      </c>
      <c r="CJ1172">
        <v>0</v>
      </c>
      <c r="CK1172">
        <v>0</v>
      </c>
      <c r="CL1172">
        <v>0</v>
      </c>
      <c r="CM1172">
        <v>0</v>
      </c>
      <c r="CN1172" t="str">
        <f>IF(BL1172&lt;BK1172,"refNeedCorrection","refOK")</f>
        <v>refOK</v>
      </c>
      <c r="CO1172"/>
      <c r="CP1172"/>
      <c r="CQ1172"/>
      <c r="CR1172">
        <f>IF($CN1172="refOK",$BS1172,$BT1172)*IF($BP1172="Emissions positive",-1,1)</f>
        <v>-157</v>
      </c>
      <c r="CS1172">
        <f>IF($CN1172="refOK",$BT1172,$BS1172)*IF($BP1172="Emissions positive",-1,1)</f>
        <v>-179</v>
      </c>
      <c r="CT1172">
        <f>IF($CN1172="refNeedCorrection",-BX1172,BX1172)*IF($BP1172="Emissions positive",-1,1)</f>
        <v>0.16200000000000001</v>
      </c>
      <c r="CU1172" t="str">
        <f>IFERROR(CT1172/CQ1172,"")</f>
        <v/>
      </c>
      <c r="CV1172" s="2">
        <f>IFERROR((CS1172-CR1172)/ABS(CR1172),"")</f>
        <v>-0.14012738853503184</v>
      </c>
      <c r="CW1172" s="1" t="s">
        <v>1199</v>
      </c>
      <c r="CX1172" s="264" t="str">
        <f>IF(OR($CW1172="prd",$CW1172="std",$CW1172="cit"),"loc",IF(OR($CW1172="eur",$CW1172="reg",$CW1172="coy"),"reg",$CW1172))</f>
        <v>reg</v>
      </c>
      <c r="CY1172" t="s">
        <v>235</v>
      </c>
      <c r="DB1172">
        <v>80</v>
      </c>
      <c r="DC1172" t="str">
        <f>IF(DB1172=0,"0",IF(AND(DB1172&gt;=1,DB1172&lt;=30),"1-30",IF(AND(DB1172&gt;30,DB1172&lt;=70),"31-70",IF(AND(DB1172&gt;70,DB1172&lt;=100),"71-100",IF(DB1172&gt;100,"+100")))))</f>
        <v>71-100</v>
      </c>
      <c r="DD1172">
        <v>0</v>
      </c>
      <c r="DE1172">
        <v>1</v>
      </c>
      <c r="DF1172">
        <v>0</v>
      </c>
      <c r="DG1172">
        <v>0</v>
      </c>
      <c r="DI1172">
        <f>SUM(DD1172:DG1172)</f>
        <v>1</v>
      </c>
      <c r="DJ1172" t="str">
        <f>IF(DI1172=1,INDEX($DD$7:$DG$7,MATCH(1,$DD1172:$DG1172,0)),"mixedProduct")</f>
        <v>EnergyInput</v>
      </c>
      <c r="DK1172">
        <f>IF(DD1172=1,DK$7,0)</f>
        <v>0</v>
      </c>
      <c r="DL1172" t="str">
        <f>IF(DE1172=1,DL$7,0)</f>
        <v>Energy</v>
      </c>
      <c r="DM1172">
        <f>IF(DF1172=1,DM$7,0)</f>
        <v>0</v>
      </c>
      <c r="DN1172">
        <f>IF(DG1172=1,DN$7,0)</f>
        <v>0</v>
      </c>
      <c r="DO1172">
        <v>0</v>
      </c>
      <c r="DP1172">
        <v>1</v>
      </c>
      <c r="DQ1172" t="s">
        <v>2146</v>
      </c>
      <c r="DR1172">
        <v>0</v>
      </c>
      <c r="DS1172">
        <v>0</v>
      </c>
      <c r="DT1172">
        <f>SUM(DO1172:DP1172)</f>
        <v>1</v>
      </c>
      <c r="DU1172" s="143" t="str">
        <f>IF(DO1172=1,"self-calculated DF",IF(DP1172=1,"external DF used","explicit C balance"))</f>
        <v>external DF used</v>
      </c>
      <c r="DV1172">
        <v>1</v>
      </c>
      <c r="DW1172">
        <v>1</v>
      </c>
      <c r="DX1172">
        <v>1</v>
      </c>
      <c r="DY1172">
        <v>1</v>
      </c>
      <c r="DZ1172">
        <v>1</v>
      </c>
      <c r="EA1172">
        <v>0</v>
      </c>
      <c r="EB1172">
        <v>1</v>
      </c>
      <c r="EC1172">
        <v>1</v>
      </c>
      <c r="ED1172">
        <v>0</v>
      </c>
      <c r="EE1172">
        <v>0</v>
      </c>
      <c r="EF1172">
        <v>1</v>
      </c>
      <c r="EG1172">
        <v>0</v>
      </c>
      <c r="EH1172">
        <v>0</v>
      </c>
      <c r="EI1172" s="2">
        <v>0</v>
      </c>
      <c r="EK1172" t="str">
        <f>IF(AND(AND(AND(OR($DX1172=1,$DW1172=1),OR($EC1172=1,$EA1172=1)),SUM($DV1172:$DZ1172,$EF1172)&gt;=4),SUM($EA1172:$EE1172)&gt;=2),"Whole sector","")</f>
        <v>Whole sector</v>
      </c>
      <c r="EL1172" t="str">
        <f>IF(AND(AND(OR($DX1172=1,$DW1172=1),AND($EC1172=0,$EA1172=0)),SUM($DV1172:$DZ1172,$EF1172)&gt;=4),"Ecosystem approach","")</f>
        <v/>
      </c>
      <c r="EM1172" s="2" t="str">
        <f>IF(AND(AND(AND($DX1172=0,$DW1172=0),OR($EC1172=1,$EA1172=1)),SUM($EB1172:$EE1172)&gt;=2),"Technology approach","")</f>
        <v/>
      </c>
      <c r="EP1172" t="b">
        <f>IF(ISNUMBER(BU1172),IF(ABS(BU1172-[3]QC_indicators!$B$2)&gt;3*[3]QC_indicators!$C$2,"C ratio",IF(ISNUMBER(BY1172),IF(ABS(BY1172-[3]QC_indicators!$B$1)&gt;3*[3]QC_indicators!$C$1,"DF","no"))),IF(ISNUMBER(BY1172),IF(ABS(BY1172-[3]QC_indicators!$B$1)&gt;3*[3]QC_indicators!$C$1,"DF","no")))</f>
        <v>0</v>
      </c>
      <c r="ER1172" s="294" t="s">
        <v>2171</v>
      </c>
      <c r="ET1172" s="264" t="s">
        <v>3407</v>
      </c>
    </row>
    <row r="1173" spans="1:150" ht="15" customHeight="1">
      <c r="A1173" s="1" t="s">
        <v>1360</v>
      </c>
      <c r="B1173" t="s">
        <v>2135</v>
      </c>
      <c r="C1173" t="s">
        <v>2136</v>
      </c>
      <c r="D1173" t="s">
        <v>2137</v>
      </c>
      <c r="E1173" t="s">
        <v>2138</v>
      </c>
      <c r="F1173" t="s">
        <v>2139</v>
      </c>
      <c r="G1173" t="s">
        <v>1366</v>
      </c>
      <c r="H1173" t="s">
        <v>254</v>
      </c>
      <c r="I1173">
        <v>2012</v>
      </c>
      <c r="J1173">
        <v>21</v>
      </c>
      <c r="K1173" t="s">
        <v>2140</v>
      </c>
      <c r="L1173" s="192"/>
      <c r="M1173" t="str">
        <f>LEFT($D1173,FIND(",",$D1173)-1)&amp;"_"&amp;I1173&amp;L1173</f>
        <v>Pyorala_2012</v>
      </c>
      <c r="N1173" t="s">
        <v>222</v>
      </c>
      <c r="O1173" s="145" t="s">
        <v>341</v>
      </c>
      <c r="Q1173" s="264" t="s">
        <v>256</v>
      </c>
      <c r="R1173" s="269" t="s">
        <v>1154</v>
      </c>
      <c r="S1173" s="1" t="s">
        <v>2182</v>
      </c>
      <c r="T1173" t="s">
        <v>798</v>
      </c>
      <c r="U1173" t="s">
        <v>2168</v>
      </c>
      <c r="V1173">
        <v>0</v>
      </c>
      <c r="W1173">
        <v>0</v>
      </c>
      <c r="X1173">
        <v>0</v>
      </c>
      <c r="Y1173">
        <v>0</v>
      </c>
      <c r="Z1173">
        <v>0</v>
      </c>
      <c r="AA1173">
        <v>0</v>
      </c>
      <c r="AB1173">
        <v>0</v>
      </c>
      <c r="AC1173">
        <v>0</v>
      </c>
      <c r="AD1173">
        <v>0</v>
      </c>
      <c r="AE1173">
        <v>0</v>
      </c>
      <c r="AF1173">
        <v>0</v>
      </c>
      <c r="AG1173">
        <v>0</v>
      </c>
      <c r="AH1173">
        <v>0</v>
      </c>
      <c r="AI1173">
        <v>0</v>
      </c>
      <c r="AJ1173">
        <v>0</v>
      </c>
      <c r="AK1173">
        <v>1</v>
      </c>
      <c r="AL1173">
        <v>0</v>
      </c>
      <c r="AM1173">
        <v>0</v>
      </c>
      <c r="AN1173">
        <v>0</v>
      </c>
      <c r="AO1173">
        <v>0</v>
      </c>
      <c r="AP1173">
        <v>0</v>
      </c>
      <c r="AQ1173">
        <v>0</v>
      </c>
      <c r="AR1173">
        <v>0</v>
      </c>
      <c r="AS1173">
        <v>0</v>
      </c>
      <c r="AT1173">
        <v>0</v>
      </c>
      <c r="AU1173">
        <v>0</v>
      </c>
      <c r="AV1173">
        <v>0</v>
      </c>
      <c r="AW1173">
        <v>0</v>
      </c>
      <c r="AX1173" s="141">
        <f>COUNTIF(V1173:AW1173,"&lt;&gt;0")</f>
        <v>1</v>
      </c>
      <c r="AY1173" s="141">
        <f>COUNTIF(V1173:AL1173,"&lt;&gt;0")</f>
        <v>1</v>
      </c>
      <c r="AZ1173">
        <f>COUNTIF(V1173:AC1173,"&lt;&gt;0")</f>
        <v>0</v>
      </c>
      <c r="BA1173">
        <f>COUNTIF(AD1173:AI1173,"&lt;&gt;0")</f>
        <v>0</v>
      </c>
      <c r="BB1173">
        <f>COUNTIF(AJ1173:AL1173,"&lt;&gt;0")</f>
        <v>1</v>
      </c>
      <c r="BC1173">
        <f>COUNTIF(AS1173:AW1173,"&lt;&gt;0")</f>
        <v>0</v>
      </c>
      <c r="BD1173">
        <f>COUNTIF(AM1173:AR1173,"&lt;&gt;0")</f>
        <v>0</v>
      </c>
      <c r="BE1173" t="str" cm="1">
        <f t="array" ref="BE1173">IF(AY1173=1,INDEX($V$7:$AL$7,MATCH(TRUE,INDEX($V1173:$AW1173&lt;&gt;0,),0)),IF(AY1173=0,INDEX($AM$7:$AW$7,MATCH(1,$AM1173:$AW1173,0)),IF(BF1173="Multiple strategies","mixed drivers",IF(BF1173="Supply chain","multiple supply","multiple silviculture"))))</f>
        <v>technologies/design switch</v>
      </c>
      <c r="BF1173" s="2" t="str" cm="1">
        <f t="array" ref="BF1173">IF(COUNTIF(AZ1173:BB1173,"&lt;&gt;0")=1,INDEX($V$4:$AW$4,MATCH(TRUE,INDEX($V1173:$AW1173&lt;&gt;0,),0)),IF(COUNTIF(AZ1173:BB1173,"&lt;&gt;0")=0,INDEX($AM$4:$AW$4,MATCH(1,$AM1173:$AW1173,0)),"Multiple strategies"))</f>
        <v>Technology</v>
      </c>
      <c r="BH1173" t="s">
        <v>2169</v>
      </c>
      <c r="BN1173" s="143"/>
      <c r="BP1173" s="264" t="s">
        <v>232</v>
      </c>
      <c r="BQ1173" s="264"/>
      <c r="BR1173" t="s">
        <v>2170</v>
      </c>
      <c r="BS1173">
        <v>-157</v>
      </c>
      <c r="BT1173">
        <v>-180</v>
      </c>
      <c r="BU1173" s="144">
        <v>0.52785923753665687</v>
      </c>
      <c r="BV1173">
        <v>161</v>
      </c>
      <c r="BX1173">
        <f>BV1173/1000</f>
        <v>0.161</v>
      </c>
      <c r="BY1173" t="str">
        <f>IFERROR(BX1173/BO1173,"")</f>
        <v/>
      </c>
      <c r="BZ1173">
        <v>0</v>
      </c>
      <c r="CA1173">
        <v>0</v>
      </c>
      <c r="CB1173">
        <v>0</v>
      </c>
      <c r="CC1173">
        <v>0</v>
      </c>
      <c r="CD1173">
        <v>0</v>
      </c>
      <c r="CE1173">
        <v>0</v>
      </c>
      <c r="CF1173">
        <v>0</v>
      </c>
      <c r="CG1173">
        <v>0</v>
      </c>
      <c r="CH1173">
        <v>0</v>
      </c>
      <c r="CI1173">
        <v>0</v>
      </c>
      <c r="CJ1173">
        <v>0</v>
      </c>
      <c r="CK1173">
        <v>0</v>
      </c>
      <c r="CL1173">
        <v>0</v>
      </c>
      <c r="CM1173">
        <v>0</v>
      </c>
      <c r="CN1173" t="str">
        <f>IF(BL1173&lt;BK1173,"refNeedCorrection","refOK")</f>
        <v>refOK</v>
      </c>
      <c r="CO1173"/>
      <c r="CP1173"/>
      <c r="CQ1173"/>
      <c r="CR1173">
        <f>IF($CN1173="refOK",$BS1173,$BT1173)*IF($BP1173="Emissions positive",-1,1)</f>
        <v>-157</v>
      </c>
      <c r="CS1173">
        <f>IF($CN1173="refOK",$BT1173,$BS1173)*IF($BP1173="Emissions positive",-1,1)</f>
        <v>-180</v>
      </c>
      <c r="CT1173">
        <f>IF($CN1173="refNeedCorrection",-BX1173,BX1173)*IF($BP1173="Emissions positive",-1,1)</f>
        <v>0.161</v>
      </c>
      <c r="CU1173" t="str">
        <f>IFERROR(CT1173/CQ1173,"")</f>
        <v/>
      </c>
      <c r="CV1173" s="2">
        <f>IFERROR((CS1173-CR1173)/ABS(CR1173),"")</f>
        <v>-0.1464968152866242</v>
      </c>
      <c r="CW1173" s="1" t="s">
        <v>1199</v>
      </c>
      <c r="CX1173" s="264" t="str">
        <f>IF(OR($CW1173="prd",$CW1173="std",$CW1173="cit"),"loc",IF(OR($CW1173="eur",$CW1173="reg",$CW1173="coy"),"reg",$CW1173))</f>
        <v>reg</v>
      </c>
      <c r="CY1173" t="s">
        <v>235</v>
      </c>
      <c r="DB1173">
        <v>80</v>
      </c>
      <c r="DC1173" t="str">
        <f>IF(DB1173=0,"0",IF(AND(DB1173&gt;=1,DB1173&lt;=30),"1-30",IF(AND(DB1173&gt;30,DB1173&lt;=70),"31-70",IF(AND(DB1173&gt;70,DB1173&lt;=100),"71-100",IF(DB1173&gt;100,"+100")))))</f>
        <v>71-100</v>
      </c>
      <c r="DD1173">
        <v>0</v>
      </c>
      <c r="DE1173">
        <v>1</v>
      </c>
      <c r="DF1173">
        <v>0</v>
      </c>
      <c r="DG1173">
        <v>0</v>
      </c>
      <c r="DI1173">
        <f>SUM(DD1173:DG1173)</f>
        <v>1</v>
      </c>
      <c r="DJ1173" t="str">
        <f>IF(DI1173=1,INDEX($DD$7:$DG$7,MATCH(1,$DD1173:$DG1173,0)),"mixedProduct")</f>
        <v>EnergyInput</v>
      </c>
      <c r="DK1173">
        <f>IF(DD1173=1,DK$7,0)</f>
        <v>0</v>
      </c>
      <c r="DL1173" t="str">
        <f>IF(DE1173=1,DL$7,0)</f>
        <v>Energy</v>
      </c>
      <c r="DM1173">
        <f>IF(DF1173=1,DM$7,0)</f>
        <v>0</v>
      </c>
      <c r="DN1173">
        <f>IF(DG1173=1,DN$7,0)</f>
        <v>0</v>
      </c>
      <c r="DO1173">
        <v>0</v>
      </c>
      <c r="DP1173">
        <v>1</v>
      </c>
      <c r="DQ1173" t="s">
        <v>2146</v>
      </c>
      <c r="DR1173">
        <v>0</v>
      </c>
      <c r="DS1173">
        <v>0</v>
      </c>
      <c r="DT1173">
        <f>SUM(DO1173:DP1173)</f>
        <v>1</v>
      </c>
      <c r="DU1173" s="143" t="str">
        <f>IF(DO1173=1,"self-calculated DF",IF(DP1173=1,"external DF used","explicit C balance"))</f>
        <v>external DF used</v>
      </c>
      <c r="DV1173">
        <v>1</v>
      </c>
      <c r="DW1173">
        <v>1</v>
      </c>
      <c r="DX1173">
        <v>1</v>
      </c>
      <c r="DY1173">
        <v>1</v>
      </c>
      <c r="DZ1173">
        <v>1</v>
      </c>
      <c r="EA1173">
        <v>0</v>
      </c>
      <c r="EB1173">
        <v>1</v>
      </c>
      <c r="EC1173">
        <v>1</v>
      </c>
      <c r="ED1173">
        <v>0</v>
      </c>
      <c r="EE1173">
        <v>0</v>
      </c>
      <c r="EF1173">
        <v>1</v>
      </c>
      <c r="EG1173">
        <v>0</v>
      </c>
      <c r="EH1173">
        <v>0</v>
      </c>
      <c r="EI1173" s="2">
        <v>0</v>
      </c>
      <c r="EK1173" t="str">
        <f>IF(AND(AND(AND(OR($DX1173=1,$DW1173=1),OR($EC1173=1,$EA1173=1)),SUM($DV1173:$DZ1173,$EF1173)&gt;=4),SUM($EA1173:$EE1173)&gt;=2),"Whole sector","")</f>
        <v>Whole sector</v>
      </c>
      <c r="EL1173" t="str">
        <f>IF(AND(AND(OR($DX1173=1,$DW1173=1),AND($EC1173=0,$EA1173=0)),SUM($DV1173:$DZ1173,$EF1173)&gt;=4),"Ecosystem approach","")</f>
        <v/>
      </c>
      <c r="EM1173" s="2" t="str">
        <f>IF(AND(AND(AND($DX1173=0,$DW1173=0),OR($EC1173=1,$EA1173=1)),SUM($EB1173:$EE1173)&gt;=2),"Technology approach","")</f>
        <v/>
      </c>
      <c r="EP1173" t="b">
        <f>IF(ISNUMBER(BU1173),IF(ABS(BU1173-[3]QC_indicators!$B$2)&gt;3*[3]QC_indicators!$C$2,"C ratio",IF(ISNUMBER(BY1173),IF(ABS(BY1173-[3]QC_indicators!$B$1)&gt;3*[3]QC_indicators!$C$1,"DF","no"))),IF(ISNUMBER(BY1173),IF(ABS(BY1173-[3]QC_indicators!$B$1)&gt;3*[3]QC_indicators!$C$1,"DF","no")))</f>
        <v>0</v>
      </c>
      <c r="ER1173" s="294" t="s">
        <v>2171</v>
      </c>
      <c r="ET1173" s="264" t="s">
        <v>3407</v>
      </c>
    </row>
    <row r="1174" spans="1:150" ht="15" customHeight="1">
      <c r="A1174" s="1" t="s">
        <v>1360</v>
      </c>
      <c r="B1174" t="s">
        <v>2135</v>
      </c>
      <c r="C1174" t="s">
        <v>2136</v>
      </c>
      <c r="D1174" t="s">
        <v>2137</v>
      </c>
      <c r="E1174" t="s">
        <v>2138</v>
      </c>
      <c r="F1174" t="s">
        <v>2139</v>
      </c>
      <c r="G1174" t="s">
        <v>1366</v>
      </c>
      <c r="H1174" t="s">
        <v>254</v>
      </c>
      <c r="I1174">
        <v>2012</v>
      </c>
      <c r="J1174">
        <v>21</v>
      </c>
      <c r="K1174" t="s">
        <v>2140</v>
      </c>
      <c r="L1174" s="192"/>
      <c r="M1174" t="str">
        <f>LEFT($D1174,FIND(",",$D1174)-1)&amp;"_"&amp;I1174&amp;L1174</f>
        <v>Pyorala_2012</v>
      </c>
      <c r="N1174" t="s">
        <v>222</v>
      </c>
      <c r="O1174" s="145" t="s">
        <v>341</v>
      </c>
      <c r="Q1174" s="264" t="s">
        <v>256</v>
      </c>
      <c r="R1174" s="269" t="s">
        <v>1154</v>
      </c>
      <c r="S1174" s="1" t="s">
        <v>2183</v>
      </c>
      <c r="T1174" t="s">
        <v>798</v>
      </c>
      <c r="U1174" t="s">
        <v>2168</v>
      </c>
      <c r="V1174">
        <v>0</v>
      </c>
      <c r="W1174">
        <v>0</v>
      </c>
      <c r="X1174">
        <v>0</v>
      </c>
      <c r="Y1174">
        <v>0</v>
      </c>
      <c r="Z1174">
        <v>0</v>
      </c>
      <c r="AA1174">
        <v>0</v>
      </c>
      <c r="AB1174">
        <v>0</v>
      </c>
      <c r="AC1174">
        <v>0</v>
      </c>
      <c r="AD1174">
        <v>0</v>
      </c>
      <c r="AE1174">
        <v>0</v>
      </c>
      <c r="AF1174">
        <v>0</v>
      </c>
      <c r="AG1174">
        <v>0</v>
      </c>
      <c r="AH1174">
        <v>0</v>
      </c>
      <c r="AI1174">
        <v>0</v>
      </c>
      <c r="AJ1174">
        <v>0</v>
      </c>
      <c r="AK1174">
        <v>1</v>
      </c>
      <c r="AL1174">
        <v>0</v>
      </c>
      <c r="AM1174">
        <v>0</v>
      </c>
      <c r="AN1174">
        <v>0</v>
      </c>
      <c r="AO1174">
        <v>0</v>
      </c>
      <c r="AP1174">
        <v>0</v>
      </c>
      <c r="AQ1174">
        <v>0</v>
      </c>
      <c r="AR1174">
        <v>0</v>
      </c>
      <c r="AS1174">
        <v>0</v>
      </c>
      <c r="AT1174">
        <v>0</v>
      </c>
      <c r="AU1174">
        <v>0</v>
      </c>
      <c r="AV1174">
        <v>0</v>
      </c>
      <c r="AW1174">
        <v>0</v>
      </c>
      <c r="AX1174" s="141">
        <f>COUNTIF(V1174:AW1174,"&lt;&gt;0")</f>
        <v>1</v>
      </c>
      <c r="AY1174" s="141">
        <f>COUNTIF(V1174:AL1174,"&lt;&gt;0")</f>
        <v>1</v>
      </c>
      <c r="AZ1174">
        <f>COUNTIF(V1174:AC1174,"&lt;&gt;0")</f>
        <v>0</v>
      </c>
      <c r="BA1174">
        <f>COUNTIF(AD1174:AI1174,"&lt;&gt;0")</f>
        <v>0</v>
      </c>
      <c r="BB1174">
        <f>COUNTIF(AJ1174:AL1174,"&lt;&gt;0")</f>
        <v>1</v>
      </c>
      <c r="BC1174">
        <f>COUNTIF(AS1174:AW1174,"&lt;&gt;0")</f>
        <v>0</v>
      </c>
      <c r="BD1174">
        <f>COUNTIF(AM1174:AR1174,"&lt;&gt;0")</f>
        <v>0</v>
      </c>
      <c r="BE1174" t="str" cm="1">
        <f t="array" ref="BE1174">IF(AY1174=1,INDEX($V$7:$AL$7,MATCH(TRUE,INDEX($V1174:$AW1174&lt;&gt;0,),0)),IF(AY1174=0,INDEX($AM$7:$AW$7,MATCH(1,$AM1174:$AW1174,0)),IF(BF1174="Multiple strategies","mixed drivers",IF(BF1174="Supply chain","multiple supply","multiple silviculture"))))</f>
        <v>technologies/design switch</v>
      </c>
      <c r="BF1174" s="2" t="str" cm="1">
        <f t="array" ref="BF1174">IF(COUNTIF(AZ1174:BB1174,"&lt;&gt;0")=1,INDEX($V$4:$AW$4,MATCH(TRUE,INDEX($V1174:$AW1174&lt;&gt;0,),0)),IF(COUNTIF(AZ1174:BB1174,"&lt;&gt;0")=0,INDEX($AM$4:$AW$4,MATCH(1,$AM1174:$AW1174,0)),"Multiple strategies"))</f>
        <v>Technology</v>
      </c>
      <c r="BH1174" t="s">
        <v>2169</v>
      </c>
      <c r="BN1174" s="143"/>
      <c r="BP1174" s="264" t="s">
        <v>232</v>
      </c>
      <c r="BQ1174" s="264"/>
      <c r="BR1174" t="s">
        <v>2170</v>
      </c>
      <c r="BS1174">
        <v>-157</v>
      </c>
      <c r="BT1174">
        <v>-182</v>
      </c>
      <c r="BU1174" s="144">
        <v>0.53372434017595305</v>
      </c>
      <c r="BV1174">
        <v>159</v>
      </c>
      <c r="BX1174">
        <f>BV1174/1000</f>
        <v>0.159</v>
      </c>
      <c r="BY1174" t="str">
        <f>IFERROR(BX1174/BO1174,"")</f>
        <v/>
      </c>
      <c r="BZ1174">
        <v>0</v>
      </c>
      <c r="CA1174">
        <v>0</v>
      </c>
      <c r="CB1174">
        <v>0</v>
      </c>
      <c r="CC1174">
        <v>0</v>
      </c>
      <c r="CD1174">
        <v>0</v>
      </c>
      <c r="CE1174">
        <v>0</v>
      </c>
      <c r="CF1174">
        <v>0</v>
      </c>
      <c r="CG1174">
        <v>0</v>
      </c>
      <c r="CH1174">
        <v>0</v>
      </c>
      <c r="CI1174">
        <v>0</v>
      </c>
      <c r="CJ1174">
        <v>0</v>
      </c>
      <c r="CK1174">
        <v>0</v>
      </c>
      <c r="CL1174">
        <v>0</v>
      </c>
      <c r="CM1174">
        <v>0</v>
      </c>
      <c r="CN1174" t="str">
        <f>IF(BL1174&lt;BK1174,"refNeedCorrection","refOK")</f>
        <v>refOK</v>
      </c>
      <c r="CO1174"/>
      <c r="CP1174"/>
      <c r="CQ1174"/>
      <c r="CR1174">
        <f>IF($CN1174="refOK",$BS1174,$BT1174)*IF($BP1174="Emissions positive",-1,1)</f>
        <v>-157</v>
      </c>
      <c r="CS1174">
        <f>IF($CN1174="refOK",$BT1174,$BS1174)*IF($BP1174="Emissions positive",-1,1)</f>
        <v>-182</v>
      </c>
      <c r="CT1174">
        <f>IF($CN1174="refNeedCorrection",-BX1174,BX1174)*IF($BP1174="Emissions positive",-1,1)</f>
        <v>0.159</v>
      </c>
      <c r="CU1174" t="str">
        <f>IFERROR(CT1174/CQ1174,"")</f>
        <v/>
      </c>
      <c r="CV1174" s="2">
        <f>IFERROR((CS1174-CR1174)/ABS(CR1174),"")</f>
        <v>-0.15923566878980891</v>
      </c>
      <c r="CW1174" s="1" t="s">
        <v>1199</v>
      </c>
      <c r="CX1174" s="264" t="str">
        <f>IF(OR($CW1174="prd",$CW1174="std",$CW1174="cit"),"loc",IF(OR($CW1174="eur",$CW1174="reg",$CW1174="coy"),"reg",$CW1174))</f>
        <v>reg</v>
      </c>
      <c r="CY1174" t="s">
        <v>235</v>
      </c>
      <c r="DB1174">
        <v>80</v>
      </c>
      <c r="DC1174" t="str">
        <f>IF(DB1174=0,"0",IF(AND(DB1174&gt;=1,DB1174&lt;=30),"1-30",IF(AND(DB1174&gt;30,DB1174&lt;=70),"31-70",IF(AND(DB1174&gt;70,DB1174&lt;=100),"71-100",IF(DB1174&gt;100,"+100")))))</f>
        <v>71-100</v>
      </c>
      <c r="DD1174">
        <v>0</v>
      </c>
      <c r="DE1174">
        <v>1</v>
      </c>
      <c r="DF1174">
        <v>0</v>
      </c>
      <c r="DG1174">
        <v>0</v>
      </c>
      <c r="DI1174">
        <f>SUM(DD1174:DG1174)</f>
        <v>1</v>
      </c>
      <c r="DJ1174" t="str">
        <f>IF(DI1174=1,INDEX($DD$7:$DG$7,MATCH(1,$DD1174:$DG1174,0)),"mixedProduct")</f>
        <v>EnergyInput</v>
      </c>
      <c r="DK1174">
        <f>IF(DD1174=1,DK$7,0)</f>
        <v>0</v>
      </c>
      <c r="DL1174" t="str">
        <f>IF(DE1174=1,DL$7,0)</f>
        <v>Energy</v>
      </c>
      <c r="DM1174">
        <f>IF(DF1174=1,DM$7,0)</f>
        <v>0</v>
      </c>
      <c r="DN1174">
        <f>IF(DG1174=1,DN$7,0)</f>
        <v>0</v>
      </c>
      <c r="DO1174">
        <v>0</v>
      </c>
      <c r="DP1174">
        <v>1</v>
      </c>
      <c r="DQ1174" t="s">
        <v>2146</v>
      </c>
      <c r="DR1174">
        <v>0</v>
      </c>
      <c r="DS1174">
        <v>0</v>
      </c>
      <c r="DT1174">
        <f>SUM(DO1174:DP1174)</f>
        <v>1</v>
      </c>
      <c r="DU1174" s="143" t="str">
        <f>IF(DO1174=1,"self-calculated DF",IF(DP1174=1,"external DF used","explicit C balance"))</f>
        <v>external DF used</v>
      </c>
      <c r="DV1174">
        <v>1</v>
      </c>
      <c r="DW1174">
        <v>1</v>
      </c>
      <c r="DX1174">
        <v>1</v>
      </c>
      <c r="DY1174">
        <v>1</v>
      </c>
      <c r="DZ1174">
        <v>1</v>
      </c>
      <c r="EA1174">
        <v>0</v>
      </c>
      <c r="EB1174">
        <v>1</v>
      </c>
      <c r="EC1174">
        <v>1</v>
      </c>
      <c r="ED1174">
        <v>0</v>
      </c>
      <c r="EE1174">
        <v>0</v>
      </c>
      <c r="EF1174">
        <v>1</v>
      </c>
      <c r="EG1174">
        <v>0</v>
      </c>
      <c r="EH1174">
        <v>0</v>
      </c>
      <c r="EI1174" s="2">
        <v>0</v>
      </c>
      <c r="EK1174" t="str">
        <f>IF(AND(AND(AND(OR($DX1174=1,$DW1174=1),OR($EC1174=1,$EA1174=1)),SUM($DV1174:$DZ1174,$EF1174)&gt;=4),SUM($EA1174:$EE1174)&gt;=2),"Whole sector","")</f>
        <v>Whole sector</v>
      </c>
      <c r="EL1174" t="str">
        <f>IF(AND(AND(OR($DX1174=1,$DW1174=1),AND($EC1174=0,$EA1174=0)),SUM($DV1174:$DZ1174,$EF1174)&gt;=4),"Ecosystem approach","")</f>
        <v/>
      </c>
      <c r="EM1174" s="2" t="str">
        <f>IF(AND(AND(AND($DX1174=0,$DW1174=0),OR($EC1174=1,$EA1174=1)),SUM($EB1174:$EE1174)&gt;=2),"Technology approach","")</f>
        <v/>
      </c>
      <c r="EP1174" t="b">
        <f>IF(ISNUMBER(BU1174),IF(ABS(BU1174-[3]QC_indicators!$B$2)&gt;3*[3]QC_indicators!$C$2,"C ratio",IF(ISNUMBER(BY1174),IF(ABS(BY1174-[3]QC_indicators!$B$1)&gt;3*[3]QC_indicators!$C$1,"DF","no"))),IF(ISNUMBER(BY1174),IF(ABS(BY1174-[3]QC_indicators!$B$1)&gt;3*[3]QC_indicators!$C$1,"DF","no")))</f>
        <v>0</v>
      </c>
      <c r="ER1174" s="294" t="s">
        <v>2171</v>
      </c>
      <c r="ET1174" s="264" t="s">
        <v>3407</v>
      </c>
    </row>
    <row r="1175" spans="1:150" ht="15" customHeight="1">
      <c r="A1175" s="1" t="s">
        <v>1360</v>
      </c>
      <c r="B1175" t="s">
        <v>2135</v>
      </c>
      <c r="C1175" t="s">
        <v>2136</v>
      </c>
      <c r="D1175" t="s">
        <v>2137</v>
      </c>
      <c r="E1175" t="s">
        <v>2138</v>
      </c>
      <c r="F1175" t="s">
        <v>2139</v>
      </c>
      <c r="G1175" t="s">
        <v>1366</v>
      </c>
      <c r="H1175" t="s">
        <v>254</v>
      </c>
      <c r="I1175">
        <v>2012</v>
      </c>
      <c r="J1175">
        <v>21</v>
      </c>
      <c r="K1175" t="s">
        <v>2140</v>
      </c>
      <c r="M1175" t="str">
        <f>LEFT($D1175,FIND(",",$D1175)-1)&amp;"_"&amp;I1175&amp;L1175</f>
        <v>Pyorala_2012</v>
      </c>
      <c r="N1175" t="s">
        <v>222</v>
      </c>
      <c r="O1175" s="145" t="s">
        <v>341</v>
      </c>
      <c r="Q1175" s="264" t="s">
        <v>256</v>
      </c>
      <c r="R1175" s="269" t="s">
        <v>1154</v>
      </c>
      <c r="S1175" s="1" t="s">
        <v>2184</v>
      </c>
      <c r="T1175" t="s">
        <v>798</v>
      </c>
      <c r="U1175" t="s">
        <v>2168</v>
      </c>
      <c r="V1175">
        <v>0</v>
      </c>
      <c r="W1175">
        <v>0</v>
      </c>
      <c r="X1175">
        <v>0</v>
      </c>
      <c r="Y1175">
        <v>0</v>
      </c>
      <c r="Z1175">
        <v>0</v>
      </c>
      <c r="AA1175">
        <v>0</v>
      </c>
      <c r="AB1175">
        <v>0</v>
      </c>
      <c r="AC1175">
        <v>0</v>
      </c>
      <c r="AD1175">
        <v>0</v>
      </c>
      <c r="AE1175">
        <v>0</v>
      </c>
      <c r="AF1175">
        <v>0</v>
      </c>
      <c r="AG1175">
        <v>0</v>
      </c>
      <c r="AH1175">
        <v>0</v>
      </c>
      <c r="AI1175">
        <v>0</v>
      </c>
      <c r="AJ1175">
        <v>0</v>
      </c>
      <c r="AK1175">
        <v>1</v>
      </c>
      <c r="AL1175">
        <v>0</v>
      </c>
      <c r="AM1175">
        <v>0</v>
      </c>
      <c r="AN1175">
        <v>0</v>
      </c>
      <c r="AO1175">
        <v>0</v>
      </c>
      <c r="AP1175">
        <v>0</v>
      </c>
      <c r="AQ1175">
        <v>0</v>
      </c>
      <c r="AR1175">
        <v>0</v>
      </c>
      <c r="AS1175">
        <v>0</v>
      </c>
      <c r="AT1175">
        <v>0</v>
      </c>
      <c r="AU1175">
        <v>0</v>
      </c>
      <c r="AV1175">
        <v>0</v>
      </c>
      <c r="AW1175">
        <v>0</v>
      </c>
      <c r="AX1175" s="141">
        <f>COUNTIF(V1175:AW1175,"&lt;&gt;0")</f>
        <v>1</v>
      </c>
      <c r="AY1175" s="141">
        <f>COUNTIF(V1175:AL1175,"&lt;&gt;0")</f>
        <v>1</v>
      </c>
      <c r="AZ1175">
        <f>COUNTIF(V1175:AC1175,"&lt;&gt;0")</f>
        <v>0</v>
      </c>
      <c r="BA1175">
        <f>COUNTIF(AD1175:AI1175,"&lt;&gt;0")</f>
        <v>0</v>
      </c>
      <c r="BB1175">
        <f>COUNTIF(AJ1175:AL1175,"&lt;&gt;0")</f>
        <v>1</v>
      </c>
      <c r="BC1175">
        <f>COUNTIF(AS1175:AW1175,"&lt;&gt;0")</f>
        <v>0</v>
      </c>
      <c r="BD1175">
        <f>COUNTIF(AM1175:AR1175,"&lt;&gt;0")</f>
        <v>0</v>
      </c>
      <c r="BE1175" t="str" cm="1">
        <f t="array" ref="BE1175">IF(AY1175=1,INDEX($V$7:$AL$7,MATCH(TRUE,INDEX($V1175:$AW1175&lt;&gt;0,),0)),IF(AY1175=0,INDEX($AM$7:$AW$7,MATCH(1,$AM1175:$AW1175,0)),IF(BF1175="Multiple strategies","mixed drivers",IF(BF1175="Supply chain","multiple supply","multiple silviculture"))))</f>
        <v>technologies/design switch</v>
      </c>
      <c r="BF1175" s="2" t="str" cm="1">
        <f t="array" ref="BF1175">IF(COUNTIF(AZ1175:BB1175,"&lt;&gt;0")=1,INDEX($V$4:$AW$4,MATCH(TRUE,INDEX($V1175:$AW1175&lt;&gt;0,),0)),IF(COUNTIF(AZ1175:BB1175,"&lt;&gt;0")=0,INDEX($AM$4:$AW$4,MATCH(1,$AM1175:$AW1175,0)),"Multiple strategies"))</f>
        <v>Technology</v>
      </c>
      <c r="BH1175" t="s">
        <v>2169</v>
      </c>
      <c r="BN1175" s="143"/>
      <c r="BP1175" s="264" t="s">
        <v>232</v>
      </c>
      <c r="BQ1175" s="264"/>
      <c r="BR1175" t="s">
        <v>2170</v>
      </c>
      <c r="BS1175">
        <v>-157</v>
      </c>
      <c r="BT1175">
        <v>-185</v>
      </c>
      <c r="BU1175" s="144">
        <v>0.54252199413489732</v>
      </c>
      <c r="BV1175">
        <v>156</v>
      </c>
      <c r="BX1175">
        <f>BV1175/1000</f>
        <v>0.156</v>
      </c>
      <c r="BY1175" t="str">
        <f>IFERROR(BX1175/BO1175,"")</f>
        <v/>
      </c>
      <c r="BZ1175">
        <v>0</v>
      </c>
      <c r="CA1175">
        <v>0</v>
      </c>
      <c r="CB1175">
        <v>0</v>
      </c>
      <c r="CC1175">
        <v>0</v>
      </c>
      <c r="CD1175">
        <v>0</v>
      </c>
      <c r="CE1175">
        <v>0</v>
      </c>
      <c r="CF1175">
        <v>0</v>
      </c>
      <c r="CG1175">
        <v>0</v>
      </c>
      <c r="CH1175">
        <v>0</v>
      </c>
      <c r="CI1175">
        <v>0</v>
      </c>
      <c r="CJ1175">
        <v>0</v>
      </c>
      <c r="CK1175">
        <v>0</v>
      </c>
      <c r="CL1175">
        <v>0</v>
      </c>
      <c r="CM1175">
        <v>0</v>
      </c>
      <c r="CN1175" t="str">
        <f>IF(BL1175&lt;BK1175,"refNeedCorrection","refOK")</f>
        <v>refOK</v>
      </c>
      <c r="CO1175"/>
      <c r="CP1175"/>
      <c r="CQ1175"/>
      <c r="CR1175">
        <f>IF($CN1175="refOK",$BS1175,$BT1175)*IF($BP1175="Emissions positive",-1,1)</f>
        <v>-157</v>
      </c>
      <c r="CS1175">
        <f>IF($CN1175="refOK",$BT1175,$BS1175)*IF($BP1175="Emissions positive",-1,1)</f>
        <v>-185</v>
      </c>
      <c r="CT1175">
        <f>IF($CN1175="refNeedCorrection",-BX1175,BX1175)*IF($BP1175="Emissions positive",-1,1)</f>
        <v>0.156</v>
      </c>
      <c r="CU1175" t="str">
        <f>IFERROR(CT1175/CQ1175,"")</f>
        <v/>
      </c>
      <c r="CV1175" s="2">
        <f>IFERROR((CS1175-CR1175)/ABS(CR1175),"")</f>
        <v>-0.17834394904458598</v>
      </c>
      <c r="CW1175" s="1" t="s">
        <v>1199</v>
      </c>
      <c r="CX1175" s="264" t="str">
        <f>IF(OR($CW1175="prd",$CW1175="std",$CW1175="cit"),"loc",IF(OR($CW1175="eur",$CW1175="reg",$CW1175="coy"),"reg",$CW1175))</f>
        <v>reg</v>
      </c>
      <c r="CY1175" t="s">
        <v>235</v>
      </c>
      <c r="DB1175">
        <v>80</v>
      </c>
      <c r="DC1175" t="str">
        <f>IF(DB1175=0,"0",IF(AND(DB1175&gt;=1,DB1175&lt;=30),"1-30",IF(AND(DB1175&gt;30,DB1175&lt;=70),"31-70",IF(AND(DB1175&gt;70,DB1175&lt;=100),"71-100",IF(DB1175&gt;100,"+100")))))</f>
        <v>71-100</v>
      </c>
      <c r="DD1175">
        <v>0</v>
      </c>
      <c r="DE1175">
        <v>1</v>
      </c>
      <c r="DF1175">
        <v>0</v>
      </c>
      <c r="DG1175">
        <v>0</v>
      </c>
      <c r="DI1175">
        <f>SUM(DD1175:DG1175)</f>
        <v>1</v>
      </c>
      <c r="DJ1175" t="str">
        <f>IF(DI1175=1,INDEX($DD$7:$DG$7,MATCH(1,$DD1175:$DG1175,0)),"mixedProduct")</f>
        <v>EnergyInput</v>
      </c>
      <c r="DK1175">
        <f>IF(DD1175=1,DK$7,0)</f>
        <v>0</v>
      </c>
      <c r="DL1175" t="str">
        <f>IF(DE1175=1,DL$7,0)</f>
        <v>Energy</v>
      </c>
      <c r="DM1175">
        <f>IF(DF1175=1,DM$7,0)</f>
        <v>0</v>
      </c>
      <c r="DN1175">
        <f>IF(DG1175=1,DN$7,0)</f>
        <v>0</v>
      </c>
      <c r="DO1175">
        <v>0</v>
      </c>
      <c r="DP1175">
        <v>1</v>
      </c>
      <c r="DQ1175" t="s">
        <v>2146</v>
      </c>
      <c r="DR1175">
        <v>0</v>
      </c>
      <c r="DS1175">
        <v>0</v>
      </c>
      <c r="DT1175">
        <f>SUM(DO1175:DP1175)</f>
        <v>1</v>
      </c>
      <c r="DU1175" s="143" t="str">
        <f>IF(DO1175=1,"self-calculated DF",IF(DP1175=1,"external DF used","explicit C balance"))</f>
        <v>external DF used</v>
      </c>
      <c r="DV1175">
        <v>1</v>
      </c>
      <c r="DW1175">
        <v>1</v>
      </c>
      <c r="DX1175">
        <v>1</v>
      </c>
      <c r="DY1175">
        <v>1</v>
      </c>
      <c r="DZ1175">
        <v>1</v>
      </c>
      <c r="EA1175">
        <v>0</v>
      </c>
      <c r="EB1175">
        <v>1</v>
      </c>
      <c r="EC1175">
        <v>1</v>
      </c>
      <c r="ED1175">
        <v>0</v>
      </c>
      <c r="EE1175">
        <v>0</v>
      </c>
      <c r="EF1175">
        <v>1</v>
      </c>
      <c r="EG1175">
        <v>0</v>
      </c>
      <c r="EH1175">
        <v>0</v>
      </c>
      <c r="EI1175" s="2">
        <v>0</v>
      </c>
      <c r="EK1175" t="str">
        <f>IF(AND(AND(AND(OR($DX1175=1,$DW1175=1),OR($EC1175=1,$EA1175=1)),SUM($DV1175:$DZ1175,$EF1175)&gt;=4),SUM($EA1175:$EE1175)&gt;=2),"Whole sector","")</f>
        <v>Whole sector</v>
      </c>
      <c r="EL1175" t="str">
        <f>IF(AND(AND(OR($DX1175=1,$DW1175=1),AND($EC1175=0,$EA1175=0)),SUM($DV1175:$DZ1175,$EF1175)&gt;=4),"Ecosystem approach","")</f>
        <v/>
      </c>
      <c r="EM1175" s="2" t="str">
        <f>IF(AND(AND(AND($DX1175=0,$DW1175=0),OR($EC1175=1,$EA1175=1)),SUM($EB1175:$EE1175)&gt;=2),"Technology approach","")</f>
        <v/>
      </c>
      <c r="EP1175" t="b">
        <f>IF(ISNUMBER(BU1175),IF(ABS(BU1175-[3]QC_indicators!$B$2)&gt;3*[3]QC_indicators!$C$2,"C ratio",IF(ISNUMBER(BY1175),IF(ABS(BY1175-[3]QC_indicators!$B$1)&gt;3*[3]QC_indicators!$C$1,"DF","no"))),IF(ISNUMBER(BY1175),IF(ABS(BY1175-[3]QC_indicators!$B$1)&gt;3*[3]QC_indicators!$C$1,"DF","no")))</f>
        <v>0</v>
      </c>
      <c r="ER1175" s="294" t="s">
        <v>2171</v>
      </c>
      <c r="ET1175" s="264" t="s">
        <v>3407</v>
      </c>
    </row>
    <row r="1176" spans="1:150" ht="15" customHeight="1">
      <c r="A1176" s="1" t="s">
        <v>1360</v>
      </c>
      <c r="B1176" t="s">
        <v>2135</v>
      </c>
      <c r="C1176" t="s">
        <v>2136</v>
      </c>
      <c r="D1176" t="s">
        <v>2137</v>
      </c>
      <c r="E1176" t="s">
        <v>2138</v>
      </c>
      <c r="F1176" t="s">
        <v>2139</v>
      </c>
      <c r="G1176" t="s">
        <v>1366</v>
      </c>
      <c r="H1176" t="s">
        <v>254</v>
      </c>
      <c r="I1176">
        <v>2012</v>
      </c>
      <c r="J1176">
        <v>21</v>
      </c>
      <c r="K1176" t="s">
        <v>2140</v>
      </c>
      <c r="L1176" s="192"/>
      <c r="M1176" t="str">
        <f>LEFT($D1176,FIND(",",$D1176)-1)&amp;"_"&amp;I1176&amp;L1176</f>
        <v>Pyorala_2012</v>
      </c>
      <c r="N1176" t="s">
        <v>222</v>
      </c>
      <c r="O1176" s="145" t="s">
        <v>341</v>
      </c>
      <c r="Q1176" s="264" t="s">
        <v>256</v>
      </c>
      <c r="R1176" s="269" t="s">
        <v>1154</v>
      </c>
      <c r="S1176" s="1" t="s">
        <v>2185</v>
      </c>
      <c r="T1176" t="s">
        <v>798</v>
      </c>
      <c r="U1176" t="s">
        <v>2168</v>
      </c>
      <c r="V1176">
        <v>0</v>
      </c>
      <c r="W1176">
        <v>0</v>
      </c>
      <c r="X1176">
        <v>0</v>
      </c>
      <c r="Y1176">
        <v>0</v>
      </c>
      <c r="Z1176">
        <v>0</v>
      </c>
      <c r="AA1176">
        <v>0</v>
      </c>
      <c r="AB1176">
        <v>0</v>
      </c>
      <c r="AC1176">
        <v>0</v>
      </c>
      <c r="AD1176">
        <v>0</v>
      </c>
      <c r="AE1176">
        <v>0</v>
      </c>
      <c r="AF1176">
        <v>0</v>
      </c>
      <c r="AG1176">
        <v>0</v>
      </c>
      <c r="AH1176">
        <v>0</v>
      </c>
      <c r="AI1176">
        <v>0</v>
      </c>
      <c r="AJ1176">
        <v>0</v>
      </c>
      <c r="AK1176">
        <v>1</v>
      </c>
      <c r="AL1176">
        <v>0</v>
      </c>
      <c r="AM1176">
        <v>0</v>
      </c>
      <c r="AN1176">
        <v>0</v>
      </c>
      <c r="AO1176">
        <v>0</v>
      </c>
      <c r="AP1176">
        <v>0</v>
      </c>
      <c r="AQ1176">
        <v>0</v>
      </c>
      <c r="AR1176">
        <v>0</v>
      </c>
      <c r="AS1176">
        <v>0</v>
      </c>
      <c r="AT1176">
        <v>0</v>
      </c>
      <c r="AU1176">
        <v>0</v>
      </c>
      <c r="AV1176">
        <v>0</v>
      </c>
      <c r="AW1176">
        <v>0</v>
      </c>
      <c r="AX1176" s="141">
        <f>COUNTIF(V1176:AW1176,"&lt;&gt;0")</f>
        <v>1</v>
      </c>
      <c r="AY1176" s="141">
        <f>COUNTIF(V1176:AL1176,"&lt;&gt;0")</f>
        <v>1</v>
      </c>
      <c r="AZ1176">
        <f>COUNTIF(V1176:AC1176,"&lt;&gt;0")</f>
        <v>0</v>
      </c>
      <c r="BA1176">
        <f>COUNTIF(AD1176:AI1176,"&lt;&gt;0")</f>
        <v>0</v>
      </c>
      <c r="BB1176">
        <f>COUNTIF(AJ1176:AL1176,"&lt;&gt;0")</f>
        <v>1</v>
      </c>
      <c r="BC1176">
        <f>COUNTIF(AS1176:AW1176,"&lt;&gt;0")</f>
        <v>0</v>
      </c>
      <c r="BD1176">
        <f>COUNTIF(AM1176:AR1176,"&lt;&gt;0")</f>
        <v>0</v>
      </c>
      <c r="BE1176" t="str" cm="1">
        <f t="array" ref="BE1176">IF(AY1176=1,INDEX($V$7:$AL$7,MATCH(TRUE,INDEX($V1176:$AW1176&lt;&gt;0,),0)),IF(AY1176=0,INDEX($AM$7:$AW$7,MATCH(1,$AM1176:$AW1176,0)),IF(BF1176="Multiple strategies","mixed drivers",IF(BF1176="Supply chain","multiple supply","multiple silviculture"))))</f>
        <v>technologies/design switch</v>
      </c>
      <c r="BF1176" s="2" t="str" cm="1">
        <f t="array" ref="BF1176">IF(COUNTIF(AZ1176:BB1176,"&lt;&gt;0")=1,INDEX($V$4:$AW$4,MATCH(TRUE,INDEX($V1176:$AW1176&lt;&gt;0,),0)),IF(COUNTIF(AZ1176:BB1176,"&lt;&gt;0")=0,INDEX($AM$4:$AW$4,MATCH(1,$AM1176:$AW1176,0)),"Multiple strategies"))</f>
        <v>Technology</v>
      </c>
      <c r="BH1176" t="s">
        <v>2169</v>
      </c>
      <c r="BN1176" s="143"/>
      <c r="BP1176" s="264" t="s">
        <v>232</v>
      </c>
      <c r="BQ1176" s="264"/>
      <c r="BR1176" t="s">
        <v>2170</v>
      </c>
      <c r="BS1176">
        <v>-157</v>
      </c>
      <c r="BT1176">
        <v>-187</v>
      </c>
      <c r="BU1176" s="144">
        <v>0.54838709677419351</v>
      </c>
      <c r="BV1176">
        <v>154</v>
      </c>
      <c r="BX1176">
        <f>BV1176/1000</f>
        <v>0.154</v>
      </c>
      <c r="BY1176" t="str">
        <f>IFERROR(BX1176/BO1176,"")</f>
        <v/>
      </c>
      <c r="BZ1176">
        <v>0</v>
      </c>
      <c r="CA1176">
        <v>0</v>
      </c>
      <c r="CB1176">
        <v>0</v>
      </c>
      <c r="CC1176">
        <v>0</v>
      </c>
      <c r="CD1176">
        <v>0</v>
      </c>
      <c r="CE1176">
        <v>0</v>
      </c>
      <c r="CF1176">
        <v>0</v>
      </c>
      <c r="CG1176">
        <v>0</v>
      </c>
      <c r="CH1176">
        <v>0</v>
      </c>
      <c r="CI1176">
        <v>0</v>
      </c>
      <c r="CJ1176">
        <v>0</v>
      </c>
      <c r="CK1176">
        <v>0</v>
      </c>
      <c r="CL1176">
        <v>0</v>
      </c>
      <c r="CM1176">
        <v>0</v>
      </c>
      <c r="CN1176" t="str">
        <f>IF(BL1176&lt;BK1176,"refNeedCorrection","refOK")</f>
        <v>refOK</v>
      </c>
      <c r="CO1176"/>
      <c r="CP1176"/>
      <c r="CQ1176"/>
      <c r="CR1176">
        <f>IF($CN1176="refOK",$BS1176,$BT1176)*IF($BP1176="Emissions positive",-1,1)</f>
        <v>-157</v>
      </c>
      <c r="CS1176">
        <f>IF($CN1176="refOK",$BT1176,$BS1176)*IF($BP1176="Emissions positive",-1,1)</f>
        <v>-187</v>
      </c>
      <c r="CT1176">
        <f>IF($CN1176="refNeedCorrection",-BX1176,BX1176)*IF($BP1176="Emissions positive",-1,1)</f>
        <v>0.154</v>
      </c>
      <c r="CU1176" t="str">
        <f>IFERROR(CT1176/CQ1176,"")</f>
        <v/>
      </c>
      <c r="CV1176" s="2">
        <f>IFERROR((CS1176-CR1176)/ABS(CR1176),"")</f>
        <v>-0.19108280254777071</v>
      </c>
      <c r="CW1176" s="1" t="s">
        <v>1199</v>
      </c>
      <c r="CX1176" s="264" t="str">
        <f>IF(OR($CW1176="prd",$CW1176="std",$CW1176="cit"),"loc",IF(OR($CW1176="eur",$CW1176="reg",$CW1176="coy"),"reg",$CW1176))</f>
        <v>reg</v>
      </c>
      <c r="CY1176" t="s">
        <v>235</v>
      </c>
      <c r="DB1176">
        <v>80</v>
      </c>
      <c r="DC1176" t="str">
        <f>IF(DB1176=0,"0",IF(AND(DB1176&gt;=1,DB1176&lt;=30),"1-30",IF(AND(DB1176&gt;30,DB1176&lt;=70),"31-70",IF(AND(DB1176&gt;70,DB1176&lt;=100),"71-100",IF(DB1176&gt;100,"+100")))))</f>
        <v>71-100</v>
      </c>
      <c r="DD1176">
        <v>0</v>
      </c>
      <c r="DE1176">
        <v>1</v>
      </c>
      <c r="DF1176">
        <v>0</v>
      </c>
      <c r="DG1176">
        <v>0</v>
      </c>
      <c r="DI1176">
        <f>SUM(DD1176:DG1176)</f>
        <v>1</v>
      </c>
      <c r="DJ1176" t="str">
        <f>IF(DI1176=1,INDEX($DD$7:$DG$7,MATCH(1,$DD1176:$DG1176,0)),"mixedProduct")</f>
        <v>EnergyInput</v>
      </c>
      <c r="DK1176">
        <f>IF(DD1176=1,DK$7,0)</f>
        <v>0</v>
      </c>
      <c r="DL1176" t="str">
        <f>IF(DE1176=1,DL$7,0)</f>
        <v>Energy</v>
      </c>
      <c r="DM1176">
        <f>IF(DF1176=1,DM$7,0)</f>
        <v>0</v>
      </c>
      <c r="DN1176">
        <f>IF(DG1176=1,DN$7,0)</f>
        <v>0</v>
      </c>
      <c r="DO1176">
        <v>0</v>
      </c>
      <c r="DP1176">
        <v>1</v>
      </c>
      <c r="DQ1176" t="s">
        <v>2146</v>
      </c>
      <c r="DR1176">
        <v>0</v>
      </c>
      <c r="DS1176">
        <v>0</v>
      </c>
      <c r="DT1176">
        <f>SUM(DO1176:DP1176)</f>
        <v>1</v>
      </c>
      <c r="DU1176" s="143" t="str">
        <f>IF(DO1176=1,"self-calculated DF",IF(DP1176=1,"external DF used","explicit C balance"))</f>
        <v>external DF used</v>
      </c>
      <c r="DV1176">
        <v>1</v>
      </c>
      <c r="DW1176">
        <v>1</v>
      </c>
      <c r="DX1176">
        <v>1</v>
      </c>
      <c r="DY1176">
        <v>1</v>
      </c>
      <c r="DZ1176">
        <v>1</v>
      </c>
      <c r="EA1176">
        <v>0</v>
      </c>
      <c r="EB1176">
        <v>1</v>
      </c>
      <c r="EC1176">
        <v>1</v>
      </c>
      <c r="ED1176">
        <v>0</v>
      </c>
      <c r="EE1176">
        <v>0</v>
      </c>
      <c r="EF1176">
        <v>1</v>
      </c>
      <c r="EG1176">
        <v>0</v>
      </c>
      <c r="EH1176">
        <v>0</v>
      </c>
      <c r="EI1176" s="2">
        <v>0</v>
      </c>
      <c r="EK1176" t="str">
        <f>IF(AND(AND(AND(OR($DX1176=1,$DW1176=1),OR($EC1176=1,$EA1176=1)),SUM($DV1176:$DZ1176,$EF1176)&gt;=4),SUM($EA1176:$EE1176)&gt;=2),"Whole sector","")</f>
        <v>Whole sector</v>
      </c>
      <c r="EL1176" t="str">
        <f>IF(AND(AND(OR($DX1176=1,$DW1176=1),AND($EC1176=0,$EA1176=0)),SUM($DV1176:$DZ1176,$EF1176)&gt;=4),"Ecosystem approach","")</f>
        <v/>
      </c>
      <c r="EM1176" s="2" t="str">
        <f>IF(AND(AND(AND($DX1176=0,$DW1176=0),OR($EC1176=1,$EA1176=1)),SUM($EB1176:$EE1176)&gt;=2),"Technology approach","")</f>
        <v/>
      </c>
      <c r="EP1176" t="b">
        <f>IF(ISNUMBER(BU1176),IF(ABS(BU1176-[3]QC_indicators!$B$2)&gt;3*[3]QC_indicators!$C$2,"C ratio",IF(ISNUMBER(BY1176),IF(ABS(BY1176-[3]QC_indicators!$B$1)&gt;3*[3]QC_indicators!$C$1,"DF","no"))),IF(ISNUMBER(BY1176),IF(ABS(BY1176-[3]QC_indicators!$B$1)&gt;3*[3]QC_indicators!$C$1,"DF","no")))</f>
        <v>0</v>
      </c>
      <c r="ER1176" s="294" t="s">
        <v>2171</v>
      </c>
      <c r="ET1176" s="264" t="s">
        <v>3407</v>
      </c>
    </row>
    <row r="1177" spans="1:150" ht="15" customHeight="1">
      <c r="A1177" s="1" t="s">
        <v>1360</v>
      </c>
      <c r="B1177" t="s">
        <v>2135</v>
      </c>
      <c r="C1177" t="s">
        <v>2136</v>
      </c>
      <c r="D1177" t="s">
        <v>2137</v>
      </c>
      <c r="E1177" t="s">
        <v>2138</v>
      </c>
      <c r="F1177" t="s">
        <v>2139</v>
      </c>
      <c r="G1177" t="s">
        <v>1366</v>
      </c>
      <c r="H1177" t="s">
        <v>254</v>
      </c>
      <c r="I1177">
        <v>2012</v>
      </c>
      <c r="J1177">
        <v>21</v>
      </c>
      <c r="K1177" t="s">
        <v>2140</v>
      </c>
      <c r="M1177" t="str">
        <f>LEFT($D1177,FIND(",",$D1177)-1)&amp;"_"&amp;I1177&amp;L1177</f>
        <v>Pyorala_2012</v>
      </c>
      <c r="N1177" t="s">
        <v>222</v>
      </c>
      <c r="O1177" s="145" t="s">
        <v>341</v>
      </c>
      <c r="Q1177" s="264" t="s">
        <v>256</v>
      </c>
      <c r="R1177" s="269" t="s">
        <v>1154</v>
      </c>
      <c r="S1177" s="1" t="s">
        <v>2186</v>
      </c>
      <c r="T1177" t="s">
        <v>798</v>
      </c>
      <c r="U1177" t="s">
        <v>2168</v>
      </c>
      <c r="V1177">
        <v>0</v>
      </c>
      <c r="W1177">
        <v>0</v>
      </c>
      <c r="X1177">
        <v>0</v>
      </c>
      <c r="Y1177">
        <v>0</v>
      </c>
      <c r="Z1177">
        <v>0</v>
      </c>
      <c r="AA1177">
        <v>0</v>
      </c>
      <c r="AB1177">
        <v>0</v>
      </c>
      <c r="AC1177">
        <v>0</v>
      </c>
      <c r="AD1177">
        <v>0</v>
      </c>
      <c r="AE1177">
        <v>0</v>
      </c>
      <c r="AF1177">
        <v>0</v>
      </c>
      <c r="AG1177">
        <v>0</v>
      </c>
      <c r="AH1177">
        <v>0</v>
      </c>
      <c r="AI1177">
        <v>0</v>
      </c>
      <c r="AJ1177">
        <v>0</v>
      </c>
      <c r="AK1177">
        <v>1</v>
      </c>
      <c r="AL1177">
        <v>0</v>
      </c>
      <c r="AM1177">
        <v>0</v>
      </c>
      <c r="AN1177">
        <v>0</v>
      </c>
      <c r="AO1177">
        <v>0</v>
      </c>
      <c r="AP1177">
        <v>0</v>
      </c>
      <c r="AQ1177">
        <v>0</v>
      </c>
      <c r="AR1177">
        <v>0</v>
      </c>
      <c r="AS1177">
        <v>0</v>
      </c>
      <c r="AT1177">
        <v>0</v>
      </c>
      <c r="AU1177">
        <v>0</v>
      </c>
      <c r="AV1177">
        <v>0</v>
      </c>
      <c r="AW1177">
        <v>0</v>
      </c>
      <c r="AX1177" s="141">
        <f>COUNTIF(V1177:AW1177,"&lt;&gt;0")</f>
        <v>1</v>
      </c>
      <c r="AY1177" s="141">
        <f>COUNTIF(V1177:AL1177,"&lt;&gt;0")</f>
        <v>1</v>
      </c>
      <c r="AZ1177">
        <f>COUNTIF(V1177:AC1177,"&lt;&gt;0")</f>
        <v>0</v>
      </c>
      <c r="BA1177">
        <f>COUNTIF(AD1177:AI1177,"&lt;&gt;0")</f>
        <v>0</v>
      </c>
      <c r="BB1177">
        <f>COUNTIF(AJ1177:AL1177,"&lt;&gt;0")</f>
        <v>1</v>
      </c>
      <c r="BC1177">
        <f>COUNTIF(AS1177:AW1177,"&lt;&gt;0")</f>
        <v>0</v>
      </c>
      <c r="BD1177">
        <f>COUNTIF(AM1177:AR1177,"&lt;&gt;0")</f>
        <v>0</v>
      </c>
      <c r="BE1177" t="str" cm="1">
        <f t="array" ref="BE1177">IF(AY1177=1,INDEX($V$7:$AL$7,MATCH(TRUE,INDEX($V1177:$AW1177&lt;&gt;0,),0)),IF(AY1177=0,INDEX($AM$7:$AW$7,MATCH(1,$AM1177:$AW1177,0)),IF(BF1177="Multiple strategies","mixed drivers",IF(BF1177="Supply chain","multiple supply","multiple silviculture"))))</f>
        <v>technologies/design switch</v>
      </c>
      <c r="BF1177" s="2" t="str" cm="1">
        <f t="array" ref="BF1177">IF(COUNTIF(AZ1177:BB1177,"&lt;&gt;0")=1,INDEX($V$4:$AW$4,MATCH(TRUE,INDEX($V1177:$AW1177&lt;&gt;0,),0)),IF(COUNTIF(AZ1177:BB1177,"&lt;&gt;0")=0,INDEX($AM$4:$AW$4,MATCH(1,$AM1177:$AW1177,0)),"Multiple strategies"))</f>
        <v>Technology</v>
      </c>
      <c r="BH1177" t="s">
        <v>2169</v>
      </c>
      <c r="BN1177" s="143"/>
      <c r="BP1177" s="264" t="s">
        <v>232</v>
      </c>
      <c r="BQ1177" s="264"/>
      <c r="BR1177" t="s">
        <v>2170</v>
      </c>
      <c r="BS1177">
        <v>-157</v>
      </c>
      <c r="BT1177">
        <v>-191</v>
      </c>
      <c r="BU1177" s="144">
        <v>0.56011730205278587</v>
      </c>
      <c r="BV1177">
        <v>150</v>
      </c>
      <c r="BX1177">
        <f>BV1177/1000</f>
        <v>0.15</v>
      </c>
      <c r="BY1177" t="str">
        <f>IFERROR(BX1177/BO1177,"")</f>
        <v/>
      </c>
      <c r="BZ1177">
        <v>0</v>
      </c>
      <c r="CA1177">
        <v>0</v>
      </c>
      <c r="CB1177">
        <v>0</v>
      </c>
      <c r="CC1177">
        <v>0</v>
      </c>
      <c r="CD1177">
        <v>0</v>
      </c>
      <c r="CE1177">
        <v>0</v>
      </c>
      <c r="CF1177">
        <v>0</v>
      </c>
      <c r="CG1177">
        <v>0</v>
      </c>
      <c r="CH1177">
        <v>0</v>
      </c>
      <c r="CI1177">
        <v>0</v>
      </c>
      <c r="CJ1177">
        <v>0</v>
      </c>
      <c r="CK1177">
        <v>0</v>
      </c>
      <c r="CL1177">
        <v>0</v>
      </c>
      <c r="CM1177">
        <v>0</v>
      </c>
      <c r="CN1177" t="str">
        <f>IF(BL1177&lt;BK1177,"refNeedCorrection","refOK")</f>
        <v>refOK</v>
      </c>
      <c r="CO1177"/>
      <c r="CP1177"/>
      <c r="CQ1177"/>
      <c r="CR1177">
        <f>IF($CN1177="refOK",$BS1177,$BT1177)*IF($BP1177="Emissions positive",-1,1)</f>
        <v>-157</v>
      </c>
      <c r="CS1177">
        <f>IF($CN1177="refOK",$BT1177,$BS1177)*IF($BP1177="Emissions positive",-1,1)</f>
        <v>-191</v>
      </c>
      <c r="CT1177">
        <f>IF($CN1177="refNeedCorrection",-BX1177,BX1177)*IF($BP1177="Emissions positive",-1,1)</f>
        <v>0.15</v>
      </c>
      <c r="CU1177" t="str">
        <f>IFERROR(CT1177/CQ1177,"")</f>
        <v/>
      </c>
      <c r="CV1177" s="2">
        <f>IFERROR((CS1177-CR1177)/ABS(CR1177),"")</f>
        <v>-0.21656050955414013</v>
      </c>
      <c r="CW1177" s="1" t="s">
        <v>1199</v>
      </c>
      <c r="CX1177" s="264" t="str">
        <f>IF(OR($CW1177="prd",$CW1177="std",$CW1177="cit"),"loc",IF(OR($CW1177="eur",$CW1177="reg",$CW1177="coy"),"reg",$CW1177))</f>
        <v>reg</v>
      </c>
      <c r="CY1177" t="s">
        <v>235</v>
      </c>
      <c r="DB1177">
        <v>80</v>
      </c>
      <c r="DC1177" t="str">
        <f>IF(DB1177=0,"0",IF(AND(DB1177&gt;=1,DB1177&lt;=30),"1-30",IF(AND(DB1177&gt;30,DB1177&lt;=70),"31-70",IF(AND(DB1177&gt;70,DB1177&lt;=100),"71-100",IF(DB1177&gt;100,"+100")))))</f>
        <v>71-100</v>
      </c>
      <c r="DD1177">
        <v>0</v>
      </c>
      <c r="DE1177">
        <v>1</v>
      </c>
      <c r="DF1177">
        <v>0</v>
      </c>
      <c r="DG1177">
        <v>0</v>
      </c>
      <c r="DI1177">
        <f>SUM(DD1177:DG1177)</f>
        <v>1</v>
      </c>
      <c r="DJ1177" t="str">
        <f>IF(DI1177=1,INDEX($DD$7:$DG$7,MATCH(1,$DD1177:$DG1177,0)),"mixedProduct")</f>
        <v>EnergyInput</v>
      </c>
      <c r="DK1177">
        <f>IF(DD1177=1,DK$7,0)</f>
        <v>0</v>
      </c>
      <c r="DL1177" t="str">
        <f>IF(DE1177=1,DL$7,0)</f>
        <v>Energy</v>
      </c>
      <c r="DM1177">
        <f>IF(DF1177=1,DM$7,0)</f>
        <v>0</v>
      </c>
      <c r="DN1177">
        <f>IF(DG1177=1,DN$7,0)</f>
        <v>0</v>
      </c>
      <c r="DO1177">
        <v>0</v>
      </c>
      <c r="DP1177">
        <v>1</v>
      </c>
      <c r="DQ1177" t="s">
        <v>2146</v>
      </c>
      <c r="DR1177">
        <v>0</v>
      </c>
      <c r="DS1177">
        <v>0</v>
      </c>
      <c r="DT1177">
        <f>SUM(DO1177:DP1177)</f>
        <v>1</v>
      </c>
      <c r="DU1177" s="143" t="str">
        <f>IF(DO1177=1,"self-calculated DF",IF(DP1177=1,"external DF used","explicit C balance"))</f>
        <v>external DF used</v>
      </c>
      <c r="DV1177">
        <v>1</v>
      </c>
      <c r="DW1177">
        <v>1</v>
      </c>
      <c r="DX1177">
        <v>1</v>
      </c>
      <c r="DY1177">
        <v>1</v>
      </c>
      <c r="DZ1177">
        <v>1</v>
      </c>
      <c r="EA1177">
        <v>0</v>
      </c>
      <c r="EB1177">
        <v>1</v>
      </c>
      <c r="EC1177">
        <v>1</v>
      </c>
      <c r="ED1177">
        <v>0</v>
      </c>
      <c r="EE1177">
        <v>0</v>
      </c>
      <c r="EF1177">
        <v>1</v>
      </c>
      <c r="EG1177">
        <v>0</v>
      </c>
      <c r="EH1177">
        <v>0</v>
      </c>
      <c r="EI1177" s="2">
        <v>0</v>
      </c>
      <c r="EK1177" t="str">
        <f>IF(AND(AND(AND(OR($DX1177=1,$DW1177=1),OR($EC1177=1,$EA1177=1)),SUM($DV1177:$DZ1177,$EF1177)&gt;=4),SUM($EA1177:$EE1177)&gt;=2),"Whole sector","")</f>
        <v>Whole sector</v>
      </c>
      <c r="EL1177" t="str">
        <f>IF(AND(AND(OR($DX1177=1,$DW1177=1),AND($EC1177=0,$EA1177=0)),SUM($DV1177:$DZ1177,$EF1177)&gt;=4),"Ecosystem approach","")</f>
        <v/>
      </c>
      <c r="EM1177" s="2" t="str">
        <f>IF(AND(AND(AND($DX1177=0,$DW1177=0),OR($EC1177=1,$EA1177=1)),SUM($EB1177:$EE1177)&gt;=2),"Technology approach","")</f>
        <v/>
      </c>
      <c r="EP1177" t="b">
        <f>IF(ISNUMBER(BU1177),IF(ABS(BU1177-[3]QC_indicators!$B$2)&gt;3*[3]QC_indicators!$C$2,"C ratio",IF(ISNUMBER(BY1177),IF(ABS(BY1177-[3]QC_indicators!$B$1)&gt;3*[3]QC_indicators!$C$1,"DF","no"))),IF(ISNUMBER(BY1177),IF(ABS(BY1177-[3]QC_indicators!$B$1)&gt;3*[3]QC_indicators!$C$1,"DF","no")))</f>
        <v>0</v>
      </c>
      <c r="ER1177" s="294" t="s">
        <v>2171</v>
      </c>
      <c r="ET1177" s="264" t="s">
        <v>3407</v>
      </c>
    </row>
    <row r="1178" spans="1:150" ht="15" customHeight="1">
      <c r="A1178" s="1" t="s">
        <v>1360</v>
      </c>
      <c r="B1178" t="s">
        <v>2135</v>
      </c>
      <c r="C1178" t="s">
        <v>2136</v>
      </c>
      <c r="D1178" t="s">
        <v>2137</v>
      </c>
      <c r="E1178" t="s">
        <v>2138</v>
      </c>
      <c r="F1178" t="s">
        <v>2139</v>
      </c>
      <c r="G1178" t="s">
        <v>1366</v>
      </c>
      <c r="H1178" t="s">
        <v>254</v>
      </c>
      <c r="I1178">
        <v>2012</v>
      </c>
      <c r="J1178">
        <v>21</v>
      </c>
      <c r="K1178" t="s">
        <v>2140</v>
      </c>
      <c r="L1178" s="192"/>
      <c r="M1178" t="str">
        <f>LEFT($D1178,FIND(",",$D1178)-1)&amp;"_"&amp;I1178&amp;L1178</f>
        <v>Pyorala_2012</v>
      </c>
      <c r="N1178" t="s">
        <v>222</v>
      </c>
      <c r="O1178" s="145" t="s">
        <v>341</v>
      </c>
      <c r="Q1178" s="264" t="s">
        <v>256</v>
      </c>
      <c r="R1178" s="269" t="s">
        <v>1154</v>
      </c>
      <c r="S1178" s="1" t="s">
        <v>2187</v>
      </c>
      <c r="T1178" t="s">
        <v>798</v>
      </c>
      <c r="U1178" t="s">
        <v>2168</v>
      </c>
      <c r="V1178">
        <v>0</v>
      </c>
      <c r="W1178">
        <v>0</v>
      </c>
      <c r="X1178">
        <v>0</v>
      </c>
      <c r="Y1178">
        <v>0</v>
      </c>
      <c r="Z1178">
        <v>0</v>
      </c>
      <c r="AA1178">
        <v>0</v>
      </c>
      <c r="AB1178">
        <v>0</v>
      </c>
      <c r="AC1178">
        <v>0</v>
      </c>
      <c r="AD1178">
        <v>0</v>
      </c>
      <c r="AE1178">
        <v>0</v>
      </c>
      <c r="AF1178">
        <v>0</v>
      </c>
      <c r="AG1178">
        <v>0</v>
      </c>
      <c r="AH1178">
        <v>0</v>
      </c>
      <c r="AI1178">
        <v>0</v>
      </c>
      <c r="AJ1178">
        <v>0</v>
      </c>
      <c r="AK1178">
        <v>1</v>
      </c>
      <c r="AL1178">
        <v>0</v>
      </c>
      <c r="AM1178">
        <v>0</v>
      </c>
      <c r="AN1178">
        <v>0</v>
      </c>
      <c r="AO1178">
        <v>0</v>
      </c>
      <c r="AP1178">
        <v>0</v>
      </c>
      <c r="AQ1178">
        <v>0</v>
      </c>
      <c r="AR1178">
        <v>0</v>
      </c>
      <c r="AS1178">
        <v>0</v>
      </c>
      <c r="AT1178">
        <v>0</v>
      </c>
      <c r="AU1178">
        <v>0</v>
      </c>
      <c r="AV1178">
        <v>0</v>
      </c>
      <c r="AW1178">
        <v>0</v>
      </c>
      <c r="AX1178" s="141">
        <f>COUNTIF(V1178:AW1178,"&lt;&gt;0")</f>
        <v>1</v>
      </c>
      <c r="AY1178" s="141">
        <f>COUNTIF(V1178:AL1178,"&lt;&gt;0")</f>
        <v>1</v>
      </c>
      <c r="AZ1178">
        <f>COUNTIF(V1178:AC1178,"&lt;&gt;0")</f>
        <v>0</v>
      </c>
      <c r="BA1178">
        <f>COUNTIF(AD1178:AI1178,"&lt;&gt;0")</f>
        <v>0</v>
      </c>
      <c r="BB1178">
        <f>COUNTIF(AJ1178:AL1178,"&lt;&gt;0")</f>
        <v>1</v>
      </c>
      <c r="BC1178">
        <f>COUNTIF(AS1178:AW1178,"&lt;&gt;0")</f>
        <v>0</v>
      </c>
      <c r="BD1178">
        <f>COUNTIF(AM1178:AR1178,"&lt;&gt;0")</f>
        <v>0</v>
      </c>
      <c r="BE1178" t="str" cm="1">
        <f t="array" ref="BE1178">IF(AY1178=1,INDEX($V$7:$AL$7,MATCH(TRUE,INDEX($V1178:$AW1178&lt;&gt;0,),0)),IF(AY1178=0,INDEX($AM$7:$AW$7,MATCH(1,$AM1178:$AW1178,0)),IF(BF1178="Multiple strategies","mixed drivers",IF(BF1178="Supply chain","multiple supply","multiple silviculture"))))</f>
        <v>technologies/design switch</v>
      </c>
      <c r="BF1178" s="2" t="str" cm="1">
        <f t="array" ref="BF1178">IF(COUNTIF(AZ1178:BB1178,"&lt;&gt;0")=1,INDEX($V$4:$AW$4,MATCH(TRUE,INDEX($V1178:$AW1178&lt;&gt;0,),0)),IF(COUNTIF(AZ1178:BB1178,"&lt;&gt;0")=0,INDEX($AM$4:$AW$4,MATCH(1,$AM1178:$AW1178,0)),"Multiple strategies"))</f>
        <v>Technology</v>
      </c>
      <c r="BH1178" t="s">
        <v>2169</v>
      </c>
      <c r="BN1178" s="143"/>
      <c r="BP1178" s="264" t="s">
        <v>232</v>
      </c>
      <c r="BQ1178" s="264"/>
      <c r="BR1178" t="s">
        <v>2170</v>
      </c>
      <c r="BS1178">
        <v>-157</v>
      </c>
      <c r="BT1178">
        <v>-197</v>
      </c>
      <c r="BU1178" s="144">
        <v>0.57771260997067453</v>
      </c>
      <c r="BV1178">
        <v>144</v>
      </c>
      <c r="BX1178">
        <f>BV1178/1000</f>
        <v>0.14399999999999999</v>
      </c>
      <c r="BY1178" t="str">
        <f>IFERROR(BX1178/BO1178,"")</f>
        <v/>
      </c>
      <c r="BZ1178">
        <v>0</v>
      </c>
      <c r="CA1178">
        <v>0</v>
      </c>
      <c r="CB1178">
        <v>0</v>
      </c>
      <c r="CC1178">
        <v>0</v>
      </c>
      <c r="CD1178">
        <v>0</v>
      </c>
      <c r="CE1178">
        <v>0</v>
      </c>
      <c r="CF1178">
        <v>0</v>
      </c>
      <c r="CG1178">
        <v>0</v>
      </c>
      <c r="CH1178">
        <v>0</v>
      </c>
      <c r="CI1178">
        <v>0</v>
      </c>
      <c r="CJ1178">
        <v>0</v>
      </c>
      <c r="CK1178">
        <v>0</v>
      </c>
      <c r="CL1178">
        <v>0</v>
      </c>
      <c r="CM1178">
        <v>0</v>
      </c>
      <c r="CN1178" t="str">
        <f>IF(BL1178&lt;BK1178,"refNeedCorrection","refOK")</f>
        <v>refOK</v>
      </c>
      <c r="CO1178"/>
      <c r="CP1178"/>
      <c r="CQ1178"/>
      <c r="CR1178">
        <f>IF($CN1178="refOK",$BS1178,$BT1178)*IF($BP1178="Emissions positive",-1,1)</f>
        <v>-157</v>
      </c>
      <c r="CS1178">
        <f>IF($CN1178="refOK",$BT1178,$BS1178)*IF($BP1178="Emissions positive",-1,1)</f>
        <v>-197</v>
      </c>
      <c r="CT1178">
        <f>IF($CN1178="refNeedCorrection",-BX1178,BX1178)*IF($BP1178="Emissions positive",-1,1)</f>
        <v>0.14399999999999999</v>
      </c>
      <c r="CU1178" t="str">
        <f>IFERROR(CT1178/CQ1178,"")</f>
        <v/>
      </c>
      <c r="CV1178" s="2">
        <f>IFERROR((CS1178-CR1178)/ABS(CR1178),"")</f>
        <v>-0.25477707006369427</v>
      </c>
      <c r="CW1178" s="1" t="s">
        <v>1199</v>
      </c>
      <c r="CX1178" s="264" t="str">
        <f>IF(OR($CW1178="prd",$CW1178="std",$CW1178="cit"),"loc",IF(OR($CW1178="eur",$CW1178="reg",$CW1178="coy"),"reg",$CW1178))</f>
        <v>reg</v>
      </c>
      <c r="CY1178" t="s">
        <v>235</v>
      </c>
      <c r="DB1178">
        <v>80</v>
      </c>
      <c r="DC1178" t="str">
        <f>IF(DB1178=0,"0",IF(AND(DB1178&gt;=1,DB1178&lt;=30),"1-30",IF(AND(DB1178&gt;30,DB1178&lt;=70),"31-70",IF(AND(DB1178&gt;70,DB1178&lt;=100),"71-100",IF(DB1178&gt;100,"+100")))))</f>
        <v>71-100</v>
      </c>
      <c r="DD1178">
        <v>0</v>
      </c>
      <c r="DE1178">
        <v>1</v>
      </c>
      <c r="DF1178">
        <v>0</v>
      </c>
      <c r="DG1178">
        <v>0</v>
      </c>
      <c r="DI1178">
        <f>SUM(DD1178:DG1178)</f>
        <v>1</v>
      </c>
      <c r="DJ1178" t="str">
        <f>IF(DI1178=1,INDEX($DD$7:$DG$7,MATCH(1,$DD1178:$DG1178,0)),"mixedProduct")</f>
        <v>EnergyInput</v>
      </c>
      <c r="DK1178">
        <f>IF(DD1178=1,DK$7,0)</f>
        <v>0</v>
      </c>
      <c r="DL1178" t="str">
        <f>IF(DE1178=1,DL$7,0)</f>
        <v>Energy</v>
      </c>
      <c r="DM1178">
        <f>IF(DF1178=1,DM$7,0)</f>
        <v>0</v>
      </c>
      <c r="DN1178">
        <f>IF(DG1178=1,DN$7,0)</f>
        <v>0</v>
      </c>
      <c r="DO1178">
        <v>0</v>
      </c>
      <c r="DP1178">
        <v>1</v>
      </c>
      <c r="DQ1178" t="s">
        <v>2146</v>
      </c>
      <c r="DR1178">
        <v>0</v>
      </c>
      <c r="DS1178">
        <v>0</v>
      </c>
      <c r="DT1178">
        <f>SUM(DO1178:DP1178)</f>
        <v>1</v>
      </c>
      <c r="DU1178" s="143" t="str">
        <f>IF(DO1178=1,"self-calculated DF",IF(DP1178=1,"external DF used","explicit C balance"))</f>
        <v>external DF used</v>
      </c>
      <c r="DV1178">
        <v>1</v>
      </c>
      <c r="DW1178">
        <v>1</v>
      </c>
      <c r="DX1178">
        <v>1</v>
      </c>
      <c r="DY1178">
        <v>1</v>
      </c>
      <c r="DZ1178">
        <v>1</v>
      </c>
      <c r="EA1178">
        <v>0</v>
      </c>
      <c r="EB1178">
        <v>1</v>
      </c>
      <c r="EC1178">
        <v>1</v>
      </c>
      <c r="ED1178">
        <v>0</v>
      </c>
      <c r="EE1178">
        <v>0</v>
      </c>
      <c r="EF1178">
        <v>1</v>
      </c>
      <c r="EG1178">
        <v>0</v>
      </c>
      <c r="EH1178">
        <v>0</v>
      </c>
      <c r="EI1178" s="2">
        <v>0</v>
      </c>
      <c r="EK1178" t="str">
        <f>IF(AND(AND(AND(OR($DX1178=1,$DW1178=1),OR($EC1178=1,$EA1178=1)),SUM($DV1178:$DZ1178,$EF1178)&gt;=4),SUM($EA1178:$EE1178)&gt;=2),"Whole sector","")</f>
        <v>Whole sector</v>
      </c>
      <c r="EL1178" t="str">
        <f>IF(AND(AND(OR($DX1178=1,$DW1178=1),AND($EC1178=0,$EA1178=0)),SUM($DV1178:$DZ1178,$EF1178)&gt;=4),"Ecosystem approach","")</f>
        <v/>
      </c>
      <c r="EM1178" s="2" t="str">
        <f>IF(AND(AND(AND($DX1178=0,$DW1178=0),OR($EC1178=1,$EA1178=1)),SUM($EB1178:$EE1178)&gt;=2),"Technology approach","")</f>
        <v/>
      </c>
      <c r="EP1178" t="b">
        <f>IF(ISNUMBER(BU1178),IF(ABS(BU1178-[3]QC_indicators!$B$2)&gt;3*[3]QC_indicators!$C$2,"C ratio",IF(ISNUMBER(BY1178),IF(ABS(BY1178-[3]QC_indicators!$B$1)&gt;3*[3]QC_indicators!$C$1,"DF","no"))),IF(ISNUMBER(BY1178),IF(ABS(BY1178-[3]QC_indicators!$B$1)&gt;3*[3]QC_indicators!$C$1,"DF","no")))</f>
        <v>0</v>
      </c>
      <c r="ER1178" s="294" t="s">
        <v>2171</v>
      </c>
      <c r="ET1178" s="264" t="s">
        <v>3407</v>
      </c>
    </row>
    <row r="1179" spans="1:150" ht="15" customHeight="1">
      <c r="A1179" s="1" t="s">
        <v>1360</v>
      </c>
      <c r="B1179" t="s">
        <v>2135</v>
      </c>
      <c r="C1179" t="s">
        <v>2136</v>
      </c>
      <c r="D1179" t="s">
        <v>2137</v>
      </c>
      <c r="E1179" t="s">
        <v>2138</v>
      </c>
      <c r="F1179" t="s">
        <v>2139</v>
      </c>
      <c r="G1179" t="s">
        <v>1366</v>
      </c>
      <c r="H1179" t="s">
        <v>254</v>
      </c>
      <c r="I1179">
        <v>2012</v>
      </c>
      <c r="J1179">
        <v>21</v>
      </c>
      <c r="K1179" t="s">
        <v>2140</v>
      </c>
      <c r="L1179" s="192"/>
      <c r="M1179" t="str">
        <f>LEFT($D1179,FIND(",",$D1179)-1)&amp;"_"&amp;I1179&amp;L1179</f>
        <v>Pyorala_2012</v>
      </c>
      <c r="N1179" t="s">
        <v>222</v>
      </c>
      <c r="O1179" s="145" t="s">
        <v>341</v>
      </c>
      <c r="Q1179" s="264" t="s">
        <v>256</v>
      </c>
      <c r="R1179" s="269" t="s">
        <v>1154</v>
      </c>
      <c r="S1179" s="1" t="s">
        <v>2188</v>
      </c>
      <c r="T1179" t="s">
        <v>798</v>
      </c>
      <c r="U1179" t="s">
        <v>2168</v>
      </c>
      <c r="V1179">
        <v>0</v>
      </c>
      <c r="W1179">
        <v>0</v>
      </c>
      <c r="X1179">
        <v>0</v>
      </c>
      <c r="Y1179">
        <v>0</v>
      </c>
      <c r="Z1179">
        <v>0</v>
      </c>
      <c r="AA1179">
        <v>0</v>
      </c>
      <c r="AB1179">
        <v>0</v>
      </c>
      <c r="AC1179">
        <v>0</v>
      </c>
      <c r="AD1179">
        <v>0</v>
      </c>
      <c r="AE1179">
        <v>0</v>
      </c>
      <c r="AF1179">
        <v>0</v>
      </c>
      <c r="AG1179">
        <v>0</v>
      </c>
      <c r="AH1179">
        <v>0</v>
      </c>
      <c r="AI1179">
        <v>0</v>
      </c>
      <c r="AJ1179">
        <v>0</v>
      </c>
      <c r="AK1179">
        <v>1</v>
      </c>
      <c r="AL1179">
        <v>0</v>
      </c>
      <c r="AM1179">
        <v>0</v>
      </c>
      <c r="AN1179">
        <v>0</v>
      </c>
      <c r="AO1179">
        <v>0</v>
      </c>
      <c r="AP1179">
        <v>0</v>
      </c>
      <c r="AQ1179">
        <v>0</v>
      </c>
      <c r="AR1179">
        <v>0</v>
      </c>
      <c r="AS1179">
        <v>0</v>
      </c>
      <c r="AT1179">
        <v>0</v>
      </c>
      <c r="AU1179">
        <v>0</v>
      </c>
      <c r="AV1179">
        <v>0</v>
      </c>
      <c r="AW1179">
        <v>0</v>
      </c>
      <c r="AX1179" s="141">
        <f>COUNTIF(V1179:AW1179,"&lt;&gt;0")</f>
        <v>1</v>
      </c>
      <c r="AY1179" s="141">
        <f>COUNTIF(V1179:AL1179,"&lt;&gt;0")</f>
        <v>1</v>
      </c>
      <c r="AZ1179">
        <f>COUNTIF(V1179:AC1179,"&lt;&gt;0")</f>
        <v>0</v>
      </c>
      <c r="BA1179">
        <f>COUNTIF(AD1179:AI1179,"&lt;&gt;0")</f>
        <v>0</v>
      </c>
      <c r="BB1179">
        <f>COUNTIF(AJ1179:AL1179,"&lt;&gt;0")</f>
        <v>1</v>
      </c>
      <c r="BC1179">
        <f>COUNTIF(AS1179:AW1179,"&lt;&gt;0")</f>
        <v>0</v>
      </c>
      <c r="BD1179">
        <f>COUNTIF(AM1179:AR1179,"&lt;&gt;0")</f>
        <v>0</v>
      </c>
      <c r="BE1179" t="str" cm="1">
        <f t="array" ref="BE1179">IF(AY1179=1,INDEX($V$7:$AL$7,MATCH(TRUE,INDEX($V1179:$AW1179&lt;&gt;0,),0)),IF(AY1179=0,INDEX($AM$7:$AW$7,MATCH(1,$AM1179:$AW1179,0)),IF(BF1179="Multiple strategies","mixed drivers",IF(BF1179="Supply chain","multiple supply","multiple silviculture"))))</f>
        <v>technologies/design switch</v>
      </c>
      <c r="BF1179" s="2" t="str" cm="1">
        <f t="array" ref="BF1179">IF(COUNTIF(AZ1179:BB1179,"&lt;&gt;0")=1,INDEX($V$4:$AW$4,MATCH(TRUE,INDEX($V1179:$AW1179&lt;&gt;0,),0)),IF(COUNTIF(AZ1179:BB1179,"&lt;&gt;0")=0,INDEX($AM$4:$AW$4,MATCH(1,$AM1179:$AW1179,0)),"Multiple strategies"))</f>
        <v>Technology</v>
      </c>
      <c r="BH1179" t="s">
        <v>2169</v>
      </c>
      <c r="BN1179" s="143"/>
      <c r="BP1179" s="264" t="s">
        <v>232</v>
      </c>
      <c r="BQ1179" s="264"/>
      <c r="BR1179" t="s">
        <v>2170</v>
      </c>
      <c r="BS1179">
        <v>-157</v>
      </c>
      <c r="BT1179">
        <v>-242</v>
      </c>
      <c r="BU1179" s="144">
        <v>0.70967741935483875</v>
      </c>
      <c r="BV1179">
        <v>99</v>
      </c>
      <c r="BX1179">
        <f>BV1179/1000</f>
        <v>9.9000000000000005E-2</v>
      </c>
      <c r="BY1179" t="str">
        <f>IFERROR(BX1179/BO1179,"")</f>
        <v/>
      </c>
      <c r="BZ1179">
        <v>0</v>
      </c>
      <c r="CA1179">
        <v>0</v>
      </c>
      <c r="CB1179">
        <v>0</v>
      </c>
      <c r="CC1179">
        <v>0</v>
      </c>
      <c r="CD1179">
        <v>0</v>
      </c>
      <c r="CE1179">
        <v>0</v>
      </c>
      <c r="CF1179">
        <v>0</v>
      </c>
      <c r="CG1179">
        <v>0</v>
      </c>
      <c r="CH1179">
        <v>0</v>
      </c>
      <c r="CI1179">
        <v>0</v>
      </c>
      <c r="CJ1179">
        <v>0</v>
      </c>
      <c r="CK1179">
        <v>0</v>
      </c>
      <c r="CL1179">
        <v>0</v>
      </c>
      <c r="CM1179">
        <v>0</v>
      </c>
      <c r="CN1179" t="str">
        <f>IF(BL1179&lt;BK1179,"refNeedCorrection","refOK")</f>
        <v>refOK</v>
      </c>
      <c r="CO1179"/>
      <c r="CP1179"/>
      <c r="CQ1179"/>
      <c r="CR1179">
        <f>IF($CN1179="refOK",$BS1179,$BT1179)*IF($BP1179="Emissions positive",-1,1)</f>
        <v>-157</v>
      </c>
      <c r="CS1179">
        <f>IF($CN1179="refOK",$BT1179,$BS1179)*IF($BP1179="Emissions positive",-1,1)</f>
        <v>-242</v>
      </c>
      <c r="CT1179">
        <f>IF($CN1179="refNeedCorrection",-BX1179,BX1179)*IF($BP1179="Emissions positive",-1,1)</f>
        <v>9.9000000000000005E-2</v>
      </c>
      <c r="CU1179" t="str">
        <f>IFERROR(CT1179/CQ1179,"")</f>
        <v/>
      </c>
      <c r="CV1179" s="2">
        <f>IFERROR((CS1179-CR1179)/ABS(CR1179),"")</f>
        <v>-0.54140127388535031</v>
      </c>
      <c r="CW1179" s="1" t="s">
        <v>1199</v>
      </c>
      <c r="CX1179" s="264" t="str">
        <f>IF(OR($CW1179="prd",$CW1179="std",$CW1179="cit"),"loc",IF(OR($CW1179="eur",$CW1179="reg",$CW1179="coy"),"reg",$CW1179))</f>
        <v>reg</v>
      </c>
      <c r="CY1179" t="s">
        <v>235</v>
      </c>
      <c r="DB1179">
        <v>80</v>
      </c>
      <c r="DC1179" t="str">
        <f>IF(DB1179=0,"0",IF(AND(DB1179&gt;=1,DB1179&lt;=30),"1-30",IF(AND(DB1179&gt;30,DB1179&lt;=70),"31-70",IF(AND(DB1179&gt;70,DB1179&lt;=100),"71-100",IF(DB1179&gt;100,"+100")))))</f>
        <v>71-100</v>
      </c>
      <c r="DD1179">
        <v>0</v>
      </c>
      <c r="DE1179">
        <v>1</v>
      </c>
      <c r="DF1179">
        <v>0</v>
      </c>
      <c r="DG1179">
        <v>0</v>
      </c>
      <c r="DI1179">
        <f>SUM(DD1179:DG1179)</f>
        <v>1</v>
      </c>
      <c r="DJ1179" t="str">
        <f>IF(DI1179=1,INDEX($DD$7:$DG$7,MATCH(1,$DD1179:$DG1179,0)),"mixedProduct")</f>
        <v>EnergyInput</v>
      </c>
      <c r="DK1179">
        <f>IF(DD1179=1,DK$7,0)</f>
        <v>0</v>
      </c>
      <c r="DL1179" t="str">
        <f>IF(DE1179=1,DL$7,0)</f>
        <v>Energy</v>
      </c>
      <c r="DM1179">
        <f>IF(DF1179=1,DM$7,0)</f>
        <v>0</v>
      </c>
      <c r="DN1179">
        <f>IF(DG1179=1,DN$7,0)</f>
        <v>0</v>
      </c>
      <c r="DO1179">
        <v>0</v>
      </c>
      <c r="DP1179">
        <v>1</v>
      </c>
      <c r="DQ1179" t="s">
        <v>2146</v>
      </c>
      <c r="DR1179">
        <v>0</v>
      </c>
      <c r="DS1179">
        <v>0</v>
      </c>
      <c r="DT1179">
        <f>SUM(DO1179:DP1179)</f>
        <v>1</v>
      </c>
      <c r="DU1179" s="143" t="str">
        <f>IF(DO1179=1,"self-calculated DF",IF(DP1179=1,"external DF used","explicit C balance"))</f>
        <v>external DF used</v>
      </c>
      <c r="DV1179">
        <v>1</v>
      </c>
      <c r="DW1179">
        <v>1</v>
      </c>
      <c r="DX1179">
        <v>1</v>
      </c>
      <c r="DY1179">
        <v>1</v>
      </c>
      <c r="DZ1179">
        <v>1</v>
      </c>
      <c r="EA1179">
        <v>0</v>
      </c>
      <c r="EB1179">
        <v>1</v>
      </c>
      <c r="EC1179">
        <v>1</v>
      </c>
      <c r="ED1179">
        <v>0</v>
      </c>
      <c r="EE1179">
        <v>0</v>
      </c>
      <c r="EF1179">
        <v>1</v>
      </c>
      <c r="EG1179">
        <v>0</v>
      </c>
      <c r="EH1179">
        <v>0</v>
      </c>
      <c r="EI1179" s="2">
        <v>0</v>
      </c>
      <c r="EK1179" t="str">
        <f>IF(AND(AND(AND(OR($DX1179=1,$DW1179=1),OR($EC1179=1,$EA1179=1)),SUM($DV1179:$DZ1179,$EF1179)&gt;=4),SUM($EA1179:$EE1179)&gt;=2),"Whole sector","")</f>
        <v>Whole sector</v>
      </c>
      <c r="EL1179" t="str">
        <f>IF(AND(AND(OR($DX1179=1,$DW1179=1),AND($EC1179=0,$EA1179=0)),SUM($DV1179:$DZ1179,$EF1179)&gt;=4),"Ecosystem approach","")</f>
        <v/>
      </c>
      <c r="EM1179" s="2" t="str">
        <f>IF(AND(AND(AND($DX1179=0,$DW1179=0),OR($EC1179=1,$EA1179=1)),SUM($EB1179:$EE1179)&gt;=2),"Technology approach","")</f>
        <v/>
      </c>
      <c r="EP1179" t="b">
        <f>IF(ISNUMBER(BU1179),IF(ABS(BU1179-[3]QC_indicators!$B$2)&gt;3*[3]QC_indicators!$C$2,"C ratio",IF(ISNUMBER(BY1179),IF(ABS(BY1179-[3]QC_indicators!$B$1)&gt;3*[3]QC_indicators!$C$1,"DF","no"))),IF(ISNUMBER(BY1179),IF(ABS(BY1179-[3]QC_indicators!$B$1)&gt;3*[3]QC_indicators!$C$1,"DF","no")))</f>
        <v>0</v>
      </c>
      <c r="ER1179" s="294" t="s">
        <v>2171</v>
      </c>
      <c r="ET1179" s="264" t="s">
        <v>3407</v>
      </c>
    </row>
    <row r="1180" spans="1:150" ht="15" customHeight="1">
      <c r="A1180" s="1" t="s">
        <v>1360</v>
      </c>
      <c r="B1180" t="s">
        <v>2135</v>
      </c>
      <c r="C1180" t="s">
        <v>2136</v>
      </c>
      <c r="D1180" t="s">
        <v>2137</v>
      </c>
      <c r="E1180" t="s">
        <v>2138</v>
      </c>
      <c r="F1180" t="s">
        <v>2139</v>
      </c>
      <c r="G1180" t="s">
        <v>1366</v>
      </c>
      <c r="H1180" t="s">
        <v>254</v>
      </c>
      <c r="I1180">
        <v>2012</v>
      </c>
      <c r="J1180">
        <v>21</v>
      </c>
      <c r="K1180" t="s">
        <v>2140</v>
      </c>
      <c r="L1180" s="192"/>
      <c r="M1180" t="str">
        <f>LEFT($D1180,FIND(",",$D1180)-1)&amp;"_"&amp;I1180&amp;L1180</f>
        <v>Pyorala_2012</v>
      </c>
      <c r="N1180" t="s">
        <v>222</v>
      </c>
      <c r="O1180" s="145" t="s">
        <v>341</v>
      </c>
      <c r="Q1180" s="264" t="s">
        <v>256</v>
      </c>
      <c r="R1180" s="269" t="s">
        <v>1154</v>
      </c>
      <c r="S1180" s="1" t="s">
        <v>2189</v>
      </c>
      <c r="T1180" t="s">
        <v>798</v>
      </c>
      <c r="U1180" t="s">
        <v>2168</v>
      </c>
      <c r="V1180">
        <v>0</v>
      </c>
      <c r="W1180">
        <v>0</v>
      </c>
      <c r="X1180">
        <v>0</v>
      </c>
      <c r="Y1180">
        <v>0</v>
      </c>
      <c r="Z1180">
        <v>0</v>
      </c>
      <c r="AA1180">
        <v>0</v>
      </c>
      <c r="AB1180">
        <v>0</v>
      </c>
      <c r="AC1180">
        <v>0</v>
      </c>
      <c r="AD1180">
        <v>0</v>
      </c>
      <c r="AE1180">
        <v>0</v>
      </c>
      <c r="AF1180">
        <v>0</v>
      </c>
      <c r="AG1180">
        <v>0</v>
      </c>
      <c r="AH1180">
        <v>0</v>
      </c>
      <c r="AI1180">
        <v>0</v>
      </c>
      <c r="AJ1180">
        <v>0</v>
      </c>
      <c r="AK1180">
        <v>1</v>
      </c>
      <c r="AL1180">
        <v>0</v>
      </c>
      <c r="AM1180">
        <v>0</v>
      </c>
      <c r="AN1180">
        <v>0</v>
      </c>
      <c r="AO1180">
        <v>0</v>
      </c>
      <c r="AP1180">
        <v>0</v>
      </c>
      <c r="AQ1180">
        <v>0</v>
      </c>
      <c r="AR1180">
        <v>0</v>
      </c>
      <c r="AS1180">
        <v>0</v>
      </c>
      <c r="AT1180">
        <v>0</v>
      </c>
      <c r="AU1180">
        <v>0</v>
      </c>
      <c r="AV1180">
        <v>0</v>
      </c>
      <c r="AW1180">
        <v>0</v>
      </c>
      <c r="AX1180" s="141">
        <f>COUNTIF(V1180:AW1180,"&lt;&gt;0")</f>
        <v>1</v>
      </c>
      <c r="AY1180" s="141">
        <f>COUNTIF(V1180:AL1180,"&lt;&gt;0")</f>
        <v>1</v>
      </c>
      <c r="AZ1180">
        <f>COUNTIF(V1180:AC1180,"&lt;&gt;0")</f>
        <v>0</v>
      </c>
      <c r="BA1180">
        <f>COUNTIF(AD1180:AI1180,"&lt;&gt;0")</f>
        <v>0</v>
      </c>
      <c r="BB1180">
        <f>COUNTIF(AJ1180:AL1180,"&lt;&gt;0")</f>
        <v>1</v>
      </c>
      <c r="BC1180">
        <f>COUNTIF(AS1180:AW1180,"&lt;&gt;0")</f>
        <v>0</v>
      </c>
      <c r="BD1180">
        <f>COUNTIF(AM1180:AR1180,"&lt;&gt;0")</f>
        <v>0</v>
      </c>
      <c r="BE1180" t="str" cm="1">
        <f t="array" ref="BE1180">IF(AY1180=1,INDEX($V$7:$AL$7,MATCH(TRUE,INDEX($V1180:$AW1180&lt;&gt;0,),0)),IF(AY1180=0,INDEX($AM$7:$AW$7,MATCH(1,$AM1180:$AW1180,0)),IF(BF1180="Multiple strategies","mixed drivers",IF(BF1180="Supply chain","multiple supply","multiple silviculture"))))</f>
        <v>technologies/design switch</v>
      </c>
      <c r="BF1180" s="2" t="str" cm="1">
        <f t="array" ref="BF1180">IF(COUNTIF(AZ1180:BB1180,"&lt;&gt;0")=1,INDEX($V$4:$AW$4,MATCH(TRUE,INDEX($V1180:$AW1180&lt;&gt;0,),0)),IF(COUNTIF(AZ1180:BB1180,"&lt;&gt;0")=0,INDEX($AM$4:$AW$4,MATCH(1,$AM1180:$AW1180,0)),"Multiple strategies"))</f>
        <v>Technology</v>
      </c>
      <c r="BH1180" t="s">
        <v>2169</v>
      </c>
      <c r="BN1180" s="143"/>
      <c r="BP1180" s="264" t="s">
        <v>232</v>
      </c>
      <c r="BQ1180" s="264"/>
      <c r="BR1180" t="s">
        <v>2170</v>
      </c>
      <c r="BS1180">
        <v>-157</v>
      </c>
      <c r="BT1180">
        <v>-374</v>
      </c>
      <c r="BU1180" s="144">
        <v>1.096774193548387</v>
      </c>
      <c r="BV1180">
        <v>-33</v>
      </c>
      <c r="BX1180">
        <f>BV1180/1000</f>
        <v>-3.3000000000000002E-2</v>
      </c>
      <c r="BY1180" t="str">
        <f>IFERROR(BX1180/BO1180,"")</f>
        <v/>
      </c>
      <c r="BZ1180">
        <v>0</v>
      </c>
      <c r="CA1180">
        <v>0</v>
      </c>
      <c r="CB1180">
        <v>0</v>
      </c>
      <c r="CC1180">
        <v>0</v>
      </c>
      <c r="CD1180">
        <v>0</v>
      </c>
      <c r="CE1180">
        <v>0</v>
      </c>
      <c r="CF1180">
        <v>0</v>
      </c>
      <c r="CG1180">
        <v>0</v>
      </c>
      <c r="CH1180">
        <v>0</v>
      </c>
      <c r="CI1180">
        <v>0</v>
      </c>
      <c r="CJ1180">
        <v>0</v>
      </c>
      <c r="CK1180">
        <v>0</v>
      </c>
      <c r="CL1180">
        <v>0</v>
      </c>
      <c r="CM1180">
        <v>0</v>
      </c>
      <c r="CN1180" t="str">
        <f>IF(BL1180&lt;BK1180,"refNeedCorrection","refOK")</f>
        <v>refOK</v>
      </c>
      <c r="CO1180"/>
      <c r="CP1180"/>
      <c r="CQ1180"/>
      <c r="CR1180">
        <f>IF($CN1180="refOK",$BS1180,$BT1180)*IF($BP1180="Emissions positive",-1,1)</f>
        <v>-157</v>
      </c>
      <c r="CS1180">
        <f>IF($CN1180="refOK",$BT1180,$BS1180)*IF($BP1180="Emissions positive",-1,1)</f>
        <v>-374</v>
      </c>
      <c r="CT1180">
        <f>IF($CN1180="refNeedCorrection",-BX1180,BX1180)*IF($BP1180="Emissions positive",-1,1)</f>
        <v>-3.3000000000000002E-2</v>
      </c>
      <c r="CU1180" t="str">
        <f>IFERROR(CT1180/CQ1180,"")</f>
        <v/>
      </c>
      <c r="CV1180" s="2">
        <f>IFERROR((CS1180-CR1180)/ABS(CR1180),"")</f>
        <v>-1.3821656050955413</v>
      </c>
      <c r="CW1180" s="1" t="s">
        <v>1199</v>
      </c>
      <c r="CX1180" s="264" t="str">
        <f>IF(OR($CW1180="prd",$CW1180="std",$CW1180="cit"),"loc",IF(OR($CW1180="eur",$CW1180="reg",$CW1180="coy"),"reg",$CW1180))</f>
        <v>reg</v>
      </c>
      <c r="CY1180" t="s">
        <v>235</v>
      </c>
      <c r="DB1180">
        <v>30</v>
      </c>
      <c r="DC1180" t="str">
        <f>IF(DB1180=0,"0",IF(AND(DB1180&gt;=1,DB1180&lt;=30),"1-30",IF(AND(DB1180&gt;30,DB1180&lt;=70),"31-70",IF(AND(DB1180&gt;70,DB1180&lt;=100),"71-100",IF(DB1180&gt;100,"+100")))))</f>
        <v>1-30</v>
      </c>
      <c r="DD1180">
        <v>0</v>
      </c>
      <c r="DE1180">
        <v>1</v>
      </c>
      <c r="DF1180">
        <v>0</v>
      </c>
      <c r="DG1180">
        <v>0</v>
      </c>
      <c r="DI1180">
        <f>SUM(DD1180:DG1180)</f>
        <v>1</v>
      </c>
      <c r="DJ1180" t="str">
        <f>IF(DI1180=1,INDEX($DD$7:$DG$7,MATCH(1,$DD1180:$DG1180,0)),"mixedProduct")</f>
        <v>EnergyInput</v>
      </c>
      <c r="DK1180">
        <f>IF(DD1180=1,DK$7,0)</f>
        <v>0</v>
      </c>
      <c r="DL1180" t="str">
        <f>IF(DE1180=1,DL$7,0)</f>
        <v>Energy</v>
      </c>
      <c r="DM1180">
        <f>IF(DF1180=1,DM$7,0)</f>
        <v>0</v>
      </c>
      <c r="DN1180">
        <f>IF(DG1180=1,DN$7,0)</f>
        <v>0</v>
      </c>
      <c r="DO1180">
        <v>0</v>
      </c>
      <c r="DP1180">
        <v>1</v>
      </c>
      <c r="DQ1180" t="s">
        <v>2146</v>
      </c>
      <c r="DR1180">
        <v>0</v>
      </c>
      <c r="DS1180">
        <v>0</v>
      </c>
      <c r="DT1180">
        <f>SUM(DO1180:DP1180)</f>
        <v>1</v>
      </c>
      <c r="DU1180" s="143" t="str">
        <f>IF(DO1180=1,"self-calculated DF",IF(DP1180=1,"external DF used","explicit C balance"))</f>
        <v>external DF used</v>
      </c>
      <c r="DV1180">
        <v>1</v>
      </c>
      <c r="DW1180">
        <v>1</v>
      </c>
      <c r="DX1180">
        <v>1</v>
      </c>
      <c r="DY1180">
        <v>1</v>
      </c>
      <c r="DZ1180">
        <v>1</v>
      </c>
      <c r="EA1180">
        <v>0</v>
      </c>
      <c r="EB1180">
        <v>1</v>
      </c>
      <c r="EC1180">
        <v>1</v>
      </c>
      <c r="ED1180">
        <v>0</v>
      </c>
      <c r="EE1180">
        <v>0</v>
      </c>
      <c r="EF1180">
        <v>1</v>
      </c>
      <c r="EG1180">
        <v>0</v>
      </c>
      <c r="EH1180">
        <v>0</v>
      </c>
      <c r="EI1180" s="2">
        <v>0</v>
      </c>
      <c r="EK1180" t="str">
        <f>IF(AND(AND(AND(OR($DX1180=1,$DW1180=1),OR($EC1180=1,$EA1180=1)),SUM($DV1180:$DZ1180,$EF1180)&gt;=4),SUM($EA1180:$EE1180)&gt;=2),"Whole sector","")</f>
        <v>Whole sector</v>
      </c>
      <c r="EL1180" t="str">
        <f>IF(AND(AND(OR($DX1180=1,$DW1180=1),AND($EC1180=0,$EA1180=0)),SUM($DV1180:$DZ1180,$EF1180)&gt;=4),"Ecosystem approach","")</f>
        <v/>
      </c>
      <c r="EM1180" s="2" t="str">
        <f>IF(AND(AND(AND($DX1180=0,$DW1180=0),OR($EC1180=1,$EA1180=1)),SUM($EB1180:$EE1180)&gt;=2),"Technology approach","")</f>
        <v/>
      </c>
      <c r="EP1180" t="b">
        <f>IF(ISNUMBER(BU1180),IF(ABS(BU1180-[3]QC_indicators!$B$2)&gt;3*[3]QC_indicators!$C$2,"C ratio",IF(ISNUMBER(BY1180),IF(ABS(BY1180-[3]QC_indicators!$B$1)&gt;3*[3]QC_indicators!$C$1,"DF","no"))),IF(ISNUMBER(BY1180),IF(ABS(BY1180-[3]QC_indicators!$B$1)&gt;3*[3]QC_indicators!$C$1,"DF","no")))</f>
        <v>0</v>
      </c>
      <c r="ER1180" s="294" t="s">
        <v>2171</v>
      </c>
      <c r="ET1180" s="264" t="s">
        <v>3407</v>
      </c>
    </row>
    <row r="1181" spans="1:150" ht="15" customHeight="1">
      <c r="A1181" s="1" t="s">
        <v>1360</v>
      </c>
      <c r="B1181" t="s">
        <v>2135</v>
      </c>
      <c r="C1181" t="s">
        <v>2136</v>
      </c>
      <c r="D1181" t="s">
        <v>2137</v>
      </c>
      <c r="E1181" t="s">
        <v>2138</v>
      </c>
      <c r="F1181" t="s">
        <v>2139</v>
      </c>
      <c r="G1181" t="s">
        <v>1366</v>
      </c>
      <c r="H1181" t="s">
        <v>254</v>
      </c>
      <c r="I1181">
        <v>2012</v>
      </c>
      <c r="J1181">
        <v>21</v>
      </c>
      <c r="K1181" t="s">
        <v>2140</v>
      </c>
      <c r="L1181" s="192"/>
      <c r="M1181" t="str">
        <f>LEFT($D1181,FIND(",",$D1181)-1)&amp;"_"&amp;I1181&amp;L1181</f>
        <v>Pyorala_2012</v>
      </c>
      <c r="N1181" t="s">
        <v>222</v>
      </c>
      <c r="O1181" s="145" t="s">
        <v>341</v>
      </c>
      <c r="Q1181" s="264" t="s">
        <v>256</v>
      </c>
      <c r="R1181" s="269" t="s">
        <v>1154</v>
      </c>
      <c r="S1181" s="1" t="s">
        <v>2190</v>
      </c>
      <c r="T1181" t="s">
        <v>798</v>
      </c>
      <c r="U1181" t="s">
        <v>2168</v>
      </c>
      <c r="V1181">
        <v>0</v>
      </c>
      <c r="W1181">
        <v>0</v>
      </c>
      <c r="X1181">
        <v>0</v>
      </c>
      <c r="Y1181">
        <v>0</v>
      </c>
      <c r="Z1181">
        <v>0</v>
      </c>
      <c r="AA1181">
        <v>0</v>
      </c>
      <c r="AB1181">
        <v>0</v>
      </c>
      <c r="AC1181">
        <v>0</v>
      </c>
      <c r="AD1181">
        <v>0</v>
      </c>
      <c r="AE1181">
        <v>0</v>
      </c>
      <c r="AF1181">
        <v>0</v>
      </c>
      <c r="AG1181">
        <v>0</v>
      </c>
      <c r="AH1181">
        <v>0</v>
      </c>
      <c r="AI1181">
        <v>0</v>
      </c>
      <c r="AJ1181">
        <v>0</v>
      </c>
      <c r="AK1181">
        <v>1</v>
      </c>
      <c r="AL1181">
        <v>0</v>
      </c>
      <c r="AM1181">
        <v>0</v>
      </c>
      <c r="AN1181">
        <v>0</v>
      </c>
      <c r="AO1181">
        <v>0</v>
      </c>
      <c r="AP1181">
        <v>0</v>
      </c>
      <c r="AQ1181">
        <v>0</v>
      </c>
      <c r="AR1181">
        <v>0</v>
      </c>
      <c r="AS1181">
        <v>0</v>
      </c>
      <c r="AT1181">
        <v>0</v>
      </c>
      <c r="AU1181">
        <v>0</v>
      </c>
      <c r="AV1181">
        <v>0</v>
      </c>
      <c r="AW1181">
        <v>0</v>
      </c>
      <c r="AX1181" s="141">
        <f>COUNTIF(V1181:AW1181,"&lt;&gt;0")</f>
        <v>1</v>
      </c>
      <c r="AY1181" s="141">
        <f>COUNTIF(V1181:AL1181,"&lt;&gt;0")</f>
        <v>1</v>
      </c>
      <c r="AZ1181">
        <f>COUNTIF(V1181:AC1181,"&lt;&gt;0")</f>
        <v>0</v>
      </c>
      <c r="BA1181">
        <f>COUNTIF(AD1181:AI1181,"&lt;&gt;0")</f>
        <v>0</v>
      </c>
      <c r="BB1181">
        <f>COUNTIF(AJ1181:AL1181,"&lt;&gt;0")</f>
        <v>1</v>
      </c>
      <c r="BC1181">
        <f>COUNTIF(AS1181:AW1181,"&lt;&gt;0")</f>
        <v>0</v>
      </c>
      <c r="BD1181">
        <f>COUNTIF(AM1181:AR1181,"&lt;&gt;0")</f>
        <v>0</v>
      </c>
      <c r="BE1181" t="str" cm="1">
        <f t="array" ref="BE1181">IF(AY1181=1,INDEX($V$7:$AL$7,MATCH(TRUE,INDEX($V1181:$AW1181&lt;&gt;0,),0)),IF(AY1181=0,INDEX($AM$7:$AW$7,MATCH(1,$AM1181:$AW1181,0)),IF(BF1181="Multiple strategies","mixed drivers",IF(BF1181="Supply chain","multiple supply","multiple silviculture"))))</f>
        <v>technologies/design switch</v>
      </c>
      <c r="BF1181" s="2" t="str" cm="1">
        <f t="array" ref="BF1181">IF(COUNTIF(AZ1181:BB1181,"&lt;&gt;0")=1,INDEX($V$4:$AW$4,MATCH(TRUE,INDEX($V1181:$AW1181&lt;&gt;0,),0)),IF(COUNTIF(AZ1181:BB1181,"&lt;&gt;0")=0,INDEX($AM$4:$AW$4,MATCH(1,$AM1181:$AW1181,0)),"Multiple strategies"))</f>
        <v>Technology</v>
      </c>
      <c r="BH1181" t="s">
        <v>2169</v>
      </c>
      <c r="BN1181" s="143"/>
      <c r="BP1181" s="264" t="s">
        <v>232</v>
      </c>
      <c r="BQ1181" s="264"/>
      <c r="BR1181" t="s">
        <v>2170</v>
      </c>
      <c r="BS1181">
        <v>-157</v>
      </c>
      <c r="BT1181">
        <v>-374</v>
      </c>
      <c r="BU1181" s="144">
        <v>1.096774193548387</v>
      </c>
      <c r="BV1181">
        <v>-33</v>
      </c>
      <c r="BX1181">
        <f>BV1181/1000</f>
        <v>-3.3000000000000002E-2</v>
      </c>
      <c r="BY1181" t="str">
        <f>IFERROR(BX1181/BO1181,"")</f>
        <v/>
      </c>
      <c r="BZ1181">
        <v>0</v>
      </c>
      <c r="CA1181">
        <v>0</v>
      </c>
      <c r="CB1181">
        <v>0</v>
      </c>
      <c r="CC1181">
        <v>0</v>
      </c>
      <c r="CD1181">
        <v>0</v>
      </c>
      <c r="CE1181">
        <v>0</v>
      </c>
      <c r="CF1181">
        <v>0</v>
      </c>
      <c r="CG1181">
        <v>0</v>
      </c>
      <c r="CH1181">
        <v>0</v>
      </c>
      <c r="CI1181">
        <v>0</v>
      </c>
      <c r="CJ1181">
        <v>0</v>
      </c>
      <c r="CK1181">
        <v>0</v>
      </c>
      <c r="CL1181">
        <v>0</v>
      </c>
      <c r="CM1181">
        <v>0</v>
      </c>
      <c r="CN1181" t="str">
        <f>IF(BL1181&lt;BK1181,"refNeedCorrection","refOK")</f>
        <v>refOK</v>
      </c>
      <c r="CO1181"/>
      <c r="CP1181"/>
      <c r="CQ1181"/>
      <c r="CR1181">
        <f>IF($CN1181="refOK",$BS1181,$BT1181)*IF($BP1181="Emissions positive",-1,1)</f>
        <v>-157</v>
      </c>
      <c r="CS1181">
        <f>IF($CN1181="refOK",$BT1181,$BS1181)*IF($BP1181="Emissions positive",-1,1)</f>
        <v>-374</v>
      </c>
      <c r="CT1181">
        <f>IF($CN1181="refNeedCorrection",-BX1181,BX1181)*IF($BP1181="Emissions positive",-1,1)</f>
        <v>-3.3000000000000002E-2</v>
      </c>
      <c r="CU1181" t="str">
        <f>IFERROR(CT1181/CQ1181,"")</f>
        <v/>
      </c>
      <c r="CV1181" s="2">
        <f>IFERROR((CS1181-CR1181)/ABS(CR1181),"")</f>
        <v>-1.3821656050955413</v>
      </c>
      <c r="CW1181" s="1" t="s">
        <v>1199</v>
      </c>
      <c r="CX1181" s="264" t="str">
        <f>IF(OR($CW1181="prd",$CW1181="std",$CW1181="cit"),"loc",IF(OR($CW1181="eur",$CW1181="reg",$CW1181="coy"),"reg",$CW1181))</f>
        <v>reg</v>
      </c>
      <c r="CY1181" t="s">
        <v>235</v>
      </c>
      <c r="DB1181">
        <v>30</v>
      </c>
      <c r="DC1181" t="str">
        <f>IF(DB1181=0,"0",IF(AND(DB1181&gt;=1,DB1181&lt;=30),"1-30",IF(AND(DB1181&gt;30,DB1181&lt;=70),"31-70",IF(AND(DB1181&gt;70,DB1181&lt;=100),"71-100",IF(DB1181&gt;100,"+100")))))</f>
        <v>1-30</v>
      </c>
      <c r="DD1181">
        <v>0</v>
      </c>
      <c r="DE1181">
        <v>1</v>
      </c>
      <c r="DF1181">
        <v>0</v>
      </c>
      <c r="DG1181">
        <v>0</v>
      </c>
      <c r="DI1181">
        <f>SUM(DD1181:DG1181)</f>
        <v>1</v>
      </c>
      <c r="DJ1181" t="str">
        <f>IF(DI1181=1,INDEX($DD$7:$DG$7,MATCH(1,$DD1181:$DG1181,0)),"mixedProduct")</f>
        <v>EnergyInput</v>
      </c>
      <c r="DK1181">
        <f>IF(DD1181=1,DK$7,0)</f>
        <v>0</v>
      </c>
      <c r="DL1181" t="str">
        <f>IF(DE1181=1,DL$7,0)</f>
        <v>Energy</v>
      </c>
      <c r="DM1181">
        <f>IF(DF1181=1,DM$7,0)</f>
        <v>0</v>
      </c>
      <c r="DN1181">
        <f>IF(DG1181=1,DN$7,0)</f>
        <v>0</v>
      </c>
      <c r="DO1181">
        <v>0</v>
      </c>
      <c r="DP1181">
        <v>1</v>
      </c>
      <c r="DQ1181" t="s">
        <v>2146</v>
      </c>
      <c r="DR1181">
        <v>0</v>
      </c>
      <c r="DS1181">
        <v>0</v>
      </c>
      <c r="DT1181">
        <f>SUM(DO1181:DP1181)</f>
        <v>1</v>
      </c>
      <c r="DU1181" s="143" t="str">
        <f>IF(DO1181=1,"self-calculated DF",IF(DP1181=1,"external DF used","explicit C balance"))</f>
        <v>external DF used</v>
      </c>
      <c r="DV1181">
        <v>1</v>
      </c>
      <c r="DW1181">
        <v>1</v>
      </c>
      <c r="DX1181">
        <v>1</v>
      </c>
      <c r="DY1181">
        <v>1</v>
      </c>
      <c r="DZ1181">
        <v>1</v>
      </c>
      <c r="EA1181">
        <v>0</v>
      </c>
      <c r="EB1181">
        <v>1</v>
      </c>
      <c r="EC1181">
        <v>1</v>
      </c>
      <c r="ED1181">
        <v>0</v>
      </c>
      <c r="EE1181">
        <v>0</v>
      </c>
      <c r="EF1181">
        <v>1</v>
      </c>
      <c r="EG1181">
        <v>0</v>
      </c>
      <c r="EH1181">
        <v>0</v>
      </c>
      <c r="EI1181" s="2">
        <v>0</v>
      </c>
      <c r="EK1181" t="str">
        <f>IF(AND(AND(AND(OR($DX1181=1,$DW1181=1),OR($EC1181=1,$EA1181=1)),SUM($DV1181:$DZ1181,$EF1181)&gt;=4),SUM($EA1181:$EE1181)&gt;=2),"Whole sector","")</f>
        <v>Whole sector</v>
      </c>
      <c r="EL1181" t="str">
        <f>IF(AND(AND(OR($DX1181=1,$DW1181=1),AND($EC1181=0,$EA1181=0)),SUM($DV1181:$DZ1181,$EF1181)&gt;=4),"Ecosystem approach","")</f>
        <v/>
      </c>
      <c r="EM1181" s="2" t="str">
        <f>IF(AND(AND(AND($DX1181=0,$DW1181=0),OR($EC1181=1,$EA1181=1)),SUM($EB1181:$EE1181)&gt;=2),"Technology approach","")</f>
        <v/>
      </c>
      <c r="EP1181" t="b">
        <f>IF(ISNUMBER(BU1181),IF(ABS(BU1181-[3]QC_indicators!$B$2)&gt;3*[3]QC_indicators!$C$2,"C ratio",IF(ISNUMBER(BY1181),IF(ABS(BY1181-[3]QC_indicators!$B$1)&gt;3*[3]QC_indicators!$C$1,"DF","no"))),IF(ISNUMBER(BY1181),IF(ABS(BY1181-[3]QC_indicators!$B$1)&gt;3*[3]QC_indicators!$C$1,"DF","no")))</f>
        <v>0</v>
      </c>
      <c r="ER1181" s="294" t="s">
        <v>2171</v>
      </c>
      <c r="ET1181" s="264" t="s">
        <v>3407</v>
      </c>
    </row>
    <row r="1182" spans="1:150" ht="15" customHeight="1">
      <c r="A1182" s="1" t="s">
        <v>1360</v>
      </c>
      <c r="B1182" t="s">
        <v>2135</v>
      </c>
      <c r="C1182" t="s">
        <v>2136</v>
      </c>
      <c r="D1182" t="s">
        <v>2137</v>
      </c>
      <c r="E1182" t="s">
        <v>2138</v>
      </c>
      <c r="F1182" t="s">
        <v>2139</v>
      </c>
      <c r="G1182" t="s">
        <v>1366</v>
      </c>
      <c r="H1182" t="s">
        <v>254</v>
      </c>
      <c r="I1182">
        <v>2012</v>
      </c>
      <c r="J1182">
        <v>21</v>
      </c>
      <c r="K1182" t="s">
        <v>2140</v>
      </c>
      <c r="L1182" s="192"/>
      <c r="M1182" t="str">
        <f>LEFT($D1182,FIND(",",$D1182)-1)&amp;"_"&amp;I1182&amp;L1182</f>
        <v>Pyorala_2012</v>
      </c>
      <c r="N1182" t="s">
        <v>222</v>
      </c>
      <c r="O1182" s="145" t="s">
        <v>341</v>
      </c>
      <c r="Q1182" s="264" t="s">
        <v>256</v>
      </c>
      <c r="R1182" s="269" t="s">
        <v>1154</v>
      </c>
      <c r="S1182" s="1" t="s">
        <v>2191</v>
      </c>
      <c r="T1182" t="s">
        <v>798</v>
      </c>
      <c r="U1182" t="s">
        <v>2168</v>
      </c>
      <c r="V1182">
        <v>0</v>
      </c>
      <c r="W1182">
        <v>0</v>
      </c>
      <c r="X1182">
        <v>0</v>
      </c>
      <c r="Y1182">
        <v>0</v>
      </c>
      <c r="Z1182">
        <v>0</v>
      </c>
      <c r="AA1182">
        <v>0</v>
      </c>
      <c r="AB1182">
        <v>0</v>
      </c>
      <c r="AC1182">
        <v>0</v>
      </c>
      <c r="AD1182">
        <v>0</v>
      </c>
      <c r="AE1182">
        <v>0</v>
      </c>
      <c r="AF1182">
        <v>0</v>
      </c>
      <c r="AG1182">
        <v>0</v>
      </c>
      <c r="AH1182">
        <v>0</v>
      </c>
      <c r="AI1182">
        <v>0</v>
      </c>
      <c r="AJ1182">
        <v>0</v>
      </c>
      <c r="AK1182">
        <v>1</v>
      </c>
      <c r="AL1182">
        <v>0</v>
      </c>
      <c r="AM1182">
        <v>0</v>
      </c>
      <c r="AN1182">
        <v>0</v>
      </c>
      <c r="AO1182">
        <v>0</v>
      </c>
      <c r="AP1182">
        <v>0</v>
      </c>
      <c r="AQ1182">
        <v>0</v>
      </c>
      <c r="AR1182">
        <v>0</v>
      </c>
      <c r="AS1182">
        <v>0</v>
      </c>
      <c r="AT1182">
        <v>0</v>
      </c>
      <c r="AU1182">
        <v>0</v>
      </c>
      <c r="AV1182">
        <v>0</v>
      </c>
      <c r="AW1182">
        <v>0</v>
      </c>
      <c r="AX1182" s="141">
        <f>COUNTIF(V1182:AW1182,"&lt;&gt;0")</f>
        <v>1</v>
      </c>
      <c r="AY1182" s="141">
        <f>COUNTIF(V1182:AL1182,"&lt;&gt;0")</f>
        <v>1</v>
      </c>
      <c r="AZ1182">
        <f>COUNTIF(V1182:AC1182,"&lt;&gt;0")</f>
        <v>0</v>
      </c>
      <c r="BA1182">
        <f>COUNTIF(AD1182:AI1182,"&lt;&gt;0")</f>
        <v>0</v>
      </c>
      <c r="BB1182">
        <f>COUNTIF(AJ1182:AL1182,"&lt;&gt;0")</f>
        <v>1</v>
      </c>
      <c r="BC1182">
        <f>COUNTIF(AS1182:AW1182,"&lt;&gt;0")</f>
        <v>0</v>
      </c>
      <c r="BD1182">
        <f>COUNTIF(AM1182:AR1182,"&lt;&gt;0")</f>
        <v>0</v>
      </c>
      <c r="BE1182" t="str" cm="1">
        <f t="array" ref="BE1182">IF(AY1182=1,INDEX($V$7:$AL$7,MATCH(TRUE,INDEX($V1182:$AW1182&lt;&gt;0,),0)),IF(AY1182=0,INDEX($AM$7:$AW$7,MATCH(1,$AM1182:$AW1182,0)),IF(BF1182="Multiple strategies","mixed drivers",IF(BF1182="Supply chain","multiple supply","multiple silviculture"))))</f>
        <v>technologies/design switch</v>
      </c>
      <c r="BF1182" s="2" t="str" cm="1">
        <f t="array" ref="BF1182">IF(COUNTIF(AZ1182:BB1182,"&lt;&gt;0")=1,INDEX($V$4:$AW$4,MATCH(TRUE,INDEX($V1182:$AW1182&lt;&gt;0,),0)),IF(COUNTIF(AZ1182:BB1182,"&lt;&gt;0")=0,INDEX($AM$4:$AW$4,MATCH(1,$AM1182:$AW1182,0)),"Multiple strategies"))</f>
        <v>Technology</v>
      </c>
      <c r="BH1182" t="s">
        <v>2169</v>
      </c>
      <c r="BN1182" s="143"/>
      <c r="BP1182" s="264" t="s">
        <v>232</v>
      </c>
      <c r="BQ1182" s="264"/>
      <c r="BR1182" t="s">
        <v>2170</v>
      </c>
      <c r="BS1182">
        <v>-157</v>
      </c>
      <c r="BT1182">
        <v>-375</v>
      </c>
      <c r="BU1182" s="144">
        <v>1.0997067448680351</v>
      </c>
      <c r="BV1182">
        <v>-34</v>
      </c>
      <c r="BX1182">
        <f>BV1182/1000</f>
        <v>-3.4000000000000002E-2</v>
      </c>
      <c r="BY1182" t="str">
        <f>IFERROR(BX1182/BO1182,"")</f>
        <v/>
      </c>
      <c r="BZ1182">
        <v>0</v>
      </c>
      <c r="CA1182">
        <v>0</v>
      </c>
      <c r="CB1182">
        <v>0</v>
      </c>
      <c r="CC1182">
        <v>0</v>
      </c>
      <c r="CD1182">
        <v>0</v>
      </c>
      <c r="CE1182">
        <v>0</v>
      </c>
      <c r="CF1182">
        <v>0</v>
      </c>
      <c r="CG1182">
        <v>0</v>
      </c>
      <c r="CH1182">
        <v>0</v>
      </c>
      <c r="CI1182">
        <v>0</v>
      </c>
      <c r="CJ1182">
        <v>0</v>
      </c>
      <c r="CK1182">
        <v>0</v>
      </c>
      <c r="CL1182">
        <v>0</v>
      </c>
      <c r="CM1182">
        <v>0</v>
      </c>
      <c r="CN1182" t="str">
        <f>IF(BL1182&lt;BK1182,"refNeedCorrection","refOK")</f>
        <v>refOK</v>
      </c>
      <c r="CO1182"/>
      <c r="CP1182"/>
      <c r="CQ1182"/>
      <c r="CR1182">
        <f>IF($CN1182="refOK",$BS1182,$BT1182)*IF($BP1182="Emissions positive",-1,1)</f>
        <v>-157</v>
      </c>
      <c r="CS1182">
        <f>IF($CN1182="refOK",$BT1182,$BS1182)*IF($BP1182="Emissions positive",-1,1)</f>
        <v>-375</v>
      </c>
      <c r="CT1182">
        <f>IF($CN1182="refNeedCorrection",-BX1182,BX1182)*IF($BP1182="Emissions positive",-1,1)</f>
        <v>-3.4000000000000002E-2</v>
      </c>
      <c r="CU1182" t="str">
        <f>IFERROR(CT1182/CQ1182,"")</f>
        <v/>
      </c>
      <c r="CV1182" s="2">
        <f>IFERROR((CS1182-CR1182)/ABS(CR1182),"")</f>
        <v>-1.3885350318471337</v>
      </c>
      <c r="CW1182" s="1" t="s">
        <v>1199</v>
      </c>
      <c r="CX1182" s="264" t="str">
        <f>IF(OR($CW1182="prd",$CW1182="std",$CW1182="cit"),"loc",IF(OR($CW1182="eur",$CW1182="reg",$CW1182="coy"),"reg",$CW1182))</f>
        <v>reg</v>
      </c>
      <c r="CY1182" t="s">
        <v>235</v>
      </c>
      <c r="DB1182">
        <v>30</v>
      </c>
      <c r="DC1182" t="str">
        <f>IF(DB1182=0,"0",IF(AND(DB1182&gt;=1,DB1182&lt;=30),"1-30",IF(AND(DB1182&gt;30,DB1182&lt;=70),"31-70",IF(AND(DB1182&gt;70,DB1182&lt;=100),"71-100",IF(DB1182&gt;100,"+100")))))</f>
        <v>1-30</v>
      </c>
      <c r="DD1182">
        <v>0</v>
      </c>
      <c r="DE1182">
        <v>1</v>
      </c>
      <c r="DF1182">
        <v>0</v>
      </c>
      <c r="DG1182">
        <v>0</v>
      </c>
      <c r="DI1182">
        <f>SUM(DD1182:DG1182)</f>
        <v>1</v>
      </c>
      <c r="DJ1182" t="str">
        <f>IF(DI1182=1,INDEX($DD$7:$DG$7,MATCH(1,$DD1182:$DG1182,0)),"mixedProduct")</f>
        <v>EnergyInput</v>
      </c>
      <c r="DK1182">
        <f>IF(DD1182=1,DK$7,0)</f>
        <v>0</v>
      </c>
      <c r="DL1182" t="str">
        <f>IF(DE1182=1,DL$7,0)</f>
        <v>Energy</v>
      </c>
      <c r="DM1182">
        <f>IF(DF1182=1,DM$7,0)</f>
        <v>0</v>
      </c>
      <c r="DN1182">
        <f>IF(DG1182=1,DN$7,0)</f>
        <v>0</v>
      </c>
      <c r="DO1182">
        <v>0</v>
      </c>
      <c r="DP1182">
        <v>1</v>
      </c>
      <c r="DQ1182" t="s">
        <v>2146</v>
      </c>
      <c r="DR1182">
        <v>0</v>
      </c>
      <c r="DS1182">
        <v>0</v>
      </c>
      <c r="DT1182">
        <f>SUM(DO1182:DP1182)</f>
        <v>1</v>
      </c>
      <c r="DU1182" s="143" t="str">
        <f>IF(DO1182=1,"self-calculated DF",IF(DP1182=1,"external DF used","explicit C balance"))</f>
        <v>external DF used</v>
      </c>
      <c r="DV1182">
        <v>1</v>
      </c>
      <c r="DW1182">
        <v>1</v>
      </c>
      <c r="DX1182">
        <v>1</v>
      </c>
      <c r="DY1182">
        <v>1</v>
      </c>
      <c r="DZ1182">
        <v>1</v>
      </c>
      <c r="EA1182">
        <v>0</v>
      </c>
      <c r="EB1182">
        <v>1</v>
      </c>
      <c r="EC1182">
        <v>1</v>
      </c>
      <c r="ED1182">
        <v>0</v>
      </c>
      <c r="EE1182">
        <v>0</v>
      </c>
      <c r="EF1182">
        <v>1</v>
      </c>
      <c r="EG1182">
        <v>0</v>
      </c>
      <c r="EH1182">
        <v>0</v>
      </c>
      <c r="EI1182" s="2">
        <v>0</v>
      </c>
      <c r="EK1182" t="str">
        <f>IF(AND(AND(AND(OR($DX1182=1,$DW1182=1),OR($EC1182=1,$EA1182=1)),SUM($DV1182:$DZ1182,$EF1182)&gt;=4),SUM($EA1182:$EE1182)&gt;=2),"Whole sector","")</f>
        <v>Whole sector</v>
      </c>
      <c r="EL1182" t="str">
        <f>IF(AND(AND(OR($DX1182=1,$DW1182=1),AND($EC1182=0,$EA1182=0)),SUM($DV1182:$DZ1182,$EF1182)&gt;=4),"Ecosystem approach","")</f>
        <v/>
      </c>
      <c r="EM1182" s="2" t="str">
        <f>IF(AND(AND(AND($DX1182=0,$DW1182=0),OR($EC1182=1,$EA1182=1)),SUM($EB1182:$EE1182)&gt;=2),"Technology approach","")</f>
        <v/>
      </c>
      <c r="EP1182" t="b">
        <f>IF(ISNUMBER(BU1182),IF(ABS(BU1182-[3]QC_indicators!$B$2)&gt;3*[3]QC_indicators!$C$2,"C ratio",IF(ISNUMBER(BY1182),IF(ABS(BY1182-[3]QC_indicators!$B$1)&gt;3*[3]QC_indicators!$C$1,"DF","no"))),IF(ISNUMBER(BY1182),IF(ABS(BY1182-[3]QC_indicators!$B$1)&gt;3*[3]QC_indicators!$C$1,"DF","no")))</f>
        <v>0</v>
      </c>
      <c r="ER1182" s="294" t="s">
        <v>2171</v>
      </c>
      <c r="ET1182" s="264" t="s">
        <v>3407</v>
      </c>
    </row>
    <row r="1183" spans="1:150" ht="15" customHeight="1">
      <c r="A1183" s="1" t="s">
        <v>1360</v>
      </c>
      <c r="B1183" t="s">
        <v>2135</v>
      </c>
      <c r="C1183" t="s">
        <v>2136</v>
      </c>
      <c r="D1183" t="s">
        <v>2137</v>
      </c>
      <c r="E1183" t="s">
        <v>2138</v>
      </c>
      <c r="F1183" t="s">
        <v>2139</v>
      </c>
      <c r="G1183" t="s">
        <v>1366</v>
      </c>
      <c r="H1183" t="s">
        <v>254</v>
      </c>
      <c r="I1183">
        <v>2012</v>
      </c>
      <c r="J1183">
        <v>21</v>
      </c>
      <c r="K1183" t="s">
        <v>2140</v>
      </c>
      <c r="L1183" s="192"/>
      <c r="M1183" t="str">
        <f>LEFT($D1183,FIND(",",$D1183)-1)&amp;"_"&amp;I1183&amp;L1183</f>
        <v>Pyorala_2012</v>
      </c>
      <c r="N1183" t="s">
        <v>222</v>
      </c>
      <c r="O1183" s="145" t="s">
        <v>341</v>
      </c>
      <c r="Q1183" s="264" t="s">
        <v>256</v>
      </c>
      <c r="R1183" s="269" t="s">
        <v>1154</v>
      </c>
      <c r="S1183" s="1" t="s">
        <v>2192</v>
      </c>
      <c r="T1183" t="s">
        <v>798</v>
      </c>
      <c r="U1183" t="s">
        <v>2168</v>
      </c>
      <c r="V1183">
        <v>0</v>
      </c>
      <c r="W1183">
        <v>0</v>
      </c>
      <c r="X1183">
        <v>0</v>
      </c>
      <c r="Y1183">
        <v>0</v>
      </c>
      <c r="Z1183">
        <v>0</v>
      </c>
      <c r="AA1183">
        <v>0</v>
      </c>
      <c r="AB1183">
        <v>0</v>
      </c>
      <c r="AC1183">
        <v>0</v>
      </c>
      <c r="AD1183">
        <v>0</v>
      </c>
      <c r="AE1183">
        <v>0</v>
      </c>
      <c r="AF1183">
        <v>0</v>
      </c>
      <c r="AG1183">
        <v>0</v>
      </c>
      <c r="AH1183">
        <v>0</v>
      </c>
      <c r="AI1183">
        <v>0</v>
      </c>
      <c r="AJ1183">
        <v>0</v>
      </c>
      <c r="AK1183">
        <v>1</v>
      </c>
      <c r="AL1183">
        <v>0</v>
      </c>
      <c r="AM1183">
        <v>0</v>
      </c>
      <c r="AN1183">
        <v>0</v>
      </c>
      <c r="AO1183">
        <v>0</v>
      </c>
      <c r="AP1183">
        <v>0</v>
      </c>
      <c r="AQ1183">
        <v>0</v>
      </c>
      <c r="AR1183">
        <v>0</v>
      </c>
      <c r="AS1183">
        <v>0</v>
      </c>
      <c r="AT1183">
        <v>0</v>
      </c>
      <c r="AU1183">
        <v>0</v>
      </c>
      <c r="AV1183">
        <v>0</v>
      </c>
      <c r="AW1183">
        <v>0</v>
      </c>
      <c r="AX1183" s="141">
        <f>COUNTIF(V1183:AW1183,"&lt;&gt;0")</f>
        <v>1</v>
      </c>
      <c r="AY1183" s="141">
        <f>COUNTIF(V1183:AL1183,"&lt;&gt;0")</f>
        <v>1</v>
      </c>
      <c r="AZ1183">
        <f>COUNTIF(V1183:AC1183,"&lt;&gt;0")</f>
        <v>0</v>
      </c>
      <c r="BA1183">
        <f>COUNTIF(AD1183:AI1183,"&lt;&gt;0")</f>
        <v>0</v>
      </c>
      <c r="BB1183">
        <f>COUNTIF(AJ1183:AL1183,"&lt;&gt;0")</f>
        <v>1</v>
      </c>
      <c r="BC1183">
        <f>COUNTIF(AS1183:AW1183,"&lt;&gt;0")</f>
        <v>0</v>
      </c>
      <c r="BD1183">
        <f>COUNTIF(AM1183:AR1183,"&lt;&gt;0")</f>
        <v>0</v>
      </c>
      <c r="BE1183" t="str" cm="1">
        <f t="array" ref="BE1183">IF(AY1183=1,INDEX($V$7:$AL$7,MATCH(TRUE,INDEX($V1183:$AW1183&lt;&gt;0,),0)),IF(AY1183=0,INDEX($AM$7:$AW$7,MATCH(1,$AM1183:$AW1183,0)),IF(BF1183="Multiple strategies","mixed drivers",IF(BF1183="Supply chain","multiple supply","multiple silviculture"))))</f>
        <v>technologies/design switch</v>
      </c>
      <c r="BF1183" s="2" t="str" cm="1">
        <f t="array" ref="BF1183">IF(COUNTIF(AZ1183:BB1183,"&lt;&gt;0")=1,INDEX($V$4:$AW$4,MATCH(TRUE,INDEX($V1183:$AW1183&lt;&gt;0,),0)),IF(COUNTIF(AZ1183:BB1183,"&lt;&gt;0")=0,INDEX($AM$4:$AW$4,MATCH(1,$AM1183:$AW1183,0)),"Multiple strategies"))</f>
        <v>Technology</v>
      </c>
      <c r="BH1183" t="s">
        <v>2169</v>
      </c>
      <c r="BN1183" s="143"/>
      <c r="BP1183" s="264" t="s">
        <v>232</v>
      </c>
      <c r="BQ1183" s="264"/>
      <c r="BR1183" t="s">
        <v>2170</v>
      </c>
      <c r="BS1183">
        <v>-157</v>
      </c>
      <c r="BT1183">
        <v>-380</v>
      </c>
      <c r="BU1183" s="144">
        <v>1.1143695014662756</v>
      </c>
      <c r="BV1183">
        <v>-39</v>
      </c>
      <c r="BX1183">
        <f>BV1183/1000</f>
        <v>-3.9E-2</v>
      </c>
      <c r="BY1183" t="str">
        <f>IFERROR(BX1183/BO1183,"")</f>
        <v/>
      </c>
      <c r="BZ1183">
        <v>0</v>
      </c>
      <c r="CA1183">
        <v>0</v>
      </c>
      <c r="CB1183">
        <v>0</v>
      </c>
      <c r="CC1183">
        <v>0</v>
      </c>
      <c r="CD1183">
        <v>0</v>
      </c>
      <c r="CE1183">
        <v>0</v>
      </c>
      <c r="CF1183">
        <v>0</v>
      </c>
      <c r="CG1183">
        <v>0</v>
      </c>
      <c r="CH1183">
        <v>0</v>
      </c>
      <c r="CI1183">
        <v>0</v>
      </c>
      <c r="CJ1183">
        <v>0</v>
      </c>
      <c r="CK1183">
        <v>0</v>
      </c>
      <c r="CL1183">
        <v>0</v>
      </c>
      <c r="CM1183">
        <v>0</v>
      </c>
      <c r="CN1183" t="str">
        <f>IF(BL1183&lt;BK1183,"refNeedCorrection","refOK")</f>
        <v>refOK</v>
      </c>
      <c r="CO1183"/>
      <c r="CP1183"/>
      <c r="CQ1183"/>
      <c r="CR1183">
        <f>IF($CN1183="refOK",$BS1183,$BT1183)*IF($BP1183="Emissions positive",-1,1)</f>
        <v>-157</v>
      </c>
      <c r="CS1183">
        <f>IF($CN1183="refOK",$BT1183,$BS1183)*IF($BP1183="Emissions positive",-1,1)</f>
        <v>-380</v>
      </c>
      <c r="CT1183">
        <f>IF($CN1183="refNeedCorrection",-BX1183,BX1183)*IF($BP1183="Emissions positive",-1,1)</f>
        <v>-3.9E-2</v>
      </c>
      <c r="CU1183" t="str">
        <f>IFERROR(CT1183/CQ1183,"")</f>
        <v/>
      </c>
      <c r="CV1183" s="2">
        <f>IFERROR((CS1183-CR1183)/ABS(CR1183),"")</f>
        <v>-1.4203821656050954</v>
      </c>
      <c r="CW1183" s="1" t="s">
        <v>1199</v>
      </c>
      <c r="CX1183" s="264" t="str">
        <f>IF(OR($CW1183="prd",$CW1183="std",$CW1183="cit"),"loc",IF(OR($CW1183="eur",$CW1183="reg",$CW1183="coy"),"reg",$CW1183))</f>
        <v>reg</v>
      </c>
      <c r="CY1183" t="s">
        <v>235</v>
      </c>
      <c r="DB1183">
        <v>30</v>
      </c>
      <c r="DC1183" t="str">
        <f>IF(DB1183=0,"0",IF(AND(DB1183&gt;=1,DB1183&lt;=30),"1-30",IF(AND(DB1183&gt;30,DB1183&lt;=70),"31-70",IF(AND(DB1183&gt;70,DB1183&lt;=100),"71-100",IF(DB1183&gt;100,"+100")))))</f>
        <v>1-30</v>
      </c>
      <c r="DD1183">
        <v>0</v>
      </c>
      <c r="DE1183">
        <v>1</v>
      </c>
      <c r="DF1183">
        <v>0</v>
      </c>
      <c r="DG1183">
        <v>0</v>
      </c>
      <c r="DI1183">
        <f>SUM(DD1183:DG1183)</f>
        <v>1</v>
      </c>
      <c r="DJ1183" t="str">
        <f>IF(DI1183=1,INDEX($DD$7:$DG$7,MATCH(1,$DD1183:$DG1183,0)),"mixedProduct")</f>
        <v>EnergyInput</v>
      </c>
      <c r="DK1183">
        <f>IF(DD1183=1,DK$7,0)</f>
        <v>0</v>
      </c>
      <c r="DL1183" t="str">
        <f>IF(DE1183=1,DL$7,0)</f>
        <v>Energy</v>
      </c>
      <c r="DM1183">
        <f>IF(DF1183=1,DM$7,0)</f>
        <v>0</v>
      </c>
      <c r="DN1183">
        <f>IF(DG1183=1,DN$7,0)</f>
        <v>0</v>
      </c>
      <c r="DO1183">
        <v>0</v>
      </c>
      <c r="DP1183">
        <v>1</v>
      </c>
      <c r="DQ1183" t="s">
        <v>2146</v>
      </c>
      <c r="DR1183">
        <v>0</v>
      </c>
      <c r="DS1183">
        <v>0</v>
      </c>
      <c r="DT1183">
        <f>SUM(DO1183:DP1183)</f>
        <v>1</v>
      </c>
      <c r="DU1183" s="143" t="str">
        <f>IF(DO1183=1,"self-calculated DF",IF(DP1183=1,"external DF used","explicit C balance"))</f>
        <v>external DF used</v>
      </c>
      <c r="DV1183">
        <v>1</v>
      </c>
      <c r="DW1183">
        <v>1</v>
      </c>
      <c r="DX1183">
        <v>1</v>
      </c>
      <c r="DY1183">
        <v>1</v>
      </c>
      <c r="DZ1183">
        <v>1</v>
      </c>
      <c r="EA1183">
        <v>0</v>
      </c>
      <c r="EB1183">
        <v>1</v>
      </c>
      <c r="EC1183">
        <v>1</v>
      </c>
      <c r="ED1183">
        <v>0</v>
      </c>
      <c r="EE1183">
        <v>0</v>
      </c>
      <c r="EF1183">
        <v>1</v>
      </c>
      <c r="EG1183">
        <v>0</v>
      </c>
      <c r="EH1183">
        <v>0</v>
      </c>
      <c r="EI1183" s="2">
        <v>0</v>
      </c>
      <c r="EK1183" t="str">
        <f>IF(AND(AND(AND(OR($DX1183=1,$DW1183=1),OR($EC1183=1,$EA1183=1)),SUM($DV1183:$DZ1183,$EF1183)&gt;=4),SUM($EA1183:$EE1183)&gt;=2),"Whole sector","")</f>
        <v>Whole sector</v>
      </c>
      <c r="EL1183" t="str">
        <f>IF(AND(AND(OR($DX1183=1,$DW1183=1),AND($EC1183=0,$EA1183=0)),SUM($DV1183:$DZ1183,$EF1183)&gt;=4),"Ecosystem approach","")</f>
        <v/>
      </c>
      <c r="EM1183" s="2" t="str">
        <f>IF(AND(AND(AND($DX1183=0,$DW1183=0),OR($EC1183=1,$EA1183=1)),SUM($EB1183:$EE1183)&gt;=2),"Technology approach","")</f>
        <v/>
      </c>
      <c r="EP1183" t="b">
        <f>IF(ISNUMBER(BU1183),IF(ABS(BU1183-[3]QC_indicators!$B$2)&gt;3*[3]QC_indicators!$C$2,"C ratio",IF(ISNUMBER(BY1183),IF(ABS(BY1183-[3]QC_indicators!$B$1)&gt;3*[3]QC_indicators!$C$1,"DF","no"))),IF(ISNUMBER(BY1183),IF(ABS(BY1183-[3]QC_indicators!$B$1)&gt;3*[3]QC_indicators!$C$1,"DF","no")))</f>
        <v>0</v>
      </c>
      <c r="ER1183" s="294" t="s">
        <v>2171</v>
      </c>
      <c r="ET1183" s="264" t="s">
        <v>3407</v>
      </c>
    </row>
    <row r="1184" spans="1:150" ht="15" customHeight="1">
      <c r="A1184" s="1" t="s">
        <v>1360</v>
      </c>
      <c r="B1184" t="s">
        <v>2135</v>
      </c>
      <c r="C1184" t="s">
        <v>2136</v>
      </c>
      <c r="D1184" t="s">
        <v>2137</v>
      </c>
      <c r="E1184" t="s">
        <v>2138</v>
      </c>
      <c r="F1184" t="s">
        <v>2139</v>
      </c>
      <c r="G1184" t="s">
        <v>1366</v>
      </c>
      <c r="H1184" t="s">
        <v>254</v>
      </c>
      <c r="I1184">
        <v>2012</v>
      </c>
      <c r="J1184">
        <v>21</v>
      </c>
      <c r="K1184" t="s">
        <v>2140</v>
      </c>
      <c r="L1184" s="192"/>
      <c r="M1184" t="str">
        <f>LEFT($D1184,FIND(",",$D1184)-1)&amp;"_"&amp;I1184&amp;L1184</f>
        <v>Pyorala_2012</v>
      </c>
      <c r="N1184" t="s">
        <v>222</v>
      </c>
      <c r="O1184" s="145" t="s">
        <v>341</v>
      </c>
      <c r="Q1184" s="264" t="s">
        <v>256</v>
      </c>
      <c r="R1184" s="269" t="s">
        <v>1154</v>
      </c>
      <c r="S1184" s="1" t="s">
        <v>2193</v>
      </c>
      <c r="T1184" t="s">
        <v>798</v>
      </c>
      <c r="U1184" t="s">
        <v>2168</v>
      </c>
      <c r="V1184">
        <v>0</v>
      </c>
      <c r="W1184">
        <v>0</v>
      </c>
      <c r="X1184">
        <v>0</v>
      </c>
      <c r="Y1184">
        <v>0</v>
      </c>
      <c r="Z1184">
        <v>0</v>
      </c>
      <c r="AA1184">
        <v>0</v>
      </c>
      <c r="AB1184">
        <v>0</v>
      </c>
      <c r="AC1184">
        <v>0</v>
      </c>
      <c r="AD1184">
        <v>0</v>
      </c>
      <c r="AE1184">
        <v>0</v>
      </c>
      <c r="AF1184">
        <v>0</v>
      </c>
      <c r="AG1184">
        <v>0</v>
      </c>
      <c r="AH1184">
        <v>0</v>
      </c>
      <c r="AI1184">
        <v>0</v>
      </c>
      <c r="AJ1184">
        <v>0</v>
      </c>
      <c r="AK1184">
        <v>1</v>
      </c>
      <c r="AL1184">
        <v>0</v>
      </c>
      <c r="AM1184">
        <v>0</v>
      </c>
      <c r="AN1184">
        <v>0</v>
      </c>
      <c r="AO1184">
        <v>0</v>
      </c>
      <c r="AP1184">
        <v>0</v>
      </c>
      <c r="AQ1184">
        <v>0</v>
      </c>
      <c r="AR1184">
        <v>0</v>
      </c>
      <c r="AS1184">
        <v>0</v>
      </c>
      <c r="AT1184">
        <v>0</v>
      </c>
      <c r="AU1184">
        <v>0</v>
      </c>
      <c r="AV1184">
        <v>0</v>
      </c>
      <c r="AW1184">
        <v>0</v>
      </c>
      <c r="AX1184" s="141">
        <f>COUNTIF(V1184:AW1184,"&lt;&gt;0")</f>
        <v>1</v>
      </c>
      <c r="AY1184" s="141">
        <f>COUNTIF(V1184:AL1184,"&lt;&gt;0")</f>
        <v>1</v>
      </c>
      <c r="AZ1184">
        <f>COUNTIF(V1184:AC1184,"&lt;&gt;0")</f>
        <v>0</v>
      </c>
      <c r="BA1184">
        <f>COUNTIF(AD1184:AI1184,"&lt;&gt;0")</f>
        <v>0</v>
      </c>
      <c r="BB1184">
        <f>COUNTIF(AJ1184:AL1184,"&lt;&gt;0")</f>
        <v>1</v>
      </c>
      <c r="BC1184">
        <f>COUNTIF(AS1184:AW1184,"&lt;&gt;0")</f>
        <v>0</v>
      </c>
      <c r="BD1184">
        <f>COUNTIF(AM1184:AR1184,"&lt;&gt;0")</f>
        <v>0</v>
      </c>
      <c r="BE1184" t="str" cm="1">
        <f t="array" ref="BE1184">IF(AY1184=1,INDEX($V$7:$AL$7,MATCH(TRUE,INDEX($V1184:$AW1184&lt;&gt;0,),0)),IF(AY1184=0,INDEX($AM$7:$AW$7,MATCH(1,$AM1184:$AW1184,0)),IF(BF1184="Multiple strategies","mixed drivers",IF(BF1184="Supply chain","multiple supply","multiple silviculture"))))</f>
        <v>technologies/design switch</v>
      </c>
      <c r="BF1184" s="2" t="str" cm="1">
        <f t="array" ref="BF1184">IF(COUNTIF(AZ1184:BB1184,"&lt;&gt;0")=1,INDEX($V$4:$AW$4,MATCH(TRUE,INDEX($V1184:$AW1184&lt;&gt;0,),0)),IF(COUNTIF(AZ1184:BB1184,"&lt;&gt;0")=0,INDEX($AM$4:$AW$4,MATCH(1,$AM1184:$AW1184,0)),"Multiple strategies"))</f>
        <v>Technology</v>
      </c>
      <c r="BH1184" t="s">
        <v>2169</v>
      </c>
      <c r="BN1184" s="143"/>
      <c r="BP1184" s="264" t="s">
        <v>232</v>
      </c>
      <c r="BQ1184" s="264"/>
      <c r="BR1184" t="s">
        <v>2170</v>
      </c>
      <c r="BS1184">
        <v>-157</v>
      </c>
      <c r="BT1184">
        <v>-410</v>
      </c>
      <c r="BU1184" s="144">
        <v>1.2023460410557185</v>
      </c>
      <c r="BV1184">
        <v>-69</v>
      </c>
      <c r="BX1184">
        <f>BV1184/1000</f>
        <v>-6.9000000000000006E-2</v>
      </c>
      <c r="BY1184" t="str">
        <f>IFERROR(BX1184/BO1184,"")</f>
        <v/>
      </c>
      <c r="BZ1184">
        <v>0</v>
      </c>
      <c r="CA1184">
        <v>0</v>
      </c>
      <c r="CB1184">
        <v>0</v>
      </c>
      <c r="CC1184">
        <v>0</v>
      </c>
      <c r="CD1184">
        <v>0</v>
      </c>
      <c r="CE1184">
        <v>0</v>
      </c>
      <c r="CF1184">
        <v>0</v>
      </c>
      <c r="CG1184">
        <v>0</v>
      </c>
      <c r="CH1184">
        <v>0</v>
      </c>
      <c r="CI1184">
        <v>0</v>
      </c>
      <c r="CJ1184">
        <v>0</v>
      </c>
      <c r="CK1184">
        <v>0</v>
      </c>
      <c r="CL1184">
        <v>0</v>
      </c>
      <c r="CM1184">
        <v>0</v>
      </c>
      <c r="CN1184" t="str">
        <f>IF(BL1184&lt;BK1184,"refNeedCorrection","refOK")</f>
        <v>refOK</v>
      </c>
      <c r="CO1184"/>
      <c r="CP1184"/>
      <c r="CQ1184"/>
      <c r="CR1184">
        <f>IF($CN1184="refOK",$BS1184,$BT1184)*IF($BP1184="Emissions positive",-1,1)</f>
        <v>-157</v>
      </c>
      <c r="CS1184">
        <f>IF($CN1184="refOK",$BT1184,$BS1184)*IF($BP1184="Emissions positive",-1,1)</f>
        <v>-410</v>
      </c>
      <c r="CT1184">
        <f>IF($CN1184="refNeedCorrection",-BX1184,BX1184)*IF($BP1184="Emissions positive",-1,1)</f>
        <v>-6.9000000000000006E-2</v>
      </c>
      <c r="CU1184" t="str">
        <f>IFERROR(CT1184/CQ1184,"")</f>
        <v/>
      </c>
      <c r="CV1184" s="2">
        <f>IFERROR((CS1184-CR1184)/ABS(CR1184),"")</f>
        <v>-1.6114649681528663</v>
      </c>
      <c r="CW1184" s="1" t="s">
        <v>1199</v>
      </c>
      <c r="CX1184" s="264" t="str">
        <f>IF(OR($CW1184="prd",$CW1184="std",$CW1184="cit"),"loc",IF(OR($CW1184="eur",$CW1184="reg",$CW1184="coy"),"reg",$CW1184))</f>
        <v>reg</v>
      </c>
      <c r="CY1184" t="s">
        <v>235</v>
      </c>
      <c r="DB1184">
        <v>30</v>
      </c>
      <c r="DC1184" t="str">
        <f>IF(DB1184=0,"0",IF(AND(DB1184&gt;=1,DB1184&lt;=30),"1-30",IF(AND(DB1184&gt;30,DB1184&lt;=70),"31-70",IF(AND(DB1184&gt;70,DB1184&lt;=100),"71-100",IF(DB1184&gt;100,"+100")))))</f>
        <v>1-30</v>
      </c>
      <c r="DD1184">
        <v>0</v>
      </c>
      <c r="DE1184">
        <v>1</v>
      </c>
      <c r="DF1184">
        <v>0</v>
      </c>
      <c r="DG1184">
        <v>0</v>
      </c>
      <c r="DI1184">
        <f>SUM(DD1184:DG1184)</f>
        <v>1</v>
      </c>
      <c r="DJ1184" t="str">
        <f>IF(DI1184=1,INDEX($DD$7:$DG$7,MATCH(1,$DD1184:$DG1184,0)),"mixedProduct")</f>
        <v>EnergyInput</v>
      </c>
      <c r="DK1184">
        <f>IF(DD1184=1,DK$7,0)</f>
        <v>0</v>
      </c>
      <c r="DL1184" t="str">
        <f>IF(DE1184=1,DL$7,0)</f>
        <v>Energy</v>
      </c>
      <c r="DM1184">
        <f>IF(DF1184=1,DM$7,0)</f>
        <v>0</v>
      </c>
      <c r="DN1184">
        <f>IF(DG1184=1,DN$7,0)</f>
        <v>0</v>
      </c>
      <c r="DO1184">
        <v>0</v>
      </c>
      <c r="DP1184">
        <v>1</v>
      </c>
      <c r="DQ1184" t="s">
        <v>2146</v>
      </c>
      <c r="DR1184">
        <v>0</v>
      </c>
      <c r="DS1184">
        <v>0</v>
      </c>
      <c r="DT1184">
        <f>SUM(DO1184:DP1184)</f>
        <v>1</v>
      </c>
      <c r="DU1184" s="143" t="str">
        <f>IF(DO1184=1,"self-calculated DF",IF(DP1184=1,"external DF used","explicit C balance"))</f>
        <v>external DF used</v>
      </c>
      <c r="DV1184">
        <v>1</v>
      </c>
      <c r="DW1184">
        <v>1</v>
      </c>
      <c r="DX1184">
        <v>1</v>
      </c>
      <c r="DY1184">
        <v>1</v>
      </c>
      <c r="DZ1184">
        <v>1</v>
      </c>
      <c r="EA1184">
        <v>0</v>
      </c>
      <c r="EB1184">
        <v>1</v>
      </c>
      <c r="EC1184">
        <v>1</v>
      </c>
      <c r="ED1184">
        <v>0</v>
      </c>
      <c r="EE1184">
        <v>0</v>
      </c>
      <c r="EF1184">
        <v>1</v>
      </c>
      <c r="EG1184">
        <v>0</v>
      </c>
      <c r="EH1184">
        <v>0</v>
      </c>
      <c r="EI1184" s="2">
        <v>0</v>
      </c>
      <c r="EK1184" t="str">
        <f>IF(AND(AND(AND(OR($DX1184=1,$DW1184=1),OR($EC1184=1,$EA1184=1)),SUM($DV1184:$DZ1184,$EF1184)&gt;=4),SUM($EA1184:$EE1184)&gt;=2),"Whole sector","")</f>
        <v>Whole sector</v>
      </c>
      <c r="EL1184" t="str">
        <f>IF(AND(AND(OR($DX1184=1,$DW1184=1),AND($EC1184=0,$EA1184=0)),SUM($DV1184:$DZ1184,$EF1184)&gt;=4),"Ecosystem approach","")</f>
        <v/>
      </c>
      <c r="EM1184" s="2" t="str">
        <f>IF(AND(AND(AND($DX1184=0,$DW1184=0),OR($EC1184=1,$EA1184=1)),SUM($EB1184:$EE1184)&gt;=2),"Technology approach","")</f>
        <v/>
      </c>
      <c r="EP1184" t="b">
        <f>IF(ISNUMBER(BU1184),IF(ABS(BU1184-[3]QC_indicators!$B$2)&gt;3*[3]QC_indicators!$C$2,"C ratio",IF(ISNUMBER(BY1184),IF(ABS(BY1184-[3]QC_indicators!$B$1)&gt;3*[3]QC_indicators!$C$1,"DF","no"))),IF(ISNUMBER(BY1184),IF(ABS(BY1184-[3]QC_indicators!$B$1)&gt;3*[3]QC_indicators!$C$1,"DF","no")))</f>
        <v>0</v>
      </c>
      <c r="ER1184" s="294" t="s">
        <v>2171</v>
      </c>
      <c r="ET1184" s="264" t="s">
        <v>3407</v>
      </c>
    </row>
    <row r="1185" spans="1:150" ht="15" customHeight="1">
      <c r="A1185" s="1" t="s">
        <v>1360</v>
      </c>
      <c r="B1185" t="s">
        <v>2135</v>
      </c>
      <c r="C1185" t="s">
        <v>2136</v>
      </c>
      <c r="D1185" t="s">
        <v>2137</v>
      </c>
      <c r="E1185" t="s">
        <v>2138</v>
      </c>
      <c r="F1185" t="s">
        <v>2139</v>
      </c>
      <c r="G1185" t="s">
        <v>1366</v>
      </c>
      <c r="H1185" t="s">
        <v>254</v>
      </c>
      <c r="I1185">
        <v>2012</v>
      </c>
      <c r="J1185">
        <v>21</v>
      </c>
      <c r="K1185" t="s">
        <v>2140</v>
      </c>
      <c r="L1185" s="192"/>
      <c r="M1185" t="str">
        <f>LEFT($D1185,FIND(",",$D1185)-1)&amp;"_"&amp;I1185&amp;L1185</f>
        <v>Pyorala_2012</v>
      </c>
      <c r="N1185" t="s">
        <v>222</v>
      </c>
      <c r="O1185" s="145" t="s">
        <v>341</v>
      </c>
      <c r="Q1185" s="264" t="s">
        <v>256</v>
      </c>
      <c r="R1185" s="269" t="s">
        <v>1154</v>
      </c>
      <c r="S1185" s="1" t="s">
        <v>2194</v>
      </c>
      <c r="T1185" t="s">
        <v>798</v>
      </c>
      <c r="U1185" t="s">
        <v>2168</v>
      </c>
      <c r="V1185">
        <v>0</v>
      </c>
      <c r="W1185">
        <v>0</v>
      </c>
      <c r="X1185">
        <v>0</v>
      </c>
      <c r="Y1185">
        <v>0</v>
      </c>
      <c r="Z1185">
        <v>0</v>
      </c>
      <c r="AA1185">
        <v>0</v>
      </c>
      <c r="AB1185">
        <v>0</v>
      </c>
      <c r="AC1185">
        <v>0</v>
      </c>
      <c r="AD1185">
        <v>0</v>
      </c>
      <c r="AE1185">
        <v>0</v>
      </c>
      <c r="AF1185">
        <v>0</v>
      </c>
      <c r="AG1185">
        <v>0</v>
      </c>
      <c r="AH1185">
        <v>0</v>
      </c>
      <c r="AI1185">
        <v>0</v>
      </c>
      <c r="AJ1185">
        <v>0</v>
      </c>
      <c r="AK1185">
        <v>1</v>
      </c>
      <c r="AL1185">
        <v>0</v>
      </c>
      <c r="AM1185">
        <v>0</v>
      </c>
      <c r="AN1185">
        <v>0</v>
      </c>
      <c r="AO1185">
        <v>0</v>
      </c>
      <c r="AP1185">
        <v>0</v>
      </c>
      <c r="AQ1185">
        <v>0</v>
      </c>
      <c r="AR1185">
        <v>0</v>
      </c>
      <c r="AS1185">
        <v>0</v>
      </c>
      <c r="AT1185">
        <v>0</v>
      </c>
      <c r="AU1185">
        <v>0</v>
      </c>
      <c r="AV1185">
        <v>0</v>
      </c>
      <c r="AW1185">
        <v>0</v>
      </c>
      <c r="AX1185" s="141">
        <f>COUNTIF(V1185:AW1185,"&lt;&gt;0")</f>
        <v>1</v>
      </c>
      <c r="AY1185" s="141">
        <f>COUNTIF(V1185:AL1185,"&lt;&gt;0")</f>
        <v>1</v>
      </c>
      <c r="AZ1185">
        <f>COUNTIF(V1185:AC1185,"&lt;&gt;0")</f>
        <v>0</v>
      </c>
      <c r="BA1185">
        <f>COUNTIF(AD1185:AI1185,"&lt;&gt;0")</f>
        <v>0</v>
      </c>
      <c r="BB1185">
        <f>COUNTIF(AJ1185:AL1185,"&lt;&gt;0")</f>
        <v>1</v>
      </c>
      <c r="BC1185">
        <f>COUNTIF(AS1185:AW1185,"&lt;&gt;0")</f>
        <v>0</v>
      </c>
      <c r="BD1185">
        <f>COUNTIF(AM1185:AR1185,"&lt;&gt;0")</f>
        <v>0</v>
      </c>
      <c r="BE1185" t="str" cm="1">
        <f t="array" ref="BE1185">IF(AY1185=1,INDEX($V$7:$AL$7,MATCH(TRUE,INDEX($V1185:$AW1185&lt;&gt;0,),0)),IF(AY1185=0,INDEX($AM$7:$AW$7,MATCH(1,$AM1185:$AW1185,0)),IF(BF1185="Multiple strategies","mixed drivers",IF(BF1185="Supply chain","multiple supply","multiple silviculture"))))</f>
        <v>technologies/design switch</v>
      </c>
      <c r="BF1185" s="2" t="str" cm="1">
        <f t="array" ref="BF1185">IF(COUNTIF(AZ1185:BB1185,"&lt;&gt;0")=1,INDEX($V$4:$AW$4,MATCH(TRUE,INDEX($V1185:$AW1185&lt;&gt;0,),0)),IF(COUNTIF(AZ1185:BB1185,"&lt;&gt;0")=0,INDEX($AM$4:$AW$4,MATCH(1,$AM1185:$AW1185,0)),"Multiple strategies"))</f>
        <v>Technology</v>
      </c>
      <c r="BH1185" t="s">
        <v>2169</v>
      </c>
      <c r="BN1185" s="143"/>
      <c r="BP1185" s="264" t="s">
        <v>232</v>
      </c>
      <c r="BQ1185" s="264"/>
      <c r="BR1185" t="s">
        <v>2170</v>
      </c>
      <c r="BS1185">
        <v>-157</v>
      </c>
      <c r="BT1185">
        <v>-411</v>
      </c>
      <c r="BU1185" s="144">
        <v>1.2052785923753666</v>
      </c>
      <c r="BV1185">
        <v>-70</v>
      </c>
      <c r="BX1185">
        <f>BV1185/1000</f>
        <v>-7.0000000000000007E-2</v>
      </c>
      <c r="BY1185" t="str">
        <f>IFERROR(BX1185/BO1185,"")</f>
        <v/>
      </c>
      <c r="BZ1185">
        <v>0</v>
      </c>
      <c r="CA1185">
        <v>0</v>
      </c>
      <c r="CB1185">
        <v>0</v>
      </c>
      <c r="CC1185">
        <v>0</v>
      </c>
      <c r="CD1185">
        <v>0</v>
      </c>
      <c r="CE1185">
        <v>0</v>
      </c>
      <c r="CF1185">
        <v>0</v>
      </c>
      <c r="CG1185">
        <v>0</v>
      </c>
      <c r="CH1185">
        <v>0</v>
      </c>
      <c r="CI1185">
        <v>0</v>
      </c>
      <c r="CJ1185">
        <v>0</v>
      </c>
      <c r="CK1185">
        <v>0</v>
      </c>
      <c r="CL1185">
        <v>0</v>
      </c>
      <c r="CM1185">
        <v>0</v>
      </c>
      <c r="CN1185" t="str">
        <f>IF(BL1185&lt;BK1185,"refNeedCorrection","refOK")</f>
        <v>refOK</v>
      </c>
      <c r="CO1185"/>
      <c r="CP1185"/>
      <c r="CQ1185"/>
      <c r="CR1185">
        <f>IF($CN1185="refOK",$BS1185,$BT1185)*IF($BP1185="Emissions positive",-1,1)</f>
        <v>-157</v>
      </c>
      <c r="CS1185">
        <f>IF($CN1185="refOK",$BT1185,$BS1185)*IF($BP1185="Emissions positive",-1,1)</f>
        <v>-411</v>
      </c>
      <c r="CT1185">
        <f>IF($CN1185="refNeedCorrection",-BX1185,BX1185)*IF($BP1185="Emissions positive",-1,1)</f>
        <v>-7.0000000000000007E-2</v>
      </c>
      <c r="CU1185" t="str">
        <f>IFERROR(CT1185/CQ1185,"")</f>
        <v/>
      </c>
      <c r="CV1185" s="2">
        <f>IFERROR((CS1185-CR1185)/ABS(CR1185),"")</f>
        <v>-1.6178343949044587</v>
      </c>
      <c r="CW1185" s="1" t="s">
        <v>1199</v>
      </c>
      <c r="CX1185" s="264" t="str">
        <f>IF(OR($CW1185="prd",$CW1185="std",$CW1185="cit"),"loc",IF(OR($CW1185="eur",$CW1185="reg",$CW1185="coy"),"reg",$CW1185))</f>
        <v>reg</v>
      </c>
      <c r="CY1185" t="s">
        <v>235</v>
      </c>
      <c r="DB1185">
        <v>30</v>
      </c>
      <c r="DC1185" t="str">
        <f>IF(DB1185=0,"0",IF(AND(DB1185&gt;=1,DB1185&lt;=30),"1-30",IF(AND(DB1185&gt;30,DB1185&lt;=70),"31-70",IF(AND(DB1185&gt;70,DB1185&lt;=100),"71-100",IF(DB1185&gt;100,"+100")))))</f>
        <v>1-30</v>
      </c>
      <c r="DD1185">
        <v>0</v>
      </c>
      <c r="DE1185">
        <v>1</v>
      </c>
      <c r="DF1185">
        <v>0</v>
      </c>
      <c r="DG1185">
        <v>0</v>
      </c>
      <c r="DI1185">
        <f>SUM(DD1185:DG1185)</f>
        <v>1</v>
      </c>
      <c r="DJ1185" t="str">
        <f>IF(DI1185=1,INDEX($DD$7:$DG$7,MATCH(1,$DD1185:$DG1185,0)),"mixedProduct")</f>
        <v>EnergyInput</v>
      </c>
      <c r="DK1185">
        <f>IF(DD1185=1,DK$7,0)</f>
        <v>0</v>
      </c>
      <c r="DL1185" t="str">
        <f>IF(DE1185=1,DL$7,0)</f>
        <v>Energy</v>
      </c>
      <c r="DM1185">
        <f>IF(DF1185=1,DM$7,0)</f>
        <v>0</v>
      </c>
      <c r="DN1185">
        <f>IF(DG1185=1,DN$7,0)</f>
        <v>0</v>
      </c>
      <c r="DO1185">
        <v>0</v>
      </c>
      <c r="DP1185">
        <v>1</v>
      </c>
      <c r="DQ1185" t="s">
        <v>2146</v>
      </c>
      <c r="DR1185">
        <v>0</v>
      </c>
      <c r="DS1185">
        <v>0</v>
      </c>
      <c r="DT1185">
        <f>SUM(DO1185:DP1185)</f>
        <v>1</v>
      </c>
      <c r="DU1185" s="143" t="str">
        <f>IF(DO1185=1,"self-calculated DF",IF(DP1185=1,"external DF used","explicit C balance"))</f>
        <v>external DF used</v>
      </c>
      <c r="DV1185">
        <v>1</v>
      </c>
      <c r="DW1185">
        <v>1</v>
      </c>
      <c r="DX1185">
        <v>1</v>
      </c>
      <c r="DY1185">
        <v>1</v>
      </c>
      <c r="DZ1185">
        <v>1</v>
      </c>
      <c r="EA1185">
        <v>0</v>
      </c>
      <c r="EB1185">
        <v>1</v>
      </c>
      <c r="EC1185">
        <v>1</v>
      </c>
      <c r="ED1185">
        <v>0</v>
      </c>
      <c r="EE1185">
        <v>0</v>
      </c>
      <c r="EF1185">
        <v>1</v>
      </c>
      <c r="EG1185">
        <v>0</v>
      </c>
      <c r="EH1185">
        <v>0</v>
      </c>
      <c r="EI1185" s="2">
        <v>0</v>
      </c>
      <c r="EK1185" t="str">
        <f>IF(AND(AND(AND(OR($DX1185=1,$DW1185=1),OR($EC1185=1,$EA1185=1)),SUM($DV1185:$DZ1185,$EF1185)&gt;=4),SUM($EA1185:$EE1185)&gt;=2),"Whole sector","")</f>
        <v>Whole sector</v>
      </c>
      <c r="EL1185" t="str">
        <f>IF(AND(AND(OR($DX1185=1,$DW1185=1),AND($EC1185=0,$EA1185=0)),SUM($DV1185:$DZ1185,$EF1185)&gt;=4),"Ecosystem approach","")</f>
        <v/>
      </c>
      <c r="EM1185" s="2" t="str">
        <f>IF(AND(AND(AND($DX1185=0,$DW1185=0),OR($EC1185=1,$EA1185=1)),SUM($EB1185:$EE1185)&gt;=2),"Technology approach","")</f>
        <v/>
      </c>
      <c r="EP1185" t="b">
        <f>IF(ISNUMBER(BU1185),IF(ABS(BU1185-[3]QC_indicators!$B$2)&gt;3*[3]QC_indicators!$C$2,"C ratio",IF(ISNUMBER(BY1185),IF(ABS(BY1185-[3]QC_indicators!$B$1)&gt;3*[3]QC_indicators!$C$1,"DF","no"))),IF(ISNUMBER(BY1185),IF(ABS(BY1185-[3]QC_indicators!$B$1)&gt;3*[3]QC_indicators!$C$1,"DF","no")))</f>
        <v>0</v>
      </c>
      <c r="ER1185" s="294" t="s">
        <v>2171</v>
      </c>
      <c r="ET1185" s="264" t="s">
        <v>3407</v>
      </c>
    </row>
    <row r="1186" spans="1:150" ht="15" customHeight="1">
      <c r="A1186" s="1" t="s">
        <v>1360</v>
      </c>
      <c r="B1186" t="s">
        <v>2135</v>
      </c>
      <c r="C1186" t="s">
        <v>2136</v>
      </c>
      <c r="D1186" t="s">
        <v>2137</v>
      </c>
      <c r="E1186" t="s">
        <v>2138</v>
      </c>
      <c r="F1186" t="s">
        <v>2139</v>
      </c>
      <c r="G1186" t="s">
        <v>1366</v>
      </c>
      <c r="H1186" t="s">
        <v>254</v>
      </c>
      <c r="I1186">
        <v>2012</v>
      </c>
      <c r="J1186">
        <v>21</v>
      </c>
      <c r="K1186" t="s">
        <v>2140</v>
      </c>
      <c r="L1186" s="192"/>
      <c r="M1186" t="str">
        <f>LEFT($D1186,FIND(",",$D1186)-1)&amp;"_"&amp;I1186&amp;L1186</f>
        <v>Pyorala_2012</v>
      </c>
      <c r="N1186" t="s">
        <v>222</v>
      </c>
      <c r="O1186" s="145" t="s">
        <v>341</v>
      </c>
      <c r="Q1186" s="264" t="s">
        <v>256</v>
      </c>
      <c r="R1186" s="269" t="s">
        <v>1154</v>
      </c>
      <c r="S1186" s="1" t="s">
        <v>2195</v>
      </c>
      <c r="T1186" t="s">
        <v>798</v>
      </c>
      <c r="U1186" t="s">
        <v>2168</v>
      </c>
      <c r="V1186">
        <v>0</v>
      </c>
      <c r="W1186">
        <v>0</v>
      </c>
      <c r="X1186">
        <v>0</v>
      </c>
      <c r="Y1186">
        <v>0</v>
      </c>
      <c r="Z1186">
        <v>0</v>
      </c>
      <c r="AA1186">
        <v>0</v>
      </c>
      <c r="AB1186">
        <v>0</v>
      </c>
      <c r="AC1186">
        <v>0</v>
      </c>
      <c r="AD1186">
        <v>0</v>
      </c>
      <c r="AE1186">
        <v>0</v>
      </c>
      <c r="AF1186">
        <v>0</v>
      </c>
      <c r="AG1186">
        <v>0</v>
      </c>
      <c r="AH1186">
        <v>0</v>
      </c>
      <c r="AI1186">
        <v>0</v>
      </c>
      <c r="AJ1186">
        <v>0</v>
      </c>
      <c r="AK1186">
        <v>1</v>
      </c>
      <c r="AL1186">
        <v>0</v>
      </c>
      <c r="AM1186">
        <v>0</v>
      </c>
      <c r="AN1186">
        <v>0</v>
      </c>
      <c r="AO1186">
        <v>0</v>
      </c>
      <c r="AP1186">
        <v>0</v>
      </c>
      <c r="AQ1186">
        <v>0</v>
      </c>
      <c r="AR1186">
        <v>0</v>
      </c>
      <c r="AS1186">
        <v>0</v>
      </c>
      <c r="AT1186">
        <v>0</v>
      </c>
      <c r="AU1186">
        <v>0</v>
      </c>
      <c r="AV1186">
        <v>0</v>
      </c>
      <c r="AW1186">
        <v>0</v>
      </c>
      <c r="AX1186" s="141">
        <f>COUNTIF(V1186:AW1186,"&lt;&gt;0")</f>
        <v>1</v>
      </c>
      <c r="AY1186" s="141">
        <f>COUNTIF(V1186:AL1186,"&lt;&gt;0")</f>
        <v>1</v>
      </c>
      <c r="AZ1186">
        <f>COUNTIF(V1186:AC1186,"&lt;&gt;0")</f>
        <v>0</v>
      </c>
      <c r="BA1186">
        <f>COUNTIF(AD1186:AI1186,"&lt;&gt;0")</f>
        <v>0</v>
      </c>
      <c r="BB1186">
        <f>COUNTIF(AJ1186:AL1186,"&lt;&gt;0")</f>
        <v>1</v>
      </c>
      <c r="BC1186">
        <f>COUNTIF(AS1186:AW1186,"&lt;&gt;0")</f>
        <v>0</v>
      </c>
      <c r="BD1186">
        <f>COUNTIF(AM1186:AR1186,"&lt;&gt;0")</f>
        <v>0</v>
      </c>
      <c r="BE1186" t="str" cm="1">
        <f t="array" ref="BE1186">IF(AY1186=1,INDEX($V$7:$AL$7,MATCH(TRUE,INDEX($V1186:$AW1186&lt;&gt;0,),0)),IF(AY1186=0,INDEX($AM$7:$AW$7,MATCH(1,$AM1186:$AW1186,0)),IF(BF1186="Multiple strategies","mixed drivers",IF(BF1186="Supply chain","multiple supply","multiple silviculture"))))</f>
        <v>technologies/design switch</v>
      </c>
      <c r="BF1186" s="2" t="str" cm="1">
        <f t="array" ref="BF1186">IF(COUNTIF(AZ1186:BB1186,"&lt;&gt;0")=1,INDEX($V$4:$AW$4,MATCH(TRUE,INDEX($V1186:$AW1186&lt;&gt;0,),0)),IF(COUNTIF(AZ1186:BB1186,"&lt;&gt;0")=0,INDEX($AM$4:$AW$4,MATCH(1,$AM1186:$AW1186,0)),"Multiple strategies"))</f>
        <v>Technology</v>
      </c>
      <c r="BH1186" t="s">
        <v>2169</v>
      </c>
      <c r="BN1186" s="143"/>
      <c r="BP1186" s="264" t="s">
        <v>232</v>
      </c>
      <c r="BQ1186" s="264"/>
      <c r="BR1186" t="s">
        <v>2170</v>
      </c>
      <c r="BS1186">
        <v>-157</v>
      </c>
      <c r="BT1186">
        <v>-411</v>
      </c>
      <c r="BU1186" s="144">
        <v>1.2052785923753666</v>
      </c>
      <c r="BV1186">
        <v>-70</v>
      </c>
      <c r="BX1186">
        <f>BV1186/1000</f>
        <v>-7.0000000000000007E-2</v>
      </c>
      <c r="BY1186" t="str">
        <f>IFERROR(BX1186/BO1186,"")</f>
        <v/>
      </c>
      <c r="BZ1186">
        <v>0</v>
      </c>
      <c r="CA1186">
        <v>0</v>
      </c>
      <c r="CB1186">
        <v>0</v>
      </c>
      <c r="CC1186">
        <v>0</v>
      </c>
      <c r="CD1186">
        <v>0</v>
      </c>
      <c r="CE1186">
        <v>0</v>
      </c>
      <c r="CF1186">
        <v>0</v>
      </c>
      <c r="CG1186">
        <v>0</v>
      </c>
      <c r="CH1186">
        <v>0</v>
      </c>
      <c r="CI1186">
        <v>0</v>
      </c>
      <c r="CJ1186">
        <v>0</v>
      </c>
      <c r="CK1186">
        <v>0</v>
      </c>
      <c r="CL1186">
        <v>0</v>
      </c>
      <c r="CM1186">
        <v>0</v>
      </c>
      <c r="CN1186" t="str">
        <f>IF(BL1186&lt;BK1186,"refNeedCorrection","refOK")</f>
        <v>refOK</v>
      </c>
      <c r="CO1186"/>
      <c r="CP1186"/>
      <c r="CQ1186"/>
      <c r="CR1186">
        <f>IF($CN1186="refOK",$BS1186,$BT1186)*IF($BP1186="Emissions positive",-1,1)</f>
        <v>-157</v>
      </c>
      <c r="CS1186">
        <f>IF($CN1186="refOK",$BT1186,$BS1186)*IF($BP1186="Emissions positive",-1,1)</f>
        <v>-411</v>
      </c>
      <c r="CT1186">
        <f>IF($CN1186="refNeedCorrection",-BX1186,BX1186)*IF($BP1186="Emissions positive",-1,1)</f>
        <v>-7.0000000000000007E-2</v>
      </c>
      <c r="CU1186" t="str">
        <f>IFERROR(CT1186/CQ1186,"")</f>
        <v/>
      </c>
      <c r="CV1186" s="2">
        <f>IFERROR((CS1186-CR1186)/ABS(CR1186),"")</f>
        <v>-1.6178343949044587</v>
      </c>
      <c r="CW1186" s="1" t="s">
        <v>1199</v>
      </c>
      <c r="CX1186" s="264" t="str">
        <f>IF(OR($CW1186="prd",$CW1186="std",$CW1186="cit"),"loc",IF(OR($CW1186="eur",$CW1186="reg",$CW1186="coy"),"reg",$CW1186))</f>
        <v>reg</v>
      </c>
      <c r="CY1186" t="s">
        <v>235</v>
      </c>
      <c r="DB1186">
        <v>30</v>
      </c>
      <c r="DC1186" t="str">
        <f>IF(DB1186=0,"0",IF(AND(DB1186&gt;=1,DB1186&lt;=30),"1-30",IF(AND(DB1186&gt;30,DB1186&lt;=70),"31-70",IF(AND(DB1186&gt;70,DB1186&lt;=100),"71-100",IF(DB1186&gt;100,"+100")))))</f>
        <v>1-30</v>
      </c>
      <c r="DD1186">
        <v>0</v>
      </c>
      <c r="DE1186">
        <v>1</v>
      </c>
      <c r="DF1186">
        <v>0</v>
      </c>
      <c r="DG1186">
        <v>0</v>
      </c>
      <c r="DI1186">
        <f>SUM(DD1186:DG1186)</f>
        <v>1</v>
      </c>
      <c r="DJ1186" t="str">
        <f>IF(DI1186=1,INDEX($DD$7:$DG$7,MATCH(1,$DD1186:$DG1186,0)),"mixedProduct")</f>
        <v>EnergyInput</v>
      </c>
      <c r="DK1186">
        <f>IF(DD1186=1,DK$7,0)</f>
        <v>0</v>
      </c>
      <c r="DL1186" t="str">
        <f>IF(DE1186=1,DL$7,0)</f>
        <v>Energy</v>
      </c>
      <c r="DM1186">
        <f>IF(DF1186=1,DM$7,0)</f>
        <v>0</v>
      </c>
      <c r="DN1186">
        <f>IF(DG1186=1,DN$7,0)</f>
        <v>0</v>
      </c>
      <c r="DO1186">
        <v>0</v>
      </c>
      <c r="DP1186">
        <v>1</v>
      </c>
      <c r="DQ1186" t="s">
        <v>2146</v>
      </c>
      <c r="DR1186">
        <v>0</v>
      </c>
      <c r="DS1186">
        <v>0</v>
      </c>
      <c r="DT1186">
        <f>SUM(DO1186:DP1186)</f>
        <v>1</v>
      </c>
      <c r="DU1186" s="143" t="str">
        <f>IF(DO1186=1,"self-calculated DF",IF(DP1186=1,"external DF used","explicit C balance"))</f>
        <v>external DF used</v>
      </c>
      <c r="DV1186">
        <v>1</v>
      </c>
      <c r="DW1186">
        <v>1</v>
      </c>
      <c r="DX1186">
        <v>1</v>
      </c>
      <c r="DY1186">
        <v>1</v>
      </c>
      <c r="DZ1186">
        <v>1</v>
      </c>
      <c r="EA1186">
        <v>0</v>
      </c>
      <c r="EB1186">
        <v>1</v>
      </c>
      <c r="EC1186">
        <v>1</v>
      </c>
      <c r="ED1186">
        <v>0</v>
      </c>
      <c r="EE1186">
        <v>0</v>
      </c>
      <c r="EF1186">
        <v>1</v>
      </c>
      <c r="EG1186">
        <v>0</v>
      </c>
      <c r="EH1186">
        <v>0</v>
      </c>
      <c r="EI1186" s="2">
        <v>0</v>
      </c>
      <c r="EK1186" t="str">
        <f>IF(AND(AND(AND(OR($DX1186=1,$DW1186=1),OR($EC1186=1,$EA1186=1)),SUM($DV1186:$DZ1186,$EF1186)&gt;=4),SUM($EA1186:$EE1186)&gt;=2),"Whole sector","")</f>
        <v>Whole sector</v>
      </c>
      <c r="EL1186" t="str">
        <f>IF(AND(AND(OR($DX1186=1,$DW1186=1),AND($EC1186=0,$EA1186=0)),SUM($DV1186:$DZ1186,$EF1186)&gt;=4),"Ecosystem approach","")</f>
        <v/>
      </c>
      <c r="EM1186" s="2" t="str">
        <f>IF(AND(AND(AND($DX1186=0,$DW1186=0),OR($EC1186=1,$EA1186=1)),SUM($EB1186:$EE1186)&gt;=2),"Technology approach","")</f>
        <v/>
      </c>
      <c r="EP1186" t="b">
        <f>IF(ISNUMBER(BU1186),IF(ABS(BU1186-[3]QC_indicators!$B$2)&gt;3*[3]QC_indicators!$C$2,"C ratio",IF(ISNUMBER(BY1186),IF(ABS(BY1186-[3]QC_indicators!$B$1)&gt;3*[3]QC_indicators!$C$1,"DF","no"))),IF(ISNUMBER(BY1186),IF(ABS(BY1186-[3]QC_indicators!$B$1)&gt;3*[3]QC_indicators!$C$1,"DF","no")))</f>
        <v>0</v>
      </c>
      <c r="ER1186" s="294" t="s">
        <v>2171</v>
      </c>
      <c r="ET1186" s="264" t="s">
        <v>3407</v>
      </c>
    </row>
    <row r="1187" spans="1:150" ht="15" customHeight="1">
      <c r="A1187" s="1" t="s">
        <v>1360</v>
      </c>
      <c r="B1187" t="s">
        <v>2135</v>
      </c>
      <c r="C1187" t="s">
        <v>2136</v>
      </c>
      <c r="D1187" t="s">
        <v>2137</v>
      </c>
      <c r="E1187" t="s">
        <v>2138</v>
      </c>
      <c r="F1187" t="s">
        <v>2139</v>
      </c>
      <c r="G1187" t="s">
        <v>1366</v>
      </c>
      <c r="H1187" t="s">
        <v>254</v>
      </c>
      <c r="I1187">
        <v>2012</v>
      </c>
      <c r="J1187">
        <v>21</v>
      </c>
      <c r="K1187" t="s">
        <v>2140</v>
      </c>
      <c r="L1187" s="192"/>
      <c r="M1187" t="str">
        <f>LEFT($D1187,FIND(",",$D1187)-1)&amp;"_"&amp;I1187&amp;L1187</f>
        <v>Pyorala_2012</v>
      </c>
      <c r="N1187" t="s">
        <v>222</v>
      </c>
      <c r="O1187" s="145" t="s">
        <v>341</v>
      </c>
      <c r="Q1187" s="264" t="s">
        <v>256</v>
      </c>
      <c r="R1187" s="269" t="s">
        <v>1154</v>
      </c>
      <c r="S1187" s="1" t="s">
        <v>2196</v>
      </c>
      <c r="T1187" t="s">
        <v>798</v>
      </c>
      <c r="U1187" t="s">
        <v>2168</v>
      </c>
      <c r="V1187">
        <v>0</v>
      </c>
      <c r="W1187">
        <v>0</v>
      </c>
      <c r="X1187">
        <v>0</v>
      </c>
      <c r="Y1187">
        <v>0</v>
      </c>
      <c r="Z1187">
        <v>0</v>
      </c>
      <c r="AA1187">
        <v>0</v>
      </c>
      <c r="AB1187">
        <v>0</v>
      </c>
      <c r="AC1187">
        <v>0</v>
      </c>
      <c r="AD1187">
        <v>0</v>
      </c>
      <c r="AE1187">
        <v>0</v>
      </c>
      <c r="AF1187">
        <v>0</v>
      </c>
      <c r="AG1187">
        <v>0</v>
      </c>
      <c r="AH1187">
        <v>0</v>
      </c>
      <c r="AI1187">
        <v>0</v>
      </c>
      <c r="AJ1187">
        <v>0</v>
      </c>
      <c r="AK1187">
        <v>1</v>
      </c>
      <c r="AL1187">
        <v>0</v>
      </c>
      <c r="AM1187">
        <v>0</v>
      </c>
      <c r="AN1187">
        <v>0</v>
      </c>
      <c r="AO1187">
        <v>0</v>
      </c>
      <c r="AP1187">
        <v>0</v>
      </c>
      <c r="AQ1187">
        <v>0</v>
      </c>
      <c r="AR1187">
        <v>0</v>
      </c>
      <c r="AS1187">
        <v>0</v>
      </c>
      <c r="AT1187">
        <v>0</v>
      </c>
      <c r="AU1187">
        <v>0</v>
      </c>
      <c r="AV1187">
        <v>0</v>
      </c>
      <c r="AW1187">
        <v>0</v>
      </c>
      <c r="AX1187" s="141">
        <f>COUNTIF(V1187:AW1187,"&lt;&gt;0")</f>
        <v>1</v>
      </c>
      <c r="AY1187" s="141">
        <f>COUNTIF(V1187:AL1187,"&lt;&gt;0")</f>
        <v>1</v>
      </c>
      <c r="AZ1187">
        <f>COUNTIF(V1187:AC1187,"&lt;&gt;0")</f>
        <v>0</v>
      </c>
      <c r="BA1187">
        <f>COUNTIF(AD1187:AI1187,"&lt;&gt;0")</f>
        <v>0</v>
      </c>
      <c r="BB1187">
        <f>COUNTIF(AJ1187:AL1187,"&lt;&gt;0")</f>
        <v>1</v>
      </c>
      <c r="BC1187">
        <f>COUNTIF(AS1187:AW1187,"&lt;&gt;0")</f>
        <v>0</v>
      </c>
      <c r="BD1187">
        <f>COUNTIF(AM1187:AR1187,"&lt;&gt;0")</f>
        <v>0</v>
      </c>
      <c r="BE1187" t="str" cm="1">
        <f t="array" ref="BE1187">IF(AY1187=1,INDEX($V$7:$AL$7,MATCH(TRUE,INDEX($V1187:$AW1187&lt;&gt;0,),0)),IF(AY1187=0,INDEX($AM$7:$AW$7,MATCH(1,$AM1187:$AW1187,0)),IF(BF1187="Multiple strategies","mixed drivers",IF(BF1187="Supply chain","multiple supply","multiple silviculture"))))</f>
        <v>technologies/design switch</v>
      </c>
      <c r="BF1187" s="2" t="str" cm="1">
        <f t="array" ref="BF1187">IF(COUNTIF(AZ1187:BB1187,"&lt;&gt;0")=1,INDEX($V$4:$AW$4,MATCH(TRUE,INDEX($V1187:$AW1187&lt;&gt;0,),0)),IF(COUNTIF(AZ1187:BB1187,"&lt;&gt;0")=0,INDEX($AM$4:$AW$4,MATCH(1,$AM1187:$AW1187,0)),"Multiple strategies"))</f>
        <v>Technology</v>
      </c>
      <c r="BH1187" t="s">
        <v>2169</v>
      </c>
      <c r="BN1187" s="143"/>
      <c r="BP1187" s="264" t="s">
        <v>232</v>
      </c>
      <c r="BQ1187" s="264"/>
      <c r="BR1187" t="s">
        <v>2170</v>
      </c>
      <c r="BS1187">
        <v>-157</v>
      </c>
      <c r="BT1187">
        <v>-414</v>
      </c>
      <c r="BU1187" s="144">
        <v>1.2140762463343109</v>
      </c>
      <c r="BV1187">
        <v>-73</v>
      </c>
      <c r="BX1187">
        <f>BV1187/1000</f>
        <v>-7.2999999999999995E-2</v>
      </c>
      <c r="BY1187" t="str">
        <f>IFERROR(BX1187/BO1187,"")</f>
        <v/>
      </c>
      <c r="BZ1187">
        <v>0</v>
      </c>
      <c r="CA1187">
        <v>0</v>
      </c>
      <c r="CB1187">
        <v>0</v>
      </c>
      <c r="CC1187">
        <v>0</v>
      </c>
      <c r="CD1187">
        <v>0</v>
      </c>
      <c r="CE1187">
        <v>0</v>
      </c>
      <c r="CF1187">
        <v>0</v>
      </c>
      <c r="CG1187">
        <v>0</v>
      </c>
      <c r="CH1187">
        <v>0</v>
      </c>
      <c r="CI1187">
        <v>0</v>
      </c>
      <c r="CJ1187">
        <v>0</v>
      </c>
      <c r="CK1187">
        <v>0</v>
      </c>
      <c r="CL1187">
        <v>0</v>
      </c>
      <c r="CM1187">
        <v>0</v>
      </c>
      <c r="CN1187" t="str">
        <f>IF(BL1187&lt;BK1187,"refNeedCorrection","refOK")</f>
        <v>refOK</v>
      </c>
      <c r="CO1187"/>
      <c r="CP1187"/>
      <c r="CQ1187"/>
      <c r="CR1187">
        <f>IF($CN1187="refOK",$BS1187,$BT1187)*IF($BP1187="Emissions positive",-1,1)</f>
        <v>-157</v>
      </c>
      <c r="CS1187">
        <f>IF($CN1187="refOK",$BT1187,$BS1187)*IF($BP1187="Emissions positive",-1,1)</f>
        <v>-414</v>
      </c>
      <c r="CT1187">
        <f>IF($CN1187="refNeedCorrection",-BX1187,BX1187)*IF($BP1187="Emissions positive",-1,1)</f>
        <v>-7.2999999999999995E-2</v>
      </c>
      <c r="CU1187" t="str">
        <f>IFERROR(CT1187/CQ1187,"")</f>
        <v/>
      </c>
      <c r="CV1187" s="2">
        <f>IFERROR((CS1187-CR1187)/ABS(CR1187),"")</f>
        <v>-1.6369426751592357</v>
      </c>
      <c r="CW1187" s="1" t="s">
        <v>1199</v>
      </c>
      <c r="CX1187" s="264" t="str">
        <f>IF(OR($CW1187="prd",$CW1187="std",$CW1187="cit"),"loc",IF(OR($CW1187="eur",$CW1187="reg",$CW1187="coy"),"reg",$CW1187))</f>
        <v>reg</v>
      </c>
      <c r="CY1187" t="s">
        <v>235</v>
      </c>
      <c r="DB1187">
        <v>30</v>
      </c>
      <c r="DC1187" t="str">
        <f>IF(DB1187=0,"0",IF(AND(DB1187&gt;=1,DB1187&lt;=30),"1-30",IF(AND(DB1187&gt;30,DB1187&lt;=70),"31-70",IF(AND(DB1187&gt;70,DB1187&lt;=100),"71-100",IF(DB1187&gt;100,"+100")))))</f>
        <v>1-30</v>
      </c>
      <c r="DD1187">
        <v>0</v>
      </c>
      <c r="DE1187">
        <v>1</v>
      </c>
      <c r="DF1187">
        <v>0</v>
      </c>
      <c r="DG1187">
        <v>0</v>
      </c>
      <c r="DI1187">
        <f>SUM(DD1187:DG1187)</f>
        <v>1</v>
      </c>
      <c r="DJ1187" t="str">
        <f>IF(DI1187=1,INDEX($DD$7:$DG$7,MATCH(1,$DD1187:$DG1187,0)),"mixedProduct")</f>
        <v>EnergyInput</v>
      </c>
      <c r="DK1187">
        <f>IF(DD1187=1,DK$7,0)</f>
        <v>0</v>
      </c>
      <c r="DL1187" t="str">
        <f>IF(DE1187=1,DL$7,0)</f>
        <v>Energy</v>
      </c>
      <c r="DM1187">
        <f>IF(DF1187=1,DM$7,0)</f>
        <v>0</v>
      </c>
      <c r="DN1187">
        <f>IF(DG1187=1,DN$7,0)</f>
        <v>0</v>
      </c>
      <c r="DO1187">
        <v>0</v>
      </c>
      <c r="DP1187">
        <v>1</v>
      </c>
      <c r="DQ1187" t="s">
        <v>2146</v>
      </c>
      <c r="DR1187">
        <v>0</v>
      </c>
      <c r="DS1187">
        <v>0</v>
      </c>
      <c r="DT1187">
        <f>SUM(DO1187:DP1187)</f>
        <v>1</v>
      </c>
      <c r="DU1187" s="143" t="str">
        <f>IF(DO1187=1,"self-calculated DF",IF(DP1187=1,"external DF used","explicit C balance"))</f>
        <v>external DF used</v>
      </c>
      <c r="DV1187">
        <v>1</v>
      </c>
      <c r="DW1187">
        <v>1</v>
      </c>
      <c r="DX1187">
        <v>1</v>
      </c>
      <c r="DY1187">
        <v>1</v>
      </c>
      <c r="DZ1187">
        <v>1</v>
      </c>
      <c r="EA1187">
        <v>0</v>
      </c>
      <c r="EB1187">
        <v>1</v>
      </c>
      <c r="EC1187">
        <v>1</v>
      </c>
      <c r="ED1187">
        <v>0</v>
      </c>
      <c r="EE1187">
        <v>0</v>
      </c>
      <c r="EF1187">
        <v>1</v>
      </c>
      <c r="EG1187">
        <v>0</v>
      </c>
      <c r="EH1187">
        <v>0</v>
      </c>
      <c r="EI1187" s="2">
        <v>0</v>
      </c>
      <c r="EK1187" t="str">
        <f>IF(AND(AND(AND(OR($DX1187=1,$DW1187=1),OR($EC1187=1,$EA1187=1)),SUM($DV1187:$DZ1187,$EF1187)&gt;=4),SUM($EA1187:$EE1187)&gt;=2),"Whole sector","")</f>
        <v>Whole sector</v>
      </c>
      <c r="EL1187" t="str">
        <f>IF(AND(AND(OR($DX1187=1,$DW1187=1),AND($EC1187=0,$EA1187=0)),SUM($DV1187:$DZ1187,$EF1187)&gt;=4),"Ecosystem approach","")</f>
        <v/>
      </c>
      <c r="EM1187" s="2" t="str">
        <f>IF(AND(AND(AND($DX1187=0,$DW1187=0),OR($EC1187=1,$EA1187=1)),SUM($EB1187:$EE1187)&gt;=2),"Technology approach","")</f>
        <v/>
      </c>
      <c r="EP1187" t="b">
        <f>IF(ISNUMBER(BU1187),IF(ABS(BU1187-[3]QC_indicators!$B$2)&gt;3*[3]QC_indicators!$C$2,"C ratio",IF(ISNUMBER(BY1187),IF(ABS(BY1187-[3]QC_indicators!$B$1)&gt;3*[3]QC_indicators!$C$1,"DF","no"))),IF(ISNUMBER(BY1187),IF(ABS(BY1187-[3]QC_indicators!$B$1)&gt;3*[3]QC_indicators!$C$1,"DF","no")))</f>
        <v>0</v>
      </c>
      <c r="ER1187" s="294" t="s">
        <v>2171</v>
      </c>
      <c r="ET1187" s="264" t="s">
        <v>3407</v>
      </c>
    </row>
    <row r="1188" spans="1:150" ht="15" customHeight="1">
      <c r="A1188" s="1" t="s">
        <v>1360</v>
      </c>
      <c r="B1188" t="s">
        <v>2135</v>
      </c>
      <c r="C1188" t="s">
        <v>2136</v>
      </c>
      <c r="D1188" t="s">
        <v>2137</v>
      </c>
      <c r="E1188" t="s">
        <v>2138</v>
      </c>
      <c r="F1188" t="s">
        <v>2139</v>
      </c>
      <c r="G1188" t="s">
        <v>1366</v>
      </c>
      <c r="H1188" t="s">
        <v>254</v>
      </c>
      <c r="I1188">
        <v>2012</v>
      </c>
      <c r="J1188">
        <v>21</v>
      </c>
      <c r="K1188" t="s">
        <v>2140</v>
      </c>
      <c r="L1188" s="192"/>
      <c r="M1188" t="str">
        <f>LEFT($D1188,FIND(",",$D1188)-1)&amp;"_"&amp;I1188&amp;L1188</f>
        <v>Pyorala_2012</v>
      </c>
      <c r="N1188" t="s">
        <v>222</v>
      </c>
      <c r="O1188" s="145" t="s">
        <v>341</v>
      </c>
      <c r="Q1188" s="264" t="s">
        <v>256</v>
      </c>
      <c r="R1188" s="269" t="s">
        <v>1154</v>
      </c>
      <c r="S1188" s="1" t="s">
        <v>2197</v>
      </c>
      <c r="T1188" t="s">
        <v>798</v>
      </c>
      <c r="U1188" t="s">
        <v>2168</v>
      </c>
      <c r="V1188">
        <v>0</v>
      </c>
      <c r="W1188">
        <v>0</v>
      </c>
      <c r="X1188">
        <v>0</v>
      </c>
      <c r="Y1188">
        <v>0</v>
      </c>
      <c r="Z1188">
        <v>0</v>
      </c>
      <c r="AA1188">
        <v>0</v>
      </c>
      <c r="AB1188">
        <v>0</v>
      </c>
      <c r="AC1188">
        <v>0</v>
      </c>
      <c r="AD1188">
        <v>0</v>
      </c>
      <c r="AE1188">
        <v>0</v>
      </c>
      <c r="AF1188">
        <v>0</v>
      </c>
      <c r="AG1188">
        <v>0</v>
      </c>
      <c r="AH1188">
        <v>0</v>
      </c>
      <c r="AI1188">
        <v>0</v>
      </c>
      <c r="AJ1188">
        <v>0</v>
      </c>
      <c r="AK1188">
        <v>1</v>
      </c>
      <c r="AL1188">
        <v>0</v>
      </c>
      <c r="AM1188">
        <v>0</v>
      </c>
      <c r="AN1188">
        <v>0</v>
      </c>
      <c r="AO1188">
        <v>0</v>
      </c>
      <c r="AP1188">
        <v>0</v>
      </c>
      <c r="AQ1188">
        <v>0</v>
      </c>
      <c r="AR1188">
        <v>0</v>
      </c>
      <c r="AS1188">
        <v>0</v>
      </c>
      <c r="AT1188">
        <v>0</v>
      </c>
      <c r="AU1188">
        <v>0</v>
      </c>
      <c r="AV1188">
        <v>0</v>
      </c>
      <c r="AW1188">
        <v>0</v>
      </c>
      <c r="AX1188" s="141">
        <f>COUNTIF(V1188:AW1188,"&lt;&gt;0")</f>
        <v>1</v>
      </c>
      <c r="AY1188" s="141">
        <f>COUNTIF(V1188:AL1188,"&lt;&gt;0")</f>
        <v>1</v>
      </c>
      <c r="AZ1188">
        <f>COUNTIF(V1188:AC1188,"&lt;&gt;0")</f>
        <v>0</v>
      </c>
      <c r="BA1188">
        <f>COUNTIF(AD1188:AI1188,"&lt;&gt;0")</f>
        <v>0</v>
      </c>
      <c r="BB1188">
        <f>COUNTIF(AJ1188:AL1188,"&lt;&gt;0")</f>
        <v>1</v>
      </c>
      <c r="BC1188">
        <f>COUNTIF(AS1188:AW1188,"&lt;&gt;0")</f>
        <v>0</v>
      </c>
      <c r="BD1188">
        <f>COUNTIF(AM1188:AR1188,"&lt;&gt;0")</f>
        <v>0</v>
      </c>
      <c r="BE1188" t="str" cm="1">
        <f t="array" ref="BE1188">IF(AY1188=1,INDEX($V$7:$AL$7,MATCH(TRUE,INDEX($V1188:$AW1188&lt;&gt;0,),0)),IF(AY1188=0,INDEX($AM$7:$AW$7,MATCH(1,$AM1188:$AW1188,0)),IF(BF1188="Multiple strategies","mixed drivers",IF(BF1188="Supply chain","multiple supply","multiple silviculture"))))</f>
        <v>technologies/design switch</v>
      </c>
      <c r="BF1188" s="2" t="str" cm="1">
        <f t="array" ref="BF1188">IF(COUNTIF(AZ1188:BB1188,"&lt;&gt;0")=1,INDEX($V$4:$AW$4,MATCH(TRUE,INDEX($V1188:$AW1188&lt;&gt;0,),0)),IF(COUNTIF(AZ1188:BB1188,"&lt;&gt;0")=0,INDEX($AM$4:$AW$4,MATCH(1,$AM1188:$AW1188,0)),"Multiple strategies"))</f>
        <v>Technology</v>
      </c>
      <c r="BH1188" t="s">
        <v>2169</v>
      </c>
      <c r="BN1188" s="143"/>
      <c r="BP1188" s="264" t="s">
        <v>232</v>
      </c>
      <c r="BQ1188" s="264"/>
      <c r="BR1188" t="s">
        <v>2170</v>
      </c>
      <c r="BS1188">
        <v>-157</v>
      </c>
      <c r="BT1188">
        <v>-422</v>
      </c>
      <c r="BU1188" s="144">
        <v>1.2375366568914956</v>
      </c>
      <c r="BV1188">
        <v>-81</v>
      </c>
      <c r="BX1188">
        <f>BV1188/1000</f>
        <v>-8.1000000000000003E-2</v>
      </c>
      <c r="BY1188" t="str">
        <f>IFERROR(BX1188/BO1188,"")</f>
        <v/>
      </c>
      <c r="BZ1188">
        <v>0</v>
      </c>
      <c r="CA1188">
        <v>0</v>
      </c>
      <c r="CB1188">
        <v>0</v>
      </c>
      <c r="CC1188">
        <v>0</v>
      </c>
      <c r="CD1188">
        <v>0</v>
      </c>
      <c r="CE1188">
        <v>0</v>
      </c>
      <c r="CF1188">
        <v>0</v>
      </c>
      <c r="CG1188">
        <v>0</v>
      </c>
      <c r="CH1188">
        <v>0</v>
      </c>
      <c r="CI1188">
        <v>0</v>
      </c>
      <c r="CJ1188">
        <v>0</v>
      </c>
      <c r="CK1188">
        <v>0</v>
      </c>
      <c r="CL1188">
        <v>0</v>
      </c>
      <c r="CM1188">
        <v>0</v>
      </c>
      <c r="CN1188" t="str">
        <f>IF(BL1188&lt;BK1188,"refNeedCorrection","refOK")</f>
        <v>refOK</v>
      </c>
      <c r="CO1188"/>
      <c r="CP1188"/>
      <c r="CQ1188"/>
      <c r="CR1188">
        <f>IF($CN1188="refOK",$BS1188,$BT1188)*IF($BP1188="Emissions positive",-1,1)</f>
        <v>-157</v>
      </c>
      <c r="CS1188">
        <f>IF($CN1188="refOK",$BT1188,$BS1188)*IF($BP1188="Emissions positive",-1,1)</f>
        <v>-422</v>
      </c>
      <c r="CT1188">
        <f>IF($CN1188="refNeedCorrection",-BX1188,BX1188)*IF($BP1188="Emissions positive",-1,1)</f>
        <v>-8.1000000000000003E-2</v>
      </c>
      <c r="CU1188" t="str">
        <f>IFERROR(CT1188/CQ1188,"")</f>
        <v/>
      </c>
      <c r="CV1188" s="2">
        <f>IFERROR((CS1188-CR1188)/ABS(CR1188),"")</f>
        <v>-1.6878980891719746</v>
      </c>
      <c r="CW1188" s="1" t="s">
        <v>1199</v>
      </c>
      <c r="CX1188" s="264" t="str">
        <f>IF(OR($CW1188="prd",$CW1188="std",$CW1188="cit"),"loc",IF(OR($CW1188="eur",$CW1188="reg",$CW1188="coy"),"reg",$CW1188))</f>
        <v>reg</v>
      </c>
      <c r="CY1188" t="s">
        <v>235</v>
      </c>
      <c r="DB1188">
        <v>30</v>
      </c>
      <c r="DC1188" t="str">
        <f>IF(DB1188=0,"0",IF(AND(DB1188&gt;=1,DB1188&lt;=30),"1-30",IF(AND(DB1188&gt;30,DB1188&lt;=70),"31-70",IF(AND(DB1188&gt;70,DB1188&lt;=100),"71-100",IF(DB1188&gt;100,"+100")))))</f>
        <v>1-30</v>
      </c>
      <c r="DD1188">
        <v>0</v>
      </c>
      <c r="DE1188">
        <v>1</v>
      </c>
      <c r="DF1188">
        <v>0</v>
      </c>
      <c r="DG1188">
        <v>0</v>
      </c>
      <c r="DI1188">
        <f>SUM(DD1188:DG1188)</f>
        <v>1</v>
      </c>
      <c r="DJ1188" t="str">
        <f>IF(DI1188=1,INDEX($DD$7:$DG$7,MATCH(1,$DD1188:$DG1188,0)),"mixedProduct")</f>
        <v>EnergyInput</v>
      </c>
      <c r="DK1188">
        <f>IF(DD1188=1,DK$7,0)</f>
        <v>0</v>
      </c>
      <c r="DL1188" t="str">
        <f>IF(DE1188=1,DL$7,0)</f>
        <v>Energy</v>
      </c>
      <c r="DM1188">
        <f>IF(DF1188=1,DM$7,0)</f>
        <v>0</v>
      </c>
      <c r="DN1188">
        <f>IF(DG1188=1,DN$7,0)</f>
        <v>0</v>
      </c>
      <c r="DO1188">
        <v>0</v>
      </c>
      <c r="DP1188">
        <v>1</v>
      </c>
      <c r="DQ1188" t="s">
        <v>2146</v>
      </c>
      <c r="DR1188">
        <v>0</v>
      </c>
      <c r="DS1188">
        <v>0</v>
      </c>
      <c r="DT1188">
        <f>SUM(DO1188:DP1188)</f>
        <v>1</v>
      </c>
      <c r="DU1188" s="143" t="str">
        <f>IF(DO1188=1,"self-calculated DF",IF(DP1188=1,"external DF used","explicit C balance"))</f>
        <v>external DF used</v>
      </c>
      <c r="DV1188">
        <v>1</v>
      </c>
      <c r="DW1188">
        <v>1</v>
      </c>
      <c r="DX1188">
        <v>1</v>
      </c>
      <c r="DY1188">
        <v>1</v>
      </c>
      <c r="DZ1188">
        <v>1</v>
      </c>
      <c r="EA1188">
        <v>0</v>
      </c>
      <c r="EB1188">
        <v>1</v>
      </c>
      <c r="EC1188">
        <v>1</v>
      </c>
      <c r="ED1188">
        <v>0</v>
      </c>
      <c r="EE1188">
        <v>0</v>
      </c>
      <c r="EF1188">
        <v>1</v>
      </c>
      <c r="EG1188">
        <v>0</v>
      </c>
      <c r="EH1188">
        <v>0</v>
      </c>
      <c r="EI1188" s="2">
        <v>0</v>
      </c>
      <c r="EK1188" t="str">
        <f>IF(AND(AND(AND(OR($DX1188=1,$DW1188=1),OR($EC1188=1,$EA1188=1)),SUM($DV1188:$DZ1188,$EF1188)&gt;=4),SUM($EA1188:$EE1188)&gt;=2),"Whole sector","")</f>
        <v>Whole sector</v>
      </c>
      <c r="EL1188" t="str">
        <f>IF(AND(AND(OR($DX1188=1,$DW1188=1),AND($EC1188=0,$EA1188=0)),SUM($DV1188:$DZ1188,$EF1188)&gt;=4),"Ecosystem approach","")</f>
        <v/>
      </c>
      <c r="EM1188" s="2" t="str">
        <f>IF(AND(AND(AND($DX1188=0,$DW1188=0),OR($EC1188=1,$EA1188=1)),SUM($EB1188:$EE1188)&gt;=2),"Technology approach","")</f>
        <v/>
      </c>
      <c r="EP1188" t="b">
        <f>IF(ISNUMBER(BU1188),IF(ABS(BU1188-[3]QC_indicators!$B$2)&gt;3*[3]QC_indicators!$C$2,"C ratio",IF(ISNUMBER(BY1188),IF(ABS(BY1188-[3]QC_indicators!$B$1)&gt;3*[3]QC_indicators!$C$1,"DF","no"))),IF(ISNUMBER(BY1188),IF(ABS(BY1188-[3]QC_indicators!$B$1)&gt;3*[3]QC_indicators!$C$1,"DF","no")))</f>
        <v>0</v>
      </c>
      <c r="ER1188" s="294" t="s">
        <v>2171</v>
      </c>
      <c r="ET1188" s="264" t="s">
        <v>3407</v>
      </c>
    </row>
    <row r="1189" spans="1:150" ht="15" customHeight="1">
      <c r="A1189" s="1" t="s">
        <v>1360</v>
      </c>
      <c r="B1189" t="s">
        <v>2135</v>
      </c>
      <c r="C1189" t="s">
        <v>2136</v>
      </c>
      <c r="D1189" t="s">
        <v>2137</v>
      </c>
      <c r="E1189" t="s">
        <v>2138</v>
      </c>
      <c r="F1189" t="s">
        <v>2139</v>
      </c>
      <c r="G1189" t="s">
        <v>1366</v>
      </c>
      <c r="H1189" t="s">
        <v>254</v>
      </c>
      <c r="I1189">
        <v>2012</v>
      </c>
      <c r="J1189">
        <v>21</v>
      </c>
      <c r="K1189" t="s">
        <v>2140</v>
      </c>
      <c r="L1189" s="192"/>
      <c r="M1189" t="str">
        <f>LEFT($D1189,FIND(",",$D1189)-1)&amp;"_"&amp;I1189&amp;L1189</f>
        <v>Pyorala_2012</v>
      </c>
      <c r="N1189" t="s">
        <v>222</v>
      </c>
      <c r="O1189" s="145" t="s">
        <v>341</v>
      </c>
      <c r="Q1189" s="264" t="s">
        <v>256</v>
      </c>
      <c r="R1189" s="269" t="s">
        <v>1154</v>
      </c>
      <c r="S1189" s="1" t="s">
        <v>2198</v>
      </c>
      <c r="T1189" t="s">
        <v>798</v>
      </c>
      <c r="U1189" t="s">
        <v>2168</v>
      </c>
      <c r="V1189">
        <v>0</v>
      </c>
      <c r="W1189">
        <v>0</v>
      </c>
      <c r="X1189">
        <v>0</v>
      </c>
      <c r="Y1189">
        <v>0</v>
      </c>
      <c r="Z1189">
        <v>0</v>
      </c>
      <c r="AA1189">
        <v>0</v>
      </c>
      <c r="AB1189">
        <v>0</v>
      </c>
      <c r="AC1189">
        <v>0</v>
      </c>
      <c r="AD1189">
        <v>0</v>
      </c>
      <c r="AE1189">
        <v>0</v>
      </c>
      <c r="AF1189">
        <v>0</v>
      </c>
      <c r="AG1189">
        <v>0</v>
      </c>
      <c r="AH1189">
        <v>0</v>
      </c>
      <c r="AI1189">
        <v>0</v>
      </c>
      <c r="AJ1189">
        <v>0</v>
      </c>
      <c r="AK1189">
        <v>1</v>
      </c>
      <c r="AL1189">
        <v>0</v>
      </c>
      <c r="AM1189">
        <v>0</v>
      </c>
      <c r="AN1189">
        <v>0</v>
      </c>
      <c r="AO1189">
        <v>0</v>
      </c>
      <c r="AP1189">
        <v>0</v>
      </c>
      <c r="AQ1189">
        <v>0</v>
      </c>
      <c r="AR1189">
        <v>0</v>
      </c>
      <c r="AS1189">
        <v>0</v>
      </c>
      <c r="AT1189">
        <v>0</v>
      </c>
      <c r="AU1189">
        <v>0</v>
      </c>
      <c r="AV1189">
        <v>0</v>
      </c>
      <c r="AW1189">
        <v>0</v>
      </c>
      <c r="AX1189" s="141">
        <f>COUNTIF(V1189:AW1189,"&lt;&gt;0")</f>
        <v>1</v>
      </c>
      <c r="AY1189" s="141">
        <f>COUNTIF(V1189:AL1189,"&lt;&gt;0")</f>
        <v>1</v>
      </c>
      <c r="AZ1189">
        <f>COUNTIF(V1189:AC1189,"&lt;&gt;0")</f>
        <v>0</v>
      </c>
      <c r="BA1189">
        <f>COUNTIF(AD1189:AI1189,"&lt;&gt;0")</f>
        <v>0</v>
      </c>
      <c r="BB1189">
        <f>COUNTIF(AJ1189:AL1189,"&lt;&gt;0")</f>
        <v>1</v>
      </c>
      <c r="BC1189">
        <f>COUNTIF(AS1189:AW1189,"&lt;&gt;0")</f>
        <v>0</v>
      </c>
      <c r="BD1189">
        <f>COUNTIF(AM1189:AR1189,"&lt;&gt;0")</f>
        <v>0</v>
      </c>
      <c r="BE1189" t="str" cm="1">
        <f t="array" ref="BE1189">IF(AY1189=1,INDEX($V$7:$AL$7,MATCH(TRUE,INDEX($V1189:$AW1189&lt;&gt;0,),0)),IF(AY1189=0,INDEX($AM$7:$AW$7,MATCH(1,$AM1189:$AW1189,0)),IF(BF1189="Multiple strategies","mixed drivers",IF(BF1189="Supply chain","multiple supply","multiple silviculture"))))</f>
        <v>technologies/design switch</v>
      </c>
      <c r="BF1189" s="2" t="str" cm="1">
        <f t="array" ref="BF1189">IF(COUNTIF(AZ1189:BB1189,"&lt;&gt;0")=1,INDEX($V$4:$AW$4,MATCH(TRUE,INDEX($V1189:$AW1189&lt;&gt;0,),0)),IF(COUNTIF(AZ1189:BB1189,"&lt;&gt;0")=0,INDEX($AM$4:$AW$4,MATCH(1,$AM1189:$AW1189,0)),"Multiple strategies"))</f>
        <v>Technology</v>
      </c>
      <c r="BH1189" t="s">
        <v>2169</v>
      </c>
      <c r="BN1189" s="143"/>
      <c r="BP1189" s="264" t="s">
        <v>232</v>
      </c>
      <c r="BQ1189" s="264"/>
      <c r="BR1189" t="s">
        <v>2170</v>
      </c>
      <c r="BS1189">
        <v>-157</v>
      </c>
      <c r="BT1189">
        <v>-477</v>
      </c>
      <c r="BU1189" s="144">
        <v>1.3988269794721409</v>
      </c>
      <c r="BV1189">
        <v>-136</v>
      </c>
      <c r="BX1189">
        <f>BV1189/1000</f>
        <v>-0.13600000000000001</v>
      </c>
      <c r="BY1189" t="str">
        <f>IFERROR(BX1189/BO1189,"")</f>
        <v/>
      </c>
      <c r="BZ1189">
        <v>0</v>
      </c>
      <c r="CA1189">
        <v>0</v>
      </c>
      <c r="CB1189">
        <v>0</v>
      </c>
      <c r="CC1189">
        <v>0</v>
      </c>
      <c r="CD1189">
        <v>0</v>
      </c>
      <c r="CE1189">
        <v>0</v>
      </c>
      <c r="CF1189">
        <v>0</v>
      </c>
      <c r="CG1189">
        <v>0</v>
      </c>
      <c r="CH1189">
        <v>0</v>
      </c>
      <c r="CI1189">
        <v>0</v>
      </c>
      <c r="CJ1189">
        <v>0</v>
      </c>
      <c r="CK1189">
        <v>0</v>
      </c>
      <c r="CL1189">
        <v>0</v>
      </c>
      <c r="CM1189">
        <v>0</v>
      </c>
      <c r="CN1189" t="str">
        <f>IF(BL1189&lt;BK1189,"refNeedCorrection","refOK")</f>
        <v>refOK</v>
      </c>
      <c r="CO1189"/>
      <c r="CP1189"/>
      <c r="CQ1189"/>
      <c r="CR1189">
        <f>IF($CN1189="refOK",$BS1189,$BT1189)*IF($BP1189="Emissions positive",-1,1)</f>
        <v>-157</v>
      </c>
      <c r="CS1189">
        <f>IF($CN1189="refOK",$BT1189,$BS1189)*IF($BP1189="Emissions positive",-1,1)</f>
        <v>-477</v>
      </c>
      <c r="CT1189">
        <f>IF($CN1189="refNeedCorrection",-BX1189,BX1189)*IF($BP1189="Emissions positive",-1,1)</f>
        <v>-0.13600000000000001</v>
      </c>
      <c r="CU1189" t="str">
        <f>IFERROR(CT1189/CQ1189,"")</f>
        <v/>
      </c>
      <c r="CV1189" s="2">
        <f>IFERROR((CS1189-CR1189)/ABS(CR1189),"")</f>
        <v>-2.0382165605095541</v>
      </c>
      <c r="CW1189" s="1" t="s">
        <v>1199</v>
      </c>
      <c r="CX1189" s="264" t="str">
        <f>IF(OR($CW1189="prd",$CW1189="std",$CW1189="cit"),"loc",IF(OR($CW1189="eur",$CW1189="reg",$CW1189="coy"),"reg",$CW1189))</f>
        <v>reg</v>
      </c>
      <c r="CY1189" t="s">
        <v>235</v>
      </c>
      <c r="DB1189">
        <v>30</v>
      </c>
      <c r="DC1189" t="str">
        <f>IF(DB1189=0,"0",IF(AND(DB1189&gt;=1,DB1189&lt;=30),"1-30",IF(AND(DB1189&gt;30,DB1189&lt;=70),"31-70",IF(AND(DB1189&gt;70,DB1189&lt;=100),"71-100",IF(DB1189&gt;100,"+100")))))</f>
        <v>1-30</v>
      </c>
      <c r="DD1189">
        <v>0</v>
      </c>
      <c r="DE1189">
        <v>1</v>
      </c>
      <c r="DF1189">
        <v>0</v>
      </c>
      <c r="DG1189">
        <v>0</v>
      </c>
      <c r="DI1189">
        <f>SUM(DD1189:DG1189)</f>
        <v>1</v>
      </c>
      <c r="DJ1189" t="str">
        <f>IF(DI1189=1,INDEX($DD$7:$DG$7,MATCH(1,$DD1189:$DG1189,0)),"mixedProduct")</f>
        <v>EnergyInput</v>
      </c>
      <c r="DK1189">
        <f>IF(DD1189=1,DK$7,0)</f>
        <v>0</v>
      </c>
      <c r="DL1189" t="str">
        <f>IF(DE1189=1,DL$7,0)</f>
        <v>Energy</v>
      </c>
      <c r="DM1189">
        <f>IF(DF1189=1,DM$7,0)</f>
        <v>0</v>
      </c>
      <c r="DN1189">
        <f>IF(DG1189=1,DN$7,0)</f>
        <v>0</v>
      </c>
      <c r="DO1189">
        <v>0</v>
      </c>
      <c r="DP1189">
        <v>1</v>
      </c>
      <c r="DQ1189" t="s">
        <v>2146</v>
      </c>
      <c r="DR1189">
        <v>0</v>
      </c>
      <c r="DS1189">
        <v>0</v>
      </c>
      <c r="DT1189">
        <f>SUM(DO1189:DP1189)</f>
        <v>1</v>
      </c>
      <c r="DU1189" s="143" t="str">
        <f>IF(DO1189=1,"self-calculated DF",IF(DP1189=1,"external DF used","explicit C balance"))</f>
        <v>external DF used</v>
      </c>
      <c r="DV1189">
        <v>1</v>
      </c>
      <c r="DW1189">
        <v>1</v>
      </c>
      <c r="DX1189">
        <v>1</v>
      </c>
      <c r="DY1189">
        <v>1</v>
      </c>
      <c r="DZ1189">
        <v>1</v>
      </c>
      <c r="EA1189">
        <v>0</v>
      </c>
      <c r="EB1189">
        <v>1</v>
      </c>
      <c r="EC1189">
        <v>1</v>
      </c>
      <c r="ED1189">
        <v>0</v>
      </c>
      <c r="EE1189">
        <v>0</v>
      </c>
      <c r="EF1189">
        <v>1</v>
      </c>
      <c r="EG1189">
        <v>0</v>
      </c>
      <c r="EH1189">
        <v>0</v>
      </c>
      <c r="EI1189" s="2">
        <v>0</v>
      </c>
      <c r="EK1189" t="str">
        <f>IF(AND(AND(AND(OR($DX1189=1,$DW1189=1),OR($EC1189=1,$EA1189=1)),SUM($DV1189:$DZ1189,$EF1189)&gt;=4),SUM($EA1189:$EE1189)&gt;=2),"Whole sector","")</f>
        <v>Whole sector</v>
      </c>
      <c r="EL1189" t="str">
        <f>IF(AND(AND(OR($DX1189=1,$DW1189=1),AND($EC1189=0,$EA1189=0)),SUM($DV1189:$DZ1189,$EF1189)&gt;=4),"Ecosystem approach","")</f>
        <v/>
      </c>
      <c r="EM1189" s="2" t="str">
        <f>IF(AND(AND(AND($DX1189=0,$DW1189=0),OR($EC1189=1,$EA1189=1)),SUM($EB1189:$EE1189)&gt;=2),"Technology approach","")</f>
        <v/>
      </c>
      <c r="EP1189" t="b">
        <f>IF(ISNUMBER(BU1189),IF(ABS(BU1189-[3]QC_indicators!$B$2)&gt;3*[3]QC_indicators!$C$2,"C ratio",IF(ISNUMBER(BY1189),IF(ABS(BY1189-[3]QC_indicators!$B$1)&gt;3*[3]QC_indicators!$C$1,"DF","no"))),IF(ISNUMBER(BY1189),IF(ABS(BY1189-[3]QC_indicators!$B$1)&gt;3*[3]QC_indicators!$C$1,"DF","no")))</f>
        <v>0</v>
      </c>
      <c r="ER1189" s="294" t="s">
        <v>2171</v>
      </c>
      <c r="ET1189" s="264" t="s">
        <v>3407</v>
      </c>
    </row>
    <row r="1190" spans="1:150" ht="15" customHeight="1">
      <c r="A1190" s="1" t="s">
        <v>1360</v>
      </c>
      <c r="B1190" t="s">
        <v>2135</v>
      </c>
      <c r="C1190" t="s">
        <v>2136</v>
      </c>
      <c r="D1190" t="s">
        <v>2137</v>
      </c>
      <c r="E1190" t="s">
        <v>2138</v>
      </c>
      <c r="F1190" t="s">
        <v>2139</v>
      </c>
      <c r="G1190" t="s">
        <v>1366</v>
      </c>
      <c r="H1190" t="s">
        <v>254</v>
      </c>
      <c r="I1190">
        <v>2012</v>
      </c>
      <c r="J1190">
        <v>21</v>
      </c>
      <c r="K1190" t="s">
        <v>2140</v>
      </c>
      <c r="L1190" s="192"/>
      <c r="M1190" t="str">
        <f>LEFT($D1190,FIND(",",$D1190)-1)&amp;"_"&amp;I1190&amp;L1190</f>
        <v>Pyorala_2012</v>
      </c>
      <c r="N1190" t="s">
        <v>222</v>
      </c>
      <c r="O1190" s="145" t="s">
        <v>341</v>
      </c>
      <c r="Q1190" s="264" t="s">
        <v>256</v>
      </c>
      <c r="R1190" s="269" t="s">
        <v>1154</v>
      </c>
      <c r="S1190" s="1" t="s">
        <v>2192</v>
      </c>
      <c r="T1190" t="s">
        <v>798</v>
      </c>
      <c r="U1190" t="s">
        <v>2168</v>
      </c>
      <c r="V1190">
        <v>0</v>
      </c>
      <c r="W1190">
        <v>0</v>
      </c>
      <c r="X1190">
        <v>0</v>
      </c>
      <c r="Y1190">
        <v>0</v>
      </c>
      <c r="Z1190">
        <v>0</v>
      </c>
      <c r="AA1190">
        <v>0</v>
      </c>
      <c r="AB1190">
        <v>0</v>
      </c>
      <c r="AC1190">
        <v>0</v>
      </c>
      <c r="AD1190">
        <v>0</v>
      </c>
      <c r="AE1190">
        <v>0</v>
      </c>
      <c r="AF1190">
        <v>0</v>
      </c>
      <c r="AG1190">
        <v>0</v>
      </c>
      <c r="AH1190">
        <v>0</v>
      </c>
      <c r="AI1190">
        <v>0</v>
      </c>
      <c r="AJ1190">
        <v>0</v>
      </c>
      <c r="AK1190">
        <v>1</v>
      </c>
      <c r="AL1190">
        <v>0</v>
      </c>
      <c r="AM1190">
        <v>0</v>
      </c>
      <c r="AN1190">
        <v>0</v>
      </c>
      <c r="AO1190">
        <v>0</v>
      </c>
      <c r="AP1190">
        <v>0</v>
      </c>
      <c r="AQ1190">
        <v>0</v>
      </c>
      <c r="AR1190">
        <v>0</v>
      </c>
      <c r="AS1190">
        <v>0</v>
      </c>
      <c r="AT1190">
        <v>0</v>
      </c>
      <c r="AU1190">
        <v>0</v>
      </c>
      <c r="AV1190">
        <v>0</v>
      </c>
      <c r="AW1190">
        <v>0</v>
      </c>
      <c r="AX1190" s="141">
        <f>COUNTIF(V1190:AW1190,"&lt;&gt;0")</f>
        <v>1</v>
      </c>
      <c r="AY1190" s="141">
        <f>COUNTIF(V1190:AL1190,"&lt;&gt;0")</f>
        <v>1</v>
      </c>
      <c r="AZ1190">
        <f>COUNTIF(V1190:AC1190,"&lt;&gt;0")</f>
        <v>0</v>
      </c>
      <c r="BA1190">
        <f>COUNTIF(AD1190:AI1190,"&lt;&gt;0")</f>
        <v>0</v>
      </c>
      <c r="BB1190">
        <f>COUNTIF(AJ1190:AL1190,"&lt;&gt;0")</f>
        <v>1</v>
      </c>
      <c r="BC1190">
        <f>COUNTIF(AS1190:AW1190,"&lt;&gt;0")</f>
        <v>0</v>
      </c>
      <c r="BD1190">
        <f>COUNTIF(AM1190:AR1190,"&lt;&gt;0")</f>
        <v>0</v>
      </c>
      <c r="BE1190" t="str" cm="1">
        <f t="array" ref="BE1190">IF(AY1190=1,INDEX($V$7:$AL$7,MATCH(TRUE,INDEX($V1190:$AW1190&lt;&gt;0,),0)),IF(AY1190=0,INDEX($AM$7:$AW$7,MATCH(1,$AM1190:$AW1190,0)),IF(BF1190="Multiple strategies","mixed drivers",IF(BF1190="Supply chain","multiple supply","multiple silviculture"))))</f>
        <v>technologies/design switch</v>
      </c>
      <c r="BF1190" s="2" t="str" cm="1">
        <f t="array" ref="BF1190">IF(COUNTIF(AZ1190:BB1190,"&lt;&gt;0")=1,INDEX($V$4:$AW$4,MATCH(TRUE,INDEX($V1190:$AW1190&lt;&gt;0,),0)),IF(COUNTIF(AZ1190:BB1190,"&lt;&gt;0")=0,INDEX($AM$4:$AW$4,MATCH(1,$AM1190:$AW1190,0)),"Multiple strategies"))</f>
        <v>Technology</v>
      </c>
      <c r="BH1190" t="s">
        <v>2169</v>
      </c>
      <c r="BN1190" s="143"/>
      <c r="BP1190" s="264" t="s">
        <v>232</v>
      </c>
      <c r="BQ1190" s="264"/>
      <c r="BR1190" t="s">
        <v>2170</v>
      </c>
      <c r="BS1190">
        <v>-157</v>
      </c>
      <c r="BT1190">
        <v>-481</v>
      </c>
      <c r="BU1190" s="144">
        <v>1.4105571847507332</v>
      </c>
      <c r="BV1190">
        <v>-140</v>
      </c>
      <c r="BX1190">
        <f>BV1190/1000</f>
        <v>-0.14000000000000001</v>
      </c>
      <c r="BY1190" t="str">
        <f>IFERROR(BX1190/BO1190,"")</f>
        <v/>
      </c>
      <c r="BZ1190">
        <v>0</v>
      </c>
      <c r="CA1190">
        <v>0</v>
      </c>
      <c r="CB1190">
        <v>0</v>
      </c>
      <c r="CC1190">
        <v>0</v>
      </c>
      <c r="CD1190">
        <v>0</v>
      </c>
      <c r="CE1190">
        <v>0</v>
      </c>
      <c r="CF1190">
        <v>0</v>
      </c>
      <c r="CG1190">
        <v>0</v>
      </c>
      <c r="CH1190">
        <v>0</v>
      </c>
      <c r="CI1190">
        <v>0</v>
      </c>
      <c r="CJ1190">
        <v>0</v>
      </c>
      <c r="CK1190">
        <v>0</v>
      </c>
      <c r="CL1190">
        <v>0</v>
      </c>
      <c r="CM1190">
        <v>0</v>
      </c>
      <c r="CN1190" t="str">
        <f>IF(BL1190&lt;BK1190,"refNeedCorrection","refOK")</f>
        <v>refOK</v>
      </c>
      <c r="CO1190"/>
      <c r="CP1190"/>
      <c r="CQ1190"/>
      <c r="CR1190">
        <f>IF($CN1190="refOK",$BS1190,$BT1190)*IF($BP1190="Emissions positive",-1,1)</f>
        <v>-157</v>
      </c>
      <c r="CS1190">
        <f>IF($CN1190="refOK",$BT1190,$BS1190)*IF($BP1190="Emissions positive",-1,1)</f>
        <v>-481</v>
      </c>
      <c r="CT1190">
        <f>IF($CN1190="refNeedCorrection",-BX1190,BX1190)*IF($BP1190="Emissions positive",-1,1)</f>
        <v>-0.14000000000000001</v>
      </c>
      <c r="CU1190" t="str">
        <f>IFERROR(CT1190/CQ1190,"")</f>
        <v/>
      </c>
      <c r="CV1190" s="2">
        <f>IFERROR((CS1190-CR1190)/ABS(CR1190),"")</f>
        <v>-2.0636942675159236</v>
      </c>
      <c r="CW1190" s="1" t="s">
        <v>1199</v>
      </c>
      <c r="CX1190" s="264" t="str">
        <f>IF(OR($CW1190="prd",$CW1190="std",$CW1190="cit"),"loc",IF(OR($CW1190="eur",$CW1190="reg",$CW1190="coy"),"reg",$CW1190))</f>
        <v>reg</v>
      </c>
      <c r="CY1190" t="s">
        <v>235</v>
      </c>
      <c r="DB1190">
        <v>30</v>
      </c>
      <c r="DC1190" t="str">
        <f>IF(DB1190=0,"0",IF(AND(DB1190&gt;=1,DB1190&lt;=30),"1-30",IF(AND(DB1190&gt;30,DB1190&lt;=70),"31-70",IF(AND(DB1190&gt;70,DB1190&lt;=100),"71-100",IF(DB1190&gt;100,"+100")))))</f>
        <v>1-30</v>
      </c>
      <c r="DD1190">
        <v>0</v>
      </c>
      <c r="DE1190">
        <v>1</v>
      </c>
      <c r="DF1190">
        <v>0</v>
      </c>
      <c r="DG1190">
        <v>0</v>
      </c>
      <c r="DI1190">
        <f>SUM(DD1190:DG1190)</f>
        <v>1</v>
      </c>
      <c r="DJ1190" t="str">
        <f>IF(DI1190=1,INDEX($DD$7:$DG$7,MATCH(1,$DD1190:$DG1190,0)),"mixedProduct")</f>
        <v>EnergyInput</v>
      </c>
      <c r="DK1190">
        <f>IF(DD1190=1,DK$7,0)</f>
        <v>0</v>
      </c>
      <c r="DL1190" t="str">
        <f>IF(DE1190=1,DL$7,0)</f>
        <v>Energy</v>
      </c>
      <c r="DM1190">
        <f>IF(DF1190=1,DM$7,0)</f>
        <v>0</v>
      </c>
      <c r="DN1190">
        <f>IF(DG1190=1,DN$7,0)</f>
        <v>0</v>
      </c>
      <c r="DO1190">
        <v>0</v>
      </c>
      <c r="DP1190">
        <v>1</v>
      </c>
      <c r="DQ1190" t="s">
        <v>2146</v>
      </c>
      <c r="DR1190">
        <v>0</v>
      </c>
      <c r="DS1190">
        <v>0</v>
      </c>
      <c r="DT1190">
        <f>SUM(DO1190:DP1190)</f>
        <v>1</v>
      </c>
      <c r="DU1190" s="143" t="str">
        <f>IF(DO1190=1,"self-calculated DF",IF(DP1190=1,"external DF used","explicit C balance"))</f>
        <v>external DF used</v>
      </c>
      <c r="DV1190">
        <v>1</v>
      </c>
      <c r="DW1190">
        <v>1</v>
      </c>
      <c r="DX1190">
        <v>1</v>
      </c>
      <c r="DY1190">
        <v>1</v>
      </c>
      <c r="DZ1190">
        <v>1</v>
      </c>
      <c r="EA1190">
        <v>0</v>
      </c>
      <c r="EB1190">
        <v>1</v>
      </c>
      <c r="EC1190">
        <v>1</v>
      </c>
      <c r="ED1190">
        <v>0</v>
      </c>
      <c r="EE1190">
        <v>0</v>
      </c>
      <c r="EF1190">
        <v>1</v>
      </c>
      <c r="EG1190">
        <v>0</v>
      </c>
      <c r="EH1190">
        <v>0</v>
      </c>
      <c r="EI1190" s="2">
        <v>0</v>
      </c>
      <c r="EK1190" t="str">
        <f>IF(AND(AND(AND(OR($DX1190=1,$DW1190=1),OR($EC1190=1,$EA1190=1)),SUM($DV1190:$DZ1190,$EF1190)&gt;=4),SUM($EA1190:$EE1190)&gt;=2),"Whole sector","")</f>
        <v>Whole sector</v>
      </c>
      <c r="EL1190" t="str">
        <f>IF(AND(AND(OR($DX1190=1,$DW1190=1),AND($EC1190=0,$EA1190=0)),SUM($DV1190:$DZ1190,$EF1190)&gt;=4),"Ecosystem approach","")</f>
        <v/>
      </c>
      <c r="EM1190" s="2" t="str">
        <f>IF(AND(AND(AND($DX1190=0,$DW1190=0),OR($EC1190=1,$EA1190=1)),SUM($EB1190:$EE1190)&gt;=2),"Technology approach","")</f>
        <v/>
      </c>
      <c r="EP1190" t="b">
        <f>IF(ISNUMBER(BU1190),IF(ABS(BU1190-[3]QC_indicators!$B$2)&gt;3*[3]QC_indicators!$C$2,"C ratio",IF(ISNUMBER(BY1190),IF(ABS(BY1190-[3]QC_indicators!$B$1)&gt;3*[3]QC_indicators!$C$1,"DF","no"))),IF(ISNUMBER(BY1190),IF(ABS(BY1190-[3]QC_indicators!$B$1)&gt;3*[3]QC_indicators!$C$1,"DF","no")))</f>
        <v>0</v>
      </c>
      <c r="ER1190" s="294" t="s">
        <v>2171</v>
      </c>
      <c r="ET1190" s="264" t="s">
        <v>3407</v>
      </c>
    </row>
    <row r="1191" spans="1:150" ht="15" customHeight="1">
      <c r="A1191" s="1" t="s">
        <v>1360</v>
      </c>
      <c r="B1191" t="s">
        <v>2135</v>
      </c>
      <c r="C1191" t="s">
        <v>2136</v>
      </c>
      <c r="D1191" t="s">
        <v>2137</v>
      </c>
      <c r="E1191" t="s">
        <v>2138</v>
      </c>
      <c r="F1191" t="s">
        <v>2139</v>
      </c>
      <c r="G1191" t="s">
        <v>1366</v>
      </c>
      <c r="H1191" t="s">
        <v>254</v>
      </c>
      <c r="I1191">
        <v>2012</v>
      </c>
      <c r="J1191">
        <v>21</v>
      </c>
      <c r="K1191" t="s">
        <v>2140</v>
      </c>
      <c r="L1191" s="192"/>
      <c r="M1191" t="str">
        <f>LEFT($D1191,FIND(",",$D1191)-1)&amp;"_"&amp;I1191&amp;L1191</f>
        <v>Pyorala_2012</v>
      </c>
      <c r="N1191" t="s">
        <v>222</v>
      </c>
      <c r="O1191" s="145" t="s">
        <v>341</v>
      </c>
      <c r="Q1191" s="264" t="s">
        <v>256</v>
      </c>
      <c r="R1191" s="269" t="s">
        <v>1154</v>
      </c>
      <c r="S1191" s="1" t="s">
        <v>2199</v>
      </c>
      <c r="T1191" t="s">
        <v>798</v>
      </c>
      <c r="U1191" t="s">
        <v>2168</v>
      </c>
      <c r="V1191">
        <v>0</v>
      </c>
      <c r="W1191">
        <v>0</v>
      </c>
      <c r="X1191">
        <v>0</v>
      </c>
      <c r="Y1191">
        <v>0</v>
      </c>
      <c r="Z1191">
        <v>0</v>
      </c>
      <c r="AA1191">
        <v>0</v>
      </c>
      <c r="AB1191">
        <v>0</v>
      </c>
      <c r="AC1191">
        <v>0</v>
      </c>
      <c r="AD1191">
        <v>0</v>
      </c>
      <c r="AE1191">
        <v>0</v>
      </c>
      <c r="AF1191">
        <v>0</v>
      </c>
      <c r="AG1191">
        <v>0</v>
      </c>
      <c r="AH1191">
        <v>0</v>
      </c>
      <c r="AI1191">
        <v>0</v>
      </c>
      <c r="AJ1191">
        <v>0</v>
      </c>
      <c r="AK1191">
        <v>1</v>
      </c>
      <c r="AL1191">
        <v>0</v>
      </c>
      <c r="AM1191">
        <v>0</v>
      </c>
      <c r="AN1191">
        <v>0</v>
      </c>
      <c r="AO1191">
        <v>0</v>
      </c>
      <c r="AP1191">
        <v>0</v>
      </c>
      <c r="AQ1191">
        <v>0</v>
      </c>
      <c r="AR1191">
        <v>0</v>
      </c>
      <c r="AS1191">
        <v>0</v>
      </c>
      <c r="AT1191">
        <v>0</v>
      </c>
      <c r="AU1191">
        <v>0</v>
      </c>
      <c r="AV1191">
        <v>0</v>
      </c>
      <c r="AW1191">
        <v>0</v>
      </c>
      <c r="AX1191" s="141">
        <f>COUNTIF(V1191:AW1191,"&lt;&gt;0")</f>
        <v>1</v>
      </c>
      <c r="AY1191" s="141">
        <f>COUNTIF(V1191:AL1191,"&lt;&gt;0")</f>
        <v>1</v>
      </c>
      <c r="AZ1191">
        <f>COUNTIF(V1191:AC1191,"&lt;&gt;0")</f>
        <v>0</v>
      </c>
      <c r="BA1191">
        <f>COUNTIF(AD1191:AI1191,"&lt;&gt;0")</f>
        <v>0</v>
      </c>
      <c r="BB1191">
        <f>COUNTIF(AJ1191:AL1191,"&lt;&gt;0")</f>
        <v>1</v>
      </c>
      <c r="BC1191">
        <f>COUNTIF(AS1191:AW1191,"&lt;&gt;0")</f>
        <v>0</v>
      </c>
      <c r="BD1191">
        <f>COUNTIF(AM1191:AR1191,"&lt;&gt;0")</f>
        <v>0</v>
      </c>
      <c r="BE1191" t="str" cm="1">
        <f t="array" ref="BE1191">IF(AY1191=1,INDEX($V$7:$AL$7,MATCH(TRUE,INDEX($V1191:$AW1191&lt;&gt;0,),0)),IF(AY1191=0,INDEX($AM$7:$AW$7,MATCH(1,$AM1191:$AW1191,0)),IF(BF1191="Multiple strategies","mixed drivers",IF(BF1191="Supply chain","multiple supply","multiple silviculture"))))</f>
        <v>technologies/design switch</v>
      </c>
      <c r="BF1191" s="2" t="str" cm="1">
        <f t="array" ref="BF1191">IF(COUNTIF(AZ1191:BB1191,"&lt;&gt;0")=1,INDEX($V$4:$AW$4,MATCH(TRUE,INDEX($V1191:$AW1191&lt;&gt;0,),0)),IF(COUNTIF(AZ1191:BB1191,"&lt;&gt;0")=0,INDEX($AM$4:$AW$4,MATCH(1,$AM1191:$AW1191,0)),"Multiple strategies"))</f>
        <v>Technology</v>
      </c>
      <c r="BH1191" t="s">
        <v>2169</v>
      </c>
      <c r="BN1191" s="143"/>
      <c r="BP1191" s="264" t="s">
        <v>232</v>
      </c>
      <c r="BQ1191" s="264"/>
      <c r="BR1191" t="s">
        <v>2170</v>
      </c>
      <c r="BS1191">
        <v>-157</v>
      </c>
      <c r="BT1191">
        <v>-483</v>
      </c>
      <c r="BU1191" s="144">
        <v>1.4164222873900294</v>
      </c>
      <c r="BV1191">
        <v>-142</v>
      </c>
      <c r="BX1191">
        <f>BV1191/1000</f>
        <v>-0.14199999999999999</v>
      </c>
      <c r="BY1191" t="str">
        <f>IFERROR(BX1191/BO1191,"")</f>
        <v/>
      </c>
      <c r="BZ1191">
        <v>0</v>
      </c>
      <c r="CA1191">
        <v>0</v>
      </c>
      <c r="CB1191">
        <v>0</v>
      </c>
      <c r="CC1191">
        <v>0</v>
      </c>
      <c r="CD1191">
        <v>0</v>
      </c>
      <c r="CE1191">
        <v>0</v>
      </c>
      <c r="CF1191">
        <v>0</v>
      </c>
      <c r="CG1191">
        <v>0</v>
      </c>
      <c r="CH1191">
        <v>0</v>
      </c>
      <c r="CI1191">
        <v>0</v>
      </c>
      <c r="CJ1191">
        <v>0</v>
      </c>
      <c r="CK1191">
        <v>0</v>
      </c>
      <c r="CL1191">
        <v>0</v>
      </c>
      <c r="CM1191">
        <v>0</v>
      </c>
      <c r="CN1191" t="str">
        <f>IF(BL1191&lt;BK1191,"refNeedCorrection","refOK")</f>
        <v>refOK</v>
      </c>
      <c r="CO1191"/>
      <c r="CP1191"/>
      <c r="CQ1191"/>
      <c r="CR1191">
        <f>IF($CN1191="refOK",$BS1191,$BT1191)*IF($BP1191="Emissions positive",-1,1)</f>
        <v>-157</v>
      </c>
      <c r="CS1191">
        <f>IF($CN1191="refOK",$BT1191,$BS1191)*IF($BP1191="Emissions positive",-1,1)</f>
        <v>-483</v>
      </c>
      <c r="CT1191">
        <f>IF($CN1191="refNeedCorrection",-BX1191,BX1191)*IF($BP1191="Emissions positive",-1,1)</f>
        <v>-0.14199999999999999</v>
      </c>
      <c r="CU1191" t="str">
        <f>IFERROR(CT1191/CQ1191,"")</f>
        <v/>
      </c>
      <c r="CV1191" s="2">
        <f>IFERROR((CS1191-CR1191)/ABS(CR1191),"")</f>
        <v>-2.0764331210191083</v>
      </c>
      <c r="CW1191" s="1" t="s">
        <v>1199</v>
      </c>
      <c r="CX1191" s="264" t="str">
        <f>IF(OR($CW1191="prd",$CW1191="std",$CW1191="cit"),"loc",IF(OR($CW1191="eur",$CW1191="reg",$CW1191="coy"),"reg",$CW1191))</f>
        <v>reg</v>
      </c>
      <c r="CY1191" t="s">
        <v>235</v>
      </c>
      <c r="DB1191">
        <v>30</v>
      </c>
      <c r="DC1191" t="str">
        <f>IF(DB1191=0,"0",IF(AND(DB1191&gt;=1,DB1191&lt;=30),"1-30",IF(AND(DB1191&gt;30,DB1191&lt;=70),"31-70",IF(AND(DB1191&gt;70,DB1191&lt;=100),"71-100",IF(DB1191&gt;100,"+100")))))</f>
        <v>1-30</v>
      </c>
      <c r="DD1191">
        <v>0</v>
      </c>
      <c r="DE1191">
        <v>1</v>
      </c>
      <c r="DF1191">
        <v>0</v>
      </c>
      <c r="DG1191">
        <v>0</v>
      </c>
      <c r="DI1191">
        <f>SUM(DD1191:DG1191)</f>
        <v>1</v>
      </c>
      <c r="DJ1191" t="str">
        <f>IF(DI1191=1,INDEX($DD$7:$DG$7,MATCH(1,$DD1191:$DG1191,0)),"mixedProduct")</f>
        <v>EnergyInput</v>
      </c>
      <c r="DK1191">
        <f>IF(DD1191=1,DK$7,0)</f>
        <v>0</v>
      </c>
      <c r="DL1191" t="str">
        <f>IF(DE1191=1,DL$7,0)</f>
        <v>Energy</v>
      </c>
      <c r="DM1191">
        <f>IF(DF1191=1,DM$7,0)</f>
        <v>0</v>
      </c>
      <c r="DN1191">
        <f>IF(DG1191=1,DN$7,0)</f>
        <v>0</v>
      </c>
      <c r="DO1191">
        <v>0</v>
      </c>
      <c r="DP1191">
        <v>1</v>
      </c>
      <c r="DQ1191" t="s">
        <v>2146</v>
      </c>
      <c r="DR1191">
        <v>0</v>
      </c>
      <c r="DS1191">
        <v>0</v>
      </c>
      <c r="DT1191">
        <f>SUM(DO1191:DP1191)</f>
        <v>1</v>
      </c>
      <c r="DU1191" s="143" t="str">
        <f>IF(DO1191=1,"self-calculated DF",IF(DP1191=1,"external DF used","explicit C balance"))</f>
        <v>external DF used</v>
      </c>
      <c r="DV1191">
        <v>1</v>
      </c>
      <c r="DW1191">
        <v>1</v>
      </c>
      <c r="DX1191">
        <v>1</v>
      </c>
      <c r="DY1191">
        <v>1</v>
      </c>
      <c r="DZ1191">
        <v>1</v>
      </c>
      <c r="EA1191">
        <v>0</v>
      </c>
      <c r="EB1191">
        <v>1</v>
      </c>
      <c r="EC1191">
        <v>1</v>
      </c>
      <c r="ED1191">
        <v>0</v>
      </c>
      <c r="EE1191">
        <v>0</v>
      </c>
      <c r="EF1191">
        <v>1</v>
      </c>
      <c r="EG1191">
        <v>0</v>
      </c>
      <c r="EH1191">
        <v>0</v>
      </c>
      <c r="EI1191" s="2">
        <v>0</v>
      </c>
      <c r="EK1191" t="str">
        <f>IF(AND(AND(AND(OR($DX1191=1,$DW1191=1),OR($EC1191=1,$EA1191=1)),SUM($DV1191:$DZ1191,$EF1191)&gt;=4),SUM($EA1191:$EE1191)&gt;=2),"Whole sector","")</f>
        <v>Whole sector</v>
      </c>
      <c r="EL1191" t="str">
        <f>IF(AND(AND(OR($DX1191=1,$DW1191=1),AND($EC1191=0,$EA1191=0)),SUM($DV1191:$DZ1191,$EF1191)&gt;=4),"Ecosystem approach","")</f>
        <v/>
      </c>
      <c r="EM1191" s="2" t="str">
        <f>IF(AND(AND(AND($DX1191=0,$DW1191=0),OR($EC1191=1,$EA1191=1)),SUM($EB1191:$EE1191)&gt;=2),"Technology approach","")</f>
        <v/>
      </c>
      <c r="EP1191" t="b">
        <f>IF(ISNUMBER(BU1191),IF(ABS(BU1191-[3]QC_indicators!$B$2)&gt;3*[3]QC_indicators!$C$2,"C ratio",IF(ISNUMBER(BY1191),IF(ABS(BY1191-[3]QC_indicators!$B$1)&gt;3*[3]QC_indicators!$C$1,"DF","no"))),IF(ISNUMBER(BY1191),IF(ABS(BY1191-[3]QC_indicators!$B$1)&gt;3*[3]QC_indicators!$C$1,"DF","no")))</f>
        <v>0</v>
      </c>
      <c r="ER1191" s="294" t="s">
        <v>2171</v>
      </c>
      <c r="ET1191" s="264" t="s">
        <v>3407</v>
      </c>
    </row>
    <row r="1192" spans="1:150" ht="15" customHeight="1">
      <c r="A1192" s="1" t="s">
        <v>1360</v>
      </c>
      <c r="B1192" t="s">
        <v>2135</v>
      </c>
      <c r="C1192" t="s">
        <v>2136</v>
      </c>
      <c r="D1192" t="s">
        <v>2137</v>
      </c>
      <c r="E1192" t="s">
        <v>2138</v>
      </c>
      <c r="F1192" t="s">
        <v>2139</v>
      </c>
      <c r="G1192" t="s">
        <v>1366</v>
      </c>
      <c r="H1192" t="s">
        <v>254</v>
      </c>
      <c r="I1192">
        <v>2012</v>
      </c>
      <c r="J1192">
        <v>21</v>
      </c>
      <c r="K1192" t="s">
        <v>2140</v>
      </c>
      <c r="M1192" t="str">
        <f>LEFT($D1192,FIND(",",$D1192)-1)&amp;"_"&amp;I1192&amp;L1192</f>
        <v>Pyorala_2012</v>
      </c>
      <c r="N1192" t="s">
        <v>222</v>
      </c>
      <c r="O1192" s="145" t="s">
        <v>341</v>
      </c>
      <c r="Q1192" s="264" t="s">
        <v>256</v>
      </c>
      <c r="R1192" s="269" t="s">
        <v>1154</v>
      </c>
      <c r="S1192" s="1" t="s">
        <v>2200</v>
      </c>
      <c r="T1192" t="s">
        <v>798</v>
      </c>
      <c r="U1192" t="s">
        <v>2168</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0</v>
      </c>
      <c r="AS1192">
        <v>0</v>
      </c>
      <c r="AT1192">
        <v>0</v>
      </c>
      <c r="AU1192">
        <v>0</v>
      </c>
      <c r="AV1192">
        <v>0</v>
      </c>
      <c r="AW1192">
        <v>0</v>
      </c>
      <c r="AX1192" s="141">
        <f>COUNTIF(V1192:AW1192,"&lt;&gt;0")</f>
        <v>1</v>
      </c>
      <c r="AY1192" s="141">
        <f>COUNTIF(V1192:AL1192,"&lt;&gt;0")</f>
        <v>1</v>
      </c>
      <c r="AZ1192">
        <f>COUNTIF(V1192:AC1192,"&lt;&gt;0")</f>
        <v>0</v>
      </c>
      <c r="BA1192">
        <f>COUNTIF(AD1192:AI1192,"&lt;&gt;0")</f>
        <v>0</v>
      </c>
      <c r="BB1192">
        <f>COUNTIF(AJ1192:AL1192,"&lt;&gt;0")</f>
        <v>1</v>
      </c>
      <c r="BC1192">
        <f>COUNTIF(AS1192:AW1192,"&lt;&gt;0")</f>
        <v>0</v>
      </c>
      <c r="BD1192">
        <f>COUNTIF(AM1192:AR1192,"&lt;&gt;0")</f>
        <v>0</v>
      </c>
      <c r="BE1192" t="str" cm="1">
        <f t="array" ref="BE1192">IF(AY1192=1,INDEX($V$7:$AL$7,MATCH(TRUE,INDEX($V1192:$AW1192&lt;&gt;0,),0)),IF(AY1192=0,INDEX($AM$7:$AW$7,MATCH(1,$AM1192:$AW1192,0)),IF(BF1192="Multiple strategies","mixed drivers",IF(BF1192="Supply chain","multiple supply","multiple silviculture"))))</f>
        <v>technologies/design switch</v>
      </c>
      <c r="BF1192" s="2" t="str" cm="1">
        <f t="array" ref="BF1192">IF(COUNTIF(AZ1192:BB1192,"&lt;&gt;0")=1,INDEX($V$4:$AW$4,MATCH(TRUE,INDEX($V1192:$AW1192&lt;&gt;0,),0)),IF(COUNTIF(AZ1192:BB1192,"&lt;&gt;0")=0,INDEX($AM$4:$AW$4,MATCH(1,$AM1192:$AW1192,0)),"Multiple strategies"))</f>
        <v>Technology</v>
      </c>
      <c r="BH1192" t="s">
        <v>2169</v>
      </c>
      <c r="BN1192" s="143"/>
      <c r="BP1192" s="264" t="s">
        <v>232</v>
      </c>
      <c r="BQ1192" s="264"/>
      <c r="BR1192" t="s">
        <v>2170</v>
      </c>
      <c r="BS1192">
        <v>-157</v>
      </c>
      <c r="BT1192">
        <v>-485</v>
      </c>
      <c r="BU1192" s="144">
        <v>1.4222873900293256</v>
      </c>
      <c r="BV1192">
        <v>-144</v>
      </c>
      <c r="BX1192">
        <f>BV1192/1000</f>
        <v>-0.14399999999999999</v>
      </c>
      <c r="BY1192" t="str">
        <f>IFERROR(BX1192/BO1192,"")</f>
        <v/>
      </c>
      <c r="BZ1192">
        <v>0</v>
      </c>
      <c r="CA1192">
        <v>0</v>
      </c>
      <c r="CB1192">
        <v>0</v>
      </c>
      <c r="CC1192">
        <v>0</v>
      </c>
      <c r="CD1192">
        <v>0</v>
      </c>
      <c r="CE1192">
        <v>0</v>
      </c>
      <c r="CF1192">
        <v>0</v>
      </c>
      <c r="CG1192">
        <v>0</v>
      </c>
      <c r="CH1192">
        <v>0</v>
      </c>
      <c r="CI1192">
        <v>0</v>
      </c>
      <c r="CJ1192">
        <v>0</v>
      </c>
      <c r="CK1192">
        <v>0</v>
      </c>
      <c r="CL1192">
        <v>0</v>
      </c>
      <c r="CM1192">
        <v>0</v>
      </c>
      <c r="CN1192" t="str">
        <f>IF(BL1192&lt;BK1192,"refNeedCorrection","refOK")</f>
        <v>refOK</v>
      </c>
      <c r="CO1192"/>
      <c r="CP1192"/>
      <c r="CQ1192"/>
      <c r="CR1192">
        <f>IF($CN1192="refOK",$BS1192,$BT1192)*IF($BP1192="Emissions positive",-1,1)</f>
        <v>-157</v>
      </c>
      <c r="CS1192">
        <f>IF($CN1192="refOK",$BT1192,$BS1192)*IF($BP1192="Emissions positive",-1,1)</f>
        <v>-485</v>
      </c>
      <c r="CT1192">
        <f>IF($CN1192="refNeedCorrection",-BX1192,BX1192)*IF($BP1192="Emissions positive",-1,1)</f>
        <v>-0.14399999999999999</v>
      </c>
      <c r="CU1192" t="str">
        <f>IFERROR(CT1192/CQ1192,"")</f>
        <v/>
      </c>
      <c r="CV1192" s="2">
        <f>IFERROR((CS1192-CR1192)/ABS(CR1192),"")</f>
        <v>-2.089171974522293</v>
      </c>
      <c r="CW1192" s="1" t="s">
        <v>1199</v>
      </c>
      <c r="CX1192" s="264" t="str">
        <f>IF(OR($CW1192="prd",$CW1192="std",$CW1192="cit"),"loc",IF(OR($CW1192="eur",$CW1192="reg",$CW1192="coy"),"reg",$CW1192))</f>
        <v>reg</v>
      </c>
      <c r="CY1192" t="s">
        <v>235</v>
      </c>
      <c r="DB1192">
        <v>30</v>
      </c>
      <c r="DC1192" t="str">
        <f>IF(DB1192=0,"0",IF(AND(DB1192&gt;=1,DB1192&lt;=30),"1-30",IF(AND(DB1192&gt;30,DB1192&lt;=70),"31-70",IF(AND(DB1192&gt;70,DB1192&lt;=100),"71-100",IF(DB1192&gt;100,"+100")))))</f>
        <v>1-30</v>
      </c>
      <c r="DD1192">
        <v>0</v>
      </c>
      <c r="DE1192">
        <v>1</v>
      </c>
      <c r="DF1192">
        <v>0</v>
      </c>
      <c r="DG1192">
        <v>0</v>
      </c>
      <c r="DI1192">
        <f>SUM(DD1192:DG1192)</f>
        <v>1</v>
      </c>
      <c r="DJ1192" t="str">
        <f>IF(DI1192=1,INDEX($DD$7:$DG$7,MATCH(1,$DD1192:$DG1192,0)),"mixedProduct")</f>
        <v>EnergyInput</v>
      </c>
      <c r="DK1192">
        <f>IF(DD1192=1,DK$7,0)</f>
        <v>0</v>
      </c>
      <c r="DL1192" t="str">
        <f>IF(DE1192=1,DL$7,0)</f>
        <v>Energy</v>
      </c>
      <c r="DM1192">
        <f>IF(DF1192=1,DM$7,0)</f>
        <v>0</v>
      </c>
      <c r="DN1192">
        <f>IF(DG1192=1,DN$7,0)</f>
        <v>0</v>
      </c>
      <c r="DO1192">
        <v>0</v>
      </c>
      <c r="DP1192">
        <v>1</v>
      </c>
      <c r="DQ1192" t="s">
        <v>2146</v>
      </c>
      <c r="DR1192">
        <v>0</v>
      </c>
      <c r="DS1192">
        <v>0</v>
      </c>
      <c r="DT1192">
        <f>SUM(DO1192:DP1192)</f>
        <v>1</v>
      </c>
      <c r="DU1192" s="143" t="str">
        <f>IF(DO1192=1,"self-calculated DF",IF(DP1192=1,"external DF used","explicit C balance"))</f>
        <v>external DF used</v>
      </c>
      <c r="DV1192">
        <v>1</v>
      </c>
      <c r="DW1192">
        <v>1</v>
      </c>
      <c r="DX1192">
        <v>1</v>
      </c>
      <c r="DY1192">
        <v>1</v>
      </c>
      <c r="DZ1192">
        <v>1</v>
      </c>
      <c r="EA1192">
        <v>0</v>
      </c>
      <c r="EB1192">
        <v>1</v>
      </c>
      <c r="EC1192">
        <v>1</v>
      </c>
      <c r="ED1192">
        <v>0</v>
      </c>
      <c r="EE1192">
        <v>0</v>
      </c>
      <c r="EF1192">
        <v>1</v>
      </c>
      <c r="EG1192">
        <v>0</v>
      </c>
      <c r="EH1192">
        <v>0</v>
      </c>
      <c r="EI1192" s="2">
        <v>0</v>
      </c>
      <c r="EK1192" t="str">
        <f>IF(AND(AND(AND(OR($DX1192=1,$DW1192=1),OR($EC1192=1,$EA1192=1)),SUM($DV1192:$DZ1192,$EF1192)&gt;=4),SUM($EA1192:$EE1192)&gt;=2),"Whole sector","")</f>
        <v>Whole sector</v>
      </c>
      <c r="EL1192" t="str">
        <f>IF(AND(AND(OR($DX1192=1,$DW1192=1),AND($EC1192=0,$EA1192=0)),SUM($DV1192:$DZ1192,$EF1192)&gt;=4),"Ecosystem approach","")</f>
        <v/>
      </c>
      <c r="EM1192" s="2" t="str">
        <f>IF(AND(AND(AND($DX1192=0,$DW1192=0),OR($EC1192=1,$EA1192=1)),SUM($EB1192:$EE1192)&gt;=2),"Technology approach","")</f>
        <v/>
      </c>
      <c r="EP1192" t="b">
        <f>IF(ISNUMBER(BU1192),IF(ABS(BU1192-[3]QC_indicators!$B$2)&gt;3*[3]QC_indicators!$C$2,"C ratio",IF(ISNUMBER(BY1192),IF(ABS(BY1192-[3]QC_indicators!$B$1)&gt;3*[3]QC_indicators!$C$1,"DF","no"))),IF(ISNUMBER(BY1192),IF(ABS(BY1192-[3]QC_indicators!$B$1)&gt;3*[3]QC_indicators!$C$1,"DF","no")))</f>
        <v>0</v>
      </c>
      <c r="ER1192" s="294" t="s">
        <v>2171</v>
      </c>
      <c r="ET1192" s="264" t="s">
        <v>3407</v>
      </c>
    </row>
    <row r="1193" spans="1:150" ht="15" customHeight="1">
      <c r="A1193" s="1" t="s">
        <v>1360</v>
      </c>
      <c r="B1193" t="s">
        <v>2135</v>
      </c>
      <c r="C1193" t="s">
        <v>2136</v>
      </c>
      <c r="D1193" t="s">
        <v>2137</v>
      </c>
      <c r="E1193" t="s">
        <v>2138</v>
      </c>
      <c r="F1193" t="s">
        <v>2139</v>
      </c>
      <c r="G1193" t="s">
        <v>1366</v>
      </c>
      <c r="H1193" t="s">
        <v>254</v>
      </c>
      <c r="I1193">
        <v>2012</v>
      </c>
      <c r="J1193">
        <v>21</v>
      </c>
      <c r="K1193" t="s">
        <v>2140</v>
      </c>
      <c r="L1193" s="192"/>
      <c r="M1193" t="str">
        <f>LEFT($D1193,FIND(",",$D1193)-1)&amp;"_"&amp;I1193&amp;L1193</f>
        <v>Pyorala_2012</v>
      </c>
      <c r="N1193" t="s">
        <v>222</v>
      </c>
      <c r="O1193" s="145" t="s">
        <v>341</v>
      </c>
      <c r="Q1193" s="264" t="s">
        <v>256</v>
      </c>
      <c r="R1193" s="269" t="s">
        <v>1154</v>
      </c>
      <c r="S1193" s="1" t="s">
        <v>2201</v>
      </c>
      <c r="T1193" t="s">
        <v>798</v>
      </c>
      <c r="U1193" t="s">
        <v>2168</v>
      </c>
      <c r="V1193">
        <v>0</v>
      </c>
      <c r="W1193">
        <v>0</v>
      </c>
      <c r="X1193">
        <v>0</v>
      </c>
      <c r="Y1193">
        <v>0</v>
      </c>
      <c r="Z1193">
        <v>0</v>
      </c>
      <c r="AA1193">
        <v>0</v>
      </c>
      <c r="AB1193">
        <v>0</v>
      </c>
      <c r="AC1193">
        <v>0</v>
      </c>
      <c r="AD1193">
        <v>0</v>
      </c>
      <c r="AE1193">
        <v>0</v>
      </c>
      <c r="AF1193">
        <v>0</v>
      </c>
      <c r="AG1193">
        <v>0</v>
      </c>
      <c r="AH1193">
        <v>0</v>
      </c>
      <c r="AI1193">
        <v>0</v>
      </c>
      <c r="AJ1193">
        <v>0</v>
      </c>
      <c r="AK1193">
        <v>1</v>
      </c>
      <c r="AL1193">
        <v>0</v>
      </c>
      <c r="AM1193">
        <v>0</v>
      </c>
      <c r="AN1193">
        <v>0</v>
      </c>
      <c r="AO1193">
        <v>0</v>
      </c>
      <c r="AP1193">
        <v>0</v>
      </c>
      <c r="AQ1193">
        <v>0</v>
      </c>
      <c r="AR1193">
        <v>0</v>
      </c>
      <c r="AS1193">
        <v>0</v>
      </c>
      <c r="AT1193">
        <v>0</v>
      </c>
      <c r="AU1193">
        <v>0</v>
      </c>
      <c r="AV1193">
        <v>0</v>
      </c>
      <c r="AW1193">
        <v>0</v>
      </c>
      <c r="AX1193" s="141">
        <f>COUNTIF(V1193:AW1193,"&lt;&gt;0")</f>
        <v>1</v>
      </c>
      <c r="AY1193" s="141">
        <f>COUNTIF(V1193:AL1193,"&lt;&gt;0")</f>
        <v>1</v>
      </c>
      <c r="AZ1193">
        <f>COUNTIF(V1193:AC1193,"&lt;&gt;0")</f>
        <v>0</v>
      </c>
      <c r="BA1193">
        <f>COUNTIF(AD1193:AI1193,"&lt;&gt;0")</f>
        <v>0</v>
      </c>
      <c r="BB1193">
        <f>COUNTIF(AJ1193:AL1193,"&lt;&gt;0")</f>
        <v>1</v>
      </c>
      <c r="BC1193">
        <f>COUNTIF(AS1193:AW1193,"&lt;&gt;0")</f>
        <v>0</v>
      </c>
      <c r="BD1193">
        <f>COUNTIF(AM1193:AR1193,"&lt;&gt;0")</f>
        <v>0</v>
      </c>
      <c r="BE1193" t="str" cm="1">
        <f t="array" ref="BE1193">IF(AY1193=1,INDEX($V$7:$AL$7,MATCH(TRUE,INDEX($V1193:$AW1193&lt;&gt;0,),0)),IF(AY1193=0,INDEX($AM$7:$AW$7,MATCH(1,$AM1193:$AW1193,0)),IF(BF1193="Multiple strategies","mixed drivers",IF(BF1193="Supply chain","multiple supply","multiple silviculture"))))</f>
        <v>technologies/design switch</v>
      </c>
      <c r="BF1193" s="2" t="str" cm="1">
        <f t="array" ref="BF1193">IF(COUNTIF(AZ1193:BB1193,"&lt;&gt;0")=1,INDEX($V$4:$AW$4,MATCH(TRUE,INDEX($V1193:$AW1193&lt;&gt;0,),0)),IF(COUNTIF(AZ1193:BB1193,"&lt;&gt;0")=0,INDEX($AM$4:$AW$4,MATCH(1,$AM1193:$AW1193,0)),"Multiple strategies"))</f>
        <v>Technology</v>
      </c>
      <c r="BH1193" t="s">
        <v>2169</v>
      </c>
      <c r="BN1193" s="143"/>
      <c r="BP1193" s="264" t="s">
        <v>232</v>
      </c>
      <c r="BQ1193" s="264"/>
      <c r="BR1193" t="s">
        <v>2170</v>
      </c>
      <c r="BS1193">
        <v>-157</v>
      </c>
      <c r="BT1193">
        <v>-559</v>
      </c>
      <c r="BU1193" s="144">
        <v>1.6392961876832846</v>
      </c>
      <c r="BV1193">
        <v>-218</v>
      </c>
      <c r="BX1193">
        <f>BV1193/1000</f>
        <v>-0.218</v>
      </c>
      <c r="BY1193" t="str">
        <f>IFERROR(BX1193/BO1193,"")</f>
        <v/>
      </c>
      <c r="BZ1193">
        <v>0</v>
      </c>
      <c r="CA1193">
        <v>0</v>
      </c>
      <c r="CB1193">
        <v>0</v>
      </c>
      <c r="CC1193">
        <v>0</v>
      </c>
      <c r="CD1193">
        <v>0</v>
      </c>
      <c r="CE1193">
        <v>0</v>
      </c>
      <c r="CF1193">
        <v>0</v>
      </c>
      <c r="CG1193">
        <v>0</v>
      </c>
      <c r="CH1193">
        <v>0</v>
      </c>
      <c r="CI1193">
        <v>0</v>
      </c>
      <c r="CJ1193">
        <v>0</v>
      </c>
      <c r="CK1193">
        <v>0</v>
      </c>
      <c r="CL1193">
        <v>0</v>
      </c>
      <c r="CM1193">
        <v>0</v>
      </c>
      <c r="CN1193" t="str">
        <f>IF(BL1193&lt;BK1193,"refNeedCorrection","refOK")</f>
        <v>refOK</v>
      </c>
      <c r="CO1193"/>
      <c r="CP1193"/>
      <c r="CQ1193"/>
      <c r="CR1193">
        <f>IF($CN1193="refOK",$BS1193,$BT1193)*IF($BP1193="Emissions positive",-1,1)</f>
        <v>-157</v>
      </c>
      <c r="CS1193">
        <f>IF($CN1193="refOK",$BT1193,$BS1193)*IF($BP1193="Emissions positive",-1,1)</f>
        <v>-559</v>
      </c>
      <c r="CT1193">
        <f>IF($CN1193="refNeedCorrection",-BX1193,BX1193)*IF($BP1193="Emissions positive",-1,1)</f>
        <v>-0.218</v>
      </c>
      <c r="CU1193" t="str">
        <f>IFERROR(CT1193/CQ1193,"")</f>
        <v/>
      </c>
      <c r="CV1193" s="2">
        <f>IFERROR((CS1193-CR1193)/ABS(CR1193),"")</f>
        <v>-2.5605095541401273</v>
      </c>
      <c r="CW1193" s="1" t="s">
        <v>1199</v>
      </c>
      <c r="CX1193" s="264" t="str">
        <f>IF(OR($CW1193="prd",$CW1193="std",$CW1193="cit"),"loc",IF(OR($CW1193="eur",$CW1193="reg",$CW1193="coy"),"reg",$CW1193))</f>
        <v>reg</v>
      </c>
      <c r="CY1193" t="s">
        <v>235</v>
      </c>
      <c r="DB1193">
        <v>30</v>
      </c>
      <c r="DC1193" t="str">
        <f>IF(DB1193=0,"0",IF(AND(DB1193&gt;=1,DB1193&lt;=30),"1-30",IF(AND(DB1193&gt;30,DB1193&lt;=70),"31-70",IF(AND(DB1193&gt;70,DB1193&lt;=100),"71-100",IF(DB1193&gt;100,"+100")))))</f>
        <v>1-30</v>
      </c>
      <c r="DD1193">
        <v>0</v>
      </c>
      <c r="DE1193">
        <v>1</v>
      </c>
      <c r="DF1193">
        <v>0</v>
      </c>
      <c r="DG1193">
        <v>0</v>
      </c>
      <c r="DI1193">
        <f>SUM(DD1193:DG1193)</f>
        <v>1</v>
      </c>
      <c r="DJ1193" t="str">
        <f>IF(DI1193=1,INDEX($DD$7:$DG$7,MATCH(1,$DD1193:$DG1193,0)),"mixedProduct")</f>
        <v>EnergyInput</v>
      </c>
      <c r="DK1193">
        <f>IF(DD1193=1,DK$7,0)</f>
        <v>0</v>
      </c>
      <c r="DL1193" t="str">
        <f>IF(DE1193=1,DL$7,0)</f>
        <v>Energy</v>
      </c>
      <c r="DM1193">
        <f>IF(DF1193=1,DM$7,0)</f>
        <v>0</v>
      </c>
      <c r="DN1193">
        <f>IF(DG1193=1,DN$7,0)</f>
        <v>0</v>
      </c>
      <c r="DO1193">
        <v>0</v>
      </c>
      <c r="DP1193">
        <v>1</v>
      </c>
      <c r="DQ1193" t="s">
        <v>2146</v>
      </c>
      <c r="DR1193">
        <v>0</v>
      </c>
      <c r="DS1193">
        <v>0</v>
      </c>
      <c r="DT1193">
        <f>SUM(DO1193:DP1193)</f>
        <v>1</v>
      </c>
      <c r="DU1193" s="143" t="str">
        <f>IF(DO1193=1,"self-calculated DF",IF(DP1193=1,"external DF used","explicit C balance"))</f>
        <v>external DF used</v>
      </c>
      <c r="DV1193">
        <v>1</v>
      </c>
      <c r="DW1193">
        <v>1</v>
      </c>
      <c r="DX1193">
        <v>1</v>
      </c>
      <c r="DY1193">
        <v>1</v>
      </c>
      <c r="DZ1193">
        <v>1</v>
      </c>
      <c r="EA1193">
        <v>0</v>
      </c>
      <c r="EB1193">
        <v>1</v>
      </c>
      <c r="EC1193">
        <v>1</v>
      </c>
      <c r="ED1193">
        <v>0</v>
      </c>
      <c r="EE1193">
        <v>0</v>
      </c>
      <c r="EF1193">
        <v>1</v>
      </c>
      <c r="EG1193">
        <v>0</v>
      </c>
      <c r="EH1193">
        <v>0</v>
      </c>
      <c r="EI1193" s="2">
        <v>0</v>
      </c>
      <c r="EK1193" t="str">
        <f>IF(AND(AND(AND(OR($DX1193=1,$DW1193=1),OR($EC1193=1,$EA1193=1)),SUM($DV1193:$DZ1193,$EF1193)&gt;=4),SUM($EA1193:$EE1193)&gt;=2),"Whole sector","")</f>
        <v>Whole sector</v>
      </c>
      <c r="EL1193" t="str">
        <f>IF(AND(AND(OR($DX1193=1,$DW1193=1),AND($EC1193=0,$EA1193=0)),SUM($DV1193:$DZ1193,$EF1193)&gt;=4),"Ecosystem approach","")</f>
        <v/>
      </c>
      <c r="EM1193" s="2" t="str">
        <f>IF(AND(AND(AND($DX1193=0,$DW1193=0),OR($EC1193=1,$EA1193=1)),SUM($EB1193:$EE1193)&gt;=2),"Technology approach","")</f>
        <v/>
      </c>
      <c r="EP1193" t="b">
        <f>IF(ISNUMBER(BU1193),IF(ABS(BU1193-[3]QC_indicators!$B$2)&gt;3*[3]QC_indicators!$C$2,"C ratio",IF(ISNUMBER(BY1193),IF(ABS(BY1193-[3]QC_indicators!$B$1)&gt;3*[3]QC_indicators!$C$1,"DF","no"))),IF(ISNUMBER(BY1193),IF(ABS(BY1193-[3]QC_indicators!$B$1)&gt;3*[3]QC_indicators!$C$1,"DF","no")))</f>
        <v>0</v>
      </c>
      <c r="ER1193" s="294" t="s">
        <v>2171</v>
      </c>
      <c r="ET1193" s="264" t="s">
        <v>3407</v>
      </c>
    </row>
    <row r="1194" spans="1:150" ht="15" customHeight="1">
      <c r="A1194" s="1" t="s">
        <v>1360</v>
      </c>
      <c r="B1194" t="s">
        <v>2135</v>
      </c>
      <c r="C1194" t="s">
        <v>2136</v>
      </c>
      <c r="D1194" t="s">
        <v>2137</v>
      </c>
      <c r="E1194" t="s">
        <v>2138</v>
      </c>
      <c r="F1194" t="s">
        <v>2139</v>
      </c>
      <c r="G1194" t="s">
        <v>1366</v>
      </c>
      <c r="H1194" t="s">
        <v>254</v>
      </c>
      <c r="I1194">
        <v>2012</v>
      </c>
      <c r="J1194">
        <v>21</v>
      </c>
      <c r="K1194" t="s">
        <v>2140</v>
      </c>
      <c r="M1194" t="str">
        <f>LEFT($D1194,FIND(",",$D1194)-1)&amp;"_"&amp;I1194&amp;L1194</f>
        <v>Pyorala_2012</v>
      </c>
      <c r="N1194" t="s">
        <v>222</v>
      </c>
      <c r="O1194" s="145" t="s">
        <v>341</v>
      </c>
      <c r="Q1194" s="264" t="s">
        <v>256</v>
      </c>
      <c r="R1194" s="269" t="s">
        <v>1154</v>
      </c>
      <c r="S1194" s="1" t="s">
        <v>2202</v>
      </c>
      <c r="T1194" t="s">
        <v>798</v>
      </c>
      <c r="U1194" t="s">
        <v>2168</v>
      </c>
      <c r="V1194">
        <v>0</v>
      </c>
      <c r="W1194">
        <v>0</v>
      </c>
      <c r="X1194">
        <v>0</v>
      </c>
      <c r="Y1194">
        <v>0</v>
      </c>
      <c r="Z1194">
        <v>0</v>
      </c>
      <c r="AA1194">
        <v>0</v>
      </c>
      <c r="AB1194">
        <v>0</v>
      </c>
      <c r="AC1194">
        <v>0</v>
      </c>
      <c r="AD1194">
        <v>0</v>
      </c>
      <c r="AE1194">
        <v>0</v>
      </c>
      <c r="AF1194">
        <v>0</v>
      </c>
      <c r="AG1194">
        <v>0</v>
      </c>
      <c r="AH1194">
        <v>0</v>
      </c>
      <c r="AI1194">
        <v>0</v>
      </c>
      <c r="AJ1194">
        <v>0</v>
      </c>
      <c r="AK1194">
        <v>1</v>
      </c>
      <c r="AL1194">
        <v>0</v>
      </c>
      <c r="AM1194">
        <v>0</v>
      </c>
      <c r="AN1194">
        <v>0</v>
      </c>
      <c r="AO1194">
        <v>0</v>
      </c>
      <c r="AP1194">
        <v>0</v>
      </c>
      <c r="AQ1194">
        <v>0</v>
      </c>
      <c r="AR1194">
        <v>0</v>
      </c>
      <c r="AS1194">
        <v>0</v>
      </c>
      <c r="AT1194">
        <v>0</v>
      </c>
      <c r="AU1194">
        <v>0</v>
      </c>
      <c r="AV1194">
        <v>0</v>
      </c>
      <c r="AW1194">
        <v>0</v>
      </c>
      <c r="AX1194" s="141">
        <f>COUNTIF(V1194:AW1194,"&lt;&gt;0")</f>
        <v>1</v>
      </c>
      <c r="AY1194" s="141">
        <f>COUNTIF(V1194:AL1194,"&lt;&gt;0")</f>
        <v>1</v>
      </c>
      <c r="AZ1194">
        <f>COUNTIF(V1194:AC1194,"&lt;&gt;0")</f>
        <v>0</v>
      </c>
      <c r="BA1194">
        <f>COUNTIF(AD1194:AI1194,"&lt;&gt;0")</f>
        <v>0</v>
      </c>
      <c r="BB1194">
        <f>COUNTIF(AJ1194:AL1194,"&lt;&gt;0")</f>
        <v>1</v>
      </c>
      <c r="BC1194">
        <f>COUNTIF(AS1194:AW1194,"&lt;&gt;0")</f>
        <v>0</v>
      </c>
      <c r="BD1194">
        <f>COUNTIF(AM1194:AR1194,"&lt;&gt;0")</f>
        <v>0</v>
      </c>
      <c r="BE1194" t="str" cm="1">
        <f t="array" ref="BE1194">IF(AY1194=1,INDEX($V$7:$AL$7,MATCH(TRUE,INDEX($V1194:$AW1194&lt;&gt;0,),0)),IF(AY1194=0,INDEX($AM$7:$AW$7,MATCH(1,$AM1194:$AW1194,0)),IF(BF1194="Multiple strategies","mixed drivers",IF(BF1194="Supply chain","multiple supply","multiple silviculture"))))</f>
        <v>technologies/design switch</v>
      </c>
      <c r="BF1194" s="2" t="str" cm="1">
        <f t="array" ref="BF1194">IF(COUNTIF(AZ1194:BB1194,"&lt;&gt;0")=1,INDEX($V$4:$AW$4,MATCH(TRUE,INDEX($V1194:$AW1194&lt;&gt;0,),0)),IF(COUNTIF(AZ1194:BB1194,"&lt;&gt;0")=0,INDEX($AM$4:$AW$4,MATCH(1,$AM1194:$AW1194,0)),"Multiple strategies"))</f>
        <v>Technology</v>
      </c>
      <c r="BH1194" t="s">
        <v>2169</v>
      </c>
      <c r="BN1194" s="143"/>
      <c r="BP1194" s="264" t="s">
        <v>232</v>
      </c>
      <c r="BQ1194" s="264"/>
      <c r="BR1194" t="s">
        <v>2170</v>
      </c>
      <c r="BS1194">
        <v>-157</v>
      </c>
      <c r="BT1194">
        <v>-560</v>
      </c>
      <c r="BU1194" s="144">
        <v>1.6422287390029326</v>
      </c>
      <c r="BV1194">
        <v>-219</v>
      </c>
      <c r="BX1194">
        <f>BV1194/1000</f>
        <v>-0.219</v>
      </c>
      <c r="BY1194" t="str">
        <f>IFERROR(BX1194/BO1194,"")</f>
        <v/>
      </c>
      <c r="BZ1194">
        <v>0</v>
      </c>
      <c r="CA1194">
        <v>0</v>
      </c>
      <c r="CB1194">
        <v>0</v>
      </c>
      <c r="CC1194">
        <v>0</v>
      </c>
      <c r="CD1194">
        <v>0</v>
      </c>
      <c r="CE1194">
        <v>0</v>
      </c>
      <c r="CF1194">
        <v>0</v>
      </c>
      <c r="CG1194">
        <v>0</v>
      </c>
      <c r="CH1194">
        <v>0</v>
      </c>
      <c r="CI1194">
        <v>0</v>
      </c>
      <c r="CJ1194">
        <v>0</v>
      </c>
      <c r="CK1194">
        <v>0</v>
      </c>
      <c r="CL1194">
        <v>0</v>
      </c>
      <c r="CM1194">
        <v>0</v>
      </c>
      <c r="CN1194" t="str">
        <f>IF(BL1194&lt;BK1194,"refNeedCorrection","refOK")</f>
        <v>refOK</v>
      </c>
      <c r="CO1194"/>
      <c r="CP1194"/>
      <c r="CQ1194"/>
      <c r="CR1194">
        <f>IF($CN1194="refOK",$BS1194,$BT1194)*IF($BP1194="Emissions positive",-1,1)</f>
        <v>-157</v>
      </c>
      <c r="CS1194">
        <f>IF($CN1194="refOK",$BT1194,$BS1194)*IF($BP1194="Emissions positive",-1,1)</f>
        <v>-560</v>
      </c>
      <c r="CT1194">
        <f>IF($CN1194="refNeedCorrection",-BX1194,BX1194)*IF($BP1194="Emissions positive",-1,1)</f>
        <v>-0.219</v>
      </c>
      <c r="CU1194" t="str">
        <f>IFERROR(CT1194/CQ1194,"")</f>
        <v/>
      </c>
      <c r="CV1194" s="2">
        <f>IFERROR((CS1194-CR1194)/ABS(CR1194),"")</f>
        <v>-2.5668789808917198</v>
      </c>
      <c r="CW1194" s="1" t="s">
        <v>1199</v>
      </c>
      <c r="CX1194" s="264" t="str">
        <f>IF(OR($CW1194="prd",$CW1194="std",$CW1194="cit"),"loc",IF(OR($CW1194="eur",$CW1194="reg",$CW1194="coy"),"reg",$CW1194))</f>
        <v>reg</v>
      </c>
      <c r="CY1194" t="s">
        <v>235</v>
      </c>
      <c r="DB1194">
        <v>30</v>
      </c>
      <c r="DC1194" t="str">
        <f>IF(DB1194=0,"0",IF(AND(DB1194&gt;=1,DB1194&lt;=30),"1-30",IF(AND(DB1194&gt;30,DB1194&lt;=70),"31-70",IF(AND(DB1194&gt;70,DB1194&lt;=100),"71-100",IF(DB1194&gt;100,"+100")))))</f>
        <v>1-30</v>
      </c>
      <c r="DD1194">
        <v>0</v>
      </c>
      <c r="DE1194">
        <v>1</v>
      </c>
      <c r="DF1194">
        <v>0</v>
      </c>
      <c r="DG1194">
        <v>0</v>
      </c>
      <c r="DI1194">
        <f>SUM(DD1194:DG1194)</f>
        <v>1</v>
      </c>
      <c r="DJ1194" t="str">
        <f>IF(DI1194=1,INDEX($DD$7:$DG$7,MATCH(1,$DD1194:$DG1194,0)),"mixedProduct")</f>
        <v>EnergyInput</v>
      </c>
      <c r="DK1194">
        <f>IF(DD1194=1,DK$7,0)</f>
        <v>0</v>
      </c>
      <c r="DL1194" t="str">
        <f>IF(DE1194=1,DL$7,0)</f>
        <v>Energy</v>
      </c>
      <c r="DM1194">
        <f>IF(DF1194=1,DM$7,0)</f>
        <v>0</v>
      </c>
      <c r="DN1194">
        <f>IF(DG1194=1,DN$7,0)</f>
        <v>0</v>
      </c>
      <c r="DO1194">
        <v>0</v>
      </c>
      <c r="DP1194">
        <v>1</v>
      </c>
      <c r="DQ1194" t="s">
        <v>2146</v>
      </c>
      <c r="DR1194">
        <v>0</v>
      </c>
      <c r="DS1194">
        <v>0</v>
      </c>
      <c r="DT1194">
        <f>SUM(DO1194:DP1194)</f>
        <v>1</v>
      </c>
      <c r="DU1194" s="143" t="str">
        <f>IF(DO1194=1,"self-calculated DF",IF(DP1194=1,"external DF used","explicit C balance"))</f>
        <v>external DF used</v>
      </c>
      <c r="DV1194">
        <v>1</v>
      </c>
      <c r="DW1194">
        <v>1</v>
      </c>
      <c r="DX1194">
        <v>1</v>
      </c>
      <c r="DY1194">
        <v>1</v>
      </c>
      <c r="DZ1194">
        <v>1</v>
      </c>
      <c r="EA1194">
        <v>0</v>
      </c>
      <c r="EB1194">
        <v>1</v>
      </c>
      <c r="EC1194">
        <v>1</v>
      </c>
      <c r="ED1194">
        <v>0</v>
      </c>
      <c r="EE1194">
        <v>0</v>
      </c>
      <c r="EF1194">
        <v>1</v>
      </c>
      <c r="EG1194">
        <v>0</v>
      </c>
      <c r="EH1194">
        <v>0</v>
      </c>
      <c r="EI1194" s="2">
        <v>0</v>
      </c>
      <c r="EK1194" t="str">
        <f>IF(AND(AND(AND(OR($DX1194=1,$DW1194=1),OR($EC1194=1,$EA1194=1)),SUM($DV1194:$DZ1194,$EF1194)&gt;=4),SUM($EA1194:$EE1194)&gt;=2),"Whole sector","")</f>
        <v>Whole sector</v>
      </c>
      <c r="EL1194" t="str">
        <f>IF(AND(AND(OR($DX1194=1,$DW1194=1),AND($EC1194=0,$EA1194=0)),SUM($DV1194:$DZ1194,$EF1194)&gt;=4),"Ecosystem approach","")</f>
        <v/>
      </c>
      <c r="EM1194" s="2" t="str">
        <f>IF(AND(AND(AND($DX1194=0,$DW1194=0),OR($EC1194=1,$EA1194=1)),SUM($EB1194:$EE1194)&gt;=2),"Technology approach","")</f>
        <v/>
      </c>
      <c r="EP1194" t="b">
        <f>IF(ISNUMBER(BU1194),IF(ABS(BU1194-[3]QC_indicators!$B$2)&gt;3*[3]QC_indicators!$C$2,"C ratio",IF(ISNUMBER(BY1194),IF(ABS(BY1194-[3]QC_indicators!$B$1)&gt;3*[3]QC_indicators!$C$1,"DF","no"))),IF(ISNUMBER(BY1194),IF(ABS(BY1194-[3]QC_indicators!$B$1)&gt;3*[3]QC_indicators!$C$1,"DF","no")))</f>
        <v>0</v>
      </c>
      <c r="ER1194" s="294" t="s">
        <v>2171</v>
      </c>
      <c r="ET1194" s="264" t="s">
        <v>3407</v>
      </c>
    </row>
    <row r="1195" spans="1:150" ht="15" customHeight="1">
      <c r="A1195" s="1" t="s">
        <v>1360</v>
      </c>
      <c r="B1195" t="s">
        <v>2135</v>
      </c>
      <c r="C1195" t="s">
        <v>2136</v>
      </c>
      <c r="D1195" t="s">
        <v>2137</v>
      </c>
      <c r="E1195" t="s">
        <v>2138</v>
      </c>
      <c r="F1195" t="s">
        <v>2139</v>
      </c>
      <c r="G1195" t="s">
        <v>1366</v>
      </c>
      <c r="H1195" t="s">
        <v>254</v>
      </c>
      <c r="I1195">
        <v>2012</v>
      </c>
      <c r="J1195">
        <v>21</v>
      </c>
      <c r="K1195" t="s">
        <v>2140</v>
      </c>
      <c r="M1195" t="str">
        <f>LEFT($D1195,FIND(",",$D1195)-1)&amp;"_"&amp;I1195&amp;L1195</f>
        <v>Pyorala_2012</v>
      </c>
      <c r="N1195" t="s">
        <v>222</v>
      </c>
      <c r="O1195" s="145" t="s">
        <v>341</v>
      </c>
      <c r="Q1195" s="264" t="s">
        <v>256</v>
      </c>
      <c r="R1195" s="269" t="s">
        <v>1154</v>
      </c>
      <c r="S1195" s="1" t="s">
        <v>2203</v>
      </c>
      <c r="T1195" t="s">
        <v>798</v>
      </c>
      <c r="U1195" t="s">
        <v>2168</v>
      </c>
      <c r="V1195">
        <v>0</v>
      </c>
      <c r="W1195">
        <v>0</v>
      </c>
      <c r="X1195">
        <v>0</v>
      </c>
      <c r="Y1195">
        <v>0</v>
      </c>
      <c r="Z1195">
        <v>0</v>
      </c>
      <c r="AA1195">
        <v>0</v>
      </c>
      <c r="AB1195">
        <v>0</v>
      </c>
      <c r="AC1195">
        <v>0</v>
      </c>
      <c r="AD1195">
        <v>0</v>
      </c>
      <c r="AE1195">
        <v>0</v>
      </c>
      <c r="AF1195">
        <v>0</v>
      </c>
      <c r="AG1195">
        <v>0</v>
      </c>
      <c r="AH1195">
        <v>0</v>
      </c>
      <c r="AI1195">
        <v>0</v>
      </c>
      <c r="AJ1195">
        <v>0</v>
      </c>
      <c r="AK1195">
        <v>1</v>
      </c>
      <c r="AL1195">
        <v>0</v>
      </c>
      <c r="AM1195">
        <v>0</v>
      </c>
      <c r="AN1195">
        <v>0</v>
      </c>
      <c r="AO1195">
        <v>0</v>
      </c>
      <c r="AP1195">
        <v>0</v>
      </c>
      <c r="AQ1195">
        <v>0</v>
      </c>
      <c r="AR1195">
        <v>0</v>
      </c>
      <c r="AS1195">
        <v>0</v>
      </c>
      <c r="AT1195">
        <v>0</v>
      </c>
      <c r="AU1195">
        <v>0</v>
      </c>
      <c r="AV1195">
        <v>0</v>
      </c>
      <c r="AW1195">
        <v>0</v>
      </c>
      <c r="AX1195" s="141">
        <f>COUNTIF(V1195:AW1195,"&lt;&gt;0")</f>
        <v>1</v>
      </c>
      <c r="AY1195" s="141">
        <f>COUNTIF(V1195:AL1195,"&lt;&gt;0")</f>
        <v>1</v>
      </c>
      <c r="AZ1195">
        <f>COUNTIF(V1195:AC1195,"&lt;&gt;0")</f>
        <v>0</v>
      </c>
      <c r="BA1195">
        <f>COUNTIF(AD1195:AI1195,"&lt;&gt;0")</f>
        <v>0</v>
      </c>
      <c r="BB1195">
        <f>COUNTIF(AJ1195:AL1195,"&lt;&gt;0")</f>
        <v>1</v>
      </c>
      <c r="BC1195">
        <f>COUNTIF(AS1195:AW1195,"&lt;&gt;0")</f>
        <v>0</v>
      </c>
      <c r="BD1195">
        <f>COUNTIF(AM1195:AR1195,"&lt;&gt;0")</f>
        <v>0</v>
      </c>
      <c r="BE1195" t="str" cm="1">
        <f t="array" ref="BE1195">IF(AY1195=1,INDEX($V$7:$AL$7,MATCH(TRUE,INDEX($V1195:$AW1195&lt;&gt;0,),0)),IF(AY1195=0,INDEX($AM$7:$AW$7,MATCH(1,$AM1195:$AW1195,0)),IF(BF1195="Multiple strategies","mixed drivers",IF(BF1195="Supply chain","multiple supply","multiple silviculture"))))</f>
        <v>technologies/design switch</v>
      </c>
      <c r="BF1195" s="2" t="str" cm="1">
        <f t="array" ref="BF1195">IF(COUNTIF(AZ1195:BB1195,"&lt;&gt;0")=1,INDEX($V$4:$AW$4,MATCH(TRUE,INDEX($V1195:$AW1195&lt;&gt;0,),0)),IF(COUNTIF(AZ1195:BB1195,"&lt;&gt;0")=0,INDEX($AM$4:$AW$4,MATCH(1,$AM1195:$AW1195,0)),"Multiple strategies"))</f>
        <v>Technology</v>
      </c>
      <c r="BH1195" t="s">
        <v>2169</v>
      </c>
      <c r="BN1195" s="143"/>
      <c r="BP1195" s="264" t="s">
        <v>232</v>
      </c>
      <c r="BQ1195" s="264"/>
      <c r="BR1195" t="s">
        <v>2170</v>
      </c>
      <c r="BS1195">
        <v>-157</v>
      </c>
      <c r="BT1195">
        <v>-561</v>
      </c>
      <c r="BU1195" s="144">
        <v>1.6451612903225807</v>
      </c>
      <c r="BV1195">
        <v>-220</v>
      </c>
      <c r="BX1195">
        <f>BV1195/1000</f>
        <v>-0.22</v>
      </c>
      <c r="BY1195" t="str">
        <f>IFERROR(BX1195/BO1195,"")</f>
        <v/>
      </c>
      <c r="BZ1195">
        <v>0</v>
      </c>
      <c r="CA1195">
        <v>0</v>
      </c>
      <c r="CB1195">
        <v>0</v>
      </c>
      <c r="CC1195">
        <v>0</v>
      </c>
      <c r="CD1195">
        <v>0</v>
      </c>
      <c r="CE1195">
        <v>0</v>
      </c>
      <c r="CF1195">
        <v>0</v>
      </c>
      <c r="CG1195">
        <v>0</v>
      </c>
      <c r="CH1195">
        <v>0</v>
      </c>
      <c r="CI1195">
        <v>0</v>
      </c>
      <c r="CJ1195">
        <v>0</v>
      </c>
      <c r="CK1195">
        <v>0</v>
      </c>
      <c r="CL1195">
        <v>0</v>
      </c>
      <c r="CM1195">
        <v>0</v>
      </c>
      <c r="CN1195" t="str">
        <f>IF(BL1195&lt;BK1195,"refNeedCorrection","refOK")</f>
        <v>refOK</v>
      </c>
      <c r="CO1195"/>
      <c r="CP1195"/>
      <c r="CQ1195"/>
      <c r="CR1195">
        <f>IF($CN1195="refOK",$BS1195,$BT1195)*IF($BP1195="Emissions positive",-1,1)</f>
        <v>-157</v>
      </c>
      <c r="CS1195">
        <f>IF($CN1195="refOK",$BT1195,$BS1195)*IF($BP1195="Emissions positive",-1,1)</f>
        <v>-561</v>
      </c>
      <c r="CT1195">
        <f>IF($CN1195="refNeedCorrection",-BX1195,BX1195)*IF($BP1195="Emissions positive",-1,1)</f>
        <v>-0.22</v>
      </c>
      <c r="CU1195" t="str">
        <f>IFERROR(CT1195/CQ1195,"")</f>
        <v/>
      </c>
      <c r="CV1195" s="2">
        <f>IFERROR((CS1195-CR1195)/ABS(CR1195),"")</f>
        <v>-2.573248407643312</v>
      </c>
      <c r="CW1195" s="1" t="s">
        <v>1199</v>
      </c>
      <c r="CX1195" s="264" t="str">
        <f>IF(OR($CW1195="prd",$CW1195="std",$CW1195="cit"),"loc",IF(OR($CW1195="eur",$CW1195="reg",$CW1195="coy"),"reg",$CW1195))</f>
        <v>reg</v>
      </c>
      <c r="CY1195" t="s">
        <v>235</v>
      </c>
      <c r="DB1195">
        <v>30</v>
      </c>
      <c r="DC1195" t="str">
        <f>IF(DB1195=0,"0",IF(AND(DB1195&gt;=1,DB1195&lt;=30),"1-30",IF(AND(DB1195&gt;30,DB1195&lt;=70),"31-70",IF(AND(DB1195&gt;70,DB1195&lt;=100),"71-100",IF(DB1195&gt;100,"+100")))))</f>
        <v>1-30</v>
      </c>
      <c r="DD1195">
        <v>0</v>
      </c>
      <c r="DE1195">
        <v>1</v>
      </c>
      <c r="DF1195">
        <v>0</v>
      </c>
      <c r="DG1195">
        <v>0</v>
      </c>
      <c r="DI1195">
        <f>SUM(DD1195:DG1195)</f>
        <v>1</v>
      </c>
      <c r="DJ1195" t="str">
        <f>IF(DI1195=1,INDEX($DD$7:$DG$7,MATCH(1,$DD1195:$DG1195,0)),"mixedProduct")</f>
        <v>EnergyInput</v>
      </c>
      <c r="DK1195">
        <f>IF(DD1195=1,DK$7,0)</f>
        <v>0</v>
      </c>
      <c r="DL1195" t="str">
        <f>IF(DE1195=1,DL$7,0)</f>
        <v>Energy</v>
      </c>
      <c r="DM1195">
        <f>IF(DF1195=1,DM$7,0)</f>
        <v>0</v>
      </c>
      <c r="DN1195">
        <f>IF(DG1195=1,DN$7,0)</f>
        <v>0</v>
      </c>
      <c r="DO1195">
        <v>0</v>
      </c>
      <c r="DP1195">
        <v>1</v>
      </c>
      <c r="DQ1195" t="s">
        <v>2146</v>
      </c>
      <c r="DR1195">
        <v>0</v>
      </c>
      <c r="DS1195">
        <v>0</v>
      </c>
      <c r="DT1195">
        <f>SUM(DO1195:DP1195)</f>
        <v>1</v>
      </c>
      <c r="DU1195" s="143" t="str">
        <f>IF(DO1195=1,"self-calculated DF",IF(DP1195=1,"external DF used","explicit C balance"))</f>
        <v>external DF used</v>
      </c>
      <c r="DV1195">
        <v>1</v>
      </c>
      <c r="DW1195">
        <v>1</v>
      </c>
      <c r="DX1195">
        <v>1</v>
      </c>
      <c r="DY1195">
        <v>1</v>
      </c>
      <c r="DZ1195">
        <v>1</v>
      </c>
      <c r="EA1195">
        <v>0</v>
      </c>
      <c r="EB1195">
        <v>1</v>
      </c>
      <c r="EC1195">
        <v>1</v>
      </c>
      <c r="ED1195">
        <v>0</v>
      </c>
      <c r="EE1195">
        <v>0</v>
      </c>
      <c r="EF1195">
        <v>1</v>
      </c>
      <c r="EG1195">
        <v>0</v>
      </c>
      <c r="EH1195">
        <v>0</v>
      </c>
      <c r="EI1195" s="2">
        <v>0</v>
      </c>
      <c r="EK1195" t="str">
        <f>IF(AND(AND(AND(OR($DX1195=1,$DW1195=1),OR($EC1195=1,$EA1195=1)),SUM($DV1195:$DZ1195,$EF1195)&gt;=4),SUM($EA1195:$EE1195)&gt;=2),"Whole sector","")</f>
        <v>Whole sector</v>
      </c>
      <c r="EL1195" t="str">
        <f>IF(AND(AND(OR($DX1195=1,$DW1195=1),AND($EC1195=0,$EA1195=0)),SUM($DV1195:$DZ1195,$EF1195)&gt;=4),"Ecosystem approach","")</f>
        <v/>
      </c>
      <c r="EM1195" s="2" t="str">
        <f>IF(AND(AND(AND($DX1195=0,$DW1195=0),OR($EC1195=1,$EA1195=1)),SUM($EB1195:$EE1195)&gt;=2),"Technology approach","")</f>
        <v/>
      </c>
      <c r="EP1195" t="b">
        <f>IF(ISNUMBER(BU1195),IF(ABS(BU1195-[3]QC_indicators!$B$2)&gt;3*[3]QC_indicators!$C$2,"C ratio",IF(ISNUMBER(BY1195),IF(ABS(BY1195-[3]QC_indicators!$B$1)&gt;3*[3]QC_indicators!$C$1,"DF","no"))),IF(ISNUMBER(BY1195),IF(ABS(BY1195-[3]QC_indicators!$B$1)&gt;3*[3]QC_indicators!$C$1,"DF","no")))</f>
        <v>0</v>
      </c>
      <c r="ER1195" s="294" t="s">
        <v>2171</v>
      </c>
      <c r="ET1195" s="264" t="s">
        <v>3407</v>
      </c>
    </row>
    <row r="1196" spans="1:150" ht="15" customHeight="1">
      <c r="A1196" s="1" t="s">
        <v>1360</v>
      </c>
      <c r="B1196" t="s">
        <v>2135</v>
      </c>
      <c r="C1196" t="s">
        <v>2136</v>
      </c>
      <c r="D1196" t="s">
        <v>2137</v>
      </c>
      <c r="E1196" t="s">
        <v>2138</v>
      </c>
      <c r="F1196" t="s">
        <v>2139</v>
      </c>
      <c r="G1196" t="s">
        <v>1366</v>
      </c>
      <c r="H1196" t="s">
        <v>254</v>
      </c>
      <c r="I1196">
        <v>2012</v>
      </c>
      <c r="J1196">
        <v>21</v>
      </c>
      <c r="K1196" t="s">
        <v>2140</v>
      </c>
      <c r="L1196" s="192"/>
      <c r="M1196" t="str">
        <f>LEFT($D1196,FIND(",",$D1196)-1)&amp;"_"&amp;I1196&amp;L1196</f>
        <v>Pyorala_2012</v>
      </c>
      <c r="N1196" t="s">
        <v>222</v>
      </c>
      <c r="O1196" s="145" t="s">
        <v>341</v>
      </c>
      <c r="Q1196" s="264" t="s">
        <v>256</v>
      </c>
      <c r="R1196" s="269" t="s">
        <v>1154</v>
      </c>
      <c r="S1196" s="1" t="s">
        <v>2204</v>
      </c>
      <c r="T1196" t="s">
        <v>798</v>
      </c>
      <c r="U1196" t="s">
        <v>2168</v>
      </c>
      <c r="V1196">
        <v>0</v>
      </c>
      <c r="W1196">
        <v>0</v>
      </c>
      <c r="X1196">
        <v>0</v>
      </c>
      <c r="Y1196">
        <v>0</v>
      </c>
      <c r="Z1196">
        <v>0</v>
      </c>
      <c r="AA1196">
        <v>0</v>
      </c>
      <c r="AB1196">
        <v>0</v>
      </c>
      <c r="AC1196">
        <v>0</v>
      </c>
      <c r="AD1196">
        <v>0</v>
      </c>
      <c r="AE1196">
        <v>0</v>
      </c>
      <c r="AF1196">
        <v>0</v>
      </c>
      <c r="AG1196">
        <v>0</v>
      </c>
      <c r="AH1196">
        <v>0</v>
      </c>
      <c r="AI1196">
        <v>0</v>
      </c>
      <c r="AJ1196">
        <v>0</v>
      </c>
      <c r="AK1196">
        <v>1</v>
      </c>
      <c r="AL1196">
        <v>0</v>
      </c>
      <c r="AM1196">
        <v>0</v>
      </c>
      <c r="AN1196">
        <v>0</v>
      </c>
      <c r="AO1196">
        <v>0</v>
      </c>
      <c r="AP1196">
        <v>0</v>
      </c>
      <c r="AQ1196">
        <v>0</v>
      </c>
      <c r="AR1196">
        <v>0</v>
      </c>
      <c r="AS1196">
        <v>0</v>
      </c>
      <c r="AT1196">
        <v>0</v>
      </c>
      <c r="AU1196">
        <v>0</v>
      </c>
      <c r="AV1196">
        <v>0</v>
      </c>
      <c r="AW1196">
        <v>0</v>
      </c>
      <c r="AX1196" s="141">
        <f>COUNTIF(V1196:AW1196,"&lt;&gt;0")</f>
        <v>1</v>
      </c>
      <c r="AY1196" s="141">
        <f>COUNTIF(V1196:AL1196,"&lt;&gt;0")</f>
        <v>1</v>
      </c>
      <c r="AZ1196">
        <f>COUNTIF(V1196:AC1196,"&lt;&gt;0")</f>
        <v>0</v>
      </c>
      <c r="BA1196">
        <f>COUNTIF(AD1196:AI1196,"&lt;&gt;0")</f>
        <v>0</v>
      </c>
      <c r="BB1196">
        <f>COUNTIF(AJ1196:AL1196,"&lt;&gt;0")</f>
        <v>1</v>
      </c>
      <c r="BC1196">
        <f>COUNTIF(AS1196:AW1196,"&lt;&gt;0")</f>
        <v>0</v>
      </c>
      <c r="BD1196">
        <f>COUNTIF(AM1196:AR1196,"&lt;&gt;0")</f>
        <v>0</v>
      </c>
      <c r="BE1196" t="str" cm="1">
        <f t="array" ref="BE1196">IF(AY1196=1,INDEX($V$7:$AL$7,MATCH(TRUE,INDEX($V1196:$AW1196&lt;&gt;0,),0)),IF(AY1196=0,INDEX($AM$7:$AW$7,MATCH(1,$AM1196:$AW1196,0)),IF(BF1196="Multiple strategies","mixed drivers",IF(BF1196="Supply chain","multiple supply","multiple silviculture"))))</f>
        <v>technologies/design switch</v>
      </c>
      <c r="BF1196" s="2" t="str" cm="1">
        <f t="array" ref="BF1196">IF(COUNTIF(AZ1196:BB1196,"&lt;&gt;0")=1,INDEX($V$4:$AW$4,MATCH(TRUE,INDEX($V1196:$AW1196&lt;&gt;0,),0)),IF(COUNTIF(AZ1196:BB1196,"&lt;&gt;0")=0,INDEX($AM$4:$AW$4,MATCH(1,$AM1196:$AW1196,0)),"Multiple strategies"))</f>
        <v>Technology</v>
      </c>
      <c r="BH1196" t="s">
        <v>2169</v>
      </c>
      <c r="BN1196" s="143"/>
      <c r="BP1196" s="264" t="s">
        <v>232</v>
      </c>
      <c r="BQ1196" s="264"/>
      <c r="BR1196" t="s">
        <v>2170</v>
      </c>
      <c r="BS1196">
        <v>-157</v>
      </c>
      <c r="BT1196">
        <v>-562</v>
      </c>
      <c r="BU1196" s="144">
        <v>1.6480938416422288</v>
      </c>
      <c r="BV1196">
        <v>-221</v>
      </c>
      <c r="BX1196">
        <f>BV1196/1000</f>
        <v>-0.221</v>
      </c>
      <c r="BY1196" t="str">
        <f>IFERROR(BX1196/BO1196,"")</f>
        <v/>
      </c>
      <c r="BZ1196">
        <v>0</v>
      </c>
      <c r="CA1196">
        <v>0</v>
      </c>
      <c r="CB1196">
        <v>0</v>
      </c>
      <c r="CC1196">
        <v>0</v>
      </c>
      <c r="CD1196">
        <v>0</v>
      </c>
      <c r="CE1196">
        <v>0</v>
      </c>
      <c r="CF1196">
        <v>0</v>
      </c>
      <c r="CG1196">
        <v>0</v>
      </c>
      <c r="CH1196">
        <v>0</v>
      </c>
      <c r="CI1196">
        <v>0</v>
      </c>
      <c r="CJ1196">
        <v>0</v>
      </c>
      <c r="CK1196">
        <v>0</v>
      </c>
      <c r="CL1196">
        <v>0</v>
      </c>
      <c r="CM1196">
        <v>0</v>
      </c>
      <c r="CN1196" t="str">
        <f>IF(BL1196&lt;BK1196,"refNeedCorrection","refOK")</f>
        <v>refOK</v>
      </c>
      <c r="CO1196"/>
      <c r="CP1196"/>
      <c r="CQ1196"/>
      <c r="CR1196">
        <f>IF($CN1196="refOK",$BS1196,$BT1196)*IF($BP1196="Emissions positive",-1,1)</f>
        <v>-157</v>
      </c>
      <c r="CS1196">
        <f>IF($CN1196="refOK",$BT1196,$BS1196)*IF($BP1196="Emissions positive",-1,1)</f>
        <v>-562</v>
      </c>
      <c r="CT1196">
        <f>IF($CN1196="refNeedCorrection",-BX1196,BX1196)*IF($BP1196="Emissions positive",-1,1)</f>
        <v>-0.221</v>
      </c>
      <c r="CU1196" t="str">
        <f>IFERROR(CT1196/CQ1196,"")</f>
        <v/>
      </c>
      <c r="CV1196" s="2">
        <f>IFERROR((CS1196-CR1196)/ABS(CR1196),"")</f>
        <v>-2.5796178343949046</v>
      </c>
      <c r="CW1196" s="1" t="s">
        <v>1199</v>
      </c>
      <c r="CX1196" s="264" t="str">
        <f>IF(OR($CW1196="prd",$CW1196="std",$CW1196="cit"),"loc",IF(OR($CW1196="eur",$CW1196="reg",$CW1196="coy"),"reg",$CW1196))</f>
        <v>reg</v>
      </c>
      <c r="CY1196" t="s">
        <v>235</v>
      </c>
      <c r="DB1196">
        <v>30</v>
      </c>
      <c r="DC1196" t="str">
        <f>IF(DB1196=0,"0",IF(AND(DB1196&gt;=1,DB1196&lt;=30),"1-30",IF(AND(DB1196&gt;30,DB1196&lt;=70),"31-70",IF(AND(DB1196&gt;70,DB1196&lt;=100),"71-100",IF(DB1196&gt;100,"+100")))))</f>
        <v>1-30</v>
      </c>
      <c r="DD1196">
        <v>0</v>
      </c>
      <c r="DE1196">
        <v>1</v>
      </c>
      <c r="DF1196">
        <v>0</v>
      </c>
      <c r="DG1196">
        <v>0</v>
      </c>
      <c r="DI1196">
        <f>SUM(DD1196:DG1196)</f>
        <v>1</v>
      </c>
      <c r="DJ1196" t="str">
        <f>IF(DI1196=1,INDEX($DD$7:$DG$7,MATCH(1,$DD1196:$DG1196,0)),"mixedProduct")</f>
        <v>EnergyInput</v>
      </c>
      <c r="DK1196">
        <f>IF(DD1196=1,DK$7,0)</f>
        <v>0</v>
      </c>
      <c r="DL1196" t="str">
        <f>IF(DE1196=1,DL$7,0)</f>
        <v>Energy</v>
      </c>
      <c r="DM1196">
        <f>IF(DF1196=1,DM$7,0)</f>
        <v>0</v>
      </c>
      <c r="DN1196">
        <f>IF(DG1196=1,DN$7,0)</f>
        <v>0</v>
      </c>
      <c r="DO1196">
        <v>0</v>
      </c>
      <c r="DP1196">
        <v>1</v>
      </c>
      <c r="DQ1196" t="s">
        <v>2146</v>
      </c>
      <c r="DR1196">
        <v>0</v>
      </c>
      <c r="DS1196">
        <v>0</v>
      </c>
      <c r="DT1196">
        <f>SUM(DO1196:DP1196)</f>
        <v>1</v>
      </c>
      <c r="DU1196" s="143" t="str">
        <f>IF(DO1196=1,"self-calculated DF",IF(DP1196=1,"external DF used","explicit C balance"))</f>
        <v>external DF used</v>
      </c>
      <c r="DV1196">
        <v>1</v>
      </c>
      <c r="DW1196">
        <v>1</v>
      </c>
      <c r="DX1196">
        <v>1</v>
      </c>
      <c r="DY1196">
        <v>1</v>
      </c>
      <c r="DZ1196">
        <v>1</v>
      </c>
      <c r="EA1196">
        <v>0</v>
      </c>
      <c r="EB1196">
        <v>1</v>
      </c>
      <c r="EC1196">
        <v>1</v>
      </c>
      <c r="ED1196">
        <v>0</v>
      </c>
      <c r="EE1196">
        <v>0</v>
      </c>
      <c r="EF1196">
        <v>1</v>
      </c>
      <c r="EG1196">
        <v>0</v>
      </c>
      <c r="EH1196">
        <v>0</v>
      </c>
      <c r="EI1196" s="2">
        <v>0</v>
      </c>
      <c r="EK1196" t="str">
        <f>IF(AND(AND(AND(OR($DX1196=1,$DW1196=1),OR($EC1196=1,$EA1196=1)),SUM($DV1196:$DZ1196,$EF1196)&gt;=4),SUM($EA1196:$EE1196)&gt;=2),"Whole sector","")</f>
        <v>Whole sector</v>
      </c>
      <c r="EL1196" t="str">
        <f>IF(AND(AND(OR($DX1196=1,$DW1196=1),AND($EC1196=0,$EA1196=0)),SUM($DV1196:$DZ1196,$EF1196)&gt;=4),"Ecosystem approach","")</f>
        <v/>
      </c>
      <c r="EM1196" s="2" t="str">
        <f>IF(AND(AND(AND($DX1196=0,$DW1196=0),OR($EC1196=1,$EA1196=1)),SUM($EB1196:$EE1196)&gt;=2),"Technology approach","")</f>
        <v/>
      </c>
      <c r="EP1196" t="b">
        <f>IF(ISNUMBER(BU1196),IF(ABS(BU1196-[3]QC_indicators!$B$2)&gt;3*[3]QC_indicators!$C$2,"C ratio",IF(ISNUMBER(BY1196),IF(ABS(BY1196-[3]QC_indicators!$B$1)&gt;3*[3]QC_indicators!$C$1,"DF","no"))),IF(ISNUMBER(BY1196),IF(ABS(BY1196-[3]QC_indicators!$B$1)&gt;3*[3]QC_indicators!$C$1,"DF","no")))</f>
        <v>0</v>
      </c>
      <c r="ER1196" s="294" t="s">
        <v>2171</v>
      </c>
      <c r="ET1196" s="264" t="s">
        <v>3407</v>
      </c>
    </row>
    <row r="1197" spans="1:150" ht="15" customHeight="1">
      <c r="A1197" s="1" t="s">
        <v>1360</v>
      </c>
      <c r="B1197" t="s">
        <v>2135</v>
      </c>
      <c r="C1197" t="s">
        <v>2136</v>
      </c>
      <c r="D1197" t="s">
        <v>2137</v>
      </c>
      <c r="E1197" t="s">
        <v>2138</v>
      </c>
      <c r="F1197" t="s">
        <v>2139</v>
      </c>
      <c r="G1197" t="s">
        <v>1366</v>
      </c>
      <c r="H1197" t="s">
        <v>254</v>
      </c>
      <c r="I1197">
        <v>2012</v>
      </c>
      <c r="J1197">
        <v>21</v>
      </c>
      <c r="K1197" t="s">
        <v>2140</v>
      </c>
      <c r="L1197" s="192"/>
      <c r="M1197" t="str">
        <f>LEFT($D1197,FIND(",",$D1197)-1)&amp;"_"&amp;I1197&amp;L1197</f>
        <v>Pyorala_2012</v>
      </c>
      <c r="N1197" t="s">
        <v>222</v>
      </c>
      <c r="O1197" s="145" t="s">
        <v>341</v>
      </c>
      <c r="Q1197" s="264" t="s">
        <v>256</v>
      </c>
      <c r="R1197" s="269" t="s">
        <v>1154</v>
      </c>
      <c r="S1197" s="1" t="s">
        <v>2205</v>
      </c>
      <c r="T1197" t="s">
        <v>798</v>
      </c>
      <c r="U1197" t="s">
        <v>2168</v>
      </c>
      <c r="V1197">
        <v>0</v>
      </c>
      <c r="W1197">
        <v>0</v>
      </c>
      <c r="X1197">
        <v>0</v>
      </c>
      <c r="Y1197">
        <v>0</v>
      </c>
      <c r="Z1197">
        <v>0</v>
      </c>
      <c r="AA1197">
        <v>0</v>
      </c>
      <c r="AB1197">
        <v>0</v>
      </c>
      <c r="AC1197">
        <v>0</v>
      </c>
      <c r="AD1197">
        <v>0</v>
      </c>
      <c r="AE1197">
        <v>0</v>
      </c>
      <c r="AF1197">
        <v>0</v>
      </c>
      <c r="AG1197">
        <v>0</v>
      </c>
      <c r="AH1197">
        <v>0</v>
      </c>
      <c r="AI1197">
        <v>0</v>
      </c>
      <c r="AJ1197">
        <v>0</v>
      </c>
      <c r="AK1197">
        <v>1</v>
      </c>
      <c r="AL1197">
        <v>0</v>
      </c>
      <c r="AM1197">
        <v>0</v>
      </c>
      <c r="AN1197">
        <v>0</v>
      </c>
      <c r="AO1197">
        <v>0</v>
      </c>
      <c r="AP1197">
        <v>0</v>
      </c>
      <c r="AQ1197">
        <v>0</v>
      </c>
      <c r="AR1197">
        <v>0</v>
      </c>
      <c r="AS1197">
        <v>0</v>
      </c>
      <c r="AT1197">
        <v>0</v>
      </c>
      <c r="AU1197">
        <v>0</v>
      </c>
      <c r="AV1197">
        <v>0</v>
      </c>
      <c r="AW1197">
        <v>0</v>
      </c>
      <c r="AX1197" s="141">
        <f>COUNTIF(V1197:AW1197,"&lt;&gt;0")</f>
        <v>1</v>
      </c>
      <c r="AY1197" s="141">
        <f>COUNTIF(V1197:AL1197,"&lt;&gt;0")</f>
        <v>1</v>
      </c>
      <c r="AZ1197">
        <f>COUNTIF(V1197:AC1197,"&lt;&gt;0")</f>
        <v>0</v>
      </c>
      <c r="BA1197">
        <f>COUNTIF(AD1197:AI1197,"&lt;&gt;0")</f>
        <v>0</v>
      </c>
      <c r="BB1197">
        <f>COUNTIF(AJ1197:AL1197,"&lt;&gt;0")</f>
        <v>1</v>
      </c>
      <c r="BC1197">
        <f>COUNTIF(AS1197:AW1197,"&lt;&gt;0")</f>
        <v>0</v>
      </c>
      <c r="BD1197">
        <f>COUNTIF(AM1197:AR1197,"&lt;&gt;0")</f>
        <v>0</v>
      </c>
      <c r="BE1197" t="str" cm="1">
        <f t="array" ref="BE1197">IF(AY1197=1,INDEX($V$7:$AL$7,MATCH(TRUE,INDEX($V1197:$AW1197&lt;&gt;0,),0)),IF(AY1197=0,INDEX($AM$7:$AW$7,MATCH(1,$AM1197:$AW1197,0)),IF(BF1197="Multiple strategies","mixed drivers",IF(BF1197="Supply chain","multiple supply","multiple silviculture"))))</f>
        <v>technologies/design switch</v>
      </c>
      <c r="BF1197" s="2" t="str" cm="1">
        <f t="array" ref="BF1197">IF(COUNTIF(AZ1197:BB1197,"&lt;&gt;0")=1,INDEX($V$4:$AW$4,MATCH(TRUE,INDEX($V1197:$AW1197&lt;&gt;0,),0)),IF(COUNTIF(AZ1197:BB1197,"&lt;&gt;0")=0,INDEX($AM$4:$AW$4,MATCH(1,$AM1197:$AW1197,0)),"Multiple strategies"))</f>
        <v>Technology</v>
      </c>
      <c r="BH1197" t="s">
        <v>2169</v>
      </c>
      <c r="BN1197" s="143"/>
      <c r="BP1197" s="264" t="s">
        <v>232</v>
      </c>
      <c r="BQ1197" s="264"/>
      <c r="BR1197" t="s">
        <v>2170</v>
      </c>
      <c r="BS1197">
        <v>-157</v>
      </c>
      <c r="BT1197">
        <v>-564</v>
      </c>
      <c r="BU1197" s="144">
        <v>1.653958944281525</v>
      </c>
      <c r="BV1197">
        <v>-223</v>
      </c>
      <c r="BX1197">
        <f>BV1197/1000</f>
        <v>-0.223</v>
      </c>
      <c r="BY1197" t="str">
        <f>IFERROR(BX1197/BO1197,"")</f>
        <v/>
      </c>
      <c r="BZ1197">
        <v>0</v>
      </c>
      <c r="CA1197">
        <v>0</v>
      </c>
      <c r="CB1197">
        <v>0</v>
      </c>
      <c r="CC1197">
        <v>0</v>
      </c>
      <c r="CD1197">
        <v>0</v>
      </c>
      <c r="CE1197">
        <v>0</v>
      </c>
      <c r="CF1197">
        <v>0</v>
      </c>
      <c r="CG1197">
        <v>0</v>
      </c>
      <c r="CH1197">
        <v>0</v>
      </c>
      <c r="CI1197">
        <v>0</v>
      </c>
      <c r="CJ1197">
        <v>0</v>
      </c>
      <c r="CK1197">
        <v>0</v>
      </c>
      <c r="CL1197">
        <v>0</v>
      </c>
      <c r="CM1197">
        <v>0</v>
      </c>
      <c r="CN1197" t="str">
        <f>IF(BL1197&lt;BK1197,"refNeedCorrection","refOK")</f>
        <v>refOK</v>
      </c>
      <c r="CO1197"/>
      <c r="CP1197"/>
      <c r="CQ1197"/>
      <c r="CR1197">
        <f>IF($CN1197="refOK",$BS1197,$BT1197)*IF($BP1197="Emissions positive",-1,1)</f>
        <v>-157</v>
      </c>
      <c r="CS1197">
        <f>IF($CN1197="refOK",$BT1197,$BS1197)*IF($BP1197="Emissions positive",-1,1)</f>
        <v>-564</v>
      </c>
      <c r="CT1197">
        <f>IF($CN1197="refNeedCorrection",-BX1197,BX1197)*IF($BP1197="Emissions positive",-1,1)</f>
        <v>-0.223</v>
      </c>
      <c r="CU1197" t="str">
        <f>IFERROR(CT1197/CQ1197,"")</f>
        <v/>
      </c>
      <c r="CV1197" s="2">
        <f>IFERROR((CS1197-CR1197)/ABS(CR1197),"")</f>
        <v>-2.5923566878980893</v>
      </c>
      <c r="CW1197" s="1" t="s">
        <v>1199</v>
      </c>
      <c r="CX1197" s="264" t="str">
        <f>IF(OR($CW1197="prd",$CW1197="std",$CW1197="cit"),"loc",IF(OR($CW1197="eur",$CW1197="reg",$CW1197="coy"),"reg",$CW1197))</f>
        <v>reg</v>
      </c>
      <c r="CY1197" t="s">
        <v>235</v>
      </c>
      <c r="DB1197">
        <v>30</v>
      </c>
      <c r="DC1197" t="str">
        <f>IF(DB1197=0,"0",IF(AND(DB1197&gt;=1,DB1197&lt;=30),"1-30",IF(AND(DB1197&gt;30,DB1197&lt;=70),"31-70",IF(AND(DB1197&gt;70,DB1197&lt;=100),"71-100",IF(DB1197&gt;100,"+100")))))</f>
        <v>1-30</v>
      </c>
      <c r="DD1197">
        <v>0</v>
      </c>
      <c r="DE1197">
        <v>1</v>
      </c>
      <c r="DF1197">
        <v>0</v>
      </c>
      <c r="DG1197">
        <v>0</v>
      </c>
      <c r="DI1197">
        <f>SUM(DD1197:DG1197)</f>
        <v>1</v>
      </c>
      <c r="DJ1197" t="str">
        <f>IF(DI1197=1,INDEX($DD$7:$DG$7,MATCH(1,$DD1197:$DG1197,0)),"mixedProduct")</f>
        <v>EnergyInput</v>
      </c>
      <c r="DK1197">
        <f>IF(DD1197=1,DK$7,0)</f>
        <v>0</v>
      </c>
      <c r="DL1197" t="str">
        <f>IF(DE1197=1,DL$7,0)</f>
        <v>Energy</v>
      </c>
      <c r="DM1197">
        <f>IF(DF1197=1,DM$7,0)</f>
        <v>0</v>
      </c>
      <c r="DN1197">
        <f>IF(DG1197=1,DN$7,0)</f>
        <v>0</v>
      </c>
      <c r="DO1197">
        <v>0</v>
      </c>
      <c r="DP1197">
        <v>1</v>
      </c>
      <c r="DQ1197" t="s">
        <v>2146</v>
      </c>
      <c r="DR1197">
        <v>0</v>
      </c>
      <c r="DS1197">
        <v>0</v>
      </c>
      <c r="DT1197">
        <f>SUM(DO1197:DP1197)</f>
        <v>1</v>
      </c>
      <c r="DU1197" s="143" t="str">
        <f>IF(DO1197=1,"self-calculated DF",IF(DP1197=1,"external DF used","explicit C balance"))</f>
        <v>external DF used</v>
      </c>
      <c r="DV1197">
        <v>1</v>
      </c>
      <c r="DW1197">
        <v>1</v>
      </c>
      <c r="DX1197">
        <v>1</v>
      </c>
      <c r="DY1197">
        <v>1</v>
      </c>
      <c r="DZ1197">
        <v>1</v>
      </c>
      <c r="EA1197">
        <v>0</v>
      </c>
      <c r="EB1197">
        <v>1</v>
      </c>
      <c r="EC1197">
        <v>1</v>
      </c>
      <c r="ED1197">
        <v>0</v>
      </c>
      <c r="EE1197">
        <v>0</v>
      </c>
      <c r="EF1197">
        <v>1</v>
      </c>
      <c r="EG1197">
        <v>0</v>
      </c>
      <c r="EH1197">
        <v>0</v>
      </c>
      <c r="EI1197" s="2">
        <v>0</v>
      </c>
      <c r="EK1197" t="str">
        <f>IF(AND(AND(AND(OR($DX1197=1,$DW1197=1),OR($EC1197=1,$EA1197=1)),SUM($DV1197:$DZ1197,$EF1197)&gt;=4),SUM($EA1197:$EE1197)&gt;=2),"Whole sector","")</f>
        <v>Whole sector</v>
      </c>
      <c r="EL1197" t="str">
        <f>IF(AND(AND(OR($DX1197=1,$DW1197=1),AND($EC1197=0,$EA1197=0)),SUM($DV1197:$DZ1197,$EF1197)&gt;=4),"Ecosystem approach","")</f>
        <v/>
      </c>
      <c r="EM1197" s="2" t="str">
        <f>IF(AND(AND(AND($DX1197=0,$DW1197=0),OR($EC1197=1,$EA1197=1)),SUM($EB1197:$EE1197)&gt;=2),"Technology approach","")</f>
        <v/>
      </c>
      <c r="EP1197" t="b">
        <f>IF(ISNUMBER(BU1197),IF(ABS(BU1197-[3]QC_indicators!$B$2)&gt;3*[3]QC_indicators!$C$2,"C ratio",IF(ISNUMBER(BY1197),IF(ABS(BY1197-[3]QC_indicators!$B$1)&gt;3*[3]QC_indicators!$C$1,"DF","no"))),IF(ISNUMBER(BY1197),IF(ABS(BY1197-[3]QC_indicators!$B$1)&gt;3*[3]QC_indicators!$C$1,"DF","no")))</f>
        <v>0</v>
      </c>
      <c r="ER1197" s="294" t="s">
        <v>2171</v>
      </c>
      <c r="ET1197" s="264" t="s">
        <v>3407</v>
      </c>
    </row>
    <row r="1198" spans="1:150" ht="15" customHeight="1">
      <c r="A1198" s="1" t="s">
        <v>333</v>
      </c>
      <c r="B1198" t="s">
        <v>1081</v>
      </c>
      <c r="C1198" t="s">
        <v>1082</v>
      </c>
      <c r="D1198" t="s">
        <v>1083</v>
      </c>
      <c r="E1198" t="s">
        <v>1084</v>
      </c>
      <c r="F1198" t="s">
        <v>1085</v>
      </c>
      <c r="G1198" t="s">
        <v>339</v>
      </c>
      <c r="H1198" t="s">
        <v>254</v>
      </c>
      <c r="I1198">
        <v>2022</v>
      </c>
      <c r="J1198">
        <v>3</v>
      </c>
      <c r="K1198" t="s">
        <v>1086</v>
      </c>
      <c r="M1198" t="str">
        <f>LEFT($D1198,FIND(",",$D1198)-1)&amp;"_"&amp;I1198&amp;L1198</f>
        <v>Robati_2022</v>
      </c>
      <c r="N1198" t="s">
        <v>222</v>
      </c>
      <c r="O1198" s="264" t="s">
        <v>223</v>
      </c>
      <c r="Q1198" s="264" t="s">
        <v>389</v>
      </c>
      <c r="R1198" s="269" t="s">
        <v>1154</v>
      </c>
      <c r="S1198" s="263" t="s">
        <v>1087</v>
      </c>
      <c r="T1198" s="264" t="s">
        <v>1088</v>
      </c>
      <c r="U1198" s="264" t="s">
        <v>1089</v>
      </c>
      <c r="V1198">
        <v>0</v>
      </c>
      <c r="W1198">
        <v>0</v>
      </c>
      <c r="X1198">
        <v>0</v>
      </c>
      <c r="Y1198">
        <v>0</v>
      </c>
      <c r="Z1198">
        <v>0</v>
      </c>
      <c r="AA1198">
        <v>0</v>
      </c>
      <c r="AB1198">
        <v>0</v>
      </c>
      <c r="AC1198">
        <v>0</v>
      </c>
      <c r="AD1198">
        <v>0</v>
      </c>
      <c r="AE1198">
        <v>0</v>
      </c>
      <c r="AF1198">
        <v>0</v>
      </c>
      <c r="AG1198">
        <v>0</v>
      </c>
      <c r="AH1198">
        <v>1</v>
      </c>
      <c r="AI1198">
        <v>0</v>
      </c>
      <c r="AJ1198">
        <v>0</v>
      </c>
      <c r="AK1198">
        <v>0</v>
      </c>
      <c r="AL1198">
        <v>0</v>
      </c>
      <c r="AM1198">
        <v>0</v>
      </c>
      <c r="AN1198">
        <v>0</v>
      </c>
      <c r="AO1198">
        <v>0</v>
      </c>
      <c r="AP1198">
        <v>0</v>
      </c>
      <c r="AQ1198">
        <v>0</v>
      </c>
      <c r="AR1198">
        <v>0</v>
      </c>
      <c r="AS1198">
        <v>0</v>
      </c>
      <c r="AT1198">
        <v>0</v>
      </c>
      <c r="AU1198">
        <v>0</v>
      </c>
      <c r="AV1198">
        <v>0</v>
      </c>
      <c r="AW1198">
        <v>0</v>
      </c>
      <c r="AX1198" s="141">
        <f>COUNTIF(V1198:AW1198,"&lt;&gt;0")</f>
        <v>1</v>
      </c>
      <c r="AY1198" s="141">
        <f>COUNTIF(V1198:AL1198,"&lt;&gt;0")</f>
        <v>1</v>
      </c>
      <c r="AZ1198">
        <f>COUNTIF(V1198:AC1198,"&lt;&gt;0")</f>
        <v>0</v>
      </c>
      <c r="BA1198">
        <f>COUNTIF(AD1198:AI1198,"&lt;&gt;0")</f>
        <v>1</v>
      </c>
      <c r="BB1198">
        <f>COUNTIF(AJ1198:AL1198,"&lt;&gt;0")</f>
        <v>0</v>
      </c>
      <c r="BC1198">
        <f>COUNTIF(AS1198:AW1198,"&lt;&gt;0")</f>
        <v>0</v>
      </c>
      <c r="BD1198">
        <f>COUNTIF(AM1198:AR1198,"&lt;&gt;0")</f>
        <v>0</v>
      </c>
      <c r="BE1198" t="str" cm="1">
        <f t="array" ref="BE1198">IF(AY1198=1,INDEX($V$7:$AL$7,MATCH(TRUE,INDEX($V1198:$AW1198&lt;&gt;0,),0)),IF(AY1198=0,INDEX($AM$7:$AW$7,MATCH(1,$AM1198:$AW1198,0)),IF(BF1198="Multiple strategies","mixed drivers",IF(BF1198="Supply chain","multiple supply","multiple silviculture"))))</f>
        <v xml:space="preserve">end of life disposal </v>
      </c>
      <c r="BF1198" s="2" t="str" cm="1">
        <f t="array" ref="BF1198">IF(COUNTIF(AZ1198:BB1198,"&lt;&gt;0")=1,INDEX($V$4:$AW$4,MATCH(TRUE,INDEX($V1198:$AW1198&lt;&gt;0,),0)),IF(COUNTIF(AZ1198:BB1198,"&lt;&gt;0")=0,INDEX($AM$4:$AW$4,MATCH(1,$AM1198:$AW1198,0)),"Multiple strategies"))</f>
        <v>Supply chain</v>
      </c>
      <c r="BG1198" s="1" t="s">
        <v>229</v>
      </c>
      <c r="BH1198" s="264" t="s">
        <v>1090</v>
      </c>
      <c r="BI1198" s="264" t="s">
        <v>716</v>
      </c>
      <c r="BJ1198" s="264" t="s">
        <v>1091</v>
      </c>
      <c r="BK1198">
        <f>(6.17+4901.94+10375.04+8069.52+1195.9)/43229</f>
        <v>0.56787272432857583</v>
      </c>
      <c r="BL1198">
        <f>(6.17+4901.94+10375.04+8069.52+1195.9)/43229</f>
        <v>0.56787272432857583</v>
      </c>
      <c r="BN1198">
        <f>BL1198-BK1198</f>
        <v>0</v>
      </c>
      <c r="BO1198">
        <f>BL1198-BK1198</f>
        <v>0</v>
      </c>
      <c r="BP1198" s="264" t="s">
        <v>395</v>
      </c>
      <c r="BQ1198" s="264" t="s">
        <v>429</v>
      </c>
      <c r="BR1198" s="264" t="s">
        <v>1092</v>
      </c>
      <c r="BT1198" s="299">
        <f>417.21+86.188</f>
        <v>503.39799999999997</v>
      </c>
      <c r="BU1198" s="144">
        <f>41.21-86.88</f>
        <v>-45.669999999999995</v>
      </c>
      <c r="BV1198">
        <f>BT1198-BS1198</f>
        <v>503.39799999999997</v>
      </c>
      <c r="BX1198">
        <f>BV1198/1000</f>
        <v>0.50339800000000001</v>
      </c>
      <c r="BY1198" t="str">
        <f>IFERROR(BX1198/BO1198,"")</f>
        <v/>
      </c>
      <c r="BZ1198">
        <v>0</v>
      </c>
      <c r="CA1198">
        <v>0</v>
      </c>
      <c r="CB1198">
        <v>0</v>
      </c>
      <c r="CC1198">
        <v>0</v>
      </c>
      <c r="CD1198">
        <v>0</v>
      </c>
      <c r="CE1198">
        <v>0</v>
      </c>
      <c r="CF1198">
        <v>0</v>
      </c>
      <c r="CG1198">
        <v>0</v>
      </c>
      <c r="CH1198">
        <v>0</v>
      </c>
      <c r="CI1198">
        <v>0</v>
      </c>
      <c r="CJ1198">
        <v>0</v>
      </c>
      <c r="CK1198">
        <v>0</v>
      </c>
      <c r="CL1198">
        <v>0</v>
      </c>
      <c r="CM1198">
        <v>0</v>
      </c>
      <c r="CN1198" t="str">
        <f>IF($BL1198&lt;$BK1198,"refNeedCorrection","refOK")</f>
        <v>refOK</v>
      </c>
      <c r="CO1198">
        <f>IF($CN1198="refOK",$BK1198,$BL1198)</f>
        <v>0.56787272432857583</v>
      </c>
      <c r="CP1198">
        <f>IF($CN1198="refOK",$BL1198,$BK1198)</f>
        <v>0.56787272432857583</v>
      </c>
      <c r="CQ1198">
        <f>IF($CN1198="refOK",$BO1198,-$BO1198)</f>
        <v>0</v>
      </c>
      <c r="CR1198">
        <f>IF($CN1198="refOK",$BS1198,$BT1198)*IF($BP1198="Emissions positive",-1,1)</f>
        <v>0</v>
      </c>
      <c r="CS1198">
        <f>IF($CN1198="refOK",$BT1198,$BS1198)*IF($BP1198="Emissions positive",-1,1)</f>
        <v>-503.39799999999997</v>
      </c>
      <c r="CT1198">
        <f>IF($CN1198="refNeedCorrection",-BX1198,BX1198)*IF($BP1198="Emissions positive",-1,1)</f>
        <v>-0.50339800000000001</v>
      </c>
      <c r="CU1198" t="str">
        <f>IFERROR(CT1198/CQ1198,"")</f>
        <v/>
      </c>
      <c r="CV1198" s="2" t="str">
        <f>IFERROR((CS1198-CR1198)/ABS(CR1198),"")</f>
        <v/>
      </c>
      <c r="CW1198" s="263" t="s">
        <v>263</v>
      </c>
      <c r="CX1198" s="264" t="str">
        <f>IF(OR($CW1198="prd",$CW1198="std",$CW1198="cit"),"loc",IF(OR($CW1198="eur",$CW1198="reg",$CW1198="coy"),"reg",$CW1198))</f>
        <v>loc</v>
      </c>
      <c r="CY1198" s="264" t="s">
        <v>574</v>
      </c>
      <c r="DB1198">
        <v>0</v>
      </c>
      <c r="DC1198" t="str">
        <f>IF(DB1198=0,"0",IF(AND(DB1198&gt;=1,DB1198&lt;=30),"1-30",IF(AND(DB1198&gt;30,DB1198&lt;=70),"31-70",IF(AND(DB1198&gt;70,DB1198&lt;=100),"71-100",IF(DB1198&gt;100,"+100")))))</f>
        <v>0</v>
      </c>
      <c r="DD1198">
        <v>0</v>
      </c>
      <c r="DE1198">
        <v>0</v>
      </c>
      <c r="DF1198">
        <v>0</v>
      </c>
      <c r="DG1198">
        <v>1</v>
      </c>
      <c r="DH1198">
        <v>0</v>
      </c>
      <c r="DI1198">
        <f>SUM(DD1198:DG1198)</f>
        <v>1</v>
      </c>
      <c r="DJ1198" t="str">
        <f>IF(DI1198=1,INDEX($DD$7:$DG$7,MATCH(1,$DD1198:$DG1198,0)),"mixedProduct")</f>
        <v>TimberInput</v>
      </c>
      <c r="DK1198">
        <f>IF(DD1198=1,DK$7,0)</f>
        <v>0</v>
      </c>
      <c r="DL1198">
        <f>IF(DE1198=1,DL$7,0)</f>
        <v>0</v>
      </c>
      <c r="DM1198">
        <f>IF(DF1198=1,DM$7,0)</f>
        <v>0</v>
      </c>
      <c r="DN1198" t="str">
        <f>IF(DG1198=1,DN$7,0)</f>
        <v>Timber</v>
      </c>
      <c r="DO1198">
        <v>0</v>
      </c>
      <c r="DP1198">
        <v>0</v>
      </c>
      <c r="DQ1198">
        <v>0</v>
      </c>
      <c r="DR1198">
        <v>0</v>
      </c>
      <c r="DS1198">
        <v>0</v>
      </c>
      <c r="DT1198">
        <f>SUM(DO1198:DP1198)</f>
        <v>0</v>
      </c>
      <c r="DU1198" s="143" t="str">
        <f>IF(DO1198=1,"self-calculated DF",IF(DP1198=1,"external DF used","explicit C balance"))</f>
        <v>explicit C balance</v>
      </c>
      <c r="DV1198">
        <v>0</v>
      </c>
      <c r="DW1198">
        <v>1</v>
      </c>
      <c r="DX1198">
        <v>0</v>
      </c>
      <c r="DY1198">
        <v>1</v>
      </c>
      <c r="DZ1198">
        <v>1</v>
      </c>
      <c r="EA1198">
        <v>0</v>
      </c>
      <c r="EB1198">
        <v>1</v>
      </c>
      <c r="EC1198">
        <v>1</v>
      </c>
      <c r="ED1198">
        <v>1</v>
      </c>
      <c r="EE1198">
        <v>1</v>
      </c>
      <c r="EF1198">
        <v>0</v>
      </c>
      <c r="EG1198">
        <v>0</v>
      </c>
      <c r="EH1198">
        <v>0</v>
      </c>
      <c r="EI1198" s="2">
        <v>0</v>
      </c>
      <c r="EK1198" t="str">
        <f>IF(AND(AND(AND(OR($DX1198=1,$DW1198=1),OR($EC1198=1,$EA1198=1)),SUM($DV1198:$DZ1198,$EF1198)&gt;=4),SUM($EA1198:$EE1198)&gt;=2),"Whole sector","")</f>
        <v/>
      </c>
      <c r="EL1198" t="str">
        <f>IF(AND(AND(OR($DX1198=1,$DW1198=1),AND($EC1198=0,$EA1198=0)),SUM($DV1198:$DZ1198,$EF1198)&gt;=4),"Ecosystem approach","")</f>
        <v/>
      </c>
      <c r="EM1198" s="2" t="str">
        <f>IF(AND(AND(AND($DX1198=0,$DW1198=0),OR($EC1198=1,$EA1198=1)),SUM($EB1198:$EE1198)&gt;=2),"Technology approach","")</f>
        <v/>
      </c>
      <c r="EP1198" t="b">
        <f>IF(ISNUMBER(BU1198),IF(ABS(BU1198-[3]QC_indicators!$B$2)&gt;3*[3]QC_indicators!$C$2,"C ratio",IF(ISNUMBER(BY1198),IF(ABS(BY1198-[3]QC_indicators!$B$1)&gt;3*[3]QC_indicators!$C$1,"DF","no"))),IF(ISNUMBER(BY1198),IF(ABS(BY1198-[3]QC_indicators!$B$1)&gt;3*[3]QC_indicators!$C$1,"DF","no")))</f>
        <v>0</v>
      </c>
      <c r="ET1198" s="264" t="s">
        <v>3407</v>
      </c>
    </row>
    <row r="1199" spans="1:150" ht="15" customHeight="1">
      <c r="A1199" s="1" t="s">
        <v>333</v>
      </c>
      <c r="B1199" t="s">
        <v>1081</v>
      </c>
      <c r="C1199" t="s">
        <v>1082</v>
      </c>
      <c r="D1199" t="s">
        <v>1083</v>
      </c>
      <c r="E1199" t="s">
        <v>1084</v>
      </c>
      <c r="F1199" t="s">
        <v>1085</v>
      </c>
      <c r="G1199" t="s">
        <v>339</v>
      </c>
      <c r="H1199" t="s">
        <v>254</v>
      </c>
      <c r="I1199">
        <v>2022</v>
      </c>
      <c r="J1199">
        <v>3</v>
      </c>
      <c r="K1199" t="s">
        <v>1086</v>
      </c>
      <c r="M1199" t="str">
        <f>LEFT($D1199,FIND(",",$D1199)-1)&amp;"_"&amp;I1199&amp;L1199</f>
        <v>Robati_2022</v>
      </c>
      <c r="N1199" t="s">
        <v>222</v>
      </c>
      <c r="O1199" s="264" t="s">
        <v>223</v>
      </c>
      <c r="Q1199" s="264" t="s">
        <v>389</v>
      </c>
      <c r="R1199" s="269" t="s">
        <v>1154</v>
      </c>
      <c r="S1199" s="263" t="s">
        <v>1093</v>
      </c>
      <c r="T1199" s="264" t="s">
        <v>1088</v>
      </c>
      <c r="U1199" s="264" t="s">
        <v>1089</v>
      </c>
      <c r="V1199">
        <v>0</v>
      </c>
      <c r="W1199">
        <v>0</v>
      </c>
      <c r="X1199">
        <v>0</v>
      </c>
      <c r="Y1199">
        <v>0</v>
      </c>
      <c r="Z1199">
        <v>0</v>
      </c>
      <c r="AA1199">
        <v>0</v>
      </c>
      <c r="AB1199">
        <v>0</v>
      </c>
      <c r="AC1199">
        <v>0</v>
      </c>
      <c r="AD1199">
        <v>1</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s="141">
        <f>COUNTIF(V1199:AW1199,"&lt;&gt;0")</f>
        <v>1</v>
      </c>
      <c r="AY1199" s="141">
        <f>COUNTIF(V1199:AL1199,"&lt;&gt;0")</f>
        <v>1</v>
      </c>
      <c r="AZ1199">
        <f>COUNTIF(V1199:AC1199,"&lt;&gt;0")</f>
        <v>0</v>
      </c>
      <c r="BA1199">
        <f>COUNTIF(AD1199:AI1199,"&lt;&gt;0")</f>
        <v>1</v>
      </c>
      <c r="BB1199">
        <f>COUNTIF(AJ1199:AL1199,"&lt;&gt;0")</f>
        <v>0</v>
      </c>
      <c r="BC1199">
        <f>COUNTIF(AS1199:AW1199,"&lt;&gt;0")</f>
        <v>0</v>
      </c>
      <c r="BD1199">
        <f>COUNTIF(AM1199:AR1199,"&lt;&gt;0")</f>
        <v>0</v>
      </c>
      <c r="BE1199" t="str" cm="1">
        <f t="array" ref="BE1199">IF(AY1199=1,INDEX($V$7:$AL$7,MATCH(TRUE,INDEX($V1199:$AW1199&lt;&gt;0,),0)),IF(AY1199=0,INDEX($AM$7:$AW$7,MATCH(1,$AM1199:$AW1199,0)),IF(BF1199="Multiple strategies","mixed drivers",IF(BF1199="Supply chain","multiple supply","multiple silviculture"))))</f>
        <v>harvesting system</v>
      </c>
      <c r="BF1199" s="2" t="str" cm="1">
        <f t="array" ref="BF1199">IF(COUNTIF(AZ1199:BB1199,"&lt;&gt;0")=1,INDEX($V$4:$AW$4,MATCH(TRUE,INDEX($V1199:$AW1199&lt;&gt;0,),0)),IF(COUNTIF(AZ1199:BB1199,"&lt;&gt;0")=0,INDEX($AM$4:$AW$4,MATCH(1,$AM1199:$AW1199,0)),"Multiple strategies"))</f>
        <v>Supply chain</v>
      </c>
      <c r="BG1199" s="1" t="s">
        <v>229</v>
      </c>
      <c r="BH1199" s="264" t="s">
        <v>1090</v>
      </c>
      <c r="BI1199" s="264" t="s">
        <v>716</v>
      </c>
      <c r="BJ1199" s="264" t="s">
        <v>1091</v>
      </c>
      <c r="BK1199">
        <f>(6.17+4901.94+10375.04+8069.52+1195.9)/43229</f>
        <v>0.56787272432857583</v>
      </c>
      <c r="BL1199">
        <f>(6.17+4901.94+10375.04+8069.52+1195.9)/43229</f>
        <v>0.56787272432857583</v>
      </c>
      <c r="BN1199">
        <f>BL1199-BK1199</f>
        <v>0</v>
      </c>
      <c r="BO1199">
        <f>BL1199-BK1199</f>
        <v>0</v>
      </c>
      <c r="BP1199" s="264" t="s">
        <v>395</v>
      </c>
      <c r="BQ1199" s="264" t="s">
        <v>429</v>
      </c>
      <c r="BR1199" s="264" t="s">
        <v>1092</v>
      </c>
      <c r="BS1199">
        <f>417.21+64.7</f>
        <v>481.90999999999997</v>
      </c>
      <c r="BT1199" s="299">
        <f>417.21-64.7</f>
        <v>352.51</v>
      </c>
      <c r="BU1199" s="144">
        <f>IFERROR(BT1199/BS1199,"")</f>
        <v>0.73148513207860388</v>
      </c>
      <c r="BV1199">
        <f>BT1199-BS1199</f>
        <v>-129.39999999999998</v>
      </c>
      <c r="BX1199">
        <f>BV1199/1000</f>
        <v>-0.12939999999999999</v>
      </c>
      <c r="BY1199" t="str">
        <f>IFERROR(BX1199/BO1199,"")</f>
        <v/>
      </c>
      <c r="BZ1199">
        <v>0</v>
      </c>
      <c r="CA1199">
        <v>0</v>
      </c>
      <c r="CB1199">
        <v>0</v>
      </c>
      <c r="CC1199">
        <v>0</v>
      </c>
      <c r="CD1199">
        <v>0</v>
      </c>
      <c r="CE1199">
        <v>0</v>
      </c>
      <c r="CF1199">
        <v>0</v>
      </c>
      <c r="CG1199">
        <v>0</v>
      </c>
      <c r="CH1199">
        <v>0</v>
      </c>
      <c r="CI1199">
        <v>0</v>
      </c>
      <c r="CJ1199">
        <v>0</v>
      </c>
      <c r="CK1199">
        <v>0</v>
      </c>
      <c r="CL1199">
        <v>0</v>
      </c>
      <c r="CM1199">
        <v>0</v>
      </c>
      <c r="CN1199" t="str">
        <f>IF($BL1199&lt;$BK1199,"refNeedCorrection","refOK")</f>
        <v>refOK</v>
      </c>
      <c r="CO1199">
        <f>IF($CN1199="refOK",$BK1199,$BL1199)</f>
        <v>0.56787272432857583</v>
      </c>
      <c r="CP1199">
        <f>IF($CN1199="refOK",$BL1199,$BK1199)</f>
        <v>0.56787272432857583</v>
      </c>
      <c r="CQ1199">
        <f>IF($CN1199="refOK",$BO1199,-$BO1199)</f>
        <v>0</v>
      </c>
      <c r="CR1199">
        <f>IF($CN1199="refOK",$BS1199,$BT1199)*IF($BP1199="Emissions positive",-1,1)</f>
        <v>-481.90999999999997</v>
      </c>
      <c r="CS1199">
        <f>IF($CN1199="refOK",$BT1199,$BS1199)*IF($BP1199="Emissions positive",-1,1)</f>
        <v>-352.51</v>
      </c>
      <c r="CT1199">
        <f>IF($CN1199="refNeedCorrection",-BX1199,BX1199)*IF($BP1199="Emissions positive",-1,1)</f>
        <v>0.12939999999999999</v>
      </c>
      <c r="CU1199" t="str">
        <f>IFERROR(CT1199/CQ1199,"")</f>
        <v/>
      </c>
      <c r="CV1199" s="2">
        <f>IFERROR((CS1199-CR1199)/ABS(CR1199),"")</f>
        <v>0.26851486792139606</v>
      </c>
      <c r="CW1199" s="263" t="s">
        <v>263</v>
      </c>
      <c r="CX1199" s="264" t="str">
        <f>IF(OR($CW1199="prd",$CW1199="std",$CW1199="cit"),"loc",IF(OR($CW1199="eur",$CW1199="reg",$CW1199="coy"),"reg",$CW1199))</f>
        <v>loc</v>
      </c>
      <c r="CY1199" s="264" t="s">
        <v>574</v>
      </c>
      <c r="DB1199">
        <v>0</v>
      </c>
      <c r="DC1199" t="str">
        <f>IF(DB1199=0,"0",IF(AND(DB1199&gt;=1,DB1199&lt;=30),"1-30",IF(AND(DB1199&gt;30,DB1199&lt;=70),"31-70",IF(AND(DB1199&gt;70,DB1199&lt;=100),"71-100",IF(DB1199&gt;100,"+100")))))</f>
        <v>0</v>
      </c>
      <c r="DD1199">
        <v>0</v>
      </c>
      <c r="DE1199">
        <v>0</v>
      </c>
      <c r="DF1199">
        <v>0</v>
      </c>
      <c r="DG1199">
        <v>1</v>
      </c>
      <c r="DH1199">
        <v>0</v>
      </c>
      <c r="DI1199">
        <f>SUM(DD1199:DG1199)</f>
        <v>1</v>
      </c>
      <c r="DJ1199" t="str">
        <f>IF(DI1199=1,INDEX($DD$7:$DG$7,MATCH(1,$DD1199:$DG1199,0)),"mixedProduct")</f>
        <v>TimberInput</v>
      </c>
      <c r="DK1199">
        <f>IF(DD1199=1,DK$7,0)</f>
        <v>0</v>
      </c>
      <c r="DL1199">
        <f>IF(DE1199=1,DL$7,0)</f>
        <v>0</v>
      </c>
      <c r="DM1199">
        <f>IF(DF1199=1,DM$7,0)</f>
        <v>0</v>
      </c>
      <c r="DN1199" t="str">
        <f>IF(DG1199=1,DN$7,0)</f>
        <v>Timber</v>
      </c>
      <c r="DO1199">
        <v>0</v>
      </c>
      <c r="DP1199">
        <v>0</v>
      </c>
      <c r="DQ1199">
        <v>0</v>
      </c>
      <c r="DR1199">
        <v>0</v>
      </c>
      <c r="DS1199">
        <v>0</v>
      </c>
      <c r="DT1199">
        <f>SUM(DO1199:DP1199)</f>
        <v>0</v>
      </c>
      <c r="DU1199" s="143" t="str">
        <f>IF(DO1199=1,"self-calculated DF",IF(DP1199=1,"external DF used","explicit C balance"))</f>
        <v>explicit C balance</v>
      </c>
      <c r="DV1199">
        <v>0</v>
      </c>
      <c r="DW1199">
        <v>1</v>
      </c>
      <c r="DX1199">
        <v>0</v>
      </c>
      <c r="DY1199">
        <v>1</v>
      </c>
      <c r="DZ1199">
        <v>1</v>
      </c>
      <c r="EA1199">
        <v>0</v>
      </c>
      <c r="EB1199">
        <v>1</v>
      </c>
      <c r="EC1199">
        <v>1</v>
      </c>
      <c r="ED1199">
        <v>1</v>
      </c>
      <c r="EE1199">
        <v>1</v>
      </c>
      <c r="EF1199">
        <v>0</v>
      </c>
      <c r="EG1199">
        <v>0</v>
      </c>
      <c r="EH1199">
        <v>0</v>
      </c>
      <c r="EI1199" s="2">
        <v>0</v>
      </c>
      <c r="EK1199" t="str">
        <f>IF(AND(AND(AND(OR($DX1199=1,$DW1199=1),OR($EC1199=1,$EA1199=1)),SUM($DV1199:$DZ1199,$EF1199)&gt;=4),SUM($EA1199:$EE1199)&gt;=2),"Whole sector","")</f>
        <v/>
      </c>
      <c r="EL1199" t="str">
        <f>IF(AND(AND(OR($DX1199=1,$DW1199=1),AND($EC1199=0,$EA1199=0)),SUM($DV1199:$DZ1199,$EF1199)&gt;=4),"Ecosystem approach","")</f>
        <v/>
      </c>
      <c r="EM1199" s="2" t="str">
        <f>IF(AND(AND(AND($DX1199=0,$DW1199=0),OR($EC1199=1,$EA1199=1)),SUM($EB1199:$EE1199)&gt;=2),"Technology approach","")</f>
        <v/>
      </c>
      <c r="EP1199" t="b">
        <f>IF(ISNUMBER(BU1199),IF(ABS(BU1199-[3]QC_indicators!$B$2)&gt;3*[3]QC_indicators!$C$2,"C ratio",IF(ISNUMBER(BY1199),IF(ABS(BY1199-[3]QC_indicators!$B$1)&gt;3*[3]QC_indicators!$C$1,"DF","no"))),IF(ISNUMBER(BY1199),IF(ABS(BY1199-[3]QC_indicators!$B$1)&gt;3*[3]QC_indicators!$C$1,"DF","no")))</f>
        <v>0</v>
      </c>
      <c r="ET1199" s="264" t="s">
        <v>3407</v>
      </c>
    </row>
    <row r="1200" spans="1:150" ht="15" customHeight="1">
      <c r="A1200" s="1" t="s">
        <v>333</v>
      </c>
      <c r="B1200" t="s">
        <v>1081</v>
      </c>
      <c r="C1200" t="s">
        <v>1082</v>
      </c>
      <c r="D1200" t="s">
        <v>1083</v>
      </c>
      <c r="E1200" t="s">
        <v>1084</v>
      </c>
      <c r="F1200" t="s">
        <v>1085</v>
      </c>
      <c r="G1200" t="s">
        <v>339</v>
      </c>
      <c r="H1200" t="s">
        <v>254</v>
      </c>
      <c r="I1200">
        <v>2022</v>
      </c>
      <c r="J1200">
        <v>3</v>
      </c>
      <c r="K1200" t="s">
        <v>1086</v>
      </c>
      <c r="M1200" t="str">
        <f>LEFT($D1200,FIND(",",$D1200)-1)&amp;"_"&amp;I1200&amp;L1200</f>
        <v>Robati_2022</v>
      </c>
      <c r="N1200" t="s">
        <v>222</v>
      </c>
      <c r="O1200" s="264" t="s">
        <v>223</v>
      </c>
      <c r="Q1200" s="264" t="s">
        <v>389</v>
      </c>
      <c r="R1200" s="269" t="s">
        <v>1154</v>
      </c>
      <c r="S1200" s="263" t="s">
        <v>1094</v>
      </c>
      <c r="T1200" s="264" t="s">
        <v>1088</v>
      </c>
      <c r="U1200" s="264" t="s">
        <v>1089</v>
      </c>
      <c r="V1200">
        <v>0</v>
      </c>
      <c r="W1200">
        <v>0</v>
      </c>
      <c r="X1200">
        <v>0</v>
      </c>
      <c r="Y1200">
        <v>0</v>
      </c>
      <c r="Z1200">
        <v>0</v>
      </c>
      <c r="AA1200">
        <v>0</v>
      </c>
      <c r="AB1200">
        <v>0</v>
      </c>
      <c r="AC1200">
        <v>0</v>
      </c>
      <c r="AD1200">
        <v>0</v>
      </c>
      <c r="AE1200">
        <v>0</v>
      </c>
      <c r="AF1200">
        <v>0</v>
      </c>
      <c r="AG1200">
        <v>0</v>
      </c>
      <c r="AH1200">
        <v>0</v>
      </c>
      <c r="AI1200">
        <v>1</v>
      </c>
      <c r="AJ1200">
        <v>0</v>
      </c>
      <c r="AK1200">
        <v>0</v>
      </c>
      <c r="AL1200">
        <v>0</v>
      </c>
      <c r="AM1200">
        <v>0</v>
      </c>
      <c r="AN1200">
        <v>0</v>
      </c>
      <c r="AO1200">
        <v>0</v>
      </c>
      <c r="AP1200">
        <v>0</v>
      </c>
      <c r="AQ1200">
        <v>0</v>
      </c>
      <c r="AR1200">
        <v>0</v>
      </c>
      <c r="AS1200">
        <v>0</v>
      </c>
      <c r="AT1200">
        <v>0</v>
      </c>
      <c r="AU1200">
        <v>0</v>
      </c>
      <c r="AV1200">
        <v>0</v>
      </c>
      <c r="AW1200">
        <v>0</v>
      </c>
      <c r="AX1200" s="141">
        <f>COUNTIF(V1200:AW1200,"&lt;&gt;0")</f>
        <v>1</v>
      </c>
      <c r="AY1200" s="141">
        <f>COUNTIF(V1200:AL1200,"&lt;&gt;0")</f>
        <v>1</v>
      </c>
      <c r="AZ1200">
        <f>COUNTIF(V1200:AC1200,"&lt;&gt;0")</f>
        <v>0</v>
      </c>
      <c r="BA1200">
        <f>COUNTIF(AD1200:AI1200,"&lt;&gt;0")</f>
        <v>1</v>
      </c>
      <c r="BB1200">
        <f>COUNTIF(AJ1200:AL1200,"&lt;&gt;0")</f>
        <v>0</v>
      </c>
      <c r="BC1200">
        <f>COUNTIF(AS1200:AW1200,"&lt;&gt;0")</f>
        <v>0</v>
      </c>
      <c r="BD1200">
        <f>COUNTIF(AM1200:AR1200,"&lt;&gt;0")</f>
        <v>0</v>
      </c>
      <c r="BE1200" t="str" cm="1">
        <f t="array" ref="BE1200">IF(AY1200=1,INDEX($V$7:$AL$7,MATCH(TRUE,INDEX($V1200:$AW1200&lt;&gt;0,),0)),IF(AY1200=0,INDEX($AM$7:$AW$7,MATCH(1,$AM1200:$AW1200,0)),IF(BF1200="Multiple strategies","mixed drivers",IF(BF1200="Supply chain","multiple supply","multiple silviculture"))))</f>
        <v>products lifespan</v>
      </c>
      <c r="BF1200" s="2" t="str" cm="1">
        <f t="array" ref="BF1200">IF(COUNTIF(AZ1200:BB1200,"&lt;&gt;0")=1,INDEX($V$4:$AW$4,MATCH(TRUE,INDEX($V1200:$AW1200&lt;&gt;0,),0)),IF(COUNTIF(AZ1200:BB1200,"&lt;&gt;0")=0,INDEX($AM$4:$AW$4,MATCH(1,$AM1200:$AW1200,0)),"Multiple strategies"))</f>
        <v>Supply chain</v>
      </c>
      <c r="BG1200" s="1" t="s">
        <v>229</v>
      </c>
      <c r="BH1200" s="264" t="s">
        <v>1090</v>
      </c>
      <c r="BI1200" s="264" t="s">
        <v>716</v>
      </c>
      <c r="BJ1200" s="264" t="s">
        <v>1091</v>
      </c>
      <c r="BK1200">
        <f>(6.17+4901.94+10375.04+8069.52+1195.9)/43229</f>
        <v>0.56787272432857583</v>
      </c>
      <c r="BL1200">
        <f>(6.17+4901.94+10375.04+8069.52+1195.9)/43229</f>
        <v>0.56787272432857583</v>
      </c>
      <c r="BN1200">
        <f>BL1200-BK1200</f>
        <v>0</v>
      </c>
      <c r="BO1200">
        <f>BL1200-BK1200</f>
        <v>0</v>
      </c>
      <c r="BP1200" s="264" t="s">
        <v>395</v>
      </c>
      <c r="BQ1200" s="264" t="s">
        <v>429</v>
      </c>
      <c r="BR1200" s="264" t="s">
        <v>1092</v>
      </c>
      <c r="BS1200">
        <f>417.21+49.8</f>
        <v>467.01</v>
      </c>
      <c r="BT1200" s="299">
        <f>417.21-49.8</f>
        <v>367.40999999999997</v>
      </c>
      <c r="BU1200" s="144">
        <f>IFERROR(BT1200/BS1200,"")</f>
        <v>0.78672833558167909</v>
      </c>
      <c r="BV1200">
        <f>BT1200-BS1200</f>
        <v>-99.600000000000023</v>
      </c>
      <c r="BX1200">
        <f>BV1200/1000</f>
        <v>-9.9600000000000022E-2</v>
      </c>
      <c r="BY1200" t="str">
        <f>IFERROR(BX1200/BO1200,"")</f>
        <v/>
      </c>
      <c r="BZ1200">
        <v>0</v>
      </c>
      <c r="CA1200">
        <v>0</v>
      </c>
      <c r="CB1200">
        <v>0</v>
      </c>
      <c r="CC1200">
        <v>0</v>
      </c>
      <c r="CD1200">
        <v>0</v>
      </c>
      <c r="CE1200">
        <v>0</v>
      </c>
      <c r="CF1200">
        <v>0</v>
      </c>
      <c r="CG1200">
        <v>0</v>
      </c>
      <c r="CH1200">
        <v>0</v>
      </c>
      <c r="CI1200">
        <v>0</v>
      </c>
      <c r="CJ1200">
        <v>0</v>
      </c>
      <c r="CK1200">
        <v>0</v>
      </c>
      <c r="CL1200">
        <v>0</v>
      </c>
      <c r="CM1200">
        <v>0</v>
      </c>
      <c r="CN1200" t="str">
        <f>IF($BL1200&lt;$BK1200,"refNeedCorrection","refOK")</f>
        <v>refOK</v>
      </c>
      <c r="CO1200">
        <f>IF($CN1200="refOK",$BK1200,$BL1200)</f>
        <v>0.56787272432857583</v>
      </c>
      <c r="CP1200">
        <f>IF($CN1200="refOK",$BL1200,$BK1200)</f>
        <v>0.56787272432857583</v>
      </c>
      <c r="CQ1200">
        <f>IF($CN1200="refOK",$BO1200,-$BO1200)</f>
        <v>0</v>
      </c>
      <c r="CR1200">
        <f>IF($CN1200="refOK",$BS1200,$BT1200)*IF($BP1200="Emissions positive",-1,1)</f>
        <v>-467.01</v>
      </c>
      <c r="CS1200">
        <f>IF($CN1200="refOK",$BT1200,$BS1200)*IF($BP1200="Emissions positive",-1,1)</f>
        <v>-367.40999999999997</v>
      </c>
      <c r="CT1200">
        <f>IF($CN1200="refNeedCorrection",-BX1200,BX1200)*IF($BP1200="Emissions positive",-1,1)</f>
        <v>9.9600000000000022E-2</v>
      </c>
      <c r="CU1200" t="str">
        <f>IFERROR(CT1200/CQ1200,"")</f>
        <v/>
      </c>
      <c r="CV1200" s="2">
        <f>IFERROR((CS1200-CR1200)/ABS(CR1200),"")</f>
        <v>0.21327166441832085</v>
      </c>
      <c r="CW1200" s="263" t="s">
        <v>263</v>
      </c>
      <c r="CX1200" s="264" t="str">
        <f>IF(OR($CW1200="prd",$CW1200="std",$CW1200="cit"),"loc",IF(OR($CW1200="eur",$CW1200="reg",$CW1200="coy"),"reg",$CW1200))</f>
        <v>loc</v>
      </c>
      <c r="CY1200" s="264" t="s">
        <v>574</v>
      </c>
      <c r="DB1200">
        <v>0</v>
      </c>
      <c r="DC1200" t="str">
        <f>IF(DB1200=0,"0",IF(AND(DB1200&gt;=1,DB1200&lt;=30),"1-30",IF(AND(DB1200&gt;30,DB1200&lt;=70),"31-70",IF(AND(DB1200&gt;70,DB1200&lt;=100),"71-100",IF(DB1200&gt;100,"+100")))))</f>
        <v>0</v>
      </c>
      <c r="DD1200">
        <v>0</v>
      </c>
      <c r="DE1200">
        <v>0</v>
      </c>
      <c r="DF1200">
        <v>0</v>
      </c>
      <c r="DG1200">
        <v>1</v>
      </c>
      <c r="DH1200">
        <v>0</v>
      </c>
      <c r="DI1200">
        <f>SUM(DD1200:DG1200)</f>
        <v>1</v>
      </c>
      <c r="DJ1200" t="str">
        <f>IF(DI1200=1,INDEX($DD$7:$DG$7,MATCH(1,$DD1200:$DG1200,0)),"mixedProduct")</f>
        <v>TimberInput</v>
      </c>
      <c r="DK1200">
        <f>IF(DD1200=1,DK$7,0)</f>
        <v>0</v>
      </c>
      <c r="DL1200">
        <f>IF(DE1200=1,DL$7,0)</f>
        <v>0</v>
      </c>
      <c r="DM1200">
        <f>IF(DF1200=1,DM$7,0)</f>
        <v>0</v>
      </c>
      <c r="DN1200" t="str">
        <f>IF(DG1200=1,DN$7,0)</f>
        <v>Timber</v>
      </c>
      <c r="DO1200">
        <v>0</v>
      </c>
      <c r="DP1200">
        <v>0</v>
      </c>
      <c r="DQ1200">
        <v>0</v>
      </c>
      <c r="DR1200">
        <v>0</v>
      </c>
      <c r="DS1200">
        <v>0</v>
      </c>
      <c r="DT1200">
        <f>SUM(DO1200:DP1200)</f>
        <v>0</v>
      </c>
      <c r="DU1200" s="143" t="str">
        <f>IF(DO1200=1,"self-calculated DF",IF(DP1200=1,"external DF used","explicit C balance"))</f>
        <v>explicit C balance</v>
      </c>
      <c r="DV1200">
        <v>0</v>
      </c>
      <c r="DW1200">
        <v>1</v>
      </c>
      <c r="DX1200">
        <v>0</v>
      </c>
      <c r="DY1200">
        <v>1</v>
      </c>
      <c r="DZ1200">
        <v>1</v>
      </c>
      <c r="EA1200">
        <v>0</v>
      </c>
      <c r="EB1200">
        <v>1</v>
      </c>
      <c r="EC1200">
        <v>1</v>
      </c>
      <c r="ED1200">
        <v>1</v>
      </c>
      <c r="EE1200">
        <v>1</v>
      </c>
      <c r="EF1200">
        <v>0</v>
      </c>
      <c r="EG1200">
        <v>0</v>
      </c>
      <c r="EH1200">
        <v>0</v>
      </c>
      <c r="EI1200" s="2">
        <v>0</v>
      </c>
      <c r="EK1200" t="str">
        <f>IF(AND(AND(AND(OR($DX1200=1,$DW1200=1),OR($EC1200=1,$EA1200=1)),SUM($DV1200:$DZ1200,$EF1200)&gt;=4),SUM($EA1200:$EE1200)&gt;=2),"Whole sector","")</f>
        <v/>
      </c>
      <c r="EL1200" t="str">
        <f>IF(AND(AND(OR($DX1200=1,$DW1200=1),AND($EC1200=0,$EA1200=0)),SUM($DV1200:$DZ1200,$EF1200)&gt;=4),"Ecosystem approach","")</f>
        <v/>
      </c>
      <c r="EM1200" s="2" t="str">
        <f>IF(AND(AND(AND($DX1200=0,$DW1200=0),OR($EC1200=1,$EA1200=1)),SUM($EB1200:$EE1200)&gt;=2),"Technology approach","")</f>
        <v/>
      </c>
      <c r="EP1200" t="b">
        <f>IF(ISNUMBER(BU1200),IF(ABS(BU1200-[3]QC_indicators!$B$2)&gt;3*[3]QC_indicators!$C$2,"C ratio",IF(ISNUMBER(BY1200),IF(ABS(BY1200-[3]QC_indicators!$B$1)&gt;3*[3]QC_indicators!$C$1,"DF","no"))),IF(ISNUMBER(BY1200),IF(ABS(BY1200-[3]QC_indicators!$B$1)&gt;3*[3]QC_indicators!$C$1,"DF","no")))</f>
        <v>0</v>
      </c>
      <c r="ET1200" s="264" t="s">
        <v>3407</v>
      </c>
    </row>
    <row r="1201" spans="1:150" ht="15" customHeight="1">
      <c r="A1201" s="1" t="s">
        <v>2114</v>
      </c>
      <c r="B1201" t="s">
        <v>544</v>
      </c>
      <c r="C1201" t="s">
        <v>2277</v>
      </c>
      <c r="D1201" t="s">
        <v>2278</v>
      </c>
      <c r="E1201" t="s">
        <v>2279</v>
      </c>
      <c r="F1201" t="s">
        <v>2280</v>
      </c>
      <c r="G1201" t="s">
        <v>2115</v>
      </c>
      <c r="H1201" t="s">
        <v>254</v>
      </c>
      <c r="I1201">
        <v>2014</v>
      </c>
      <c r="J1201">
        <v>96</v>
      </c>
      <c r="K1201" t="s">
        <v>2281</v>
      </c>
      <c r="M1201" t="str">
        <f>LEFT($D1201,FIND(",",$D1201)-1)&amp;"_"&amp;I1201&amp;L1201</f>
        <v>Smyth_2014</v>
      </c>
      <c r="N1201" t="s">
        <v>222</v>
      </c>
      <c r="O1201" s="145" t="s">
        <v>341</v>
      </c>
      <c r="Q1201" t="s">
        <v>256</v>
      </c>
      <c r="R1201" s="262" t="s">
        <v>223</v>
      </c>
      <c r="S1201" s="1" t="s">
        <v>2282</v>
      </c>
      <c r="T1201" t="s">
        <v>1155</v>
      </c>
      <c r="U1201" t="s">
        <v>2283</v>
      </c>
      <c r="V1201">
        <v>0</v>
      </c>
      <c r="W1201">
        <v>0</v>
      </c>
      <c r="X1201">
        <v>0</v>
      </c>
      <c r="Y1201">
        <v>0</v>
      </c>
      <c r="Z1201">
        <v>0</v>
      </c>
      <c r="AA1201">
        <v>0</v>
      </c>
      <c r="AB1201">
        <v>1</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s="141">
        <f>COUNTIF(V1201:AW1201,"&lt;&gt;0")</f>
        <v>1</v>
      </c>
      <c r="AY1201" s="141">
        <f>COUNTIF(V1201:AL1201,"&lt;&gt;0")</f>
        <v>1</v>
      </c>
      <c r="AZ1201">
        <f>COUNTIF(V1201:AC1201,"&lt;&gt;0")</f>
        <v>1</v>
      </c>
      <c r="BA1201">
        <f>COUNTIF(AD1201:AI1201,"&lt;&gt;0")</f>
        <v>0</v>
      </c>
      <c r="BB1201">
        <f>COUNTIF(AJ1201:AL1201,"&lt;&gt;0")</f>
        <v>0</v>
      </c>
      <c r="BC1201">
        <f>COUNTIF(AS1201:AW1201,"&lt;&gt;0")</f>
        <v>0</v>
      </c>
      <c r="BD1201">
        <f>COUNTIF(AM1201:AR1201,"&lt;&gt;0")</f>
        <v>0</v>
      </c>
      <c r="BE1201" t="str">
        <f t="array" ref="BE1201">IF(AY1201=1,INDEX($V$7:$AL$7,MATCH(TRUE,INDEX($V1201:$AW1201&lt;&gt;0,),0)),IF(AY1201=0,INDEX($AM$7:$AW$7,MATCH(1,$AM1201:$AW1201,0)),IF(BF1201="Multiple strategies","mixed drivers",IF(BF1201="Supply chain","multiple supply","multiple silviculture"))))</f>
        <v>fertilisation</v>
      </c>
      <c r="BF1201" s="2" t="str" cm="1">
        <f t="array" ref="BF1201">IF(COUNTIF(AZ1201:BB1201,"&lt;&gt;0")=1,INDEX($V$4:$AW$4,MATCH(TRUE,INDEX($V1201:$AW1201&lt;&gt;0,),0)),IF(COUNTIF(AZ1201:BB1201,"&lt;&gt;0")=0,INDEX($AM$4:$AW$4,MATCH(1,$AM1201:$AW1201,0)),"Multiple strategies"))</f>
        <v>Silviculture for productivity</v>
      </c>
      <c r="BP1201" t="s">
        <v>232</v>
      </c>
      <c r="BR1201" t="s">
        <v>1140</v>
      </c>
      <c r="BS1201">
        <v>159.80000000000001</v>
      </c>
      <c r="BT1201">
        <f>BV1201+BS1201</f>
        <v>169.8</v>
      </c>
      <c r="BU1201" s="144">
        <f>IFERROR(BT1201/BS1201,"")</f>
        <v>1.062578222778473</v>
      </c>
      <c r="BV1201">
        <v>10</v>
      </c>
      <c r="BX1201">
        <f>BV1201*10^6</f>
        <v>10000000</v>
      </c>
      <c r="BY1201" t="str">
        <f>IFERROR(BX1201/BO1201,"")</f>
        <v/>
      </c>
      <c r="BZ1201">
        <v>0</v>
      </c>
      <c r="CA1201">
        <v>1</v>
      </c>
      <c r="CB1201">
        <v>1</v>
      </c>
      <c r="CC1201">
        <v>1</v>
      </c>
      <c r="CD1201">
        <v>0</v>
      </c>
      <c r="CE1201">
        <v>0</v>
      </c>
      <c r="CF1201">
        <v>0</v>
      </c>
      <c r="CG1201">
        <v>0</v>
      </c>
      <c r="CH1201">
        <v>0</v>
      </c>
      <c r="CI1201">
        <v>0</v>
      </c>
      <c r="CJ1201">
        <v>0</v>
      </c>
      <c r="CK1201">
        <v>0</v>
      </c>
      <c r="CL1201">
        <v>0</v>
      </c>
      <c r="CM1201">
        <v>0</v>
      </c>
      <c r="CN1201" t="str">
        <f>IF(BL1201&lt;BK1201,"refNeedCorrection","refOK")</f>
        <v>refOK</v>
      </c>
      <c r="CO1201"/>
      <c r="CP1201"/>
      <c r="CQ1201"/>
      <c r="CR1201">
        <f>IF($CN1201="refOK",$BS1201,$BT1201)*IF($BP1201="Emissions positive",-1,1)</f>
        <v>159.80000000000001</v>
      </c>
      <c r="CS1201">
        <f>IF($CN1201="refOK",$BT1201,$BS1201)*IF($BP1201="Emissions positive",-1,1)</f>
        <v>169.8</v>
      </c>
      <c r="CT1201">
        <f>IF($CN1201="refNeedCorrection",-BX1201,BX1201)*IF($BP1201="Emissions positive",-1,1)</f>
        <v>10000000</v>
      </c>
      <c r="CU1201" t="str">
        <f>IFERROR(CT1201/CQ1201,"")</f>
        <v/>
      </c>
      <c r="CV1201" s="2">
        <f>IFERROR((CS1201-CR1201)/ABS(CR1201),"")</f>
        <v>6.257822277847308E-2</v>
      </c>
      <c r="CW1201" s="1" t="s">
        <v>1203</v>
      </c>
      <c r="CX1201" t="str">
        <f>IF(OR($CW1201="prd",$CW1201="std",$CW1201="cit"),"loc",IF(OR($CW1201="eur",$CW1201="reg",$CW1201="coy"),"reg",$CW1201))</f>
        <v>reg</v>
      </c>
      <c r="CY1201" t="s">
        <v>540</v>
      </c>
      <c r="CZ1201">
        <v>2015</v>
      </c>
      <c r="DA1201">
        <v>2050</v>
      </c>
      <c r="DB1201">
        <v>35</v>
      </c>
      <c r="DC1201" t="str">
        <f>IF(DB1201=0,"0",IF(AND(DB1201&gt;=1,DB1201&lt;=30),"1-30",IF(AND(DB1201&gt;30,DB1201&lt;=70),"31-70",IF(AND(DB1201&gt;70,DB1201&lt;=100),"71-100",IF(DB1201&gt;100,"+100")))))</f>
        <v>31-70</v>
      </c>
      <c r="DD1201">
        <v>0</v>
      </c>
      <c r="DE1201">
        <v>1</v>
      </c>
      <c r="DF1201">
        <v>1</v>
      </c>
      <c r="DG1201">
        <v>1</v>
      </c>
      <c r="DI1201">
        <f>SUM(DD1201:DG1201)</f>
        <v>3</v>
      </c>
      <c r="DJ1201" t="str">
        <f>IF(DI1201=1,INDEX($DD$7:$DG$7,MATCH(1,$DD1201:$DG1201,0)),"mixedProduct")</f>
        <v>mixedProduct</v>
      </c>
      <c r="DK1201">
        <f>IF(DD1201=1,DK$7,0)</f>
        <v>0</v>
      </c>
      <c r="DL1201" t="str">
        <f>IF(DE1201=1,DL$7,0)</f>
        <v>Energy</v>
      </c>
      <c r="DM1201" t="str">
        <f>IF(DF1201=1,DM$7,0)</f>
        <v>Pulp/Paper</v>
      </c>
      <c r="DN1201" t="str">
        <f>IF(DG1201=1,DN$7,0)</f>
        <v>Timber</v>
      </c>
      <c r="DO1201">
        <v>1</v>
      </c>
      <c r="DP1201">
        <v>1</v>
      </c>
      <c r="DQ1201" t="s">
        <v>2284</v>
      </c>
      <c r="DR1201">
        <v>0</v>
      </c>
      <c r="DS1201">
        <v>0</v>
      </c>
      <c r="DT1201">
        <f>SUM(DO1201:DP1201)</f>
        <v>2</v>
      </c>
      <c r="DU1201" s="143" t="str">
        <f>IF(DO1201=1,"self-calculated DF",IF(DP1201=1,"external DF used","explicit C balance"))</f>
        <v>self-calculated DF</v>
      </c>
      <c r="DV1201">
        <v>1</v>
      </c>
      <c r="DW1201">
        <v>1</v>
      </c>
      <c r="DX1201">
        <v>1</v>
      </c>
      <c r="DY1201">
        <v>1</v>
      </c>
      <c r="DZ1201">
        <v>1</v>
      </c>
      <c r="EA1201">
        <v>1</v>
      </c>
      <c r="EB1201">
        <v>0</v>
      </c>
      <c r="EC1201">
        <v>0</v>
      </c>
      <c r="ED1201">
        <v>0</v>
      </c>
      <c r="EE1201">
        <v>0</v>
      </c>
      <c r="EF1201">
        <v>1</v>
      </c>
      <c r="EG1201">
        <v>0</v>
      </c>
      <c r="EH1201">
        <v>0</v>
      </c>
      <c r="EI1201" s="2">
        <v>0</v>
      </c>
      <c r="EK1201" t="str">
        <f>IF(AND(AND(AND(OR($DX1201=1,$DW1201=1),OR($EC1201=1,$EA1201=1)),SUM($DV1201:$DZ1201,$EF1201)&gt;=4),SUM($EA1201:$EE1201)&gt;=2),"Whole sector","")</f>
        <v/>
      </c>
      <c r="EL1201" t="str">
        <f>IF(AND(AND(OR($DX1201=1,$DW1201=1),AND($EC1201=0,$EA1201=0)),SUM($DV1201:$DZ1201,$EF1201)&gt;=4),"Ecosystem approach","")</f>
        <v/>
      </c>
      <c r="EM1201" s="2" t="str">
        <f>IF(AND(AND(AND($DX1201=0,$DW1201=0),OR($EC1201=1,$EA1201=1)),SUM($EB1201:$EE1201)&gt;=2),"Technology approach","")</f>
        <v/>
      </c>
      <c r="EP1201" t="b">
        <f>IF(ISNUMBER(BU1201),IF(ABS(BU1201-[1]QC_indicators!$B$2)&gt;3*[1]QC_indicators!$C$2,"C ratio",IF(ISNUMBER(BY1201),IF(ABS(BY1201-[1]QC_indicators!$B$1)&gt;3*[1]QC_indicators!$C$1,"DF","no"))),IF(ISNUMBER(BY1201),IF(ABS(BY1201-[1]QC_indicators!$B$1)&gt;3*[1]QC_indicators!$C$1,"DF","no")))</f>
        <v>0</v>
      </c>
      <c r="ET1201" s="268" t="s">
        <v>3242</v>
      </c>
    </row>
    <row r="1202" spans="1:150" ht="15" customHeight="1">
      <c r="A1202" s="1" t="s">
        <v>2114</v>
      </c>
      <c r="B1202" t="s">
        <v>544</v>
      </c>
      <c r="C1202" t="s">
        <v>2277</v>
      </c>
      <c r="D1202" t="s">
        <v>2278</v>
      </c>
      <c r="E1202" t="s">
        <v>2279</v>
      </c>
      <c r="F1202" t="s">
        <v>2280</v>
      </c>
      <c r="G1202" t="s">
        <v>2115</v>
      </c>
      <c r="H1202" t="s">
        <v>254</v>
      </c>
      <c r="I1202">
        <v>2014</v>
      </c>
      <c r="J1202">
        <v>96</v>
      </c>
      <c r="K1202" t="s">
        <v>2281</v>
      </c>
      <c r="M1202" t="str">
        <f>LEFT($D1202,FIND(",",$D1202)-1)&amp;"_"&amp;I1202&amp;L1202</f>
        <v>Smyth_2014</v>
      </c>
      <c r="N1202" t="s">
        <v>222</v>
      </c>
      <c r="O1202" s="145" t="s">
        <v>341</v>
      </c>
      <c r="Q1202" t="s">
        <v>256</v>
      </c>
      <c r="R1202" s="262" t="s">
        <v>223</v>
      </c>
      <c r="S1202" s="1" t="s">
        <v>2300</v>
      </c>
      <c r="T1202" t="s">
        <v>1155</v>
      </c>
      <c r="U1202" t="s">
        <v>2301</v>
      </c>
      <c r="V1202">
        <v>0</v>
      </c>
      <c r="W1202">
        <v>0</v>
      </c>
      <c r="X1202">
        <v>0</v>
      </c>
      <c r="Y1202">
        <v>0</v>
      </c>
      <c r="Z1202">
        <v>0</v>
      </c>
      <c r="AA1202">
        <v>1</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s="141">
        <f>COUNTIF(V1202:AW1202,"&lt;&gt;0")</f>
        <v>1</v>
      </c>
      <c r="AY1202" s="141">
        <f>COUNTIF(V1202:AL1202,"&lt;&gt;0")</f>
        <v>1</v>
      </c>
      <c r="AZ1202">
        <f>COUNTIF(V1202:AC1202,"&lt;&gt;0")</f>
        <v>1</v>
      </c>
      <c r="BA1202">
        <f>COUNTIF(AD1202:AI1202,"&lt;&gt;0")</f>
        <v>0</v>
      </c>
      <c r="BB1202">
        <f>COUNTIF(AJ1202:AL1202,"&lt;&gt;0")</f>
        <v>0</v>
      </c>
      <c r="BC1202">
        <f>COUNTIF(AS1202:AW1202,"&lt;&gt;0")</f>
        <v>0</v>
      </c>
      <c r="BD1202">
        <f>COUNTIF(AM1202:AR1202,"&lt;&gt;0")</f>
        <v>0</v>
      </c>
      <c r="BE1202" t="str">
        <f t="array" ref="BE1202">IF(AY1202=1,INDEX($V$7:$AL$7,MATCH(TRUE,INDEX($V1202:$AW1202&lt;&gt;0,),0)),IF(AY1202=0,INDEX($AM$7:$AW$7,MATCH(1,$AM1202:$AW1202,0)),IF(BF1202="Multiple strategies","mixed drivers",IF(BF1202="Supply chain","multiple supply","multiple silviculture"))))</f>
        <v>plantation density</v>
      </c>
      <c r="BF1202" s="2" t="str" cm="1">
        <f t="array" ref="BF1202">IF(COUNTIF(AZ1202:BB1202,"&lt;&gt;0")=1,INDEX($V$4:$AW$4,MATCH(TRUE,INDEX($V1202:$AW1202&lt;&gt;0,),0)),IF(COUNTIF(AZ1202:BB1202,"&lt;&gt;0")=0,INDEX($AM$4:$AW$4,MATCH(1,$AM1202:$AW1202,0)),"Multiple strategies"))</f>
        <v>Silviculture for productivity</v>
      </c>
      <c r="BP1202" t="s">
        <v>232</v>
      </c>
      <c r="BR1202" t="s">
        <v>1140</v>
      </c>
      <c r="BS1202">
        <v>159.80000000000001</v>
      </c>
      <c r="BT1202">
        <f>BV1202+BS1202</f>
        <v>164.8</v>
      </c>
      <c r="BU1202" s="144">
        <f>IFERROR(BT1202/BS1202,"")</f>
        <v>1.0312891113892366</v>
      </c>
      <c r="BV1202">
        <v>5</v>
      </c>
      <c r="BX1202">
        <f>BV1202*10^6</f>
        <v>5000000</v>
      </c>
      <c r="BY1202" t="str">
        <f>IFERROR(BX1202/BO1202,"")</f>
        <v/>
      </c>
      <c r="BZ1202">
        <v>0</v>
      </c>
      <c r="CA1202">
        <v>1</v>
      </c>
      <c r="CB1202">
        <v>1</v>
      </c>
      <c r="CC1202">
        <v>1</v>
      </c>
      <c r="CD1202">
        <v>0</v>
      </c>
      <c r="CE1202">
        <v>0</v>
      </c>
      <c r="CF1202">
        <v>0</v>
      </c>
      <c r="CG1202">
        <v>0</v>
      </c>
      <c r="CH1202">
        <v>0</v>
      </c>
      <c r="CI1202">
        <v>0</v>
      </c>
      <c r="CJ1202">
        <v>0</v>
      </c>
      <c r="CK1202">
        <v>0</v>
      </c>
      <c r="CL1202">
        <v>0</v>
      </c>
      <c r="CM1202">
        <v>0</v>
      </c>
      <c r="CN1202" t="str">
        <f>IF(BL1202&lt;BK1202,"refNeedCorrection","refOK")</f>
        <v>refOK</v>
      </c>
      <c r="CO1202"/>
      <c r="CP1202"/>
      <c r="CQ1202"/>
      <c r="CR1202">
        <f>IF($CN1202="refOK",$BS1202,$BT1202)*IF($BP1202="Emissions positive",-1,1)</f>
        <v>159.80000000000001</v>
      </c>
      <c r="CS1202">
        <f>IF($CN1202="refOK",$BT1202,$BS1202)*IF($BP1202="Emissions positive",-1,1)</f>
        <v>164.8</v>
      </c>
      <c r="CT1202">
        <f>IF($CN1202="refNeedCorrection",-BX1202,BX1202)*IF($BP1202="Emissions positive",-1,1)</f>
        <v>5000000</v>
      </c>
      <c r="CU1202" t="str">
        <f>IFERROR(CT1202/CQ1202,"")</f>
        <v/>
      </c>
      <c r="CV1202" s="2">
        <f>IFERROR((CS1202-CR1202)/ABS(CR1202),"")</f>
        <v>3.128911138923654E-2</v>
      </c>
      <c r="CW1202" s="1" t="s">
        <v>1203</v>
      </c>
      <c r="CX1202" t="str">
        <f>IF(OR($CW1202="prd",$CW1202="std",$CW1202="cit"),"loc",IF(OR($CW1202="eur",$CW1202="reg",$CW1202="coy"),"reg",$CW1202))</f>
        <v>reg</v>
      </c>
      <c r="CY1202" t="s">
        <v>540</v>
      </c>
      <c r="CZ1202">
        <v>2015</v>
      </c>
      <c r="DA1202">
        <v>2050</v>
      </c>
      <c r="DB1202">
        <v>35</v>
      </c>
      <c r="DC1202" t="str">
        <f>IF(DB1202=0,"0",IF(AND(DB1202&gt;=1,DB1202&lt;=30),"1-30",IF(AND(DB1202&gt;30,DB1202&lt;=70),"31-70",IF(AND(DB1202&gt;70,DB1202&lt;=100),"71-100",IF(DB1202&gt;100,"+100")))))</f>
        <v>31-70</v>
      </c>
      <c r="DD1202">
        <v>0</v>
      </c>
      <c r="DE1202">
        <v>1</v>
      </c>
      <c r="DF1202">
        <v>1</v>
      </c>
      <c r="DG1202">
        <v>1</v>
      </c>
      <c r="DI1202">
        <f>SUM(DD1202:DG1202)</f>
        <v>3</v>
      </c>
      <c r="DJ1202" t="str">
        <f>IF(DI1202=1,INDEX($DD$7:$DG$7,MATCH(1,$DD1202:$DG1202,0)),"mixedProduct")</f>
        <v>mixedProduct</v>
      </c>
      <c r="DK1202">
        <f>IF(DD1202=1,DK$7,0)</f>
        <v>0</v>
      </c>
      <c r="DL1202" t="str">
        <f>IF(DE1202=1,DL$7,0)</f>
        <v>Energy</v>
      </c>
      <c r="DM1202" t="str">
        <f>IF(DF1202=1,DM$7,0)</f>
        <v>Pulp/Paper</v>
      </c>
      <c r="DN1202" t="str">
        <f>IF(DG1202=1,DN$7,0)</f>
        <v>Timber</v>
      </c>
      <c r="DO1202">
        <v>1</v>
      </c>
      <c r="DP1202">
        <v>1</v>
      </c>
      <c r="DQ1202" t="s">
        <v>2284</v>
      </c>
      <c r="DR1202">
        <v>0</v>
      </c>
      <c r="DS1202">
        <v>0</v>
      </c>
      <c r="DT1202">
        <f>SUM(DO1202:DP1202)</f>
        <v>2</v>
      </c>
      <c r="DU1202" s="143" t="str">
        <f>IF(DO1202=1,"self-calculated DF",IF(DP1202=1,"external DF used","explicit C balance"))</f>
        <v>self-calculated DF</v>
      </c>
      <c r="DV1202">
        <v>1</v>
      </c>
      <c r="DW1202">
        <v>1</v>
      </c>
      <c r="DX1202">
        <v>1</v>
      </c>
      <c r="DY1202">
        <v>1</v>
      </c>
      <c r="DZ1202">
        <v>1</v>
      </c>
      <c r="EA1202">
        <v>1</v>
      </c>
      <c r="EB1202">
        <v>0</v>
      </c>
      <c r="EC1202">
        <v>0</v>
      </c>
      <c r="ED1202">
        <v>0</v>
      </c>
      <c r="EE1202">
        <v>0</v>
      </c>
      <c r="EF1202">
        <v>1</v>
      </c>
      <c r="EG1202">
        <v>0</v>
      </c>
      <c r="EH1202">
        <v>0</v>
      </c>
      <c r="EI1202" s="2">
        <v>0</v>
      </c>
      <c r="EK1202" t="str">
        <f>IF(AND(AND(AND(OR($DX1202=1,$DW1202=1),OR($EC1202=1,$EA1202=1)),SUM($DV1202:$DZ1202,$EF1202)&gt;=4),SUM($EA1202:$EE1202)&gt;=2),"Whole sector","")</f>
        <v/>
      </c>
      <c r="EL1202" t="str">
        <f>IF(AND(AND(OR($DX1202=1,$DW1202=1),AND($EC1202=0,$EA1202=0)),SUM($DV1202:$DZ1202,$EF1202)&gt;=4),"Ecosystem approach","")</f>
        <v/>
      </c>
      <c r="EM1202" s="2" t="str">
        <f>IF(AND(AND(AND($DX1202=0,$DW1202=0),OR($EC1202=1,$EA1202=1)),SUM($EB1202:$EE1202)&gt;=2),"Technology approach","")</f>
        <v/>
      </c>
      <c r="EP1202" t="b">
        <f>IF(ISNUMBER(BU1202),IF(ABS(BU1202-[1]QC_indicators!$B$2)&gt;3*[1]QC_indicators!$C$2,"C ratio",IF(ISNUMBER(BY1202),IF(ABS(BY1202-[1]QC_indicators!$B$1)&gt;3*[1]QC_indicators!$C$1,"DF","no"))),IF(ISNUMBER(BY1202),IF(ABS(BY1202-[1]QC_indicators!$B$1)&gt;3*[1]QC_indicators!$C$1,"DF","no")))</f>
        <v>0</v>
      </c>
      <c r="ET1202" s="268" t="s">
        <v>3242</v>
      </c>
    </row>
    <row r="1203" spans="1:150" ht="15" customHeight="1">
      <c r="A1203" s="1" t="s">
        <v>2114</v>
      </c>
      <c r="B1203" t="s">
        <v>544</v>
      </c>
      <c r="C1203" t="s">
        <v>2277</v>
      </c>
      <c r="D1203" t="s">
        <v>2278</v>
      </c>
      <c r="E1203" t="s">
        <v>2279</v>
      </c>
      <c r="F1203" t="s">
        <v>2280</v>
      </c>
      <c r="G1203" t="s">
        <v>2115</v>
      </c>
      <c r="H1203" t="s">
        <v>254</v>
      </c>
      <c r="I1203">
        <v>2014</v>
      </c>
      <c r="J1203">
        <v>96</v>
      </c>
      <c r="K1203" t="s">
        <v>2281</v>
      </c>
      <c r="M1203" t="str">
        <f>LEFT($D1203,FIND(",",$D1203)-1)&amp;"_"&amp;I1203&amp;L1203</f>
        <v>Smyth_2014</v>
      </c>
      <c r="N1203" t="s">
        <v>222</v>
      </c>
      <c r="O1203" s="145" t="s">
        <v>341</v>
      </c>
      <c r="Q1203" t="s">
        <v>256</v>
      </c>
      <c r="R1203" s="262" t="s">
        <v>223</v>
      </c>
      <c r="S1203" s="1" t="s">
        <v>2304</v>
      </c>
      <c r="T1203" t="s">
        <v>1155</v>
      </c>
      <c r="U1203" t="s">
        <v>2305</v>
      </c>
      <c r="V1203">
        <v>0</v>
      </c>
      <c r="W1203">
        <v>0</v>
      </c>
      <c r="X1203">
        <v>0</v>
      </c>
      <c r="Y1203">
        <v>0</v>
      </c>
      <c r="Z1203">
        <v>0</v>
      </c>
      <c r="AA1203">
        <v>0</v>
      </c>
      <c r="AB1203">
        <v>0</v>
      </c>
      <c r="AC1203">
        <v>0</v>
      </c>
      <c r="AD1203">
        <v>0</v>
      </c>
      <c r="AE1203">
        <v>0</v>
      </c>
      <c r="AF1203">
        <v>1</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s="141">
        <f>COUNTIF(V1203:AW1203,"&lt;&gt;0")</f>
        <v>1</v>
      </c>
      <c r="AY1203" s="141">
        <f>COUNTIF(V1203:AL1203,"&lt;&gt;0")</f>
        <v>1</v>
      </c>
      <c r="AZ1203">
        <f>COUNTIF(V1203:AC1203,"&lt;&gt;0")</f>
        <v>0</v>
      </c>
      <c r="BA1203">
        <f>COUNTIF(AD1203:AI1203,"&lt;&gt;0")</f>
        <v>1</v>
      </c>
      <c r="BB1203">
        <f>COUNTIF(AJ1203:AL1203,"&lt;&gt;0")</f>
        <v>0</v>
      </c>
      <c r="BC1203">
        <f>COUNTIF(AS1203:AW1203,"&lt;&gt;0")</f>
        <v>0</v>
      </c>
      <c r="BD1203">
        <f>COUNTIF(AM1203:AR1203,"&lt;&gt;0")</f>
        <v>0</v>
      </c>
      <c r="BE1203" t="str">
        <f t="array" ref="BE1203">IF(AY1203=1,INDEX($V$7:$AL$7,MATCH(TRUE,INDEX($V1203:$AW1203&lt;&gt;0,),0)),IF(AY1203=0,INDEX($AM$7:$AW$7,MATCH(1,$AM1203:$AW1203,0)),IF(BF1203="Multiple strategies","mixed drivers",IF(BF1203="Supply chain","multiple supply","multiple silviculture"))))</f>
        <v>supply chain organization</v>
      </c>
      <c r="BF1203" s="2" t="str" cm="1">
        <f t="array" ref="BF1203">IF(COUNTIF(AZ1203:BB1203,"&lt;&gt;0")=1,INDEX($V$4:$AW$4,MATCH(TRUE,INDEX($V1203:$AW1203&lt;&gt;0,),0)),IF(COUNTIF(AZ1203:BB1203,"&lt;&gt;0")=0,INDEX($AM$4:$AW$4,MATCH(1,$AM1203:$AW1203,0)),"Multiple strategies"))</f>
        <v>Supply chain</v>
      </c>
      <c r="BL1203" s="197"/>
      <c r="BP1203" t="s">
        <v>232</v>
      </c>
      <c r="BR1203" t="s">
        <v>1140</v>
      </c>
      <c r="BS1203">
        <v>159.80000000000001</v>
      </c>
      <c r="BT1203">
        <f>BV1203+BS1203</f>
        <v>149.80000000000001</v>
      </c>
      <c r="BU1203" s="144">
        <f>IFERROR(BT1203/BS1203,"")</f>
        <v>0.93742177722152686</v>
      </c>
      <c r="BV1203">
        <v>-10</v>
      </c>
      <c r="BX1203">
        <f>BV1203*10^6</f>
        <v>-10000000</v>
      </c>
      <c r="BY1203" t="str">
        <f>IFERROR(BX1203/BO1203,"")</f>
        <v/>
      </c>
      <c r="BZ1203">
        <v>0</v>
      </c>
      <c r="CA1203">
        <v>1</v>
      </c>
      <c r="CB1203">
        <v>1</v>
      </c>
      <c r="CC1203">
        <v>1</v>
      </c>
      <c r="CD1203">
        <v>0</v>
      </c>
      <c r="CE1203">
        <v>0</v>
      </c>
      <c r="CF1203">
        <v>0</v>
      </c>
      <c r="CG1203">
        <v>0</v>
      </c>
      <c r="CH1203">
        <v>0</v>
      </c>
      <c r="CI1203">
        <v>0</v>
      </c>
      <c r="CJ1203">
        <v>0</v>
      </c>
      <c r="CK1203">
        <v>0</v>
      </c>
      <c r="CL1203">
        <v>0</v>
      </c>
      <c r="CM1203">
        <v>0</v>
      </c>
      <c r="CN1203" t="str">
        <f>IF(BL1203&lt;BK1203,"refNeedCorrection","refOK")</f>
        <v>refOK</v>
      </c>
      <c r="CO1203"/>
      <c r="CP1203"/>
      <c r="CQ1203"/>
      <c r="CR1203">
        <f>IF($CN1203="refOK",$BS1203,$BT1203)*IF($BP1203="Emissions positive",-1,1)</f>
        <v>159.80000000000001</v>
      </c>
      <c r="CS1203">
        <f>IF($CN1203="refOK",$BT1203,$BS1203)*IF($BP1203="Emissions positive",-1,1)</f>
        <v>149.80000000000001</v>
      </c>
      <c r="CT1203">
        <f>IF($CN1203="refNeedCorrection",-BX1203,BX1203)*IF($BP1203="Emissions positive",-1,1)</f>
        <v>-10000000</v>
      </c>
      <c r="CU1203" t="str">
        <f>IFERROR(CT1203/CQ1203,"")</f>
        <v/>
      </c>
      <c r="CV1203" s="2">
        <f>IFERROR((CS1203-CR1203)/ABS(CR1203),"")</f>
        <v>-6.257822277847308E-2</v>
      </c>
      <c r="CW1203" s="1" t="s">
        <v>1203</v>
      </c>
      <c r="CX1203" t="str">
        <f>IF(OR($CW1203="prd",$CW1203="std",$CW1203="cit"),"loc",IF(OR($CW1203="eur",$CW1203="reg",$CW1203="coy"),"reg",$CW1203))</f>
        <v>reg</v>
      </c>
      <c r="CY1203" t="s">
        <v>540</v>
      </c>
      <c r="CZ1203">
        <v>2015</v>
      </c>
      <c r="DA1203">
        <v>2050</v>
      </c>
      <c r="DB1203">
        <v>35</v>
      </c>
      <c r="DC1203" t="str">
        <f>IF(DB1203=0,"0",IF(AND(DB1203&gt;=1,DB1203&lt;=30),"1-30",IF(AND(DB1203&gt;30,DB1203&lt;=70),"31-70",IF(AND(DB1203&gt;70,DB1203&lt;=100),"71-100",IF(DB1203&gt;100,"+100")))))</f>
        <v>31-70</v>
      </c>
      <c r="DD1203">
        <v>0</v>
      </c>
      <c r="DE1203">
        <v>1</v>
      </c>
      <c r="DF1203">
        <v>1</v>
      </c>
      <c r="DG1203">
        <v>1</v>
      </c>
      <c r="DI1203">
        <f>SUM(DD1203:DG1203)</f>
        <v>3</v>
      </c>
      <c r="DJ1203" t="str">
        <f>IF(DI1203=1,INDEX($DD$7:$DG$7,MATCH(1,$DD1203:$DG1203,0)),"mixedProduct")</f>
        <v>mixedProduct</v>
      </c>
      <c r="DK1203">
        <f>IF(DD1203=1,DK$7,0)</f>
        <v>0</v>
      </c>
      <c r="DL1203" t="str">
        <f>IF(DE1203=1,DL$7,0)</f>
        <v>Energy</v>
      </c>
      <c r="DM1203" t="str">
        <f>IF(DF1203=1,DM$7,0)</f>
        <v>Pulp/Paper</v>
      </c>
      <c r="DN1203" t="str">
        <f>IF(DG1203=1,DN$7,0)</f>
        <v>Timber</v>
      </c>
      <c r="DO1203">
        <v>1</v>
      </c>
      <c r="DP1203">
        <v>1</v>
      </c>
      <c r="DQ1203" t="s">
        <v>2284</v>
      </c>
      <c r="DR1203">
        <v>0</v>
      </c>
      <c r="DS1203">
        <v>0</v>
      </c>
      <c r="DT1203">
        <f>SUM(DO1203:DP1203)</f>
        <v>2</v>
      </c>
      <c r="DU1203" s="143" t="str">
        <f>IF(DO1203=1,"self-calculated DF",IF(DP1203=1,"external DF used","explicit C balance"))</f>
        <v>self-calculated DF</v>
      </c>
      <c r="DV1203">
        <v>1</v>
      </c>
      <c r="DW1203">
        <v>1</v>
      </c>
      <c r="DX1203">
        <v>1</v>
      </c>
      <c r="DY1203">
        <v>1</v>
      </c>
      <c r="DZ1203">
        <v>1</v>
      </c>
      <c r="EA1203">
        <v>1</v>
      </c>
      <c r="EB1203">
        <v>0</v>
      </c>
      <c r="EC1203">
        <v>0</v>
      </c>
      <c r="ED1203">
        <v>0</v>
      </c>
      <c r="EE1203">
        <v>0</v>
      </c>
      <c r="EF1203">
        <v>1</v>
      </c>
      <c r="EG1203">
        <v>0</v>
      </c>
      <c r="EH1203">
        <v>0</v>
      </c>
      <c r="EI1203" s="2">
        <v>0</v>
      </c>
      <c r="EK1203" t="str">
        <f>IF(AND(AND(AND(OR($DX1203=1,$DW1203=1),OR($EC1203=1,$EA1203=1)),SUM($DV1203:$DZ1203,$EF1203)&gt;=4),SUM($EA1203:$EE1203)&gt;=2),"Whole sector","")</f>
        <v/>
      </c>
      <c r="EL1203" t="str">
        <f>IF(AND(AND(OR($DX1203=1,$DW1203=1),AND($EC1203=0,$EA1203=0)),SUM($DV1203:$DZ1203,$EF1203)&gt;=4),"Ecosystem approach","")</f>
        <v/>
      </c>
      <c r="EM1203" s="2" t="str">
        <f>IF(AND(AND(AND($DX1203=0,$DW1203=0),OR($EC1203=1,$EA1203=1)),SUM($EB1203:$EE1203)&gt;=2),"Technology approach","")</f>
        <v/>
      </c>
      <c r="EP1203" t="b">
        <f>IF(ISNUMBER(BU1203),IF(ABS(BU1203-[1]QC_indicators!$B$2)&gt;3*[1]QC_indicators!$C$2,"C ratio",IF(ISNUMBER(BY1203),IF(ABS(BY1203-[1]QC_indicators!$B$1)&gt;3*[1]QC_indicators!$C$1,"DF","no"))),IF(ISNUMBER(BY1203),IF(ABS(BY1203-[1]QC_indicators!$B$1)&gt;3*[1]QC_indicators!$C$1,"DF","no")))</f>
        <v>0</v>
      </c>
      <c r="ET1203" s="268" t="s">
        <v>3242</v>
      </c>
    </row>
    <row r="1204" spans="1:150" ht="15" customHeight="1">
      <c r="A1204" s="1" t="s">
        <v>2114</v>
      </c>
      <c r="B1204" t="s">
        <v>544</v>
      </c>
      <c r="C1204" t="s">
        <v>2277</v>
      </c>
      <c r="D1204" t="s">
        <v>2278</v>
      </c>
      <c r="E1204" t="s">
        <v>2279</v>
      </c>
      <c r="F1204" t="s">
        <v>2280</v>
      </c>
      <c r="G1204" t="s">
        <v>2115</v>
      </c>
      <c r="H1204" t="s">
        <v>254</v>
      </c>
      <c r="I1204">
        <v>2014</v>
      </c>
      <c r="J1204">
        <v>96</v>
      </c>
      <c r="K1204" t="s">
        <v>2281</v>
      </c>
      <c r="M1204" t="str">
        <f>LEFT($D1204,FIND(",",$D1204)-1)&amp;"_"&amp;I1204&amp;L1204</f>
        <v>Smyth_2014</v>
      </c>
      <c r="N1204" t="s">
        <v>222</v>
      </c>
      <c r="O1204" s="145" t="s">
        <v>341</v>
      </c>
      <c r="Q1204" t="s">
        <v>256</v>
      </c>
      <c r="R1204" s="262" t="s">
        <v>223</v>
      </c>
      <c r="S1204" s="1" t="s">
        <v>2306</v>
      </c>
      <c r="T1204" t="s">
        <v>1155</v>
      </c>
      <c r="U1204" t="s">
        <v>1399</v>
      </c>
      <c r="V1204">
        <v>0</v>
      </c>
      <c r="W1204">
        <v>0</v>
      </c>
      <c r="X1204">
        <v>0</v>
      </c>
      <c r="Y1204">
        <v>0</v>
      </c>
      <c r="Z1204">
        <v>0</v>
      </c>
      <c r="AA1204">
        <v>0</v>
      </c>
      <c r="AB1204">
        <v>0</v>
      </c>
      <c r="AC1204">
        <v>0</v>
      </c>
      <c r="AD1204">
        <v>0</v>
      </c>
      <c r="AE1204">
        <v>0</v>
      </c>
      <c r="AF1204">
        <v>1</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s="141">
        <f>COUNTIF(V1204:AW1204,"&lt;&gt;0")</f>
        <v>1</v>
      </c>
      <c r="AY1204" s="141">
        <f>COUNTIF(V1204:AL1204,"&lt;&gt;0")</f>
        <v>1</v>
      </c>
      <c r="AZ1204">
        <f>COUNTIF(V1204:AC1204,"&lt;&gt;0")</f>
        <v>0</v>
      </c>
      <c r="BA1204">
        <f>COUNTIF(AD1204:AI1204,"&lt;&gt;0")</f>
        <v>1</v>
      </c>
      <c r="BB1204">
        <f>COUNTIF(AJ1204:AL1204,"&lt;&gt;0")</f>
        <v>0</v>
      </c>
      <c r="BC1204">
        <f>COUNTIF(AS1204:AW1204,"&lt;&gt;0")</f>
        <v>0</v>
      </c>
      <c r="BD1204">
        <f>COUNTIF(AM1204:AR1204,"&lt;&gt;0")</f>
        <v>0</v>
      </c>
      <c r="BE1204" t="str">
        <f t="array" ref="BE1204">IF(AY1204=1,INDEX($V$7:$AL$7,MATCH(TRUE,INDEX($V1204:$AW1204&lt;&gt;0,),0)),IF(AY1204=0,INDEX($AM$7:$AW$7,MATCH(1,$AM1204:$AW1204,0)),IF(BF1204="Multiple strategies","mixed drivers",IF(BF1204="Supply chain","multiple supply","multiple silviculture"))))</f>
        <v>supply chain organization</v>
      </c>
      <c r="BF1204" s="2" t="str" cm="1">
        <f t="array" ref="BF1204">IF(COUNTIF(AZ1204:BB1204,"&lt;&gt;0")=1,INDEX($V$4:$AW$4,MATCH(TRUE,INDEX($V1204:$AW1204&lt;&gt;0,),0)),IF(COUNTIF(AZ1204:BB1204,"&lt;&gt;0")=0,INDEX($AM$4:$AW$4,MATCH(1,$AM1204:$AW1204,0)),"Multiple strategies"))</f>
        <v>Supply chain</v>
      </c>
      <c r="BL1204" s="197"/>
      <c r="BP1204" t="s">
        <v>232</v>
      </c>
      <c r="BR1204" t="s">
        <v>1140</v>
      </c>
      <c r="BS1204">
        <v>159.80000000000001</v>
      </c>
      <c r="BT1204">
        <f>BV1204+BS1204</f>
        <v>559.79999999999995</v>
      </c>
      <c r="BU1204" s="144">
        <f>IFERROR(BT1204/BS1204,"")</f>
        <v>3.5031289111389232</v>
      </c>
      <c r="BV1204">
        <v>400</v>
      </c>
      <c r="BX1204">
        <f>BV1204*10^6</f>
        <v>400000000</v>
      </c>
      <c r="BY1204" t="str">
        <f>IFERROR(BX1204/BO1204,"")</f>
        <v/>
      </c>
      <c r="BZ1204">
        <v>0</v>
      </c>
      <c r="CA1204">
        <v>1</v>
      </c>
      <c r="CB1204">
        <v>1</v>
      </c>
      <c r="CC1204">
        <v>1</v>
      </c>
      <c r="CD1204">
        <v>0</v>
      </c>
      <c r="CE1204">
        <v>0</v>
      </c>
      <c r="CF1204">
        <v>0</v>
      </c>
      <c r="CG1204">
        <v>0</v>
      </c>
      <c r="CH1204">
        <v>0</v>
      </c>
      <c r="CI1204">
        <v>0</v>
      </c>
      <c r="CJ1204">
        <v>0</v>
      </c>
      <c r="CK1204">
        <v>0</v>
      </c>
      <c r="CL1204">
        <v>0</v>
      </c>
      <c r="CM1204">
        <v>0</v>
      </c>
      <c r="CN1204" t="str">
        <f>IF(BL1204&lt;BK1204,"refNeedCorrection","refOK")</f>
        <v>refOK</v>
      </c>
      <c r="CO1204"/>
      <c r="CP1204"/>
      <c r="CQ1204"/>
      <c r="CR1204">
        <f>IF($CN1204="refOK",$BS1204,$BT1204)*IF($BP1204="Emissions positive",-1,1)</f>
        <v>159.80000000000001</v>
      </c>
      <c r="CS1204">
        <f>IF($CN1204="refOK",$BT1204,$BS1204)*IF($BP1204="Emissions positive",-1,1)</f>
        <v>559.79999999999995</v>
      </c>
      <c r="CT1204">
        <f>IF($CN1204="refNeedCorrection",-BX1204,BX1204)*IF($BP1204="Emissions positive",-1,1)</f>
        <v>400000000</v>
      </c>
      <c r="CU1204" t="str">
        <f>IFERROR(CT1204/CQ1204,"")</f>
        <v/>
      </c>
      <c r="CV1204" s="2">
        <f>IFERROR((CS1204-CR1204)/ABS(CR1204),"")</f>
        <v>2.5031289111389232</v>
      </c>
      <c r="CW1204" s="1" t="s">
        <v>1203</v>
      </c>
      <c r="CX1204" t="str">
        <f>IF(OR($CW1204="prd",$CW1204="std",$CW1204="cit"),"loc",IF(OR($CW1204="eur",$CW1204="reg",$CW1204="coy"),"reg",$CW1204))</f>
        <v>reg</v>
      </c>
      <c r="CY1204" t="s">
        <v>540</v>
      </c>
      <c r="CZ1204">
        <v>2015</v>
      </c>
      <c r="DA1204">
        <v>2050</v>
      </c>
      <c r="DB1204">
        <v>35</v>
      </c>
      <c r="DC1204" t="str">
        <f>IF(DB1204=0,"0",IF(AND(DB1204&gt;=1,DB1204&lt;=30),"1-30",IF(AND(DB1204&gt;30,DB1204&lt;=70),"31-70",IF(AND(DB1204&gt;70,DB1204&lt;=100),"71-100",IF(DB1204&gt;100,"+100")))))</f>
        <v>31-70</v>
      </c>
      <c r="DD1204">
        <v>0</v>
      </c>
      <c r="DE1204">
        <v>1</v>
      </c>
      <c r="DF1204">
        <v>1</v>
      </c>
      <c r="DG1204">
        <v>1</v>
      </c>
      <c r="DI1204">
        <f>SUM(DD1204:DG1204)</f>
        <v>3</v>
      </c>
      <c r="DJ1204" t="str">
        <f>IF(DI1204=1,INDEX($DD$7:$DG$7,MATCH(1,$DD1204:$DG1204,0)),"mixedProduct")</f>
        <v>mixedProduct</v>
      </c>
      <c r="DK1204">
        <f>IF(DD1204=1,DK$7,0)</f>
        <v>0</v>
      </c>
      <c r="DL1204" t="str">
        <f>IF(DE1204=1,DL$7,0)</f>
        <v>Energy</v>
      </c>
      <c r="DM1204" t="str">
        <f>IF(DF1204=1,DM$7,0)</f>
        <v>Pulp/Paper</v>
      </c>
      <c r="DN1204" t="str">
        <f>IF(DG1204=1,DN$7,0)</f>
        <v>Timber</v>
      </c>
      <c r="DO1204">
        <v>1</v>
      </c>
      <c r="DP1204">
        <v>1</v>
      </c>
      <c r="DQ1204" t="s">
        <v>2284</v>
      </c>
      <c r="DR1204">
        <v>0</v>
      </c>
      <c r="DS1204">
        <v>0</v>
      </c>
      <c r="DT1204">
        <f>SUM(DO1204:DP1204)</f>
        <v>2</v>
      </c>
      <c r="DU1204" s="143" t="str">
        <f>IF(DO1204=1,"self-calculated DF",IF(DP1204=1,"external DF used","explicit C balance"))</f>
        <v>self-calculated DF</v>
      </c>
      <c r="DV1204">
        <v>1</v>
      </c>
      <c r="DW1204">
        <v>1</v>
      </c>
      <c r="DX1204">
        <v>1</v>
      </c>
      <c r="DY1204">
        <v>1</v>
      </c>
      <c r="DZ1204">
        <v>1</v>
      </c>
      <c r="EA1204">
        <v>1</v>
      </c>
      <c r="EB1204">
        <v>0</v>
      </c>
      <c r="EC1204">
        <v>0</v>
      </c>
      <c r="ED1204">
        <v>0</v>
      </c>
      <c r="EE1204">
        <v>0</v>
      </c>
      <c r="EF1204">
        <v>1</v>
      </c>
      <c r="EG1204">
        <v>0</v>
      </c>
      <c r="EH1204">
        <v>0</v>
      </c>
      <c r="EI1204" s="2">
        <v>0</v>
      </c>
      <c r="EK1204" t="str">
        <f>IF(AND(AND(AND(OR($DX1204=1,$DW1204=1),OR($EC1204=1,$EA1204=1)),SUM($DV1204:$DZ1204,$EF1204)&gt;=4),SUM($EA1204:$EE1204)&gt;=2),"Whole sector","")</f>
        <v/>
      </c>
      <c r="EL1204" t="str">
        <f>IF(AND(AND(OR($DX1204=1,$DW1204=1),AND($EC1204=0,$EA1204=0)),SUM($DV1204:$DZ1204,$EF1204)&gt;=4),"Ecosystem approach","")</f>
        <v/>
      </c>
      <c r="EM1204" s="2" t="str">
        <f>IF(AND(AND(AND($DX1204=0,$DW1204=0),OR($EC1204=1,$EA1204=1)),SUM($EB1204:$EE1204)&gt;=2),"Technology approach","")</f>
        <v/>
      </c>
      <c r="EP1204" t="b">
        <f>IF(ISNUMBER(BU1204),IF(ABS(BU1204-[1]QC_indicators!$B$2)&gt;3*[1]QC_indicators!$C$2,"C ratio",IF(ISNUMBER(BY1204),IF(ABS(BY1204-[1]QC_indicators!$B$1)&gt;3*[1]QC_indicators!$C$1,"DF","no"))),IF(ISNUMBER(BY1204),IF(ABS(BY1204-[1]QC_indicators!$B$1)&gt;3*[1]QC_indicators!$C$1,"DF","no")))</f>
        <v>0</v>
      </c>
      <c r="ET1204" s="268" t="s">
        <v>3242</v>
      </c>
    </row>
    <row r="1205" spans="1:150" ht="15" customHeight="1">
      <c r="A1205" s="1" t="s">
        <v>1972</v>
      </c>
      <c r="B1205" t="s">
        <v>2316</v>
      </c>
      <c r="C1205" t="s">
        <v>2317</v>
      </c>
      <c r="D1205" t="s">
        <v>2318</v>
      </c>
      <c r="E1205" t="s">
        <v>2319</v>
      </c>
      <c r="F1205" t="s">
        <v>2320</v>
      </c>
      <c r="G1205" t="s">
        <v>1978</v>
      </c>
      <c r="H1205" t="s">
        <v>254</v>
      </c>
      <c r="I1205">
        <v>2020</v>
      </c>
      <c r="J1205">
        <v>7</v>
      </c>
      <c r="K1205" t="s">
        <v>2321</v>
      </c>
      <c r="M1205" t="str">
        <f>LEFT($D1205,FIND(",",$D1205)-1)&amp;"_"&amp;I1205&amp;L1205</f>
        <v>Smyth_2020</v>
      </c>
      <c r="N1205" t="s">
        <v>222</v>
      </c>
      <c r="O1205" s="145" t="s">
        <v>341</v>
      </c>
      <c r="Q1205" t="s">
        <v>256</v>
      </c>
      <c r="R1205" s="290" t="s">
        <v>225</v>
      </c>
      <c r="S1205" s="1" t="s">
        <v>2339</v>
      </c>
      <c r="T1205" t="s">
        <v>1155</v>
      </c>
      <c r="U1205" t="s">
        <v>2340</v>
      </c>
      <c r="V1205">
        <v>0</v>
      </c>
      <c r="W1205">
        <v>0</v>
      </c>
      <c r="X1205">
        <v>0</v>
      </c>
      <c r="Y1205">
        <v>0</v>
      </c>
      <c r="Z1205">
        <v>0</v>
      </c>
      <c r="AA1205">
        <v>0</v>
      </c>
      <c r="AB1205">
        <v>0</v>
      </c>
      <c r="AC1205">
        <v>0</v>
      </c>
      <c r="AD1205">
        <v>0</v>
      </c>
      <c r="AE1205">
        <v>0</v>
      </c>
      <c r="AF1205">
        <v>1</v>
      </c>
      <c r="AG1205">
        <v>0</v>
      </c>
      <c r="AH1205">
        <v>0</v>
      </c>
      <c r="AI1205">
        <v>1</v>
      </c>
      <c r="AJ1205">
        <v>0</v>
      </c>
      <c r="AK1205">
        <v>0</v>
      </c>
      <c r="AL1205">
        <v>0</v>
      </c>
      <c r="AM1205">
        <v>0</v>
      </c>
      <c r="AN1205">
        <v>0</v>
      </c>
      <c r="AO1205">
        <v>0</v>
      </c>
      <c r="AP1205">
        <v>0</v>
      </c>
      <c r="AQ1205">
        <v>0</v>
      </c>
      <c r="AR1205">
        <v>0</v>
      </c>
      <c r="AS1205">
        <v>0</v>
      </c>
      <c r="AT1205">
        <v>0</v>
      </c>
      <c r="AU1205">
        <v>0</v>
      </c>
      <c r="AV1205">
        <v>0</v>
      </c>
      <c r="AW1205">
        <v>0</v>
      </c>
      <c r="AX1205" s="141">
        <f>COUNTIF(V1205:AW1205,"&lt;&gt;0")</f>
        <v>2</v>
      </c>
      <c r="AY1205" s="141">
        <f>COUNTIF(V1205:AL1205,"&lt;&gt;0")</f>
        <v>2</v>
      </c>
      <c r="AZ1205">
        <f>COUNTIF(V1205:AC1205,"&lt;&gt;0")</f>
        <v>0</v>
      </c>
      <c r="BA1205">
        <f>COUNTIF(AD1205:AI1205,"&lt;&gt;0")</f>
        <v>2</v>
      </c>
      <c r="BB1205">
        <f>COUNTIF(AJ1205:AL1205,"&lt;&gt;0")</f>
        <v>0</v>
      </c>
      <c r="BC1205">
        <f>COUNTIF(AS1205:AW1205,"&lt;&gt;0")</f>
        <v>0</v>
      </c>
      <c r="BD1205">
        <f>COUNTIF(AM1205:AR1205,"&lt;&gt;0")</f>
        <v>0</v>
      </c>
      <c r="BE1205" t="str">
        <f t="array" ref="BE1205">IF(AY1205=1,INDEX($V$7:$AL$7,MATCH(TRUE,INDEX($V1205:$AW1205&lt;&gt;0,),0)),IF(AY1205=0,INDEX($AM$7:$AW$7,MATCH(1,$AM1205:$AW1205,0)),IF(BF1205="Multiple strategies","mixed drivers",IF(BF1205="Supply chain","multiple supply","multiple silviculture"))))</f>
        <v>multiple supply</v>
      </c>
      <c r="BF1205" s="2" t="str" cm="1">
        <f t="array" ref="BF1205">IF(COUNTIF(AZ1205:BB1205,"&lt;&gt;0")=1,INDEX($V$4:$AW$4,MATCH(TRUE,INDEX($V1205:$AW1205&lt;&gt;0,),0)),IF(COUNTIF(AZ1205:BB1205,"&lt;&gt;0")=0,INDEX($AM$4:$AW$4,MATCH(1,$AM1205:$AW1205,0)),"Multiple strategies"))</f>
        <v>Supply chain</v>
      </c>
      <c r="BG1205" s="1" t="s">
        <v>321</v>
      </c>
      <c r="BH1205" t="s">
        <v>2324</v>
      </c>
      <c r="BI1205" s="260" t="s">
        <v>3390</v>
      </c>
      <c r="BJ1205" t="s">
        <v>1359</v>
      </c>
      <c r="BK1205">
        <v>457</v>
      </c>
      <c r="BL1205">
        <v>457</v>
      </c>
      <c r="BM1205">
        <f>BL1205/BK1205</f>
        <v>1</v>
      </c>
      <c r="BN1205">
        <f>BL1205-BK1205</f>
        <v>0</v>
      </c>
      <c r="BO1205">
        <f>BN1205*10^6*tC_to_m3</f>
        <v>0</v>
      </c>
      <c r="BP1205" t="s">
        <v>232</v>
      </c>
      <c r="BQ1205" s="260" t="s">
        <v>3391</v>
      </c>
      <c r="BR1205" t="s">
        <v>1140</v>
      </c>
      <c r="BU1205" s="144"/>
      <c r="BV1205">
        <v>71</v>
      </c>
      <c r="BX1205">
        <f>BV1205*10^6</f>
        <v>71000000</v>
      </c>
      <c r="BY1205" t="str">
        <f>IFERROR(BX1205/BO1205,"")</f>
        <v/>
      </c>
      <c r="BZ1205">
        <v>0</v>
      </c>
      <c r="CA1205">
        <v>1</v>
      </c>
      <c r="CB1205">
        <v>1</v>
      </c>
      <c r="CC1205">
        <v>1</v>
      </c>
      <c r="CD1205">
        <v>0</v>
      </c>
      <c r="CE1205">
        <v>0</v>
      </c>
      <c r="CF1205">
        <v>0</v>
      </c>
      <c r="CG1205">
        <v>0</v>
      </c>
      <c r="CH1205">
        <v>0</v>
      </c>
      <c r="CI1205">
        <v>0</v>
      </c>
      <c r="CJ1205">
        <v>0</v>
      </c>
      <c r="CK1205">
        <v>0</v>
      </c>
      <c r="CL1205">
        <v>0</v>
      </c>
      <c r="CM1205">
        <v>0</v>
      </c>
      <c r="CN1205" t="str">
        <f>IF(BL1205&lt;BK1205,"refNeedCorrection","refOK")</f>
        <v>refOK</v>
      </c>
      <c r="CO1205"/>
      <c r="CP1205"/>
      <c r="CQ1205">
        <f>IF($CN1205="refOK",$BO1205,-$BO1205)</f>
        <v>0</v>
      </c>
      <c r="CR1205">
        <f>IF($CN1205="refOK",$BS1205,$BT1205)*IF($BP1205="Emissions positive",-1,1)</f>
        <v>0</v>
      </c>
      <c r="CS1205">
        <f>IF($CN1205="refOK",$BT1205,$BS1205)*IF($BP1205="Emissions positive",-1,1)</f>
        <v>0</v>
      </c>
      <c r="CT1205">
        <f>IF($CN1205="refNeedCorrection",-BX1205,BX1205)*IF($BP1205="Emissions positive",-1,1)</f>
        <v>71000000</v>
      </c>
      <c r="CU1205" t="str">
        <f>IFERROR(CT1205/CQ1205,"")</f>
        <v/>
      </c>
      <c r="CV1205" s="2" t="str">
        <f>IFERROR((CS1205-CR1205)/ABS(CR1205),"")</f>
        <v/>
      </c>
      <c r="CW1205" s="1" t="s">
        <v>1199</v>
      </c>
      <c r="CX1205" t="str">
        <f>IF(OR($CW1205="prd",$CW1205="std",$CW1205="cit"),"loc",IF(OR($CW1205="eur",$CW1205="reg",$CW1205="coy"),"reg",$CW1205))</f>
        <v>reg</v>
      </c>
      <c r="CY1205" t="s">
        <v>540</v>
      </c>
      <c r="CZ1205">
        <v>2015</v>
      </c>
      <c r="DA1205">
        <v>2070</v>
      </c>
      <c r="DB1205">
        <v>45</v>
      </c>
      <c r="DC1205" t="str">
        <f>IF(DB1205=0,"0",IF(AND(DB1205&gt;=1,DB1205&lt;=30),"1-30",IF(AND(DB1205&gt;30,DB1205&lt;=70),"31-70",IF(AND(DB1205&gt;70,DB1205&lt;=100),"71-100",IF(DB1205&gt;100,"+100")))))</f>
        <v>31-70</v>
      </c>
      <c r="DD1205">
        <v>0</v>
      </c>
      <c r="DE1205">
        <v>1</v>
      </c>
      <c r="DF1205">
        <v>1</v>
      </c>
      <c r="DG1205">
        <v>1</v>
      </c>
      <c r="DI1205">
        <f>SUM(DD1205:DG1205)</f>
        <v>3</v>
      </c>
      <c r="DJ1205" t="str">
        <f>IF(DI1205=1,INDEX($DD$7:$DG$7,MATCH(1,$DD1205:$DG1205,0)),"mixedProduct")</f>
        <v>mixedProduct</v>
      </c>
      <c r="DK1205">
        <f>IF(DD1205=1,DK$7,0)</f>
        <v>0</v>
      </c>
      <c r="DL1205" t="str">
        <f>IF(DE1205=1,DL$7,0)</f>
        <v>Energy</v>
      </c>
      <c r="DM1205" t="str">
        <f>IF(DF1205=1,DM$7,0)</f>
        <v>Pulp/Paper</v>
      </c>
      <c r="DN1205" t="str">
        <f>IF(DG1205=1,DN$7,0)</f>
        <v>Timber</v>
      </c>
      <c r="DO1205">
        <v>1</v>
      </c>
      <c r="DP1205">
        <v>1</v>
      </c>
      <c r="DQ1205" t="s">
        <v>2315</v>
      </c>
      <c r="DR1205">
        <v>0</v>
      </c>
      <c r="DS1205">
        <v>0</v>
      </c>
      <c r="DT1205">
        <f>SUM(DO1205:DP1205)</f>
        <v>2</v>
      </c>
      <c r="DU1205" s="143" t="str">
        <f>IF(DO1205=1,"self-calculated DF",IF(DP1205=1,"external DF used","explicit C balance"))</f>
        <v>self-calculated DF</v>
      </c>
      <c r="DV1205">
        <v>1</v>
      </c>
      <c r="DW1205">
        <v>1</v>
      </c>
      <c r="DX1205">
        <v>1</v>
      </c>
      <c r="DY1205">
        <v>1</v>
      </c>
      <c r="DZ1205">
        <v>1</v>
      </c>
      <c r="EA1205">
        <v>1</v>
      </c>
      <c r="EB1205">
        <v>1</v>
      </c>
      <c r="EC1205">
        <v>1</v>
      </c>
      <c r="ED1205">
        <v>1</v>
      </c>
      <c r="EE1205">
        <v>1</v>
      </c>
      <c r="EF1205">
        <v>1</v>
      </c>
      <c r="EG1205">
        <v>1</v>
      </c>
      <c r="EH1205">
        <v>0</v>
      </c>
      <c r="EI1205" s="2">
        <v>0</v>
      </c>
      <c r="EK1205" t="str">
        <f>IF(AND(AND(AND(OR($DX1205=1,$DW1205=1),OR($EC1205=1,$EA1205=1)),SUM($DV1205:$DZ1205,$EF1205)&gt;=4),SUM($EA1205:$EE1205)&gt;=2),"Whole sector","")</f>
        <v>Whole sector</v>
      </c>
      <c r="EL1205" t="str">
        <f>IF(AND(AND(OR($DX1205=1,$DW1205=1),AND($EC1205=0,$EA1205=0)),SUM($DV1205:$DZ1205,$EF1205)&gt;=4),"Ecosystem approach","")</f>
        <v/>
      </c>
      <c r="EM1205" s="2" t="str">
        <f>IF(AND(AND(AND($DX1205=0,$DW1205=0),OR($EC1205=1,$EA1205=1)),SUM($EB1205:$EE1205)&gt;=2),"Technology approach","")</f>
        <v/>
      </c>
      <c r="EP1205" t="b">
        <f>IF(ISNUMBER(BU1205),IF(ABS(BU1205-[4]QC_indicators!$B$2)&gt;3*[4]QC_indicators!$C$2,"C ratio",IF(ISNUMBER(BY1205),IF(ABS(BY1205-[4]QC_indicators!$B$1)&gt;3*[4]QC_indicators!$C$1,"DF","no"))),IF(ISNUMBER(BY1205),IF(ABS(BY1205-[4]QC_indicators!$B$1)&gt;3*[4]QC_indicators!$C$1,"DF","no")))</f>
        <v>0</v>
      </c>
      <c r="ER1205" s="149" t="s">
        <v>349</v>
      </c>
      <c r="ET1205" s="264" t="s">
        <v>3273</v>
      </c>
    </row>
    <row r="1206" spans="1:150" ht="15" customHeight="1">
      <c r="A1206" s="1" t="s">
        <v>1972</v>
      </c>
      <c r="B1206" t="s">
        <v>2316</v>
      </c>
      <c r="C1206" t="s">
        <v>2317</v>
      </c>
      <c r="D1206" t="s">
        <v>2318</v>
      </c>
      <c r="E1206" t="s">
        <v>2319</v>
      </c>
      <c r="F1206" t="s">
        <v>2320</v>
      </c>
      <c r="G1206" t="s">
        <v>1978</v>
      </c>
      <c r="H1206" t="s">
        <v>254</v>
      </c>
      <c r="I1206">
        <v>2020</v>
      </c>
      <c r="J1206">
        <v>7</v>
      </c>
      <c r="K1206" t="s">
        <v>2321</v>
      </c>
      <c r="M1206" t="str">
        <f>LEFT($D1206,FIND(",",$D1206)-1)&amp;"_"&amp;I1206&amp;L1206</f>
        <v>Smyth_2020</v>
      </c>
      <c r="N1206" t="s">
        <v>222</v>
      </c>
      <c r="O1206" s="145" t="s">
        <v>341</v>
      </c>
      <c r="Q1206" t="s">
        <v>256</v>
      </c>
      <c r="R1206" s="290" t="s">
        <v>225</v>
      </c>
      <c r="S1206" s="1" t="s">
        <v>2341</v>
      </c>
      <c r="T1206" t="s">
        <v>1155</v>
      </c>
      <c r="U1206" t="s">
        <v>2342</v>
      </c>
      <c r="V1206">
        <v>0</v>
      </c>
      <c r="W1206">
        <v>0</v>
      </c>
      <c r="X1206">
        <v>0</v>
      </c>
      <c r="Y1206">
        <v>0</v>
      </c>
      <c r="Z1206">
        <v>0</v>
      </c>
      <c r="AA1206">
        <v>0</v>
      </c>
      <c r="AB1206">
        <v>0</v>
      </c>
      <c r="AC1206">
        <v>0</v>
      </c>
      <c r="AD1206">
        <v>0</v>
      </c>
      <c r="AE1206">
        <v>0</v>
      </c>
      <c r="AF1206">
        <v>1</v>
      </c>
      <c r="AG1206">
        <v>0</v>
      </c>
      <c r="AH1206">
        <v>0</v>
      </c>
      <c r="AI1206">
        <v>1</v>
      </c>
      <c r="AJ1206">
        <v>0</v>
      </c>
      <c r="AK1206">
        <v>0</v>
      </c>
      <c r="AL1206">
        <v>0</v>
      </c>
      <c r="AM1206">
        <v>0</v>
      </c>
      <c r="AN1206">
        <v>0</v>
      </c>
      <c r="AO1206">
        <v>0</v>
      </c>
      <c r="AP1206">
        <v>0</v>
      </c>
      <c r="AQ1206">
        <v>0</v>
      </c>
      <c r="AR1206">
        <v>0</v>
      </c>
      <c r="AS1206">
        <v>0</v>
      </c>
      <c r="AT1206">
        <v>0</v>
      </c>
      <c r="AU1206">
        <v>0</v>
      </c>
      <c r="AV1206">
        <v>0</v>
      </c>
      <c r="AW1206">
        <v>0</v>
      </c>
      <c r="AX1206" s="141">
        <f>COUNTIF(V1206:AW1206,"&lt;&gt;0")</f>
        <v>2</v>
      </c>
      <c r="AY1206" s="141">
        <f>COUNTIF(V1206:AL1206,"&lt;&gt;0")</f>
        <v>2</v>
      </c>
      <c r="AZ1206">
        <f>COUNTIF(V1206:AC1206,"&lt;&gt;0")</f>
        <v>0</v>
      </c>
      <c r="BA1206">
        <f>COUNTIF(AD1206:AI1206,"&lt;&gt;0")</f>
        <v>2</v>
      </c>
      <c r="BB1206">
        <f>COUNTIF(AJ1206:AL1206,"&lt;&gt;0")</f>
        <v>0</v>
      </c>
      <c r="BC1206">
        <f>COUNTIF(AS1206:AW1206,"&lt;&gt;0")</f>
        <v>0</v>
      </c>
      <c r="BD1206">
        <f>COUNTIF(AM1206:AR1206,"&lt;&gt;0")</f>
        <v>0</v>
      </c>
      <c r="BE1206" t="str">
        <f t="array" ref="BE1206">IF(AY1206=1,INDEX($V$7:$AL$7,MATCH(TRUE,INDEX($V1206:$AW1206&lt;&gt;0,),0)),IF(AY1206=0,INDEX($AM$7:$AW$7,MATCH(1,$AM1206:$AW1206,0)),IF(BF1206="Multiple strategies","mixed drivers",IF(BF1206="Supply chain","multiple supply","multiple silviculture"))))</f>
        <v>multiple supply</v>
      </c>
      <c r="BF1206" s="2" t="str" cm="1">
        <f t="array" ref="BF1206">IF(COUNTIF(AZ1206:BB1206,"&lt;&gt;0")=1,INDEX($V$4:$AW$4,MATCH(TRUE,INDEX($V1206:$AW1206&lt;&gt;0,),0)),IF(COUNTIF(AZ1206:BB1206,"&lt;&gt;0")=0,INDEX($AM$4:$AW$4,MATCH(1,$AM1206:$AW1206,0)),"Multiple strategies"))</f>
        <v>Supply chain</v>
      </c>
      <c r="BG1206" s="1" t="s">
        <v>321</v>
      </c>
      <c r="BH1206" t="s">
        <v>2324</v>
      </c>
      <c r="BI1206" s="260" t="s">
        <v>3390</v>
      </c>
      <c r="BJ1206" t="s">
        <v>1359</v>
      </c>
      <c r="BK1206">
        <v>457</v>
      </c>
      <c r="BL1206">
        <v>457</v>
      </c>
      <c r="BM1206">
        <f>BL1206/BK1206</f>
        <v>1</v>
      </c>
      <c r="BN1206">
        <f>BL1206-BK1206</f>
        <v>0</v>
      </c>
      <c r="BO1206">
        <f>BN1206*10^6*tC_to_m3</f>
        <v>0</v>
      </c>
      <c r="BP1206" t="s">
        <v>232</v>
      </c>
      <c r="BQ1206" s="260" t="s">
        <v>3392</v>
      </c>
      <c r="BR1206" t="s">
        <v>2325</v>
      </c>
      <c r="BU1206" s="144"/>
      <c r="BV1206">
        <v>191</v>
      </c>
      <c r="BX1206">
        <f>BV1206*10^6</f>
        <v>191000000</v>
      </c>
      <c r="BY1206" t="str">
        <f>IFERROR(BX1206/BO1206,"")</f>
        <v/>
      </c>
      <c r="BZ1206">
        <v>0</v>
      </c>
      <c r="CA1206">
        <v>1</v>
      </c>
      <c r="CB1206">
        <v>1</v>
      </c>
      <c r="CC1206">
        <v>1</v>
      </c>
      <c r="CD1206">
        <v>0</v>
      </c>
      <c r="CE1206">
        <v>0</v>
      </c>
      <c r="CF1206">
        <v>0</v>
      </c>
      <c r="CG1206">
        <v>0</v>
      </c>
      <c r="CH1206">
        <v>0</v>
      </c>
      <c r="CI1206">
        <v>0</v>
      </c>
      <c r="CJ1206">
        <v>0</v>
      </c>
      <c r="CK1206">
        <v>0</v>
      </c>
      <c r="CL1206">
        <v>0</v>
      </c>
      <c r="CM1206">
        <v>0</v>
      </c>
      <c r="CN1206" t="str">
        <f>IF(BL1206&lt;BK1206,"refNeedCorrection","refOK")</f>
        <v>refOK</v>
      </c>
      <c r="CO1206"/>
      <c r="CP1206"/>
      <c r="CQ1206">
        <f>IF($CN1206="refOK",$BO1206,-$BO1206)</f>
        <v>0</v>
      </c>
      <c r="CR1206">
        <f>IF($CN1206="refOK",$BS1206,$BT1206)*IF($BP1206="Emissions positive",-1,1)</f>
        <v>0</v>
      </c>
      <c r="CS1206">
        <f>IF($CN1206="refOK",$BT1206,$BS1206)*IF($BP1206="Emissions positive",-1,1)</f>
        <v>0</v>
      </c>
      <c r="CT1206">
        <f>IF($CN1206="refNeedCorrection",-BX1206,BX1206)*IF($BP1206="Emissions positive",-1,1)</f>
        <v>191000000</v>
      </c>
      <c r="CU1206" t="str">
        <f>IFERROR(CT1206/CQ1206,"")</f>
        <v/>
      </c>
      <c r="CV1206" s="2" t="str">
        <f>IFERROR((CS1206-CR1206)/ABS(CR1206),"")</f>
        <v/>
      </c>
      <c r="CW1206" s="1" t="s">
        <v>1199</v>
      </c>
      <c r="CX1206" t="str">
        <f>IF(OR($CW1206="prd",$CW1206="std",$CW1206="cit"),"loc",IF(OR($CW1206="eur",$CW1206="reg",$CW1206="coy"),"reg",$CW1206))</f>
        <v>reg</v>
      </c>
      <c r="CY1206" t="s">
        <v>540</v>
      </c>
      <c r="CZ1206">
        <v>2015</v>
      </c>
      <c r="DA1206">
        <v>2070</v>
      </c>
      <c r="DB1206">
        <v>45</v>
      </c>
      <c r="DC1206" t="str">
        <f>IF(DB1206=0,"0",IF(AND(DB1206&gt;=1,DB1206&lt;=30),"1-30",IF(AND(DB1206&gt;30,DB1206&lt;=70),"31-70",IF(AND(DB1206&gt;70,DB1206&lt;=100),"71-100",IF(DB1206&gt;100,"+100")))))</f>
        <v>31-70</v>
      </c>
      <c r="DD1206">
        <v>0</v>
      </c>
      <c r="DE1206">
        <v>1</v>
      </c>
      <c r="DF1206">
        <v>1</v>
      </c>
      <c r="DG1206">
        <v>1</v>
      </c>
      <c r="DI1206">
        <f>SUM(DD1206:DG1206)</f>
        <v>3</v>
      </c>
      <c r="DJ1206" t="str">
        <f>IF(DI1206=1,INDEX($DD$7:$DG$7,MATCH(1,$DD1206:$DG1206,0)),"mixedProduct")</f>
        <v>mixedProduct</v>
      </c>
      <c r="DK1206">
        <f>IF(DD1206=1,DK$7,0)</f>
        <v>0</v>
      </c>
      <c r="DL1206" t="str">
        <f>IF(DE1206=1,DL$7,0)</f>
        <v>Energy</v>
      </c>
      <c r="DM1206" t="str">
        <f>IF(DF1206=1,DM$7,0)</f>
        <v>Pulp/Paper</v>
      </c>
      <c r="DN1206" t="str">
        <f>IF(DG1206=1,DN$7,0)</f>
        <v>Timber</v>
      </c>
      <c r="DO1206">
        <v>1</v>
      </c>
      <c r="DP1206">
        <v>1</v>
      </c>
      <c r="DQ1206" t="s">
        <v>2315</v>
      </c>
      <c r="DR1206">
        <v>0</v>
      </c>
      <c r="DS1206">
        <v>0</v>
      </c>
      <c r="DT1206">
        <f>SUM(DO1206:DP1206)</f>
        <v>2</v>
      </c>
      <c r="DU1206" s="143" t="str">
        <f>IF(DO1206=1,"self-calculated DF",IF(DP1206=1,"external DF used","explicit C balance"))</f>
        <v>self-calculated DF</v>
      </c>
      <c r="DV1206">
        <v>1</v>
      </c>
      <c r="DW1206">
        <v>1</v>
      </c>
      <c r="DX1206">
        <v>1</v>
      </c>
      <c r="DY1206">
        <v>1</v>
      </c>
      <c r="DZ1206">
        <v>1</v>
      </c>
      <c r="EA1206">
        <v>1</v>
      </c>
      <c r="EB1206">
        <v>1</v>
      </c>
      <c r="EC1206">
        <v>1</v>
      </c>
      <c r="ED1206">
        <v>1</v>
      </c>
      <c r="EE1206">
        <v>1</v>
      </c>
      <c r="EF1206">
        <v>1</v>
      </c>
      <c r="EG1206">
        <v>1</v>
      </c>
      <c r="EH1206">
        <v>0</v>
      </c>
      <c r="EI1206" s="2">
        <v>0</v>
      </c>
      <c r="EK1206" t="str">
        <f>IF(AND(AND(AND(OR($DX1206=1,$DW1206=1),OR($EC1206=1,$EA1206=1)),SUM($DV1206:$DZ1206,$EF1206)&gt;=4),SUM($EA1206:$EE1206)&gt;=2),"Whole sector","")</f>
        <v>Whole sector</v>
      </c>
      <c r="EL1206" t="str">
        <f>IF(AND(AND(OR($DX1206=1,$DW1206=1),AND($EC1206=0,$EA1206=0)),SUM($DV1206:$DZ1206,$EF1206)&gt;=4),"Ecosystem approach","")</f>
        <v/>
      </c>
      <c r="EM1206" s="2" t="str">
        <f>IF(AND(AND(AND($DX1206=0,$DW1206=0),OR($EC1206=1,$EA1206=1)),SUM($EB1206:$EE1206)&gt;=2),"Technology approach","")</f>
        <v/>
      </c>
      <c r="EP1206" t="b">
        <f>IF(ISNUMBER(BU1206),IF(ABS(BU1206-[4]QC_indicators!$B$2)&gt;3*[4]QC_indicators!$C$2,"C ratio",IF(ISNUMBER(BY1206),IF(ABS(BY1206-[4]QC_indicators!$B$1)&gt;3*[4]QC_indicators!$C$1,"DF","no"))),IF(ISNUMBER(BY1206),IF(ABS(BY1206-[4]QC_indicators!$B$1)&gt;3*[4]QC_indicators!$C$1,"DF","no")))</f>
        <v>0</v>
      </c>
      <c r="ER1206" s="149" t="s">
        <v>2326</v>
      </c>
      <c r="ET1206" s="264" t="s">
        <v>3273</v>
      </c>
    </row>
    <row r="1207" spans="1:150" ht="15" customHeight="1">
      <c r="A1207" s="1" t="s">
        <v>1102</v>
      </c>
      <c r="B1207" t="s">
        <v>2381</v>
      </c>
      <c r="C1207" t="s">
        <v>2382</v>
      </c>
      <c r="D1207" t="s">
        <v>2383</v>
      </c>
      <c r="E1207" t="s">
        <v>2384</v>
      </c>
      <c r="F1207" t="s">
        <v>2385</v>
      </c>
      <c r="G1207" t="s">
        <v>1108</v>
      </c>
      <c r="H1207" t="s">
        <v>254</v>
      </c>
      <c r="I1207">
        <v>2016</v>
      </c>
      <c r="J1207">
        <v>13</v>
      </c>
      <c r="K1207" t="s">
        <v>2386</v>
      </c>
      <c r="M1207" t="str">
        <f>LEFT($D1207,FIND(",",$D1207)-1)&amp;"_"&amp;I1207&amp;L1207</f>
        <v>Torssonen_2016</v>
      </c>
      <c r="N1207" t="s">
        <v>222</v>
      </c>
      <c r="O1207" s="145" t="s">
        <v>1154</v>
      </c>
      <c r="Q1207" s="264" t="s">
        <v>256</v>
      </c>
      <c r="R1207" s="269" t="s">
        <v>341</v>
      </c>
      <c r="S1207" s="1" t="s">
        <v>2400</v>
      </c>
      <c r="T1207" s="264" t="s">
        <v>2419</v>
      </c>
      <c r="U1207" s="264" t="s">
        <v>2420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1</v>
      </c>
      <c r="AO1207">
        <v>1</v>
      </c>
      <c r="AP1207">
        <v>0</v>
      </c>
      <c r="AQ1207">
        <v>0</v>
      </c>
      <c r="AR1207">
        <v>0</v>
      </c>
      <c r="AS1207">
        <v>0</v>
      </c>
      <c r="AT1207">
        <v>0</v>
      </c>
      <c r="AU1207">
        <v>0</v>
      </c>
      <c r="AV1207">
        <v>0</v>
      </c>
      <c r="AW1207">
        <v>0</v>
      </c>
      <c r="AX1207" s="141">
        <f>COUNTIF(V1207:AW1207,"&lt;&gt;0")</f>
        <v>2</v>
      </c>
      <c r="AY1207" s="141">
        <f>COUNTIF(V1207:AL1207,"&lt;&gt;0")</f>
        <v>0</v>
      </c>
      <c r="AZ1207">
        <f>COUNTIF(V1207:AC1207,"&lt;&gt;0")</f>
        <v>0</v>
      </c>
      <c r="BA1207">
        <f>COUNTIF(AD1207:AI1207,"&lt;&gt;0")</f>
        <v>0</v>
      </c>
      <c r="BB1207">
        <f>COUNTIF(AJ1207:AL1207,"&lt;&gt;0")</f>
        <v>0</v>
      </c>
      <c r="BC1207">
        <f>COUNTIF(AS1207:AW1207,"&lt;&gt;0")</f>
        <v>0</v>
      </c>
      <c r="BD1207">
        <f>COUNTIF(AM1207:AR1207,"&lt;&gt;0")</f>
        <v>2</v>
      </c>
      <c r="BE1207" t="str" cm="1">
        <f t="array" ref="BE1207">IF(AY1207=1,INDEX($V$7:$AL$7,MATCH(TRUE,INDEX($V1207:$AW1207&lt;&gt;0,),0)),IF(AY1207=0,INDEX($AM$7:$AW$7,MATCH(1,$AM1207:$AW1207,0)),IF(BF1207="Multiple strategies","mixed drivers",IF(BF1207="Supply chain","multiple supply","multiple silviculture"))))</f>
        <v>Temperature</v>
      </c>
      <c r="BF1207" s="2" t="str" cm="1">
        <f t="array" ref="BF1207">IF(COUNTIF(AZ1207:BB1207,"&lt;&gt;0")=1,INDEX($V$4:$AW$4,MATCH(TRUE,INDEX($V1207:$AW1207&lt;&gt;0,),0)),IF(COUNTIF(AZ1207:BB1207,"&lt;&gt;0")=0,INDEX($AM$4:$AW$4,MATCH(1,$AM1207:$AW1207,0)),"Multiple strategies"))</f>
        <v>Environmental change</v>
      </c>
      <c r="BG1207" s="1" t="s">
        <v>229</v>
      </c>
      <c r="BH1207" s="306" t="s">
        <v>2144</v>
      </c>
      <c r="BI1207" s="264" t="s">
        <v>2391</v>
      </c>
      <c r="BJ1207" s="306" t="s">
        <v>1058</v>
      </c>
      <c r="BK1207">
        <v>7.0346938679999997</v>
      </c>
      <c r="BL1207">
        <v>7.0346938679999997</v>
      </c>
      <c r="BM1207" s="143">
        <f>BL1207/BK1207</f>
        <v>1</v>
      </c>
      <c r="BN1207">
        <f>BL1207-BK1207</f>
        <v>0</v>
      </c>
      <c r="BO1207">
        <f>+BN1207*t_to_m3</f>
        <v>0</v>
      </c>
      <c r="BP1207" s="306" t="s">
        <v>395</v>
      </c>
      <c r="BQ1207" s="153" t="s">
        <v>3421</v>
      </c>
      <c r="BR1207" s="264" t="s">
        <v>2393</v>
      </c>
      <c r="BS1207">
        <v>-324.36363636363598</v>
      </c>
      <c r="BT1207">
        <v>-315.636363636363</v>
      </c>
      <c r="BU1207" s="144"/>
      <c r="BV1207" s="144">
        <f>BT1207-BS1207</f>
        <v>8.7272727272729753</v>
      </c>
      <c r="BW1207" s="144"/>
      <c r="BX1207" s="144">
        <f>BV1207*10^4/10^6</f>
        <v>8.727272727272975E-2</v>
      </c>
      <c r="BY1207" t="str">
        <f>IFERROR(BX1207/BO1207,"")</f>
        <v/>
      </c>
      <c r="BZ1207">
        <v>0</v>
      </c>
      <c r="CA1207">
        <v>0</v>
      </c>
      <c r="CB1207">
        <v>0</v>
      </c>
      <c r="CC1207">
        <v>0</v>
      </c>
      <c r="CD1207">
        <v>0</v>
      </c>
      <c r="CE1207">
        <v>0</v>
      </c>
      <c r="CF1207">
        <v>0</v>
      </c>
      <c r="CG1207">
        <v>0</v>
      </c>
      <c r="CH1207">
        <v>0</v>
      </c>
      <c r="CI1207">
        <v>0</v>
      </c>
      <c r="CJ1207">
        <v>0</v>
      </c>
      <c r="CK1207">
        <v>0</v>
      </c>
      <c r="CL1207">
        <v>0</v>
      </c>
      <c r="CM1207">
        <v>1</v>
      </c>
      <c r="CN1207" t="str">
        <f>IF($BL1207&lt;$BK1207,"refNeedCorrection","refOK")</f>
        <v>refOK</v>
      </c>
      <c r="CO1207">
        <f>IF($CN1207="refOK",$BK1207,$BL1207)</f>
        <v>7.0346938679999997</v>
      </c>
      <c r="CP1207">
        <f>IF($CN1207="refOK",$BL1207,$BK1207)</f>
        <v>7.0346938679999997</v>
      </c>
      <c r="CQ1207">
        <f>IF($CN1207="refOK",$BO1207,-$BO1207)</f>
        <v>0</v>
      </c>
      <c r="CR1207">
        <f>IF($CN1207="refOK",$BS1207,$BT1207)*IF($BP1207="Emissions positive",-1,1)</f>
        <v>324.36363636363598</v>
      </c>
      <c r="CS1207">
        <f>IF($CN1207="refOK",$BT1207,$BS1207)*IF($BP1207="Emissions positive",-1,1)</f>
        <v>315.636363636363</v>
      </c>
      <c r="CT1207">
        <f>IF($CN1207="refNeedCorrection",-BX1207,BX1207)*IF($BP1207="Emissions positive",-1,1)</f>
        <v>-8.727272727272975E-2</v>
      </c>
      <c r="CU1207" t="str">
        <f>IFERROR(CT1207/CQ1207,"")</f>
        <v/>
      </c>
      <c r="CV1207" s="2">
        <f>IFERROR((CS1207-CR1207)/ABS(CR1207),"")</f>
        <v>-2.6905829596413352E-2</v>
      </c>
      <c r="CW1207" s="1" t="s">
        <v>1199</v>
      </c>
      <c r="CX1207" s="264" t="str">
        <f>IF(OR($CW1207="prd",$CW1207="std",$CW1207="cit"),"loc",IF(OR($CW1207="eur",$CW1207="reg",$CW1207="coy"),"reg",$CW1207))</f>
        <v>reg</v>
      </c>
      <c r="CY1207" t="s">
        <v>235</v>
      </c>
      <c r="CZ1207">
        <v>2020</v>
      </c>
      <c r="DA1207">
        <v>2100</v>
      </c>
      <c r="DB1207">
        <f>DA1207-CZ1207</f>
        <v>80</v>
      </c>
      <c r="DC1207" t="str">
        <f>IF(DB1207=0,"0",IF(AND(DB1207&gt;=1,DB1207&lt;=30),"1-30",IF(AND(DB1207&gt;30,DB1207&lt;=70),"31-70",IF(AND(DB1207&gt;70,DB1207&lt;=100),"71-100",IF(DB1207&gt;100,"+100")))))</f>
        <v>71-100</v>
      </c>
      <c r="DD1207">
        <v>0</v>
      </c>
      <c r="DE1207">
        <v>1</v>
      </c>
      <c r="DF1207">
        <v>0</v>
      </c>
      <c r="DG1207">
        <v>1</v>
      </c>
      <c r="DI1207">
        <f>SUM(DD1207:DG1207)</f>
        <v>2</v>
      </c>
      <c r="DJ1207" t="str">
        <f>IF(DI1207=1,INDEX($DD$7:$DG$7,MATCH(1,$DD1207:$DG1207,0)),"mixedProduct")</f>
        <v>mixedProduct</v>
      </c>
      <c r="DK1207">
        <f>IF(DD1207=1,DK$7,0)</f>
        <v>0</v>
      </c>
      <c r="DL1207" t="str">
        <f>IF(DE1207=1,DL$7,0)</f>
        <v>Energy</v>
      </c>
      <c r="DM1207">
        <f>IF(DF1207=1,DM$7,0)</f>
        <v>0</v>
      </c>
      <c r="DN1207" t="str">
        <f>IF(DG1207=1,DN$7,0)</f>
        <v>Timber</v>
      </c>
      <c r="DO1207">
        <v>1</v>
      </c>
      <c r="DP1207">
        <v>0</v>
      </c>
      <c r="DQ1207">
        <v>0</v>
      </c>
      <c r="DR1207">
        <v>0</v>
      </c>
      <c r="DS1207">
        <v>0</v>
      </c>
      <c r="DT1207">
        <f>SUM(DO1207:DP1207)</f>
        <v>1</v>
      </c>
      <c r="DU1207" s="143" t="str">
        <f>IF(DO1207=1,"self-calculated DF",IF(DP1207=1,"external DF used","explicit C balance"))</f>
        <v>self-calculated DF</v>
      </c>
      <c r="DV1207">
        <v>1</v>
      </c>
      <c r="DW1207">
        <v>0</v>
      </c>
      <c r="DX1207">
        <v>1</v>
      </c>
      <c r="DY1207">
        <v>0</v>
      </c>
      <c r="DZ1207">
        <v>0</v>
      </c>
      <c r="EA1207" s="143">
        <v>0</v>
      </c>
      <c r="EB1207">
        <v>0</v>
      </c>
      <c r="EC1207">
        <v>0</v>
      </c>
      <c r="ED1207">
        <v>0</v>
      </c>
      <c r="EE1207">
        <v>0</v>
      </c>
      <c r="EF1207">
        <v>1</v>
      </c>
      <c r="EG1207">
        <v>0</v>
      </c>
      <c r="EH1207">
        <v>0</v>
      </c>
      <c r="EI1207" s="2">
        <v>0</v>
      </c>
      <c r="EK1207" t="str">
        <f>IF(AND(AND(AND(OR($DX1207=1,$DW1207=1),OR($EC1207=1,$EA1207=1)),SUM($DV1207:$DZ1207,$EF1207)&gt;=4),SUM($EA1207:$EE1207)&gt;=2),"Whole sector","")</f>
        <v/>
      </c>
      <c r="EL1207" t="str">
        <f>IF(AND(AND(OR($DX1207=1,$DW1207=1),AND($EC1207=0,$EA1207=0)),SUM($DV1207:$DZ1207,$EF1207)&gt;=4),"Ecosystem approach","")</f>
        <v/>
      </c>
      <c r="EM1207" s="2" t="str">
        <f>IF(AND(AND(AND($DX1207=0,$DW1207=0),OR($EC1207=1,$EA1207=1)),SUM($EB1207:$EE1207)&gt;=2),"Technology approach","")</f>
        <v/>
      </c>
      <c r="EN1207" t="s">
        <v>2403</v>
      </c>
      <c r="EP1207" t="b">
        <f>IF(ISNUMBER(BU1207),IF(ABS(BU1207-[3]QC_indicators!$B$2)&gt;3*[3]QC_indicators!$C$2,"C ratio",IF(ISNUMBER(BY1207),IF(ABS(BY1207-[3]QC_indicators!$B$1)&gt;3*[3]QC_indicators!$C$1,"DF","no"))),IF(ISNUMBER(BY1207),IF(ABS(BY1207-[3]QC_indicators!$B$1)&gt;3*[3]QC_indicators!$C$1,"DF","no")))</f>
        <v>0</v>
      </c>
      <c r="ER1207" s="264" t="s">
        <v>2394</v>
      </c>
      <c r="ET1207" s="306" t="s">
        <v>3422</v>
      </c>
    </row>
    <row r="1208" spans="1:150" ht="15" customHeight="1">
      <c r="A1208" s="1" t="s">
        <v>1423</v>
      </c>
      <c r="B1208" t="s">
        <v>2490</v>
      </c>
      <c r="C1208" t="s">
        <v>2491</v>
      </c>
      <c r="D1208" t="s">
        <v>2492</v>
      </c>
      <c r="E1208" t="s">
        <v>2493</v>
      </c>
      <c r="F1208" t="s">
        <v>2494</v>
      </c>
      <c r="G1208" t="s">
        <v>1429</v>
      </c>
      <c r="H1208" t="s">
        <v>254</v>
      </c>
      <c r="I1208">
        <v>2016</v>
      </c>
      <c r="J1208">
        <v>24</v>
      </c>
      <c r="K1208" t="s">
        <v>2495</v>
      </c>
      <c r="M1208" t="str">
        <f>LEFT($D1208,FIND(",",$D1208)-1)&amp;"_"&amp;I1208&amp;L1208</f>
        <v>Zubizarreta-Gerendiain_2016</v>
      </c>
      <c r="N1208" t="s">
        <v>222</v>
      </c>
      <c r="O1208" s="145" t="s">
        <v>1154</v>
      </c>
      <c r="Q1208" t="s">
        <v>256</v>
      </c>
      <c r="R1208" s="262" t="s">
        <v>223</v>
      </c>
      <c r="S1208" s="1" t="s">
        <v>2496</v>
      </c>
      <c r="T1208" t="s">
        <v>2512</v>
      </c>
      <c r="U1208" t="s">
        <v>2511</v>
      </c>
      <c r="V1208">
        <v>0</v>
      </c>
      <c r="W1208">
        <v>0</v>
      </c>
      <c r="X1208">
        <v>0</v>
      </c>
      <c r="Y1208">
        <v>2</v>
      </c>
      <c r="Z1208">
        <v>0</v>
      </c>
      <c r="AA1208">
        <v>0</v>
      </c>
      <c r="AB1208">
        <v>0</v>
      </c>
      <c r="AC1208">
        <v>0</v>
      </c>
      <c r="AD1208">
        <v>0</v>
      </c>
      <c r="AE1208">
        <v>0</v>
      </c>
      <c r="AF1208">
        <v>1</v>
      </c>
      <c r="AG1208">
        <v>0</v>
      </c>
      <c r="AH1208">
        <v>0</v>
      </c>
      <c r="AI1208">
        <v>0</v>
      </c>
      <c r="AJ1208">
        <v>0</v>
      </c>
      <c r="AK1208">
        <v>0</v>
      </c>
      <c r="AL1208">
        <v>0</v>
      </c>
      <c r="AM1208">
        <v>0</v>
      </c>
      <c r="AN1208">
        <v>2</v>
      </c>
      <c r="AO1208">
        <v>2</v>
      </c>
      <c r="AP1208">
        <v>0</v>
      </c>
      <c r="AQ1208">
        <v>0</v>
      </c>
      <c r="AR1208">
        <v>0</v>
      </c>
      <c r="AS1208">
        <v>0</v>
      </c>
      <c r="AT1208">
        <v>0</v>
      </c>
      <c r="AU1208">
        <v>0</v>
      </c>
      <c r="AV1208">
        <v>0</v>
      </c>
      <c r="AW1208">
        <v>0</v>
      </c>
      <c r="AX1208" s="141">
        <f>COUNTIF(V1208:AW1208,"&lt;&gt;0")</f>
        <v>4</v>
      </c>
      <c r="AY1208" s="141">
        <f>COUNTIF(V1208:AL1208,"&lt;&gt;0")</f>
        <v>2</v>
      </c>
      <c r="AZ1208">
        <f>COUNTIF(V1208:AC1208,"&lt;&gt;0")</f>
        <v>1</v>
      </c>
      <c r="BA1208">
        <f>COUNTIF(AD1208:AI1208,"&lt;&gt;0")</f>
        <v>1</v>
      </c>
      <c r="BB1208">
        <f>COUNTIF(AJ1208:AL1208,"&lt;&gt;0")</f>
        <v>0</v>
      </c>
      <c r="BC1208">
        <f>COUNTIF(AS1208:AW1208,"&lt;&gt;0")</f>
        <v>0</v>
      </c>
      <c r="BD1208">
        <f>COUNTIF(AM1208:AR1208,"&lt;&gt;0")</f>
        <v>2</v>
      </c>
      <c r="BE1208" t="str">
        <f t="array" ref="BE1208">IF(AY1208=1,INDEX($V$7:$AL$7,MATCH(TRUE,INDEX($V1208:$AW1208&lt;&gt;0,),0)),IF(AY1208=0,INDEX($AM$7:$AW$7,MATCH(1,$AM1208:$AW1208,0)),IF(BF1208="Multiple strategies","mixed drivers",IF(BF1208="Supply chain","multiple supply","multiple silviculture"))))</f>
        <v>mixed drivers</v>
      </c>
      <c r="BF1208" s="2" t="str" cm="1">
        <f t="array" ref="BF1208">IF(COUNTIF(AZ1208:BB1208,"&lt;&gt;0")=1,INDEX($V$4:$AW$4,MATCH(TRUE,INDEX($V1208:$AW1208&lt;&gt;0,),0)),IF(COUNTIF(AZ1208:BB1208,"&lt;&gt;0")=0,INDEX($AM$4:$AW$4,MATCH(1,$AM1208:$AW1208,0)),"Multiple strategies"))</f>
        <v>Multiple strategies</v>
      </c>
      <c r="BM1208" s="143"/>
      <c r="BN1208" s="143"/>
      <c r="BP1208" s="143" t="s">
        <v>232</v>
      </c>
      <c r="BQ1208" s="143"/>
      <c r="BR1208" t="s">
        <v>1195</v>
      </c>
      <c r="BS1208">
        <v>125518.89696071042</v>
      </c>
      <c r="BT1208">
        <v>29471.133802816759</v>
      </c>
      <c r="BU1208" s="144">
        <f>IFERROR(BT1208/BS1208,"")</f>
        <v>0.23479439762796619</v>
      </c>
      <c r="BV1208" s="144">
        <f>BT1208-BS1208</f>
        <v>-96047.763157893671</v>
      </c>
      <c r="BW1208" s="144"/>
      <c r="BX1208" s="144">
        <f>BV1208</f>
        <v>-96047.763157893671</v>
      </c>
      <c r="BY1208" t="str">
        <f>IFERROR(BX1208/BO1208,"")</f>
        <v/>
      </c>
      <c r="BZ1208">
        <v>0</v>
      </c>
      <c r="CA1208">
        <v>0</v>
      </c>
      <c r="CB1208">
        <v>0</v>
      </c>
      <c r="CC1208">
        <v>0</v>
      </c>
      <c r="CD1208">
        <v>0</v>
      </c>
      <c r="CE1208">
        <v>0</v>
      </c>
      <c r="CF1208">
        <v>0</v>
      </c>
      <c r="CG1208">
        <v>0</v>
      </c>
      <c r="CH1208">
        <v>0</v>
      </c>
      <c r="CI1208">
        <v>0</v>
      </c>
      <c r="CJ1208">
        <v>0</v>
      </c>
      <c r="CK1208">
        <v>0</v>
      </c>
      <c r="CL1208">
        <v>0</v>
      </c>
      <c r="CM1208">
        <v>1</v>
      </c>
      <c r="CN1208" t="str">
        <f>IF(BL1208&lt;BK1208,"refNeedCorrection","refOK")</f>
        <v>refOK</v>
      </c>
      <c r="CO1208"/>
      <c r="CP1208"/>
      <c r="CQ1208"/>
      <c r="CR1208">
        <f>IF($CN1208="refOK",$BS1208,$BT1208)*IF($BP1208="Emissions positive",-1,1)</f>
        <v>125518.89696071042</v>
      </c>
      <c r="CS1208">
        <f>IF($CN1208="refOK",$BT1208,$BS1208)*IF($BP1208="Emissions positive",-1,1)</f>
        <v>29471.133802816759</v>
      </c>
      <c r="CT1208">
        <f>IF($CN1208="refNeedCorrection",-BX1208,BX1208)*IF($BP1208="Emissions positive",-1,1)</f>
        <v>-96047.763157893671</v>
      </c>
      <c r="CU1208" t="str">
        <f>IFERROR(CT1208/CQ1208,"")</f>
        <v/>
      </c>
      <c r="CV1208" s="2">
        <f>IFERROR((CS1208-CR1208)/ABS(CR1208),"")</f>
        <v>-0.76520560237203383</v>
      </c>
      <c r="CW1208" s="1" t="s">
        <v>1199</v>
      </c>
      <c r="CX1208" t="str">
        <f>IF(OR($CW1208="prd",$CW1208="std",$CW1208="cit"),"loc",IF(OR($CW1208="eur",$CW1208="reg",$CW1208="coy"),"reg",$CW1208))</f>
        <v>reg</v>
      </c>
      <c r="CY1208" t="s">
        <v>235</v>
      </c>
      <c r="CZ1208">
        <v>2010</v>
      </c>
      <c r="DA1208">
        <v>2070</v>
      </c>
      <c r="DB1208">
        <f>DA1208-CZ1208</f>
        <v>60</v>
      </c>
      <c r="DC1208" t="str">
        <f>IF(DB1208=0,"0",IF(AND(DB1208&gt;=1,DB1208&lt;=30),"1-30",IF(AND(DB1208&gt;30,DB1208&lt;=70),"31-70",IF(AND(DB1208&gt;70,DB1208&lt;=100),"71-100",IF(DB1208&gt;100,"+100")))))</f>
        <v>31-70</v>
      </c>
      <c r="DD1208">
        <v>1</v>
      </c>
      <c r="DE1208">
        <v>1</v>
      </c>
      <c r="DF1208">
        <v>1</v>
      </c>
      <c r="DG1208">
        <v>1</v>
      </c>
      <c r="DH1208">
        <v>0</v>
      </c>
      <c r="DI1208">
        <f>SUM(DD1208:DG1208)</f>
        <v>4</v>
      </c>
      <c r="DJ1208" t="str">
        <f>IF(DI1208=1,INDEX($DD$7:$DG$7,MATCH(1,$DD1208:$DG1208,0)),"mixedProduct")</f>
        <v>mixedProduct</v>
      </c>
      <c r="DK1208" t="str">
        <f>IF(DD1208=1,DK$7,0)</f>
        <v>Upstream</v>
      </c>
      <c r="DL1208" t="str">
        <f>IF(DE1208=1,DL$7,0)</f>
        <v>Energy</v>
      </c>
      <c r="DM1208" t="str">
        <f>IF(DF1208=1,DM$7,0)</f>
        <v>Pulp/Paper</v>
      </c>
      <c r="DN1208" t="str">
        <f>IF(DG1208=1,DN$7,0)</f>
        <v>Timber</v>
      </c>
      <c r="DO1208">
        <v>0</v>
      </c>
      <c r="DP1208">
        <v>1</v>
      </c>
      <c r="DQ1208" t="s">
        <v>2524</v>
      </c>
      <c r="DR1208" t="s">
        <v>2525</v>
      </c>
      <c r="DS1208">
        <v>0</v>
      </c>
      <c r="DT1208">
        <f>SUM(DO1208:DP1208)</f>
        <v>1</v>
      </c>
      <c r="DU1208" s="143" t="str">
        <f>IF(DO1208=1,"self-calculated DF",IF(DP1208=1,"external DF used","explicit C balance"))</f>
        <v>external DF used</v>
      </c>
      <c r="DV1208">
        <v>1</v>
      </c>
      <c r="DW1208">
        <v>1</v>
      </c>
      <c r="DX1208">
        <v>1</v>
      </c>
      <c r="DY1208">
        <v>1</v>
      </c>
      <c r="DZ1208">
        <v>0</v>
      </c>
      <c r="EA1208" s="143">
        <v>0</v>
      </c>
      <c r="EB1208">
        <v>1</v>
      </c>
      <c r="EC1208">
        <v>1</v>
      </c>
      <c r="ED1208">
        <v>0</v>
      </c>
      <c r="EE1208">
        <v>0</v>
      </c>
      <c r="EF1208">
        <v>1</v>
      </c>
      <c r="EG1208">
        <v>0</v>
      </c>
      <c r="EH1208">
        <v>0</v>
      </c>
      <c r="EI1208" s="2">
        <v>0</v>
      </c>
      <c r="EK1208" t="str">
        <f>IF(AND(AND(AND(OR($DX1208=1,$DW1208=1),OR($EC1208=1,$EA1208=1)),SUM($DV1208:$DZ1208,$EF1208)&gt;=4),SUM($EA1208:$EE1208)&gt;=2),"Whole sector","")</f>
        <v>Whole sector</v>
      </c>
      <c r="EL1208" t="str">
        <f>IF(AND(AND(OR($DX1208=1,$DW1208=1),AND($EC1208=0,$EA1208=0)),SUM($DV1208:$DZ1208,$EF1208)&gt;=4),"Ecosystem approach","")</f>
        <v/>
      </c>
      <c r="EM1208" s="2" t="str">
        <f>IF(AND(AND(AND($DX1208=0,$DW1208=0),OR($EC1208=1,$EA1208=1)),SUM($EB1208:$EE1208)&gt;=2),"Technology approach","")</f>
        <v/>
      </c>
      <c r="EP1208" t="b">
        <f>IF(ISNUMBER(BU1208),IF(ABS(BU1208-[1]QC_indicators!$B$2)&gt;3*[1]QC_indicators!$C$2,"C ratio",IF(ISNUMBER(BY1208),IF(ABS(BY1208-[1]QC_indicators!$B$1)&gt;3*[1]QC_indicators!$C$1,"DF","no"))),IF(ISNUMBER(BY1208),IF(ABS(BY1208-[1]QC_indicators!$B$1)&gt;3*[1]QC_indicators!$C$1,"DF","no")))</f>
        <v>0</v>
      </c>
      <c r="ET1208" s="264" t="s">
        <v>3273</v>
      </c>
    </row>
    <row r="1209" spans="1:150" ht="15" customHeight="1">
      <c r="A1209" s="1" t="s">
        <v>1423</v>
      </c>
      <c r="B1209" t="s">
        <v>2490</v>
      </c>
      <c r="C1209" t="s">
        <v>2491</v>
      </c>
      <c r="D1209" t="s">
        <v>2492</v>
      </c>
      <c r="E1209" t="s">
        <v>2493</v>
      </c>
      <c r="F1209" t="s">
        <v>2494</v>
      </c>
      <c r="G1209" t="s">
        <v>1429</v>
      </c>
      <c r="H1209" t="s">
        <v>254</v>
      </c>
      <c r="I1209">
        <v>2016</v>
      </c>
      <c r="J1209">
        <v>24</v>
      </c>
      <c r="K1209" t="s">
        <v>2495</v>
      </c>
      <c r="M1209" t="str">
        <f>LEFT($D1209,FIND(",",$D1209)-1)&amp;"_"&amp;I1209&amp;L1209</f>
        <v>Zubizarreta-Gerendiain_2016</v>
      </c>
      <c r="N1209" t="s">
        <v>222</v>
      </c>
      <c r="O1209" s="145" t="s">
        <v>1154</v>
      </c>
      <c r="Q1209" t="s">
        <v>256</v>
      </c>
      <c r="R1209" s="262" t="s">
        <v>223</v>
      </c>
      <c r="S1209" s="1" t="s">
        <v>2496</v>
      </c>
      <c r="T1209" t="s">
        <v>2512</v>
      </c>
      <c r="U1209" t="s">
        <v>2511</v>
      </c>
      <c r="V1209">
        <v>0</v>
      </c>
      <c r="W1209">
        <v>0</v>
      </c>
      <c r="X1209">
        <v>0</v>
      </c>
      <c r="Y1209">
        <v>2</v>
      </c>
      <c r="Z1209">
        <v>0</v>
      </c>
      <c r="AA1209">
        <v>0</v>
      </c>
      <c r="AB1209">
        <v>0</v>
      </c>
      <c r="AC1209">
        <v>0</v>
      </c>
      <c r="AD1209">
        <v>0</v>
      </c>
      <c r="AE1209">
        <v>0</v>
      </c>
      <c r="AF1209">
        <v>1</v>
      </c>
      <c r="AG1209">
        <v>0</v>
      </c>
      <c r="AH1209">
        <v>0</v>
      </c>
      <c r="AI1209">
        <v>0</v>
      </c>
      <c r="AJ1209">
        <v>0</v>
      </c>
      <c r="AK1209">
        <v>0</v>
      </c>
      <c r="AL1209">
        <v>0</v>
      </c>
      <c r="AM1209">
        <v>0</v>
      </c>
      <c r="AN1209">
        <v>2</v>
      </c>
      <c r="AO1209">
        <v>2</v>
      </c>
      <c r="AP1209">
        <v>0</v>
      </c>
      <c r="AQ1209">
        <v>0</v>
      </c>
      <c r="AR1209">
        <v>0</v>
      </c>
      <c r="AS1209">
        <v>0</v>
      </c>
      <c r="AT1209">
        <v>0</v>
      </c>
      <c r="AU1209">
        <v>0</v>
      </c>
      <c r="AV1209">
        <v>0</v>
      </c>
      <c r="AW1209">
        <v>0</v>
      </c>
      <c r="AX1209" s="141">
        <f>COUNTIF(V1209:AW1209,"&lt;&gt;0")</f>
        <v>4</v>
      </c>
      <c r="AY1209" s="141">
        <f>COUNTIF(V1209:AL1209,"&lt;&gt;0")</f>
        <v>2</v>
      </c>
      <c r="AZ1209">
        <f>COUNTIF(V1209:AC1209,"&lt;&gt;0")</f>
        <v>1</v>
      </c>
      <c r="BA1209">
        <f>COUNTIF(AD1209:AI1209,"&lt;&gt;0")</f>
        <v>1</v>
      </c>
      <c r="BB1209">
        <f>COUNTIF(AJ1209:AL1209,"&lt;&gt;0")</f>
        <v>0</v>
      </c>
      <c r="BC1209">
        <f>COUNTIF(AS1209:AW1209,"&lt;&gt;0")</f>
        <v>0</v>
      </c>
      <c r="BD1209">
        <f>COUNTIF(AM1209:AR1209,"&lt;&gt;0")</f>
        <v>2</v>
      </c>
      <c r="BE1209" t="str">
        <f t="array" ref="BE1209">IF(AY1209=1,INDEX($V$7:$AL$7,MATCH(TRUE,INDEX($V1209:$AW1209&lt;&gt;0,),0)),IF(AY1209=0,INDEX($AM$7:$AW$7,MATCH(1,$AM1209:$AW1209,0)),IF(BF1209="Multiple strategies","mixed drivers",IF(BF1209="Supply chain","multiple supply","multiple silviculture"))))</f>
        <v>mixed drivers</v>
      </c>
      <c r="BF1209" s="2" t="str" cm="1">
        <f t="array" ref="BF1209">IF(COUNTIF(AZ1209:BB1209,"&lt;&gt;0")=1,INDEX($V$4:$AW$4,MATCH(TRUE,INDEX($V1209:$AW1209&lt;&gt;0,),0)),IF(COUNTIF(AZ1209:BB1209,"&lt;&gt;0")=0,INDEX($AM$4:$AW$4,MATCH(1,$AM1209:$AW1209,0)),"Multiple strategies"))</f>
        <v>Multiple strategies</v>
      </c>
      <c r="BM1209" s="143"/>
      <c r="BN1209" s="143"/>
      <c r="BP1209" s="143" t="s">
        <v>232</v>
      </c>
      <c r="BQ1209" s="143"/>
      <c r="BR1209" t="s">
        <v>1195</v>
      </c>
      <c r="BS1209">
        <v>30676.744408945775</v>
      </c>
      <c r="BT1209">
        <v>-70376.060702875271</v>
      </c>
      <c r="BU1209" s="144">
        <f>IFERROR(BT1209/BS1209,"")</f>
        <v>-2.2941176470588127</v>
      </c>
      <c r="BV1209" s="144">
        <f>BT1209-BS1209</f>
        <v>-101052.80511182104</v>
      </c>
      <c r="BW1209" s="144"/>
      <c r="BX1209" s="144">
        <f>BV1209</f>
        <v>-101052.80511182104</v>
      </c>
      <c r="BY1209" t="str">
        <f>IFERROR(BX1209/BO1209,"")</f>
        <v/>
      </c>
      <c r="BZ1209">
        <v>0</v>
      </c>
      <c r="CA1209">
        <v>0</v>
      </c>
      <c r="CB1209">
        <v>0</v>
      </c>
      <c r="CC1209">
        <v>0</v>
      </c>
      <c r="CD1209">
        <v>0</v>
      </c>
      <c r="CE1209">
        <v>0</v>
      </c>
      <c r="CF1209">
        <v>0</v>
      </c>
      <c r="CG1209">
        <v>0</v>
      </c>
      <c r="CH1209">
        <v>0</v>
      </c>
      <c r="CI1209">
        <v>0</v>
      </c>
      <c r="CJ1209">
        <v>0</v>
      </c>
      <c r="CK1209">
        <v>0</v>
      </c>
      <c r="CL1209">
        <v>0</v>
      </c>
      <c r="CM1209">
        <v>1</v>
      </c>
      <c r="CN1209" t="str">
        <f>IF(BL1209&lt;BK1209,"refNeedCorrection","refOK")</f>
        <v>refOK</v>
      </c>
      <c r="CO1209"/>
      <c r="CP1209"/>
      <c r="CQ1209"/>
      <c r="CR1209">
        <f>IF($CN1209="refOK",$BS1209,$BT1209)*IF($BP1209="Emissions positive",-1,1)</f>
        <v>30676.744408945775</v>
      </c>
      <c r="CS1209">
        <f>IF($CN1209="refOK",$BT1209,$BS1209)*IF($BP1209="Emissions positive",-1,1)</f>
        <v>-70376.060702875271</v>
      </c>
      <c r="CT1209">
        <f>IF($CN1209="refNeedCorrection",-BX1209,BX1209)*IF($BP1209="Emissions positive",-1,1)</f>
        <v>-101052.80511182104</v>
      </c>
      <c r="CU1209" t="str">
        <f>IFERROR(CT1209/CQ1209,"")</f>
        <v/>
      </c>
      <c r="CV1209" s="2">
        <f>IFERROR((CS1209-CR1209)/ABS(CR1209),"")</f>
        <v>-3.2941176470588127</v>
      </c>
      <c r="CW1209" s="1" t="s">
        <v>1199</v>
      </c>
      <c r="CX1209" t="str">
        <f>IF(OR($CW1209="prd",$CW1209="std",$CW1209="cit"),"loc",IF(OR($CW1209="eur",$CW1209="reg",$CW1209="coy"),"reg",$CW1209))</f>
        <v>reg</v>
      </c>
      <c r="CY1209" t="s">
        <v>235</v>
      </c>
      <c r="CZ1209">
        <v>2010</v>
      </c>
      <c r="DA1209">
        <v>2070</v>
      </c>
      <c r="DB1209">
        <f>DA1209-CZ1209</f>
        <v>60</v>
      </c>
      <c r="DC1209" t="str">
        <f>IF(DB1209=0,"0",IF(AND(DB1209&gt;=1,DB1209&lt;=30),"1-30",IF(AND(DB1209&gt;30,DB1209&lt;=70),"31-70",IF(AND(DB1209&gt;70,DB1209&lt;=100),"71-100",IF(DB1209&gt;100,"+100")))))</f>
        <v>31-70</v>
      </c>
      <c r="DD1209">
        <v>1</v>
      </c>
      <c r="DE1209">
        <v>1</v>
      </c>
      <c r="DF1209">
        <v>1</v>
      </c>
      <c r="DG1209">
        <v>1</v>
      </c>
      <c r="DH1209">
        <v>0</v>
      </c>
      <c r="DI1209">
        <f>SUM(DD1209:DG1209)</f>
        <v>4</v>
      </c>
      <c r="DJ1209" t="str">
        <f>IF(DI1209=1,INDEX($DD$7:$DG$7,MATCH(1,$DD1209:$DG1209,0)),"mixedProduct")</f>
        <v>mixedProduct</v>
      </c>
      <c r="DK1209" t="str">
        <f>IF(DD1209=1,DK$7,0)</f>
        <v>Upstream</v>
      </c>
      <c r="DL1209" t="str">
        <f>IF(DE1209=1,DL$7,0)</f>
        <v>Energy</v>
      </c>
      <c r="DM1209" t="str">
        <f>IF(DF1209=1,DM$7,0)</f>
        <v>Pulp/Paper</v>
      </c>
      <c r="DN1209" t="str">
        <f>IF(DG1209=1,DN$7,0)</f>
        <v>Timber</v>
      </c>
      <c r="DO1209">
        <v>0</v>
      </c>
      <c r="DP1209">
        <v>0</v>
      </c>
      <c r="DQ1209">
        <v>0</v>
      </c>
      <c r="DR1209">
        <v>0</v>
      </c>
      <c r="DS1209">
        <v>0</v>
      </c>
      <c r="DT1209">
        <f>SUM(DO1209:DP1209)</f>
        <v>0</v>
      </c>
      <c r="DU1209" s="143" t="str">
        <f>IF(DO1209=1,"self-calculated DF",IF(DP1209=1,"external DF used","explicit C balance"))</f>
        <v>explicit C balance</v>
      </c>
      <c r="DV1209">
        <v>1</v>
      </c>
      <c r="DW1209">
        <v>1</v>
      </c>
      <c r="DX1209">
        <v>1</v>
      </c>
      <c r="DY1209">
        <v>0</v>
      </c>
      <c r="DZ1209">
        <v>0</v>
      </c>
      <c r="EA1209" s="143">
        <v>0</v>
      </c>
      <c r="EB1209">
        <v>1</v>
      </c>
      <c r="EC1209">
        <v>1</v>
      </c>
      <c r="ED1209">
        <v>0</v>
      </c>
      <c r="EE1209">
        <v>0</v>
      </c>
      <c r="EF1209">
        <v>1</v>
      </c>
      <c r="EG1209">
        <v>0</v>
      </c>
      <c r="EH1209">
        <v>0</v>
      </c>
      <c r="EI1209" s="2">
        <v>0</v>
      </c>
      <c r="EK1209" t="str">
        <f>IF(AND(AND(AND(OR($DX1209=1,$DW1209=1),OR($EC1209=1,$EA1209=1)),SUM($DV1209:$DZ1209,$EF1209)&gt;=4),SUM($EA1209:$EE1209)&gt;=2),"Whole sector","")</f>
        <v>Whole sector</v>
      </c>
      <c r="EL1209" t="str">
        <f>IF(AND(AND(OR($DX1209=1,$DW1209=1),AND($EC1209=0,$EA1209=0)),SUM($DV1209:$DZ1209,$EF1209)&gt;=4),"Ecosystem approach","")</f>
        <v/>
      </c>
      <c r="EM1209" s="2" t="str">
        <f>IF(AND(AND(AND($DX1209=0,$DW1209=0),OR($EC1209=1,$EA1209=1)),SUM($EB1209:$EE1209)&gt;=2),"Technology approach","")</f>
        <v/>
      </c>
      <c r="EP1209" t="b">
        <f>IF(ISNUMBER(BU1209),IF(ABS(BU1209-[1]QC_indicators!$B$2)&gt;3*[1]QC_indicators!$C$2,"C ratio",IF(ISNUMBER(BY1209),IF(ABS(BY1209-[1]QC_indicators!$B$1)&gt;3*[1]QC_indicators!$C$1,"DF","no"))),IF(ISNUMBER(BY1209),IF(ABS(BY1209-[1]QC_indicators!$B$1)&gt;3*[1]QC_indicators!$C$1,"DF","no")))</f>
        <v>0</v>
      </c>
      <c r="ET1209" s="264" t="s">
        <v>3273</v>
      </c>
    </row>
    <row r="1210" spans="1:150" ht="15" customHeight="1">
      <c r="A1210" s="1" t="s">
        <v>1423</v>
      </c>
      <c r="B1210" t="s">
        <v>2490</v>
      </c>
      <c r="C1210" t="s">
        <v>2491</v>
      </c>
      <c r="D1210" t="s">
        <v>2492</v>
      </c>
      <c r="E1210" t="s">
        <v>2493</v>
      </c>
      <c r="F1210" t="s">
        <v>2494</v>
      </c>
      <c r="G1210" t="s">
        <v>1429</v>
      </c>
      <c r="H1210" t="s">
        <v>254</v>
      </c>
      <c r="I1210">
        <v>2016</v>
      </c>
      <c r="J1210">
        <v>24</v>
      </c>
      <c r="K1210" t="s">
        <v>2495</v>
      </c>
      <c r="M1210" t="str">
        <f>LEFT($D1210,FIND(",",$D1210)-1)&amp;"_"&amp;I1210&amp;L1210</f>
        <v>Zubizarreta-Gerendiain_2016</v>
      </c>
      <c r="N1210" t="s">
        <v>222</v>
      </c>
      <c r="O1210" s="145" t="s">
        <v>1154</v>
      </c>
      <c r="Q1210" t="s">
        <v>256</v>
      </c>
      <c r="R1210" s="262" t="s">
        <v>223</v>
      </c>
      <c r="S1210" s="1" t="s">
        <v>2506</v>
      </c>
      <c r="T1210" t="s">
        <v>2510</v>
      </c>
      <c r="U1210" t="s">
        <v>2511</v>
      </c>
      <c r="V1210">
        <v>0</v>
      </c>
      <c r="W1210">
        <v>0</v>
      </c>
      <c r="X1210">
        <v>0</v>
      </c>
      <c r="Y1210">
        <v>2</v>
      </c>
      <c r="Z1210">
        <v>0</v>
      </c>
      <c r="AA1210">
        <v>0</v>
      </c>
      <c r="AB1210">
        <v>0</v>
      </c>
      <c r="AC1210">
        <v>0</v>
      </c>
      <c r="AD1210">
        <v>0</v>
      </c>
      <c r="AE1210">
        <v>0</v>
      </c>
      <c r="AF1210">
        <v>1</v>
      </c>
      <c r="AG1210">
        <v>0</v>
      </c>
      <c r="AH1210">
        <v>0</v>
      </c>
      <c r="AI1210">
        <v>0</v>
      </c>
      <c r="AJ1210">
        <v>0</v>
      </c>
      <c r="AK1210">
        <v>0</v>
      </c>
      <c r="AL1210">
        <v>0</v>
      </c>
      <c r="AM1210">
        <v>0</v>
      </c>
      <c r="AN1210">
        <v>2</v>
      </c>
      <c r="AO1210">
        <v>2</v>
      </c>
      <c r="AP1210">
        <v>0</v>
      </c>
      <c r="AQ1210">
        <v>0</v>
      </c>
      <c r="AR1210">
        <v>0</v>
      </c>
      <c r="AS1210">
        <v>0</v>
      </c>
      <c r="AT1210">
        <v>0</v>
      </c>
      <c r="AU1210">
        <v>0</v>
      </c>
      <c r="AV1210">
        <v>0</v>
      </c>
      <c r="AW1210">
        <v>0</v>
      </c>
      <c r="AX1210" s="141">
        <f>COUNTIF(V1210:AW1210,"&lt;&gt;0")</f>
        <v>4</v>
      </c>
      <c r="AY1210" s="141">
        <f>COUNTIF(V1210:AL1210,"&lt;&gt;0")</f>
        <v>2</v>
      </c>
      <c r="AZ1210">
        <f>COUNTIF(V1210:AC1210,"&lt;&gt;0")</f>
        <v>1</v>
      </c>
      <c r="BA1210">
        <f>COUNTIF(AD1210:AI1210,"&lt;&gt;0")</f>
        <v>1</v>
      </c>
      <c r="BB1210">
        <f>COUNTIF(AJ1210:AL1210,"&lt;&gt;0")</f>
        <v>0</v>
      </c>
      <c r="BC1210">
        <f>COUNTIF(AS1210:AW1210,"&lt;&gt;0")</f>
        <v>0</v>
      </c>
      <c r="BD1210">
        <f>COUNTIF(AM1210:AR1210,"&lt;&gt;0")</f>
        <v>2</v>
      </c>
      <c r="BE1210" t="str">
        <f t="array" ref="BE1210">IF(AY1210=1,INDEX($V$7:$AL$7,MATCH(TRUE,INDEX($V1210:$AW1210&lt;&gt;0,),0)),IF(AY1210=0,INDEX($AM$7:$AW$7,MATCH(1,$AM1210:$AW1210,0)),IF(BF1210="Multiple strategies","mixed drivers",IF(BF1210="Supply chain","multiple supply","multiple silviculture"))))</f>
        <v>mixed drivers</v>
      </c>
      <c r="BF1210" s="2" t="str" cm="1">
        <f t="array" ref="BF1210">IF(COUNTIF(AZ1210:BB1210,"&lt;&gt;0")=1,INDEX($V$4:$AW$4,MATCH(TRUE,INDEX($V1210:$AW1210&lt;&gt;0,),0)),IF(COUNTIF(AZ1210:BB1210,"&lt;&gt;0")=0,INDEX($AM$4:$AW$4,MATCH(1,$AM1210:$AW1210,0)),"Multiple strategies"))</f>
        <v>Multiple strategies</v>
      </c>
      <c r="BM1210" s="143"/>
      <c r="BN1210" s="143"/>
      <c r="BP1210" s="143" t="s">
        <v>232</v>
      </c>
      <c r="BQ1210" s="143"/>
      <c r="BR1210" t="s">
        <v>1195</v>
      </c>
      <c r="BS1210">
        <v>144211.00407709272</v>
      </c>
      <c r="BT1210">
        <v>29471.133802816759</v>
      </c>
      <c r="BU1210" s="144">
        <f>IFERROR(BT1210/BS1210,"")</f>
        <v>0.20436119969778449</v>
      </c>
      <c r="BV1210" s="144">
        <f>BT1210-BS1210</f>
        <v>-114739.87027427595</v>
      </c>
      <c r="BW1210" s="144"/>
      <c r="BX1210" s="144">
        <f>BV1210</f>
        <v>-114739.87027427595</v>
      </c>
      <c r="BY1210" t="str">
        <f>IFERROR(BX1210/BO1210,"")</f>
        <v/>
      </c>
      <c r="BZ1210">
        <v>0</v>
      </c>
      <c r="CA1210">
        <v>0</v>
      </c>
      <c r="CB1210">
        <v>0</v>
      </c>
      <c r="CC1210">
        <v>0</v>
      </c>
      <c r="CD1210">
        <v>0</v>
      </c>
      <c r="CE1210">
        <v>0</v>
      </c>
      <c r="CF1210">
        <v>0</v>
      </c>
      <c r="CG1210">
        <v>0</v>
      </c>
      <c r="CH1210">
        <v>0</v>
      </c>
      <c r="CI1210">
        <v>0</v>
      </c>
      <c r="CJ1210">
        <v>0</v>
      </c>
      <c r="CK1210">
        <v>0</v>
      </c>
      <c r="CL1210">
        <v>0</v>
      </c>
      <c r="CM1210">
        <v>1</v>
      </c>
      <c r="CN1210" t="str">
        <f>IF(BL1210&lt;BK1210,"refNeedCorrection","refOK")</f>
        <v>refOK</v>
      </c>
      <c r="CO1210"/>
      <c r="CP1210"/>
      <c r="CQ1210"/>
      <c r="CR1210">
        <f>IF($CN1210="refOK",$BS1210,$BT1210)*IF($BP1210="Emissions positive",-1,1)</f>
        <v>144211.00407709272</v>
      </c>
      <c r="CS1210">
        <f>IF($CN1210="refOK",$BT1210,$BS1210)*IF($BP1210="Emissions positive",-1,1)</f>
        <v>29471.133802816759</v>
      </c>
      <c r="CT1210">
        <f>IF($CN1210="refNeedCorrection",-BX1210,BX1210)*IF($BP1210="Emissions positive",-1,1)</f>
        <v>-114739.87027427595</v>
      </c>
      <c r="CU1210" t="str">
        <f>IFERROR(CT1210/CQ1210,"")</f>
        <v/>
      </c>
      <c r="CV1210" s="2">
        <f>IFERROR((CS1210-CR1210)/ABS(CR1210),"")</f>
        <v>-0.79563880030221545</v>
      </c>
      <c r="CW1210" s="1" t="s">
        <v>1199</v>
      </c>
      <c r="CX1210" t="str">
        <f>IF(OR($CW1210="prd",$CW1210="std",$CW1210="cit"),"loc",IF(OR($CW1210="eur",$CW1210="reg",$CW1210="coy"),"reg",$CW1210))</f>
        <v>reg</v>
      </c>
      <c r="CY1210" t="s">
        <v>235</v>
      </c>
      <c r="CZ1210">
        <v>2010</v>
      </c>
      <c r="DA1210">
        <v>2070</v>
      </c>
      <c r="DB1210">
        <f>DA1210-CZ1210</f>
        <v>60</v>
      </c>
      <c r="DC1210" t="str">
        <f>IF(DB1210=0,"0",IF(AND(DB1210&gt;=1,DB1210&lt;=30),"1-30",IF(AND(DB1210&gt;30,DB1210&lt;=70),"31-70",IF(AND(DB1210&gt;70,DB1210&lt;=100),"71-100",IF(DB1210&gt;100,"+100")))))</f>
        <v>31-70</v>
      </c>
      <c r="DD1210">
        <v>1</v>
      </c>
      <c r="DE1210">
        <v>1</v>
      </c>
      <c r="DF1210">
        <v>1</v>
      </c>
      <c r="DG1210">
        <v>1</v>
      </c>
      <c r="DH1210">
        <v>0</v>
      </c>
      <c r="DI1210">
        <f>SUM(DD1210:DG1210)</f>
        <v>4</v>
      </c>
      <c r="DJ1210" t="str">
        <f>IF(DI1210=1,INDEX($DD$7:$DG$7,MATCH(1,$DD1210:$DG1210,0)),"mixedProduct")</f>
        <v>mixedProduct</v>
      </c>
      <c r="DK1210" t="str">
        <f>IF(DD1210=1,DK$7,0)</f>
        <v>Upstream</v>
      </c>
      <c r="DL1210" t="str">
        <f>IF(DE1210=1,DL$7,0)</f>
        <v>Energy</v>
      </c>
      <c r="DM1210" t="str">
        <f>IF(DF1210=1,DM$7,0)</f>
        <v>Pulp/Paper</v>
      </c>
      <c r="DN1210" t="str">
        <f>IF(DG1210=1,DN$7,0)</f>
        <v>Timber</v>
      </c>
      <c r="DO1210">
        <v>0</v>
      </c>
      <c r="DP1210">
        <v>1</v>
      </c>
      <c r="DQ1210" t="s">
        <v>2524</v>
      </c>
      <c r="DR1210" t="s">
        <v>2525</v>
      </c>
      <c r="DS1210">
        <v>0</v>
      </c>
      <c r="DT1210">
        <f>SUM(DO1210:DP1210)</f>
        <v>1</v>
      </c>
      <c r="DU1210" s="143" t="str">
        <f>IF(DO1210=1,"self-calculated DF",IF(DP1210=1,"external DF used","explicit C balance"))</f>
        <v>external DF used</v>
      </c>
      <c r="DV1210">
        <v>1</v>
      </c>
      <c r="DW1210">
        <v>1</v>
      </c>
      <c r="DX1210">
        <v>1</v>
      </c>
      <c r="DY1210">
        <v>1</v>
      </c>
      <c r="DZ1210">
        <v>0</v>
      </c>
      <c r="EA1210" s="143">
        <v>0</v>
      </c>
      <c r="EB1210">
        <v>1</v>
      </c>
      <c r="EC1210">
        <v>1</v>
      </c>
      <c r="ED1210">
        <v>0</v>
      </c>
      <c r="EE1210">
        <v>0</v>
      </c>
      <c r="EF1210">
        <v>1</v>
      </c>
      <c r="EG1210">
        <v>0</v>
      </c>
      <c r="EH1210">
        <v>0</v>
      </c>
      <c r="EI1210" s="2">
        <v>0</v>
      </c>
      <c r="EK1210" t="str">
        <f>IF(AND(AND(AND(OR($DX1210=1,$DW1210=1),OR($EC1210=1,$EA1210=1)),SUM($DV1210:$DZ1210,$EF1210)&gt;=4),SUM($EA1210:$EE1210)&gt;=2),"Whole sector","")</f>
        <v>Whole sector</v>
      </c>
      <c r="EL1210" t="str">
        <f>IF(AND(AND(OR($DX1210=1,$DW1210=1),AND($EC1210=0,$EA1210=0)),SUM($DV1210:$DZ1210,$EF1210)&gt;=4),"Ecosystem approach","")</f>
        <v/>
      </c>
      <c r="EM1210" s="2" t="str">
        <f>IF(AND(AND(AND($DX1210=0,$DW1210=0),OR($EC1210=1,$EA1210=1)),SUM($EB1210:$EE1210)&gt;=2),"Technology approach","")</f>
        <v/>
      </c>
      <c r="EN1210" t="s">
        <v>2508</v>
      </c>
      <c r="EP1210" t="b">
        <f>IF(ISNUMBER(BU1210),IF(ABS(BU1210-[1]QC_indicators!$B$2)&gt;3*[1]QC_indicators!$C$2,"C ratio",IF(ISNUMBER(BY1210),IF(ABS(BY1210-[1]QC_indicators!$B$1)&gt;3*[1]QC_indicators!$C$1,"DF","no"))),IF(ISNUMBER(BY1210),IF(ABS(BY1210-[1]QC_indicators!$B$1)&gt;3*[1]QC_indicators!$C$1,"DF","no")))</f>
        <v>0</v>
      </c>
      <c r="ET1210" s="264" t="s">
        <v>3273</v>
      </c>
    </row>
    <row r="1211" spans="1:150" ht="15" customHeight="1">
      <c r="A1211" s="1" t="s">
        <v>1423</v>
      </c>
      <c r="B1211" t="s">
        <v>2490</v>
      </c>
      <c r="C1211" t="s">
        <v>2491</v>
      </c>
      <c r="D1211" t="s">
        <v>2492</v>
      </c>
      <c r="E1211" t="s">
        <v>2493</v>
      </c>
      <c r="F1211" t="s">
        <v>2494</v>
      </c>
      <c r="G1211" t="s">
        <v>1429</v>
      </c>
      <c r="H1211" t="s">
        <v>254</v>
      </c>
      <c r="I1211">
        <v>2016</v>
      </c>
      <c r="J1211">
        <v>24</v>
      </c>
      <c r="K1211" t="s">
        <v>2495</v>
      </c>
      <c r="M1211" t="str">
        <f>LEFT($D1211,FIND(",",$D1211)-1)&amp;"_"&amp;I1211&amp;L1211</f>
        <v>Zubizarreta-Gerendiain_2016</v>
      </c>
      <c r="N1211" t="s">
        <v>222</v>
      </c>
      <c r="O1211" s="145" t="s">
        <v>1154</v>
      </c>
      <c r="Q1211" t="s">
        <v>256</v>
      </c>
      <c r="R1211" s="262" t="s">
        <v>223</v>
      </c>
      <c r="S1211" s="1" t="s">
        <v>2506</v>
      </c>
      <c r="T1211" t="s">
        <v>2510</v>
      </c>
      <c r="U1211" t="s">
        <v>2511</v>
      </c>
      <c r="V1211">
        <v>0</v>
      </c>
      <c r="W1211">
        <v>0</v>
      </c>
      <c r="X1211">
        <v>0</v>
      </c>
      <c r="Y1211">
        <v>2</v>
      </c>
      <c r="Z1211">
        <v>0</v>
      </c>
      <c r="AA1211">
        <v>0</v>
      </c>
      <c r="AB1211">
        <v>0</v>
      </c>
      <c r="AC1211">
        <v>0</v>
      </c>
      <c r="AD1211">
        <v>0</v>
      </c>
      <c r="AE1211">
        <v>0</v>
      </c>
      <c r="AF1211">
        <v>1</v>
      </c>
      <c r="AG1211">
        <v>0</v>
      </c>
      <c r="AH1211">
        <v>0</v>
      </c>
      <c r="AI1211">
        <v>0</v>
      </c>
      <c r="AJ1211">
        <v>0</v>
      </c>
      <c r="AK1211">
        <v>0</v>
      </c>
      <c r="AL1211">
        <v>0</v>
      </c>
      <c r="AM1211">
        <v>0</v>
      </c>
      <c r="AN1211">
        <v>2</v>
      </c>
      <c r="AO1211">
        <v>2</v>
      </c>
      <c r="AP1211">
        <v>0</v>
      </c>
      <c r="AQ1211">
        <v>0</v>
      </c>
      <c r="AR1211">
        <v>0</v>
      </c>
      <c r="AS1211">
        <v>0</v>
      </c>
      <c r="AT1211">
        <v>0</v>
      </c>
      <c r="AU1211">
        <v>0</v>
      </c>
      <c r="AV1211">
        <v>0</v>
      </c>
      <c r="AW1211">
        <v>0</v>
      </c>
      <c r="AX1211" s="141">
        <f>COUNTIF(V1211:AW1211,"&lt;&gt;0")</f>
        <v>4</v>
      </c>
      <c r="AY1211" s="141">
        <f>COUNTIF(V1211:AL1211,"&lt;&gt;0")</f>
        <v>2</v>
      </c>
      <c r="AZ1211">
        <f>COUNTIF(V1211:AC1211,"&lt;&gt;0")</f>
        <v>1</v>
      </c>
      <c r="BA1211">
        <f>COUNTIF(AD1211:AI1211,"&lt;&gt;0")</f>
        <v>1</v>
      </c>
      <c r="BB1211">
        <f>COUNTIF(AJ1211:AL1211,"&lt;&gt;0")</f>
        <v>0</v>
      </c>
      <c r="BC1211">
        <f>COUNTIF(AS1211:AW1211,"&lt;&gt;0")</f>
        <v>0</v>
      </c>
      <c r="BD1211">
        <f>COUNTIF(AM1211:AR1211,"&lt;&gt;0")</f>
        <v>2</v>
      </c>
      <c r="BE1211" t="str">
        <f t="array" ref="BE1211">IF(AY1211=1,INDEX($V$7:$AL$7,MATCH(TRUE,INDEX($V1211:$AW1211&lt;&gt;0,),0)),IF(AY1211=0,INDEX($AM$7:$AW$7,MATCH(1,$AM1211:$AW1211,0)),IF(BF1211="Multiple strategies","mixed drivers",IF(BF1211="Supply chain","multiple supply","multiple silviculture"))))</f>
        <v>mixed drivers</v>
      </c>
      <c r="BF1211" s="2" t="str" cm="1">
        <f t="array" ref="BF1211">IF(COUNTIF(AZ1211:BB1211,"&lt;&gt;0")=1,INDEX($V$4:$AW$4,MATCH(TRUE,INDEX($V1211:$AW1211&lt;&gt;0,),0)),IF(COUNTIF(AZ1211:BB1211,"&lt;&gt;0")=0,INDEX($AM$4:$AW$4,MATCH(1,$AM1211:$AW1211,0)),"Multiple strategies"))</f>
        <v>Multiple strategies</v>
      </c>
      <c r="BM1211" s="143"/>
      <c r="BN1211" s="143"/>
      <c r="BP1211" s="143" t="s">
        <v>232</v>
      </c>
      <c r="BQ1211" s="143"/>
      <c r="BR1211" t="s">
        <v>1195</v>
      </c>
      <c r="BS1211">
        <v>29674.236421725247</v>
      </c>
      <c r="BT1211">
        <v>-70376.060702875271</v>
      </c>
      <c r="BU1211" s="144">
        <f>IFERROR(BT1211/BS1211,"")</f>
        <v>-2.3716216216216166</v>
      </c>
      <c r="BV1211" s="144">
        <f>BT1211-BS1211</f>
        <v>-100050.29712460052</v>
      </c>
      <c r="BW1211" s="144"/>
      <c r="BX1211" s="144">
        <f>BV1211</f>
        <v>-100050.29712460052</v>
      </c>
      <c r="BY1211" t="str">
        <f>IFERROR(BX1211/BO1211,"")</f>
        <v/>
      </c>
      <c r="BZ1211">
        <v>0</v>
      </c>
      <c r="CA1211">
        <v>0</v>
      </c>
      <c r="CB1211">
        <v>0</v>
      </c>
      <c r="CC1211">
        <v>0</v>
      </c>
      <c r="CD1211">
        <v>0</v>
      </c>
      <c r="CE1211">
        <v>0</v>
      </c>
      <c r="CF1211">
        <v>0</v>
      </c>
      <c r="CG1211">
        <v>0</v>
      </c>
      <c r="CH1211">
        <v>0</v>
      </c>
      <c r="CI1211">
        <v>0</v>
      </c>
      <c r="CJ1211">
        <v>0</v>
      </c>
      <c r="CK1211">
        <v>0</v>
      </c>
      <c r="CL1211">
        <v>0</v>
      </c>
      <c r="CM1211">
        <v>1</v>
      </c>
      <c r="CN1211" t="str">
        <f>IF(BL1211&lt;BK1211,"refNeedCorrection","refOK")</f>
        <v>refOK</v>
      </c>
      <c r="CO1211"/>
      <c r="CP1211"/>
      <c r="CQ1211"/>
      <c r="CR1211">
        <f>IF($CN1211="refOK",$BS1211,$BT1211)*IF($BP1211="Emissions positive",-1,1)</f>
        <v>29674.236421725247</v>
      </c>
      <c r="CS1211">
        <f>IF($CN1211="refOK",$BT1211,$BS1211)*IF($BP1211="Emissions positive",-1,1)</f>
        <v>-70376.060702875271</v>
      </c>
      <c r="CT1211">
        <f>IF($CN1211="refNeedCorrection",-BX1211,BX1211)*IF($BP1211="Emissions positive",-1,1)</f>
        <v>-100050.29712460052</v>
      </c>
      <c r="CU1211" t="str">
        <f>IFERROR(CT1211/CQ1211,"")</f>
        <v/>
      </c>
      <c r="CV1211" s="2">
        <f>IFERROR((CS1211-CR1211)/ABS(CR1211),"")</f>
        <v>-3.3716216216216166</v>
      </c>
      <c r="CW1211" s="1" t="s">
        <v>1199</v>
      </c>
      <c r="CX1211" t="str">
        <f>IF(OR($CW1211="prd",$CW1211="std",$CW1211="cit"),"loc",IF(OR($CW1211="eur",$CW1211="reg",$CW1211="coy"),"reg",$CW1211))</f>
        <v>reg</v>
      </c>
      <c r="CY1211" t="s">
        <v>235</v>
      </c>
      <c r="CZ1211">
        <v>2010</v>
      </c>
      <c r="DA1211">
        <v>2070</v>
      </c>
      <c r="DB1211">
        <f>DA1211-CZ1211</f>
        <v>60</v>
      </c>
      <c r="DC1211" t="str">
        <f>IF(DB1211=0,"0",IF(AND(DB1211&gt;=1,DB1211&lt;=30),"1-30",IF(AND(DB1211&gt;30,DB1211&lt;=70),"31-70",IF(AND(DB1211&gt;70,DB1211&lt;=100),"71-100",IF(DB1211&gt;100,"+100")))))</f>
        <v>31-70</v>
      </c>
      <c r="DD1211">
        <v>1</v>
      </c>
      <c r="DE1211">
        <v>1</v>
      </c>
      <c r="DF1211">
        <v>1</v>
      </c>
      <c r="DG1211">
        <v>1</v>
      </c>
      <c r="DH1211">
        <v>0</v>
      </c>
      <c r="DI1211">
        <f>SUM(DD1211:DG1211)</f>
        <v>4</v>
      </c>
      <c r="DJ1211" t="str">
        <f>IF(DI1211=1,INDEX($DD$7:$DG$7,MATCH(1,$DD1211:$DG1211,0)),"mixedProduct")</f>
        <v>mixedProduct</v>
      </c>
      <c r="DK1211" t="str">
        <f>IF(DD1211=1,DK$7,0)</f>
        <v>Upstream</v>
      </c>
      <c r="DL1211" t="str">
        <f>IF(DE1211=1,DL$7,0)</f>
        <v>Energy</v>
      </c>
      <c r="DM1211" t="str">
        <f>IF(DF1211=1,DM$7,0)</f>
        <v>Pulp/Paper</v>
      </c>
      <c r="DN1211" t="str">
        <f>IF(DG1211=1,DN$7,0)</f>
        <v>Timber</v>
      </c>
      <c r="DO1211">
        <v>0</v>
      </c>
      <c r="DP1211">
        <v>0</v>
      </c>
      <c r="DQ1211">
        <v>0</v>
      </c>
      <c r="DR1211">
        <v>0</v>
      </c>
      <c r="DS1211">
        <v>0</v>
      </c>
      <c r="DT1211">
        <f>SUM(DO1211:DP1211)</f>
        <v>0</v>
      </c>
      <c r="DU1211" s="143" t="str">
        <f>IF(DO1211=1,"self-calculated DF",IF(DP1211=1,"external DF used","explicit C balance"))</f>
        <v>explicit C balance</v>
      </c>
      <c r="DV1211">
        <v>1</v>
      </c>
      <c r="DW1211">
        <v>1</v>
      </c>
      <c r="DX1211">
        <v>1</v>
      </c>
      <c r="DY1211">
        <v>0</v>
      </c>
      <c r="DZ1211">
        <v>0</v>
      </c>
      <c r="EA1211" s="143">
        <v>0</v>
      </c>
      <c r="EB1211">
        <v>1</v>
      </c>
      <c r="EC1211">
        <v>1</v>
      </c>
      <c r="ED1211">
        <v>0</v>
      </c>
      <c r="EE1211">
        <v>0</v>
      </c>
      <c r="EF1211">
        <v>1</v>
      </c>
      <c r="EG1211">
        <v>0</v>
      </c>
      <c r="EH1211">
        <v>0</v>
      </c>
      <c r="EI1211" s="2">
        <v>0</v>
      </c>
      <c r="EK1211" t="str">
        <f>IF(AND(AND(AND(OR($DX1211=1,$DW1211=1),OR($EC1211=1,$EA1211=1)),SUM($DV1211:$DZ1211,$EF1211)&gt;=4),SUM($EA1211:$EE1211)&gt;=2),"Whole sector","")</f>
        <v>Whole sector</v>
      </c>
      <c r="EL1211" t="str">
        <f>IF(AND(AND(OR($DX1211=1,$DW1211=1),AND($EC1211=0,$EA1211=0)),SUM($DV1211:$DZ1211,$EF1211)&gt;=4),"Ecosystem approach","")</f>
        <v/>
      </c>
      <c r="EM1211" s="2" t="str">
        <f>IF(AND(AND(AND($DX1211=0,$DW1211=0),OR($EC1211=1,$EA1211=1)),SUM($EB1211:$EE1211)&gt;=2),"Technology approach","")</f>
        <v/>
      </c>
      <c r="EN1211" t="s">
        <v>2508</v>
      </c>
      <c r="EP1211" t="b">
        <f>IF(ISNUMBER(BU1211),IF(ABS(BU1211-[1]QC_indicators!$B$2)&gt;3*[1]QC_indicators!$C$2,"C ratio",IF(ISNUMBER(BY1211),IF(ABS(BY1211-[1]QC_indicators!$B$1)&gt;3*[1]QC_indicators!$C$1,"DF","no"))),IF(ISNUMBER(BY1211),IF(ABS(BY1211-[1]QC_indicators!$B$1)&gt;3*[1]QC_indicators!$C$1,"DF","no")))</f>
        <v>0</v>
      </c>
      <c r="ET1211" s="264" t="s">
        <v>3273</v>
      </c>
    </row>
    <row r="1212" spans="1:150" ht="15" customHeight="1">
      <c r="A1212" s="1" t="s">
        <v>1423</v>
      </c>
      <c r="B1212" t="s">
        <v>2490</v>
      </c>
      <c r="C1212" t="s">
        <v>2491</v>
      </c>
      <c r="D1212" t="s">
        <v>2492</v>
      </c>
      <c r="E1212" t="s">
        <v>2493</v>
      </c>
      <c r="F1212" t="s">
        <v>2494</v>
      </c>
      <c r="G1212" t="s">
        <v>1429</v>
      </c>
      <c r="H1212" t="s">
        <v>254</v>
      </c>
      <c r="I1212">
        <v>2016</v>
      </c>
      <c r="J1212">
        <v>24</v>
      </c>
      <c r="K1212" t="s">
        <v>2495</v>
      </c>
      <c r="M1212" t="str">
        <f>LEFT($D1212,FIND(",",$D1212)-1)&amp;"_"&amp;I1212&amp;L1212</f>
        <v>Zubizarreta-Gerendiain_2016</v>
      </c>
      <c r="N1212" t="s">
        <v>222</v>
      </c>
      <c r="O1212" s="145" t="s">
        <v>1154</v>
      </c>
      <c r="Q1212" t="s">
        <v>256</v>
      </c>
      <c r="R1212" s="262" t="s">
        <v>223</v>
      </c>
      <c r="S1212" s="1" t="s">
        <v>2496</v>
      </c>
      <c r="T1212" t="s">
        <v>2513</v>
      </c>
      <c r="U1212" t="s">
        <v>2511</v>
      </c>
      <c r="V1212">
        <v>0</v>
      </c>
      <c r="W1212">
        <v>0</v>
      </c>
      <c r="X1212">
        <v>0</v>
      </c>
      <c r="Y1212">
        <v>2</v>
      </c>
      <c r="Z1212">
        <v>0</v>
      </c>
      <c r="AA1212">
        <v>0</v>
      </c>
      <c r="AB1212">
        <v>0</v>
      </c>
      <c r="AC1212">
        <v>0</v>
      </c>
      <c r="AD1212">
        <v>0</v>
      </c>
      <c r="AE1212">
        <v>0</v>
      </c>
      <c r="AF1212">
        <v>1</v>
      </c>
      <c r="AG1212">
        <v>0</v>
      </c>
      <c r="AH1212">
        <v>0</v>
      </c>
      <c r="AI1212">
        <v>0</v>
      </c>
      <c r="AJ1212">
        <v>0</v>
      </c>
      <c r="AK1212">
        <v>0</v>
      </c>
      <c r="AL1212">
        <v>0</v>
      </c>
      <c r="AM1212">
        <v>0</v>
      </c>
      <c r="AN1212">
        <v>2</v>
      </c>
      <c r="AO1212">
        <v>2</v>
      </c>
      <c r="AP1212">
        <v>0</v>
      </c>
      <c r="AQ1212">
        <v>0</v>
      </c>
      <c r="AR1212">
        <v>0</v>
      </c>
      <c r="AS1212">
        <v>0</v>
      </c>
      <c r="AT1212">
        <v>0</v>
      </c>
      <c r="AU1212">
        <v>0</v>
      </c>
      <c r="AV1212">
        <v>0</v>
      </c>
      <c r="AW1212">
        <v>0</v>
      </c>
      <c r="AX1212" s="141">
        <f>COUNTIF(V1212:AW1212,"&lt;&gt;0")</f>
        <v>4</v>
      </c>
      <c r="AY1212" s="141">
        <f>COUNTIF(V1212:AL1212,"&lt;&gt;0")</f>
        <v>2</v>
      </c>
      <c r="AZ1212">
        <f>COUNTIF(V1212:AC1212,"&lt;&gt;0")</f>
        <v>1</v>
      </c>
      <c r="BA1212">
        <f>COUNTIF(AD1212:AI1212,"&lt;&gt;0")</f>
        <v>1</v>
      </c>
      <c r="BB1212">
        <f>COUNTIF(AJ1212:AL1212,"&lt;&gt;0")</f>
        <v>0</v>
      </c>
      <c r="BC1212">
        <f>COUNTIF(AS1212:AW1212,"&lt;&gt;0")</f>
        <v>0</v>
      </c>
      <c r="BD1212">
        <f>COUNTIF(AM1212:AR1212,"&lt;&gt;0")</f>
        <v>2</v>
      </c>
      <c r="BE1212" t="str">
        <f t="array" ref="BE1212">IF(AY1212=1,INDEX($V$7:$AL$7,MATCH(TRUE,INDEX($V1212:$AW1212&lt;&gt;0,),0)),IF(AY1212=0,INDEX($AM$7:$AW$7,MATCH(1,$AM1212:$AW1212,0)),IF(BF1212="Multiple strategies","mixed drivers",IF(BF1212="Supply chain","multiple supply","multiple silviculture"))))</f>
        <v>mixed drivers</v>
      </c>
      <c r="BF1212" s="2" t="str" cm="1">
        <f t="array" ref="BF1212">IF(COUNTIF(AZ1212:BB1212,"&lt;&gt;0")=1,INDEX($V$4:$AW$4,MATCH(TRUE,INDEX($V1212:$AW1212&lt;&gt;0,),0)),IF(COUNTIF(AZ1212:BB1212,"&lt;&gt;0")=0,INDEX($AM$4:$AW$4,MATCH(1,$AM1212:$AW1212,0)),"Multiple strategies"))</f>
        <v>Multiple strategies</v>
      </c>
      <c r="BM1212" s="143"/>
      <c r="BN1212" s="143"/>
      <c r="BP1212" s="143" t="s">
        <v>232</v>
      </c>
      <c r="BQ1212" s="143"/>
      <c r="BR1212" t="s">
        <v>1195</v>
      </c>
      <c r="BS1212">
        <v>88283.631949591363</v>
      </c>
      <c r="BT1212">
        <v>29471.133802816759</v>
      </c>
      <c r="BU1212" s="144">
        <f>IFERROR(BT1212/BS1212,"")</f>
        <v>0.33382330509062358</v>
      </c>
      <c r="BV1212" s="144">
        <f>BT1212-BS1212</f>
        <v>-58812.498146774604</v>
      </c>
      <c r="BW1212" s="144"/>
      <c r="BX1212" s="144">
        <f>BV1212</f>
        <v>-58812.498146774604</v>
      </c>
      <c r="BY1212" t="str">
        <f>IFERROR(BX1212/BO1212,"")</f>
        <v/>
      </c>
      <c r="BZ1212">
        <v>0</v>
      </c>
      <c r="CA1212">
        <v>0</v>
      </c>
      <c r="CB1212">
        <v>0</v>
      </c>
      <c r="CC1212">
        <v>0</v>
      </c>
      <c r="CD1212">
        <v>0</v>
      </c>
      <c r="CE1212">
        <v>0</v>
      </c>
      <c r="CF1212">
        <v>0</v>
      </c>
      <c r="CG1212">
        <v>0</v>
      </c>
      <c r="CH1212">
        <v>0</v>
      </c>
      <c r="CI1212">
        <v>0</v>
      </c>
      <c r="CJ1212">
        <v>0</v>
      </c>
      <c r="CK1212">
        <v>0</v>
      </c>
      <c r="CL1212">
        <v>0</v>
      </c>
      <c r="CM1212">
        <v>1</v>
      </c>
      <c r="CN1212" t="str">
        <f>IF(BL1212&lt;BK1212,"refNeedCorrection","refOK")</f>
        <v>refOK</v>
      </c>
      <c r="CO1212"/>
      <c r="CP1212"/>
      <c r="CQ1212"/>
      <c r="CR1212">
        <f>IF($CN1212="refOK",$BS1212,$BT1212)*IF($BP1212="Emissions positive",-1,1)</f>
        <v>88283.631949591363</v>
      </c>
      <c r="CS1212">
        <f>IF($CN1212="refOK",$BT1212,$BS1212)*IF($BP1212="Emissions positive",-1,1)</f>
        <v>29471.133802816759</v>
      </c>
      <c r="CT1212">
        <f>IF($CN1212="refNeedCorrection",-BX1212,BX1212)*IF($BP1212="Emissions positive",-1,1)</f>
        <v>-58812.498146774604</v>
      </c>
      <c r="CU1212" t="str">
        <f>IFERROR(CT1212/CQ1212,"")</f>
        <v/>
      </c>
      <c r="CV1212" s="2">
        <f>IFERROR((CS1212-CR1212)/ABS(CR1212),"")</f>
        <v>-0.66617669490937648</v>
      </c>
      <c r="CW1212" s="1" t="s">
        <v>1199</v>
      </c>
      <c r="CX1212" t="str">
        <f>IF(OR($CW1212="prd",$CW1212="std",$CW1212="cit"),"loc",IF(OR($CW1212="eur",$CW1212="reg",$CW1212="coy"),"reg",$CW1212))</f>
        <v>reg</v>
      </c>
      <c r="CY1212" t="s">
        <v>235</v>
      </c>
      <c r="CZ1212">
        <v>2010</v>
      </c>
      <c r="DA1212">
        <v>2070</v>
      </c>
      <c r="DB1212">
        <f>DA1212-CZ1212</f>
        <v>60</v>
      </c>
      <c r="DC1212" t="str">
        <f>IF(DB1212=0,"0",IF(AND(DB1212&gt;=1,DB1212&lt;=30),"1-30",IF(AND(DB1212&gt;30,DB1212&lt;=70),"31-70",IF(AND(DB1212&gt;70,DB1212&lt;=100),"71-100",IF(DB1212&gt;100,"+100")))))</f>
        <v>31-70</v>
      </c>
      <c r="DD1212">
        <v>1</v>
      </c>
      <c r="DE1212">
        <v>1</v>
      </c>
      <c r="DF1212">
        <v>1</v>
      </c>
      <c r="DG1212">
        <v>1</v>
      </c>
      <c r="DH1212">
        <v>0</v>
      </c>
      <c r="DI1212">
        <f>SUM(DD1212:DG1212)</f>
        <v>4</v>
      </c>
      <c r="DJ1212" t="str">
        <f>IF(DI1212=1,INDEX($DD$7:$DG$7,MATCH(1,$DD1212:$DG1212,0)),"mixedProduct")</f>
        <v>mixedProduct</v>
      </c>
      <c r="DK1212" t="str">
        <f>IF(DD1212=1,DK$7,0)</f>
        <v>Upstream</v>
      </c>
      <c r="DL1212" t="str">
        <f>IF(DE1212=1,DL$7,0)</f>
        <v>Energy</v>
      </c>
      <c r="DM1212" t="str">
        <f>IF(DF1212=1,DM$7,0)</f>
        <v>Pulp/Paper</v>
      </c>
      <c r="DN1212" t="str">
        <f>IF(DG1212=1,DN$7,0)</f>
        <v>Timber</v>
      </c>
      <c r="DO1212">
        <v>0</v>
      </c>
      <c r="DP1212">
        <v>1</v>
      </c>
      <c r="DQ1212" t="s">
        <v>2524</v>
      </c>
      <c r="DR1212" t="s">
        <v>2525</v>
      </c>
      <c r="DS1212">
        <v>0</v>
      </c>
      <c r="DT1212">
        <f>SUM(DO1212:DP1212)</f>
        <v>1</v>
      </c>
      <c r="DU1212" s="143" t="str">
        <f>IF(DO1212=1,"self-calculated DF",IF(DP1212=1,"external DF used","explicit C balance"))</f>
        <v>external DF used</v>
      </c>
      <c r="DV1212">
        <v>1</v>
      </c>
      <c r="DW1212">
        <v>1</v>
      </c>
      <c r="DX1212">
        <v>1</v>
      </c>
      <c r="DY1212">
        <v>1</v>
      </c>
      <c r="DZ1212">
        <v>0</v>
      </c>
      <c r="EA1212" s="143">
        <v>0</v>
      </c>
      <c r="EB1212">
        <v>1</v>
      </c>
      <c r="EC1212">
        <v>1</v>
      </c>
      <c r="ED1212">
        <v>0</v>
      </c>
      <c r="EE1212">
        <v>0</v>
      </c>
      <c r="EF1212">
        <v>1</v>
      </c>
      <c r="EG1212">
        <v>0</v>
      </c>
      <c r="EH1212">
        <v>0</v>
      </c>
      <c r="EI1212" s="2">
        <v>0</v>
      </c>
      <c r="EK1212" t="str">
        <f>IF(AND(AND(AND(OR($DX1212=1,$DW1212=1),OR($EC1212=1,$EA1212=1)),SUM($DV1212:$DZ1212,$EF1212)&gt;=4),SUM($EA1212:$EE1212)&gt;=2),"Whole sector","")</f>
        <v>Whole sector</v>
      </c>
      <c r="EL1212" t="str">
        <f>IF(AND(AND(OR($DX1212=1,$DW1212=1),AND($EC1212=0,$EA1212=0)),SUM($DV1212:$DZ1212,$EF1212)&gt;=4),"Ecosystem approach","")</f>
        <v/>
      </c>
      <c r="EM1212" s="2" t="str">
        <f>IF(AND(AND(AND($DX1212=0,$DW1212=0),OR($EC1212=1,$EA1212=1)),SUM($EB1212:$EE1212)&gt;=2),"Technology approach","")</f>
        <v/>
      </c>
      <c r="EP1212" t="b">
        <f>IF(ISNUMBER(BU1212),IF(ABS(BU1212-[1]QC_indicators!$B$2)&gt;3*[1]QC_indicators!$C$2,"C ratio",IF(ISNUMBER(BY1212),IF(ABS(BY1212-[1]QC_indicators!$B$1)&gt;3*[1]QC_indicators!$C$1,"DF","no"))),IF(ISNUMBER(BY1212),IF(ABS(BY1212-[1]QC_indicators!$B$1)&gt;3*[1]QC_indicators!$C$1,"DF","no")))</f>
        <v>0</v>
      </c>
      <c r="ET1212" s="264" t="s">
        <v>3273</v>
      </c>
    </row>
    <row r="1213" spans="1:150" ht="15" customHeight="1">
      <c r="A1213" s="1" t="s">
        <v>1423</v>
      </c>
      <c r="B1213" t="s">
        <v>2490</v>
      </c>
      <c r="C1213" t="s">
        <v>2491</v>
      </c>
      <c r="D1213" t="s">
        <v>2492</v>
      </c>
      <c r="E1213" t="s">
        <v>2493</v>
      </c>
      <c r="F1213" t="s">
        <v>2494</v>
      </c>
      <c r="G1213" t="s">
        <v>1429</v>
      </c>
      <c r="H1213" t="s">
        <v>254</v>
      </c>
      <c r="I1213">
        <v>2016</v>
      </c>
      <c r="J1213">
        <v>24</v>
      </c>
      <c r="K1213" t="s">
        <v>2495</v>
      </c>
      <c r="M1213" t="str">
        <f>LEFT($D1213,FIND(",",$D1213)-1)&amp;"_"&amp;I1213&amp;L1213</f>
        <v>Zubizarreta-Gerendiain_2016</v>
      </c>
      <c r="N1213" t="s">
        <v>222</v>
      </c>
      <c r="O1213" s="145" t="s">
        <v>1154</v>
      </c>
      <c r="Q1213" t="s">
        <v>256</v>
      </c>
      <c r="R1213" s="262" t="s">
        <v>223</v>
      </c>
      <c r="S1213" s="1" t="s">
        <v>2496</v>
      </c>
      <c r="T1213" t="s">
        <v>2513</v>
      </c>
      <c r="U1213" t="s">
        <v>2511</v>
      </c>
      <c r="V1213">
        <v>0</v>
      </c>
      <c r="W1213">
        <v>0</v>
      </c>
      <c r="X1213">
        <v>0</v>
      </c>
      <c r="Y1213">
        <v>2</v>
      </c>
      <c r="Z1213">
        <v>0</v>
      </c>
      <c r="AA1213">
        <v>0</v>
      </c>
      <c r="AB1213">
        <v>0</v>
      </c>
      <c r="AC1213">
        <v>0</v>
      </c>
      <c r="AD1213">
        <v>0</v>
      </c>
      <c r="AE1213">
        <v>0</v>
      </c>
      <c r="AF1213">
        <v>1</v>
      </c>
      <c r="AG1213">
        <v>0</v>
      </c>
      <c r="AH1213">
        <v>0</v>
      </c>
      <c r="AI1213">
        <v>0</v>
      </c>
      <c r="AJ1213">
        <v>0</v>
      </c>
      <c r="AK1213">
        <v>0</v>
      </c>
      <c r="AL1213">
        <v>0</v>
      </c>
      <c r="AM1213">
        <v>0</v>
      </c>
      <c r="AN1213">
        <v>2</v>
      </c>
      <c r="AO1213">
        <v>2</v>
      </c>
      <c r="AP1213">
        <v>0</v>
      </c>
      <c r="AQ1213">
        <v>0</v>
      </c>
      <c r="AR1213">
        <v>0</v>
      </c>
      <c r="AS1213">
        <v>0</v>
      </c>
      <c r="AT1213">
        <v>0</v>
      </c>
      <c r="AU1213">
        <v>0</v>
      </c>
      <c r="AV1213">
        <v>0</v>
      </c>
      <c r="AW1213">
        <v>0</v>
      </c>
      <c r="AX1213" s="141">
        <f>COUNTIF(V1213:AW1213,"&lt;&gt;0")</f>
        <v>4</v>
      </c>
      <c r="AY1213" s="141">
        <f>COUNTIF(V1213:AL1213,"&lt;&gt;0")</f>
        <v>2</v>
      </c>
      <c r="AZ1213">
        <f>COUNTIF(V1213:AC1213,"&lt;&gt;0")</f>
        <v>1</v>
      </c>
      <c r="BA1213">
        <f>COUNTIF(AD1213:AI1213,"&lt;&gt;0")</f>
        <v>1</v>
      </c>
      <c r="BB1213">
        <f>COUNTIF(AJ1213:AL1213,"&lt;&gt;0")</f>
        <v>0</v>
      </c>
      <c r="BC1213">
        <f>COUNTIF(AS1213:AW1213,"&lt;&gt;0")</f>
        <v>0</v>
      </c>
      <c r="BD1213">
        <f>COUNTIF(AM1213:AR1213,"&lt;&gt;0")</f>
        <v>2</v>
      </c>
      <c r="BE1213" t="str">
        <f t="array" ref="BE1213">IF(AY1213=1,INDEX($V$7:$AL$7,MATCH(TRUE,INDEX($V1213:$AW1213&lt;&gt;0,),0)),IF(AY1213=0,INDEX($AM$7:$AW$7,MATCH(1,$AM1213:$AW1213,0)),IF(BF1213="Multiple strategies","mixed drivers",IF(BF1213="Supply chain","multiple supply","multiple silviculture"))))</f>
        <v>mixed drivers</v>
      </c>
      <c r="BF1213" s="2" t="str" cm="1">
        <f t="array" ref="BF1213">IF(COUNTIF(AZ1213:BB1213,"&lt;&gt;0")=1,INDEX($V$4:$AW$4,MATCH(TRUE,INDEX($V1213:$AW1213&lt;&gt;0,),0)),IF(COUNTIF(AZ1213:BB1213,"&lt;&gt;0")=0,INDEX($AM$4:$AW$4,MATCH(1,$AM1213:$AW1213,0)),"Multiple strategies"))</f>
        <v>Multiple strategies</v>
      </c>
      <c r="BM1213" s="143"/>
      <c r="BN1213" s="143"/>
      <c r="BP1213" s="143" t="s">
        <v>232</v>
      </c>
      <c r="BQ1213" s="143"/>
      <c r="BR1213" t="s">
        <v>1195</v>
      </c>
      <c r="BS1213">
        <v>-4411.0351437700365</v>
      </c>
      <c r="BT1213">
        <v>-70376.060702875271</v>
      </c>
      <c r="BU1213" s="144">
        <f>IFERROR(BT1213/BS1213,"")</f>
        <v>15.954545454545178</v>
      </c>
      <c r="BV1213" s="144">
        <f>BT1213-BS1213</f>
        <v>-65965.025559105241</v>
      </c>
      <c r="BW1213" s="144"/>
      <c r="BX1213" s="144">
        <f>BV1213</f>
        <v>-65965.025559105241</v>
      </c>
      <c r="BY1213" t="str">
        <f>IFERROR(BX1213/BO1213,"")</f>
        <v/>
      </c>
      <c r="BZ1213">
        <v>0</v>
      </c>
      <c r="CA1213">
        <v>0</v>
      </c>
      <c r="CB1213">
        <v>0</v>
      </c>
      <c r="CC1213">
        <v>0</v>
      </c>
      <c r="CD1213">
        <v>0</v>
      </c>
      <c r="CE1213">
        <v>0</v>
      </c>
      <c r="CF1213">
        <v>0</v>
      </c>
      <c r="CG1213">
        <v>0</v>
      </c>
      <c r="CH1213">
        <v>0</v>
      </c>
      <c r="CI1213">
        <v>0</v>
      </c>
      <c r="CJ1213">
        <v>0</v>
      </c>
      <c r="CK1213">
        <v>0</v>
      </c>
      <c r="CL1213">
        <v>0</v>
      </c>
      <c r="CM1213">
        <v>1</v>
      </c>
      <c r="CN1213" t="str">
        <f>IF(BL1213&lt;BK1213,"refNeedCorrection","refOK")</f>
        <v>refOK</v>
      </c>
      <c r="CO1213"/>
      <c r="CP1213"/>
      <c r="CQ1213"/>
      <c r="CR1213">
        <f>IF($CN1213="refOK",$BS1213,$BT1213)*IF($BP1213="Emissions positive",-1,1)</f>
        <v>-4411.0351437700365</v>
      </c>
      <c r="CS1213">
        <f>IF($CN1213="refOK",$BT1213,$BS1213)*IF($BP1213="Emissions positive",-1,1)</f>
        <v>-70376.060702875271</v>
      </c>
      <c r="CT1213">
        <f>IF($CN1213="refNeedCorrection",-BX1213,BX1213)*IF($BP1213="Emissions positive",-1,1)</f>
        <v>-65965.025559105241</v>
      </c>
      <c r="CU1213" t="str">
        <f>IFERROR(CT1213/CQ1213,"")</f>
        <v/>
      </c>
      <c r="CV1213" s="2">
        <f>IFERROR((CS1213-CR1213)/ABS(CR1213),"")</f>
        <v>-14.95454545454518</v>
      </c>
      <c r="CW1213" s="1" t="s">
        <v>1199</v>
      </c>
      <c r="CX1213" t="str">
        <f>IF(OR($CW1213="prd",$CW1213="std",$CW1213="cit"),"loc",IF(OR($CW1213="eur",$CW1213="reg",$CW1213="coy"),"reg",$CW1213))</f>
        <v>reg</v>
      </c>
      <c r="CY1213" t="s">
        <v>235</v>
      </c>
      <c r="CZ1213">
        <v>2010</v>
      </c>
      <c r="DA1213">
        <v>2070</v>
      </c>
      <c r="DB1213">
        <f>DA1213-CZ1213</f>
        <v>60</v>
      </c>
      <c r="DC1213" t="str">
        <f>IF(DB1213=0,"0",IF(AND(DB1213&gt;=1,DB1213&lt;=30),"1-30",IF(AND(DB1213&gt;30,DB1213&lt;=70),"31-70",IF(AND(DB1213&gt;70,DB1213&lt;=100),"71-100",IF(DB1213&gt;100,"+100")))))</f>
        <v>31-70</v>
      </c>
      <c r="DD1213">
        <v>1</v>
      </c>
      <c r="DE1213">
        <v>1</v>
      </c>
      <c r="DF1213">
        <v>1</v>
      </c>
      <c r="DG1213">
        <v>1</v>
      </c>
      <c r="DH1213">
        <v>0</v>
      </c>
      <c r="DI1213">
        <f>SUM(DD1213:DG1213)</f>
        <v>4</v>
      </c>
      <c r="DJ1213" t="str">
        <f>IF(DI1213=1,INDEX($DD$7:$DG$7,MATCH(1,$DD1213:$DG1213,0)),"mixedProduct")</f>
        <v>mixedProduct</v>
      </c>
      <c r="DK1213" t="str">
        <f>IF(DD1213=1,DK$7,0)</f>
        <v>Upstream</v>
      </c>
      <c r="DL1213" t="str">
        <f>IF(DE1213=1,DL$7,0)</f>
        <v>Energy</v>
      </c>
      <c r="DM1213" t="str">
        <f>IF(DF1213=1,DM$7,0)</f>
        <v>Pulp/Paper</v>
      </c>
      <c r="DN1213" t="str">
        <f>IF(DG1213=1,DN$7,0)</f>
        <v>Timber</v>
      </c>
      <c r="DO1213">
        <v>0</v>
      </c>
      <c r="DP1213">
        <v>0</v>
      </c>
      <c r="DQ1213">
        <v>0</v>
      </c>
      <c r="DR1213">
        <v>0</v>
      </c>
      <c r="DS1213">
        <v>0</v>
      </c>
      <c r="DT1213">
        <f>SUM(DO1213:DP1213)</f>
        <v>0</v>
      </c>
      <c r="DU1213" s="143" t="str">
        <f>IF(DO1213=1,"self-calculated DF",IF(DP1213=1,"external DF used","explicit C balance"))</f>
        <v>explicit C balance</v>
      </c>
      <c r="DV1213">
        <v>1</v>
      </c>
      <c r="DW1213">
        <v>1</v>
      </c>
      <c r="DX1213">
        <v>1</v>
      </c>
      <c r="DY1213">
        <v>0</v>
      </c>
      <c r="DZ1213">
        <v>0</v>
      </c>
      <c r="EA1213" s="143">
        <v>0</v>
      </c>
      <c r="EB1213">
        <v>1</v>
      </c>
      <c r="EC1213">
        <v>1</v>
      </c>
      <c r="ED1213">
        <v>0</v>
      </c>
      <c r="EE1213">
        <v>0</v>
      </c>
      <c r="EF1213">
        <v>1</v>
      </c>
      <c r="EG1213">
        <v>0</v>
      </c>
      <c r="EH1213">
        <v>0</v>
      </c>
      <c r="EI1213" s="2">
        <v>0</v>
      </c>
      <c r="EK1213" t="str">
        <f>IF(AND(AND(AND(OR($DX1213=1,$DW1213=1),OR($EC1213=1,$EA1213=1)),SUM($DV1213:$DZ1213,$EF1213)&gt;=4),SUM($EA1213:$EE1213)&gt;=2),"Whole sector","")</f>
        <v>Whole sector</v>
      </c>
      <c r="EL1213" t="str">
        <f>IF(AND(AND(OR($DX1213=1,$DW1213=1),AND($EC1213=0,$EA1213=0)),SUM($DV1213:$DZ1213,$EF1213)&gt;=4),"Ecosystem approach","")</f>
        <v/>
      </c>
      <c r="EM1213" s="2" t="str">
        <f>IF(AND(AND(AND($DX1213=0,$DW1213=0),OR($EC1213=1,$EA1213=1)),SUM($EB1213:$EE1213)&gt;=2),"Technology approach","")</f>
        <v/>
      </c>
      <c r="EP1213" t="str">
        <f>IF(ISNUMBER(BU1213),IF(ABS(BU1213-[1]QC_indicators!$B$2)&gt;3*[1]QC_indicators!$C$2,"C ratio",IF(ISNUMBER(BY1213),IF(ABS(BY1213-[1]QC_indicators!$B$1)&gt;3*[1]QC_indicators!$C$1,"DF","no"))),IF(ISNUMBER(BY1213),IF(ABS(BY1213-[1]QC_indicators!$B$1)&gt;3*[1]QC_indicators!$C$1,"DF","no")))</f>
        <v>C ratio</v>
      </c>
      <c r="EQ1213" t="s">
        <v>2501</v>
      </c>
      <c r="ET1213" s="264" t="s">
        <v>3273</v>
      </c>
    </row>
    <row r="1214" spans="1:150" ht="15" customHeight="1">
      <c r="A1214" s="1" t="s">
        <v>1423</v>
      </c>
      <c r="B1214" t="s">
        <v>2490</v>
      </c>
      <c r="C1214" t="s">
        <v>2491</v>
      </c>
      <c r="D1214" t="s">
        <v>2492</v>
      </c>
      <c r="E1214" t="s">
        <v>2493</v>
      </c>
      <c r="F1214" t="s">
        <v>2494</v>
      </c>
      <c r="G1214" t="s">
        <v>1429</v>
      </c>
      <c r="H1214" t="s">
        <v>254</v>
      </c>
      <c r="I1214">
        <v>2016</v>
      </c>
      <c r="J1214">
        <v>24</v>
      </c>
      <c r="K1214" t="s">
        <v>2495</v>
      </c>
      <c r="M1214" t="str">
        <f>LEFT($D1214,FIND(",",$D1214)-1)&amp;"_"&amp;I1214&amp;L1214</f>
        <v>Zubizarreta-Gerendiain_2016</v>
      </c>
      <c r="N1214" t="s">
        <v>222</v>
      </c>
      <c r="O1214" s="145" t="s">
        <v>1154</v>
      </c>
      <c r="Q1214" t="s">
        <v>256</v>
      </c>
      <c r="R1214" s="262" t="s">
        <v>223</v>
      </c>
      <c r="S1214" s="1" t="s">
        <v>2496</v>
      </c>
      <c r="T1214" t="s">
        <v>2516</v>
      </c>
      <c r="U1214" t="s">
        <v>2515</v>
      </c>
      <c r="V1214">
        <v>0</v>
      </c>
      <c r="W1214">
        <v>0</v>
      </c>
      <c r="X1214">
        <v>0</v>
      </c>
      <c r="Y1214">
        <v>2</v>
      </c>
      <c r="Z1214">
        <v>0</v>
      </c>
      <c r="AA1214">
        <v>0</v>
      </c>
      <c r="AB1214">
        <v>0</v>
      </c>
      <c r="AC1214">
        <v>0</v>
      </c>
      <c r="AD1214">
        <v>0</v>
      </c>
      <c r="AE1214">
        <v>0</v>
      </c>
      <c r="AF1214">
        <v>1</v>
      </c>
      <c r="AG1214">
        <v>0</v>
      </c>
      <c r="AH1214">
        <v>0</v>
      </c>
      <c r="AI1214">
        <v>0</v>
      </c>
      <c r="AJ1214">
        <v>0</v>
      </c>
      <c r="AK1214">
        <v>0</v>
      </c>
      <c r="AL1214">
        <v>0</v>
      </c>
      <c r="AM1214">
        <v>0</v>
      </c>
      <c r="AN1214">
        <v>2</v>
      </c>
      <c r="AO1214">
        <v>2</v>
      </c>
      <c r="AP1214">
        <v>0</v>
      </c>
      <c r="AQ1214">
        <v>0</v>
      </c>
      <c r="AR1214">
        <v>0</v>
      </c>
      <c r="AS1214">
        <v>0</v>
      </c>
      <c r="AT1214">
        <v>0</v>
      </c>
      <c r="AU1214">
        <v>0</v>
      </c>
      <c r="AV1214">
        <v>0</v>
      </c>
      <c r="AW1214">
        <v>0</v>
      </c>
      <c r="AX1214" s="141">
        <f>COUNTIF(V1214:AW1214,"&lt;&gt;0")</f>
        <v>4</v>
      </c>
      <c r="AY1214" s="141">
        <f>COUNTIF(V1214:AL1214,"&lt;&gt;0")</f>
        <v>2</v>
      </c>
      <c r="AZ1214">
        <f>COUNTIF(V1214:AC1214,"&lt;&gt;0")</f>
        <v>1</v>
      </c>
      <c r="BA1214">
        <f>COUNTIF(AD1214:AI1214,"&lt;&gt;0")</f>
        <v>1</v>
      </c>
      <c r="BB1214">
        <f>COUNTIF(AJ1214:AL1214,"&lt;&gt;0")</f>
        <v>0</v>
      </c>
      <c r="BC1214">
        <f>COUNTIF(AS1214:AW1214,"&lt;&gt;0")</f>
        <v>0</v>
      </c>
      <c r="BD1214">
        <f>COUNTIF(AM1214:AR1214,"&lt;&gt;0")</f>
        <v>2</v>
      </c>
      <c r="BE1214" t="str">
        <f t="array" ref="BE1214">IF(AY1214=1,INDEX($V$7:$AL$7,MATCH(TRUE,INDEX($V1214:$AW1214&lt;&gt;0,),0)),IF(AY1214=0,INDEX($AM$7:$AW$7,MATCH(1,$AM1214:$AW1214,0)),IF(BF1214="Multiple strategies","mixed drivers",IF(BF1214="Supply chain","multiple supply","multiple silviculture"))))</f>
        <v>mixed drivers</v>
      </c>
      <c r="BF1214" s="2" t="str" cm="1">
        <f t="array" ref="BF1214">IF(COUNTIF(AZ1214:BB1214,"&lt;&gt;0")=1,INDEX($V$4:$AW$4,MATCH(TRUE,INDEX($V1214:$AW1214&lt;&gt;0,),0)),IF(COUNTIF(AZ1214:BB1214,"&lt;&gt;0")=0,INDEX($AM$4:$AW$4,MATCH(1,$AM1214:$AW1214,0)),"Multiple strategies"))</f>
        <v>Multiple strategies</v>
      </c>
      <c r="BM1214" s="143"/>
      <c r="BN1214" s="143"/>
      <c r="BP1214" s="143" t="s">
        <v>232</v>
      </c>
      <c r="BQ1214" s="143"/>
      <c r="BR1214" t="s">
        <v>1195</v>
      </c>
      <c r="BS1214">
        <v>83545.110167597581</v>
      </c>
      <c r="BT1214">
        <v>-14015.791508379843</v>
      </c>
      <c r="BU1214" s="144">
        <f>IFERROR(BT1214/BS1214,"")</f>
        <v>-0.16776315789473667</v>
      </c>
      <c r="BV1214" s="144">
        <f>BT1214-BS1214</f>
        <v>-97560.901675977424</v>
      </c>
      <c r="BW1214" s="144"/>
      <c r="BX1214" s="144">
        <f>BV1214</f>
        <v>-97560.901675977424</v>
      </c>
      <c r="BY1214" t="str">
        <f>IFERROR(BX1214/BO1214,"")</f>
        <v/>
      </c>
      <c r="BZ1214">
        <v>0</v>
      </c>
      <c r="CA1214">
        <v>0</v>
      </c>
      <c r="CB1214">
        <v>0</v>
      </c>
      <c r="CC1214">
        <v>0</v>
      </c>
      <c r="CD1214">
        <v>0</v>
      </c>
      <c r="CE1214">
        <v>0</v>
      </c>
      <c r="CF1214">
        <v>0</v>
      </c>
      <c r="CG1214">
        <v>0</v>
      </c>
      <c r="CH1214">
        <v>0</v>
      </c>
      <c r="CI1214">
        <v>0</v>
      </c>
      <c r="CJ1214">
        <v>0</v>
      </c>
      <c r="CK1214">
        <v>0</v>
      </c>
      <c r="CL1214">
        <v>0</v>
      </c>
      <c r="CM1214">
        <v>1</v>
      </c>
      <c r="CN1214" t="str">
        <f>IF(BL1214&lt;BK1214,"refNeedCorrection","refOK")</f>
        <v>refOK</v>
      </c>
      <c r="CO1214"/>
      <c r="CP1214"/>
      <c r="CQ1214"/>
      <c r="CR1214">
        <f>IF($CN1214="refOK",$BS1214,$BT1214)*IF($BP1214="Emissions positive",-1,1)</f>
        <v>83545.110167597581</v>
      </c>
      <c r="CS1214">
        <f>IF($CN1214="refOK",$BT1214,$BS1214)*IF($BP1214="Emissions positive",-1,1)</f>
        <v>-14015.791508379843</v>
      </c>
      <c r="CT1214">
        <f>IF($CN1214="refNeedCorrection",-BX1214,BX1214)*IF($BP1214="Emissions positive",-1,1)</f>
        <v>-97560.901675977424</v>
      </c>
      <c r="CU1214" t="str">
        <f>IFERROR(CT1214/CQ1214,"")</f>
        <v/>
      </c>
      <c r="CV1214" s="2">
        <f>IFERROR((CS1214-CR1214)/ABS(CR1214),"")</f>
        <v>-1.1677631578947367</v>
      </c>
      <c r="CW1214" s="1" t="s">
        <v>1199</v>
      </c>
      <c r="CX1214" t="str">
        <f>IF(OR($CW1214="prd",$CW1214="std",$CW1214="cit"),"loc",IF(OR($CW1214="eur",$CW1214="reg",$CW1214="coy"),"reg",$CW1214))</f>
        <v>reg</v>
      </c>
      <c r="CY1214" t="s">
        <v>235</v>
      </c>
      <c r="CZ1214">
        <v>2010</v>
      </c>
      <c r="DA1214">
        <v>2070</v>
      </c>
      <c r="DB1214">
        <f>DA1214-CZ1214</f>
        <v>60</v>
      </c>
      <c r="DC1214" t="str">
        <f>IF(DB1214=0,"0",IF(AND(DB1214&gt;=1,DB1214&lt;=30),"1-30",IF(AND(DB1214&gt;30,DB1214&lt;=70),"31-70",IF(AND(DB1214&gt;70,DB1214&lt;=100),"71-100",IF(DB1214&gt;100,"+100")))))</f>
        <v>31-70</v>
      </c>
      <c r="DD1214">
        <v>1</v>
      </c>
      <c r="DE1214">
        <v>1</v>
      </c>
      <c r="DF1214">
        <v>1</v>
      </c>
      <c r="DG1214">
        <v>1</v>
      </c>
      <c r="DH1214">
        <v>0</v>
      </c>
      <c r="DI1214">
        <f>SUM(DD1214:DG1214)</f>
        <v>4</v>
      </c>
      <c r="DJ1214" t="str">
        <f>IF(DI1214=1,INDEX($DD$7:$DG$7,MATCH(1,$DD1214:$DG1214,0)),"mixedProduct")</f>
        <v>mixedProduct</v>
      </c>
      <c r="DK1214" t="str">
        <f>IF(DD1214=1,DK$7,0)</f>
        <v>Upstream</v>
      </c>
      <c r="DL1214" t="str">
        <f>IF(DE1214=1,DL$7,0)</f>
        <v>Energy</v>
      </c>
      <c r="DM1214" t="str">
        <f>IF(DF1214=1,DM$7,0)</f>
        <v>Pulp/Paper</v>
      </c>
      <c r="DN1214" t="str">
        <f>IF(DG1214=1,DN$7,0)</f>
        <v>Timber</v>
      </c>
      <c r="DO1214">
        <v>0</v>
      </c>
      <c r="DP1214">
        <v>1</v>
      </c>
      <c r="DQ1214" t="s">
        <v>2524</v>
      </c>
      <c r="DR1214" t="s">
        <v>2525</v>
      </c>
      <c r="DS1214">
        <v>0</v>
      </c>
      <c r="DT1214">
        <f>SUM(DO1214:DP1214)</f>
        <v>1</v>
      </c>
      <c r="DU1214" s="143" t="str">
        <f>IF(DO1214=1,"self-calculated DF",IF(DP1214=1,"external DF used","explicit C balance"))</f>
        <v>external DF used</v>
      </c>
      <c r="DV1214">
        <v>1</v>
      </c>
      <c r="DW1214">
        <v>1</v>
      </c>
      <c r="DX1214">
        <v>1</v>
      </c>
      <c r="DY1214">
        <v>1</v>
      </c>
      <c r="DZ1214">
        <v>0</v>
      </c>
      <c r="EA1214" s="143">
        <v>0</v>
      </c>
      <c r="EB1214">
        <v>1</v>
      </c>
      <c r="EC1214">
        <v>1</v>
      </c>
      <c r="ED1214">
        <v>0</v>
      </c>
      <c r="EE1214">
        <v>0</v>
      </c>
      <c r="EF1214">
        <v>1</v>
      </c>
      <c r="EG1214">
        <v>0</v>
      </c>
      <c r="EH1214">
        <v>0</v>
      </c>
      <c r="EI1214" s="2">
        <v>0</v>
      </c>
      <c r="EK1214" t="str">
        <f>IF(AND(AND(AND(OR($DX1214=1,$DW1214=1),OR($EC1214=1,$EA1214=1)),SUM($DV1214:$DZ1214,$EF1214)&gt;=4),SUM($EA1214:$EE1214)&gt;=2),"Whole sector","")</f>
        <v>Whole sector</v>
      </c>
      <c r="EL1214" t="str">
        <f>IF(AND(AND(OR($DX1214=1,$DW1214=1),AND($EC1214=0,$EA1214=0)),SUM($DV1214:$DZ1214,$EF1214)&gt;=4),"Ecosystem approach","")</f>
        <v/>
      </c>
      <c r="EM1214" s="2" t="str">
        <f>IF(AND(AND(AND($DX1214=0,$DW1214=0),OR($EC1214=1,$EA1214=1)),SUM($EB1214:$EE1214)&gt;=2),"Technology approach","")</f>
        <v/>
      </c>
      <c r="EP1214" t="b">
        <f>IF(ISNUMBER(BU1214),IF(ABS(BU1214-[1]QC_indicators!$B$2)&gt;3*[1]QC_indicators!$C$2,"C ratio",IF(ISNUMBER(BY1214),IF(ABS(BY1214-[1]QC_indicators!$B$1)&gt;3*[1]QC_indicators!$C$1,"DF","no"))),IF(ISNUMBER(BY1214),IF(ABS(BY1214-[1]QC_indicators!$B$1)&gt;3*[1]QC_indicators!$C$1,"DF","no")))</f>
        <v>0</v>
      </c>
      <c r="ET1214" s="264" t="s">
        <v>3273</v>
      </c>
    </row>
    <row r="1215" spans="1:150" ht="15" customHeight="1">
      <c r="A1215" s="1" t="s">
        <v>1423</v>
      </c>
      <c r="B1215" t="s">
        <v>2490</v>
      </c>
      <c r="C1215" t="s">
        <v>2491</v>
      </c>
      <c r="D1215" t="s">
        <v>2492</v>
      </c>
      <c r="E1215" t="s">
        <v>2493</v>
      </c>
      <c r="F1215" t="s">
        <v>2494</v>
      </c>
      <c r="G1215" t="s">
        <v>1429</v>
      </c>
      <c r="H1215" t="s">
        <v>254</v>
      </c>
      <c r="I1215">
        <v>2016</v>
      </c>
      <c r="J1215">
        <v>24</v>
      </c>
      <c r="K1215" t="s">
        <v>2495</v>
      </c>
      <c r="M1215" t="str">
        <f>LEFT($D1215,FIND(",",$D1215)-1)&amp;"_"&amp;I1215&amp;L1215</f>
        <v>Zubizarreta-Gerendiain_2016</v>
      </c>
      <c r="N1215" t="s">
        <v>222</v>
      </c>
      <c r="O1215" s="145" t="s">
        <v>1154</v>
      </c>
      <c r="Q1215" t="s">
        <v>256</v>
      </c>
      <c r="R1215" s="262" t="s">
        <v>223</v>
      </c>
      <c r="S1215" s="1" t="s">
        <v>2496</v>
      </c>
      <c r="T1215" t="s">
        <v>2516</v>
      </c>
      <c r="U1215" t="s">
        <v>2515</v>
      </c>
      <c r="V1215">
        <v>0</v>
      </c>
      <c r="W1215">
        <v>0</v>
      </c>
      <c r="X1215">
        <v>0</v>
      </c>
      <c r="Y1215">
        <v>2</v>
      </c>
      <c r="Z1215">
        <v>0</v>
      </c>
      <c r="AA1215">
        <v>0</v>
      </c>
      <c r="AB1215">
        <v>0</v>
      </c>
      <c r="AC1215">
        <v>0</v>
      </c>
      <c r="AD1215">
        <v>0</v>
      </c>
      <c r="AE1215">
        <v>0</v>
      </c>
      <c r="AF1215">
        <v>1</v>
      </c>
      <c r="AG1215">
        <v>0</v>
      </c>
      <c r="AH1215">
        <v>0</v>
      </c>
      <c r="AI1215">
        <v>0</v>
      </c>
      <c r="AJ1215">
        <v>0</v>
      </c>
      <c r="AK1215">
        <v>0</v>
      </c>
      <c r="AL1215">
        <v>0</v>
      </c>
      <c r="AM1215">
        <v>0</v>
      </c>
      <c r="AN1215">
        <v>2</v>
      </c>
      <c r="AO1215">
        <v>2</v>
      </c>
      <c r="AP1215">
        <v>0</v>
      </c>
      <c r="AQ1215">
        <v>0</v>
      </c>
      <c r="AR1215">
        <v>0</v>
      </c>
      <c r="AS1215">
        <v>0</v>
      </c>
      <c r="AT1215">
        <v>0</v>
      </c>
      <c r="AU1215">
        <v>0</v>
      </c>
      <c r="AV1215">
        <v>0</v>
      </c>
      <c r="AW1215">
        <v>0</v>
      </c>
      <c r="AX1215" s="141">
        <f>COUNTIF(V1215:AW1215,"&lt;&gt;0")</f>
        <v>4</v>
      </c>
      <c r="AY1215" s="141">
        <f>COUNTIF(V1215:AL1215,"&lt;&gt;0")</f>
        <v>2</v>
      </c>
      <c r="AZ1215">
        <f>COUNTIF(V1215:AC1215,"&lt;&gt;0")</f>
        <v>1</v>
      </c>
      <c r="BA1215">
        <f>COUNTIF(AD1215:AI1215,"&lt;&gt;0")</f>
        <v>1</v>
      </c>
      <c r="BB1215">
        <f>COUNTIF(AJ1215:AL1215,"&lt;&gt;0")</f>
        <v>0</v>
      </c>
      <c r="BC1215">
        <f>COUNTIF(AS1215:AW1215,"&lt;&gt;0")</f>
        <v>0</v>
      </c>
      <c r="BD1215">
        <f>COUNTIF(AM1215:AR1215,"&lt;&gt;0")</f>
        <v>2</v>
      </c>
      <c r="BE1215" t="str">
        <f t="array" ref="BE1215">IF(AY1215=1,INDEX($V$7:$AL$7,MATCH(TRUE,INDEX($V1215:$AW1215&lt;&gt;0,),0)),IF(AY1215=0,INDEX($AM$7:$AW$7,MATCH(1,$AM1215:$AW1215,0)),IF(BF1215="Multiple strategies","mixed drivers",IF(BF1215="Supply chain","multiple supply","multiple silviculture"))))</f>
        <v>mixed drivers</v>
      </c>
      <c r="BF1215" s="2" t="str" cm="1">
        <f t="array" ref="BF1215">IF(COUNTIF(AZ1215:BB1215,"&lt;&gt;0")=1,INDEX($V$4:$AW$4,MATCH(TRUE,INDEX($V1215:$AW1215&lt;&gt;0,),0)),IF(COUNTIF(AZ1215:BB1215,"&lt;&gt;0")=0,INDEX($AM$4:$AW$4,MATCH(1,$AM1215:$AW1215,0)),"Multiple strategies"))</f>
        <v>Multiple strategies</v>
      </c>
      <c r="BM1215" s="143"/>
      <c r="BN1215" s="143"/>
      <c r="BP1215" s="143" t="s">
        <v>232</v>
      </c>
      <c r="BQ1215" s="143"/>
      <c r="BR1215" t="s">
        <v>1195</v>
      </c>
      <c r="BS1215">
        <v>9893.4998882682703</v>
      </c>
      <c r="BT1215">
        <v>-104293.97798882655</v>
      </c>
      <c r="BU1215" s="144">
        <f>IFERROR(BT1215/BS1215,"")</f>
        <v>-10.541666666666519</v>
      </c>
      <c r="BV1215" s="144">
        <f>BT1215-BS1215</f>
        <v>-114187.47787709482</v>
      </c>
      <c r="BW1215" s="144"/>
      <c r="BX1215" s="144">
        <f>BV1215</f>
        <v>-114187.47787709482</v>
      </c>
      <c r="BY1215" t="str">
        <f>IFERROR(BX1215/BO1215,"")</f>
        <v/>
      </c>
      <c r="BZ1215">
        <v>0</v>
      </c>
      <c r="CA1215">
        <v>0</v>
      </c>
      <c r="CB1215">
        <v>0</v>
      </c>
      <c r="CC1215">
        <v>0</v>
      </c>
      <c r="CD1215">
        <v>0</v>
      </c>
      <c r="CE1215">
        <v>0</v>
      </c>
      <c r="CF1215">
        <v>0</v>
      </c>
      <c r="CG1215">
        <v>0</v>
      </c>
      <c r="CH1215">
        <v>0</v>
      </c>
      <c r="CI1215">
        <v>0</v>
      </c>
      <c r="CJ1215">
        <v>0</v>
      </c>
      <c r="CK1215">
        <v>0</v>
      </c>
      <c r="CL1215">
        <v>0</v>
      </c>
      <c r="CM1215">
        <v>1</v>
      </c>
      <c r="CN1215" t="str">
        <f>IF(BL1215&lt;BK1215,"refNeedCorrection","refOK")</f>
        <v>refOK</v>
      </c>
      <c r="CO1215"/>
      <c r="CP1215"/>
      <c r="CQ1215"/>
      <c r="CR1215">
        <f>IF($CN1215="refOK",$BS1215,$BT1215)*IF($BP1215="Emissions positive",-1,1)</f>
        <v>9893.4998882682703</v>
      </c>
      <c r="CS1215">
        <f>IF($CN1215="refOK",$BT1215,$BS1215)*IF($BP1215="Emissions positive",-1,1)</f>
        <v>-104293.97798882655</v>
      </c>
      <c r="CT1215">
        <f>IF($CN1215="refNeedCorrection",-BX1215,BX1215)*IF($BP1215="Emissions positive",-1,1)</f>
        <v>-114187.47787709482</v>
      </c>
      <c r="CU1215" t="str">
        <f>IFERROR(CT1215/CQ1215,"")</f>
        <v/>
      </c>
      <c r="CV1215" s="2">
        <f>IFERROR((CS1215-CR1215)/ABS(CR1215),"")</f>
        <v>-11.541666666666519</v>
      </c>
      <c r="CW1215" s="1" t="s">
        <v>1199</v>
      </c>
      <c r="CX1215" t="str">
        <f>IF(OR($CW1215="prd",$CW1215="std",$CW1215="cit"),"loc",IF(OR($CW1215="eur",$CW1215="reg",$CW1215="coy"),"reg",$CW1215))</f>
        <v>reg</v>
      </c>
      <c r="CY1215" t="s">
        <v>235</v>
      </c>
      <c r="CZ1215">
        <v>2010</v>
      </c>
      <c r="DA1215">
        <v>2070</v>
      </c>
      <c r="DB1215">
        <f>DA1215-CZ1215</f>
        <v>60</v>
      </c>
      <c r="DC1215" t="str">
        <f>IF(DB1215=0,"0",IF(AND(DB1215&gt;=1,DB1215&lt;=30),"1-30",IF(AND(DB1215&gt;30,DB1215&lt;=70),"31-70",IF(AND(DB1215&gt;70,DB1215&lt;=100),"71-100",IF(DB1215&gt;100,"+100")))))</f>
        <v>31-70</v>
      </c>
      <c r="DD1215">
        <v>1</v>
      </c>
      <c r="DE1215">
        <v>1</v>
      </c>
      <c r="DF1215">
        <v>1</v>
      </c>
      <c r="DG1215">
        <v>1</v>
      </c>
      <c r="DH1215">
        <v>0</v>
      </c>
      <c r="DI1215">
        <f>SUM(DD1215:DG1215)</f>
        <v>4</v>
      </c>
      <c r="DJ1215" t="str">
        <f>IF(DI1215=1,INDEX($DD$7:$DG$7,MATCH(1,$DD1215:$DG1215,0)),"mixedProduct")</f>
        <v>mixedProduct</v>
      </c>
      <c r="DK1215" t="str">
        <f>IF(DD1215=1,DK$7,0)</f>
        <v>Upstream</v>
      </c>
      <c r="DL1215" t="str">
        <f>IF(DE1215=1,DL$7,0)</f>
        <v>Energy</v>
      </c>
      <c r="DM1215" t="str">
        <f>IF(DF1215=1,DM$7,0)</f>
        <v>Pulp/Paper</v>
      </c>
      <c r="DN1215" t="str">
        <f>IF(DG1215=1,DN$7,0)</f>
        <v>Timber</v>
      </c>
      <c r="DO1215">
        <v>0</v>
      </c>
      <c r="DP1215">
        <v>0</v>
      </c>
      <c r="DQ1215">
        <v>0</v>
      </c>
      <c r="DR1215">
        <v>0</v>
      </c>
      <c r="DS1215">
        <v>0</v>
      </c>
      <c r="DT1215">
        <f>SUM(DO1215:DP1215)</f>
        <v>0</v>
      </c>
      <c r="DU1215" s="143" t="str">
        <f>IF(DO1215=1,"self-calculated DF",IF(DP1215=1,"external DF used","explicit C balance"))</f>
        <v>explicit C balance</v>
      </c>
      <c r="DV1215">
        <v>1</v>
      </c>
      <c r="DW1215">
        <v>1</v>
      </c>
      <c r="DX1215">
        <v>1</v>
      </c>
      <c r="DY1215">
        <v>0</v>
      </c>
      <c r="DZ1215">
        <v>0</v>
      </c>
      <c r="EA1215" s="143">
        <v>0</v>
      </c>
      <c r="EB1215">
        <v>1</v>
      </c>
      <c r="EC1215">
        <v>1</v>
      </c>
      <c r="ED1215">
        <v>0</v>
      </c>
      <c r="EE1215">
        <v>0</v>
      </c>
      <c r="EF1215">
        <v>1</v>
      </c>
      <c r="EG1215">
        <v>0</v>
      </c>
      <c r="EH1215">
        <v>0</v>
      </c>
      <c r="EI1215" s="2">
        <v>0</v>
      </c>
      <c r="EK1215" t="str">
        <f>IF(AND(AND(AND(OR($DX1215=1,$DW1215=1),OR($EC1215=1,$EA1215=1)),SUM($DV1215:$DZ1215,$EF1215)&gt;=4),SUM($EA1215:$EE1215)&gt;=2),"Whole sector","")</f>
        <v>Whole sector</v>
      </c>
      <c r="EL1215" t="str">
        <f>IF(AND(AND(OR($DX1215=1,$DW1215=1),AND($EC1215=0,$EA1215=0)),SUM($DV1215:$DZ1215,$EF1215)&gt;=4),"Ecosystem approach","")</f>
        <v/>
      </c>
      <c r="EM1215" s="2" t="str">
        <f>IF(AND(AND(AND($DX1215=0,$DW1215=0),OR($EC1215=1,$EA1215=1)),SUM($EB1215:$EE1215)&gt;=2),"Technology approach","")</f>
        <v/>
      </c>
      <c r="EP1215" t="str">
        <f>IF(ISNUMBER(BU1215),IF(ABS(BU1215-[1]QC_indicators!$B$2)&gt;3*[1]QC_indicators!$C$2,"C ratio",IF(ISNUMBER(BY1215),IF(ABS(BY1215-[1]QC_indicators!$B$1)&gt;3*[1]QC_indicators!$C$1,"DF","no"))),IF(ISNUMBER(BY1215),IF(ABS(BY1215-[1]QC_indicators!$B$1)&gt;3*[1]QC_indicators!$C$1,"DF","no")))</f>
        <v>C ratio</v>
      </c>
      <c r="EQ1215" t="s">
        <v>2501</v>
      </c>
      <c r="ET1215" s="264" t="s">
        <v>3273</v>
      </c>
    </row>
    <row r="1216" spans="1:150" ht="15" customHeight="1">
      <c r="A1216" s="1" t="s">
        <v>1423</v>
      </c>
      <c r="B1216" t="s">
        <v>2490</v>
      </c>
      <c r="C1216" t="s">
        <v>2491</v>
      </c>
      <c r="D1216" t="s">
        <v>2492</v>
      </c>
      <c r="E1216" t="s">
        <v>2493</v>
      </c>
      <c r="F1216" t="s">
        <v>2494</v>
      </c>
      <c r="G1216" t="s">
        <v>1429</v>
      </c>
      <c r="H1216" t="s">
        <v>254</v>
      </c>
      <c r="I1216">
        <v>2016</v>
      </c>
      <c r="J1216">
        <v>24</v>
      </c>
      <c r="K1216" t="s">
        <v>2495</v>
      </c>
      <c r="M1216" t="str">
        <f>LEFT($D1216,FIND(",",$D1216)-1)&amp;"_"&amp;I1216&amp;L1216</f>
        <v>Zubizarreta-Gerendiain_2016</v>
      </c>
      <c r="N1216" t="s">
        <v>222</v>
      </c>
      <c r="O1216" s="145" t="s">
        <v>1154</v>
      </c>
      <c r="Q1216" t="s">
        <v>256</v>
      </c>
      <c r="R1216" s="262" t="s">
        <v>223</v>
      </c>
      <c r="S1216" s="1" t="s">
        <v>2506</v>
      </c>
      <c r="T1216" t="s">
        <v>2514</v>
      </c>
      <c r="U1216" t="s">
        <v>2515</v>
      </c>
      <c r="V1216">
        <v>0</v>
      </c>
      <c r="W1216">
        <v>0</v>
      </c>
      <c r="X1216">
        <v>0</v>
      </c>
      <c r="Y1216">
        <v>2</v>
      </c>
      <c r="Z1216">
        <v>0</v>
      </c>
      <c r="AA1216">
        <v>0</v>
      </c>
      <c r="AB1216">
        <v>0</v>
      </c>
      <c r="AC1216">
        <v>0</v>
      </c>
      <c r="AD1216">
        <v>0</v>
      </c>
      <c r="AE1216">
        <v>0</v>
      </c>
      <c r="AF1216">
        <v>1</v>
      </c>
      <c r="AG1216">
        <v>0</v>
      </c>
      <c r="AH1216">
        <v>0</v>
      </c>
      <c r="AI1216">
        <v>0</v>
      </c>
      <c r="AJ1216">
        <v>0</v>
      </c>
      <c r="AK1216">
        <v>0</v>
      </c>
      <c r="AL1216">
        <v>0</v>
      </c>
      <c r="AM1216">
        <v>0</v>
      </c>
      <c r="AN1216">
        <v>2</v>
      </c>
      <c r="AO1216">
        <v>2</v>
      </c>
      <c r="AP1216">
        <v>0</v>
      </c>
      <c r="AQ1216">
        <v>0</v>
      </c>
      <c r="AR1216">
        <v>0</v>
      </c>
      <c r="AS1216">
        <v>0</v>
      </c>
      <c r="AT1216">
        <v>0</v>
      </c>
      <c r="AU1216">
        <v>0</v>
      </c>
      <c r="AV1216">
        <v>0</v>
      </c>
      <c r="AW1216">
        <v>0</v>
      </c>
      <c r="AX1216" s="141">
        <f>COUNTIF(V1216:AW1216,"&lt;&gt;0")</f>
        <v>4</v>
      </c>
      <c r="AY1216" s="141">
        <f>COUNTIF(V1216:AL1216,"&lt;&gt;0")</f>
        <v>2</v>
      </c>
      <c r="AZ1216">
        <f>COUNTIF(V1216:AC1216,"&lt;&gt;0")</f>
        <v>1</v>
      </c>
      <c r="BA1216">
        <f>COUNTIF(AD1216:AI1216,"&lt;&gt;0")</f>
        <v>1</v>
      </c>
      <c r="BB1216">
        <f>COUNTIF(AJ1216:AL1216,"&lt;&gt;0")</f>
        <v>0</v>
      </c>
      <c r="BC1216">
        <f>COUNTIF(AS1216:AW1216,"&lt;&gt;0")</f>
        <v>0</v>
      </c>
      <c r="BD1216">
        <f>COUNTIF(AM1216:AR1216,"&lt;&gt;0")</f>
        <v>2</v>
      </c>
      <c r="BE1216" t="str">
        <f t="array" ref="BE1216">IF(AY1216=1,INDEX($V$7:$AL$7,MATCH(TRUE,INDEX($V1216:$AW1216&lt;&gt;0,),0)),IF(AY1216=0,INDEX($AM$7:$AW$7,MATCH(1,$AM1216:$AW1216,0)),IF(BF1216="Multiple strategies","mixed drivers",IF(BF1216="Supply chain","multiple supply","multiple silviculture"))))</f>
        <v>mixed drivers</v>
      </c>
      <c r="BF1216" s="2" t="str" cm="1">
        <f t="array" ref="BF1216">IF(COUNTIF(AZ1216:BB1216,"&lt;&gt;0")=1,INDEX($V$4:$AW$4,MATCH(TRUE,INDEX($V1216:$AW1216&lt;&gt;0,),0)),IF(COUNTIF(AZ1216:BB1216,"&lt;&gt;0")=0,INDEX($AM$4:$AW$4,MATCH(1,$AM1216:$AW1216,0)),"Multiple strategies"))</f>
        <v>Multiple strategies</v>
      </c>
      <c r="BM1216" s="143"/>
      <c r="BN1216" s="143"/>
      <c r="BP1216" s="143" t="s">
        <v>232</v>
      </c>
      <c r="BQ1216" s="143"/>
      <c r="BR1216" t="s">
        <v>1195</v>
      </c>
      <c r="BS1216">
        <v>88354.450391061444</v>
      </c>
      <c r="BT1216">
        <v>-14015.791508379843</v>
      </c>
      <c r="BU1216" s="144">
        <f>IFERROR(BT1216/BS1216,"")</f>
        <v>-0.15863141524105706</v>
      </c>
      <c r="BV1216" s="144">
        <f>BT1216-BS1216</f>
        <v>-102370.24189944129</v>
      </c>
      <c r="BW1216" s="144"/>
      <c r="BX1216" s="144">
        <f>BV1216</f>
        <v>-102370.24189944129</v>
      </c>
      <c r="BY1216" t="str">
        <f>IFERROR(BX1216/BO1216,"")</f>
        <v/>
      </c>
      <c r="BZ1216">
        <v>0</v>
      </c>
      <c r="CA1216">
        <v>0</v>
      </c>
      <c r="CB1216">
        <v>0</v>
      </c>
      <c r="CC1216">
        <v>0</v>
      </c>
      <c r="CD1216">
        <v>0</v>
      </c>
      <c r="CE1216">
        <v>0</v>
      </c>
      <c r="CF1216">
        <v>0</v>
      </c>
      <c r="CG1216">
        <v>0</v>
      </c>
      <c r="CH1216">
        <v>0</v>
      </c>
      <c r="CI1216">
        <v>0</v>
      </c>
      <c r="CJ1216">
        <v>0</v>
      </c>
      <c r="CK1216">
        <v>0</v>
      </c>
      <c r="CL1216">
        <v>0</v>
      </c>
      <c r="CM1216">
        <v>1</v>
      </c>
      <c r="CN1216" t="str">
        <f>IF(BL1216&lt;BK1216,"refNeedCorrection","refOK")</f>
        <v>refOK</v>
      </c>
      <c r="CO1216"/>
      <c r="CP1216"/>
      <c r="CQ1216"/>
      <c r="CR1216">
        <f>IF($CN1216="refOK",$BS1216,$BT1216)*IF($BP1216="Emissions positive",-1,1)</f>
        <v>88354.450391061444</v>
      </c>
      <c r="CS1216">
        <f>IF($CN1216="refOK",$BT1216,$BS1216)*IF($BP1216="Emissions positive",-1,1)</f>
        <v>-14015.791508379843</v>
      </c>
      <c r="CT1216">
        <f>IF($CN1216="refNeedCorrection",-BX1216,BX1216)*IF($BP1216="Emissions positive",-1,1)</f>
        <v>-102370.24189944129</v>
      </c>
      <c r="CU1216" t="str">
        <f>IFERROR(CT1216/CQ1216,"")</f>
        <v/>
      </c>
      <c r="CV1216" s="2">
        <f>IFERROR((CS1216-CR1216)/ABS(CR1216),"")</f>
        <v>-1.1586314152410571</v>
      </c>
      <c r="CW1216" s="1" t="s">
        <v>1199</v>
      </c>
      <c r="CX1216" t="str">
        <f>IF(OR($CW1216="prd",$CW1216="std",$CW1216="cit"),"loc",IF(OR($CW1216="eur",$CW1216="reg",$CW1216="coy"),"reg",$CW1216))</f>
        <v>reg</v>
      </c>
      <c r="CY1216" t="s">
        <v>235</v>
      </c>
      <c r="CZ1216">
        <v>2010</v>
      </c>
      <c r="DA1216">
        <v>2070</v>
      </c>
      <c r="DB1216">
        <f>DA1216-CZ1216</f>
        <v>60</v>
      </c>
      <c r="DC1216" t="str">
        <f>IF(DB1216=0,"0",IF(AND(DB1216&gt;=1,DB1216&lt;=30),"1-30",IF(AND(DB1216&gt;30,DB1216&lt;=70),"31-70",IF(AND(DB1216&gt;70,DB1216&lt;=100),"71-100",IF(DB1216&gt;100,"+100")))))</f>
        <v>31-70</v>
      </c>
      <c r="DD1216">
        <v>1</v>
      </c>
      <c r="DE1216">
        <v>1</v>
      </c>
      <c r="DF1216">
        <v>1</v>
      </c>
      <c r="DG1216">
        <v>1</v>
      </c>
      <c r="DH1216">
        <v>0</v>
      </c>
      <c r="DI1216">
        <f>SUM(DD1216:DG1216)</f>
        <v>4</v>
      </c>
      <c r="DJ1216" t="str">
        <f>IF(DI1216=1,INDEX($DD$7:$DG$7,MATCH(1,$DD1216:$DG1216,0)),"mixedProduct")</f>
        <v>mixedProduct</v>
      </c>
      <c r="DK1216" t="str">
        <f>IF(DD1216=1,DK$7,0)</f>
        <v>Upstream</v>
      </c>
      <c r="DL1216" t="str">
        <f>IF(DE1216=1,DL$7,0)</f>
        <v>Energy</v>
      </c>
      <c r="DM1216" t="str">
        <f>IF(DF1216=1,DM$7,0)</f>
        <v>Pulp/Paper</v>
      </c>
      <c r="DN1216" t="str">
        <f>IF(DG1216=1,DN$7,0)</f>
        <v>Timber</v>
      </c>
      <c r="DO1216">
        <v>0</v>
      </c>
      <c r="DP1216">
        <v>1</v>
      </c>
      <c r="DQ1216" t="s">
        <v>2524</v>
      </c>
      <c r="DR1216" t="s">
        <v>2525</v>
      </c>
      <c r="DS1216">
        <v>0</v>
      </c>
      <c r="DT1216">
        <f>SUM(DO1216:DP1216)</f>
        <v>1</v>
      </c>
      <c r="DU1216" s="143" t="str">
        <f>IF(DO1216=1,"self-calculated DF",IF(DP1216=1,"external DF used","explicit C balance"))</f>
        <v>external DF used</v>
      </c>
      <c r="DV1216">
        <v>1</v>
      </c>
      <c r="DW1216">
        <v>1</v>
      </c>
      <c r="DX1216">
        <v>1</v>
      </c>
      <c r="DY1216">
        <v>1</v>
      </c>
      <c r="DZ1216">
        <v>0</v>
      </c>
      <c r="EA1216" s="143">
        <v>0</v>
      </c>
      <c r="EB1216">
        <v>1</v>
      </c>
      <c r="EC1216">
        <v>1</v>
      </c>
      <c r="ED1216">
        <v>0</v>
      </c>
      <c r="EE1216">
        <v>0</v>
      </c>
      <c r="EF1216">
        <v>1</v>
      </c>
      <c r="EG1216">
        <v>0</v>
      </c>
      <c r="EH1216">
        <v>0</v>
      </c>
      <c r="EI1216" s="2">
        <v>0</v>
      </c>
      <c r="EK1216" t="str">
        <f>IF(AND(AND(AND(OR($DX1216=1,$DW1216=1),OR($EC1216=1,$EA1216=1)),SUM($DV1216:$DZ1216,$EF1216)&gt;=4),SUM($EA1216:$EE1216)&gt;=2),"Whole sector","")</f>
        <v>Whole sector</v>
      </c>
      <c r="EL1216" t="str">
        <f>IF(AND(AND(OR($DX1216=1,$DW1216=1),AND($EC1216=0,$EA1216=0)),SUM($DV1216:$DZ1216,$EF1216)&gt;=4),"Ecosystem approach","")</f>
        <v/>
      </c>
      <c r="EM1216" s="2" t="str">
        <f>IF(AND(AND(AND($DX1216=0,$DW1216=0),OR($EC1216=1,$EA1216=1)),SUM($EB1216:$EE1216)&gt;=2),"Technology approach","")</f>
        <v/>
      </c>
      <c r="EN1216" t="s">
        <v>2508</v>
      </c>
      <c r="EP1216" t="b">
        <f>IF(ISNUMBER(BU1216),IF(ABS(BU1216-[1]QC_indicators!$B$2)&gt;3*[1]QC_indicators!$C$2,"C ratio",IF(ISNUMBER(BY1216),IF(ABS(BY1216-[1]QC_indicators!$B$1)&gt;3*[1]QC_indicators!$C$1,"DF","no"))),IF(ISNUMBER(BY1216),IF(ABS(BY1216-[1]QC_indicators!$B$1)&gt;3*[1]QC_indicators!$C$1,"DF","no")))</f>
        <v>0</v>
      </c>
      <c r="ET1216" s="264" t="s">
        <v>3273</v>
      </c>
    </row>
    <row r="1217" spans="1:150" ht="15" customHeight="1">
      <c r="A1217" s="1" t="s">
        <v>1423</v>
      </c>
      <c r="B1217" t="s">
        <v>2490</v>
      </c>
      <c r="C1217" t="s">
        <v>2491</v>
      </c>
      <c r="D1217" t="s">
        <v>2492</v>
      </c>
      <c r="E1217" t="s">
        <v>2493</v>
      </c>
      <c r="F1217" t="s">
        <v>2494</v>
      </c>
      <c r="G1217" t="s">
        <v>1429</v>
      </c>
      <c r="H1217" t="s">
        <v>254</v>
      </c>
      <c r="I1217">
        <v>2016</v>
      </c>
      <c r="J1217">
        <v>24</v>
      </c>
      <c r="K1217" t="s">
        <v>2495</v>
      </c>
      <c r="M1217" t="str">
        <f>LEFT($D1217,FIND(",",$D1217)-1)&amp;"_"&amp;I1217&amp;L1217</f>
        <v>Zubizarreta-Gerendiain_2016</v>
      </c>
      <c r="N1217" t="s">
        <v>222</v>
      </c>
      <c r="O1217" s="145" t="s">
        <v>1154</v>
      </c>
      <c r="Q1217" t="s">
        <v>256</v>
      </c>
      <c r="R1217" s="262" t="s">
        <v>223</v>
      </c>
      <c r="S1217" s="1" t="s">
        <v>2506</v>
      </c>
      <c r="T1217" t="s">
        <v>2514</v>
      </c>
      <c r="U1217" t="s">
        <v>2515</v>
      </c>
      <c r="V1217">
        <v>0</v>
      </c>
      <c r="W1217">
        <v>0</v>
      </c>
      <c r="X1217">
        <v>0</v>
      </c>
      <c r="Y1217">
        <v>2</v>
      </c>
      <c r="Z1217">
        <v>0</v>
      </c>
      <c r="AA1217">
        <v>0</v>
      </c>
      <c r="AB1217">
        <v>0</v>
      </c>
      <c r="AC1217">
        <v>0</v>
      </c>
      <c r="AD1217">
        <v>0</v>
      </c>
      <c r="AE1217">
        <v>0</v>
      </c>
      <c r="AF1217">
        <v>1</v>
      </c>
      <c r="AG1217">
        <v>0</v>
      </c>
      <c r="AH1217">
        <v>0</v>
      </c>
      <c r="AI1217">
        <v>0</v>
      </c>
      <c r="AJ1217">
        <v>0</v>
      </c>
      <c r="AK1217">
        <v>0</v>
      </c>
      <c r="AL1217">
        <v>0</v>
      </c>
      <c r="AM1217">
        <v>0</v>
      </c>
      <c r="AN1217">
        <v>2</v>
      </c>
      <c r="AO1217">
        <v>2</v>
      </c>
      <c r="AP1217">
        <v>0</v>
      </c>
      <c r="AQ1217">
        <v>0</v>
      </c>
      <c r="AR1217">
        <v>0</v>
      </c>
      <c r="AS1217">
        <v>0</v>
      </c>
      <c r="AT1217">
        <v>0</v>
      </c>
      <c r="AU1217">
        <v>0</v>
      </c>
      <c r="AV1217">
        <v>0</v>
      </c>
      <c r="AW1217">
        <v>0</v>
      </c>
      <c r="AX1217" s="141">
        <f>COUNTIF(V1217:AW1217,"&lt;&gt;0")</f>
        <v>4</v>
      </c>
      <c r="AY1217" s="141">
        <f>COUNTIF(V1217:AL1217,"&lt;&gt;0")</f>
        <v>2</v>
      </c>
      <c r="AZ1217">
        <f>COUNTIF(V1217:AC1217,"&lt;&gt;0")</f>
        <v>1</v>
      </c>
      <c r="BA1217">
        <f>COUNTIF(AD1217:AI1217,"&lt;&gt;0")</f>
        <v>1</v>
      </c>
      <c r="BB1217">
        <f>COUNTIF(AJ1217:AL1217,"&lt;&gt;0")</f>
        <v>0</v>
      </c>
      <c r="BC1217">
        <f>COUNTIF(AS1217:AW1217,"&lt;&gt;0")</f>
        <v>0</v>
      </c>
      <c r="BD1217">
        <f>COUNTIF(AM1217:AR1217,"&lt;&gt;0")</f>
        <v>2</v>
      </c>
      <c r="BE1217" t="str">
        <f t="array" ref="BE1217">IF(AY1217=1,INDEX($V$7:$AL$7,MATCH(TRUE,INDEX($V1217:$AW1217&lt;&gt;0,),0)),IF(AY1217=0,INDEX($AM$7:$AW$7,MATCH(1,$AM1217:$AW1217,0)),IF(BF1217="Multiple strategies","mixed drivers",IF(BF1217="Supply chain","multiple supply","multiple silviculture"))))</f>
        <v>mixed drivers</v>
      </c>
      <c r="BF1217" s="2" t="str" cm="1">
        <f t="array" ref="BF1217">IF(COUNTIF(AZ1217:BB1217,"&lt;&gt;0")=1,INDEX($V$4:$AW$4,MATCH(TRUE,INDEX($V1217:$AW1217&lt;&gt;0,),0)),IF(COUNTIF(AZ1217:BB1217,"&lt;&gt;0")=0,INDEX($AM$4:$AW$4,MATCH(1,$AM1217:$AW1217,0)),"Multiple strategies"))</f>
        <v>Multiple strategies</v>
      </c>
      <c r="BM1217" s="143"/>
      <c r="BN1217" s="143"/>
      <c r="BP1217" s="143" t="s">
        <v>232</v>
      </c>
      <c r="BQ1217" s="143"/>
      <c r="BR1217" t="s">
        <v>1195</v>
      </c>
      <c r="BS1217">
        <v>12985.218603352034</v>
      </c>
      <c r="BT1217">
        <v>-104293.97798882655</v>
      </c>
      <c r="BU1217" s="144">
        <f>IFERROR(BT1217/BS1217,"")</f>
        <v>-8.0317460317459624</v>
      </c>
      <c r="BV1217" s="144">
        <f>BT1217-BS1217</f>
        <v>-117279.19659217857</v>
      </c>
      <c r="BW1217" s="144"/>
      <c r="BX1217" s="144">
        <f>BV1217</f>
        <v>-117279.19659217857</v>
      </c>
      <c r="BY1217" t="str">
        <f>IFERROR(BX1217/BO1217,"")</f>
        <v/>
      </c>
      <c r="BZ1217">
        <v>0</v>
      </c>
      <c r="CA1217">
        <v>0</v>
      </c>
      <c r="CB1217">
        <v>0</v>
      </c>
      <c r="CC1217">
        <v>0</v>
      </c>
      <c r="CD1217">
        <v>0</v>
      </c>
      <c r="CE1217">
        <v>0</v>
      </c>
      <c r="CF1217">
        <v>0</v>
      </c>
      <c r="CG1217">
        <v>0</v>
      </c>
      <c r="CH1217">
        <v>0</v>
      </c>
      <c r="CI1217">
        <v>0</v>
      </c>
      <c r="CJ1217">
        <v>0</v>
      </c>
      <c r="CK1217">
        <v>0</v>
      </c>
      <c r="CL1217">
        <v>0</v>
      </c>
      <c r="CM1217">
        <v>1</v>
      </c>
      <c r="CN1217" t="str">
        <f>IF(BL1217&lt;BK1217,"refNeedCorrection","refOK")</f>
        <v>refOK</v>
      </c>
      <c r="CO1217"/>
      <c r="CP1217"/>
      <c r="CQ1217"/>
      <c r="CR1217">
        <f>IF($CN1217="refOK",$BS1217,$BT1217)*IF($BP1217="Emissions positive",-1,1)</f>
        <v>12985.218603352034</v>
      </c>
      <c r="CS1217">
        <f>IF($CN1217="refOK",$BT1217,$BS1217)*IF($BP1217="Emissions positive",-1,1)</f>
        <v>-104293.97798882655</v>
      </c>
      <c r="CT1217">
        <f>IF($CN1217="refNeedCorrection",-BX1217,BX1217)*IF($BP1217="Emissions positive",-1,1)</f>
        <v>-117279.19659217857</v>
      </c>
      <c r="CU1217" t="str">
        <f>IFERROR(CT1217/CQ1217,"")</f>
        <v/>
      </c>
      <c r="CV1217" s="2">
        <f>IFERROR((CS1217-CR1217)/ABS(CR1217),"")</f>
        <v>-9.0317460317459624</v>
      </c>
      <c r="CW1217" s="1" t="s">
        <v>1199</v>
      </c>
      <c r="CX1217" t="str">
        <f>IF(OR($CW1217="prd",$CW1217="std",$CW1217="cit"),"loc",IF(OR($CW1217="eur",$CW1217="reg",$CW1217="coy"),"reg",$CW1217))</f>
        <v>reg</v>
      </c>
      <c r="CY1217" t="s">
        <v>235</v>
      </c>
      <c r="CZ1217">
        <v>2010</v>
      </c>
      <c r="DA1217">
        <v>2070</v>
      </c>
      <c r="DB1217">
        <f>DA1217-CZ1217</f>
        <v>60</v>
      </c>
      <c r="DC1217" t="str">
        <f>IF(DB1217=0,"0",IF(AND(DB1217&gt;=1,DB1217&lt;=30),"1-30",IF(AND(DB1217&gt;30,DB1217&lt;=70),"31-70",IF(AND(DB1217&gt;70,DB1217&lt;=100),"71-100",IF(DB1217&gt;100,"+100")))))</f>
        <v>31-70</v>
      </c>
      <c r="DD1217">
        <v>1</v>
      </c>
      <c r="DE1217">
        <v>1</v>
      </c>
      <c r="DF1217">
        <v>1</v>
      </c>
      <c r="DG1217">
        <v>1</v>
      </c>
      <c r="DH1217">
        <v>0</v>
      </c>
      <c r="DI1217">
        <f>SUM(DD1217:DG1217)</f>
        <v>4</v>
      </c>
      <c r="DJ1217" t="str">
        <f>IF(DI1217=1,INDEX($DD$7:$DG$7,MATCH(1,$DD1217:$DG1217,0)),"mixedProduct")</f>
        <v>mixedProduct</v>
      </c>
      <c r="DK1217" t="str">
        <f>IF(DD1217=1,DK$7,0)</f>
        <v>Upstream</v>
      </c>
      <c r="DL1217" t="str">
        <f>IF(DE1217=1,DL$7,0)</f>
        <v>Energy</v>
      </c>
      <c r="DM1217" t="str">
        <f>IF(DF1217=1,DM$7,0)</f>
        <v>Pulp/Paper</v>
      </c>
      <c r="DN1217" t="str">
        <f>IF(DG1217=1,DN$7,0)</f>
        <v>Timber</v>
      </c>
      <c r="DO1217">
        <v>0</v>
      </c>
      <c r="DP1217">
        <v>0</v>
      </c>
      <c r="DQ1217">
        <v>0</v>
      </c>
      <c r="DR1217">
        <v>0</v>
      </c>
      <c r="DS1217">
        <v>0</v>
      </c>
      <c r="DT1217">
        <f>SUM(DO1217:DP1217)</f>
        <v>0</v>
      </c>
      <c r="DU1217" s="143" t="str">
        <f>IF(DO1217=1,"self-calculated DF",IF(DP1217=1,"external DF used","explicit C balance"))</f>
        <v>explicit C balance</v>
      </c>
      <c r="DV1217">
        <v>1</v>
      </c>
      <c r="DW1217">
        <v>1</v>
      </c>
      <c r="DX1217">
        <v>1</v>
      </c>
      <c r="DY1217">
        <v>0</v>
      </c>
      <c r="DZ1217">
        <v>0</v>
      </c>
      <c r="EA1217" s="143">
        <v>0</v>
      </c>
      <c r="EB1217">
        <v>1</v>
      </c>
      <c r="EC1217">
        <v>1</v>
      </c>
      <c r="ED1217">
        <v>0</v>
      </c>
      <c r="EE1217">
        <v>0</v>
      </c>
      <c r="EF1217">
        <v>1</v>
      </c>
      <c r="EG1217">
        <v>0</v>
      </c>
      <c r="EH1217">
        <v>0</v>
      </c>
      <c r="EI1217" s="2">
        <v>0</v>
      </c>
      <c r="EK1217" t="str">
        <f>IF(AND(AND(AND(OR($DX1217=1,$DW1217=1),OR($EC1217=1,$EA1217=1)),SUM($DV1217:$DZ1217,$EF1217)&gt;=4),SUM($EA1217:$EE1217)&gt;=2),"Whole sector","")</f>
        <v>Whole sector</v>
      </c>
      <c r="EL1217" t="str">
        <f>IF(AND(AND(OR($DX1217=1,$DW1217=1),AND($EC1217=0,$EA1217=0)),SUM($DV1217:$DZ1217,$EF1217)&gt;=4),"Ecosystem approach","")</f>
        <v/>
      </c>
      <c r="EM1217" s="2" t="str">
        <f>IF(AND(AND(AND($DX1217=0,$DW1217=0),OR($EC1217=1,$EA1217=1)),SUM($EB1217:$EE1217)&gt;=2),"Technology approach","")</f>
        <v/>
      </c>
      <c r="EN1217" t="s">
        <v>2508</v>
      </c>
      <c r="EP1217" t="b">
        <f>IF(ISNUMBER(BU1217),IF(ABS(BU1217-[1]QC_indicators!$B$2)&gt;3*[1]QC_indicators!$C$2,"C ratio",IF(ISNUMBER(BY1217),IF(ABS(BY1217-[1]QC_indicators!$B$1)&gt;3*[1]QC_indicators!$C$1,"DF","no"))),IF(ISNUMBER(BY1217),IF(ABS(BY1217-[1]QC_indicators!$B$1)&gt;3*[1]QC_indicators!$C$1,"DF","no")))</f>
        <v>0</v>
      </c>
      <c r="ET1217" s="264" t="s">
        <v>3273</v>
      </c>
    </row>
    <row r="1218" spans="1:150" ht="15" customHeight="1">
      <c r="A1218" s="1" t="s">
        <v>1423</v>
      </c>
      <c r="B1218" t="s">
        <v>2490</v>
      </c>
      <c r="C1218" t="s">
        <v>2491</v>
      </c>
      <c r="D1218" t="s">
        <v>2492</v>
      </c>
      <c r="E1218" t="s">
        <v>2493</v>
      </c>
      <c r="F1218" t="s">
        <v>2494</v>
      </c>
      <c r="G1218" t="s">
        <v>1429</v>
      </c>
      <c r="H1218" t="s">
        <v>254</v>
      </c>
      <c r="I1218">
        <v>2016</v>
      </c>
      <c r="J1218">
        <v>24</v>
      </c>
      <c r="K1218" t="s">
        <v>2495</v>
      </c>
      <c r="M1218" t="str">
        <f>LEFT($D1218,FIND(",",$D1218)-1)&amp;"_"&amp;I1218&amp;L1218</f>
        <v>Zubizarreta-Gerendiain_2016</v>
      </c>
      <c r="N1218" t="s">
        <v>222</v>
      </c>
      <c r="O1218" s="145" t="s">
        <v>1154</v>
      </c>
      <c r="Q1218" t="s">
        <v>256</v>
      </c>
      <c r="R1218" s="262" t="s">
        <v>223</v>
      </c>
      <c r="S1218" s="1" t="s">
        <v>2496</v>
      </c>
      <c r="T1218" t="s">
        <v>2517</v>
      </c>
      <c r="U1218" t="s">
        <v>2515</v>
      </c>
      <c r="V1218">
        <v>0</v>
      </c>
      <c r="W1218">
        <v>0</v>
      </c>
      <c r="X1218">
        <v>0</v>
      </c>
      <c r="Y1218">
        <v>2</v>
      </c>
      <c r="Z1218">
        <v>0</v>
      </c>
      <c r="AA1218">
        <v>0</v>
      </c>
      <c r="AB1218">
        <v>0</v>
      </c>
      <c r="AC1218">
        <v>0</v>
      </c>
      <c r="AD1218">
        <v>0</v>
      </c>
      <c r="AE1218">
        <v>0</v>
      </c>
      <c r="AF1218">
        <v>1</v>
      </c>
      <c r="AG1218">
        <v>0</v>
      </c>
      <c r="AH1218">
        <v>0</v>
      </c>
      <c r="AI1218">
        <v>0</v>
      </c>
      <c r="AJ1218">
        <v>0</v>
      </c>
      <c r="AK1218">
        <v>0</v>
      </c>
      <c r="AL1218">
        <v>0</v>
      </c>
      <c r="AM1218">
        <v>0</v>
      </c>
      <c r="AN1218">
        <v>2</v>
      </c>
      <c r="AO1218">
        <v>2</v>
      </c>
      <c r="AP1218">
        <v>0</v>
      </c>
      <c r="AQ1218">
        <v>0</v>
      </c>
      <c r="AR1218">
        <v>0</v>
      </c>
      <c r="AS1218">
        <v>0</v>
      </c>
      <c r="AT1218">
        <v>0</v>
      </c>
      <c r="AU1218">
        <v>0</v>
      </c>
      <c r="AV1218">
        <v>0</v>
      </c>
      <c r="AW1218">
        <v>0</v>
      </c>
      <c r="AX1218" s="141">
        <f>COUNTIF(V1218:AW1218,"&lt;&gt;0")</f>
        <v>4</v>
      </c>
      <c r="AY1218" s="141">
        <f>COUNTIF(V1218:AL1218,"&lt;&gt;0")</f>
        <v>2</v>
      </c>
      <c r="AZ1218">
        <f>COUNTIF(V1218:AC1218,"&lt;&gt;0")</f>
        <v>1</v>
      </c>
      <c r="BA1218">
        <f>COUNTIF(AD1218:AI1218,"&lt;&gt;0")</f>
        <v>1</v>
      </c>
      <c r="BB1218">
        <f>COUNTIF(AJ1218:AL1218,"&lt;&gt;0")</f>
        <v>0</v>
      </c>
      <c r="BC1218">
        <f>COUNTIF(AS1218:AW1218,"&lt;&gt;0")</f>
        <v>0</v>
      </c>
      <c r="BD1218">
        <f>COUNTIF(AM1218:AR1218,"&lt;&gt;0")</f>
        <v>2</v>
      </c>
      <c r="BE1218" t="str">
        <f t="array" ref="BE1218">IF(AY1218=1,INDEX($V$7:$AL$7,MATCH(TRUE,INDEX($V1218:$AW1218&lt;&gt;0,),0)),IF(AY1218=0,INDEX($AM$7:$AW$7,MATCH(1,$AM1218:$AW1218,0)),IF(BF1218="Multiple strategies","mixed drivers",IF(BF1218="Supply chain","multiple supply","multiple silviculture"))))</f>
        <v>mixed drivers</v>
      </c>
      <c r="BF1218" s="2" t="str" cm="1">
        <f t="array" ref="BF1218">IF(COUNTIF(AZ1218:BB1218,"&lt;&gt;0")=1,INDEX($V$4:$AW$4,MATCH(TRUE,INDEX($V1218:$AW1218&lt;&gt;0,),0)),IF(COUNTIF(AZ1218:BB1218,"&lt;&gt;0")=0,INDEX($AM$4:$AW$4,MATCH(1,$AM1218:$AW1218,0)),"Multiple strategies"))</f>
        <v>Multiple strategies</v>
      </c>
      <c r="BM1218" s="143"/>
      <c r="BN1218" s="143"/>
      <c r="BP1218" s="143" t="s">
        <v>232</v>
      </c>
      <c r="BQ1218" s="143"/>
      <c r="BR1218" t="s">
        <v>1195</v>
      </c>
      <c r="BS1218">
        <v>36825.805139664684</v>
      </c>
      <c r="BT1218">
        <v>-14015.791508379843</v>
      </c>
      <c r="BU1218" s="144">
        <f>IFERROR(BT1218/BS1218,"")</f>
        <v>-0.38059701492537318</v>
      </c>
      <c r="BV1218" s="144">
        <f>BT1218-BS1218</f>
        <v>-50841.596648044528</v>
      </c>
      <c r="BW1218" s="144"/>
      <c r="BX1218" s="144">
        <f>BV1218</f>
        <v>-50841.596648044528</v>
      </c>
      <c r="BY1218" t="str">
        <f>IFERROR(BX1218/BO1218,"")</f>
        <v/>
      </c>
      <c r="BZ1218">
        <v>0</v>
      </c>
      <c r="CA1218">
        <v>0</v>
      </c>
      <c r="CB1218">
        <v>0</v>
      </c>
      <c r="CC1218">
        <v>0</v>
      </c>
      <c r="CD1218">
        <v>0</v>
      </c>
      <c r="CE1218">
        <v>0</v>
      </c>
      <c r="CF1218">
        <v>0</v>
      </c>
      <c r="CG1218">
        <v>0</v>
      </c>
      <c r="CH1218">
        <v>0</v>
      </c>
      <c r="CI1218">
        <v>0</v>
      </c>
      <c r="CJ1218">
        <v>0</v>
      </c>
      <c r="CK1218">
        <v>0</v>
      </c>
      <c r="CL1218">
        <v>0</v>
      </c>
      <c r="CM1218">
        <v>1</v>
      </c>
      <c r="CN1218" t="str">
        <f>IF(BL1218&lt;BK1218,"refNeedCorrection","refOK")</f>
        <v>refOK</v>
      </c>
      <c r="CO1218"/>
      <c r="CP1218"/>
      <c r="CQ1218"/>
      <c r="CR1218">
        <f>IF($CN1218="refOK",$BS1218,$BT1218)*IF($BP1218="Emissions positive",-1,1)</f>
        <v>36825.805139664684</v>
      </c>
      <c r="CS1218">
        <f>IF($CN1218="refOK",$BT1218,$BS1218)*IF($BP1218="Emissions positive",-1,1)</f>
        <v>-14015.791508379843</v>
      </c>
      <c r="CT1218">
        <f>IF($CN1218="refNeedCorrection",-BX1218,BX1218)*IF($BP1218="Emissions positive",-1,1)</f>
        <v>-50841.596648044528</v>
      </c>
      <c r="CU1218" t="str">
        <f>IFERROR(CT1218/CQ1218,"")</f>
        <v/>
      </c>
      <c r="CV1218" s="2">
        <f>IFERROR((CS1218-CR1218)/ABS(CR1218),"")</f>
        <v>-1.3805970149253732</v>
      </c>
      <c r="CW1218" s="1" t="s">
        <v>1199</v>
      </c>
      <c r="CX1218" t="str">
        <f>IF(OR($CW1218="prd",$CW1218="std",$CW1218="cit"),"loc",IF(OR($CW1218="eur",$CW1218="reg",$CW1218="coy"),"reg",$CW1218))</f>
        <v>reg</v>
      </c>
      <c r="CY1218" t="s">
        <v>235</v>
      </c>
      <c r="CZ1218">
        <v>2010</v>
      </c>
      <c r="DA1218">
        <v>2070</v>
      </c>
      <c r="DB1218">
        <f>DA1218-CZ1218</f>
        <v>60</v>
      </c>
      <c r="DC1218" t="str">
        <f>IF(DB1218=0,"0",IF(AND(DB1218&gt;=1,DB1218&lt;=30),"1-30",IF(AND(DB1218&gt;30,DB1218&lt;=70),"31-70",IF(AND(DB1218&gt;70,DB1218&lt;=100),"71-100",IF(DB1218&gt;100,"+100")))))</f>
        <v>31-70</v>
      </c>
      <c r="DD1218">
        <v>1</v>
      </c>
      <c r="DE1218">
        <v>1</v>
      </c>
      <c r="DF1218">
        <v>1</v>
      </c>
      <c r="DG1218">
        <v>1</v>
      </c>
      <c r="DH1218">
        <v>0</v>
      </c>
      <c r="DI1218">
        <f>SUM(DD1218:DG1218)</f>
        <v>4</v>
      </c>
      <c r="DJ1218" t="str">
        <f>IF(DI1218=1,INDEX($DD$7:$DG$7,MATCH(1,$DD1218:$DG1218,0)),"mixedProduct")</f>
        <v>mixedProduct</v>
      </c>
      <c r="DK1218" t="str">
        <f>IF(DD1218=1,DK$7,0)</f>
        <v>Upstream</v>
      </c>
      <c r="DL1218" t="str">
        <f>IF(DE1218=1,DL$7,0)</f>
        <v>Energy</v>
      </c>
      <c r="DM1218" t="str">
        <f>IF(DF1218=1,DM$7,0)</f>
        <v>Pulp/Paper</v>
      </c>
      <c r="DN1218" t="str">
        <f>IF(DG1218=1,DN$7,0)</f>
        <v>Timber</v>
      </c>
      <c r="DO1218">
        <v>0</v>
      </c>
      <c r="DP1218">
        <v>1</v>
      </c>
      <c r="DQ1218" t="s">
        <v>2524</v>
      </c>
      <c r="DR1218" t="s">
        <v>2525</v>
      </c>
      <c r="DS1218">
        <v>0</v>
      </c>
      <c r="DT1218">
        <f>SUM(DO1218:DP1218)</f>
        <v>1</v>
      </c>
      <c r="DU1218" s="143" t="str">
        <f>IF(DO1218=1,"self-calculated DF",IF(DP1218=1,"external DF used","explicit C balance"))</f>
        <v>external DF used</v>
      </c>
      <c r="DV1218">
        <v>1</v>
      </c>
      <c r="DW1218">
        <v>1</v>
      </c>
      <c r="DX1218">
        <v>1</v>
      </c>
      <c r="DY1218">
        <v>1</v>
      </c>
      <c r="DZ1218">
        <v>0</v>
      </c>
      <c r="EA1218" s="143">
        <v>0</v>
      </c>
      <c r="EB1218">
        <v>1</v>
      </c>
      <c r="EC1218">
        <v>1</v>
      </c>
      <c r="ED1218">
        <v>0</v>
      </c>
      <c r="EE1218">
        <v>0</v>
      </c>
      <c r="EF1218">
        <v>1</v>
      </c>
      <c r="EG1218">
        <v>0</v>
      </c>
      <c r="EH1218">
        <v>0</v>
      </c>
      <c r="EI1218" s="2">
        <v>0</v>
      </c>
      <c r="EK1218" t="str">
        <f>IF(AND(AND(AND(OR($DX1218=1,$DW1218=1),OR($EC1218=1,$EA1218=1)),SUM($DV1218:$DZ1218,$EF1218)&gt;=4),SUM($EA1218:$EE1218)&gt;=2),"Whole sector","")</f>
        <v>Whole sector</v>
      </c>
      <c r="EL1218" t="str">
        <f>IF(AND(AND(OR($DX1218=1,$DW1218=1),AND($EC1218=0,$EA1218=0)),SUM($DV1218:$DZ1218,$EF1218)&gt;=4),"Ecosystem approach","")</f>
        <v/>
      </c>
      <c r="EM1218" s="2" t="str">
        <f>IF(AND(AND(AND($DX1218=0,$DW1218=0),OR($EC1218=1,$EA1218=1)),SUM($EB1218:$EE1218)&gt;=2),"Technology approach","")</f>
        <v/>
      </c>
      <c r="EP1218" t="b">
        <f>IF(ISNUMBER(BU1218),IF(ABS(BU1218-[1]QC_indicators!$B$2)&gt;3*[1]QC_indicators!$C$2,"C ratio",IF(ISNUMBER(BY1218),IF(ABS(BY1218-[1]QC_indicators!$B$1)&gt;3*[1]QC_indicators!$C$1,"DF","no"))),IF(ISNUMBER(BY1218),IF(ABS(BY1218-[1]QC_indicators!$B$1)&gt;3*[1]QC_indicators!$C$1,"DF","no")))</f>
        <v>0</v>
      </c>
      <c r="ET1218" s="264" t="s">
        <v>3273</v>
      </c>
    </row>
    <row r="1219" spans="1:150" ht="15" customHeight="1">
      <c r="A1219" s="1" t="s">
        <v>1423</v>
      </c>
      <c r="B1219" t="s">
        <v>2490</v>
      </c>
      <c r="C1219" t="s">
        <v>2491</v>
      </c>
      <c r="D1219" t="s">
        <v>2492</v>
      </c>
      <c r="E1219" t="s">
        <v>2493</v>
      </c>
      <c r="F1219" t="s">
        <v>2494</v>
      </c>
      <c r="G1219" t="s">
        <v>1429</v>
      </c>
      <c r="H1219" t="s">
        <v>254</v>
      </c>
      <c r="I1219">
        <v>2016</v>
      </c>
      <c r="J1219">
        <v>24</v>
      </c>
      <c r="K1219" t="s">
        <v>2495</v>
      </c>
      <c r="M1219" t="str">
        <f>LEFT($D1219,FIND(",",$D1219)-1)&amp;"_"&amp;I1219&amp;L1219</f>
        <v>Zubizarreta-Gerendiain_2016</v>
      </c>
      <c r="N1219" t="s">
        <v>222</v>
      </c>
      <c r="O1219" s="145" t="s">
        <v>1154</v>
      </c>
      <c r="Q1219" t="s">
        <v>256</v>
      </c>
      <c r="R1219" s="262" t="s">
        <v>223</v>
      </c>
      <c r="S1219" s="1" t="s">
        <v>2496</v>
      </c>
      <c r="T1219" t="s">
        <v>2517</v>
      </c>
      <c r="U1219" t="s">
        <v>2515</v>
      </c>
      <c r="V1219">
        <v>0</v>
      </c>
      <c r="W1219">
        <v>0</v>
      </c>
      <c r="X1219">
        <v>0</v>
      </c>
      <c r="Y1219">
        <v>2</v>
      </c>
      <c r="Z1219">
        <v>0</v>
      </c>
      <c r="AA1219">
        <v>0</v>
      </c>
      <c r="AB1219">
        <v>0</v>
      </c>
      <c r="AC1219">
        <v>0</v>
      </c>
      <c r="AD1219">
        <v>0</v>
      </c>
      <c r="AE1219">
        <v>0</v>
      </c>
      <c r="AF1219">
        <v>1</v>
      </c>
      <c r="AG1219">
        <v>0</v>
      </c>
      <c r="AH1219">
        <v>0</v>
      </c>
      <c r="AI1219">
        <v>0</v>
      </c>
      <c r="AJ1219">
        <v>0</v>
      </c>
      <c r="AK1219">
        <v>0</v>
      </c>
      <c r="AL1219">
        <v>0</v>
      </c>
      <c r="AM1219">
        <v>0</v>
      </c>
      <c r="AN1219">
        <v>2</v>
      </c>
      <c r="AO1219">
        <v>2</v>
      </c>
      <c r="AP1219">
        <v>0</v>
      </c>
      <c r="AQ1219">
        <v>0</v>
      </c>
      <c r="AR1219">
        <v>0</v>
      </c>
      <c r="AS1219">
        <v>0</v>
      </c>
      <c r="AT1219">
        <v>0</v>
      </c>
      <c r="AU1219">
        <v>0</v>
      </c>
      <c r="AV1219">
        <v>0</v>
      </c>
      <c r="AW1219">
        <v>0</v>
      </c>
      <c r="AX1219" s="141">
        <f>COUNTIF(V1219:AW1219,"&lt;&gt;0")</f>
        <v>4</v>
      </c>
      <c r="AY1219" s="141">
        <f>COUNTIF(V1219:AL1219,"&lt;&gt;0")</f>
        <v>2</v>
      </c>
      <c r="AZ1219">
        <f>COUNTIF(V1219:AC1219,"&lt;&gt;0")</f>
        <v>1</v>
      </c>
      <c r="BA1219">
        <f>COUNTIF(AD1219:AI1219,"&lt;&gt;0")</f>
        <v>1</v>
      </c>
      <c r="BB1219">
        <f>COUNTIF(AJ1219:AL1219,"&lt;&gt;0")</f>
        <v>0</v>
      </c>
      <c r="BC1219">
        <f>COUNTIF(AS1219:AW1219,"&lt;&gt;0")</f>
        <v>0</v>
      </c>
      <c r="BD1219">
        <f>COUNTIF(AM1219:AR1219,"&lt;&gt;0")</f>
        <v>2</v>
      </c>
      <c r="BE1219" t="str">
        <f t="array" ref="BE1219">IF(AY1219=1,INDEX($V$7:$AL$7,MATCH(TRUE,INDEX($V1219:$AW1219&lt;&gt;0,),0)),IF(AY1219=0,INDEX($AM$7:$AW$7,MATCH(1,$AM1219:$AW1219,0)),IF(BF1219="Multiple strategies","mixed drivers",IF(BF1219="Supply chain","multiple supply","multiple silviculture"))))</f>
        <v>mixed drivers</v>
      </c>
      <c r="BF1219" s="2" t="str" cm="1">
        <f t="array" ref="BF1219">IF(COUNTIF(AZ1219:BB1219,"&lt;&gt;0")=1,INDEX($V$4:$AW$4,MATCH(TRUE,INDEX($V1219:$AW1219&lt;&gt;0,),0)),IF(COUNTIF(AZ1219:BB1219,"&lt;&gt;0")=0,INDEX($AM$4:$AW$4,MATCH(1,$AM1219:$AW1219,0)),"Multiple strategies"))</f>
        <v>Multiple strategies</v>
      </c>
      <c r="BM1219" s="143"/>
      <c r="BN1219" s="143"/>
      <c r="BP1219" s="143" t="s">
        <v>232</v>
      </c>
      <c r="BQ1219" s="143"/>
      <c r="BR1219" t="s">
        <v>1195</v>
      </c>
      <c r="BS1219">
        <v>-38337.312067038984</v>
      </c>
      <c r="BT1219">
        <v>-104293.97798882655</v>
      </c>
      <c r="BU1219" s="144">
        <f>IFERROR(BT1219/BS1219,"")</f>
        <v>2.7204301075268833</v>
      </c>
      <c r="BV1219" s="144">
        <f>BT1219-BS1219</f>
        <v>-65956.665921787557</v>
      </c>
      <c r="BW1219" s="144"/>
      <c r="BX1219" s="144">
        <f>BV1219</f>
        <v>-65956.665921787557</v>
      </c>
      <c r="BY1219" t="str">
        <f>IFERROR(BX1219/BO1219,"")</f>
        <v/>
      </c>
      <c r="BZ1219">
        <v>0</v>
      </c>
      <c r="CA1219">
        <v>0</v>
      </c>
      <c r="CB1219">
        <v>0</v>
      </c>
      <c r="CC1219">
        <v>0</v>
      </c>
      <c r="CD1219">
        <v>0</v>
      </c>
      <c r="CE1219">
        <v>0</v>
      </c>
      <c r="CF1219">
        <v>0</v>
      </c>
      <c r="CG1219">
        <v>0</v>
      </c>
      <c r="CH1219">
        <v>0</v>
      </c>
      <c r="CI1219">
        <v>0</v>
      </c>
      <c r="CJ1219">
        <v>0</v>
      </c>
      <c r="CK1219">
        <v>0</v>
      </c>
      <c r="CL1219">
        <v>0</v>
      </c>
      <c r="CM1219">
        <v>1</v>
      </c>
      <c r="CN1219" t="str">
        <f>IF(BL1219&lt;BK1219,"refNeedCorrection","refOK")</f>
        <v>refOK</v>
      </c>
      <c r="CO1219"/>
      <c r="CP1219"/>
      <c r="CQ1219"/>
      <c r="CR1219">
        <f>IF($CN1219="refOK",$BS1219,$BT1219)*IF($BP1219="Emissions positive",-1,1)</f>
        <v>-38337.312067038984</v>
      </c>
      <c r="CS1219">
        <f>IF($CN1219="refOK",$BT1219,$BS1219)*IF($BP1219="Emissions positive",-1,1)</f>
        <v>-104293.97798882655</v>
      </c>
      <c r="CT1219">
        <f>IF($CN1219="refNeedCorrection",-BX1219,BX1219)*IF($BP1219="Emissions positive",-1,1)</f>
        <v>-65956.665921787557</v>
      </c>
      <c r="CU1219" t="str">
        <f>IFERROR(CT1219/CQ1219,"")</f>
        <v/>
      </c>
      <c r="CV1219" s="2">
        <f>IFERROR((CS1219-CR1219)/ABS(CR1219),"")</f>
        <v>-1.7204301075268833</v>
      </c>
      <c r="CW1219" s="1" t="s">
        <v>1199</v>
      </c>
      <c r="CX1219" t="str">
        <f>IF(OR($CW1219="prd",$CW1219="std",$CW1219="cit"),"loc",IF(OR($CW1219="eur",$CW1219="reg",$CW1219="coy"),"reg",$CW1219))</f>
        <v>reg</v>
      </c>
      <c r="CY1219" t="s">
        <v>235</v>
      </c>
      <c r="CZ1219">
        <v>2010</v>
      </c>
      <c r="DA1219">
        <v>2070</v>
      </c>
      <c r="DB1219">
        <f>DA1219-CZ1219</f>
        <v>60</v>
      </c>
      <c r="DC1219" t="str">
        <f>IF(DB1219=0,"0",IF(AND(DB1219&gt;=1,DB1219&lt;=30),"1-30",IF(AND(DB1219&gt;30,DB1219&lt;=70),"31-70",IF(AND(DB1219&gt;70,DB1219&lt;=100),"71-100",IF(DB1219&gt;100,"+100")))))</f>
        <v>31-70</v>
      </c>
      <c r="DD1219">
        <v>1</v>
      </c>
      <c r="DE1219">
        <v>1</v>
      </c>
      <c r="DF1219">
        <v>1</v>
      </c>
      <c r="DG1219">
        <v>1</v>
      </c>
      <c r="DH1219">
        <v>0</v>
      </c>
      <c r="DI1219">
        <f>SUM(DD1219:DG1219)</f>
        <v>4</v>
      </c>
      <c r="DJ1219" t="str">
        <f>IF(DI1219=1,INDEX($DD$7:$DG$7,MATCH(1,$DD1219:$DG1219,0)),"mixedProduct")</f>
        <v>mixedProduct</v>
      </c>
      <c r="DK1219" t="str">
        <f>IF(DD1219=1,DK$7,0)</f>
        <v>Upstream</v>
      </c>
      <c r="DL1219" t="str">
        <f>IF(DE1219=1,DL$7,0)</f>
        <v>Energy</v>
      </c>
      <c r="DM1219" t="str">
        <f>IF(DF1219=1,DM$7,0)</f>
        <v>Pulp/Paper</v>
      </c>
      <c r="DN1219" t="str">
        <f>IF(DG1219=1,DN$7,0)</f>
        <v>Timber</v>
      </c>
      <c r="DO1219">
        <v>0</v>
      </c>
      <c r="DP1219">
        <v>0</v>
      </c>
      <c r="DQ1219">
        <v>0</v>
      </c>
      <c r="DR1219">
        <v>0</v>
      </c>
      <c r="DS1219">
        <v>0</v>
      </c>
      <c r="DT1219">
        <f>SUM(DO1219:DP1219)</f>
        <v>0</v>
      </c>
      <c r="DU1219" s="143" t="str">
        <f>IF(DO1219=1,"self-calculated DF",IF(DP1219=1,"external DF used","explicit C balance"))</f>
        <v>explicit C balance</v>
      </c>
      <c r="DV1219">
        <v>1</v>
      </c>
      <c r="DW1219">
        <v>1</v>
      </c>
      <c r="DX1219">
        <v>1</v>
      </c>
      <c r="DY1219">
        <v>0</v>
      </c>
      <c r="DZ1219">
        <v>0</v>
      </c>
      <c r="EA1219" s="143">
        <v>0</v>
      </c>
      <c r="EB1219">
        <v>1</v>
      </c>
      <c r="EC1219">
        <v>1</v>
      </c>
      <c r="ED1219">
        <v>0</v>
      </c>
      <c r="EE1219">
        <v>0</v>
      </c>
      <c r="EF1219">
        <v>1</v>
      </c>
      <c r="EG1219">
        <v>0</v>
      </c>
      <c r="EH1219">
        <v>0</v>
      </c>
      <c r="EI1219" s="2">
        <v>0</v>
      </c>
      <c r="EK1219" t="str">
        <f>IF(AND(AND(AND(OR($DX1219=1,$DW1219=1),OR($EC1219=1,$EA1219=1)),SUM($DV1219:$DZ1219,$EF1219)&gt;=4),SUM($EA1219:$EE1219)&gt;=2),"Whole sector","")</f>
        <v>Whole sector</v>
      </c>
      <c r="EL1219" t="str">
        <f>IF(AND(AND(OR($DX1219=1,$DW1219=1),AND($EC1219=0,$EA1219=0)),SUM($DV1219:$DZ1219,$EF1219)&gt;=4),"Ecosystem approach","")</f>
        <v/>
      </c>
      <c r="EM1219" s="2" t="str">
        <f>IF(AND(AND(AND($DX1219=0,$DW1219=0),OR($EC1219=1,$EA1219=1)),SUM($EB1219:$EE1219)&gt;=2),"Technology approach","")</f>
        <v/>
      </c>
      <c r="EP1219" t="b">
        <f>IF(ISNUMBER(BU1219),IF(ABS(BU1219-[1]QC_indicators!$B$2)&gt;3*[1]QC_indicators!$C$2,"C ratio",IF(ISNUMBER(BY1219),IF(ABS(BY1219-[1]QC_indicators!$B$1)&gt;3*[1]QC_indicators!$C$1,"DF","no"))),IF(ISNUMBER(BY1219),IF(ABS(BY1219-[1]QC_indicators!$B$1)&gt;3*[1]QC_indicators!$C$1,"DF","no")))</f>
        <v>0</v>
      </c>
      <c r="ET1219" s="264" t="s">
        <v>3273</v>
      </c>
    </row>
    <row r="1220" spans="1:150" ht="15" customHeight="1">
      <c r="A1220" s="1" t="s">
        <v>1423</v>
      </c>
      <c r="B1220" t="s">
        <v>2490</v>
      </c>
      <c r="C1220" t="s">
        <v>2491</v>
      </c>
      <c r="D1220" t="s">
        <v>2492</v>
      </c>
      <c r="E1220" t="s">
        <v>2493</v>
      </c>
      <c r="F1220" t="s">
        <v>2494</v>
      </c>
      <c r="G1220" t="s">
        <v>1429</v>
      </c>
      <c r="H1220" t="s">
        <v>254</v>
      </c>
      <c r="I1220">
        <v>2016</v>
      </c>
      <c r="J1220">
        <v>24</v>
      </c>
      <c r="K1220" t="s">
        <v>2495</v>
      </c>
      <c r="M1220" t="str">
        <f>LEFT($D1220,FIND(",",$D1220)-1)&amp;"_"&amp;I1220&amp;L1220</f>
        <v>Zubizarreta-Gerendiain_2016</v>
      </c>
      <c r="N1220" t="s">
        <v>222</v>
      </c>
      <c r="O1220" s="145" t="s">
        <v>1154</v>
      </c>
      <c r="Q1220" t="s">
        <v>256</v>
      </c>
      <c r="R1220" s="262" t="s">
        <v>223</v>
      </c>
      <c r="S1220" s="1" t="s">
        <v>2496</v>
      </c>
      <c r="T1220" t="s">
        <v>2512</v>
      </c>
      <c r="U1220" t="s">
        <v>2511</v>
      </c>
      <c r="V1220">
        <v>0</v>
      </c>
      <c r="W1220">
        <v>0</v>
      </c>
      <c r="X1220">
        <v>0</v>
      </c>
      <c r="Y1220">
        <v>2</v>
      </c>
      <c r="Z1220">
        <v>0</v>
      </c>
      <c r="AA1220">
        <v>0</v>
      </c>
      <c r="AB1220">
        <v>0</v>
      </c>
      <c r="AC1220">
        <v>0</v>
      </c>
      <c r="AD1220">
        <v>0</v>
      </c>
      <c r="AE1220">
        <v>0</v>
      </c>
      <c r="AF1220">
        <v>1</v>
      </c>
      <c r="AG1220">
        <v>0</v>
      </c>
      <c r="AH1220">
        <v>0</v>
      </c>
      <c r="AI1220">
        <v>0</v>
      </c>
      <c r="AJ1220">
        <v>0</v>
      </c>
      <c r="AK1220">
        <v>0</v>
      </c>
      <c r="AL1220">
        <v>0</v>
      </c>
      <c r="AM1220">
        <v>0</v>
      </c>
      <c r="AN1220">
        <v>2</v>
      </c>
      <c r="AO1220">
        <v>2</v>
      </c>
      <c r="AP1220">
        <v>0</v>
      </c>
      <c r="AQ1220">
        <v>0</v>
      </c>
      <c r="AR1220">
        <v>0</v>
      </c>
      <c r="AS1220">
        <v>0</v>
      </c>
      <c r="AT1220">
        <v>0</v>
      </c>
      <c r="AU1220">
        <v>0</v>
      </c>
      <c r="AV1220">
        <v>0</v>
      </c>
      <c r="AW1220">
        <v>0</v>
      </c>
      <c r="AX1220" s="141">
        <f>COUNTIF(V1220:AW1220,"&lt;&gt;0")</f>
        <v>4</v>
      </c>
      <c r="AY1220" s="141">
        <f>COUNTIF(V1220:AL1220,"&lt;&gt;0")</f>
        <v>2</v>
      </c>
      <c r="AZ1220">
        <f>COUNTIF(V1220:AC1220,"&lt;&gt;0")</f>
        <v>1</v>
      </c>
      <c r="BA1220">
        <f>COUNTIF(AD1220:AI1220,"&lt;&gt;0")</f>
        <v>1</v>
      </c>
      <c r="BB1220">
        <f>COUNTIF(AJ1220:AL1220,"&lt;&gt;0")</f>
        <v>0</v>
      </c>
      <c r="BC1220">
        <f>COUNTIF(AS1220:AW1220,"&lt;&gt;0")</f>
        <v>0</v>
      </c>
      <c r="BD1220">
        <f>COUNTIF(AM1220:AR1220,"&lt;&gt;0")</f>
        <v>2</v>
      </c>
      <c r="BE1220" t="str">
        <f t="array" ref="BE1220">IF(AY1220=1,INDEX($V$7:$AL$7,MATCH(TRUE,INDEX($V1220:$AW1220&lt;&gt;0,),0)),IF(AY1220=0,INDEX($AM$7:$AW$7,MATCH(1,$AM1220:$AW1220,0)),IF(BF1220="Multiple strategies","mixed drivers",IF(BF1220="Supply chain","multiple supply","multiple silviculture"))))</f>
        <v>mixed drivers</v>
      </c>
      <c r="BF1220" s="2" t="str" cm="1">
        <f t="array" ref="BF1220">IF(COUNTIF(AZ1220:BB1220,"&lt;&gt;0")=1,INDEX($V$4:$AW$4,MATCH(TRUE,INDEX($V1220:$AW1220&lt;&gt;0,),0)),IF(COUNTIF(AZ1220:BB1220,"&lt;&gt;0")=0,INDEX($AM$4:$AW$4,MATCH(1,$AM1220:$AW1220,0)),"Multiple strategies"))</f>
        <v>Multiple strategies</v>
      </c>
      <c r="BM1220" s="143"/>
      <c r="BN1220" s="143"/>
      <c r="BP1220" s="143" t="s">
        <v>232</v>
      </c>
      <c r="BQ1220" s="143"/>
      <c r="BR1220" t="s">
        <v>1195</v>
      </c>
      <c r="BS1220">
        <v>96842.271565495292</v>
      </c>
      <c r="BT1220">
        <v>-3408.5271565495204</v>
      </c>
      <c r="BU1220" s="144">
        <f>IFERROR(BT1220/BS1220,"")</f>
        <v>-3.5196687370600381E-2</v>
      </c>
      <c r="BV1220" s="144">
        <f>BT1220-BS1220</f>
        <v>-100250.79872204481</v>
      </c>
      <c r="BW1220" s="144"/>
      <c r="BX1220" s="144">
        <f>BV1220</f>
        <v>-100250.79872204481</v>
      </c>
      <c r="BY1220" t="str">
        <f>IFERROR(BX1220/BO1220,"")</f>
        <v/>
      </c>
      <c r="BZ1220">
        <v>0</v>
      </c>
      <c r="CA1220">
        <v>0</v>
      </c>
      <c r="CB1220">
        <v>0</v>
      </c>
      <c r="CC1220">
        <v>0</v>
      </c>
      <c r="CD1220">
        <v>0</v>
      </c>
      <c r="CE1220">
        <v>0</v>
      </c>
      <c r="CF1220">
        <v>0</v>
      </c>
      <c r="CG1220">
        <v>0</v>
      </c>
      <c r="CH1220">
        <v>0</v>
      </c>
      <c r="CI1220">
        <v>0</v>
      </c>
      <c r="CJ1220">
        <v>0</v>
      </c>
      <c r="CK1220">
        <v>0</v>
      </c>
      <c r="CL1220">
        <v>0</v>
      </c>
      <c r="CM1220">
        <v>1</v>
      </c>
      <c r="CN1220" t="str">
        <f>IF(BL1220&lt;BK1220,"refNeedCorrection","refOK")</f>
        <v>refOK</v>
      </c>
      <c r="CO1220"/>
      <c r="CP1220"/>
      <c r="CQ1220"/>
      <c r="CR1220">
        <f>IF($CN1220="refOK",$BS1220,$BT1220)*IF($BP1220="Emissions positive",-1,1)</f>
        <v>96842.271565495292</v>
      </c>
      <c r="CS1220">
        <f>IF($CN1220="refOK",$BT1220,$BS1220)*IF($BP1220="Emissions positive",-1,1)</f>
        <v>-3408.5271565495204</v>
      </c>
      <c r="CT1220">
        <f>IF($CN1220="refNeedCorrection",-BX1220,BX1220)*IF($BP1220="Emissions positive",-1,1)</f>
        <v>-100250.79872204481</v>
      </c>
      <c r="CU1220" t="str">
        <f>IFERROR(CT1220/CQ1220,"")</f>
        <v/>
      </c>
      <c r="CV1220" s="2">
        <f>IFERROR((CS1220-CR1220)/ABS(CR1220),"")</f>
        <v>-1.0351966873706004</v>
      </c>
      <c r="CW1220" s="1" t="s">
        <v>1199</v>
      </c>
      <c r="CX1220" t="str">
        <f>IF(OR($CW1220="prd",$CW1220="std",$CW1220="cit"),"loc",IF(OR($CW1220="eur",$CW1220="reg",$CW1220="coy"),"reg",$CW1220))</f>
        <v>reg</v>
      </c>
      <c r="CY1220" t="s">
        <v>235</v>
      </c>
      <c r="CZ1220">
        <v>2010</v>
      </c>
      <c r="DA1220">
        <v>2070</v>
      </c>
      <c r="DB1220">
        <f>DA1220-CZ1220</f>
        <v>60</v>
      </c>
      <c r="DC1220" t="str">
        <f>IF(DB1220=0,"0",IF(AND(DB1220&gt;=1,DB1220&lt;=30),"1-30",IF(AND(DB1220&gt;30,DB1220&lt;=70),"31-70",IF(AND(DB1220&gt;70,DB1220&lt;=100),"71-100",IF(DB1220&gt;100,"+100")))))</f>
        <v>31-70</v>
      </c>
      <c r="DD1220">
        <v>1</v>
      </c>
      <c r="DE1220">
        <v>0</v>
      </c>
      <c r="DF1220">
        <v>0</v>
      </c>
      <c r="DG1220">
        <v>0</v>
      </c>
      <c r="DH1220">
        <v>0</v>
      </c>
      <c r="DI1220">
        <f>SUM(DD1220:DG1220)</f>
        <v>1</v>
      </c>
      <c r="DJ1220" t="str">
        <f>IF(DI1220=1,INDEX($DD$7:$DG$7,MATCH(1,$DD1220:$DG1220,0)),"mixedProduct")</f>
        <v>UpstreamInput</v>
      </c>
      <c r="DK1220" t="str">
        <f>IF(DD1220=1,DK$7,0)</f>
        <v>Upstream</v>
      </c>
      <c r="DL1220">
        <f>IF(DE1220=1,DL$7,0)</f>
        <v>0</v>
      </c>
      <c r="DM1220">
        <f>IF(DF1220=1,DM$7,0)</f>
        <v>0</v>
      </c>
      <c r="DN1220">
        <f>IF(DG1220=1,DN$7,0)</f>
        <v>0</v>
      </c>
      <c r="DO1220">
        <v>0</v>
      </c>
      <c r="DP1220">
        <v>0</v>
      </c>
      <c r="DQ1220">
        <v>0</v>
      </c>
      <c r="DR1220">
        <v>0</v>
      </c>
      <c r="DS1220">
        <v>0</v>
      </c>
      <c r="DT1220">
        <f>SUM(DO1220:DP1220)</f>
        <v>0</v>
      </c>
      <c r="DU1220" s="143" t="str">
        <f>IF(DO1220=1,"self-calculated DF",IF(DP1220=1,"external DF used","explicit C balance"))</f>
        <v>explicit C balance</v>
      </c>
      <c r="DV1220">
        <v>1</v>
      </c>
      <c r="DW1220">
        <v>1</v>
      </c>
      <c r="DX1220">
        <v>1</v>
      </c>
      <c r="DY1220">
        <v>1</v>
      </c>
      <c r="DZ1220">
        <v>0</v>
      </c>
      <c r="EA1220" s="143">
        <v>0</v>
      </c>
      <c r="EB1220">
        <v>0</v>
      </c>
      <c r="EC1220">
        <v>0</v>
      </c>
      <c r="ED1220">
        <v>0</v>
      </c>
      <c r="EE1220">
        <v>0</v>
      </c>
      <c r="EF1220">
        <v>1</v>
      </c>
      <c r="EG1220">
        <v>0</v>
      </c>
      <c r="EH1220">
        <v>0</v>
      </c>
      <c r="EI1220" s="2">
        <v>0</v>
      </c>
      <c r="EK1220" t="str">
        <f>IF(AND(AND(AND(OR($DX1220=1,$DW1220=1),OR($EC1220=1,$EA1220=1)),SUM($DV1220:$DZ1220,$EF1220)&gt;=4),SUM($EA1220:$EE1220)&gt;=2),"Whole sector","")</f>
        <v/>
      </c>
      <c r="EL1220" t="str">
        <f>IF(AND(AND(OR($DX1220=1,$DW1220=1),AND($EC1220=0,$EA1220=0)),SUM($DV1220:$DZ1220,$EF1220)&gt;=4),"Ecosystem approach","")</f>
        <v>Ecosystem approach</v>
      </c>
      <c r="EM1220" s="2" t="str">
        <f>IF(AND(AND(AND($DX1220=0,$DW1220=0),OR($EC1220=1,$EA1220=1)),SUM($EB1220:$EE1220)&gt;=2),"Technology approach","")</f>
        <v/>
      </c>
      <c r="EP1220" t="b">
        <f>IF(ISNUMBER(BU1220),IF(ABS(BU1220-[1]QC_indicators!$B$2)&gt;3*[1]QC_indicators!$C$2,"C ratio",IF(ISNUMBER(BY1220),IF(ABS(BY1220-[1]QC_indicators!$B$1)&gt;3*[1]QC_indicators!$C$1,"DF","no"))),IF(ISNUMBER(BY1220),IF(ABS(BY1220-[1]QC_indicators!$B$1)&gt;3*[1]QC_indicators!$C$1,"DF","no")))</f>
        <v>0</v>
      </c>
      <c r="ET1220" s="264" t="s">
        <v>3273</v>
      </c>
    </row>
    <row r="1221" spans="1:150" ht="15" customHeight="1">
      <c r="A1221" s="1" t="s">
        <v>1423</v>
      </c>
      <c r="B1221" t="s">
        <v>2490</v>
      </c>
      <c r="C1221" t="s">
        <v>2491</v>
      </c>
      <c r="D1221" t="s">
        <v>2492</v>
      </c>
      <c r="E1221" t="s">
        <v>2493</v>
      </c>
      <c r="F1221" t="s">
        <v>2494</v>
      </c>
      <c r="G1221" t="s">
        <v>1429</v>
      </c>
      <c r="H1221" t="s">
        <v>254</v>
      </c>
      <c r="I1221">
        <v>2016</v>
      </c>
      <c r="J1221">
        <v>24</v>
      </c>
      <c r="K1221" t="s">
        <v>2495</v>
      </c>
      <c r="M1221" t="str">
        <f>LEFT($D1221,FIND(",",$D1221)-1)&amp;"_"&amp;I1221&amp;L1221</f>
        <v>Zubizarreta-Gerendiain_2016</v>
      </c>
      <c r="N1221" t="s">
        <v>222</v>
      </c>
      <c r="O1221" s="145" t="s">
        <v>1154</v>
      </c>
      <c r="Q1221" t="s">
        <v>256</v>
      </c>
      <c r="R1221" s="262" t="s">
        <v>223</v>
      </c>
      <c r="S1221" s="1" t="s">
        <v>2506</v>
      </c>
      <c r="T1221" t="s">
        <v>2510</v>
      </c>
      <c r="U1221" t="s">
        <v>2511</v>
      </c>
      <c r="V1221">
        <v>0</v>
      </c>
      <c r="W1221">
        <v>0</v>
      </c>
      <c r="X1221">
        <v>0</v>
      </c>
      <c r="Y1221">
        <v>2</v>
      </c>
      <c r="Z1221">
        <v>0</v>
      </c>
      <c r="AA1221">
        <v>0</v>
      </c>
      <c r="AB1221">
        <v>0</v>
      </c>
      <c r="AC1221">
        <v>0</v>
      </c>
      <c r="AD1221">
        <v>0</v>
      </c>
      <c r="AE1221">
        <v>0</v>
      </c>
      <c r="AF1221">
        <v>1</v>
      </c>
      <c r="AG1221">
        <v>0</v>
      </c>
      <c r="AH1221">
        <v>0</v>
      </c>
      <c r="AI1221">
        <v>0</v>
      </c>
      <c r="AJ1221">
        <v>0</v>
      </c>
      <c r="AK1221">
        <v>0</v>
      </c>
      <c r="AL1221">
        <v>0</v>
      </c>
      <c r="AM1221">
        <v>0</v>
      </c>
      <c r="AN1221">
        <v>2</v>
      </c>
      <c r="AO1221">
        <v>2</v>
      </c>
      <c r="AP1221">
        <v>0</v>
      </c>
      <c r="AQ1221">
        <v>0</v>
      </c>
      <c r="AR1221">
        <v>0</v>
      </c>
      <c r="AS1221">
        <v>0</v>
      </c>
      <c r="AT1221">
        <v>0</v>
      </c>
      <c r="AU1221">
        <v>0</v>
      </c>
      <c r="AV1221">
        <v>0</v>
      </c>
      <c r="AW1221">
        <v>0</v>
      </c>
      <c r="AX1221" s="141">
        <f>COUNTIF(V1221:AW1221,"&lt;&gt;0")</f>
        <v>4</v>
      </c>
      <c r="AY1221" s="141">
        <f>COUNTIF(V1221:AL1221,"&lt;&gt;0")</f>
        <v>2</v>
      </c>
      <c r="AZ1221">
        <f>COUNTIF(V1221:AC1221,"&lt;&gt;0")</f>
        <v>1</v>
      </c>
      <c r="BA1221">
        <f>COUNTIF(AD1221:AI1221,"&lt;&gt;0")</f>
        <v>1</v>
      </c>
      <c r="BB1221">
        <f>COUNTIF(AJ1221:AL1221,"&lt;&gt;0")</f>
        <v>0</v>
      </c>
      <c r="BC1221">
        <f>COUNTIF(AS1221:AW1221,"&lt;&gt;0")</f>
        <v>0</v>
      </c>
      <c r="BD1221">
        <f>COUNTIF(AM1221:AR1221,"&lt;&gt;0")</f>
        <v>2</v>
      </c>
      <c r="BE1221" t="str">
        <f t="array" ref="BE1221">IF(AY1221=1,INDEX($V$7:$AL$7,MATCH(TRUE,INDEX($V1221:$AW1221&lt;&gt;0,),0)),IF(AY1221=0,INDEX($AM$7:$AW$7,MATCH(1,$AM1221:$AW1221,0)),IF(BF1221="Multiple strategies","mixed drivers",IF(BF1221="Supply chain","multiple supply","multiple silviculture"))))</f>
        <v>mixed drivers</v>
      </c>
      <c r="BF1221" s="2" t="str" cm="1">
        <f t="array" ref="BF1221">IF(COUNTIF(AZ1221:BB1221,"&lt;&gt;0")=1,INDEX($V$4:$AW$4,MATCH(TRUE,INDEX($V1221:$AW1221&lt;&gt;0,),0)),IF(COUNTIF(AZ1221:BB1221,"&lt;&gt;0")=0,INDEX($AM$4:$AW$4,MATCH(1,$AM1221:$AW1221,0)),"Multiple strategies"))</f>
        <v>Multiple strategies</v>
      </c>
      <c r="BM1221" s="143"/>
      <c r="BN1221" s="143"/>
      <c r="BP1221" s="143" t="s">
        <v>232</v>
      </c>
      <c r="BQ1221" s="143"/>
      <c r="BR1221" t="s">
        <v>1195</v>
      </c>
      <c r="BS1221">
        <v>121904.97124600642</v>
      </c>
      <c r="BT1221">
        <v>-3408.5271565495204</v>
      </c>
      <c r="BU1221" s="144">
        <f>IFERROR(BT1221/BS1221,"")</f>
        <v>-2.7960526315789463E-2</v>
      </c>
      <c r="BV1221" s="144">
        <f>BT1221-BS1221</f>
        <v>-125313.49840255594</v>
      </c>
      <c r="BW1221" s="144"/>
      <c r="BX1221" s="144">
        <f>BV1221</f>
        <v>-125313.49840255594</v>
      </c>
      <c r="BY1221" t="str">
        <f>IFERROR(BX1221/BO1221,"")</f>
        <v/>
      </c>
      <c r="BZ1221">
        <v>0</v>
      </c>
      <c r="CA1221">
        <v>0</v>
      </c>
      <c r="CB1221">
        <v>0</v>
      </c>
      <c r="CC1221">
        <v>0</v>
      </c>
      <c r="CD1221">
        <v>0</v>
      </c>
      <c r="CE1221">
        <v>0</v>
      </c>
      <c r="CF1221">
        <v>0</v>
      </c>
      <c r="CG1221">
        <v>0</v>
      </c>
      <c r="CH1221">
        <v>0</v>
      </c>
      <c r="CI1221">
        <v>0</v>
      </c>
      <c r="CJ1221">
        <v>0</v>
      </c>
      <c r="CK1221">
        <v>0</v>
      </c>
      <c r="CL1221">
        <v>0</v>
      </c>
      <c r="CM1221">
        <v>1</v>
      </c>
      <c r="CN1221" t="str">
        <f>IF(BL1221&lt;BK1221,"refNeedCorrection","refOK")</f>
        <v>refOK</v>
      </c>
      <c r="CO1221"/>
      <c r="CP1221"/>
      <c r="CQ1221"/>
      <c r="CR1221">
        <f>IF($CN1221="refOK",$BS1221,$BT1221)*IF($BP1221="Emissions positive",-1,1)</f>
        <v>121904.97124600642</v>
      </c>
      <c r="CS1221">
        <f>IF($CN1221="refOK",$BT1221,$BS1221)*IF($BP1221="Emissions positive",-1,1)</f>
        <v>-3408.5271565495204</v>
      </c>
      <c r="CT1221">
        <f>IF($CN1221="refNeedCorrection",-BX1221,BX1221)*IF($BP1221="Emissions positive",-1,1)</f>
        <v>-125313.49840255594</v>
      </c>
      <c r="CU1221" t="str">
        <f>IFERROR(CT1221/CQ1221,"")</f>
        <v/>
      </c>
      <c r="CV1221" s="2">
        <f>IFERROR((CS1221-CR1221)/ABS(CR1221),"")</f>
        <v>-1.0279605263157894</v>
      </c>
      <c r="CW1221" s="1" t="s">
        <v>1199</v>
      </c>
      <c r="CX1221" t="str">
        <f>IF(OR($CW1221="prd",$CW1221="std",$CW1221="cit"),"loc",IF(OR($CW1221="eur",$CW1221="reg",$CW1221="coy"),"reg",$CW1221))</f>
        <v>reg</v>
      </c>
      <c r="CY1221" t="s">
        <v>235</v>
      </c>
      <c r="CZ1221">
        <v>2010</v>
      </c>
      <c r="DA1221">
        <v>2070</v>
      </c>
      <c r="DB1221">
        <f>DA1221-CZ1221</f>
        <v>60</v>
      </c>
      <c r="DC1221" t="str">
        <f>IF(DB1221=0,"0",IF(AND(DB1221&gt;=1,DB1221&lt;=30),"1-30",IF(AND(DB1221&gt;30,DB1221&lt;=70),"31-70",IF(AND(DB1221&gt;70,DB1221&lt;=100),"71-100",IF(DB1221&gt;100,"+100")))))</f>
        <v>31-70</v>
      </c>
      <c r="DD1221">
        <v>1</v>
      </c>
      <c r="DE1221">
        <v>0</v>
      </c>
      <c r="DF1221">
        <v>0</v>
      </c>
      <c r="DG1221">
        <v>0</v>
      </c>
      <c r="DH1221">
        <v>0</v>
      </c>
      <c r="DI1221">
        <f>SUM(DD1221:DG1221)</f>
        <v>1</v>
      </c>
      <c r="DJ1221" t="str">
        <f>IF(DI1221=1,INDEX($DD$7:$DG$7,MATCH(1,$DD1221:$DG1221,0)),"mixedProduct")</f>
        <v>UpstreamInput</v>
      </c>
      <c r="DK1221" t="str">
        <f>IF(DD1221=1,DK$7,0)</f>
        <v>Upstream</v>
      </c>
      <c r="DL1221">
        <f>IF(DE1221=1,DL$7,0)</f>
        <v>0</v>
      </c>
      <c r="DM1221">
        <f>IF(DF1221=1,DM$7,0)</f>
        <v>0</v>
      </c>
      <c r="DN1221">
        <f>IF(DG1221=1,DN$7,0)</f>
        <v>0</v>
      </c>
      <c r="DO1221">
        <v>0</v>
      </c>
      <c r="DP1221">
        <v>0</v>
      </c>
      <c r="DQ1221">
        <v>0</v>
      </c>
      <c r="DR1221">
        <v>0</v>
      </c>
      <c r="DS1221">
        <v>0</v>
      </c>
      <c r="DT1221">
        <f>SUM(DO1221:DP1221)</f>
        <v>0</v>
      </c>
      <c r="DU1221" s="143" t="str">
        <f>IF(DO1221=1,"self-calculated DF",IF(DP1221=1,"external DF used","explicit C balance"))</f>
        <v>explicit C balance</v>
      </c>
      <c r="DV1221">
        <v>1</v>
      </c>
      <c r="DW1221">
        <v>1</v>
      </c>
      <c r="DX1221">
        <v>1</v>
      </c>
      <c r="DY1221">
        <v>1</v>
      </c>
      <c r="DZ1221">
        <v>0</v>
      </c>
      <c r="EA1221" s="143">
        <v>0</v>
      </c>
      <c r="EB1221">
        <v>0</v>
      </c>
      <c r="EC1221">
        <v>0</v>
      </c>
      <c r="ED1221">
        <v>0</v>
      </c>
      <c r="EE1221">
        <v>0</v>
      </c>
      <c r="EF1221">
        <v>1</v>
      </c>
      <c r="EG1221">
        <v>0</v>
      </c>
      <c r="EH1221">
        <v>0</v>
      </c>
      <c r="EI1221" s="2">
        <v>0</v>
      </c>
      <c r="EK1221" t="str">
        <f>IF(AND(AND(AND(OR($DX1221=1,$DW1221=1),OR($EC1221=1,$EA1221=1)),SUM($DV1221:$DZ1221,$EF1221)&gt;=4),SUM($EA1221:$EE1221)&gt;=2),"Whole sector","")</f>
        <v/>
      </c>
      <c r="EL1221" t="str">
        <f>IF(AND(AND(OR($DX1221=1,$DW1221=1),AND($EC1221=0,$EA1221=0)),SUM($DV1221:$DZ1221,$EF1221)&gt;=4),"Ecosystem approach","")</f>
        <v>Ecosystem approach</v>
      </c>
      <c r="EM1221" s="2" t="str">
        <f>IF(AND(AND(AND($DX1221=0,$DW1221=0),OR($EC1221=1,$EA1221=1)),SUM($EB1221:$EE1221)&gt;=2),"Technology approach","")</f>
        <v/>
      </c>
      <c r="EN1221" t="s">
        <v>2508</v>
      </c>
      <c r="EP1221" t="b">
        <f>IF(ISNUMBER(BU1221),IF(ABS(BU1221-[1]QC_indicators!$B$2)&gt;3*[1]QC_indicators!$C$2,"C ratio",IF(ISNUMBER(BY1221),IF(ABS(BY1221-[1]QC_indicators!$B$1)&gt;3*[1]QC_indicators!$C$1,"DF","no"))),IF(ISNUMBER(BY1221),IF(ABS(BY1221-[1]QC_indicators!$B$1)&gt;3*[1]QC_indicators!$C$1,"DF","no")))</f>
        <v>0</v>
      </c>
      <c r="ET1221" s="264" t="s">
        <v>3273</v>
      </c>
    </row>
    <row r="1222" spans="1:150" ht="15" customHeight="1">
      <c r="A1222" s="1" t="s">
        <v>1423</v>
      </c>
      <c r="B1222" t="s">
        <v>2490</v>
      </c>
      <c r="C1222" t="s">
        <v>2491</v>
      </c>
      <c r="D1222" t="s">
        <v>2492</v>
      </c>
      <c r="E1222" t="s">
        <v>2493</v>
      </c>
      <c r="F1222" t="s">
        <v>2494</v>
      </c>
      <c r="G1222" t="s">
        <v>1429</v>
      </c>
      <c r="H1222" t="s">
        <v>254</v>
      </c>
      <c r="I1222">
        <v>2016</v>
      </c>
      <c r="J1222">
        <v>24</v>
      </c>
      <c r="K1222" t="s">
        <v>2495</v>
      </c>
      <c r="M1222" t="str">
        <f>LEFT($D1222,FIND(",",$D1222)-1)&amp;"_"&amp;I1222&amp;L1222</f>
        <v>Zubizarreta-Gerendiain_2016</v>
      </c>
      <c r="N1222" t="s">
        <v>222</v>
      </c>
      <c r="O1222" s="145" t="s">
        <v>1154</v>
      </c>
      <c r="Q1222" t="s">
        <v>256</v>
      </c>
      <c r="R1222" s="262" t="s">
        <v>223</v>
      </c>
      <c r="S1222" s="1" t="s">
        <v>2496</v>
      </c>
      <c r="T1222" t="s">
        <v>2513</v>
      </c>
      <c r="U1222" t="s">
        <v>2511</v>
      </c>
      <c r="V1222">
        <v>0</v>
      </c>
      <c r="W1222">
        <v>0</v>
      </c>
      <c r="X1222">
        <v>0</v>
      </c>
      <c r="Y1222">
        <v>2</v>
      </c>
      <c r="Z1222">
        <v>0</v>
      </c>
      <c r="AA1222">
        <v>0</v>
      </c>
      <c r="AB1222">
        <v>0</v>
      </c>
      <c r="AC1222">
        <v>0</v>
      </c>
      <c r="AD1222">
        <v>0</v>
      </c>
      <c r="AE1222">
        <v>0</v>
      </c>
      <c r="AF1222">
        <v>1</v>
      </c>
      <c r="AG1222">
        <v>0</v>
      </c>
      <c r="AH1222">
        <v>0</v>
      </c>
      <c r="AI1222">
        <v>0</v>
      </c>
      <c r="AJ1222">
        <v>0</v>
      </c>
      <c r="AK1222">
        <v>0</v>
      </c>
      <c r="AL1222">
        <v>0</v>
      </c>
      <c r="AM1222">
        <v>0</v>
      </c>
      <c r="AN1222">
        <v>2</v>
      </c>
      <c r="AO1222">
        <v>2</v>
      </c>
      <c r="AP1222">
        <v>0</v>
      </c>
      <c r="AQ1222">
        <v>0</v>
      </c>
      <c r="AR1222">
        <v>0</v>
      </c>
      <c r="AS1222">
        <v>0</v>
      </c>
      <c r="AT1222">
        <v>0</v>
      </c>
      <c r="AU1222">
        <v>0</v>
      </c>
      <c r="AV1222">
        <v>0</v>
      </c>
      <c r="AW1222">
        <v>0</v>
      </c>
      <c r="AX1222" s="141">
        <f>COUNTIF(V1222:AW1222,"&lt;&gt;0")</f>
        <v>4</v>
      </c>
      <c r="AY1222" s="141">
        <f>COUNTIF(V1222:AL1222,"&lt;&gt;0")</f>
        <v>2</v>
      </c>
      <c r="AZ1222">
        <f>COUNTIF(V1222:AC1222,"&lt;&gt;0")</f>
        <v>1</v>
      </c>
      <c r="BA1222">
        <f>COUNTIF(AD1222:AI1222,"&lt;&gt;0")</f>
        <v>1</v>
      </c>
      <c r="BB1222">
        <f>COUNTIF(AJ1222:AL1222,"&lt;&gt;0")</f>
        <v>0</v>
      </c>
      <c r="BC1222">
        <f>COUNTIF(AS1222:AW1222,"&lt;&gt;0")</f>
        <v>0</v>
      </c>
      <c r="BD1222">
        <f>COUNTIF(AM1222:AR1222,"&lt;&gt;0")</f>
        <v>2</v>
      </c>
      <c r="BE1222" t="str">
        <f t="array" ref="BE1222">IF(AY1222=1,INDEX($V$7:$AL$7,MATCH(TRUE,INDEX($V1222:$AW1222&lt;&gt;0,),0)),IF(AY1222=0,INDEX($AM$7:$AW$7,MATCH(1,$AM1222:$AW1222,0)),IF(BF1222="Multiple strategies","mixed drivers",IF(BF1222="Supply chain","multiple supply","multiple silviculture"))))</f>
        <v>mixed drivers</v>
      </c>
      <c r="BF1222" s="2" t="str" cm="1">
        <f t="array" ref="BF1222">IF(COUNTIF(AZ1222:BB1222,"&lt;&gt;0")=1,INDEX($V$4:$AW$4,MATCH(TRUE,INDEX($V1222:$AW1222&lt;&gt;0,),0)),IF(COUNTIF(AZ1222:BB1222,"&lt;&gt;0")=0,INDEX($AM$4:$AW$4,MATCH(1,$AM1222:$AW1222,0)),"Multiple strategies"))</f>
        <v>Multiple strategies</v>
      </c>
      <c r="BM1222" s="143"/>
      <c r="BN1222" s="143"/>
      <c r="BP1222" s="143" t="s">
        <v>232</v>
      </c>
      <c r="BQ1222" s="143"/>
      <c r="BR1222" t="s">
        <v>1195</v>
      </c>
      <c r="BS1222">
        <v>65764.523961661384</v>
      </c>
      <c r="BT1222">
        <v>-3408.5271565495204</v>
      </c>
      <c r="BU1222" s="144">
        <f>IFERROR(BT1222/BS1222,"")</f>
        <v>-5.182926829268289E-2</v>
      </c>
      <c r="BV1222" s="144">
        <f>BT1222-BS1222</f>
        <v>-69173.051118210904</v>
      </c>
      <c r="BW1222" s="144"/>
      <c r="BX1222" s="144">
        <f>BV1222</f>
        <v>-69173.051118210904</v>
      </c>
      <c r="BY1222" t="str">
        <f>IFERROR(BX1222/BO1222,"")</f>
        <v/>
      </c>
      <c r="BZ1222">
        <v>0</v>
      </c>
      <c r="CA1222">
        <v>0</v>
      </c>
      <c r="CB1222">
        <v>0</v>
      </c>
      <c r="CC1222">
        <v>0</v>
      </c>
      <c r="CD1222">
        <v>0</v>
      </c>
      <c r="CE1222">
        <v>0</v>
      </c>
      <c r="CF1222">
        <v>0</v>
      </c>
      <c r="CG1222">
        <v>0</v>
      </c>
      <c r="CH1222">
        <v>0</v>
      </c>
      <c r="CI1222">
        <v>0</v>
      </c>
      <c r="CJ1222">
        <v>0</v>
      </c>
      <c r="CK1222">
        <v>0</v>
      </c>
      <c r="CL1222">
        <v>0</v>
      </c>
      <c r="CM1222">
        <v>1</v>
      </c>
      <c r="CN1222" t="str">
        <f>IF(BL1222&lt;BK1222,"refNeedCorrection","refOK")</f>
        <v>refOK</v>
      </c>
      <c r="CO1222"/>
      <c r="CP1222"/>
      <c r="CQ1222"/>
      <c r="CR1222">
        <f>IF($CN1222="refOK",$BS1222,$BT1222)*IF($BP1222="Emissions positive",-1,1)</f>
        <v>65764.523961661384</v>
      </c>
      <c r="CS1222">
        <f>IF($CN1222="refOK",$BT1222,$BS1222)*IF($BP1222="Emissions positive",-1,1)</f>
        <v>-3408.5271565495204</v>
      </c>
      <c r="CT1222">
        <f>IF($CN1222="refNeedCorrection",-BX1222,BX1222)*IF($BP1222="Emissions positive",-1,1)</f>
        <v>-69173.051118210904</v>
      </c>
      <c r="CU1222" t="str">
        <f>IFERROR(CT1222/CQ1222,"")</f>
        <v/>
      </c>
      <c r="CV1222" s="2">
        <f>IFERROR((CS1222-CR1222)/ABS(CR1222),"")</f>
        <v>-1.0518292682926829</v>
      </c>
      <c r="CW1222" s="1" t="s">
        <v>1199</v>
      </c>
      <c r="CX1222" t="str">
        <f>IF(OR($CW1222="prd",$CW1222="std",$CW1222="cit"),"loc",IF(OR($CW1222="eur",$CW1222="reg",$CW1222="coy"),"reg",$CW1222))</f>
        <v>reg</v>
      </c>
      <c r="CY1222" t="s">
        <v>235</v>
      </c>
      <c r="CZ1222">
        <v>2010</v>
      </c>
      <c r="DA1222">
        <v>2070</v>
      </c>
      <c r="DB1222">
        <f>DA1222-CZ1222</f>
        <v>60</v>
      </c>
      <c r="DC1222" t="str">
        <f>IF(DB1222=0,"0",IF(AND(DB1222&gt;=1,DB1222&lt;=30),"1-30",IF(AND(DB1222&gt;30,DB1222&lt;=70),"31-70",IF(AND(DB1222&gt;70,DB1222&lt;=100),"71-100",IF(DB1222&gt;100,"+100")))))</f>
        <v>31-70</v>
      </c>
      <c r="DD1222">
        <v>1</v>
      </c>
      <c r="DE1222">
        <v>0</v>
      </c>
      <c r="DF1222">
        <v>0</v>
      </c>
      <c r="DG1222">
        <v>0</v>
      </c>
      <c r="DH1222">
        <v>0</v>
      </c>
      <c r="DI1222">
        <f>SUM(DD1222:DG1222)</f>
        <v>1</v>
      </c>
      <c r="DJ1222" t="str">
        <f>IF(DI1222=1,INDEX($DD$7:$DG$7,MATCH(1,$DD1222:$DG1222,0)),"mixedProduct")</f>
        <v>UpstreamInput</v>
      </c>
      <c r="DK1222" t="str">
        <f>IF(DD1222=1,DK$7,0)</f>
        <v>Upstream</v>
      </c>
      <c r="DL1222">
        <f>IF(DE1222=1,DL$7,0)</f>
        <v>0</v>
      </c>
      <c r="DM1222">
        <f>IF(DF1222=1,DM$7,0)</f>
        <v>0</v>
      </c>
      <c r="DN1222">
        <f>IF(DG1222=1,DN$7,0)</f>
        <v>0</v>
      </c>
      <c r="DO1222">
        <v>0</v>
      </c>
      <c r="DP1222">
        <v>0</v>
      </c>
      <c r="DQ1222">
        <v>0</v>
      </c>
      <c r="DR1222">
        <v>0</v>
      </c>
      <c r="DS1222">
        <v>0</v>
      </c>
      <c r="DT1222">
        <f>SUM(DO1222:DP1222)</f>
        <v>0</v>
      </c>
      <c r="DU1222" s="143" t="str">
        <f>IF(DO1222=1,"self-calculated DF",IF(DP1222=1,"external DF used","explicit C balance"))</f>
        <v>explicit C balance</v>
      </c>
      <c r="DV1222">
        <v>1</v>
      </c>
      <c r="DW1222">
        <v>1</v>
      </c>
      <c r="DX1222">
        <v>1</v>
      </c>
      <c r="DY1222">
        <v>1</v>
      </c>
      <c r="DZ1222">
        <v>0</v>
      </c>
      <c r="EA1222" s="143">
        <v>0</v>
      </c>
      <c r="EB1222">
        <v>0</v>
      </c>
      <c r="EC1222">
        <v>0</v>
      </c>
      <c r="ED1222">
        <v>0</v>
      </c>
      <c r="EE1222">
        <v>0</v>
      </c>
      <c r="EF1222">
        <v>1</v>
      </c>
      <c r="EG1222">
        <v>0</v>
      </c>
      <c r="EH1222">
        <v>0</v>
      </c>
      <c r="EI1222" s="2">
        <v>0</v>
      </c>
      <c r="EK1222" t="str">
        <f>IF(AND(AND(AND(OR($DX1222=1,$DW1222=1),OR($EC1222=1,$EA1222=1)),SUM($DV1222:$DZ1222,$EF1222)&gt;=4),SUM($EA1222:$EE1222)&gt;=2),"Whole sector","")</f>
        <v/>
      </c>
      <c r="EL1222" t="str">
        <f>IF(AND(AND(OR($DX1222=1,$DW1222=1),AND($EC1222=0,$EA1222=0)),SUM($DV1222:$DZ1222,$EF1222)&gt;=4),"Ecosystem approach","")</f>
        <v>Ecosystem approach</v>
      </c>
      <c r="EM1222" s="2" t="str">
        <f>IF(AND(AND(AND($DX1222=0,$DW1222=0),OR($EC1222=1,$EA1222=1)),SUM($EB1222:$EE1222)&gt;=2),"Technology approach","")</f>
        <v/>
      </c>
      <c r="EP1222" t="b">
        <f>IF(ISNUMBER(BU1222),IF(ABS(BU1222-[1]QC_indicators!$B$2)&gt;3*[1]QC_indicators!$C$2,"C ratio",IF(ISNUMBER(BY1222),IF(ABS(BY1222-[1]QC_indicators!$B$1)&gt;3*[1]QC_indicators!$C$1,"DF","no"))),IF(ISNUMBER(BY1222),IF(ABS(BY1222-[1]QC_indicators!$B$1)&gt;3*[1]QC_indicators!$C$1,"DF","no")))</f>
        <v>0</v>
      </c>
      <c r="ET1222" s="264" t="s">
        <v>3273</v>
      </c>
    </row>
    <row r="1223" spans="1:150" ht="15" customHeight="1">
      <c r="A1223" s="1" t="s">
        <v>1423</v>
      </c>
      <c r="B1223" t="s">
        <v>2490</v>
      </c>
      <c r="C1223" t="s">
        <v>2491</v>
      </c>
      <c r="D1223" t="s">
        <v>2492</v>
      </c>
      <c r="E1223" t="s">
        <v>2493</v>
      </c>
      <c r="F1223" t="s">
        <v>2494</v>
      </c>
      <c r="G1223" t="s">
        <v>1429</v>
      </c>
      <c r="H1223" t="s">
        <v>254</v>
      </c>
      <c r="I1223">
        <v>2016</v>
      </c>
      <c r="J1223">
        <v>24</v>
      </c>
      <c r="K1223" t="s">
        <v>2495</v>
      </c>
      <c r="M1223" t="str">
        <f>LEFT($D1223,FIND(",",$D1223)-1)&amp;"_"&amp;I1223&amp;L1223</f>
        <v>Zubizarreta-Gerendiain_2016</v>
      </c>
      <c r="N1223" t="s">
        <v>222</v>
      </c>
      <c r="O1223" s="145" t="s">
        <v>1154</v>
      </c>
      <c r="Q1223" t="s">
        <v>256</v>
      </c>
      <c r="R1223" s="262" t="s">
        <v>223</v>
      </c>
      <c r="S1223" s="1" t="s">
        <v>2496</v>
      </c>
      <c r="T1223" t="s">
        <v>2516</v>
      </c>
      <c r="U1223" t="s">
        <v>2515</v>
      </c>
      <c r="V1223">
        <v>0</v>
      </c>
      <c r="W1223">
        <v>0</v>
      </c>
      <c r="X1223">
        <v>0</v>
      </c>
      <c r="Y1223">
        <v>2</v>
      </c>
      <c r="Z1223">
        <v>0</v>
      </c>
      <c r="AA1223">
        <v>0</v>
      </c>
      <c r="AB1223">
        <v>0</v>
      </c>
      <c r="AC1223">
        <v>0</v>
      </c>
      <c r="AD1223">
        <v>0</v>
      </c>
      <c r="AE1223">
        <v>0</v>
      </c>
      <c r="AF1223">
        <v>1</v>
      </c>
      <c r="AG1223">
        <v>0</v>
      </c>
      <c r="AH1223">
        <v>0</v>
      </c>
      <c r="AI1223">
        <v>0</v>
      </c>
      <c r="AJ1223">
        <v>0</v>
      </c>
      <c r="AK1223">
        <v>0</v>
      </c>
      <c r="AL1223">
        <v>0</v>
      </c>
      <c r="AM1223">
        <v>0</v>
      </c>
      <c r="AN1223">
        <v>2</v>
      </c>
      <c r="AO1223">
        <v>2</v>
      </c>
      <c r="AP1223">
        <v>0</v>
      </c>
      <c r="AQ1223">
        <v>0</v>
      </c>
      <c r="AR1223">
        <v>0</v>
      </c>
      <c r="AS1223">
        <v>0</v>
      </c>
      <c r="AT1223">
        <v>0</v>
      </c>
      <c r="AU1223">
        <v>0</v>
      </c>
      <c r="AV1223">
        <v>0</v>
      </c>
      <c r="AW1223">
        <v>0</v>
      </c>
      <c r="AX1223" s="141">
        <f>COUNTIF(V1223:AW1223,"&lt;&gt;0")</f>
        <v>4</v>
      </c>
      <c r="AY1223" s="141">
        <f>COUNTIF(V1223:AL1223,"&lt;&gt;0")</f>
        <v>2</v>
      </c>
      <c r="AZ1223">
        <f>COUNTIF(V1223:AC1223,"&lt;&gt;0")</f>
        <v>1</v>
      </c>
      <c r="BA1223">
        <f>COUNTIF(AD1223:AI1223,"&lt;&gt;0")</f>
        <v>1</v>
      </c>
      <c r="BB1223">
        <f>COUNTIF(AJ1223:AL1223,"&lt;&gt;0")</f>
        <v>0</v>
      </c>
      <c r="BC1223">
        <f>COUNTIF(AS1223:AW1223,"&lt;&gt;0")</f>
        <v>0</v>
      </c>
      <c r="BD1223">
        <f>COUNTIF(AM1223:AR1223,"&lt;&gt;0")</f>
        <v>2</v>
      </c>
      <c r="BE1223" t="str">
        <f t="array" ref="BE1223">IF(AY1223=1,INDEX($V$7:$AL$7,MATCH(TRUE,INDEX($V1223:$AW1223&lt;&gt;0,),0)),IF(AY1223=0,INDEX($AM$7:$AW$7,MATCH(1,$AM1223:$AW1223,0)),IF(BF1223="Multiple strategies","mixed drivers",IF(BF1223="Supply chain","multiple supply","multiple silviculture"))))</f>
        <v>mixed drivers</v>
      </c>
      <c r="BF1223" s="2" t="str" cm="1">
        <f t="array" ref="BF1223">IF(COUNTIF(AZ1223:BB1223,"&lt;&gt;0")=1,INDEX($V$4:$AW$4,MATCH(TRUE,INDEX($V1223:$AW1223&lt;&gt;0,),0)),IF(COUNTIF(AZ1223:BB1223,"&lt;&gt;0")=0,INDEX($AM$4:$AW$4,MATCH(1,$AM1223:$AW1223,0)),"Multiple strategies"))</f>
        <v>Multiple strategies</v>
      </c>
      <c r="BM1223" s="143"/>
      <c r="BN1223" s="143"/>
      <c r="BP1223" s="143" t="s">
        <v>232</v>
      </c>
      <c r="BQ1223" s="143"/>
      <c r="BR1223" t="s">
        <v>1195</v>
      </c>
      <c r="BS1223">
        <v>83064.176145251418</v>
      </c>
      <c r="BT1223">
        <v>-35451.70793296078</v>
      </c>
      <c r="BU1223" s="144">
        <f>IFERROR(BT1223/BS1223,"")</f>
        <v>-0.42679900744416727</v>
      </c>
      <c r="BV1223" s="144">
        <f>BT1223-BS1223</f>
        <v>-118515.8840782122</v>
      </c>
      <c r="BW1223" s="144"/>
      <c r="BX1223" s="144">
        <f>BV1223</f>
        <v>-118515.8840782122</v>
      </c>
      <c r="BY1223" t="str">
        <f>IFERROR(BX1223/BO1223,"")</f>
        <v/>
      </c>
      <c r="BZ1223">
        <v>0</v>
      </c>
      <c r="CA1223">
        <v>0</v>
      </c>
      <c r="CB1223">
        <v>0</v>
      </c>
      <c r="CC1223">
        <v>0</v>
      </c>
      <c r="CD1223">
        <v>0</v>
      </c>
      <c r="CE1223">
        <v>0</v>
      </c>
      <c r="CF1223">
        <v>0</v>
      </c>
      <c r="CG1223">
        <v>0</v>
      </c>
      <c r="CH1223">
        <v>0</v>
      </c>
      <c r="CI1223">
        <v>0</v>
      </c>
      <c r="CJ1223">
        <v>0</v>
      </c>
      <c r="CK1223">
        <v>0</v>
      </c>
      <c r="CL1223">
        <v>0</v>
      </c>
      <c r="CM1223">
        <v>1</v>
      </c>
      <c r="CN1223" t="str">
        <f>IF(BL1223&lt;BK1223,"refNeedCorrection","refOK")</f>
        <v>refOK</v>
      </c>
      <c r="CO1223"/>
      <c r="CP1223"/>
      <c r="CQ1223"/>
      <c r="CR1223">
        <f>IF($CN1223="refOK",$BS1223,$BT1223)*IF($BP1223="Emissions positive",-1,1)</f>
        <v>83064.176145251418</v>
      </c>
      <c r="CS1223">
        <f>IF($CN1223="refOK",$BT1223,$BS1223)*IF($BP1223="Emissions positive",-1,1)</f>
        <v>-35451.70793296078</v>
      </c>
      <c r="CT1223">
        <f>IF($CN1223="refNeedCorrection",-BX1223,BX1223)*IF($BP1223="Emissions positive",-1,1)</f>
        <v>-118515.8840782122</v>
      </c>
      <c r="CU1223" t="str">
        <f>IFERROR(CT1223/CQ1223,"")</f>
        <v/>
      </c>
      <c r="CV1223" s="2">
        <f>IFERROR((CS1223-CR1223)/ABS(CR1223),"")</f>
        <v>-1.4267990074441672</v>
      </c>
      <c r="CW1223" s="1" t="s">
        <v>1199</v>
      </c>
      <c r="CX1223" t="str">
        <f>IF(OR($CW1223="prd",$CW1223="std",$CW1223="cit"),"loc",IF(OR($CW1223="eur",$CW1223="reg",$CW1223="coy"),"reg",$CW1223))</f>
        <v>reg</v>
      </c>
      <c r="CY1223" t="s">
        <v>235</v>
      </c>
      <c r="CZ1223">
        <v>2010</v>
      </c>
      <c r="DA1223">
        <v>2070</v>
      </c>
      <c r="DB1223">
        <f>DA1223-CZ1223</f>
        <v>60</v>
      </c>
      <c r="DC1223" t="str">
        <f>IF(DB1223=0,"0",IF(AND(DB1223&gt;=1,DB1223&lt;=30),"1-30",IF(AND(DB1223&gt;30,DB1223&lt;=70),"31-70",IF(AND(DB1223&gt;70,DB1223&lt;=100),"71-100",IF(DB1223&gt;100,"+100")))))</f>
        <v>31-70</v>
      </c>
      <c r="DD1223">
        <v>1</v>
      </c>
      <c r="DE1223">
        <v>0</v>
      </c>
      <c r="DF1223">
        <v>0</v>
      </c>
      <c r="DG1223">
        <v>0</v>
      </c>
      <c r="DH1223">
        <v>0</v>
      </c>
      <c r="DI1223">
        <f>SUM(DD1223:DG1223)</f>
        <v>1</v>
      </c>
      <c r="DJ1223" t="str">
        <f>IF(DI1223=1,INDEX($DD$7:$DG$7,MATCH(1,$DD1223:$DG1223,0)),"mixedProduct")</f>
        <v>UpstreamInput</v>
      </c>
      <c r="DK1223" t="str">
        <f>IF(DD1223=1,DK$7,0)</f>
        <v>Upstream</v>
      </c>
      <c r="DL1223">
        <f>IF(DE1223=1,DL$7,0)</f>
        <v>0</v>
      </c>
      <c r="DM1223">
        <f>IF(DF1223=1,DM$7,0)</f>
        <v>0</v>
      </c>
      <c r="DN1223">
        <f>IF(DG1223=1,DN$7,0)</f>
        <v>0</v>
      </c>
      <c r="DO1223">
        <v>0</v>
      </c>
      <c r="DP1223">
        <v>0</v>
      </c>
      <c r="DQ1223">
        <v>0</v>
      </c>
      <c r="DR1223">
        <v>0</v>
      </c>
      <c r="DS1223">
        <v>0</v>
      </c>
      <c r="DT1223">
        <f>SUM(DO1223:DP1223)</f>
        <v>0</v>
      </c>
      <c r="DU1223" s="143" t="str">
        <f>IF(DO1223=1,"self-calculated DF",IF(DP1223=1,"external DF used","explicit C balance"))</f>
        <v>explicit C balance</v>
      </c>
      <c r="DV1223">
        <v>1</v>
      </c>
      <c r="DW1223">
        <v>1</v>
      </c>
      <c r="DX1223">
        <v>1</v>
      </c>
      <c r="DY1223">
        <v>1</v>
      </c>
      <c r="DZ1223">
        <v>0</v>
      </c>
      <c r="EA1223" s="143">
        <v>0</v>
      </c>
      <c r="EB1223">
        <v>0</v>
      </c>
      <c r="EC1223">
        <v>0</v>
      </c>
      <c r="ED1223">
        <v>0</v>
      </c>
      <c r="EE1223">
        <v>0</v>
      </c>
      <c r="EF1223">
        <v>1</v>
      </c>
      <c r="EG1223">
        <v>0</v>
      </c>
      <c r="EH1223">
        <v>0</v>
      </c>
      <c r="EI1223" s="2">
        <v>0</v>
      </c>
      <c r="EK1223" t="str">
        <f>IF(AND(AND(AND(OR($DX1223=1,$DW1223=1),OR($EC1223=1,$EA1223=1)),SUM($DV1223:$DZ1223,$EF1223)&gt;=4),SUM($EA1223:$EE1223)&gt;=2),"Whole sector","")</f>
        <v/>
      </c>
      <c r="EL1223" t="str">
        <f>IF(AND(AND(OR($DX1223=1,$DW1223=1),AND($EC1223=0,$EA1223=0)),SUM($DV1223:$DZ1223,$EF1223)&gt;=4),"Ecosystem approach","")</f>
        <v>Ecosystem approach</v>
      </c>
      <c r="EM1223" s="2" t="str">
        <f>IF(AND(AND(AND($DX1223=0,$DW1223=0),OR($EC1223=1,$EA1223=1)),SUM($EB1223:$EE1223)&gt;=2),"Technology approach","")</f>
        <v/>
      </c>
      <c r="EP1223" t="b">
        <f>IF(ISNUMBER(BU1223),IF(ABS(BU1223-[1]QC_indicators!$B$2)&gt;3*[1]QC_indicators!$C$2,"C ratio",IF(ISNUMBER(BY1223),IF(ABS(BY1223-[1]QC_indicators!$B$1)&gt;3*[1]QC_indicators!$C$1,"DF","no"))),IF(ISNUMBER(BY1223),IF(ABS(BY1223-[1]QC_indicators!$B$1)&gt;3*[1]QC_indicators!$C$1,"DF","no")))</f>
        <v>0</v>
      </c>
      <c r="ET1223" s="264" t="s">
        <v>3273</v>
      </c>
    </row>
    <row r="1224" spans="1:150" ht="15" customHeight="1">
      <c r="A1224" s="1" t="s">
        <v>1423</v>
      </c>
      <c r="B1224" t="s">
        <v>2490</v>
      </c>
      <c r="C1224" t="s">
        <v>2491</v>
      </c>
      <c r="D1224" t="s">
        <v>2492</v>
      </c>
      <c r="E1224" t="s">
        <v>2493</v>
      </c>
      <c r="F1224" t="s">
        <v>2494</v>
      </c>
      <c r="G1224" t="s">
        <v>1429</v>
      </c>
      <c r="H1224" t="s">
        <v>254</v>
      </c>
      <c r="I1224">
        <v>2016</v>
      </c>
      <c r="J1224">
        <v>24</v>
      </c>
      <c r="K1224" t="s">
        <v>2495</v>
      </c>
      <c r="M1224" t="str">
        <f>LEFT($D1224,FIND(",",$D1224)-1)&amp;"_"&amp;I1224&amp;L1224</f>
        <v>Zubizarreta-Gerendiain_2016</v>
      </c>
      <c r="N1224" t="s">
        <v>222</v>
      </c>
      <c r="O1224" s="145" t="s">
        <v>1154</v>
      </c>
      <c r="Q1224" t="s">
        <v>256</v>
      </c>
      <c r="R1224" s="262" t="s">
        <v>223</v>
      </c>
      <c r="S1224" s="1" t="s">
        <v>2506</v>
      </c>
      <c r="T1224" t="s">
        <v>2514</v>
      </c>
      <c r="U1224" t="s">
        <v>2515</v>
      </c>
      <c r="V1224">
        <v>0</v>
      </c>
      <c r="W1224">
        <v>0</v>
      </c>
      <c r="X1224">
        <v>0</v>
      </c>
      <c r="Y1224">
        <v>2</v>
      </c>
      <c r="Z1224">
        <v>0</v>
      </c>
      <c r="AA1224">
        <v>0</v>
      </c>
      <c r="AB1224">
        <v>0</v>
      </c>
      <c r="AC1224">
        <v>0</v>
      </c>
      <c r="AD1224">
        <v>0</v>
      </c>
      <c r="AE1224">
        <v>0</v>
      </c>
      <c r="AF1224">
        <v>1</v>
      </c>
      <c r="AG1224">
        <v>0</v>
      </c>
      <c r="AH1224">
        <v>0</v>
      </c>
      <c r="AI1224">
        <v>0</v>
      </c>
      <c r="AJ1224">
        <v>0</v>
      </c>
      <c r="AK1224">
        <v>0</v>
      </c>
      <c r="AL1224">
        <v>0</v>
      </c>
      <c r="AM1224">
        <v>0</v>
      </c>
      <c r="AN1224">
        <v>2</v>
      </c>
      <c r="AO1224">
        <v>2</v>
      </c>
      <c r="AP1224">
        <v>0</v>
      </c>
      <c r="AQ1224">
        <v>0</v>
      </c>
      <c r="AR1224">
        <v>0</v>
      </c>
      <c r="AS1224">
        <v>0</v>
      </c>
      <c r="AT1224">
        <v>0</v>
      </c>
      <c r="AU1224">
        <v>0</v>
      </c>
      <c r="AV1224">
        <v>0</v>
      </c>
      <c r="AW1224">
        <v>0</v>
      </c>
      <c r="AX1224" s="141">
        <f>COUNTIF(V1224:AW1224,"&lt;&gt;0")</f>
        <v>4</v>
      </c>
      <c r="AY1224" s="141">
        <f>COUNTIF(V1224:AL1224,"&lt;&gt;0")</f>
        <v>2</v>
      </c>
      <c r="AZ1224">
        <f>COUNTIF(V1224:AC1224,"&lt;&gt;0")</f>
        <v>1</v>
      </c>
      <c r="BA1224">
        <f>COUNTIF(AD1224:AI1224,"&lt;&gt;0")</f>
        <v>1</v>
      </c>
      <c r="BB1224">
        <f>COUNTIF(AJ1224:AL1224,"&lt;&gt;0")</f>
        <v>0</v>
      </c>
      <c r="BC1224">
        <f>COUNTIF(AS1224:AW1224,"&lt;&gt;0")</f>
        <v>0</v>
      </c>
      <c r="BD1224">
        <f>COUNTIF(AM1224:AR1224,"&lt;&gt;0")</f>
        <v>2</v>
      </c>
      <c r="BE1224" t="str">
        <f t="array" ref="BE1224">IF(AY1224=1,INDEX($V$7:$AL$7,MATCH(TRUE,INDEX($V1224:$AW1224&lt;&gt;0,),0)),IF(AY1224=0,INDEX($AM$7:$AW$7,MATCH(1,$AM1224:$AW1224,0)),IF(BF1224="Multiple strategies","mixed drivers",IF(BF1224="Supply chain","multiple supply","multiple silviculture"))))</f>
        <v>mixed drivers</v>
      </c>
      <c r="BF1224" s="2" t="str" cm="1">
        <f t="array" ref="BF1224">IF(COUNTIF(AZ1224:BB1224,"&lt;&gt;0")=1,INDEX($V$4:$AW$4,MATCH(TRUE,INDEX($V1224:$AW1224&lt;&gt;0,),0)),IF(COUNTIF(AZ1224:BB1224,"&lt;&gt;0")=0,INDEX($AM$4:$AW$4,MATCH(1,$AM1224:$AW1224,0)),"Multiple strategies"))</f>
        <v>Multiple strategies</v>
      </c>
      <c r="BM1224" s="143"/>
      <c r="BN1224" s="143"/>
      <c r="BP1224" s="143" t="s">
        <v>232</v>
      </c>
      <c r="BQ1224" s="143"/>
      <c r="BR1224" t="s">
        <v>1195</v>
      </c>
      <c r="BS1224">
        <v>99553.342625698249</v>
      </c>
      <c r="BT1224">
        <v>-35451.70793296078</v>
      </c>
      <c r="BU1224" s="144">
        <f>IFERROR(BT1224/BS1224,"")</f>
        <v>-0.3561076604554857</v>
      </c>
      <c r="BV1224" s="144">
        <f>BT1224-BS1224</f>
        <v>-135005.05055865902</v>
      </c>
      <c r="BW1224" s="144"/>
      <c r="BX1224" s="144">
        <f>BV1224</f>
        <v>-135005.05055865902</v>
      </c>
      <c r="BY1224" t="str">
        <f>IFERROR(BX1224/BO1224,"")</f>
        <v/>
      </c>
      <c r="BZ1224">
        <v>0</v>
      </c>
      <c r="CA1224">
        <v>0</v>
      </c>
      <c r="CB1224">
        <v>0</v>
      </c>
      <c r="CC1224">
        <v>0</v>
      </c>
      <c r="CD1224">
        <v>0</v>
      </c>
      <c r="CE1224">
        <v>0</v>
      </c>
      <c r="CF1224">
        <v>0</v>
      </c>
      <c r="CG1224">
        <v>0</v>
      </c>
      <c r="CH1224">
        <v>0</v>
      </c>
      <c r="CI1224">
        <v>0</v>
      </c>
      <c r="CJ1224">
        <v>0</v>
      </c>
      <c r="CK1224">
        <v>0</v>
      </c>
      <c r="CL1224">
        <v>0</v>
      </c>
      <c r="CM1224">
        <v>1</v>
      </c>
      <c r="CN1224" t="str">
        <f>IF(BL1224&lt;BK1224,"refNeedCorrection","refOK")</f>
        <v>refOK</v>
      </c>
      <c r="CO1224"/>
      <c r="CP1224"/>
      <c r="CQ1224"/>
      <c r="CR1224">
        <f>IF($CN1224="refOK",$BS1224,$BT1224)*IF($BP1224="Emissions positive",-1,1)</f>
        <v>99553.342625698249</v>
      </c>
      <c r="CS1224">
        <f>IF($CN1224="refOK",$BT1224,$BS1224)*IF($BP1224="Emissions positive",-1,1)</f>
        <v>-35451.70793296078</v>
      </c>
      <c r="CT1224">
        <f>IF($CN1224="refNeedCorrection",-BX1224,BX1224)*IF($BP1224="Emissions positive",-1,1)</f>
        <v>-135005.05055865902</v>
      </c>
      <c r="CU1224" t="str">
        <f>IFERROR(CT1224/CQ1224,"")</f>
        <v/>
      </c>
      <c r="CV1224" s="2">
        <f>IFERROR((CS1224-CR1224)/ABS(CR1224),"")</f>
        <v>-1.3561076604554856</v>
      </c>
      <c r="CW1224" s="1" t="s">
        <v>1199</v>
      </c>
      <c r="CX1224" t="str">
        <f>IF(OR($CW1224="prd",$CW1224="std",$CW1224="cit"),"loc",IF(OR($CW1224="eur",$CW1224="reg",$CW1224="coy"),"reg",$CW1224))</f>
        <v>reg</v>
      </c>
      <c r="CY1224" t="s">
        <v>235</v>
      </c>
      <c r="CZ1224">
        <v>2010</v>
      </c>
      <c r="DA1224">
        <v>2070</v>
      </c>
      <c r="DB1224">
        <f>DA1224-CZ1224</f>
        <v>60</v>
      </c>
      <c r="DC1224" t="str">
        <f>IF(DB1224=0,"0",IF(AND(DB1224&gt;=1,DB1224&lt;=30),"1-30",IF(AND(DB1224&gt;30,DB1224&lt;=70),"31-70",IF(AND(DB1224&gt;70,DB1224&lt;=100),"71-100",IF(DB1224&gt;100,"+100")))))</f>
        <v>31-70</v>
      </c>
      <c r="DD1224">
        <v>1</v>
      </c>
      <c r="DE1224">
        <v>0</v>
      </c>
      <c r="DF1224">
        <v>0</v>
      </c>
      <c r="DG1224">
        <v>0</v>
      </c>
      <c r="DH1224">
        <v>0</v>
      </c>
      <c r="DI1224">
        <f>SUM(DD1224:DG1224)</f>
        <v>1</v>
      </c>
      <c r="DJ1224" t="str">
        <f>IF(DI1224=1,INDEX($DD$7:$DG$7,MATCH(1,$DD1224:$DG1224,0)),"mixedProduct")</f>
        <v>UpstreamInput</v>
      </c>
      <c r="DK1224" t="str">
        <f>IF(DD1224=1,DK$7,0)</f>
        <v>Upstream</v>
      </c>
      <c r="DL1224">
        <f>IF(DE1224=1,DL$7,0)</f>
        <v>0</v>
      </c>
      <c r="DM1224">
        <f>IF(DF1224=1,DM$7,0)</f>
        <v>0</v>
      </c>
      <c r="DN1224">
        <f>IF(DG1224=1,DN$7,0)</f>
        <v>0</v>
      </c>
      <c r="DO1224">
        <v>0</v>
      </c>
      <c r="DP1224">
        <v>0</v>
      </c>
      <c r="DQ1224">
        <v>0</v>
      </c>
      <c r="DR1224">
        <v>0</v>
      </c>
      <c r="DS1224">
        <v>0</v>
      </c>
      <c r="DT1224">
        <f>SUM(DO1224:DP1224)</f>
        <v>0</v>
      </c>
      <c r="DU1224" s="143" t="str">
        <f>IF(DO1224=1,"self-calculated DF",IF(DP1224=1,"external DF used","explicit C balance"))</f>
        <v>explicit C balance</v>
      </c>
      <c r="DV1224">
        <v>1</v>
      </c>
      <c r="DW1224">
        <v>1</v>
      </c>
      <c r="DX1224">
        <v>1</v>
      </c>
      <c r="DY1224">
        <v>1</v>
      </c>
      <c r="DZ1224">
        <v>0</v>
      </c>
      <c r="EA1224" s="143">
        <v>0</v>
      </c>
      <c r="EB1224">
        <v>0</v>
      </c>
      <c r="EC1224">
        <v>0</v>
      </c>
      <c r="ED1224">
        <v>0</v>
      </c>
      <c r="EE1224">
        <v>0</v>
      </c>
      <c r="EF1224">
        <v>1</v>
      </c>
      <c r="EG1224">
        <v>0</v>
      </c>
      <c r="EH1224">
        <v>0</v>
      </c>
      <c r="EI1224" s="2">
        <v>0</v>
      </c>
      <c r="EK1224" t="str">
        <f>IF(AND(AND(AND(OR($DX1224=1,$DW1224=1),OR($EC1224=1,$EA1224=1)),SUM($DV1224:$DZ1224,$EF1224)&gt;=4),SUM($EA1224:$EE1224)&gt;=2),"Whole sector","")</f>
        <v/>
      </c>
      <c r="EL1224" t="str">
        <f>IF(AND(AND(OR($DX1224=1,$DW1224=1),AND($EC1224=0,$EA1224=0)),SUM($DV1224:$DZ1224,$EF1224)&gt;=4),"Ecosystem approach","")</f>
        <v>Ecosystem approach</v>
      </c>
      <c r="EM1224" s="2" t="str">
        <f>IF(AND(AND(AND($DX1224=0,$DW1224=0),OR($EC1224=1,$EA1224=1)),SUM($EB1224:$EE1224)&gt;=2),"Technology approach","")</f>
        <v/>
      </c>
      <c r="EN1224" t="s">
        <v>2508</v>
      </c>
      <c r="EP1224" t="b">
        <f>IF(ISNUMBER(BU1224),IF(ABS(BU1224-[1]QC_indicators!$B$2)&gt;3*[1]QC_indicators!$C$2,"C ratio",IF(ISNUMBER(BY1224),IF(ABS(BY1224-[1]QC_indicators!$B$1)&gt;3*[1]QC_indicators!$C$1,"DF","no"))),IF(ISNUMBER(BY1224),IF(ABS(BY1224-[1]QC_indicators!$B$1)&gt;3*[1]QC_indicators!$C$1,"DF","no")))</f>
        <v>0</v>
      </c>
      <c r="ET1224" s="264" t="s">
        <v>3273</v>
      </c>
    </row>
    <row r="1225" spans="1:150" ht="15" customHeight="1">
      <c r="A1225" s="1" t="s">
        <v>1423</v>
      </c>
      <c r="B1225" t="s">
        <v>2490</v>
      </c>
      <c r="C1225" t="s">
        <v>2491</v>
      </c>
      <c r="D1225" t="s">
        <v>2492</v>
      </c>
      <c r="E1225" t="s">
        <v>2493</v>
      </c>
      <c r="F1225" t="s">
        <v>2494</v>
      </c>
      <c r="G1225" t="s">
        <v>1429</v>
      </c>
      <c r="H1225" t="s">
        <v>254</v>
      </c>
      <c r="I1225">
        <v>2016</v>
      </c>
      <c r="J1225">
        <v>24</v>
      </c>
      <c r="K1225" t="s">
        <v>2495</v>
      </c>
      <c r="M1225" t="str">
        <f>LEFT($D1225,FIND(",",$D1225)-1)&amp;"_"&amp;I1225&amp;L1225</f>
        <v>Zubizarreta-Gerendiain_2016</v>
      </c>
      <c r="N1225" t="s">
        <v>222</v>
      </c>
      <c r="O1225" s="145" t="s">
        <v>1154</v>
      </c>
      <c r="Q1225" t="s">
        <v>256</v>
      </c>
      <c r="R1225" s="262" t="s">
        <v>223</v>
      </c>
      <c r="S1225" s="1" t="s">
        <v>2496</v>
      </c>
      <c r="T1225" t="s">
        <v>2517</v>
      </c>
      <c r="U1225" t="s">
        <v>2515</v>
      </c>
      <c r="V1225">
        <v>0</v>
      </c>
      <c r="W1225">
        <v>0</v>
      </c>
      <c r="X1225">
        <v>0</v>
      </c>
      <c r="Y1225">
        <v>2</v>
      </c>
      <c r="Z1225">
        <v>0</v>
      </c>
      <c r="AA1225">
        <v>0</v>
      </c>
      <c r="AB1225">
        <v>0</v>
      </c>
      <c r="AC1225">
        <v>0</v>
      </c>
      <c r="AD1225">
        <v>0</v>
      </c>
      <c r="AE1225">
        <v>0</v>
      </c>
      <c r="AF1225">
        <v>1</v>
      </c>
      <c r="AG1225">
        <v>0</v>
      </c>
      <c r="AH1225">
        <v>0</v>
      </c>
      <c r="AI1225">
        <v>0</v>
      </c>
      <c r="AJ1225">
        <v>0</v>
      </c>
      <c r="AK1225">
        <v>0</v>
      </c>
      <c r="AL1225">
        <v>0</v>
      </c>
      <c r="AM1225">
        <v>0</v>
      </c>
      <c r="AN1225">
        <v>2</v>
      </c>
      <c r="AO1225">
        <v>2</v>
      </c>
      <c r="AP1225">
        <v>0</v>
      </c>
      <c r="AQ1225">
        <v>0</v>
      </c>
      <c r="AR1225">
        <v>0</v>
      </c>
      <c r="AS1225">
        <v>0</v>
      </c>
      <c r="AT1225">
        <v>0</v>
      </c>
      <c r="AU1225">
        <v>0</v>
      </c>
      <c r="AV1225">
        <v>0</v>
      </c>
      <c r="AW1225">
        <v>0</v>
      </c>
      <c r="AX1225" s="141">
        <f>COUNTIF(V1225:AW1225,"&lt;&gt;0")</f>
        <v>4</v>
      </c>
      <c r="AY1225" s="141">
        <f>COUNTIF(V1225:AL1225,"&lt;&gt;0")</f>
        <v>2</v>
      </c>
      <c r="AZ1225">
        <f>COUNTIF(V1225:AC1225,"&lt;&gt;0")</f>
        <v>1</v>
      </c>
      <c r="BA1225">
        <f>COUNTIF(AD1225:AI1225,"&lt;&gt;0")</f>
        <v>1</v>
      </c>
      <c r="BB1225">
        <f>COUNTIF(AJ1225:AL1225,"&lt;&gt;0")</f>
        <v>0</v>
      </c>
      <c r="BC1225">
        <f>COUNTIF(AS1225:AW1225,"&lt;&gt;0")</f>
        <v>0</v>
      </c>
      <c r="BD1225">
        <f>COUNTIF(AM1225:AR1225,"&lt;&gt;0")</f>
        <v>2</v>
      </c>
      <c r="BE1225" t="str">
        <f t="array" ref="BE1225">IF(AY1225=1,INDEX($V$7:$AL$7,MATCH(TRUE,INDEX($V1225:$AW1225&lt;&gt;0,),0)),IF(AY1225=0,INDEX($AM$7:$AW$7,MATCH(1,$AM1225:$AW1225,0)),IF(BF1225="Multiple strategies","mixed drivers",IF(BF1225="Supply chain","multiple supply","multiple silviculture"))))</f>
        <v>mixed drivers</v>
      </c>
      <c r="BF1225" s="2" t="str" cm="1">
        <f t="array" ref="BF1225">IF(COUNTIF(AZ1225:BB1225,"&lt;&gt;0")=1,INDEX($V$4:$AW$4,MATCH(TRUE,INDEX($V1225:$AW1225&lt;&gt;0,),0)),IF(COUNTIF(AZ1225:BB1225,"&lt;&gt;0")=0,INDEX($AM$4:$AW$4,MATCH(1,$AM1225:$AW1225,0)),"Multiple strategies"))</f>
        <v>Multiple strategies</v>
      </c>
      <c r="BM1225" s="143"/>
      <c r="BN1225" s="143"/>
      <c r="BP1225" s="143" t="s">
        <v>232</v>
      </c>
      <c r="BQ1225" s="143"/>
      <c r="BR1225" t="s">
        <v>1195</v>
      </c>
      <c r="BS1225">
        <v>37718.968324022448</v>
      </c>
      <c r="BT1225">
        <v>-35451.70793296078</v>
      </c>
      <c r="BU1225" s="144">
        <f>IFERROR(BT1225/BS1225,"")</f>
        <v>-0.93989071038250815</v>
      </c>
      <c r="BV1225" s="144">
        <f>BT1225-BS1225</f>
        <v>-73170.676256983221</v>
      </c>
      <c r="BW1225" s="144"/>
      <c r="BX1225" s="144">
        <f>BV1225</f>
        <v>-73170.676256983221</v>
      </c>
      <c r="BY1225" t="str">
        <f>IFERROR(BX1225/BO1225,"")</f>
        <v/>
      </c>
      <c r="BZ1225">
        <v>0</v>
      </c>
      <c r="CA1225">
        <v>0</v>
      </c>
      <c r="CB1225">
        <v>0</v>
      </c>
      <c r="CC1225">
        <v>0</v>
      </c>
      <c r="CD1225">
        <v>0</v>
      </c>
      <c r="CE1225">
        <v>0</v>
      </c>
      <c r="CF1225">
        <v>0</v>
      </c>
      <c r="CG1225">
        <v>0</v>
      </c>
      <c r="CH1225">
        <v>0</v>
      </c>
      <c r="CI1225">
        <v>0</v>
      </c>
      <c r="CJ1225">
        <v>0</v>
      </c>
      <c r="CK1225">
        <v>0</v>
      </c>
      <c r="CL1225">
        <v>0</v>
      </c>
      <c r="CM1225">
        <v>1</v>
      </c>
      <c r="CN1225" t="str">
        <f>IF(BL1225&lt;BK1225,"refNeedCorrection","refOK")</f>
        <v>refOK</v>
      </c>
      <c r="CO1225"/>
      <c r="CP1225"/>
      <c r="CQ1225"/>
      <c r="CR1225">
        <f>IF($CN1225="refOK",$BS1225,$BT1225)*IF($BP1225="Emissions positive",-1,1)</f>
        <v>37718.968324022448</v>
      </c>
      <c r="CS1225">
        <f>IF($CN1225="refOK",$BT1225,$BS1225)*IF($BP1225="Emissions positive",-1,1)</f>
        <v>-35451.70793296078</v>
      </c>
      <c r="CT1225">
        <f>IF($CN1225="refNeedCorrection",-BX1225,BX1225)*IF($BP1225="Emissions positive",-1,1)</f>
        <v>-73170.676256983221</v>
      </c>
      <c r="CU1225" t="str">
        <f>IFERROR(CT1225/CQ1225,"")</f>
        <v/>
      </c>
      <c r="CV1225" s="2">
        <f>IFERROR((CS1225-CR1225)/ABS(CR1225),"")</f>
        <v>-1.939890710382508</v>
      </c>
      <c r="CW1225" s="1" t="s">
        <v>1199</v>
      </c>
      <c r="CX1225" t="str">
        <f>IF(OR($CW1225="prd",$CW1225="std",$CW1225="cit"),"loc",IF(OR($CW1225="eur",$CW1225="reg",$CW1225="coy"),"reg",$CW1225))</f>
        <v>reg</v>
      </c>
      <c r="CY1225" t="s">
        <v>235</v>
      </c>
      <c r="CZ1225">
        <v>2010</v>
      </c>
      <c r="DA1225">
        <v>2070</v>
      </c>
      <c r="DB1225">
        <f>DA1225-CZ1225</f>
        <v>60</v>
      </c>
      <c r="DC1225" t="str">
        <f>IF(DB1225=0,"0",IF(AND(DB1225&gt;=1,DB1225&lt;=30),"1-30",IF(AND(DB1225&gt;30,DB1225&lt;=70),"31-70",IF(AND(DB1225&gt;70,DB1225&lt;=100),"71-100",IF(DB1225&gt;100,"+100")))))</f>
        <v>31-70</v>
      </c>
      <c r="DD1225">
        <v>1</v>
      </c>
      <c r="DE1225">
        <v>0</v>
      </c>
      <c r="DF1225">
        <v>0</v>
      </c>
      <c r="DG1225">
        <v>0</v>
      </c>
      <c r="DH1225">
        <v>0</v>
      </c>
      <c r="DI1225">
        <f>SUM(DD1225:DG1225)</f>
        <v>1</v>
      </c>
      <c r="DJ1225" t="str">
        <f>IF(DI1225=1,INDEX($DD$7:$DG$7,MATCH(1,$DD1225:$DG1225,0)),"mixedProduct")</f>
        <v>UpstreamInput</v>
      </c>
      <c r="DK1225" t="str">
        <f>IF(DD1225=1,DK$7,0)</f>
        <v>Upstream</v>
      </c>
      <c r="DL1225">
        <f>IF(DE1225=1,DL$7,0)</f>
        <v>0</v>
      </c>
      <c r="DM1225">
        <f>IF(DF1225=1,DM$7,0)</f>
        <v>0</v>
      </c>
      <c r="DN1225">
        <f>IF(DG1225=1,DN$7,0)</f>
        <v>0</v>
      </c>
      <c r="DO1225">
        <v>0</v>
      </c>
      <c r="DP1225">
        <v>0</v>
      </c>
      <c r="DQ1225">
        <v>0</v>
      </c>
      <c r="DR1225">
        <v>0</v>
      </c>
      <c r="DS1225">
        <v>0</v>
      </c>
      <c r="DT1225">
        <f>SUM(DO1225:DP1225)</f>
        <v>0</v>
      </c>
      <c r="DU1225" s="143" t="str">
        <f>IF(DO1225=1,"self-calculated DF",IF(DP1225=1,"external DF used","explicit C balance"))</f>
        <v>explicit C balance</v>
      </c>
      <c r="DV1225">
        <v>1</v>
      </c>
      <c r="DW1225">
        <v>1</v>
      </c>
      <c r="DX1225">
        <v>1</v>
      </c>
      <c r="DY1225">
        <v>1</v>
      </c>
      <c r="DZ1225">
        <v>0</v>
      </c>
      <c r="EA1225" s="143">
        <v>0</v>
      </c>
      <c r="EB1225">
        <v>0</v>
      </c>
      <c r="EC1225">
        <v>0</v>
      </c>
      <c r="ED1225">
        <v>0</v>
      </c>
      <c r="EE1225">
        <v>0</v>
      </c>
      <c r="EF1225">
        <v>1</v>
      </c>
      <c r="EG1225">
        <v>0</v>
      </c>
      <c r="EH1225">
        <v>0</v>
      </c>
      <c r="EI1225" s="2">
        <v>0</v>
      </c>
      <c r="EK1225" t="str">
        <f>IF(AND(AND(AND(OR($DX1225=1,$DW1225=1),OR($EC1225=1,$EA1225=1)),SUM($DV1225:$DZ1225,$EF1225)&gt;=4),SUM($EA1225:$EE1225)&gt;=2),"Whole sector","")</f>
        <v/>
      </c>
      <c r="EL1225" t="str">
        <f>IF(AND(AND(OR($DX1225=1,$DW1225=1),AND($EC1225=0,$EA1225=0)),SUM($DV1225:$DZ1225,$EF1225)&gt;=4),"Ecosystem approach","")</f>
        <v>Ecosystem approach</v>
      </c>
      <c r="EM1225" s="2" t="str">
        <f>IF(AND(AND(AND($DX1225=0,$DW1225=0),OR($EC1225=1,$EA1225=1)),SUM($EB1225:$EE1225)&gt;=2),"Technology approach","")</f>
        <v/>
      </c>
      <c r="EP1225" t="b">
        <f>IF(ISNUMBER(BU1225),IF(ABS(BU1225-[1]QC_indicators!$B$2)&gt;3*[1]QC_indicators!$C$2,"C ratio",IF(ISNUMBER(BY1225),IF(ABS(BY1225-[1]QC_indicators!$B$1)&gt;3*[1]QC_indicators!$C$1,"DF","no"))),IF(ISNUMBER(BY1225),IF(ABS(BY1225-[1]QC_indicators!$B$1)&gt;3*[1]QC_indicators!$C$1,"DF","no")))</f>
        <v>0</v>
      </c>
      <c r="ET1225" s="264" t="s">
        <v>3273</v>
      </c>
    </row>
    <row r="1226" spans="1:150" ht="15" customHeight="1">
      <c r="A1226" s="1" t="s">
        <v>1423</v>
      </c>
      <c r="B1226" t="s">
        <v>2490</v>
      </c>
      <c r="C1226" t="s">
        <v>2491</v>
      </c>
      <c r="D1226" t="s">
        <v>2492</v>
      </c>
      <c r="E1226" t="s">
        <v>2493</v>
      </c>
      <c r="F1226" t="s">
        <v>2494</v>
      </c>
      <c r="G1226" t="s">
        <v>1429</v>
      </c>
      <c r="H1226" t="s">
        <v>254</v>
      </c>
      <c r="I1226">
        <v>2016</v>
      </c>
      <c r="J1226">
        <v>24</v>
      </c>
      <c r="K1226" t="s">
        <v>2495</v>
      </c>
      <c r="M1226" t="str">
        <f>LEFT($D1226,FIND(",",$D1226)-1)&amp;"_"&amp;I1226&amp;L1226</f>
        <v>Zubizarreta-Gerendiain_2016</v>
      </c>
      <c r="N1226" t="s">
        <v>222</v>
      </c>
      <c r="O1226" s="145" t="s">
        <v>1154</v>
      </c>
      <c r="Q1226" t="s">
        <v>256</v>
      </c>
      <c r="R1226" s="262" t="s">
        <v>223</v>
      </c>
      <c r="S1226" s="1" t="s">
        <v>2526</v>
      </c>
      <c r="T1226" t="s">
        <v>2510</v>
      </c>
      <c r="U1226" t="s">
        <v>2529</v>
      </c>
      <c r="V1226">
        <v>0</v>
      </c>
      <c r="W1226">
        <v>0</v>
      </c>
      <c r="X1226">
        <v>0</v>
      </c>
      <c r="Y1226">
        <v>1</v>
      </c>
      <c r="Z1226">
        <v>0</v>
      </c>
      <c r="AA1226">
        <v>0</v>
      </c>
      <c r="AB1226">
        <v>0</v>
      </c>
      <c r="AC1226">
        <v>0</v>
      </c>
      <c r="AD1226">
        <v>0</v>
      </c>
      <c r="AE1226">
        <v>0</v>
      </c>
      <c r="AF1226">
        <v>0</v>
      </c>
      <c r="AG1226">
        <v>0</v>
      </c>
      <c r="AH1226">
        <v>0</v>
      </c>
      <c r="AI1226">
        <v>0</v>
      </c>
      <c r="AJ1226">
        <v>0</v>
      </c>
      <c r="AK1226">
        <v>0</v>
      </c>
      <c r="AL1226">
        <v>0</v>
      </c>
      <c r="AM1226">
        <v>0</v>
      </c>
      <c r="AN1226">
        <v>2</v>
      </c>
      <c r="AO1226">
        <v>2</v>
      </c>
      <c r="AP1226">
        <v>0</v>
      </c>
      <c r="AQ1226">
        <v>0</v>
      </c>
      <c r="AR1226">
        <v>0</v>
      </c>
      <c r="AS1226">
        <v>0</v>
      </c>
      <c r="AT1226">
        <v>0</v>
      </c>
      <c r="AU1226">
        <v>0</v>
      </c>
      <c r="AV1226">
        <v>0</v>
      </c>
      <c r="AW1226">
        <v>0</v>
      </c>
      <c r="AX1226" s="141">
        <f>COUNTIF(V1226:AW1226,"&lt;&gt;0")</f>
        <v>3</v>
      </c>
      <c r="AY1226" s="141">
        <f>COUNTIF(V1226:AL1226,"&lt;&gt;0")</f>
        <v>1</v>
      </c>
      <c r="AZ1226">
        <f>COUNTIF(V1226:AC1226,"&lt;&gt;0")</f>
        <v>1</v>
      </c>
      <c r="BA1226">
        <f>COUNTIF(AD1226:AI1226,"&lt;&gt;0")</f>
        <v>0</v>
      </c>
      <c r="BB1226">
        <f>COUNTIF(AJ1226:AL1226,"&lt;&gt;0")</f>
        <v>0</v>
      </c>
      <c r="BC1226">
        <f>COUNTIF(AS1226:AW1226,"&lt;&gt;0")</f>
        <v>0</v>
      </c>
      <c r="BD1226">
        <f>COUNTIF(AM1226:AR1226,"&lt;&gt;0")</f>
        <v>2</v>
      </c>
      <c r="BE1226" t="str">
        <f t="array" ref="BE1226">IF(AY1226=1,INDEX($V$7:$AL$7,MATCH(TRUE,INDEX($V1226:$AW1226&lt;&gt;0,),0)),IF(AY1226=0,INDEX($AM$7:$AW$7,MATCH(1,$AM1226:$AW1226,0)),IF(BF1226="Multiple strategies","mixed drivers",IF(BF1226="Supply chain","multiple supply","multiple silviculture"))))</f>
        <v xml:space="preserve">cutting intensity </v>
      </c>
      <c r="BF1226" s="2" t="str" cm="1">
        <f t="array" ref="BF1226">IF(COUNTIF(AZ1226:BB1226,"&lt;&gt;0")=1,INDEX($V$4:$AW$4,MATCH(TRUE,INDEX($V1226:$AW1226&lt;&gt;0,),0)),IF(COUNTIF(AZ1226:BB1226,"&lt;&gt;0")=0,INDEX($AM$4:$AW$4,MATCH(1,$AM1226:$AW1226,0)),"Multiple strategies"))</f>
        <v>Silviculture for removals</v>
      </c>
      <c r="BM1226" s="143"/>
      <c r="BN1226" s="143"/>
      <c r="BP1226" s="143" t="s">
        <v>232</v>
      </c>
      <c r="BQ1226" s="143"/>
      <c r="BR1226" t="s">
        <v>1195</v>
      </c>
      <c r="BS1226">
        <v>121904.97124600642</v>
      </c>
      <c r="BT1226">
        <v>130927.54313099037</v>
      </c>
      <c r="BU1226" s="144">
        <f>IFERROR(BT1226/BS1226,"")</f>
        <v>1.0740131578947363</v>
      </c>
      <c r="BV1226" s="144">
        <f>BT1226-BS1226</f>
        <v>9022.5718849839468</v>
      </c>
      <c r="BW1226" s="144"/>
      <c r="BX1226" s="144">
        <f>BV1226</f>
        <v>9022.5718849839468</v>
      </c>
      <c r="BY1226" t="str">
        <f>IFERROR(BX1226/BO1226,"")</f>
        <v/>
      </c>
      <c r="BZ1226">
        <v>0</v>
      </c>
      <c r="CA1226">
        <v>0</v>
      </c>
      <c r="CB1226">
        <v>0</v>
      </c>
      <c r="CC1226">
        <v>0</v>
      </c>
      <c r="CD1226">
        <v>0</v>
      </c>
      <c r="CE1226">
        <v>0</v>
      </c>
      <c r="CF1226">
        <v>0</v>
      </c>
      <c r="CG1226">
        <v>0</v>
      </c>
      <c r="CH1226">
        <v>0</v>
      </c>
      <c r="CI1226">
        <v>0</v>
      </c>
      <c r="CJ1226">
        <v>0</v>
      </c>
      <c r="CK1226">
        <v>0</v>
      </c>
      <c r="CL1226">
        <v>0</v>
      </c>
      <c r="CM1226">
        <v>1</v>
      </c>
      <c r="CN1226" t="str">
        <f>IF(BL1226&lt;BK1226,"refNeedCorrection","refOK")</f>
        <v>refOK</v>
      </c>
      <c r="CO1226"/>
      <c r="CP1226"/>
      <c r="CQ1226"/>
      <c r="CR1226">
        <f>IF($CN1226="refOK",$BS1226,$BT1226)*IF($BP1226="Emissions positive",-1,1)</f>
        <v>121904.97124600642</v>
      </c>
      <c r="CS1226">
        <f>IF($CN1226="refOK",$BT1226,$BS1226)*IF($BP1226="Emissions positive",-1,1)</f>
        <v>130927.54313099037</v>
      </c>
      <c r="CT1226">
        <f>IF($CN1226="refNeedCorrection",-BX1226,BX1226)*IF($BP1226="Emissions positive",-1,1)</f>
        <v>9022.5718849839468</v>
      </c>
      <c r="CU1226" t="str">
        <f>IFERROR(CT1226/CQ1226,"")</f>
        <v/>
      </c>
      <c r="CV1226" s="2">
        <f>IFERROR((CS1226-CR1226)/ABS(CR1226),"")</f>
        <v>7.4013157894736184E-2</v>
      </c>
      <c r="CW1226" s="1" t="s">
        <v>1199</v>
      </c>
      <c r="CX1226" t="str">
        <f>IF(OR($CW1226="prd",$CW1226="std",$CW1226="cit"),"loc",IF(OR($CW1226="eur",$CW1226="reg",$CW1226="coy"),"reg",$CW1226))</f>
        <v>reg</v>
      </c>
      <c r="CY1226" t="s">
        <v>235</v>
      </c>
      <c r="CZ1226">
        <v>2010</v>
      </c>
      <c r="DA1226">
        <v>2070</v>
      </c>
      <c r="DB1226">
        <f>DA1226-CZ1226</f>
        <v>60</v>
      </c>
      <c r="DC1226" t="str">
        <f>IF(DB1226=0,"0",IF(AND(DB1226&gt;=1,DB1226&lt;=30),"1-30",IF(AND(DB1226&gt;30,DB1226&lt;=70),"31-70",IF(AND(DB1226&gt;70,DB1226&lt;=100),"71-100",IF(DB1226&gt;100,"+100")))))</f>
        <v>31-70</v>
      </c>
      <c r="DD1226">
        <v>0</v>
      </c>
      <c r="DE1226">
        <v>1</v>
      </c>
      <c r="DF1226">
        <v>0</v>
      </c>
      <c r="DG1226">
        <v>0</v>
      </c>
      <c r="DH1226">
        <v>0</v>
      </c>
      <c r="DI1226">
        <f>SUM(DD1226:DG1226)</f>
        <v>1</v>
      </c>
      <c r="DJ1226" t="str">
        <f>IF(DI1226=1,INDEX($DD$7:$DG$7,MATCH(1,$DD1226:$DG1226,0)),"mixedProduct")</f>
        <v>EnergyInput</v>
      </c>
      <c r="DK1226">
        <f>IF(DD1226=1,DK$7,0)</f>
        <v>0</v>
      </c>
      <c r="DL1226" t="str">
        <f>IF(DE1226=1,DL$7,0)</f>
        <v>Energy</v>
      </c>
      <c r="DM1226">
        <f>IF(DF1226=1,DM$7,0)</f>
        <v>0</v>
      </c>
      <c r="DN1226">
        <f>IF(DG1226=1,DN$7,0)</f>
        <v>0</v>
      </c>
      <c r="DO1226">
        <v>0</v>
      </c>
      <c r="DP1226">
        <v>0</v>
      </c>
      <c r="DQ1226">
        <v>0</v>
      </c>
      <c r="DR1226">
        <v>0</v>
      </c>
      <c r="DS1226">
        <v>0</v>
      </c>
      <c r="DT1226">
        <f>SUM(DO1226:DP1226)</f>
        <v>0</v>
      </c>
      <c r="DU1226" s="143" t="str">
        <f>IF(DO1226=1,"self-calculated DF",IF(DP1226=1,"external DF used","explicit C balance"))</f>
        <v>explicit C balance</v>
      </c>
      <c r="DV1226">
        <v>1</v>
      </c>
      <c r="DW1226">
        <v>1</v>
      </c>
      <c r="DX1226">
        <v>1</v>
      </c>
      <c r="DY1226">
        <v>1</v>
      </c>
      <c r="DZ1226">
        <v>0</v>
      </c>
      <c r="EA1226" s="143">
        <v>0</v>
      </c>
      <c r="EB1226">
        <v>0</v>
      </c>
      <c r="EC1226">
        <v>0</v>
      </c>
      <c r="ED1226">
        <v>0</v>
      </c>
      <c r="EE1226">
        <v>0</v>
      </c>
      <c r="EF1226">
        <v>1</v>
      </c>
      <c r="EG1226">
        <v>0</v>
      </c>
      <c r="EH1226">
        <v>0</v>
      </c>
      <c r="EI1226" s="2">
        <v>0</v>
      </c>
      <c r="EK1226" t="str">
        <f>IF(AND(AND(AND(OR($DX1226=1,$DW1226=1),OR($EC1226=1,$EA1226=1)),SUM($DV1226:$DZ1226,$EF1226)&gt;=4),SUM($EA1226:$EE1226)&gt;=2),"Whole sector","")</f>
        <v/>
      </c>
      <c r="EL1226" t="str">
        <f>IF(AND(AND(OR($DX1226=1,$DW1226=1),AND($EC1226=0,$EA1226=0)),SUM($DV1226:$DZ1226,$EF1226)&gt;=4),"Ecosystem approach","")</f>
        <v>Ecosystem approach</v>
      </c>
      <c r="EM1226" s="2" t="str">
        <f>IF(AND(AND(AND($DX1226=0,$DW1226=0),OR($EC1226=1,$EA1226=1)),SUM($EB1226:$EE1226)&gt;=2),"Technology approach","")</f>
        <v/>
      </c>
      <c r="EP1226" t="b">
        <f>IF(ISNUMBER(BU1226),IF(ABS(BU1226-[1]QC_indicators!$B$2)&gt;3*[1]QC_indicators!$C$2,"C ratio",IF(ISNUMBER(BY1226),IF(ABS(BY1226-[1]QC_indicators!$B$1)&gt;3*[1]QC_indicators!$C$1,"DF","no"))),IF(ISNUMBER(BY1226),IF(ABS(BY1226-[1]QC_indicators!$B$1)&gt;3*[1]QC_indicators!$C$1,"DF","no")))</f>
        <v>0</v>
      </c>
      <c r="ET1226" s="264" t="s">
        <v>3273</v>
      </c>
    </row>
    <row r="1227" spans="1:150" ht="15" customHeight="1">
      <c r="A1227" s="1" t="s">
        <v>1423</v>
      </c>
      <c r="B1227" t="s">
        <v>2490</v>
      </c>
      <c r="C1227" t="s">
        <v>2491</v>
      </c>
      <c r="D1227" t="s">
        <v>2492</v>
      </c>
      <c r="E1227" t="s">
        <v>2493</v>
      </c>
      <c r="F1227" t="s">
        <v>2494</v>
      </c>
      <c r="G1227" t="s">
        <v>1429</v>
      </c>
      <c r="H1227" t="s">
        <v>254</v>
      </c>
      <c r="I1227">
        <v>2016</v>
      </c>
      <c r="J1227">
        <v>24</v>
      </c>
      <c r="K1227" t="s">
        <v>2495</v>
      </c>
      <c r="M1227" t="str">
        <f>LEFT($D1227,FIND(",",$D1227)-1)&amp;"_"&amp;I1227&amp;L1227</f>
        <v>Zubizarreta-Gerendiain_2016</v>
      </c>
      <c r="N1227" t="s">
        <v>222</v>
      </c>
      <c r="O1227" s="145" t="s">
        <v>1154</v>
      </c>
      <c r="Q1227" t="s">
        <v>256</v>
      </c>
      <c r="R1227" s="262" t="s">
        <v>223</v>
      </c>
      <c r="S1227" s="1" t="s">
        <v>2526</v>
      </c>
      <c r="T1227" t="s">
        <v>2514</v>
      </c>
      <c r="U1227" t="s">
        <v>2530</v>
      </c>
      <c r="V1227">
        <v>0</v>
      </c>
      <c r="W1227">
        <v>0</v>
      </c>
      <c r="X1227">
        <v>0</v>
      </c>
      <c r="Y1227">
        <v>1</v>
      </c>
      <c r="Z1227">
        <v>0</v>
      </c>
      <c r="AA1227">
        <v>0</v>
      </c>
      <c r="AB1227">
        <v>0</v>
      </c>
      <c r="AC1227">
        <v>0</v>
      </c>
      <c r="AD1227">
        <v>0</v>
      </c>
      <c r="AE1227">
        <v>0</v>
      </c>
      <c r="AF1227">
        <v>0</v>
      </c>
      <c r="AG1227">
        <v>0</v>
      </c>
      <c r="AH1227">
        <v>0</v>
      </c>
      <c r="AI1227">
        <v>0</v>
      </c>
      <c r="AJ1227">
        <v>0</v>
      </c>
      <c r="AK1227">
        <v>0</v>
      </c>
      <c r="AL1227">
        <v>0</v>
      </c>
      <c r="AM1227">
        <v>0</v>
      </c>
      <c r="AN1227">
        <v>2</v>
      </c>
      <c r="AO1227">
        <v>2</v>
      </c>
      <c r="AP1227">
        <v>0</v>
      </c>
      <c r="AQ1227">
        <v>0</v>
      </c>
      <c r="AR1227">
        <v>0</v>
      </c>
      <c r="AS1227">
        <v>0</v>
      </c>
      <c r="AT1227">
        <v>0</v>
      </c>
      <c r="AU1227">
        <v>0</v>
      </c>
      <c r="AV1227">
        <v>0</v>
      </c>
      <c r="AW1227">
        <v>0</v>
      </c>
      <c r="AX1227" s="141">
        <f>COUNTIF(V1227:AW1227,"&lt;&gt;0")</f>
        <v>3</v>
      </c>
      <c r="AY1227" s="141">
        <f>COUNTIF(V1227:AL1227,"&lt;&gt;0")</f>
        <v>1</v>
      </c>
      <c r="AZ1227">
        <f>COUNTIF(V1227:AC1227,"&lt;&gt;0")</f>
        <v>1</v>
      </c>
      <c r="BA1227">
        <f>COUNTIF(AD1227:AI1227,"&lt;&gt;0")</f>
        <v>0</v>
      </c>
      <c r="BB1227">
        <f>COUNTIF(AJ1227:AL1227,"&lt;&gt;0")</f>
        <v>0</v>
      </c>
      <c r="BC1227">
        <f>COUNTIF(AS1227:AW1227,"&lt;&gt;0")</f>
        <v>0</v>
      </c>
      <c r="BD1227">
        <f>COUNTIF(AM1227:AR1227,"&lt;&gt;0")</f>
        <v>2</v>
      </c>
      <c r="BE1227" t="str">
        <f t="array" ref="BE1227">IF(AY1227=1,INDEX($V$7:$AL$7,MATCH(TRUE,INDEX($V1227:$AW1227&lt;&gt;0,),0)),IF(AY1227=0,INDEX($AM$7:$AW$7,MATCH(1,$AM1227:$AW1227,0)),IF(BF1227="Multiple strategies","mixed drivers",IF(BF1227="Supply chain","multiple supply","multiple silviculture"))))</f>
        <v xml:space="preserve">cutting intensity </v>
      </c>
      <c r="BF1227" s="2" t="str" cm="1">
        <f t="array" ref="BF1227">IF(COUNTIF(AZ1227:BB1227,"&lt;&gt;0")=1,INDEX($V$4:$AW$4,MATCH(TRUE,INDEX($V1227:$AW1227&lt;&gt;0,),0)),IF(COUNTIF(AZ1227:BB1227,"&lt;&gt;0")=0,INDEX($AM$4:$AW$4,MATCH(1,$AM1227:$AW1227,0)),"Multiple strategies"))</f>
        <v>Silviculture for removals</v>
      </c>
      <c r="BM1227" s="143"/>
      <c r="BN1227" s="143"/>
      <c r="BP1227" s="143" t="s">
        <v>232</v>
      </c>
      <c r="BQ1227" s="143"/>
      <c r="BR1227" t="s">
        <v>1195</v>
      </c>
      <c r="BS1227">
        <v>99553.342625698249</v>
      </c>
      <c r="BT1227">
        <v>105736.78005586576</v>
      </c>
      <c r="BU1227" s="144">
        <f>IFERROR(BT1227/BS1227,"")</f>
        <v>1.0621118012422353</v>
      </c>
      <c r="BV1227" s="144">
        <f>BT1227-BS1227</f>
        <v>6183.4374301675125</v>
      </c>
      <c r="BW1227" s="144"/>
      <c r="BX1227" s="144">
        <f>BV1227</f>
        <v>6183.4374301675125</v>
      </c>
      <c r="BY1227" t="str">
        <f>IFERROR(BX1227/BO1227,"")</f>
        <v/>
      </c>
      <c r="BZ1227">
        <v>0</v>
      </c>
      <c r="CA1227">
        <v>0</v>
      </c>
      <c r="CB1227">
        <v>0</v>
      </c>
      <c r="CC1227">
        <v>0</v>
      </c>
      <c r="CD1227">
        <v>0</v>
      </c>
      <c r="CE1227">
        <v>0</v>
      </c>
      <c r="CF1227">
        <v>0</v>
      </c>
      <c r="CG1227">
        <v>0</v>
      </c>
      <c r="CH1227">
        <v>0</v>
      </c>
      <c r="CI1227">
        <v>0</v>
      </c>
      <c r="CJ1227">
        <v>0</v>
      </c>
      <c r="CK1227">
        <v>0</v>
      </c>
      <c r="CL1227">
        <v>0</v>
      </c>
      <c r="CM1227">
        <v>1</v>
      </c>
      <c r="CN1227" t="str">
        <f>IF(BL1227&lt;BK1227,"refNeedCorrection","refOK")</f>
        <v>refOK</v>
      </c>
      <c r="CO1227"/>
      <c r="CP1227"/>
      <c r="CQ1227"/>
      <c r="CR1227">
        <f>IF($CN1227="refOK",$BS1227,$BT1227)*IF($BP1227="Emissions positive",-1,1)</f>
        <v>99553.342625698249</v>
      </c>
      <c r="CS1227">
        <f>IF($CN1227="refOK",$BT1227,$BS1227)*IF($BP1227="Emissions positive",-1,1)</f>
        <v>105736.78005586576</v>
      </c>
      <c r="CT1227">
        <f>IF($CN1227="refNeedCorrection",-BX1227,BX1227)*IF($BP1227="Emissions positive",-1,1)</f>
        <v>6183.4374301675125</v>
      </c>
      <c r="CU1227" t="str">
        <f>IFERROR(CT1227/CQ1227,"")</f>
        <v/>
      </c>
      <c r="CV1227" s="2">
        <f>IFERROR((CS1227-CR1227)/ABS(CR1227),"")</f>
        <v>6.2111801242235212E-2</v>
      </c>
      <c r="CW1227" s="1" t="s">
        <v>1199</v>
      </c>
      <c r="CX1227" t="str">
        <f>IF(OR($CW1227="prd",$CW1227="std",$CW1227="cit"),"loc",IF(OR($CW1227="eur",$CW1227="reg",$CW1227="coy"),"reg",$CW1227))</f>
        <v>reg</v>
      </c>
      <c r="CY1227" t="s">
        <v>235</v>
      </c>
      <c r="CZ1227">
        <v>2010</v>
      </c>
      <c r="DA1227">
        <v>2070</v>
      </c>
      <c r="DB1227">
        <f>DA1227-CZ1227</f>
        <v>60</v>
      </c>
      <c r="DC1227" t="str">
        <f>IF(DB1227=0,"0",IF(AND(DB1227&gt;=1,DB1227&lt;=30),"1-30",IF(AND(DB1227&gt;30,DB1227&lt;=70),"31-70",IF(AND(DB1227&gt;70,DB1227&lt;=100),"71-100",IF(DB1227&gt;100,"+100")))))</f>
        <v>31-70</v>
      </c>
      <c r="DD1227">
        <v>0</v>
      </c>
      <c r="DE1227">
        <v>1</v>
      </c>
      <c r="DF1227">
        <v>0</v>
      </c>
      <c r="DG1227">
        <v>0</v>
      </c>
      <c r="DH1227">
        <v>0</v>
      </c>
      <c r="DI1227">
        <f>SUM(DD1227:DG1227)</f>
        <v>1</v>
      </c>
      <c r="DJ1227" t="str">
        <f>IF(DI1227=1,INDEX($DD$7:$DG$7,MATCH(1,$DD1227:$DG1227,0)),"mixedProduct")</f>
        <v>EnergyInput</v>
      </c>
      <c r="DK1227">
        <f>IF(DD1227=1,DK$7,0)</f>
        <v>0</v>
      </c>
      <c r="DL1227" t="str">
        <f>IF(DE1227=1,DL$7,0)</f>
        <v>Energy</v>
      </c>
      <c r="DM1227">
        <f>IF(DF1227=1,DM$7,0)</f>
        <v>0</v>
      </c>
      <c r="DN1227">
        <f>IF(DG1227=1,DN$7,0)</f>
        <v>0</v>
      </c>
      <c r="DO1227">
        <v>0</v>
      </c>
      <c r="DP1227">
        <v>0</v>
      </c>
      <c r="DQ1227">
        <v>0</v>
      </c>
      <c r="DR1227">
        <v>0</v>
      </c>
      <c r="DS1227">
        <v>0</v>
      </c>
      <c r="DT1227">
        <f>SUM(DO1227:DP1227)</f>
        <v>0</v>
      </c>
      <c r="DU1227" s="143" t="str">
        <f>IF(DO1227=1,"self-calculated DF",IF(DP1227=1,"external DF used","explicit C balance"))</f>
        <v>explicit C balance</v>
      </c>
      <c r="DV1227">
        <v>1</v>
      </c>
      <c r="DW1227">
        <v>1</v>
      </c>
      <c r="DX1227">
        <v>1</v>
      </c>
      <c r="DY1227">
        <v>1</v>
      </c>
      <c r="DZ1227">
        <v>0</v>
      </c>
      <c r="EA1227" s="143">
        <v>0</v>
      </c>
      <c r="EB1227">
        <v>0</v>
      </c>
      <c r="EC1227">
        <v>0</v>
      </c>
      <c r="ED1227">
        <v>0</v>
      </c>
      <c r="EE1227">
        <v>0</v>
      </c>
      <c r="EF1227">
        <v>1</v>
      </c>
      <c r="EG1227">
        <v>0</v>
      </c>
      <c r="EH1227">
        <v>0</v>
      </c>
      <c r="EI1227" s="2">
        <v>0</v>
      </c>
      <c r="EK1227" t="str">
        <f>IF(AND(AND(AND(OR($DX1227=1,$DW1227=1),OR($EC1227=1,$EA1227=1)),SUM($DV1227:$DZ1227,$EF1227)&gt;=4),SUM($EA1227:$EE1227)&gt;=2),"Whole sector","")</f>
        <v/>
      </c>
      <c r="EL1227" t="str">
        <f>IF(AND(AND(OR($DX1227=1,$DW1227=1),AND($EC1227=0,$EA1227=0)),SUM($DV1227:$DZ1227,$EF1227)&gt;=4),"Ecosystem approach","")</f>
        <v>Ecosystem approach</v>
      </c>
      <c r="EM1227" s="2" t="str">
        <f>IF(AND(AND(AND($DX1227=0,$DW1227=0),OR($EC1227=1,$EA1227=1)),SUM($EB1227:$EE1227)&gt;=2),"Technology approach","")</f>
        <v/>
      </c>
      <c r="EP1227" t="b">
        <f>IF(ISNUMBER(BU1227),IF(ABS(BU1227-[1]QC_indicators!$B$2)&gt;3*[1]QC_indicators!$C$2,"C ratio",IF(ISNUMBER(BY1227),IF(ABS(BY1227-[1]QC_indicators!$B$1)&gt;3*[1]QC_indicators!$C$1,"DF","no"))),IF(ISNUMBER(BY1227),IF(ABS(BY1227-[1]QC_indicators!$B$1)&gt;3*[1]QC_indicators!$C$1,"DF","no")))</f>
        <v>0</v>
      </c>
      <c r="ET1227" s="264" t="s">
        <v>3273</v>
      </c>
    </row>
    <row r="1228" spans="1:150" ht="15" customHeight="1">
      <c r="A1228" s="1" t="s">
        <v>1423</v>
      </c>
      <c r="B1228" t="s">
        <v>2490</v>
      </c>
      <c r="C1228" t="s">
        <v>2491</v>
      </c>
      <c r="D1228" t="s">
        <v>2492</v>
      </c>
      <c r="E1228" t="s">
        <v>2493</v>
      </c>
      <c r="F1228" t="s">
        <v>2494</v>
      </c>
      <c r="G1228" t="s">
        <v>1429</v>
      </c>
      <c r="H1228" t="s">
        <v>254</v>
      </c>
      <c r="I1228">
        <v>2016</v>
      </c>
      <c r="J1228">
        <v>24</v>
      </c>
      <c r="K1228" t="s">
        <v>2495</v>
      </c>
      <c r="M1228" t="str">
        <f>LEFT($D1228,FIND(",",$D1228)-1)&amp;"_"&amp;I1228&amp;L1228</f>
        <v>Zubizarreta-Gerendiain_2016</v>
      </c>
      <c r="N1228" t="s">
        <v>222</v>
      </c>
      <c r="O1228" s="145" t="s">
        <v>1154</v>
      </c>
      <c r="Q1228" t="s">
        <v>256</v>
      </c>
      <c r="R1228" s="262" t="s">
        <v>223</v>
      </c>
      <c r="S1228" s="1" t="s">
        <v>2521</v>
      </c>
      <c r="T1228" t="s">
        <v>2511</v>
      </c>
      <c r="U1228" t="s">
        <v>2523</v>
      </c>
      <c r="V1228">
        <v>0</v>
      </c>
      <c r="W1228">
        <v>0</v>
      </c>
      <c r="X1228">
        <v>0</v>
      </c>
      <c r="Y1228">
        <v>0</v>
      </c>
      <c r="Z1228">
        <v>0</v>
      </c>
      <c r="AA1228">
        <v>0</v>
      </c>
      <c r="AB1228">
        <v>0</v>
      </c>
      <c r="AC1228">
        <v>0</v>
      </c>
      <c r="AD1228">
        <v>0</v>
      </c>
      <c r="AE1228">
        <v>0</v>
      </c>
      <c r="AF1228">
        <v>2</v>
      </c>
      <c r="AG1228">
        <v>0</v>
      </c>
      <c r="AH1228">
        <v>0</v>
      </c>
      <c r="AI1228">
        <v>0</v>
      </c>
      <c r="AJ1228">
        <v>0</v>
      </c>
      <c r="AK1228">
        <v>0</v>
      </c>
      <c r="AL1228">
        <v>0</v>
      </c>
      <c r="AM1228">
        <v>0</v>
      </c>
      <c r="AN1228">
        <v>1</v>
      </c>
      <c r="AO1228">
        <v>2</v>
      </c>
      <c r="AP1228">
        <v>0</v>
      </c>
      <c r="AQ1228">
        <v>0</v>
      </c>
      <c r="AR1228">
        <v>0</v>
      </c>
      <c r="AS1228">
        <v>0</v>
      </c>
      <c r="AT1228">
        <v>0</v>
      </c>
      <c r="AU1228">
        <v>0</v>
      </c>
      <c r="AV1228">
        <v>0</v>
      </c>
      <c r="AW1228">
        <v>0</v>
      </c>
      <c r="AX1228" s="141">
        <f>COUNTIF(V1228:AW1228,"&lt;&gt;0")</f>
        <v>3</v>
      </c>
      <c r="AY1228" s="141">
        <f>COUNTIF(V1228:AL1228,"&lt;&gt;0")</f>
        <v>1</v>
      </c>
      <c r="AZ1228">
        <f>COUNTIF(V1228:AC1228,"&lt;&gt;0")</f>
        <v>0</v>
      </c>
      <c r="BA1228">
        <f>COUNTIF(AD1228:AI1228,"&lt;&gt;0")</f>
        <v>1</v>
      </c>
      <c r="BB1228">
        <f>COUNTIF(AJ1228:AL1228,"&lt;&gt;0")</f>
        <v>0</v>
      </c>
      <c r="BC1228">
        <f>COUNTIF(AS1228:AW1228,"&lt;&gt;0")</f>
        <v>0</v>
      </c>
      <c r="BD1228">
        <f>COUNTIF(AM1228:AR1228,"&lt;&gt;0")</f>
        <v>2</v>
      </c>
      <c r="BE1228" t="str">
        <f t="array" ref="BE1228">IF(AY1228=1,INDEX($V$7:$AL$7,MATCH(TRUE,INDEX($V1228:$AW1228&lt;&gt;0,),0)),IF(AY1228=0,INDEX($AM$7:$AW$7,MATCH(1,$AM1228:$AW1228,0)),IF(BF1228="Multiple strategies","mixed drivers",IF(BF1228="Supply chain","multiple supply","multiple silviculture"))))</f>
        <v>supply chain organization</v>
      </c>
      <c r="BF1228" s="2" t="str" cm="1">
        <f t="array" ref="BF1228">IF(COUNTIF(AZ1228:BB1228,"&lt;&gt;0")=1,INDEX($V$4:$AW$4,MATCH(TRUE,INDEX($V1228:$AW1228&lt;&gt;0,),0)),IF(COUNTIF(AZ1228:BB1228,"&lt;&gt;0")=0,INDEX($AM$4:$AW$4,MATCH(1,$AM1228:$AW1228,0)),"Multiple strategies"))</f>
        <v>Supply chain</v>
      </c>
      <c r="BM1228" s="143"/>
      <c r="BN1228" s="143"/>
      <c r="BP1228" s="143" t="s">
        <v>232</v>
      </c>
      <c r="BQ1228" s="143"/>
      <c r="BR1228" t="s">
        <v>1195</v>
      </c>
      <c r="BS1228">
        <v>-3408.5271565495204</v>
      </c>
      <c r="BT1228">
        <v>8621.5686900957953</v>
      </c>
      <c r="BU1228" s="144">
        <f>IFERROR(BT1228/BS1228,"")</f>
        <v>-2.5294117647058676</v>
      </c>
      <c r="BV1228" s="144">
        <f>BT1228-BS1228</f>
        <v>12030.095846645316</v>
      </c>
      <c r="BW1228" s="144"/>
      <c r="BX1228" s="144">
        <f>BV1228</f>
        <v>12030.095846645316</v>
      </c>
      <c r="BY1228" t="str">
        <f>IFERROR(BX1228/BO1228,"")</f>
        <v/>
      </c>
      <c r="BZ1228">
        <v>0</v>
      </c>
      <c r="CA1228">
        <v>0</v>
      </c>
      <c r="CB1228">
        <v>0</v>
      </c>
      <c r="CC1228">
        <v>0</v>
      </c>
      <c r="CD1228">
        <v>0</v>
      </c>
      <c r="CE1228">
        <v>0</v>
      </c>
      <c r="CF1228">
        <v>0</v>
      </c>
      <c r="CG1228">
        <v>0</v>
      </c>
      <c r="CH1228">
        <v>0</v>
      </c>
      <c r="CI1228">
        <v>0</v>
      </c>
      <c r="CJ1228">
        <v>0</v>
      </c>
      <c r="CK1228">
        <v>0</v>
      </c>
      <c r="CL1228">
        <v>0</v>
      </c>
      <c r="CM1228">
        <v>1</v>
      </c>
      <c r="CN1228" t="str">
        <f>IF(BL1228&lt;BK1228,"refNeedCorrection","refOK")</f>
        <v>refOK</v>
      </c>
      <c r="CO1228"/>
      <c r="CP1228"/>
      <c r="CQ1228"/>
      <c r="CR1228">
        <f>IF($CN1228="refOK",$BS1228,$BT1228)*IF($BP1228="Emissions positive",-1,1)</f>
        <v>-3408.5271565495204</v>
      </c>
      <c r="CS1228">
        <f>IF($CN1228="refOK",$BT1228,$BS1228)*IF($BP1228="Emissions positive",-1,1)</f>
        <v>8621.5686900957953</v>
      </c>
      <c r="CT1228">
        <f>IF($CN1228="refNeedCorrection",-BX1228,BX1228)*IF($BP1228="Emissions positive",-1,1)</f>
        <v>12030.095846645316</v>
      </c>
      <c r="CU1228" t="str">
        <f>IFERROR(CT1228/CQ1228,"")</f>
        <v/>
      </c>
      <c r="CV1228" s="2">
        <f>IFERROR((CS1228-CR1228)/ABS(CR1228),"")</f>
        <v>3.5294117647058676</v>
      </c>
      <c r="CW1228" s="1" t="s">
        <v>1199</v>
      </c>
      <c r="CX1228" t="str">
        <f>IF(OR($CW1228="prd",$CW1228="std",$CW1228="cit"),"loc",IF(OR($CW1228="eur",$CW1228="reg",$CW1228="coy"),"reg",$CW1228))</f>
        <v>reg</v>
      </c>
      <c r="CY1228" t="s">
        <v>235</v>
      </c>
      <c r="CZ1228">
        <v>2010</v>
      </c>
      <c r="DA1228">
        <v>2070</v>
      </c>
      <c r="DB1228">
        <f>DA1228-CZ1228</f>
        <v>60</v>
      </c>
      <c r="DC1228" t="str">
        <f>IF(DB1228=0,"0",IF(AND(DB1228&gt;=1,DB1228&lt;=30),"1-30",IF(AND(DB1228&gt;30,DB1228&lt;=70),"31-70",IF(AND(DB1228&gt;70,DB1228&lt;=100),"71-100",IF(DB1228&gt;100,"+100")))))</f>
        <v>31-70</v>
      </c>
      <c r="DD1228">
        <v>1</v>
      </c>
      <c r="DE1228">
        <v>0</v>
      </c>
      <c r="DF1228">
        <v>0</v>
      </c>
      <c r="DG1228">
        <v>0</v>
      </c>
      <c r="DH1228">
        <v>0</v>
      </c>
      <c r="DI1228">
        <f>SUM(DD1228:DG1228)</f>
        <v>1</v>
      </c>
      <c r="DJ1228" t="str">
        <f>IF(DI1228=1,INDEX($DD$7:$DG$7,MATCH(1,$DD1228:$DG1228,0)),"mixedProduct")</f>
        <v>UpstreamInput</v>
      </c>
      <c r="DK1228" t="str">
        <f>IF(DD1228=1,DK$7,0)</f>
        <v>Upstream</v>
      </c>
      <c r="DL1228">
        <f>IF(DE1228=1,DL$7,0)</f>
        <v>0</v>
      </c>
      <c r="DM1228">
        <f>IF(DF1228=1,DM$7,0)</f>
        <v>0</v>
      </c>
      <c r="DN1228">
        <f>IF(DG1228=1,DN$7,0)</f>
        <v>0</v>
      </c>
      <c r="DO1228">
        <v>0</v>
      </c>
      <c r="DP1228">
        <v>0</v>
      </c>
      <c r="DQ1228">
        <v>0</v>
      </c>
      <c r="DR1228">
        <v>0</v>
      </c>
      <c r="DS1228">
        <v>0</v>
      </c>
      <c r="DT1228">
        <f>SUM(DO1228:DP1228)</f>
        <v>0</v>
      </c>
      <c r="DU1228" s="143" t="str">
        <f>IF(DO1228=1,"self-calculated DF",IF(DP1228=1,"external DF used","explicit C balance"))</f>
        <v>explicit C balance</v>
      </c>
      <c r="DV1228">
        <v>1</v>
      </c>
      <c r="DW1228">
        <v>1</v>
      </c>
      <c r="DX1228">
        <v>1</v>
      </c>
      <c r="DY1228">
        <v>1</v>
      </c>
      <c r="DZ1228">
        <v>0</v>
      </c>
      <c r="EA1228" s="143">
        <v>0</v>
      </c>
      <c r="EB1228">
        <v>0</v>
      </c>
      <c r="EC1228">
        <v>0</v>
      </c>
      <c r="ED1228">
        <v>0</v>
      </c>
      <c r="EE1228">
        <v>0</v>
      </c>
      <c r="EF1228">
        <v>1</v>
      </c>
      <c r="EG1228">
        <v>0</v>
      </c>
      <c r="EH1228">
        <v>0</v>
      </c>
      <c r="EI1228" s="2">
        <v>0</v>
      </c>
      <c r="EK1228" t="str">
        <f>IF(AND(AND(AND(OR($DX1228=1,$DW1228=1),OR($EC1228=1,$EA1228=1)),SUM($DV1228:$DZ1228,$EF1228)&gt;=4),SUM($EA1228:$EE1228)&gt;=2),"Whole sector","")</f>
        <v/>
      </c>
      <c r="EL1228" t="str">
        <f>IF(AND(AND(OR($DX1228=1,$DW1228=1),AND($EC1228=0,$EA1228=0)),SUM($DV1228:$DZ1228,$EF1228)&gt;=4),"Ecosystem approach","")</f>
        <v>Ecosystem approach</v>
      </c>
      <c r="EM1228" s="2" t="str">
        <f>IF(AND(AND(AND($DX1228=0,$DW1228=0),OR($EC1228=1,$EA1228=1)),SUM($EB1228:$EE1228)&gt;=2),"Technology approach","")</f>
        <v/>
      </c>
      <c r="EN1228" t="s">
        <v>2508</v>
      </c>
      <c r="EP1228" t="b">
        <f>IF(ISNUMBER(BU1228),IF(ABS(BU1228-[1]QC_indicators!$B$2)&gt;3*[1]QC_indicators!$C$2,"C ratio",IF(ISNUMBER(BY1228),IF(ABS(BY1228-[1]QC_indicators!$B$1)&gt;3*[1]QC_indicators!$C$1,"DF","no"))),IF(ISNUMBER(BY1228),IF(ABS(BY1228-[1]QC_indicators!$B$1)&gt;3*[1]QC_indicators!$C$1,"DF","no")))</f>
        <v>0</v>
      </c>
      <c r="ET1228" s="264" t="s">
        <v>3273</v>
      </c>
    </row>
    <row r="1229" spans="1:150" ht="15" customHeight="1">
      <c r="A1229" s="1" t="s">
        <v>1423</v>
      </c>
      <c r="B1229" t="s">
        <v>2490</v>
      </c>
      <c r="C1229" t="s">
        <v>2491</v>
      </c>
      <c r="D1229" t="s">
        <v>2492</v>
      </c>
      <c r="E1229" t="s">
        <v>2493</v>
      </c>
      <c r="F1229" t="s">
        <v>2494</v>
      </c>
      <c r="G1229" t="s">
        <v>1429</v>
      </c>
      <c r="H1229" t="s">
        <v>254</v>
      </c>
      <c r="I1229">
        <v>2016</v>
      </c>
      <c r="J1229">
        <v>24</v>
      </c>
      <c r="K1229" t="s">
        <v>2495</v>
      </c>
      <c r="M1229" t="str">
        <f>LEFT($D1229,FIND(",",$D1229)-1)&amp;"_"&amp;I1229&amp;L1229</f>
        <v>Zubizarreta-Gerendiain_2016</v>
      </c>
      <c r="N1229" t="s">
        <v>222</v>
      </c>
      <c r="O1229" s="145" t="s">
        <v>1154</v>
      </c>
      <c r="Q1229" t="s">
        <v>256</v>
      </c>
      <c r="R1229" s="262" t="s">
        <v>223</v>
      </c>
      <c r="S1229" s="1" t="s">
        <v>2521</v>
      </c>
      <c r="T1229" t="s">
        <v>2515</v>
      </c>
      <c r="U1229" t="s">
        <v>2522</v>
      </c>
      <c r="V1229">
        <v>0</v>
      </c>
      <c r="W1229">
        <v>0</v>
      </c>
      <c r="X1229">
        <v>0</v>
      </c>
      <c r="Y1229">
        <v>0</v>
      </c>
      <c r="Z1229">
        <v>0</v>
      </c>
      <c r="AA1229">
        <v>0</v>
      </c>
      <c r="AB1229">
        <v>0</v>
      </c>
      <c r="AC1229">
        <v>0</v>
      </c>
      <c r="AD1229">
        <v>0</v>
      </c>
      <c r="AE1229">
        <v>0</v>
      </c>
      <c r="AF1229">
        <v>2</v>
      </c>
      <c r="AG1229">
        <v>0</v>
      </c>
      <c r="AH1229">
        <v>0</v>
      </c>
      <c r="AI1229">
        <v>0</v>
      </c>
      <c r="AJ1229">
        <v>0</v>
      </c>
      <c r="AK1229">
        <v>0</v>
      </c>
      <c r="AL1229">
        <v>0</v>
      </c>
      <c r="AM1229">
        <v>0</v>
      </c>
      <c r="AN1229">
        <v>1</v>
      </c>
      <c r="AO1229">
        <v>2</v>
      </c>
      <c r="AP1229">
        <v>0</v>
      </c>
      <c r="AQ1229">
        <v>0</v>
      </c>
      <c r="AR1229">
        <v>0</v>
      </c>
      <c r="AS1229">
        <v>0</v>
      </c>
      <c r="AT1229">
        <v>0</v>
      </c>
      <c r="AU1229">
        <v>0</v>
      </c>
      <c r="AV1229">
        <v>0</v>
      </c>
      <c r="AW1229">
        <v>0</v>
      </c>
      <c r="AX1229" s="141">
        <f>COUNTIF(V1229:AW1229,"&lt;&gt;0")</f>
        <v>3</v>
      </c>
      <c r="AY1229" s="141">
        <f>COUNTIF(V1229:AL1229,"&lt;&gt;0")</f>
        <v>1</v>
      </c>
      <c r="AZ1229">
        <f>COUNTIF(V1229:AC1229,"&lt;&gt;0")</f>
        <v>0</v>
      </c>
      <c r="BA1229">
        <f>COUNTIF(AD1229:AI1229,"&lt;&gt;0")</f>
        <v>1</v>
      </c>
      <c r="BB1229">
        <f>COUNTIF(AJ1229:AL1229,"&lt;&gt;0")</f>
        <v>0</v>
      </c>
      <c r="BC1229">
        <f>COUNTIF(AS1229:AW1229,"&lt;&gt;0")</f>
        <v>0</v>
      </c>
      <c r="BD1229">
        <f>COUNTIF(AM1229:AR1229,"&lt;&gt;0")</f>
        <v>2</v>
      </c>
      <c r="BE1229" t="str">
        <f t="array" ref="BE1229">IF(AY1229=1,INDEX($V$7:$AL$7,MATCH(TRUE,INDEX($V1229:$AW1229&lt;&gt;0,),0)),IF(AY1229=0,INDEX($AM$7:$AW$7,MATCH(1,$AM1229:$AW1229,0)),IF(BF1229="Multiple strategies","mixed drivers",IF(BF1229="Supply chain","multiple supply","multiple silviculture"))))</f>
        <v>supply chain organization</v>
      </c>
      <c r="BF1229" s="2" t="str" cm="1">
        <f t="array" ref="BF1229">IF(COUNTIF(AZ1229:BB1229,"&lt;&gt;0")=1,INDEX($V$4:$AW$4,MATCH(TRUE,INDEX($V1229:$AW1229&lt;&gt;0,),0)),IF(COUNTIF(AZ1229:BB1229,"&lt;&gt;0")=0,INDEX($AM$4:$AW$4,MATCH(1,$AM1229:$AW1229,0)),"Multiple strategies"))</f>
        <v>Supply chain</v>
      </c>
      <c r="BM1229" s="143"/>
      <c r="BN1229" s="143"/>
      <c r="BP1229" s="143" t="s">
        <v>232</v>
      </c>
      <c r="BQ1229" s="143"/>
      <c r="BR1229" t="s">
        <v>1195</v>
      </c>
      <c r="BS1229">
        <v>-35451.70793296078</v>
      </c>
      <c r="BT1229">
        <v>-18962.541452513949</v>
      </c>
      <c r="BU1229" s="144">
        <f>IFERROR(BT1229/BS1229,"")</f>
        <v>0.53488372093023384</v>
      </c>
      <c r="BV1229" s="144">
        <f>BT1229-BS1229</f>
        <v>16489.166480446831</v>
      </c>
      <c r="BW1229" s="144"/>
      <c r="BX1229" s="144">
        <f>BV1229</f>
        <v>16489.166480446831</v>
      </c>
      <c r="BY1229" t="str">
        <f>IFERROR(BX1229/BO1229,"")</f>
        <v/>
      </c>
      <c r="BZ1229">
        <v>0</v>
      </c>
      <c r="CA1229">
        <v>0</v>
      </c>
      <c r="CB1229">
        <v>0</v>
      </c>
      <c r="CC1229">
        <v>0</v>
      </c>
      <c r="CD1229">
        <v>0</v>
      </c>
      <c r="CE1229">
        <v>0</v>
      </c>
      <c r="CF1229">
        <v>0</v>
      </c>
      <c r="CG1229">
        <v>0</v>
      </c>
      <c r="CH1229">
        <v>0</v>
      </c>
      <c r="CI1229">
        <v>0</v>
      </c>
      <c r="CJ1229">
        <v>0</v>
      </c>
      <c r="CK1229">
        <v>0</v>
      </c>
      <c r="CL1229">
        <v>0</v>
      </c>
      <c r="CM1229">
        <v>1</v>
      </c>
      <c r="CN1229" t="str">
        <f>IF(BL1229&lt;BK1229,"refNeedCorrection","refOK")</f>
        <v>refOK</v>
      </c>
      <c r="CO1229"/>
      <c r="CP1229"/>
      <c r="CQ1229"/>
      <c r="CR1229">
        <f>IF($CN1229="refOK",$BS1229,$BT1229)*IF($BP1229="Emissions positive",-1,1)</f>
        <v>-35451.70793296078</v>
      </c>
      <c r="CS1229">
        <f>IF($CN1229="refOK",$BT1229,$BS1229)*IF($BP1229="Emissions positive",-1,1)</f>
        <v>-18962.541452513949</v>
      </c>
      <c r="CT1229">
        <f>IF($CN1229="refNeedCorrection",-BX1229,BX1229)*IF($BP1229="Emissions positive",-1,1)</f>
        <v>16489.166480446831</v>
      </c>
      <c r="CU1229" t="str">
        <f>IFERROR(CT1229/CQ1229,"")</f>
        <v/>
      </c>
      <c r="CV1229" s="2">
        <f>IFERROR((CS1229-CR1229)/ABS(CR1229),"")</f>
        <v>0.46511627906976621</v>
      </c>
      <c r="CW1229" s="1" t="s">
        <v>1199</v>
      </c>
      <c r="CX1229" t="str">
        <f>IF(OR($CW1229="prd",$CW1229="std",$CW1229="cit"),"loc",IF(OR($CW1229="eur",$CW1229="reg",$CW1229="coy"),"reg",$CW1229))</f>
        <v>reg</v>
      </c>
      <c r="CY1229" t="s">
        <v>235</v>
      </c>
      <c r="CZ1229">
        <v>2010</v>
      </c>
      <c r="DA1229">
        <v>2070</v>
      </c>
      <c r="DB1229">
        <f>DA1229-CZ1229</f>
        <v>60</v>
      </c>
      <c r="DC1229" t="str">
        <f>IF(DB1229=0,"0",IF(AND(DB1229&gt;=1,DB1229&lt;=30),"1-30",IF(AND(DB1229&gt;30,DB1229&lt;=70),"31-70",IF(AND(DB1229&gt;70,DB1229&lt;=100),"71-100",IF(DB1229&gt;100,"+100")))))</f>
        <v>31-70</v>
      </c>
      <c r="DD1229">
        <v>1</v>
      </c>
      <c r="DE1229">
        <v>0</v>
      </c>
      <c r="DF1229">
        <v>0</v>
      </c>
      <c r="DG1229">
        <v>0</v>
      </c>
      <c r="DH1229">
        <v>0</v>
      </c>
      <c r="DI1229">
        <f>SUM(DD1229:DG1229)</f>
        <v>1</v>
      </c>
      <c r="DJ1229" t="str">
        <f>IF(DI1229=1,INDEX($DD$7:$DG$7,MATCH(1,$DD1229:$DG1229,0)),"mixedProduct")</f>
        <v>UpstreamInput</v>
      </c>
      <c r="DK1229" t="str">
        <f>IF(DD1229=1,DK$7,0)</f>
        <v>Upstream</v>
      </c>
      <c r="DL1229">
        <f>IF(DE1229=1,DL$7,0)</f>
        <v>0</v>
      </c>
      <c r="DM1229">
        <f>IF(DF1229=1,DM$7,0)</f>
        <v>0</v>
      </c>
      <c r="DN1229">
        <f>IF(DG1229=1,DN$7,0)</f>
        <v>0</v>
      </c>
      <c r="DO1229">
        <v>0</v>
      </c>
      <c r="DP1229">
        <v>0</v>
      </c>
      <c r="DQ1229">
        <v>0</v>
      </c>
      <c r="DR1229">
        <v>0</v>
      </c>
      <c r="DS1229">
        <v>0</v>
      </c>
      <c r="DT1229">
        <f>SUM(DO1229:DP1229)</f>
        <v>0</v>
      </c>
      <c r="DU1229" s="143" t="str">
        <f>IF(DO1229=1,"self-calculated DF",IF(DP1229=1,"external DF used","explicit C balance"))</f>
        <v>explicit C balance</v>
      </c>
      <c r="DV1229">
        <v>1</v>
      </c>
      <c r="DW1229">
        <v>1</v>
      </c>
      <c r="DX1229">
        <v>1</v>
      </c>
      <c r="DY1229">
        <v>1</v>
      </c>
      <c r="DZ1229">
        <v>0</v>
      </c>
      <c r="EA1229" s="143">
        <v>0</v>
      </c>
      <c r="EB1229">
        <v>0</v>
      </c>
      <c r="EC1229">
        <v>0</v>
      </c>
      <c r="ED1229">
        <v>0</v>
      </c>
      <c r="EE1229">
        <v>0</v>
      </c>
      <c r="EF1229">
        <v>1</v>
      </c>
      <c r="EG1229">
        <v>0</v>
      </c>
      <c r="EH1229">
        <v>0</v>
      </c>
      <c r="EI1229" s="2">
        <v>0</v>
      </c>
      <c r="EK1229" t="str">
        <f>IF(AND(AND(AND(OR($DX1229=1,$DW1229=1),OR($EC1229=1,$EA1229=1)),SUM($DV1229:$DZ1229,$EF1229)&gt;=4),SUM($EA1229:$EE1229)&gt;=2),"Whole sector","")</f>
        <v/>
      </c>
      <c r="EL1229" t="str">
        <f>IF(AND(AND(OR($DX1229=1,$DW1229=1),AND($EC1229=0,$EA1229=0)),SUM($DV1229:$DZ1229,$EF1229)&gt;=4),"Ecosystem approach","")</f>
        <v>Ecosystem approach</v>
      </c>
      <c r="EM1229" s="2" t="str">
        <f>IF(AND(AND(AND($DX1229=0,$DW1229=0),OR($EC1229=1,$EA1229=1)),SUM($EB1229:$EE1229)&gt;=2),"Technology approach","")</f>
        <v/>
      </c>
      <c r="EN1229" t="s">
        <v>2508</v>
      </c>
      <c r="EP1229" t="b">
        <f>IF(ISNUMBER(BU1229),IF(ABS(BU1229-[1]QC_indicators!$B$2)&gt;3*[1]QC_indicators!$C$2,"C ratio",IF(ISNUMBER(BY1229),IF(ABS(BY1229-[1]QC_indicators!$B$1)&gt;3*[1]QC_indicators!$C$1,"DF","no"))),IF(ISNUMBER(BY1229),IF(ABS(BY1229-[1]QC_indicators!$B$1)&gt;3*[1]QC_indicators!$C$1,"DF","no")))</f>
        <v>0</v>
      </c>
      <c r="ET1229" s="264" t="s">
        <v>3273</v>
      </c>
    </row>
    <row r="1230" spans="1:150" ht="15" customHeight="1">
      <c r="A1230" s="1" t="s">
        <v>1423</v>
      </c>
      <c r="B1230" t="s">
        <v>2490</v>
      </c>
      <c r="C1230" t="s">
        <v>2491</v>
      </c>
      <c r="D1230" t="s">
        <v>2492</v>
      </c>
      <c r="E1230" t="s">
        <v>2493</v>
      </c>
      <c r="F1230" t="s">
        <v>2494</v>
      </c>
      <c r="G1230" t="s">
        <v>1429</v>
      </c>
      <c r="H1230" t="s">
        <v>254</v>
      </c>
      <c r="I1230">
        <v>2016</v>
      </c>
      <c r="J1230">
        <v>24</v>
      </c>
      <c r="K1230" t="s">
        <v>2495</v>
      </c>
      <c r="M1230" t="str">
        <f>LEFT($D1230,FIND(",",$D1230)-1)&amp;"_"&amp;I1230&amp;L1230</f>
        <v>Zubizarreta-Gerendiain_2016</v>
      </c>
      <c r="N1230" t="s">
        <v>222</v>
      </c>
      <c r="O1230" s="145" t="s">
        <v>1154</v>
      </c>
      <c r="Q1230" t="s">
        <v>256</v>
      </c>
      <c r="R1230" s="262" t="s">
        <v>223</v>
      </c>
      <c r="S1230" s="1" t="s">
        <v>2526</v>
      </c>
      <c r="T1230" t="s">
        <v>2510</v>
      </c>
      <c r="U1230" t="s">
        <v>2529</v>
      </c>
      <c r="V1230">
        <v>0</v>
      </c>
      <c r="W1230">
        <v>0</v>
      </c>
      <c r="X1230">
        <v>0</v>
      </c>
      <c r="Y1230">
        <v>1</v>
      </c>
      <c r="Z1230">
        <v>0</v>
      </c>
      <c r="AA1230">
        <v>0</v>
      </c>
      <c r="AB1230">
        <v>0</v>
      </c>
      <c r="AC1230">
        <v>0</v>
      </c>
      <c r="AD1230">
        <v>0</v>
      </c>
      <c r="AE1230">
        <v>0</v>
      </c>
      <c r="AF1230">
        <v>0</v>
      </c>
      <c r="AG1230">
        <v>0</v>
      </c>
      <c r="AH1230">
        <v>0</v>
      </c>
      <c r="AI1230">
        <v>0</v>
      </c>
      <c r="AJ1230">
        <v>0</v>
      </c>
      <c r="AK1230">
        <v>0</v>
      </c>
      <c r="AL1230">
        <v>0</v>
      </c>
      <c r="AM1230">
        <v>0</v>
      </c>
      <c r="AN1230">
        <v>2</v>
      </c>
      <c r="AO1230">
        <v>2</v>
      </c>
      <c r="AP1230">
        <v>0</v>
      </c>
      <c r="AQ1230">
        <v>0</v>
      </c>
      <c r="AR1230">
        <v>0</v>
      </c>
      <c r="AS1230">
        <v>0</v>
      </c>
      <c r="AT1230">
        <v>0</v>
      </c>
      <c r="AU1230">
        <v>0</v>
      </c>
      <c r="AV1230">
        <v>0</v>
      </c>
      <c r="AW1230">
        <v>0</v>
      </c>
      <c r="AX1230" s="141">
        <f>COUNTIF(V1230:AW1230,"&lt;&gt;0")</f>
        <v>3</v>
      </c>
      <c r="AY1230" s="141">
        <f>COUNTIF(V1230:AL1230,"&lt;&gt;0")</f>
        <v>1</v>
      </c>
      <c r="AZ1230">
        <f>COUNTIF(V1230:AC1230,"&lt;&gt;0")</f>
        <v>1</v>
      </c>
      <c r="BA1230">
        <f>COUNTIF(AD1230:AI1230,"&lt;&gt;0")</f>
        <v>0</v>
      </c>
      <c r="BB1230">
        <f>COUNTIF(AJ1230:AL1230,"&lt;&gt;0")</f>
        <v>0</v>
      </c>
      <c r="BC1230">
        <f>COUNTIF(AS1230:AW1230,"&lt;&gt;0")</f>
        <v>0</v>
      </c>
      <c r="BD1230">
        <f>COUNTIF(AM1230:AR1230,"&lt;&gt;0")</f>
        <v>2</v>
      </c>
      <c r="BE1230" t="str">
        <f t="array" ref="BE1230">IF(AY1230=1,INDEX($V$7:$AL$7,MATCH(TRUE,INDEX($V1230:$AW1230&lt;&gt;0,),0)),IF(AY1230=0,INDEX($AM$7:$AW$7,MATCH(1,$AM1230:$AW1230,0)),IF(BF1230="Multiple strategies","mixed drivers",IF(BF1230="Supply chain","multiple supply","multiple silviculture"))))</f>
        <v xml:space="preserve">cutting intensity </v>
      </c>
      <c r="BF1230" s="2" t="str" cm="1">
        <f t="array" ref="BF1230">IF(COUNTIF(AZ1230:BB1230,"&lt;&gt;0")=1,INDEX($V$4:$AW$4,MATCH(TRUE,INDEX($V1230:$AW1230&lt;&gt;0,),0)),IF(COUNTIF(AZ1230:BB1230,"&lt;&gt;0")=0,INDEX($AM$4:$AW$4,MATCH(1,$AM1230:$AW1230,0)),"Multiple strategies"))</f>
        <v>Silviculture for removals</v>
      </c>
      <c r="BM1230" s="143"/>
      <c r="BN1230" s="143"/>
      <c r="BP1230" s="143" t="s">
        <v>232</v>
      </c>
      <c r="BQ1230" s="143"/>
      <c r="BR1230" t="s">
        <v>1195</v>
      </c>
      <c r="BS1230">
        <v>144211.00407709272</v>
      </c>
      <c r="BT1230">
        <v>147828.63380281517</v>
      </c>
      <c r="BU1230" s="144">
        <f>IFERROR(BT1230/BS1230,"")</f>
        <v>1.025085670465123</v>
      </c>
      <c r="BV1230" s="144">
        <f>BT1230-BS1230</f>
        <v>3617.6297257224505</v>
      </c>
      <c r="BW1230" s="144"/>
      <c r="BX1230" s="144">
        <f>BV1230</f>
        <v>3617.6297257224505</v>
      </c>
      <c r="BY1230" t="str">
        <f>IFERROR(BX1230/BO1230,"")</f>
        <v/>
      </c>
      <c r="BZ1230">
        <v>0</v>
      </c>
      <c r="CA1230">
        <v>0</v>
      </c>
      <c r="CB1230">
        <v>0</v>
      </c>
      <c r="CC1230">
        <v>0</v>
      </c>
      <c r="CD1230">
        <v>0</v>
      </c>
      <c r="CE1230">
        <v>0</v>
      </c>
      <c r="CF1230">
        <v>0</v>
      </c>
      <c r="CG1230">
        <v>0</v>
      </c>
      <c r="CH1230">
        <v>0</v>
      </c>
      <c r="CI1230">
        <v>0</v>
      </c>
      <c r="CJ1230">
        <v>0</v>
      </c>
      <c r="CK1230">
        <v>0</v>
      </c>
      <c r="CL1230">
        <v>0</v>
      </c>
      <c r="CM1230">
        <v>1</v>
      </c>
      <c r="CN1230" t="str">
        <f>IF(BL1230&lt;BK1230,"refNeedCorrection","refOK")</f>
        <v>refOK</v>
      </c>
      <c r="CO1230"/>
      <c r="CP1230"/>
      <c r="CQ1230"/>
      <c r="CR1230">
        <f>IF($CN1230="refOK",$BS1230,$BT1230)*IF($BP1230="Emissions positive",-1,1)</f>
        <v>144211.00407709272</v>
      </c>
      <c r="CS1230">
        <f>IF($CN1230="refOK",$BT1230,$BS1230)*IF($BP1230="Emissions positive",-1,1)</f>
        <v>147828.63380281517</v>
      </c>
      <c r="CT1230">
        <f>IF($CN1230="refNeedCorrection",-BX1230,BX1230)*IF($BP1230="Emissions positive",-1,1)</f>
        <v>3617.6297257224505</v>
      </c>
      <c r="CU1230" t="str">
        <f>IFERROR(CT1230/CQ1230,"")</f>
        <v/>
      </c>
      <c r="CV1230" s="2">
        <f>IFERROR((CS1230-CR1230)/ABS(CR1230),"")</f>
        <v>2.5085670465122955E-2</v>
      </c>
      <c r="CW1230" s="1" t="s">
        <v>1199</v>
      </c>
      <c r="CX1230" t="str">
        <f>IF(OR($CW1230="prd",$CW1230="std",$CW1230="cit"),"loc",IF(OR($CW1230="eur",$CW1230="reg",$CW1230="coy"),"reg",$CW1230))</f>
        <v>reg</v>
      </c>
      <c r="CY1230" t="s">
        <v>235</v>
      </c>
      <c r="CZ1230">
        <v>2010</v>
      </c>
      <c r="DA1230">
        <v>2070</v>
      </c>
      <c r="DB1230">
        <f>DA1230-CZ1230</f>
        <v>60</v>
      </c>
      <c r="DC1230" t="str">
        <f>IF(DB1230=0,"0",IF(AND(DB1230&gt;=1,DB1230&lt;=30),"1-30",IF(AND(DB1230&gt;30,DB1230&lt;=70),"31-70",IF(AND(DB1230&gt;70,DB1230&lt;=100),"71-100",IF(DB1230&gt;100,"+100")))))</f>
        <v>31-70</v>
      </c>
      <c r="DD1230">
        <v>0</v>
      </c>
      <c r="DE1230">
        <v>1</v>
      </c>
      <c r="DF1230">
        <v>0</v>
      </c>
      <c r="DG1230">
        <v>0</v>
      </c>
      <c r="DH1230">
        <v>0</v>
      </c>
      <c r="DI1230">
        <f>SUM(DD1230:DG1230)</f>
        <v>1</v>
      </c>
      <c r="DJ1230" t="str">
        <f>IF(DI1230=1,INDEX($DD$7:$DG$7,MATCH(1,$DD1230:$DG1230,0)),"mixedProduct")</f>
        <v>EnergyInput</v>
      </c>
      <c r="DK1230">
        <f>IF(DD1230=1,DK$7,0)</f>
        <v>0</v>
      </c>
      <c r="DL1230" t="str">
        <f>IF(DE1230=1,DL$7,0)</f>
        <v>Energy</v>
      </c>
      <c r="DM1230">
        <f>IF(DF1230=1,DM$7,0)</f>
        <v>0</v>
      </c>
      <c r="DN1230">
        <f>IF(DG1230=1,DN$7,0)</f>
        <v>0</v>
      </c>
      <c r="DO1230">
        <v>0</v>
      </c>
      <c r="DP1230">
        <v>1</v>
      </c>
      <c r="DQ1230" t="s">
        <v>2524</v>
      </c>
      <c r="DR1230" t="s">
        <v>2525</v>
      </c>
      <c r="DS1230">
        <v>0</v>
      </c>
      <c r="DT1230">
        <f>SUM(DO1230:DP1230)</f>
        <v>1</v>
      </c>
      <c r="DU1230" s="143" t="str">
        <f>IF(DO1230=1,"self-calculated DF",IF(DP1230=1,"external DF used","explicit C balance"))</f>
        <v>external DF used</v>
      </c>
      <c r="DV1230">
        <v>1</v>
      </c>
      <c r="DW1230">
        <v>1</v>
      </c>
      <c r="DX1230">
        <v>1</v>
      </c>
      <c r="DY1230">
        <v>1</v>
      </c>
      <c r="DZ1230">
        <v>0</v>
      </c>
      <c r="EA1230" s="143">
        <v>0</v>
      </c>
      <c r="EB1230">
        <v>1</v>
      </c>
      <c r="EC1230">
        <v>1</v>
      </c>
      <c r="ED1230">
        <v>0</v>
      </c>
      <c r="EE1230">
        <v>0</v>
      </c>
      <c r="EF1230">
        <v>1</v>
      </c>
      <c r="EG1230">
        <v>0</v>
      </c>
      <c r="EH1230">
        <v>0</v>
      </c>
      <c r="EI1230" s="2">
        <v>0</v>
      </c>
      <c r="EK1230" t="str">
        <f>IF(AND(AND(AND(OR($DX1230=1,$DW1230=1),OR($EC1230=1,$EA1230=1)),SUM($DV1230:$DZ1230,$EF1230)&gt;=4),SUM($EA1230:$EE1230)&gt;=2),"Whole sector","")</f>
        <v>Whole sector</v>
      </c>
      <c r="EL1230" t="str">
        <f>IF(AND(AND(OR($DX1230=1,$DW1230=1),AND($EC1230=0,$EA1230=0)),SUM($DV1230:$DZ1230,$EF1230)&gt;=4),"Ecosystem approach","")</f>
        <v/>
      </c>
      <c r="EM1230" s="2" t="str">
        <f>IF(AND(AND(AND($DX1230=0,$DW1230=0),OR($EC1230=1,$EA1230=1)),SUM($EB1230:$EE1230)&gt;=2),"Technology approach","")</f>
        <v/>
      </c>
      <c r="EP1230" t="b">
        <f>IF(ISNUMBER(BU1230),IF(ABS(BU1230-[1]QC_indicators!$B$2)&gt;3*[1]QC_indicators!$C$2,"C ratio",IF(ISNUMBER(BY1230),IF(ABS(BY1230-[1]QC_indicators!$B$1)&gt;3*[1]QC_indicators!$C$1,"DF","no"))),IF(ISNUMBER(BY1230),IF(ABS(BY1230-[1]QC_indicators!$B$1)&gt;3*[1]QC_indicators!$C$1,"DF","no")))</f>
        <v>0</v>
      </c>
      <c r="ET1230" s="264" t="s">
        <v>3273</v>
      </c>
    </row>
    <row r="1231" spans="1:150" ht="15" customHeight="1">
      <c r="A1231" s="1" t="s">
        <v>1423</v>
      </c>
      <c r="B1231" t="s">
        <v>2490</v>
      </c>
      <c r="C1231" t="s">
        <v>2491</v>
      </c>
      <c r="D1231" t="s">
        <v>2492</v>
      </c>
      <c r="E1231" t="s">
        <v>2493</v>
      </c>
      <c r="F1231" t="s">
        <v>2494</v>
      </c>
      <c r="G1231" t="s">
        <v>1429</v>
      </c>
      <c r="H1231" t="s">
        <v>254</v>
      </c>
      <c r="I1231">
        <v>2016</v>
      </c>
      <c r="J1231">
        <v>24</v>
      </c>
      <c r="K1231" t="s">
        <v>2495</v>
      </c>
      <c r="M1231" t="str">
        <f>LEFT($D1231,FIND(",",$D1231)-1)&amp;"_"&amp;I1231&amp;L1231</f>
        <v>Zubizarreta-Gerendiain_2016</v>
      </c>
      <c r="N1231" t="s">
        <v>222</v>
      </c>
      <c r="O1231" s="145" t="s">
        <v>1154</v>
      </c>
      <c r="Q1231" t="s">
        <v>256</v>
      </c>
      <c r="R1231" s="262" t="s">
        <v>223</v>
      </c>
      <c r="S1231" s="1" t="s">
        <v>2526</v>
      </c>
      <c r="T1231" t="s">
        <v>2510</v>
      </c>
      <c r="U1231" t="s">
        <v>2529</v>
      </c>
      <c r="V1231">
        <v>0</v>
      </c>
      <c r="W1231">
        <v>0</v>
      </c>
      <c r="X1231">
        <v>0</v>
      </c>
      <c r="Y1231">
        <v>1</v>
      </c>
      <c r="Z1231">
        <v>0</v>
      </c>
      <c r="AA1231">
        <v>0</v>
      </c>
      <c r="AB1231">
        <v>0</v>
      </c>
      <c r="AC1231">
        <v>0</v>
      </c>
      <c r="AD1231">
        <v>0</v>
      </c>
      <c r="AE1231">
        <v>0</v>
      </c>
      <c r="AF1231">
        <v>0</v>
      </c>
      <c r="AG1231">
        <v>0</v>
      </c>
      <c r="AH1231">
        <v>0</v>
      </c>
      <c r="AI1231">
        <v>0</v>
      </c>
      <c r="AJ1231">
        <v>0</v>
      </c>
      <c r="AK1231">
        <v>0</v>
      </c>
      <c r="AL1231">
        <v>0</v>
      </c>
      <c r="AM1231">
        <v>0</v>
      </c>
      <c r="AN1231">
        <v>2</v>
      </c>
      <c r="AO1231">
        <v>2</v>
      </c>
      <c r="AP1231">
        <v>0</v>
      </c>
      <c r="AQ1231">
        <v>0</v>
      </c>
      <c r="AR1231">
        <v>0</v>
      </c>
      <c r="AS1231">
        <v>0</v>
      </c>
      <c r="AT1231">
        <v>0</v>
      </c>
      <c r="AU1231">
        <v>0</v>
      </c>
      <c r="AV1231">
        <v>0</v>
      </c>
      <c r="AW1231">
        <v>0</v>
      </c>
      <c r="AX1231" s="141">
        <f>COUNTIF(V1231:AW1231,"&lt;&gt;0")</f>
        <v>3</v>
      </c>
      <c r="AY1231" s="141">
        <f>COUNTIF(V1231:AL1231,"&lt;&gt;0")</f>
        <v>1</v>
      </c>
      <c r="AZ1231">
        <f>COUNTIF(V1231:AC1231,"&lt;&gt;0")</f>
        <v>1</v>
      </c>
      <c r="BA1231">
        <f>COUNTIF(AD1231:AI1231,"&lt;&gt;0")</f>
        <v>0</v>
      </c>
      <c r="BB1231">
        <f>COUNTIF(AJ1231:AL1231,"&lt;&gt;0")</f>
        <v>0</v>
      </c>
      <c r="BC1231">
        <f>COUNTIF(AS1231:AW1231,"&lt;&gt;0")</f>
        <v>0</v>
      </c>
      <c r="BD1231">
        <f>COUNTIF(AM1231:AR1231,"&lt;&gt;0")</f>
        <v>2</v>
      </c>
      <c r="BE1231" t="str">
        <f t="array" ref="BE1231">IF(AY1231=1,INDEX($V$7:$AL$7,MATCH(TRUE,INDEX($V1231:$AW1231&lt;&gt;0,),0)),IF(AY1231=0,INDEX($AM$7:$AW$7,MATCH(1,$AM1231:$AW1231,0)),IF(BF1231="Multiple strategies","mixed drivers",IF(BF1231="Supply chain","multiple supply","multiple silviculture"))))</f>
        <v xml:space="preserve">cutting intensity </v>
      </c>
      <c r="BF1231" s="2" t="str" cm="1">
        <f t="array" ref="BF1231">IF(COUNTIF(AZ1231:BB1231,"&lt;&gt;0")=1,INDEX($V$4:$AW$4,MATCH(TRUE,INDEX($V1231:$AW1231&lt;&gt;0,),0)),IF(COUNTIF(AZ1231:BB1231,"&lt;&gt;0")=0,INDEX($AM$4:$AW$4,MATCH(1,$AM1231:$AW1231,0)),"Multiple strategies"))</f>
        <v>Silviculture for removals</v>
      </c>
      <c r="BM1231" s="143"/>
      <c r="BN1231" s="143"/>
      <c r="BP1231" s="143" t="s">
        <v>232</v>
      </c>
      <c r="BQ1231" s="143"/>
      <c r="BR1231" t="s">
        <v>1195</v>
      </c>
      <c r="BS1231">
        <v>29674.236421725247</v>
      </c>
      <c r="BT1231">
        <v>26666.712460063867</v>
      </c>
      <c r="BU1231" s="144">
        <f>IFERROR(BT1231/BS1231,"")</f>
        <v>0.89864864864864735</v>
      </c>
      <c r="BV1231" s="144">
        <f>BT1231-BS1231</f>
        <v>-3007.5239616613799</v>
      </c>
      <c r="BW1231" s="144"/>
      <c r="BX1231" s="144">
        <f>BV1231</f>
        <v>-3007.5239616613799</v>
      </c>
      <c r="BY1231" t="str">
        <f>IFERROR(BX1231/BO1231,"")</f>
        <v/>
      </c>
      <c r="BZ1231">
        <v>0</v>
      </c>
      <c r="CA1231">
        <v>0</v>
      </c>
      <c r="CB1231">
        <v>0</v>
      </c>
      <c r="CC1231">
        <v>0</v>
      </c>
      <c r="CD1231">
        <v>0</v>
      </c>
      <c r="CE1231">
        <v>0</v>
      </c>
      <c r="CF1231">
        <v>0</v>
      </c>
      <c r="CG1231">
        <v>0</v>
      </c>
      <c r="CH1231">
        <v>0</v>
      </c>
      <c r="CI1231">
        <v>0</v>
      </c>
      <c r="CJ1231">
        <v>0</v>
      </c>
      <c r="CK1231">
        <v>0</v>
      </c>
      <c r="CL1231">
        <v>0</v>
      </c>
      <c r="CM1231">
        <v>1</v>
      </c>
      <c r="CN1231" t="str">
        <f>IF(BL1231&lt;BK1231,"refNeedCorrection","refOK")</f>
        <v>refOK</v>
      </c>
      <c r="CO1231"/>
      <c r="CP1231"/>
      <c r="CQ1231"/>
      <c r="CR1231">
        <f>IF($CN1231="refOK",$BS1231,$BT1231)*IF($BP1231="Emissions positive",-1,1)</f>
        <v>29674.236421725247</v>
      </c>
      <c r="CS1231">
        <f>IF($CN1231="refOK",$BT1231,$BS1231)*IF($BP1231="Emissions positive",-1,1)</f>
        <v>26666.712460063867</v>
      </c>
      <c r="CT1231">
        <f>IF($CN1231="refNeedCorrection",-BX1231,BX1231)*IF($BP1231="Emissions positive",-1,1)</f>
        <v>-3007.5239616613799</v>
      </c>
      <c r="CU1231" t="str">
        <f>IFERROR(CT1231/CQ1231,"")</f>
        <v/>
      </c>
      <c r="CV1231" s="2">
        <f>IFERROR((CS1231-CR1231)/ABS(CR1231),"")</f>
        <v>-0.10135135135135261</v>
      </c>
      <c r="CW1231" s="1" t="s">
        <v>1199</v>
      </c>
      <c r="CX1231" t="str">
        <f>IF(OR($CW1231="prd",$CW1231="std",$CW1231="cit"),"loc",IF(OR($CW1231="eur",$CW1231="reg",$CW1231="coy"),"reg",$CW1231))</f>
        <v>reg</v>
      </c>
      <c r="CY1231" t="s">
        <v>235</v>
      </c>
      <c r="CZ1231">
        <v>2010</v>
      </c>
      <c r="DA1231">
        <v>2070</v>
      </c>
      <c r="DB1231">
        <f>DA1231-CZ1231</f>
        <v>60</v>
      </c>
      <c r="DC1231" t="str">
        <f>IF(DB1231=0,"0",IF(AND(DB1231&gt;=1,DB1231&lt;=30),"1-30",IF(AND(DB1231&gt;30,DB1231&lt;=70),"31-70",IF(AND(DB1231&gt;70,DB1231&lt;=100),"71-100",IF(DB1231&gt;100,"+100")))))</f>
        <v>31-70</v>
      </c>
      <c r="DD1231">
        <v>0</v>
      </c>
      <c r="DE1231">
        <v>1</v>
      </c>
      <c r="DF1231">
        <v>0</v>
      </c>
      <c r="DG1231">
        <v>0</v>
      </c>
      <c r="DH1231">
        <v>0</v>
      </c>
      <c r="DI1231">
        <f>SUM(DD1231:DG1231)</f>
        <v>1</v>
      </c>
      <c r="DJ1231" t="str">
        <f>IF(DI1231=1,INDEX($DD$7:$DG$7,MATCH(1,$DD1231:$DG1231,0)),"mixedProduct")</f>
        <v>EnergyInput</v>
      </c>
      <c r="DK1231">
        <f>IF(DD1231=1,DK$7,0)</f>
        <v>0</v>
      </c>
      <c r="DL1231" t="str">
        <f>IF(DE1231=1,DL$7,0)</f>
        <v>Energy</v>
      </c>
      <c r="DM1231">
        <f>IF(DF1231=1,DM$7,0)</f>
        <v>0</v>
      </c>
      <c r="DN1231">
        <f>IF(DG1231=1,DN$7,0)</f>
        <v>0</v>
      </c>
      <c r="DO1231">
        <v>0</v>
      </c>
      <c r="DP1231">
        <v>0</v>
      </c>
      <c r="DQ1231">
        <v>0</v>
      </c>
      <c r="DR1231">
        <v>0</v>
      </c>
      <c r="DS1231">
        <v>0</v>
      </c>
      <c r="DT1231">
        <f>SUM(DO1231:DP1231)</f>
        <v>0</v>
      </c>
      <c r="DU1231" s="143" t="str">
        <f>IF(DO1231=1,"self-calculated DF",IF(DP1231=1,"external DF used","explicit C balance"))</f>
        <v>explicit C balance</v>
      </c>
      <c r="DV1231">
        <v>1</v>
      </c>
      <c r="DW1231">
        <v>1</v>
      </c>
      <c r="DX1231">
        <v>1</v>
      </c>
      <c r="DY1231">
        <v>0</v>
      </c>
      <c r="DZ1231">
        <v>0</v>
      </c>
      <c r="EA1231" s="143">
        <v>0</v>
      </c>
      <c r="EB1231">
        <v>1</v>
      </c>
      <c r="EC1231">
        <v>1</v>
      </c>
      <c r="ED1231">
        <v>0</v>
      </c>
      <c r="EE1231">
        <v>0</v>
      </c>
      <c r="EF1231">
        <v>1</v>
      </c>
      <c r="EG1231">
        <v>0</v>
      </c>
      <c r="EH1231">
        <v>0</v>
      </c>
      <c r="EI1231" s="2">
        <v>0</v>
      </c>
      <c r="EK1231" t="str">
        <f>IF(AND(AND(AND(OR($DX1231=1,$DW1231=1),OR($EC1231=1,$EA1231=1)),SUM($DV1231:$DZ1231,$EF1231)&gt;=4),SUM($EA1231:$EE1231)&gt;=2),"Whole sector","")</f>
        <v>Whole sector</v>
      </c>
      <c r="EL1231" t="str">
        <f>IF(AND(AND(OR($DX1231=1,$DW1231=1),AND($EC1231=0,$EA1231=0)),SUM($DV1231:$DZ1231,$EF1231)&gt;=4),"Ecosystem approach","")</f>
        <v/>
      </c>
      <c r="EM1231" s="2" t="str">
        <f>IF(AND(AND(AND($DX1231=0,$DW1231=0),OR($EC1231=1,$EA1231=1)),SUM($EB1231:$EE1231)&gt;=2),"Technology approach","")</f>
        <v/>
      </c>
      <c r="EP1231" t="b">
        <f>IF(ISNUMBER(BU1231),IF(ABS(BU1231-[1]QC_indicators!$B$2)&gt;3*[1]QC_indicators!$C$2,"C ratio",IF(ISNUMBER(BY1231),IF(ABS(BY1231-[1]QC_indicators!$B$1)&gt;3*[1]QC_indicators!$C$1,"DF","no"))),IF(ISNUMBER(BY1231),IF(ABS(BY1231-[1]QC_indicators!$B$1)&gt;3*[1]QC_indicators!$C$1,"DF","no")))</f>
        <v>0</v>
      </c>
      <c r="ET1231" s="264" t="s">
        <v>3273</v>
      </c>
    </row>
    <row r="1232" spans="1:150" ht="15" customHeight="1">
      <c r="A1232" s="1" t="s">
        <v>1423</v>
      </c>
      <c r="B1232" t="s">
        <v>2490</v>
      </c>
      <c r="C1232" t="s">
        <v>2491</v>
      </c>
      <c r="D1232" t="s">
        <v>2492</v>
      </c>
      <c r="E1232" t="s">
        <v>2493</v>
      </c>
      <c r="F1232" t="s">
        <v>2494</v>
      </c>
      <c r="G1232" t="s">
        <v>1429</v>
      </c>
      <c r="H1232" t="s">
        <v>254</v>
      </c>
      <c r="I1232">
        <v>2016</v>
      </c>
      <c r="J1232">
        <v>24</v>
      </c>
      <c r="K1232" t="s">
        <v>2495</v>
      </c>
      <c r="M1232" t="str">
        <f>LEFT($D1232,FIND(",",$D1232)-1)&amp;"_"&amp;I1232&amp;L1232</f>
        <v>Zubizarreta-Gerendiain_2016</v>
      </c>
      <c r="N1232" t="s">
        <v>222</v>
      </c>
      <c r="O1232" s="145" t="s">
        <v>1154</v>
      </c>
      <c r="Q1232" t="s">
        <v>256</v>
      </c>
      <c r="R1232" s="262" t="s">
        <v>223</v>
      </c>
      <c r="S1232" s="1" t="s">
        <v>2526</v>
      </c>
      <c r="T1232" t="s">
        <v>2514</v>
      </c>
      <c r="U1232" t="s">
        <v>2530</v>
      </c>
      <c r="V1232">
        <v>0</v>
      </c>
      <c r="W1232">
        <v>0</v>
      </c>
      <c r="X1232">
        <v>0</v>
      </c>
      <c r="Y1232">
        <v>1</v>
      </c>
      <c r="Z1232">
        <v>0</v>
      </c>
      <c r="AA1232">
        <v>0</v>
      </c>
      <c r="AB1232">
        <v>0</v>
      </c>
      <c r="AC1232">
        <v>0</v>
      </c>
      <c r="AD1232">
        <v>0</v>
      </c>
      <c r="AE1232">
        <v>0</v>
      </c>
      <c r="AF1232">
        <v>0</v>
      </c>
      <c r="AG1232">
        <v>0</v>
      </c>
      <c r="AH1232">
        <v>0</v>
      </c>
      <c r="AI1232">
        <v>0</v>
      </c>
      <c r="AJ1232">
        <v>0</v>
      </c>
      <c r="AK1232">
        <v>0</v>
      </c>
      <c r="AL1232">
        <v>0</v>
      </c>
      <c r="AM1232">
        <v>0</v>
      </c>
      <c r="AN1232">
        <v>2</v>
      </c>
      <c r="AO1232">
        <v>2</v>
      </c>
      <c r="AP1232">
        <v>0</v>
      </c>
      <c r="AQ1232">
        <v>0</v>
      </c>
      <c r="AR1232">
        <v>0</v>
      </c>
      <c r="AS1232">
        <v>0</v>
      </c>
      <c r="AT1232">
        <v>0</v>
      </c>
      <c r="AU1232">
        <v>0</v>
      </c>
      <c r="AV1232">
        <v>0</v>
      </c>
      <c r="AW1232">
        <v>0</v>
      </c>
      <c r="AX1232" s="141">
        <f>COUNTIF(V1232:AW1232,"&lt;&gt;0")</f>
        <v>3</v>
      </c>
      <c r="AY1232" s="141">
        <f>COUNTIF(V1232:AL1232,"&lt;&gt;0")</f>
        <v>1</v>
      </c>
      <c r="AZ1232">
        <f>COUNTIF(V1232:AC1232,"&lt;&gt;0")</f>
        <v>1</v>
      </c>
      <c r="BA1232">
        <f>COUNTIF(AD1232:AI1232,"&lt;&gt;0")</f>
        <v>0</v>
      </c>
      <c r="BB1232">
        <f>COUNTIF(AJ1232:AL1232,"&lt;&gt;0")</f>
        <v>0</v>
      </c>
      <c r="BC1232">
        <f>COUNTIF(AS1232:AW1232,"&lt;&gt;0")</f>
        <v>0</v>
      </c>
      <c r="BD1232">
        <f>COUNTIF(AM1232:AR1232,"&lt;&gt;0")</f>
        <v>2</v>
      </c>
      <c r="BE1232" t="str">
        <f t="array" ref="BE1232">IF(AY1232=1,INDEX($V$7:$AL$7,MATCH(TRUE,INDEX($V1232:$AW1232&lt;&gt;0,),0)),IF(AY1232=0,INDEX($AM$7:$AW$7,MATCH(1,$AM1232:$AW1232,0)),IF(BF1232="Multiple strategies","mixed drivers",IF(BF1232="Supply chain","multiple supply","multiple silviculture"))))</f>
        <v xml:space="preserve">cutting intensity </v>
      </c>
      <c r="BF1232" s="2" t="str" cm="1">
        <f t="array" ref="BF1232">IF(COUNTIF(AZ1232:BB1232,"&lt;&gt;0")=1,INDEX($V$4:$AW$4,MATCH(TRUE,INDEX($V1232:$AW1232&lt;&gt;0,),0)),IF(COUNTIF(AZ1232:BB1232,"&lt;&gt;0")=0,INDEX($AM$4:$AW$4,MATCH(1,$AM1232:$AW1232,0)),"Multiple strategies"))</f>
        <v>Silviculture for removals</v>
      </c>
      <c r="BM1232" s="143"/>
      <c r="BN1232" s="143"/>
      <c r="BP1232" s="143" t="s">
        <v>232</v>
      </c>
      <c r="BQ1232" s="143"/>
      <c r="BR1232" t="s">
        <v>1195</v>
      </c>
      <c r="BS1232">
        <v>88354.450391061444</v>
      </c>
      <c r="BT1232">
        <v>96599.033631284721</v>
      </c>
      <c r="BU1232" s="144">
        <f>IFERROR(BT1232/BS1232,"")</f>
        <v>1.0933125972006199</v>
      </c>
      <c r="BV1232" s="144">
        <f>BT1232-BS1232</f>
        <v>8244.5832402232772</v>
      </c>
      <c r="BW1232" s="144"/>
      <c r="BX1232" s="144">
        <f>BV1232</f>
        <v>8244.5832402232772</v>
      </c>
      <c r="BY1232" t="str">
        <f>IFERROR(BX1232/BO1232,"")</f>
        <v/>
      </c>
      <c r="BZ1232">
        <v>0</v>
      </c>
      <c r="CA1232">
        <v>0</v>
      </c>
      <c r="CB1232">
        <v>0</v>
      </c>
      <c r="CC1232">
        <v>0</v>
      </c>
      <c r="CD1232">
        <v>0</v>
      </c>
      <c r="CE1232">
        <v>0</v>
      </c>
      <c r="CF1232">
        <v>0</v>
      </c>
      <c r="CG1232">
        <v>0</v>
      </c>
      <c r="CH1232">
        <v>0</v>
      </c>
      <c r="CI1232">
        <v>0</v>
      </c>
      <c r="CJ1232">
        <v>0</v>
      </c>
      <c r="CK1232">
        <v>0</v>
      </c>
      <c r="CL1232">
        <v>0</v>
      </c>
      <c r="CM1232">
        <v>1</v>
      </c>
      <c r="CN1232" t="str">
        <f>IF(BL1232&lt;BK1232,"refNeedCorrection","refOK")</f>
        <v>refOK</v>
      </c>
      <c r="CO1232"/>
      <c r="CP1232"/>
      <c r="CQ1232"/>
      <c r="CR1232">
        <f>IF($CN1232="refOK",$BS1232,$BT1232)*IF($BP1232="Emissions positive",-1,1)</f>
        <v>88354.450391061444</v>
      </c>
      <c r="CS1232">
        <f>IF($CN1232="refOK",$BT1232,$BS1232)*IF($BP1232="Emissions positive",-1,1)</f>
        <v>96599.033631284721</v>
      </c>
      <c r="CT1232">
        <f>IF($CN1232="refNeedCorrection",-BX1232,BX1232)*IF($BP1232="Emissions positive",-1,1)</f>
        <v>8244.5832402232772</v>
      </c>
      <c r="CU1232" t="str">
        <f>IFERROR(CT1232/CQ1232,"")</f>
        <v/>
      </c>
      <c r="CV1232" s="2">
        <f>IFERROR((CS1232-CR1232)/ABS(CR1232),"")</f>
        <v>9.3312597200619976E-2</v>
      </c>
      <c r="CW1232" s="1" t="s">
        <v>1199</v>
      </c>
      <c r="CX1232" t="str">
        <f>IF(OR($CW1232="prd",$CW1232="std",$CW1232="cit"),"loc",IF(OR($CW1232="eur",$CW1232="reg",$CW1232="coy"),"reg",$CW1232))</f>
        <v>reg</v>
      </c>
      <c r="CY1232" t="s">
        <v>235</v>
      </c>
      <c r="CZ1232">
        <v>2010</v>
      </c>
      <c r="DA1232">
        <v>2070</v>
      </c>
      <c r="DB1232">
        <f>DA1232-CZ1232</f>
        <v>60</v>
      </c>
      <c r="DC1232" t="str">
        <f>IF(DB1232=0,"0",IF(AND(DB1232&gt;=1,DB1232&lt;=30),"1-30",IF(AND(DB1232&gt;30,DB1232&lt;=70),"31-70",IF(AND(DB1232&gt;70,DB1232&lt;=100),"71-100",IF(DB1232&gt;100,"+100")))))</f>
        <v>31-70</v>
      </c>
      <c r="DD1232">
        <v>0</v>
      </c>
      <c r="DE1232">
        <v>1</v>
      </c>
      <c r="DF1232">
        <v>0</v>
      </c>
      <c r="DG1232">
        <v>0</v>
      </c>
      <c r="DH1232">
        <v>0</v>
      </c>
      <c r="DI1232">
        <f>SUM(DD1232:DG1232)</f>
        <v>1</v>
      </c>
      <c r="DJ1232" t="str">
        <f>IF(DI1232=1,INDEX($DD$7:$DG$7,MATCH(1,$DD1232:$DG1232,0)),"mixedProduct")</f>
        <v>EnergyInput</v>
      </c>
      <c r="DK1232">
        <f>IF(DD1232=1,DK$7,0)</f>
        <v>0</v>
      </c>
      <c r="DL1232" t="str">
        <f>IF(DE1232=1,DL$7,0)</f>
        <v>Energy</v>
      </c>
      <c r="DM1232">
        <f>IF(DF1232=1,DM$7,0)</f>
        <v>0</v>
      </c>
      <c r="DN1232">
        <f>IF(DG1232=1,DN$7,0)</f>
        <v>0</v>
      </c>
      <c r="DO1232">
        <v>0</v>
      </c>
      <c r="DP1232">
        <v>1</v>
      </c>
      <c r="DQ1232" t="s">
        <v>2524</v>
      </c>
      <c r="DR1232" t="s">
        <v>2525</v>
      </c>
      <c r="DS1232">
        <v>0</v>
      </c>
      <c r="DT1232">
        <f>SUM(DO1232:DP1232)</f>
        <v>1</v>
      </c>
      <c r="DU1232" s="143" t="str">
        <f>IF(DO1232=1,"self-calculated DF",IF(DP1232=1,"external DF used","explicit C balance"))</f>
        <v>external DF used</v>
      </c>
      <c r="DV1232">
        <v>1</v>
      </c>
      <c r="DW1232">
        <v>1</v>
      </c>
      <c r="DX1232">
        <v>1</v>
      </c>
      <c r="DY1232">
        <v>1</v>
      </c>
      <c r="DZ1232">
        <v>0</v>
      </c>
      <c r="EA1232" s="143">
        <v>0</v>
      </c>
      <c r="EB1232">
        <v>1</v>
      </c>
      <c r="EC1232">
        <v>1</v>
      </c>
      <c r="ED1232">
        <v>0</v>
      </c>
      <c r="EE1232">
        <v>0</v>
      </c>
      <c r="EF1232">
        <v>1</v>
      </c>
      <c r="EG1232">
        <v>0</v>
      </c>
      <c r="EH1232">
        <v>0</v>
      </c>
      <c r="EI1232" s="2">
        <v>0</v>
      </c>
      <c r="EK1232" t="str">
        <f>IF(AND(AND(AND(OR($DX1232=1,$DW1232=1),OR($EC1232=1,$EA1232=1)),SUM($DV1232:$DZ1232,$EF1232)&gt;=4),SUM($EA1232:$EE1232)&gt;=2),"Whole sector","")</f>
        <v>Whole sector</v>
      </c>
      <c r="EL1232" t="str">
        <f>IF(AND(AND(OR($DX1232=1,$DW1232=1),AND($EC1232=0,$EA1232=0)),SUM($DV1232:$DZ1232,$EF1232)&gt;=4),"Ecosystem approach","")</f>
        <v/>
      </c>
      <c r="EM1232" s="2" t="str">
        <f>IF(AND(AND(AND($DX1232=0,$DW1232=0),OR($EC1232=1,$EA1232=1)),SUM($EB1232:$EE1232)&gt;=2),"Technology approach","")</f>
        <v/>
      </c>
      <c r="EP1232" t="b">
        <f>IF(ISNUMBER(BU1232),IF(ABS(BU1232-[1]QC_indicators!$B$2)&gt;3*[1]QC_indicators!$C$2,"C ratio",IF(ISNUMBER(BY1232),IF(ABS(BY1232-[1]QC_indicators!$B$1)&gt;3*[1]QC_indicators!$C$1,"DF","no"))),IF(ISNUMBER(BY1232),IF(ABS(BY1232-[1]QC_indicators!$B$1)&gt;3*[1]QC_indicators!$C$1,"DF","no")))</f>
        <v>0</v>
      </c>
      <c r="ET1232" s="264" t="s">
        <v>3273</v>
      </c>
    </row>
    <row r="1233" spans="1:150" ht="15" customHeight="1">
      <c r="A1233" s="1" t="s">
        <v>1423</v>
      </c>
      <c r="B1233" t="s">
        <v>2490</v>
      </c>
      <c r="C1233" t="s">
        <v>2491</v>
      </c>
      <c r="D1233" t="s">
        <v>2492</v>
      </c>
      <c r="E1233" t="s">
        <v>2493</v>
      </c>
      <c r="F1233" t="s">
        <v>2494</v>
      </c>
      <c r="G1233" t="s">
        <v>1429</v>
      </c>
      <c r="H1233" t="s">
        <v>254</v>
      </c>
      <c r="I1233">
        <v>2016</v>
      </c>
      <c r="J1233">
        <v>24</v>
      </c>
      <c r="K1233" t="s">
        <v>2495</v>
      </c>
      <c r="M1233" t="str">
        <f>LEFT($D1233,FIND(",",$D1233)-1)&amp;"_"&amp;I1233&amp;L1233</f>
        <v>Zubizarreta-Gerendiain_2016</v>
      </c>
      <c r="N1233" t="s">
        <v>222</v>
      </c>
      <c r="O1233" s="145" t="s">
        <v>1154</v>
      </c>
      <c r="Q1233" t="s">
        <v>256</v>
      </c>
      <c r="R1233" s="262" t="s">
        <v>223</v>
      </c>
      <c r="S1233" s="1" t="s">
        <v>2526</v>
      </c>
      <c r="T1233" t="s">
        <v>2514</v>
      </c>
      <c r="U1233" t="s">
        <v>2530</v>
      </c>
      <c r="V1233">
        <v>0</v>
      </c>
      <c r="W1233">
        <v>0</v>
      </c>
      <c r="X1233">
        <v>0</v>
      </c>
      <c r="Y1233">
        <v>1</v>
      </c>
      <c r="Z1233">
        <v>0</v>
      </c>
      <c r="AA1233">
        <v>0</v>
      </c>
      <c r="AB1233">
        <v>0</v>
      </c>
      <c r="AC1233">
        <v>0</v>
      </c>
      <c r="AD1233">
        <v>0</v>
      </c>
      <c r="AE1233">
        <v>0</v>
      </c>
      <c r="AF1233">
        <v>0</v>
      </c>
      <c r="AG1233">
        <v>0</v>
      </c>
      <c r="AH1233">
        <v>0</v>
      </c>
      <c r="AI1233">
        <v>0</v>
      </c>
      <c r="AJ1233">
        <v>0</v>
      </c>
      <c r="AK1233">
        <v>0</v>
      </c>
      <c r="AL1233">
        <v>0</v>
      </c>
      <c r="AM1233">
        <v>0</v>
      </c>
      <c r="AN1233">
        <v>2</v>
      </c>
      <c r="AO1233">
        <v>2</v>
      </c>
      <c r="AP1233">
        <v>0</v>
      </c>
      <c r="AQ1233">
        <v>0</v>
      </c>
      <c r="AR1233">
        <v>0</v>
      </c>
      <c r="AS1233">
        <v>0</v>
      </c>
      <c r="AT1233">
        <v>0</v>
      </c>
      <c r="AU1233">
        <v>0</v>
      </c>
      <c r="AV1233">
        <v>0</v>
      </c>
      <c r="AW1233">
        <v>0</v>
      </c>
      <c r="AX1233" s="141">
        <f>COUNTIF(V1233:AW1233,"&lt;&gt;0")</f>
        <v>3</v>
      </c>
      <c r="AY1233" s="141">
        <f>COUNTIF(V1233:AL1233,"&lt;&gt;0")</f>
        <v>1</v>
      </c>
      <c r="AZ1233">
        <f>COUNTIF(V1233:AC1233,"&lt;&gt;0")</f>
        <v>1</v>
      </c>
      <c r="BA1233">
        <f>COUNTIF(AD1233:AI1233,"&lt;&gt;0")</f>
        <v>0</v>
      </c>
      <c r="BB1233">
        <f>COUNTIF(AJ1233:AL1233,"&lt;&gt;0")</f>
        <v>0</v>
      </c>
      <c r="BC1233">
        <f>COUNTIF(AS1233:AW1233,"&lt;&gt;0")</f>
        <v>0</v>
      </c>
      <c r="BD1233">
        <f>COUNTIF(AM1233:AR1233,"&lt;&gt;0")</f>
        <v>2</v>
      </c>
      <c r="BE1233" t="str">
        <f t="array" ref="BE1233">IF(AY1233=1,INDEX($V$7:$AL$7,MATCH(TRUE,INDEX($V1233:$AW1233&lt;&gt;0,),0)),IF(AY1233=0,INDEX($AM$7:$AW$7,MATCH(1,$AM1233:$AW1233,0)),IF(BF1233="Multiple strategies","mixed drivers",IF(BF1233="Supply chain","multiple supply","multiple silviculture"))))</f>
        <v xml:space="preserve">cutting intensity </v>
      </c>
      <c r="BF1233" s="2" t="str" cm="1">
        <f t="array" ref="BF1233">IF(COUNTIF(AZ1233:BB1233,"&lt;&gt;0")=1,INDEX($V$4:$AW$4,MATCH(TRUE,INDEX($V1233:$AW1233&lt;&gt;0,),0)),IF(COUNTIF(AZ1233:BB1233,"&lt;&gt;0")=0,INDEX($AM$4:$AW$4,MATCH(1,$AM1233:$AW1233,0)),"Multiple strategies"))</f>
        <v>Silviculture for removals</v>
      </c>
      <c r="BM1233" s="143"/>
      <c r="BN1233" s="143"/>
      <c r="BP1233" s="143" t="s">
        <v>232</v>
      </c>
      <c r="BQ1233" s="143"/>
      <c r="BR1233" t="s">
        <v>1195</v>
      </c>
      <c r="BS1233">
        <v>12985.218603352034</v>
      </c>
      <c r="BT1233">
        <v>14015.791508379965</v>
      </c>
      <c r="BU1233" s="144">
        <f>IFERROR(BT1233/BS1233,"")</f>
        <v>1.0793650793650789</v>
      </c>
      <c r="BV1233" s="144">
        <f>BT1233-BS1233</f>
        <v>1030.5729050279315</v>
      </c>
      <c r="BW1233" s="144"/>
      <c r="BX1233" s="144">
        <f>BV1233</f>
        <v>1030.5729050279315</v>
      </c>
      <c r="BY1233" t="str">
        <f>IFERROR(BX1233/BO1233,"")</f>
        <v/>
      </c>
      <c r="BZ1233">
        <v>0</v>
      </c>
      <c r="CA1233">
        <v>0</v>
      </c>
      <c r="CB1233">
        <v>0</v>
      </c>
      <c r="CC1233">
        <v>0</v>
      </c>
      <c r="CD1233">
        <v>0</v>
      </c>
      <c r="CE1233">
        <v>0</v>
      </c>
      <c r="CF1233">
        <v>0</v>
      </c>
      <c r="CG1233">
        <v>0</v>
      </c>
      <c r="CH1233">
        <v>0</v>
      </c>
      <c r="CI1233">
        <v>0</v>
      </c>
      <c r="CJ1233">
        <v>0</v>
      </c>
      <c r="CK1233">
        <v>0</v>
      </c>
      <c r="CL1233">
        <v>0</v>
      </c>
      <c r="CM1233">
        <v>1</v>
      </c>
      <c r="CN1233" t="str">
        <f>IF(BL1233&lt;BK1233,"refNeedCorrection","refOK")</f>
        <v>refOK</v>
      </c>
      <c r="CO1233"/>
      <c r="CP1233"/>
      <c r="CQ1233"/>
      <c r="CR1233">
        <f>IF($CN1233="refOK",$BS1233,$BT1233)*IF($BP1233="Emissions positive",-1,1)</f>
        <v>12985.218603352034</v>
      </c>
      <c r="CS1233">
        <f>IF($CN1233="refOK",$BT1233,$BS1233)*IF($BP1233="Emissions positive",-1,1)</f>
        <v>14015.791508379965</v>
      </c>
      <c r="CT1233">
        <f>IF($CN1233="refNeedCorrection",-BX1233,BX1233)*IF($BP1233="Emissions positive",-1,1)</f>
        <v>1030.5729050279315</v>
      </c>
      <c r="CU1233" t="str">
        <f>IFERROR(CT1233/CQ1233,"")</f>
        <v/>
      </c>
      <c r="CV1233" s="2">
        <f>IFERROR((CS1233-CR1233)/ABS(CR1233),"")</f>
        <v>7.9365079365078778E-2</v>
      </c>
      <c r="CW1233" s="1" t="s">
        <v>1199</v>
      </c>
      <c r="CX1233" t="str">
        <f>IF(OR($CW1233="prd",$CW1233="std",$CW1233="cit"),"loc",IF(OR($CW1233="eur",$CW1233="reg",$CW1233="coy"),"reg",$CW1233))</f>
        <v>reg</v>
      </c>
      <c r="CY1233" t="s">
        <v>235</v>
      </c>
      <c r="CZ1233">
        <v>2010</v>
      </c>
      <c r="DA1233">
        <v>2070</v>
      </c>
      <c r="DB1233">
        <f>DA1233-CZ1233</f>
        <v>60</v>
      </c>
      <c r="DC1233" t="str">
        <f>IF(DB1233=0,"0",IF(AND(DB1233&gt;=1,DB1233&lt;=30),"1-30",IF(AND(DB1233&gt;30,DB1233&lt;=70),"31-70",IF(AND(DB1233&gt;70,DB1233&lt;=100),"71-100",IF(DB1233&gt;100,"+100")))))</f>
        <v>31-70</v>
      </c>
      <c r="DD1233">
        <v>0</v>
      </c>
      <c r="DE1233">
        <v>1</v>
      </c>
      <c r="DF1233">
        <v>0</v>
      </c>
      <c r="DG1233">
        <v>0</v>
      </c>
      <c r="DH1233">
        <v>0</v>
      </c>
      <c r="DI1233">
        <f>SUM(DD1233:DG1233)</f>
        <v>1</v>
      </c>
      <c r="DJ1233" t="str">
        <f>IF(DI1233=1,INDEX($DD$7:$DG$7,MATCH(1,$DD1233:$DG1233,0)),"mixedProduct")</f>
        <v>EnergyInput</v>
      </c>
      <c r="DK1233">
        <f>IF(DD1233=1,DK$7,0)</f>
        <v>0</v>
      </c>
      <c r="DL1233" t="str">
        <f>IF(DE1233=1,DL$7,0)</f>
        <v>Energy</v>
      </c>
      <c r="DM1233">
        <f>IF(DF1233=1,DM$7,0)</f>
        <v>0</v>
      </c>
      <c r="DN1233">
        <f>IF(DG1233=1,DN$7,0)</f>
        <v>0</v>
      </c>
      <c r="DO1233">
        <v>0</v>
      </c>
      <c r="DP1233">
        <v>0</v>
      </c>
      <c r="DQ1233">
        <v>0</v>
      </c>
      <c r="DR1233">
        <v>0</v>
      </c>
      <c r="DS1233">
        <v>0</v>
      </c>
      <c r="DT1233">
        <f>SUM(DO1233:DP1233)</f>
        <v>0</v>
      </c>
      <c r="DU1233" s="143" t="str">
        <f>IF(DO1233=1,"self-calculated DF",IF(DP1233=1,"external DF used","explicit C balance"))</f>
        <v>explicit C balance</v>
      </c>
      <c r="DV1233">
        <v>1</v>
      </c>
      <c r="DW1233">
        <v>1</v>
      </c>
      <c r="DX1233">
        <v>1</v>
      </c>
      <c r="DY1233">
        <v>0</v>
      </c>
      <c r="DZ1233">
        <v>0</v>
      </c>
      <c r="EA1233" s="143">
        <v>0</v>
      </c>
      <c r="EB1233">
        <v>1</v>
      </c>
      <c r="EC1233">
        <v>1</v>
      </c>
      <c r="ED1233">
        <v>0</v>
      </c>
      <c r="EE1233">
        <v>0</v>
      </c>
      <c r="EF1233">
        <v>1</v>
      </c>
      <c r="EG1233">
        <v>0</v>
      </c>
      <c r="EH1233">
        <v>0</v>
      </c>
      <c r="EI1233" s="2">
        <v>0</v>
      </c>
      <c r="EK1233" t="str">
        <f>IF(AND(AND(AND(OR($DX1233=1,$DW1233=1),OR($EC1233=1,$EA1233=1)),SUM($DV1233:$DZ1233,$EF1233)&gt;=4),SUM($EA1233:$EE1233)&gt;=2),"Whole sector","")</f>
        <v>Whole sector</v>
      </c>
      <c r="EL1233" t="str">
        <f>IF(AND(AND(OR($DX1233=1,$DW1233=1),AND($EC1233=0,$EA1233=0)),SUM($DV1233:$DZ1233,$EF1233)&gt;=4),"Ecosystem approach","")</f>
        <v/>
      </c>
      <c r="EM1233" s="2" t="str">
        <f>IF(AND(AND(AND($DX1233=0,$DW1233=0),OR($EC1233=1,$EA1233=1)),SUM($EB1233:$EE1233)&gt;=2),"Technology approach","")</f>
        <v/>
      </c>
      <c r="EP1233" t="b">
        <f>IF(ISNUMBER(BU1233),IF(ABS(BU1233-[1]QC_indicators!$B$2)&gt;3*[1]QC_indicators!$C$2,"C ratio",IF(ISNUMBER(BY1233),IF(ABS(BY1233-[1]QC_indicators!$B$1)&gt;3*[1]QC_indicators!$C$1,"DF","no"))),IF(ISNUMBER(BY1233),IF(ABS(BY1233-[1]QC_indicators!$B$1)&gt;3*[1]QC_indicators!$C$1,"DF","no")))</f>
        <v>0</v>
      </c>
      <c r="ET1233" s="264" t="s">
        <v>3273</v>
      </c>
    </row>
    <row r="1234" spans="1:150" ht="15" customHeight="1">
      <c r="A1234" s="1" t="s">
        <v>1423</v>
      </c>
      <c r="B1234" t="s">
        <v>2490</v>
      </c>
      <c r="C1234" t="s">
        <v>2491</v>
      </c>
      <c r="D1234" t="s">
        <v>2492</v>
      </c>
      <c r="E1234" t="s">
        <v>2493</v>
      </c>
      <c r="F1234" t="s">
        <v>2494</v>
      </c>
      <c r="G1234" t="s">
        <v>1429</v>
      </c>
      <c r="H1234" t="s">
        <v>254</v>
      </c>
      <c r="I1234">
        <v>2016</v>
      </c>
      <c r="J1234">
        <v>24</v>
      </c>
      <c r="K1234" t="s">
        <v>2495</v>
      </c>
      <c r="M1234" t="str">
        <f>LEFT($D1234,FIND(",",$D1234)-1)&amp;"_"&amp;I1234&amp;L1234</f>
        <v>Zubizarreta-Gerendiain_2016</v>
      </c>
      <c r="N1234" t="s">
        <v>222</v>
      </c>
      <c r="O1234" s="145" t="s">
        <v>1154</v>
      </c>
      <c r="Q1234" t="s">
        <v>256</v>
      </c>
      <c r="R1234" s="262" t="s">
        <v>223</v>
      </c>
      <c r="S1234" s="1" t="s">
        <v>2521</v>
      </c>
      <c r="T1234" t="s">
        <v>2511</v>
      </c>
      <c r="U1234" t="s">
        <v>2523</v>
      </c>
      <c r="V1234">
        <v>0</v>
      </c>
      <c r="W1234">
        <v>0</v>
      </c>
      <c r="X1234">
        <v>0</v>
      </c>
      <c r="Y1234">
        <v>0</v>
      </c>
      <c r="Z1234">
        <v>0</v>
      </c>
      <c r="AA1234">
        <v>0</v>
      </c>
      <c r="AB1234">
        <v>0</v>
      </c>
      <c r="AC1234">
        <v>0</v>
      </c>
      <c r="AD1234">
        <v>0</v>
      </c>
      <c r="AE1234">
        <v>0</v>
      </c>
      <c r="AF1234">
        <v>2</v>
      </c>
      <c r="AG1234">
        <v>0</v>
      </c>
      <c r="AH1234">
        <v>0</v>
      </c>
      <c r="AI1234">
        <v>0</v>
      </c>
      <c r="AJ1234">
        <v>0</v>
      </c>
      <c r="AK1234">
        <v>0</v>
      </c>
      <c r="AL1234">
        <v>0</v>
      </c>
      <c r="AM1234">
        <v>0</v>
      </c>
      <c r="AN1234">
        <v>1</v>
      </c>
      <c r="AO1234">
        <v>2</v>
      </c>
      <c r="AP1234">
        <v>0</v>
      </c>
      <c r="AQ1234">
        <v>0</v>
      </c>
      <c r="AR1234">
        <v>0</v>
      </c>
      <c r="AS1234">
        <v>0</v>
      </c>
      <c r="AT1234">
        <v>0</v>
      </c>
      <c r="AU1234">
        <v>0</v>
      </c>
      <c r="AV1234">
        <v>0</v>
      </c>
      <c r="AW1234">
        <v>0</v>
      </c>
      <c r="AX1234" s="141">
        <f>COUNTIF(V1234:AW1234,"&lt;&gt;0")</f>
        <v>3</v>
      </c>
      <c r="AY1234" s="141">
        <f>COUNTIF(V1234:AL1234,"&lt;&gt;0")</f>
        <v>1</v>
      </c>
      <c r="AZ1234">
        <f>COUNTIF(V1234:AC1234,"&lt;&gt;0")</f>
        <v>0</v>
      </c>
      <c r="BA1234">
        <f>COUNTIF(AD1234:AI1234,"&lt;&gt;0")</f>
        <v>1</v>
      </c>
      <c r="BB1234">
        <f>COUNTIF(AJ1234:AL1234,"&lt;&gt;0")</f>
        <v>0</v>
      </c>
      <c r="BC1234">
        <f>COUNTIF(AS1234:AW1234,"&lt;&gt;0")</f>
        <v>0</v>
      </c>
      <c r="BD1234">
        <f>COUNTIF(AM1234:AR1234,"&lt;&gt;0")</f>
        <v>2</v>
      </c>
      <c r="BE1234" t="str">
        <f t="array" ref="BE1234">IF(AY1234=1,INDEX($V$7:$AL$7,MATCH(TRUE,INDEX($V1234:$AW1234&lt;&gt;0,),0)),IF(AY1234=0,INDEX($AM$7:$AW$7,MATCH(1,$AM1234:$AW1234,0)),IF(BF1234="Multiple strategies","mixed drivers",IF(BF1234="Supply chain","multiple supply","multiple silviculture"))))</f>
        <v>supply chain organization</v>
      </c>
      <c r="BF1234" s="2" t="str" cm="1">
        <f t="array" ref="BF1234">IF(COUNTIF(AZ1234:BB1234,"&lt;&gt;0")=1,INDEX($V$4:$AW$4,MATCH(TRUE,INDEX($V1234:$AW1234&lt;&gt;0,),0)),IF(COUNTIF(AZ1234:BB1234,"&lt;&gt;0")=0,INDEX($AM$4:$AW$4,MATCH(1,$AM1234:$AW1234,0)),"Multiple strategies"))</f>
        <v>Supply chain</v>
      </c>
      <c r="BM1234" s="143"/>
      <c r="BN1234" s="143"/>
      <c r="BP1234" s="143" t="s">
        <v>232</v>
      </c>
      <c r="BQ1234" s="143"/>
      <c r="BR1234" t="s">
        <v>1195</v>
      </c>
      <c r="BS1234">
        <v>-70376.060702875271</v>
      </c>
      <c r="BT1234">
        <v>-69373.552715654951</v>
      </c>
      <c r="BU1234" s="144">
        <f>IFERROR(BT1234/BS1234,"")</f>
        <v>0.98575498575498754</v>
      </c>
      <c r="BV1234" s="144">
        <f>BT1234-BS1234</f>
        <v>1002.5079872203205</v>
      </c>
      <c r="BW1234" s="144"/>
      <c r="BX1234" s="144">
        <f>BV1234</f>
        <v>1002.5079872203205</v>
      </c>
      <c r="BY1234" t="str">
        <f>IFERROR(BX1234/BO1234,"")</f>
        <v/>
      </c>
      <c r="BZ1234">
        <v>0</v>
      </c>
      <c r="CA1234">
        <v>0</v>
      </c>
      <c r="CB1234">
        <v>0</v>
      </c>
      <c r="CC1234">
        <v>0</v>
      </c>
      <c r="CD1234">
        <v>0</v>
      </c>
      <c r="CE1234">
        <v>0</v>
      </c>
      <c r="CF1234">
        <v>0</v>
      </c>
      <c r="CG1234">
        <v>0</v>
      </c>
      <c r="CH1234">
        <v>0</v>
      </c>
      <c r="CI1234">
        <v>0</v>
      </c>
      <c r="CJ1234">
        <v>0</v>
      </c>
      <c r="CK1234">
        <v>0</v>
      </c>
      <c r="CL1234">
        <v>0</v>
      </c>
      <c r="CM1234">
        <v>1</v>
      </c>
      <c r="CN1234" t="str">
        <f>IF(BL1234&lt;BK1234,"refNeedCorrection","refOK")</f>
        <v>refOK</v>
      </c>
      <c r="CO1234"/>
      <c r="CP1234"/>
      <c r="CQ1234"/>
      <c r="CR1234">
        <f>IF($CN1234="refOK",$BS1234,$BT1234)*IF($BP1234="Emissions positive",-1,1)</f>
        <v>-70376.060702875271</v>
      </c>
      <c r="CS1234">
        <f>IF($CN1234="refOK",$BT1234,$BS1234)*IF($BP1234="Emissions positive",-1,1)</f>
        <v>-69373.552715654951</v>
      </c>
      <c r="CT1234">
        <f>IF($CN1234="refNeedCorrection",-BX1234,BX1234)*IF($BP1234="Emissions positive",-1,1)</f>
        <v>1002.5079872203205</v>
      </c>
      <c r="CU1234" t="str">
        <f>IFERROR(CT1234/CQ1234,"")</f>
        <v/>
      </c>
      <c r="CV1234" s="2">
        <f>IFERROR((CS1234-CR1234)/ABS(CR1234),"")</f>
        <v>1.4245014245012469E-2</v>
      </c>
      <c r="CW1234" s="1" t="s">
        <v>1199</v>
      </c>
      <c r="CX1234" t="str">
        <f>IF(OR($CW1234="prd",$CW1234="std",$CW1234="cit"),"loc",IF(OR($CW1234="eur",$CW1234="reg",$CW1234="coy"),"reg",$CW1234))</f>
        <v>reg</v>
      </c>
      <c r="CY1234" t="s">
        <v>235</v>
      </c>
      <c r="CZ1234">
        <v>2010</v>
      </c>
      <c r="DA1234">
        <v>2070</v>
      </c>
      <c r="DB1234">
        <f>DA1234-CZ1234</f>
        <v>60</v>
      </c>
      <c r="DC1234" t="str">
        <f>IF(DB1234=0,"0",IF(AND(DB1234&gt;=1,DB1234&lt;=30),"1-30",IF(AND(DB1234&gt;30,DB1234&lt;=70),"31-70",IF(AND(DB1234&gt;70,DB1234&lt;=100),"71-100",IF(DB1234&gt;100,"+100")))))</f>
        <v>31-70</v>
      </c>
      <c r="DD1234">
        <v>1</v>
      </c>
      <c r="DE1234">
        <v>1</v>
      </c>
      <c r="DF1234">
        <v>1</v>
      </c>
      <c r="DG1234">
        <v>1</v>
      </c>
      <c r="DH1234">
        <v>0</v>
      </c>
      <c r="DI1234">
        <f>SUM(DD1234:DG1234)</f>
        <v>4</v>
      </c>
      <c r="DJ1234" t="str">
        <f>IF(DI1234=1,INDEX($DD$7:$DG$7,MATCH(1,$DD1234:$DG1234,0)),"mixedProduct")</f>
        <v>mixedProduct</v>
      </c>
      <c r="DK1234" t="str">
        <f>IF(DD1234=1,DK$7,0)</f>
        <v>Upstream</v>
      </c>
      <c r="DL1234" t="str">
        <f>IF(DE1234=1,DL$7,0)</f>
        <v>Energy</v>
      </c>
      <c r="DM1234" t="str">
        <f>IF(DF1234=1,DM$7,0)</f>
        <v>Pulp/Paper</v>
      </c>
      <c r="DN1234" t="str">
        <f>IF(DG1234=1,DN$7,0)</f>
        <v>Timber</v>
      </c>
      <c r="DO1234">
        <v>0</v>
      </c>
      <c r="DP1234">
        <v>0</v>
      </c>
      <c r="DQ1234">
        <v>0</v>
      </c>
      <c r="DR1234">
        <v>0</v>
      </c>
      <c r="DS1234">
        <v>0</v>
      </c>
      <c r="DT1234">
        <f>SUM(DO1234:DP1234)</f>
        <v>0</v>
      </c>
      <c r="DU1234" s="143" t="str">
        <f>IF(DO1234=1,"self-calculated DF",IF(DP1234=1,"external DF used","explicit C balance"))</f>
        <v>explicit C balance</v>
      </c>
      <c r="DV1234">
        <v>1</v>
      </c>
      <c r="DW1234">
        <v>1</v>
      </c>
      <c r="DX1234">
        <v>1</v>
      </c>
      <c r="DY1234">
        <v>0</v>
      </c>
      <c r="DZ1234">
        <v>0</v>
      </c>
      <c r="EA1234" s="143">
        <v>0</v>
      </c>
      <c r="EB1234">
        <v>1</v>
      </c>
      <c r="EC1234">
        <v>1</v>
      </c>
      <c r="ED1234">
        <v>0</v>
      </c>
      <c r="EE1234">
        <v>0</v>
      </c>
      <c r="EF1234">
        <v>1</v>
      </c>
      <c r="EG1234">
        <v>0</v>
      </c>
      <c r="EH1234">
        <v>0</v>
      </c>
      <c r="EI1234" s="2">
        <v>0</v>
      </c>
      <c r="EK1234" t="str">
        <f>IF(AND(AND(AND(OR($DX1234=1,$DW1234=1),OR($EC1234=1,$EA1234=1)),SUM($DV1234:$DZ1234,$EF1234)&gt;=4),SUM($EA1234:$EE1234)&gt;=2),"Whole sector","")</f>
        <v>Whole sector</v>
      </c>
      <c r="EL1234" t="str">
        <f>IF(AND(AND(OR($DX1234=1,$DW1234=1),AND($EC1234=0,$EA1234=0)),SUM($DV1234:$DZ1234,$EF1234)&gt;=4),"Ecosystem approach","")</f>
        <v/>
      </c>
      <c r="EM1234" s="2" t="str">
        <f>IF(AND(AND(AND($DX1234=0,$DW1234=0),OR($EC1234=1,$EA1234=1)),SUM($EB1234:$EE1234)&gt;=2),"Technology approach","")</f>
        <v/>
      </c>
      <c r="EN1234" t="s">
        <v>2508</v>
      </c>
      <c r="EP1234" t="b">
        <f>IF(ISNUMBER(BU1234),IF(ABS(BU1234-[1]QC_indicators!$B$2)&gt;3*[1]QC_indicators!$C$2,"C ratio",IF(ISNUMBER(BY1234),IF(ABS(BY1234-[1]QC_indicators!$B$1)&gt;3*[1]QC_indicators!$C$1,"DF","no"))),IF(ISNUMBER(BY1234),IF(ABS(BY1234-[1]QC_indicators!$B$1)&gt;3*[1]QC_indicators!$C$1,"DF","no")))</f>
        <v>0</v>
      </c>
      <c r="ET1234" s="264" t="s">
        <v>3273</v>
      </c>
    </row>
    <row r="1235" spans="1:150" ht="15" customHeight="1">
      <c r="A1235" s="1" t="s">
        <v>1423</v>
      </c>
      <c r="B1235" t="s">
        <v>2490</v>
      </c>
      <c r="C1235" t="s">
        <v>2491</v>
      </c>
      <c r="D1235" t="s">
        <v>2492</v>
      </c>
      <c r="E1235" t="s">
        <v>2493</v>
      </c>
      <c r="F1235" t="s">
        <v>2494</v>
      </c>
      <c r="G1235" t="s">
        <v>1429</v>
      </c>
      <c r="H1235" t="s">
        <v>254</v>
      </c>
      <c r="I1235">
        <v>2016</v>
      </c>
      <c r="J1235">
        <v>24</v>
      </c>
      <c r="K1235" t="s">
        <v>2495</v>
      </c>
      <c r="M1235" t="str">
        <f>LEFT($D1235,FIND(",",$D1235)-1)&amp;"_"&amp;I1235&amp;L1235</f>
        <v>Zubizarreta-Gerendiain_2016</v>
      </c>
      <c r="N1235" t="s">
        <v>222</v>
      </c>
      <c r="O1235" s="145" t="s">
        <v>1154</v>
      </c>
      <c r="Q1235" t="s">
        <v>256</v>
      </c>
      <c r="R1235" s="262" t="s">
        <v>223</v>
      </c>
      <c r="S1235" s="1" t="s">
        <v>2521</v>
      </c>
      <c r="T1235" t="s">
        <v>2511</v>
      </c>
      <c r="U1235" t="s">
        <v>2523</v>
      </c>
      <c r="V1235">
        <v>0</v>
      </c>
      <c r="W1235">
        <v>0</v>
      </c>
      <c r="X1235">
        <v>0</v>
      </c>
      <c r="Y1235">
        <v>0</v>
      </c>
      <c r="Z1235">
        <v>0</v>
      </c>
      <c r="AA1235">
        <v>0</v>
      </c>
      <c r="AB1235">
        <v>0</v>
      </c>
      <c r="AC1235">
        <v>0</v>
      </c>
      <c r="AD1235">
        <v>0</v>
      </c>
      <c r="AE1235">
        <v>0</v>
      </c>
      <c r="AF1235">
        <v>2</v>
      </c>
      <c r="AG1235">
        <v>0</v>
      </c>
      <c r="AH1235">
        <v>0</v>
      </c>
      <c r="AI1235">
        <v>0</v>
      </c>
      <c r="AJ1235">
        <v>0</v>
      </c>
      <c r="AK1235">
        <v>0</v>
      </c>
      <c r="AL1235">
        <v>0</v>
      </c>
      <c r="AM1235">
        <v>0</v>
      </c>
      <c r="AN1235">
        <v>1</v>
      </c>
      <c r="AO1235">
        <v>2</v>
      </c>
      <c r="AP1235">
        <v>0</v>
      </c>
      <c r="AQ1235">
        <v>0</v>
      </c>
      <c r="AR1235">
        <v>0</v>
      </c>
      <c r="AS1235">
        <v>0</v>
      </c>
      <c r="AT1235">
        <v>0</v>
      </c>
      <c r="AU1235">
        <v>0</v>
      </c>
      <c r="AV1235">
        <v>0</v>
      </c>
      <c r="AW1235">
        <v>0</v>
      </c>
      <c r="AX1235" s="141">
        <f>COUNTIF(V1235:AW1235,"&lt;&gt;0")</f>
        <v>3</v>
      </c>
      <c r="AY1235" s="141">
        <f>COUNTIF(V1235:AL1235,"&lt;&gt;0")</f>
        <v>1</v>
      </c>
      <c r="AZ1235">
        <f>COUNTIF(V1235:AC1235,"&lt;&gt;0")</f>
        <v>0</v>
      </c>
      <c r="BA1235">
        <f>COUNTIF(AD1235:AI1235,"&lt;&gt;0")</f>
        <v>1</v>
      </c>
      <c r="BB1235">
        <f>COUNTIF(AJ1235:AL1235,"&lt;&gt;0")</f>
        <v>0</v>
      </c>
      <c r="BC1235">
        <f>COUNTIF(AS1235:AW1235,"&lt;&gt;0")</f>
        <v>0</v>
      </c>
      <c r="BD1235">
        <f>COUNTIF(AM1235:AR1235,"&lt;&gt;0")</f>
        <v>2</v>
      </c>
      <c r="BE1235" t="str">
        <f t="array" ref="BE1235">IF(AY1235=1,INDEX($V$7:$AL$7,MATCH(TRUE,INDEX($V1235:$AW1235&lt;&gt;0,),0)),IF(AY1235=0,INDEX($AM$7:$AW$7,MATCH(1,$AM1235:$AW1235,0)),IF(BF1235="Multiple strategies","mixed drivers",IF(BF1235="Supply chain","multiple supply","multiple silviculture"))))</f>
        <v>supply chain organization</v>
      </c>
      <c r="BF1235" s="2" t="str" cm="1">
        <f t="array" ref="BF1235">IF(COUNTIF(AZ1235:BB1235,"&lt;&gt;0")=1,INDEX($V$4:$AW$4,MATCH(TRUE,INDEX($V1235:$AW1235&lt;&gt;0,),0)),IF(COUNTIF(AZ1235:BB1235,"&lt;&gt;0")=0,INDEX($AM$4:$AW$4,MATCH(1,$AM1235:$AW1235,0)),"Multiple strategies"))</f>
        <v>Supply chain</v>
      </c>
      <c r="BM1235" s="143"/>
      <c r="BN1235" s="143"/>
      <c r="BP1235" s="143" t="s">
        <v>232</v>
      </c>
      <c r="BQ1235" s="143"/>
      <c r="BR1235" t="s">
        <v>1195</v>
      </c>
      <c r="BS1235">
        <v>29471.133802816759</v>
      </c>
      <c r="BT1235">
        <v>37149.160118605767</v>
      </c>
      <c r="BU1235" s="144">
        <f>IFERROR(BT1235/BS1235,"")</f>
        <v>1.2605270081280404</v>
      </c>
      <c r="BV1235" s="144">
        <f>BT1235-BS1235</f>
        <v>7678.0263157890076</v>
      </c>
      <c r="BW1235" s="144"/>
      <c r="BX1235" s="144">
        <f>BV1235</f>
        <v>7678.0263157890076</v>
      </c>
      <c r="BY1235" t="str">
        <f>IFERROR(BX1235/BO1235,"")</f>
        <v/>
      </c>
      <c r="BZ1235">
        <v>0</v>
      </c>
      <c r="CA1235">
        <v>0</v>
      </c>
      <c r="CB1235">
        <v>0</v>
      </c>
      <c r="CC1235">
        <v>0</v>
      </c>
      <c r="CD1235">
        <v>0</v>
      </c>
      <c r="CE1235">
        <v>0</v>
      </c>
      <c r="CF1235">
        <v>0</v>
      </c>
      <c r="CG1235">
        <v>0</v>
      </c>
      <c r="CH1235">
        <v>0</v>
      </c>
      <c r="CI1235">
        <v>0</v>
      </c>
      <c r="CJ1235">
        <v>0</v>
      </c>
      <c r="CK1235">
        <v>0</v>
      </c>
      <c r="CL1235">
        <v>0</v>
      </c>
      <c r="CM1235">
        <v>1</v>
      </c>
      <c r="CN1235" t="str">
        <f>IF(BL1235&lt;BK1235,"refNeedCorrection","refOK")</f>
        <v>refOK</v>
      </c>
      <c r="CO1235"/>
      <c r="CP1235"/>
      <c r="CQ1235"/>
      <c r="CR1235">
        <f>IF($CN1235="refOK",$BS1235,$BT1235)*IF($BP1235="Emissions positive",-1,1)</f>
        <v>29471.133802816759</v>
      </c>
      <c r="CS1235">
        <f>IF($CN1235="refOK",$BT1235,$BS1235)*IF($BP1235="Emissions positive",-1,1)</f>
        <v>37149.160118605767</v>
      </c>
      <c r="CT1235">
        <f>IF($CN1235="refNeedCorrection",-BX1235,BX1235)*IF($BP1235="Emissions positive",-1,1)</f>
        <v>7678.0263157890076</v>
      </c>
      <c r="CU1235" t="str">
        <f>IFERROR(CT1235/CQ1235,"")</f>
        <v/>
      </c>
      <c r="CV1235" s="2">
        <f>IFERROR((CS1235-CR1235)/ABS(CR1235),"")</f>
        <v>0.26052700812804036</v>
      </c>
      <c r="CW1235" s="1" t="s">
        <v>1199</v>
      </c>
      <c r="CX1235" t="str">
        <f>IF(OR($CW1235="prd",$CW1235="std",$CW1235="cit"),"loc",IF(OR($CW1235="eur",$CW1235="reg",$CW1235="coy"),"reg",$CW1235))</f>
        <v>reg</v>
      </c>
      <c r="CY1235" t="s">
        <v>235</v>
      </c>
      <c r="CZ1235">
        <v>2010</v>
      </c>
      <c r="DA1235">
        <v>2070</v>
      </c>
      <c r="DB1235">
        <f>DA1235-CZ1235</f>
        <v>60</v>
      </c>
      <c r="DC1235" t="str">
        <f>IF(DB1235=0,"0",IF(AND(DB1235&gt;=1,DB1235&lt;=30),"1-30",IF(AND(DB1235&gt;30,DB1235&lt;=70),"31-70",IF(AND(DB1235&gt;70,DB1235&lt;=100),"71-100",IF(DB1235&gt;100,"+100")))))</f>
        <v>31-70</v>
      </c>
      <c r="DD1235">
        <v>1</v>
      </c>
      <c r="DE1235">
        <v>1</v>
      </c>
      <c r="DF1235">
        <v>1</v>
      </c>
      <c r="DG1235">
        <v>1</v>
      </c>
      <c r="DH1235">
        <v>0</v>
      </c>
      <c r="DI1235">
        <f>SUM(DD1235:DG1235)</f>
        <v>4</v>
      </c>
      <c r="DJ1235" t="str">
        <f>IF(DI1235=1,INDEX($DD$7:$DG$7,MATCH(1,$DD1235:$DG1235,0)),"mixedProduct")</f>
        <v>mixedProduct</v>
      </c>
      <c r="DK1235" t="str">
        <f>IF(DD1235=1,DK$7,0)</f>
        <v>Upstream</v>
      </c>
      <c r="DL1235" t="str">
        <f>IF(DE1235=1,DL$7,0)</f>
        <v>Energy</v>
      </c>
      <c r="DM1235" t="str">
        <f>IF(DF1235=1,DM$7,0)</f>
        <v>Pulp/Paper</v>
      </c>
      <c r="DN1235" t="str">
        <f>IF(DG1235=1,DN$7,0)</f>
        <v>Timber</v>
      </c>
      <c r="DO1235">
        <v>0</v>
      </c>
      <c r="DP1235">
        <v>1</v>
      </c>
      <c r="DQ1235" t="s">
        <v>2524</v>
      </c>
      <c r="DR1235" t="s">
        <v>2525</v>
      </c>
      <c r="DS1235">
        <v>0</v>
      </c>
      <c r="DT1235">
        <f>SUM(DO1235:DP1235)</f>
        <v>1</v>
      </c>
      <c r="DU1235" s="143" t="str">
        <f>IF(DO1235=1,"self-calculated DF",IF(DP1235=1,"external DF used","explicit C balance"))</f>
        <v>external DF used</v>
      </c>
      <c r="DV1235">
        <v>1</v>
      </c>
      <c r="DW1235">
        <v>1</v>
      </c>
      <c r="DX1235">
        <v>1</v>
      </c>
      <c r="DY1235">
        <v>1</v>
      </c>
      <c r="DZ1235">
        <v>0</v>
      </c>
      <c r="EA1235" s="143">
        <v>0</v>
      </c>
      <c r="EB1235">
        <v>1</v>
      </c>
      <c r="EC1235">
        <v>1</v>
      </c>
      <c r="ED1235">
        <v>0</v>
      </c>
      <c r="EE1235">
        <v>0</v>
      </c>
      <c r="EF1235">
        <v>1</v>
      </c>
      <c r="EG1235">
        <v>0</v>
      </c>
      <c r="EH1235">
        <v>0</v>
      </c>
      <c r="EI1235" s="2">
        <v>0</v>
      </c>
      <c r="EK1235" t="str">
        <f>IF(AND(AND(AND(OR($DX1235=1,$DW1235=1),OR($EC1235=1,$EA1235=1)),SUM($DV1235:$DZ1235,$EF1235)&gt;=4),SUM($EA1235:$EE1235)&gt;=2),"Whole sector","")</f>
        <v>Whole sector</v>
      </c>
      <c r="EL1235" t="str">
        <f>IF(AND(AND(OR($DX1235=1,$DW1235=1),AND($EC1235=0,$EA1235=0)),SUM($DV1235:$DZ1235,$EF1235)&gt;=4),"Ecosystem approach","")</f>
        <v/>
      </c>
      <c r="EM1235" s="2" t="str">
        <f>IF(AND(AND(AND($DX1235=0,$DW1235=0),OR($EC1235=1,$EA1235=1)),SUM($EB1235:$EE1235)&gt;=2),"Technology approach","")</f>
        <v/>
      </c>
      <c r="EN1235" t="s">
        <v>2508</v>
      </c>
      <c r="EP1235" t="b">
        <f>IF(ISNUMBER(BU1235),IF(ABS(BU1235-[1]QC_indicators!$B$2)&gt;3*[1]QC_indicators!$C$2,"C ratio",IF(ISNUMBER(BY1235),IF(ABS(BY1235-[1]QC_indicators!$B$1)&gt;3*[1]QC_indicators!$C$1,"DF","no"))),IF(ISNUMBER(BY1235),IF(ABS(BY1235-[1]QC_indicators!$B$1)&gt;3*[1]QC_indicators!$C$1,"DF","no")))</f>
        <v>0</v>
      </c>
      <c r="ET1235" s="264" t="s">
        <v>3273</v>
      </c>
    </row>
    <row r="1236" spans="1:150" ht="15" customHeight="1">
      <c r="A1236" s="1" t="s">
        <v>1423</v>
      </c>
      <c r="B1236" t="s">
        <v>2490</v>
      </c>
      <c r="C1236" t="s">
        <v>2491</v>
      </c>
      <c r="D1236" t="s">
        <v>2492</v>
      </c>
      <c r="E1236" t="s">
        <v>2493</v>
      </c>
      <c r="F1236" t="s">
        <v>2494</v>
      </c>
      <c r="G1236" t="s">
        <v>1429</v>
      </c>
      <c r="H1236" t="s">
        <v>254</v>
      </c>
      <c r="I1236">
        <v>2016</v>
      </c>
      <c r="J1236">
        <v>24</v>
      </c>
      <c r="K1236" t="s">
        <v>2495</v>
      </c>
      <c r="M1236" t="str">
        <f>LEFT($D1236,FIND(",",$D1236)-1)&amp;"_"&amp;I1236&amp;L1236</f>
        <v>Zubizarreta-Gerendiain_2016</v>
      </c>
      <c r="N1236" t="s">
        <v>222</v>
      </c>
      <c r="O1236" s="145" t="s">
        <v>1154</v>
      </c>
      <c r="Q1236" t="s">
        <v>256</v>
      </c>
      <c r="R1236" s="262" t="s">
        <v>223</v>
      </c>
      <c r="S1236" s="1" t="s">
        <v>2521</v>
      </c>
      <c r="T1236" t="s">
        <v>2515</v>
      </c>
      <c r="U1236" t="s">
        <v>2522</v>
      </c>
      <c r="V1236">
        <v>0</v>
      </c>
      <c r="W1236">
        <v>0</v>
      </c>
      <c r="X1236">
        <v>0</v>
      </c>
      <c r="Y1236">
        <v>0</v>
      </c>
      <c r="Z1236">
        <v>0</v>
      </c>
      <c r="AA1236">
        <v>0</v>
      </c>
      <c r="AB1236">
        <v>0</v>
      </c>
      <c r="AC1236">
        <v>0</v>
      </c>
      <c r="AD1236">
        <v>0</v>
      </c>
      <c r="AE1236">
        <v>0</v>
      </c>
      <c r="AF1236">
        <v>2</v>
      </c>
      <c r="AG1236">
        <v>0</v>
      </c>
      <c r="AH1236">
        <v>0</v>
      </c>
      <c r="AI1236">
        <v>0</v>
      </c>
      <c r="AJ1236">
        <v>0</v>
      </c>
      <c r="AK1236">
        <v>0</v>
      </c>
      <c r="AL1236">
        <v>0</v>
      </c>
      <c r="AM1236">
        <v>0</v>
      </c>
      <c r="AN1236">
        <v>1</v>
      </c>
      <c r="AO1236">
        <v>2</v>
      </c>
      <c r="AP1236">
        <v>0</v>
      </c>
      <c r="AQ1236">
        <v>0</v>
      </c>
      <c r="AR1236">
        <v>0</v>
      </c>
      <c r="AS1236">
        <v>0</v>
      </c>
      <c r="AT1236">
        <v>0</v>
      </c>
      <c r="AU1236">
        <v>0</v>
      </c>
      <c r="AV1236">
        <v>0</v>
      </c>
      <c r="AW1236">
        <v>0</v>
      </c>
      <c r="AX1236" s="141">
        <f>COUNTIF(V1236:AW1236,"&lt;&gt;0")</f>
        <v>3</v>
      </c>
      <c r="AY1236" s="141">
        <f>COUNTIF(V1236:AL1236,"&lt;&gt;0")</f>
        <v>1</v>
      </c>
      <c r="AZ1236">
        <f>COUNTIF(V1236:AC1236,"&lt;&gt;0")</f>
        <v>0</v>
      </c>
      <c r="BA1236">
        <f>COUNTIF(AD1236:AI1236,"&lt;&gt;0")</f>
        <v>1</v>
      </c>
      <c r="BB1236">
        <f>COUNTIF(AJ1236:AL1236,"&lt;&gt;0")</f>
        <v>0</v>
      </c>
      <c r="BC1236">
        <f>COUNTIF(AS1236:AW1236,"&lt;&gt;0")</f>
        <v>0</v>
      </c>
      <c r="BD1236">
        <f>COUNTIF(AM1236:AR1236,"&lt;&gt;0")</f>
        <v>2</v>
      </c>
      <c r="BE1236" t="str">
        <f t="array" ref="BE1236">IF(AY1236=1,INDEX($V$7:$AL$7,MATCH(TRUE,INDEX($V1236:$AW1236&lt;&gt;0,),0)),IF(AY1236=0,INDEX($AM$7:$AW$7,MATCH(1,$AM1236:$AW1236,0)),IF(BF1236="Multiple strategies","mixed drivers",IF(BF1236="Supply chain","multiple supply","multiple silviculture"))))</f>
        <v>supply chain organization</v>
      </c>
      <c r="BF1236" s="2" t="str" cm="1">
        <f t="array" ref="BF1236">IF(COUNTIF(AZ1236:BB1236,"&lt;&gt;0")=1,INDEX($V$4:$AW$4,MATCH(TRUE,INDEX($V1236:$AW1236&lt;&gt;0,),0)),IF(COUNTIF(AZ1236:BB1236,"&lt;&gt;0")=0,INDEX($AM$4:$AW$4,MATCH(1,$AM1236:$AW1236,0)),"Multiple strategies"))</f>
        <v>Supply chain</v>
      </c>
      <c r="BM1236" s="143"/>
      <c r="BN1236" s="143"/>
      <c r="BP1236" s="143" t="s">
        <v>232</v>
      </c>
      <c r="BQ1236" s="143"/>
      <c r="BR1236" t="s">
        <v>1195</v>
      </c>
      <c r="BS1236">
        <v>-104293.97798882655</v>
      </c>
      <c r="BT1236">
        <v>-105324.55089385468</v>
      </c>
      <c r="BU1236" s="144">
        <f>IFERROR(BT1236/BS1236,"")</f>
        <v>1.0098814229249031</v>
      </c>
      <c r="BV1236" s="144">
        <f>BT1236-BS1236</f>
        <v>-1030.572905028137</v>
      </c>
      <c r="BW1236" s="144"/>
      <c r="BX1236" s="144">
        <f>BV1236</f>
        <v>-1030.572905028137</v>
      </c>
      <c r="BY1236" t="str">
        <f>IFERROR(BX1236/BO1236,"")</f>
        <v/>
      </c>
      <c r="BZ1236">
        <v>0</v>
      </c>
      <c r="CA1236">
        <v>0</v>
      </c>
      <c r="CB1236">
        <v>0</v>
      </c>
      <c r="CC1236">
        <v>0</v>
      </c>
      <c r="CD1236">
        <v>0</v>
      </c>
      <c r="CE1236">
        <v>0</v>
      </c>
      <c r="CF1236">
        <v>0</v>
      </c>
      <c r="CG1236">
        <v>0</v>
      </c>
      <c r="CH1236">
        <v>0</v>
      </c>
      <c r="CI1236">
        <v>0</v>
      </c>
      <c r="CJ1236">
        <v>0</v>
      </c>
      <c r="CK1236">
        <v>0</v>
      </c>
      <c r="CL1236">
        <v>0</v>
      </c>
      <c r="CM1236">
        <v>1</v>
      </c>
      <c r="CN1236" t="str">
        <f>IF(BL1236&lt;BK1236,"refNeedCorrection","refOK")</f>
        <v>refOK</v>
      </c>
      <c r="CO1236"/>
      <c r="CP1236"/>
      <c r="CQ1236"/>
      <c r="CR1236">
        <f>IF($CN1236="refOK",$BS1236,$BT1236)*IF($BP1236="Emissions positive",-1,1)</f>
        <v>-104293.97798882655</v>
      </c>
      <c r="CS1236">
        <f>IF($CN1236="refOK",$BT1236,$BS1236)*IF($BP1236="Emissions positive",-1,1)</f>
        <v>-105324.55089385468</v>
      </c>
      <c r="CT1236">
        <f>IF($CN1236="refNeedCorrection",-BX1236,BX1236)*IF($BP1236="Emissions positive",-1,1)</f>
        <v>-1030.572905028137</v>
      </c>
      <c r="CU1236" t="str">
        <f>IFERROR(CT1236/CQ1236,"")</f>
        <v/>
      </c>
      <c r="CV1236" s="2">
        <f>IFERROR((CS1236-CR1236)/ABS(CR1236),"")</f>
        <v>-9.881422924903167E-3</v>
      </c>
      <c r="CW1236" s="1" t="s">
        <v>1199</v>
      </c>
      <c r="CX1236" t="str">
        <f>IF(OR($CW1236="prd",$CW1236="std",$CW1236="cit"),"loc",IF(OR($CW1236="eur",$CW1236="reg",$CW1236="coy"),"reg",$CW1236))</f>
        <v>reg</v>
      </c>
      <c r="CY1236" t="s">
        <v>235</v>
      </c>
      <c r="CZ1236">
        <v>2010</v>
      </c>
      <c r="DA1236">
        <v>2070</v>
      </c>
      <c r="DB1236">
        <f>DA1236-CZ1236</f>
        <v>60</v>
      </c>
      <c r="DC1236" t="str">
        <f>IF(DB1236=0,"0",IF(AND(DB1236&gt;=1,DB1236&lt;=30),"1-30",IF(AND(DB1236&gt;30,DB1236&lt;=70),"31-70",IF(AND(DB1236&gt;70,DB1236&lt;=100),"71-100",IF(DB1236&gt;100,"+100")))))</f>
        <v>31-70</v>
      </c>
      <c r="DD1236">
        <v>1</v>
      </c>
      <c r="DE1236">
        <v>1</v>
      </c>
      <c r="DF1236">
        <v>1</v>
      </c>
      <c r="DG1236">
        <v>1</v>
      </c>
      <c r="DH1236">
        <v>0</v>
      </c>
      <c r="DI1236">
        <f>SUM(DD1236:DG1236)</f>
        <v>4</v>
      </c>
      <c r="DJ1236" t="str">
        <f>IF(DI1236=1,INDEX($DD$7:$DG$7,MATCH(1,$DD1236:$DG1236,0)),"mixedProduct")</f>
        <v>mixedProduct</v>
      </c>
      <c r="DK1236" t="str">
        <f>IF(DD1236=1,DK$7,0)</f>
        <v>Upstream</v>
      </c>
      <c r="DL1236" t="str">
        <f>IF(DE1236=1,DL$7,0)</f>
        <v>Energy</v>
      </c>
      <c r="DM1236" t="str">
        <f>IF(DF1236=1,DM$7,0)</f>
        <v>Pulp/Paper</v>
      </c>
      <c r="DN1236" t="str">
        <f>IF(DG1236=1,DN$7,0)</f>
        <v>Timber</v>
      </c>
      <c r="DO1236">
        <v>0</v>
      </c>
      <c r="DP1236">
        <v>0</v>
      </c>
      <c r="DQ1236">
        <v>0</v>
      </c>
      <c r="DR1236">
        <v>0</v>
      </c>
      <c r="DS1236">
        <v>0</v>
      </c>
      <c r="DT1236">
        <f>SUM(DO1236:DP1236)</f>
        <v>0</v>
      </c>
      <c r="DU1236" s="143" t="str">
        <f>IF(DO1236=1,"self-calculated DF",IF(DP1236=1,"external DF used","explicit C balance"))</f>
        <v>explicit C balance</v>
      </c>
      <c r="DV1236">
        <v>1</v>
      </c>
      <c r="DW1236">
        <v>1</v>
      </c>
      <c r="DX1236">
        <v>1</v>
      </c>
      <c r="DY1236">
        <v>0</v>
      </c>
      <c r="DZ1236">
        <v>0</v>
      </c>
      <c r="EA1236" s="143">
        <v>0</v>
      </c>
      <c r="EB1236">
        <v>1</v>
      </c>
      <c r="EC1236">
        <v>1</v>
      </c>
      <c r="ED1236">
        <v>0</v>
      </c>
      <c r="EE1236">
        <v>0</v>
      </c>
      <c r="EF1236">
        <v>1</v>
      </c>
      <c r="EG1236">
        <v>0</v>
      </c>
      <c r="EH1236">
        <v>0</v>
      </c>
      <c r="EI1236" s="2">
        <v>0</v>
      </c>
      <c r="EK1236" t="str">
        <f>IF(AND(AND(AND(OR($DX1236=1,$DW1236=1),OR($EC1236=1,$EA1236=1)),SUM($DV1236:$DZ1236,$EF1236)&gt;=4),SUM($EA1236:$EE1236)&gt;=2),"Whole sector","")</f>
        <v>Whole sector</v>
      </c>
      <c r="EL1236" t="str">
        <f>IF(AND(AND(OR($DX1236=1,$DW1236=1),AND($EC1236=0,$EA1236=0)),SUM($DV1236:$DZ1236,$EF1236)&gt;=4),"Ecosystem approach","")</f>
        <v/>
      </c>
      <c r="EM1236" s="2" t="str">
        <f>IF(AND(AND(AND($DX1236=0,$DW1236=0),OR($EC1236=1,$EA1236=1)),SUM($EB1236:$EE1236)&gt;=2),"Technology approach","")</f>
        <v/>
      </c>
      <c r="EN1236" t="s">
        <v>2508</v>
      </c>
      <c r="EP1236" t="b">
        <f>IF(ISNUMBER(BU1236),IF(ABS(BU1236-[1]QC_indicators!$B$2)&gt;3*[1]QC_indicators!$C$2,"C ratio",IF(ISNUMBER(BY1236),IF(ABS(BY1236-[1]QC_indicators!$B$1)&gt;3*[1]QC_indicators!$C$1,"DF","no"))),IF(ISNUMBER(BY1236),IF(ABS(BY1236-[1]QC_indicators!$B$1)&gt;3*[1]QC_indicators!$C$1,"DF","no")))</f>
        <v>0</v>
      </c>
      <c r="ET1236" s="264" t="s">
        <v>3273</v>
      </c>
    </row>
    <row r="1237" spans="1:150" ht="15" customHeight="1">
      <c r="A1237" s="1" t="s">
        <v>1423</v>
      </c>
      <c r="B1237" t="s">
        <v>2490</v>
      </c>
      <c r="C1237" t="s">
        <v>2491</v>
      </c>
      <c r="D1237" t="s">
        <v>2492</v>
      </c>
      <c r="E1237" t="s">
        <v>2493</v>
      </c>
      <c r="F1237" t="s">
        <v>2494</v>
      </c>
      <c r="G1237" t="s">
        <v>1429</v>
      </c>
      <c r="H1237" t="s">
        <v>254</v>
      </c>
      <c r="I1237">
        <v>2016</v>
      </c>
      <c r="J1237">
        <v>24</v>
      </c>
      <c r="K1237" t="s">
        <v>2495</v>
      </c>
      <c r="M1237" t="str">
        <f>LEFT($D1237,FIND(",",$D1237)-1)&amp;"_"&amp;I1237&amp;L1237</f>
        <v>Zubizarreta-Gerendiain_2016</v>
      </c>
      <c r="N1237" t="s">
        <v>222</v>
      </c>
      <c r="O1237" s="145" t="s">
        <v>1154</v>
      </c>
      <c r="Q1237" t="s">
        <v>256</v>
      </c>
      <c r="R1237" s="262" t="s">
        <v>223</v>
      </c>
      <c r="S1237" s="1" t="s">
        <v>2521</v>
      </c>
      <c r="T1237" t="s">
        <v>2515</v>
      </c>
      <c r="U1237" t="s">
        <v>2522</v>
      </c>
      <c r="V1237">
        <v>0</v>
      </c>
      <c r="W1237">
        <v>0</v>
      </c>
      <c r="X1237">
        <v>0</v>
      </c>
      <c r="Y1237">
        <v>0</v>
      </c>
      <c r="Z1237">
        <v>0</v>
      </c>
      <c r="AA1237">
        <v>0</v>
      </c>
      <c r="AB1237">
        <v>0</v>
      </c>
      <c r="AC1237">
        <v>0</v>
      </c>
      <c r="AD1237">
        <v>0</v>
      </c>
      <c r="AE1237">
        <v>0</v>
      </c>
      <c r="AF1237">
        <v>2</v>
      </c>
      <c r="AG1237">
        <v>0</v>
      </c>
      <c r="AH1237">
        <v>0</v>
      </c>
      <c r="AI1237">
        <v>0</v>
      </c>
      <c r="AJ1237">
        <v>0</v>
      </c>
      <c r="AK1237">
        <v>0</v>
      </c>
      <c r="AL1237">
        <v>0</v>
      </c>
      <c r="AM1237">
        <v>0</v>
      </c>
      <c r="AN1237">
        <v>1</v>
      </c>
      <c r="AO1237">
        <v>2</v>
      </c>
      <c r="AP1237">
        <v>0</v>
      </c>
      <c r="AQ1237">
        <v>0</v>
      </c>
      <c r="AR1237">
        <v>0</v>
      </c>
      <c r="AS1237">
        <v>0</v>
      </c>
      <c r="AT1237">
        <v>0</v>
      </c>
      <c r="AU1237">
        <v>0</v>
      </c>
      <c r="AV1237">
        <v>0</v>
      </c>
      <c r="AW1237">
        <v>0</v>
      </c>
      <c r="AX1237" s="141">
        <f>COUNTIF(V1237:AW1237,"&lt;&gt;0")</f>
        <v>3</v>
      </c>
      <c r="AY1237" s="141">
        <f>COUNTIF(V1237:AL1237,"&lt;&gt;0")</f>
        <v>1</v>
      </c>
      <c r="AZ1237">
        <f>COUNTIF(V1237:AC1237,"&lt;&gt;0")</f>
        <v>0</v>
      </c>
      <c r="BA1237">
        <f>COUNTIF(AD1237:AI1237,"&lt;&gt;0")</f>
        <v>1</v>
      </c>
      <c r="BB1237">
        <f>COUNTIF(AJ1237:AL1237,"&lt;&gt;0")</f>
        <v>0</v>
      </c>
      <c r="BC1237">
        <f>COUNTIF(AS1237:AW1237,"&lt;&gt;0")</f>
        <v>0</v>
      </c>
      <c r="BD1237">
        <f>COUNTIF(AM1237:AR1237,"&lt;&gt;0")</f>
        <v>2</v>
      </c>
      <c r="BE1237" t="str">
        <f t="array" ref="BE1237">IF(AY1237=1,INDEX($V$7:$AL$7,MATCH(TRUE,INDEX($V1237:$AW1237&lt;&gt;0,),0)),IF(AY1237=0,INDEX($AM$7:$AW$7,MATCH(1,$AM1237:$AW1237,0)),IF(BF1237="Multiple strategies","mixed drivers",IF(BF1237="Supply chain","multiple supply","multiple silviculture"))))</f>
        <v>supply chain organization</v>
      </c>
      <c r="BF1237" s="2" t="str" cm="1">
        <f t="array" ref="BF1237">IF(COUNTIF(AZ1237:BB1237,"&lt;&gt;0")=1,INDEX($V$4:$AW$4,MATCH(TRUE,INDEX($V1237:$AW1237&lt;&gt;0,),0)),IF(COUNTIF(AZ1237:BB1237,"&lt;&gt;0")=0,INDEX($AM$4:$AW$4,MATCH(1,$AM1237:$AW1237,0)),"Multiple strategies"))</f>
        <v>Supply chain</v>
      </c>
      <c r="BM1237" s="143"/>
      <c r="BN1237" s="143"/>
      <c r="BP1237" s="143" t="s">
        <v>232</v>
      </c>
      <c r="BQ1237" s="143"/>
      <c r="BR1237" t="s">
        <v>1195</v>
      </c>
      <c r="BS1237">
        <v>-14015.791508379843</v>
      </c>
      <c r="BT1237">
        <v>-1648.9166480446902</v>
      </c>
      <c r="BU1237" s="144">
        <f>IFERROR(BT1237/BS1237,"")</f>
        <v>0.1176470588235296</v>
      </c>
      <c r="BV1237" s="144">
        <f>BT1237-BS1237</f>
        <v>12366.874860335152</v>
      </c>
      <c r="BW1237" s="144"/>
      <c r="BX1237" s="144">
        <f>BV1237</f>
        <v>12366.874860335152</v>
      </c>
      <c r="BY1237" t="str">
        <f>IFERROR(BX1237/BO1237,"")</f>
        <v/>
      </c>
      <c r="BZ1237">
        <v>0</v>
      </c>
      <c r="CA1237">
        <v>0</v>
      </c>
      <c r="CB1237">
        <v>0</v>
      </c>
      <c r="CC1237">
        <v>0</v>
      </c>
      <c r="CD1237">
        <v>0</v>
      </c>
      <c r="CE1237">
        <v>0</v>
      </c>
      <c r="CF1237">
        <v>0</v>
      </c>
      <c r="CG1237">
        <v>0</v>
      </c>
      <c r="CH1237">
        <v>0</v>
      </c>
      <c r="CI1237">
        <v>0</v>
      </c>
      <c r="CJ1237">
        <v>0</v>
      </c>
      <c r="CK1237">
        <v>0</v>
      </c>
      <c r="CL1237">
        <v>0</v>
      </c>
      <c r="CM1237">
        <v>1</v>
      </c>
      <c r="CN1237" t="str">
        <f>IF(BL1237&lt;BK1237,"refNeedCorrection","refOK")</f>
        <v>refOK</v>
      </c>
      <c r="CO1237"/>
      <c r="CP1237"/>
      <c r="CQ1237"/>
      <c r="CR1237">
        <f>IF($CN1237="refOK",$BS1237,$BT1237)*IF($BP1237="Emissions positive",-1,1)</f>
        <v>-14015.791508379843</v>
      </c>
      <c r="CS1237">
        <f>IF($CN1237="refOK",$BT1237,$BS1237)*IF($BP1237="Emissions positive",-1,1)</f>
        <v>-1648.9166480446902</v>
      </c>
      <c r="CT1237">
        <f>IF($CN1237="refNeedCorrection",-BX1237,BX1237)*IF($BP1237="Emissions positive",-1,1)</f>
        <v>12366.874860335152</v>
      </c>
      <c r="CU1237" t="str">
        <f>IFERROR(CT1237/CQ1237,"")</f>
        <v/>
      </c>
      <c r="CV1237" s="2">
        <f>IFERROR((CS1237-CR1237)/ABS(CR1237),"")</f>
        <v>0.88235294117647034</v>
      </c>
      <c r="CW1237" s="1" t="s">
        <v>1199</v>
      </c>
      <c r="CX1237" t="str">
        <f>IF(OR($CW1237="prd",$CW1237="std",$CW1237="cit"),"loc",IF(OR($CW1237="eur",$CW1237="reg",$CW1237="coy"),"reg",$CW1237))</f>
        <v>reg</v>
      </c>
      <c r="CY1237" t="s">
        <v>235</v>
      </c>
      <c r="CZ1237">
        <v>2010</v>
      </c>
      <c r="DA1237">
        <v>2070</v>
      </c>
      <c r="DB1237">
        <f>DA1237-CZ1237</f>
        <v>60</v>
      </c>
      <c r="DC1237" t="str">
        <f>IF(DB1237=0,"0",IF(AND(DB1237&gt;=1,DB1237&lt;=30),"1-30",IF(AND(DB1237&gt;30,DB1237&lt;=70),"31-70",IF(AND(DB1237&gt;70,DB1237&lt;=100),"71-100",IF(DB1237&gt;100,"+100")))))</f>
        <v>31-70</v>
      </c>
      <c r="DD1237">
        <v>1</v>
      </c>
      <c r="DE1237">
        <v>1</v>
      </c>
      <c r="DF1237">
        <v>1</v>
      </c>
      <c r="DG1237">
        <v>1</v>
      </c>
      <c r="DH1237">
        <v>0</v>
      </c>
      <c r="DI1237">
        <f>SUM(DD1237:DG1237)</f>
        <v>4</v>
      </c>
      <c r="DJ1237" t="str">
        <f>IF(DI1237=1,INDEX($DD$7:$DG$7,MATCH(1,$DD1237:$DG1237,0)),"mixedProduct")</f>
        <v>mixedProduct</v>
      </c>
      <c r="DK1237" t="str">
        <f>IF(DD1237=1,DK$7,0)</f>
        <v>Upstream</v>
      </c>
      <c r="DL1237" t="str">
        <f>IF(DE1237=1,DL$7,0)</f>
        <v>Energy</v>
      </c>
      <c r="DM1237" t="str">
        <f>IF(DF1237=1,DM$7,0)</f>
        <v>Pulp/Paper</v>
      </c>
      <c r="DN1237" t="str">
        <f>IF(DG1237=1,DN$7,0)</f>
        <v>Timber</v>
      </c>
      <c r="DO1237">
        <v>0</v>
      </c>
      <c r="DP1237">
        <v>1</v>
      </c>
      <c r="DQ1237" t="s">
        <v>2524</v>
      </c>
      <c r="DR1237" t="s">
        <v>2525</v>
      </c>
      <c r="DS1237">
        <v>0</v>
      </c>
      <c r="DT1237">
        <f>SUM(DO1237:DP1237)</f>
        <v>1</v>
      </c>
      <c r="DU1237" s="143" t="str">
        <f>IF(DO1237=1,"self-calculated DF",IF(DP1237=1,"external DF used","explicit C balance"))</f>
        <v>external DF used</v>
      </c>
      <c r="DV1237">
        <v>1</v>
      </c>
      <c r="DW1237">
        <v>1</v>
      </c>
      <c r="DX1237">
        <v>1</v>
      </c>
      <c r="DY1237">
        <v>1</v>
      </c>
      <c r="DZ1237">
        <v>0</v>
      </c>
      <c r="EA1237" s="143">
        <v>0</v>
      </c>
      <c r="EB1237">
        <v>1</v>
      </c>
      <c r="EC1237">
        <v>1</v>
      </c>
      <c r="ED1237">
        <v>0</v>
      </c>
      <c r="EE1237">
        <v>0</v>
      </c>
      <c r="EF1237">
        <v>1</v>
      </c>
      <c r="EG1237">
        <v>0</v>
      </c>
      <c r="EH1237">
        <v>0</v>
      </c>
      <c r="EI1237" s="2">
        <v>0</v>
      </c>
      <c r="EK1237" t="str">
        <f>IF(AND(AND(AND(OR($DX1237=1,$DW1237=1),OR($EC1237=1,$EA1237=1)),SUM($DV1237:$DZ1237,$EF1237)&gt;=4),SUM($EA1237:$EE1237)&gt;=2),"Whole sector","")</f>
        <v>Whole sector</v>
      </c>
      <c r="EL1237" t="str">
        <f>IF(AND(AND(OR($DX1237=1,$DW1237=1),AND($EC1237=0,$EA1237=0)),SUM($DV1237:$DZ1237,$EF1237)&gt;=4),"Ecosystem approach","")</f>
        <v/>
      </c>
      <c r="EM1237" s="2" t="str">
        <f>IF(AND(AND(AND($DX1237=0,$DW1237=0),OR($EC1237=1,$EA1237=1)),SUM($EB1237:$EE1237)&gt;=2),"Technology approach","")</f>
        <v/>
      </c>
      <c r="EN1237" t="s">
        <v>2508</v>
      </c>
      <c r="EP1237" t="b">
        <f>IF(ISNUMBER(BU1237),IF(ABS(BU1237-[1]QC_indicators!$B$2)&gt;3*[1]QC_indicators!$C$2,"C ratio",IF(ISNUMBER(BY1237),IF(ABS(BY1237-[1]QC_indicators!$B$1)&gt;3*[1]QC_indicators!$C$1,"DF","no"))),IF(ISNUMBER(BY1237),IF(ABS(BY1237-[1]QC_indicators!$B$1)&gt;3*[1]QC_indicators!$C$1,"DF","no")))</f>
        <v>0</v>
      </c>
      <c r="ET1237" s="264" t="s">
        <v>3273</v>
      </c>
    </row>
    <row r="1238" spans="1:150" ht="15" customHeight="1">
      <c r="D1238" t="s">
        <v>2231</v>
      </c>
      <c r="E1238" t="s">
        <v>2232</v>
      </c>
      <c r="G1238" t="s">
        <v>2233</v>
      </c>
      <c r="I1238">
        <v>2015</v>
      </c>
      <c r="K1238" t="s">
        <v>2234</v>
      </c>
      <c r="M1238" t="str">
        <f>LEFT($D1238,FIND(",",$D1238)-1)&amp;"_"&amp;I1238&amp;L1238</f>
        <v>Repo_2015</v>
      </c>
      <c r="N1238" t="s">
        <v>2583</v>
      </c>
      <c r="O1238" s="145" t="s">
        <v>225</v>
      </c>
      <c r="Q1238" t="s">
        <v>256</v>
      </c>
      <c r="R1238" s="262" t="s">
        <v>223</v>
      </c>
      <c r="S1238" s="1" t="s">
        <v>2229</v>
      </c>
      <c r="T1238" t="s">
        <v>2235</v>
      </c>
      <c r="U1238" t="s">
        <v>2240</v>
      </c>
      <c r="V1238" s="143">
        <v>0</v>
      </c>
      <c r="W1238" s="143">
        <v>0</v>
      </c>
      <c r="X1238" s="143">
        <v>0</v>
      </c>
      <c r="Y1238" s="143">
        <v>0</v>
      </c>
      <c r="Z1238" s="143">
        <v>0</v>
      </c>
      <c r="AA1238" s="143">
        <v>0</v>
      </c>
      <c r="AB1238" s="143">
        <v>0</v>
      </c>
      <c r="AC1238" s="143">
        <v>0</v>
      </c>
      <c r="AD1238" s="143">
        <v>0</v>
      </c>
      <c r="AE1238" s="143">
        <v>0</v>
      </c>
      <c r="AF1238" s="143">
        <v>1</v>
      </c>
      <c r="AG1238" s="143">
        <v>0</v>
      </c>
      <c r="AH1238" s="143">
        <v>0</v>
      </c>
      <c r="AI1238" s="143">
        <v>0</v>
      </c>
      <c r="AJ1238" s="143">
        <v>0</v>
      </c>
      <c r="AK1238" s="143">
        <v>0</v>
      </c>
      <c r="AL1238" s="143">
        <v>0</v>
      </c>
      <c r="AM1238" s="143">
        <v>0</v>
      </c>
      <c r="AN1238" s="143">
        <v>0</v>
      </c>
      <c r="AO1238" s="143">
        <v>0</v>
      </c>
      <c r="AP1238" s="143">
        <v>0</v>
      </c>
      <c r="AQ1238" s="143">
        <v>0</v>
      </c>
      <c r="AR1238" s="143">
        <v>0</v>
      </c>
      <c r="AS1238" s="143">
        <v>0</v>
      </c>
      <c r="AT1238" s="143">
        <v>0</v>
      </c>
      <c r="AU1238" s="143">
        <v>0</v>
      </c>
      <c r="AV1238" s="143">
        <v>0</v>
      </c>
      <c r="AW1238" s="143">
        <v>0</v>
      </c>
      <c r="AX1238" s="141">
        <f>COUNTIF(V1238:AW1238,"&lt;&gt;0")</f>
        <v>1</v>
      </c>
      <c r="AY1238" s="141">
        <f>COUNTIF(V1238:AL1238,"&lt;&gt;0")</f>
        <v>1</v>
      </c>
      <c r="AZ1238">
        <f>COUNTIF(V1238:AC1238,"&lt;&gt;0")</f>
        <v>0</v>
      </c>
      <c r="BA1238">
        <f>COUNTIF(AD1238:AI1238,"&lt;&gt;0")</f>
        <v>1</v>
      </c>
      <c r="BB1238">
        <f>COUNTIF(AJ1238:AL1238,"&lt;&gt;0")</f>
        <v>0</v>
      </c>
      <c r="BC1238">
        <f>COUNTIF(AS1238:AW1238,"&lt;&gt;0")</f>
        <v>0</v>
      </c>
      <c r="BD1238">
        <f>COUNTIF(AM1238:AR1238,"&lt;&gt;0")</f>
        <v>0</v>
      </c>
      <c r="BE1238" t="str">
        <f t="array" ref="BE1238">IF(AY1238=1,INDEX($V$7:$AL$7,MATCH(TRUE,INDEX($V1238:$AW1238&lt;&gt;0,),0)),IF(AY1238=0,INDEX($AM$7:$AW$7,MATCH(1,$AM1238:$AW1238,0)),IF(BF1238="Multiple strategies","mixed drivers",IF(BF1238="Supply chain","multiple supply","multiple silviculture"))))</f>
        <v>supply chain organization</v>
      </c>
      <c r="BF1238" s="2" t="str" cm="1">
        <f t="array" ref="BF1238">IF(COUNTIF(AZ1238:BB1238,"&lt;&gt;0")=1,INDEX($V$4:$AW$4,MATCH(TRUE,INDEX($V1238:$AW1238&lt;&gt;0,),0)),IF(COUNTIF(AZ1238:BB1238,"&lt;&gt;0")=0,INDEX($AM$4:$AW$4,MATCH(1,$AM1238:$AW1238,0)),"Multiple strategies"))</f>
        <v>Supply chain</v>
      </c>
      <c r="BG1238" s="1" t="s">
        <v>321</v>
      </c>
      <c r="BH1238" t="s">
        <v>2237</v>
      </c>
      <c r="BI1238" s="264" t="s">
        <v>424</v>
      </c>
      <c r="BJ1238" s="264" t="s">
        <v>3234</v>
      </c>
      <c r="BK1238">
        <v>63</v>
      </c>
      <c r="BL1238">
        <v>63</v>
      </c>
      <c r="BN1238">
        <f>BL1238-BK1238</f>
        <v>0</v>
      </c>
      <c r="BO1238">
        <f>BN1238*t_to_m3</f>
        <v>0</v>
      </c>
      <c r="BP1238" t="s">
        <v>232</v>
      </c>
      <c r="BR1238" t="s">
        <v>2238</v>
      </c>
      <c r="BU1238" s="144"/>
      <c r="BV1238">
        <v>-3.4000000000000002E-2</v>
      </c>
      <c r="BY1238" t="str">
        <f>IFERROR(BX1238/BO1238,"")</f>
        <v/>
      </c>
      <c r="BZ1238" s="143">
        <v>0</v>
      </c>
      <c r="CA1238" s="143">
        <v>1</v>
      </c>
      <c r="CB1238" s="143">
        <v>0</v>
      </c>
      <c r="CC1238" s="143">
        <v>1</v>
      </c>
      <c r="CD1238" s="143">
        <v>0</v>
      </c>
      <c r="CE1238" s="143">
        <v>0</v>
      </c>
      <c r="CF1238" s="143">
        <v>0</v>
      </c>
      <c r="CG1238" s="143">
        <v>0</v>
      </c>
      <c r="CH1238" s="143">
        <v>0</v>
      </c>
      <c r="CI1238" s="143">
        <v>0</v>
      </c>
      <c r="CJ1238" s="143">
        <v>0</v>
      </c>
      <c r="CK1238" s="143">
        <v>0</v>
      </c>
      <c r="CL1238" s="143">
        <v>0</v>
      </c>
      <c r="CM1238" s="143">
        <v>0</v>
      </c>
      <c r="CN1238" t="str">
        <f>IF(BL1238&lt;BK1238,"refNeedCorrection","refOK")</f>
        <v>refOK</v>
      </c>
      <c r="CO1238">
        <f>IF($CN1238="refOK",$BK1238,$BL1238)</f>
        <v>63</v>
      </c>
      <c r="CP1238">
        <f>IF($CN1238="refOK",$BL1238,$BK1238)</f>
        <v>63</v>
      </c>
      <c r="CQ1238">
        <f>IF($CN1238="refOK",$BO1238,-$BO1238)</f>
        <v>0</v>
      </c>
      <c r="CR1238"/>
      <c r="CS1238"/>
      <c r="CT1238"/>
      <c r="CU1238" t="str">
        <f>IFERROR(CT1238/CQ1238,"")</f>
        <v/>
      </c>
      <c r="CV1238" s="2" t="str">
        <f>IFERROR((CS1238-CR1238)/ABS(CR1238),"")</f>
        <v/>
      </c>
      <c r="CW1238" s="1" t="s">
        <v>1203</v>
      </c>
      <c r="CX1238" t="str">
        <f>IF(OR($CW1238="prd",$CW1238="std",$CW1238="cit"),"loc",IF(OR($CW1238="eur",$CW1238="reg",$CW1238="coy"),"reg",$CW1238))</f>
        <v>reg</v>
      </c>
      <c r="CY1238" t="s">
        <v>235</v>
      </c>
      <c r="CZ1238">
        <v>2010</v>
      </c>
      <c r="DA1238">
        <v>2110</v>
      </c>
      <c r="DB1238" s="143">
        <f>DA1238-CZ1238</f>
        <v>100</v>
      </c>
      <c r="DC1238" t="str">
        <f>IF(DB1238=0,"0",IF(AND(DB1238&gt;=1,DB1238&lt;=30),"1-30",IF(AND(DB1238&gt;30,DB1238&lt;=70),"31-70",IF(AND(DB1238&gt;70,DB1238&lt;=100),"71-100",IF(DB1238&gt;100,"+100")))))</f>
        <v>71-100</v>
      </c>
      <c r="DD1238">
        <v>1</v>
      </c>
      <c r="DE1238">
        <v>1</v>
      </c>
      <c r="DF1238">
        <v>0</v>
      </c>
      <c r="DG1238">
        <v>0</v>
      </c>
      <c r="DI1238">
        <f>SUM(DD1238:DG1238)</f>
        <v>2</v>
      </c>
      <c r="DJ1238" t="str">
        <f>IF(DI1238=1,INDEX($DD$7:$DG$7,MATCH(1,$DD1238:$DG1238,0)),"mixedProduct")</f>
        <v>mixedProduct</v>
      </c>
      <c r="DK1238" t="str">
        <f>IF(DD1238=1,DK$7,0)</f>
        <v>Upstream</v>
      </c>
      <c r="DL1238" t="str">
        <f>IF(DE1238=1,DL$7,0)</f>
        <v>Energy</v>
      </c>
      <c r="DM1238">
        <f>IF(DF1238=1,DM$7,0)</f>
        <v>0</v>
      </c>
      <c r="DN1238">
        <f>IF(DG1238=1,DN$7,0)</f>
        <v>0</v>
      </c>
      <c r="DO1238">
        <v>0</v>
      </c>
      <c r="DP1238" s="143">
        <v>0</v>
      </c>
      <c r="DQ1238" t="s">
        <v>2230</v>
      </c>
      <c r="DR1238">
        <v>0</v>
      </c>
      <c r="DS1238">
        <v>0</v>
      </c>
      <c r="DT1238">
        <f>SUM(DO1238:DP1238)</f>
        <v>0</v>
      </c>
      <c r="DU1238" s="143" t="str">
        <f>IF(DO1238=1,"self-calculated DF",IF(DP1238=1,"external DF used","explicit C balance"))</f>
        <v>explicit C balance</v>
      </c>
      <c r="DV1238" s="143">
        <v>1</v>
      </c>
      <c r="DW1238" s="143">
        <v>1</v>
      </c>
      <c r="DX1238" s="143">
        <v>1</v>
      </c>
      <c r="DY1238" s="143">
        <v>0</v>
      </c>
      <c r="DZ1238" s="143">
        <v>1</v>
      </c>
      <c r="EA1238" s="143">
        <v>0</v>
      </c>
      <c r="EB1238" s="143">
        <v>1</v>
      </c>
      <c r="EC1238" s="143">
        <v>1</v>
      </c>
      <c r="ED1238" s="143">
        <v>0</v>
      </c>
      <c r="EE1238" s="143">
        <v>0</v>
      </c>
      <c r="EF1238" s="143">
        <v>0</v>
      </c>
      <c r="EG1238" s="143">
        <v>0</v>
      </c>
      <c r="EH1238" s="143">
        <v>0</v>
      </c>
      <c r="EI1238" s="196">
        <v>0</v>
      </c>
      <c r="EK1238" t="str">
        <f>IF(AND(AND(AND(OR($DX1238=1,$DW1238=1),OR($EC1238=1,$EA1238=1)),SUM($DV1238:$DZ1238,$EF1238)&gt;=4),SUM($EA1238:$EE1238)&gt;=2),"Whole sector","")</f>
        <v>Whole sector</v>
      </c>
      <c r="EL1238" t="str">
        <f>IF(AND(AND(OR($DX1238=1,$DW1238=1),AND($EC1238=0,$EA1238=0)),SUM($DV1238:$DZ1238,$EF1238)&gt;=4),"Ecosystem approach","")</f>
        <v/>
      </c>
      <c r="EM1238" s="2" t="str">
        <f>IF(AND(AND(AND($DX1238=0,$DW1238=0),OR($EC1238=1,$EA1238=1)),SUM($EB1238:$EE1238)&gt;=2),"Technology approach","")</f>
        <v/>
      </c>
      <c r="EP1238" t="b">
        <f>IF(ISNUMBER(BU1238),IF(ABS(BU1238-[1]QC_indicators!$B$2)&gt;3*[1]QC_indicators!$C$2,"C ratio",IF(ISNUMBER(BY1238),IF(ABS(BY1238-[1]QC_indicators!$B$1)&gt;3*[1]QC_indicators!$C$1,"DF","no"))),IF(ISNUMBER(BY1238),IF(ABS(BY1238-[1]QC_indicators!$B$1)&gt;3*[1]QC_indicators!$C$1,"DF","no")))</f>
        <v>0</v>
      </c>
      <c r="ER1238" s="149" t="s">
        <v>349</v>
      </c>
      <c r="ET1238" s="264" t="s">
        <v>3235</v>
      </c>
    </row>
    <row r="1239" spans="1:150" ht="15" customHeight="1">
      <c r="D1239" t="s">
        <v>2231</v>
      </c>
      <c r="E1239" t="s">
        <v>2232</v>
      </c>
      <c r="G1239" t="s">
        <v>2233</v>
      </c>
      <c r="I1239">
        <v>2015</v>
      </c>
      <c r="K1239" t="s">
        <v>2234</v>
      </c>
      <c r="M1239" t="str">
        <f>LEFT($D1239,FIND(",",$D1239)-1)&amp;"_"&amp;I1239&amp;L1239</f>
        <v>Repo_2015</v>
      </c>
      <c r="N1239" t="s">
        <v>2583</v>
      </c>
      <c r="O1239" s="145" t="s">
        <v>225</v>
      </c>
      <c r="Q1239" t="s">
        <v>256</v>
      </c>
      <c r="R1239" s="262" t="s">
        <v>223</v>
      </c>
      <c r="S1239" s="1" t="s">
        <v>2229</v>
      </c>
      <c r="T1239" t="s">
        <v>2235</v>
      </c>
      <c r="U1239" t="s">
        <v>2241</v>
      </c>
      <c r="V1239" s="143">
        <v>0</v>
      </c>
      <c r="W1239" s="143">
        <v>0</v>
      </c>
      <c r="X1239" s="143">
        <v>0</v>
      </c>
      <c r="Y1239" s="143">
        <v>0</v>
      </c>
      <c r="Z1239" s="143">
        <v>0</v>
      </c>
      <c r="AA1239" s="143">
        <v>0</v>
      </c>
      <c r="AB1239" s="143">
        <v>0</v>
      </c>
      <c r="AC1239" s="143">
        <v>0</v>
      </c>
      <c r="AD1239" s="143">
        <v>0</v>
      </c>
      <c r="AE1239" s="143">
        <v>0</v>
      </c>
      <c r="AF1239" s="143">
        <v>1</v>
      </c>
      <c r="AG1239" s="143">
        <v>0</v>
      </c>
      <c r="AH1239" s="143">
        <v>0</v>
      </c>
      <c r="AI1239" s="143">
        <v>0</v>
      </c>
      <c r="AJ1239" s="143">
        <v>0</v>
      </c>
      <c r="AK1239" s="143">
        <v>0</v>
      </c>
      <c r="AL1239" s="143">
        <v>0</v>
      </c>
      <c r="AM1239" s="143">
        <v>0</v>
      </c>
      <c r="AN1239" s="143">
        <v>0</v>
      </c>
      <c r="AO1239" s="143">
        <v>0</v>
      </c>
      <c r="AP1239" s="143">
        <v>0</v>
      </c>
      <c r="AQ1239" s="143">
        <v>0</v>
      </c>
      <c r="AR1239" s="143">
        <v>0</v>
      </c>
      <c r="AS1239" s="143">
        <v>0</v>
      </c>
      <c r="AT1239" s="143">
        <v>0</v>
      </c>
      <c r="AU1239" s="143">
        <v>0</v>
      </c>
      <c r="AV1239" s="143">
        <v>0</v>
      </c>
      <c r="AW1239" s="143">
        <v>0</v>
      </c>
      <c r="AX1239" s="141">
        <f>COUNTIF(V1239:AW1239,"&lt;&gt;0")</f>
        <v>1</v>
      </c>
      <c r="AY1239" s="141">
        <f>COUNTIF(V1239:AL1239,"&lt;&gt;0")</f>
        <v>1</v>
      </c>
      <c r="AZ1239">
        <f>COUNTIF(V1239:AC1239,"&lt;&gt;0")</f>
        <v>0</v>
      </c>
      <c r="BA1239">
        <f>COUNTIF(AD1239:AI1239,"&lt;&gt;0")</f>
        <v>1</v>
      </c>
      <c r="BB1239">
        <f>COUNTIF(AJ1239:AL1239,"&lt;&gt;0")</f>
        <v>0</v>
      </c>
      <c r="BC1239">
        <f>COUNTIF(AS1239:AW1239,"&lt;&gt;0")</f>
        <v>0</v>
      </c>
      <c r="BD1239">
        <f>COUNTIF(AM1239:AR1239,"&lt;&gt;0")</f>
        <v>0</v>
      </c>
      <c r="BE1239" t="str">
        <f t="array" ref="BE1239">IF(AY1239=1,INDEX($V$7:$AL$7,MATCH(TRUE,INDEX($V1239:$AW1239&lt;&gt;0,),0)),IF(AY1239=0,INDEX($AM$7:$AW$7,MATCH(1,$AM1239:$AW1239,0)),IF(BF1239="Multiple strategies","mixed drivers",IF(BF1239="Supply chain","multiple supply","multiple silviculture"))))</f>
        <v>supply chain organization</v>
      </c>
      <c r="BF1239" s="2" t="str" cm="1">
        <f t="array" ref="BF1239">IF(COUNTIF(AZ1239:BB1239,"&lt;&gt;0")=1,INDEX($V$4:$AW$4,MATCH(TRUE,INDEX($V1239:$AW1239&lt;&gt;0,),0)),IF(COUNTIF(AZ1239:BB1239,"&lt;&gt;0")=0,INDEX($AM$4:$AW$4,MATCH(1,$AM1239:$AW1239,0)),"Multiple strategies"))</f>
        <v>Supply chain</v>
      </c>
      <c r="BG1239" s="1" t="s">
        <v>321</v>
      </c>
      <c r="BH1239" t="s">
        <v>2237</v>
      </c>
      <c r="BI1239" s="264" t="s">
        <v>424</v>
      </c>
      <c r="BJ1239" s="264" t="s">
        <v>3234</v>
      </c>
      <c r="BK1239">
        <v>63</v>
      </c>
      <c r="BL1239">
        <v>63</v>
      </c>
      <c r="BN1239">
        <f>BL1239-BK1239</f>
        <v>0</v>
      </c>
      <c r="BO1239">
        <f>BN1239*t_to_m3</f>
        <v>0</v>
      </c>
      <c r="BP1239" t="s">
        <v>232</v>
      </c>
      <c r="BR1239" t="s">
        <v>2238</v>
      </c>
      <c r="BU1239" s="144"/>
      <c r="BV1239">
        <v>2.7E-2</v>
      </c>
      <c r="BY1239" t="str">
        <f>IFERROR(BX1239/BO1239,"")</f>
        <v/>
      </c>
      <c r="BZ1239" s="143">
        <v>0</v>
      </c>
      <c r="CA1239" s="143">
        <v>1</v>
      </c>
      <c r="CB1239" s="143">
        <v>0</v>
      </c>
      <c r="CC1239" s="143">
        <v>1</v>
      </c>
      <c r="CD1239" s="143">
        <v>0</v>
      </c>
      <c r="CE1239" s="143">
        <v>0</v>
      </c>
      <c r="CF1239" s="143">
        <v>0</v>
      </c>
      <c r="CG1239" s="143">
        <v>0</v>
      </c>
      <c r="CH1239" s="143">
        <v>0</v>
      </c>
      <c r="CI1239" s="143">
        <v>0</v>
      </c>
      <c r="CJ1239" s="143">
        <v>0</v>
      </c>
      <c r="CK1239" s="143">
        <v>0</v>
      </c>
      <c r="CL1239" s="143">
        <v>0</v>
      </c>
      <c r="CM1239" s="143">
        <v>0</v>
      </c>
      <c r="CN1239" t="str">
        <f>IF(BL1239&lt;BK1239,"refNeedCorrection","refOK")</f>
        <v>refOK</v>
      </c>
      <c r="CO1239">
        <f>IF($CN1239="refOK",$BK1239,$BL1239)</f>
        <v>63</v>
      </c>
      <c r="CP1239">
        <f>IF($CN1239="refOK",$BL1239,$BK1239)</f>
        <v>63</v>
      </c>
      <c r="CQ1239">
        <f>IF($CN1239="refOK",$BO1239,-$BO1239)</f>
        <v>0</v>
      </c>
      <c r="CR1239"/>
      <c r="CS1239"/>
      <c r="CT1239"/>
      <c r="CU1239" t="str">
        <f>IFERROR(CT1239/CQ1239,"")</f>
        <v/>
      </c>
      <c r="CV1239" s="2" t="str">
        <f>IFERROR((CS1239-CR1239)/ABS(CR1239),"")</f>
        <v/>
      </c>
      <c r="CW1239" s="1" t="s">
        <v>1203</v>
      </c>
      <c r="CX1239" t="str">
        <f>IF(OR($CW1239="prd",$CW1239="std",$CW1239="cit"),"loc",IF(OR($CW1239="eur",$CW1239="reg",$CW1239="coy"),"reg",$CW1239))</f>
        <v>reg</v>
      </c>
      <c r="CY1239" t="s">
        <v>235</v>
      </c>
      <c r="CZ1239">
        <v>2010</v>
      </c>
      <c r="DA1239">
        <v>2110</v>
      </c>
      <c r="DB1239" s="143">
        <f>DA1239-CZ1239</f>
        <v>100</v>
      </c>
      <c r="DC1239" t="str">
        <f>IF(DB1239=0,"0",IF(AND(DB1239&gt;=1,DB1239&lt;=30),"1-30",IF(AND(DB1239&gt;30,DB1239&lt;=70),"31-70",IF(AND(DB1239&gt;70,DB1239&lt;=100),"71-100",IF(DB1239&gt;100,"+100")))))</f>
        <v>71-100</v>
      </c>
      <c r="DD1239">
        <v>1</v>
      </c>
      <c r="DE1239">
        <v>1</v>
      </c>
      <c r="DF1239">
        <v>0</v>
      </c>
      <c r="DG1239">
        <v>0</v>
      </c>
      <c r="DI1239">
        <f>SUM(DD1239:DG1239)</f>
        <v>2</v>
      </c>
      <c r="DJ1239" t="str">
        <f>IF(DI1239=1,INDEX($DD$7:$DG$7,MATCH(1,$DD1239:$DG1239,0)),"mixedProduct")</f>
        <v>mixedProduct</v>
      </c>
      <c r="DK1239" t="str">
        <f>IF(DD1239=1,DK$7,0)</f>
        <v>Upstream</v>
      </c>
      <c r="DL1239" t="str">
        <f>IF(DE1239=1,DL$7,0)</f>
        <v>Energy</v>
      </c>
      <c r="DM1239">
        <f>IF(DF1239=1,DM$7,0)</f>
        <v>0</v>
      </c>
      <c r="DN1239">
        <f>IF(DG1239=1,DN$7,0)</f>
        <v>0</v>
      </c>
      <c r="DO1239">
        <v>0</v>
      </c>
      <c r="DP1239" s="143">
        <v>0</v>
      </c>
      <c r="DQ1239" t="s">
        <v>2242</v>
      </c>
      <c r="DR1239">
        <v>0</v>
      </c>
      <c r="DS1239">
        <v>0</v>
      </c>
      <c r="DT1239">
        <f>SUM(DO1239:DP1239)</f>
        <v>0</v>
      </c>
      <c r="DU1239" s="143" t="str">
        <f>IF(DO1239=1,"self-calculated DF",IF(DP1239=1,"external DF used","explicit C balance"))</f>
        <v>explicit C balance</v>
      </c>
      <c r="DV1239" s="143">
        <v>1</v>
      </c>
      <c r="DW1239" s="143">
        <v>1</v>
      </c>
      <c r="DX1239" s="143">
        <v>1</v>
      </c>
      <c r="DY1239" s="143">
        <v>0</v>
      </c>
      <c r="DZ1239" s="143">
        <v>1</v>
      </c>
      <c r="EA1239" s="143">
        <v>0</v>
      </c>
      <c r="EB1239" s="143">
        <v>1</v>
      </c>
      <c r="EC1239" s="143">
        <v>1</v>
      </c>
      <c r="ED1239" s="143">
        <v>0</v>
      </c>
      <c r="EE1239" s="143">
        <v>0</v>
      </c>
      <c r="EF1239" s="143">
        <v>0</v>
      </c>
      <c r="EG1239" s="143">
        <v>0</v>
      </c>
      <c r="EH1239" s="143">
        <v>0</v>
      </c>
      <c r="EI1239" s="196">
        <v>0</v>
      </c>
      <c r="EK1239" t="str">
        <f>IF(AND(AND(AND(OR($DX1239=1,$DW1239=1),OR($EC1239=1,$EA1239=1)),SUM($DV1239:$DZ1239,$EF1239)&gt;=4),SUM($EA1239:$EE1239)&gt;=2),"Whole sector","")</f>
        <v>Whole sector</v>
      </c>
      <c r="EL1239" t="str">
        <f>IF(AND(AND(OR($DX1239=1,$DW1239=1),AND($EC1239=0,$EA1239=0)),SUM($DV1239:$DZ1239,$EF1239)&gt;=4),"Ecosystem approach","")</f>
        <v/>
      </c>
      <c r="EM1239" s="2" t="str">
        <f>IF(AND(AND(AND($DX1239=0,$DW1239=0),OR($EC1239=1,$EA1239=1)),SUM($EB1239:$EE1239)&gt;=2),"Technology approach","")</f>
        <v/>
      </c>
      <c r="EP1239" t="b">
        <f>IF(ISNUMBER(BU1239),IF(ABS(BU1239-[1]QC_indicators!$B$2)&gt;3*[1]QC_indicators!$C$2,"C ratio",IF(ISNUMBER(BY1239),IF(ABS(BY1239-[1]QC_indicators!$B$1)&gt;3*[1]QC_indicators!$C$1,"DF","no"))),IF(ISNUMBER(BY1239),IF(ABS(BY1239-[1]QC_indicators!$B$1)&gt;3*[1]QC_indicators!$C$1,"DF","no")))</f>
        <v>0</v>
      </c>
      <c r="ER1239" s="149" t="s">
        <v>349</v>
      </c>
      <c r="ET1239" s="264" t="s">
        <v>3235</v>
      </c>
    </row>
    <row r="1240" spans="1:150" ht="15" customHeight="1">
      <c r="A1240" s="1" t="s">
        <v>587</v>
      </c>
      <c r="B1240" t="s">
        <v>3424</v>
      </c>
      <c r="C1240" t="s">
        <v>3425</v>
      </c>
      <c r="D1240" t="s">
        <v>3426</v>
      </c>
      <c r="E1240" t="s">
        <v>3427</v>
      </c>
      <c r="F1240" t="s">
        <v>3428</v>
      </c>
      <c r="G1240" t="s">
        <v>593</v>
      </c>
      <c r="I1240">
        <v>2018</v>
      </c>
      <c r="K1240" t="s">
        <v>3429</v>
      </c>
      <c r="M1240" t="str">
        <f>LEFT($D1240,FIND(",",$D1240)-1)&amp;"_"&amp;I1240&amp;L1240</f>
        <v>Abbas_2018</v>
      </c>
      <c r="N1240" s="312" t="s">
        <v>4383</v>
      </c>
      <c r="O1240" s="140" t="s">
        <v>223</v>
      </c>
      <c r="Q1240" s="312" t="s">
        <v>224</v>
      </c>
      <c r="R1240" s="313"/>
      <c r="S1240" s="1" t="s">
        <v>3430</v>
      </c>
      <c r="T1240" t="s">
        <v>3431</v>
      </c>
      <c r="U1240" s="143" t="s">
        <v>3432</v>
      </c>
      <c r="V1240">
        <v>0</v>
      </c>
      <c r="W1240">
        <v>0</v>
      </c>
      <c r="X1240">
        <v>0</v>
      </c>
      <c r="Y1240">
        <v>1</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s="141">
        <f>COUNTIF(V1240:AW1240,"&lt;&gt;0")</f>
        <v>1</v>
      </c>
      <c r="AY1240" s="141">
        <f>COUNTIF(V1240:AL1240,"&lt;&gt;0")</f>
        <v>1</v>
      </c>
      <c r="AZ1240">
        <f>COUNTIF(V1240:AC1240,"&lt;&gt;0")</f>
        <v>1</v>
      </c>
      <c r="BA1240">
        <f>COUNTIF(AD1240:AI1240,"&lt;&gt;0")</f>
        <v>0</v>
      </c>
      <c r="BB1240">
        <f>COUNTIF(AJ1240:AL1240,"&lt;&gt;0")</f>
        <v>0</v>
      </c>
      <c r="BC1240">
        <f>COUNTIF(AS1240:AW1240,"&lt;&gt;0")</f>
        <v>0</v>
      </c>
      <c r="BD1240">
        <f>COUNTIF(AM1240:AR1240,"&lt;&gt;0")</f>
        <v>0</v>
      </c>
      <c r="BE1240" t="str" cm="1">
        <f t="array" ref="BE1240">IF(AY1240=1,INDEX($V$7:$AL$7,MATCH(TRUE,INDEX($V1240:$AW1240&lt;&gt;0,),0)),IF(AY1240=0,INDEX($AM$7:$AW$7,MATCH(1,$AM1240:$AW1240,0)),IF(BF1240="Multiple strategies","mixed drivers",IF(BF1240="Supply chain","multiple supply","multiple silviculture"))))</f>
        <v xml:space="preserve">cutting intensity </v>
      </c>
      <c r="BF1240" s="2" t="str" cm="1">
        <f t="array" ref="BF1240">IF(COUNTIF(AZ1240:BB1240,"&lt;&gt;0")=1,INDEX($V$4:$AW$4,MATCH(TRUE,INDEX($V1240:$AW1240&lt;&gt;0,),0)),IF(COUNTIF(AZ1240:BB1240,"&lt;&gt;0")=0,INDEX($AM$4:$AW$4,MATCH(1,$AM1240:$AW1240,0)),"Multiple strategies"))</f>
        <v>Silviculture for removals</v>
      </c>
      <c r="BG1240" s="142" t="s">
        <v>321</v>
      </c>
      <c r="BH1240" t="s">
        <v>3433</v>
      </c>
      <c r="BJ1240" s="143" t="s">
        <v>3434</v>
      </c>
      <c r="BK1240">
        <v>1</v>
      </c>
      <c r="BL1240" s="143">
        <v>1</v>
      </c>
      <c r="BM1240" s="143"/>
      <c r="BN1240">
        <f>BL1240-BK1240</f>
        <v>0</v>
      </c>
      <c r="BO1240" s="143">
        <f>BN1240*t_to_m3</f>
        <v>0</v>
      </c>
      <c r="BP1240" s="312" t="s">
        <v>232</v>
      </c>
      <c r="BQ1240" s="312" t="s">
        <v>3435</v>
      </c>
      <c r="BR1240" t="s">
        <v>3436</v>
      </c>
      <c r="BS1240">
        <v>-23.3</v>
      </c>
      <c r="BT1240">
        <v>-17.7</v>
      </c>
      <c r="BU1240" s="144">
        <v>0.75965665236051494</v>
      </c>
      <c r="BV1240">
        <v>5.6000000000000014</v>
      </c>
      <c r="BX1240">
        <f>BV1240/1000</f>
        <v>5.6000000000000017E-3</v>
      </c>
      <c r="BY1240" t="str">
        <f>IFERROR(BX1240/BO1240,"")</f>
        <v/>
      </c>
      <c r="BZ1240">
        <v>0</v>
      </c>
      <c r="CA1240">
        <v>0</v>
      </c>
      <c r="CB1240">
        <v>0</v>
      </c>
      <c r="CC1240">
        <v>0</v>
      </c>
      <c r="CD1240">
        <v>0</v>
      </c>
      <c r="CE1240">
        <v>0</v>
      </c>
      <c r="CF1240">
        <v>0</v>
      </c>
      <c r="CG1240">
        <v>0</v>
      </c>
      <c r="CH1240">
        <v>0</v>
      </c>
      <c r="CI1240">
        <v>0</v>
      </c>
      <c r="CJ1240">
        <v>0</v>
      </c>
      <c r="CK1240">
        <v>0</v>
      </c>
      <c r="CL1240">
        <v>0</v>
      </c>
      <c r="CM1240">
        <v>0</v>
      </c>
      <c r="CN1240" t="str">
        <f>IF($BL1240&lt;$BK1240,"refNeedCorrection","refOK")</f>
        <v>refOK</v>
      </c>
      <c r="CO1240">
        <f>IF($CN1240="refOK",$BK1240,$BL1240)</f>
        <v>1</v>
      </c>
      <c r="CP1240">
        <f>IF($CN1240="refOK",$BL1240,$BK1240)</f>
        <v>1</v>
      </c>
      <c r="CQ1240">
        <f>IF($CN1240="refOK",$BO1240,-$BO1240)</f>
        <v>0</v>
      </c>
      <c r="CR1240">
        <f>IF($CN1240="refOK",$BS1240,$BT1240)*IF($BP1240="Emissions positive",-1,1)</f>
        <v>-23.3</v>
      </c>
      <c r="CS1240">
        <f>IF($CN1240="refOK",$BT1240,$BS1240)*IF($BP1240="Emissions positive",-1,1)</f>
        <v>-17.7</v>
      </c>
      <c r="CT1240">
        <f>IF($CN1240="refNeedCorrection",-BX1240,BX1240)*IF($BP1240="Emissions positive",-1,1)</f>
        <v>5.6000000000000017E-3</v>
      </c>
      <c r="CU1240" t="str">
        <f>IFERROR(CT1240/CQ1240,"")</f>
        <v/>
      </c>
      <c r="CV1240" s="2">
        <f>IFERROR((CS1240-CR1240)/ABS(CR1240),"")</f>
        <v>0.24034334763948503</v>
      </c>
      <c r="CW1240" s="1" t="s">
        <v>1199</v>
      </c>
      <c r="CX1240" s="312" t="str">
        <f>IF(OR($CW1240="prd",$CW1240="std",$CW1240="cit"),"loc",IF(OR($CW1240="eur",$CW1240="reg",$CW1240="coy"),"reg",$CW1240))</f>
        <v>reg</v>
      </c>
      <c r="CY1240" t="s">
        <v>428</v>
      </c>
      <c r="DA1240" s="143"/>
      <c r="DB1240" s="143">
        <v>0</v>
      </c>
      <c r="DC1240" t="str">
        <f>IF(DB1240=0,"0",IF(AND(DB1240&gt;=1,DB1240&lt;=30),"1-30",IF(AND(DB1240&gt;30,DB1240&lt;=70),"31-70",IF(AND(DB1240&gt;70,DB1240&lt;=100),"71-100",IF(DB1240&gt;100,"+100")))))</f>
        <v>0</v>
      </c>
      <c r="DD1240">
        <v>1</v>
      </c>
      <c r="DE1240">
        <v>0</v>
      </c>
      <c r="DF1240">
        <v>0</v>
      </c>
      <c r="DG1240">
        <v>0</v>
      </c>
      <c r="DI1240">
        <f>SUM(DD1240:DG1240)</f>
        <v>1</v>
      </c>
      <c r="DJ1240" t="str">
        <f>IF(DI1240=1,INDEX($DD$7:$DG$7,MATCH(1,$DD1240:$DG1240,0)),"mixedProduct")</f>
        <v>UpstreamInput</v>
      </c>
      <c r="DK1240" t="str">
        <f>IF(DD1240=1,DK$7,0)</f>
        <v>Upstream</v>
      </c>
      <c r="DL1240">
        <f>IF(DE1240=1,DL$7,0)</f>
        <v>0</v>
      </c>
      <c r="DM1240">
        <f>IF(DF1240=1,DM$7,0)</f>
        <v>0</v>
      </c>
      <c r="DN1240">
        <f>IF(DG1240=1,DN$7,0)</f>
        <v>0</v>
      </c>
      <c r="DO1240">
        <v>0</v>
      </c>
      <c r="DP1240" s="143">
        <v>0</v>
      </c>
      <c r="DQ1240" s="143">
        <v>0</v>
      </c>
      <c r="DR1240" s="143">
        <v>0</v>
      </c>
      <c r="DS1240" s="143">
        <v>0</v>
      </c>
      <c r="DT1240">
        <f>SUM(DO1240:DP1240)</f>
        <v>0</v>
      </c>
      <c r="DU1240" s="143" t="str">
        <f>IF(DO1240=1,"self-calculated DF",IF(DP1240=1,"external DF used","explicit C balance"))</f>
        <v>explicit C balance</v>
      </c>
      <c r="DV1240" s="143">
        <v>0</v>
      </c>
      <c r="DW1240" s="143">
        <v>0</v>
      </c>
      <c r="DX1240" s="143">
        <v>0</v>
      </c>
      <c r="DY1240" s="143">
        <v>0</v>
      </c>
      <c r="DZ1240">
        <v>0</v>
      </c>
      <c r="EA1240" s="143">
        <v>0</v>
      </c>
      <c r="EB1240" s="143">
        <v>1</v>
      </c>
      <c r="EC1240" s="143">
        <v>0</v>
      </c>
      <c r="ED1240" s="143">
        <v>0</v>
      </c>
      <c r="EE1240" s="143">
        <v>0</v>
      </c>
      <c r="EF1240">
        <v>0</v>
      </c>
      <c r="EG1240" s="143">
        <v>0</v>
      </c>
      <c r="EH1240">
        <v>0</v>
      </c>
      <c r="EI1240" s="2">
        <v>0</v>
      </c>
      <c r="EK1240" t="str">
        <f>IF(AND(AND(AND(OR($DX1240=1,$DW1240=1),OR($EC1240=1,$EA1240=1)),SUM($DV1240:$DZ1240,$EF1240)&gt;=3),SUM($EA1240:$EE1240)&gt;=2),"Whole sector","")</f>
        <v/>
      </c>
      <c r="EL1240" t="str">
        <f>IF(AND(AND(OR($DX1240=1,$DW1240=1),AND($EC1240=0,$EA1240=0)),SUM($DV1240:$DZ1240,$EF1240)&gt;=3),"Ecosystem approach","")</f>
        <v/>
      </c>
      <c r="EM1240" s="2" t="str">
        <f>IF(AND(AND(AND($DX1240=0,$DW1240=0),OR($EC1240=1,$EA1240=1)),SUM($EB1240:$EE1240)&gt;=2),"Technology approach","")</f>
        <v/>
      </c>
      <c r="EP1240" t="b">
        <f>IF(ISNUMBER(BU1240),IF(ABS(BU1240-[5]QC_indicators!$B$2)&gt;3*[5]QC_indicators!$C$2,"C ratio",IF(ISNUMBER(BY1240),IF(ABS(BY1240-[5]QC_indicators!$B$1)&gt;3*[5]QC_indicators!$C$1,"DF","no"))),IF(ISNUMBER(BY1240),IF(ABS(BY1240-[5]QC_indicators!$B$1)&gt;3*[5]QC_indicators!$C$1,"DF","no")))</f>
        <v>0</v>
      </c>
      <c r="ER1240" s="314" t="s">
        <v>349</v>
      </c>
    </row>
    <row r="1241" spans="1:150" ht="15" customHeight="1">
      <c r="A1241" s="1" t="s">
        <v>587</v>
      </c>
      <c r="B1241" t="s">
        <v>3424</v>
      </c>
      <c r="C1241" t="s">
        <v>3425</v>
      </c>
      <c r="D1241" t="s">
        <v>3426</v>
      </c>
      <c r="E1241" t="s">
        <v>3427</v>
      </c>
      <c r="F1241" t="s">
        <v>3428</v>
      </c>
      <c r="G1241" t="s">
        <v>593</v>
      </c>
      <c r="I1241">
        <v>2018</v>
      </c>
      <c r="K1241" t="s">
        <v>3429</v>
      </c>
      <c r="M1241" t="str">
        <f>LEFT($D1241,FIND(",",$D1241)-1)&amp;"_"&amp;I1241&amp;L1241</f>
        <v>Abbas_2018</v>
      </c>
      <c r="N1241" s="312" t="s">
        <v>4383</v>
      </c>
      <c r="O1241" s="140" t="s">
        <v>223</v>
      </c>
      <c r="Q1241" s="312" t="s">
        <v>224</v>
      </c>
      <c r="R1241" s="313"/>
      <c r="S1241" s="1" t="s">
        <v>3430</v>
      </c>
      <c r="T1241" t="s">
        <v>3431</v>
      </c>
      <c r="U1241" s="143" t="s">
        <v>3432</v>
      </c>
      <c r="V1241">
        <v>0</v>
      </c>
      <c r="W1241">
        <v>0</v>
      </c>
      <c r="X1241">
        <v>0</v>
      </c>
      <c r="Y1241">
        <v>1</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s="141">
        <f>COUNTIF(V1241:AW1241,"&lt;&gt;0")</f>
        <v>1</v>
      </c>
      <c r="AY1241" s="141">
        <f>COUNTIF(V1241:AL1241,"&lt;&gt;0")</f>
        <v>1</v>
      </c>
      <c r="AZ1241">
        <f>COUNTIF(V1241:AC1241,"&lt;&gt;0")</f>
        <v>1</v>
      </c>
      <c r="BA1241">
        <f>COUNTIF(AD1241:AI1241,"&lt;&gt;0")</f>
        <v>0</v>
      </c>
      <c r="BB1241">
        <f>COUNTIF(AJ1241:AL1241,"&lt;&gt;0")</f>
        <v>0</v>
      </c>
      <c r="BC1241">
        <f>COUNTIF(AS1241:AW1241,"&lt;&gt;0")</f>
        <v>0</v>
      </c>
      <c r="BD1241">
        <f>COUNTIF(AM1241:AR1241,"&lt;&gt;0")</f>
        <v>0</v>
      </c>
      <c r="BE1241" t="str" cm="1">
        <f t="array" ref="BE1241">IF(AY1241=1,INDEX($V$7:$AL$7,MATCH(TRUE,INDEX($V1241:$AW1241&lt;&gt;0,),0)),IF(AY1241=0,INDEX($AM$7:$AW$7,MATCH(1,$AM1241:$AW1241,0)),IF(BF1241="Multiple strategies","mixed drivers",IF(BF1241="Supply chain","multiple supply","multiple silviculture"))))</f>
        <v xml:space="preserve">cutting intensity </v>
      </c>
      <c r="BF1241" s="2" t="str" cm="1">
        <f t="array" ref="BF1241">IF(COUNTIF(AZ1241:BB1241,"&lt;&gt;0")=1,INDEX($V$4:$AW$4,MATCH(TRUE,INDEX($V1241:$AW1241&lt;&gt;0,),0)),IF(COUNTIF(AZ1241:BB1241,"&lt;&gt;0")=0,INDEX($AM$4:$AW$4,MATCH(1,$AM1241:$AW1241,0)),"Multiple strategies"))</f>
        <v>Silviculture for removals</v>
      </c>
      <c r="BG1241" s="142" t="s">
        <v>321</v>
      </c>
      <c r="BH1241" t="s">
        <v>3433</v>
      </c>
      <c r="BJ1241" s="143" t="s">
        <v>3434</v>
      </c>
      <c r="BK1241">
        <v>1</v>
      </c>
      <c r="BL1241" s="143">
        <v>1</v>
      </c>
      <c r="BM1241" s="143"/>
      <c r="BN1241">
        <f>BL1241-BK1241</f>
        <v>0</v>
      </c>
      <c r="BO1241" s="143">
        <f>BN1241*t_to_m3</f>
        <v>0</v>
      </c>
      <c r="BP1241" s="312" t="s">
        <v>232</v>
      </c>
      <c r="BQ1241" s="312" t="s">
        <v>3435</v>
      </c>
      <c r="BR1241" t="s">
        <v>3436</v>
      </c>
      <c r="BS1241">
        <v>-19.399999999999999</v>
      </c>
      <c r="BT1241">
        <v>-16.2</v>
      </c>
      <c r="BU1241" s="144">
        <v>0.83505154639175261</v>
      </c>
      <c r="BV1241">
        <v>3.1999999999999993</v>
      </c>
      <c r="BX1241">
        <f>BV1241/1000</f>
        <v>3.1999999999999993E-3</v>
      </c>
      <c r="BY1241" t="str">
        <f>IFERROR(BX1241/BO1241,"")</f>
        <v/>
      </c>
      <c r="BZ1241">
        <v>0</v>
      </c>
      <c r="CA1241">
        <v>0</v>
      </c>
      <c r="CB1241">
        <v>0</v>
      </c>
      <c r="CC1241">
        <v>0</v>
      </c>
      <c r="CD1241">
        <v>0</v>
      </c>
      <c r="CE1241">
        <v>0</v>
      </c>
      <c r="CF1241">
        <v>0</v>
      </c>
      <c r="CG1241">
        <v>0</v>
      </c>
      <c r="CH1241">
        <v>0</v>
      </c>
      <c r="CI1241">
        <v>0</v>
      </c>
      <c r="CJ1241">
        <v>0</v>
      </c>
      <c r="CK1241">
        <v>0</v>
      </c>
      <c r="CL1241">
        <v>0</v>
      </c>
      <c r="CM1241">
        <v>0</v>
      </c>
      <c r="CN1241" t="str">
        <f>IF($BL1241&lt;$BK1241,"refNeedCorrection","refOK")</f>
        <v>refOK</v>
      </c>
      <c r="CO1241">
        <f>IF($CN1241="refOK",$BK1241,$BL1241)</f>
        <v>1</v>
      </c>
      <c r="CP1241">
        <f>IF($CN1241="refOK",$BL1241,$BK1241)</f>
        <v>1</v>
      </c>
      <c r="CQ1241">
        <f>IF($CN1241="refOK",$BO1241,-$BO1241)</f>
        <v>0</v>
      </c>
      <c r="CR1241">
        <f>IF($CN1241="refOK",$BS1241,$BT1241)*IF($BP1241="Emissions positive",-1,1)</f>
        <v>-19.399999999999999</v>
      </c>
      <c r="CS1241">
        <f>IF($CN1241="refOK",$BT1241,$BS1241)*IF($BP1241="Emissions positive",-1,1)</f>
        <v>-16.2</v>
      </c>
      <c r="CT1241">
        <f>IF($CN1241="refNeedCorrection",-BX1241,BX1241)*IF($BP1241="Emissions positive",-1,1)</f>
        <v>3.1999999999999993E-3</v>
      </c>
      <c r="CU1241" t="str">
        <f>IFERROR(CT1241/CQ1241,"")</f>
        <v/>
      </c>
      <c r="CV1241" s="2">
        <f>IFERROR((CS1241-CR1241)/ABS(CR1241),"")</f>
        <v>0.16494845360824739</v>
      </c>
      <c r="CW1241" s="1" t="s">
        <v>1199</v>
      </c>
      <c r="CX1241" s="312" t="str">
        <f>IF(OR($CW1241="prd",$CW1241="std",$CW1241="cit"),"loc",IF(OR($CW1241="eur",$CW1241="reg",$CW1241="coy"),"reg",$CW1241))</f>
        <v>reg</v>
      </c>
      <c r="CY1241" t="s">
        <v>428</v>
      </c>
      <c r="DA1241" s="143"/>
      <c r="DB1241" s="143">
        <v>0</v>
      </c>
      <c r="DC1241" t="str">
        <f>IF(DB1241=0,"0",IF(AND(DB1241&gt;=1,DB1241&lt;=30),"1-30",IF(AND(DB1241&gt;30,DB1241&lt;=70),"31-70",IF(AND(DB1241&gt;70,DB1241&lt;=100),"71-100",IF(DB1241&gt;100,"+100")))))</f>
        <v>0</v>
      </c>
      <c r="DD1241">
        <v>1</v>
      </c>
      <c r="DE1241">
        <v>0</v>
      </c>
      <c r="DF1241">
        <v>0</v>
      </c>
      <c r="DG1241">
        <v>0</v>
      </c>
      <c r="DI1241">
        <f>SUM(DD1241:DG1241)</f>
        <v>1</v>
      </c>
      <c r="DJ1241" t="str">
        <f>IF(DI1241=1,INDEX($DD$7:$DG$7,MATCH(1,$DD1241:$DG1241,0)),"mixedProduct")</f>
        <v>UpstreamInput</v>
      </c>
      <c r="DK1241" t="str">
        <f>IF(DD1241=1,DK$7,0)</f>
        <v>Upstream</v>
      </c>
      <c r="DL1241">
        <f>IF(DE1241=1,DL$7,0)</f>
        <v>0</v>
      </c>
      <c r="DM1241">
        <f>IF(DF1241=1,DM$7,0)</f>
        <v>0</v>
      </c>
      <c r="DN1241">
        <f>IF(DG1241=1,DN$7,0)</f>
        <v>0</v>
      </c>
      <c r="DO1241">
        <v>0</v>
      </c>
      <c r="DP1241" s="143">
        <v>0</v>
      </c>
      <c r="DQ1241" s="143">
        <v>0</v>
      </c>
      <c r="DR1241" s="143">
        <v>0</v>
      </c>
      <c r="DS1241" s="143">
        <v>0</v>
      </c>
      <c r="DT1241">
        <f>SUM(DO1241:DP1241)</f>
        <v>0</v>
      </c>
      <c r="DU1241" s="143" t="str">
        <f>IF(DO1241=1,"self-calculated DF",IF(DP1241=1,"external DF used","explicit C balance"))</f>
        <v>explicit C balance</v>
      </c>
      <c r="DV1241" s="143">
        <v>0</v>
      </c>
      <c r="DW1241" s="143">
        <v>0</v>
      </c>
      <c r="DX1241" s="143">
        <v>0</v>
      </c>
      <c r="DY1241" s="143">
        <v>0</v>
      </c>
      <c r="DZ1241">
        <v>0</v>
      </c>
      <c r="EA1241" s="143">
        <v>0</v>
      </c>
      <c r="EB1241" s="143">
        <v>1</v>
      </c>
      <c r="EC1241" s="143">
        <v>0</v>
      </c>
      <c r="ED1241" s="143">
        <v>0</v>
      </c>
      <c r="EE1241" s="143">
        <v>0</v>
      </c>
      <c r="EF1241">
        <v>0</v>
      </c>
      <c r="EG1241" s="143">
        <v>0</v>
      </c>
      <c r="EH1241">
        <v>0</v>
      </c>
      <c r="EI1241" s="2">
        <v>0</v>
      </c>
      <c r="EK1241" t="str">
        <f>IF(AND(AND(AND(OR($DX1241=1,$DW1241=1),OR($EC1241=1,$EA1241=1)),SUM($DV1241:$DZ1241,$EF1241)&gt;=3),SUM($EA1241:$EE1241)&gt;=2),"Whole sector","")</f>
        <v/>
      </c>
      <c r="EL1241" t="str">
        <f>IF(AND(AND(OR($DX1241=1,$DW1241=1),AND($EC1241=0,$EA1241=0)),SUM($DV1241:$DZ1241,$EF1241)&gt;=3),"Ecosystem approach","")</f>
        <v/>
      </c>
      <c r="EM1241" s="2" t="str">
        <f>IF(AND(AND(AND($DX1241=0,$DW1241=0),OR($EC1241=1,$EA1241=1)),SUM($EB1241:$EE1241)&gt;=2),"Technology approach","")</f>
        <v/>
      </c>
      <c r="EP1241" t="b">
        <f>IF(ISNUMBER(BU1241),IF(ABS(BU1241-[5]QC_indicators!$B$2)&gt;3*[5]QC_indicators!$C$2,"C ratio",IF(ISNUMBER(BY1241),IF(ABS(BY1241-[5]QC_indicators!$B$1)&gt;3*[5]QC_indicators!$C$1,"DF","no"))),IF(ISNUMBER(BY1241),IF(ABS(BY1241-[5]QC_indicators!$B$1)&gt;3*[5]QC_indicators!$C$1,"DF","no")))</f>
        <v>0</v>
      </c>
      <c r="ER1241" s="314" t="s">
        <v>349</v>
      </c>
    </row>
    <row r="1242" spans="1:150" ht="15" customHeight="1">
      <c r="A1242" s="1" t="s">
        <v>587</v>
      </c>
      <c r="B1242" t="s">
        <v>3424</v>
      </c>
      <c r="C1242" t="s">
        <v>3425</v>
      </c>
      <c r="D1242" t="s">
        <v>3426</v>
      </c>
      <c r="E1242" t="s">
        <v>3427</v>
      </c>
      <c r="F1242" t="s">
        <v>3428</v>
      </c>
      <c r="G1242" t="s">
        <v>593</v>
      </c>
      <c r="I1242">
        <v>2018</v>
      </c>
      <c r="K1242" t="s">
        <v>3429</v>
      </c>
      <c r="M1242" t="str">
        <f>LEFT($D1242,FIND(",",$D1242)-1)&amp;"_"&amp;I1242&amp;L1242</f>
        <v>Abbas_2018</v>
      </c>
      <c r="N1242" s="312" t="s">
        <v>4383</v>
      </c>
      <c r="O1242" s="140" t="s">
        <v>223</v>
      </c>
      <c r="Q1242" s="312" t="s">
        <v>224</v>
      </c>
      <c r="R1242" s="313"/>
      <c r="S1242" s="1" t="s">
        <v>3430</v>
      </c>
      <c r="T1242" t="s">
        <v>3437</v>
      </c>
      <c r="U1242" s="143" t="s">
        <v>3432</v>
      </c>
      <c r="V1242">
        <v>0</v>
      </c>
      <c r="W1242">
        <v>0</v>
      </c>
      <c r="X1242">
        <v>0</v>
      </c>
      <c r="Y1242">
        <v>1</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s="141">
        <f>COUNTIF(V1242:AW1242,"&lt;&gt;0")</f>
        <v>1</v>
      </c>
      <c r="AY1242" s="141">
        <f>COUNTIF(V1242:AL1242,"&lt;&gt;0")</f>
        <v>1</v>
      </c>
      <c r="AZ1242">
        <f>COUNTIF(V1242:AC1242,"&lt;&gt;0")</f>
        <v>1</v>
      </c>
      <c r="BA1242">
        <f>COUNTIF(AD1242:AI1242,"&lt;&gt;0")</f>
        <v>0</v>
      </c>
      <c r="BB1242">
        <f>COUNTIF(AJ1242:AL1242,"&lt;&gt;0")</f>
        <v>0</v>
      </c>
      <c r="BC1242">
        <f>COUNTIF(AS1242:AW1242,"&lt;&gt;0")</f>
        <v>0</v>
      </c>
      <c r="BD1242">
        <f>COUNTIF(AM1242:AR1242,"&lt;&gt;0")</f>
        <v>0</v>
      </c>
      <c r="BE1242" t="str" cm="1">
        <f t="array" ref="BE1242">IF(AY1242=1,INDEX($V$7:$AL$7,MATCH(TRUE,INDEX($V1242:$AW1242&lt;&gt;0,),0)),IF(AY1242=0,INDEX($AM$7:$AW$7,MATCH(1,$AM1242:$AW1242,0)),IF(BF1242="Multiple strategies","mixed drivers",IF(BF1242="Supply chain","multiple supply","multiple silviculture"))))</f>
        <v xml:space="preserve">cutting intensity </v>
      </c>
      <c r="BF1242" s="2" t="str" cm="1">
        <f t="array" ref="BF1242">IF(COUNTIF(AZ1242:BB1242,"&lt;&gt;0")=1,INDEX($V$4:$AW$4,MATCH(TRUE,INDEX($V1242:$AW1242&lt;&gt;0,),0)),IF(COUNTIF(AZ1242:BB1242,"&lt;&gt;0")=0,INDEX($AM$4:$AW$4,MATCH(1,$AM1242:$AW1242,0)),"Multiple strategies"))</f>
        <v>Silviculture for removals</v>
      </c>
      <c r="BG1242" s="142" t="s">
        <v>321</v>
      </c>
      <c r="BH1242" t="s">
        <v>3433</v>
      </c>
      <c r="BJ1242" s="143" t="s">
        <v>3434</v>
      </c>
      <c r="BK1242">
        <v>1</v>
      </c>
      <c r="BL1242" s="143">
        <v>1</v>
      </c>
      <c r="BM1242" s="143"/>
      <c r="BN1242">
        <f>BL1242-BK1242</f>
        <v>0</v>
      </c>
      <c r="BO1242" s="143">
        <f>BN1242*t_to_m3</f>
        <v>0</v>
      </c>
      <c r="BP1242" s="312" t="s">
        <v>232</v>
      </c>
      <c r="BQ1242" s="312" t="s">
        <v>3435</v>
      </c>
      <c r="BR1242" t="s">
        <v>3436</v>
      </c>
      <c r="BS1242">
        <v>-21.1</v>
      </c>
      <c r="BT1242">
        <v>-17.7</v>
      </c>
      <c r="BU1242" s="144">
        <v>0.83886255924170605</v>
      </c>
      <c r="BV1242">
        <v>3.4000000000000021</v>
      </c>
      <c r="BX1242">
        <f>BV1242/1000</f>
        <v>3.400000000000002E-3</v>
      </c>
      <c r="BY1242" t="str">
        <f>IFERROR(BX1242/BO1242,"")</f>
        <v/>
      </c>
      <c r="BZ1242">
        <v>0</v>
      </c>
      <c r="CA1242">
        <v>0</v>
      </c>
      <c r="CB1242">
        <v>0</v>
      </c>
      <c r="CC1242">
        <v>0</v>
      </c>
      <c r="CD1242">
        <v>0</v>
      </c>
      <c r="CE1242">
        <v>0</v>
      </c>
      <c r="CF1242">
        <v>0</v>
      </c>
      <c r="CG1242">
        <v>0</v>
      </c>
      <c r="CH1242">
        <v>0</v>
      </c>
      <c r="CI1242">
        <v>0</v>
      </c>
      <c r="CJ1242">
        <v>0</v>
      </c>
      <c r="CK1242">
        <v>0</v>
      </c>
      <c r="CL1242">
        <v>0</v>
      </c>
      <c r="CM1242">
        <v>0</v>
      </c>
      <c r="CN1242" t="str">
        <f>IF($BL1242&lt;$BK1242,"refNeedCorrection","refOK")</f>
        <v>refOK</v>
      </c>
      <c r="CO1242">
        <f>IF($CN1242="refOK",$BK1242,$BL1242)</f>
        <v>1</v>
      </c>
      <c r="CP1242">
        <f>IF($CN1242="refOK",$BL1242,$BK1242)</f>
        <v>1</v>
      </c>
      <c r="CQ1242">
        <f>IF($CN1242="refOK",$BO1242,-$BO1242)</f>
        <v>0</v>
      </c>
      <c r="CR1242">
        <f>IF($CN1242="refOK",$BS1242,$BT1242)*IF($BP1242="Emissions positive",-1,1)</f>
        <v>-21.1</v>
      </c>
      <c r="CS1242">
        <f>IF($CN1242="refOK",$BT1242,$BS1242)*IF($BP1242="Emissions positive",-1,1)</f>
        <v>-17.7</v>
      </c>
      <c r="CT1242">
        <f>IF($CN1242="refNeedCorrection",-BX1242,BX1242)*IF($BP1242="Emissions positive",-1,1)</f>
        <v>3.400000000000002E-3</v>
      </c>
      <c r="CU1242" t="str">
        <f>IFERROR(CT1242/CQ1242,"")</f>
        <v/>
      </c>
      <c r="CV1242" s="2">
        <f>IFERROR((CS1242-CR1242)/ABS(CR1242),"")</f>
        <v>0.16113744075829392</v>
      </c>
      <c r="CW1242" s="1" t="s">
        <v>1199</v>
      </c>
      <c r="CX1242" s="312" t="str">
        <f>IF(OR($CW1242="prd",$CW1242="std",$CW1242="cit"),"loc",IF(OR($CW1242="eur",$CW1242="reg",$CW1242="coy"),"reg",$CW1242))</f>
        <v>reg</v>
      </c>
      <c r="CY1242" t="s">
        <v>428</v>
      </c>
      <c r="DA1242" s="143"/>
      <c r="DB1242" s="143">
        <v>0</v>
      </c>
      <c r="DC1242" t="str">
        <f>IF(DB1242=0,"0",IF(AND(DB1242&gt;=1,DB1242&lt;=30),"1-30",IF(AND(DB1242&gt;30,DB1242&lt;=70),"31-70",IF(AND(DB1242&gt;70,DB1242&lt;=100),"71-100",IF(DB1242&gt;100,"+100")))))</f>
        <v>0</v>
      </c>
      <c r="DD1242">
        <v>1</v>
      </c>
      <c r="DE1242">
        <v>0</v>
      </c>
      <c r="DF1242">
        <v>0</v>
      </c>
      <c r="DG1242">
        <v>0</v>
      </c>
      <c r="DI1242">
        <f>SUM(DD1242:DG1242)</f>
        <v>1</v>
      </c>
      <c r="DJ1242" t="str">
        <f>IF(DI1242=1,INDEX($DD$7:$DG$7,MATCH(1,$DD1242:$DG1242,0)),"mixedProduct")</f>
        <v>UpstreamInput</v>
      </c>
      <c r="DK1242" t="str">
        <f>IF(DD1242=1,DK$7,0)</f>
        <v>Upstream</v>
      </c>
      <c r="DL1242">
        <f>IF(DE1242=1,DL$7,0)</f>
        <v>0</v>
      </c>
      <c r="DM1242">
        <f>IF(DF1242=1,DM$7,0)</f>
        <v>0</v>
      </c>
      <c r="DN1242">
        <f>IF(DG1242=1,DN$7,0)</f>
        <v>0</v>
      </c>
      <c r="DO1242">
        <v>0</v>
      </c>
      <c r="DP1242" s="143">
        <v>0</v>
      </c>
      <c r="DQ1242" s="143">
        <v>0</v>
      </c>
      <c r="DR1242" s="143">
        <v>0</v>
      </c>
      <c r="DS1242" s="143">
        <v>0</v>
      </c>
      <c r="DT1242">
        <f>SUM(DO1242:DP1242)</f>
        <v>0</v>
      </c>
      <c r="DU1242" s="143" t="str">
        <f>IF(DO1242=1,"self-calculated DF",IF(DP1242=1,"external DF used","explicit C balance"))</f>
        <v>explicit C balance</v>
      </c>
      <c r="DV1242" s="143">
        <v>0</v>
      </c>
      <c r="DW1242" s="143">
        <v>0</v>
      </c>
      <c r="DX1242" s="143">
        <v>0</v>
      </c>
      <c r="DY1242" s="143">
        <v>0</v>
      </c>
      <c r="DZ1242">
        <v>0</v>
      </c>
      <c r="EA1242" s="143">
        <v>0</v>
      </c>
      <c r="EB1242" s="143">
        <v>1</v>
      </c>
      <c r="EC1242" s="143">
        <v>0</v>
      </c>
      <c r="ED1242" s="143">
        <v>0</v>
      </c>
      <c r="EE1242" s="143">
        <v>0</v>
      </c>
      <c r="EF1242">
        <v>0</v>
      </c>
      <c r="EG1242" s="143">
        <v>0</v>
      </c>
      <c r="EH1242">
        <v>0</v>
      </c>
      <c r="EI1242" s="2">
        <v>0</v>
      </c>
      <c r="EK1242" t="str">
        <f>IF(AND(AND(AND(OR($DX1242=1,$DW1242=1),OR($EC1242=1,$EA1242=1)),SUM($DV1242:$DZ1242,$EF1242)&gt;=3),SUM($EA1242:$EE1242)&gt;=2),"Whole sector","")</f>
        <v/>
      </c>
      <c r="EL1242" t="str">
        <f>IF(AND(AND(OR($DX1242=1,$DW1242=1),AND($EC1242=0,$EA1242=0)),SUM($DV1242:$DZ1242,$EF1242)&gt;=3),"Ecosystem approach","")</f>
        <v/>
      </c>
      <c r="EM1242" s="2" t="str">
        <f>IF(AND(AND(AND($DX1242=0,$DW1242=0),OR($EC1242=1,$EA1242=1)),SUM($EB1242:$EE1242)&gt;=2),"Technology approach","")</f>
        <v/>
      </c>
      <c r="EP1242" t="b">
        <f>IF(ISNUMBER(BU1242),IF(ABS(BU1242-[5]QC_indicators!$B$2)&gt;3*[5]QC_indicators!$C$2,"C ratio",IF(ISNUMBER(BY1242),IF(ABS(BY1242-[5]QC_indicators!$B$1)&gt;3*[5]QC_indicators!$C$1,"DF","no"))),IF(ISNUMBER(BY1242),IF(ABS(BY1242-[5]QC_indicators!$B$1)&gt;3*[5]QC_indicators!$C$1,"DF","no")))</f>
        <v>0</v>
      </c>
      <c r="ER1242" s="314" t="s">
        <v>349</v>
      </c>
    </row>
    <row r="1243" spans="1:150" ht="15" customHeight="1">
      <c r="A1243" s="1" t="s">
        <v>587</v>
      </c>
      <c r="B1243" t="s">
        <v>3424</v>
      </c>
      <c r="C1243" t="s">
        <v>3425</v>
      </c>
      <c r="D1243" t="s">
        <v>3426</v>
      </c>
      <c r="E1243" t="s">
        <v>3427</v>
      </c>
      <c r="F1243" t="s">
        <v>3428</v>
      </c>
      <c r="G1243" t="s">
        <v>593</v>
      </c>
      <c r="I1243">
        <v>2018</v>
      </c>
      <c r="K1243" t="s">
        <v>3429</v>
      </c>
      <c r="M1243" t="str">
        <f>LEFT($D1243,FIND(",",$D1243)-1)&amp;"_"&amp;I1243&amp;L1243</f>
        <v>Abbas_2018</v>
      </c>
      <c r="N1243" s="312" t="s">
        <v>4383</v>
      </c>
      <c r="O1243" s="140" t="s">
        <v>223</v>
      </c>
      <c r="Q1243" s="312" t="s">
        <v>224</v>
      </c>
      <c r="R1243" s="313"/>
      <c r="S1243" s="1" t="s">
        <v>3430</v>
      </c>
      <c r="T1243" t="s">
        <v>3437</v>
      </c>
      <c r="U1243" s="143" t="s">
        <v>3432</v>
      </c>
      <c r="V1243">
        <v>0</v>
      </c>
      <c r="W1243">
        <v>0</v>
      </c>
      <c r="X1243">
        <v>0</v>
      </c>
      <c r="Y1243">
        <v>1</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s="141">
        <f>COUNTIF(V1243:AW1243,"&lt;&gt;0")</f>
        <v>1</v>
      </c>
      <c r="AY1243" s="141">
        <f>COUNTIF(V1243:AL1243,"&lt;&gt;0")</f>
        <v>1</v>
      </c>
      <c r="AZ1243">
        <f>COUNTIF(V1243:AC1243,"&lt;&gt;0")</f>
        <v>1</v>
      </c>
      <c r="BA1243">
        <f>COUNTIF(AD1243:AI1243,"&lt;&gt;0")</f>
        <v>0</v>
      </c>
      <c r="BB1243">
        <f>COUNTIF(AJ1243:AL1243,"&lt;&gt;0")</f>
        <v>0</v>
      </c>
      <c r="BC1243">
        <f>COUNTIF(AS1243:AW1243,"&lt;&gt;0")</f>
        <v>0</v>
      </c>
      <c r="BD1243">
        <f>COUNTIF(AM1243:AR1243,"&lt;&gt;0")</f>
        <v>0</v>
      </c>
      <c r="BE1243" t="str" cm="1">
        <f t="array" ref="BE1243">IF(AY1243=1,INDEX($V$7:$AL$7,MATCH(TRUE,INDEX($V1243:$AW1243&lt;&gt;0,),0)),IF(AY1243=0,INDEX($AM$7:$AW$7,MATCH(1,$AM1243:$AW1243,0)),IF(BF1243="Multiple strategies","mixed drivers",IF(BF1243="Supply chain","multiple supply","multiple silviculture"))))</f>
        <v xml:space="preserve">cutting intensity </v>
      </c>
      <c r="BF1243" s="2" t="str" cm="1">
        <f t="array" ref="BF1243">IF(COUNTIF(AZ1243:BB1243,"&lt;&gt;0")=1,INDEX($V$4:$AW$4,MATCH(TRUE,INDEX($V1243:$AW1243&lt;&gt;0,),0)),IF(COUNTIF(AZ1243:BB1243,"&lt;&gt;0")=0,INDEX($AM$4:$AW$4,MATCH(1,$AM1243:$AW1243,0)),"Multiple strategies"))</f>
        <v>Silviculture for removals</v>
      </c>
      <c r="BG1243" s="142" t="s">
        <v>321</v>
      </c>
      <c r="BH1243" t="s">
        <v>3433</v>
      </c>
      <c r="BJ1243" s="143" t="s">
        <v>3434</v>
      </c>
      <c r="BK1243">
        <v>1</v>
      </c>
      <c r="BL1243" s="143">
        <v>1</v>
      </c>
      <c r="BM1243" s="143"/>
      <c r="BN1243">
        <f>BL1243-BK1243</f>
        <v>0</v>
      </c>
      <c r="BO1243" s="143">
        <f>BN1243*t_to_m3</f>
        <v>0</v>
      </c>
      <c r="BP1243" s="312" t="s">
        <v>232</v>
      </c>
      <c r="BQ1243" s="312" t="s">
        <v>3435</v>
      </c>
      <c r="BR1243" t="s">
        <v>3436</v>
      </c>
      <c r="BS1243">
        <v>-18.600000000000001</v>
      </c>
      <c r="BT1243">
        <v>-16.2</v>
      </c>
      <c r="BU1243" s="144">
        <v>0.87096774193548376</v>
      </c>
      <c r="BV1243">
        <v>2.4000000000000021</v>
      </c>
      <c r="BX1243">
        <f>BV1243/1000</f>
        <v>2.400000000000002E-3</v>
      </c>
      <c r="BY1243" t="str">
        <f>IFERROR(BX1243/BO1243,"")</f>
        <v/>
      </c>
      <c r="BZ1243">
        <v>0</v>
      </c>
      <c r="CA1243">
        <v>0</v>
      </c>
      <c r="CB1243">
        <v>0</v>
      </c>
      <c r="CC1243">
        <v>0</v>
      </c>
      <c r="CD1243">
        <v>0</v>
      </c>
      <c r="CE1243">
        <v>0</v>
      </c>
      <c r="CF1243">
        <v>0</v>
      </c>
      <c r="CG1243">
        <v>0</v>
      </c>
      <c r="CH1243">
        <v>0</v>
      </c>
      <c r="CI1243">
        <v>0</v>
      </c>
      <c r="CJ1243">
        <v>0</v>
      </c>
      <c r="CK1243">
        <v>0</v>
      </c>
      <c r="CL1243">
        <v>0</v>
      </c>
      <c r="CM1243">
        <v>0</v>
      </c>
      <c r="CN1243" t="str">
        <f>IF($BL1243&lt;$BK1243,"refNeedCorrection","refOK")</f>
        <v>refOK</v>
      </c>
      <c r="CO1243">
        <f>IF($CN1243="refOK",$BK1243,$BL1243)</f>
        <v>1</v>
      </c>
      <c r="CP1243">
        <f>IF($CN1243="refOK",$BL1243,$BK1243)</f>
        <v>1</v>
      </c>
      <c r="CQ1243">
        <f>IF($CN1243="refOK",$BO1243,-$BO1243)</f>
        <v>0</v>
      </c>
      <c r="CR1243">
        <f>IF($CN1243="refOK",$BS1243,$BT1243)*IF($BP1243="Emissions positive",-1,1)</f>
        <v>-18.600000000000001</v>
      </c>
      <c r="CS1243">
        <f>IF($CN1243="refOK",$BT1243,$BS1243)*IF($BP1243="Emissions positive",-1,1)</f>
        <v>-16.2</v>
      </c>
      <c r="CT1243">
        <f>IF($CN1243="refNeedCorrection",-BX1243,BX1243)*IF($BP1243="Emissions positive",-1,1)</f>
        <v>2.400000000000002E-3</v>
      </c>
      <c r="CU1243" t="str">
        <f>IFERROR(CT1243/CQ1243,"")</f>
        <v/>
      </c>
      <c r="CV1243" s="2">
        <f>IFERROR((CS1243-CR1243)/ABS(CR1243),"")</f>
        <v>0.12903225806451624</v>
      </c>
      <c r="CW1243" s="1" t="s">
        <v>1199</v>
      </c>
      <c r="CX1243" s="312" t="str">
        <f>IF(OR($CW1243="prd",$CW1243="std",$CW1243="cit"),"loc",IF(OR($CW1243="eur",$CW1243="reg",$CW1243="coy"),"reg",$CW1243))</f>
        <v>reg</v>
      </c>
      <c r="CY1243" t="s">
        <v>428</v>
      </c>
      <c r="DA1243" s="143"/>
      <c r="DB1243" s="143">
        <v>0</v>
      </c>
      <c r="DC1243" t="str">
        <f>IF(DB1243=0,"0",IF(AND(DB1243&gt;=1,DB1243&lt;=30),"1-30",IF(AND(DB1243&gt;30,DB1243&lt;=70),"31-70",IF(AND(DB1243&gt;70,DB1243&lt;=100),"71-100",IF(DB1243&gt;100,"+100")))))</f>
        <v>0</v>
      </c>
      <c r="DD1243">
        <v>1</v>
      </c>
      <c r="DE1243">
        <v>0</v>
      </c>
      <c r="DF1243">
        <v>0</v>
      </c>
      <c r="DG1243">
        <v>0</v>
      </c>
      <c r="DI1243">
        <f>SUM(DD1243:DG1243)</f>
        <v>1</v>
      </c>
      <c r="DJ1243" t="str">
        <f>IF(DI1243=1,INDEX($DD$7:$DG$7,MATCH(1,$DD1243:$DG1243,0)),"mixedProduct")</f>
        <v>UpstreamInput</v>
      </c>
      <c r="DK1243" t="str">
        <f>IF(DD1243=1,DK$7,0)</f>
        <v>Upstream</v>
      </c>
      <c r="DL1243">
        <f>IF(DE1243=1,DL$7,0)</f>
        <v>0</v>
      </c>
      <c r="DM1243">
        <f>IF(DF1243=1,DM$7,0)</f>
        <v>0</v>
      </c>
      <c r="DN1243">
        <f>IF(DG1243=1,DN$7,0)</f>
        <v>0</v>
      </c>
      <c r="DO1243">
        <v>0</v>
      </c>
      <c r="DP1243" s="143">
        <v>0</v>
      </c>
      <c r="DQ1243" s="143">
        <v>0</v>
      </c>
      <c r="DR1243" s="143">
        <v>0</v>
      </c>
      <c r="DS1243" s="143">
        <v>0</v>
      </c>
      <c r="DT1243">
        <f>SUM(DO1243:DP1243)</f>
        <v>0</v>
      </c>
      <c r="DU1243" s="143" t="str">
        <f>IF(DO1243=1,"self-calculated DF",IF(DP1243=1,"external DF used","explicit C balance"))</f>
        <v>explicit C balance</v>
      </c>
      <c r="DV1243" s="143">
        <v>0</v>
      </c>
      <c r="DW1243" s="143">
        <v>0</v>
      </c>
      <c r="DX1243" s="143">
        <v>0</v>
      </c>
      <c r="DY1243" s="143">
        <v>0</v>
      </c>
      <c r="DZ1243">
        <v>0</v>
      </c>
      <c r="EA1243" s="143">
        <v>0</v>
      </c>
      <c r="EB1243" s="143">
        <v>1</v>
      </c>
      <c r="EC1243" s="143">
        <v>0</v>
      </c>
      <c r="ED1243" s="143">
        <v>0</v>
      </c>
      <c r="EE1243" s="143">
        <v>0</v>
      </c>
      <c r="EF1243">
        <v>0</v>
      </c>
      <c r="EG1243" s="143">
        <v>0</v>
      </c>
      <c r="EH1243">
        <v>0</v>
      </c>
      <c r="EI1243" s="2">
        <v>0</v>
      </c>
      <c r="EK1243" t="str">
        <f>IF(AND(AND(AND(OR($DX1243=1,$DW1243=1),OR($EC1243=1,$EA1243=1)),SUM($DV1243:$DZ1243,$EF1243)&gt;=3),SUM($EA1243:$EE1243)&gt;=2),"Whole sector","")</f>
        <v/>
      </c>
      <c r="EL1243" t="str">
        <f>IF(AND(AND(OR($DX1243=1,$DW1243=1),AND($EC1243=0,$EA1243=0)),SUM($DV1243:$DZ1243,$EF1243)&gt;=3),"Ecosystem approach","")</f>
        <v/>
      </c>
      <c r="EM1243" s="2" t="str">
        <f>IF(AND(AND(AND($DX1243=0,$DW1243=0),OR($EC1243=1,$EA1243=1)),SUM($EB1243:$EE1243)&gt;=2),"Technology approach","")</f>
        <v/>
      </c>
      <c r="EP1243" t="b">
        <f>IF(ISNUMBER(BU1243),IF(ABS(BU1243-[5]QC_indicators!$B$2)&gt;3*[5]QC_indicators!$C$2,"C ratio",IF(ISNUMBER(BY1243),IF(ABS(BY1243-[5]QC_indicators!$B$1)&gt;3*[5]QC_indicators!$C$1,"DF","no"))),IF(ISNUMBER(BY1243),IF(ABS(BY1243-[5]QC_indicators!$B$1)&gt;3*[5]QC_indicators!$C$1,"DF","no")))</f>
        <v>0</v>
      </c>
      <c r="ER1243" s="314" t="s">
        <v>349</v>
      </c>
    </row>
    <row r="1244" spans="1:150" ht="15" customHeight="1">
      <c r="A1244" s="1" t="s">
        <v>587</v>
      </c>
      <c r="B1244" t="s">
        <v>3424</v>
      </c>
      <c r="C1244" t="s">
        <v>3425</v>
      </c>
      <c r="D1244" t="s">
        <v>3426</v>
      </c>
      <c r="E1244" t="s">
        <v>3427</v>
      </c>
      <c r="F1244" t="s">
        <v>3428</v>
      </c>
      <c r="G1244" t="s">
        <v>593</v>
      </c>
      <c r="I1244">
        <v>2018</v>
      </c>
      <c r="K1244" t="s">
        <v>3429</v>
      </c>
      <c r="M1244" t="str">
        <f>LEFT($D1244,FIND(",",$D1244)-1)&amp;"_"&amp;I1244&amp;L1244</f>
        <v>Abbas_2018</v>
      </c>
      <c r="N1244" s="312" t="s">
        <v>4383</v>
      </c>
      <c r="O1244" s="140" t="s">
        <v>223</v>
      </c>
      <c r="Q1244" s="312" t="s">
        <v>224</v>
      </c>
      <c r="R1244" s="313"/>
      <c r="S1244" s="1" t="s">
        <v>3438</v>
      </c>
      <c r="T1244" t="s">
        <v>3439</v>
      </c>
      <c r="U1244" s="143" t="s">
        <v>3440</v>
      </c>
      <c r="V1244">
        <v>0</v>
      </c>
      <c r="W1244">
        <v>0</v>
      </c>
      <c r="X1244">
        <v>0</v>
      </c>
      <c r="Y1244">
        <v>0</v>
      </c>
      <c r="Z1244">
        <v>0</v>
      </c>
      <c r="AA1244">
        <v>0</v>
      </c>
      <c r="AB1244">
        <v>0</v>
      </c>
      <c r="AC1244">
        <v>0</v>
      </c>
      <c r="AD1244">
        <v>1</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s="141">
        <f>COUNTIF(V1244:AW1244,"&lt;&gt;0")</f>
        <v>1</v>
      </c>
      <c r="AY1244" s="141">
        <f>COUNTIF(V1244:AL1244,"&lt;&gt;0")</f>
        <v>1</v>
      </c>
      <c r="AZ1244">
        <f>COUNTIF(V1244:AC1244,"&lt;&gt;0")</f>
        <v>0</v>
      </c>
      <c r="BA1244">
        <f>COUNTIF(AD1244:AI1244,"&lt;&gt;0")</f>
        <v>1</v>
      </c>
      <c r="BB1244">
        <f>COUNTIF(AJ1244:AL1244,"&lt;&gt;0")</f>
        <v>0</v>
      </c>
      <c r="BC1244">
        <f>COUNTIF(AS1244:AW1244,"&lt;&gt;0")</f>
        <v>0</v>
      </c>
      <c r="BD1244">
        <f>COUNTIF(AM1244:AR1244,"&lt;&gt;0")</f>
        <v>0</v>
      </c>
      <c r="BE1244" t="str" cm="1">
        <f t="array" ref="BE1244">IF(AY1244=1,INDEX($V$7:$AL$7,MATCH(TRUE,INDEX($V1244:$AW1244&lt;&gt;0,),0)),IF(AY1244=0,INDEX($AM$7:$AW$7,MATCH(1,$AM1244:$AW1244,0)),IF(BF1244="Multiple strategies","mixed drivers",IF(BF1244="Supply chain","multiple supply","multiple silviculture"))))</f>
        <v>harvesting system</v>
      </c>
      <c r="BF1244" s="2" t="str" cm="1">
        <f t="array" ref="BF1244">IF(COUNTIF(AZ1244:BB1244,"&lt;&gt;0")=1,INDEX($V$4:$AW$4,MATCH(TRUE,INDEX($V1244:$AW1244&lt;&gt;0,),0)),IF(COUNTIF(AZ1244:BB1244,"&lt;&gt;0")=0,INDEX($AM$4:$AW$4,MATCH(1,$AM1244:$AW1244,0)),"Multiple strategies"))</f>
        <v>Supply chain</v>
      </c>
      <c r="BG1244" s="142" t="s">
        <v>321</v>
      </c>
      <c r="BH1244" t="s">
        <v>3433</v>
      </c>
      <c r="BJ1244" s="143" t="s">
        <v>3434</v>
      </c>
      <c r="BK1244">
        <v>1</v>
      </c>
      <c r="BL1244" s="143">
        <v>1</v>
      </c>
      <c r="BM1244" s="143"/>
      <c r="BN1244">
        <f>BL1244-BK1244</f>
        <v>0</v>
      </c>
      <c r="BO1244" s="143">
        <f>BN1244*t_to_m3</f>
        <v>0</v>
      </c>
      <c r="BP1244" s="312" t="s">
        <v>232</v>
      </c>
      <c r="BQ1244" s="312" t="s">
        <v>3435</v>
      </c>
      <c r="BR1244" t="s">
        <v>3436</v>
      </c>
      <c r="BS1244">
        <v>-23.3</v>
      </c>
      <c r="BT1244">
        <v>-19.399999999999999</v>
      </c>
      <c r="BU1244" s="144">
        <v>0.83261802575107291</v>
      </c>
      <c r="BV1244">
        <v>3.9000000000000021</v>
      </c>
      <c r="BX1244">
        <f>BV1244/1000</f>
        <v>3.900000000000002E-3</v>
      </c>
      <c r="BY1244" t="str">
        <f>IFERROR(BX1244/BO1244,"")</f>
        <v/>
      </c>
      <c r="BZ1244">
        <v>0</v>
      </c>
      <c r="CA1244">
        <v>0</v>
      </c>
      <c r="CB1244">
        <v>0</v>
      </c>
      <c r="CC1244">
        <v>0</v>
      </c>
      <c r="CD1244">
        <v>0</v>
      </c>
      <c r="CE1244">
        <v>0</v>
      </c>
      <c r="CF1244">
        <v>0</v>
      </c>
      <c r="CG1244">
        <v>0</v>
      </c>
      <c r="CH1244">
        <v>0</v>
      </c>
      <c r="CI1244">
        <v>0</v>
      </c>
      <c r="CJ1244">
        <v>0</v>
      </c>
      <c r="CK1244">
        <v>0</v>
      </c>
      <c r="CL1244">
        <v>0</v>
      </c>
      <c r="CM1244">
        <v>0</v>
      </c>
      <c r="CN1244" t="str">
        <f>IF($BL1244&lt;$BK1244,"refNeedCorrection","refOK")</f>
        <v>refOK</v>
      </c>
      <c r="CO1244">
        <f>IF($CN1244="refOK",$BK1244,$BL1244)</f>
        <v>1</v>
      </c>
      <c r="CP1244">
        <f>IF($CN1244="refOK",$BL1244,$BK1244)</f>
        <v>1</v>
      </c>
      <c r="CQ1244">
        <f>IF($CN1244="refOK",$BO1244,-$BO1244)</f>
        <v>0</v>
      </c>
      <c r="CR1244">
        <f>IF($CN1244="refOK",$BS1244,$BT1244)*IF($BP1244="Emissions positive",-1,1)</f>
        <v>-23.3</v>
      </c>
      <c r="CS1244">
        <f>IF($CN1244="refOK",$BT1244,$BS1244)*IF($BP1244="Emissions positive",-1,1)</f>
        <v>-19.399999999999999</v>
      </c>
      <c r="CT1244">
        <f>IF($CN1244="refNeedCorrection",-BX1244,BX1244)*IF($BP1244="Emissions positive",-1,1)</f>
        <v>3.900000000000002E-3</v>
      </c>
      <c r="CU1244" t="str">
        <f>IFERROR(CT1244/CQ1244,"")</f>
        <v/>
      </c>
      <c r="CV1244" s="2">
        <f>IFERROR((CS1244-CR1244)/ABS(CR1244),"")</f>
        <v>0.16738197424892712</v>
      </c>
      <c r="CW1244" s="1" t="s">
        <v>1199</v>
      </c>
      <c r="CX1244" s="312" t="str">
        <f>IF(OR($CW1244="prd",$CW1244="std",$CW1244="cit"),"loc",IF(OR($CW1244="eur",$CW1244="reg",$CW1244="coy"),"reg",$CW1244))</f>
        <v>reg</v>
      </c>
      <c r="CY1244" t="s">
        <v>428</v>
      </c>
      <c r="DA1244" s="143"/>
      <c r="DB1244" s="143">
        <v>0</v>
      </c>
      <c r="DC1244" t="str">
        <f>IF(DB1244=0,"0",IF(AND(DB1244&gt;=1,DB1244&lt;=30),"1-30",IF(AND(DB1244&gt;30,DB1244&lt;=70),"31-70",IF(AND(DB1244&gt;70,DB1244&lt;=100),"71-100",IF(DB1244&gt;100,"+100")))))</f>
        <v>0</v>
      </c>
      <c r="DD1244">
        <v>1</v>
      </c>
      <c r="DE1244">
        <v>0</v>
      </c>
      <c r="DF1244">
        <v>0</v>
      </c>
      <c r="DG1244">
        <v>0</v>
      </c>
      <c r="DI1244">
        <f>SUM(DD1244:DG1244)</f>
        <v>1</v>
      </c>
      <c r="DJ1244" t="str">
        <f>IF(DI1244=1,INDEX($DD$7:$DG$7,MATCH(1,$DD1244:$DG1244,0)),"mixedProduct")</f>
        <v>UpstreamInput</v>
      </c>
      <c r="DK1244" t="str">
        <f>IF(DD1244=1,DK$7,0)</f>
        <v>Upstream</v>
      </c>
      <c r="DL1244">
        <f>IF(DE1244=1,DL$7,0)</f>
        <v>0</v>
      </c>
      <c r="DM1244">
        <f>IF(DF1244=1,DM$7,0)</f>
        <v>0</v>
      </c>
      <c r="DN1244">
        <f>IF(DG1244=1,DN$7,0)</f>
        <v>0</v>
      </c>
      <c r="DO1244">
        <v>0</v>
      </c>
      <c r="DP1244" s="143">
        <v>0</v>
      </c>
      <c r="DQ1244" s="143">
        <v>0</v>
      </c>
      <c r="DR1244" s="143">
        <v>0</v>
      </c>
      <c r="DS1244" s="143">
        <v>0</v>
      </c>
      <c r="DT1244">
        <f>SUM(DO1244:DP1244)</f>
        <v>0</v>
      </c>
      <c r="DU1244" s="143" t="str">
        <f>IF(DO1244=1,"self-calculated DF",IF(DP1244=1,"external DF used","explicit C balance"))</f>
        <v>explicit C balance</v>
      </c>
      <c r="DV1244" s="143">
        <v>0</v>
      </c>
      <c r="DW1244" s="143">
        <v>0</v>
      </c>
      <c r="DX1244" s="143">
        <v>0</v>
      </c>
      <c r="DY1244" s="143">
        <v>0</v>
      </c>
      <c r="DZ1244">
        <v>0</v>
      </c>
      <c r="EA1244" s="143">
        <v>0</v>
      </c>
      <c r="EB1244" s="143">
        <v>1</v>
      </c>
      <c r="EC1244" s="143">
        <v>0</v>
      </c>
      <c r="ED1244" s="143">
        <v>0</v>
      </c>
      <c r="EE1244" s="143">
        <v>0</v>
      </c>
      <c r="EF1244">
        <v>0</v>
      </c>
      <c r="EG1244" s="143">
        <v>0</v>
      </c>
      <c r="EH1244">
        <v>0</v>
      </c>
      <c r="EI1244" s="2">
        <v>0</v>
      </c>
      <c r="EK1244" t="str">
        <f>IF(AND(AND(AND(OR($DX1244=1,$DW1244=1),OR($EC1244=1,$EA1244=1)),SUM($DV1244:$DZ1244,$EF1244)&gt;=3),SUM($EA1244:$EE1244)&gt;=2),"Whole sector","")</f>
        <v/>
      </c>
      <c r="EL1244" t="str">
        <f>IF(AND(AND(OR($DX1244=1,$DW1244=1),AND($EC1244=0,$EA1244=0)),SUM($DV1244:$DZ1244,$EF1244)&gt;=3),"Ecosystem approach","")</f>
        <v/>
      </c>
      <c r="EM1244" s="2" t="str">
        <f>IF(AND(AND(AND($DX1244=0,$DW1244=0),OR($EC1244=1,$EA1244=1)),SUM($EB1244:$EE1244)&gt;=2),"Technology approach","")</f>
        <v/>
      </c>
      <c r="EP1244" t="b">
        <f>IF(ISNUMBER(BU1244),IF(ABS(BU1244-[5]QC_indicators!$B$2)&gt;3*[5]QC_indicators!$C$2,"C ratio",IF(ISNUMBER(BY1244),IF(ABS(BY1244-[5]QC_indicators!$B$1)&gt;3*[5]QC_indicators!$C$1,"DF","no"))),IF(ISNUMBER(BY1244),IF(ABS(BY1244-[5]QC_indicators!$B$1)&gt;3*[5]QC_indicators!$C$1,"DF","no")))</f>
        <v>0</v>
      </c>
      <c r="ER1244" s="314" t="s">
        <v>349</v>
      </c>
    </row>
    <row r="1245" spans="1:150" ht="15" customHeight="1">
      <c r="A1245" s="1" t="s">
        <v>587</v>
      </c>
      <c r="B1245" t="s">
        <v>3424</v>
      </c>
      <c r="C1245" t="s">
        <v>3425</v>
      </c>
      <c r="D1245" t="s">
        <v>3426</v>
      </c>
      <c r="E1245" t="s">
        <v>3427</v>
      </c>
      <c r="F1245" t="s">
        <v>3428</v>
      </c>
      <c r="G1245" t="s">
        <v>593</v>
      </c>
      <c r="I1245">
        <v>2018</v>
      </c>
      <c r="K1245" t="s">
        <v>3429</v>
      </c>
      <c r="M1245" t="str">
        <f>LEFT($D1245,FIND(",",$D1245)-1)&amp;"_"&amp;I1245&amp;L1245</f>
        <v>Abbas_2018</v>
      </c>
      <c r="N1245" s="312" t="s">
        <v>4383</v>
      </c>
      <c r="O1245" s="140" t="s">
        <v>223</v>
      </c>
      <c r="Q1245" s="312" t="s">
        <v>224</v>
      </c>
      <c r="R1245" s="313"/>
      <c r="S1245" s="1" t="s">
        <v>3438</v>
      </c>
      <c r="T1245" t="s">
        <v>3439</v>
      </c>
      <c r="U1245" s="143" t="s">
        <v>3440</v>
      </c>
      <c r="V1245">
        <v>0</v>
      </c>
      <c r="W1245">
        <v>0</v>
      </c>
      <c r="X1245">
        <v>0</v>
      </c>
      <c r="Y1245">
        <v>0</v>
      </c>
      <c r="Z1245">
        <v>0</v>
      </c>
      <c r="AA1245">
        <v>0</v>
      </c>
      <c r="AB1245">
        <v>0</v>
      </c>
      <c r="AC1245">
        <v>0</v>
      </c>
      <c r="AD1245">
        <v>1</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s="141">
        <f>COUNTIF(V1245:AW1245,"&lt;&gt;0")</f>
        <v>1</v>
      </c>
      <c r="AY1245" s="141">
        <f>COUNTIF(V1245:AL1245,"&lt;&gt;0")</f>
        <v>1</v>
      </c>
      <c r="AZ1245">
        <f>COUNTIF(V1245:AC1245,"&lt;&gt;0")</f>
        <v>0</v>
      </c>
      <c r="BA1245">
        <f>COUNTIF(AD1245:AI1245,"&lt;&gt;0")</f>
        <v>1</v>
      </c>
      <c r="BB1245">
        <f>COUNTIF(AJ1245:AL1245,"&lt;&gt;0")</f>
        <v>0</v>
      </c>
      <c r="BC1245">
        <f>COUNTIF(AS1245:AW1245,"&lt;&gt;0")</f>
        <v>0</v>
      </c>
      <c r="BD1245">
        <f>COUNTIF(AM1245:AR1245,"&lt;&gt;0")</f>
        <v>0</v>
      </c>
      <c r="BE1245" t="str" cm="1">
        <f t="array" ref="BE1245">IF(AY1245=1,INDEX($V$7:$AL$7,MATCH(TRUE,INDEX($V1245:$AW1245&lt;&gt;0,),0)),IF(AY1245=0,INDEX($AM$7:$AW$7,MATCH(1,$AM1245:$AW1245,0)),IF(BF1245="Multiple strategies","mixed drivers",IF(BF1245="Supply chain","multiple supply","multiple silviculture"))))</f>
        <v>harvesting system</v>
      </c>
      <c r="BF1245" s="2" t="str" cm="1">
        <f t="array" ref="BF1245">IF(COUNTIF(AZ1245:BB1245,"&lt;&gt;0")=1,INDEX($V$4:$AW$4,MATCH(TRUE,INDEX($V1245:$AW1245&lt;&gt;0,),0)),IF(COUNTIF(AZ1245:BB1245,"&lt;&gt;0")=0,INDEX($AM$4:$AW$4,MATCH(1,$AM1245:$AW1245,0)),"Multiple strategies"))</f>
        <v>Supply chain</v>
      </c>
      <c r="BG1245" s="142" t="s">
        <v>321</v>
      </c>
      <c r="BH1245" t="s">
        <v>3433</v>
      </c>
      <c r="BJ1245" s="143" t="s">
        <v>3434</v>
      </c>
      <c r="BK1245">
        <v>1</v>
      </c>
      <c r="BL1245" s="143">
        <v>1</v>
      </c>
      <c r="BM1245" s="143"/>
      <c r="BN1245">
        <f>BL1245-BK1245</f>
        <v>0</v>
      </c>
      <c r="BO1245" s="143">
        <f>BN1245*t_to_m3</f>
        <v>0</v>
      </c>
      <c r="BP1245" s="312" t="s">
        <v>232</v>
      </c>
      <c r="BQ1245" s="312" t="s">
        <v>3435</v>
      </c>
      <c r="BR1245" t="s">
        <v>3436</v>
      </c>
      <c r="BS1245">
        <v>-21.1</v>
      </c>
      <c r="BT1245">
        <v>-18.600000000000001</v>
      </c>
      <c r="BU1245" s="144">
        <v>0.88151658767772512</v>
      </c>
      <c r="BV1245">
        <v>2.5</v>
      </c>
      <c r="BX1245">
        <f>BV1245/1000</f>
        <v>2.5000000000000001E-3</v>
      </c>
      <c r="BY1245" t="str">
        <f>IFERROR(BX1245/BO1245,"")</f>
        <v/>
      </c>
      <c r="BZ1245">
        <v>0</v>
      </c>
      <c r="CA1245">
        <v>0</v>
      </c>
      <c r="CB1245">
        <v>0</v>
      </c>
      <c r="CC1245">
        <v>0</v>
      </c>
      <c r="CD1245">
        <v>0</v>
      </c>
      <c r="CE1245">
        <v>0</v>
      </c>
      <c r="CF1245">
        <v>0</v>
      </c>
      <c r="CG1245">
        <v>0</v>
      </c>
      <c r="CH1245">
        <v>0</v>
      </c>
      <c r="CI1245">
        <v>0</v>
      </c>
      <c r="CJ1245">
        <v>0</v>
      </c>
      <c r="CK1245">
        <v>0</v>
      </c>
      <c r="CL1245">
        <v>0</v>
      </c>
      <c r="CM1245">
        <v>0</v>
      </c>
      <c r="CN1245" t="str">
        <f>IF($BL1245&lt;$BK1245,"refNeedCorrection","refOK")</f>
        <v>refOK</v>
      </c>
      <c r="CO1245">
        <f>IF($CN1245="refOK",$BK1245,$BL1245)</f>
        <v>1</v>
      </c>
      <c r="CP1245">
        <f>IF($CN1245="refOK",$BL1245,$BK1245)</f>
        <v>1</v>
      </c>
      <c r="CQ1245">
        <f>IF($CN1245="refOK",$BO1245,-$BO1245)</f>
        <v>0</v>
      </c>
      <c r="CR1245">
        <f>IF($CN1245="refOK",$BS1245,$BT1245)*IF($BP1245="Emissions positive",-1,1)</f>
        <v>-21.1</v>
      </c>
      <c r="CS1245">
        <f>IF($CN1245="refOK",$BT1245,$BS1245)*IF($BP1245="Emissions positive",-1,1)</f>
        <v>-18.600000000000001</v>
      </c>
      <c r="CT1245">
        <f>IF($CN1245="refNeedCorrection",-BX1245,BX1245)*IF($BP1245="Emissions positive",-1,1)</f>
        <v>2.5000000000000001E-3</v>
      </c>
      <c r="CU1245" t="str">
        <f>IFERROR(CT1245/CQ1245,"")</f>
        <v/>
      </c>
      <c r="CV1245" s="2">
        <f>IFERROR((CS1245-CR1245)/ABS(CR1245),"")</f>
        <v>0.11848341232227487</v>
      </c>
      <c r="CW1245" s="1" t="s">
        <v>1199</v>
      </c>
      <c r="CX1245" s="312" t="str">
        <f>IF(OR($CW1245="prd",$CW1245="std",$CW1245="cit"),"loc",IF(OR($CW1245="eur",$CW1245="reg",$CW1245="coy"),"reg",$CW1245))</f>
        <v>reg</v>
      </c>
      <c r="CY1245" t="s">
        <v>428</v>
      </c>
      <c r="DA1245" s="143"/>
      <c r="DB1245" s="143">
        <v>0</v>
      </c>
      <c r="DC1245" t="str">
        <f>IF(DB1245=0,"0",IF(AND(DB1245&gt;=1,DB1245&lt;=30),"1-30",IF(AND(DB1245&gt;30,DB1245&lt;=70),"31-70",IF(AND(DB1245&gt;70,DB1245&lt;=100),"71-100",IF(DB1245&gt;100,"+100")))))</f>
        <v>0</v>
      </c>
      <c r="DD1245">
        <v>1</v>
      </c>
      <c r="DE1245">
        <v>0</v>
      </c>
      <c r="DF1245">
        <v>0</v>
      </c>
      <c r="DG1245">
        <v>0</v>
      </c>
      <c r="DI1245">
        <f>SUM(DD1245:DG1245)</f>
        <v>1</v>
      </c>
      <c r="DJ1245" t="str">
        <f>IF(DI1245=1,INDEX($DD$7:$DG$7,MATCH(1,$DD1245:$DG1245,0)),"mixedProduct")</f>
        <v>UpstreamInput</v>
      </c>
      <c r="DK1245" t="str">
        <f>IF(DD1245=1,DK$7,0)</f>
        <v>Upstream</v>
      </c>
      <c r="DL1245">
        <f>IF(DE1245=1,DL$7,0)</f>
        <v>0</v>
      </c>
      <c r="DM1245">
        <f>IF(DF1245=1,DM$7,0)</f>
        <v>0</v>
      </c>
      <c r="DN1245">
        <f>IF(DG1245=1,DN$7,0)</f>
        <v>0</v>
      </c>
      <c r="DO1245">
        <v>0</v>
      </c>
      <c r="DP1245" s="143">
        <v>0</v>
      </c>
      <c r="DQ1245" s="143">
        <v>0</v>
      </c>
      <c r="DR1245" s="143">
        <v>0</v>
      </c>
      <c r="DS1245" s="143">
        <v>0</v>
      </c>
      <c r="DT1245">
        <f>SUM(DO1245:DP1245)</f>
        <v>0</v>
      </c>
      <c r="DU1245" s="143" t="str">
        <f>IF(DO1245=1,"self-calculated DF",IF(DP1245=1,"external DF used","explicit C balance"))</f>
        <v>explicit C balance</v>
      </c>
      <c r="DV1245" s="143">
        <v>0</v>
      </c>
      <c r="DW1245" s="143">
        <v>0</v>
      </c>
      <c r="DX1245" s="143">
        <v>0</v>
      </c>
      <c r="DY1245" s="143">
        <v>0</v>
      </c>
      <c r="DZ1245">
        <v>0</v>
      </c>
      <c r="EA1245" s="143">
        <v>0</v>
      </c>
      <c r="EB1245" s="143">
        <v>1</v>
      </c>
      <c r="EC1245" s="143">
        <v>0</v>
      </c>
      <c r="ED1245" s="143">
        <v>0</v>
      </c>
      <c r="EE1245" s="143">
        <v>0</v>
      </c>
      <c r="EF1245">
        <v>0</v>
      </c>
      <c r="EG1245" s="143">
        <v>0</v>
      </c>
      <c r="EH1245">
        <v>0</v>
      </c>
      <c r="EI1245" s="2">
        <v>0</v>
      </c>
      <c r="EK1245" t="str">
        <f>IF(AND(AND(AND(OR($DX1245=1,$DW1245=1),OR($EC1245=1,$EA1245=1)),SUM($DV1245:$DZ1245,$EF1245)&gt;=3),SUM($EA1245:$EE1245)&gt;=2),"Whole sector","")</f>
        <v/>
      </c>
      <c r="EL1245" t="str">
        <f>IF(AND(AND(OR($DX1245=1,$DW1245=1),AND($EC1245=0,$EA1245=0)),SUM($DV1245:$DZ1245,$EF1245)&gt;=3),"Ecosystem approach","")</f>
        <v/>
      </c>
      <c r="EM1245" s="2" t="str">
        <f>IF(AND(AND(AND($DX1245=0,$DW1245=0),OR($EC1245=1,$EA1245=1)),SUM($EB1245:$EE1245)&gt;=2),"Technology approach","")</f>
        <v/>
      </c>
      <c r="EP1245" t="b">
        <f>IF(ISNUMBER(BU1245),IF(ABS(BU1245-[5]QC_indicators!$B$2)&gt;3*[5]QC_indicators!$C$2,"C ratio",IF(ISNUMBER(BY1245),IF(ABS(BY1245-[5]QC_indicators!$B$1)&gt;3*[5]QC_indicators!$C$1,"DF","no"))),IF(ISNUMBER(BY1245),IF(ABS(BY1245-[5]QC_indicators!$B$1)&gt;3*[5]QC_indicators!$C$1,"DF","no")))</f>
        <v>0</v>
      </c>
      <c r="ER1245" s="314" t="s">
        <v>349</v>
      </c>
    </row>
    <row r="1246" spans="1:150" ht="15" customHeight="1">
      <c r="A1246" s="1" t="s">
        <v>587</v>
      </c>
      <c r="B1246" t="s">
        <v>3424</v>
      </c>
      <c r="C1246" t="s">
        <v>3425</v>
      </c>
      <c r="D1246" t="s">
        <v>3426</v>
      </c>
      <c r="E1246" t="s">
        <v>3427</v>
      </c>
      <c r="F1246" t="s">
        <v>3428</v>
      </c>
      <c r="G1246" t="s">
        <v>593</v>
      </c>
      <c r="I1246">
        <v>2018</v>
      </c>
      <c r="K1246" t="s">
        <v>3429</v>
      </c>
      <c r="M1246" t="str">
        <f>LEFT($D1246,FIND(",",$D1246)-1)&amp;"_"&amp;I1246&amp;L1246</f>
        <v>Abbas_2018</v>
      </c>
      <c r="N1246" s="312" t="s">
        <v>4383</v>
      </c>
      <c r="O1246" s="140" t="s">
        <v>223</v>
      </c>
      <c r="Q1246" s="312" t="s">
        <v>224</v>
      </c>
      <c r="R1246" s="313"/>
      <c r="S1246" s="1" t="s">
        <v>3438</v>
      </c>
      <c r="T1246" t="s">
        <v>3439</v>
      </c>
      <c r="U1246" s="143" t="s">
        <v>3440</v>
      </c>
      <c r="V1246">
        <v>0</v>
      </c>
      <c r="W1246">
        <v>0</v>
      </c>
      <c r="X1246">
        <v>0</v>
      </c>
      <c r="Y1246">
        <v>0</v>
      </c>
      <c r="Z1246">
        <v>0</v>
      </c>
      <c r="AA1246">
        <v>0</v>
      </c>
      <c r="AB1246">
        <v>0</v>
      </c>
      <c r="AC1246">
        <v>0</v>
      </c>
      <c r="AD1246">
        <v>1</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s="141">
        <f>COUNTIF(V1246:AW1246,"&lt;&gt;0")</f>
        <v>1</v>
      </c>
      <c r="AY1246" s="141">
        <f>COUNTIF(V1246:AL1246,"&lt;&gt;0")</f>
        <v>1</v>
      </c>
      <c r="AZ1246">
        <f>COUNTIF(V1246:AC1246,"&lt;&gt;0")</f>
        <v>0</v>
      </c>
      <c r="BA1246">
        <f>COUNTIF(AD1246:AI1246,"&lt;&gt;0")</f>
        <v>1</v>
      </c>
      <c r="BB1246">
        <f>COUNTIF(AJ1246:AL1246,"&lt;&gt;0")</f>
        <v>0</v>
      </c>
      <c r="BC1246">
        <f>COUNTIF(AS1246:AW1246,"&lt;&gt;0")</f>
        <v>0</v>
      </c>
      <c r="BD1246">
        <f>COUNTIF(AM1246:AR1246,"&lt;&gt;0")</f>
        <v>0</v>
      </c>
      <c r="BE1246" t="str" cm="1">
        <f t="array" ref="BE1246">IF(AY1246=1,INDEX($V$7:$AL$7,MATCH(TRUE,INDEX($V1246:$AW1246&lt;&gt;0,),0)),IF(AY1246=0,INDEX($AM$7:$AW$7,MATCH(1,$AM1246:$AW1246,0)),IF(BF1246="Multiple strategies","mixed drivers",IF(BF1246="Supply chain","multiple supply","multiple silviculture"))))</f>
        <v>harvesting system</v>
      </c>
      <c r="BF1246" s="2" t="str" cm="1">
        <f t="array" ref="BF1246">IF(COUNTIF(AZ1246:BB1246,"&lt;&gt;0")=1,INDEX($V$4:$AW$4,MATCH(TRUE,INDEX($V1246:$AW1246&lt;&gt;0,),0)),IF(COUNTIF(AZ1246:BB1246,"&lt;&gt;0")=0,INDEX($AM$4:$AW$4,MATCH(1,$AM1246:$AW1246,0)),"Multiple strategies"))</f>
        <v>Supply chain</v>
      </c>
      <c r="BG1246" s="142" t="s">
        <v>321</v>
      </c>
      <c r="BH1246" t="s">
        <v>3433</v>
      </c>
      <c r="BJ1246" s="143" t="s">
        <v>3434</v>
      </c>
      <c r="BK1246">
        <v>1</v>
      </c>
      <c r="BL1246" s="143">
        <v>1</v>
      </c>
      <c r="BM1246" s="143"/>
      <c r="BN1246">
        <f>BL1246-BK1246</f>
        <v>0</v>
      </c>
      <c r="BO1246" s="143">
        <f>BN1246*t_to_m3</f>
        <v>0</v>
      </c>
      <c r="BP1246" s="312" t="s">
        <v>232</v>
      </c>
      <c r="BQ1246" s="312" t="s">
        <v>3435</v>
      </c>
      <c r="BR1246" t="s">
        <v>3436</v>
      </c>
      <c r="BS1246">
        <v>-17.7</v>
      </c>
      <c r="BT1246">
        <v>-16.2</v>
      </c>
      <c r="BU1246" s="144">
        <v>0.9152542372881356</v>
      </c>
      <c r="BV1246">
        <v>1.5</v>
      </c>
      <c r="BX1246">
        <f>BV1246/1000</f>
        <v>1.5E-3</v>
      </c>
      <c r="BY1246" t="str">
        <f>IFERROR(BX1246/BO1246,"")</f>
        <v/>
      </c>
      <c r="BZ1246">
        <v>0</v>
      </c>
      <c r="CA1246">
        <v>0</v>
      </c>
      <c r="CB1246">
        <v>0</v>
      </c>
      <c r="CC1246">
        <v>0</v>
      </c>
      <c r="CD1246">
        <v>0</v>
      </c>
      <c r="CE1246">
        <v>0</v>
      </c>
      <c r="CF1246">
        <v>0</v>
      </c>
      <c r="CG1246">
        <v>0</v>
      </c>
      <c r="CH1246">
        <v>0</v>
      </c>
      <c r="CI1246">
        <v>0</v>
      </c>
      <c r="CJ1246">
        <v>0</v>
      </c>
      <c r="CK1246">
        <v>0</v>
      </c>
      <c r="CL1246">
        <v>0</v>
      </c>
      <c r="CM1246">
        <v>0</v>
      </c>
      <c r="CN1246" t="str">
        <f>IF($BL1246&lt;$BK1246,"refNeedCorrection","refOK")</f>
        <v>refOK</v>
      </c>
      <c r="CO1246">
        <f>IF($CN1246="refOK",$BK1246,$BL1246)</f>
        <v>1</v>
      </c>
      <c r="CP1246">
        <f>IF($CN1246="refOK",$BL1246,$BK1246)</f>
        <v>1</v>
      </c>
      <c r="CQ1246">
        <f>IF($CN1246="refOK",$BO1246,-$BO1246)</f>
        <v>0</v>
      </c>
      <c r="CR1246">
        <f>IF($CN1246="refOK",$BS1246,$BT1246)*IF($BP1246="Emissions positive",-1,1)</f>
        <v>-17.7</v>
      </c>
      <c r="CS1246">
        <f>IF($CN1246="refOK",$BT1246,$BS1246)*IF($BP1246="Emissions positive",-1,1)</f>
        <v>-16.2</v>
      </c>
      <c r="CT1246">
        <f>IF($CN1246="refNeedCorrection",-BX1246,BX1246)*IF($BP1246="Emissions positive",-1,1)</f>
        <v>1.5E-3</v>
      </c>
      <c r="CU1246" t="str">
        <f>IFERROR(CT1246/CQ1246,"")</f>
        <v/>
      </c>
      <c r="CV1246" s="2">
        <f>IFERROR((CS1246-CR1246)/ABS(CR1246),"")</f>
        <v>8.4745762711864417E-2</v>
      </c>
      <c r="CW1246" s="1" t="s">
        <v>1199</v>
      </c>
      <c r="CX1246" s="312" t="str">
        <f>IF(OR($CW1246="prd",$CW1246="std",$CW1246="cit"),"loc",IF(OR($CW1246="eur",$CW1246="reg",$CW1246="coy"),"reg",$CW1246))</f>
        <v>reg</v>
      </c>
      <c r="CY1246" t="s">
        <v>428</v>
      </c>
      <c r="DA1246" s="143"/>
      <c r="DB1246" s="143">
        <v>0</v>
      </c>
      <c r="DC1246" t="str">
        <f>IF(DB1246=0,"0",IF(AND(DB1246&gt;=1,DB1246&lt;=30),"1-30",IF(AND(DB1246&gt;30,DB1246&lt;=70),"31-70",IF(AND(DB1246&gt;70,DB1246&lt;=100),"71-100",IF(DB1246&gt;100,"+100")))))</f>
        <v>0</v>
      </c>
      <c r="DD1246">
        <v>1</v>
      </c>
      <c r="DE1246">
        <v>0</v>
      </c>
      <c r="DF1246">
        <v>0</v>
      </c>
      <c r="DG1246">
        <v>0</v>
      </c>
      <c r="DI1246">
        <f>SUM(DD1246:DG1246)</f>
        <v>1</v>
      </c>
      <c r="DJ1246" t="str">
        <f>IF(DI1246=1,INDEX($DD$7:$DG$7,MATCH(1,$DD1246:$DG1246,0)),"mixedProduct")</f>
        <v>UpstreamInput</v>
      </c>
      <c r="DK1246" t="str">
        <f>IF(DD1246=1,DK$7,0)</f>
        <v>Upstream</v>
      </c>
      <c r="DL1246">
        <f>IF(DE1246=1,DL$7,0)</f>
        <v>0</v>
      </c>
      <c r="DM1246">
        <f>IF(DF1246=1,DM$7,0)</f>
        <v>0</v>
      </c>
      <c r="DN1246">
        <f>IF(DG1246=1,DN$7,0)</f>
        <v>0</v>
      </c>
      <c r="DO1246">
        <v>0</v>
      </c>
      <c r="DP1246" s="143">
        <v>0</v>
      </c>
      <c r="DQ1246" s="143">
        <v>0</v>
      </c>
      <c r="DR1246" s="143">
        <v>0</v>
      </c>
      <c r="DS1246" s="143">
        <v>0</v>
      </c>
      <c r="DT1246">
        <f>SUM(DO1246:DP1246)</f>
        <v>0</v>
      </c>
      <c r="DU1246" s="143" t="str">
        <f>IF(DO1246=1,"self-calculated DF",IF(DP1246=1,"external DF used","explicit C balance"))</f>
        <v>explicit C balance</v>
      </c>
      <c r="DV1246" s="143">
        <v>0</v>
      </c>
      <c r="DW1246" s="143">
        <v>0</v>
      </c>
      <c r="DX1246" s="143">
        <v>0</v>
      </c>
      <c r="DY1246" s="143">
        <v>0</v>
      </c>
      <c r="DZ1246">
        <v>0</v>
      </c>
      <c r="EA1246" s="143">
        <v>0</v>
      </c>
      <c r="EB1246" s="143">
        <v>1</v>
      </c>
      <c r="EC1246" s="143">
        <v>0</v>
      </c>
      <c r="ED1246" s="143">
        <v>0</v>
      </c>
      <c r="EE1246" s="143">
        <v>0</v>
      </c>
      <c r="EF1246">
        <v>0</v>
      </c>
      <c r="EG1246" s="143">
        <v>0</v>
      </c>
      <c r="EH1246">
        <v>0</v>
      </c>
      <c r="EI1246" s="2">
        <v>0</v>
      </c>
      <c r="EK1246" t="str">
        <f>IF(AND(AND(AND(OR($DX1246=1,$DW1246=1),OR($EC1246=1,$EA1246=1)),SUM($DV1246:$DZ1246,$EF1246)&gt;=3),SUM($EA1246:$EE1246)&gt;=2),"Whole sector","")</f>
        <v/>
      </c>
      <c r="EL1246" t="str">
        <f>IF(AND(AND(OR($DX1246=1,$DW1246=1),AND($EC1246=0,$EA1246=0)),SUM($DV1246:$DZ1246,$EF1246)&gt;=3),"Ecosystem approach","")</f>
        <v/>
      </c>
      <c r="EM1246" s="2" t="str">
        <f>IF(AND(AND(AND($DX1246=0,$DW1246=0),OR($EC1246=1,$EA1246=1)),SUM($EB1246:$EE1246)&gt;=2),"Technology approach","")</f>
        <v/>
      </c>
      <c r="EP1246" t="b">
        <f>IF(ISNUMBER(BU1246),IF(ABS(BU1246-[5]QC_indicators!$B$2)&gt;3*[5]QC_indicators!$C$2,"C ratio",IF(ISNUMBER(BY1246),IF(ABS(BY1246-[5]QC_indicators!$B$1)&gt;3*[5]QC_indicators!$C$1,"DF","no"))),IF(ISNUMBER(BY1246),IF(ABS(BY1246-[5]QC_indicators!$B$1)&gt;3*[5]QC_indicators!$C$1,"DF","no")))</f>
        <v>0</v>
      </c>
      <c r="ER1246" s="314" t="s">
        <v>349</v>
      </c>
    </row>
    <row r="1247" spans="1:150" ht="15" customHeight="1">
      <c r="A1247" s="1" t="s">
        <v>587</v>
      </c>
      <c r="B1247" t="s">
        <v>3424</v>
      </c>
      <c r="C1247" t="s">
        <v>3425</v>
      </c>
      <c r="D1247" t="s">
        <v>3426</v>
      </c>
      <c r="E1247" t="s">
        <v>3427</v>
      </c>
      <c r="F1247" t="s">
        <v>3428</v>
      </c>
      <c r="G1247" t="s">
        <v>593</v>
      </c>
      <c r="I1247">
        <v>2018</v>
      </c>
      <c r="K1247" t="s">
        <v>3429</v>
      </c>
      <c r="M1247" t="str">
        <f>LEFT($D1247,FIND(",",$D1247)-1)&amp;"_"&amp;I1247&amp;L1247</f>
        <v>Abbas_2018</v>
      </c>
      <c r="N1247" s="312" t="s">
        <v>4383</v>
      </c>
      <c r="O1247" s="140" t="s">
        <v>223</v>
      </c>
      <c r="Q1247" s="312" t="s">
        <v>224</v>
      </c>
      <c r="R1247" s="313"/>
      <c r="S1247" s="1" t="s">
        <v>3441</v>
      </c>
      <c r="T1247" t="s">
        <v>3442</v>
      </c>
      <c r="U1247" s="143" t="s">
        <v>3443</v>
      </c>
      <c r="V1247">
        <v>0</v>
      </c>
      <c r="W1247">
        <v>0</v>
      </c>
      <c r="X1247">
        <v>0</v>
      </c>
      <c r="Y1247">
        <v>0</v>
      </c>
      <c r="Z1247">
        <v>0</v>
      </c>
      <c r="AA1247">
        <v>0</v>
      </c>
      <c r="AB1247">
        <v>0</v>
      </c>
      <c r="AC1247">
        <v>0</v>
      </c>
      <c r="AD1247">
        <v>1</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s="141">
        <f>COUNTIF(V1247:AW1247,"&lt;&gt;0")</f>
        <v>1</v>
      </c>
      <c r="AY1247" s="141">
        <f>COUNTIF(V1247:AL1247,"&lt;&gt;0")</f>
        <v>1</v>
      </c>
      <c r="AZ1247">
        <f>COUNTIF(V1247:AC1247,"&lt;&gt;0")</f>
        <v>0</v>
      </c>
      <c r="BA1247">
        <f>COUNTIF(AD1247:AI1247,"&lt;&gt;0")</f>
        <v>1</v>
      </c>
      <c r="BB1247">
        <f>COUNTIF(AJ1247:AL1247,"&lt;&gt;0")</f>
        <v>0</v>
      </c>
      <c r="BC1247">
        <f>COUNTIF(AS1247:AW1247,"&lt;&gt;0")</f>
        <v>0</v>
      </c>
      <c r="BD1247">
        <f>COUNTIF(AM1247:AR1247,"&lt;&gt;0")</f>
        <v>0</v>
      </c>
      <c r="BE1247" t="str" cm="1">
        <f t="array" ref="BE1247">IF(AY1247=1,INDEX($V$7:$AL$7,MATCH(TRUE,INDEX($V1247:$AW1247&lt;&gt;0,),0)),IF(AY1247=0,INDEX($AM$7:$AW$7,MATCH(1,$AM1247:$AW1247,0)),IF(BF1247="Multiple strategies","mixed drivers",IF(BF1247="Supply chain","multiple supply","multiple silviculture"))))</f>
        <v>harvesting system</v>
      </c>
      <c r="BF1247" s="2" t="str" cm="1">
        <f t="array" ref="BF1247">IF(COUNTIF(AZ1247:BB1247,"&lt;&gt;0")=1,INDEX($V$4:$AW$4,MATCH(TRUE,INDEX($V1247:$AW1247&lt;&gt;0,),0)),IF(COUNTIF(AZ1247:BB1247,"&lt;&gt;0")=0,INDEX($AM$4:$AW$4,MATCH(1,$AM1247:$AW1247,0)),"Multiple strategies"))</f>
        <v>Supply chain</v>
      </c>
      <c r="BG1247" s="142" t="s">
        <v>321</v>
      </c>
      <c r="BH1247" t="s">
        <v>3433</v>
      </c>
      <c r="BJ1247" s="143" t="s">
        <v>3434</v>
      </c>
      <c r="BK1247">
        <v>1</v>
      </c>
      <c r="BL1247" s="143">
        <v>1</v>
      </c>
      <c r="BM1247" s="143"/>
      <c r="BN1247">
        <f>BL1247-BK1247</f>
        <v>0</v>
      </c>
      <c r="BO1247" s="143">
        <f>BN1247*t_to_m3</f>
        <v>0</v>
      </c>
      <c r="BP1247" s="312" t="s">
        <v>232</v>
      </c>
      <c r="BQ1247" s="155" t="s">
        <v>701</v>
      </c>
      <c r="BR1247" t="s">
        <v>3436</v>
      </c>
      <c r="BS1247">
        <v>22.9</v>
      </c>
      <c r="BT1247">
        <v>26.8</v>
      </c>
      <c r="BU1247" s="144">
        <v>1.1703056768558953</v>
      </c>
      <c r="BV1247">
        <v>3.9000000000000021</v>
      </c>
      <c r="BX1247">
        <f>BV1247/1000</f>
        <v>3.900000000000002E-3</v>
      </c>
      <c r="BY1247" t="str">
        <f>IFERROR(BX1247/BO1247,"")</f>
        <v/>
      </c>
      <c r="BZ1247">
        <v>0</v>
      </c>
      <c r="CA1247">
        <v>0</v>
      </c>
      <c r="CB1247">
        <v>0</v>
      </c>
      <c r="CC1247">
        <v>0</v>
      </c>
      <c r="CD1247">
        <v>0</v>
      </c>
      <c r="CE1247">
        <v>0</v>
      </c>
      <c r="CF1247">
        <v>0</v>
      </c>
      <c r="CG1247">
        <v>0</v>
      </c>
      <c r="CH1247">
        <v>0</v>
      </c>
      <c r="CI1247">
        <v>0</v>
      </c>
      <c r="CJ1247">
        <v>0</v>
      </c>
      <c r="CK1247">
        <v>0</v>
      </c>
      <c r="CL1247">
        <v>0</v>
      </c>
      <c r="CM1247">
        <v>0</v>
      </c>
      <c r="CN1247" t="str">
        <f>IF($BL1247&lt;$BK1247,"refNeedCorrection","refOK")</f>
        <v>refOK</v>
      </c>
      <c r="CO1247">
        <f>IF($CN1247="refOK",$BK1247,$BL1247)</f>
        <v>1</v>
      </c>
      <c r="CP1247">
        <f>IF($CN1247="refOK",$BL1247,$BK1247)</f>
        <v>1</v>
      </c>
      <c r="CQ1247">
        <f>IF($CN1247="refOK",$BO1247,-$BO1247)</f>
        <v>0</v>
      </c>
      <c r="CR1247">
        <f>IF($CN1247="refOK",$BS1247,$BT1247)*IF($BP1247="Emissions positive",-1,1)</f>
        <v>22.9</v>
      </c>
      <c r="CS1247">
        <f>IF($CN1247="refOK",$BT1247,$BS1247)*IF($BP1247="Emissions positive",-1,1)</f>
        <v>26.8</v>
      </c>
      <c r="CT1247">
        <f>IF($CN1247="refNeedCorrection",-BX1247,BX1247)*IF($BP1247="Emissions positive",-1,1)</f>
        <v>3.900000000000002E-3</v>
      </c>
      <c r="CU1247" t="str">
        <f>IFERROR(CT1247/CQ1247,"")</f>
        <v/>
      </c>
      <c r="CV1247" s="2">
        <f>IFERROR((CS1247-CR1247)/ABS(CR1247),"")</f>
        <v>0.17030567685589529</v>
      </c>
      <c r="CW1247" s="1" t="s">
        <v>1199</v>
      </c>
      <c r="CX1247" s="312" t="str">
        <f>IF(OR($CW1247="prd",$CW1247="std",$CW1247="cit"),"loc",IF(OR($CW1247="eur",$CW1247="reg",$CW1247="coy"),"reg",$CW1247))</f>
        <v>reg</v>
      </c>
      <c r="CY1247" t="s">
        <v>428</v>
      </c>
      <c r="DA1247" s="143"/>
      <c r="DB1247" s="143">
        <v>0</v>
      </c>
      <c r="DC1247" t="str">
        <f>IF(DB1247=0,"0",IF(AND(DB1247&gt;=1,DB1247&lt;=30),"1-30",IF(AND(DB1247&gt;30,DB1247&lt;=70),"31-70",IF(AND(DB1247&gt;70,DB1247&lt;=100),"71-100",IF(DB1247&gt;100,"+100")))))</f>
        <v>0</v>
      </c>
      <c r="DD1247">
        <v>1</v>
      </c>
      <c r="DE1247">
        <v>0</v>
      </c>
      <c r="DF1247">
        <v>0</v>
      </c>
      <c r="DG1247">
        <v>0</v>
      </c>
      <c r="DI1247">
        <f>SUM(DD1247:DG1247)</f>
        <v>1</v>
      </c>
      <c r="DJ1247" t="str">
        <f>IF(DI1247=1,INDEX($DD$7:$DG$7,MATCH(1,$DD1247:$DG1247,0)),"mixedProduct")</f>
        <v>UpstreamInput</v>
      </c>
      <c r="DK1247" t="str">
        <f>IF(DD1247=1,DK$7,0)</f>
        <v>Upstream</v>
      </c>
      <c r="DL1247">
        <f>IF(DE1247=1,DL$7,0)</f>
        <v>0</v>
      </c>
      <c r="DM1247">
        <f>IF(DF1247=1,DM$7,0)</f>
        <v>0</v>
      </c>
      <c r="DN1247">
        <f>IF(DG1247=1,DN$7,0)</f>
        <v>0</v>
      </c>
      <c r="DO1247">
        <v>0</v>
      </c>
      <c r="DP1247" s="143">
        <v>0</v>
      </c>
      <c r="DQ1247" s="143">
        <v>0</v>
      </c>
      <c r="DR1247" s="143">
        <v>0</v>
      </c>
      <c r="DS1247" s="143">
        <v>0</v>
      </c>
      <c r="DT1247">
        <f>SUM(DO1247:DP1247)</f>
        <v>0</v>
      </c>
      <c r="DU1247" s="143" t="str">
        <f>IF(DO1247=1,"self-calculated DF",IF(DP1247=1,"external DF used","explicit C balance"))</f>
        <v>explicit C balance</v>
      </c>
      <c r="DV1247" s="143">
        <v>0</v>
      </c>
      <c r="DW1247" s="143">
        <v>0</v>
      </c>
      <c r="DX1247" s="143">
        <v>0</v>
      </c>
      <c r="DY1247" s="143">
        <v>0</v>
      </c>
      <c r="DZ1247">
        <v>0</v>
      </c>
      <c r="EA1247" s="143">
        <v>0</v>
      </c>
      <c r="EB1247" s="143">
        <v>1</v>
      </c>
      <c r="EC1247" s="143">
        <v>1</v>
      </c>
      <c r="ED1247" s="143">
        <v>0</v>
      </c>
      <c r="EE1247" s="143">
        <v>0</v>
      </c>
      <c r="EF1247">
        <v>0</v>
      </c>
      <c r="EG1247" s="143">
        <v>0</v>
      </c>
      <c r="EH1247">
        <v>0</v>
      </c>
      <c r="EI1247" s="2">
        <v>0</v>
      </c>
      <c r="EK1247" t="str">
        <f>IF(AND(AND(AND(OR($DX1247=1,$DW1247=1),OR($EC1247=1,$EA1247=1)),SUM($DV1247:$DZ1247,$EF1247)&gt;=3),SUM($EA1247:$EE1247)&gt;=2),"Whole sector","")</f>
        <v/>
      </c>
      <c r="EL1247" t="str">
        <f>IF(AND(AND(OR($DX1247=1,$DW1247=1),AND($EC1247=0,$EA1247=0)),SUM($DV1247:$DZ1247,$EF1247)&gt;=3),"Ecosystem approach","")</f>
        <v/>
      </c>
      <c r="EM1247" s="2" t="str">
        <f>IF(AND(AND(AND($DX1247=0,$DW1247=0),OR($EC1247=1,$EA1247=1)),SUM($EB1247:$EE1247)&gt;=2),"Technology approach","")</f>
        <v>Technology approach</v>
      </c>
      <c r="EP1247" t="b">
        <f>IF(ISNUMBER(BU1247),IF(ABS(BU1247-[5]QC_indicators!$B$2)&gt;3*[5]QC_indicators!$C$2,"C ratio",IF(ISNUMBER(BY1247),IF(ABS(BY1247-[5]QC_indicators!$B$1)&gt;3*[5]QC_indicators!$C$1,"DF","no"))),IF(ISNUMBER(BY1247),IF(ABS(BY1247-[5]QC_indicators!$B$1)&gt;3*[5]QC_indicators!$C$1,"DF","no")))</f>
        <v>0</v>
      </c>
      <c r="ER1247" s="314" t="s">
        <v>349</v>
      </c>
    </row>
    <row r="1248" spans="1:150" ht="15" customHeight="1">
      <c r="A1248" s="1" t="s">
        <v>587</v>
      </c>
      <c r="B1248" t="s">
        <v>3424</v>
      </c>
      <c r="C1248" t="s">
        <v>3425</v>
      </c>
      <c r="D1248" t="s">
        <v>3426</v>
      </c>
      <c r="E1248" t="s">
        <v>3427</v>
      </c>
      <c r="F1248" t="s">
        <v>3428</v>
      </c>
      <c r="G1248" t="s">
        <v>593</v>
      </c>
      <c r="I1248">
        <v>2018</v>
      </c>
      <c r="K1248" t="s">
        <v>3429</v>
      </c>
      <c r="M1248" t="str">
        <f>LEFT($D1248,FIND(",",$D1248)-1)&amp;"_"&amp;I1248&amp;L1248</f>
        <v>Abbas_2018</v>
      </c>
      <c r="N1248" s="312" t="s">
        <v>4383</v>
      </c>
      <c r="O1248" s="140" t="s">
        <v>223</v>
      </c>
      <c r="Q1248" s="312" t="s">
        <v>224</v>
      </c>
      <c r="R1248" s="313"/>
      <c r="S1248" s="1" t="s">
        <v>3441</v>
      </c>
      <c r="T1248" t="s">
        <v>3442</v>
      </c>
      <c r="U1248" s="143" t="s">
        <v>3443</v>
      </c>
      <c r="V1248">
        <v>0</v>
      </c>
      <c r="W1248">
        <v>0</v>
      </c>
      <c r="X1248">
        <v>0</v>
      </c>
      <c r="Y1248">
        <v>0</v>
      </c>
      <c r="Z1248">
        <v>0</v>
      </c>
      <c r="AA1248">
        <v>0</v>
      </c>
      <c r="AB1248">
        <v>0</v>
      </c>
      <c r="AC1248">
        <v>0</v>
      </c>
      <c r="AD1248">
        <v>1</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s="141">
        <f>COUNTIF(V1248:AW1248,"&lt;&gt;0")</f>
        <v>1</v>
      </c>
      <c r="AY1248" s="141">
        <f>COUNTIF(V1248:AL1248,"&lt;&gt;0")</f>
        <v>1</v>
      </c>
      <c r="AZ1248">
        <f>COUNTIF(V1248:AC1248,"&lt;&gt;0")</f>
        <v>0</v>
      </c>
      <c r="BA1248">
        <f>COUNTIF(AD1248:AI1248,"&lt;&gt;0")</f>
        <v>1</v>
      </c>
      <c r="BB1248">
        <f>COUNTIF(AJ1248:AL1248,"&lt;&gt;0")</f>
        <v>0</v>
      </c>
      <c r="BC1248">
        <f>COUNTIF(AS1248:AW1248,"&lt;&gt;0")</f>
        <v>0</v>
      </c>
      <c r="BD1248">
        <f>COUNTIF(AM1248:AR1248,"&lt;&gt;0")</f>
        <v>0</v>
      </c>
      <c r="BE1248" t="str" cm="1">
        <f t="array" ref="BE1248">IF(AY1248=1,INDEX($V$7:$AL$7,MATCH(TRUE,INDEX($V1248:$AW1248&lt;&gt;0,),0)),IF(AY1248=0,INDEX($AM$7:$AW$7,MATCH(1,$AM1248:$AW1248,0)),IF(BF1248="Multiple strategies","mixed drivers",IF(BF1248="Supply chain","multiple supply","multiple silviculture"))))</f>
        <v>harvesting system</v>
      </c>
      <c r="BF1248" s="2" t="str" cm="1">
        <f t="array" ref="BF1248">IF(COUNTIF(AZ1248:BB1248,"&lt;&gt;0")=1,INDEX($V$4:$AW$4,MATCH(TRUE,INDEX($V1248:$AW1248&lt;&gt;0,),0)),IF(COUNTIF(AZ1248:BB1248,"&lt;&gt;0")=0,INDEX($AM$4:$AW$4,MATCH(1,$AM1248:$AW1248,0)),"Multiple strategies"))</f>
        <v>Supply chain</v>
      </c>
      <c r="BG1248" s="142" t="s">
        <v>321</v>
      </c>
      <c r="BH1248" t="s">
        <v>3433</v>
      </c>
      <c r="BJ1248" s="143" t="s">
        <v>3434</v>
      </c>
      <c r="BK1248">
        <v>1</v>
      </c>
      <c r="BL1248" s="143">
        <v>1</v>
      </c>
      <c r="BM1248" s="143"/>
      <c r="BN1248">
        <f>BL1248-BK1248</f>
        <v>0</v>
      </c>
      <c r="BO1248" s="143">
        <f>BN1248*t_to_m3</f>
        <v>0</v>
      </c>
      <c r="BP1248" s="312" t="s">
        <v>232</v>
      </c>
      <c r="BQ1248" s="312" t="s">
        <v>701</v>
      </c>
      <c r="BR1248" t="s">
        <v>3436</v>
      </c>
      <c r="BS1248">
        <v>34</v>
      </c>
      <c r="BT1248">
        <v>37.9</v>
      </c>
      <c r="BU1248" s="144">
        <v>1.1147058823529412</v>
      </c>
      <c r="BV1248">
        <v>3.8999999999999986</v>
      </c>
      <c r="BX1248">
        <f>BV1248/1000</f>
        <v>3.8999999999999985E-3</v>
      </c>
      <c r="BY1248" t="str">
        <f>IFERROR(BX1248/BO1248,"")</f>
        <v/>
      </c>
      <c r="BZ1248">
        <v>0</v>
      </c>
      <c r="CA1248">
        <v>0</v>
      </c>
      <c r="CB1248">
        <v>0</v>
      </c>
      <c r="CC1248">
        <v>0</v>
      </c>
      <c r="CD1248">
        <v>0</v>
      </c>
      <c r="CE1248">
        <v>0</v>
      </c>
      <c r="CF1248">
        <v>0</v>
      </c>
      <c r="CG1248">
        <v>0</v>
      </c>
      <c r="CH1248">
        <v>0</v>
      </c>
      <c r="CI1248">
        <v>0</v>
      </c>
      <c r="CJ1248">
        <v>0</v>
      </c>
      <c r="CK1248">
        <v>0</v>
      </c>
      <c r="CL1248">
        <v>0</v>
      </c>
      <c r="CM1248">
        <v>0</v>
      </c>
      <c r="CN1248" t="str">
        <f>IF($BL1248&lt;$BK1248,"refNeedCorrection","refOK")</f>
        <v>refOK</v>
      </c>
      <c r="CO1248">
        <f>IF($CN1248="refOK",$BK1248,$BL1248)</f>
        <v>1</v>
      </c>
      <c r="CP1248">
        <f>IF($CN1248="refOK",$BL1248,$BK1248)</f>
        <v>1</v>
      </c>
      <c r="CQ1248">
        <f>IF($CN1248="refOK",$BO1248,-$BO1248)</f>
        <v>0</v>
      </c>
      <c r="CR1248">
        <f>IF($CN1248="refOK",$BS1248,$BT1248)*IF($BP1248="Emissions positive",-1,1)</f>
        <v>34</v>
      </c>
      <c r="CS1248">
        <f>IF($CN1248="refOK",$BT1248,$BS1248)*IF($BP1248="Emissions positive",-1,1)</f>
        <v>37.9</v>
      </c>
      <c r="CT1248">
        <f>IF($CN1248="refNeedCorrection",-BX1248,BX1248)*IF($BP1248="Emissions positive",-1,1)</f>
        <v>3.8999999999999985E-3</v>
      </c>
      <c r="CU1248" t="str">
        <f>IFERROR(CT1248/CQ1248,"")</f>
        <v/>
      </c>
      <c r="CV1248" s="2">
        <f>IFERROR((CS1248-CR1248)/ABS(CR1248),"")</f>
        <v>0.11470588235294113</v>
      </c>
      <c r="CW1248" s="1" t="s">
        <v>1199</v>
      </c>
      <c r="CX1248" s="312" t="str">
        <f>IF(OR($CW1248="prd",$CW1248="std",$CW1248="cit"),"loc",IF(OR($CW1248="eur",$CW1248="reg",$CW1248="coy"),"reg",$CW1248))</f>
        <v>reg</v>
      </c>
      <c r="CY1248" t="s">
        <v>428</v>
      </c>
      <c r="DA1248" s="143"/>
      <c r="DB1248" s="143">
        <v>0</v>
      </c>
      <c r="DC1248" t="str">
        <f>IF(DB1248=0,"0",IF(AND(DB1248&gt;=1,DB1248&lt;=30),"1-30",IF(AND(DB1248&gt;30,DB1248&lt;=70),"31-70",IF(AND(DB1248&gt;70,DB1248&lt;=100),"71-100",IF(DB1248&gt;100,"+100")))))</f>
        <v>0</v>
      </c>
      <c r="DD1248">
        <v>1</v>
      </c>
      <c r="DE1248">
        <v>0</v>
      </c>
      <c r="DF1248">
        <v>0</v>
      </c>
      <c r="DG1248">
        <v>0</v>
      </c>
      <c r="DI1248">
        <f>SUM(DD1248:DG1248)</f>
        <v>1</v>
      </c>
      <c r="DJ1248" t="str">
        <f>IF(DI1248=1,INDEX($DD$7:$DG$7,MATCH(1,$DD1248:$DG1248,0)),"mixedProduct")</f>
        <v>UpstreamInput</v>
      </c>
      <c r="DK1248" t="str">
        <f>IF(DD1248=1,DK$7,0)</f>
        <v>Upstream</v>
      </c>
      <c r="DL1248">
        <f>IF(DE1248=1,DL$7,0)</f>
        <v>0</v>
      </c>
      <c r="DM1248">
        <f>IF(DF1248=1,DM$7,0)</f>
        <v>0</v>
      </c>
      <c r="DN1248">
        <f>IF(DG1248=1,DN$7,0)</f>
        <v>0</v>
      </c>
      <c r="DO1248">
        <v>0</v>
      </c>
      <c r="DP1248" s="143">
        <v>0</v>
      </c>
      <c r="DQ1248" s="143">
        <v>0</v>
      </c>
      <c r="DR1248" s="143">
        <v>0</v>
      </c>
      <c r="DS1248" s="143">
        <v>0</v>
      </c>
      <c r="DT1248">
        <f>SUM(DO1248:DP1248)</f>
        <v>0</v>
      </c>
      <c r="DU1248" s="143" t="str">
        <f>IF(DO1248=1,"self-calculated DF",IF(DP1248=1,"external DF used","explicit C balance"))</f>
        <v>explicit C balance</v>
      </c>
      <c r="DV1248" s="143">
        <v>0</v>
      </c>
      <c r="DW1248" s="143">
        <v>0</v>
      </c>
      <c r="DX1248" s="143">
        <v>0</v>
      </c>
      <c r="DY1248" s="143">
        <v>0</v>
      </c>
      <c r="DZ1248">
        <v>0</v>
      </c>
      <c r="EA1248" s="143">
        <v>0</v>
      </c>
      <c r="EB1248" s="143">
        <v>1</v>
      </c>
      <c r="EC1248" s="143">
        <v>1</v>
      </c>
      <c r="ED1248" s="143">
        <v>0</v>
      </c>
      <c r="EE1248" s="143">
        <v>0</v>
      </c>
      <c r="EF1248">
        <v>0</v>
      </c>
      <c r="EG1248" s="143">
        <v>0</v>
      </c>
      <c r="EH1248">
        <v>0</v>
      </c>
      <c r="EI1248" s="2">
        <v>0</v>
      </c>
      <c r="EK1248" t="str">
        <f>IF(AND(AND(AND(OR($DX1248=1,$DW1248=1),OR($EC1248=1,$EA1248=1)),SUM($DV1248:$DZ1248,$EF1248)&gt;=3),SUM($EA1248:$EE1248)&gt;=2),"Whole sector","")</f>
        <v/>
      </c>
      <c r="EL1248" t="str">
        <f>IF(AND(AND(OR($DX1248=1,$DW1248=1),AND($EC1248=0,$EA1248=0)),SUM($DV1248:$DZ1248,$EF1248)&gt;=3),"Ecosystem approach","")</f>
        <v/>
      </c>
      <c r="EM1248" s="2" t="str">
        <f>IF(AND(AND(AND($DX1248=0,$DW1248=0),OR($EC1248=1,$EA1248=1)),SUM($EB1248:$EE1248)&gt;=2),"Technology approach","")</f>
        <v>Technology approach</v>
      </c>
      <c r="EP1248" t="b">
        <f>IF(ISNUMBER(BU1248),IF(ABS(BU1248-[5]QC_indicators!$B$2)&gt;3*[5]QC_indicators!$C$2,"C ratio",IF(ISNUMBER(BY1248),IF(ABS(BY1248-[5]QC_indicators!$B$1)&gt;3*[5]QC_indicators!$C$1,"DF","no"))),IF(ISNUMBER(BY1248),IF(ABS(BY1248-[5]QC_indicators!$B$1)&gt;3*[5]QC_indicators!$C$1,"DF","no")))</f>
        <v>0</v>
      </c>
      <c r="ER1248" s="314" t="s">
        <v>349</v>
      </c>
    </row>
    <row r="1249" spans="1:149" ht="15" customHeight="1">
      <c r="A1249" s="1" t="s">
        <v>587</v>
      </c>
      <c r="B1249" t="s">
        <v>3424</v>
      </c>
      <c r="C1249" t="s">
        <v>3425</v>
      </c>
      <c r="D1249" t="s">
        <v>3426</v>
      </c>
      <c r="E1249" t="s">
        <v>3427</v>
      </c>
      <c r="F1249" t="s">
        <v>3428</v>
      </c>
      <c r="G1249" t="s">
        <v>593</v>
      </c>
      <c r="I1249">
        <v>2018</v>
      </c>
      <c r="K1249" t="s">
        <v>3429</v>
      </c>
      <c r="M1249" t="str">
        <f>LEFT($D1249,FIND(",",$D1249)-1)&amp;"_"&amp;I1249&amp;L1249</f>
        <v>Abbas_2018</v>
      </c>
      <c r="N1249" s="312" t="s">
        <v>4383</v>
      </c>
      <c r="O1249" s="140" t="s">
        <v>223</v>
      </c>
      <c r="Q1249" s="312" t="s">
        <v>224</v>
      </c>
      <c r="R1249" s="313"/>
      <c r="S1249" s="1" t="s">
        <v>3441</v>
      </c>
      <c r="T1249" t="s">
        <v>3442</v>
      </c>
      <c r="U1249" s="143" t="s">
        <v>3443</v>
      </c>
      <c r="V1249">
        <v>0</v>
      </c>
      <c r="W1249">
        <v>0</v>
      </c>
      <c r="X1249">
        <v>0</v>
      </c>
      <c r="Y1249">
        <v>0</v>
      </c>
      <c r="Z1249">
        <v>0</v>
      </c>
      <c r="AA1249">
        <v>0</v>
      </c>
      <c r="AB1249">
        <v>0</v>
      </c>
      <c r="AC1249">
        <v>0</v>
      </c>
      <c r="AD1249">
        <v>1</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s="141">
        <f>COUNTIF(V1249:AW1249,"&lt;&gt;0")</f>
        <v>1</v>
      </c>
      <c r="AY1249" s="141">
        <f>COUNTIF(V1249:AL1249,"&lt;&gt;0")</f>
        <v>1</v>
      </c>
      <c r="AZ1249">
        <f>COUNTIF(V1249:AC1249,"&lt;&gt;0")</f>
        <v>0</v>
      </c>
      <c r="BA1249">
        <f>COUNTIF(AD1249:AI1249,"&lt;&gt;0")</f>
        <v>1</v>
      </c>
      <c r="BB1249">
        <f>COUNTIF(AJ1249:AL1249,"&lt;&gt;0")</f>
        <v>0</v>
      </c>
      <c r="BC1249">
        <f>COUNTIF(AS1249:AW1249,"&lt;&gt;0")</f>
        <v>0</v>
      </c>
      <c r="BD1249">
        <f>COUNTIF(AM1249:AR1249,"&lt;&gt;0")</f>
        <v>0</v>
      </c>
      <c r="BE1249" t="str" cm="1">
        <f t="array" ref="BE1249">IF(AY1249=1,INDEX($V$7:$AL$7,MATCH(TRUE,INDEX($V1249:$AW1249&lt;&gt;0,),0)),IF(AY1249=0,INDEX($AM$7:$AW$7,MATCH(1,$AM1249:$AW1249,0)),IF(BF1249="Multiple strategies","mixed drivers",IF(BF1249="Supply chain","multiple supply","multiple silviculture"))))</f>
        <v>harvesting system</v>
      </c>
      <c r="BF1249" s="2" t="str" cm="1">
        <f t="array" ref="BF1249">IF(COUNTIF(AZ1249:BB1249,"&lt;&gt;0")=1,INDEX($V$4:$AW$4,MATCH(TRUE,INDEX($V1249:$AW1249&lt;&gt;0,),0)),IF(COUNTIF(AZ1249:BB1249,"&lt;&gt;0")=0,INDEX($AM$4:$AW$4,MATCH(1,$AM1249:$AW1249,0)),"Multiple strategies"))</f>
        <v>Supply chain</v>
      </c>
      <c r="BG1249" s="142" t="s">
        <v>321</v>
      </c>
      <c r="BH1249" t="s">
        <v>3433</v>
      </c>
      <c r="BJ1249" s="143" t="s">
        <v>3434</v>
      </c>
      <c r="BK1249">
        <v>1</v>
      </c>
      <c r="BL1249" s="143">
        <v>1</v>
      </c>
      <c r="BM1249" s="143"/>
      <c r="BN1249">
        <f>BL1249-BK1249</f>
        <v>0</v>
      </c>
      <c r="BO1249" s="143">
        <f>BN1249*t_to_m3</f>
        <v>0</v>
      </c>
      <c r="BP1249" s="312" t="s">
        <v>232</v>
      </c>
      <c r="BQ1249" s="312" t="s">
        <v>701</v>
      </c>
      <c r="BR1249" t="s">
        <v>3436</v>
      </c>
      <c r="BS1249">
        <v>45.1</v>
      </c>
      <c r="BT1249">
        <v>49</v>
      </c>
      <c r="BU1249" s="144">
        <v>1.0864745011086474</v>
      </c>
      <c r="BV1249">
        <v>3.8999999999999986</v>
      </c>
      <c r="BX1249">
        <f>BV1249/1000</f>
        <v>3.8999999999999985E-3</v>
      </c>
      <c r="BY1249" t="str">
        <f>IFERROR(BX1249/BO1249,"")</f>
        <v/>
      </c>
      <c r="BZ1249">
        <v>0</v>
      </c>
      <c r="CA1249">
        <v>0</v>
      </c>
      <c r="CB1249">
        <v>0</v>
      </c>
      <c r="CC1249">
        <v>0</v>
      </c>
      <c r="CD1249">
        <v>0</v>
      </c>
      <c r="CE1249">
        <v>0</v>
      </c>
      <c r="CF1249">
        <v>0</v>
      </c>
      <c r="CG1249">
        <v>0</v>
      </c>
      <c r="CH1249">
        <v>0</v>
      </c>
      <c r="CI1249">
        <v>0</v>
      </c>
      <c r="CJ1249">
        <v>0</v>
      </c>
      <c r="CK1249">
        <v>0</v>
      </c>
      <c r="CL1249">
        <v>0</v>
      </c>
      <c r="CM1249">
        <v>0</v>
      </c>
      <c r="CN1249" t="str">
        <f>IF($BL1249&lt;$BK1249,"refNeedCorrection","refOK")</f>
        <v>refOK</v>
      </c>
      <c r="CO1249">
        <f>IF($CN1249="refOK",$BK1249,$BL1249)</f>
        <v>1</v>
      </c>
      <c r="CP1249">
        <f>IF($CN1249="refOK",$BL1249,$BK1249)</f>
        <v>1</v>
      </c>
      <c r="CQ1249">
        <f>IF($CN1249="refOK",$BO1249,-$BO1249)</f>
        <v>0</v>
      </c>
      <c r="CR1249">
        <f>IF($CN1249="refOK",$BS1249,$BT1249)*IF($BP1249="Emissions positive",-1,1)</f>
        <v>45.1</v>
      </c>
      <c r="CS1249">
        <f>IF($CN1249="refOK",$BT1249,$BS1249)*IF($BP1249="Emissions positive",-1,1)</f>
        <v>49</v>
      </c>
      <c r="CT1249">
        <f>IF($CN1249="refNeedCorrection",-BX1249,BX1249)*IF($BP1249="Emissions positive",-1,1)</f>
        <v>3.8999999999999985E-3</v>
      </c>
      <c r="CU1249" t="str">
        <f>IFERROR(CT1249/CQ1249,"")</f>
        <v/>
      </c>
      <c r="CV1249" s="2">
        <f>IFERROR((CS1249-CR1249)/ABS(CR1249),"")</f>
        <v>8.647450110864742E-2</v>
      </c>
      <c r="CW1249" s="1" t="s">
        <v>1199</v>
      </c>
      <c r="CX1249" s="312" t="str">
        <f>IF(OR($CW1249="prd",$CW1249="std",$CW1249="cit"),"loc",IF(OR($CW1249="eur",$CW1249="reg",$CW1249="coy"),"reg",$CW1249))</f>
        <v>reg</v>
      </c>
      <c r="CY1249" t="s">
        <v>428</v>
      </c>
      <c r="DA1249" s="143"/>
      <c r="DB1249" s="143">
        <v>0</v>
      </c>
      <c r="DC1249" t="str">
        <f>IF(DB1249=0,"0",IF(AND(DB1249&gt;=1,DB1249&lt;=30),"1-30",IF(AND(DB1249&gt;30,DB1249&lt;=70),"31-70",IF(AND(DB1249&gt;70,DB1249&lt;=100),"71-100",IF(DB1249&gt;100,"+100")))))</f>
        <v>0</v>
      </c>
      <c r="DD1249">
        <v>1</v>
      </c>
      <c r="DE1249">
        <v>0</v>
      </c>
      <c r="DF1249">
        <v>0</v>
      </c>
      <c r="DG1249">
        <v>0</v>
      </c>
      <c r="DI1249">
        <f>SUM(DD1249:DG1249)</f>
        <v>1</v>
      </c>
      <c r="DJ1249" t="str">
        <f>IF(DI1249=1,INDEX($DD$7:$DG$7,MATCH(1,$DD1249:$DG1249,0)),"mixedProduct")</f>
        <v>UpstreamInput</v>
      </c>
      <c r="DK1249" t="str">
        <f>IF(DD1249=1,DK$7,0)</f>
        <v>Upstream</v>
      </c>
      <c r="DL1249">
        <f>IF(DE1249=1,DL$7,0)</f>
        <v>0</v>
      </c>
      <c r="DM1249">
        <f>IF(DF1249=1,DM$7,0)</f>
        <v>0</v>
      </c>
      <c r="DN1249">
        <f>IF(DG1249=1,DN$7,0)</f>
        <v>0</v>
      </c>
      <c r="DO1249">
        <v>0</v>
      </c>
      <c r="DP1249" s="143">
        <v>0</v>
      </c>
      <c r="DQ1249" s="143">
        <v>0</v>
      </c>
      <c r="DR1249" s="143">
        <v>0</v>
      </c>
      <c r="DS1249" s="143">
        <v>0</v>
      </c>
      <c r="DT1249">
        <f>SUM(DO1249:DP1249)</f>
        <v>0</v>
      </c>
      <c r="DU1249" s="143" t="str">
        <f>IF(DO1249=1,"self-calculated DF",IF(DP1249=1,"external DF used","explicit C balance"))</f>
        <v>explicit C balance</v>
      </c>
      <c r="DV1249" s="143">
        <v>0</v>
      </c>
      <c r="DW1249" s="143">
        <v>0</v>
      </c>
      <c r="DX1249" s="143">
        <v>0</v>
      </c>
      <c r="DY1249" s="143">
        <v>0</v>
      </c>
      <c r="DZ1249">
        <v>0</v>
      </c>
      <c r="EA1249" s="143">
        <v>0</v>
      </c>
      <c r="EB1249" s="143">
        <v>1</v>
      </c>
      <c r="EC1249" s="143">
        <v>1</v>
      </c>
      <c r="ED1249" s="143">
        <v>0</v>
      </c>
      <c r="EE1249" s="143">
        <v>0</v>
      </c>
      <c r="EF1249">
        <v>0</v>
      </c>
      <c r="EG1249" s="143">
        <v>0</v>
      </c>
      <c r="EH1249">
        <v>0</v>
      </c>
      <c r="EI1249" s="2">
        <v>0</v>
      </c>
      <c r="EK1249" t="str">
        <f>IF(AND(AND(AND(OR($DX1249=1,$DW1249=1),OR($EC1249=1,$EA1249=1)),SUM($DV1249:$DZ1249,$EF1249)&gt;=3),SUM($EA1249:$EE1249)&gt;=2),"Whole sector","")</f>
        <v/>
      </c>
      <c r="EL1249" t="str">
        <f>IF(AND(AND(OR($DX1249=1,$DW1249=1),AND($EC1249=0,$EA1249=0)),SUM($DV1249:$DZ1249,$EF1249)&gt;=3),"Ecosystem approach","")</f>
        <v/>
      </c>
      <c r="EM1249" s="2" t="str">
        <f>IF(AND(AND(AND($DX1249=0,$DW1249=0),OR($EC1249=1,$EA1249=1)),SUM($EB1249:$EE1249)&gt;=2),"Technology approach","")</f>
        <v>Technology approach</v>
      </c>
      <c r="EP1249" t="b">
        <f>IF(ISNUMBER(BU1249),IF(ABS(BU1249-[5]QC_indicators!$B$2)&gt;3*[5]QC_indicators!$C$2,"C ratio",IF(ISNUMBER(BY1249),IF(ABS(BY1249-[5]QC_indicators!$B$1)&gt;3*[5]QC_indicators!$C$1,"DF","no"))),IF(ISNUMBER(BY1249),IF(ABS(BY1249-[5]QC_indicators!$B$1)&gt;3*[5]QC_indicators!$C$1,"DF","no")))</f>
        <v>0</v>
      </c>
      <c r="ER1249" s="314" t="s">
        <v>349</v>
      </c>
    </row>
    <row r="1250" spans="1:149" ht="15" customHeight="1">
      <c r="A1250" s="1" t="s">
        <v>587</v>
      </c>
      <c r="B1250" t="s">
        <v>3424</v>
      </c>
      <c r="C1250" t="s">
        <v>3425</v>
      </c>
      <c r="D1250" t="s">
        <v>3426</v>
      </c>
      <c r="E1250" t="s">
        <v>3427</v>
      </c>
      <c r="F1250" t="s">
        <v>3428</v>
      </c>
      <c r="G1250" t="s">
        <v>593</v>
      </c>
      <c r="H1250" s="155"/>
      <c r="I1250">
        <v>2018</v>
      </c>
      <c r="J1250" s="155"/>
      <c r="K1250" t="s">
        <v>3429</v>
      </c>
      <c r="L1250" s="155"/>
      <c r="M1250" t="str">
        <f>LEFT($D1250,FIND(",",$D1250)-1)&amp;"_"&amp;I1250&amp;L1250</f>
        <v>Abbas_2018</v>
      </c>
      <c r="N1250" s="312" t="s">
        <v>4383</v>
      </c>
      <c r="O1250" s="140" t="s">
        <v>223</v>
      </c>
      <c r="P1250" s="155"/>
      <c r="Q1250" s="312" t="s">
        <v>224</v>
      </c>
      <c r="R1250" s="313"/>
      <c r="S1250" s="1" t="s">
        <v>523</v>
      </c>
      <c r="T1250" t="s">
        <v>3444</v>
      </c>
      <c r="U1250" s="143" t="s">
        <v>3445</v>
      </c>
      <c r="V1250">
        <v>0</v>
      </c>
      <c r="W1250">
        <v>0</v>
      </c>
      <c r="X1250">
        <v>0</v>
      </c>
      <c r="Y1250">
        <v>0</v>
      </c>
      <c r="Z1250">
        <v>0</v>
      </c>
      <c r="AA1250">
        <v>0</v>
      </c>
      <c r="AB1250">
        <v>0</v>
      </c>
      <c r="AC1250">
        <v>0</v>
      </c>
      <c r="AD1250">
        <v>0</v>
      </c>
      <c r="AE1250">
        <v>0</v>
      </c>
      <c r="AF1250">
        <v>1</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s="141">
        <f>COUNTIF(V1250:AW1250,"&lt;&gt;0")</f>
        <v>1</v>
      </c>
      <c r="AY1250" s="141">
        <f>COUNTIF(V1250:AL1250,"&lt;&gt;0")</f>
        <v>1</v>
      </c>
      <c r="AZ1250">
        <f>COUNTIF(V1250:AC1250,"&lt;&gt;0")</f>
        <v>0</v>
      </c>
      <c r="BA1250">
        <f>COUNTIF(AD1250:AI1250,"&lt;&gt;0")</f>
        <v>1</v>
      </c>
      <c r="BB1250">
        <f>COUNTIF(AJ1250:AL1250,"&lt;&gt;0")</f>
        <v>0</v>
      </c>
      <c r="BC1250">
        <f>COUNTIF(AS1250:AW1250,"&lt;&gt;0")</f>
        <v>0</v>
      </c>
      <c r="BD1250">
        <f>COUNTIF(AM1250:AR1250,"&lt;&gt;0")</f>
        <v>0</v>
      </c>
      <c r="BE1250" t="str" cm="1">
        <f t="array" ref="BE1250">IF(AY1250=1,INDEX($V$7:$AL$7,MATCH(TRUE,INDEX($V1250:$AW1250&lt;&gt;0,),0)),IF(AY1250=0,INDEX($AM$7:$AW$7,MATCH(1,$AM1250:$AW1250,0)),IF(BF1250="Multiple strategies","mixed drivers",IF(BF1250="Supply chain","multiple supply","multiple silviculture"))))</f>
        <v>supply chain organization</v>
      </c>
      <c r="BF1250" s="2" t="str" cm="1">
        <f t="array" ref="BF1250">IF(COUNTIF(AZ1250:BB1250,"&lt;&gt;0")=1,INDEX($V$4:$AW$4,MATCH(TRUE,INDEX($V1250:$AW1250&lt;&gt;0,),0)),IF(COUNTIF(AZ1250:BB1250,"&lt;&gt;0")=0,INDEX($AM$4:$AW$4,MATCH(1,$AM1250:$AW1250,0)),"Multiple strategies"))</f>
        <v>Supply chain</v>
      </c>
      <c r="BG1250" s="142" t="s">
        <v>321</v>
      </c>
      <c r="BH1250" t="s">
        <v>3433</v>
      </c>
      <c r="BJ1250" s="143" t="s">
        <v>3434</v>
      </c>
      <c r="BK1250">
        <v>1</v>
      </c>
      <c r="BL1250" s="143">
        <v>1</v>
      </c>
      <c r="BM1250" s="143"/>
      <c r="BN1250">
        <f>BL1250-BK1250</f>
        <v>0</v>
      </c>
      <c r="BO1250" s="143">
        <f>BN1250*t_to_m3</f>
        <v>0</v>
      </c>
      <c r="BP1250" s="312" t="s">
        <v>232</v>
      </c>
      <c r="BQ1250" s="312" t="s">
        <v>701</v>
      </c>
      <c r="BR1250" t="s">
        <v>3436</v>
      </c>
      <c r="BS1250">
        <v>45.1</v>
      </c>
      <c r="BT1250">
        <v>22.9</v>
      </c>
      <c r="BU1250" s="144">
        <v>0.50776053215077599</v>
      </c>
      <c r="BV1250">
        <v>-22.200000000000003</v>
      </c>
      <c r="BX1250">
        <f>BV1250/1000</f>
        <v>-2.2200000000000004E-2</v>
      </c>
      <c r="BY1250" t="str">
        <f>IFERROR(BX1250/BO1250,"")</f>
        <v/>
      </c>
      <c r="BZ1250">
        <v>0</v>
      </c>
      <c r="CA1250">
        <v>0</v>
      </c>
      <c r="CB1250">
        <v>0</v>
      </c>
      <c r="CC1250">
        <v>0</v>
      </c>
      <c r="CD1250">
        <v>0</v>
      </c>
      <c r="CE1250">
        <v>0</v>
      </c>
      <c r="CF1250">
        <v>0</v>
      </c>
      <c r="CG1250">
        <v>0</v>
      </c>
      <c r="CH1250">
        <v>0</v>
      </c>
      <c r="CI1250">
        <v>0</v>
      </c>
      <c r="CJ1250">
        <v>0</v>
      </c>
      <c r="CK1250">
        <v>0</v>
      </c>
      <c r="CL1250">
        <v>0</v>
      </c>
      <c r="CM1250">
        <v>0</v>
      </c>
      <c r="CN1250" t="str">
        <f>IF($BL1250&lt;$BK1250,"refNeedCorrection","refOK")</f>
        <v>refOK</v>
      </c>
      <c r="CO1250">
        <f>IF($CN1250="refOK",$BK1250,$BL1250)</f>
        <v>1</v>
      </c>
      <c r="CP1250">
        <f>IF($CN1250="refOK",$BL1250,$BK1250)</f>
        <v>1</v>
      </c>
      <c r="CQ1250">
        <f>IF($CN1250="refOK",$BO1250,-$BO1250)</f>
        <v>0</v>
      </c>
      <c r="CR1250">
        <f>IF($CN1250="refOK",$BS1250,$BT1250)*IF($BP1250="Emissions positive",-1,1)</f>
        <v>45.1</v>
      </c>
      <c r="CS1250">
        <f>IF($CN1250="refOK",$BT1250,$BS1250)*IF($BP1250="Emissions positive",-1,1)</f>
        <v>22.9</v>
      </c>
      <c r="CT1250">
        <f>IF($CN1250="refNeedCorrection",-BX1250,BX1250)*IF($BP1250="Emissions positive",-1,1)</f>
        <v>-2.2200000000000004E-2</v>
      </c>
      <c r="CU1250" t="str">
        <f>IFERROR(CT1250/CQ1250,"")</f>
        <v/>
      </c>
      <c r="CV1250" s="2">
        <f>IFERROR((CS1250-CR1250)/ABS(CR1250),"")</f>
        <v>-0.49223946784922401</v>
      </c>
      <c r="CW1250" s="1" t="s">
        <v>1199</v>
      </c>
      <c r="CX1250" s="312" t="str">
        <f>IF(OR($CW1250="prd",$CW1250="std",$CW1250="cit"),"loc",IF(OR($CW1250="eur",$CW1250="reg",$CW1250="coy"),"reg",$CW1250))</f>
        <v>reg</v>
      </c>
      <c r="CY1250" t="s">
        <v>428</v>
      </c>
      <c r="CZ1250" s="155"/>
      <c r="DA1250" s="143"/>
      <c r="DB1250" s="143">
        <v>0</v>
      </c>
      <c r="DC1250" t="str">
        <f>IF(DB1250=0,"0",IF(AND(DB1250&gt;=1,DB1250&lt;=30),"1-30",IF(AND(DB1250&gt;30,DB1250&lt;=70),"31-70",IF(AND(DB1250&gt;70,DB1250&lt;=100),"71-100",IF(DB1250&gt;100,"+100")))))</f>
        <v>0</v>
      </c>
      <c r="DD1250">
        <v>1</v>
      </c>
      <c r="DE1250">
        <v>0</v>
      </c>
      <c r="DF1250">
        <v>0</v>
      </c>
      <c r="DG1250">
        <v>0</v>
      </c>
      <c r="DI1250">
        <f>SUM(DD1250:DG1250)</f>
        <v>1</v>
      </c>
      <c r="DJ1250" t="str">
        <f>IF(DI1250=1,INDEX($DD$7:$DG$7,MATCH(1,$DD1250:$DG1250,0)),"mixedProduct")</f>
        <v>UpstreamInput</v>
      </c>
      <c r="DK1250" t="str">
        <f>IF(DD1250=1,DK$7,0)</f>
        <v>Upstream</v>
      </c>
      <c r="DL1250">
        <f>IF(DE1250=1,DL$7,0)</f>
        <v>0</v>
      </c>
      <c r="DM1250">
        <f>IF(DF1250=1,DM$7,0)</f>
        <v>0</v>
      </c>
      <c r="DN1250">
        <f>IF(DG1250=1,DN$7,0)</f>
        <v>0</v>
      </c>
      <c r="DO1250">
        <v>0</v>
      </c>
      <c r="DP1250" s="143">
        <v>0</v>
      </c>
      <c r="DQ1250" s="143">
        <v>0</v>
      </c>
      <c r="DR1250" s="143">
        <v>0</v>
      </c>
      <c r="DS1250" s="143">
        <v>0</v>
      </c>
      <c r="DT1250">
        <f>SUM(DO1250:DP1250)</f>
        <v>0</v>
      </c>
      <c r="DU1250" s="143" t="str">
        <f>IF(DO1250=1,"self-calculated DF",IF(DP1250=1,"external DF used","explicit C balance"))</f>
        <v>explicit C balance</v>
      </c>
      <c r="DV1250" s="143">
        <v>0</v>
      </c>
      <c r="DW1250" s="143">
        <v>0</v>
      </c>
      <c r="DX1250" s="143">
        <v>0</v>
      </c>
      <c r="DY1250" s="143">
        <v>0</v>
      </c>
      <c r="DZ1250">
        <v>0</v>
      </c>
      <c r="EA1250" s="143">
        <v>0</v>
      </c>
      <c r="EB1250" s="143">
        <v>1</v>
      </c>
      <c r="EC1250" s="143">
        <v>1</v>
      </c>
      <c r="ED1250" s="143">
        <v>0</v>
      </c>
      <c r="EE1250" s="143">
        <v>0</v>
      </c>
      <c r="EF1250">
        <v>0</v>
      </c>
      <c r="EG1250" s="143">
        <v>0</v>
      </c>
      <c r="EH1250">
        <v>0</v>
      </c>
      <c r="EI1250" s="2">
        <v>0</v>
      </c>
      <c r="EK1250" t="str">
        <f>IF(AND(AND(AND(OR($DX1250=1,$DW1250=1),OR($EC1250=1,$EA1250=1)),SUM($DV1250:$DZ1250,$EF1250)&gt;=3),SUM($EA1250:$EE1250)&gt;=2),"Whole sector","")</f>
        <v/>
      </c>
      <c r="EL1250" t="str">
        <f>IF(AND(AND(OR($DX1250=1,$DW1250=1),AND($EC1250=0,$EA1250=0)),SUM($DV1250:$DZ1250,$EF1250)&gt;=3),"Ecosystem approach","")</f>
        <v/>
      </c>
      <c r="EM1250" s="2" t="str">
        <f>IF(AND(AND(AND($DX1250=0,$DW1250=0),OR($EC1250=1,$EA1250=1)),SUM($EB1250:$EE1250)&gt;=2),"Technology approach","")</f>
        <v>Technology approach</v>
      </c>
      <c r="EN1250" s="155"/>
      <c r="EO1250" s="155"/>
      <c r="EP1250" t="b">
        <f>IF(ISNUMBER(BU1250),IF(ABS(BU1250-[5]QC_indicators!$B$2)&gt;3*[5]QC_indicators!$C$2,"C ratio",IF(ISNUMBER(BY1250),IF(ABS(BY1250-[5]QC_indicators!$B$1)&gt;3*[5]QC_indicators!$C$1,"DF","no"))),IF(ISNUMBER(BY1250),IF(ABS(BY1250-[5]QC_indicators!$B$1)&gt;3*[5]QC_indicators!$C$1,"DF","no")))</f>
        <v>0</v>
      </c>
      <c r="EQ1250" s="155"/>
      <c r="ER1250" s="314" t="s">
        <v>349</v>
      </c>
      <c r="ES1250" s="155"/>
    </row>
    <row r="1251" spans="1:149" ht="15" customHeight="1">
      <c r="A1251" s="1" t="s">
        <v>587</v>
      </c>
      <c r="B1251" t="s">
        <v>3424</v>
      </c>
      <c r="C1251" t="s">
        <v>3425</v>
      </c>
      <c r="D1251" t="s">
        <v>3426</v>
      </c>
      <c r="E1251" t="s">
        <v>3427</v>
      </c>
      <c r="F1251" t="s">
        <v>3428</v>
      </c>
      <c r="G1251" t="s">
        <v>593</v>
      </c>
      <c r="H1251" s="139"/>
      <c r="I1251">
        <v>2018</v>
      </c>
      <c r="J1251" s="139"/>
      <c r="K1251" t="s">
        <v>3429</v>
      </c>
      <c r="L1251" s="139"/>
      <c r="M1251" t="str">
        <f>LEFT($D1251,FIND(",",$D1251)-1)&amp;"_"&amp;I1251&amp;L1251</f>
        <v>Abbas_2018</v>
      </c>
      <c r="N1251" s="312" t="s">
        <v>4383</v>
      </c>
      <c r="O1251" s="140" t="s">
        <v>223</v>
      </c>
      <c r="P1251" s="139"/>
      <c r="Q1251" s="312" t="s">
        <v>224</v>
      </c>
      <c r="R1251" s="313"/>
      <c r="S1251" s="1" t="s">
        <v>523</v>
      </c>
      <c r="T1251" t="s">
        <v>3444</v>
      </c>
      <c r="U1251" s="143" t="s">
        <v>3445</v>
      </c>
      <c r="V1251">
        <v>0</v>
      </c>
      <c r="W1251">
        <v>0</v>
      </c>
      <c r="X1251">
        <v>0</v>
      </c>
      <c r="Y1251">
        <v>0</v>
      </c>
      <c r="Z1251">
        <v>0</v>
      </c>
      <c r="AA1251">
        <v>0</v>
      </c>
      <c r="AB1251">
        <v>0</v>
      </c>
      <c r="AC1251">
        <v>0</v>
      </c>
      <c r="AD1251">
        <v>0</v>
      </c>
      <c r="AE1251">
        <v>0</v>
      </c>
      <c r="AF1251">
        <v>1</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s="141">
        <f>COUNTIF(V1251:AW1251,"&lt;&gt;0")</f>
        <v>1</v>
      </c>
      <c r="AY1251" s="141">
        <f>COUNTIF(V1251:AL1251,"&lt;&gt;0")</f>
        <v>1</v>
      </c>
      <c r="AZ1251">
        <f>COUNTIF(V1251:AC1251,"&lt;&gt;0")</f>
        <v>0</v>
      </c>
      <c r="BA1251">
        <f>COUNTIF(AD1251:AI1251,"&lt;&gt;0")</f>
        <v>1</v>
      </c>
      <c r="BB1251">
        <f>COUNTIF(AJ1251:AL1251,"&lt;&gt;0")</f>
        <v>0</v>
      </c>
      <c r="BC1251">
        <f>COUNTIF(AS1251:AW1251,"&lt;&gt;0")</f>
        <v>0</v>
      </c>
      <c r="BD1251">
        <f>COUNTIF(AM1251:AR1251,"&lt;&gt;0")</f>
        <v>0</v>
      </c>
      <c r="BE1251" t="str" cm="1">
        <f t="array" ref="BE1251">IF(AY1251=1,INDEX($V$7:$AL$7,MATCH(TRUE,INDEX($V1251:$AW1251&lt;&gt;0,),0)),IF(AY1251=0,INDEX($AM$7:$AW$7,MATCH(1,$AM1251:$AW1251,0)),IF(BF1251="Multiple strategies","mixed drivers",IF(BF1251="Supply chain","multiple supply","multiple silviculture"))))</f>
        <v>supply chain organization</v>
      </c>
      <c r="BF1251" s="2" t="str" cm="1">
        <f t="array" ref="BF1251">IF(COUNTIF(AZ1251:BB1251,"&lt;&gt;0")=1,INDEX($V$4:$AW$4,MATCH(TRUE,INDEX($V1251:$AW1251&lt;&gt;0,),0)),IF(COUNTIF(AZ1251:BB1251,"&lt;&gt;0")=0,INDEX($AM$4:$AW$4,MATCH(1,$AM1251:$AW1251,0)),"Multiple strategies"))</f>
        <v>Supply chain</v>
      </c>
      <c r="BG1251" s="142" t="s">
        <v>321</v>
      </c>
      <c r="BH1251" t="s">
        <v>3433</v>
      </c>
      <c r="BJ1251" s="143" t="s">
        <v>3434</v>
      </c>
      <c r="BK1251">
        <v>1</v>
      </c>
      <c r="BL1251" s="143">
        <v>1</v>
      </c>
      <c r="BM1251" s="143"/>
      <c r="BN1251">
        <f>BL1251-BK1251</f>
        <v>0</v>
      </c>
      <c r="BO1251" s="143">
        <f>BN1251*t_to_m3</f>
        <v>0</v>
      </c>
      <c r="BP1251" s="312" t="s">
        <v>232</v>
      </c>
      <c r="BQ1251" s="312" t="s">
        <v>701</v>
      </c>
      <c r="BR1251" t="s">
        <v>3436</v>
      </c>
      <c r="BS1251">
        <v>47.8</v>
      </c>
      <c r="BT1251">
        <v>25.6</v>
      </c>
      <c r="BU1251" s="144">
        <v>0.53556485355648542</v>
      </c>
      <c r="BV1251">
        <v>-22.199999999999996</v>
      </c>
      <c r="BX1251">
        <f>BV1251/1000</f>
        <v>-2.2199999999999994E-2</v>
      </c>
      <c r="BY1251" t="str">
        <f>IFERROR(BX1251/BO1251,"")</f>
        <v/>
      </c>
      <c r="BZ1251">
        <v>0</v>
      </c>
      <c r="CA1251">
        <v>0</v>
      </c>
      <c r="CB1251">
        <v>0</v>
      </c>
      <c r="CC1251">
        <v>0</v>
      </c>
      <c r="CD1251">
        <v>0</v>
      </c>
      <c r="CE1251">
        <v>0</v>
      </c>
      <c r="CF1251">
        <v>0</v>
      </c>
      <c r="CG1251">
        <v>0</v>
      </c>
      <c r="CH1251">
        <v>0</v>
      </c>
      <c r="CI1251">
        <v>0</v>
      </c>
      <c r="CJ1251">
        <v>0</v>
      </c>
      <c r="CK1251">
        <v>0</v>
      </c>
      <c r="CL1251">
        <v>0</v>
      </c>
      <c r="CM1251">
        <v>0</v>
      </c>
      <c r="CN1251" t="str">
        <f>IF($BL1251&lt;$BK1251,"refNeedCorrection","refOK")</f>
        <v>refOK</v>
      </c>
      <c r="CO1251">
        <f>IF($CN1251="refOK",$BK1251,$BL1251)</f>
        <v>1</v>
      </c>
      <c r="CP1251">
        <f>IF($CN1251="refOK",$BL1251,$BK1251)</f>
        <v>1</v>
      </c>
      <c r="CQ1251">
        <f>IF($CN1251="refOK",$BO1251,-$BO1251)</f>
        <v>0</v>
      </c>
      <c r="CR1251">
        <f>IF($CN1251="refOK",$BS1251,$BT1251)*IF($BP1251="Emissions positive",-1,1)</f>
        <v>47.8</v>
      </c>
      <c r="CS1251">
        <f>IF($CN1251="refOK",$BT1251,$BS1251)*IF($BP1251="Emissions positive",-1,1)</f>
        <v>25.6</v>
      </c>
      <c r="CT1251">
        <f>IF($CN1251="refNeedCorrection",-BX1251,BX1251)*IF($BP1251="Emissions positive",-1,1)</f>
        <v>-2.2199999999999994E-2</v>
      </c>
      <c r="CU1251" t="str">
        <f>IFERROR(CT1251/CQ1251,"")</f>
        <v/>
      </c>
      <c r="CV1251" s="2">
        <f>IFERROR((CS1251-CR1251)/ABS(CR1251),"")</f>
        <v>-0.46443514644351458</v>
      </c>
      <c r="CW1251" s="1" t="s">
        <v>1199</v>
      </c>
      <c r="CX1251" s="312" t="str">
        <f>IF(OR($CW1251="prd",$CW1251="std",$CW1251="cit"),"loc",IF(OR($CW1251="eur",$CW1251="reg",$CW1251="coy"),"reg",$CW1251))</f>
        <v>reg</v>
      </c>
      <c r="CY1251" t="s">
        <v>428</v>
      </c>
      <c r="CZ1251" s="139"/>
      <c r="DA1251" s="143"/>
      <c r="DB1251" s="143">
        <v>0</v>
      </c>
      <c r="DC1251" t="str">
        <f>IF(DB1251=0,"0",IF(AND(DB1251&gt;=1,DB1251&lt;=30),"1-30",IF(AND(DB1251&gt;30,DB1251&lt;=70),"31-70",IF(AND(DB1251&gt;70,DB1251&lt;=100),"71-100",IF(DB1251&gt;100,"+100")))))</f>
        <v>0</v>
      </c>
      <c r="DD1251">
        <v>1</v>
      </c>
      <c r="DE1251">
        <v>0</v>
      </c>
      <c r="DF1251">
        <v>0</v>
      </c>
      <c r="DG1251">
        <v>0</v>
      </c>
      <c r="DI1251">
        <f>SUM(DD1251:DG1251)</f>
        <v>1</v>
      </c>
      <c r="DJ1251" t="str">
        <f>IF(DI1251=1,INDEX($DD$7:$DG$7,MATCH(1,$DD1251:$DG1251,0)),"mixedProduct")</f>
        <v>UpstreamInput</v>
      </c>
      <c r="DK1251" t="str">
        <f>IF(DD1251=1,DK$7,0)</f>
        <v>Upstream</v>
      </c>
      <c r="DL1251">
        <f>IF(DE1251=1,DL$7,0)</f>
        <v>0</v>
      </c>
      <c r="DM1251">
        <f>IF(DF1251=1,DM$7,0)</f>
        <v>0</v>
      </c>
      <c r="DN1251">
        <f>IF(DG1251=1,DN$7,0)</f>
        <v>0</v>
      </c>
      <c r="DO1251">
        <v>0</v>
      </c>
      <c r="DP1251" s="143">
        <v>0</v>
      </c>
      <c r="DQ1251" s="143">
        <v>0</v>
      </c>
      <c r="DR1251" s="143">
        <v>0</v>
      </c>
      <c r="DS1251" s="143">
        <v>0</v>
      </c>
      <c r="DT1251">
        <f>SUM(DO1251:DP1251)</f>
        <v>0</v>
      </c>
      <c r="DU1251" s="143" t="str">
        <f>IF(DO1251=1,"self-calculated DF",IF(DP1251=1,"external DF used","explicit C balance"))</f>
        <v>explicit C balance</v>
      </c>
      <c r="DV1251" s="143">
        <v>0</v>
      </c>
      <c r="DW1251" s="143">
        <v>0</v>
      </c>
      <c r="DX1251" s="143">
        <v>0</v>
      </c>
      <c r="DY1251" s="143">
        <v>0</v>
      </c>
      <c r="DZ1251">
        <v>0</v>
      </c>
      <c r="EA1251" s="143">
        <v>0</v>
      </c>
      <c r="EB1251" s="143">
        <v>1</v>
      </c>
      <c r="EC1251" s="143">
        <v>1</v>
      </c>
      <c r="ED1251" s="143">
        <v>0</v>
      </c>
      <c r="EE1251" s="143">
        <v>0</v>
      </c>
      <c r="EF1251">
        <v>0</v>
      </c>
      <c r="EG1251" s="143">
        <v>0</v>
      </c>
      <c r="EH1251">
        <v>0</v>
      </c>
      <c r="EI1251" s="2">
        <v>0</v>
      </c>
      <c r="EK1251" t="str">
        <f>IF(AND(AND(AND(OR($DX1251=1,$DW1251=1),OR($EC1251=1,$EA1251=1)),SUM($DV1251:$DZ1251,$EF1251)&gt;=3),SUM($EA1251:$EE1251)&gt;=2),"Whole sector","")</f>
        <v/>
      </c>
      <c r="EL1251" t="str">
        <f>IF(AND(AND(OR($DX1251=1,$DW1251=1),AND($EC1251=0,$EA1251=0)),SUM($DV1251:$DZ1251,$EF1251)&gt;=3),"Ecosystem approach","")</f>
        <v/>
      </c>
      <c r="EM1251" s="2" t="str">
        <f>IF(AND(AND(AND($DX1251=0,$DW1251=0),OR($EC1251=1,$EA1251=1)),SUM($EB1251:$EE1251)&gt;=2),"Technology approach","")</f>
        <v>Technology approach</v>
      </c>
      <c r="EN1251" s="139"/>
      <c r="EO1251" s="139"/>
      <c r="EP1251" t="b">
        <f>IF(ISNUMBER(BU1251),IF(ABS(BU1251-[5]QC_indicators!$B$2)&gt;3*[5]QC_indicators!$C$2,"C ratio",IF(ISNUMBER(BY1251),IF(ABS(BY1251-[5]QC_indicators!$B$1)&gt;3*[5]QC_indicators!$C$1,"DF","no"))),IF(ISNUMBER(BY1251),IF(ABS(BY1251-[5]QC_indicators!$B$1)&gt;3*[5]QC_indicators!$C$1,"DF","no")))</f>
        <v>0</v>
      </c>
      <c r="EQ1251" s="139"/>
      <c r="ER1251" s="314" t="s">
        <v>349</v>
      </c>
      <c r="ES1251" s="139"/>
    </row>
    <row r="1252" spans="1:149" ht="15" customHeight="1">
      <c r="A1252" s="1" t="s">
        <v>587</v>
      </c>
      <c r="B1252" t="s">
        <v>3424</v>
      </c>
      <c r="C1252" t="s">
        <v>3425</v>
      </c>
      <c r="D1252" t="s">
        <v>3426</v>
      </c>
      <c r="E1252" t="s">
        <v>3427</v>
      </c>
      <c r="F1252" t="s">
        <v>3428</v>
      </c>
      <c r="G1252" t="s">
        <v>593</v>
      </c>
      <c r="I1252">
        <v>2018</v>
      </c>
      <c r="K1252" t="s">
        <v>3429</v>
      </c>
      <c r="M1252" t="str">
        <f>LEFT($D1252,FIND(",",$D1252)-1)&amp;"_"&amp;I1252&amp;L1252</f>
        <v>Abbas_2018</v>
      </c>
      <c r="N1252" s="312" t="s">
        <v>4383</v>
      </c>
      <c r="O1252" s="140" t="s">
        <v>223</v>
      </c>
      <c r="Q1252" s="312" t="s">
        <v>224</v>
      </c>
      <c r="R1252" s="313"/>
      <c r="S1252" s="1" t="s">
        <v>523</v>
      </c>
      <c r="T1252" t="s">
        <v>3444</v>
      </c>
      <c r="U1252" s="143" t="s">
        <v>3445</v>
      </c>
      <c r="V1252">
        <v>0</v>
      </c>
      <c r="W1252">
        <v>0</v>
      </c>
      <c r="X1252">
        <v>0</v>
      </c>
      <c r="Y1252">
        <v>0</v>
      </c>
      <c r="Z1252">
        <v>0</v>
      </c>
      <c r="AA1252">
        <v>0</v>
      </c>
      <c r="AB1252">
        <v>0</v>
      </c>
      <c r="AC1252">
        <v>0</v>
      </c>
      <c r="AD1252">
        <v>0</v>
      </c>
      <c r="AE1252">
        <v>0</v>
      </c>
      <c r="AF1252">
        <v>1</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s="141">
        <f>COUNTIF(V1252:AW1252,"&lt;&gt;0")</f>
        <v>1</v>
      </c>
      <c r="AY1252" s="141">
        <f>COUNTIF(V1252:AL1252,"&lt;&gt;0")</f>
        <v>1</v>
      </c>
      <c r="AZ1252">
        <f>COUNTIF(V1252:AC1252,"&lt;&gt;0")</f>
        <v>0</v>
      </c>
      <c r="BA1252">
        <f>COUNTIF(AD1252:AI1252,"&lt;&gt;0")</f>
        <v>1</v>
      </c>
      <c r="BB1252">
        <f>COUNTIF(AJ1252:AL1252,"&lt;&gt;0")</f>
        <v>0</v>
      </c>
      <c r="BC1252">
        <f>COUNTIF(AS1252:AW1252,"&lt;&gt;0")</f>
        <v>0</v>
      </c>
      <c r="BD1252">
        <f>COUNTIF(AM1252:AR1252,"&lt;&gt;0")</f>
        <v>0</v>
      </c>
      <c r="BE1252" t="str" cm="1">
        <f t="array" ref="BE1252">IF(AY1252=1,INDEX($V$7:$AL$7,MATCH(TRUE,INDEX($V1252:$AW1252&lt;&gt;0,),0)),IF(AY1252=0,INDEX($AM$7:$AW$7,MATCH(1,$AM1252:$AW1252,0)),IF(BF1252="Multiple strategies","mixed drivers",IF(BF1252="Supply chain","multiple supply","multiple silviculture"))))</f>
        <v>supply chain organization</v>
      </c>
      <c r="BF1252" s="2" t="str" cm="1">
        <f t="array" ref="BF1252">IF(COUNTIF(AZ1252:BB1252,"&lt;&gt;0")=1,INDEX($V$4:$AW$4,MATCH(TRUE,INDEX($V1252:$AW1252&lt;&gt;0,),0)),IF(COUNTIF(AZ1252:BB1252,"&lt;&gt;0")=0,INDEX($AM$4:$AW$4,MATCH(1,$AM1252:$AW1252,0)),"Multiple strategies"))</f>
        <v>Supply chain</v>
      </c>
      <c r="BG1252" s="142" t="s">
        <v>321</v>
      </c>
      <c r="BH1252" t="s">
        <v>3433</v>
      </c>
      <c r="BJ1252" s="143" t="s">
        <v>3434</v>
      </c>
      <c r="BK1252">
        <v>1</v>
      </c>
      <c r="BL1252" s="143">
        <v>1</v>
      </c>
      <c r="BM1252" s="143"/>
      <c r="BN1252">
        <f>BL1252-BK1252</f>
        <v>0</v>
      </c>
      <c r="BO1252" s="143">
        <f>BN1252*t_to_m3</f>
        <v>0</v>
      </c>
      <c r="BP1252" s="312" t="s">
        <v>232</v>
      </c>
      <c r="BQ1252" s="312" t="s">
        <v>701</v>
      </c>
      <c r="BR1252" t="s">
        <v>3436</v>
      </c>
      <c r="BS1252">
        <v>49</v>
      </c>
      <c r="BT1252">
        <v>26.8</v>
      </c>
      <c r="BU1252" s="144">
        <v>0.54693877551020409</v>
      </c>
      <c r="BV1252">
        <v>-22.2</v>
      </c>
      <c r="BX1252">
        <f>BV1252/1000</f>
        <v>-2.2200000000000001E-2</v>
      </c>
      <c r="BY1252" t="str">
        <f>IFERROR(BX1252/BO1252,"")</f>
        <v/>
      </c>
      <c r="BZ1252">
        <v>0</v>
      </c>
      <c r="CA1252">
        <v>0</v>
      </c>
      <c r="CB1252">
        <v>0</v>
      </c>
      <c r="CC1252">
        <v>0</v>
      </c>
      <c r="CD1252">
        <v>0</v>
      </c>
      <c r="CE1252">
        <v>0</v>
      </c>
      <c r="CF1252">
        <v>0</v>
      </c>
      <c r="CG1252">
        <v>0</v>
      </c>
      <c r="CH1252">
        <v>0</v>
      </c>
      <c r="CI1252">
        <v>0</v>
      </c>
      <c r="CJ1252">
        <v>0</v>
      </c>
      <c r="CK1252">
        <v>0</v>
      </c>
      <c r="CL1252">
        <v>0</v>
      </c>
      <c r="CM1252">
        <v>0</v>
      </c>
      <c r="CN1252" t="str">
        <f>IF($BL1252&lt;$BK1252,"refNeedCorrection","refOK")</f>
        <v>refOK</v>
      </c>
      <c r="CO1252">
        <f>IF($CN1252="refOK",$BK1252,$BL1252)</f>
        <v>1</v>
      </c>
      <c r="CP1252">
        <f>IF($CN1252="refOK",$BL1252,$BK1252)</f>
        <v>1</v>
      </c>
      <c r="CQ1252">
        <f>IF($CN1252="refOK",$BO1252,-$BO1252)</f>
        <v>0</v>
      </c>
      <c r="CR1252">
        <f>IF($CN1252="refOK",$BS1252,$BT1252)*IF($BP1252="Emissions positive",-1,1)</f>
        <v>49</v>
      </c>
      <c r="CS1252">
        <f>IF($CN1252="refOK",$BT1252,$BS1252)*IF($BP1252="Emissions positive",-1,1)</f>
        <v>26.8</v>
      </c>
      <c r="CT1252">
        <f>IF($CN1252="refNeedCorrection",-BX1252,BX1252)*IF($BP1252="Emissions positive",-1,1)</f>
        <v>-2.2200000000000001E-2</v>
      </c>
      <c r="CU1252" t="str">
        <f>IFERROR(CT1252/CQ1252,"")</f>
        <v/>
      </c>
      <c r="CV1252" s="2">
        <f>IFERROR((CS1252-CR1252)/ABS(CR1252),"")</f>
        <v>-0.45306122448979591</v>
      </c>
      <c r="CW1252" s="1" t="s">
        <v>1199</v>
      </c>
      <c r="CX1252" s="312" t="str">
        <f>IF(OR($CW1252="prd",$CW1252="std",$CW1252="cit"),"loc",IF(OR($CW1252="eur",$CW1252="reg",$CW1252="coy"),"reg",$CW1252))</f>
        <v>reg</v>
      </c>
      <c r="CY1252" t="s">
        <v>428</v>
      </c>
      <c r="DA1252" s="143"/>
      <c r="DB1252" s="143">
        <v>0</v>
      </c>
      <c r="DC1252" t="str">
        <f>IF(DB1252=0,"0",IF(AND(DB1252&gt;=1,DB1252&lt;=30),"1-30",IF(AND(DB1252&gt;30,DB1252&lt;=70),"31-70",IF(AND(DB1252&gt;70,DB1252&lt;=100),"71-100",IF(DB1252&gt;100,"+100")))))</f>
        <v>0</v>
      </c>
      <c r="DD1252">
        <v>1</v>
      </c>
      <c r="DE1252">
        <v>0</v>
      </c>
      <c r="DF1252">
        <v>0</v>
      </c>
      <c r="DG1252">
        <v>0</v>
      </c>
      <c r="DI1252">
        <f>SUM(DD1252:DG1252)</f>
        <v>1</v>
      </c>
      <c r="DJ1252" t="str">
        <f>IF(DI1252=1,INDEX($DD$7:$DG$7,MATCH(1,$DD1252:$DG1252,0)),"mixedProduct")</f>
        <v>UpstreamInput</v>
      </c>
      <c r="DK1252" t="str">
        <f>IF(DD1252=1,DK$7,0)</f>
        <v>Upstream</v>
      </c>
      <c r="DL1252">
        <f>IF(DE1252=1,DL$7,0)</f>
        <v>0</v>
      </c>
      <c r="DM1252">
        <f>IF(DF1252=1,DM$7,0)</f>
        <v>0</v>
      </c>
      <c r="DN1252">
        <f>IF(DG1252=1,DN$7,0)</f>
        <v>0</v>
      </c>
      <c r="DO1252">
        <v>0</v>
      </c>
      <c r="DP1252" s="143">
        <v>0</v>
      </c>
      <c r="DQ1252" s="143">
        <v>0</v>
      </c>
      <c r="DR1252" s="143">
        <v>0</v>
      </c>
      <c r="DS1252" s="143">
        <v>0</v>
      </c>
      <c r="DT1252">
        <f>SUM(DO1252:DP1252)</f>
        <v>0</v>
      </c>
      <c r="DU1252" s="143" t="str">
        <f>IF(DO1252=1,"self-calculated DF",IF(DP1252=1,"external DF used","explicit C balance"))</f>
        <v>explicit C balance</v>
      </c>
      <c r="DV1252" s="143">
        <v>0</v>
      </c>
      <c r="DW1252" s="143">
        <v>0</v>
      </c>
      <c r="DX1252" s="143">
        <v>0</v>
      </c>
      <c r="DY1252" s="143">
        <v>0</v>
      </c>
      <c r="DZ1252">
        <v>0</v>
      </c>
      <c r="EA1252" s="143">
        <v>0</v>
      </c>
      <c r="EB1252" s="143">
        <v>1</v>
      </c>
      <c r="EC1252" s="143">
        <v>1</v>
      </c>
      <c r="ED1252" s="143">
        <v>0</v>
      </c>
      <c r="EE1252" s="143">
        <v>0</v>
      </c>
      <c r="EF1252">
        <v>0</v>
      </c>
      <c r="EG1252" s="143">
        <v>0</v>
      </c>
      <c r="EH1252">
        <v>0</v>
      </c>
      <c r="EI1252" s="2">
        <v>0</v>
      </c>
      <c r="EK1252" t="str">
        <f>IF(AND(AND(AND(OR($DX1252=1,$DW1252=1),OR($EC1252=1,$EA1252=1)),SUM($DV1252:$DZ1252,$EF1252)&gt;=3),SUM($EA1252:$EE1252)&gt;=2),"Whole sector","")</f>
        <v/>
      </c>
      <c r="EL1252" t="str">
        <f>IF(AND(AND(OR($DX1252=1,$DW1252=1),AND($EC1252=0,$EA1252=0)),SUM($DV1252:$DZ1252,$EF1252)&gt;=3),"Ecosystem approach","")</f>
        <v/>
      </c>
      <c r="EM1252" s="2" t="str">
        <f>IF(AND(AND(AND($DX1252=0,$DW1252=0),OR($EC1252=1,$EA1252=1)),SUM($EB1252:$EE1252)&gt;=2),"Technology approach","")</f>
        <v>Technology approach</v>
      </c>
      <c r="EP1252" t="b">
        <f>IF(ISNUMBER(BU1252),IF(ABS(BU1252-[5]QC_indicators!$B$2)&gt;3*[5]QC_indicators!$C$2,"C ratio",IF(ISNUMBER(BY1252),IF(ABS(BY1252-[5]QC_indicators!$B$1)&gt;3*[5]QC_indicators!$C$1,"DF","no"))),IF(ISNUMBER(BY1252),IF(ABS(BY1252-[5]QC_indicators!$B$1)&gt;3*[5]QC_indicators!$C$1,"DF","no")))</f>
        <v>0</v>
      </c>
      <c r="ER1252" s="314" t="s">
        <v>349</v>
      </c>
    </row>
    <row r="1253" spans="1:149" ht="15" customHeight="1">
      <c r="A1253" s="1" t="s">
        <v>3446</v>
      </c>
      <c r="B1253" t="s">
        <v>3447</v>
      </c>
      <c r="C1253" t="s">
        <v>3448</v>
      </c>
      <c r="D1253" t="s">
        <v>3449</v>
      </c>
      <c r="E1253" t="s">
        <v>3450</v>
      </c>
      <c r="F1253" t="s">
        <v>3451</v>
      </c>
      <c r="G1253" t="s">
        <v>3452</v>
      </c>
      <c r="I1253">
        <v>2018</v>
      </c>
      <c r="K1253" t="s">
        <v>3453</v>
      </c>
      <c r="M1253" t="str">
        <f>LEFT($D1253,FIND(",",$D1253)-1)&amp;"_"&amp;I1253&amp;L1253</f>
        <v>Alanya-Rosenbaum_2018</v>
      </c>
      <c r="N1253" s="312" t="s">
        <v>4383</v>
      </c>
      <c r="O1253" s="140" t="s">
        <v>223</v>
      </c>
      <c r="Q1253" s="312" t="s">
        <v>224</v>
      </c>
      <c r="R1253" s="313"/>
      <c r="S1253" s="1" t="s">
        <v>3454</v>
      </c>
      <c r="T1253" t="s">
        <v>3455</v>
      </c>
      <c r="U1253" s="143" t="s">
        <v>1200</v>
      </c>
      <c r="V1253">
        <v>0</v>
      </c>
      <c r="W1253">
        <v>0</v>
      </c>
      <c r="X1253">
        <v>0</v>
      </c>
      <c r="Y1253">
        <v>0</v>
      </c>
      <c r="Z1253">
        <v>0</v>
      </c>
      <c r="AA1253">
        <v>0</v>
      </c>
      <c r="AB1253">
        <v>0</v>
      </c>
      <c r="AC1253">
        <v>0</v>
      </c>
      <c r="AD1253">
        <v>0</v>
      </c>
      <c r="AE1253">
        <v>0</v>
      </c>
      <c r="AF1253">
        <v>0</v>
      </c>
      <c r="AG1253">
        <v>0</v>
      </c>
      <c r="AH1253">
        <v>0</v>
      </c>
      <c r="AI1253">
        <v>0</v>
      </c>
      <c r="AJ1253">
        <v>1</v>
      </c>
      <c r="AK1253">
        <v>0</v>
      </c>
      <c r="AL1253">
        <v>0</v>
      </c>
      <c r="AM1253">
        <v>0</v>
      </c>
      <c r="AN1253">
        <v>0</v>
      </c>
      <c r="AO1253">
        <v>0</v>
      </c>
      <c r="AP1253">
        <v>0</v>
      </c>
      <c r="AQ1253">
        <v>0</v>
      </c>
      <c r="AR1253">
        <v>0</v>
      </c>
      <c r="AS1253">
        <v>0</v>
      </c>
      <c r="AT1253">
        <v>0</v>
      </c>
      <c r="AU1253">
        <v>0</v>
      </c>
      <c r="AV1253">
        <v>0</v>
      </c>
      <c r="AW1253">
        <v>0</v>
      </c>
      <c r="AX1253" s="141">
        <f>COUNTIF(V1253:AW1253,"&lt;&gt;0")</f>
        <v>1</v>
      </c>
      <c r="AY1253" s="141">
        <f>COUNTIF(V1253:AL1253,"&lt;&gt;0")</f>
        <v>1</v>
      </c>
      <c r="AZ1253">
        <f>COUNTIF(V1253:AC1253,"&lt;&gt;0")</f>
        <v>0</v>
      </c>
      <c r="BA1253">
        <f>COUNTIF(AD1253:AI1253,"&lt;&gt;0")</f>
        <v>0</v>
      </c>
      <c r="BB1253">
        <f>COUNTIF(AJ1253:AL1253,"&lt;&gt;0")</f>
        <v>1</v>
      </c>
      <c r="BC1253">
        <f>COUNTIF(AS1253:AW1253,"&lt;&gt;0")</f>
        <v>0</v>
      </c>
      <c r="BD1253">
        <f>COUNTIF(AM1253:AR1253,"&lt;&gt;0")</f>
        <v>0</v>
      </c>
      <c r="BE1253" t="str" cm="1">
        <f t="array" ref="BE1253">IF(AY1253=1,INDEX($V$7:$AL$7,MATCH(TRUE,INDEX($V1253:$AW1253&lt;&gt;0,),0)),IF(AY1253=0,INDEX($AM$7:$AW$7,MATCH(1,$AM1253:$AW1253,0)),IF(BF1253="Multiple strategies","mixed drivers",IF(BF1253="Supply chain","multiple supply","multiple silviculture"))))</f>
        <v>efficiency improvement</v>
      </c>
      <c r="BF1253" s="2" t="str" cm="1">
        <f t="array" ref="BF1253">IF(COUNTIF(AZ1253:BB1253,"&lt;&gt;0")=1,INDEX($V$4:$AW$4,MATCH(TRUE,INDEX($V1253:$AW1253&lt;&gt;0,),0)),IF(COUNTIF(AZ1253:BB1253,"&lt;&gt;0")=0,INDEX($AM$4:$AW$4,MATCH(1,$AM1253:$AW1253,0)),"Multiple strategies"))</f>
        <v>Technology</v>
      </c>
      <c r="BG1253" s="164"/>
      <c r="BH1253" s="165"/>
      <c r="BI1253" s="165"/>
      <c r="BJ1253" s="166"/>
      <c r="BK1253" s="167"/>
      <c r="BL1253" s="315"/>
      <c r="BM1253" s="316"/>
      <c r="BN1253" s="168"/>
      <c r="BO1253" s="166"/>
      <c r="BP1253" s="143" t="s">
        <v>232</v>
      </c>
      <c r="BQ1253" s="143"/>
      <c r="BR1253" s="143" t="s">
        <v>397</v>
      </c>
      <c r="BS1253" s="143">
        <v>-9.5299999999999994</v>
      </c>
      <c r="BT1253">
        <v>-6.57</v>
      </c>
      <c r="BU1253">
        <f>BT1253/BS1253</f>
        <v>0.68940188877229813</v>
      </c>
      <c r="BV1253">
        <f>BT1253-BS1253</f>
        <v>2.9599999999999991</v>
      </c>
      <c r="BX1253">
        <f>BV1253/1000</f>
        <v>2.9599999999999991E-3</v>
      </c>
      <c r="BY1253" t="str">
        <f>IFERROR(BX1253/BO1253,"")</f>
        <v/>
      </c>
      <c r="BZ1253">
        <v>1</v>
      </c>
      <c r="CA1253">
        <v>1</v>
      </c>
      <c r="CB1253">
        <v>1</v>
      </c>
      <c r="CC1253">
        <v>1</v>
      </c>
      <c r="CD1253">
        <v>1</v>
      </c>
      <c r="CE1253">
        <v>1</v>
      </c>
      <c r="CF1253">
        <v>1</v>
      </c>
      <c r="CG1253">
        <v>0</v>
      </c>
      <c r="CH1253">
        <v>0</v>
      </c>
      <c r="CI1253">
        <v>0</v>
      </c>
      <c r="CJ1253">
        <v>0</v>
      </c>
      <c r="CK1253">
        <v>0</v>
      </c>
      <c r="CL1253">
        <v>0</v>
      </c>
      <c r="CM1253">
        <v>0</v>
      </c>
      <c r="CN1253" t="str">
        <f>IF(BL1253&lt;BK1253,"refNeedCorrection","refOK")</f>
        <v>refOK</v>
      </c>
      <c r="CO1253"/>
      <c r="CP1253"/>
      <c r="CQ1253"/>
      <c r="CR1253">
        <f>IF($CN1253="refOK",$BS1253,$BT1253)*IF($BP1253="Emissions positive",-1,1)</f>
        <v>-9.5299999999999994</v>
      </c>
      <c r="CS1253">
        <f>IF($CN1253="refOK",$BT1253,$BS1253)*IF($BP1253="Emissions positive",-1,1)</f>
        <v>-6.57</v>
      </c>
      <c r="CT1253">
        <f>IF($CN1253="refNeedCorrection",-BX1253,BX1253)*IF($BP1253="Emissions positive",-1,1)</f>
        <v>2.9599999999999991E-3</v>
      </c>
      <c r="CU1253" t="str">
        <f>IFERROR(CT1253/CQ1253,"")</f>
        <v/>
      </c>
      <c r="CV1253" s="2">
        <f>IFERROR((CS1253-CR1253)/ABS(CR1253),"")</f>
        <v>0.31059811122770192</v>
      </c>
      <c r="CW1253" s="1" t="s">
        <v>1199</v>
      </c>
      <c r="CX1253" s="312" t="str">
        <f>IF(OR($CW1253="prd",$CW1253="std",$CW1253="cit"),"loc",IF(OR($CW1253="eur",$CW1253="reg",$CW1253="coy"),"reg",$CW1253))</f>
        <v>reg</v>
      </c>
      <c r="CY1253" t="s">
        <v>428</v>
      </c>
      <c r="DA1253" s="143"/>
      <c r="DB1253" s="143">
        <v>0</v>
      </c>
      <c r="DC1253" t="str">
        <f>IF(DB1253=0,"0",IF(AND(DB1253&gt;=1,DB1253&lt;=30),"1-30",IF(AND(DB1253&gt;30,DB1253&lt;=70),"31-70",IF(AND(DB1253&gt;70,DB1253&lt;=100),"71-100",IF(DB1253&gt;100,"+100")))))</f>
        <v>0</v>
      </c>
      <c r="DD1253">
        <v>0</v>
      </c>
      <c r="DE1253">
        <v>1</v>
      </c>
      <c r="DF1253">
        <v>0</v>
      </c>
      <c r="DG1253">
        <v>0</v>
      </c>
      <c r="DI1253">
        <f>SUM(DD1253:DG1253)</f>
        <v>1</v>
      </c>
      <c r="DJ1253" t="str">
        <f>IF(DI1253=1,INDEX($DD$7:$DG$7,MATCH(1,$DD1253:$DG1253,0)),"mixedProduct")</f>
        <v>EnergyInput</v>
      </c>
      <c r="DK1253">
        <f>IF(DD1253=1,DK$7,0)</f>
        <v>0</v>
      </c>
      <c r="DL1253" t="str">
        <f>IF(DE1253=1,DL$7,0)</f>
        <v>Energy</v>
      </c>
      <c r="DM1253">
        <f>IF(DF1253=1,DM$7,0)</f>
        <v>0</v>
      </c>
      <c r="DN1253">
        <f>IF(DG1253=1,DN$7,0)</f>
        <v>0</v>
      </c>
      <c r="DO1253">
        <v>0</v>
      </c>
      <c r="DP1253" s="143">
        <v>0</v>
      </c>
      <c r="DQ1253" s="143">
        <v>0</v>
      </c>
      <c r="DR1253" s="143">
        <v>0</v>
      </c>
      <c r="DS1253" s="143">
        <v>0</v>
      </c>
      <c r="DT1253">
        <f>SUM(DO1253:DP1253)</f>
        <v>0</v>
      </c>
      <c r="DU1253" s="143" t="str">
        <f>IF(DO1253=1,"self-calculated DF",IF(DP1253=1,"external DF used","explicit C balance"))</f>
        <v>explicit C balance</v>
      </c>
      <c r="DV1253" s="143">
        <v>0</v>
      </c>
      <c r="DW1253" s="143">
        <v>0</v>
      </c>
      <c r="DX1253" s="143">
        <v>0</v>
      </c>
      <c r="DY1253" s="143">
        <v>0</v>
      </c>
      <c r="DZ1253">
        <v>0</v>
      </c>
      <c r="EA1253" s="143">
        <v>0</v>
      </c>
      <c r="EB1253" s="143">
        <v>1</v>
      </c>
      <c r="EC1253" s="143">
        <v>1</v>
      </c>
      <c r="ED1253" s="143">
        <v>0</v>
      </c>
      <c r="EE1253" s="143">
        <v>0</v>
      </c>
      <c r="EF1253">
        <v>0</v>
      </c>
      <c r="EG1253" s="143">
        <v>0</v>
      </c>
      <c r="EH1253">
        <v>0</v>
      </c>
      <c r="EI1253" s="2">
        <v>0</v>
      </c>
      <c r="EK1253" t="str">
        <f>IF(AND(AND(AND(OR($DX1253=1,$DW1253=1),OR($EC1253=1,$EA1253=1)),SUM($DV1253:$DZ1253,$EF1253)&gt;=3),SUM($EA1253:$EE1253)&gt;=2),"Whole sector","")</f>
        <v/>
      </c>
      <c r="EL1253" t="str">
        <f>IF(AND(AND(OR($DX1253=1,$DW1253=1),AND($EC1253=0,$EA1253=0)),SUM($DV1253:$DZ1253,$EF1253)&gt;=3),"Ecosystem approach","")</f>
        <v/>
      </c>
      <c r="EM1253" s="2" t="str">
        <f>IF(AND(AND(AND($DX1253=0,$DW1253=0),OR($EC1253=1,$EA1253=1)),SUM($EB1253:$EE1253)&gt;=2),"Technology approach","")</f>
        <v>Technology approach</v>
      </c>
      <c r="EN1253" s="312" t="s">
        <v>3456</v>
      </c>
      <c r="EP1253" t="b">
        <f>IF(ISNUMBER(BU1253),IF(ABS(BU1253-[5]QC_indicators!$B$2)&gt;3*[5]QC_indicators!$C$2,"C ratio",IF(ISNUMBER(BY1253),IF(ABS(BY1253-[5]QC_indicators!$B$1)&gt;3*[5]QC_indicators!$C$1,"DF","no"))),IF(ISNUMBER(BY1253),IF(ABS(BY1253-[5]QC_indicators!$B$1)&gt;3*[5]QC_indicators!$C$1,"DF","no")))</f>
        <v>0</v>
      </c>
    </row>
    <row r="1254" spans="1:149" ht="15" customHeight="1">
      <c r="A1254" s="1" t="s">
        <v>3446</v>
      </c>
      <c r="B1254" t="s">
        <v>3447</v>
      </c>
      <c r="C1254" t="s">
        <v>3448</v>
      </c>
      <c r="D1254" t="s">
        <v>3449</v>
      </c>
      <c r="E1254" t="s">
        <v>3450</v>
      </c>
      <c r="F1254" t="s">
        <v>3451</v>
      </c>
      <c r="G1254" t="s">
        <v>3452</v>
      </c>
      <c r="I1254">
        <v>2018</v>
      </c>
      <c r="K1254" t="s">
        <v>3453</v>
      </c>
      <c r="M1254" t="str">
        <f>LEFT($D1254,FIND(",",$D1254)-1)&amp;"_"&amp;I1254&amp;L1254</f>
        <v>Alanya-Rosenbaum_2018</v>
      </c>
      <c r="N1254" s="312" t="s">
        <v>4383</v>
      </c>
      <c r="O1254" s="140" t="s">
        <v>223</v>
      </c>
      <c r="Q1254" s="312" t="s">
        <v>224</v>
      </c>
      <c r="R1254" s="313"/>
      <c r="S1254" s="1" t="s">
        <v>3454</v>
      </c>
      <c r="T1254" t="s">
        <v>3455</v>
      </c>
      <c r="U1254" s="143" t="s">
        <v>3457</v>
      </c>
      <c r="V1254">
        <v>0</v>
      </c>
      <c r="W1254">
        <v>0</v>
      </c>
      <c r="X1254">
        <v>0</v>
      </c>
      <c r="Y1254">
        <v>0</v>
      </c>
      <c r="Z1254">
        <v>0</v>
      </c>
      <c r="AA1254">
        <v>0</v>
      </c>
      <c r="AB1254">
        <v>0</v>
      </c>
      <c r="AC1254">
        <v>0</v>
      </c>
      <c r="AD1254">
        <v>0</v>
      </c>
      <c r="AE1254">
        <v>0</v>
      </c>
      <c r="AF1254">
        <v>0</v>
      </c>
      <c r="AG1254">
        <v>0</v>
      </c>
      <c r="AH1254">
        <v>0</v>
      </c>
      <c r="AI1254">
        <v>0</v>
      </c>
      <c r="AJ1254">
        <v>1</v>
      </c>
      <c r="AK1254">
        <v>0</v>
      </c>
      <c r="AL1254">
        <v>0</v>
      </c>
      <c r="AM1254">
        <v>0</v>
      </c>
      <c r="AN1254">
        <v>0</v>
      </c>
      <c r="AO1254">
        <v>0</v>
      </c>
      <c r="AP1254">
        <v>0</v>
      </c>
      <c r="AQ1254">
        <v>0</v>
      </c>
      <c r="AR1254">
        <v>0</v>
      </c>
      <c r="AS1254">
        <v>0</v>
      </c>
      <c r="AT1254">
        <v>0</v>
      </c>
      <c r="AU1254">
        <v>0</v>
      </c>
      <c r="AV1254">
        <v>0</v>
      </c>
      <c r="AW1254">
        <v>0</v>
      </c>
      <c r="AX1254" s="141">
        <f>COUNTIF(V1254:AW1254,"&lt;&gt;0")</f>
        <v>1</v>
      </c>
      <c r="AY1254" s="141">
        <f>COUNTIF(V1254:AL1254,"&lt;&gt;0")</f>
        <v>1</v>
      </c>
      <c r="AZ1254">
        <f>COUNTIF(V1254:AC1254,"&lt;&gt;0")</f>
        <v>0</v>
      </c>
      <c r="BA1254">
        <f>COUNTIF(AD1254:AI1254,"&lt;&gt;0")</f>
        <v>0</v>
      </c>
      <c r="BB1254">
        <f>COUNTIF(AJ1254:AL1254,"&lt;&gt;0")</f>
        <v>1</v>
      </c>
      <c r="BC1254">
        <f>COUNTIF(AS1254:AW1254,"&lt;&gt;0")</f>
        <v>0</v>
      </c>
      <c r="BD1254">
        <f>COUNTIF(AM1254:AR1254,"&lt;&gt;0")</f>
        <v>0</v>
      </c>
      <c r="BE1254" t="str" cm="1">
        <f t="array" ref="BE1254">IF(AY1254=1,INDEX($V$7:$AL$7,MATCH(TRUE,INDEX($V1254:$AW1254&lt;&gt;0,),0)),IF(AY1254=0,INDEX($AM$7:$AW$7,MATCH(1,$AM1254:$AW1254,0)),IF(BF1254="Multiple strategies","mixed drivers",IF(BF1254="Supply chain","multiple supply","multiple silviculture"))))</f>
        <v>efficiency improvement</v>
      </c>
      <c r="BF1254" s="2" t="str" cm="1">
        <f t="array" ref="BF1254">IF(COUNTIF(AZ1254:BB1254,"&lt;&gt;0")=1,INDEX($V$4:$AW$4,MATCH(TRUE,INDEX($V1254:$AW1254&lt;&gt;0,),0)),IF(COUNTIF(AZ1254:BB1254,"&lt;&gt;0")=0,INDEX($AM$4:$AW$4,MATCH(1,$AM1254:$AW1254,0)),"Multiple strategies"))</f>
        <v>Technology</v>
      </c>
      <c r="BG1254" s="164"/>
      <c r="BH1254" s="165"/>
      <c r="BI1254" s="165"/>
      <c r="BJ1254" s="166"/>
      <c r="BK1254" s="167"/>
      <c r="BL1254" s="152"/>
      <c r="BM1254" s="316"/>
      <c r="BN1254" s="168"/>
      <c r="BO1254" s="166"/>
      <c r="BP1254" s="143" t="s">
        <v>232</v>
      </c>
      <c r="BQ1254" s="143"/>
      <c r="BR1254" s="143" t="s">
        <v>397</v>
      </c>
      <c r="BS1254" s="143">
        <v>-9.5299999999999994</v>
      </c>
      <c r="BT1254">
        <v>-7.99</v>
      </c>
      <c r="BU1254">
        <f>BT1254/BS1254</f>
        <v>0.83840503672612809</v>
      </c>
      <c r="BV1254">
        <f>BT1254-BS1254</f>
        <v>1.5399999999999991</v>
      </c>
      <c r="BX1254">
        <f>BV1254/1000</f>
        <v>1.5399999999999991E-3</v>
      </c>
      <c r="BY1254" t="str">
        <f>IFERROR(BX1254/BO1254,"")</f>
        <v/>
      </c>
      <c r="BZ1254">
        <v>1</v>
      </c>
      <c r="CA1254">
        <v>1</v>
      </c>
      <c r="CB1254">
        <v>1</v>
      </c>
      <c r="CC1254">
        <v>1</v>
      </c>
      <c r="CD1254">
        <v>1</v>
      </c>
      <c r="CE1254">
        <v>1</v>
      </c>
      <c r="CF1254">
        <v>1</v>
      </c>
      <c r="CG1254">
        <v>0</v>
      </c>
      <c r="CH1254">
        <v>0</v>
      </c>
      <c r="CI1254">
        <v>0</v>
      </c>
      <c r="CJ1254">
        <v>0</v>
      </c>
      <c r="CK1254">
        <v>0</v>
      </c>
      <c r="CL1254">
        <v>0</v>
      </c>
      <c r="CM1254">
        <v>0</v>
      </c>
      <c r="CN1254" t="str">
        <f>IF(BL1254&lt;BK1254,"refNeedCorrection","refOK")</f>
        <v>refOK</v>
      </c>
      <c r="CO1254"/>
      <c r="CP1254"/>
      <c r="CQ1254"/>
      <c r="CR1254">
        <f>IF($CN1254="refOK",$BS1254,$BT1254)*IF($BP1254="Emissions positive",-1,1)</f>
        <v>-9.5299999999999994</v>
      </c>
      <c r="CS1254">
        <f>IF($CN1254="refOK",$BT1254,$BS1254)*IF($BP1254="Emissions positive",-1,1)</f>
        <v>-7.99</v>
      </c>
      <c r="CT1254">
        <f>IF($CN1254="refNeedCorrection",-BX1254,BX1254)*IF($BP1254="Emissions positive",-1,1)</f>
        <v>1.5399999999999991E-3</v>
      </c>
      <c r="CU1254" t="str">
        <f>IFERROR(CT1254/CQ1254,"")</f>
        <v/>
      </c>
      <c r="CV1254" s="2">
        <f>IFERROR((CS1254-CR1254)/ABS(CR1254),"")</f>
        <v>0.16159496327387191</v>
      </c>
      <c r="CW1254" s="1" t="s">
        <v>1199</v>
      </c>
      <c r="CX1254" s="312" t="str">
        <f>IF(OR($CW1254="prd",$CW1254="std",$CW1254="cit"),"loc",IF(OR($CW1254="eur",$CW1254="reg",$CW1254="coy"),"reg",$CW1254))</f>
        <v>reg</v>
      </c>
      <c r="CY1254" t="s">
        <v>428</v>
      </c>
      <c r="DA1254" s="143"/>
      <c r="DB1254" s="143">
        <v>0</v>
      </c>
      <c r="DC1254" t="str">
        <f>IF(DB1254=0,"0",IF(AND(DB1254&gt;=1,DB1254&lt;=30),"1-30",IF(AND(DB1254&gt;30,DB1254&lt;=70),"31-70",IF(AND(DB1254&gt;70,DB1254&lt;=100),"71-100",IF(DB1254&gt;100,"+100")))))</f>
        <v>0</v>
      </c>
      <c r="DD1254">
        <v>0</v>
      </c>
      <c r="DE1254">
        <v>1</v>
      </c>
      <c r="DF1254">
        <v>0</v>
      </c>
      <c r="DG1254">
        <v>0</v>
      </c>
      <c r="DI1254">
        <f>SUM(DD1254:DG1254)</f>
        <v>1</v>
      </c>
      <c r="DJ1254" t="str">
        <f>IF(DI1254=1,INDEX($DD$7:$DG$7,MATCH(1,$DD1254:$DG1254,0)),"mixedProduct")</f>
        <v>EnergyInput</v>
      </c>
      <c r="DK1254">
        <f>IF(DD1254=1,DK$7,0)</f>
        <v>0</v>
      </c>
      <c r="DL1254" t="str">
        <f>IF(DE1254=1,DL$7,0)</f>
        <v>Energy</v>
      </c>
      <c r="DM1254">
        <f>IF(DF1254=1,DM$7,0)</f>
        <v>0</v>
      </c>
      <c r="DN1254">
        <f>IF(DG1254=1,DN$7,0)</f>
        <v>0</v>
      </c>
      <c r="DO1254">
        <v>0</v>
      </c>
      <c r="DP1254" s="143">
        <v>0</v>
      </c>
      <c r="DQ1254" s="143">
        <v>0</v>
      </c>
      <c r="DR1254" s="143">
        <v>0</v>
      </c>
      <c r="DS1254" s="143">
        <v>0</v>
      </c>
      <c r="DT1254">
        <f>SUM(DO1254:DP1254)</f>
        <v>0</v>
      </c>
      <c r="DU1254" s="143" t="str">
        <f>IF(DO1254=1,"self-calculated DF",IF(DP1254=1,"external DF used","explicit C balance"))</f>
        <v>explicit C balance</v>
      </c>
      <c r="DV1254" s="143">
        <v>0</v>
      </c>
      <c r="DW1254" s="143">
        <v>0</v>
      </c>
      <c r="DX1254" s="143">
        <v>0</v>
      </c>
      <c r="DY1254" s="143">
        <v>0</v>
      </c>
      <c r="DZ1254">
        <v>0</v>
      </c>
      <c r="EA1254" s="143">
        <v>0</v>
      </c>
      <c r="EB1254" s="143">
        <v>1</v>
      </c>
      <c r="EC1254" s="143">
        <v>1</v>
      </c>
      <c r="ED1254" s="143">
        <v>0</v>
      </c>
      <c r="EE1254" s="143">
        <v>0</v>
      </c>
      <c r="EF1254">
        <v>0</v>
      </c>
      <c r="EG1254" s="143">
        <v>0</v>
      </c>
      <c r="EH1254">
        <v>0</v>
      </c>
      <c r="EI1254" s="2">
        <v>0</v>
      </c>
      <c r="EK1254" t="str">
        <f>IF(AND(AND(AND(OR($DX1254=1,$DW1254=1),OR($EC1254=1,$EA1254=1)),SUM($DV1254:$DZ1254,$EF1254)&gt;=3),SUM($EA1254:$EE1254)&gt;=2),"Whole sector","")</f>
        <v/>
      </c>
      <c r="EL1254" t="str">
        <f>IF(AND(AND(OR($DX1254=1,$DW1254=1),AND($EC1254=0,$EA1254=0)),SUM($DV1254:$DZ1254,$EF1254)&gt;=3),"Ecosystem approach","")</f>
        <v/>
      </c>
      <c r="EM1254" s="2" t="str">
        <f>IF(AND(AND(AND($DX1254=0,$DW1254=0),OR($EC1254=1,$EA1254=1)),SUM($EB1254:$EE1254)&gt;=2),"Technology approach","")</f>
        <v>Technology approach</v>
      </c>
      <c r="EN1254" s="312" t="s">
        <v>3456</v>
      </c>
      <c r="EP1254" t="b">
        <f>IF(ISNUMBER(BU1254),IF(ABS(BU1254-[5]QC_indicators!$B$2)&gt;3*[5]QC_indicators!$C$2,"C ratio",IF(ISNUMBER(BY1254),IF(ABS(BY1254-[5]QC_indicators!$B$1)&gt;3*[5]QC_indicators!$C$1,"DF","no"))),IF(ISNUMBER(BY1254),IF(ABS(BY1254-[5]QC_indicators!$B$1)&gt;3*[5]QC_indicators!$C$1,"DF","no")))</f>
        <v>0</v>
      </c>
    </row>
    <row r="1255" spans="1:149" ht="15" customHeight="1">
      <c r="A1255" s="1" t="s">
        <v>3446</v>
      </c>
      <c r="B1255" t="s">
        <v>3447</v>
      </c>
      <c r="C1255" t="s">
        <v>3448</v>
      </c>
      <c r="D1255" t="s">
        <v>3449</v>
      </c>
      <c r="E1255" t="s">
        <v>3450</v>
      </c>
      <c r="F1255" t="s">
        <v>3451</v>
      </c>
      <c r="G1255" t="s">
        <v>3452</v>
      </c>
      <c r="I1255">
        <v>2018</v>
      </c>
      <c r="K1255" t="s">
        <v>3453</v>
      </c>
      <c r="M1255" t="str">
        <f>LEFT($D1255,FIND(",",$D1255)-1)&amp;"_"&amp;I1255&amp;L1255</f>
        <v>Alanya-Rosenbaum_2018</v>
      </c>
      <c r="N1255" s="312" t="s">
        <v>4383</v>
      </c>
      <c r="O1255" s="140" t="s">
        <v>223</v>
      </c>
      <c r="Q1255" s="312" t="s">
        <v>224</v>
      </c>
      <c r="R1255" s="313"/>
      <c r="S1255" s="1" t="s">
        <v>3454</v>
      </c>
      <c r="T1255" t="s">
        <v>3455</v>
      </c>
      <c r="U1255" s="143" t="s">
        <v>3458</v>
      </c>
      <c r="V1255">
        <v>0</v>
      </c>
      <c r="W1255">
        <v>0</v>
      </c>
      <c r="X1255">
        <v>0</v>
      </c>
      <c r="Y1255">
        <v>0</v>
      </c>
      <c r="Z1255">
        <v>0</v>
      </c>
      <c r="AA1255">
        <v>0</v>
      </c>
      <c r="AB1255">
        <v>0</v>
      </c>
      <c r="AC1255">
        <v>0</v>
      </c>
      <c r="AD1255">
        <v>0</v>
      </c>
      <c r="AE1255">
        <v>0</v>
      </c>
      <c r="AF1255">
        <v>0</v>
      </c>
      <c r="AG1255">
        <v>0</v>
      </c>
      <c r="AH1255">
        <v>0</v>
      </c>
      <c r="AI1255">
        <v>0</v>
      </c>
      <c r="AJ1255">
        <v>1</v>
      </c>
      <c r="AK1255">
        <v>0</v>
      </c>
      <c r="AL1255">
        <v>0</v>
      </c>
      <c r="AM1255">
        <v>0</v>
      </c>
      <c r="AN1255">
        <v>0</v>
      </c>
      <c r="AO1255">
        <v>0</v>
      </c>
      <c r="AP1255">
        <v>0</v>
      </c>
      <c r="AQ1255">
        <v>0</v>
      </c>
      <c r="AR1255">
        <v>0</v>
      </c>
      <c r="AS1255">
        <v>0</v>
      </c>
      <c r="AT1255">
        <v>0</v>
      </c>
      <c r="AU1255">
        <v>0</v>
      </c>
      <c r="AV1255">
        <v>0</v>
      </c>
      <c r="AW1255">
        <v>0</v>
      </c>
      <c r="AX1255" s="141">
        <f>COUNTIF(V1255:AW1255,"&lt;&gt;0")</f>
        <v>1</v>
      </c>
      <c r="AY1255" s="141">
        <f>COUNTIF(V1255:AL1255,"&lt;&gt;0")</f>
        <v>1</v>
      </c>
      <c r="AZ1255">
        <f>COUNTIF(V1255:AC1255,"&lt;&gt;0")</f>
        <v>0</v>
      </c>
      <c r="BA1255">
        <f>COUNTIF(AD1255:AI1255,"&lt;&gt;0")</f>
        <v>0</v>
      </c>
      <c r="BB1255">
        <f>COUNTIF(AJ1255:AL1255,"&lt;&gt;0")</f>
        <v>1</v>
      </c>
      <c r="BC1255">
        <f>COUNTIF(AS1255:AW1255,"&lt;&gt;0")</f>
        <v>0</v>
      </c>
      <c r="BD1255">
        <f>COUNTIF(AM1255:AR1255,"&lt;&gt;0")</f>
        <v>0</v>
      </c>
      <c r="BE1255" t="str" cm="1">
        <f t="array" ref="BE1255">IF(AY1255=1,INDEX($V$7:$AL$7,MATCH(TRUE,INDEX($V1255:$AW1255&lt;&gt;0,),0)),IF(AY1255=0,INDEX($AM$7:$AW$7,MATCH(1,$AM1255:$AW1255,0)),IF(BF1255="Multiple strategies","mixed drivers",IF(BF1255="Supply chain","multiple supply","multiple silviculture"))))</f>
        <v>efficiency improvement</v>
      </c>
      <c r="BF1255" s="2" t="str" cm="1">
        <f t="array" ref="BF1255">IF(COUNTIF(AZ1255:BB1255,"&lt;&gt;0")=1,INDEX($V$4:$AW$4,MATCH(TRUE,INDEX($V1255:$AW1255&lt;&gt;0,),0)),IF(COUNTIF(AZ1255:BB1255,"&lt;&gt;0")=0,INDEX($AM$4:$AW$4,MATCH(1,$AM1255:$AW1255,0)),"Multiple strategies"))</f>
        <v>Technology</v>
      </c>
      <c r="BG1255" s="164"/>
      <c r="BH1255" s="165"/>
      <c r="BI1255" s="165"/>
      <c r="BJ1255" s="166"/>
      <c r="BK1255" s="167"/>
      <c r="BL1255" s="315"/>
      <c r="BM1255" s="168"/>
      <c r="BN1255" s="317"/>
      <c r="BO1255" s="168"/>
      <c r="BP1255" s="143" t="s">
        <v>232</v>
      </c>
      <c r="BQ1255" s="143"/>
      <c r="BR1255" s="143" t="s">
        <v>397</v>
      </c>
      <c r="BS1255" s="143">
        <v>-9.5299999999999994</v>
      </c>
      <c r="BT1255">
        <v>-3.97</v>
      </c>
      <c r="BU1255">
        <f>BT1255/BS1255</f>
        <v>0.41657922350472198</v>
      </c>
      <c r="BV1255">
        <f>BT1255-BS1255</f>
        <v>5.5599999999999987</v>
      </c>
      <c r="BX1255">
        <f>BV1255/1000</f>
        <v>5.559999999999999E-3</v>
      </c>
      <c r="BY1255" t="str">
        <f>IFERROR(BX1255/BO1255,"")</f>
        <v/>
      </c>
      <c r="BZ1255">
        <v>1</v>
      </c>
      <c r="CA1255">
        <v>1</v>
      </c>
      <c r="CB1255">
        <v>1</v>
      </c>
      <c r="CC1255">
        <v>1</v>
      </c>
      <c r="CD1255">
        <v>1</v>
      </c>
      <c r="CE1255">
        <v>1</v>
      </c>
      <c r="CF1255">
        <v>1</v>
      </c>
      <c r="CG1255">
        <v>0</v>
      </c>
      <c r="CH1255">
        <v>0</v>
      </c>
      <c r="CI1255">
        <v>0</v>
      </c>
      <c r="CJ1255">
        <v>0</v>
      </c>
      <c r="CK1255">
        <v>0</v>
      </c>
      <c r="CL1255">
        <v>0</v>
      </c>
      <c r="CM1255">
        <v>0</v>
      </c>
      <c r="CN1255" t="str">
        <f>IF(BL1255&lt;BK1255,"refNeedCorrection","refOK")</f>
        <v>refOK</v>
      </c>
      <c r="CO1255"/>
      <c r="CP1255"/>
      <c r="CQ1255"/>
      <c r="CR1255">
        <f>IF($CN1255="refOK",$BS1255,$BT1255)*IF($BP1255="Emissions positive",-1,1)</f>
        <v>-9.5299999999999994</v>
      </c>
      <c r="CS1255">
        <f>IF($CN1255="refOK",$BT1255,$BS1255)*IF($BP1255="Emissions positive",-1,1)</f>
        <v>-3.97</v>
      </c>
      <c r="CT1255">
        <f>IF($CN1255="refNeedCorrection",-BX1255,BX1255)*IF($BP1255="Emissions positive",-1,1)</f>
        <v>5.559999999999999E-3</v>
      </c>
      <c r="CU1255" t="str">
        <f>IFERROR(CT1255/CQ1255,"")</f>
        <v/>
      </c>
      <c r="CV1255" s="2">
        <f>IFERROR((CS1255-CR1255)/ABS(CR1255),"")</f>
        <v>0.58342077649527802</v>
      </c>
      <c r="CW1255" s="1" t="s">
        <v>1199</v>
      </c>
      <c r="CX1255" s="312" t="str">
        <f>IF(OR($CW1255="prd",$CW1255="std",$CW1255="cit"),"loc",IF(OR($CW1255="eur",$CW1255="reg",$CW1255="coy"),"reg",$CW1255))</f>
        <v>reg</v>
      </c>
      <c r="CY1255" t="s">
        <v>428</v>
      </c>
      <c r="DA1255" s="143"/>
      <c r="DB1255" s="143">
        <v>0</v>
      </c>
      <c r="DC1255" t="str">
        <f>IF(DB1255=0,"0",IF(AND(DB1255&gt;=1,DB1255&lt;=30),"1-30",IF(AND(DB1255&gt;30,DB1255&lt;=70),"31-70",IF(AND(DB1255&gt;70,DB1255&lt;=100),"71-100",IF(DB1255&gt;100,"+100")))))</f>
        <v>0</v>
      </c>
      <c r="DD1255">
        <v>0</v>
      </c>
      <c r="DE1255">
        <v>1</v>
      </c>
      <c r="DF1255">
        <v>0</v>
      </c>
      <c r="DG1255">
        <v>0</v>
      </c>
      <c r="DI1255">
        <f>SUM(DD1255:DG1255)</f>
        <v>1</v>
      </c>
      <c r="DJ1255" t="str">
        <f>IF(DI1255=1,INDEX($DD$7:$DG$7,MATCH(1,$DD1255:$DG1255,0)),"mixedProduct")</f>
        <v>EnergyInput</v>
      </c>
      <c r="DK1255">
        <f>IF(DD1255=1,DK$7,0)</f>
        <v>0</v>
      </c>
      <c r="DL1255" t="str">
        <f>IF(DE1255=1,DL$7,0)</f>
        <v>Energy</v>
      </c>
      <c r="DM1255">
        <f>IF(DF1255=1,DM$7,0)</f>
        <v>0</v>
      </c>
      <c r="DN1255">
        <f>IF(DG1255=1,DN$7,0)</f>
        <v>0</v>
      </c>
      <c r="DO1255">
        <v>0</v>
      </c>
      <c r="DP1255" s="143">
        <v>0</v>
      </c>
      <c r="DQ1255" s="143">
        <v>0</v>
      </c>
      <c r="DR1255" s="143">
        <v>0</v>
      </c>
      <c r="DS1255" s="143">
        <v>0</v>
      </c>
      <c r="DT1255">
        <f>SUM(DO1255:DP1255)</f>
        <v>0</v>
      </c>
      <c r="DU1255" s="143" t="str">
        <f>IF(DO1255=1,"self-calculated DF",IF(DP1255=1,"external DF used","explicit C balance"))</f>
        <v>explicit C balance</v>
      </c>
      <c r="DV1255" s="143">
        <v>0</v>
      </c>
      <c r="DW1255" s="143">
        <v>0</v>
      </c>
      <c r="DX1255" s="143">
        <v>0</v>
      </c>
      <c r="DY1255" s="143">
        <v>0</v>
      </c>
      <c r="DZ1255">
        <v>0</v>
      </c>
      <c r="EA1255" s="143">
        <v>0</v>
      </c>
      <c r="EB1255" s="143">
        <v>1</v>
      </c>
      <c r="EC1255" s="143">
        <v>1</v>
      </c>
      <c r="ED1255" s="143">
        <v>0</v>
      </c>
      <c r="EE1255" s="143">
        <v>0</v>
      </c>
      <c r="EF1255">
        <v>0</v>
      </c>
      <c r="EG1255" s="143">
        <v>0</v>
      </c>
      <c r="EH1255">
        <v>0</v>
      </c>
      <c r="EI1255" s="2">
        <v>0</v>
      </c>
      <c r="EK1255" t="str">
        <f>IF(AND(AND(AND(OR($DX1255=1,$DW1255=1),OR($EC1255=1,$EA1255=1)),SUM($DV1255:$DZ1255,$EF1255)&gt;=3),SUM($EA1255:$EE1255)&gt;=2),"Whole sector","")</f>
        <v/>
      </c>
      <c r="EL1255" t="str">
        <f>IF(AND(AND(OR($DX1255=1,$DW1255=1),AND($EC1255=0,$EA1255=0)),SUM($DV1255:$DZ1255,$EF1255)&gt;=3),"Ecosystem approach","")</f>
        <v/>
      </c>
      <c r="EM1255" s="2" t="str">
        <f>IF(AND(AND(AND($DX1255=0,$DW1255=0),OR($EC1255=1,$EA1255=1)),SUM($EB1255:$EE1255)&gt;=2),"Technology approach","")</f>
        <v>Technology approach</v>
      </c>
      <c r="EN1255" s="312" t="s">
        <v>3456</v>
      </c>
      <c r="EP1255" t="b">
        <f>IF(ISNUMBER(BU1255),IF(ABS(BU1255-[5]QC_indicators!$B$2)&gt;3*[5]QC_indicators!$C$2,"C ratio",IF(ISNUMBER(BY1255),IF(ABS(BY1255-[5]QC_indicators!$B$1)&gt;3*[5]QC_indicators!$C$1,"DF","no"))),IF(ISNUMBER(BY1255),IF(ABS(BY1255-[5]QC_indicators!$B$1)&gt;3*[5]QC_indicators!$C$1,"DF","no")))</f>
        <v>0</v>
      </c>
    </row>
    <row r="1256" spans="1:149" ht="15" customHeight="1">
      <c r="A1256" s="1" t="s">
        <v>3446</v>
      </c>
      <c r="B1256" t="s">
        <v>3447</v>
      </c>
      <c r="C1256" t="s">
        <v>3448</v>
      </c>
      <c r="D1256" t="s">
        <v>3449</v>
      </c>
      <c r="E1256" t="s">
        <v>3450</v>
      </c>
      <c r="F1256" t="s">
        <v>3451</v>
      </c>
      <c r="G1256" t="s">
        <v>3452</v>
      </c>
      <c r="I1256">
        <v>2018</v>
      </c>
      <c r="K1256" t="s">
        <v>3453</v>
      </c>
      <c r="M1256" t="str">
        <f>LEFT($D1256,FIND(",",$D1256)-1)&amp;"_"&amp;I1256&amp;L1256</f>
        <v>Alanya-Rosenbaum_2018</v>
      </c>
      <c r="N1256" s="312" t="s">
        <v>4383</v>
      </c>
      <c r="O1256" s="140" t="s">
        <v>223</v>
      </c>
      <c r="Q1256" s="312" t="s">
        <v>224</v>
      </c>
      <c r="R1256" s="313"/>
      <c r="S1256" s="1" t="s">
        <v>423</v>
      </c>
      <c r="T1256" t="s">
        <v>1201</v>
      </c>
      <c r="U1256" s="143" t="s">
        <v>1200</v>
      </c>
      <c r="V1256">
        <v>0</v>
      </c>
      <c r="W1256">
        <v>0</v>
      </c>
      <c r="X1256">
        <v>0</v>
      </c>
      <c r="Y1256">
        <v>0</v>
      </c>
      <c r="Z1256">
        <v>0</v>
      </c>
      <c r="AA1256">
        <v>0</v>
      </c>
      <c r="AB1256">
        <v>0</v>
      </c>
      <c r="AC1256">
        <v>0</v>
      </c>
      <c r="AD1256">
        <v>0</v>
      </c>
      <c r="AE1256">
        <v>0</v>
      </c>
      <c r="AF1256">
        <v>0</v>
      </c>
      <c r="AG1256">
        <v>0</v>
      </c>
      <c r="AH1256">
        <v>0</v>
      </c>
      <c r="AI1256">
        <v>0</v>
      </c>
      <c r="AJ1256">
        <v>0</v>
      </c>
      <c r="AK1256">
        <v>1</v>
      </c>
      <c r="AL1256">
        <v>0</v>
      </c>
      <c r="AM1256">
        <v>0</v>
      </c>
      <c r="AN1256">
        <v>0</v>
      </c>
      <c r="AO1256">
        <v>0</v>
      </c>
      <c r="AP1256">
        <v>0</v>
      </c>
      <c r="AQ1256">
        <v>0</v>
      </c>
      <c r="AR1256">
        <v>0</v>
      </c>
      <c r="AS1256">
        <v>0</v>
      </c>
      <c r="AT1256">
        <v>0</v>
      </c>
      <c r="AU1256">
        <v>0</v>
      </c>
      <c r="AV1256">
        <v>0</v>
      </c>
      <c r="AW1256">
        <v>0</v>
      </c>
      <c r="AX1256" s="141">
        <f>COUNTIF(V1256:AW1256,"&lt;&gt;0")</f>
        <v>1</v>
      </c>
      <c r="AY1256" s="141">
        <f>COUNTIF(V1256:AL1256,"&lt;&gt;0")</f>
        <v>1</v>
      </c>
      <c r="AZ1256">
        <f>COUNTIF(V1256:AC1256,"&lt;&gt;0")</f>
        <v>0</v>
      </c>
      <c r="BA1256">
        <f>COUNTIF(AD1256:AI1256,"&lt;&gt;0")</f>
        <v>0</v>
      </c>
      <c r="BB1256">
        <f>COUNTIF(AJ1256:AL1256,"&lt;&gt;0")</f>
        <v>1</v>
      </c>
      <c r="BC1256">
        <f>COUNTIF(AS1256:AW1256,"&lt;&gt;0")</f>
        <v>0</v>
      </c>
      <c r="BD1256">
        <f>COUNTIF(AM1256:AR1256,"&lt;&gt;0")</f>
        <v>0</v>
      </c>
      <c r="BE1256" t="str" cm="1">
        <f t="array" ref="BE1256">IF(AY1256=1,INDEX($V$7:$AL$7,MATCH(TRUE,INDEX($V1256:$AW1256&lt;&gt;0,),0)),IF(AY1256=0,INDEX($AM$7:$AW$7,MATCH(1,$AM1256:$AW1256,0)),IF(BF1256="Multiple strategies","mixed drivers",IF(BF1256="Supply chain","multiple supply","multiple silviculture"))))</f>
        <v>technologies/design switch</v>
      </c>
      <c r="BF1256" s="2" t="str" cm="1">
        <f t="array" ref="BF1256">IF(COUNTIF(AZ1256:BB1256,"&lt;&gt;0")=1,INDEX($V$4:$AW$4,MATCH(TRUE,INDEX($V1256:$AW1256&lt;&gt;0,),0)),IF(COUNTIF(AZ1256:BB1256,"&lt;&gt;0")=0,INDEX($AM$4:$AW$4,MATCH(1,$AM1256:$AW1256,0)),"Multiple strategies"))</f>
        <v>Technology</v>
      </c>
      <c r="BG1256" s="173"/>
      <c r="BJ1256" s="143"/>
      <c r="BL1256" s="143"/>
      <c r="BM1256" s="143"/>
      <c r="BN1256" s="143"/>
      <c r="BO1256" s="143"/>
      <c r="BP1256" s="143" t="s">
        <v>232</v>
      </c>
      <c r="BQ1256" s="143"/>
      <c r="BR1256" s="143" t="s">
        <v>397</v>
      </c>
      <c r="BS1256" s="143">
        <v>-102</v>
      </c>
      <c r="BT1256">
        <v>-6.57</v>
      </c>
      <c r="BU1256">
        <f>BT1256/BS1256</f>
        <v>6.4411764705882349E-2</v>
      </c>
      <c r="BV1256">
        <f>BT1256-BS1256</f>
        <v>95.43</v>
      </c>
      <c r="BX1256">
        <f>BV1256/1000</f>
        <v>9.5430000000000001E-2</v>
      </c>
      <c r="BY1256" t="str">
        <f>IFERROR(BX1256/BO1256,"")</f>
        <v/>
      </c>
      <c r="BZ1256">
        <v>1</v>
      </c>
      <c r="CA1256">
        <v>1</v>
      </c>
      <c r="CB1256">
        <v>1</v>
      </c>
      <c r="CC1256">
        <v>1</v>
      </c>
      <c r="CD1256">
        <v>1</v>
      </c>
      <c r="CE1256">
        <v>1</v>
      </c>
      <c r="CF1256">
        <v>1</v>
      </c>
      <c r="CG1256">
        <v>0</v>
      </c>
      <c r="CH1256">
        <v>0</v>
      </c>
      <c r="CI1256">
        <v>0</v>
      </c>
      <c r="CJ1256">
        <v>0</v>
      </c>
      <c r="CK1256">
        <v>0</v>
      </c>
      <c r="CL1256">
        <v>0</v>
      </c>
      <c r="CM1256">
        <v>0</v>
      </c>
      <c r="CN1256" t="str">
        <f>IF(BL1256&lt;BK1256,"refNeedCorrection","refOK")</f>
        <v>refOK</v>
      </c>
      <c r="CO1256"/>
      <c r="CP1256"/>
      <c r="CQ1256"/>
      <c r="CR1256">
        <f>IF($CN1256="refOK",$BS1256,$BT1256)*IF($BP1256="Emissions positive",-1,1)</f>
        <v>-102</v>
      </c>
      <c r="CS1256">
        <f>IF($CN1256="refOK",$BT1256,$BS1256)*IF($BP1256="Emissions positive",-1,1)</f>
        <v>-6.57</v>
      </c>
      <c r="CT1256">
        <f>IF($CN1256="refNeedCorrection",-BX1256,BX1256)*IF($BP1256="Emissions positive",-1,1)</f>
        <v>9.5430000000000001E-2</v>
      </c>
      <c r="CU1256" t="str">
        <f>IFERROR(CT1256/CQ1256,"")</f>
        <v/>
      </c>
      <c r="CV1256" s="2">
        <f>IFERROR((CS1256-CR1256)/ABS(CR1256),"")</f>
        <v>0.93558823529411772</v>
      </c>
      <c r="CW1256" s="1" t="s">
        <v>1199</v>
      </c>
      <c r="CX1256" s="312" t="str">
        <f>IF(OR($CW1256="prd",$CW1256="std",$CW1256="cit"),"loc",IF(OR($CW1256="eur",$CW1256="reg",$CW1256="coy"),"reg",$CW1256))</f>
        <v>reg</v>
      </c>
      <c r="CY1256" t="s">
        <v>428</v>
      </c>
      <c r="DA1256" s="143"/>
      <c r="DB1256" s="143">
        <v>0</v>
      </c>
      <c r="DC1256" t="str">
        <f>IF(DB1256=0,"0",IF(AND(DB1256&gt;=1,DB1256&lt;=30),"1-30",IF(AND(DB1256&gt;30,DB1256&lt;=70),"31-70",IF(AND(DB1256&gt;70,DB1256&lt;=100),"71-100",IF(DB1256&gt;100,"+100")))))</f>
        <v>0</v>
      </c>
      <c r="DD1256">
        <v>0</v>
      </c>
      <c r="DE1256">
        <v>1</v>
      </c>
      <c r="DF1256">
        <v>0</v>
      </c>
      <c r="DG1256">
        <v>0</v>
      </c>
      <c r="DI1256">
        <f>SUM(DD1256:DG1256)</f>
        <v>1</v>
      </c>
      <c r="DJ1256" t="str">
        <f>IF(DI1256=1,INDEX($DD$7:$DG$7,MATCH(1,$DD1256:$DG1256,0)),"mixedProduct")</f>
        <v>EnergyInput</v>
      </c>
      <c r="DK1256">
        <f>IF(DD1256=1,DK$7,0)</f>
        <v>0</v>
      </c>
      <c r="DL1256" t="str">
        <f>IF(DE1256=1,DL$7,0)</f>
        <v>Energy</v>
      </c>
      <c r="DM1256">
        <f>IF(DF1256=1,DM$7,0)</f>
        <v>0</v>
      </c>
      <c r="DN1256">
        <f>IF(DG1256=1,DN$7,0)</f>
        <v>0</v>
      </c>
      <c r="DO1256">
        <v>0</v>
      </c>
      <c r="DP1256" s="143">
        <v>0</v>
      </c>
      <c r="DQ1256" s="143">
        <v>0</v>
      </c>
      <c r="DR1256" s="143">
        <v>0</v>
      </c>
      <c r="DS1256" s="143">
        <v>0</v>
      </c>
      <c r="DT1256">
        <f>SUM(DO1256:DP1256)</f>
        <v>0</v>
      </c>
      <c r="DU1256" s="143" t="str">
        <f>IF(DO1256=1,"self-calculated DF",IF(DP1256=1,"external DF used","explicit C balance"))</f>
        <v>explicit C balance</v>
      </c>
      <c r="DV1256" s="143">
        <v>0</v>
      </c>
      <c r="DW1256" s="143">
        <v>0</v>
      </c>
      <c r="DX1256" s="143">
        <v>0</v>
      </c>
      <c r="DY1256" s="143">
        <v>0</v>
      </c>
      <c r="DZ1256">
        <v>0</v>
      </c>
      <c r="EA1256" s="143">
        <v>0</v>
      </c>
      <c r="EB1256" s="143">
        <v>1</v>
      </c>
      <c r="EC1256" s="143">
        <v>1</v>
      </c>
      <c r="ED1256" s="143">
        <v>0</v>
      </c>
      <c r="EE1256" s="143">
        <v>0</v>
      </c>
      <c r="EF1256">
        <v>0</v>
      </c>
      <c r="EG1256" s="143">
        <v>0</v>
      </c>
      <c r="EH1256">
        <v>0</v>
      </c>
      <c r="EI1256" s="2">
        <v>0</v>
      </c>
      <c r="EK1256" t="str">
        <f>IF(AND(AND(AND(OR($DX1256=1,$DW1256=1),OR($EC1256=1,$EA1256=1)),SUM($DV1256:$DZ1256,$EF1256)&gt;=3),SUM($EA1256:$EE1256)&gt;=2),"Whole sector","")</f>
        <v/>
      </c>
      <c r="EL1256" t="str">
        <f>IF(AND(AND(OR($DX1256=1,$DW1256=1),AND($EC1256=0,$EA1256=0)),SUM($DV1256:$DZ1256,$EF1256)&gt;=3),"Ecosystem approach","")</f>
        <v/>
      </c>
      <c r="EM1256" s="2" t="str">
        <f>IF(AND(AND(AND($DX1256=0,$DW1256=0),OR($EC1256=1,$EA1256=1)),SUM($EB1256:$EE1256)&gt;=2),"Technology approach","")</f>
        <v>Technology approach</v>
      </c>
      <c r="EN1256" s="312" t="s">
        <v>3456</v>
      </c>
      <c r="EP1256" t="b">
        <f>IF(ISNUMBER(BU1256),IF(ABS(BU1256-[5]QC_indicators!$B$2)&gt;3*[5]QC_indicators!$C$2,"C ratio",IF(ISNUMBER(BY1256),IF(ABS(BY1256-[5]QC_indicators!$B$1)&gt;3*[5]QC_indicators!$C$1,"DF","no"))),IF(ISNUMBER(BY1256),IF(ABS(BY1256-[5]QC_indicators!$B$1)&gt;3*[5]QC_indicators!$C$1,"DF","no")))</f>
        <v>0</v>
      </c>
    </row>
    <row r="1257" spans="1:149" ht="15" customHeight="1">
      <c r="A1257" s="1" t="s">
        <v>3446</v>
      </c>
      <c r="B1257" t="s">
        <v>3447</v>
      </c>
      <c r="C1257" t="s">
        <v>3448</v>
      </c>
      <c r="D1257" t="s">
        <v>3449</v>
      </c>
      <c r="E1257" t="s">
        <v>3450</v>
      </c>
      <c r="F1257" t="s">
        <v>3451</v>
      </c>
      <c r="G1257" t="s">
        <v>3452</v>
      </c>
      <c r="I1257">
        <v>2018</v>
      </c>
      <c r="K1257" t="s">
        <v>3453</v>
      </c>
      <c r="M1257" t="str">
        <f>LEFT($D1257,FIND(",",$D1257)-1)&amp;"_"&amp;I1257&amp;L1257</f>
        <v>Alanya-Rosenbaum_2018</v>
      </c>
      <c r="N1257" s="312" t="s">
        <v>4383</v>
      </c>
      <c r="O1257" s="140" t="s">
        <v>223</v>
      </c>
      <c r="Q1257" s="312" t="s">
        <v>224</v>
      </c>
      <c r="R1257" s="313"/>
      <c r="S1257" s="1" t="s">
        <v>423</v>
      </c>
      <c r="T1257" t="s">
        <v>1201</v>
      </c>
      <c r="U1257" s="143" t="s">
        <v>1183</v>
      </c>
      <c r="V1257">
        <v>0</v>
      </c>
      <c r="W1257">
        <v>0</v>
      </c>
      <c r="X1257">
        <v>0</v>
      </c>
      <c r="Y1257">
        <v>0</v>
      </c>
      <c r="Z1257">
        <v>0</v>
      </c>
      <c r="AA1257">
        <v>0</v>
      </c>
      <c r="AB1257">
        <v>0</v>
      </c>
      <c r="AC1257">
        <v>0</v>
      </c>
      <c r="AD1257">
        <v>0</v>
      </c>
      <c r="AE1257">
        <v>0</v>
      </c>
      <c r="AF1257">
        <v>0</v>
      </c>
      <c r="AG1257">
        <v>0</v>
      </c>
      <c r="AH1257">
        <v>0</v>
      </c>
      <c r="AI1257">
        <v>0</v>
      </c>
      <c r="AJ1257">
        <v>0</v>
      </c>
      <c r="AK1257">
        <v>1</v>
      </c>
      <c r="AL1257">
        <v>0</v>
      </c>
      <c r="AM1257">
        <v>0</v>
      </c>
      <c r="AN1257">
        <v>0</v>
      </c>
      <c r="AO1257">
        <v>0</v>
      </c>
      <c r="AP1257">
        <v>0</v>
      </c>
      <c r="AQ1257">
        <v>0</v>
      </c>
      <c r="AR1257">
        <v>0</v>
      </c>
      <c r="AS1257">
        <v>0</v>
      </c>
      <c r="AT1257">
        <v>0</v>
      </c>
      <c r="AU1257">
        <v>0</v>
      </c>
      <c r="AV1257">
        <v>0</v>
      </c>
      <c r="AW1257">
        <v>0</v>
      </c>
      <c r="AX1257" s="141">
        <f>COUNTIF(V1257:AW1257,"&lt;&gt;0")</f>
        <v>1</v>
      </c>
      <c r="AY1257" s="141">
        <f>COUNTIF(V1257:AL1257,"&lt;&gt;0")</f>
        <v>1</v>
      </c>
      <c r="AZ1257">
        <f>COUNTIF(V1257:AC1257,"&lt;&gt;0")</f>
        <v>0</v>
      </c>
      <c r="BA1257">
        <f>COUNTIF(AD1257:AI1257,"&lt;&gt;0")</f>
        <v>0</v>
      </c>
      <c r="BB1257">
        <f>COUNTIF(AJ1257:AL1257,"&lt;&gt;0")</f>
        <v>1</v>
      </c>
      <c r="BC1257">
        <f>COUNTIF(AS1257:AW1257,"&lt;&gt;0")</f>
        <v>0</v>
      </c>
      <c r="BD1257">
        <f>COUNTIF(AM1257:AR1257,"&lt;&gt;0")</f>
        <v>0</v>
      </c>
      <c r="BE1257" t="str" cm="1">
        <f t="array" ref="BE1257">IF(AY1257=1,INDEX($V$7:$AL$7,MATCH(TRUE,INDEX($V1257:$AW1257&lt;&gt;0,),0)),IF(AY1257=0,INDEX($AM$7:$AW$7,MATCH(1,$AM1257:$AW1257,0)),IF(BF1257="Multiple strategies","mixed drivers",IF(BF1257="Supply chain","multiple supply","multiple silviculture"))))</f>
        <v>technologies/design switch</v>
      </c>
      <c r="BF1257" s="2" t="str" cm="1">
        <f t="array" ref="BF1257">IF(COUNTIF(AZ1257:BB1257,"&lt;&gt;0")=1,INDEX($V$4:$AW$4,MATCH(TRUE,INDEX($V1257:$AW1257&lt;&gt;0,),0)),IF(COUNTIF(AZ1257:BB1257,"&lt;&gt;0")=0,INDEX($AM$4:$AW$4,MATCH(1,$AM1257:$AW1257,0)),"Multiple strategies"))</f>
        <v>Technology</v>
      </c>
      <c r="BG1257" s="173"/>
      <c r="BJ1257" s="143"/>
      <c r="BL1257" s="143"/>
      <c r="BM1257" s="143"/>
      <c r="BN1257" s="143"/>
      <c r="BO1257" s="143"/>
      <c r="BP1257" s="143" t="s">
        <v>232</v>
      </c>
      <c r="BQ1257" s="143"/>
      <c r="BR1257" s="143" t="s">
        <v>397</v>
      </c>
      <c r="BS1257" s="143">
        <v>-102</v>
      </c>
      <c r="BT1257">
        <v>-4.93</v>
      </c>
      <c r="BU1257">
        <f>BT1257/BS1257</f>
        <v>4.8333333333333332E-2</v>
      </c>
      <c r="BV1257">
        <f>BT1257-BS1257</f>
        <v>97.07</v>
      </c>
      <c r="BX1257">
        <f>BV1257/1000</f>
        <v>9.706999999999999E-2</v>
      </c>
      <c r="BY1257" t="str">
        <f>IFERROR(BX1257/BO1257,"")</f>
        <v/>
      </c>
      <c r="BZ1257">
        <v>1</v>
      </c>
      <c r="CA1257">
        <v>1</v>
      </c>
      <c r="CB1257">
        <v>1</v>
      </c>
      <c r="CC1257">
        <v>1</v>
      </c>
      <c r="CD1257">
        <v>1</v>
      </c>
      <c r="CE1257">
        <v>1</v>
      </c>
      <c r="CF1257">
        <v>1</v>
      </c>
      <c r="CG1257">
        <v>0</v>
      </c>
      <c r="CH1257">
        <v>0</v>
      </c>
      <c r="CI1257">
        <v>0</v>
      </c>
      <c r="CJ1257">
        <v>0</v>
      </c>
      <c r="CK1257">
        <v>0</v>
      </c>
      <c r="CL1257">
        <v>0</v>
      </c>
      <c r="CM1257">
        <v>0</v>
      </c>
      <c r="CN1257" t="str">
        <f>IF(BL1257&lt;BK1257,"refNeedCorrection","refOK")</f>
        <v>refOK</v>
      </c>
      <c r="CO1257"/>
      <c r="CP1257"/>
      <c r="CQ1257"/>
      <c r="CR1257">
        <f>IF($CN1257="refOK",$BS1257,$BT1257)*IF($BP1257="Emissions positive",-1,1)</f>
        <v>-102</v>
      </c>
      <c r="CS1257">
        <f>IF($CN1257="refOK",$BT1257,$BS1257)*IF($BP1257="Emissions positive",-1,1)</f>
        <v>-4.93</v>
      </c>
      <c r="CT1257">
        <f>IF($CN1257="refNeedCorrection",-BX1257,BX1257)*IF($BP1257="Emissions positive",-1,1)</f>
        <v>9.706999999999999E-2</v>
      </c>
      <c r="CU1257" t="str">
        <f>IFERROR(CT1257/CQ1257,"")</f>
        <v/>
      </c>
      <c r="CV1257" s="2">
        <f>IFERROR((CS1257-CR1257)/ABS(CR1257),"")</f>
        <v>0.95166666666666655</v>
      </c>
      <c r="CW1257" s="1" t="s">
        <v>1199</v>
      </c>
      <c r="CX1257" s="312" t="str">
        <f>IF(OR($CW1257="prd",$CW1257="std",$CW1257="cit"),"loc",IF(OR($CW1257="eur",$CW1257="reg",$CW1257="coy"),"reg",$CW1257))</f>
        <v>reg</v>
      </c>
      <c r="CY1257" t="s">
        <v>428</v>
      </c>
      <c r="DA1257" s="143"/>
      <c r="DB1257" s="143">
        <v>0</v>
      </c>
      <c r="DC1257" t="str">
        <f>IF(DB1257=0,"0",IF(AND(DB1257&gt;=1,DB1257&lt;=30),"1-30",IF(AND(DB1257&gt;30,DB1257&lt;=70),"31-70",IF(AND(DB1257&gt;70,DB1257&lt;=100),"71-100",IF(DB1257&gt;100,"+100")))))</f>
        <v>0</v>
      </c>
      <c r="DD1257">
        <v>0</v>
      </c>
      <c r="DE1257">
        <v>1</v>
      </c>
      <c r="DF1257">
        <v>0</v>
      </c>
      <c r="DG1257">
        <v>0</v>
      </c>
      <c r="DI1257">
        <f>SUM(DD1257:DG1257)</f>
        <v>1</v>
      </c>
      <c r="DJ1257" t="str">
        <f>IF(DI1257=1,INDEX($DD$7:$DG$7,MATCH(1,$DD1257:$DG1257,0)),"mixedProduct")</f>
        <v>EnergyInput</v>
      </c>
      <c r="DK1257">
        <f>IF(DD1257=1,DK$7,0)</f>
        <v>0</v>
      </c>
      <c r="DL1257" t="str">
        <f>IF(DE1257=1,DL$7,0)</f>
        <v>Energy</v>
      </c>
      <c r="DM1257">
        <f>IF(DF1257=1,DM$7,0)</f>
        <v>0</v>
      </c>
      <c r="DN1257">
        <f>IF(DG1257=1,DN$7,0)</f>
        <v>0</v>
      </c>
      <c r="DO1257">
        <v>0</v>
      </c>
      <c r="DP1257" s="143">
        <v>0</v>
      </c>
      <c r="DQ1257" s="143">
        <v>0</v>
      </c>
      <c r="DR1257" s="143">
        <v>0</v>
      </c>
      <c r="DS1257" s="143">
        <v>0</v>
      </c>
      <c r="DT1257">
        <f>SUM(DO1257:DP1257)</f>
        <v>0</v>
      </c>
      <c r="DU1257" s="143" t="str">
        <f>IF(DO1257=1,"self-calculated DF",IF(DP1257=1,"external DF used","explicit C balance"))</f>
        <v>explicit C balance</v>
      </c>
      <c r="DV1257" s="143">
        <v>0</v>
      </c>
      <c r="DW1257" s="143">
        <v>0</v>
      </c>
      <c r="DX1257" s="143">
        <v>0</v>
      </c>
      <c r="DY1257" s="143">
        <v>0</v>
      </c>
      <c r="DZ1257">
        <v>0</v>
      </c>
      <c r="EA1257" s="143">
        <v>0</v>
      </c>
      <c r="EB1257" s="143">
        <v>1</v>
      </c>
      <c r="EC1257" s="143">
        <v>1</v>
      </c>
      <c r="ED1257" s="143">
        <v>0</v>
      </c>
      <c r="EE1257" s="143">
        <v>0</v>
      </c>
      <c r="EF1257">
        <v>0</v>
      </c>
      <c r="EG1257" s="143">
        <v>0</v>
      </c>
      <c r="EH1257">
        <v>0</v>
      </c>
      <c r="EI1257" s="2">
        <v>0</v>
      </c>
      <c r="EK1257" t="str">
        <f>IF(AND(AND(AND(OR($DX1257=1,$DW1257=1),OR($EC1257=1,$EA1257=1)),SUM($DV1257:$DZ1257,$EF1257)&gt;=3),SUM($EA1257:$EE1257)&gt;=2),"Whole sector","")</f>
        <v/>
      </c>
      <c r="EL1257" t="str">
        <f>IF(AND(AND(OR($DX1257=1,$DW1257=1),AND($EC1257=0,$EA1257=0)),SUM($DV1257:$DZ1257,$EF1257)&gt;=3),"Ecosystem approach","")</f>
        <v/>
      </c>
      <c r="EM1257" s="2" t="str">
        <f>IF(AND(AND(AND($DX1257=0,$DW1257=0),OR($EC1257=1,$EA1257=1)),SUM($EB1257:$EE1257)&gt;=2),"Technology approach","")</f>
        <v>Technology approach</v>
      </c>
      <c r="EN1257" s="312" t="s">
        <v>3456</v>
      </c>
      <c r="EP1257" t="b">
        <f>IF(ISNUMBER(BU1257),IF(ABS(BU1257-[5]QC_indicators!$B$2)&gt;3*[5]QC_indicators!$C$2,"C ratio",IF(ISNUMBER(BY1257),IF(ABS(BY1257-[5]QC_indicators!$B$1)&gt;3*[5]QC_indicators!$C$1,"DF","no"))),IF(ISNUMBER(BY1257),IF(ABS(BY1257-[5]QC_indicators!$B$1)&gt;3*[5]QC_indicators!$C$1,"DF","no")))</f>
        <v>0</v>
      </c>
    </row>
    <row r="1258" spans="1:149" ht="15" customHeight="1">
      <c r="A1258" s="1" t="s">
        <v>3446</v>
      </c>
      <c r="B1258" t="s">
        <v>3447</v>
      </c>
      <c r="C1258" t="s">
        <v>3448</v>
      </c>
      <c r="D1258" t="s">
        <v>3449</v>
      </c>
      <c r="E1258" t="s">
        <v>3450</v>
      </c>
      <c r="F1258" t="s">
        <v>3451</v>
      </c>
      <c r="G1258" t="s">
        <v>3452</v>
      </c>
      <c r="I1258">
        <v>2018</v>
      </c>
      <c r="K1258" t="s">
        <v>3453</v>
      </c>
      <c r="M1258" t="str">
        <f>LEFT($D1258,FIND(",",$D1258)-1)&amp;"_"&amp;I1258&amp;L1258</f>
        <v>Alanya-Rosenbaum_2018</v>
      </c>
      <c r="N1258" s="312" t="s">
        <v>4383</v>
      </c>
      <c r="O1258" s="140" t="s">
        <v>223</v>
      </c>
      <c r="Q1258" s="312" t="s">
        <v>224</v>
      </c>
      <c r="R1258" s="313"/>
      <c r="S1258" s="1" t="s">
        <v>423</v>
      </c>
      <c r="T1258" t="s">
        <v>1201</v>
      </c>
      <c r="U1258" s="143" t="s">
        <v>1202</v>
      </c>
      <c r="V1258">
        <v>0</v>
      </c>
      <c r="W1258">
        <v>0</v>
      </c>
      <c r="X1258">
        <v>0</v>
      </c>
      <c r="Y1258">
        <v>0</v>
      </c>
      <c r="Z1258">
        <v>0</v>
      </c>
      <c r="AA1258">
        <v>0</v>
      </c>
      <c r="AB1258">
        <v>0</v>
      </c>
      <c r="AC1258">
        <v>0</v>
      </c>
      <c r="AD1258">
        <v>0</v>
      </c>
      <c r="AE1258">
        <v>0</v>
      </c>
      <c r="AF1258">
        <v>0</v>
      </c>
      <c r="AG1258">
        <v>0</v>
      </c>
      <c r="AH1258">
        <v>0</v>
      </c>
      <c r="AI1258">
        <v>0</v>
      </c>
      <c r="AJ1258">
        <v>0</v>
      </c>
      <c r="AK1258">
        <v>1</v>
      </c>
      <c r="AL1258">
        <v>0</v>
      </c>
      <c r="AM1258">
        <v>0</v>
      </c>
      <c r="AN1258">
        <v>0</v>
      </c>
      <c r="AO1258">
        <v>0</v>
      </c>
      <c r="AP1258">
        <v>0</v>
      </c>
      <c r="AQ1258">
        <v>0</v>
      </c>
      <c r="AR1258">
        <v>0</v>
      </c>
      <c r="AS1258">
        <v>0</v>
      </c>
      <c r="AT1258">
        <v>0</v>
      </c>
      <c r="AU1258">
        <v>0</v>
      </c>
      <c r="AV1258">
        <v>0</v>
      </c>
      <c r="AW1258">
        <v>0</v>
      </c>
      <c r="AX1258" s="141">
        <f>COUNTIF(V1258:AW1258,"&lt;&gt;0")</f>
        <v>1</v>
      </c>
      <c r="AY1258" s="141">
        <f>COUNTIF(V1258:AL1258,"&lt;&gt;0")</f>
        <v>1</v>
      </c>
      <c r="AZ1258">
        <f>COUNTIF(V1258:AC1258,"&lt;&gt;0")</f>
        <v>0</v>
      </c>
      <c r="BA1258">
        <f>COUNTIF(AD1258:AI1258,"&lt;&gt;0")</f>
        <v>0</v>
      </c>
      <c r="BB1258">
        <f>COUNTIF(AJ1258:AL1258,"&lt;&gt;0")</f>
        <v>1</v>
      </c>
      <c r="BC1258">
        <f>COUNTIF(AS1258:AW1258,"&lt;&gt;0")</f>
        <v>0</v>
      </c>
      <c r="BD1258">
        <f>COUNTIF(AM1258:AR1258,"&lt;&gt;0")</f>
        <v>0</v>
      </c>
      <c r="BE1258" t="str" cm="1">
        <f t="array" ref="BE1258">IF(AY1258=1,INDEX($V$7:$AL$7,MATCH(TRUE,INDEX($V1258:$AW1258&lt;&gt;0,),0)),IF(AY1258=0,INDEX($AM$7:$AW$7,MATCH(1,$AM1258:$AW1258,0)),IF(BF1258="Multiple strategies","mixed drivers",IF(BF1258="Supply chain","multiple supply","multiple silviculture"))))</f>
        <v>technologies/design switch</v>
      </c>
      <c r="BF1258" s="2" t="str" cm="1">
        <f t="array" ref="BF1258">IF(COUNTIF(AZ1258:BB1258,"&lt;&gt;0")=1,INDEX($V$4:$AW$4,MATCH(TRUE,INDEX($V1258:$AW1258&lt;&gt;0,),0)),IF(COUNTIF(AZ1258:BB1258,"&lt;&gt;0")=0,INDEX($AM$4:$AW$4,MATCH(1,$AM1258:$AW1258,0)),"Multiple strategies"))</f>
        <v>Technology</v>
      </c>
      <c r="BG1258" s="173"/>
      <c r="BJ1258" s="143"/>
      <c r="BL1258" s="143"/>
      <c r="BM1258" s="143"/>
      <c r="BN1258" s="143"/>
      <c r="BO1258" s="143"/>
      <c r="BP1258" s="143" t="s">
        <v>232</v>
      </c>
      <c r="BQ1258" s="143"/>
      <c r="BR1258" s="143" t="s">
        <v>397</v>
      </c>
      <c r="BS1258" s="143">
        <v>-102</v>
      </c>
      <c r="BT1258">
        <v>-4.5599999999999996</v>
      </c>
      <c r="BU1258">
        <f>BT1258/BS1258</f>
        <v>4.4705882352941172E-2</v>
      </c>
      <c r="BV1258">
        <f>BT1258-BS1258</f>
        <v>97.44</v>
      </c>
      <c r="BX1258">
        <f>BV1258/1000</f>
        <v>9.7439999999999999E-2</v>
      </c>
      <c r="BY1258" t="str">
        <f>IFERROR(BX1258/BO1258,"")</f>
        <v/>
      </c>
      <c r="BZ1258">
        <v>1</v>
      </c>
      <c r="CA1258">
        <v>1</v>
      </c>
      <c r="CB1258">
        <v>1</v>
      </c>
      <c r="CC1258">
        <v>1</v>
      </c>
      <c r="CD1258">
        <v>1</v>
      </c>
      <c r="CE1258">
        <v>1</v>
      </c>
      <c r="CF1258">
        <v>1</v>
      </c>
      <c r="CG1258">
        <v>0</v>
      </c>
      <c r="CH1258">
        <v>0</v>
      </c>
      <c r="CI1258">
        <v>0</v>
      </c>
      <c r="CJ1258">
        <v>0</v>
      </c>
      <c r="CK1258">
        <v>0</v>
      </c>
      <c r="CL1258">
        <v>0</v>
      </c>
      <c r="CM1258">
        <v>0</v>
      </c>
      <c r="CN1258" t="str">
        <f>IF(BL1258&lt;BK1258,"refNeedCorrection","refOK")</f>
        <v>refOK</v>
      </c>
      <c r="CO1258"/>
      <c r="CP1258"/>
      <c r="CQ1258"/>
      <c r="CR1258">
        <f>IF($CN1258="refOK",$BS1258,$BT1258)*IF($BP1258="Emissions positive",-1,1)</f>
        <v>-102</v>
      </c>
      <c r="CS1258">
        <f>IF($CN1258="refOK",$BT1258,$BS1258)*IF($BP1258="Emissions positive",-1,1)</f>
        <v>-4.5599999999999996</v>
      </c>
      <c r="CT1258">
        <f>IF($CN1258="refNeedCorrection",-BX1258,BX1258)*IF($BP1258="Emissions positive",-1,1)</f>
        <v>9.7439999999999999E-2</v>
      </c>
      <c r="CU1258" t="str">
        <f>IFERROR(CT1258/CQ1258,"")</f>
        <v/>
      </c>
      <c r="CV1258" s="2">
        <f>IFERROR((CS1258-CR1258)/ABS(CR1258),"")</f>
        <v>0.95529411764705885</v>
      </c>
      <c r="CW1258" s="1" t="s">
        <v>1199</v>
      </c>
      <c r="CX1258" s="312" t="str">
        <f>IF(OR($CW1258="prd",$CW1258="std",$CW1258="cit"),"loc",IF(OR($CW1258="eur",$CW1258="reg",$CW1258="coy"),"reg",$CW1258))</f>
        <v>reg</v>
      </c>
      <c r="CY1258" t="s">
        <v>428</v>
      </c>
      <c r="DA1258" s="143"/>
      <c r="DB1258" s="143">
        <v>0</v>
      </c>
      <c r="DC1258" t="str">
        <f>IF(DB1258=0,"0",IF(AND(DB1258&gt;=1,DB1258&lt;=30),"1-30",IF(AND(DB1258&gt;30,DB1258&lt;=70),"31-70",IF(AND(DB1258&gt;70,DB1258&lt;=100),"71-100",IF(DB1258&gt;100,"+100")))))</f>
        <v>0</v>
      </c>
      <c r="DD1258">
        <v>0</v>
      </c>
      <c r="DE1258">
        <v>1</v>
      </c>
      <c r="DF1258">
        <v>0</v>
      </c>
      <c r="DG1258">
        <v>0</v>
      </c>
      <c r="DI1258">
        <f>SUM(DD1258:DG1258)</f>
        <v>1</v>
      </c>
      <c r="DJ1258" t="str">
        <f>IF(DI1258=1,INDEX($DD$7:$DG$7,MATCH(1,$DD1258:$DG1258,0)),"mixedProduct")</f>
        <v>EnergyInput</v>
      </c>
      <c r="DK1258">
        <f>IF(DD1258=1,DK$7,0)</f>
        <v>0</v>
      </c>
      <c r="DL1258" t="str">
        <f>IF(DE1258=1,DL$7,0)</f>
        <v>Energy</v>
      </c>
      <c r="DM1258">
        <f>IF(DF1258=1,DM$7,0)</f>
        <v>0</v>
      </c>
      <c r="DN1258">
        <f>IF(DG1258=1,DN$7,0)</f>
        <v>0</v>
      </c>
      <c r="DO1258">
        <v>0</v>
      </c>
      <c r="DP1258" s="143">
        <v>0</v>
      </c>
      <c r="DQ1258" s="143">
        <v>0</v>
      </c>
      <c r="DR1258" s="143">
        <v>0</v>
      </c>
      <c r="DS1258" s="143">
        <v>0</v>
      </c>
      <c r="DT1258">
        <f>SUM(DO1258:DP1258)</f>
        <v>0</v>
      </c>
      <c r="DU1258" s="143" t="str">
        <f>IF(DO1258=1,"self-calculated DF",IF(DP1258=1,"external DF used","explicit C balance"))</f>
        <v>explicit C balance</v>
      </c>
      <c r="DV1258" s="143">
        <v>0</v>
      </c>
      <c r="DW1258" s="143">
        <v>0</v>
      </c>
      <c r="DX1258" s="143">
        <v>0</v>
      </c>
      <c r="DY1258" s="143">
        <v>0</v>
      </c>
      <c r="DZ1258">
        <v>0</v>
      </c>
      <c r="EA1258" s="143">
        <v>0</v>
      </c>
      <c r="EB1258" s="143">
        <v>1</v>
      </c>
      <c r="EC1258" s="143">
        <v>1</v>
      </c>
      <c r="ED1258" s="143">
        <v>0</v>
      </c>
      <c r="EE1258" s="143">
        <v>0</v>
      </c>
      <c r="EF1258">
        <v>0</v>
      </c>
      <c r="EG1258" s="143">
        <v>0</v>
      </c>
      <c r="EH1258">
        <v>0</v>
      </c>
      <c r="EI1258" s="2">
        <v>0</v>
      </c>
      <c r="EK1258" t="str">
        <f>IF(AND(AND(AND(OR($DX1258=1,$DW1258=1),OR($EC1258=1,$EA1258=1)),SUM($DV1258:$DZ1258,$EF1258)&gt;=3),SUM($EA1258:$EE1258)&gt;=2),"Whole sector","")</f>
        <v/>
      </c>
      <c r="EL1258" t="str">
        <f>IF(AND(AND(OR($DX1258=1,$DW1258=1),AND($EC1258=0,$EA1258=0)),SUM($DV1258:$DZ1258,$EF1258)&gt;=3),"Ecosystem approach","")</f>
        <v/>
      </c>
      <c r="EM1258" s="2" t="str">
        <f>IF(AND(AND(AND($DX1258=0,$DW1258=0),OR($EC1258=1,$EA1258=1)),SUM($EB1258:$EE1258)&gt;=2),"Technology approach","")</f>
        <v>Technology approach</v>
      </c>
      <c r="EN1258" s="312" t="s">
        <v>3456</v>
      </c>
      <c r="EP1258" t="b">
        <f>IF(ISNUMBER(BU1258),IF(ABS(BU1258-[5]QC_indicators!$B$2)&gt;3*[5]QC_indicators!$C$2,"C ratio",IF(ISNUMBER(BY1258),IF(ABS(BY1258-[5]QC_indicators!$B$1)&gt;3*[5]QC_indicators!$C$1,"DF","no"))),IF(ISNUMBER(BY1258),IF(ABS(BY1258-[5]QC_indicators!$B$1)&gt;3*[5]QC_indicators!$C$1,"DF","no")))</f>
        <v>0</v>
      </c>
    </row>
    <row r="1259" spans="1:149" ht="15" customHeight="1">
      <c r="A1259" s="1" t="s">
        <v>380</v>
      </c>
      <c r="B1259" t="s">
        <v>3459</v>
      </c>
      <c r="C1259" t="s">
        <v>3460</v>
      </c>
      <c r="D1259" t="s">
        <v>3461</v>
      </c>
      <c r="E1259" t="s">
        <v>3462</v>
      </c>
      <c r="F1259" t="s">
        <v>3463</v>
      </c>
      <c r="G1259" t="s">
        <v>386</v>
      </c>
      <c r="I1259">
        <v>2020</v>
      </c>
      <c r="K1259" t="s">
        <v>3464</v>
      </c>
      <c r="M1259" t="str">
        <f>LEFT($D1259,FIND(",",$D1259)-1)&amp;"_"&amp;I1259&amp;L1259</f>
        <v>Albers_2020</v>
      </c>
      <c r="N1259" s="312" t="s">
        <v>4383</v>
      </c>
      <c r="O1259" s="140" t="s">
        <v>223</v>
      </c>
      <c r="Q1259" s="312" t="s">
        <v>224</v>
      </c>
      <c r="R1259" s="313"/>
      <c r="S1259" s="1" t="s">
        <v>3465</v>
      </c>
      <c r="T1259" t="s">
        <v>3466</v>
      </c>
      <c r="U1259" s="143" t="s">
        <v>3467</v>
      </c>
      <c r="V1259">
        <v>0</v>
      </c>
      <c r="W1259">
        <v>0</v>
      </c>
      <c r="X1259">
        <v>0</v>
      </c>
      <c r="Y1259">
        <v>1</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s="141">
        <f>COUNTIF(V1259:AW1259,"&lt;&gt;0")</f>
        <v>1</v>
      </c>
      <c r="AY1259" s="141">
        <f>COUNTIF(V1259:AL1259,"&lt;&gt;0")</f>
        <v>1</v>
      </c>
      <c r="AZ1259">
        <f>COUNTIF(V1259:AC1259,"&lt;&gt;0")</f>
        <v>1</v>
      </c>
      <c r="BA1259">
        <f>COUNTIF(AD1259:AI1259,"&lt;&gt;0")</f>
        <v>0</v>
      </c>
      <c r="BB1259">
        <f>COUNTIF(AJ1259:AL1259,"&lt;&gt;0")</f>
        <v>0</v>
      </c>
      <c r="BC1259">
        <f>COUNTIF(AS1259:AW1259,"&lt;&gt;0")</f>
        <v>0</v>
      </c>
      <c r="BD1259">
        <f>COUNTIF(AM1259:AR1259,"&lt;&gt;0")</f>
        <v>0</v>
      </c>
      <c r="BE1259" t="str" cm="1">
        <f t="array" ref="BE1259">IF(AY1259=1,INDEX($V$7:$AL$7,MATCH(TRUE,INDEX($V1259:$AW1259&lt;&gt;0,),0)),IF(AY1259=0,INDEX($AM$7:$AW$7,MATCH(1,$AM1259:$AW1259,0)),IF(BF1259="Multiple strategies","mixed drivers",IF(BF1259="Supply chain","multiple supply","multiple silviculture"))))</f>
        <v xml:space="preserve">cutting intensity </v>
      </c>
      <c r="BF1259" s="2" t="str" cm="1">
        <f t="array" ref="BF1259">IF(COUNTIF(AZ1259:BB1259,"&lt;&gt;0")=1,INDEX($V$4:$AW$4,MATCH(TRUE,INDEX($V1259:$AW1259&lt;&gt;0,),0)),IF(COUNTIF(AZ1259:BB1259,"&lt;&gt;0")=0,INDEX($AM$4:$AW$4,MATCH(1,$AM1259:$AW1259,0)),"Multiple strategies"))</f>
        <v>Silviculture for removals</v>
      </c>
      <c r="BG1259" s="173"/>
      <c r="BJ1259" s="143"/>
      <c r="BL1259" s="143"/>
      <c r="BM1259" s="143"/>
      <c r="BN1259" s="143"/>
      <c r="BO1259" s="143"/>
      <c r="BP1259" s="312" t="s">
        <v>232</v>
      </c>
      <c r="BQ1259" s="312"/>
      <c r="BR1259" s="143" t="s">
        <v>539</v>
      </c>
      <c r="BS1259">
        <v>-7596899224.8062</v>
      </c>
      <c r="BT1259">
        <v>-7286821705.4263496</v>
      </c>
      <c r="BU1259">
        <v>0.95918367346938704</v>
      </c>
      <c r="BV1259">
        <v>310077519.37985039</v>
      </c>
      <c r="BX1259">
        <f>BV1259</f>
        <v>310077519.37985039</v>
      </c>
      <c r="BY1259" t="str">
        <f>IFERROR(BX1259/BO1259,"")</f>
        <v/>
      </c>
      <c r="BZ1259">
        <v>0</v>
      </c>
      <c r="CA1259">
        <v>0</v>
      </c>
      <c r="CB1259">
        <v>0</v>
      </c>
      <c r="CC1259">
        <v>0</v>
      </c>
      <c r="CD1259">
        <v>0</v>
      </c>
      <c r="CE1259">
        <v>0</v>
      </c>
      <c r="CF1259">
        <v>0</v>
      </c>
      <c r="CG1259">
        <v>0</v>
      </c>
      <c r="CH1259">
        <v>0</v>
      </c>
      <c r="CI1259">
        <v>0</v>
      </c>
      <c r="CJ1259">
        <v>0</v>
      </c>
      <c r="CK1259">
        <v>0</v>
      </c>
      <c r="CL1259">
        <v>0</v>
      </c>
      <c r="CM1259">
        <v>0</v>
      </c>
      <c r="CN1259" t="str">
        <f>IF(BL1259&lt;BK1259,"refNeedCorrection","refOK")</f>
        <v>refOK</v>
      </c>
      <c r="CO1259"/>
      <c r="CP1259"/>
      <c r="CQ1259"/>
      <c r="CR1259">
        <f>IF($CN1259="refOK",$BS1259,$BT1259)*IF($BP1259="Emissions positive",-1,1)</f>
        <v>-7596899224.8062</v>
      </c>
      <c r="CS1259">
        <f>IF($CN1259="refOK",$BT1259,$BS1259)*IF($BP1259="Emissions positive",-1,1)</f>
        <v>-7286821705.4263496</v>
      </c>
      <c r="CT1259">
        <f>IF($CN1259="refNeedCorrection",-BX1259,BX1259)*IF($BP1259="Emissions positive",-1,1)</f>
        <v>310077519.37985039</v>
      </c>
      <c r="CU1259" t="str">
        <f>IFERROR(CT1259/CQ1259,"")</f>
        <v/>
      </c>
      <c r="CV1259" s="2">
        <f>IFERROR((CS1259-CR1259)/ABS(CR1259),"")</f>
        <v>4.081632653061297E-2</v>
      </c>
      <c r="CW1259" s="1" t="s">
        <v>1203</v>
      </c>
      <c r="CX1259" s="312" t="str">
        <f>IF(OR($CW1259="prd",$CW1259="std",$CW1259="cit"),"loc",IF(OR($CW1259="eur",$CW1259="reg",$CW1259="coy"),"reg",$CW1259))</f>
        <v>reg</v>
      </c>
      <c r="CY1259" t="s">
        <v>729</v>
      </c>
      <c r="CZ1259">
        <v>2019</v>
      </c>
      <c r="DA1259" s="143">
        <v>2250</v>
      </c>
      <c r="DB1259" s="143">
        <f>DA1259-CZ1259</f>
        <v>231</v>
      </c>
      <c r="DC1259" t="str">
        <f>IF(DB1259=0,"0",IF(AND(DB1259&gt;=1,DB1259&lt;=30),"1-30",IF(AND(DB1259&gt;30,DB1259&lt;=70),"31-70",IF(AND(DB1259&gt;70,DB1259&lt;=100),"71-100",IF(DB1259&gt;100,"+100")))))</f>
        <v>+100</v>
      </c>
      <c r="DD1259">
        <v>0</v>
      </c>
      <c r="DE1259">
        <v>1</v>
      </c>
      <c r="DF1259">
        <v>0</v>
      </c>
      <c r="DG1259">
        <v>0</v>
      </c>
      <c r="DH1259">
        <v>1</v>
      </c>
      <c r="DI1259">
        <f>SUM(DD1259:DG1259)</f>
        <v>1</v>
      </c>
      <c r="DJ1259" t="str">
        <f>IF(DI1259=1,INDEX($DD$7:$DG$7,MATCH(1,$DD1259:$DG1259,0)),"mixedProduct")</f>
        <v>EnergyInput</v>
      </c>
      <c r="DK1259">
        <f>IF(DD1259=1,DK$7,0)</f>
        <v>0</v>
      </c>
      <c r="DL1259" t="str">
        <f>IF(DE1259=1,DL$7,0)</f>
        <v>Energy</v>
      </c>
      <c r="DM1259">
        <f>IF(DF1259=1,DM$7,0)</f>
        <v>0</v>
      </c>
      <c r="DN1259">
        <f>IF(DG1259=1,DN$7,0)</f>
        <v>0</v>
      </c>
      <c r="DO1259">
        <v>0</v>
      </c>
      <c r="DP1259" s="143">
        <v>0</v>
      </c>
      <c r="DQ1259" s="143">
        <v>0</v>
      </c>
      <c r="DR1259" s="143">
        <v>0</v>
      </c>
      <c r="DS1259" s="143">
        <v>0</v>
      </c>
      <c r="DT1259">
        <f>SUM(DO1259:DP1259)</f>
        <v>0</v>
      </c>
      <c r="DU1259" s="143" t="str">
        <f>IF(DO1259=1,"self-calculated DF",IF(DP1259=1,"external DF used","explicit C balance"))</f>
        <v>explicit C balance</v>
      </c>
      <c r="DV1259" s="143">
        <v>1</v>
      </c>
      <c r="DW1259" s="143">
        <v>1</v>
      </c>
      <c r="DX1259" s="143">
        <v>1</v>
      </c>
      <c r="DY1259" s="143">
        <v>1</v>
      </c>
      <c r="DZ1259">
        <v>1</v>
      </c>
      <c r="EA1259" s="143">
        <v>0</v>
      </c>
      <c r="EB1259" s="143">
        <v>1</v>
      </c>
      <c r="EC1259" s="143">
        <v>1</v>
      </c>
      <c r="ED1259" s="143">
        <v>1</v>
      </c>
      <c r="EE1259" s="143">
        <v>1</v>
      </c>
      <c r="EF1259">
        <v>1</v>
      </c>
      <c r="EG1259" s="143">
        <v>1</v>
      </c>
      <c r="EH1259">
        <v>0</v>
      </c>
      <c r="EI1259" s="2">
        <v>0</v>
      </c>
      <c r="EK1259" t="str">
        <f>IF(AND(AND(AND(OR($DX1259=1,$DW1259=1),OR($EC1259=1,$EA1259=1)),SUM($DV1259:$DZ1259,$EF1259)&gt;=3),SUM($EA1259:$EE1259)&gt;=2),"Whole sector","")</f>
        <v>Whole sector</v>
      </c>
      <c r="EL1259" t="str">
        <f>IF(AND(AND(OR($DX1259=1,$DW1259=1),AND($EC1259=0,$EA1259=0)),SUM($DV1259:$DZ1259,$EF1259)&gt;=3),"Ecosystem approach","")</f>
        <v/>
      </c>
      <c r="EM1259" s="2" t="str">
        <f>IF(AND(AND(AND($DX1259=0,$DW1259=0),OR($EC1259=1,$EA1259=1)),SUM($EB1259:$EE1259)&gt;=2),"Technology approach","")</f>
        <v/>
      </c>
      <c r="EP1259" t="b">
        <f>IF(ISNUMBER(BU1259),IF(ABS(BU1259-[5]QC_indicators!$B$2)&gt;3*[5]QC_indicators!$C$2,"C ratio",IF(ISNUMBER(BY1259),IF(ABS(BY1259-[5]QC_indicators!$B$1)&gt;3*[5]QC_indicators!$C$1,"DF","no"))),IF(ISNUMBER(BY1259),IF(ABS(BY1259-[5]QC_indicators!$B$1)&gt;3*[5]QC_indicators!$C$1,"DF","no")))</f>
        <v>0</v>
      </c>
      <c r="ER1259" s="314" t="s">
        <v>349</v>
      </c>
    </row>
    <row r="1260" spans="1:149" ht="15" customHeight="1">
      <c r="A1260" s="1" t="s">
        <v>380</v>
      </c>
      <c r="B1260" t="s">
        <v>3459</v>
      </c>
      <c r="C1260" t="s">
        <v>3460</v>
      </c>
      <c r="D1260" t="s">
        <v>3461</v>
      </c>
      <c r="E1260" t="s">
        <v>3462</v>
      </c>
      <c r="F1260" t="s">
        <v>3463</v>
      </c>
      <c r="G1260" t="s">
        <v>386</v>
      </c>
      <c r="I1260">
        <v>2020</v>
      </c>
      <c r="K1260" t="s">
        <v>3464</v>
      </c>
      <c r="M1260" t="str">
        <f>LEFT($D1260,FIND(",",$D1260)-1)&amp;"_"&amp;I1260&amp;L1260</f>
        <v>Albers_2020</v>
      </c>
      <c r="N1260" s="312" t="s">
        <v>4383</v>
      </c>
      <c r="O1260" s="140" t="s">
        <v>223</v>
      </c>
      <c r="Q1260" s="312" t="s">
        <v>224</v>
      </c>
      <c r="R1260" s="313"/>
      <c r="S1260" s="1" t="s">
        <v>3465</v>
      </c>
      <c r="T1260" t="s">
        <v>3468</v>
      </c>
      <c r="U1260" s="143" t="s">
        <v>3469</v>
      </c>
      <c r="V1260">
        <v>0</v>
      </c>
      <c r="W1260">
        <v>0</v>
      </c>
      <c r="X1260">
        <v>0</v>
      </c>
      <c r="Y1260">
        <v>1</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s="141">
        <f>COUNTIF(V1260:AW1260,"&lt;&gt;0")</f>
        <v>1</v>
      </c>
      <c r="AY1260" s="141">
        <f>COUNTIF(V1260:AL1260,"&lt;&gt;0")</f>
        <v>1</v>
      </c>
      <c r="AZ1260">
        <f>COUNTIF(V1260:AC1260,"&lt;&gt;0")</f>
        <v>1</v>
      </c>
      <c r="BA1260">
        <f>COUNTIF(AD1260:AI1260,"&lt;&gt;0")</f>
        <v>0</v>
      </c>
      <c r="BB1260">
        <f>COUNTIF(AJ1260:AL1260,"&lt;&gt;0")</f>
        <v>0</v>
      </c>
      <c r="BC1260">
        <f>COUNTIF(AS1260:AW1260,"&lt;&gt;0")</f>
        <v>0</v>
      </c>
      <c r="BD1260">
        <f>COUNTIF(AM1260:AR1260,"&lt;&gt;0")</f>
        <v>0</v>
      </c>
      <c r="BE1260" t="str" cm="1">
        <f t="array" ref="BE1260">IF(AY1260=1,INDEX($V$7:$AL$7,MATCH(TRUE,INDEX($V1260:$AW1260&lt;&gt;0,),0)),IF(AY1260=0,INDEX($AM$7:$AW$7,MATCH(1,$AM1260:$AW1260,0)),IF(BF1260="Multiple strategies","mixed drivers",IF(BF1260="Supply chain","multiple supply","multiple silviculture"))))</f>
        <v xml:space="preserve">cutting intensity </v>
      </c>
      <c r="BF1260" s="2" t="str" cm="1">
        <f t="array" ref="BF1260">IF(COUNTIF(AZ1260:BB1260,"&lt;&gt;0")=1,INDEX($V$4:$AW$4,MATCH(TRUE,INDEX($V1260:$AW1260&lt;&gt;0,),0)),IF(COUNTIF(AZ1260:BB1260,"&lt;&gt;0")=0,INDEX($AM$4:$AW$4,MATCH(1,$AM1260:$AW1260,0)),"Multiple strategies"))</f>
        <v>Silviculture for removals</v>
      </c>
      <c r="BG1260" s="173"/>
      <c r="BJ1260" s="143"/>
      <c r="BL1260" s="143"/>
      <c r="BM1260" s="143"/>
      <c r="BN1260" s="143"/>
      <c r="BO1260" s="143"/>
      <c r="BP1260" s="312" t="s">
        <v>232</v>
      </c>
      <c r="BQ1260" s="312"/>
      <c r="BR1260" s="143" t="s">
        <v>539</v>
      </c>
      <c r="BS1260">
        <v>-3279312247.6837702</v>
      </c>
      <c r="BT1260">
        <v>-3044930440.59132</v>
      </c>
      <c r="BU1260">
        <v>0.92852714551412485</v>
      </c>
      <c r="BV1260">
        <v>234381807.09245014</v>
      </c>
      <c r="BX1260">
        <f>BV1260</f>
        <v>234381807.09245014</v>
      </c>
      <c r="BY1260" t="str">
        <f>IFERROR(BX1260/BO1260,"")</f>
        <v/>
      </c>
      <c r="BZ1260">
        <v>0</v>
      </c>
      <c r="CA1260">
        <v>0</v>
      </c>
      <c r="CB1260">
        <v>0</v>
      </c>
      <c r="CC1260">
        <v>0</v>
      </c>
      <c r="CD1260">
        <v>0</v>
      </c>
      <c r="CE1260">
        <v>0</v>
      </c>
      <c r="CF1260">
        <v>0</v>
      </c>
      <c r="CG1260">
        <v>0</v>
      </c>
      <c r="CH1260">
        <v>0</v>
      </c>
      <c r="CI1260">
        <v>0</v>
      </c>
      <c r="CJ1260">
        <v>0</v>
      </c>
      <c r="CK1260">
        <v>0</v>
      </c>
      <c r="CL1260">
        <v>0</v>
      </c>
      <c r="CM1260">
        <v>0</v>
      </c>
      <c r="CN1260" t="str">
        <f>IF(BL1260&lt;BK1260,"refNeedCorrection","refOK")</f>
        <v>refOK</v>
      </c>
      <c r="CO1260"/>
      <c r="CP1260"/>
      <c r="CQ1260"/>
      <c r="CR1260">
        <f>IF($CN1260="refOK",$BS1260,$BT1260)*IF($BP1260="Emissions positive",-1,1)</f>
        <v>-3279312247.6837702</v>
      </c>
      <c r="CS1260">
        <f>IF($CN1260="refOK",$BT1260,$BS1260)*IF($BP1260="Emissions positive",-1,1)</f>
        <v>-3044930440.59132</v>
      </c>
      <c r="CT1260">
        <f>IF($CN1260="refNeedCorrection",-BX1260,BX1260)*IF($BP1260="Emissions positive",-1,1)</f>
        <v>234381807.09245014</v>
      </c>
      <c r="CU1260" t="str">
        <f>IFERROR(CT1260/CQ1260,"")</f>
        <v/>
      </c>
      <c r="CV1260" s="2">
        <f>IFERROR((CS1260-CR1260)/ABS(CR1260),"")</f>
        <v>7.1472854485875106E-2</v>
      </c>
      <c r="CW1260" s="1" t="s">
        <v>1203</v>
      </c>
      <c r="CX1260" s="312" t="str">
        <f>IF(OR($CW1260="prd",$CW1260="std",$CW1260="cit"),"loc",IF(OR($CW1260="eur",$CW1260="reg",$CW1260="coy"),"reg",$CW1260))</f>
        <v>reg</v>
      </c>
      <c r="CY1260" t="s">
        <v>729</v>
      </c>
      <c r="CZ1260">
        <v>1819</v>
      </c>
      <c r="DA1260" s="143">
        <v>2150</v>
      </c>
      <c r="DB1260" s="143">
        <f>DA1260-CZ1260</f>
        <v>331</v>
      </c>
      <c r="DC1260" t="str">
        <f>IF(DB1260=0,"0",IF(AND(DB1260&gt;=1,DB1260&lt;=30),"1-30",IF(AND(DB1260&gt;30,DB1260&lt;=70),"31-70",IF(AND(DB1260&gt;70,DB1260&lt;=100),"71-100",IF(DB1260&gt;100,"+100")))))</f>
        <v>+100</v>
      </c>
      <c r="DD1260">
        <v>0</v>
      </c>
      <c r="DE1260">
        <v>1</v>
      </c>
      <c r="DF1260">
        <v>0</v>
      </c>
      <c r="DG1260">
        <v>0</v>
      </c>
      <c r="DH1260">
        <v>1</v>
      </c>
      <c r="DI1260">
        <f>SUM(DD1260:DG1260)</f>
        <v>1</v>
      </c>
      <c r="DJ1260" t="str">
        <f>IF(DI1260=1,INDEX($DD$7:$DG$7,MATCH(1,$DD1260:$DG1260,0)),"mixedProduct")</f>
        <v>EnergyInput</v>
      </c>
      <c r="DK1260">
        <f>IF(DD1260=1,DK$7,0)</f>
        <v>0</v>
      </c>
      <c r="DL1260" t="str">
        <f>IF(DE1260=1,DL$7,0)</f>
        <v>Energy</v>
      </c>
      <c r="DM1260">
        <f>IF(DF1260=1,DM$7,0)</f>
        <v>0</v>
      </c>
      <c r="DN1260">
        <f>IF(DG1260=1,DN$7,0)</f>
        <v>0</v>
      </c>
      <c r="DO1260">
        <v>0</v>
      </c>
      <c r="DP1260" s="143">
        <v>0</v>
      </c>
      <c r="DQ1260" s="143">
        <v>0</v>
      </c>
      <c r="DR1260" s="143">
        <v>0</v>
      </c>
      <c r="DS1260" s="143">
        <v>0</v>
      </c>
      <c r="DT1260">
        <f>SUM(DO1260:DP1260)</f>
        <v>0</v>
      </c>
      <c r="DU1260" s="143" t="str">
        <f>IF(DO1260=1,"self-calculated DF",IF(DP1260=1,"external DF used","explicit C balance"))</f>
        <v>explicit C balance</v>
      </c>
      <c r="DV1260" s="143">
        <v>1</v>
      </c>
      <c r="DW1260" s="143">
        <v>1</v>
      </c>
      <c r="DX1260" s="143">
        <v>1</v>
      </c>
      <c r="DY1260" s="143">
        <v>1</v>
      </c>
      <c r="DZ1260">
        <v>1</v>
      </c>
      <c r="EA1260" s="143">
        <v>0</v>
      </c>
      <c r="EB1260" s="143">
        <v>1</v>
      </c>
      <c r="EC1260" s="143">
        <v>1</v>
      </c>
      <c r="ED1260" s="143">
        <v>1</v>
      </c>
      <c r="EE1260" s="143">
        <v>1</v>
      </c>
      <c r="EF1260">
        <v>1</v>
      </c>
      <c r="EG1260" s="143">
        <v>1</v>
      </c>
      <c r="EH1260">
        <v>0</v>
      </c>
      <c r="EI1260" s="2">
        <v>0</v>
      </c>
      <c r="EK1260" t="str">
        <f>IF(AND(AND(AND(OR($DX1260=1,$DW1260=1),OR($EC1260=1,$EA1260=1)),SUM($DV1260:$DZ1260,$EF1260)&gt;=3),SUM($EA1260:$EE1260)&gt;=2),"Whole sector","")</f>
        <v>Whole sector</v>
      </c>
      <c r="EL1260" t="str">
        <f>IF(AND(AND(OR($DX1260=1,$DW1260=1),AND($EC1260=0,$EA1260=0)),SUM($DV1260:$DZ1260,$EF1260)&gt;=3),"Ecosystem approach","")</f>
        <v/>
      </c>
      <c r="EM1260" s="2" t="str">
        <f>IF(AND(AND(AND($DX1260=0,$DW1260=0),OR($EC1260=1,$EA1260=1)),SUM($EB1260:$EE1260)&gt;=2),"Technology approach","")</f>
        <v/>
      </c>
      <c r="EP1260" t="b">
        <f>IF(ISNUMBER(BU1260),IF(ABS(BU1260-[5]QC_indicators!$B$2)&gt;3*[5]QC_indicators!$C$2,"C ratio",IF(ISNUMBER(BY1260),IF(ABS(BY1260-[5]QC_indicators!$B$1)&gt;3*[5]QC_indicators!$C$1,"DF","no"))),IF(ISNUMBER(BY1260),IF(ABS(BY1260-[5]QC_indicators!$B$1)&gt;3*[5]QC_indicators!$C$1,"DF","no")))</f>
        <v>0</v>
      </c>
      <c r="ER1260" s="314" t="s">
        <v>349</v>
      </c>
    </row>
    <row r="1261" spans="1:149" ht="15" customHeight="1">
      <c r="A1261" s="1" t="s">
        <v>380</v>
      </c>
      <c r="B1261" t="s">
        <v>3459</v>
      </c>
      <c r="C1261" t="s">
        <v>3460</v>
      </c>
      <c r="D1261" t="s">
        <v>3461</v>
      </c>
      <c r="E1261" t="s">
        <v>3462</v>
      </c>
      <c r="F1261" t="s">
        <v>3463</v>
      </c>
      <c r="G1261" t="s">
        <v>386</v>
      </c>
      <c r="I1261">
        <v>2020</v>
      </c>
      <c r="K1261" t="s">
        <v>3464</v>
      </c>
      <c r="M1261" t="str">
        <f>LEFT($D1261,FIND(",",$D1261)-1)&amp;"_"&amp;I1261&amp;L1261</f>
        <v>Albers_2020</v>
      </c>
      <c r="N1261" s="312" t="s">
        <v>4383</v>
      </c>
      <c r="O1261" s="140" t="s">
        <v>223</v>
      </c>
      <c r="Q1261" s="312" t="s">
        <v>224</v>
      </c>
      <c r="R1261" s="313"/>
      <c r="S1261" s="1" t="s">
        <v>3465</v>
      </c>
      <c r="T1261" t="s">
        <v>3470</v>
      </c>
      <c r="U1261" s="143" t="s">
        <v>3471</v>
      </c>
      <c r="V1261">
        <v>0</v>
      </c>
      <c r="W1261">
        <v>0</v>
      </c>
      <c r="X1261">
        <v>0</v>
      </c>
      <c r="Y1261">
        <v>1</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s="141">
        <f>COUNTIF(V1261:AW1261,"&lt;&gt;0")</f>
        <v>1</v>
      </c>
      <c r="AY1261" s="141">
        <f>COUNTIF(V1261:AL1261,"&lt;&gt;0")</f>
        <v>1</v>
      </c>
      <c r="AZ1261">
        <f>COUNTIF(V1261:AC1261,"&lt;&gt;0")</f>
        <v>1</v>
      </c>
      <c r="BA1261">
        <f>COUNTIF(AD1261:AI1261,"&lt;&gt;0")</f>
        <v>0</v>
      </c>
      <c r="BB1261">
        <f>COUNTIF(AJ1261:AL1261,"&lt;&gt;0")</f>
        <v>0</v>
      </c>
      <c r="BC1261">
        <f>COUNTIF(AS1261:AW1261,"&lt;&gt;0")</f>
        <v>0</v>
      </c>
      <c r="BD1261">
        <f>COUNTIF(AM1261:AR1261,"&lt;&gt;0")</f>
        <v>0</v>
      </c>
      <c r="BE1261" t="str" cm="1">
        <f t="array" ref="BE1261">IF(AY1261=1,INDEX($V$7:$AL$7,MATCH(TRUE,INDEX($V1261:$AW1261&lt;&gt;0,),0)),IF(AY1261=0,INDEX($AM$7:$AW$7,MATCH(1,$AM1261:$AW1261,0)),IF(BF1261="Multiple strategies","mixed drivers",IF(BF1261="Supply chain","multiple supply","multiple silviculture"))))</f>
        <v xml:space="preserve">cutting intensity </v>
      </c>
      <c r="BF1261" s="2" t="str" cm="1">
        <f t="array" ref="BF1261">IF(COUNTIF(AZ1261:BB1261,"&lt;&gt;0")=1,INDEX($V$4:$AW$4,MATCH(TRUE,INDEX($V1261:$AW1261&lt;&gt;0,),0)),IF(COUNTIF(AZ1261:BB1261,"&lt;&gt;0")=0,INDEX($AM$4:$AW$4,MATCH(1,$AM1261:$AW1261,0)),"Multiple strategies"))</f>
        <v>Silviculture for removals</v>
      </c>
      <c r="BG1261" s="173"/>
      <c r="BJ1261" s="143"/>
      <c r="BL1261" s="143"/>
      <c r="BM1261" s="143"/>
      <c r="BN1261" s="143"/>
      <c r="BO1261" s="143"/>
      <c r="BP1261" s="312" t="s">
        <v>232</v>
      </c>
      <c r="BQ1261" s="312"/>
      <c r="BR1261" s="143" t="s">
        <v>539</v>
      </c>
      <c r="BS1261">
        <v>-930232558.13953495</v>
      </c>
      <c r="BT1261">
        <v>-620155038.759691</v>
      </c>
      <c r="BU1261">
        <v>0.66666666666666774</v>
      </c>
      <c r="BV1261">
        <v>310077519.37984395</v>
      </c>
      <c r="BX1261">
        <f>BV1261</f>
        <v>310077519.37984395</v>
      </c>
      <c r="BY1261" t="str">
        <f>IFERROR(BX1261/BO1261,"")</f>
        <v/>
      </c>
      <c r="BZ1261">
        <v>0</v>
      </c>
      <c r="CA1261">
        <v>0</v>
      </c>
      <c r="CB1261">
        <v>0</v>
      </c>
      <c r="CC1261">
        <v>0</v>
      </c>
      <c r="CD1261">
        <v>0</v>
      </c>
      <c r="CE1261">
        <v>0</v>
      </c>
      <c r="CF1261">
        <v>0</v>
      </c>
      <c r="CG1261">
        <v>0</v>
      </c>
      <c r="CH1261">
        <v>0</v>
      </c>
      <c r="CI1261">
        <v>0</v>
      </c>
      <c r="CJ1261">
        <v>0</v>
      </c>
      <c r="CK1261">
        <v>0</v>
      </c>
      <c r="CL1261">
        <v>0</v>
      </c>
      <c r="CM1261">
        <v>0</v>
      </c>
      <c r="CN1261" t="str">
        <f>IF(BL1261&lt;BK1261,"refNeedCorrection","refOK")</f>
        <v>refOK</v>
      </c>
      <c r="CO1261"/>
      <c r="CP1261"/>
      <c r="CQ1261"/>
      <c r="CR1261">
        <f>IF($CN1261="refOK",$BS1261,$BT1261)*IF($BP1261="Emissions positive",-1,1)</f>
        <v>-930232558.13953495</v>
      </c>
      <c r="CS1261">
        <f>IF($CN1261="refOK",$BT1261,$BS1261)*IF($BP1261="Emissions positive",-1,1)</f>
        <v>-620155038.759691</v>
      </c>
      <c r="CT1261">
        <f>IF($CN1261="refNeedCorrection",-BX1261,BX1261)*IF($BP1261="Emissions positive",-1,1)</f>
        <v>310077519.37984395</v>
      </c>
      <c r="CU1261" t="str">
        <f>IFERROR(CT1261/CQ1261,"")</f>
        <v/>
      </c>
      <c r="CV1261" s="2">
        <f>IFERROR((CS1261-CR1261)/ABS(CR1261),"")</f>
        <v>0.3333333333333322</v>
      </c>
      <c r="CW1261" s="1" t="s">
        <v>1203</v>
      </c>
      <c r="CX1261" s="312" t="str">
        <f>IF(OR($CW1261="prd",$CW1261="std",$CW1261="cit"),"loc",IF(OR($CW1261="eur",$CW1261="reg",$CW1261="coy"),"reg",$CW1261))</f>
        <v>reg</v>
      </c>
      <c r="CY1261" t="s">
        <v>729</v>
      </c>
      <c r="CZ1261">
        <v>2019</v>
      </c>
      <c r="DA1261" s="143">
        <v>2250</v>
      </c>
      <c r="DB1261" s="143">
        <f>DA1261-CZ1261</f>
        <v>231</v>
      </c>
      <c r="DC1261" t="str">
        <f>IF(DB1261=0,"0",IF(AND(DB1261&gt;=1,DB1261&lt;=30),"1-30",IF(AND(DB1261&gt;30,DB1261&lt;=70),"31-70",IF(AND(DB1261&gt;70,DB1261&lt;=100),"71-100",IF(DB1261&gt;100,"+100")))))</f>
        <v>+100</v>
      </c>
      <c r="DD1261">
        <v>0</v>
      </c>
      <c r="DE1261">
        <v>1</v>
      </c>
      <c r="DF1261">
        <v>0</v>
      </c>
      <c r="DG1261">
        <v>0</v>
      </c>
      <c r="DH1261">
        <v>1</v>
      </c>
      <c r="DI1261">
        <f>SUM(DD1261:DG1261)</f>
        <v>1</v>
      </c>
      <c r="DJ1261" t="str">
        <f>IF(DI1261=1,INDEX($DD$7:$DG$7,MATCH(1,$DD1261:$DG1261,0)),"mixedProduct")</f>
        <v>EnergyInput</v>
      </c>
      <c r="DK1261">
        <f>IF(DD1261=1,DK$7,0)</f>
        <v>0</v>
      </c>
      <c r="DL1261" t="str">
        <f>IF(DE1261=1,DL$7,0)</f>
        <v>Energy</v>
      </c>
      <c r="DM1261">
        <f>IF(DF1261=1,DM$7,0)</f>
        <v>0</v>
      </c>
      <c r="DN1261">
        <f>IF(DG1261=1,DN$7,0)</f>
        <v>0</v>
      </c>
      <c r="DO1261">
        <v>0</v>
      </c>
      <c r="DP1261" s="143">
        <v>0</v>
      </c>
      <c r="DQ1261" s="143">
        <v>0</v>
      </c>
      <c r="DR1261" s="143">
        <v>0</v>
      </c>
      <c r="DS1261" s="143">
        <v>0</v>
      </c>
      <c r="DT1261">
        <f>SUM(DO1261:DP1261)</f>
        <v>0</v>
      </c>
      <c r="DU1261" s="143" t="str">
        <f>IF(DO1261=1,"self-calculated DF",IF(DP1261=1,"external DF used","explicit C balance"))</f>
        <v>explicit C balance</v>
      </c>
      <c r="DV1261" s="143">
        <v>1</v>
      </c>
      <c r="DW1261" s="143">
        <v>1</v>
      </c>
      <c r="DX1261" s="143">
        <v>1</v>
      </c>
      <c r="DY1261" s="143">
        <v>1</v>
      </c>
      <c r="DZ1261">
        <v>1</v>
      </c>
      <c r="EA1261" s="143">
        <v>0</v>
      </c>
      <c r="EB1261" s="143">
        <v>0</v>
      </c>
      <c r="EC1261" s="143">
        <v>0</v>
      </c>
      <c r="ED1261" s="143">
        <v>0</v>
      </c>
      <c r="EE1261" s="143">
        <v>0</v>
      </c>
      <c r="EF1261">
        <v>1</v>
      </c>
      <c r="EG1261" s="143">
        <v>1</v>
      </c>
      <c r="EH1261">
        <v>0</v>
      </c>
      <c r="EI1261" s="2">
        <v>0</v>
      </c>
      <c r="EK1261" t="str">
        <f>IF(AND(AND(AND(OR($DX1261=1,$DW1261=1),OR($EC1261=1,$EA1261=1)),SUM($DV1261:$DZ1261,$EF1261)&gt;=3),SUM($EA1261:$EE1261)&gt;=2),"Whole sector","")</f>
        <v/>
      </c>
      <c r="EL1261" t="str">
        <f>IF(AND(AND(OR($DX1261=1,$DW1261=1),AND($EC1261=0,$EA1261=0)),SUM($DV1261:$DZ1261,$EF1261)&gt;=3),"Ecosystem approach","")</f>
        <v>Ecosystem approach</v>
      </c>
      <c r="EM1261" s="2" t="str">
        <f>IF(AND(AND(AND($DX1261=0,$DW1261=0),OR($EC1261=1,$EA1261=1)),SUM($EB1261:$EE1261)&gt;=2),"Technology approach","")</f>
        <v/>
      </c>
      <c r="EN1261" s="312"/>
      <c r="EP1261" t="b">
        <f>IF(ISNUMBER(BU1261),IF(ABS(BU1261-[5]QC_indicators!$B$2)&gt;3*[5]QC_indicators!$C$2,"C ratio",IF(ISNUMBER(BY1261),IF(ABS(BY1261-[5]QC_indicators!$B$1)&gt;3*[5]QC_indicators!$C$1,"DF","no"))),IF(ISNUMBER(BY1261),IF(ABS(BY1261-[5]QC_indicators!$B$1)&gt;3*[5]QC_indicators!$C$1,"DF","no")))</f>
        <v>0</v>
      </c>
      <c r="ER1261" s="314" t="s">
        <v>349</v>
      </c>
    </row>
    <row r="1262" spans="1:149" ht="15" customHeight="1">
      <c r="A1262" s="1" t="s">
        <v>380</v>
      </c>
      <c r="B1262" t="s">
        <v>3459</v>
      </c>
      <c r="C1262" t="s">
        <v>3460</v>
      </c>
      <c r="D1262" t="s">
        <v>3461</v>
      </c>
      <c r="E1262" s="312" t="s">
        <v>3462</v>
      </c>
      <c r="F1262" t="s">
        <v>3463</v>
      </c>
      <c r="G1262" t="s">
        <v>386</v>
      </c>
      <c r="I1262">
        <v>2020</v>
      </c>
      <c r="K1262" t="s">
        <v>3464</v>
      </c>
      <c r="M1262" t="str">
        <f>LEFT($D1262,FIND(",",$D1262)-1)&amp;"_"&amp;I1262&amp;L1262</f>
        <v>Albers_2020</v>
      </c>
      <c r="N1262" s="312" t="s">
        <v>4383</v>
      </c>
      <c r="O1262" s="140" t="s">
        <v>223</v>
      </c>
      <c r="Q1262" s="312" t="s">
        <v>224</v>
      </c>
      <c r="R1262" s="313"/>
      <c r="S1262" s="1" t="s">
        <v>3465</v>
      </c>
      <c r="T1262" t="s">
        <v>3472</v>
      </c>
      <c r="U1262" s="143" t="s">
        <v>3473</v>
      </c>
      <c r="V1262">
        <v>0</v>
      </c>
      <c r="W1262">
        <v>0</v>
      </c>
      <c r="X1262">
        <v>0</v>
      </c>
      <c r="Y1262">
        <v>1</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s="141">
        <f>COUNTIF(V1262:AW1262,"&lt;&gt;0")</f>
        <v>1</v>
      </c>
      <c r="AY1262" s="141">
        <f>COUNTIF(V1262:AL1262,"&lt;&gt;0")</f>
        <v>1</v>
      </c>
      <c r="AZ1262">
        <f>COUNTIF(V1262:AC1262,"&lt;&gt;0")</f>
        <v>1</v>
      </c>
      <c r="BA1262">
        <f>COUNTIF(AD1262:AI1262,"&lt;&gt;0")</f>
        <v>0</v>
      </c>
      <c r="BB1262">
        <f>COUNTIF(AJ1262:AL1262,"&lt;&gt;0")</f>
        <v>0</v>
      </c>
      <c r="BC1262">
        <f>COUNTIF(AS1262:AW1262,"&lt;&gt;0")</f>
        <v>0</v>
      </c>
      <c r="BD1262">
        <f>COUNTIF(AM1262:AR1262,"&lt;&gt;0")</f>
        <v>0</v>
      </c>
      <c r="BE1262" t="str" cm="1">
        <f t="array" ref="BE1262">IF(AY1262=1,INDEX($V$7:$AL$7,MATCH(TRUE,INDEX($V1262:$AW1262&lt;&gt;0,),0)),IF(AY1262=0,INDEX($AM$7:$AW$7,MATCH(1,$AM1262:$AW1262,0)),IF(BF1262="Multiple strategies","mixed drivers",IF(BF1262="Supply chain","multiple supply","multiple silviculture"))))</f>
        <v xml:space="preserve">cutting intensity </v>
      </c>
      <c r="BF1262" s="2" t="str" cm="1">
        <f t="array" ref="BF1262">IF(COUNTIF(AZ1262:BB1262,"&lt;&gt;0")=1,INDEX($V$4:$AW$4,MATCH(TRUE,INDEX($V1262:$AW1262&lt;&gt;0,),0)),IF(COUNTIF(AZ1262:BB1262,"&lt;&gt;0")=0,INDEX($AM$4:$AW$4,MATCH(1,$AM1262:$AW1262,0)),"Multiple strategies"))</f>
        <v>Silviculture for removals</v>
      </c>
      <c r="BG1262" s="173"/>
      <c r="BJ1262" s="143"/>
      <c r="BL1262" s="143"/>
      <c r="BM1262" s="143"/>
      <c r="BN1262" s="143"/>
      <c r="BO1262" s="143"/>
      <c r="BP1262" s="312" t="s">
        <v>232</v>
      </c>
      <c r="BQ1262" s="312"/>
      <c r="BR1262" s="143" t="s">
        <v>539</v>
      </c>
      <c r="BS1262">
        <v>2033051.6104679101</v>
      </c>
      <c r="BT1262">
        <v>236414858.70291299</v>
      </c>
      <c r="BU1262">
        <v>116.28571428568</v>
      </c>
      <c r="BV1262">
        <v>234381807.09244508</v>
      </c>
      <c r="BX1262">
        <f>BV1262</f>
        <v>234381807.09244508</v>
      </c>
      <c r="BY1262" t="str">
        <f>IFERROR(BX1262/BO1262,"")</f>
        <v/>
      </c>
      <c r="BZ1262">
        <v>0</v>
      </c>
      <c r="CA1262">
        <v>0</v>
      </c>
      <c r="CB1262">
        <v>0</v>
      </c>
      <c r="CC1262">
        <v>0</v>
      </c>
      <c r="CD1262">
        <v>0</v>
      </c>
      <c r="CE1262">
        <v>0</v>
      </c>
      <c r="CF1262">
        <v>0</v>
      </c>
      <c r="CG1262">
        <v>0</v>
      </c>
      <c r="CH1262">
        <v>0</v>
      </c>
      <c r="CI1262">
        <v>0</v>
      </c>
      <c r="CJ1262">
        <v>0</v>
      </c>
      <c r="CK1262">
        <v>0</v>
      </c>
      <c r="CL1262">
        <v>0</v>
      </c>
      <c r="CM1262">
        <v>0</v>
      </c>
      <c r="CN1262" t="str">
        <f>IF(BL1262&lt;BK1262,"refNeedCorrection","refOK")</f>
        <v>refOK</v>
      </c>
      <c r="CO1262"/>
      <c r="CP1262"/>
      <c r="CQ1262"/>
      <c r="CR1262">
        <f>IF($CN1262="refOK",$BS1262,$BT1262)*IF($BP1262="Emissions positive",-1,1)</f>
        <v>2033051.6104679101</v>
      </c>
      <c r="CS1262">
        <f>IF($CN1262="refOK",$BT1262,$BS1262)*IF($BP1262="Emissions positive",-1,1)</f>
        <v>236414858.70291299</v>
      </c>
      <c r="CT1262">
        <f>IF($CN1262="refNeedCorrection",-BX1262,BX1262)*IF($BP1262="Emissions positive",-1,1)</f>
        <v>234381807.09244508</v>
      </c>
      <c r="CU1262" t="str">
        <f>IFERROR(CT1262/CQ1262,"")</f>
        <v/>
      </c>
      <c r="CV1262" s="2">
        <f>IFERROR((CS1262-CR1262)/ABS(CR1262),"")</f>
        <v>115.28571428568</v>
      </c>
      <c r="CW1262" s="1" t="s">
        <v>1203</v>
      </c>
      <c r="CX1262" s="312" t="str">
        <f>IF(OR($CW1262="prd",$CW1262="std",$CW1262="cit"),"loc",IF(OR($CW1262="eur",$CW1262="reg",$CW1262="coy"),"reg",$CW1262))</f>
        <v>reg</v>
      </c>
      <c r="CY1262" t="s">
        <v>729</v>
      </c>
      <c r="CZ1262">
        <v>1819</v>
      </c>
      <c r="DA1262" s="143">
        <v>2150</v>
      </c>
      <c r="DB1262" s="143">
        <f>DA1262-CZ1262</f>
        <v>331</v>
      </c>
      <c r="DC1262" t="str">
        <f>IF(DB1262=0,"0",IF(AND(DB1262&gt;=1,DB1262&lt;=30),"1-30",IF(AND(DB1262&gt;30,DB1262&lt;=70),"31-70",IF(AND(DB1262&gt;70,DB1262&lt;=100),"71-100",IF(DB1262&gt;100,"+100")))))</f>
        <v>+100</v>
      </c>
      <c r="DD1262">
        <v>0</v>
      </c>
      <c r="DE1262">
        <v>1</v>
      </c>
      <c r="DF1262">
        <v>0</v>
      </c>
      <c r="DG1262">
        <v>0</v>
      </c>
      <c r="DH1262">
        <v>1</v>
      </c>
      <c r="DI1262">
        <f>SUM(DD1262:DG1262)</f>
        <v>1</v>
      </c>
      <c r="DJ1262" t="str">
        <f>IF(DI1262=1,INDEX($DD$7:$DG$7,MATCH(1,$DD1262:$DG1262,0)),"mixedProduct")</f>
        <v>EnergyInput</v>
      </c>
      <c r="DK1262">
        <f>IF(DD1262=1,DK$7,0)</f>
        <v>0</v>
      </c>
      <c r="DL1262" t="str">
        <f>IF(DE1262=1,DL$7,0)</f>
        <v>Energy</v>
      </c>
      <c r="DM1262">
        <f>IF(DF1262=1,DM$7,0)</f>
        <v>0</v>
      </c>
      <c r="DN1262">
        <f>IF(DG1262=1,DN$7,0)</f>
        <v>0</v>
      </c>
      <c r="DO1262">
        <v>0</v>
      </c>
      <c r="DP1262" s="143">
        <v>0</v>
      </c>
      <c r="DQ1262" s="143">
        <v>0</v>
      </c>
      <c r="DR1262" s="143">
        <v>0</v>
      </c>
      <c r="DS1262" s="143">
        <v>0</v>
      </c>
      <c r="DT1262">
        <f>SUM(DO1262:DP1262)</f>
        <v>0</v>
      </c>
      <c r="DU1262" s="143" t="str">
        <f>IF(DO1262=1,"self-calculated DF",IF(DP1262=1,"external DF used","explicit C balance"))</f>
        <v>explicit C balance</v>
      </c>
      <c r="DV1262" s="143">
        <v>1</v>
      </c>
      <c r="DW1262" s="143">
        <v>1</v>
      </c>
      <c r="DX1262" s="143">
        <v>1</v>
      </c>
      <c r="DY1262" s="143">
        <v>1</v>
      </c>
      <c r="DZ1262">
        <v>1</v>
      </c>
      <c r="EA1262" s="143">
        <v>0</v>
      </c>
      <c r="EB1262" s="143">
        <v>0</v>
      </c>
      <c r="EC1262" s="143">
        <v>0</v>
      </c>
      <c r="ED1262" s="143">
        <v>0</v>
      </c>
      <c r="EE1262" s="143">
        <v>0</v>
      </c>
      <c r="EF1262">
        <v>1</v>
      </c>
      <c r="EG1262" s="143">
        <v>1</v>
      </c>
      <c r="EH1262">
        <v>0</v>
      </c>
      <c r="EI1262" s="2">
        <v>0</v>
      </c>
      <c r="EK1262" t="str">
        <f>IF(AND(AND(AND(OR($DX1262=1,$DW1262=1),OR($EC1262=1,$EA1262=1)),SUM($DV1262:$DZ1262,$EF1262)&gt;=3),SUM($EA1262:$EE1262)&gt;=2),"Whole sector","")</f>
        <v/>
      </c>
      <c r="EL1262" t="str">
        <f>IF(AND(AND(OR($DX1262=1,$DW1262=1),AND($EC1262=0,$EA1262=0)),SUM($DV1262:$DZ1262,$EF1262)&gt;=3),"Ecosystem approach","")</f>
        <v>Ecosystem approach</v>
      </c>
      <c r="EM1262" s="2" t="str">
        <f>IF(AND(AND(AND($DX1262=0,$DW1262=0),OR($EC1262=1,$EA1262=1)),SUM($EB1262:$EE1262)&gt;=2),"Technology approach","")</f>
        <v/>
      </c>
      <c r="EN1262" s="312"/>
      <c r="EP1262" t="str">
        <f>IF(ISNUMBER(BU1262),IF(ABS(BU1262-[5]QC_indicators!$B$2)&gt;3*[5]QC_indicators!$C$2,"C ratio",IF(ISNUMBER(BY1262),IF(ABS(BY1262-[5]QC_indicators!$B$1)&gt;3*[5]QC_indicators!$C$1,"DF","no"))),IF(ISNUMBER(BY1262),IF(ABS(BY1262-[5]QC_indicators!$B$1)&gt;3*[5]QC_indicators!$C$1,"DF","no")))</f>
        <v>C ratio</v>
      </c>
      <c r="ER1262" s="314" t="s">
        <v>349</v>
      </c>
    </row>
    <row r="1263" spans="1:149" ht="15" customHeight="1">
      <c r="A1263" s="1" t="s">
        <v>1127</v>
      </c>
      <c r="B1263" t="s">
        <v>3474</v>
      </c>
      <c r="C1263" t="s">
        <v>3475</v>
      </c>
      <c r="D1263" t="s">
        <v>3476</v>
      </c>
      <c r="E1263" s="312" t="s">
        <v>3477</v>
      </c>
      <c r="F1263" t="s">
        <v>3478</v>
      </c>
      <c r="G1263" t="s">
        <v>1133</v>
      </c>
      <c r="H1263" t="s">
        <v>254</v>
      </c>
      <c r="I1263">
        <v>2022</v>
      </c>
      <c r="J1263">
        <v>7</v>
      </c>
      <c r="K1263" t="s">
        <v>3479</v>
      </c>
      <c r="M1263" t="str">
        <f>LEFT($D1263,FIND(",",$D1263)-1)&amp;"_"&amp;I1263&amp;L1263</f>
        <v>Allen_2022</v>
      </c>
      <c r="N1263" s="312" t="s">
        <v>4383</v>
      </c>
      <c r="O1263" s="161" t="s">
        <v>223</v>
      </c>
      <c r="Q1263" s="312" t="s">
        <v>389</v>
      </c>
      <c r="R1263" s="313"/>
      <c r="S1263" s="154" t="s">
        <v>3480</v>
      </c>
      <c r="T1263" s="149" t="s">
        <v>3481</v>
      </c>
      <c r="U1263" s="312" t="s">
        <v>3482</v>
      </c>
      <c r="V1263">
        <v>0</v>
      </c>
      <c r="W1263">
        <v>0</v>
      </c>
      <c r="X1263">
        <v>0</v>
      </c>
      <c r="Y1263">
        <v>0</v>
      </c>
      <c r="Z1263">
        <v>0</v>
      </c>
      <c r="AA1263">
        <v>0</v>
      </c>
      <c r="AB1263">
        <v>0</v>
      </c>
      <c r="AC1263">
        <v>0</v>
      </c>
      <c r="AD1263">
        <v>0</v>
      </c>
      <c r="AE1263">
        <v>0</v>
      </c>
      <c r="AF1263">
        <v>0</v>
      </c>
      <c r="AG1263">
        <v>0</v>
      </c>
      <c r="AH1263">
        <v>0</v>
      </c>
      <c r="AI1263">
        <v>0</v>
      </c>
      <c r="AJ1263">
        <v>0</v>
      </c>
      <c r="AK1263">
        <v>1</v>
      </c>
      <c r="AL1263">
        <v>0</v>
      </c>
      <c r="AM1263">
        <v>0</v>
      </c>
      <c r="AN1263">
        <v>2</v>
      </c>
      <c r="AO1263">
        <v>0</v>
      </c>
      <c r="AP1263">
        <v>0</v>
      </c>
      <c r="AQ1263">
        <v>0</v>
      </c>
      <c r="AR1263">
        <v>0</v>
      </c>
      <c r="AS1263">
        <v>0</v>
      </c>
      <c r="AT1263">
        <v>2</v>
      </c>
      <c r="AU1263">
        <v>0</v>
      </c>
      <c r="AV1263">
        <v>0</v>
      </c>
      <c r="AW1263">
        <v>0</v>
      </c>
      <c r="AX1263" s="141">
        <f>COUNTIF(V1263:AW1263,"&lt;&gt;0")</f>
        <v>3</v>
      </c>
      <c r="AY1263" s="141">
        <f>COUNTIF(V1263:AL1263,"&lt;&gt;0")</f>
        <v>1</v>
      </c>
      <c r="AZ1263">
        <f>COUNTIF(V1263:AC1263,"&lt;&gt;0")</f>
        <v>0</v>
      </c>
      <c r="BA1263">
        <f>COUNTIF(AD1263:AI1263,"&lt;&gt;0")</f>
        <v>0</v>
      </c>
      <c r="BB1263">
        <f>COUNTIF(AJ1263:AL1263,"&lt;&gt;0")</f>
        <v>1</v>
      </c>
      <c r="BC1263">
        <f>COUNTIF(AS1263:AW1263,"&lt;&gt;0")</f>
        <v>1</v>
      </c>
      <c r="BD1263">
        <f>COUNTIF(AM1263:AR1263,"&lt;&gt;0")</f>
        <v>1</v>
      </c>
      <c r="BE1263" t="str" cm="1">
        <f t="array" ref="BE1263">IF(AY1263=1,INDEX($V$7:$AL$7,MATCH(TRUE,INDEX($V1263:$AW1263&lt;&gt;0,),0)),IF(AY1263=0,INDEX($AM$7:$AW$7,MATCH(1,$AM1263:$AW1263,0)),IF(BF1263="Multiple strategies","mixed drivers",IF(BF1263="Supply chain","multiple supply","multiple silviculture"))))</f>
        <v>technologies/design switch</v>
      </c>
      <c r="BF1263" s="2" t="str" cm="1">
        <f t="array" ref="BF1263">IF(COUNTIF(AZ1263:BB1263,"&lt;&gt;0")=1,INDEX($V$4:$AW$4,MATCH(TRUE,INDEX($V1263:$AW1263&lt;&gt;0,),0)),IF(COUNTIF(AZ1263:BB1263,"&lt;&gt;0")=0,INDEX($AM$4:$AW$4,MATCH(1,$AM1263:$AW1263,0)),"Multiple strategies"))</f>
        <v>Technology</v>
      </c>
      <c r="BP1263" s="312" t="s">
        <v>395</v>
      </c>
      <c r="BQ1263" s="318" t="s">
        <v>429</v>
      </c>
      <c r="BS1263">
        <v>4.3</v>
      </c>
      <c r="BT1263">
        <v>-1.1000000000000001</v>
      </c>
      <c r="BU1263" s="144">
        <f>IFERROR(BT1263/BS1263,"")</f>
        <v>-0.2558139534883721</v>
      </c>
      <c r="BV1263">
        <f>BT1263-BS1263</f>
        <v>-5.4</v>
      </c>
      <c r="BX1263">
        <f>BV1263/1000</f>
        <v>-5.4000000000000003E-3</v>
      </c>
      <c r="BY1263" t="str">
        <f>IFERROR(BX1263/BO1263,"")</f>
        <v/>
      </c>
      <c r="BZ1263">
        <v>0</v>
      </c>
      <c r="CA1263">
        <v>0</v>
      </c>
      <c r="CB1263">
        <v>0</v>
      </c>
      <c r="CC1263">
        <v>0</v>
      </c>
      <c r="CD1263">
        <v>0</v>
      </c>
      <c r="CE1263">
        <v>0</v>
      </c>
      <c r="CF1263">
        <v>0</v>
      </c>
      <c r="CG1263">
        <v>0</v>
      </c>
      <c r="CH1263">
        <v>0</v>
      </c>
      <c r="CI1263">
        <v>0</v>
      </c>
      <c r="CJ1263">
        <v>0</v>
      </c>
      <c r="CK1263">
        <v>0</v>
      </c>
      <c r="CL1263">
        <v>0</v>
      </c>
      <c r="CM1263">
        <v>0</v>
      </c>
      <c r="CN1263" t="str">
        <f>IF($BL1263&lt;$BK1263,"refNeedCorrection","refOK")</f>
        <v>refOK</v>
      </c>
      <c r="CO1263">
        <f>IF($CN1263="refOK",$BK1263,$BL1263)</f>
        <v>0</v>
      </c>
      <c r="CP1263">
        <f>IF($CN1263="refOK",$BL1263,$BK1263)</f>
        <v>0</v>
      </c>
      <c r="CQ1263">
        <f>IF($CN1263="refOK",$BO1263,-$BO1263)</f>
        <v>0</v>
      </c>
      <c r="CR1263">
        <f>IF($CN1263="refOK",$BS1263,$BT1263)*IF($BP1263="Emissions positive",-1,1)</f>
        <v>-4.3</v>
      </c>
      <c r="CS1263">
        <f>IF($CN1263="refOK",$BT1263,$BS1263)*IF($BP1263="Emissions positive",-1,1)</f>
        <v>1.1000000000000001</v>
      </c>
      <c r="CT1263">
        <f>IF($CN1263="refNeedCorrection",-BX1263,BX1263)*IF($BP1263="Emissions positive",-1,1)</f>
        <v>5.4000000000000003E-3</v>
      </c>
      <c r="CU1263" t="str">
        <f>IFERROR(CT1263/CQ1263,"")</f>
        <v/>
      </c>
      <c r="CV1263" s="2">
        <f>IFERROR((CS1263-CR1263)/ABS(CR1263),"")</f>
        <v>1.2558139534883723</v>
      </c>
      <c r="CW1263" s="319" t="s">
        <v>1203</v>
      </c>
      <c r="CX1263" s="312" t="str">
        <f>IF(OR($CW1263="prd",$CW1263="std",$CW1263="cit"),"loc",IF(OR($CW1263="eur",$CW1263="reg",$CW1263="coy"),"reg",$CW1263))</f>
        <v>reg</v>
      </c>
      <c r="CY1263" s="312" t="s">
        <v>574</v>
      </c>
      <c r="CZ1263">
        <v>1990</v>
      </c>
      <c r="DA1263">
        <v>2050</v>
      </c>
      <c r="DB1263">
        <f>DA1263-CZ1263</f>
        <v>60</v>
      </c>
      <c r="DC1263" t="str">
        <f>IF(DB1263=0,"0",IF(AND(DB1263&gt;=1,DB1263&lt;=30),"1-30",IF(AND(DB1263&gt;30,DB1263&lt;=70),"31-70",IF(AND(DB1263&gt;70,DB1263&lt;=100),"71-100",IF(DB1263&gt;100,"+100")))))</f>
        <v>31-70</v>
      </c>
      <c r="DD1263">
        <v>0</v>
      </c>
      <c r="DE1263">
        <v>0</v>
      </c>
      <c r="DF1263">
        <v>0</v>
      </c>
      <c r="DG1263">
        <v>1</v>
      </c>
      <c r="DH1263">
        <v>1</v>
      </c>
      <c r="DI1263">
        <f>SUM(DD1263:DG1263)</f>
        <v>1</v>
      </c>
      <c r="DJ1263" t="str">
        <f>IF(DI1263=1,INDEX($DD$7:$DG$7,MATCH(1,$DD1263:$DG1263,0)),"mixedProduct")</f>
        <v>TimberInput</v>
      </c>
      <c r="DK1263">
        <f>IF(DD1263=1,DK$7,0)</f>
        <v>0</v>
      </c>
      <c r="DL1263">
        <f>IF(DE1263=1,DL$7,0)</f>
        <v>0</v>
      </c>
      <c r="DM1263">
        <f>IF(DF1263=1,DM$7,0)</f>
        <v>0</v>
      </c>
      <c r="DN1263" t="str">
        <f>IF(DG1263=1,DN$7,0)</f>
        <v>Timber</v>
      </c>
      <c r="DO1263">
        <v>0</v>
      </c>
      <c r="DP1263">
        <v>0</v>
      </c>
      <c r="DQ1263">
        <v>0</v>
      </c>
      <c r="DR1263">
        <v>0</v>
      </c>
      <c r="DS1263">
        <v>0</v>
      </c>
      <c r="DT1263">
        <f>SUM(DO1263:DP1263)</f>
        <v>0</v>
      </c>
      <c r="DU1263" s="143" t="str">
        <f>IF(DO1263=1,"self-calculated DF",IF(DP1263=1,"external DF used","explicit C balance"))</f>
        <v>explicit C balance</v>
      </c>
      <c r="DV1263">
        <v>0</v>
      </c>
      <c r="DW1263">
        <v>0</v>
      </c>
      <c r="DX1263">
        <v>0</v>
      </c>
      <c r="DY1263">
        <v>1</v>
      </c>
      <c r="DZ1263">
        <v>1</v>
      </c>
      <c r="EA1263">
        <v>0</v>
      </c>
      <c r="EB1263">
        <v>0</v>
      </c>
      <c r="EC1263">
        <v>0</v>
      </c>
      <c r="ED1263">
        <v>0</v>
      </c>
      <c r="EE1263">
        <v>0</v>
      </c>
      <c r="EF1263">
        <v>0</v>
      </c>
      <c r="EG1263">
        <v>0</v>
      </c>
      <c r="EH1263">
        <v>0</v>
      </c>
      <c r="EI1263" s="2">
        <v>1</v>
      </c>
      <c r="EK1263" t="str">
        <f>IF(AND(AND(AND(OR($DX1263=1,$DW1263=1),OR($EC1263=1,$EA1263=1)),SUM($DV1263:$DZ1263,$EF1263)&gt;=3),SUM($EA1263:$EE1263)&gt;=2),"Whole sector","")</f>
        <v/>
      </c>
      <c r="EL1263" t="str">
        <f>IF(AND(AND(OR($DX1263=1,$DW1263=1),AND($EC1263=0,$EA1263=0)),SUM($DV1263:$DZ1263,$EF1263)&gt;=3),"Ecosystem approach","")</f>
        <v/>
      </c>
      <c r="EM1263" s="2" t="str">
        <f>IF(AND(AND(AND($DX1263=0,$DW1263=0),OR($EC1263=1,$EA1263=1)),SUM($EB1263:$EE1263)&gt;=2),"Technology approach","")</f>
        <v/>
      </c>
      <c r="EP1263" t="b">
        <f>IF(ISNUMBER(BU1263),IF(ABS(BU1263-[5]QC_indicators!$B$2)&gt;3*[5]QC_indicators!$C$2,"C ratio",IF(ISNUMBER(BY1263),IF(ABS(BY1263-[5]QC_indicators!$B$1)&gt;3*[5]QC_indicators!$C$1,"DF","no"))),IF(ISNUMBER(BY1263),IF(ABS(BY1263-[5]QC_indicators!$B$1)&gt;3*[5]QC_indicators!$C$1,"DF","no")))</f>
        <v>0</v>
      </c>
    </row>
    <row r="1264" spans="1:149" ht="15" customHeight="1">
      <c r="A1264" s="1" t="s">
        <v>1127</v>
      </c>
      <c r="B1264" t="s">
        <v>3474</v>
      </c>
      <c r="C1264" t="s">
        <v>3475</v>
      </c>
      <c r="D1264" t="s">
        <v>3476</v>
      </c>
      <c r="E1264" s="312" t="s">
        <v>3477</v>
      </c>
      <c r="F1264" t="s">
        <v>3478</v>
      </c>
      <c r="G1264" t="s">
        <v>1133</v>
      </c>
      <c r="H1264" t="s">
        <v>254</v>
      </c>
      <c r="I1264">
        <v>2022</v>
      </c>
      <c r="J1264">
        <v>7</v>
      </c>
      <c r="K1264" t="s">
        <v>3479</v>
      </c>
      <c r="M1264" t="str">
        <f>LEFT($D1264,FIND(",",$D1264)-1)&amp;"_"&amp;I1264&amp;L1264</f>
        <v>Allen_2022</v>
      </c>
      <c r="N1264" s="312" t="s">
        <v>4383</v>
      </c>
      <c r="O1264" s="161" t="s">
        <v>223</v>
      </c>
      <c r="Q1264" s="312" t="s">
        <v>389</v>
      </c>
      <c r="R1264" s="313"/>
      <c r="S1264" s="154" t="s">
        <v>3480</v>
      </c>
      <c r="T1264" s="149" t="s">
        <v>3481</v>
      </c>
      <c r="U1264" s="312" t="s">
        <v>3482</v>
      </c>
      <c r="V1264">
        <v>0</v>
      </c>
      <c r="W1264">
        <v>0</v>
      </c>
      <c r="X1264">
        <v>0</v>
      </c>
      <c r="Y1264">
        <v>0</v>
      </c>
      <c r="Z1264">
        <v>0</v>
      </c>
      <c r="AA1264">
        <v>0</v>
      </c>
      <c r="AB1264">
        <v>0</v>
      </c>
      <c r="AC1264">
        <v>0</v>
      </c>
      <c r="AD1264">
        <v>0</v>
      </c>
      <c r="AE1264">
        <v>0</v>
      </c>
      <c r="AF1264">
        <v>0</v>
      </c>
      <c r="AG1264">
        <v>0</v>
      </c>
      <c r="AH1264">
        <v>0</v>
      </c>
      <c r="AI1264">
        <v>0</v>
      </c>
      <c r="AJ1264">
        <v>0</v>
      </c>
      <c r="AK1264">
        <v>1</v>
      </c>
      <c r="AL1264">
        <v>0</v>
      </c>
      <c r="AM1264">
        <v>0</v>
      </c>
      <c r="AN1264">
        <v>2</v>
      </c>
      <c r="AO1264">
        <v>0</v>
      </c>
      <c r="AP1264">
        <v>0</v>
      </c>
      <c r="AQ1264">
        <v>0</v>
      </c>
      <c r="AR1264">
        <v>0</v>
      </c>
      <c r="AS1264">
        <v>0</v>
      </c>
      <c r="AT1264">
        <v>2</v>
      </c>
      <c r="AU1264">
        <v>0</v>
      </c>
      <c r="AV1264">
        <v>0</v>
      </c>
      <c r="AW1264">
        <v>0</v>
      </c>
      <c r="AX1264" s="141">
        <f>COUNTIF(V1264:AW1264,"&lt;&gt;0")</f>
        <v>3</v>
      </c>
      <c r="AY1264" s="141">
        <f>COUNTIF(V1264:AL1264,"&lt;&gt;0")</f>
        <v>1</v>
      </c>
      <c r="AZ1264">
        <f>COUNTIF(V1264:AC1264,"&lt;&gt;0")</f>
        <v>0</v>
      </c>
      <c r="BA1264">
        <f>COUNTIF(AD1264:AI1264,"&lt;&gt;0")</f>
        <v>0</v>
      </c>
      <c r="BB1264">
        <f>COUNTIF(AJ1264:AL1264,"&lt;&gt;0")</f>
        <v>1</v>
      </c>
      <c r="BC1264">
        <f>COUNTIF(AS1264:AW1264,"&lt;&gt;0")</f>
        <v>1</v>
      </c>
      <c r="BD1264">
        <f>COUNTIF(AM1264:AR1264,"&lt;&gt;0")</f>
        <v>1</v>
      </c>
      <c r="BE1264" t="str" cm="1">
        <f t="array" ref="BE1264">IF(AY1264=1,INDEX($V$7:$AL$7,MATCH(TRUE,INDEX($V1264:$AW1264&lt;&gt;0,),0)),IF(AY1264=0,INDEX($AM$7:$AW$7,MATCH(1,$AM1264:$AW1264,0)),IF(BF1264="Multiple strategies","mixed drivers",IF(BF1264="Supply chain","multiple supply","multiple silviculture"))))</f>
        <v>technologies/design switch</v>
      </c>
      <c r="BF1264" s="2" t="str" cm="1">
        <f t="array" ref="BF1264">IF(COUNTIF(AZ1264:BB1264,"&lt;&gt;0")=1,INDEX($V$4:$AW$4,MATCH(TRUE,INDEX($V1264:$AW1264&lt;&gt;0,),0)),IF(COUNTIF(AZ1264:BB1264,"&lt;&gt;0")=0,INDEX($AM$4:$AW$4,MATCH(1,$AM1264:$AW1264,0)),"Multiple strategies"))</f>
        <v>Technology</v>
      </c>
      <c r="BP1264" s="312" t="s">
        <v>395</v>
      </c>
      <c r="BQ1264" s="318" t="s">
        <v>786</v>
      </c>
      <c r="BR1264" s="312" t="s">
        <v>598</v>
      </c>
      <c r="BS1264">
        <v>66.400000000000006</v>
      </c>
      <c r="BT1264">
        <v>4.16</v>
      </c>
      <c r="BU1264" s="144">
        <f>IFERROR(BT1264/BS1264,"")</f>
        <v>6.2650602409638545E-2</v>
      </c>
      <c r="BV1264">
        <f>BT1264-BS1264</f>
        <v>-62.240000000000009</v>
      </c>
      <c r="BX1264">
        <f>BV1264/1000</f>
        <v>-6.2240000000000011E-2</v>
      </c>
      <c r="BY1264" t="str">
        <f>IFERROR(BX1264/BO1264,"")</f>
        <v/>
      </c>
      <c r="BZ1264">
        <v>0</v>
      </c>
      <c r="CA1264">
        <v>0</v>
      </c>
      <c r="CB1264">
        <v>0</v>
      </c>
      <c r="CC1264">
        <v>0</v>
      </c>
      <c r="CD1264">
        <v>0</v>
      </c>
      <c r="CE1264">
        <v>0</v>
      </c>
      <c r="CF1264">
        <v>0</v>
      </c>
      <c r="CG1264">
        <v>0</v>
      </c>
      <c r="CH1264">
        <v>0</v>
      </c>
      <c r="CI1264">
        <v>0</v>
      </c>
      <c r="CJ1264">
        <v>0</v>
      </c>
      <c r="CK1264">
        <v>0</v>
      </c>
      <c r="CL1264">
        <v>0</v>
      </c>
      <c r="CM1264">
        <v>0</v>
      </c>
      <c r="CN1264" t="str">
        <f>IF($BL1264&lt;$BK1264,"refNeedCorrection","refOK")</f>
        <v>refOK</v>
      </c>
      <c r="CO1264">
        <f>IF($CN1264="refOK",$BK1264,$BL1264)</f>
        <v>0</v>
      </c>
      <c r="CP1264">
        <f>IF($CN1264="refOK",$BL1264,$BK1264)</f>
        <v>0</v>
      </c>
      <c r="CQ1264">
        <f>IF($CN1264="refOK",$BO1264,-$BO1264)</f>
        <v>0</v>
      </c>
      <c r="CR1264">
        <f>IF($CN1264="refOK",$BS1264,$BT1264)*IF($BP1264="Emissions positive",-1,1)</f>
        <v>-66.400000000000006</v>
      </c>
      <c r="CS1264">
        <f>IF($CN1264="refOK",$BT1264,$BS1264)*IF($BP1264="Emissions positive",-1,1)</f>
        <v>-4.16</v>
      </c>
      <c r="CT1264">
        <f>IF($CN1264="refNeedCorrection",-BX1264,BX1264)*IF($BP1264="Emissions positive",-1,1)</f>
        <v>6.2240000000000011E-2</v>
      </c>
      <c r="CU1264" t="str">
        <f>IFERROR(CT1264/CQ1264,"")</f>
        <v/>
      </c>
      <c r="CV1264" s="2">
        <f>IFERROR((CS1264-CR1264)/ABS(CR1264),"")</f>
        <v>0.93734939759036151</v>
      </c>
      <c r="CW1264" s="319" t="s">
        <v>1203</v>
      </c>
      <c r="CX1264" s="312" t="str">
        <f>IF(OR($CW1264="prd",$CW1264="std",$CW1264="cit"),"loc",IF(OR($CW1264="eur",$CW1264="reg",$CW1264="coy"),"reg",$CW1264))</f>
        <v>reg</v>
      </c>
      <c r="CY1264" s="312" t="s">
        <v>574</v>
      </c>
      <c r="CZ1264">
        <v>1990</v>
      </c>
      <c r="DA1264">
        <v>2050</v>
      </c>
      <c r="DB1264">
        <f>DA1264-CZ1264</f>
        <v>60</v>
      </c>
      <c r="DC1264" t="str">
        <f>IF(DB1264=0,"0",IF(AND(DB1264&gt;=1,DB1264&lt;=30),"1-30",IF(AND(DB1264&gt;30,DB1264&lt;=70),"31-70",IF(AND(DB1264&gt;70,DB1264&lt;=100),"71-100",IF(DB1264&gt;100,"+100")))))</f>
        <v>31-70</v>
      </c>
      <c r="DD1264">
        <v>0</v>
      </c>
      <c r="DE1264">
        <v>0</v>
      </c>
      <c r="DF1264">
        <v>0</v>
      </c>
      <c r="DG1264">
        <v>1</v>
      </c>
      <c r="DH1264">
        <v>1</v>
      </c>
      <c r="DI1264">
        <f>SUM(DD1264:DG1264)</f>
        <v>1</v>
      </c>
      <c r="DJ1264" t="str">
        <f>IF(DI1264=1,INDEX($DD$7:$DG$7,MATCH(1,$DD1264:$DG1264,0)),"mixedProduct")</f>
        <v>TimberInput</v>
      </c>
      <c r="DK1264">
        <f>IF(DD1264=1,DK$7,0)</f>
        <v>0</v>
      </c>
      <c r="DL1264">
        <f>IF(DE1264=1,DL$7,0)</f>
        <v>0</v>
      </c>
      <c r="DM1264">
        <f>IF(DF1264=1,DM$7,0)</f>
        <v>0</v>
      </c>
      <c r="DN1264" t="str">
        <f>IF(DG1264=1,DN$7,0)</f>
        <v>Timber</v>
      </c>
      <c r="DO1264">
        <v>0</v>
      </c>
      <c r="DP1264">
        <v>0</v>
      </c>
      <c r="DQ1264">
        <v>0</v>
      </c>
      <c r="DR1264">
        <v>0</v>
      </c>
      <c r="DS1264">
        <v>0</v>
      </c>
      <c r="DT1264">
        <f>SUM(DO1264:DP1264)</f>
        <v>0</v>
      </c>
      <c r="DU1264" s="143" t="str">
        <f>IF(DO1264=1,"self-calculated DF",IF(DP1264=1,"external DF used","explicit C balance"))</f>
        <v>explicit C balance</v>
      </c>
      <c r="DV1264">
        <v>0</v>
      </c>
      <c r="DW1264">
        <v>0</v>
      </c>
      <c r="DX1264">
        <v>0</v>
      </c>
      <c r="DY1264">
        <v>1</v>
      </c>
      <c r="DZ1264">
        <v>1</v>
      </c>
      <c r="EA1264">
        <v>1</v>
      </c>
      <c r="EB1264">
        <v>0</v>
      </c>
      <c r="EC1264">
        <v>1</v>
      </c>
      <c r="ED1264">
        <v>1</v>
      </c>
      <c r="EE1264">
        <v>1</v>
      </c>
      <c r="EF1264">
        <v>0</v>
      </c>
      <c r="EG1264">
        <v>0</v>
      </c>
      <c r="EH1264">
        <v>0</v>
      </c>
      <c r="EI1264" s="2">
        <v>1</v>
      </c>
      <c r="EK1264" t="str">
        <f>IF(AND(AND(AND(OR($DX1264=1,$DW1264=1),OR($EC1264=1,$EA1264=1)),SUM($DV1264:$DZ1264,$EF1264)&gt;=3),SUM($EA1264:$EE1264)&gt;=2),"Whole sector","")</f>
        <v/>
      </c>
      <c r="EL1264" t="str">
        <f>IF(AND(AND(OR($DX1264=1,$DW1264=1),AND($EC1264=0,$EA1264=0)),SUM($DV1264:$DZ1264,$EF1264)&gt;=3),"Ecosystem approach","")</f>
        <v/>
      </c>
      <c r="EM1264" s="2" t="str">
        <f>IF(AND(AND(AND($DX1264=0,$DW1264=0),OR($EC1264=1,$EA1264=1)),SUM($EB1264:$EE1264)&gt;=2),"Technology approach","")</f>
        <v>Technology approach</v>
      </c>
      <c r="EP1264" t="b">
        <f>IF(ISNUMBER(BU1264),IF(ABS(BU1264-[5]QC_indicators!$B$2)&gt;3*[5]QC_indicators!$C$2,"C ratio",IF(ISNUMBER(BY1264),IF(ABS(BY1264-[5]QC_indicators!$B$1)&gt;3*[5]QC_indicators!$C$1,"DF","no"))),IF(ISNUMBER(BY1264),IF(ABS(BY1264-[5]QC_indicators!$B$1)&gt;3*[5]QC_indicators!$C$1,"DF","no")))</f>
        <v>0</v>
      </c>
    </row>
    <row r="1265" spans="1:149" ht="15" customHeight="1">
      <c r="A1265" s="1" t="s">
        <v>1127</v>
      </c>
      <c r="B1265" t="s">
        <v>3474</v>
      </c>
      <c r="C1265" t="s">
        <v>3475</v>
      </c>
      <c r="D1265" t="s">
        <v>3476</v>
      </c>
      <c r="E1265" s="312" t="s">
        <v>3477</v>
      </c>
      <c r="F1265" t="s">
        <v>3478</v>
      </c>
      <c r="G1265" t="s">
        <v>1133</v>
      </c>
      <c r="H1265" t="s">
        <v>254</v>
      </c>
      <c r="I1265">
        <v>2022</v>
      </c>
      <c r="J1265">
        <v>7</v>
      </c>
      <c r="K1265" t="s">
        <v>3479</v>
      </c>
      <c r="M1265" t="str">
        <f>LEFT($D1265,FIND(",",$D1265)-1)&amp;"_"&amp;I1265&amp;L1265</f>
        <v>Allen_2022</v>
      </c>
      <c r="N1265" s="312" t="s">
        <v>4383</v>
      </c>
      <c r="O1265" s="161" t="s">
        <v>223</v>
      </c>
      <c r="Q1265" s="312" t="s">
        <v>389</v>
      </c>
      <c r="R1265" s="313"/>
      <c r="S1265" s="154" t="s">
        <v>3480</v>
      </c>
      <c r="T1265" s="149" t="s">
        <v>3481</v>
      </c>
      <c r="U1265" s="312" t="s">
        <v>3482</v>
      </c>
      <c r="V1265">
        <v>0</v>
      </c>
      <c r="W1265">
        <v>0</v>
      </c>
      <c r="X1265">
        <v>0</v>
      </c>
      <c r="Y1265">
        <v>0</v>
      </c>
      <c r="Z1265">
        <v>0</v>
      </c>
      <c r="AA1265">
        <v>0</v>
      </c>
      <c r="AB1265">
        <v>0</v>
      </c>
      <c r="AC1265">
        <v>0</v>
      </c>
      <c r="AD1265">
        <v>0</v>
      </c>
      <c r="AE1265">
        <v>0</v>
      </c>
      <c r="AF1265">
        <v>0</v>
      </c>
      <c r="AG1265">
        <v>0</v>
      </c>
      <c r="AH1265">
        <v>0</v>
      </c>
      <c r="AI1265">
        <v>0</v>
      </c>
      <c r="AJ1265">
        <v>0</v>
      </c>
      <c r="AK1265">
        <v>1</v>
      </c>
      <c r="AL1265">
        <v>0</v>
      </c>
      <c r="AM1265">
        <v>0</v>
      </c>
      <c r="AN1265">
        <v>2</v>
      </c>
      <c r="AO1265">
        <v>0</v>
      </c>
      <c r="AP1265">
        <v>0</v>
      </c>
      <c r="AQ1265">
        <v>0</v>
      </c>
      <c r="AR1265">
        <v>0</v>
      </c>
      <c r="AS1265">
        <v>0</v>
      </c>
      <c r="AT1265">
        <v>2</v>
      </c>
      <c r="AU1265">
        <v>0</v>
      </c>
      <c r="AV1265">
        <v>0</v>
      </c>
      <c r="AW1265">
        <v>0</v>
      </c>
      <c r="AX1265" s="141">
        <f>COUNTIF(V1265:AW1265,"&lt;&gt;0")</f>
        <v>3</v>
      </c>
      <c r="AY1265" s="141">
        <f>COUNTIF(V1265:AL1265,"&lt;&gt;0")</f>
        <v>1</v>
      </c>
      <c r="AZ1265">
        <f>COUNTIF(V1265:AC1265,"&lt;&gt;0")</f>
        <v>0</v>
      </c>
      <c r="BA1265">
        <f>COUNTIF(AD1265:AI1265,"&lt;&gt;0")</f>
        <v>0</v>
      </c>
      <c r="BB1265">
        <f>COUNTIF(AJ1265:AL1265,"&lt;&gt;0")</f>
        <v>1</v>
      </c>
      <c r="BC1265">
        <f>COUNTIF(AS1265:AW1265,"&lt;&gt;0")</f>
        <v>1</v>
      </c>
      <c r="BD1265">
        <f>COUNTIF(AM1265:AR1265,"&lt;&gt;0")</f>
        <v>1</v>
      </c>
      <c r="BE1265" t="str" cm="1">
        <f t="array" ref="BE1265">IF(AY1265=1,INDEX($V$7:$AL$7,MATCH(TRUE,INDEX($V1265:$AW1265&lt;&gt;0,),0)),IF(AY1265=0,INDEX($AM$7:$AW$7,MATCH(1,$AM1265:$AW1265,0)),IF(BF1265="Multiple strategies","mixed drivers",IF(BF1265="Supply chain","multiple supply","multiple silviculture"))))</f>
        <v>technologies/design switch</v>
      </c>
      <c r="BF1265" s="2" t="str" cm="1">
        <f t="array" ref="BF1265">IF(COUNTIF(AZ1265:BB1265,"&lt;&gt;0")=1,INDEX($V$4:$AW$4,MATCH(TRUE,INDEX($V1265:$AW1265&lt;&gt;0,),0)),IF(COUNTIF(AZ1265:BB1265,"&lt;&gt;0")=0,INDEX($AM$4:$AW$4,MATCH(1,$AM1265:$AW1265,0)),"Multiple strategies"))</f>
        <v>Technology</v>
      </c>
      <c r="BP1265" s="312" t="s">
        <v>395</v>
      </c>
      <c r="BQ1265" s="155" t="s">
        <v>426</v>
      </c>
      <c r="BS1265">
        <v>59</v>
      </c>
      <c r="BT1265">
        <f>BS1265-0.95*BS1265</f>
        <v>2.9500000000000028</v>
      </c>
      <c r="BU1265" s="144">
        <f>IFERROR(BT1265/BS1265,"")</f>
        <v>5.0000000000000051E-2</v>
      </c>
      <c r="BV1265">
        <f>BT1265-BS1265</f>
        <v>-56.05</v>
      </c>
      <c r="BX1265">
        <f>BV1265/1000</f>
        <v>-5.6049999999999996E-2</v>
      </c>
      <c r="BY1265" t="str">
        <f>IFERROR(BX1265/BO1265,"")</f>
        <v/>
      </c>
      <c r="BZ1265">
        <v>0</v>
      </c>
      <c r="CA1265">
        <v>0</v>
      </c>
      <c r="CB1265">
        <v>0</v>
      </c>
      <c r="CC1265">
        <v>0</v>
      </c>
      <c r="CD1265">
        <v>0</v>
      </c>
      <c r="CE1265">
        <v>0</v>
      </c>
      <c r="CF1265">
        <v>0</v>
      </c>
      <c r="CG1265">
        <v>0</v>
      </c>
      <c r="CH1265">
        <v>0</v>
      </c>
      <c r="CI1265">
        <v>0</v>
      </c>
      <c r="CJ1265">
        <v>0</v>
      </c>
      <c r="CK1265">
        <v>0</v>
      </c>
      <c r="CL1265">
        <v>0</v>
      </c>
      <c r="CM1265">
        <v>0</v>
      </c>
      <c r="CN1265" t="str">
        <f>IF($BL1265&lt;$BK1265,"refNeedCorrection","refOK")</f>
        <v>refOK</v>
      </c>
      <c r="CO1265">
        <f>IF($CN1265="refOK",$BK1265,$BL1265)</f>
        <v>0</v>
      </c>
      <c r="CP1265">
        <f>IF($CN1265="refOK",$BL1265,$BK1265)</f>
        <v>0</v>
      </c>
      <c r="CQ1265">
        <f>IF($CN1265="refOK",$BO1265,-$BO1265)</f>
        <v>0</v>
      </c>
      <c r="CR1265">
        <f>IF($CN1265="refOK",$BS1265,$BT1265)*IF($BP1265="Emissions positive",-1,1)</f>
        <v>-59</v>
      </c>
      <c r="CS1265">
        <f>IF($CN1265="refOK",$BT1265,$BS1265)*IF($BP1265="Emissions positive",-1,1)</f>
        <v>-2.9500000000000028</v>
      </c>
      <c r="CT1265">
        <f>IF($CN1265="refNeedCorrection",-BX1265,BX1265)*IF($BP1265="Emissions positive",-1,1)</f>
        <v>5.6049999999999996E-2</v>
      </c>
      <c r="CU1265" t="str">
        <f>IFERROR(CT1265/CQ1265,"")</f>
        <v/>
      </c>
      <c r="CV1265" s="2">
        <f>IFERROR((CS1265-CR1265)/ABS(CR1265),"")</f>
        <v>0.95</v>
      </c>
      <c r="CW1265" s="319" t="s">
        <v>1203</v>
      </c>
      <c r="CX1265" s="312" t="str">
        <f>IF(OR($CW1265="prd",$CW1265="std",$CW1265="cit"),"loc",IF(OR($CW1265="eur",$CW1265="reg",$CW1265="coy"),"reg",$CW1265))</f>
        <v>reg</v>
      </c>
      <c r="CY1265" s="312" t="s">
        <v>574</v>
      </c>
      <c r="CZ1265">
        <v>1990</v>
      </c>
      <c r="DA1265">
        <v>2050</v>
      </c>
      <c r="DB1265">
        <f>DA1265-CZ1265</f>
        <v>60</v>
      </c>
      <c r="DC1265" t="str">
        <f>IF(DB1265=0,"0",IF(AND(DB1265&gt;=1,DB1265&lt;=30),"1-30",IF(AND(DB1265&gt;30,DB1265&lt;=70),"31-70",IF(AND(DB1265&gt;70,DB1265&lt;=100),"71-100",IF(DB1265&gt;100,"+100")))))</f>
        <v>31-70</v>
      </c>
      <c r="DD1265">
        <v>0</v>
      </c>
      <c r="DE1265">
        <v>0</v>
      </c>
      <c r="DF1265">
        <v>0</v>
      </c>
      <c r="DG1265">
        <v>1</v>
      </c>
      <c r="DH1265">
        <v>1</v>
      </c>
      <c r="DI1265">
        <f>SUM(DD1265:DG1265)</f>
        <v>1</v>
      </c>
      <c r="DJ1265" t="str">
        <f>IF(DI1265=1,INDEX($DD$7:$DG$7,MATCH(1,$DD1265:$DG1265,0)),"mixedProduct")</f>
        <v>TimberInput</v>
      </c>
      <c r="DK1265">
        <f>IF(DD1265=1,DK$7,0)</f>
        <v>0</v>
      </c>
      <c r="DL1265">
        <f>IF(DE1265=1,DL$7,0)</f>
        <v>0</v>
      </c>
      <c r="DM1265">
        <f>IF(DF1265=1,DM$7,0)</f>
        <v>0</v>
      </c>
      <c r="DN1265" t="str">
        <f>IF(DG1265=1,DN$7,0)</f>
        <v>Timber</v>
      </c>
      <c r="DO1265">
        <v>0</v>
      </c>
      <c r="DP1265">
        <v>0</v>
      </c>
      <c r="DQ1265">
        <v>0</v>
      </c>
      <c r="DR1265">
        <v>0</v>
      </c>
      <c r="DS1265">
        <v>0</v>
      </c>
      <c r="DT1265">
        <f>SUM(DO1265:DP1265)</f>
        <v>0</v>
      </c>
      <c r="DU1265" s="143" t="str">
        <f>IF(DO1265=1,"self-calculated DF",IF(DP1265=1,"external DF used","explicit C balance"))</f>
        <v>explicit C balance</v>
      </c>
      <c r="DV1265">
        <v>0</v>
      </c>
      <c r="DW1265">
        <v>0</v>
      </c>
      <c r="DX1265">
        <v>0</v>
      </c>
      <c r="DY1265">
        <v>0</v>
      </c>
      <c r="DZ1265">
        <v>0</v>
      </c>
      <c r="EA1265">
        <v>1</v>
      </c>
      <c r="EB1265">
        <v>0</v>
      </c>
      <c r="EC1265">
        <v>1</v>
      </c>
      <c r="ED1265">
        <v>1</v>
      </c>
      <c r="EE1265">
        <v>1</v>
      </c>
      <c r="EF1265">
        <v>0</v>
      </c>
      <c r="EG1265">
        <v>0</v>
      </c>
      <c r="EH1265">
        <v>0</v>
      </c>
      <c r="EI1265" s="2">
        <v>1</v>
      </c>
      <c r="EK1265" t="str">
        <f>IF(AND(AND(AND(OR($DX1265=1,$DW1265=1),OR($EC1265=1,$EA1265=1)),SUM($DV1265:$DZ1265,$EF1265)&gt;=3),SUM($EA1265:$EE1265)&gt;=2),"Whole sector","")</f>
        <v/>
      </c>
      <c r="EL1265" t="str">
        <f>IF(AND(AND(OR($DX1265=1,$DW1265=1),AND($EC1265=0,$EA1265=0)),SUM($DV1265:$DZ1265,$EF1265)&gt;=3),"Ecosystem approach","")</f>
        <v/>
      </c>
      <c r="EM1265" s="2" t="str">
        <f>IF(AND(AND(AND($DX1265=0,$DW1265=0),OR($EC1265=1,$EA1265=1)),SUM($EB1265:$EE1265)&gt;=2),"Technology approach","")</f>
        <v>Technology approach</v>
      </c>
      <c r="EP1265" t="b">
        <f>IF(ISNUMBER(BU1265),IF(ABS(BU1265-[5]QC_indicators!$B$2)&gt;3*[5]QC_indicators!$C$2,"C ratio",IF(ISNUMBER(BY1265),IF(ABS(BY1265-[5]QC_indicators!$B$1)&gt;3*[5]QC_indicators!$C$1,"DF","no"))),IF(ISNUMBER(BY1265),IF(ABS(BY1265-[5]QC_indicators!$B$1)&gt;3*[5]QC_indicators!$C$1,"DF","no")))</f>
        <v>0</v>
      </c>
    </row>
    <row r="1266" spans="1:149" ht="15" customHeight="1">
      <c r="A1266" s="1" t="s">
        <v>3483</v>
      </c>
      <c r="B1266" t="s">
        <v>3484</v>
      </c>
      <c r="C1266" t="s">
        <v>3485</v>
      </c>
      <c r="D1266" t="s">
        <v>3486</v>
      </c>
      <c r="E1266" t="s">
        <v>3487</v>
      </c>
      <c r="F1266" t="s">
        <v>3488</v>
      </c>
      <c r="G1266" t="s">
        <v>3489</v>
      </c>
      <c r="H1266" t="s">
        <v>254</v>
      </c>
      <c r="I1266">
        <v>2021</v>
      </c>
      <c r="J1266">
        <v>1</v>
      </c>
      <c r="K1266" t="s">
        <v>3490</v>
      </c>
      <c r="M1266" t="str">
        <f>LEFT($D1266,FIND(",",$D1266)-1)&amp;"_"&amp;I1266&amp;L1266</f>
        <v>Bradfer-Lawrence_2021</v>
      </c>
      <c r="N1266" s="312" t="s">
        <v>4383</v>
      </c>
      <c r="O1266" s="145" t="s">
        <v>223</v>
      </c>
      <c r="Q1266" s="312" t="s">
        <v>256</v>
      </c>
      <c r="R1266" s="313"/>
      <c r="S1266" s="1" t="s">
        <v>3491</v>
      </c>
      <c r="T1266" t="s">
        <v>3492</v>
      </c>
      <c r="U1266" t="s">
        <v>3493</v>
      </c>
      <c r="V1266">
        <v>1</v>
      </c>
      <c r="W1266">
        <v>0</v>
      </c>
      <c r="X1266">
        <v>0</v>
      </c>
      <c r="Y1266">
        <v>0</v>
      </c>
      <c r="Z1266">
        <v>2</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s="141">
        <f>COUNTIF(V1266:AW1266,"&lt;&gt;0")</f>
        <v>2</v>
      </c>
      <c r="AY1266" s="141">
        <f>COUNTIF(V1266:AL1266,"&lt;&gt;0")</f>
        <v>2</v>
      </c>
      <c r="AZ1266">
        <f>COUNTIF(V1266:AC1266,"&lt;&gt;0")</f>
        <v>2</v>
      </c>
      <c r="BA1266">
        <f>COUNTIF(AD1266:AI1266,"&lt;&gt;0")</f>
        <v>0</v>
      </c>
      <c r="BB1266">
        <f>COUNTIF(AJ1266:AL1266,"&lt;&gt;0")</f>
        <v>0</v>
      </c>
      <c r="BC1266">
        <f>COUNTIF(AS1266:AW1266,"&lt;&gt;0")</f>
        <v>0</v>
      </c>
      <c r="BD1266">
        <f>COUNTIF(AM1266:AR1266,"&lt;&gt;0")</f>
        <v>0</v>
      </c>
      <c r="BE1266" t="str" cm="1">
        <f t="array" ref="BE1266">IF(AY1266=1,INDEX($V$7:$AL$7,MATCH(TRUE,INDEX($V1266:$AW1266&lt;&gt;0,),0)),IF(AY1266=0,INDEX($AM$7:$AW$7,MATCH(1,$AM1266:$AW1266,0)),IF(BF1266="Multiple strategies","mixed drivers",IF(BF1266="Supply chain","multiple supply","multiple silviculture"))))</f>
        <v>multiple silviculture</v>
      </c>
      <c r="BF1266" s="2" t="str" cm="1">
        <f t="array" ref="BF1266">IF(COUNTIF(AZ1266:BB1266,"&lt;&gt;0")=1,INDEX($V$4:$AW$4,MATCH(TRUE,INDEX($V1266:$AW1266&lt;&gt;0,),0)),IF(COUNTIF(AZ1266:BB1266,"&lt;&gt;0")=0,INDEX($AM$4:$AW$4,MATCH(1,$AM1266:$AW1266,0)),"Multiple strategies"))</f>
        <v>Silviculture for removals</v>
      </c>
      <c r="BP1266" t="s">
        <v>232</v>
      </c>
      <c r="BR1266" t="s">
        <v>598</v>
      </c>
      <c r="BS1266">
        <v>163.80000000000001</v>
      </c>
      <c r="BT1266">
        <v>457</v>
      </c>
      <c r="BU1266">
        <f>BT1266/BS1266</f>
        <v>2.7899877899877898</v>
      </c>
      <c r="BV1266">
        <f>BT1266-BS1266</f>
        <v>293.2</v>
      </c>
      <c r="BX1266">
        <f>BV1266*10^6</f>
        <v>293200000</v>
      </c>
      <c r="BY1266" t="str">
        <f>IFERROR(BX1266/BO1266,"")</f>
        <v/>
      </c>
      <c r="BZ1266" s="143">
        <v>0</v>
      </c>
      <c r="CA1266" s="143">
        <v>0</v>
      </c>
      <c r="CB1266" s="143">
        <v>0</v>
      </c>
      <c r="CC1266" s="143">
        <v>0</v>
      </c>
      <c r="CD1266" s="143">
        <v>0</v>
      </c>
      <c r="CE1266" s="143">
        <v>0</v>
      </c>
      <c r="CF1266" s="143">
        <v>0</v>
      </c>
      <c r="CG1266" s="143">
        <v>0</v>
      </c>
      <c r="CH1266" s="143">
        <v>0</v>
      </c>
      <c r="CI1266" s="143">
        <v>0</v>
      </c>
      <c r="CJ1266" s="143">
        <v>0</v>
      </c>
      <c r="CK1266" s="143">
        <v>0</v>
      </c>
      <c r="CL1266" s="143">
        <v>0</v>
      </c>
      <c r="CM1266">
        <v>0</v>
      </c>
      <c r="CN1266" t="str">
        <f>IF(BL1266&lt;BK1266,"refNeedCorrection","refOK")</f>
        <v>refOK</v>
      </c>
      <c r="CO1266"/>
      <c r="CP1266"/>
      <c r="CQ1266"/>
      <c r="CR1266">
        <f>IF($CN1266="refOK",$BS1266,$BT1266)*IF($BP1266="Emissions positive",-1,1)</f>
        <v>163.80000000000001</v>
      </c>
      <c r="CS1266">
        <f>IF($CN1266="refOK",$BT1266,$BS1266)*IF($BP1266="Emissions positive",-1,1)</f>
        <v>457</v>
      </c>
      <c r="CT1266">
        <f>IF($CN1266="refNeedCorrection",-BX1266,BX1266)*IF($BP1266="Emissions positive",-1,1)</f>
        <v>293200000</v>
      </c>
      <c r="CU1266" t="str">
        <f>IFERROR(CT1266/CQ1266,"")</f>
        <v/>
      </c>
      <c r="CV1266" s="2">
        <f>IFERROR((CS1266-CR1266)/ABS(CR1266),"")</f>
        <v>1.7899877899877898</v>
      </c>
      <c r="CW1266" s="1" t="s">
        <v>1203</v>
      </c>
      <c r="CX1266" s="312" t="str">
        <f>IF(OR($CW1266="prd",$CW1266="std",$CW1266="cit"),"loc",IF(OR($CW1266="eur",$CW1266="reg",$CW1266="coy"),"reg",$CW1266))</f>
        <v>reg</v>
      </c>
      <c r="CY1266" t="s">
        <v>3494</v>
      </c>
      <c r="CZ1266">
        <v>2020</v>
      </c>
      <c r="DA1266">
        <v>2100</v>
      </c>
      <c r="DB1266" s="143">
        <f>DA1266-CZ1266</f>
        <v>80</v>
      </c>
      <c r="DC1266" t="str">
        <f>IF(DB1266=0,"0",IF(AND(DB1266&gt;=1,DB1266&lt;=30),"1-30",IF(AND(DB1266&gt;30,DB1266&lt;=70),"31-70",IF(AND(DB1266&gt;70,DB1266&lt;=100),"71-100",IF(DB1266&gt;100,"+100")))))</f>
        <v>71-100</v>
      </c>
      <c r="DD1266">
        <v>0</v>
      </c>
      <c r="DE1266">
        <v>1</v>
      </c>
      <c r="DF1266">
        <v>1</v>
      </c>
      <c r="DG1266">
        <v>1</v>
      </c>
      <c r="DI1266">
        <f>SUM(DD1266:DG1266)</f>
        <v>3</v>
      </c>
      <c r="DJ1266" t="str">
        <f>IF(DI1266=1,INDEX($DD$7:$DG$7,MATCH(1,$DD1266:$DG1266,0)),"mixedProduct")</f>
        <v>mixedProduct</v>
      </c>
      <c r="DK1266">
        <f>IF(DD1266=1,DK$7,0)</f>
        <v>0</v>
      </c>
      <c r="DL1266" t="str">
        <f>IF(DE1266=1,DL$7,0)</f>
        <v>Energy</v>
      </c>
      <c r="DM1266" t="str">
        <f>IF(DF1266=1,DM$7,0)</f>
        <v>Pulp/Paper</v>
      </c>
      <c r="DN1266" t="str">
        <f>IF(DG1266=1,DN$7,0)</f>
        <v>Timber</v>
      </c>
      <c r="DO1266">
        <v>0</v>
      </c>
      <c r="DP1266" s="143">
        <v>0</v>
      </c>
      <c r="DQ1266" s="143">
        <v>0</v>
      </c>
      <c r="DR1266" s="143">
        <v>0</v>
      </c>
      <c r="DS1266">
        <v>0</v>
      </c>
      <c r="DT1266">
        <f>SUM(DO1266:DP1266)</f>
        <v>0</v>
      </c>
      <c r="DU1266" s="143" t="str">
        <f>IF(DO1266=1,"self-calculated DF",IF(DP1266=1,"external DF used","explicit C balance"))</f>
        <v>explicit C balance</v>
      </c>
      <c r="DV1266">
        <v>1</v>
      </c>
      <c r="DW1266" s="143">
        <v>1</v>
      </c>
      <c r="DX1266" s="143">
        <v>1</v>
      </c>
      <c r="DY1266" s="143">
        <v>1</v>
      </c>
      <c r="DZ1266">
        <v>1</v>
      </c>
      <c r="EA1266" s="141">
        <v>0</v>
      </c>
      <c r="EB1266">
        <v>0</v>
      </c>
      <c r="EC1266" s="143">
        <v>0</v>
      </c>
      <c r="ED1266" s="143">
        <v>0</v>
      </c>
      <c r="EE1266">
        <v>0</v>
      </c>
      <c r="EF1266">
        <v>1</v>
      </c>
      <c r="EG1266" s="143">
        <v>0</v>
      </c>
      <c r="EH1266" s="143">
        <v>1</v>
      </c>
      <c r="EI1266" s="2">
        <v>0</v>
      </c>
      <c r="EK1266" t="str">
        <f>IF(AND(AND(AND(OR($DX1266=1,$DW1266=1),OR($EC1266=1,$EA1266=1)),SUM($DV1266:$DZ1266,$EF1266)&gt;=3),SUM($EA1266:$EE1266)&gt;=2),"Whole sector","")</f>
        <v/>
      </c>
      <c r="EL1266" t="str">
        <f>IF(AND(AND(OR($DX1266=1,$DW1266=1),AND($EC1266=0,$EA1266=0)),SUM($DV1266:$DZ1266,$EF1266)&gt;=3),"Ecosystem approach","")</f>
        <v>Ecosystem approach</v>
      </c>
      <c r="EM1266" s="2" t="str">
        <f>IF(AND(AND(AND($DX1266=0,$DW1266=0),OR($EC1266=1,$EA1266=1)),SUM($EB1266:$EE1266)&gt;=2),"Technology approach","")</f>
        <v/>
      </c>
      <c r="EP1266" t="b">
        <f>IF(ISNUMBER(BU1266),IF(ABS(BU1266-[5]QC_indicators!$B$2)&gt;3*[5]QC_indicators!$C$2,"C ratio",IF(ISNUMBER(BY1266),IF(ABS(BY1266-[5]QC_indicators!$B$1)&gt;3*[5]QC_indicators!$C$1,"DF","no"))),IF(ISNUMBER(BY1266),IF(ABS(BY1266-[5]QC_indicators!$B$1)&gt;3*[5]QC_indicators!$C$1,"DF","no")))</f>
        <v>0</v>
      </c>
      <c r="ER1266" t="s">
        <v>3495</v>
      </c>
      <c r="ES1266" t="s">
        <v>771</v>
      </c>
    </row>
    <row r="1267" spans="1:149" ht="15" customHeight="1">
      <c r="A1267" s="1" t="s">
        <v>3483</v>
      </c>
      <c r="B1267" t="s">
        <v>3484</v>
      </c>
      <c r="C1267" t="s">
        <v>3485</v>
      </c>
      <c r="D1267" t="s">
        <v>3486</v>
      </c>
      <c r="E1267" t="s">
        <v>3487</v>
      </c>
      <c r="F1267" t="s">
        <v>3488</v>
      </c>
      <c r="G1267" t="s">
        <v>3489</v>
      </c>
      <c r="H1267" t="s">
        <v>254</v>
      </c>
      <c r="I1267">
        <v>2021</v>
      </c>
      <c r="J1267">
        <v>1</v>
      </c>
      <c r="K1267" t="s">
        <v>3490</v>
      </c>
      <c r="M1267" t="str">
        <f>LEFT($D1267,FIND(",",$D1267)-1)&amp;"_"&amp;I1267&amp;L1267</f>
        <v>Bradfer-Lawrence_2021</v>
      </c>
      <c r="N1267" s="312" t="s">
        <v>4383</v>
      </c>
      <c r="O1267" s="145" t="s">
        <v>223</v>
      </c>
      <c r="Q1267" s="312" t="s">
        <v>256</v>
      </c>
      <c r="R1267" s="313"/>
      <c r="S1267" s="1" t="s">
        <v>3491</v>
      </c>
      <c r="T1267" t="s">
        <v>3492</v>
      </c>
      <c r="U1267" t="s">
        <v>3493</v>
      </c>
      <c r="V1267">
        <v>1</v>
      </c>
      <c r="W1267">
        <v>0</v>
      </c>
      <c r="X1267">
        <v>0</v>
      </c>
      <c r="Y1267">
        <v>0</v>
      </c>
      <c r="Z1267">
        <v>2</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s="141">
        <f>COUNTIF(V1267:AW1267,"&lt;&gt;0")</f>
        <v>2</v>
      </c>
      <c r="AY1267" s="141">
        <f>COUNTIF(V1267:AL1267,"&lt;&gt;0")</f>
        <v>2</v>
      </c>
      <c r="AZ1267">
        <f>COUNTIF(V1267:AC1267,"&lt;&gt;0")</f>
        <v>2</v>
      </c>
      <c r="BA1267">
        <f>COUNTIF(AD1267:AI1267,"&lt;&gt;0")</f>
        <v>0</v>
      </c>
      <c r="BB1267">
        <f>COUNTIF(AJ1267:AL1267,"&lt;&gt;0")</f>
        <v>0</v>
      </c>
      <c r="BC1267">
        <f>COUNTIF(AS1267:AW1267,"&lt;&gt;0")</f>
        <v>0</v>
      </c>
      <c r="BD1267">
        <f>COUNTIF(AM1267:AR1267,"&lt;&gt;0")</f>
        <v>0</v>
      </c>
      <c r="BE1267" t="str" cm="1">
        <f t="array" ref="BE1267">IF(AY1267=1,INDEX($V$7:$AL$7,MATCH(TRUE,INDEX($V1267:$AW1267&lt;&gt;0,),0)),IF(AY1267=0,INDEX($AM$7:$AW$7,MATCH(1,$AM1267:$AW1267,0)),IF(BF1267="Multiple strategies","mixed drivers",IF(BF1267="Supply chain","multiple supply","multiple silviculture"))))</f>
        <v>multiple silviculture</v>
      </c>
      <c r="BF1267" s="2" t="str" cm="1">
        <f t="array" ref="BF1267">IF(COUNTIF(AZ1267:BB1267,"&lt;&gt;0")=1,INDEX($V$4:$AW$4,MATCH(TRUE,INDEX($V1267:$AW1267&lt;&gt;0,),0)),IF(COUNTIF(AZ1267:BB1267,"&lt;&gt;0")=0,INDEX($AM$4:$AW$4,MATCH(1,$AM1267:$AW1267,0)),"Multiple strategies"))</f>
        <v>Silviculture for removals</v>
      </c>
      <c r="BP1267" t="s">
        <v>232</v>
      </c>
      <c r="BR1267" t="s">
        <v>598</v>
      </c>
      <c r="BS1267">
        <v>45.3</v>
      </c>
      <c r="BT1267">
        <v>112.6</v>
      </c>
      <c r="BU1267">
        <f>BT1267/BS1267</f>
        <v>2.4856512141280351</v>
      </c>
      <c r="BV1267">
        <f>BT1267-BS1267</f>
        <v>67.3</v>
      </c>
      <c r="BX1267">
        <f>BV1267*10^6</f>
        <v>67300000</v>
      </c>
      <c r="BY1267" t="str">
        <f>IFERROR(BX1267/BO1267,"")</f>
        <v/>
      </c>
      <c r="BZ1267" s="143">
        <v>0</v>
      </c>
      <c r="CA1267" s="143">
        <v>0</v>
      </c>
      <c r="CB1267" s="143">
        <v>0</v>
      </c>
      <c r="CC1267" s="143">
        <v>0</v>
      </c>
      <c r="CD1267" s="143">
        <v>0</v>
      </c>
      <c r="CE1267" s="143">
        <v>0</v>
      </c>
      <c r="CF1267" s="143">
        <v>0</v>
      </c>
      <c r="CG1267" s="143">
        <v>0</v>
      </c>
      <c r="CH1267" s="143">
        <v>0</v>
      </c>
      <c r="CI1267" s="143">
        <v>0</v>
      </c>
      <c r="CJ1267" s="143">
        <v>0</v>
      </c>
      <c r="CK1267" s="143">
        <v>0</v>
      </c>
      <c r="CL1267" s="143">
        <v>0</v>
      </c>
      <c r="CM1267">
        <v>0</v>
      </c>
      <c r="CN1267" t="str">
        <f>IF(BL1267&lt;BK1267,"refNeedCorrection","refOK")</f>
        <v>refOK</v>
      </c>
      <c r="CO1267"/>
      <c r="CP1267"/>
      <c r="CQ1267"/>
      <c r="CR1267">
        <f>IF($CN1267="refOK",$BS1267,$BT1267)*IF($BP1267="Emissions positive",-1,1)</f>
        <v>45.3</v>
      </c>
      <c r="CS1267">
        <f>IF($CN1267="refOK",$BT1267,$BS1267)*IF($BP1267="Emissions positive",-1,1)</f>
        <v>112.6</v>
      </c>
      <c r="CT1267">
        <f>IF($CN1267="refNeedCorrection",-BX1267,BX1267)*IF($BP1267="Emissions positive",-1,1)</f>
        <v>67300000</v>
      </c>
      <c r="CU1267" t="str">
        <f>IFERROR(CT1267/CQ1267,"")</f>
        <v/>
      </c>
      <c r="CV1267" s="2">
        <f>IFERROR((CS1267-CR1267)/ABS(CR1267),"")</f>
        <v>1.4856512141280354</v>
      </c>
      <c r="CW1267" s="1" t="s">
        <v>1203</v>
      </c>
      <c r="CX1267" s="312" t="str">
        <f>IF(OR($CW1267="prd",$CW1267="std",$CW1267="cit"),"loc",IF(OR($CW1267="eur",$CW1267="reg",$CW1267="coy"),"reg",$CW1267))</f>
        <v>reg</v>
      </c>
      <c r="CY1267" t="s">
        <v>3494</v>
      </c>
      <c r="CZ1267">
        <v>2020</v>
      </c>
      <c r="DA1267">
        <v>2050</v>
      </c>
      <c r="DB1267" s="143">
        <f>DA1267-CZ1267</f>
        <v>30</v>
      </c>
      <c r="DC1267" t="str">
        <f>IF(DB1267=0,"0",IF(AND(DB1267&gt;=1,DB1267&lt;=30),"1-30",IF(AND(DB1267&gt;30,DB1267&lt;=70),"31-70",IF(AND(DB1267&gt;70,DB1267&lt;=100),"71-100",IF(DB1267&gt;100,"+100")))))</f>
        <v>1-30</v>
      </c>
      <c r="DD1267">
        <v>0</v>
      </c>
      <c r="DE1267">
        <v>1</v>
      </c>
      <c r="DF1267">
        <v>1</v>
      </c>
      <c r="DG1267">
        <v>1</v>
      </c>
      <c r="DI1267">
        <f>SUM(DD1267:DG1267)</f>
        <v>3</v>
      </c>
      <c r="DJ1267" t="str">
        <f>IF(DI1267=1,INDEX($DD$7:$DG$7,MATCH(1,$DD1267:$DG1267,0)),"mixedProduct")</f>
        <v>mixedProduct</v>
      </c>
      <c r="DK1267">
        <f>IF(DD1267=1,DK$7,0)</f>
        <v>0</v>
      </c>
      <c r="DL1267" t="str">
        <f>IF(DE1267=1,DL$7,0)</f>
        <v>Energy</v>
      </c>
      <c r="DM1267" t="str">
        <f>IF(DF1267=1,DM$7,0)</f>
        <v>Pulp/Paper</v>
      </c>
      <c r="DN1267" t="str">
        <f>IF(DG1267=1,DN$7,0)</f>
        <v>Timber</v>
      </c>
      <c r="DO1267">
        <v>0</v>
      </c>
      <c r="DP1267" s="143">
        <v>0</v>
      </c>
      <c r="DQ1267" s="143">
        <v>0</v>
      </c>
      <c r="DR1267" s="143">
        <v>0</v>
      </c>
      <c r="DS1267">
        <v>0</v>
      </c>
      <c r="DT1267">
        <f>SUM(DO1267:DP1267)</f>
        <v>0</v>
      </c>
      <c r="DU1267" s="143" t="str">
        <f>IF(DO1267=1,"self-calculated DF",IF(DP1267=1,"external DF used","explicit C balance"))</f>
        <v>explicit C balance</v>
      </c>
      <c r="DV1267">
        <v>1</v>
      </c>
      <c r="DW1267" s="143">
        <v>1</v>
      </c>
      <c r="DX1267" s="143">
        <v>1</v>
      </c>
      <c r="DY1267" s="143">
        <v>1</v>
      </c>
      <c r="DZ1267">
        <v>1</v>
      </c>
      <c r="EA1267" s="141">
        <v>0</v>
      </c>
      <c r="EB1267">
        <v>0</v>
      </c>
      <c r="EC1267" s="143">
        <v>0</v>
      </c>
      <c r="ED1267" s="143">
        <v>0</v>
      </c>
      <c r="EE1267">
        <v>0</v>
      </c>
      <c r="EF1267">
        <v>1</v>
      </c>
      <c r="EG1267" s="143">
        <v>0</v>
      </c>
      <c r="EH1267" s="143">
        <v>1</v>
      </c>
      <c r="EI1267" s="2">
        <v>0</v>
      </c>
      <c r="EK1267" t="str">
        <f>IF(AND(AND(AND(OR($DX1267=1,$DW1267=1),OR($EC1267=1,$EA1267=1)),SUM($DV1267:$DZ1267,$EF1267)&gt;=3),SUM($EA1267:$EE1267)&gt;=2),"Whole sector","")</f>
        <v/>
      </c>
      <c r="EL1267" t="str">
        <f>IF(AND(AND(OR($DX1267=1,$DW1267=1),AND($EC1267=0,$EA1267=0)),SUM($DV1267:$DZ1267,$EF1267)&gt;=3),"Ecosystem approach","")</f>
        <v>Ecosystem approach</v>
      </c>
      <c r="EM1267" s="2" t="str">
        <f>IF(AND(AND(AND($DX1267=0,$DW1267=0),OR($EC1267=1,$EA1267=1)),SUM($EB1267:$EE1267)&gt;=2),"Technology approach","")</f>
        <v/>
      </c>
      <c r="EP1267" t="b">
        <f>IF(ISNUMBER(BU1267),IF(ABS(BU1267-[5]QC_indicators!$B$2)&gt;3*[5]QC_indicators!$C$2,"C ratio",IF(ISNUMBER(BY1267),IF(ABS(BY1267-[5]QC_indicators!$B$1)&gt;3*[5]QC_indicators!$C$1,"DF","no"))),IF(ISNUMBER(BY1267),IF(ABS(BY1267-[5]QC_indicators!$B$1)&gt;3*[5]QC_indicators!$C$1,"DF","no")))</f>
        <v>0</v>
      </c>
    </row>
    <row r="1268" spans="1:149" ht="15" customHeight="1">
      <c r="A1268" s="1" t="s">
        <v>3483</v>
      </c>
      <c r="B1268" t="s">
        <v>3484</v>
      </c>
      <c r="C1268" t="s">
        <v>3485</v>
      </c>
      <c r="D1268" t="s">
        <v>3486</v>
      </c>
      <c r="E1268" t="s">
        <v>3487</v>
      </c>
      <c r="F1268" t="s">
        <v>3488</v>
      </c>
      <c r="G1268" t="s">
        <v>3489</v>
      </c>
      <c r="H1268" t="s">
        <v>254</v>
      </c>
      <c r="I1268">
        <v>2021</v>
      </c>
      <c r="J1268">
        <v>1</v>
      </c>
      <c r="K1268" t="s">
        <v>3490</v>
      </c>
      <c r="M1268" t="str">
        <f>LEFT($D1268,FIND(",",$D1268)-1)&amp;"_"&amp;I1268&amp;L1268</f>
        <v>Bradfer-Lawrence_2021</v>
      </c>
      <c r="N1268" s="312" t="s">
        <v>4383</v>
      </c>
      <c r="O1268" s="145" t="s">
        <v>223</v>
      </c>
      <c r="Q1268" s="312" t="s">
        <v>256</v>
      </c>
      <c r="R1268" s="313"/>
      <c r="S1268" s="1" t="s">
        <v>3491</v>
      </c>
      <c r="T1268" t="s">
        <v>3492</v>
      </c>
      <c r="U1268" t="s">
        <v>3496</v>
      </c>
      <c r="V1268">
        <v>1</v>
      </c>
      <c r="W1268">
        <v>0</v>
      </c>
      <c r="X1268">
        <v>0</v>
      </c>
      <c r="Y1268">
        <v>0</v>
      </c>
      <c r="Z1268">
        <v>2</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s="141">
        <f>COUNTIF(V1268:AW1268,"&lt;&gt;0")</f>
        <v>2</v>
      </c>
      <c r="AY1268" s="141">
        <f>COUNTIF(V1268:AL1268,"&lt;&gt;0")</f>
        <v>2</v>
      </c>
      <c r="AZ1268">
        <f>COUNTIF(V1268:AC1268,"&lt;&gt;0")</f>
        <v>2</v>
      </c>
      <c r="BA1268">
        <f>COUNTIF(AD1268:AI1268,"&lt;&gt;0")</f>
        <v>0</v>
      </c>
      <c r="BB1268">
        <f>COUNTIF(AJ1268:AL1268,"&lt;&gt;0")</f>
        <v>0</v>
      </c>
      <c r="BC1268">
        <f>COUNTIF(AS1268:AW1268,"&lt;&gt;0")</f>
        <v>0</v>
      </c>
      <c r="BD1268">
        <f>COUNTIF(AM1268:AR1268,"&lt;&gt;0")</f>
        <v>0</v>
      </c>
      <c r="BE1268" t="str" cm="1">
        <f t="array" ref="BE1268">IF(AY1268=1,INDEX($V$7:$AL$7,MATCH(TRUE,INDEX($V1268:$AW1268&lt;&gt;0,),0)),IF(AY1268=0,INDEX($AM$7:$AW$7,MATCH(1,$AM1268:$AW1268,0)),IF(BF1268="Multiple strategies","mixed drivers",IF(BF1268="Supply chain","multiple supply","multiple silviculture"))))</f>
        <v>multiple silviculture</v>
      </c>
      <c r="BF1268" s="2" t="str" cm="1">
        <f t="array" ref="BF1268">IF(COUNTIF(AZ1268:BB1268,"&lt;&gt;0")=1,INDEX($V$4:$AW$4,MATCH(TRUE,INDEX($V1268:$AW1268&lt;&gt;0,),0)),IF(COUNTIF(AZ1268:BB1268,"&lt;&gt;0")=0,INDEX($AM$4:$AW$4,MATCH(1,$AM1268:$AW1268,0)),"Multiple strategies"))</f>
        <v>Silviculture for removals</v>
      </c>
      <c r="BP1268" t="s">
        <v>232</v>
      </c>
      <c r="BR1268" t="s">
        <v>598</v>
      </c>
      <c r="BS1268">
        <v>45.3</v>
      </c>
      <c r="BT1268">
        <v>90.1</v>
      </c>
      <c r="BU1268">
        <f>BT1268/BS1268</f>
        <v>1.988962472406181</v>
      </c>
      <c r="BV1268">
        <f>BT1268-BS1268</f>
        <v>44.8</v>
      </c>
      <c r="BX1268">
        <f>BV1268*10^6</f>
        <v>44800000</v>
      </c>
      <c r="BY1268" t="str">
        <f>IFERROR(BX1268/BO1268,"")</f>
        <v/>
      </c>
      <c r="BZ1268" s="143">
        <v>0</v>
      </c>
      <c r="CA1268" s="143">
        <v>0</v>
      </c>
      <c r="CB1268" s="143">
        <v>0</v>
      </c>
      <c r="CC1268" s="143">
        <v>0</v>
      </c>
      <c r="CD1268" s="143">
        <v>0</v>
      </c>
      <c r="CE1268" s="143">
        <v>0</v>
      </c>
      <c r="CF1268" s="143">
        <v>0</v>
      </c>
      <c r="CG1268" s="143">
        <v>0</v>
      </c>
      <c r="CH1268" s="143">
        <v>0</v>
      </c>
      <c r="CI1268" s="143">
        <v>0</v>
      </c>
      <c r="CJ1268" s="143">
        <v>0</v>
      </c>
      <c r="CK1268" s="143">
        <v>0</v>
      </c>
      <c r="CL1268" s="143">
        <v>0</v>
      </c>
      <c r="CM1268">
        <v>0</v>
      </c>
      <c r="CN1268" t="str">
        <f>IF(BL1268&lt;BK1268,"refNeedCorrection","refOK")</f>
        <v>refOK</v>
      </c>
      <c r="CO1268"/>
      <c r="CP1268"/>
      <c r="CQ1268"/>
      <c r="CR1268">
        <f>IF($CN1268="refOK",$BS1268,$BT1268)*IF($BP1268="Emissions positive",-1,1)</f>
        <v>45.3</v>
      </c>
      <c r="CS1268">
        <f>IF($CN1268="refOK",$BT1268,$BS1268)*IF($BP1268="Emissions positive",-1,1)</f>
        <v>90.1</v>
      </c>
      <c r="CT1268">
        <f>IF($CN1268="refNeedCorrection",-BX1268,BX1268)*IF($BP1268="Emissions positive",-1,1)</f>
        <v>44800000</v>
      </c>
      <c r="CU1268" t="str">
        <f>IFERROR(CT1268/CQ1268,"")</f>
        <v/>
      </c>
      <c r="CV1268" s="2">
        <f>IFERROR((CS1268-CR1268)/ABS(CR1268),"")</f>
        <v>0.98896247240618107</v>
      </c>
      <c r="CW1268" s="1" t="s">
        <v>1203</v>
      </c>
      <c r="CX1268" s="312" t="str">
        <f>IF(OR($CW1268="prd",$CW1268="std",$CW1268="cit"),"loc",IF(OR($CW1268="eur",$CW1268="reg",$CW1268="coy"),"reg",$CW1268))</f>
        <v>reg</v>
      </c>
      <c r="CY1268" t="s">
        <v>3494</v>
      </c>
      <c r="CZ1268">
        <v>2020</v>
      </c>
      <c r="DA1268">
        <v>2050</v>
      </c>
      <c r="DB1268" s="143">
        <f>DA1268-CZ1268</f>
        <v>30</v>
      </c>
      <c r="DC1268" t="str">
        <f>IF(DB1268=0,"0",IF(AND(DB1268&gt;=1,DB1268&lt;=30),"1-30",IF(AND(DB1268&gt;30,DB1268&lt;=70),"31-70",IF(AND(DB1268&gt;70,DB1268&lt;=100),"71-100",IF(DB1268&gt;100,"+100")))))</f>
        <v>1-30</v>
      </c>
      <c r="DD1268">
        <v>0</v>
      </c>
      <c r="DE1268">
        <v>1</v>
      </c>
      <c r="DF1268">
        <v>1</v>
      </c>
      <c r="DG1268">
        <v>1</v>
      </c>
      <c r="DI1268">
        <f>SUM(DD1268:DG1268)</f>
        <v>3</v>
      </c>
      <c r="DJ1268" t="str">
        <f>IF(DI1268=1,INDEX($DD$7:$DG$7,MATCH(1,$DD1268:$DG1268,0)),"mixedProduct")</f>
        <v>mixedProduct</v>
      </c>
      <c r="DK1268">
        <f>IF(DD1268=1,DK$7,0)</f>
        <v>0</v>
      </c>
      <c r="DL1268" t="str">
        <f>IF(DE1268=1,DL$7,0)</f>
        <v>Energy</v>
      </c>
      <c r="DM1268" t="str">
        <f>IF(DF1268=1,DM$7,0)</f>
        <v>Pulp/Paper</v>
      </c>
      <c r="DN1268" t="str">
        <f>IF(DG1268=1,DN$7,0)</f>
        <v>Timber</v>
      </c>
      <c r="DO1268">
        <v>0</v>
      </c>
      <c r="DP1268" s="143">
        <v>0</v>
      </c>
      <c r="DQ1268" s="143">
        <v>0</v>
      </c>
      <c r="DR1268" s="143">
        <v>0</v>
      </c>
      <c r="DS1268">
        <v>0</v>
      </c>
      <c r="DT1268">
        <f>SUM(DO1268:DP1268)</f>
        <v>0</v>
      </c>
      <c r="DU1268" s="143" t="str">
        <f>IF(DO1268=1,"self-calculated DF",IF(DP1268=1,"external DF used","explicit C balance"))</f>
        <v>explicit C balance</v>
      </c>
      <c r="DV1268">
        <v>1</v>
      </c>
      <c r="DW1268" s="143">
        <v>1</v>
      </c>
      <c r="DX1268" s="143">
        <v>1</v>
      </c>
      <c r="DY1268" s="143">
        <v>1</v>
      </c>
      <c r="DZ1268">
        <v>1</v>
      </c>
      <c r="EA1268" s="141">
        <v>0</v>
      </c>
      <c r="EB1268">
        <v>0</v>
      </c>
      <c r="EC1268" s="143">
        <v>0</v>
      </c>
      <c r="ED1268" s="143">
        <v>0</v>
      </c>
      <c r="EE1268">
        <v>0</v>
      </c>
      <c r="EF1268">
        <v>1</v>
      </c>
      <c r="EG1268" s="143">
        <v>0</v>
      </c>
      <c r="EH1268" s="143">
        <v>1</v>
      </c>
      <c r="EI1268" s="2">
        <v>0</v>
      </c>
      <c r="EK1268" t="str">
        <f>IF(AND(AND(AND(OR($DX1268=1,$DW1268=1),OR($EC1268=1,$EA1268=1)),SUM($DV1268:$DZ1268,$EF1268)&gt;=3),SUM($EA1268:$EE1268)&gt;=2),"Whole sector","")</f>
        <v/>
      </c>
      <c r="EL1268" t="str">
        <f>IF(AND(AND(OR($DX1268=1,$DW1268=1),AND($EC1268=0,$EA1268=0)),SUM($DV1268:$DZ1268,$EF1268)&gt;=3),"Ecosystem approach","")</f>
        <v>Ecosystem approach</v>
      </c>
      <c r="EM1268" s="2" t="str">
        <f>IF(AND(AND(AND($DX1268=0,$DW1268=0),OR($EC1268=1,$EA1268=1)),SUM($EB1268:$EE1268)&gt;=2),"Technology approach","")</f>
        <v/>
      </c>
      <c r="EP1268" t="b">
        <f>IF(ISNUMBER(BU1268),IF(ABS(BU1268-[5]QC_indicators!$B$2)&gt;3*[5]QC_indicators!$C$2,"C ratio",IF(ISNUMBER(BY1268),IF(ABS(BY1268-[5]QC_indicators!$B$1)&gt;3*[5]QC_indicators!$C$1,"DF","no"))),IF(ISNUMBER(BY1268),IF(ABS(BY1268-[5]QC_indicators!$B$1)&gt;3*[5]QC_indicators!$C$1,"DF","no")))</f>
        <v>0</v>
      </c>
      <c r="ER1268" t="s">
        <v>3495</v>
      </c>
      <c r="ES1268" t="s">
        <v>771</v>
      </c>
    </row>
    <row r="1269" spans="1:149" ht="15" customHeight="1">
      <c r="A1269" s="1" t="s">
        <v>3483</v>
      </c>
      <c r="B1269" t="s">
        <v>3484</v>
      </c>
      <c r="C1269" t="s">
        <v>3485</v>
      </c>
      <c r="D1269" t="s">
        <v>3486</v>
      </c>
      <c r="E1269" t="s">
        <v>3487</v>
      </c>
      <c r="F1269" t="s">
        <v>3488</v>
      </c>
      <c r="G1269" t="s">
        <v>3489</v>
      </c>
      <c r="H1269" t="s">
        <v>254</v>
      </c>
      <c r="I1269">
        <v>2021</v>
      </c>
      <c r="J1269">
        <v>1</v>
      </c>
      <c r="K1269" t="s">
        <v>3490</v>
      </c>
      <c r="M1269" t="str">
        <f>LEFT($D1269,FIND(",",$D1269)-1)&amp;"_"&amp;I1269&amp;L1269</f>
        <v>Bradfer-Lawrence_2021</v>
      </c>
      <c r="N1269" s="312" t="s">
        <v>4383</v>
      </c>
      <c r="O1269" s="145" t="s">
        <v>223</v>
      </c>
      <c r="Q1269" s="312" t="s">
        <v>256</v>
      </c>
      <c r="R1269" s="313"/>
      <c r="S1269" s="1" t="s">
        <v>3491</v>
      </c>
      <c r="T1269" t="s">
        <v>3492</v>
      </c>
      <c r="U1269" t="s">
        <v>3496</v>
      </c>
      <c r="V1269">
        <v>1</v>
      </c>
      <c r="W1269">
        <v>0</v>
      </c>
      <c r="X1269">
        <v>0</v>
      </c>
      <c r="Y1269">
        <v>0</v>
      </c>
      <c r="Z1269">
        <v>2</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s="141">
        <f>COUNTIF(V1269:AW1269,"&lt;&gt;0")</f>
        <v>2</v>
      </c>
      <c r="AY1269" s="141">
        <f>COUNTIF(V1269:AL1269,"&lt;&gt;0")</f>
        <v>2</v>
      </c>
      <c r="AZ1269">
        <f>COUNTIF(V1269:AC1269,"&lt;&gt;0")</f>
        <v>2</v>
      </c>
      <c r="BA1269">
        <f>COUNTIF(AD1269:AI1269,"&lt;&gt;0")</f>
        <v>0</v>
      </c>
      <c r="BB1269">
        <f>COUNTIF(AJ1269:AL1269,"&lt;&gt;0")</f>
        <v>0</v>
      </c>
      <c r="BC1269">
        <f>COUNTIF(AS1269:AW1269,"&lt;&gt;0")</f>
        <v>0</v>
      </c>
      <c r="BD1269">
        <f>COUNTIF(AM1269:AR1269,"&lt;&gt;0")</f>
        <v>0</v>
      </c>
      <c r="BE1269" t="str" cm="1">
        <f t="array" ref="BE1269">IF(AY1269=1,INDEX($V$7:$AL$7,MATCH(TRUE,INDEX($V1269:$AW1269&lt;&gt;0,),0)),IF(AY1269=0,INDEX($AM$7:$AW$7,MATCH(1,$AM1269:$AW1269,0)),IF(BF1269="Multiple strategies","mixed drivers",IF(BF1269="Supply chain","multiple supply","multiple silviculture"))))</f>
        <v>multiple silviculture</v>
      </c>
      <c r="BF1269" s="2" t="str" cm="1">
        <f t="array" ref="BF1269">IF(COUNTIF(AZ1269:BB1269,"&lt;&gt;0")=1,INDEX($V$4:$AW$4,MATCH(TRUE,INDEX($V1269:$AW1269&lt;&gt;0,),0)),IF(COUNTIF(AZ1269:BB1269,"&lt;&gt;0")=0,INDEX($AM$4:$AW$4,MATCH(1,$AM1269:$AW1269,0)),"Multiple strategies"))</f>
        <v>Silviculture for removals</v>
      </c>
      <c r="BP1269" t="s">
        <v>232</v>
      </c>
      <c r="BR1269" t="s">
        <v>598</v>
      </c>
      <c r="BS1269">
        <v>163.80000000000001</v>
      </c>
      <c r="BT1269">
        <v>294.39999999999998</v>
      </c>
      <c r="BU1269">
        <f>BT1269/BS1269</f>
        <v>1.7973137973137971</v>
      </c>
      <c r="BV1269">
        <f>BT1269-BS1269</f>
        <v>130.59999999999997</v>
      </c>
      <c r="BX1269">
        <f>BV1269*10^6</f>
        <v>130599999.99999997</v>
      </c>
      <c r="BY1269" t="str">
        <f>IFERROR(BX1269/BO1269,"")</f>
        <v/>
      </c>
      <c r="BZ1269" s="143">
        <v>0</v>
      </c>
      <c r="CA1269" s="143">
        <v>0</v>
      </c>
      <c r="CB1269" s="143">
        <v>0</v>
      </c>
      <c r="CC1269" s="143">
        <v>0</v>
      </c>
      <c r="CD1269" s="143">
        <v>0</v>
      </c>
      <c r="CE1269" s="143">
        <v>0</v>
      </c>
      <c r="CF1269" s="143">
        <v>0</v>
      </c>
      <c r="CG1269" s="143">
        <v>0</v>
      </c>
      <c r="CH1269" s="143">
        <v>0</v>
      </c>
      <c r="CI1269" s="143">
        <v>0</v>
      </c>
      <c r="CJ1269" s="143">
        <v>0</v>
      </c>
      <c r="CK1269" s="143">
        <v>0</v>
      </c>
      <c r="CL1269" s="143">
        <v>0</v>
      </c>
      <c r="CM1269">
        <v>0</v>
      </c>
      <c r="CN1269" t="str">
        <f>IF(BL1269&lt;BK1269,"refNeedCorrection","refOK")</f>
        <v>refOK</v>
      </c>
      <c r="CO1269"/>
      <c r="CP1269"/>
      <c r="CQ1269"/>
      <c r="CR1269">
        <f>IF($CN1269="refOK",$BS1269,$BT1269)*IF($BP1269="Emissions positive",-1,1)</f>
        <v>163.80000000000001</v>
      </c>
      <c r="CS1269">
        <f>IF($CN1269="refOK",$BT1269,$BS1269)*IF($BP1269="Emissions positive",-1,1)</f>
        <v>294.39999999999998</v>
      </c>
      <c r="CT1269">
        <f>IF($CN1269="refNeedCorrection",-BX1269,BX1269)*IF($BP1269="Emissions positive",-1,1)</f>
        <v>130599999.99999997</v>
      </c>
      <c r="CU1269" t="str">
        <f>IFERROR(CT1269/CQ1269,"")</f>
        <v/>
      </c>
      <c r="CV1269" s="2">
        <f>IFERROR((CS1269-CR1269)/ABS(CR1269),"")</f>
        <v>0.79731379731379703</v>
      </c>
      <c r="CW1269" s="1" t="s">
        <v>1203</v>
      </c>
      <c r="CX1269" s="312" t="str">
        <f>IF(OR($CW1269="prd",$CW1269="std",$CW1269="cit"),"loc",IF(OR($CW1269="eur",$CW1269="reg",$CW1269="coy"),"reg",$CW1269))</f>
        <v>reg</v>
      </c>
      <c r="CY1269" t="s">
        <v>3494</v>
      </c>
      <c r="CZ1269">
        <v>2020</v>
      </c>
      <c r="DA1269">
        <v>2100</v>
      </c>
      <c r="DB1269" s="143">
        <f>DA1269-CZ1269</f>
        <v>80</v>
      </c>
      <c r="DC1269" t="str">
        <f>IF(DB1269=0,"0",IF(AND(DB1269&gt;=1,DB1269&lt;=30),"1-30",IF(AND(DB1269&gt;30,DB1269&lt;=70),"31-70",IF(AND(DB1269&gt;70,DB1269&lt;=100),"71-100",IF(DB1269&gt;100,"+100")))))</f>
        <v>71-100</v>
      </c>
      <c r="DD1269">
        <v>0</v>
      </c>
      <c r="DE1269">
        <v>1</v>
      </c>
      <c r="DF1269">
        <v>1</v>
      </c>
      <c r="DG1269">
        <v>1</v>
      </c>
      <c r="DI1269">
        <f>SUM(DD1269:DG1269)</f>
        <v>3</v>
      </c>
      <c r="DJ1269" t="str">
        <f>IF(DI1269=1,INDEX($DD$7:$DG$7,MATCH(1,$DD1269:$DG1269,0)),"mixedProduct")</f>
        <v>mixedProduct</v>
      </c>
      <c r="DK1269">
        <f>IF(DD1269=1,DK$7,0)</f>
        <v>0</v>
      </c>
      <c r="DL1269" t="str">
        <f>IF(DE1269=1,DL$7,0)</f>
        <v>Energy</v>
      </c>
      <c r="DM1269" t="str">
        <f>IF(DF1269=1,DM$7,0)</f>
        <v>Pulp/Paper</v>
      </c>
      <c r="DN1269" t="str">
        <f>IF(DG1269=1,DN$7,0)</f>
        <v>Timber</v>
      </c>
      <c r="DO1269">
        <v>0</v>
      </c>
      <c r="DP1269" s="143">
        <v>0</v>
      </c>
      <c r="DQ1269" s="143">
        <v>0</v>
      </c>
      <c r="DR1269" s="143">
        <v>0</v>
      </c>
      <c r="DS1269">
        <v>0</v>
      </c>
      <c r="DT1269">
        <f>SUM(DO1269:DP1269)</f>
        <v>0</v>
      </c>
      <c r="DU1269" s="143" t="str">
        <f>IF(DO1269=1,"self-calculated DF",IF(DP1269=1,"external DF used","explicit C balance"))</f>
        <v>explicit C balance</v>
      </c>
      <c r="DV1269">
        <v>1</v>
      </c>
      <c r="DW1269" s="143">
        <v>1</v>
      </c>
      <c r="DX1269" s="143">
        <v>1</v>
      </c>
      <c r="DY1269" s="143">
        <v>1</v>
      </c>
      <c r="DZ1269">
        <v>1</v>
      </c>
      <c r="EA1269" s="141">
        <v>0</v>
      </c>
      <c r="EB1269">
        <v>0</v>
      </c>
      <c r="EC1269" s="143">
        <v>0</v>
      </c>
      <c r="ED1269" s="143">
        <v>0</v>
      </c>
      <c r="EE1269">
        <v>0</v>
      </c>
      <c r="EF1269">
        <v>1</v>
      </c>
      <c r="EG1269" s="143">
        <v>0</v>
      </c>
      <c r="EH1269" s="143">
        <v>1</v>
      </c>
      <c r="EI1269" s="2">
        <v>0</v>
      </c>
      <c r="EK1269" t="str">
        <f>IF(AND(AND(AND(OR($DX1269=1,$DW1269=1),OR($EC1269=1,$EA1269=1)),SUM($DV1269:$DZ1269,$EF1269)&gt;=3),SUM($EA1269:$EE1269)&gt;=2),"Whole sector","")</f>
        <v/>
      </c>
      <c r="EL1269" t="str">
        <f>IF(AND(AND(OR($DX1269=1,$DW1269=1),AND($EC1269=0,$EA1269=0)),SUM($DV1269:$DZ1269,$EF1269)&gt;=3),"Ecosystem approach","")</f>
        <v>Ecosystem approach</v>
      </c>
      <c r="EM1269" s="2" t="str">
        <f>IF(AND(AND(AND($DX1269=0,$DW1269=0),OR($EC1269=1,$EA1269=1)),SUM($EB1269:$EE1269)&gt;=2),"Technology approach","")</f>
        <v/>
      </c>
      <c r="EP1269" t="b">
        <f>IF(ISNUMBER(BU1269),IF(ABS(BU1269-[5]QC_indicators!$B$2)&gt;3*[5]QC_indicators!$C$2,"C ratio",IF(ISNUMBER(BY1269),IF(ABS(BY1269-[5]QC_indicators!$B$1)&gt;3*[5]QC_indicators!$C$1,"DF","no"))),IF(ISNUMBER(BY1269),IF(ABS(BY1269-[5]QC_indicators!$B$1)&gt;3*[5]QC_indicators!$C$1,"DF","no")))</f>
        <v>0</v>
      </c>
    </row>
    <row r="1270" spans="1:149" ht="15" customHeight="1">
      <c r="A1270" s="1" t="s">
        <v>3483</v>
      </c>
      <c r="B1270" t="s">
        <v>3484</v>
      </c>
      <c r="C1270" t="s">
        <v>3485</v>
      </c>
      <c r="D1270" t="s">
        <v>3486</v>
      </c>
      <c r="E1270" t="s">
        <v>3487</v>
      </c>
      <c r="F1270" t="s">
        <v>3488</v>
      </c>
      <c r="G1270" t="s">
        <v>3489</v>
      </c>
      <c r="H1270" t="s">
        <v>254</v>
      </c>
      <c r="I1270">
        <v>2021</v>
      </c>
      <c r="J1270">
        <v>1</v>
      </c>
      <c r="K1270" t="s">
        <v>3490</v>
      </c>
      <c r="M1270" t="str">
        <f>LEFT($D1270,FIND(",",$D1270)-1)&amp;"_"&amp;I1270&amp;L1270</f>
        <v>Bradfer-Lawrence_2021</v>
      </c>
      <c r="N1270" s="312" t="s">
        <v>4383</v>
      </c>
      <c r="O1270" s="145" t="s">
        <v>223</v>
      </c>
      <c r="Q1270" s="312" t="s">
        <v>256</v>
      </c>
      <c r="R1270" s="313"/>
      <c r="S1270" s="1" t="s">
        <v>3491</v>
      </c>
      <c r="T1270" t="s">
        <v>3492</v>
      </c>
      <c r="U1270" t="s">
        <v>3497</v>
      </c>
      <c r="V1270">
        <v>1</v>
      </c>
      <c r="W1270">
        <v>0</v>
      </c>
      <c r="X1270">
        <v>0</v>
      </c>
      <c r="Y1270">
        <v>0</v>
      </c>
      <c r="Z1270">
        <v>2</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s="141">
        <f>COUNTIF(V1270:AW1270,"&lt;&gt;0")</f>
        <v>2</v>
      </c>
      <c r="AY1270" s="141">
        <f>COUNTIF(V1270:AL1270,"&lt;&gt;0")</f>
        <v>2</v>
      </c>
      <c r="AZ1270">
        <f>COUNTIF(V1270:AC1270,"&lt;&gt;0")</f>
        <v>2</v>
      </c>
      <c r="BA1270">
        <f>COUNTIF(AD1270:AI1270,"&lt;&gt;0")</f>
        <v>0</v>
      </c>
      <c r="BB1270">
        <f>COUNTIF(AJ1270:AL1270,"&lt;&gt;0")</f>
        <v>0</v>
      </c>
      <c r="BC1270">
        <f>COUNTIF(AS1270:AW1270,"&lt;&gt;0")</f>
        <v>0</v>
      </c>
      <c r="BD1270">
        <f>COUNTIF(AM1270:AR1270,"&lt;&gt;0")</f>
        <v>0</v>
      </c>
      <c r="BE1270" t="str" cm="1">
        <f t="array" ref="BE1270">IF(AY1270=1,INDEX($V$7:$AL$7,MATCH(TRUE,INDEX($V1270:$AW1270&lt;&gt;0,),0)),IF(AY1270=0,INDEX($AM$7:$AW$7,MATCH(1,$AM1270:$AW1270,0)),IF(BF1270="Multiple strategies","mixed drivers",IF(BF1270="Supply chain","multiple supply","multiple silviculture"))))</f>
        <v>multiple silviculture</v>
      </c>
      <c r="BF1270" s="2" t="str" cm="1">
        <f t="array" ref="BF1270">IF(COUNTIF(AZ1270:BB1270,"&lt;&gt;0")=1,INDEX($V$4:$AW$4,MATCH(TRUE,INDEX($V1270:$AW1270&lt;&gt;0,),0)),IF(COUNTIF(AZ1270:BB1270,"&lt;&gt;0")=0,INDEX($AM$4:$AW$4,MATCH(1,$AM1270:$AW1270,0)),"Multiple strategies"))</f>
        <v>Silviculture for removals</v>
      </c>
      <c r="BP1270" t="s">
        <v>232</v>
      </c>
      <c r="BR1270" t="s">
        <v>598</v>
      </c>
      <c r="BS1270">
        <v>163.80000000000001</v>
      </c>
      <c r="BT1270">
        <v>586.70000000000005</v>
      </c>
      <c r="BU1270">
        <f>BT1270/BS1270</f>
        <v>3.581807081807082</v>
      </c>
      <c r="BV1270">
        <f>BT1270-BS1270</f>
        <v>422.90000000000003</v>
      </c>
      <c r="BX1270">
        <f>BV1270*10^6</f>
        <v>422900000.00000006</v>
      </c>
      <c r="BY1270" t="str">
        <f>IFERROR(BX1270/BO1270,"")</f>
        <v/>
      </c>
      <c r="BZ1270" s="143">
        <v>0</v>
      </c>
      <c r="CA1270" s="143">
        <v>0</v>
      </c>
      <c r="CB1270" s="143">
        <v>0</v>
      </c>
      <c r="CC1270" s="143">
        <v>0</v>
      </c>
      <c r="CD1270" s="143">
        <v>0</v>
      </c>
      <c r="CE1270" s="143">
        <v>0</v>
      </c>
      <c r="CF1270" s="143">
        <v>0</v>
      </c>
      <c r="CG1270" s="143">
        <v>0</v>
      </c>
      <c r="CH1270" s="143">
        <v>0</v>
      </c>
      <c r="CI1270" s="143">
        <v>0</v>
      </c>
      <c r="CJ1270" s="143">
        <v>0</v>
      </c>
      <c r="CK1270" s="143">
        <v>0</v>
      </c>
      <c r="CL1270" s="143">
        <v>0</v>
      </c>
      <c r="CM1270">
        <v>0</v>
      </c>
      <c r="CN1270" t="str">
        <f>IF(BL1270&lt;BK1270,"refNeedCorrection","refOK")</f>
        <v>refOK</v>
      </c>
      <c r="CO1270"/>
      <c r="CP1270"/>
      <c r="CQ1270"/>
      <c r="CR1270">
        <f>IF($CN1270="refOK",$BS1270,$BT1270)*IF($BP1270="Emissions positive",-1,1)</f>
        <v>163.80000000000001</v>
      </c>
      <c r="CS1270">
        <f>IF($CN1270="refOK",$BT1270,$BS1270)*IF($BP1270="Emissions positive",-1,1)</f>
        <v>586.70000000000005</v>
      </c>
      <c r="CT1270">
        <f>IF($CN1270="refNeedCorrection",-BX1270,BX1270)*IF($BP1270="Emissions positive",-1,1)</f>
        <v>422900000.00000006</v>
      </c>
      <c r="CU1270" t="str">
        <f>IFERROR(CT1270/CQ1270,"")</f>
        <v/>
      </c>
      <c r="CV1270" s="2">
        <f>IFERROR((CS1270-CR1270)/ABS(CR1270),"")</f>
        <v>2.581807081807082</v>
      </c>
      <c r="CW1270" s="1" t="s">
        <v>1203</v>
      </c>
      <c r="CX1270" s="312" t="str">
        <f>IF(OR($CW1270="prd",$CW1270="std",$CW1270="cit"),"loc",IF(OR($CW1270="eur",$CW1270="reg",$CW1270="coy"),"reg",$CW1270))</f>
        <v>reg</v>
      </c>
      <c r="CY1270" t="s">
        <v>3494</v>
      </c>
      <c r="CZ1270">
        <v>2020</v>
      </c>
      <c r="DA1270">
        <v>2100</v>
      </c>
      <c r="DB1270" s="143">
        <f>DA1270-CZ1270</f>
        <v>80</v>
      </c>
      <c r="DC1270" t="str">
        <f>IF(DB1270=0,"0",IF(AND(DB1270&gt;=1,DB1270&lt;=30),"1-30",IF(AND(DB1270&gt;30,DB1270&lt;=70),"31-70",IF(AND(DB1270&gt;70,DB1270&lt;=100),"71-100",IF(DB1270&gt;100,"+100")))))</f>
        <v>71-100</v>
      </c>
      <c r="DD1270">
        <v>0</v>
      </c>
      <c r="DE1270">
        <v>1</v>
      </c>
      <c r="DF1270">
        <v>1</v>
      </c>
      <c r="DG1270">
        <v>1</v>
      </c>
      <c r="DI1270">
        <f>SUM(DD1270:DG1270)</f>
        <v>3</v>
      </c>
      <c r="DJ1270" t="str">
        <f>IF(DI1270=1,INDEX($DD$7:$DG$7,MATCH(1,$DD1270:$DG1270,0)),"mixedProduct")</f>
        <v>mixedProduct</v>
      </c>
      <c r="DK1270">
        <f>IF(DD1270=1,DK$7,0)</f>
        <v>0</v>
      </c>
      <c r="DL1270" t="str">
        <f>IF(DE1270=1,DL$7,0)</f>
        <v>Energy</v>
      </c>
      <c r="DM1270" t="str">
        <f>IF(DF1270=1,DM$7,0)</f>
        <v>Pulp/Paper</v>
      </c>
      <c r="DN1270" t="str">
        <f>IF(DG1270=1,DN$7,0)</f>
        <v>Timber</v>
      </c>
      <c r="DO1270">
        <v>0</v>
      </c>
      <c r="DP1270" s="143">
        <v>0</v>
      </c>
      <c r="DQ1270" s="143">
        <v>0</v>
      </c>
      <c r="DR1270" s="143">
        <v>0</v>
      </c>
      <c r="DS1270">
        <v>0</v>
      </c>
      <c r="DT1270">
        <f>SUM(DO1270:DP1270)</f>
        <v>0</v>
      </c>
      <c r="DU1270" s="143" t="str">
        <f>IF(DO1270=1,"self-calculated DF",IF(DP1270=1,"external DF used","explicit C balance"))</f>
        <v>explicit C balance</v>
      </c>
      <c r="DV1270">
        <v>1</v>
      </c>
      <c r="DW1270" s="143">
        <v>1</v>
      </c>
      <c r="DX1270" s="143">
        <v>1</v>
      </c>
      <c r="DY1270" s="143">
        <v>1</v>
      </c>
      <c r="DZ1270">
        <v>1</v>
      </c>
      <c r="EA1270" s="141">
        <v>0</v>
      </c>
      <c r="EB1270">
        <v>0</v>
      </c>
      <c r="EC1270" s="143">
        <v>0</v>
      </c>
      <c r="ED1270" s="143">
        <v>0</v>
      </c>
      <c r="EE1270">
        <v>0</v>
      </c>
      <c r="EF1270">
        <v>1</v>
      </c>
      <c r="EG1270" s="143">
        <v>0</v>
      </c>
      <c r="EH1270" s="143">
        <v>1</v>
      </c>
      <c r="EI1270" s="2">
        <v>0</v>
      </c>
      <c r="EK1270" t="str">
        <f>IF(AND(AND(AND(OR($DX1270=1,$DW1270=1),OR($EC1270=1,$EA1270=1)),SUM($DV1270:$DZ1270,$EF1270)&gt;=3),SUM($EA1270:$EE1270)&gt;=2),"Whole sector","")</f>
        <v/>
      </c>
      <c r="EL1270" t="str">
        <f>IF(AND(AND(OR($DX1270=1,$DW1270=1),AND($EC1270=0,$EA1270=0)),SUM($DV1270:$DZ1270,$EF1270)&gt;=3),"Ecosystem approach","")</f>
        <v>Ecosystem approach</v>
      </c>
      <c r="EM1270" s="2" t="str">
        <f>IF(AND(AND(AND($DX1270=0,$DW1270=0),OR($EC1270=1,$EA1270=1)),SUM($EB1270:$EE1270)&gt;=2),"Technology approach","")</f>
        <v/>
      </c>
      <c r="EP1270" t="b">
        <f>IF(ISNUMBER(BU1270),IF(ABS(BU1270-[5]QC_indicators!$B$2)&gt;3*[5]QC_indicators!$C$2,"C ratio",IF(ISNUMBER(BY1270),IF(ABS(BY1270-[5]QC_indicators!$B$1)&gt;3*[5]QC_indicators!$C$1,"DF","no"))),IF(ISNUMBER(BY1270),IF(ABS(BY1270-[5]QC_indicators!$B$1)&gt;3*[5]QC_indicators!$C$1,"DF","no")))</f>
        <v>0</v>
      </c>
    </row>
    <row r="1271" spans="1:149" ht="15" customHeight="1">
      <c r="A1271" s="1" t="s">
        <v>3483</v>
      </c>
      <c r="B1271" t="s">
        <v>3484</v>
      </c>
      <c r="C1271" t="s">
        <v>3485</v>
      </c>
      <c r="D1271" t="s">
        <v>3486</v>
      </c>
      <c r="E1271" t="s">
        <v>3487</v>
      </c>
      <c r="F1271" t="s">
        <v>3488</v>
      </c>
      <c r="G1271" t="s">
        <v>3489</v>
      </c>
      <c r="H1271" t="s">
        <v>254</v>
      </c>
      <c r="I1271">
        <v>2021</v>
      </c>
      <c r="J1271">
        <v>1</v>
      </c>
      <c r="K1271" t="s">
        <v>3490</v>
      </c>
      <c r="M1271" t="str">
        <f>LEFT($D1271,FIND(",",$D1271)-1)&amp;"_"&amp;I1271&amp;L1271</f>
        <v>Bradfer-Lawrence_2021</v>
      </c>
      <c r="N1271" s="312" t="s">
        <v>4383</v>
      </c>
      <c r="O1271" s="145" t="s">
        <v>223</v>
      </c>
      <c r="Q1271" s="312" t="s">
        <v>256</v>
      </c>
      <c r="R1271" s="313"/>
      <c r="S1271" s="1" t="s">
        <v>3491</v>
      </c>
      <c r="T1271" t="s">
        <v>3492</v>
      </c>
      <c r="U1271" t="s">
        <v>3497</v>
      </c>
      <c r="V1271">
        <v>1</v>
      </c>
      <c r="W1271">
        <v>0</v>
      </c>
      <c r="X1271">
        <v>0</v>
      </c>
      <c r="Y1271">
        <v>0</v>
      </c>
      <c r="Z1271">
        <v>2</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s="141">
        <f>COUNTIF(V1271:AW1271,"&lt;&gt;0")</f>
        <v>2</v>
      </c>
      <c r="AY1271" s="141">
        <f>COUNTIF(V1271:AL1271,"&lt;&gt;0")</f>
        <v>2</v>
      </c>
      <c r="AZ1271">
        <f>COUNTIF(V1271:AC1271,"&lt;&gt;0")</f>
        <v>2</v>
      </c>
      <c r="BA1271">
        <f>COUNTIF(AD1271:AI1271,"&lt;&gt;0")</f>
        <v>0</v>
      </c>
      <c r="BB1271">
        <f>COUNTIF(AJ1271:AL1271,"&lt;&gt;0")</f>
        <v>0</v>
      </c>
      <c r="BC1271">
        <f>COUNTIF(AS1271:AW1271,"&lt;&gt;0")</f>
        <v>0</v>
      </c>
      <c r="BD1271">
        <f>COUNTIF(AM1271:AR1271,"&lt;&gt;0")</f>
        <v>0</v>
      </c>
      <c r="BE1271" t="str" cm="1">
        <f t="array" ref="BE1271">IF(AY1271=1,INDEX($V$7:$AL$7,MATCH(TRUE,INDEX($V1271:$AW1271&lt;&gt;0,),0)),IF(AY1271=0,INDEX($AM$7:$AW$7,MATCH(1,$AM1271:$AW1271,0)),IF(BF1271="Multiple strategies","mixed drivers",IF(BF1271="Supply chain","multiple supply","multiple silviculture"))))</f>
        <v>multiple silviculture</v>
      </c>
      <c r="BF1271" s="2" t="str" cm="1">
        <f t="array" ref="BF1271">IF(COUNTIF(AZ1271:BB1271,"&lt;&gt;0")=1,INDEX($V$4:$AW$4,MATCH(TRUE,INDEX($V1271:$AW1271&lt;&gt;0,),0)),IF(COUNTIF(AZ1271:BB1271,"&lt;&gt;0")=0,INDEX($AM$4:$AW$4,MATCH(1,$AM1271:$AW1271,0)),"Multiple strategies"))</f>
        <v>Silviculture for removals</v>
      </c>
      <c r="BP1271" t="s">
        <v>232</v>
      </c>
      <c r="BR1271" t="s">
        <v>598</v>
      </c>
      <c r="BS1271">
        <v>45.3</v>
      </c>
      <c r="BT1271">
        <v>143.69999999999999</v>
      </c>
      <c r="BU1271">
        <f>BT1271/BS1271</f>
        <v>3.1721854304635762</v>
      </c>
      <c r="BV1271">
        <f>BT1271-BS1271</f>
        <v>98.399999999999991</v>
      </c>
      <c r="BX1271">
        <f>BV1271*10^6</f>
        <v>98399999.999999985</v>
      </c>
      <c r="BY1271" t="str">
        <f>IFERROR(BX1271/BO1271,"")</f>
        <v/>
      </c>
      <c r="BZ1271" s="143">
        <v>0</v>
      </c>
      <c r="CA1271" s="143">
        <v>0</v>
      </c>
      <c r="CB1271" s="143">
        <v>0</v>
      </c>
      <c r="CC1271" s="143">
        <v>0</v>
      </c>
      <c r="CD1271" s="143">
        <v>0</v>
      </c>
      <c r="CE1271" s="143">
        <v>0</v>
      </c>
      <c r="CF1271" s="143">
        <v>0</v>
      </c>
      <c r="CG1271" s="143">
        <v>0</v>
      </c>
      <c r="CH1271" s="143">
        <v>0</v>
      </c>
      <c r="CI1271" s="143">
        <v>0</v>
      </c>
      <c r="CJ1271" s="143">
        <v>0</v>
      </c>
      <c r="CK1271" s="143">
        <v>0</v>
      </c>
      <c r="CL1271" s="143">
        <v>0</v>
      </c>
      <c r="CM1271">
        <v>0</v>
      </c>
      <c r="CN1271" t="str">
        <f>IF(BL1271&lt;BK1271,"refNeedCorrection","refOK")</f>
        <v>refOK</v>
      </c>
      <c r="CO1271"/>
      <c r="CP1271"/>
      <c r="CQ1271"/>
      <c r="CR1271">
        <f>IF($CN1271="refOK",$BS1271,$BT1271)*IF($BP1271="Emissions positive",-1,1)</f>
        <v>45.3</v>
      </c>
      <c r="CS1271">
        <f>IF($CN1271="refOK",$BT1271,$BS1271)*IF($BP1271="Emissions positive",-1,1)</f>
        <v>143.69999999999999</v>
      </c>
      <c r="CT1271">
        <f>IF($CN1271="refNeedCorrection",-BX1271,BX1271)*IF($BP1271="Emissions positive",-1,1)</f>
        <v>98399999.999999985</v>
      </c>
      <c r="CU1271" t="str">
        <f>IFERROR(CT1271/CQ1271,"")</f>
        <v/>
      </c>
      <c r="CV1271" s="2">
        <f>IFERROR((CS1271-CR1271)/ABS(CR1271),"")</f>
        <v>2.1721854304635762</v>
      </c>
      <c r="CW1271" s="1" t="s">
        <v>1203</v>
      </c>
      <c r="CX1271" s="312" t="str">
        <f>IF(OR($CW1271="prd",$CW1271="std",$CW1271="cit"),"loc",IF(OR($CW1271="eur",$CW1271="reg",$CW1271="coy"),"reg",$CW1271))</f>
        <v>reg</v>
      </c>
      <c r="CY1271" t="s">
        <v>3494</v>
      </c>
      <c r="CZ1271">
        <v>2020</v>
      </c>
      <c r="DA1271">
        <v>2050</v>
      </c>
      <c r="DB1271" s="143">
        <f>DA1271-CZ1271</f>
        <v>30</v>
      </c>
      <c r="DC1271" t="str">
        <f>IF(DB1271=0,"0",IF(AND(DB1271&gt;=1,DB1271&lt;=30),"1-30",IF(AND(DB1271&gt;30,DB1271&lt;=70),"31-70",IF(AND(DB1271&gt;70,DB1271&lt;=100),"71-100",IF(DB1271&gt;100,"+100")))))</f>
        <v>1-30</v>
      </c>
      <c r="DD1271">
        <v>0</v>
      </c>
      <c r="DE1271">
        <v>1</v>
      </c>
      <c r="DF1271">
        <v>1</v>
      </c>
      <c r="DG1271">
        <v>1</v>
      </c>
      <c r="DI1271">
        <f>SUM(DD1271:DG1271)</f>
        <v>3</v>
      </c>
      <c r="DJ1271" t="str">
        <f>IF(DI1271=1,INDEX($DD$7:$DG$7,MATCH(1,$DD1271:$DG1271,0)),"mixedProduct")</f>
        <v>mixedProduct</v>
      </c>
      <c r="DK1271">
        <f>IF(DD1271=1,DK$7,0)</f>
        <v>0</v>
      </c>
      <c r="DL1271" t="str">
        <f>IF(DE1271=1,DL$7,0)</f>
        <v>Energy</v>
      </c>
      <c r="DM1271" t="str">
        <f>IF(DF1271=1,DM$7,0)</f>
        <v>Pulp/Paper</v>
      </c>
      <c r="DN1271" t="str">
        <f>IF(DG1271=1,DN$7,0)</f>
        <v>Timber</v>
      </c>
      <c r="DO1271">
        <v>0</v>
      </c>
      <c r="DP1271" s="143">
        <v>0</v>
      </c>
      <c r="DQ1271" s="143">
        <v>0</v>
      </c>
      <c r="DR1271" s="143">
        <v>0</v>
      </c>
      <c r="DS1271">
        <v>0</v>
      </c>
      <c r="DT1271">
        <f>SUM(DO1271:DP1271)</f>
        <v>0</v>
      </c>
      <c r="DU1271" s="143" t="str">
        <f>IF(DO1271=1,"self-calculated DF",IF(DP1271=1,"external DF used","explicit C balance"))</f>
        <v>explicit C balance</v>
      </c>
      <c r="DV1271">
        <v>1</v>
      </c>
      <c r="DW1271" s="143">
        <v>1</v>
      </c>
      <c r="DX1271" s="143">
        <v>1</v>
      </c>
      <c r="DY1271" s="143">
        <v>1</v>
      </c>
      <c r="DZ1271">
        <v>1</v>
      </c>
      <c r="EA1271" s="141">
        <v>0</v>
      </c>
      <c r="EB1271">
        <v>0</v>
      </c>
      <c r="EC1271" s="143">
        <v>0</v>
      </c>
      <c r="ED1271" s="143">
        <v>0</v>
      </c>
      <c r="EE1271">
        <v>0</v>
      </c>
      <c r="EF1271">
        <v>1</v>
      </c>
      <c r="EG1271" s="143">
        <v>0</v>
      </c>
      <c r="EH1271" s="143">
        <v>1</v>
      </c>
      <c r="EI1271" s="2">
        <v>0</v>
      </c>
      <c r="EK1271" t="str">
        <f>IF(AND(AND(AND(OR($DX1271=1,$DW1271=1),OR($EC1271=1,$EA1271=1)),SUM($DV1271:$DZ1271,$EF1271)&gt;=3),SUM($EA1271:$EE1271)&gt;=2),"Whole sector","")</f>
        <v/>
      </c>
      <c r="EL1271" t="str">
        <f>IF(AND(AND(OR($DX1271=1,$DW1271=1),AND($EC1271=0,$EA1271=0)),SUM($DV1271:$DZ1271,$EF1271)&gt;=3),"Ecosystem approach","")</f>
        <v>Ecosystem approach</v>
      </c>
      <c r="EM1271" s="2" t="str">
        <f>IF(AND(AND(AND($DX1271=0,$DW1271=0),OR($EC1271=1,$EA1271=1)),SUM($EB1271:$EE1271)&gt;=2),"Technology approach","")</f>
        <v/>
      </c>
      <c r="EP1271" t="b">
        <f>IF(ISNUMBER(BU1271),IF(ABS(BU1271-[5]QC_indicators!$B$2)&gt;3*[5]QC_indicators!$C$2,"C ratio",IF(ISNUMBER(BY1271),IF(ABS(BY1271-[5]QC_indicators!$B$1)&gt;3*[5]QC_indicators!$C$1,"DF","no"))),IF(ISNUMBER(BY1271),IF(ABS(BY1271-[5]QC_indicators!$B$1)&gt;3*[5]QC_indicators!$C$1,"DF","no")))</f>
        <v>0</v>
      </c>
    </row>
    <row r="1272" spans="1:149" ht="15" customHeight="1">
      <c r="A1272" s="1" t="s">
        <v>3483</v>
      </c>
      <c r="B1272" t="s">
        <v>3484</v>
      </c>
      <c r="C1272" t="s">
        <v>3485</v>
      </c>
      <c r="D1272" t="s">
        <v>3486</v>
      </c>
      <c r="E1272" t="s">
        <v>3487</v>
      </c>
      <c r="F1272" t="s">
        <v>3488</v>
      </c>
      <c r="G1272" t="s">
        <v>3489</v>
      </c>
      <c r="H1272" t="s">
        <v>254</v>
      </c>
      <c r="I1272">
        <v>2021</v>
      </c>
      <c r="J1272">
        <v>1</v>
      </c>
      <c r="K1272" t="s">
        <v>3490</v>
      </c>
      <c r="M1272" t="str">
        <f>LEFT($D1272,FIND(",",$D1272)-1)&amp;"_"&amp;I1272&amp;L1272</f>
        <v>Bradfer-Lawrence_2021</v>
      </c>
      <c r="N1272" s="312" t="s">
        <v>4383</v>
      </c>
      <c r="O1272" s="145" t="s">
        <v>223</v>
      </c>
      <c r="Q1272" s="312" t="s">
        <v>256</v>
      </c>
      <c r="R1272" s="313"/>
      <c r="S1272" s="1" t="s">
        <v>3498</v>
      </c>
      <c r="T1272" t="s">
        <v>3497</v>
      </c>
      <c r="U1272" t="s">
        <v>3499</v>
      </c>
      <c r="V1272">
        <v>0</v>
      </c>
      <c r="W1272">
        <v>0</v>
      </c>
      <c r="X1272">
        <v>0</v>
      </c>
      <c r="Y1272">
        <v>0</v>
      </c>
      <c r="Z1272">
        <v>1</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s="141">
        <f>COUNTIF(V1272:AW1272,"&lt;&gt;0")</f>
        <v>1</v>
      </c>
      <c r="AY1272" s="141">
        <f>COUNTIF(V1272:AL1272,"&lt;&gt;0")</f>
        <v>1</v>
      </c>
      <c r="AZ1272">
        <f>COUNTIF(V1272:AC1272,"&lt;&gt;0")</f>
        <v>1</v>
      </c>
      <c r="BA1272">
        <f>COUNTIF(AD1272:AI1272,"&lt;&gt;0")</f>
        <v>0</v>
      </c>
      <c r="BB1272">
        <f>COUNTIF(AJ1272:AL1272,"&lt;&gt;0")</f>
        <v>0</v>
      </c>
      <c r="BC1272">
        <f>COUNTIF(AS1272:AW1272,"&lt;&gt;0")</f>
        <v>0</v>
      </c>
      <c r="BD1272">
        <f>COUNTIF(AM1272:AR1272,"&lt;&gt;0")</f>
        <v>0</v>
      </c>
      <c r="BE1272" t="str" cm="1">
        <f t="array" ref="BE1272">IF(AY1272=1,INDEX($V$7:$AL$7,MATCH(TRUE,INDEX($V1272:$AW1272&lt;&gt;0,),0)),IF(AY1272=0,INDEX($AM$7:$AW$7,MATCH(1,$AM1272:$AW1272,0)),IF(BF1272="Multiple strategies","mixed drivers",IF(BF1272="Supply chain","multiple supply","multiple silviculture"))))</f>
        <v>species</v>
      </c>
      <c r="BF1272" s="2" t="str" cm="1">
        <f t="array" ref="BF1272">IF(COUNTIF(AZ1272:BB1272,"&lt;&gt;0")=1,INDEX($V$4:$AW$4,MATCH(TRUE,INDEX($V1272:$AW1272&lt;&gt;0,),0)),IF(COUNTIF(AZ1272:BB1272,"&lt;&gt;0")=0,INDEX($AM$4:$AW$4,MATCH(1,$AM1272:$AW1272,0)),"Multiple strategies"))</f>
        <v>Silviculture for productivity</v>
      </c>
      <c r="BP1272" t="s">
        <v>232</v>
      </c>
      <c r="BR1272" t="s">
        <v>598</v>
      </c>
      <c r="BS1272">
        <v>143.69999999999999</v>
      </c>
      <c r="BT1272">
        <v>176.4</v>
      </c>
      <c r="BU1272">
        <f>BT1272/BS1272</f>
        <v>1.2275574112734866</v>
      </c>
      <c r="BV1272">
        <f>BT1272-BS1272</f>
        <v>32.700000000000017</v>
      </c>
      <c r="BX1272">
        <f>BV1272*10^6</f>
        <v>32700000.000000019</v>
      </c>
      <c r="BY1272" t="str">
        <f>IFERROR(BX1272/BO1272,"")</f>
        <v/>
      </c>
      <c r="BZ1272" s="143">
        <v>0</v>
      </c>
      <c r="CA1272" s="143">
        <v>0</v>
      </c>
      <c r="CB1272" s="143">
        <v>0</v>
      </c>
      <c r="CC1272" s="143">
        <v>0</v>
      </c>
      <c r="CD1272" s="143">
        <v>0</v>
      </c>
      <c r="CE1272" s="143">
        <v>0</v>
      </c>
      <c r="CF1272" s="143">
        <v>0</v>
      </c>
      <c r="CG1272" s="143">
        <v>0</v>
      </c>
      <c r="CH1272" s="143">
        <v>0</v>
      </c>
      <c r="CI1272" s="143">
        <v>0</v>
      </c>
      <c r="CJ1272" s="143">
        <v>0</v>
      </c>
      <c r="CK1272" s="143">
        <v>0</v>
      </c>
      <c r="CL1272" s="143">
        <v>0</v>
      </c>
      <c r="CM1272">
        <v>0</v>
      </c>
      <c r="CN1272" t="str">
        <f>IF(BL1272&lt;BK1272,"refNeedCorrection","refOK")</f>
        <v>refOK</v>
      </c>
      <c r="CO1272"/>
      <c r="CP1272"/>
      <c r="CQ1272"/>
      <c r="CR1272">
        <f>IF($CN1272="refOK",$BS1272,$BT1272)*IF($BP1272="Emissions positive",-1,1)</f>
        <v>143.69999999999999</v>
      </c>
      <c r="CS1272">
        <f>IF($CN1272="refOK",$BT1272,$BS1272)*IF($BP1272="Emissions positive",-1,1)</f>
        <v>176.4</v>
      </c>
      <c r="CT1272">
        <f>IF($CN1272="refNeedCorrection",-BX1272,BX1272)*IF($BP1272="Emissions positive",-1,1)</f>
        <v>32700000.000000019</v>
      </c>
      <c r="CU1272" t="str">
        <f>IFERROR(CT1272/CQ1272,"")</f>
        <v/>
      </c>
      <c r="CV1272" s="2">
        <f>IFERROR((CS1272-CR1272)/ABS(CR1272),"")</f>
        <v>0.22755741127348655</v>
      </c>
      <c r="CW1272" s="1" t="s">
        <v>1203</v>
      </c>
      <c r="CX1272" s="312" t="str">
        <f>IF(OR($CW1272="prd",$CW1272="std",$CW1272="cit"),"loc",IF(OR($CW1272="eur",$CW1272="reg",$CW1272="coy"),"reg",$CW1272))</f>
        <v>reg</v>
      </c>
      <c r="CY1272" t="s">
        <v>3494</v>
      </c>
      <c r="CZ1272">
        <v>2020</v>
      </c>
      <c r="DA1272">
        <v>2050</v>
      </c>
      <c r="DB1272" s="143">
        <f>DA1272-CZ1272</f>
        <v>30</v>
      </c>
      <c r="DC1272" t="str">
        <f>IF(DB1272=0,"0",IF(AND(DB1272&gt;=1,DB1272&lt;=30),"1-30",IF(AND(DB1272&gt;30,DB1272&lt;=70),"31-70",IF(AND(DB1272&gt;70,DB1272&lt;=100),"71-100",IF(DB1272&gt;100,"+100")))))</f>
        <v>1-30</v>
      </c>
      <c r="DD1272">
        <v>0</v>
      </c>
      <c r="DE1272">
        <v>1</v>
      </c>
      <c r="DF1272">
        <v>1</v>
      </c>
      <c r="DG1272">
        <v>1</v>
      </c>
      <c r="DI1272">
        <f>SUM(DD1272:DG1272)</f>
        <v>3</v>
      </c>
      <c r="DJ1272" t="str">
        <f>IF(DI1272=1,INDEX($DD$7:$DG$7,MATCH(1,$DD1272:$DG1272,0)),"mixedProduct")</f>
        <v>mixedProduct</v>
      </c>
      <c r="DK1272">
        <f>IF(DD1272=1,DK$7,0)</f>
        <v>0</v>
      </c>
      <c r="DL1272" t="str">
        <f>IF(DE1272=1,DL$7,0)</f>
        <v>Energy</v>
      </c>
      <c r="DM1272" t="str">
        <f>IF(DF1272=1,DM$7,0)</f>
        <v>Pulp/Paper</v>
      </c>
      <c r="DN1272" t="str">
        <f>IF(DG1272=1,DN$7,0)</f>
        <v>Timber</v>
      </c>
      <c r="DO1272">
        <v>0</v>
      </c>
      <c r="DP1272" s="143">
        <v>0</v>
      </c>
      <c r="DQ1272" s="143">
        <v>0</v>
      </c>
      <c r="DR1272" s="143">
        <v>0</v>
      </c>
      <c r="DS1272">
        <v>0</v>
      </c>
      <c r="DT1272">
        <f>SUM(DO1272:DP1272)</f>
        <v>0</v>
      </c>
      <c r="DU1272" s="143" t="str">
        <f>IF(DO1272=1,"self-calculated DF",IF(DP1272=1,"external DF used","explicit C balance"))</f>
        <v>explicit C balance</v>
      </c>
      <c r="DV1272">
        <v>1</v>
      </c>
      <c r="DW1272" s="143">
        <v>1</v>
      </c>
      <c r="DX1272" s="143">
        <v>1</v>
      </c>
      <c r="DY1272" s="143">
        <v>1</v>
      </c>
      <c r="DZ1272">
        <v>1</v>
      </c>
      <c r="EA1272" s="141">
        <v>0</v>
      </c>
      <c r="EB1272">
        <v>0</v>
      </c>
      <c r="EC1272" s="143">
        <v>0</v>
      </c>
      <c r="ED1272" s="143">
        <v>0</v>
      </c>
      <c r="EE1272">
        <v>0</v>
      </c>
      <c r="EF1272">
        <v>1</v>
      </c>
      <c r="EG1272" s="143">
        <v>0</v>
      </c>
      <c r="EH1272" s="143">
        <v>1</v>
      </c>
      <c r="EI1272" s="2">
        <v>0</v>
      </c>
      <c r="EK1272" t="str">
        <f>IF(AND(AND(AND(OR($DX1272=1,$DW1272=1),OR($EC1272=1,$EA1272=1)),SUM($DV1272:$DZ1272,$EF1272)&gt;=3),SUM($EA1272:$EE1272)&gt;=2),"Whole sector","")</f>
        <v/>
      </c>
      <c r="EL1272" t="str">
        <f>IF(AND(AND(OR($DX1272=1,$DW1272=1),AND($EC1272=0,$EA1272=0)),SUM($DV1272:$DZ1272,$EF1272)&gt;=3),"Ecosystem approach","")</f>
        <v>Ecosystem approach</v>
      </c>
      <c r="EM1272" s="2" t="str">
        <f>IF(AND(AND(AND($DX1272=0,$DW1272=0),OR($EC1272=1,$EA1272=1)),SUM($EB1272:$EE1272)&gt;=2),"Technology approach","")</f>
        <v/>
      </c>
      <c r="EP1272" t="b">
        <f>IF(ISNUMBER(BU1272),IF(ABS(BU1272-[5]QC_indicators!$B$2)&gt;3*[5]QC_indicators!$C$2,"C ratio",IF(ISNUMBER(BY1272),IF(ABS(BY1272-[5]QC_indicators!$B$1)&gt;3*[5]QC_indicators!$C$1,"DF","no"))),IF(ISNUMBER(BY1272),IF(ABS(BY1272-[5]QC_indicators!$B$1)&gt;3*[5]QC_indicators!$C$1,"DF","no")))</f>
        <v>0</v>
      </c>
    </row>
    <row r="1273" spans="1:149" ht="15" customHeight="1">
      <c r="A1273" s="1" t="s">
        <v>3483</v>
      </c>
      <c r="B1273" t="s">
        <v>3484</v>
      </c>
      <c r="C1273" t="s">
        <v>3485</v>
      </c>
      <c r="D1273" t="s">
        <v>3486</v>
      </c>
      <c r="E1273" t="s">
        <v>3487</v>
      </c>
      <c r="F1273" t="s">
        <v>3488</v>
      </c>
      <c r="G1273" t="s">
        <v>3489</v>
      </c>
      <c r="H1273" t="s">
        <v>254</v>
      </c>
      <c r="I1273">
        <v>2021</v>
      </c>
      <c r="J1273">
        <v>1</v>
      </c>
      <c r="K1273" t="s">
        <v>3490</v>
      </c>
      <c r="M1273" t="str">
        <f>LEFT($D1273,FIND(",",$D1273)-1)&amp;"_"&amp;I1273&amp;L1273</f>
        <v>Bradfer-Lawrence_2021</v>
      </c>
      <c r="N1273" s="312" t="s">
        <v>4383</v>
      </c>
      <c r="O1273" s="145" t="s">
        <v>223</v>
      </c>
      <c r="Q1273" s="312" t="s">
        <v>256</v>
      </c>
      <c r="R1273" s="313"/>
      <c r="S1273" s="1" t="s">
        <v>3498</v>
      </c>
      <c r="T1273" t="s">
        <v>3497</v>
      </c>
      <c r="U1273" t="s">
        <v>3499</v>
      </c>
      <c r="V1273">
        <v>0</v>
      </c>
      <c r="W1273">
        <v>0</v>
      </c>
      <c r="X1273">
        <v>0</v>
      </c>
      <c r="Y1273">
        <v>0</v>
      </c>
      <c r="Z1273">
        <v>1</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s="141">
        <f>COUNTIF(V1273:AW1273,"&lt;&gt;0")</f>
        <v>1</v>
      </c>
      <c r="AY1273" s="141">
        <f>COUNTIF(V1273:AL1273,"&lt;&gt;0")</f>
        <v>1</v>
      </c>
      <c r="AZ1273">
        <f>COUNTIF(V1273:AC1273,"&lt;&gt;0")</f>
        <v>1</v>
      </c>
      <c r="BA1273">
        <f>COUNTIF(AD1273:AI1273,"&lt;&gt;0")</f>
        <v>0</v>
      </c>
      <c r="BB1273">
        <f>COUNTIF(AJ1273:AL1273,"&lt;&gt;0")</f>
        <v>0</v>
      </c>
      <c r="BC1273">
        <f>COUNTIF(AS1273:AW1273,"&lt;&gt;0")</f>
        <v>0</v>
      </c>
      <c r="BD1273">
        <f>COUNTIF(AM1273:AR1273,"&lt;&gt;0")</f>
        <v>0</v>
      </c>
      <c r="BE1273" t="str" cm="1">
        <f t="array" ref="BE1273">IF(AY1273=1,INDEX($V$7:$AL$7,MATCH(TRUE,INDEX($V1273:$AW1273&lt;&gt;0,),0)),IF(AY1273=0,INDEX($AM$7:$AW$7,MATCH(1,$AM1273:$AW1273,0)),IF(BF1273="Multiple strategies","mixed drivers",IF(BF1273="Supply chain","multiple supply","multiple silviculture"))))</f>
        <v>species</v>
      </c>
      <c r="BF1273" s="2" t="str" cm="1">
        <f t="array" ref="BF1273">IF(COUNTIF(AZ1273:BB1273,"&lt;&gt;0")=1,INDEX($V$4:$AW$4,MATCH(TRUE,INDEX($V1273:$AW1273&lt;&gt;0,),0)),IF(COUNTIF(AZ1273:BB1273,"&lt;&gt;0")=0,INDEX($AM$4:$AW$4,MATCH(1,$AM1273:$AW1273,0)),"Multiple strategies"))</f>
        <v>Silviculture for productivity</v>
      </c>
      <c r="BP1273" t="s">
        <v>232</v>
      </c>
      <c r="BR1273" t="s">
        <v>598</v>
      </c>
      <c r="BS1273">
        <v>586.70000000000005</v>
      </c>
      <c r="BT1273">
        <v>602.9</v>
      </c>
      <c r="BU1273">
        <f>BT1273/BS1273</f>
        <v>1.0276120674961648</v>
      </c>
      <c r="BV1273">
        <f>BT1273-BS1273</f>
        <v>16.199999999999932</v>
      </c>
      <c r="BX1273">
        <f>BV1273*10^6</f>
        <v>16199999.999999931</v>
      </c>
      <c r="BY1273" t="str">
        <f>IFERROR(BX1273/BO1273,"")</f>
        <v/>
      </c>
      <c r="BZ1273" s="143">
        <v>0</v>
      </c>
      <c r="CA1273" s="143">
        <v>0</v>
      </c>
      <c r="CB1273" s="143">
        <v>0</v>
      </c>
      <c r="CC1273" s="143">
        <v>0</v>
      </c>
      <c r="CD1273" s="143">
        <v>0</v>
      </c>
      <c r="CE1273" s="143">
        <v>0</v>
      </c>
      <c r="CF1273" s="143">
        <v>0</v>
      </c>
      <c r="CG1273" s="143">
        <v>0</v>
      </c>
      <c r="CH1273" s="143">
        <v>0</v>
      </c>
      <c r="CI1273" s="143">
        <v>0</v>
      </c>
      <c r="CJ1273" s="143">
        <v>0</v>
      </c>
      <c r="CK1273" s="143">
        <v>0</v>
      </c>
      <c r="CL1273" s="143">
        <v>0</v>
      </c>
      <c r="CM1273">
        <v>0</v>
      </c>
      <c r="CN1273" t="str">
        <f>IF(BL1273&lt;BK1273,"refNeedCorrection","refOK")</f>
        <v>refOK</v>
      </c>
      <c r="CO1273"/>
      <c r="CP1273"/>
      <c r="CQ1273"/>
      <c r="CR1273">
        <f>IF($CN1273="refOK",$BS1273,$BT1273)*IF($BP1273="Emissions positive",-1,1)</f>
        <v>586.70000000000005</v>
      </c>
      <c r="CS1273">
        <f>IF($CN1273="refOK",$BT1273,$BS1273)*IF($BP1273="Emissions positive",-1,1)</f>
        <v>602.9</v>
      </c>
      <c r="CT1273">
        <f>IF($CN1273="refNeedCorrection",-BX1273,BX1273)*IF($BP1273="Emissions positive",-1,1)</f>
        <v>16199999.999999931</v>
      </c>
      <c r="CU1273" t="str">
        <f>IFERROR(CT1273/CQ1273,"")</f>
        <v/>
      </c>
      <c r="CV1273" s="2">
        <f>IFERROR((CS1273-CR1273)/ABS(CR1273),"")</f>
        <v>2.7612067496164874E-2</v>
      </c>
      <c r="CW1273" s="1" t="s">
        <v>1203</v>
      </c>
      <c r="CX1273" s="312" t="str">
        <f>IF(OR($CW1273="prd",$CW1273="std",$CW1273="cit"),"loc",IF(OR($CW1273="eur",$CW1273="reg",$CW1273="coy"),"reg",$CW1273))</f>
        <v>reg</v>
      </c>
      <c r="CY1273" t="s">
        <v>3494</v>
      </c>
      <c r="CZ1273">
        <v>2020</v>
      </c>
      <c r="DA1273">
        <v>2100</v>
      </c>
      <c r="DB1273" s="143">
        <f>DA1273-CZ1273</f>
        <v>80</v>
      </c>
      <c r="DC1273" t="str">
        <f>IF(DB1273=0,"0",IF(AND(DB1273&gt;=1,DB1273&lt;=30),"1-30",IF(AND(DB1273&gt;30,DB1273&lt;=70),"31-70",IF(AND(DB1273&gt;70,DB1273&lt;=100),"71-100",IF(DB1273&gt;100,"+100")))))</f>
        <v>71-100</v>
      </c>
      <c r="DD1273">
        <v>0</v>
      </c>
      <c r="DE1273">
        <v>1</v>
      </c>
      <c r="DF1273">
        <v>1</v>
      </c>
      <c r="DG1273">
        <v>1</v>
      </c>
      <c r="DI1273">
        <f>SUM(DD1273:DG1273)</f>
        <v>3</v>
      </c>
      <c r="DJ1273" t="str">
        <f>IF(DI1273=1,INDEX($DD$7:$DG$7,MATCH(1,$DD1273:$DG1273,0)),"mixedProduct")</f>
        <v>mixedProduct</v>
      </c>
      <c r="DK1273">
        <f>IF(DD1273=1,DK$7,0)</f>
        <v>0</v>
      </c>
      <c r="DL1273" t="str">
        <f>IF(DE1273=1,DL$7,0)</f>
        <v>Energy</v>
      </c>
      <c r="DM1273" t="str">
        <f>IF(DF1273=1,DM$7,0)</f>
        <v>Pulp/Paper</v>
      </c>
      <c r="DN1273" t="str">
        <f>IF(DG1273=1,DN$7,0)</f>
        <v>Timber</v>
      </c>
      <c r="DO1273">
        <v>0</v>
      </c>
      <c r="DP1273" s="143">
        <v>0</v>
      </c>
      <c r="DQ1273" s="143">
        <v>0</v>
      </c>
      <c r="DR1273" s="143">
        <v>0</v>
      </c>
      <c r="DS1273">
        <v>0</v>
      </c>
      <c r="DT1273">
        <f>SUM(DO1273:DP1273)</f>
        <v>0</v>
      </c>
      <c r="DU1273" s="143" t="str">
        <f>IF(DO1273=1,"self-calculated DF",IF(DP1273=1,"external DF used","explicit C balance"))</f>
        <v>explicit C balance</v>
      </c>
      <c r="DV1273">
        <v>1</v>
      </c>
      <c r="DW1273" s="143">
        <v>1</v>
      </c>
      <c r="DX1273" s="143">
        <v>1</v>
      </c>
      <c r="DY1273" s="143">
        <v>1</v>
      </c>
      <c r="DZ1273">
        <v>1</v>
      </c>
      <c r="EA1273" s="141">
        <v>0</v>
      </c>
      <c r="EB1273">
        <v>0</v>
      </c>
      <c r="EC1273" s="143">
        <v>0</v>
      </c>
      <c r="ED1273" s="143">
        <v>0</v>
      </c>
      <c r="EE1273">
        <v>0</v>
      </c>
      <c r="EF1273">
        <v>1</v>
      </c>
      <c r="EG1273" s="143">
        <v>0</v>
      </c>
      <c r="EH1273" s="143">
        <v>1</v>
      </c>
      <c r="EI1273" s="2">
        <v>0</v>
      </c>
      <c r="EK1273" t="str">
        <f>IF(AND(AND(AND(OR($DX1273=1,$DW1273=1),OR($EC1273=1,$EA1273=1)),SUM($DV1273:$DZ1273,$EF1273)&gt;=3),SUM($EA1273:$EE1273)&gt;=2),"Whole sector","")</f>
        <v/>
      </c>
      <c r="EL1273" t="str">
        <f>IF(AND(AND(OR($DX1273=1,$DW1273=1),AND($EC1273=0,$EA1273=0)),SUM($DV1273:$DZ1273,$EF1273)&gt;=3),"Ecosystem approach","")</f>
        <v>Ecosystem approach</v>
      </c>
      <c r="EM1273" s="2" t="str">
        <f>IF(AND(AND(AND($DX1273=0,$DW1273=0),OR($EC1273=1,$EA1273=1)),SUM($EB1273:$EE1273)&gt;=2),"Technology approach","")</f>
        <v/>
      </c>
      <c r="EP1273" t="b">
        <f>IF(ISNUMBER(BU1273),IF(ABS(BU1273-[5]QC_indicators!$B$2)&gt;3*[5]QC_indicators!$C$2,"C ratio",IF(ISNUMBER(BY1273),IF(ABS(BY1273-[5]QC_indicators!$B$1)&gt;3*[5]QC_indicators!$C$1,"DF","no"))),IF(ISNUMBER(BY1273),IF(ABS(BY1273-[5]QC_indicators!$B$1)&gt;3*[5]QC_indicators!$C$1,"DF","no")))</f>
        <v>0</v>
      </c>
    </row>
    <row r="1274" spans="1:149" ht="15" customHeight="1">
      <c r="A1274" s="1" t="s">
        <v>3483</v>
      </c>
      <c r="B1274" t="s">
        <v>3484</v>
      </c>
      <c r="C1274" t="s">
        <v>3485</v>
      </c>
      <c r="D1274" t="s">
        <v>3486</v>
      </c>
      <c r="E1274" t="s">
        <v>3487</v>
      </c>
      <c r="F1274" t="s">
        <v>3488</v>
      </c>
      <c r="G1274" t="s">
        <v>3489</v>
      </c>
      <c r="H1274" t="s">
        <v>254</v>
      </c>
      <c r="I1274">
        <v>2021</v>
      </c>
      <c r="J1274">
        <v>1</v>
      </c>
      <c r="K1274" t="s">
        <v>3490</v>
      </c>
      <c r="M1274" t="str">
        <f>LEFT($D1274,FIND(",",$D1274)-1)&amp;"_"&amp;I1274&amp;L1274</f>
        <v>Bradfer-Lawrence_2021</v>
      </c>
      <c r="N1274" s="312" t="s">
        <v>4383</v>
      </c>
      <c r="O1274" s="145" t="s">
        <v>223</v>
      </c>
      <c r="Q1274" s="312" t="s">
        <v>256</v>
      </c>
      <c r="R1274" s="313"/>
      <c r="S1274" s="1" t="s">
        <v>3498</v>
      </c>
      <c r="T1274" t="s">
        <v>3493</v>
      </c>
      <c r="U1274" t="s">
        <v>3500</v>
      </c>
      <c r="V1274">
        <v>0</v>
      </c>
      <c r="W1274">
        <v>0</v>
      </c>
      <c r="X1274">
        <v>0</v>
      </c>
      <c r="Y1274">
        <v>0</v>
      </c>
      <c r="Z1274">
        <v>1</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s="141">
        <f>COUNTIF(V1274:AW1274,"&lt;&gt;0")</f>
        <v>1</v>
      </c>
      <c r="AY1274" s="141">
        <f>COUNTIF(V1274:AL1274,"&lt;&gt;0")</f>
        <v>1</v>
      </c>
      <c r="AZ1274">
        <f>COUNTIF(V1274:AC1274,"&lt;&gt;0")</f>
        <v>1</v>
      </c>
      <c r="BA1274">
        <f>COUNTIF(AD1274:AI1274,"&lt;&gt;0")</f>
        <v>0</v>
      </c>
      <c r="BB1274">
        <f>COUNTIF(AJ1274:AL1274,"&lt;&gt;0")</f>
        <v>0</v>
      </c>
      <c r="BC1274">
        <f>COUNTIF(AS1274:AW1274,"&lt;&gt;0")</f>
        <v>0</v>
      </c>
      <c r="BD1274">
        <f>COUNTIF(AM1274:AR1274,"&lt;&gt;0")</f>
        <v>0</v>
      </c>
      <c r="BE1274" t="str" cm="1">
        <f t="array" ref="BE1274">IF(AY1274=1,INDEX($V$7:$AL$7,MATCH(TRUE,INDEX($V1274:$AW1274&lt;&gt;0,),0)),IF(AY1274=0,INDEX($AM$7:$AW$7,MATCH(1,$AM1274:$AW1274,0)),IF(BF1274="Multiple strategies","mixed drivers",IF(BF1274="Supply chain","multiple supply","multiple silviculture"))))</f>
        <v>species</v>
      </c>
      <c r="BF1274" s="2" t="str" cm="1">
        <f t="array" ref="BF1274">IF(COUNTIF(AZ1274:BB1274,"&lt;&gt;0")=1,INDEX($V$4:$AW$4,MATCH(TRUE,INDEX($V1274:$AW1274&lt;&gt;0,),0)),IF(COUNTIF(AZ1274:BB1274,"&lt;&gt;0")=0,INDEX($AM$4:$AW$4,MATCH(1,$AM1274:$AW1274,0)),"Multiple strategies"))</f>
        <v>Silviculture for productivity</v>
      </c>
      <c r="BP1274" t="s">
        <v>232</v>
      </c>
      <c r="BR1274" t="s">
        <v>598</v>
      </c>
      <c r="BS1274">
        <v>112.6</v>
      </c>
      <c r="BT1274">
        <v>156.4</v>
      </c>
      <c r="BU1274">
        <f>BT1274/BS1274</f>
        <v>1.3889875666074603</v>
      </c>
      <c r="BV1274">
        <f>BT1274-BS1274</f>
        <v>43.800000000000011</v>
      </c>
      <c r="BX1274">
        <f>BV1274*10^6</f>
        <v>43800000.000000015</v>
      </c>
      <c r="BY1274" t="str">
        <f>IFERROR(BX1274/BO1274,"")</f>
        <v/>
      </c>
      <c r="BZ1274" s="143">
        <v>0</v>
      </c>
      <c r="CA1274" s="143">
        <v>0</v>
      </c>
      <c r="CB1274" s="143">
        <v>0</v>
      </c>
      <c r="CC1274" s="143">
        <v>0</v>
      </c>
      <c r="CD1274" s="143">
        <v>0</v>
      </c>
      <c r="CE1274" s="143">
        <v>0</v>
      </c>
      <c r="CF1274" s="143">
        <v>0</v>
      </c>
      <c r="CG1274" s="143">
        <v>0</v>
      </c>
      <c r="CH1274" s="143">
        <v>0</v>
      </c>
      <c r="CI1274" s="143">
        <v>0</v>
      </c>
      <c r="CJ1274" s="143">
        <v>0</v>
      </c>
      <c r="CK1274" s="143">
        <v>0</v>
      </c>
      <c r="CL1274" s="143">
        <v>0</v>
      </c>
      <c r="CM1274">
        <v>0</v>
      </c>
      <c r="CN1274" t="str">
        <f>IF(BL1274&lt;BK1274,"refNeedCorrection","refOK")</f>
        <v>refOK</v>
      </c>
      <c r="CO1274"/>
      <c r="CP1274"/>
      <c r="CQ1274"/>
      <c r="CR1274">
        <f>IF($CN1274="refOK",$BS1274,$BT1274)*IF($BP1274="Emissions positive",-1,1)</f>
        <v>112.6</v>
      </c>
      <c r="CS1274">
        <f>IF($CN1274="refOK",$BT1274,$BS1274)*IF($BP1274="Emissions positive",-1,1)</f>
        <v>156.4</v>
      </c>
      <c r="CT1274">
        <f>IF($CN1274="refNeedCorrection",-BX1274,BX1274)*IF($BP1274="Emissions positive",-1,1)</f>
        <v>43800000.000000015</v>
      </c>
      <c r="CU1274" t="str">
        <f>IFERROR(CT1274/CQ1274,"")</f>
        <v/>
      </c>
      <c r="CV1274" s="2">
        <f>IFERROR((CS1274-CR1274)/ABS(CR1274),"")</f>
        <v>0.38898756660746014</v>
      </c>
      <c r="CW1274" s="1" t="s">
        <v>1203</v>
      </c>
      <c r="CX1274" s="312" t="str">
        <f>IF(OR($CW1274="prd",$CW1274="std",$CW1274="cit"),"loc",IF(OR($CW1274="eur",$CW1274="reg",$CW1274="coy"),"reg",$CW1274))</f>
        <v>reg</v>
      </c>
      <c r="CY1274" t="s">
        <v>3494</v>
      </c>
      <c r="CZ1274">
        <v>2020</v>
      </c>
      <c r="DA1274">
        <v>2050</v>
      </c>
      <c r="DB1274" s="143">
        <f>DA1274-CZ1274</f>
        <v>30</v>
      </c>
      <c r="DC1274" t="str">
        <f>IF(DB1274=0,"0",IF(AND(DB1274&gt;=1,DB1274&lt;=30),"1-30",IF(AND(DB1274&gt;30,DB1274&lt;=70),"31-70",IF(AND(DB1274&gt;70,DB1274&lt;=100),"71-100",IF(DB1274&gt;100,"+100")))))</f>
        <v>1-30</v>
      </c>
      <c r="DD1274">
        <v>0</v>
      </c>
      <c r="DE1274">
        <v>1</v>
      </c>
      <c r="DF1274">
        <v>1</v>
      </c>
      <c r="DG1274">
        <v>1</v>
      </c>
      <c r="DI1274">
        <f>SUM(DD1274:DG1274)</f>
        <v>3</v>
      </c>
      <c r="DJ1274" t="str">
        <f>IF(DI1274=1,INDEX($DD$7:$DG$7,MATCH(1,$DD1274:$DG1274,0)),"mixedProduct")</f>
        <v>mixedProduct</v>
      </c>
      <c r="DK1274">
        <f>IF(DD1274=1,DK$7,0)</f>
        <v>0</v>
      </c>
      <c r="DL1274" t="str">
        <f>IF(DE1274=1,DL$7,0)</f>
        <v>Energy</v>
      </c>
      <c r="DM1274" t="str">
        <f>IF(DF1274=1,DM$7,0)</f>
        <v>Pulp/Paper</v>
      </c>
      <c r="DN1274" t="str">
        <f>IF(DG1274=1,DN$7,0)</f>
        <v>Timber</v>
      </c>
      <c r="DO1274">
        <v>0</v>
      </c>
      <c r="DP1274" s="143">
        <v>0</v>
      </c>
      <c r="DQ1274" s="143">
        <v>0</v>
      </c>
      <c r="DR1274" s="143">
        <v>0</v>
      </c>
      <c r="DS1274">
        <v>0</v>
      </c>
      <c r="DT1274">
        <f>SUM(DO1274:DP1274)</f>
        <v>0</v>
      </c>
      <c r="DU1274" s="143" t="str">
        <f>IF(DO1274=1,"self-calculated DF",IF(DP1274=1,"external DF used","explicit C balance"))</f>
        <v>explicit C balance</v>
      </c>
      <c r="DV1274">
        <v>1</v>
      </c>
      <c r="DW1274" s="143">
        <v>1</v>
      </c>
      <c r="DX1274" s="143">
        <v>1</v>
      </c>
      <c r="DY1274" s="143">
        <v>1</v>
      </c>
      <c r="DZ1274">
        <v>1</v>
      </c>
      <c r="EA1274" s="141">
        <v>0</v>
      </c>
      <c r="EB1274">
        <v>0</v>
      </c>
      <c r="EC1274" s="143">
        <v>0</v>
      </c>
      <c r="ED1274" s="143">
        <v>0</v>
      </c>
      <c r="EE1274">
        <v>0</v>
      </c>
      <c r="EF1274">
        <v>1</v>
      </c>
      <c r="EG1274" s="143">
        <v>0</v>
      </c>
      <c r="EH1274" s="143">
        <v>1</v>
      </c>
      <c r="EI1274" s="2">
        <v>0</v>
      </c>
      <c r="EK1274" t="str">
        <f>IF(AND(AND(AND(OR($DX1274=1,$DW1274=1),OR($EC1274=1,$EA1274=1)),SUM($DV1274:$DZ1274,$EF1274)&gt;=3),SUM($EA1274:$EE1274)&gt;=2),"Whole sector","")</f>
        <v/>
      </c>
      <c r="EL1274" t="str">
        <f>IF(AND(AND(OR($DX1274=1,$DW1274=1),AND($EC1274=0,$EA1274=0)),SUM($DV1274:$DZ1274,$EF1274)&gt;=3),"Ecosystem approach","")</f>
        <v>Ecosystem approach</v>
      </c>
      <c r="EM1274" s="2" t="str">
        <f>IF(AND(AND(AND($DX1274=0,$DW1274=0),OR($EC1274=1,$EA1274=1)),SUM($EB1274:$EE1274)&gt;=2),"Technology approach","")</f>
        <v/>
      </c>
      <c r="EP1274" t="b">
        <f>IF(ISNUMBER(BU1274),IF(ABS(BU1274-[5]QC_indicators!$B$2)&gt;3*[5]QC_indicators!$C$2,"C ratio",IF(ISNUMBER(BY1274),IF(ABS(BY1274-[5]QC_indicators!$B$1)&gt;3*[5]QC_indicators!$C$1,"DF","no"))),IF(ISNUMBER(BY1274),IF(ABS(BY1274-[5]QC_indicators!$B$1)&gt;3*[5]QC_indicators!$C$1,"DF","no")))</f>
        <v>0</v>
      </c>
    </row>
    <row r="1275" spans="1:149" ht="15" customHeight="1">
      <c r="A1275" s="1" t="s">
        <v>3483</v>
      </c>
      <c r="B1275" t="s">
        <v>3484</v>
      </c>
      <c r="C1275" t="s">
        <v>3485</v>
      </c>
      <c r="D1275" t="s">
        <v>3486</v>
      </c>
      <c r="E1275" t="s">
        <v>3487</v>
      </c>
      <c r="F1275" t="s">
        <v>3488</v>
      </c>
      <c r="G1275" t="s">
        <v>3489</v>
      </c>
      <c r="H1275" t="s">
        <v>254</v>
      </c>
      <c r="I1275">
        <v>2021</v>
      </c>
      <c r="J1275">
        <v>1</v>
      </c>
      <c r="K1275" t="s">
        <v>3490</v>
      </c>
      <c r="M1275" t="str">
        <f>LEFT($D1275,FIND(",",$D1275)-1)&amp;"_"&amp;I1275&amp;L1275</f>
        <v>Bradfer-Lawrence_2021</v>
      </c>
      <c r="N1275" s="312" t="s">
        <v>4383</v>
      </c>
      <c r="O1275" s="145" t="s">
        <v>223</v>
      </c>
      <c r="Q1275" s="312" t="s">
        <v>256</v>
      </c>
      <c r="R1275" s="313"/>
      <c r="S1275" s="1" t="s">
        <v>3498</v>
      </c>
      <c r="T1275" t="s">
        <v>3493</v>
      </c>
      <c r="U1275" t="s">
        <v>3500</v>
      </c>
      <c r="V1275">
        <v>0</v>
      </c>
      <c r="W1275">
        <v>0</v>
      </c>
      <c r="X1275">
        <v>0</v>
      </c>
      <c r="Y1275">
        <v>0</v>
      </c>
      <c r="Z1275">
        <v>1</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s="141">
        <f>COUNTIF(V1275:AW1275,"&lt;&gt;0")</f>
        <v>1</v>
      </c>
      <c r="AY1275" s="141">
        <f>COUNTIF(V1275:AL1275,"&lt;&gt;0")</f>
        <v>1</v>
      </c>
      <c r="AZ1275">
        <f>COUNTIF(V1275:AC1275,"&lt;&gt;0")</f>
        <v>1</v>
      </c>
      <c r="BA1275">
        <f>COUNTIF(AD1275:AI1275,"&lt;&gt;0")</f>
        <v>0</v>
      </c>
      <c r="BB1275">
        <f>COUNTIF(AJ1275:AL1275,"&lt;&gt;0")</f>
        <v>0</v>
      </c>
      <c r="BC1275">
        <f>COUNTIF(AS1275:AW1275,"&lt;&gt;0")</f>
        <v>0</v>
      </c>
      <c r="BD1275">
        <f>COUNTIF(AM1275:AR1275,"&lt;&gt;0")</f>
        <v>0</v>
      </c>
      <c r="BE1275" t="str" cm="1">
        <f t="array" ref="BE1275">IF(AY1275=1,INDEX($V$7:$AL$7,MATCH(TRUE,INDEX($V1275:$AW1275&lt;&gt;0,),0)),IF(AY1275=0,INDEX($AM$7:$AW$7,MATCH(1,$AM1275:$AW1275,0)),IF(BF1275="Multiple strategies","mixed drivers",IF(BF1275="Supply chain","multiple supply","multiple silviculture"))))</f>
        <v>species</v>
      </c>
      <c r="BF1275" s="2" t="str" cm="1">
        <f t="array" ref="BF1275">IF(COUNTIF(AZ1275:BB1275,"&lt;&gt;0")=1,INDEX($V$4:$AW$4,MATCH(TRUE,INDEX($V1275:$AW1275&lt;&gt;0,),0)),IF(COUNTIF(AZ1275:BB1275,"&lt;&gt;0")=0,INDEX($AM$4:$AW$4,MATCH(1,$AM1275:$AW1275,0)),"Multiple strategies"))</f>
        <v>Silviculture for productivity</v>
      </c>
      <c r="BP1275" t="s">
        <v>232</v>
      </c>
      <c r="BR1275" t="s">
        <v>598</v>
      </c>
      <c r="BS1275">
        <v>457</v>
      </c>
      <c r="BT1275">
        <v>475.2</v>
      </c>
      <c r="BU1275">
        <f>BT1275/BS1275</f>
        <v>1.0398249452954047</v>
      </c>
      <c r="BV1275">
        <f>BT1275-BS1275</f>
        <v>18.199999999999989</v>
      </c>
      <c r="BX1275">
        <f>BV1275*10^6</f>
        <v>18199999.999999989</v>
      </c>
      <c r="BY1275" t="str">
        <f>IFERROR(BX1275/BO1275,"")</f>
        <v/>
      </c>
      <c r="BZ1275" s="143">
        <v>0</v>
      </c>
      <c r="CA1275" s="143">
        <v>0</v>
      </c>
      <c r="CB1275" s="143">
        <v>0</v>
      </c>
      <c r="CC1275" s="143">
        <v>0</v>
      </c>
      <c r="CD1275" s="143">
        <v>0</v>
      </c>
      <c r="CE1275" s="143">
        <v>0</v>
      </c>
      <c r="CF1275" s="143">
        <v>0</v>
      </c>
      <c r="CG1275" s="143">
        <v>0</v>
      </c>
      <c r="CH1275" s="143">
        <v>0</v>
      </c>
      <c r="CI1275" s="143">
        <v>0</v>
      </c>
      <c r="CJ1275" s="143">
        <v>0</v>
      </c>
      <c r="CK1275" s="143">
        <v>0</v>
      </c>
      <c r="CL1275" s="143">
        <v>0</v>
      </c>
      <c r="CM1275">
        <v>0</v>
      </c>
      <c r="CN1275" t="str">
        <f>IF(BL1275&lt;BK1275,"refNeedCorrection","refOK")</f>
        <v>refOK</v>
      </c>
      <c r="CO1275"/>
      <c r="CP1275"/>
      <c r="CQ1275"/>
      <c r="CR1275">
        <f>IF($CN1275="refOK",$BS1275,$BT1275)*IF($BP1275="Emissions positive",-1,1)</f>
        <v>457</v>
      </c>
      <c r="CS1275">
        <f>IF($CN1275="refOK",$BT1275,$BS1275)*IF($BP1275="Emissions positive",-1,1)</f>
        <v>475.2</v>
      </c>
      <c r="CT1275">
        <f>IF($CN1275="refNeedCorrection",-BX1275,BX1275)*IF($BP1275="Emissions positive",-1,1)</f>
        <v>18199999.999999989</v>
      </c>
      <c r="CU1275" t="str">
        <f>IFERROR(CT1275/CQ1275,"")</f>
        <v/>
      </c>
      <c r="CV1275" s="2">
        <f>IFERROR((CS1275-CR1275)/ABS(CR1275),"")</f>
        <v>3.9824945295404791E-2</v>
      </c>
      <c r="CW1275" s="1" t="s">
        <v>1203</v>
      </c>
      <c r="CX1275" s="312" t="str">
        <f>IF(OR($CW1275="prd",$CW1275="std",$CW1275="cit"),"loc",IF(OR($CW1275="eur",$CW1275="reg",$CW1275="coy"),"reg",$CW1275))</f>
        <v>reg</v>
      </c>
      <c r="CY1275" t="s">
        <v>3494</v>
      </c>
      <c r="CZ1275">
        <v>2020</v>
      </c>
      <c r="DA1275">
        <v>2100</v>
      </c>
      <c r="DB1275" s="143">
        <f>DA1275-CZ1275</f>
        <v>80</v>
      </c>
      <c r="DC1275" t="str">
        <f>IF(DB1275=0,"0",IF(AND(DB1275&gt;=1,DB1275&lt;=30),"1-30",IF(AND(DB1275&gt;30,DB1275&lt;=70),"31-70",IF(AND(DB1275&gt;70,DB1275&lt;=100),"71-100",IF(DB1275&gt;100,"+100")))))</f>
        <v>71-100</v>
      </c>
      <c r="DD1275">
        <v>0</v>
      </c>
      <c r="DE1275">
        <v>1</v>
      </c>
      <c r="DF1275">
        <v>1</v>
      </c>
      <c r="DG1275">
        <v>1</v>
      </c>
      <c r="DI1275">
        <f>SUM(DD1275:DG1275)</f>
        <v>3</v>
      </c>
      <c r="DJ1275" t="str">
        <f>IF(DI1275=1,INDEX($DD$7:$DG$7,MATCH(1,$DD1275:$DG1275,0)),"mixedProduct")</f>
        <v>mixedProduct</v>
      </c>
      <c r="DK1275">
        <f>IF(DD1275=1,DK$7,0)</f>
        <v>0</v>
      </c>
      <c r="DL1275" t="str">
        <f>IF(DE1275=1,DL$7,0)</f>
        <v>Energy</v>
      </c>
      <c r="DM1275" t="str">
        <f>IF(DF1275=1,DM$7,0)</f>
        <v>Pulp/Paper</v>
      </c>
      <c r="DN1275" t="str">
        <f>IF(DG1275=1,DN$7,0)</f>
        <v>Timber</v>
      </c>
      <c r="DO1275">
        <v>0</v>
      </c>
      <c r="DP1275" s="143">
        <v>0</v>
      </c>
      <c r="DQ1275" s="143">
        <v>0</v>
      </c>
      <c r="DR1275" s="143">
        <v>0</v>
      </c>
      <c r="DS1275">
        <v>0</v>
      </c>
      <c r="DT1275">
        <f>SUM(DO1275:DP1275)</f>
        <v>0</v>
      </c>
      <c r="DU1275" s="143" t="str">
        <f>IF(DO1275=1,"self-calculated DF",IF(DP1275=1,"external DF used","explicit C balance"))</f>
        <v>explicit C balance</v>
      </c>
      <c r="DV1275">
        <v>1</v>
      </c>
      <c r="DW1275" s="143">
        <v>1</v>
      </c>
      <c r="DX1275" s="143">
        <v>1</v>
      </c>
      <c r="DY1275" s="143">
        <v>1</v>
      </c>
      <c r="DZ1275">
        <v>1</v>
      </c>
      <c r="EA1275" s="141">
        <v>0</v>
      </c>
      <c r="EB1275">
        <v>0</v>
      </c>
      <c r="EC1275" s="143">
        <v>0</v>
      </c>
      <c r="ED1275" s="143">
        <v>0</v>
      </c>
      <c r="EE1275">
        <v>0</v>
      </c>
      <c r="EF1275">
        <v>1</v>
      </c>
      <c r="EG1275" s="143">
        <v>0</v>
      </c>
      <c r="EH1275" s="143">
        <v>1</v>
      </c>
      <c r="EI1275" s="2">
        <v>0</v>
      </c>
      <c r="EK1275" t="str">
        <f>IF(AND(AND(AND(OR($DX1275=1,$DW1275=1),OR($EC1275=1,$EA1275=1)),SUM($DV1275:$DZ1275,$EF1275)&gt;=3),SUM($EA1275:$EE1275)&gt;=2),"Whole sector","")</f>
        <v/>
      </c>
      <c r="EL1275" t="str">
        <f>IF(AND(AND(OR($DX1275=1,$DW1275=1),AND($EC1275=0,$EA1275=0)),SUM($DV1275:$DZ1275,$EF1275)&gt;=3),"Ecosystem approach","")</f>
        <v>Ecosystem approach</v>
      </c>
      <c r="EM1275" s="2" t="str">
        <f>IF(AND(AND(AND($DX1275=0,$DW1275=0),OR($EC1275=1,$EA1275=1)),SUM($EB1275:$EE1275)&gt;=2),"Technology approach","")</f>
        <v/>
      </c>
      <c r="EP1275" t="b">
        <f>IF(ISNUMBER(BU1275),IF(ABS(BU1275-[5]QC_indicators!$B$2)&gt;3*[5]QC_indicators!$C$2,"C ratio",IF(ISNUMBER(BY1275),IF(ABS(BY1275-[5]QC_indicators!$B$1)&gt;3*[5]QC_indicators!$C$1,"DF","no"))),IF(ISNUMBER(BY1275),IF(ABS(BY1275-[5]QC_indicators!$B$1)&gt;3*[5]QC_indicators!$C$1,"DF","no")))</f>
        <v>0</v>
      </c>
    </row>
    <row r="1276" spans="1:149" ht="15" customHeight="1">
      <c r="A1276" s="1" t="s">
        <v>3501</v>
      </c>
      <c r="B1276" t="s">
        <v>3502</v>
      </c>
      <c r="C1276" t="s">
        <v>3503</v>
      </c>
      <c r="D1276" t="s">
        <v>3504</v>
      </c>
      <c r="E1276" t="s">
        <v>3505</v>
      </c>
      <c r="F1276" t="s">
        <v>3506</v>
      </c>
      <c r="G1276" t="s">
        <v>3507</v>
      </c>
      <c r="H1276" t="s">
        <v>254</v>
      </c>
      <c r="I1276">
        <v>2016</v>
      </c>
      <c r="J1276">
        <v>60</v>
      </c>
      <c r="K1276" t="s">
        <v>3508</v>
      </c>
      <c r="M1276" t="str">
        <f>LEFT($D1276,FIND(",",$D1276)-1)&amp;"_"&amp;I1276&amp;L1276</f>
        <v>Cambero_2016</v>
      </c>
      <c r="N1276" s="312" t="s">
        <v>4383</v>
      </c>
      <c r="O1276" s="145" t="s">
        <v>223</v>
      </c>
      <c r="Q1276" s="312" t="s">
        <v>256</v>
      </c>
      <c r="R1276" s="313"/>
      <c r="S1276" s="1" t="s">
        <v>3509</v>
      </c>
      <c r="T1276" s="312" t="s">
        <v>3510</v>
      </c>
      <c r="U1276" s="312" t="s">
        <v>3511</v>
      </c>
      <c r="V1276">
        <v>0</v>
      </c>
      <c r="W1276">
        <v>0</v>
      </c>
      <c r="X1276">
        <v>0</v>
      </c>
      <c r="Y1276">
        <v>0</v>
      </c>
      <c r="Z1276">
        <v>0</v>
      </c>
      <c r="AA1276">
        <v>0</v>
      </c>
      <c r="AB1276">
        <v>0</v>
      </c>
      <c r="AC1276">
        <v>0</v>
      </c>
      <c r="AD1276">
        <v>0</v>
      </c>
      <c r="AE1276">
        <v>0</v>
      </c>
      <c r="AF1276">
        <v>0</v>
      </c>
      <c r="AG1276">
        <v>0</v>
      </c>
      <c r="AH1276">
        <v>0</v>
      </c>
      <c r="AI1276">
        <v>0</v>
      </c>
      <c r="AJ1276">
        <v>1</v>
      </c>
      <c r="AK1276">
        <v>0</v>
      </c>
      <c r="AL1276">
        <v>0</v>
      </c>
      <c r="AM1276">
        <v>0</v>
      </c>
      <c r="AN1276">
        <v>0</v>
      </c>
      <c r="AO1276">
        <v>0</v>
      </c>
      <c r="AP1276">
        <v>0</v>
      </c>
      <c r="AQ1276">
        <v>0</v>
      </c>
      <c r="AR1276">
        <v>0</v>
      </c>
      <c r="AS1276">
        <v>0</v>
      </c>
      <c r="AT1276">
        <v>0</v>
      </c>
      <c r="AU1276">
        <v>0</v>
      </c>
      <c r="AV1276">
        <v>0</v>
      </c>
      <c r="AW1276">
        <v>0</v>
      </c>
      <c r="AX1276" s="141">
        <f>COUNTIF(V1276:AW1276,"&lt;&gt;0")</f>
        <v>1</v>
      </c>
      <c r="AY1276" s="141">
        <f>COUNTIF(V1276:AL1276,"&lt;&gt;0")</f>
        <v>1</v>
      </c>
      <c r="AZ1276">
        <f>COUNTIF(V1276:AC1276,"&lt;&gt;0")</f>
        <v>0</v>
      </c>
      <c r="BA1276">
        <f>COUNTIF(AD1276:AI1276,"&lt;&gt;0")</f>
        <v>0</v>
      </c>
      <c r="BB1276">
        <f>COUNTIF(AJ1276:AL1276,"&lt;&gt;0")</f>
        <v>1</v>
      </c>
      <c r="BC1276">
        <f>COUNTIF(AS1276:AW1276,"&lt;&gt;0")</f>
        <v>0</v>
      </c>
      <c r="BD1276">
        <f>COUNTIF(AM1276:AR1276,"&lt;&gt;0")</f>
        <v>0</v>
      </c>
      <c r="BE1276" t="str" cm="1">
        <f t="array" ref="BE1276">IF(AY1276=1,INDEX($V$7:$AL$7,MATCH(TRUE,INDEX($V1276:$AW1276&lt;&gt;0,),0)),IF(AY1276=0,INDEX($AM$7:$AW$7,MATCH(1,$AM1276:$AW1276,0)),IF(BF1276="Multiple strategies","mixed drivers",IF(BF1276="Supply chain","multiple supply","multiple silviculture"))))</f>
        <v>efficiency improvement</v>
      </c>
      <c r="BF1276" s="2" t="str" cm="1">
        <f t="array" ref="BF1276">IF(COUNTIF(AZ1276:BB1276,"&lt;&gt;0")=1,INDEX($V$4:$AW$4,MATCH(TRUE,INDEX($V1276:$AW1276&lt;&gt;0,),0)),IF(COUNTIF(AZ1276:BB1276,"&lt;&gt;0")=0,INDEX($AM$4:$AW$4,MATCH(1,$AM1276:$AW1276,0)),"Multiple strategies"))</f>
        <v>Technology</v>
      </c>
      <c r="BP1276" s="312" t="s">
        <v>232</v>
      </c>
      <c r="BQ1276" s="312"/>
      <c r="BR1276" t="s">
        <v>539</v>
      </c>
      <c r="BS1276">
        <v>-133870</v>
      </c>
      <c r="BT1276">
        <v>-338710</v>
      </c>
      <c r="BU1276" s="144">
        <v>2.5301411817434825</v>
      </c>
      <c r="BV1276">
        <v>-204840</v>
      </c>
      <c r="BX1276">
        <f>BV1276</f>
        <v>-204840</v>
      </c>
      <c r="BY1276" t="str">
        <f>IFERROR(BX1276/BO1276,"")</f>
        <v/>
      </c>
      <c r="BZ1276" s="143">
        <v>0</v>
      </c>
      <c r="CA1276" s="143">
        <v>0</v>
      </c>
      <c r="CB1276" s="143">
        <v>0</v>
      </c>
      <c r="CC1276" s="143">
        <v>0</v>
      </c>
      <c r="CD1276" s="143">
        <v>0</v>
      </c>
      <c r="CE1276" s="143">
        <v>0</v>
      </c>
      <c r="CF1276" s="143">
        <v>0</v>
      </c>
      <c r="CG1276" s="143">
        <v>0</v>
      </c>
      <c r="CH1276" s="143">
        <v>0</v>
      </c>
      <c r="CI1276" s="143">
        <v>0</v>
      </c>
      <c r="CJ1276" s="143">
        <v>0</v>
      </c>
      <c r="CK1276" s="143">
        <v>0</v>
      </c>
      <c r="CL1276" s="143">
        <v>0</v>
      </c>
      <c r="CM1276">
        <v>1</v>
      </c>
      <c r="CN1276" t="str">
        <f>IF(BL1276&lt;BK1276,"refNeedCorrection","refOK")</f>
        <v>refOK</v>
      </c>
      <c r="CO1276"/>
      <c r="CP1276"/>
      <c r="CQ1276"/>
      <c r="CR1276">
        <f>IF($CN1276="refOK",$BS1276,$BT1276)*IF($BP1276="Emissions positive",-1,1)</f>
        <v>-133870</v>
      </c>
      <c r="CS1276">
        <f>IF($CN1276="refOK",$BT1276,$BS1276)*IF($BP1276="Emissions positive",-1,1)</f>
        <v>-338710</v>
      </c>
      <c r="CT1276">
        <f>IF($CN1276="refNeedCorrection",-BX1276,BX1276)*IF($BP1276="Emissions positive",-1,1)</f>
        <v>-204840</v>
      </c>
      <c r="CU1276" t="str">
        <f>IFERROR(CT1276/CQ1276,"")</f>
        <v/>
      </c>
      <c r="CV1276" s="2">
        <f>IFERROR((CS1276-CR1276)/ABS(CR1276),"")</f>
        <v>-1.5301411817434825</v>
      </c>
      <c r="CW1276" s="1" t="s">
        <v>347</v>
      </c>
      <c r="CX1276" s="312" t="str">
        <f>IF(OR($CW1276="prd",$CW1276="std",$CW1276="cit"),"loc",IF(OR($CW1276="eur",$CW1276="reg",$CW1276="coy"),"reg",$CW1276))</f>
        <v>loc</v>
      </c>
      <c r="CY1276" t="s">
        <v>540</v>
      </c>
      <c r="DB1276">
        <v>0</v>
      </c>
      <c r="DC1276" t="str">
        <f>IF(DB1276=0,"0",IF(AND(DB1276&gt;=1,DB1276&lt;=30),"1-30",IF(AND(DB1276&gt;30,DB1276&lt;=70),"31-70",IF(AND(DB1276&gt;70,DB1276&lt;=100),"71-100",IF(DB1276&gt;100,"+100")))))</f>
        <v>0</v>
      </c>
      <c r="DD1276">
        <v>0</v>
      </c>
      <c r="DE1276">
        <v>1</v>
      </c>
      <c r="DF1276">
        <v>0</v>
      </c>
      <c r="DG1276">
        <v>0</v>
      </c>
      <c r="DI1276">
        <f>SUM(DD1276:DG1276)</f>
        <v>1</v>
      </c>
      <c r="DJ1276" t="str">
        <f>IF(DI1276=1,INDEX($DD$7:$DG$7,MATCH(1,$DD1276:$DG1276,0)),"mixedProduct")</f>
        <v>EnergyInput</v>
      </c>
      <c r="DK1276">
        <f>IF(DD1276=1,DK$7,0)</f>
        <v>0</v>
      </c>
      <c r="DL1276" t="str">
        <f>IF(DE1276=1,DL$7,0)</f>
        <v>Energy</v>
      </c>
      <c r="DM1276">
        <f>IF(DF1276=1,DM$7,0)</f>
        <v>0</v>
      </c>
      <c r="DN1276">
        <f>IF(DG1276=1,DN$7,0)</f>
        <v>0</v>
      </c>
      <c r="DO1276">
        <v>0</v>
      </c>
      <c r="DP1276" s="143">
        <v>0</v>
      </c>
      <c r="DQ1276" s="143">
        <v>0</v>
      </c>
      <c r="DR1276" s="143">
        <v>0</v>
      </c>
      <c r="DS1276">
        <v>0</v>
      </c>
      <c r="DT1276">
        <f>SUM(DO1276:DP1276)</f>
        <v>0</v>
      </c>
      <c r="DU1276" s="143" t="str">
        <f>IF(DO1276=1,"self-calculated DF",IF(DP1276=1,"external DF used","explicit C balance"))</f>
        <v>explicit C balance</v>
      </c>
      <c r="DV1276">
        <v>0</v>
      </c>
      <c r="DW1276" s="143">
        <v>1</v>
      </c>
      <c r="DX1276" s="143">
        <v>0</v>
      </c>
      <c r="DY1276" s="143">
        <v>0</v>
      </c>
      <c r="DZ1276">
        <v>1</v>
      </c>
      <c r="EA1276" s="143">
        <v>0</v>
      </c>
      <c r="EB1276">
        <v>1</v>
      </c>
      <c r="EC1276" s="143">
        <v>1</v>
      </c>
      <c r="ED1276" s="143">
        <v>0</v>
      </c>
      <c r="EE1276">
        <v>0</v>
      </c>
      <c r="EF1276">
        <v>0</v>
      </c>
      <c r="EG1276" s="143">
        <v>0</v>
      </c>
      <c r="EH1276" s="143">
        <v>0</v>
      </c>
      <c r="EI1276" s="2">
        <v>0</v>
      </c>
      <c r="EK1276" t="str">
        <f>IF(AND(AND(AND(OR($DX1276=1,$DW1276=1),OR($EC1276=1,$EA1276=1)),SUM($DV1276:$DZ1276,$EF1276)&gt;=3),SUM($EA1276:$EE1276)&gt;=2),"Whole sector","")</f>
        <v/>
      </c>
      <c r="EL1276" t="str">
        <f>IF(AND(AND(OR($DX1276=1,$DW1276=1),AND($EC1276=0,$EA1276=0)),SUM($DV1276:$DZ1276,$EF1276)&gt;=3),"Ecosystem approach","")</f>
        <v/>
      </c>
      <c r="EM1276" s="2" t="str">
        <f>IF(AND(AND(AND($DX1276=0,$DW1276=0),OR($EC1276=1,$EA1276=1)),SUM($EB1276:$EE1276)&gt;=2),"Technology approach","")</f>
        <v/>
      </c>
      <c r="EP1276" t="b">
        <f>IF(ISNUMBER(BU1276),IF(ABS(BU1276-[5]QC_indicators!$B$2)&gt;3*[5]QC_indicators!$C$2,"C ratio",IF(ISNUMBER(BY1276),IF(ABS(BY1276-[5]QC_indicators!$B$1)&gt;3*[5]QC_indicators!$C$1,"DF","no"))),IF(ISNUMBER(BY1276),IF(ABS(BY1276-[5]QC_indicators!$B$1)&gt;3*[5]QC_indicators!$C$1,"DF","no")))</f>
        <v>0</v>
      </c>
      <c r="ER1276" s="314" t="s">
        <v>349</v>
      </c>
    </row>
    <row r="1277" spans="1:149" ht="15" customHeight="1">
      <c r="A1277" s="1" t="s">
        <v>3501</v>
      </c>
      <c r="B1277" t="s">
        <v>3502</v>
      </c>
      <c r="C1277" t="s">
        <v>3503</v>
      </c>
      <c r="D1277" t="s">
        <v>3504</v>
      </c>
      <c r="E1277" t="s">
        <v>3505</v>
      </c>
      <c r="F1277" t="s">
        <v>3506</v>
      </c>
      <c r="G1277" t="s">
        <v>3507</v>
      </c>
      <c r="H1277" t="s">
        <v>254</v>
      </c>
      <c r="I1277">
        <v>2016</v>
      </c>
      <c r="J1277">
        <v>60</v>
      </c>
      <c r="K1277" t="s">
        <v>3508</v>
      </c>
      <c r="M1277" t="str">
        <f>LEFT($D1277,FIND(",",$D1277)-1)&amp;"_"&amp;I1277&amp;L1277</f>
        <v>Cambero_2016</v>
      </c>
      <c r="N1277" s="312" t="s">
        <v>4383</v>
      </c>
      <c r="O1277" s="145" t="s">
        <v>223</v>
      </c>
      <c r="Q1277" s="312" t="s">
        <v>256</v>
      </c>
      <c r="R1277" s="313"/>
      <c r="S1277" s="1" t="s">
        <v>3509</v>
      </c>
      <c r="T1277" s="312" t="s">
        <v>3510</v>
      </c>
      <c r="U1277" s="312" t="s">
        <v>3512</v>
      </c>
      <c r="V1277">
        <v>0</v>
      </c>
      <c r="W1277">
        <v>0</v>
      </c>
      <c r="X1277">
        <v>0</v>
      </c>
      <c r="Y1277">
        <v>0</v>
      </c>
      <c r="Z1277">
        <v>0</v>
      </c>
      <c r="AA1277">
        <v>0</v>
      </c>
      <c r="AB1277">
        <v>0</v>
      </c>
      <c r="AC1277">
        <v>0</v>
      </c>
      <c r="AD1277">
        <v>0</v>
      </c>
      <c r="AE1277">
        <v>0</v>
      </c>
      <c r="AF1277">
        <v>0</v>
      </c>
      <c r="AG1277">
        <v>0</v>
      </c>
      <c r="AH1277">
        <v>0</v>
      </c>
      <c r="AI1277">
        <v>0</v>
      </c>
      <c r="AJ1277">
        <v>1</v>
      </c>
      <c r="AK1277">
        <v>0</v>
      </c>
      <c r="AL1277">
        <v>0</v>
      </c>
      <c r="AM1277">
        <v>0</v>
      </c>
      <c r="AN1277">
        <v>0</v>
      </c>
      <c r="AO1277">
        <v>0</v>
      </c>
      <c r="AP1277">
        <v>0</v>
      </c>
      <c r="AQ1277">
        <v>0</v>
      </c>
      <c r="AR1277">
        <v>0</v>
      </c>
      <c r="AS1277">
        <v>0</v>
      </c>
      <c r="AT1277">
        <v>0</v>
      </c>
      <c r="AU1277">
        <v>0</v>
      </c>
      <c r="AV1277">
        <v>0</v>
      </c>
      <c r="AW1277">
        <v>0</v>
      </c>
      <c r="AX1277" s="141">
        <f>COUNTIF(V1277:AW1277,"&lt;&gt;0")</f>
        <v>1</v>
      </c>
      <c r="AY1277" s="141">
        <f>COUNTIF(V1277:AL1277,"&lt;&gt;0")</f>
        <v>1</v>
      </c>
      <c r="AZ1277">
        <f>COUNTIF(V1277:AC1277,"&lt;&gt;0")</f>
        <v>0</v>
      </c>
      <c r="BA1277">
        <f>COUNTIF(AD1277:AI1277,"&lt;&gt;0")</f>
        <v>0</v>
      </c>
      <c r="BB1277">
        <f>COUNTIF(AJ1277:AL1277,"&lt;&gt;0")</f>
        <v>1</v>
      </c>
      <c r="BC1277">
        <f>COUNTIF(AS1277:AW1277,"&lt;&gt;0")</f>
        <v>0</v>
      </c>
      <c r="BD1277">
        <f>COUNTIF(AM1277:AR1277,"&lt;&gt;0")</f>
        <v>0</v>
      </c>
      <c r="BE1277" t="str" cm="1">
        <f t="array" ref="BE1277">IF(AY1277=1,INDEX($V$7:$AL$7,MATCH(TRUE,INDEX($V1277:$AW1277&lt;&gt;0,),0)),IF(AY1277=0,INDEX($AM$7:$AW$7,MATCH(1,$AM1277:$AW1277,0)),IF(BF1277="Multiple strategies","mixed drivers",IF(BF1277="Supply chain","multiple supply","multiple silviculture"))))</f>
        <v>efficiency improvement</v>
      </c>
      <c r="BF1277" s="2" t="str" cm="1">
        <f t="array" ref="BF1277">IF(COUNTIF(AZ1277:BB1277,"&lt;&gt;0")=1,INDEX($V$4:$AW$4,MATCH(TRUE,INDEX($V1277:$AW1277&lt;&gt;0,),0)),IF(COUNTIF(AZ1277:BB1277,"&lt;&gt;0")=0,INDEX($AM$4:$AW$4,MATCH(1,$AM1277:$AW1277,0)),"Multiple strategies"))</f>
        <v>Technology</v>
      </c>
      <c r="BP1277" s="312" t="s">
        <v>232</v>
      </c>
      <c r="BQ1277" s="312"/>
      <c r="BR1277" t="s">
        <v>539</v>
      </c>
      <c r="BS1277">
        <v>-133870</v>
      </c>
      <c r="BT1277">
        <v>-341940</v>
      </c>
      <c r="BU1277" s="144">
        <v>2.5542690670053037</v>
      </c>
      <c r="BV1277">
        <v>-208070</v>
      </c>
      <c r="BX1277">
        <f>BV1277</f>
        <v>-208070</v>
      </c>
      <c r="BY1277" t="str">
        <f>IFERROR(BX1277/BO1277,"")</f>
        <v/>
      </c>
      <c r="BZ1277" s="143">
        <v>0</v>
      </c>
      <c r="CA1277" s="143">
        <v>0</v>
      </c>
      <c r="CB1277" s="143">
        <v>0</v>
      </c>
      <c r="CC1277" s="143">
        <v>0</v>
      </c>
      <c r="CD1277" s="143">
        <v>0</v>
      </c>
      <c r="CE1277" s="143">
        <v>0</v>
      </c>
      <c r="CF1277" s="143">
        <v>0</v>
      </c>
      <c r="CG1277" s="143">
        <v>0</v>
      </c>
      <c r="CH1277" s="143">
        <v>0</v>
      </c>
      <c r="CI1277" s="143">
        <v>0</v>
      </c>
      <c r="CJ1277" s="143">
        <v>0</v>
      </c>
      <c r="CK1277" s="143">
        <v>0</v>
      </c>
      <c r="CL1277" s="143">
        <v>0</v>
      </c>
      <c r="CM1277">
        <v>1</v>
      </c>
      <c r="CN1277" t="str">
        <f>IF(BL1277&lt;BK1277,"refNeedCorrection","refOK")</f>
        <v>refOK</v>
      </c>
      <c r="CO1277"/>
      <c r="CP1277"/>
      <c r="CQ1277"/>
      <c r="CR1277">
        <f>IF($CN1277="refOK",$BS1277,$BT1277)*IF($BP1277="Emissions positive",-1,1)</f>
        <v>-133870</v>
      </c>
      <c r="CS1277">
        <f>IF($CN1277="refOK",$BT1277,$BS1277)*IF($BP1277="Emissions positive",-1,1)</f>
        <v>-341940</v>
      </c>
      <c r="CT1277">
        <f>IF($CN1277="refNeedCorrection",-BX1277,BX1277)*IF($BP1277="Emissions positive",-1,1)</f>
        <v>-208070</v>
      </c>
      <c r="CU1277" t="str">
        <f>IFERROR(CT1277/CQ1277,"")</f>
        <v/>
      </c>
      <c r="CV1277" s="2">
        <f>IFERROR((CS1277-CR1277)/ABS(CR1277),"")</f>
        <v>-1.5542690670053037</v>
      </c>
      <c r="CW1277" s="1" t="s">
        <v>347</v>
      </c>
      <c r="CX1277" s="312" t="str">
        <f>IF(OR($CW1277="prd",$CW1277="std",$CW1277="cit"),"loc",IF(OR($CW1277="eur",$CW1277="reg",$CW1277="coy"),"reg",$CW1277))</f>
        <v>loc</v>
      </c>
      <c r="CY1277" t="s">
        <v>540</v>
      </c>
      <c r="DB1277">
        <v>0</v>
      </c>
      <c r="DC1277" t="str">
        <f>IF(DB1277=0,"0",IF(AND(DB1277&gt;=1,DB1277&lt;=30),"1-30",IF(AND(DB1277&gt;30,DB1277&lt;=70),"31-70",IF(AND(DB1277&gt;70,DB1277&lt;=100),"71-100",IF(DB1277&gt;100,"+100")))))</f>
        <v>0</v>
      </c>
      <c r="DD1277">
        <v>0</v>
      </c>
      <c r="DE1277">
        <v>1</v>
      </c>
      <c r="DF1277">
        <v>0</v>
      </c>
      <c r="DG1277">
        <v>0</v>
      </c>
      <c r="DI1277">
        <f>SUM(DD1277:DG1277)</f>
        <v>1</v>
      </c>
      <c r="DJ1277" t="str">
        <f>IF(DI1277=1,INDEX($DD$7:$DG$7,MATCH(1,$DD1277:$DG1277,0)),"mixedProduct")</f>
        <v>EnergyInput</v>
      </c>
      <c r="DK1277">
        <f>IF(DD1277=1,DK$7,0)</f>
        <v>0</v>
      </c>
      <c r="DL1277" t="str">
        <f>IF(DE1277=1,DL$7,0)</f>
        <v>Energy</v>
      </c>
      <c r="DM1277">
        <f>IF(DF1277=1,DM$7,0)</f>
        <v>0</v>
      </c>
      <c r="DN1277">
        <f>IF(DG1277=1,DN$7,0)</f>
        <v>0</v>
      </c>
      <c r="DO1277">
        <v>0</v>
      </c>
      <c r="DP1277" s="143">
        <v>0</v>
      </c>
      <c r="DQ1277" s="143">
        <v>0</v>
      </c>
      <c r="DR1277" s="143">
        <v>0</v>
      </c>
      <c r="DS1277">
        <v>0</v>
      </c>
      <c r="DT1277">
        <f>SUM(DO1277:DP1277)</f>
        <v>0</v>
      </c>
      <c r="DU1277" s="143" t="str">
        <f>IF(DO1277=1,"self-calculated DF",IF(DP1277=1,"external DF used","explicit C balance"))</f>
        <v>explicit C balance</v>
      </c>
      <c r="DV1277">
        <v>0</v>
      </c>
      <c r="DW1277" s="143">
        <v>1</v>
      </c>
      <c r="DX1277" s="143">
        <v>0</v>
      </c>
      <c r="DY1277" s="143">
        <v>0</v>
      </c>
      <c r="DZ1277">
        <v>1</v>
      </c>
      <c r="EA1277" s="143">
        <v>0</v>
      </c>
      <c r="EB1277">
        <v>1</v>
      </c>
      <c r="EC1277" s="143">
        <v>1</v>
      </c>
      <c r="ED1277" s="143">
        <v>0</v>
      </c>
      <c r="EE1277">
        <v>0</v>
      </c>
      <c r="EF1277">
        <v>0</v>
      </c>
      <c r="EG1277" s="143">
        <v>0</v>
      </c>
      <c r="EH1277" s="143">
        <v>0</v>
      </c>
      <c r="EI1277" s="2">
        <v>0</v>
      </c>
      <c r="EK1277" t="str">
        <f>IF(AND(AND(AND(OR($DX1277=1,$DW1277=1),OR($EC1277=1,$EA1277=1)),SUM($DV1277:$DZ1277,$EF1277)&gt;=3),SUM($EA1277:$EE1277)&gt;=2),"Whole sector","")</f>
        <v/>
      </c>
      <c r="EL1277" t="str">
        <f>IF(AND(AND(OR($DX1277=1,$DW1277=1),AND($EC1277=0,$EA1277=0)),SUM($DV1277:$DZ1277,$EF1277)&gt;=3),"Ecosystem approach","")</f>
        <v/>
      </c>
      <c r="EM1277" s="2" t="str">
        <f>IF(AND(AND(AND($DX1277=0,$DW1277=0),OR($EC1277=1,$EA1277=1)),SUM($EB1277:$EE1277)&gt;=2),"Technology approach","")</f>
        <v/>
      </c>
      <c r="EP1277" t="b">
        <f>IF(ISNUMBER(BU1277),IF(ABS(BU1277-[5]QC_indicators!$B$2)&gt;3*[5]QC_indicators!$C$2,"C ratio",IF(ISNUMBER(BY1277),IF(ABS(BY1277-[5]QC_indicators!$B$1)&gt;3*[5]QC_indicators!$C$1,"DF","no"))),IF(ISNUMBER(BY1277),IF(ABS(BY1277-[5]QC_indicators!$B$1)&gt;3*[5]QC_indicators!$C$1,"DF","no")))</f>
        <v>0</v>
      </c>
      <c r="ER1277" s="314" t="s">
        <v>349</v>
      </c>
    </row>
    <row r="1278" spans="1:149" ht="15" customHeight="1">
      <c r="A1278" s="1" t="s">
        <v>1353</v>
      </c>
      <c r="B1278" t="s">
        <v>544</v>
      </c>
      <c r="C1278" t="s">
        <v>3513</v>
      </c>
      <c r="D1278" t="s">
        <v>3514</v>
      </c>
      <c r="E1278" t="s">
        <v>3515</v>
      </c>
      <c r="F1278" t="s">
        <v>3516</v>
      </c>
      <c r="G1278" t="s">
        <v>1354</v>
      </c>
      <c r="H1278" t="s">
        <v>254</v>
      </c>
      <c r="I1278">
        <v>2018</v>
      </c>
      <c r="J1278">
        <v>26</v>
      </c>
      <c r="K1278" t="s">
        <v>3517</v>
      </c>
      <c r="L1278" t="s">
        <v>388</v>
      </c>
      <c r="M1278" t="str">
        <f>LEFT($D1278,FIND(",",$D1278)-1)&amp;"_"&amp;I1278&amp;L1278</f>
        <v>Chen_2018a</v>
      </c>
      <c r="N1278" s="312" t="s">
        <v>4383</v>
      </c>
      <c r="O1278" s="145" t="s">
        <v>223</v>
      </c>
      <c r="Q1278" s="312" t="s">
        <v>256</v>
      </c>
      <c r="R1278" s="313"/>
      <c r="S1278" s="1" t="s">
        <v>3518</v>
      </c>
      <c r="T1278" t="s">
        <v>3519</v>
      </c>
      <c r="U1278" t="s">
        <v>1111</v>
      </c>
      <c r="V1278">
        <v>0</v>
      </c>
      <c r="W1278">
        <v>0</v>
      </c>
      <c r="X1278">
        <v>0</v>
      </c>
      <c r="Y1278">
        <v>0</v>
      </c>
      <c r="Z1278">
        <v>0</v>
      </c>
      <c r="AA1278">
        <v>0</v>
      </c>
      <c r="AB1278">
        <v>0</v>
      </c>
      <c r="AC1278">
        <v>0</v>
      </c>
      <c r="AD1278">
        <v>0</v>
      </c>
      <c r="AE1278">
        <v>0</v>
      </c>
      <c r="AF1278">
        <v>1</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s="141">
        <f>COUNTIF(V1278:AW1278,"&lt;&gt;0")</f>
        <v>1</v>
      </c>
      <c r="AY1278" s="141">
        <f>COUNTIF(V1278:AL1278,"&lt;&gt;0")</f>
        <v>1</v>
      </c>
      <c r="AZ1278">
        <f>COUNTIF(V1278:AC1278,"&lt;&gt;0")</f>
        <v>0</v>
      </c>
      <c r="BA1278">
        <f>COUNTIF(AD1278:AI1278,"&lt;&gt;0")</f>
        <v>1</v>
      </c>
      <c r="BB1278">
        <f>COUNTIF(AJ1278:AL1278,"&lt;&gt;0")</f>
        <v>0</v>
      </c>
      <c r="BC1278">
        <f>COUNTIF(AS1278:AW1278,"&lt;&gt;0")</f>
        <v>0</v>
      </c>
      <c r="BD1278">
        <f>COUNTIF(AM1278:AR1278,"&lt;&gt;0")</f>
        <v>0</v>
      </c>
      <c r="BE1278" t="str" cm="1">
        <f t="array" ref="BE1278">IF(AY1278=1,INDEX($V$7:$AL$7,MATCH(TRUE,INDEX($V1278:$AW1278&lt;&gt;0,),0)),IF(AY1278=0,INDEX($AM$7:$AW$7,MATCH(1,$AM1278:$AW1278,0)),IF(BF1278="Multiple strategies","mixed drivers",IF(BF1278="Supply chain","multiple supply","multiple silviculture"))))</f>
        <v>supply chain organization</v>
      </c>
      <c r="BF1278" s="2" t="str" cm="1">
        <f t="array" ref="BF1278">IF(COUNTIF(AZ1278:BB1278,"&lt;&gt;0")=1,INDEX($V$4:$AW$4,MATCH(TRUE,INDEX($V1278:$AW1278&lt;&gt;0,),0)),IF(COUNTIF(AZ1278:BB1278,"&lt;&gt;0")=0,INDEX($AM$4:$AW$4,MATCH(1,$AM1278:$AW1278,0)),"Multiple strategies"))</f>
        <v>Supply chain</v>
      </c>
      <c r="BG1278" s="1" t="s">
        <v>321</v>
      </c>
      <c r="BH1278" t="s">
        <v>3520</v>
      </c>
      <c r="BJ1278" t="s">
        <v>1355</v>
      </c>
      <c r="BK1278">
        <v>118</v>
      </c>
      <c r="BL1278">
        <v>118</v>
      </c>
      <c r="BN1278">
        <f>BL1278-BK1278</f>
        <v>0</v>
      </c>
      <c r="BO1278">
        <f>BN1278*10^6</f>
        <v>0</v>
      </c>
      <c r="BP1278" s="312" t="s">
        <v>232</v>
      </c>
      <c r="BQ1278" s="312"/>
      <c r="BR1278" t="s">
        <v>3521</v>
      </c>
      <c r="BS1278">
        <v>-66</v>
      </c>
      <c r="BT1278">
        <v>21.4</v>
      </c>
      <c r="BU1278">
        <v>-0.32424242424242422</v>
      </c>
      <c r="BV1278">
        <v>87.4</v>
      </c>
      <c r="BX1278">
        <f>BV1278*10^6</f>
        <v>87400000</v>
      </c>
      <c r="BY1278" t="str">
        <f>IFERROR(BX1278/BO1278,"")</f>
        <v/>
      </c>
      <c r="BZ1278">
        <v>0</v>
      </c>
      <c r="CA1278">
        <v>0</v>
      </c>
      <c r="CB1278">
        <v>0</v>
      </c>
      <c r="CC1278">
        <v>0</v>
      </c>
      <c r="CD1278">
        <v>0</v>
      </c>
      <c r="CE1278">
        <v>0</v>
      </c>
      <c r="CF1278">
        <v>0</v>
      </c>
      <c r="CG1278">
        <v>0</v>
      </c>
      <c r="CH1278">
        <v>0</v>
      </c>
      <c r="CI1278">
        <v>0</v>
      </c>
      <c r="CJ1278">
        <v>0</v>
      </c>
      <c r="CK1278">
        <v>0</v>
      </c>
      <c r="CL1278">
        <v>0</v>
      </c>
      <c r="CM1278">
        <v>0</v>
      </c>
      <c r="CN1278" t="str">
        <f>IF($BL1278&lt;$BK1278,"refNeedCorrection","refOK")</f>
        <v>refOK</v>
      </c>
      <c r="CO1278">
        <f>IF($CN1278="refOK",$BK1278,$BL1278)</f>
        <v>118</v>
      </c>
      <c r="CP1278">
        <f>IF($CN1278="refOK",$BL1278,$BK1278)</f>
        <v>118</v>
      </c>
      <c r="CQ1278">
        <f>IF($CN1278="refOK",$BO1278,-$BO1278)</f>
        <v>0</v>
      </c>
      <c r="CR1278">
        <f>IF($CN1278="refOK",$BS1278,$BT1278)*IF($BP1278="Emissions positive",-1,1)</f>
        <v>-66</v>
      </c>
      <c r="CS1278">
        <f>IF($CN1278="refOK",$BT1278,$BS1278)*IF($BP1278="Emissions positive",-1,1)</f>
        <v>21.4</v>
      </c>
      <c r="CT1278">
        <f>IF($CN1278="refNeedCorrection",-BX1278,BX1278)*IF($BP1278="Emissions positive",-1,1)</f>
        <v>87400000</v>
      </c>
      <c r="CU1278" t="str">
        <f>IFERROR(CT1278/CQ1278,"")</f>
        <v/>
      </c>
      <c r="CV1278" s="2">
        <f>IFERROR((CS1278-CR1278)/ABS(CR1278),"")</f>
        <v>1.3242424242424242</v>
      </c>
      <c r="CW1278" s="1" t="s">
        <v>1199</v>
      </c>
      <c r="CX1278" s="312" t="str">
        <f>IF(OR($CW1278="prd",$CW1278="std",$CW1278="cit"),"loc",IF(OR($CW1278="eur",$CW1278="reg",$CW1278="coy"),"reg",$CW1278))</f>
        <v>reg</v>
      </c>
      <c r="CY1278" t="s">
        <v>540</v>
      </c>
      <c r="DB1278">
        <v>100</v>
      </c>
      <c r="DC1278" t="str">
        <f>IF(DB1278=0,"0",IF(AND(DB1278&gt;=1,DB1278&lt;=30),"1-30",IF(AND(DB1278&gt;30,DB1278&lt;=70),"31-70",IF(AND(DB1278&gt;70,DB1278&lt;=100),"71-100",IF(DB1278&gt;100,"+100")))))</f>
        <v>71-100</v>
      </c>
      <c r="DD1278">
        <v>0</v>
      </c>
      <c r="DE1278">
        <v>1</v>
      </c>
      <c r="DF1278">
        <v>1</v>
      </c>
      <c r="DG1278">
        <v>1</v>
      </c>
      <c r="DI1278">
        <f>SUM(DD1278:DG1278)</f>
        <v>3</v>
      </c>
      <c r="DJ1278" t="str">
        <f>IF(DI1278=1,INDEX($DD$7:$DG$7,MATCH(1,$DD1278:$DG1278,0)),"mixedProduct")</f>
        <v>mixedProduct</v>
      </c>
      <c r="DK1278">
        <f>IF(DD1278=1,DK$7,0)</f>
        <v>0</v>
      </c>
      <c r="DL1278" t="str">
        <f>IF(DE1278=1,DL$7,0)</f>
        <v>Energy</v>
      </c>
      <c r="DM1278" t="str">
        <f>IF(DF1278=1,DM$7,0)</f>
        <v>Pulp/Paper</v>
      </c>
      <c r="DN1278" t="str">
        <f>IF(DG1278=1,DN$7,0)</f>
        <v>Timber</v>
      </c>
      <c r="DO1278">
        <v>1</v>
      </c>
      <c r="DP1278">
        <v>0</v>
      </c>
      <c r="DQ1278">
        <v>0</v>
      </c>
      <c r="DR1278">
        <v>0</v>
      </c>
      <c r="DS1278">
        <v>0</v>
      </c>
      <c r="DT1278">
        <f>SUM(DO1278:DP1278)</f>
        <v>1</v>
      </c>
      <c r="DU1278" s="143" t="str">
        <f>IF(DO1278=1,"self-calculated DF",IF(DP1278=1,"external DF used","explicit C balance"))</f>
        <v>self-calculated DF</v>
      </c>
      <c r="DV1278">
        <v>1</v>
      </c>
      <c r="DW1278">
        <v>1</v>
      </c>
      <c r="DX1278">
        <v>1</v>
      </c>
      <c r="DY1278">
        <v>1</v>
      </c>
      <c r="DZ1278">
        <v>1</v>
      </c>
      <c r="EA1278">
        <v>1</v>
      </c>
      <c r="EB1278">
        <v>1</v>
      </c>
      <c r="EC1278">
        <v>1</v>
      </c>
      <c r="ED1278">
        <v>1</v>
      </c>
      <c r="EE1278">
        <v>0</v>
      </c>
      <c r="EF1278">
        <v>1</v>
      </c>
      <c r="EG1278">
        <v>0</v>
      </c>
      <c r="EH1278">
        <v>0</v>
      </c>
      <c r="EI1278" s="2">
        <v>0</v>
      </c>
      <c r="EK1278" t="str">
        <f>IF(AND(AND(AND(OR($DX1278=1,$DW1278=1),OR($EC1278=1,$EA1278=1)),SUM($DV1278:$DZ1278,$EF1278)&gt;=3),SUM($EA1278:$EE1278)&gt;=2),"Whole sector","")</f>
        <v>Whole sector</v>
      </c>
      <c r="EL1278" t="str">
        <f>IF(AND(AND(OR($DX1278=1,$DW1278=1),AND($EC1278=0,$EA1278=0)),SUM($DV1278:$DZ1278,$EF1278)&gt;=3),"Ecosystem approach","")</f>
        <v/>
      </c>
      <c r="EM1278" s="2" t="str">
        <f>IF(AND(AND(AND($DX1278=0,$DW1278=0),OR($EC1278=1,$EA1278=1)),SUM($EB1278:$EE1278)&gt;=2),"Technology approach","")</f>
        <v/>
      </c>
      <c r="EP1278" t="b">
        <f>IF(ISNUMBER(BU1278),IF(ABS(BU1278-[5]QC_indicators!$B$2)&gt;3*[5]QC_indicators!$C$2,"C ratio",IF(ISNUMBER(BY1278),IF(ABS(BY1278-[5]QC_indicators!$B$1)&gt;3*[5]QC_indicators!$C$1,"DF","no"))),IF(ISNUMBER(BY1278),IF(ABS(BY1278-[5]QC_indicators!$B$1)&gt;3*[5]QC_indicators!$C$1,"DF","no")))</f>
        <v>0</v>
      </c>
      <c r="ER1278" s="314" t="s">
        <v>349</v>
      </c>
    </row>
    <row r="1279" spans="1:149" ht="15" customHeight="1">
      <c r="A1279" s="1" t="s">
        <v>1353</v>
      </c>
      <c r="B1279" t="s">
        <v>544</v>
      </c>
      <c r="C1279" t="s">
        <v>3513</v>
      </c>
      <c r="D1279" t="s">
        <v>3514</v>
      </c>
      <c r="E1279" t="s">
        <v>3515</v>
      </c>
      <c r="F1279" t="s">
        <v>3516</v>
      </c>
      <c r="G1279" t="s">
        <v>1354</v>
      </c>
      <c r="H1279" t="s">
        <v>254</v>
      </c>
      <c r="I1279">
        <v>2018</v>
      </c>
      <c r="J1279">
        <v>26</v>
      </c>
      <c r="K1279" t="s">
        <v>3517</v>
      </c>
      <c r="L1279" t="s">
        <v>388</v>
      </c>
      <c r="M1279" t="str">
        <f>LEFT($D1279,FIND(",",$D1279)-1)&amp;"_"&amp;I1279&amp;L1279</f>
        <v>Chen_2018a</v>
      </c>
      <c r="N1279" s="312" t="s">
        <v>4383</v>
      </c>
      <c r="O1279" s="145" t="s">
        <v>223</v>
      </c>
      <c r="Q1279" s="312" t="s">
        <v>256</v>
      </c>
      <c r="R1279" s="313"/>
      <c r="S1279" s="1" t="s">
        <v>3518</v>
      </c>
      <c r="T1279" t="s">
        <v>3519</v>
      </c>
      <c r="U1279" t="s">
        <v>3522</v>
      </c>
      <c r="V1279">
        <v>0</v>
      </c>
      <c r="W1279">
        <v>0</v>
      </c>
      <c r="X1279">
        <v>0</v>
      </c>
      <c r="Y1279">
        <v>0</v>
      </c>
      <c r="Z1279">
        <v>0</v>
      </c>
      <c r="AA1279">
        <v>0</v>
      </c>
      <c r="AB1279">
        <v>0</v>
      </c>
      <c r="AC1279">
        <v>0</v>
      </c>
      <c r="AD1279">
        <v>0</v>
      </c>
      <c r="AE1279">
        <v>0</v>
      </c>
      <c r="AF1279">
        <v>1</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s="141">
        <f>COUNTIF(V1279:AW1279,"&lt;&gt;0")</f>
        <v>1</v>
      </c>
      <c r="AY1279" s="141">
        <f>COUNTIF(V1279:AL1279,"&lt;&gt;0")</f>
        <v>1</v>
      </c>
      <c r="AZ1279">
        <f>COUNTIF(V1279:AC1279,"&lt;&gt;0")</f>
        <v>0</v>
      </c>
      <c r="BA1279">
        <f>COUNTIF(AD1279:AI1279,"&lt;&gt;0")</f>
        <v>1</v>
      </c>
      <c r="BB1279">
        <f>COUNTIF(AJ1279:AL1279,"&lt;&gt;0")</f>
        <v>0</v>
      </c>
      <c r="BC1279">
        <f>COUNTIF(AS1279:AW1279,"&lt;&gt;0")</f>
        <v>0</v>
      </c>
      <c r="BD1279">
        <f>COUNTIF(AM1279:AR1279,"&lt;&gt;0")</f>
        <v>0</v>
      </c>
      <c r="BE1279" t="str" cm="1">
        <f t="array" ref="BE1279">IF(AY1279=1,INDEX($V$7:$AL$7,MATCH(TRUE,INDEX($V1279:$AW1279&lt;&gt;0,),0)),IF(AY1279=0,INDEX($AM$7:$AW$7,MATCH(1,$AM1279:$AW1279,0)),IF(BF1279="Multiple strategies","mixed drivers",IF(BF1279="Supply chain","multiple supply","multiple silviculture"))))</f>
        <v>supply chain organization</v>
      </c>
      <c r="BF1279" s="2" t="str" cm="1">
        <f t="array" ref="BF1279">IF(COUNTIF(AZ1279:BB1279,"&lt;&gt;0")=1,INDEX($V$4:$AW$4,MATCH(TRUE,INDEX($V1279:$AW1279&lt;&gt;0,),0)),IF(COUNTIF(AZ1279:BB1279,"&lt;&gt;0")=0,INDEX($AM$4:$AW$4,MATCH(1,$AM1279:$AW1279,0)),"Multiple strategies"))</f>
        <v>Supply chain</v>
      </c>
      <c r="BG1279" s="1" t="s">
        <v>321</v>
      </c>
      <c r="BH1279" t="s">
        <v>3520</v>
      </c>
      <c r="BJ1279" t="s">
        <v>1355</v>
      </c>
      <c r="BK1279">
        <v>118</v>
      </c>
      <c r="BL1279">
        <v>118</v>
      </c>
      <c r="BN1279">
        <f>BL1279-BK1279</f>
        <v>0</v>
      </c>
      <c r="BO1279">
        <f>BN1279*10^6</f>
        <v>0</v>
      </c>
      <c r="BP1279" s="312" t="s">
        <v>232</v>
      </c>
      <c r="BQ1279" s="312"/>
      <c r="BR1279" t="s">
        <v>3521</v>
      </c>
      <c r="BS1279">
        <v>-66</v>
      </c>
      <c r="BT1279">
        <v>66.2</v>
      </c>
      <c r="BU1279">
        <v>-1.0030303030303032</v>
      </c>
      <c r="BV1279">
        <v>132.19999999999999</v>
      </c>
      <c r="BX1279">
        <f>BV1279*10^6</f>
        <v>132199999.99999999</v>
      </c>
      <c r="BY1279" t="str">
        <f>IFERROR(BX1279/BO1279,"")</f>
        <v/>
      </c>
      <c r="BZ1279">
        <v>0</v>
      </c>
      <c r="CA1279">
        <v>0</v>
      </c>
      <c r="CB1279">
        <v>0</v>
      </c>
      <c r="CC1279">
        <v>0</v>
      </c>
      <c r="CD1279">
        <v>0</v>
      </c>
      <c r="CE1279">
        <v>0</v>
      </c>
      <c r="CF1279">
        <v>0</v>
      </c>
      <c r="CG1279">
        <v>0</v>
      </c>
      <c r="CH1279">
        <v>0</v>
      </c>
      <c r="CI1279">
        <v>0</v>
      </c>
      <c r="CJ1279">
        <v>0</v>
      </c>
      <c r="CK1279">
        <v>0</v>
      </c>
      <c r="CL1279">
        <v>0</v>
      </c>
      <c r="CM1279">
        <v>0</v>
      </c>
      <c r="CN1279" t="str">
        <f>IF($BL1279&lt;$BK1279,"refNeedCorrection","refOK")</f>
        <v>refOK</v>
      </c>
      <c r="CO1279">
        <f>IF($CN1279="refOK",$BK1279,$BL1279)</f>
        <v>118</v>
      </c>
      <c r="CP1279">
        <f>IF($CN1279="refOK",$BL1279,$BK1279)</f>
        <v>118</v>
      </c>
      <c r="CQ1279">
        <f>IF($CN1279="refOK",$BO1279,-$BO1279)</f>
        <v>0</v>
      </c>
      <c r="CR1279">
        <f>IF($CN1279="refOK",$BS1279,$BT1279)*IF($BP1279="Emissions positive",-1,1)</f>
        <v>-66</v>
      </c>
      <c r="CS1279">
        <f>IF($CN1279="refOK",$BT1279,$BS1279)*IF($BP1279="Emissions positive",-1,1)</f>
        <v>66.2</v>
      </c>
      <c r="CT1279">
        <f>IF($CN1279="refNeedCorrection",-BX1279,BX1279)*IF($BP1279="Emissions positive",-1,1)</f>
        <v>132199999.99999999</v>
      </c>
      <c r="CU1279" t="str">
        <f>IFERROR(CT1279/CQ1279,"")</f>
        <v/>
      </c>
      <c r="CV1279" s="2">
        <f>IFERROR((CS1279-CR1279)/ABS(CR1279),"")</f>
        <v>2.0030303030303029</v>
      </c>
      <c r="CW1279" s="1" t="s">
        <v>1199</v>
      </c>
      <c r="CX1279" s="312" t="str">
        <f>IF(OR($CW1279="prd",$CW1279="std",$CW1279="cit"),"loc",IF(OR($CW1279="eur",$CW1279="reg",$CW1279="coy"),"reg",$CW1279))</f>
        <v>reg</v>
      </c>
      <c r="CY1279" t="s">
        <v>540</v>
      </c>
      <c r="DB1279">
        <v>100</v>
      </c>
      <c r="DC1279" t="str">
        <f>IF(DB1279=0,"0",IF(AND(DB1279&gt;=1,DB1279&lt;=30),"1-30",IF(AND(DB1279&gt;30,DB1279&lt;=70),"31-70",IF(AND(DB1279&gt;70,DB1279&lt;=100),"71-100",IF(DB1279&gt;100,"+100")))))</f>
        <v>71-100</v>
      </c>
      <c r="DD1279">
        <v>0</v>
      </c>
      <c r="DE1279">
        <v>1</v>
      </c>
      <c r="DF1279">
        <v>1</v>
      </c>
      <c r="DG1279">
        <v>1</v>
      </c>
      <c r="DI1279">
        <f>SUM(DD1279:DG1279)</f>
        <v>3</v>
      </c>
      <c r="DJ1279" t="str">
        <f>IF(DI1279=1,INDEX($DD$7:$DG$7,MATCH(1,$DD1279:$DG1279,0)),"mixedProduct")</f>
        <v>mixedProduct</v>
      </c>
      <c r="DK1279">
        <f>IF(DD1279=1,DK$7,0)</f>
        <v>0</v>
      </c>
      <c r="DL1279" t="str">
        <f>IF(DE1279=1,DL$7,0)</f>
        <v>Energy</v>
      </c>
      <c r="DM1279" t="str">
        <f>IF(DF1279=1,DM$7,0)</f>
        <v>Pulp/Paper</v>
      </c>
      <c r="DN1279" t="str">
        <f>IF(DG1279=1,DN$7,0)</f>
        <v>Timber</v>
      </c>
      <c r="DO1279">
        <v>1</v>
      </c>
      <c r="DP1279">
        <v>0</v>
      </c>
      <c r="DQ1279">
        <v>0</v>
      </c>
      <c r="DR1279">
        <v>0</v>
      </c>
      <c r="DS1279">
        <v>0</v>
      </c>
      <c r="DT1279">
        <f>SUM(DO1279:DP1279)</f>
        <v>1</v>
      </c>
      <c r="DU1279" s="143" t="str">
        <f>IF(DO1279=1,"self-calculated DF",IF(DP1279=1,"external DF used","explicit C balance"))</f>
        <v>self-calculated DF</v>
      </c>
      <c r="DV1279">
        <v>1</v>
      </c>
      <c r="DW1279">
        <v>1</v>
      </c>
      <c r="DX1279">
        <v>1</v>
      </c>
      <c r="DY1279">
        <v>1</v>
      </c>
      <c r="DZ1279">
        <v>1</v>
      </c>
      <c r="EA1279">
        <v>1</v>
      </c>
      <c r="EB1279">
        <v>1</v>
      </c>
      <c r="EC1279">
        <v>1</v>
      </c>
      <c r="ED1279">
        <v>1</v>
      </c>
      <c r="EE1279">
        <v>0</v>
      </c>
      <c r="EF1279">
        <v>1</v>
      </c>
      <c r="EG1279">
        <v>0</v>
      </c>
      <c r="EH1279">
        <v>0</v>
      </c>
      <c r="EI1279" s="2">
        <v>0</v>
      </c>
      <c r="EK1279" t="str">
        <f>IF(AND(AND(AND(OR($DX1279=1,$DW1279=1),OR($EC1279=1,$EA1279=1)),SUM($DV1279:$DZ1279,$EF1279)&gt;=3),SUM($EA1279:$EE1279)&gt;=2),"Whole sector","")</f>
        <v>Whole sector</v>
      </c>
      <c r="EL1279" t="str">
        <f>IF(AND(AND(OR($DX1279=1,$DW1279=1),AND($EC1279=0,$EA1279=0)),SUM($DV1279:$DZ1279,$EF1279)&gt;=3),"Ecosystem approach","")</f>
        <v/>
      </c>
      <c r="EM1279" s="2" t="str">
        <f>IF(AND(AND(AND($DX1279=0,$DW1279=0),OR($EC1279=1,$EA1279=1)),SUM($EB1279:$EE1279)&gt;=2),"Technology approach","")</f>
        <v/>
      </c>
      <c r="EP1279" t="b">
        <f>IF(ISNUMBER(BU1279),IF(ABS(BU1279-[5]QC_indicators!$B$2)&gt;3*[5]QC_indicators!$C$2,"C ratio",IF(ISNUMBER(BY1279),IF(ABS(BY1279-[5]QC_indicators!$B$1)&gt;3*[5]QC_indicators!$C$1,"DF","no"))),IF(ISNUMBER(BY1279),IF(ABS(BY1279-[5]QC_indicators!$B$1)&gt;3*[5]QC_indicators!$C$1,"DF","no")))</f>
        <v>0</v>
      </c>
      <c r="ER1279" s="314" t="s">
        <v>349</v>
      </c>
    </row>
    <row r="1280" spans="1:149" ht="15" customHeight="1">
      <c r="A1280" s="1" t="s">
        <v>1353</v>
      </c>
      <c r="B1280" t="s">
        <v>544</v>
      </c>
      <c r="C1280" t="s">
        <v>3513</v>
      </c>
      <c r="D1280" t="s">
        <v>3514</v>
      </c>
      <c r="E1280" t="s">
        <v>3515</v>
      </c>
      <c r="F1280" t="s">
        <v>3516</v>
      </c>
      <c r="G1280" t="s">
        <v>1354</v>
      </c>
      <c r="H1280" t="s">
        <v>254</v>
      </c>
      <c r="I1280">
        <v>2018</v>
      </c>
      <c r="J1280">
        <v>26</v>
      </c>
      <c r="K1280" t="s">
        <v>3517</v>
      </c>
      <c r="L1280" t="s">
        <v>388</v>
      </c>
      <c r="M1280" t="str">
        <f>LEFT($D1280,FIND(",",$D1280)-1)&amp;"_"&amp;I1280&amp;L1280</f>
        <v>Chen_2018a</v>
      </c>
      <c r="N1280" s="312" t="s">
        <v>4383</v>
      </c>
      <c r="O1280" s="145" t="s">
        <v>223</v>
      </c>
      <c r="Q1280" s="312" t="s">
        <v>256</v>
      </c>
      <c r="R1280" s="313"/>
      <c r="S1280" s="1" t="s">
        <v>3518</v>
      </c>
      <c r="T1280" t="s">
        <v>3519</v>
      </c>
      <c r="U1280" t="s">
        <v>1356</v>
      </c>
      <c r="V1280">
        <v>0</v>
      </c>
      <c r="W1280">
        <v>0</v>
      </c>
      <c r="X1280">
        <v>0</v>
      </c>
      <c r="Y1280">
        <v>0</v>
      </c>
      <c r="Z1280">
        <v>0</v>
      </c>
      <c r="AA1280">
        <v>0</v>
      </c>
      <c r="AB1280">
        <v>0</v>
      </c>
      <c r="AC1280">
        <v>0</v>
      </c>
      <c r="AD1280">
        <v>0</v>
      </c>
      <c r="AE1280">
        <v>0</v>
      </c>
      <c r="AF1280">
        <v>1</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s="141">
        <f>COUNTIF(V1280:AW1280,"&lt;&gt;0")</f>
        <v>1</v>
      </c>
      <c r="AY1280" s="141">
        <f>COUNTIF(V1280:AL1280,"&lt;&gt;0")</f>
        <v>1</v>
      </c>
      <c r="AZ1280">
        <f>COUNTIF(V1280:AC1280,"&lt;&gt;0")</f>
        <v>0</v>
      </c>
      <c r="BA1280">
        <f>COUNTIF(AD1280:AI1280,"&lt;&gt;0")</f>
        <v>1</v>
      </c>
      <c r="BB1280">
        <f>COUNTIF(AJ1280:AL1280,"&lt;&gt;0")</f>
        <v>0</v>
      </c>
      <c r="BC1280">
        <f>COUNTIF(AS1280:AW1280,"&lt;&gt;0")</f>
        <v>0</v>
      </c>
      <c r="BD1280">
        <f>COUNTIF(AM1280:AR1280,"&lt;&gt;0")</f>
        <v>0</v>
      </c>
      <c r="BE1280" t="str" cm="1">
        <f t="array" ref="BE1280">IF(AY1280=1,INDEX($V$7:$AL$7,MATCH(TRUE,INDEX($V1280:$AW1280&lt;&gt;0,),0)),IF(AY1280=0,INDEX($AM$7:$AW$7,MATCH(1,$AM1280:$AW1280,0)),IF(BF1280="Multiple strategies","mixed drivers",IF(BF1280="Supply chain","multiple supply","multiple silviculture"))))</f>
        <v>supply chain organization</v>
      </c>
      <c r="BF1280" s="2" t="str" cm="1">
        <f t="array" ref="BF1280">IF(COUNTIF(AZ1280:BB1280,"&lt;&gt;0")=1,INDEX($V$4:$AW$4,MATCH(TRUE,INDEX($V1280:$AW1280&lt;&gt;0,),0)),IF(COUNTIF(AZ1280:BB1280,"&lt;&gt;0")=0,INDEX($AM$4:$AW$4,MATCH(1,$AM1280:$AW1280,0)),"Multiple strategies"))</f>
        <v>Supply chain</v>
      </c>
      <c r="BG1280" s="1" t="s">
        <v>321</v>
      </c>
      <c r="BH1280" t="s">
        <v>3520</v>
      </c>
      <c r="BJ1280" t="s">
        <v>1355</v>
      </c>
      <c r="BK1280">
        <v>118</v>
      </c>
      <c r="BL1280">
        <v>118</v>
      </c>
      <c r="BN1280">
        <f>BL1280-BK1280</f>
        <v>0</v>
      </c>
      <c r="BO1280">
        <f>BN1280*10^6</f>
        <v>0</v>
      </c>
      <c r="BP1280" s="312" t="s">
        <v>232</v>
      </c>
      <c r="BQ1280" s="312"/>
      <c r="BR1280" t="s">
        <v>3521</v>
      </c>
      <c r="BS1280">
        <v>-66</v>
      </c>
      <c r="BT1280">
        <v>93.3</v>
      </c>
      <c r="BU1280">
        <v>-1.4136363636363636</v>
      </c>
      <c r="BV1280">
        <v>159.30000000000001</v>
      </c>
      <c r="BX1280">
        <f>BV1280*10^6</f>
        <v>159300000</v>
      </c>
      <c r="BY1280" t="str">
        <f>IFERROR(BX1280/BO1280,"")</f>
        <v/>
      </c>
      <c r="BZ1280">
        <v>0</v>
      </c>
      <c r="CA1280">
        <v>0</v>
      </c>
      <c r="CB1280">
        <v>0</v>
      </c>
      <c r="CC1280">
        <v>0</v>
      </c>
      <c r="CD1280">
        <v>0</v>
      </c>
      <c r="CE1280">
        <v>0</v>
      </c>
      <c r="CF1280">
        <v>0</v>
      </c>
      <c r="CG1280">
        <v>0</v>
      </c>
      <c r="CH1280">
        <v>0</v>
      </c>
      <c r="CI1280">
        <v>0</v>
      </c>
      <c r="CJ1280">
        <v>0</v>
      </c>
      <c r="CK1280">
        <v>0</v>
      </c>
      <c r="CL1280">
        <v>0</v>
      </c>
      <c r="CM1280">
        <v>0</v>
      </c>
      <c r="CN1280" t="str">
        <f>IF($BL1280&lt;$BK1280,"refNeedCorrection","refOK")</f>
        <v>refOK</v>
      </c>
      <c r="CO1280">
        <f>IF($CN1280="refOK",$BK1280,$BL1280)</f>
        <v>118</v>
      </c>
      <c r="CP1280">
        <f>IF($CN1280="refOK",$BL1280,$BK1280)</f>
        <v>118</v>
      </c>
      <c r="CQ1280">
        <f>IF($CN1280="refOK",$BO1280,-$BO1280)</f>
        <v>0</v>
      </c>
      <c r="CR1280">
        <f>IF($CN1280="refOK",$BS1280,$BT1280)*IF($BP1280="Emissions positive",-1,1)</f>
        <v>-66</v>
      </c>
      <c r="CS1280">
        <f>IF($CN1280="refOK",$BT1280,$BS1280)*IF($BP1280="Emissions positive",-1,1)</f>
        <v>93.3</v>
      </c>
      <c r="CT1280">
        <f>IF($CN1280="refNeedCorrection",-BX1280,BX1280)*IF($BP1280="Emissions positive",-1,1)</f>
        <v>159300000</v>
      </c>
      <c r="CU1280" t="str">
        <f>IFERROR(CT1280/CQ1280,"")</f>
        <v/>
      </c>
      <c r="CV1280" s="2">
        <f>IFERROR((CS1280-CR1280)/ABS(CR1280),"")</f>
        <v>2.413636363636364</v>
      </c>
      <c r="CW1280" s="1" t="s">
        <v>1199</v>
      </c>
      <c r="CX1280" s="312" t="str">
        <f>IF(OR($CW1280="prd",$CW1280="std",$CW1280="cit"),"loc",IF(OR($CW1280="eur",$CW1280="reg",$CW1280="coy"),"reg",$CW1280))</f>
        <v>reg</v>
      </c>
      <c r="CY1280" t="s">
        <v>540</v>
      </c>
      <c r="CZ1280">
        <v>2020</v>
      </c>
      <c r="DA1280">
        <v>2100</v>
      </c>
      <c r="DB1280">
        <f>DA1280-CZ1280</f>
        <v>80</v>
      </c>
      <c r="DC1280" t="str">
        <f>IF(DB1280=0,"0",IF(AND(DB1280&gt;=1,DB1280&lt;=30),"1-30",IF(AND(DB1280&gt;30,DB1280&lt;=70),"31-70",IF(AND(DB1280&gt;70,DB1280&lt;=100),"71-100",IF(DB1280&gt;100,"+100")))))</f>
        <v>71-100</v>
      </c>
      <c r="DD1280">
        <v>0</v>
      </c>
      <c r="DE1280">
        <v>1</v>
      </c>
      <c r="DF1280">
        <v>1</v>
      </c>
      <c r="DG1280">
        <v>1</v>
      </c>
      <c r="DI1280">
        <f>SUM(DD1280:DG1280)</f>
        <v>3</v>
      </c>
      <c r="DJ1280" t="str">
        <f>IF(DI1280=1,INDEX($DD$7:$DG$7,MATCH(1,$DD1280:$DG1280,0)),"mixedProduct")</f>
        <v>mixedProduct</v>
      </c>
      <c r="DK1280">
        <f>IF(DD1280=1,DK$7,0)</f>
        <v>0</v>
      </c>
      <c r="DL1280" t="str">
        <f>IF(DE1280=1,DL$7,0)</f>
        <v>Energy</v>
      </c>
      <c r="DM1280" t="str">
        <f>IF(DF1280=1,DM$7,0)</f>
        <v>Pulp/Paper</v>
      </c>
      <c r="DN1280" t="str">
        <f>IF(DG1280=1,DN$7,0)</f>
        <v>Timber</v>
      </c>
      <c r="DO1280">
        <v>1</v>
      </c>
      <c r="DP1280">
        <v>0</v>
      </c>
      <c r="DQ1280">
        <v>0</v>
      </c>
      <c r="DR1280">
        <v>0</v>
      </c>
      <c r="DS1280">
        <v>0</v>
      </c>
      <c r="DT1280">
        <f>SUM(DO1280:DP1280)</f>
        <v>1</v>
      </c>
      <c r="DU1280" s="143" t="str">
        <f>IF(DO1280=1,"self-calculated DF",IF(DP1280=1,"external DF used","explicit C balance"))</f>
        <v>self-calculated DF</v>
      </c>
      <c r="DV1280">
        <v>1</v>
      </c>
      <c r="DW1280">
        <v>1</v>
      </c>
      <c r="DX1280">
        <v>1</v>
      </c>
      <c r="DY1280">
        <v>1</v>
      </c>
      <c r="DZ1280">
        <v>1</v>
      </c>
      <c r="EA1280">
        <v>1</v>
      </c>
      <c r="EB1280">
        <v>1</v>
      </c>
      <c r="EC1280">
        <v>1</v>
      </c>
      <c r="ED1280">
        <v>1</v>
      </c>
      <c r="EE1280">
        <v>0</v>
      </c>
      <c r="EF1280">
        <v>1</v>
      </c>
      <c r="EG1280">
        <v>0</v>
      </c>
      <c r="EH1280">
        <v>0</v>
      </c>
      <c r="EI1280" s="2">
        <v>0</v>
      </c>
      <c r="EK1280" t="str">
        <f>IF(AND(AND(AND(OR($DX1280=1,$DW1280=1),OR($EC1280=1,$EA1280=1)),SUM($DV1280:$DZ1280,$EF1280)&gt;=3),SUM($EA1280:$EE1280)&gt;=2),"Whole sector","")</f>
        <v>Whole sector</v>
      </c>
      <c r="EL1280" t="str">
        <f>IF(AND(AND(OR($DX1280=1,$DW1280=1),AND($EC1280=0,$EA1280=0)),SUM($DV1280:$DZ1280,$EF1280)&gt;=3),"Ecosystem approach","")</f>
        <v/>
      </c>
      <c r="EM1280" s="2" t="str">
        <f>IF(AND(AND(AND($DX1280=0,$DW1280=0),OR($EC1280=1,$EA1280=1)),SUM($EB1280:$EE1280)&gt;=2),"Technology approach","")</f>
        <v/>
      </c>
      <c r="EP1280" t="b">
        <f>IF(ISNUMBER(BU1280),IF(ABS(BU1280-[5]QC_indicators!$B$2)&gt;3*[5]QC_indicators!$C$2,"C ratio",IF(ISNUMBER(BY1280),IF(ABS(BY1280-[5]QC_indicators!$B$1)&gt;3*[5]QC_indicators!$C$1,"DF","no"))),IF(ISNUMBER(BY1280),IF(ABS(BY1280-[5]QC_indicators!$B$1)&gt;3*[5]QC_indicators!$C$1,"DF","no")))</f>
        <v>0</v>
      </c>
      <c r="ER1280" s="314" t="s">
        <v>349</v>
      </c>
    </row>
    <row r="1281" spans="1:148" ht="15" customHeight="1">
      <c r="A1281" s="1" t="s">
        <v>1353</v>
      </c>
      <c r="B1281" t="s">
        <v>544</v>
      </c>
      <c r="C1281" t="s">
        <v>3513</v>
      </c>
      <c r="D1281" t="s">
        <v>3514</v>
      </c>
      <c r="E1281" t="s">
        <v>3515</v>
      </c>
      <c r="F1281" t="s">
        <v>3516</v>
      </c>
      <c r="G1281" t="s">
        <v>1354</v>
      </c>
      <c r="H1281" t="s">
        <v>254</v>
      </c>
      <c r="I1281">
        <v>2018</v>
      </c>
      <c r="J1281">
        <v>26</v>
      </c>
      <c r="K1281" t="s">
        <v>3517</v>
      </c>
      <c r="L1281" t="s">
        <v>388</v>
      </c>
      <c r="M1281" t="str">
        <f>LEFT($D1281,FIND(",",$D1281)-1)&amp;"_"&amp;I1281&amp;L1281</f>
        <v>Chen_2018a</v>
      </c>
      <c r="N1281" s="312" t="s">
        <v>4383</v>
      </c>
      <c r="O1281" s="145" t="s">
        <v>223</v>
      </c>
      <c r="Q1281" s="312" t="s">
        <v>256</v>
      </c>
      <c r="R1281" s="313"/>
      <c r="S1281" s="1" t="s">
        <v>3518</v>
      </c>
      <c r="T1281" t="s">
        <v>3519</v>
      </c>
      <c r="U1281" t="s">
        <v>3523</v>
      </c>
      <c r="V1281">
        <v>0</v>
      </c>
      <c r="W1281">
        <v>0</v>
      </c>
      <c r="X1281">
        <v>0</v>
      </c>
      <c r="Y1281">
        <v>0</v>
      </c>
      <c r="Z1281">
        <v>0</v>
      </c>
      <c r="AA1281">
        <v>0</v>
      </c>
      <c r="AB1281">
        <v>0</v>
      </c>
      <c r="AC1281">
        <v>0</v>
      </c>
      <c r="AD1281">
        <v>0</v>
      </c>
      <c r="AE1281">
        <v>0</v>
      </c>
      <c r="AF1281">
        <v>1</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s="141">
        <f>COUNTIF(V1281:AW1281,"&lt;&gt;0")</f>
        <v>1</v>
      </c>
      <c r="AY1281" s="141">
        <f>COUNTIF(V1281:AL1281,"&lt;&gt;0")</f>
        <v>1</v>
      </c>
      <c r="AZ1281">
        <f>COUNTIF(V1281:AC1281,"&lt;&gt;0")</f>
        <v>0</v>
      </c>
      <c r="BA1281">
        <f>COUNTIF(AD1281:AI1281,"&lt;&gt;0")</f>
        <v>1</v>
      </c>
      <c r="BB1281">
        <f>COUNTIF(AJ1281:AL1281,"&lt;&gt;0")</f>
        <v>0</v>
      </c>
      <c r="BC1281">
        <f>COUNTIF(AS1281:AW1281,"&lt;&gt;0")</f>
        <v>0</v>
      </c>
      <c r="BD1281">
        <f>COUNTIF(AM1281:AR1281,"&lt;&gt;0")</f>
        <v>0</v>
      </c>
      <c r="BE1281" t="str" cm="1">
        <f t="array" ref="BE1281">IF(AY1281=1,INDEX($V$7:$AL$7,MATCH(TRUE,INDEX($V1281:$AW1281&lt;&gt;0,),0)),IF(AY1281=0,INDEX($AM$7:$AW$7,MATCH(1,$AM1281:$AW1281,0)),IF(BF1281="Multiple strategies","mixed drivers",IF(BF1281="Supply chain","multiple supply","multiple silviculture"))))</f>
        <v>supply chain organization</v>
      </c>
      <c r="BF1281" s="2" t="str" cm="1">
        <f t="array" ref="BF1281">IF(COUNTIF(AZ1281:BB1281,"&lt;&gt;0")=1,INDEX($V$4:$AW$4,MATCH(TRUE,INDEX($V1281:$AW1281&lt;&gt;0,),0)),IF(COUNTIF(AZ1281:BB1281,"&lt;&gt;0")=0,INDEX($AM$4:$AW$4,MATCH(1,$AM1281:$AW1281,0)),"Multiple strategies"))</f>
        <v>Supply chain</v>
      </c>
      <c r="BG1281" s="1" t="s">
        <v>321</v>
      </c>
      <c r="BH1281" t="s">
        <v>3520</v>
      </c>
      <c r="BJ1281" t="s">
        <v>1355</v>
      </c>
      <c r="BK1281">
        <v>118</v>
      </c>
      <c r="BL1281">
        <v>118</v>
      </c>
      <c r="BN1281">
        <f>BL1281-BK1281</f>
        <v>0</v>
      </c>
      <c r="BO1281">
        <f>BN1281*10^6</f>
        <v>0</v>
      </c>
      <c r="BP1281" s="312" t="s">
        <v>232</v>
      </c>
      <c r="BQ1281" s="312"/>
      <c r="BR1281" t="s">
        <v>3521</v>
      </c>
      <c r="BS1281">
        <v>-66</v>
      </c>
      <c r="BT1281">
        <v>111.8</v>
      </c>
      <c r="BU1281">
        <v>-1.6939393939393939</v>
      </c>
      <c r="BV1281">
        <v>177.8</v>
      </c>
      <c r="BX1281">
        <f>BV1281*10^6</f>
        <v>177800000</v>
      </c>
      <c r="BY1281" t="str">
        <f>IFERROR(BX1281/BO1281,"")</f>
        <v/>
      </c>
      <c r="BZ1281">
        <v>0</v>
      </c>
      <c r="CA1281">
        <v>0</v>
      </c>
      <c r="CB1281">
        <v>0</v>
      </c>
      <c r="CC1281">
        <v>0</v>
      </c>
      <c r="CD1281">
        <v>0</v>
      </c>
      <c r="CE1281">
        <v>0</v>
      </c>
      <c r="CF1281">
        <v>0</v>
      </c>
      <c r="CG1281">
        <v>0</v>
      </c>
      <c r="CH1281">
        <v>0</v>
      </c>
      <c r="CI1281">
        <v>0</v>
      </c>
      <c r="CJ1281">
        <v>0</v>
      </c>
      <c r="CK1281">
        <v>0</v>
      </c>
      <c r="CL1281">
        <v>0</v>
      </c>
      <c r="CM1281">
        <v>0</v>
      </c>
      <c r="CN1281" t="str">
        <f>IF($BL1281&lt;$BK1281,"refNeedCorrection","refOK")</f>
        <v>refOK</v>
      </c>
      <c r="CO1281">
        <f>IF($CN1281="refOK",$BK1281,$BL1281)</f>
        <v>118</v>
      </c>
      <c r="CP1281">
        <f>IF($CN1281="refOK",$BL1281,$BK1281)</f>
        <v>118</v>
      </c>
      <c r="CQ1281">
        <f>IF($CN1281="refOK",$BO1281,-$BO1281)</f>
        <v>0</v>
      </c>
      <c r="CR1281">
        <f>IF($CN1281="refOK",$BS1281,$BT1281)*IF($BP1281="Emissions positive",-1,1)</f>
        <v>-66</v>
      </c>
      <c r="CS1281">
        <f>IF($CN1281="refOK",$BT1281,$BS1281)*IF($BP1281="Emissions positive",-1,1)</f>
        <v>111.8</v>
      </c>
      <c r="CT1281">
        <f>IF($CN1281="refNeedCorrection",-BX1281,BX1281)*IF($BP1281="Emissions positive",-1,1)</f>
        <v>177800000</v>
      </c>
      <c r="CU1281" t="str">
        <f>IFERROR(CT1281/CQ1281,"")</f>
        <v/>
      </c>
      <c r="CV1281" s="2">
        <f>IFERROR((CS1281-CR1281)/ABS(CR1281),"")</f>
        <v>2.6939393939393943</v>
      </c>
      <c r="CW1281" s="1" t="s">
        <v>1199</v>
      </c>
      <c r="CX1281" s="312" t="str">
        <f>IF(OR($CW1281="prd",$CW1281="std",$CW1281="cit"),"loc",IF(OR($CW1281="eur",$CW1281="reg",$CW1281="coy"),"reg",$CW1281))</f>
        <v>reg</v>
      </c>
      <c r="CY1281" t="s">
        <v>540</v>
      </c>
      <c r="CZ1281">
        <v>2020</v>
      </c>
      <c r="DA1281">
        <v>2100</v>
      </c>
      <c r="DB1281">
        <f>DA1281-CZ1281</f>
        <v>80</v>
      </c>
      <c r="DC1281" t="str">
        <f>IF(DB1281=0,"0",IF(AND(DB1281&gt;=1,DB1281&lt;=30),"1-30",IF(AND(DB1281&gt;30,DB1281&lt;=70),"31-70",IF(AND(DB1281&gt;70,DB1281&lt;=100),"71-100",IF(DB1281&gt;100,"+100")))))</f>
        <v>71-100</v>
      </c>
      <c r="DD1281">
        <v>0</v>
      </c>
      <c r="DE1281">
        <v>1</v>
      </c>
      <c r="DF1281">
        <v>1</v>
      </c>
      <c r="DG1281">
        <v>1</v>
      </c>
      <c r="DI1281">
        <f>SUM(DD1281:DG1281)</f>
        <v>3</v>
      </c>
      <c r="DJ1281" t="str">
        <f>IF(DI1281=1,INDEX($DD$7:$DG$7,MATCH(1,$DD1281:$DG1281,0)),"mixedProduct")</f>
        <v>mixedProduct</v>
      </c>
      <c r="DK1281">
        <f>IF(DD1281=1,DK$7,0)</f>
        <v>0</v>
      </c>
      <c r="DL1281" t="str">
        <f>IF(DE1281=1,DL$7,0)</f>
        <v>Energy</v>
      </c>
      <c r="DM1281" t="str">
        <f>IF(DF1281=1,DM$7,0)</f>
        <v>Pulp/Paper</v>
      </c>
      <c r="DN1281" t="str">
        <f>IF(DG1281=1,DN$7,0)</f>
        <v>Timber</v>
      </c>
      <c r="DO1281">
        <v>1</v>
      </c>
      <c r="DP1281">
        <v>0</v>
      </c>
      <c r="DQ1281">
        <v>0</v>
      </c>
      <c r="DR1281">
        <v>0</v>
      </c>
      <c r="DS1281">
        <v>0</v>
      </c>
      <c r="DT1281">
        <f>SUM(DO1281:DP1281)</f>
        <v>1</v>
      </c>
      <c r="DU1281" s="143" t="str">
        <f>IF(DO1281=1,"self-calculated DF",IF(DP1281=1,"external DF used","explicit C balance"))</f>
        <v>self-calculated DF</v>
      </c>
      <c r="DV1281">
        <v>1</v>
      </c>
      <c r="DW1281">
        <v>1</v>
      </c>
      <c r="DX1281">
        <v>1</v>
      </c>
      <c r="DY1281">
        <v>1</v>
      </c>
      <c r="DZ1281">
        <v>1</v>
      </c>
      <c r="EA1281">
        <v>1</v>
      </c>
      <c r="EB1281">
        <v>1</v>
      </c>
      <c r="EC1281">
        <v>1</v>
      </c>
      <c r="ED1281">
        <v>1</v>
      </c>
      <c r="EE1281">
        <v>0</v>
      </c>
      <c r="EF1281">
        <v>1</v>
      </c>
      <c r="EG1281">
        <v>0</v>
      </c>
      <c r="EH1281">
        <v>0</v>
      </c>
      <c r="EI1281" s="2">
        <v>0</v>
      </c>
      <c r="EK1281" t="str">
        <f>IF(AND(AND(AND(OR($DX1281=1,$DW1281=1),OR($EC1281=1,$EA1281=1)),SUM($DV1281:$DZ1281,$EF1281)&gt;=3),SUM($EA1281:$EE1281)&gt;=2),"Whole sector","")</f>
        <v>Whole sector</v>
      </c>
      <c r="EL1281" t="str">
        <f>IF(AND(AND(OR($DX1281=1,$DW1281=1),AND($EC1281=0,$EA1281=0)),SUM($DV1281:$DZ1281,$EF1281)&gt;=3),"Ecosystem approach","")</f>
        <v/>
      </c>
      <c r="EM1281" s="2" t="str">
        <f>IF(AND(AND(AND($DX1281=0,$DW1281=0),OR($EC1281=1,$EA1281=1)),SUM($EB1281:$EE1281)&gt;=2),"Technology approach","")</f>
        <v/>
      </c>
      <c r="EP1281" t="b">
        <f>IF(ISNUMBER(BU1281),IF(ABS(BU1281-[5]QC_indicators!$B$2)&gt;3*[5]QC_indicators!$C$2,"C ratio",IF(ISNUMBER(BY1281),IF(ABS(BY1281-[5]QC_indicators!$B$1)&gt;3*[5]QC_indicators!$C$1,"DF","no"))),IF(ISNUMBER(BY1281),IF(ABS(BY1281-[5]QC_indicators!$B$1)&gt;3*[5]QC_indicators!$C$1,"DF","no")))</f>
        <v>0</v>
      </c>
      <c r="ER1281" s="314" t="s">
        <v>349</v>
      </c>
    </row>
    <row r="1282" spans="1:148" ht="15" customHeight="1">
      <c r="A1282" s="1" t="s">
        <v>1357</v>
      </c>
      <c r="B1282" t="s">
        <v>3524</v>
      </c>
      <c r="C1282" t="s">
        <v>3525</v>
      </c>
      <c r="D1282" t="s">
        <v>3526</v>
      </c>
      <c r="E1282" t="s">
        <v>3527</v>
      </c>
      <c r="F1282" t="s">
        <v>3528</v>
      </c>
      <c r="G1282" t="s">
        <v>1358</v>
      </c>
      <c r="H1282" t="s">
        <v>254</v>
      </c>
      <c r="I1282">
        <v>2018</v>
      </c>
      <c r="J1282">
        <v>5</v>
      </c>
      <c r="K1282" t="s">
        <v>3529</v>
      </c>
      <c r="L1282" t="s">
        <v>406</v>
      </c>
      <c r="M1282" t="str">
        <f>LEFT($D1282,FIND(",",$D1282)-1)&amp;"_"&amp;I1282&amp;L1282</f>
        <v>Chen_2018b</v>
      </c>
      <c r="N1282" s="312" t="s">
        <v>4383</v>
      </c>
      <c r="O1282" s="145" t="s">
        <v>223</v>
      </c>
      <c r="Q1282" s="312" t="s">
        <v>256</v>
      </c>
      <c r="R1282" s="313"/>
      <c r="S1282" s="1" t="s">
        <v>3530</v>
      </c>
      <c r="T1282" t="s">
        <v>3531</v>
      </c>
      <c r="U1282" t="s">
        <v>3532</v>
      </c>
      <c r="V1282">
        <v>0</v>
      </c>
      <c r="W1282">
        <v>0</v>
      </c>
      <c r="X1282">
        <v>0</v>
      </c>
      <c r="Y1282">
        <v>0</v>
      </c>
      <c r="Z1282">
        <v>0</v>
      </c>
      <c r="AA1282">
        <v>0</v>
      </c>
      <c r="AB1282">
        <v>0</v>
      </c>
      <c r="AC1282">
        <v>0</v>
      </c>
      <c r="AD1282">
        <v>0</v>
      </c>
      <c r="AE1282">
        <v>0</v>
      </c>
      <c r="AF1282">
        <v>1</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s="141">
        <f>COUNTIF(V1282:AW1282,"&lt;&gt;0")</f>
        <v>1</v>
      </c>
      <c r="AY1282" s="141">
        <f>COUNTIF(V1282:AL1282,"&lt;&gt;0")</f>
        <v>1</v>
      </c>
      <c r="AZ1282">
        <f>COUNTIF(V1282:AC1282,"&lt;&gt;0")</f>
        <v>0</v>
      </c>
      <c r="BA1282">
        <f>COUNTIF(AD1282:AI1282,"&lt;&gt;0")</f>
        <v>1</v>
      </c>
      <c r="BB1282">
        <f>COUNTIF(AJ1282:AL1282,"&lt;&gt;0")</f>
        <v>0</v>
      </c>
      <c r="BC1282">
        <f>COUNTIF(AS1282:AW1282,"&lt;&gt;0")</f>
        <v>0</v>
      </c>
      <c r="BD1282">
        <f>COUNTIF(AM1282:AR1282,"&lt;&gt;0")</f>
        <v>0</v>
      </c>
      <c r="BE1282" t="str" cm="1">
        <f t="array" ref="BE1282">IF(AY1282=1,INDEX($V$7:$AL$7,MATCH(TRUE,INDEX($V1282:$AW1282&lt;&gt;0,),0)),IF(AY1282=0,INDEX($AM$7:$AW$7,MATCH(1,$AM1282:$AW1282,0)),IF(BF1282="Multiple strategies","mixed drivers",IF(BF1282="Supply chain","multiple supply","multiple silviculture"))))</f>
        <v>supply chain organization</v>
      </c>
      <c r="BF1282" s="2" t="str" cm="1">
        <f t="array" ref="BF1282">IF(COUNTIF(AZ1282:BB1282,"&lt;&gt;0")=1,INDEX($V$4:$AW$4,MATCH(TRUE,INDEX($V1282:$AW1282&lt;&gt;0,),0)),IF(COUNTIF(AZ1282:BB1282,"&lt;&gt;0")=0,INDEX($AM$4:$AW$4,MATCH(1,$AM1282:$AW1282,0)),"Multiple strategies"))</f>
        <v>Supply chain</v>
      </c>
      <c r="BG1282" s="1" t="s">
        <v>321</v>
      </c>
      <c r="BH1282" t="s">
        <v>3533</v>
      </c>
      <c r="BJ1282" t="s">
        <v>498</v>
      </c>
      <c r="BK1282">
        <v>1833</v>
      </c>
      <c r="BL1282">
        <v>1833</v>
      </c>
      <c r="BN1282">
        <f>BL1282-BK1282</f>
        <v>0</v>
      </c>
      <c r="BO1282">
        <v>0</v>
      </c>
      <c r="BP1282" s="312" t="s">
        <v>232</v>
      </c>
      <c r="BQ1282" s="312"/>
      <c r="BR1282" t="s">
        <v>1359</v>
      </c>
      <c r="BS1282">
        <v>38.799999999999997</v>
      </c>
      <c r="BT1282">
        <v>-33.9</v>
      </c>
      <c r="BU1282" s="144">
        <v>-0.87371134020618557</v>
      </c>
      <c r="BV1282">
        <v>-72.699999999999989</v>
      </c>
      <c r="BX1282">
        <f>BV1282*10^6*C_to_CO2</f>
        <v>-266808999.99999994</v>
      </c>
      <c r="BY1282" t="str">
        <f>IFERROR(BX1282/BO1282,"")</f>
        <v/>
      </c>
      <c r="BZ1282">
        <v>0</v>
      </c>
      <c r="CA1282">
        <v>0</v>
      </c>
      <c r="CB1282">
        <v>0</v>
      </c>
      <c r="CC1282">
        <v>0</v>
      </c>
      <c r="CD1282">
        <v>0</v>
      </c>
      <c r="CE1282">
        <v>0</v>
      </c>
      <c r="CF1282">
        <v>0</v>
      </c>
      <c r="CG1282">
        <v>0</v>
      </c>
      <c r="CH1282">
        <v>0</v>
      </c>
      <c r="CI1282">
        <v>0</v>
      </c>
      <c r="CJ1282">
        <v>0</v>
      </c>
      <c r="CK1282">
        <v>0</v>
      </c>
      <c r="CL1282">
        <v>0</v>
      </c>
      <c r="CM1282">
        <v>0</v>
      </c>
      <c r="CN1282" t="str">
        <f>IF($BL1282&lt;$BK1282,"refNeedCorrection","refOK")</f>
        <v>refOK</v>
      </c>
      <c r="CO1282">
        <f>IF($CN1282="refNeedCorrection",BL1282,BK1282)</f>
        <v>1833</v>
      </c>
      <c r="CP1282">
        <f>IF($CN1282="refNeedCorrection",BK1282,BL1282)</f>
        <v>1833</v>
      </c>
      <c r="CQ1282">
        <f>IF($CN1282="refOK",$BO1282,-$BO1282)</f>
        <v>0</v>
      </c>
      <c r="CR1282">
        <f>IF($CN1282="refOK",$BS1282,$BT1282)*IF($BP1282="Emissions positive",-1,1)</f>
        <v>38.799999999999997</v>
      </c>
      <c r="CS1282">
        <f>IF($CN1282="refOK",$BT1282,$BS1282)*IF($BP1282="Emissions positive",-1,1)</f>
        <v>-33.9</v>
      </c>
      <c r="CT1282">
        <f>IF($CN1282="refNeedCorrection",-BX1282,BX1282)*IF($BP1282="Emissions positive",-1,1)</f>
        <v>-266808999.99999994</v>
      </c>
      <c r="CU1282" t="str">
        <f>IFERROR(CT1282/CQ1282,"")</f>
        <v/>
      </c>
      <c r="CV1282" s="2">
        <f>IFERROR((CS1282-CR1282)/ABS(CR1282),"")</f>
        <v>-1.8737113402061853</v>
      </c>
      <c r="CW1282" s="1" t="s">
        <v>1199</v>
      </c>
      <c r="CX1282" s="312" t="str">
        <f>IF(OR($CW1282="prd",$CW1282="std",$CW1282="cit"),"loc",IF(OR($CW1282="eur",$CW1282="reg",$CW1282="coy"),"reg",$CW1282))</f>
        <v>reg</v>
      </c>
      <c r="CY1282" t="s">
        <v>540</v>
      </c>
      <c r="CZ1282">
        <v>2020</v>
      </c>
      <c r="DA1282">
        <v>2100</v>
      </c>
      <c r="DB1282">
        <f>DA1282-CZ1282</f>
        <v>80</v>
      </c>
      <c r="DC1282" t="str">
        <f>IF(DB1282=0,"0",IF(AND(DB1282&gt;=1,DB1282&lt;=30),"1-30",IF(AND(DB1282&gt;30,DB1282&lt;=70),"31-70",IF(AND(DB1282&gt;70,DB1282&lt;=100),"71-100",IF(DB1282&gt;100,"+100")))))</f>
        <v>71-100</v>
      </c>
      <c r="DD1282">
        <v>0</v>
      </c>
      <c r="DE1282">
        <v>1</v>
      </c>
      <c r="DF1282">
        <v>1</v>
      </c>
      <c r="DG1282">
        <v>1</v>
      </c>
      <c r="DI1282">
        <f>SUM(DD1282:DG1282)</f>
        <v>3</v>
      </c>
      <c r="DJ1282" t="str">
        <f>IF(DI1282=1,INDEX($DD$7:$DG$7,MATCH(1,$DD1282:$DG1282,0)),"mixedProduct")</f>
        <v>mixedProduct</v>
      </c>
      <c r="DK1282">
        <f>IF(DD1282=1,DK$7,0)</f>
        <v>0</v>
      </c>
      <c r="DL1282" t="str">
        <f>IF(DE1282=1,DL$7,0)</f>
        <v>Energy</v>
      </c>
      <c r="DM1282" t="str">
        <f>IF(DF1282=1,DM$7,0)</f>
        <v>Pulp/Paper</v>
      </c>
      <c r="DN1282" t="str">
        <f>IF(DG1282=1,DN$7,0)</f>
        <v>Timber</v>
      </c>
      <c r="DO1282">
        <v>1</v>
      </c>
      <c r="DP1282">
        <v>0</v>
      </c>
      <c r="DQ1282">
        <v>0</v>
      </c>
      <c r="DR1282">
        <v>0</v>
      </c>
      <c r="DS1282">
        <v>0</v>
      </c>
      <c r="DT1282">
        <f>SUM(DO1282:DP1282)</f>
        <v>1</v>
      </c>
      <c r="DU1282" s="143" t="str">
        <f>IF(DO1282=1,"self-calculated DF",IF(DP1282=1,"external DF used","explicit C balance"))</f>
        <v>self-calculated DF</v>
      </c>
      <c r="DV1282">
        <v>1</v>
      </c>
      <c r="DW1282">
        <v>1</v>
      </c>
      <c r="DX1282">
        <v>1</v>
      </c>
      <c r="DY1282">
        <v>1</v>
      </c>
      <c r="DZ1282">
        <v>1</v>
      </c>
      <c r="EA1282">
        <v>1</v>
      </c>
      <c r="EB1282">
        <v>1</v>
      </c>
      <c r="EC1282">
        <v>1</v>
      </c>
      <c r="ED1282">
        <v>1</v>
      </c>
      <c r="EE1282">
        <v>0</v>
      </c>
      <c r="EF1282">
        <v>1</v>
      </c>
      <c r="EG1282">
        <v>0</v>
      </c>
      <c r="EH1282">
        <v>0</v>
      </c>
      <c r="EI1282" s="2">
        <v>0</v>
      </c>
      <c r="EK1282" t="str">
        <f>IF(AND(AND(AND(OR($DX1282=1,$DW1282=1),OR($EC1282=1,$EA1282=1)),SUM($DV1282:$DZ1282,$EF1282)&gt;=3),SUM($EA1282:$EE1282)&gt;=2),"Whole sector","")</f>
        <v>Whole sector</v>
      </c>
      <c r="EL1282" t="str">
        <f>IF(AND(AND(OR($DX1282=1,$DW1282=1),AND($EC1282=0,$EA1282=0)),SUM($DV1282:$DZ1282,$EF1282)&gt;=3),"Ecosystem approach","")</f>
        <v/>
      </c>
      <c r="EM1282" s="2" t="str">
        <f>IF(AND(AND(AND($DX1282=0,$DW1282=0),OR($EC1282=1,$EA1282=1)),SUM($EB1282:$EE1282)&gt;=2),"Technology approach","")</f>
        <v/>
      </c>
      <c r="EP1282" t="b">
        <f>IF(ISNUMBER(BU1282),IF(ABS(BU1282-[5]QC_indicators!$B$2)&gt;3*[5]QC_indicators!$C$2,"C ratio",IF(ISNUMBER(BY1282),IF(ABS(BY1282-[5]QC_indicators!$B$1)&gt;3*[5]QC_indicators!$C$1,"DF","no"))),IF(ISNUMBER(BY1282),IF(ABS(BY1282-[5]QC_indicators!$B$1)&gt;3*[5]QC_indicators!$C$1,"DF","no")))</f>
        <v>0</v>
      </c>
      <c r="ER1282" s="314" t="s">
        <v>349</v>
      </c>
    </row>
    <row r="1283" spans="1:148" ht="15" customHeight="1">
      <c r="A1283" s="1" t="s">
        <v>1357</v>
      </c>
      <c r="B1283" t="s">
        <v>3524</v>
      </c>
      <c r="C1283" t="s">
        <v>3525</v>
      </c>
      <c r="D1283" t="s">
        <v>3526</v>
      </c>
      <c r="E1283" t="s">
        <v>3527</v>
      </c>
      <c r="F1283" t="s">
        <v>3528</v>
      </c>
      <c r="G1283" t="s">
        <v>1358</v>
      </c>
      <c r="H1283" t="s">
        <v>254</v>
      </c>
      <c r="I1283">
        <v>2018</v>
      </c>
      <c r="J1283">
        <v>5</v>
      </c>
      <c r="K1283" t="s">
        <v>3529</v>
      </c>
      <c r="L1283" t="s">
        <v>406</v>
      </c>
      <c r="M1283" t="str">
        <f>LEFT($D1283,FIND(",",$D1283)-1)&amp;"_"&amp;I1283&amp;L1283</f>
        <v>Chen_2018b</v>
      </c>
      <c r="N1283" s="312" t="s">
        <v>4383</v>
      </c>
      <c r="O1283" s="145" t="s">
        <v>223</v>
      </c>
      <c r="Q1283" s="312" t="s">
        <v>256</v>
      </c>
      <c r="R1283" s="313"/>
      <c r="S1283" s="1" t="s">
        <v>3534</v>
      </c>
      <c r="T1283" t="s">
        <v>3535</v>
      </c>
      <c r="U1283" t="s">
        <v>3536</v>
      </c>
      <c r="V1283">
        <v>0</v>
      </c>
      <c r="W1283">
        <v>0</v>
      </c>
      <c r="X1283">
        <v>0</v>
      </c>
      <c r="Y1283">
        <v>0</v>
      </c>
      <c r="Z1283">
        <v>0</v>
      </c>
      <c r="AA1283">
        <v>0</v>
      </c>
      <c r="AB1283">
        <v>0</v>
      </c>
      <c r="AC1283">
        <v>0</v>
      </c>
      <c r="AD1283">
        <v>0</v>
      </c>
      <c r="AE1283">
        <v>0</v>
      </c>
      <c r="AF1283">
        <v>1</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s="141">
        <f>COUNTIF(V1283:AW1283,"&lt;&gt;0")</f>
        <v>1</v>
      </c>
      <c r="AY1283" s="141">
        <f>COUNTIF(V1283:AL1283,"&lt;&gt;0")</f>
        <v>1</v>
      </c>
      <c r="AZ1283">
        <f>COUNTIF(V1283:AC1283,"&lt;&gt;0")</f>
        <v>0</v>
      </c>
      <c r="BA1283">
        <f>COUNTIF(AD1283:AI1283,"&lt;&gt;0")</f>
        <v>1</v>
      </c>
      <c r="BB1283">
        <f>COUNTIF(AJ1283:AL1283,"&lt;&gt;0")</f>
        <v>0</v>
      </c>
      <c r="BC1283">
        <f>COUNTIF(AS1283:AW1283,"&lt;&gt;0")</f>
        <v>0</v>
      </c>
      <c r="BD1283">
        <f>COUNTIF(AM1283:AR1283,"&lt;&gt;0")</f>
        <v>0</v>
      </c>
      <c r="BE1283" t="str" cm="1">
        <f t="array" ref="BE1283">IF(AY1283=1,INDEX($V$7:$AL$7,MATCH(TRUE,INDEX($V1283:$AW1283&lt;&gt;0,),0)),IF(AY1283=0,INDEX($AM$7:$AW$7,MATCH(1,$AM1283:$AW1283,0)),IF(BF1283="Multiple strategies","mixed drivers",IF(BF1283="Supply chain","multiple supply","multiple silviculture"))))</f>
        <v>supply chain organization</v>
      </c>
      <c r="BF1283" s="2" t="str" cm="1">
        <f t="array" ref="BF1283">IF(COUNTIF(AZ1283:BB1283,"&lt;&gt;0")=1,INDEX($V$4:$AW$4,MATCH(TRUE,INDEX($V1283:$AW1283&lt;&gt;0,),0)),IF(COUNTIF(AZ1283:BB1283,"&lt;&gt;0")=0,INDEX($AM$4:$AW$4,MATCH(1,$AM1283:$AW1283,0)),"Multiple strategies"))</f>
        <v>Supply chain</v>
      </c>
      <c r="BG1283" s="1" t="s">
        <v>321</v>
      </c>
      <c r="BH1283" t="s">
        <v>3533</v>
      </c>
      <c r="BJ1283" t="s">
        <v>498</v>
      </c>
      <c r="BK1283">
        <v>1833</v>
      </c>
      <c r="BL1283">
        <v>1833</v>
      </c>
      <c r="BN1283">
        <f>BL1283-BK1283</f>
        <v>0</v>
      </c>
      <c r="BO1283">
        <v>0</v>
      </c>
      <c r="BP1283" s="312" t="s">
        <v>232</v>
      </c>
      <c r="BQ1283" s="312"/>
      <c r="BR1283" t="s">
        <v>1359</v>
      </c>
      <c r="BS1283">
        <v>-33.9</v>
      </c>
      <c r="BT1283">
        <v>-96.1</v>
      </c>
      <c r="BU1283" s="144">
        <v>2.8348082595870205</v>
      </c>
      <c r="BV1283">
        <v>-62.199999999999996</v>
      </c>
      <c r="BX1283">
        <f>BV1283*10^6*C_to_CO2</f>
        <v>-228273999.99999997</v>
      </c>
      <c r="BY1283" t="str">
        <f>IFERROR(BX1283/BO1283,"")</f>
        <v/>
      </c>
      <c r="BZ1283">
        <v>0</v>
      </c>
      <c r="CA1283">
        <v>0</v>
      </c>
      <c r="CB1283">
        <v>0</v>
      </c>
      <c r="CC1283">
        <v>0</v>
      </c>
      <c r="CD1283">
        <v>0</v>
      </c>
      <c r="CE1283">
        <v>0</v>
      </c>
      <c r="CF1283">
        <v>0</v>
      </c>
      <c r="CG1283">
        <v>0</v>
      </c>
      <c r="CH1283">
        <v>0</v>
      </c>
      <c r="CI1283">
        <v>0</v>
      </c>
      <c r="CJ1283">
        <v>0</v>
      </c>
      <c r="CK1283">
        <v>0</v>
      </c>
      <c r="CL1283">
        <v>0</v>
      </c>
      <c r="CM1283">
        <v>0</v>
      </c>
      <c r="CN1283" t="str">
        <f>IF($BL1283&lt;$BK1283,"refNeedCorrection","refOK")</f>
        <v>refOK</v>
      </c>
      <c r="CO1283">
        <f>IF($CN1283="refNeedCorrection",BL1283,BK1283)</f>
        <v>1833</v>
      </c>
      <c r="CP1283">
        <f>IF($CN1283="refNeedCorrection",BK1283,BL1283)</f>
        <v>1833</v>
      </c>
      <c r="CQ1283">
        <f>IF($CN1283="refOK",$BO1283,-$BO1283)</f>
        <v>0</v>
      </c>
      <c r="CR1283">
        <f>IF($CN1283="refOK",$BS1283,$BT1283)*IF($BP1283="Emissions positive",-1,1)</f>
        <v>-33.9</v>
      </c>
      <c r="CS1283">
        <f>IF($CN1283="refOK",$BT1283,$BS1283)*IF($BP1283="Emissions positive",-1,1)</f>
        <v>-96.1</v>
      </c>
      <c r="CT1283">
        <f>IF($CN1283="refNeedCorrection",-BX1283,BX1283)*IF($BP1283="Emissions positive",-1,1)</f>
        <v>-228273999.99999997</v>
      </c>
      <c r="CU1283" t="str">
        <f>IFERROR(CT1283/CQ1283,"")</f>
        <v/>
      </c>
      <c r="CV1283" s="2">
        <f>IFERROR((CS1283-CR1283)/ABS(CR1283),"")</f>
        <v>-1.8348082595870205</v>
      </c>
      <c r="CW1283" s="1" t="s">
        <v>1199</v>
      </c>
      <c r="CX1283" s="312" t="str">
        <f>IF(OR($CW1283="prd",$CW1283="std",$CW1283="cit"),"loc",IF(OR($CW1283="eur",$CW1283="reg",$CW1283="coy"),"reg",$CW1283))</f>
        <v>reg</v>
      </c>
      <c r="CY1283" t="s">
        <v>540</v>
      </c>
      <c r="CZ1283">
        <v>2020</v>
      </c>
      <c r="DA1283">
        <v>2100</v>
      </c>
      <c r="DB1283">
        <f>DA1283-CZ1283</f>
        <v>80</v>
      </c>
      <c r="DC1283" t="str">
        <f>IF(DB1283=0,"0",IF(AND(DB1283&gt;=1,DB1283&lt;=30),"1-30",IF(AND(DB1283&gt;30,DB1283&lt;=70),"31-70",IF(AND(DB1283&gt;70,DB1283&lt;=100),"71-100",IF(DB1283&gt;100,"+100")))))</f>
        <v>71-100</v>
      </c>
      <c r="DD1283">
        <v>0</v>
      </c>
      <c r="DE1283">
        <v>1</v>
      </c>
      <c r="DF1283">
        <v>1</v>
      </c>
      <c r="DG1283">
        <v>1</v>
      </c>
      <c r="DI1283">
        <f>SUM(DD1283:DG1283)</f>
        <v>3</v>
      </c>
      <c r="DJ1283" t="str">
        <f>IF(DI1283=1,INDEX($DD$7:$DG$7,MATCH(1,$DD1283:$DG1283,0)),"mixedProduct")</f>
        <v>mixedProduct</v>
      </c>
      <c r="DK1283">
        <f>IF(DD1283=1,DK$7,0)</f>
        <v>0</v>
      </c>
      <c r="DL1283" t="str">
        <f>IF(DE1283=1,DL$7,0)</f>
        <v>Energy</v>
      </c>
      <c r="DM1283" t="str">
        <f>IF(DF1283=1,DM$7,0)</f>
        <v>Pulp/Paper</v>
      </c>
      <c r="DN1283" t="str">
        <f>IF(DG1283=1,DN$7,0)</f>
        <v>Timber</v>
      </c>
      <c r="DO1283">
        <v>1</v>
      </c>
      <c r="DP1283">
        <v>0</v>
      </c>
      <c r="DQ1283">
        <v>0</v>
      </c>
      <c r="DR1283">
        <v>0</v>
      </c>
      <c r="DS1283">
        <v>0</v>
      </c>
      <c r="DT1283">
        <f>SUM(DO1283:DP1283)</f>
        <v>1</v>
      </c>
      <c r="DU1283" s="143" t="str">
        <f>IF(DO1283=1,"self-calculated DF",IF(DP1283=1,"external DF used","explicit C balance"))</f>
        <v>self-calculated DF</v>
      </c>
      <c r="DV1283">
        <v>1</v>
      </c>
      <c r="DW1283">
        <v>1</v>
      </c>
      <c r="DX1283">
        <v>1</v>
      </c>
      <c r="DY1283">
        <v>1</v>
      </c>
      <c r="DZ1283">
        <v>1</v>
      </c>
      <c r="EA1283">
        <v>1</v>
      </c>
      <c r="EB1283">
        <v>1</v>
      </c>
      <c r="EC1283">
        <v>1</v>
      </c>
      <c r="ED1283">
        <v>1</v>
      </c>
      <c r="EE1283">
        <v>0</v>
      </c>
      <c r="EF1283">
        <v>1</v>
      </c>
      <c r="EG1283">
        <v>0</v>
      </c>
      <c r="EH1283">
        <v>0</v>
      </c>
      <c r="EI1283" s="2">
        <v>0</v>
      </c>
      <c r="EK1283" t="str">
        <f>IF(AND(AND(AND(OR($DX1283=1,$DW1283=1),OR($EC1283=1,$EA1283=1)),SUM($DV1283:$DZ1283,$EF1283)&gt;=3),SUM($EA1283:$EE1283)&gt;=2),"Whole sector","")</f>
        <v>Whole sector</v>
      </c>
      <c r="EL1283" t="str">
        <f>IF(AND(AND(OR($DX1283=1,$DW1283=1),AND($EC1283=0,$EA1283=0)),SUM($DV1283:$DZ1283,$EF1283)&gt;=3),"Ecosystem approach","")</f>
        <v/>
      </c>
      <c r="EM1283" s="2" t="str">
        <f>IF(AND(AND(AND($DX1283=0,$DW1283=0),OR($EC1283=1,$EA1283=1)),SUM($EB1283:$EE1283)&gt;=2),"Technology approach","")</f>
        <v/>
      </c>
      <c r="EN1283" t="s">
        <v>3537</v>
      </c>
      <c r="EO1283" t="s">
        <v>450</v>
      </c>
      <c r="EP1283" t="b">
        <f>IF(ISNUMBER(BU1283),IF(ABS(BU1283-[5]QC_indicators!$B$2)&gt;3*[5]QC_indicators!$C$2,"C ratio",IF(ISNUMBER(BY1283),IF(ABS(BY1283-[5]QC_indicators!$B$1)&gt;3*[5]QC_indicators!$C$1,"DF","no"))),IF(ISNUMBER(BY1283),IF(ABS(BY1283-[5]QC_indicators!$B$1)&gt;3*[5]QC_indicators!$C$1,"DF","no")))</f>
        <v>0</v>
      </c>
    </row>
    <row r="1284" spans="1:148" ht="15" customHeight="1">
      <c r="A1284" s="1" t="s">
        <v>1357</v>
      </c>
      <c r="B1284" t="s">
        <v>3524</v>
      </c>
      <c r="C1284" t="s">
        <v>3525</v>
      </c>
      <c r="D1284" t="s">
        <v>3526</v>
      </c>
      <c r="E1284" t="s">
        <v>3527</v>
      </c>
      <c r="F1284" t="s">
        <v>3528</v>
      </c>
      <c r="G1284" t="s">
        <v>1358</v>
      </c>
      <c r="H1284" t="s">
        <v>254</v>
      </c>
      <c r="I1284">
        <v>2018</v>
      </c>
      <c r="J1284">
        <v>5</v>
      </c>
      <c r="K1284" t="s">
        <v>3529</v>
      </c>
      <c r="L1284" t="s">
        <v>406</v>
      </c>
      <c r="M1284" t="str">
        <f>LEFT($D1284,FIND(",",$D1284)-1)&amp;"_"&amp;I1284&amp;L1284</f>
        <v>Chen_2018b</v>
      </c>
      <c r="N1284" s="312" t="s">
        <v>4383</v>
      </c>
      <c r="O1284" s="145" t="s">
        <v>223</v>
      </c>
      <c r="Q1284" s="312" t="s">
        <v>256</v>
      </c>
      <c r="R1284" s="313"/>
      <c r="S1284" s="1" t="s">
        <v>3534</v>
      </c>
      <c r="T1284" t="s">
        <v>3535</v>
      </c>
      <c r="U1284" t="s">
        <v>3536</v>
      </c>
      <c r="V1284">
        <v>0</v>
      </c>
      <c r="W1284">
        <v>0</v>
      </c>
      <c r="X1284">
        <v>0</v>
      </c>
      <c r="Y1284">
        <v>0</v>
      </c>
      <c r="Z1284">
        <v>0</v>
      </c>
      <c r="AA1284">
        <v>0</v>
      </c>
      <c r="AB1284">
        <v>0</v>
      </c>
      <c r="AC1284">
        <v>0</v>
      </c>
      <c r="AD1284">
        <v>0</v>
      </c>
      <c r="AE1284">
        <v>0</v>
      </c>
      <c r="AF1284">
        <v>1</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s="141">
        <f>COUNTIF(V1284:AW1284,"&lt;&gt;0")</f>
        <v>1</v>
      </c>
      <c r="AY1284" s="141">
        <f>COUNTIF(V1284:AL1284,"&lt;&gt;0")</f>
        <v>1</v>
      </c>
      <c r="AZ1284">
        <f>COUNTIF(V1284:AC1284,"&lt;&gt;0")</f>
        <v>0</v>
      </c>
      <c r="BA1284">
        <f>COUNTIF(AD1284:AI1284,"&lt;&gt;0")</f>
        <v>1</v>
      </c>
      <c r="BB1284">
        <f>COUNTIF(AJ1284:AL1284,"&lt;&gt;0")</f>
        <v>0</v>
      </c>
      <c r="BC1284">
        <f>COUNTIF(AS1284:AW1284,"&lt;&gt;0")</f>
        <v>0</v>
      </c>
      <c r="BD1284">
        <f>COUNTIF(AM1284:AR1284,"&lt;&gt;0")</f>
        <v>0</v>
      </c>
      <c r="BE1284" t="str" cm="1">
        <f t="array" ref="BE1284">IF(AY1284=1,INDEX($V$7:$AL$7,MATCH(TRUE,INDEX($V1284:$AW1284&lt;&gt;0,),0)),IF(AY1284=0,INDEX($AM$7:$AW$7,MATCH(1,$AM1284:$AW1284,0)),IF(BF1284="Multiple strategies","mixed drivers",IF(BF1284="Supply chain","multiple supply","multiple silviculture"))))</f>
        <v>supply chain organization</v>
      </c>
      <c r="BF1284" s="2" t="str" cm="1">
        <f t="array" ref="BF1284">IF(COUNTIF(AZ1284:BB1284,"&lt;&gt;0")=1,INDEX($V$4:$AW$4,MATCH(TRUE,INDEX($V1284:$AW1284&lt;&gt;0,),0)),IF(COUNTIF(AZ1284:BB1284,"&lt;&gt;0")=0,INDEX($AM$4:$AW$4,MATCH(1,$AM1284:$AW1284,0)),"Multiple strategies"))</f>
        <v>Supply chain</v>
      </c>
      <c r="BG1284" s="1" t="s">
        <v>321</v>
      </c>
      <c r="BH1284" t="s">
        <v>3533</v>
      </c>
      <c r="BJ1284" t="s">
        <v>498</v>
      </c>
      <c r="BK1284">
        <v>1833</v>
      </c>
      <c r="BL1284">
        <v>1833</v>
      </c>
      <c r="BN1284">
        <f>BL1284-BK1284</f>
        <v>0</v>
      </c>
      <c r="BO1284">
        <v>0</v>
      </c>
      <c r="BP1284" s="312" t="s">
        <v>232</v>
      </c>
      <c r="BQ1284" s="312"/>
      <c r="BR1284" t="s">
        <v>1359</v>
      </c>
      <c r="BS1284">
        <v>-33.9</v>
      </c>
      <c r="BT1284">
        <v>-96.1</v>
      </c>
      <c r="BU1284">
        <v>2.8348082595870205</v>
      </c>
      <c r="BV1284">
        <v>-62.199999999999996</v>
      </c>
      <c r="BX1284">
        <f>BV1284*10^6*C_to_CO2</f>
        <v>-228273999.99999997</v>
      </c>
      <c r="BY1284" t="str">
        <f>IFERROR(BX1284/BO1284,"")</f>
        <v/>
      </c>
      <c r="BZ1284">
        <v>0</v>
      </c>
      <c r="CA1284">
        <v>0</v>
      </c>
      <c r="CB1284">
        <v>0</v>
      </c>
      <c r="CC1284">
        <v>0</v>
      </c>
      <c r="CD1284">
        <v>0</v>
      </c>
      <c r="CE1284">
        <v>0</v>
      </c>
      <c r="CF1284">
        <v>0</v>
      </c>
      <c r="CG1284">
        <v>0</v>
      </c>
      <c r="CH1284">
        <v>0</v>
      </c>
      <c r="CI1284">
        <v>0</v>
      </c>
      <c r="CJ1284">
        <v>0</v>
      </c>
      <c r="CK1284">
        <v>0</v>
      </c>
      <c r="CL1284">
        <v>0</v>
      </c>
      <c r="CM1284">
        <v>0</v>
      </c>
      <c r="CN1284" t="str">
        <f>IF($BL1284&lt;$BK1284,"refNeedCorrection","refOK")</f>
        <v>refOK</v>
      </c>
      <c r="CO1284">
        <f>IF($CN1284="refNeedCorrection",BL1284,BK1284)</f>
        <v>1833</v>
      </c>
      <c r="CP1284">
        <f>IF($CN1284="refNeedCorrection",BK1284,BL1284)</f>
        <v>1833</v>
      </c>
      <c r="CQ1284">
        <f>IF($CN1284="refOK",$BO1284,-$BO1284)</f>
        <v>0</v>
      </c>
      <c r="CR1284">
        <f>IF($CN1284="refOK",$BS1284,$BT1284)*IF($BP1284="Emissions positive",-1,1)</f>
        <v>-33.9</v>
      </c>
      <c r="CS1284">
        <f>IF($CN1284="refOK",$BT1284,$BS1284)*IF($BP1284="Emissions positive",-1,1)</f>
        <v>-96.1</v>
      </c>
      <c r="CT1284">
        <f>IF($CN1284="refNeedCorrection",-BX1284,BX1284)*IF($BP1284="Emissions positive",-1,1)</f>
        <v>-228273999.99999997</v>
      </c>
      <c r="CU1284" t="str">
        <f>IFERROR(CT1284/CQ1284,"")</f>
        <v/>
      </c>
      <c r="CV1284" s="2">
        <f>IFERROR((CS1284-CR1284)/ABS(CR1284),"")</f>
        <v>-1.8348082595870205</v>
      </c>
      <c r="CW1284" s="1" t="s">
        <v>1199</v>
      </c>
      <c r="CX1284" s="312" t="str">
        <f>IF(OR($CW1284="prd",$CW1284="std",$CW1284="cit"),"loc",IF(OR($CW1284="eur",$CW1284="reg",$CW1284="coy"),"reg",$CW1284))</f>
        <v>reg</v>
      </c>
      <c r="CY1284" t="s">
        <v>540</v>
      </c>
      <c r="CZ1284">
        <v>2020</v>
      </c>
      <c r="DA1284">
        <v>2100</v>
      </c>
      <c r="DB1284">
        <f>DA1284-CZ1284</f>
        <v>80</v>
      </c>
      <c r="DC1284" t="str">
        <f>IF(DB1284=0,"0",IF(AND(DB1284&gt;=1,DB1284&lt;=30),"1-30",IF(AND(DB1284&gt;30,DB1284&lt;=70),"31-70",IF(AND(DB1284&gt;70,DB1284&lt;=100),"71-100",IF(DB1284&gt;100,"+100")))))</f>
        <v>71-100</v>
      </c>
      <c r="DD1284">
        <v>0</v>
      </c>
      <c r="DE1284">
        <v>1</v>
      </c>
      <c r="DF1284">
        <v>1</v>
      </c>
      <c r="DG1284">
        <v>1</v>
      </c>
      <c r="DI1284">
        <f>SUM(DD1284:DG1284)</f>
        <v>3</v>
      </c>
      <c r="DJ1284" t="str">
        <f>IF(DI1284=1,INDEX($DD$7:$DG$7,MATCH(1,$DD1284:$DG1284,0)),"mixedProduct")</f>
        <v>mixedProduct</v>
      </c>
      <c r="DK1284">
        <f>IF(DD1284=1,DK$7,0)</f>
        <v>0</v>
      </c>
      <c r="DL1284" t="str">
        <f>IF(DE1284=1,DL$7,0)</f>
        <v>Energy</v>
      </c>
      <c r="DM1284" t="str">
        <f>IF(DF1284=1,DM$7,0)</f>
        <v>Pulp/Paper</v>
      </c>
      <c r="DN1284" t="str">
        <f>IF(DG1284=1,DN$7,0)</f>
        <v>Timber</v>
      </c>
      <c r="DO1284">
        <v>1</v>
      </c>
      <c r="DP1284">
        <v>0</v>
      </c>
      <c r="DQ1284">
        <v>0</v>
      </c>
      <c r="DR1284">
        <v>0</v>
      </c>
      <c r="DS1284">
        <v>0</v>
      </c>
      <c r="DT1284">
        <f>SUM(DO1284:DP1284)</f>
        <v>1</v>
      </c>
      <c r="DU1284" s="143" t="str">
        <f>IF(DO1284=1,"self-calculated DF",IF(DP1284=1,"external DF used","explicit C balance"))</f>
        <v>self-calculated DF</v>
      </c>
      <c r="DV1284">
        <v>1</v>
      </c>
      <c r="DW1284">
        <v>1</v>
      </c>
      <c r="DX1284">
        <v>1</v>
      </c>
      <c r="DY1284">
        <v>1</v>
      </c>
      <c r="DZ1284">
        <v>1</v>
      </c>
      <c r="EA1284">
        <v>1</v>
      </c>
      <c r="EB1284">
        <v>1</v>
      </c>
      <c r="EC1284">
        <v>1</v>
      </c>
      <c r="ED1284">
        <v>1</v>
      </c>
      <c r="EE1284">
        <v>0</v>
      </c>
      <c r="EF1284">
        <v>1</v>
      </c>
      <c r="EG1284">
        <v>0</v>
      </c>
      <c r="EH1284">
        <v>0</v>
      </c>
      <c r="EI1284" s="2">
        <v>0</v>
      </c>
      <c r="EK1284" t="str">
        <f>IF(AND(AND(AND(OR($DX1284=1,$DW1284=1),OR($EC1284=1,$EA1284=1)),SUM($DV1284:$DZ1284,$EF1284)&gt;=3),SUM($EA1284:$EE1284)&gt;=2),"Whole sector","")</f>
        <v>Whole sector</v>
      </c>
      <c r="EL1284" t="str">
        <f>IF(AND(AND(OR($DX1284=1,$DW1284=1),AND($EC1284=0,$EA1284=0)),SUM($DV1284:$DZ1284,$EF1284)&gt;=3),"Ecosystem approach","")</f>
        <v/>
      </c>
      <c r="EM1284" s="2" t="str">
        <f>IF(AND(AND(AND($DX1284=0,$DW1284=0),OR($EC1284=1,$EA1284=1)),SUM($EB1284:$EE1284)&gt;=2),"Technology approach","")</f>
        <v/>
      </c>
      <c r="EP1284" t="b">
        <f>IF(ISNUMBER(BU1284),IF(ABS(BU1284-[5]QC_indicators!$B$2)&gt;3*[5]QC_indicators!$C$2,"C ratio",IF(ISNUMBER(BY1284),IF(ABS(BY1284-[5]QC_indicators!$B$1)&gt;3*[5]QC_indicators!$C$1,"DF","no"))),IF(ISNUMBER(BY1284),IF(ABS(BY1284-[5]QC_indicators!$B$1)&gt;3*[5]QC_indicators!$C$1,"DF","no")))</f>
        <v>0</v>
      </c>
    </row>
    <row r="1285" spans="1:148" ht="15" customHeight="1">
      <c r="D1285" t="s">
        <v>3538</v>
      </c>
      <c r="E1285" t="s">
        <v>3539</v>
      </c>
      <c r="G1285" t="s">
        <v>3540</v>
      </c>
      <c r="I1285">
        <v>2013</v>
      </c>
      <c r="K1285" s="295" t="s">
        <v>3541</v>
      </c>
      <c r="M1285" t="str">
        <f>LEFT($D1285,FIND(",",$D1285)-1)&amp;"_"&amp;I1285&amp;L1285</f>
        <v>Cherubini_2013</v>
      </c>
      <c r="N1285" s="312" t="s">
        <v>4383</v>
      </c>
      <c r="O1285" t="s">
        <v>223</v>
      </c>
      <c r="Q1285" s="312" t="s">
        <v>256</v>
      </c>
      <c r="R1285" s="313"/>
      <c r="S1285" s="1" t="s">
        <v>3542</v>
      </c>
      <c r="T1285" t="s">
        <v>3543</v>
      </c>
      <c r="U1285" s="143" t="s">
        <v>3544</v>
      </c>
      <c r="V1285">
        <v>1</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s="141">
        <f>COUNTIF(V1285:AW1285,"&lt;&gt;0")</f>
        <v>1</v>
      </c>
      <c r="AY1285" s="141">
        <f>COUNTIF(V1285:AL1285,"&lt;&gt;0")</f>
        <v>1</v>
      </c>
      <c r="AZ1285">
        <f>COUNTIF(V1285:AC1285,"&lt;&gt;0")</f>
        <v>1</v>
      </c>
      <c r="BA1285">
        <f>COUNTIF(AD1285:AI1285,"&lt;&gt;0")</f>
        <v>0</v>
      </c>
      <c r="BB1285">
        <f>COUNTIF(AJ1285:AL1285,"&lt;&gt;0")</f>
        <v>0</v>
      </c>
      <c r="BC1285">
        <f>COUNTIF(AS1285:AW1285,"&lt;&gt;0")</f>
        <v>0</v>
      </c>
      <c r="BD1285">
        <f>COUNTIF(AM1285:AR1285,"&lt;&gt;0")</f>
        <v>0</v>
      </c>
      <c r="BE1285" t="str" cm="1">
        <f t="array" ref="BE1285">IF(AY1285=1,INDEX($V$7:$AL$7,MATCH(TRUE,INDEX($V1285:$AW1285&lt;&gt;0,),0)),IF(AY1285=0,INDEX($AM$7:$AW$7,MATCH(1,$AM1285:$AW1285,0)),IF(BF1285="Multiple strategies","mixed drivers",IF(BF1285="Supply chain","multiple supply","multiple silviculture"))))</f>
        <v>area subject to harvest</v>
      </c>
      <c r="BF1285" s="2" t="str" cm="1">
        <f t="array" ref="BF1285">IF(COUNTIF(AZ1285:BB1285,"&lt;&gt;0")=1,INDEX($V$4:$AW$4,MATCH(TRUE,INDEX($V1285:$AW1285&lt;&gt;0,),0)),IF(COUNTIF(AZ1285:BB1285,"&lt;&gt;0")=0,INDEX($AM$4:$AW$4,MATCH(1,$AM1285:$AW1285,0)),"Multiple strategies"))</f>
        <v>Silviculture for removals</v>
      </c>
      <c r="BG1285" s="142"/>
      <c r="BJ1285" s="143"/>
      <c r="BL1285" s="143"/>
      <c r="BM1285" s="143"/>
      <c r="BN1285" s="143"/>
      <c r="BO1285" s="143"/>
      <c r="BP1285" s="312" t="s">
        <v>232</v>
      </c>
      <c r="BQ1285" s="312"/>
      <c r="BR1285" t="s">
        <v>3545</v>
      </c>
      <c r="BS1285" s="143">
        <v>0</v>
      </c>
      <c r="BT1285">
        <v>0</v>
      </c>
      <c r="BU1285" t="s">
        <v>544</v>
      </c>
      <c r="BV1285">
        <v>0</v>
      </c>
      <c r="BX1285">
        <f>BV1285/10^6</f>
        <v>0</v>
      </c>
      <c r="BY1285" t="str">
        <f>IFERROR(BX1285/BO1285,"")</f>
        <v/>
      </c>
      <c r="BZ1285" s="143">
        <v>0</v>
      </c>
      <c r="CA1285" s="143">
        <v>0</v>
      </c>
      <c r="CB1285" s="143">
        <v>0</v>
      </c>
      <c r="CC1285" s="143">
        <v>0</v>
      </c>
      <c r="CD1285" s="143">
        <v>0</v>
      </c>
      <c r="CE1285" s="143">
        <v>0</v>
      </c>
      <c r="CF1285" s="143">
        <v>0</v>
      </c>
      <c r="CG1285" s="143">
        <v>0</v>
      </c>
      <c r="CH1285" s="143">
        <v>0</v>
      </c>
      <c r="CI1285" s="143">
        <v>0</v>
      </c>
      <c r="CJ1285" s="143">
        <v>0</v>
      </c>
      <c r="CK1285" s="143">
        <v>0</v>
      </c>
      <c r="CL1285" s="143">
        <v>0</v>
      </c>
      <c r="CM1285">
        <v>0</v>
      </c>
      <c r="CN1285" t="str">
        <f>IF(BL1285&lt;BK1285,"refNeedCorrection","refOK")</f>
        <v>refOK</v>
      </c>
      <c r="CO1285"/>
      <c r="CP1285"/>
      <c r="CQ1285"/>
      <c r="CR1285">
        <f>IF($CN1285="refOK",$BS1285,$BT1285)*IF($BP1285="Emissions positive",-1,1)</f>
        <v>0</v>
      </c>
      <c r="CS1285">
        <f>IF($CN1285="refOK",$BT1285,$BS1285)*IF($BP1285="Emissions positive",-1,1)</f>
        <v>0</v>
      </c>
      <c r="CT1285">
        <f>IF($CN1285="refNeedCorrection",-BX1285,BX1285)*IF($BP1285="Emissions positive",-1,1)</f>
        <v>0</v>
      </c>
      <c r="CU1285" t="str">
        <f>IFERROR(CT1285/CQ1285,"")</f>
        <v/>
      </c>
      <c r="CV1285" s="2" t="str">
        <f>IFERROR((CS1285-CR1285)/ABS(CR1285),"")</f>
        <v/>
      </c>
      <c r="CW1285" s="1" t="s">
        <v>234</v>
      </c>
      <c r="CX1285" s="312" t="str">
        <f>IF(OR($CW1285="prd",$CW1285="std",$CW1285="cit"),"loc",IF(OR($CW1285="eur",$CW1285="reg",$CW1285="coy"),"reg",$CW1285))</f>
        <v>loc</v>
      </c>
      <c r="CY1285" t="s">
        <v>264</v>
      </c>
      <c r="DA1285" s="143"/>
      <c r="DB1285" s="143">
        <v>100</v>
      </c>
      <c r="DC1285" t="str">
        <f>IF(DB1285=0,"0",IF(AND(DB1285&gt;=1,DB1285&lt;=30),"1-30",IF(AND(DB1285&gt;30,DB1285&lt;=70),"31-70",IF(AND(DB1285&gt;70,DB1285&lt;=100),"71-100",IF(DB1285&gt;100,"+100")))))</f>
        <v>71-100</v>
      </c>
      <c r="DD1285">
        <v>0</v>
      </c>
      <c r="DE1285">
        <v>1</v>
      </c>
      <c r="DF1285">
        <v>0</v>
      </c>
      <c r="DG1285">
        <v>0</v>
      </c>
      <c r="DI1285">
        <f>SUM(DD1285:DG1285)</f>
        <v>1</v>
      </c>
      <c r="DJ1285" t="str">
        <f>IF(DI1285=1,INDEX($DD$7:$DG$7,MATCH(1,$DD1285:$DG1285,0)),"mixedProduct")</f>
        <v>EnergyInput</v>
      </c>
      <c r="DK1285">
        <f>IF(DD1285=1,DK$7,0)</f>
        <v>0</v>
      </c>
      <c r="DL1285" t="str">
        <f>IF(DE1285=1,DL$7,0)</f>
        <v>Energy</v>
      </c>
      <c r="DM1285">
        <f>IF(DF1285=1,DM$7,0)</f>
        <v>0</v>
      </c>
      <c r="DN1285">
        <f>IF(DG1285=1,DN$7,0)</f>
        <v>0</v>
      </c>
      <c r="DO1285">
        <v>0</v>
      </c>
      <c r="DP1285" s="143">
        <v>0</v>
      </c>
      <c r="DQ1285" s="143">
        <v>0</v>
      </c>
      <c r="DR1285" s="143">
        <v>0</v>
      </c>
      <c r="DS1285" s="143">
        <v>0</v>
      </c>
      <c r="DT1285">
        <f>SUM(DO1285:DP1285)</f>
        <v>0</v>
      </c>
      <c r="DU1285" s="143" t="str">
        <f>IF(DO1285=1,"self-calculated DF",IF(DP1285=1,"external DF used","explicit C balance"))</f>
        <v>explicit C balance</v>
      </c>
      <c r="DV1285" s="143">
        <v>0</v>
      </c>
      <c r="DW1285" s="143">
        <v>0</v>
      </c>
      <c r="DX1285" s="143">
        <v>1</v>
      </c>
      <c r="DY1285" s="143">
        <v>0</v>
      </c>
      <c r="DZ1285">
        <v>1</v>
      </c>
      <c r="EA1285" s="143">
        <v>1</v>
      </c>
      <c r="EB1285" s="143">
        <v>0</v>
      </c>
      <c r="EC1285" s="143">
        <v>0</v>
      </c>
      <c r="ED1285" s="143">
        <v>0</v>
      </c>
      <c r="EE1285">
        <v>0</v>
      </c>
      <c r="EF1285">
        <v>1</v>
      </c>
      <c r="EG1285" s="143">
        <v>0</v>
      </c>
      <c r="EH1285" s="143">
        <v>0</v>
      </c>
      <c r="EI1285" s="2">
        <v>0</v>
      </c>
      <c r="EK1285" t="str">
        <f>IF(AND(AND(AND(OR($DX1285=1,$DW1285=1),OR($EC1285=1,$EA1285=1)),SUM($DV1285:$DZ1285,$EF1285)&gt;=3),SUM($EA1285:$EE1285)&gt;=2),"Whole sector","")</f>
        <v/>
      </c>
      <c r="EL1285" t="str">
        <f>IF(AND(AND(OR($DX1285=1,$DW1285=1),AND($EC1285=0,$EA1285=0)),SUM($DV1285:$DZ1285,$EF1285)&gt;=3),"Ecosystem approach","")</f>
        <v/>
      </c>
      <c r="EM1285" s="2" t="str">
        <f>IF(AND(AND(AND($DX1285=0,$DW1285=0),OR($EC1285=1,$EA1285=1)),SUM($EB1285:$EE1285)&gt;=2),"Technology approach","")</f>
        <v/>
      </c>
      <c r="EP1285" t="b">
        <f>IF(ISNUMBER(BU1285),IF(ABS(BU1285-[5]QC_indicators!$B$2)&gt;3*[5]QC_indicators!$C$2,"C ratio",IF(ISNUMBER(BY1285),IF(ABS(BY1285-[5]QC_indicators!$B$1)&gt;3*[5]QC_indicators!$C$1,"DF","no"))),IF(ISNUMBER(BY1285),IF(ABS(BY1285-[5]QC_indicators!$B$1)&gt;3*[5]QC_indicators!$C$1,"DF","no")))</f>
        <v>0</v>
      </c>
      <c r="ER1285" s="314" t="s">
        <v>349</v>
      </c>
    </row>
    <row r="1286" spans="1:148" ht="15" customHeight="1">
      <c r="D1286" t="s">
        <v>3538</v>
      </c>
      <c r="E1286" t="s">
        <v>3539</v>
      </c>
      <c r="G1286" t="s">
        <v>3540</v>
      </c>
      <c r="I1286">
        <v>2013</v>
      </c>
      <c r="K1286" s="295" t="s">
        <v>3541</v>
      </c>
      <c r="M1286" t="str">
        <f>LEFT($D1286,FIND(",",$D1286)-1)&amp;"_"&amp;I1286&amp;L1286</f>
        <v>Cherubini_2013</v>
      </c>
      <c r="N1286" s="312" t="s">
        <v>4383</v>
      </c>
      <c r="O1286" t="s">
        <v>223</v>
      </c>
      <c r="Q1286" s="312" t="s">
        <v>256</v>
      </c>
      <c r="R1286" s="313"/>
      <c r="S1286" s="1" t="s">
        <v>3542</v>
      </c>
      <c r="T1286" t="s">
        <v>3543</v>
      </c>
      <c r="U1286" s="143" t="s">
        <v>3544</v>
      </c>
      <c r="V1286">
        <v>1</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s="141">
        <f>COUNTIF(V1286:AW1286,"&lt;&gt;0")</f>
        <v>1</v>
      </c>
      <c r="AY1286" s="141">
        <f>COUNTIF(V1286:AL1286,"&lt;&gt;0")</f>
        <v>1</v>
      </c>
      <c r="AZ1286">
        <f>COUNTIF(V1286:AC1286,"&lt;&gt;0")</f>
        <v>1</v>
      </c>
      <c r="BA1286">
        <f>COUNTIF(AD1286:AI1286,"&lt;&gt;0")</f>
        <v>0</v>
      </c>
      <c r="BB1286">
        <f>COUNTIF(AJ1286:AL1286,"&lt;&gt;0")</f>
        <v>0</v>
      </c>
      <c r="BC1286">
        <f>COUNTIF(AS1286:AW1286,"&lt;&gt;0")</f>
        <v>0</v>
      </c>
      <c r="BD1286">
        <f>COUNTIF(AM1286:AR1286,"&lt;&gt;0")</f>
        <v>0</v>
      </c>
      <c r="BE1286" t="str" cm="1">
        <f t="array" ref="BE1286">IF(AY1286=1,INDEX($V$7:$AL$7,MATCH(TRUE,INDEX($V1286:$AW1286&lt;&gt;0,),0)),IF(AY1286=0,INDEX($AM$7:$AW$7,MATCH(1,$AM1286:$AW1286,0)),IF(BF1286="Multiple strategies","mixed drivers",IF(BF1286="Supply chain","multiple supply","multiple silviculture"))))</f>
        <v>area subject to harvest</v>
      </c>
      <c r="BF1286" s="2" t="str" cm="1">
        <f t="array" ref="BF1286">IF(COUNTIF(AZ1286:BB1286,"&lt;&gt;0")=1,INDEX($V$4:$AW$4,MATCH(TRUE,INDEX($V1286:$AW1286&lt;&gt;0,),0)),IF(COUNTIF(AZ1286:BB1286,"&lt;&gt;0")=0,INDEX($AM$4:$AW$4,MATCH(1,$AM1286:$AW1286,0)),"Multiple strategies"))</f>
        <v>Silviculture for removals</v>
      </c>
      <c r="BG1286" s="142"/>
      <c r="BJ1286" s="143"/>
      <c r="BL1286" s="143"/>
      <c r="BM1286" s="143"/>
      <c r="BN1286" s="143"/>
      <c r="BO1286" s="143"/>
      <c r="BP1286" s="312" t="s">
        <v>232</v>
      </c>
      <c r="BQ1286" s="312"/>
      <c r="BR1286" t="s">
        <v>3545</v>
      </c>
      <c r="BS1286" s="143">
        <v>0</v>
      </c>
      <c r="BT1286">
        <v>0</v>
      </c>
      <c r="BU1286" t="s">
        <v>544</v>
      </c>
      <c r="BV1286">
        <v>0</v>
      </c>
      <c r="BX1286">
        <f>BV1286/10^6</f>
        <v>0</v>
      </c>
      <c r="BY1286" t="str">
        <f>IFERROR(BX1286/BO1286,"")</f>
        <v/>
      </c>
      <c r="BZ1286" s="143">
        <v>0</v>
      </c>
      <c r="CA1286" s="143">
        <v>0</v>
      </c>
      <c r="CB1286" s="143">
        <v>0</v>
      </c>
      <c r="CC1286" s="143">
        <v>0</v>
      </c>
      <c r="CD1286" s="143">
        <v>0</v>
      </c>
      <c r="CE1286" s="143">
        <v>0</v>
      </c>
      <c r="CF1286" s="143">
        <v>0</v>
      </c>
      <c r="CG1286" s="143">
        <v>0</v>
      </c>
      <c r="CH1286" s="143">
        <v>0</v>
      </c>
      <c r="CI1286" s="143">
        <v>0</v>
      </c>
      <c r="CJ1286" s="143">
        <v>0</v>
      </c>
      <c r="CK1286" s="143">
        <v>0</v>
      </c>
      <c r="CL1286" s="143">
        <v>0</v>
      </c>
      <c r="CM1286">
        <v>0</v>
      </c>
      <c r="CN1286" t="str">
        <f>IF(BL1286&lt;BK1286,"refNeedCorrection","refOK")</f>
        <v>refOK</v>
      </c>
      <c r="CO1286"/>
      <c r="CP1286"/>
      <c r="CQ1286"/>
      <c r="CR1286">
        <f>IF($CN1286="refOK",$BS1286,$BT1286)*IF($BP1286="Emissions positive",-1,1)</f>
        <v>0</v>
      </c>
      <c r="CS1286">
        <f>IF($CN1286="refOK",$BT1286,$BS1286)*IF($BP1286="Emissions positive",-1,1)</f>
        <v>0</v>
      </c>
      <c r="CT1286">
        <f>IF($CN1286="refNeedCorrection",-BX1286,BX1286)*IF($BP1286="Emissions positive",-1,1)</f>
        <v>0</v>
      </c>
      <c r="CU1286" t="str">
        <f>IFERROR(CT1286/CQ1286,"")</f>
        <v/>
      </c>
      <c r="CV1286" s="2" t="str">
        <f>IFERROR((CS1286-CR1286)/ABS(CR1286),"")</f>
        <v/>
      </c>
      <c r="CW1286" s="1" t="s">
        <v>234</v>
      </c>
      <c r="CX1286" s="312" t="str">
        <f>IF(OR($CW1286="prd",$CW1286="std",$CW1286="cit"),"loc",IF(OR($CW1286="eur",$CW1286="reg",$CW1286="coy"),"reg",$CW1286))</f>
        <v>loc</v>
      </c>
      <c r="CY1286" t="s">
        <v>264</v>
      </c>
      <c r="DA1286" s="143"/>
      <c r="DB1286" s="143">
        <v>20</v>
      </c>
      <c r="DC1286" t="str">
        <f>IF(DB1286=0,"0",IF(AND(DB1286&gt;=1,DB1286&lt;=30),"1-30",IF(AND(DB1286&gt;30,DB1286&lt;=70),"31-70",IF(AND(DB1286&gt;70,DB1286&lt;=100),"71-100",IF(DB1286&gt;100,"+100")))))</f>
        <v>1-30</v>
      </c>
      <c r="DD1286">
        <v>0</v>
      </c>
      <c r="DE1286">
        <v>1</v>
      </c>
      <c r="DF1286">
        <v>0</v>
      </c>
      <c r="DG1286">
        <v>0</v>
      </c>
      <c r="DI1286">
        <f>SUM(DD1286:DG1286)</f>
        <v>1</v>
      </c>
      <c r="DJ1286" t="str">
        <f>IF(DI1286=1,INDEX($DD$7:$DG$7,MATCH(1,$DD1286:$DG1286,0)),"mixedProduct")</f>
        <v>EnergyInput</v>
      </c>
      <c r="DK1286">
        <f>IF(DD1286=1,DK$7,0)</f>
        <v>0</v>
      </c>
      <c r="DL1286" t="str">
        <f>IF(DE1286=1,DL$7,0)</f>
        <v>Energy</v>
      </c>
      <c r="DM1286">
        <f>IF(DF1286=1,DM$7,0)</f>
        <v>0</v>
      </c>
      <c r="DN1286">
        <f>IF(DG1286=1,DN$7,0)</f>
        <v>0</v>
      </c>
      <c r="DO1286">
        <v>0</v>
      </c>
      <c r="DP1286" s="143">
        <v>0</v>
      </c>
      <c r="DQ1286" s="143">
        <v>0</v>
      </c>
      <c r="DR1286" s="143">
        <v>0</v>
      </c>
      <c r="DS1286" s="143">
        <v>0</v>
      </c>
      <c r="DT1286">
        <f>SUM(DO1286:DP1286)</f>
        <v>0</v>
      </c>
      <c r="DU1286" s="143" t="str">
        <f>IF(DO1286=1,"self-calculated DF",IF(DP1286=1,"external DF used","explicit C balance"))</f>
        <v>explicit C balance</v>
      </c>
      <c r="DV1286" s="143">
        <v>0</v>
      </c>
      <c r="DW1286" s="143">
        <v>0</v>
      </c>
      <c r="DX1286" s="143">
        <v>1</v>
      </c>
      <c r="DY1286" s="143">
        <v>0</v>
      </c>
      <c r="DZ1286">
        <v>1</v>
      </c>
      <c r="EA1286" s="143">
        <v>1</v>
      </c>
      <c r="EB1286" s="143">
        <v>0</v>
      </c>
      <c r="EC1286" s="143">
        <v>0</v>
      </c>
      <c r="ED1286" s="143">
        <v>0</v>
      </c>
      <c r="EE1286">
        <v>0</v>
      </c>
      <c r="EF1286">
        <v>1</v>
      </c>
      <c r="EG1286" s="143">
        <v>0</v>
      </c>
      <c r="EH1286" s="143">
        <v>0</v>
      </c>
      <c r="EI1286" s="2">
        <v>0</v>
      </c>
      <c r="EK1286" t="str">
        <f>IF(AND(AND(AND(OR($DX1286=1,$DW1286=1),OR($EC1286=1,$EA1286=1)),SUM($DV1286:$DZ1286,$EF1286)&gt;=3),SUM($EA1286:$EE1286)&gt;=2),"Whole sector","")</f>
        <v/>
      </c>
      <c r="EL1286" t="str">
        <f>IF(AND(AND(OR($DX1286=1,$DW1286=1),AND($EC1286=0,$EA1286=0)),SUM($DV1286:$DZ1286,$EF1286)&gt;=3),"Ecosystem approach","")</f>
        <v/>
      </c>
      <c r="EM1286" s="2" t="str">
        <f>IF(AND(AND(AND($DX1286=0,$DW1286=0),OR($EC1286=1,$EA1286=1)),SUM($EB1286:$EE1286)&gt;=2),"Technology approach","")</f>
        <v/>
      </c>
      <c r="EP1286" t="b">
        <f>IF(ISNUMBER(BU1286),IF(ABS(BU1286-[5]QC_indicators!$B$2)&gt;3*[5]QC_indicators!$C$2,"C ratio",IF(ISNUMBER(BY1286),IF(ABS(BY1286-[5]QC_indicators!$B$1)&gt;3*[5]QC_indicators!$C$1,"DF","no"))),IF(ISNUMBER(BY1286),IF(ABS(BY1286-[5]QC_indicators!$B$1)&gt;3*[5]QC_indicators!$C$1,"DF","no")))</f>
        <v>0</v>
      </c>
      <c r="ER1286" s="314" t="s">
        <v>349</v>
      </c>
    </row>
    <row r="1287" spans="1:148" ht="15" customHeight="1">
      <c r="D1287" t="s">
        <v>3538</v>
      </c>
      <c r="E1287" t="s">
        <v>3539</v>
      </c>
      <c r="G1287" t="s">
        <v>3540</v>
      </c>
      <c r="I1287">
        <v>2013</v>
      </c>
      <c r="K1287" s="295" t="s">
        <v>3541</v>
      </c>
      <c r="M1287" t="str">
        <f>LEFT($D1287,FIND(",",$D1287)-1)&amp;"_"&amp;I1287&amp;L1287</f>
        <v>Cherubini_2013</v>
      </c>
      <c r="N1287" s="312" t="s">
        <v>4383</v>
      </c>
      <c r="O1287" t="s">
        <v>223</v>
      </c>
      <c r="Q1287" s="312" t="s">
        <v>256</v>
      </c>
      <c r="R1287" s="313"/>
      <c r="S1287" s="1" t="s">
        <v>3546</v>
      </c>
      <c r="T1287" t="s">
        <v>3547</v>
      </c>
      <c r="U1287" s="143" t="s">
        <v>3544</v>
      </c>
      <c r="V1287">
        <v>0</v>
      </c>
      <c r="W1287">
        <v>0</v>
      </c>
      <c r="X1287">
        <v>0</v>
      </c>
      <c r="Y1287">
        <v>0</v>
      </c>
      <c r="Z1287">
        <v>0</v>
      </c>
      <c r="AA1287">
        <v>0</v>
      </c>
      <c r="AB1287">
        <v>0</v>
      </c>
      <c r="AC1287">
        <v>1</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s="141">
        <f>COUNTIF(V1287:AW1287,"&lt;&gt;0")</f>
        <v>1</v>
      </c>
      <c r="AY1287" s="141">
        <f>COUNTIF(V1287:AL1287,"&lt;&gt;0")</f>
        <v>1</v>
      </c>
      <c r="AZ1287">
        <f>COUNTIF(V1287:AC1287,"&lt;&gt;0")</f>
        <v>1</v>
      </c>
      <c r="BA1287">
        <f>COUNTIF(AD1287:AI1287,"&lt;&gt;0")</f>
        <v>0</v>
      </c>
      <c r="BB1287">
        <f>COUNTIF(AJ1287:AL1287,"&lt;&gt;0")</f>
        <v>0</v>
      </c>
      <c r="BC1287">
        <f>COUNTIF(AS1287:AW1287,"&lt;&gt;0")</f>
        <v>0</v>
      </c>
      <c r="BD1287">
        <f>COUNTIF(AM1287:AR1287,"&lt;&gt;0")</f>
        <v>0</v>
      </c>
      <c r="BE1287" t="str" cm="1">
        <f t="array" ref="BE1287">IF(AY1287=1,INDEX($V$7:$AL$7,MATCH(TRUE,INDEX($V1287:$AW1287&lt;&gt;0,),0)),IF(AY1287=0,INDEX($AM$7:$AW$7,MATCH(1,$AM1287:$AW1287,0)),IF(BF1287="Multiple strategies","mixed drivers",IF(BF1287="Supply chain","multiple supply","multiple silviculture"))))</f>
        <v>site fertility</v>
      </c>
      <c r="BF1287" s="2" t="str" cm="1">
        <f t="array" ref="BF1287">IF(COUNTIF(AZ1287:BB1287,"&lt;&gt;0")=1,INDEX($V$4:$AW$4,MATCH(TRUE,INDEX($V1287:$AW1287&lt;&gt;0,),0)),IF(COUNTIF(AZ1287:BB1287,"&lt;&gt;0")=0,INDEX($AM$4:$AW$4,MATCH(1,$AM1287:$AW1287,0)),"Multiple strategies"))</f>
        <v>Silviculture for productivity</v>
      </c>
      <c r="BG1287" s="142"/>
      <c r="BJ1287" s="143"/>
      <c r="BL1287" s="143"/>
      <c r="BM1287" s="143"/>
      <c r="BN1287" s="143"/>
      <c r="BO1287" s="143"/>
      <c r="BP1287" s="312" t="s">
        <v>232</v>
      </c>
      <c r="BQ1287" s="312"/>
      <c r="BR1287" t="s">
        <v>3545</v>
      </c>
      <c r="BS1287" s="143">
        <v>-139</v>
      </c>
      <c r="BT1287">
        <v>-132</v>
      </c>
      <c r="BU1287">
        <v>0.94964028776978415</v>
      </c>
      <c r="BV1287">
        <v>7</v>
      </c>
      <c r="BX1287">
        <f>BV1287/10^6</f>
        <v>6.9999999999999999E-6</v>
      </c>
      <c r="BY1287" t="str">
        <f>IFERROR(BX1287/BO1287,"")</f>
        <v/>
      </c>
      <c r="BZ1287" s="143">
        <v>0</v>
      </c>
      <c r="CA1287" s="143">
        <v>0</v>
      </c>
      <c r="CB1287" s="143">
        <v>0</v>
      </c>
      <c r="CC1287" s="143">
        <v>0</v>
      </c>
      <c r="CD1287" s="143">
        <v>0</v>
      </c>
      <c r="CE1287" s="143">
        <v>0</v>
      </c>
      <c r="CF1287" s="143">
        <v>0</v>
      </c>
      <c r="CG1287" s="143">
        <v>0</v>
      </c>
      <c r="CH1287" s="143">
        <v>0</v>
      </c>
      <c r="CI1287" s="143">
        <v>0</v>
      </c>
      <c r="CJ1287" s="143">
        <v>0</v>
      </c>
      <c r="CK1287" s="143">
        <v>0</v>
      </c>
      <c r="CL1287" s="143">
        <v>0</v>
      </c>
      <c r="CM1287">
        <v>0</v>
      </c>
      <c r="CN1287" t="str">
        <f>IF(BL1287&lt;BK1287,"refNeedCorrection","refOK")</f>
        <v>refOK</v>
      </c>
      <c r="CO1287"/>
      <c r="CP1287"/>
      <c r="CQ1287"/>
      <c r="CR1287">
        <f>IF($CN1287="refOK",$BS1287,$BT1287)*IF($BP1287="Emissions positive",-1,1)</f>
        <v>-139</v>
      </c>
      <c r="CS1287">
        <f>IF($CN1287="refOK",$BT1287,$BS1287)*IF($BP1287="Emissions positive",-1,1)</f>
        <v>-132</v>
      </c>
      <c r="CT1287">
        <f>IF($CN1287="refNeedCorrection",-BX1287,BX1287)*IF($BP1287="Emissions positive",-1,1)</f>
        <v>6.9999999999999999E-6</v>
      </c>
      <c r="CU1287" t="str">
        <f>IFERROR(CT1287/CQ1287,"")</f>
        <v/>
      </c>
      <c r="CV1287" s="2">
        <f>IFERROR((CS1287-CR1287)/ABS(CR1287),"")</f>
        <v>5.0359712230215826E-2</v>
      </c>
      <c r="CW1287" s="1" t="s">
        <v>234</v>
      </c>
      <c r="CX1287" s="312" t="str">
        <f>IF(OR($CW1287="prd",$CW1287="std",$CW1287="cit"),"loc",IF(OR($CW1287="eur",$CW1287="reg",$CW1287="coy"),"reg",$CW1287))</f>
        <v>loc</v>
      </c>
      <c r="CY1287" t="s">
        <v>264</v>
      </c>
      <c r="DA1287" s="143"/>
      <c r="DB1287" s="143">
        <v>20</v>
      </c>
      <c r="DC1287" t="str">
        <f>IF(DB1287=0,"0",IF(AND(DB1287&gt;=1,DB1287&lt;=30),"1-30",IF(AND(DB1287&gt;30,DB1287&lt;=70),"31-70",IF(AND(DB1287&gt;70,DB1287&lt;=100),"71-100",IF(DB1287&gt;100,"+100")))))</f>
        <v>1-30</v>
      </c>
      <c r="DD1287">
        <v>0</v>
      </c>
      <c r="DE1287">
        <v>1</v>
      </c>
      <c r="DF1287">
        <v>0</v>
      </c>
      <c r="DG1287">
        <v>0</v>
      </c>
      <c r="DI1287">
        <f>SUM(DD1287:DG1287)</f>
        <v>1</v>
      </c>
      <c r="DJ1287" t="str">
        <f>IF(DI1287=1,INDEX($DD$7:$DG$7,MATCH(1,$DD1287:$DG1287,0)),"mixedProduct")</f>
        <v>EnergyInput</v>
      </c>
      <c r="DK1287">
        <f>IF(DD1287=1,DK$7,0)</f>
        <v>0</v>
      </c>
      <c r="DL1287" t="str">
        <f>IF(DE1287=1,DL$7,0)</f>
        <v>Energy</v>
      </c>
      <c r="DM1287">
        <f>IF(DF1287=1,DM$7,0)</f>
        <v>0</v>
      </c>
      <c r="DN1287">
        <f>IF(DG1287=1,DN$7,0)</f>
        <v>0</v>
      </c>
      <c r="DO1287">
        <v>0</v>
      </c>
      <c r="DP1287" s="143">
        <v>0</v>
      </c>
      <c r="DQ1287" s="143">
        <v>0</v>
      </c>
      <c r="DR1287" s="143">
        <v>0</v>
      </c>
      <c r="DS1287" s="143">
        <v>0</v>
      </c>
      <c r="DT1287">
        <f>SUM(DO1287:DP1287)</f>
        <v>0</v>
      </c>
      <c r="DU1287" s="143" t="str">
        <f>IF(DO1287=1,"self-calculated DF",IF(DP1287=1,"external DF used","explicit C balance"))</f>
        <v>explicit C balance</v>
      </c>
      <c r="DV1287" s="143">
        <v>0</v>
      </c>
      <c r="DW1287" s="143">
        <v>0</v>
      </c>
      <c r="DX1287" s="143">
        <v>0</v>
      </c>
      <c r="DY1287" s="143">
        <v>0</v>
      </c>
      <c r="DZ1287">
        <v>1</v>
      </c>
      <c r="EA1287" s="143">
        <v>1</v>
      </c>
      <c r="EB1287" s="143">
        <v>0</v>
      </c>
      <c r="EC1287" s="143">
        <v>0</v>
      </c>
      <c r="ED1287" s="143">
        <v>0</v>
      </c>
      <c r="EE1287">
        <v>0</v>
      </c>
      <c r="EF1287">
        <v>1</v>
      </c>
      <c r="EG1287" s="143">
        <v>0</v>
      </c>
      <c r="EH1287" s="143">
        <v>0</v>
      </c>
      <c r="EI1287" s="2">
        <v>0</v>
      </c>
      <c r="EK1287" t="str">
        <f>IF(AND(AND(AND(OR($DX1287=1,$DW1287=1),OR($EC1287=1,$EA1287=1)),SUM($DV1287:$DZ1287,$EF1287)&gt;=3),SUM($EA1287:$EE1287)&gt;=2),"Whole sector","")</f>
        <v/>
      </c>
      <c r="EL1287" t="str">
        <f>IF(AND(AND(OR($DX1287=1,$DW1287=1),AND($EC1287=0,$EA1287=0)),SUM($DV1287:$DZ1287,$EF1287)&gt;=3),"Ecosystem approach","")</f>
        <v/>
      </c>
      <c r="EM1287" s="2" t="str">
        <f>IF(AND(AND(AND($DX1287=0,$DW1287=0),OR($EC1287=1,$EA1287=1)),SUM($EB1287:$EE1287)&gt;=2),"Technology approach","")</f>
        <v/>
      </c>
      <c r="EP1287" t="b">
        <f>IF(ISNUMBER(BU1287),IF(ABS(BU1287-[5]QC_indicators!$B$2)&gt;3*[5]QC_indicators!$C$2,"C ratio",IF(ISNUMBER(BY1287),IF(ABS(BY1287-[5]QC_indicators!$B$1)&gt;3*[5]QC_indicators!$C$1,"DF","no"))),IF(ISNUMBER(BY1287),IF(ABS(BY1287-[5]QC_indicators!$B$1)&gt;3*[5]QC_indicators!$C$1,"DF","no")))</f>
        <v>0</v>
      </c>
      <c r="ER1287" s="314" t="s">
        <v>349</v>
      </c>
    </row>
    <row r="1288" spans="1:148" ht="15" customHeight="1">
      <c r="D1288" t="s">
        <v>3538</v>
      </c>
      <c r="E1288" t="s">
        <v>3539</v>
      </c>
      <c r="G1288" t="s">
        <v>3540</v>
      </c>
      <c r="I1288">
        <v>2013</v>
      </c>
      <c r="K1288" s="295" t="s">
        <v>3541</v>
      </c>
      <c r="M1288" t="str">
        <f>LEFT($D1288,FIND(",",$D1288)-1)&amp;"_"&amp;I1288&amp;L1288</f>
        <v>Cherubini_2013</v>
      </c>
      <c r="N1288" s="312" t="s">
        <v>4383</v>
      </c>
      <c r="O1288" t="s">
        <v>223</v>
      </c>
      <c r="Q1288" s="312" t="s">
        <v>256</v>
      </c>
      <c r="R1288" s="313"/>
      <c r="S1288" s="1" t="s">
        <v>3546</v>
      </c>
      <c r="T1288" t="s">
        <v>3547</v>
      </c>
      <c r="U1288" s="143" t="s">
        <v>3544</v>
      </c>
      <c r="V1288">
        <v>0</v>
      </c>
      <c r="W1288">
        <v>0</v>
      </c>
      <c r="X1288">
        <v>0</v>
      </c>
      <c r="Y1288">
        <v>0</v>
      </c>
      <c r="Z1288">
        <v>0</v>
      </c>
      <c r="AA1288">
        <v>0</v>
      </c>
      <c r="AB1288">
        <v>0</v>
      </c>
      <c r="AC1288">
        <v>1</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s="141">
        <f>COUNTIF(V1288:AW1288,"&lt;&gt;0")</f>
        <v>1</v>
      </c>
      <c r="AY1288" s="141">
        <f>COUNTIF(V1288:AL1288,"&lt;&gt;0")</f>
        <v>1</v>
      </c>
      <c r="AZ1288">
        <f>COUNTIF(V1288:AC1288,"&lt;&gt;0")</f>
        <v>1</v>
      </c>
      <c r="BA1288">
        <f>COUNTIF(AD1288:AI1288,"&lt;&gt;0")</f>
        <v>0</v>
      </c>
      <c r="BB1288">
        <f>COUNTIF(AJ1288:AL1288,"&lt;&gt;0")</f>
        <v>0</v>
      </c>
      <c r="BC1288">
        <f>COUNTIF(AS1288:AW1288,"&lt;&gt;0")</f>
        <v>0</v>
      </c>
      <c r="BD1288">
        <f>COUNTIF(AM1288:AR1288,"&lt;&gt;0")</f>
        <v>0</v>
      </c>
      <c r="BE1288" t="str" cm="1">
        <f t="array" ref="BE1288">IF(AY1288=1,INDEX($V$7:$AL$7,MATCH(TRUE,INDEX($V1288:$AW1288&lt;&gt;0,),0)),IF(AY1288=0,INDEX($AM$7:$AW$7,MATCH(1,$AM1288:$AW1288,0)),IF(BF1288="Multiple strategies","mixed drivers",IF(BF1288="Supply chain","multiple supply","multiple silviculture"))))</f>
        <v>site fertility</v>
      </c>
      <c r="BF1288" s="2" t="str" cm="1">
        <f t="array" ref="BF1288">IF(COUNTIF(AZ1288:BB1288,"&lt;&gt;0")=1,INDEX($V$4:$AW$4,MATCH(TRUE,INDEX($V1288:$AW1288&lt;&gt;0,),0)),IF(COUNTIF(AZ1288:BB1288,"&lt;&gt;0")=0,INDEX($AM$4:$AW$4,MATCH(1,$AM1288:$AW1288,0)),"Multiple strategies"))</f>
        <v>Silviculture for productivity</v>
      </c>
      <c r="BG1288" s="142"/>
      <c r="BJ1288" s="143"/>
      <c r="BL1288" s="143"/>
      <c r="BM1288" s="143"/>
      <c r="BN1288" s="143"/>
      <c r="BO1288" s="143"/>
      <c r="BP1288" s="312" t="s">
        <v>232</v>
      </c>
      <c r="BQ1288" s="312"/>
      <c r="BR1288" t="s">
        <v>3545</v>
      </c>
      <c r="BS1288" s="143">
        <v>-71</v>
      </c>
      <c r="BT1288">
        <v>-82</v>
      </c>
      <c r="BU1288">
        <v>1.1549295774647887</v>
      </c>
      <c r="BV1288">
        <v>-11</v>
      </c>
      <c r="BX1288">
        <f>BV1288/10^6</f>
        <v>-1.1E-5</v>
      </c>
      <c r="BY1288" t="str">
        <f>IFERROR(BX1288/BO1288,"")</f>
        <v/>
      </c>
      <c r="BZ1288" s="143">
        <v>0</v>
      </c>
      <c r="CA1288" s="143">
        <v>0</v>
      </c>
      <c r="CB1288" s="143">
        <v>0</v>
      </c>
      <c r="CC1288" s="143">
        <v>0</v>
      </c>
      <c r="CD1288" s="143">
        <v>0</v>
      </c>
      <c r="CE1288" s="143">
        <v>0</v>
      </c>
      <c r="CF1288" s="143">
        <v>0</v>
      </c>
      <c r="CG1288" s="143">
        <v>0</v>
      </c>
      <c r="CH1288" s="143">
        <v>0</v>
      </c>
      <c r="CI1288" s="143">
        <v>0</v>
      </c>
      <c r="CJ1288" s="143">
        <v>0</v>
      </c>
      <c r="CK1288" s="143">
        <v>0</v>
      </c>
      <c r="CL1288" s="143">
        <v>0</v>
      </c>
      <c r="CM1288">
        <v>0</v>
      </c>
      <c r="CN1288" t="str">
        <f>IF(BL1288&lt;BK1288,"refNeedCorrection","refOK")</f>
        <v>refOK</v>
      </c>
      <c r="CO1288"/>
      <c r="CP1288"/>
      <c r="CQ1288"/>
      <c r="CR1288">
        <f>IF($CN1288="refOK",$BS1288,$BT1288)*IF($BP1288="Emissions positive",-1,1)</f>
        <v>-71</v>
      </c>
      <c r="CS1288">
        <f>IF($CN1288="refOK",$BT1288,$BS1288)*IF($BP1288="Emissions positive",-1,1)</f>
        <v>-82</v>
      </c>
      <c r="CT1288">
        <f>IF($CN1288="refNeedCorrection",-BX1288,BX1288)*IF($BP1288="Emissions positive",-1,1)</f>
        <v>-1.1E-5</v>
      </c>
      <c r="CU1288" t="str">
        <f>IFERROR(CT1288/CQ1288,"")</f>
        <v/>
      </c>
      <c r="CV1288" s="2">
        <f>IFERROR((CS1288-CR1288)/ABS(CR1288),"")</f>
        <v>-0.15492957746478872</v>
      </c>
      <c r="CW1288" s="1" t="s">
        <v>234</v>
      </c>
      <c r="CX1288" s="312" t="str">
        <f>IF(OR($CW1288="prd",$CW1288="std",$CW1288="cit"),"loc",IF(OR($CW1288="eur",$CW1288="reg",$CW1288="coy"),"reg",$CW1288))</f>
        <v>loc</v>
      </c>
      <c r="CY1288" t="s">
        <v>264</v>
      </c>
      <c r="DA1288" s="143"/>
      <c r="DB1288" s="143">
        <v>100</v>
      </c>
      <c r="DC1288" t="str">
        <f>IF(DB1288=0,"0",IF(AND(DB1288&gt;=1,DB1288&lt;=30),"1-30",IF(AND(DB1288&gt;30,DB1288&lt;=70),"31-70",IF(AND(DB1288&gt;70,DB1288&lt;=100),"71-100",IF(DB1288&gt;100,"+100")))))</f>
        <v>71-100</v>
      </c>
      <c r="DD1288">
        <v>0</v>
      </c>
      <c r="DE1288">
        <v>1</v>
      </c>
      <c r="DF1288">
        <v>0</v>
      </c>
      <c r="DG1288">
        <v>0</v>
      </c>
      <c r="DI1288">
        <f>SUM(DD1288:DG1288)</f>
        <v>1</v>
      </c>
      <c r="DJ1288" t="str">
        <f>IF(DI1288=1,INDEX($DD$7:$DG$7,MATCH(1,$DD1288:$DG1288,0)),"mixedProduct")</f>
        <v>EnergyInput</v>
      </c>
      <c r="DK1288">
        <f>IF(DD1288=1,DK$7,0)</f>
        <v>0</v>
      </c>
      <c r="DL1288" t="str">
        <f>IF(DE1288=1,DL$7,0)</f>
        <v>Energy</v>
      </c>
      <c r="DM1288">
        <f>IF(DF1288=1,DM$7,0)</f>
        <v>0</v>
      </c>
      <c r="DN1288">
        <f>IF(DG1288=1,DN$7,0)</f>
        <v>0</v>
      </c>
      <c r="DO1288">
        <v>0</v>
      </c>
      <c r="DP1288" s="143">
        <v>0</v>
      </c>
      <c r="DQ1288" s="143">
        <v>0</v>
      </c>
      <c r="DR1288" s="143">
        <v>0</v>
      </c>
      <c r="DS1288" s="143">
        <v>0</v>
      </c>
      <c r="DT1288">
        <f>SUM(DO1288:DP1288)</f>
        <v>0</v>
      </c>
      <c r="DU1288" s="143" t="str">
        <f>IF(DO1288=1,"self-calculated DF",IF(DP1288=1,"external DF used","explicit C balance"))</f>
        <v>explicit C balance</v>
      </c>
      <c r="DV1288" s="143">
        <v>0</v>
      </c>
      <c r="DW1288" s="143">
        <v>0</v>
      </c>
      <c r="DX1288" s="143">
        <v>0</v>
      </c>
      <c r="DY1288" s="143">
        <v>0</v>
      </c>
      <c r="DZ1288">
        <v>1</v>
      </c>
      <c r="EA1288" s="143">
        <v>1</v>
      </c>
      <c r="EB1288" s="143">
        <v>0</v>
      </c>
      <c r="EC1288" s="143">
        <v>0</v>
      </c>
      <c r="ED1288" s="143">
        <v>0</v>
      </c>
      <c r="EE1288">
        <v>0</v>
      </c>
      <c r="EF1288">
        <v>1</v>
      </c>
      <c r="EG1288" s="143">
        <v>0</v>
      </c>
      <c r="EH1288" s="143">
        <v>0</v>
      </c>
      <c r="EI1288" s="2">
        <v>0</v>
      </c>
      <c r="EK1288" t="str">
        <f>IF(AND(AND(AND(OR($DX1288=1,$DW1288=1),OR($EC1288=1,$EA1288=1)),SUM($DV1288:$DZ1288,$EF1288)&gt;=3),SUM($EA1288:$EE1288)&gt;=2),"Whole sector","")</f>
        <v/>
      </c>
      <c r="EL1288" t="str">
        <f>IF(AND(AND(OR($DX1288=1,$DW1288=1),AND($EC1288=0,$EA1288=0)),SUM($DV1288:$DZ1288,$EF1288)&gt;=3),"Ecosystem approach","")</f>
        <v/>
      </c>
      <c r="EM1288" s="2" t="str">
        <f>IF(AND(AND(AND($DX1288=0,$DW1288=0),OR($EC1288=1,$EA1288=1)),SUM($EB1288:$EE1288)&gt;=2),"Technology approach","")</f>
        <v/>
      </c>
      <c r="EP1288" t="b">
        <f>IF(ISNUMBER(BU1288),IF(ABS(BU1288-[5]QC_indicators!$B$2)&gt;3*[5]QC_indicators!$C$2,"C ratio",IF(ISNUMBER(BY1288),IF(ABS(BY1288-[5]QC_indicators!$B$1)&gt;3*[5]QC_indicators!$C$1,"DF","no"))),IF(ISNUMBER(BY1288),IF(ABS(BY1288-[5]QC_indicators!$B$1)&gt;3*[5]QC_indicators!$C$1,"DF","no")))</f>
        <v>0</v>
      </c>
      <c r="ER1288" s="314" t="s">
        <v>349</v>
      </c>
    </row>
    <row r="1289" spans="1:148" ht="15" customHeight="1">
      <c r="A1289" s="1" t="s">
        <v>3548</v>
      </c>
      <c r="B1289" t="s">
        <v>3549</v>
      </c>
      <c r="C1289" t="s">
        <v>3550</v>
      </c>
      <c r="D1289" t="s">
        <v>3551</v>
      </c>
      <c r="E1289" s="312" t="s">
        <v>3552</v>
      </c>
      <c r="F1289" t="s">
        <v>3553</v>
      </c>
      <c r="G1289" t="s">
        <v>3554</v>
      </c>
      <c r="H1289" t="s">
        <v>254</v>
      </c>
      <c r="I1289">
        <v>2021</v>
      </c>
      <c r="J1289">
        <v>1</v>
      </c>
      <c r="K1289" t="s">
        <v>3555</v>
      </c>
      <c r="M1289" t="str">
        <f>LEFT($D1289,FIND(",",$D1289)-1)&amp;"_"&amp;I1289&amp;L1289</f>
        <v>Dampha_2021</v>
      </c>
      <c r="N1289" s="312" t="s">
        <v>4383</v>
      </c>
      <c r="O1289" s="145" t="s">
        <v>223</v>
      </c>
      <c r="Q1289" s="312" t="s">
        <v>256</v>
      </c>
      <c r="R1289" s="313"/>
      <c r="S1289" s="1" t="s">
        <v>3556</v>
      </c>
      <c r="T1289" t="s">
        <v>3557</v>
      </c>
      <c r="U1289" t="s">
        <v>1111</v>
      </c>
      <c r="V1289">
        <v>1</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2</v>
      </c>
      <c r="AX1289" s="141">
        <f>COUNTIF(V1289:AW1289,"&lt;&gt;0")</f>
        <v>2</v>
      </c>
      <c r="AY1289" s="141">
        <f>COUNTIF(V1289:AL1289,"&lt;&gt;0")</f>
        <v>1</v>
      </c>
      <c r="AZ1289">
        <f>COUNTIF(V1289:AC1289,"&lt;&gt;0")</f>
        <v>1</v>
      </c>
      <c r="BA1289">
        <f>COUNTIF(AD1289:AI1289,"&lt;&gt;0")</f>
        <v>0</v>
      </c>
      <c r="BB1289">
        <f>COUNTIF(AJ1289:AL1289,"&lt;&gt;0")</f>
        <v>0</v>
      </c>
      <c r="BC1289">
        <f>COUNTIF(AS1289:AW1289,"&lt;&gt;0")</f>
        <v>1</v>
      </c>
      <c r="BD1289">
        <f>COUNTIF(AM1289:AR1289,"&lt;&gt;0")</f>
        <v>0</v>
      </c>
      <c r="BE1289" t="str" cm="1">
        <f t="array" ref="BE1289">IF(AY1289=1,INDEX($V$7:$AL$7,MATCH(TRUE,INDEX($V1289:$AW1289&lt;&gt;0,),0)),IF(AY1289=0,INDEX($AM$7:$AW$7,MATCH(1,$AM1289:$AW1289,0)),IF(BF1289="Multiple strategies","mixed drivers",IF(BF1289="Supply chain","multiple supply","multiple silviculture"))))</f>
        <v>area subject to harvest</v>
      </c>
      <c r="BF1289" s="2" t="str" cm="1">
        <f t="array" ref="BF1289">IF(COUNTIF(AZ1289:BB1289,"&lt;&gt;0")=1,INDEX($V$4:$AW$4,MATCH(TRUE,INDEX($V1289:$AW1289&lt;&gt;0,),0)),IF(COUNTIF(AZ1289:BB1289,"&lt;&gt;0")=0,INDEX($AM$4:$AW$4,MATCH(1,$AM1289:$AW1289,0)),"Multiple strategies"))</f>
        <v>Silviculture for removals</v>
      </c>
      <c r="BP1289" t="s">
        <v>232</v>
      </c>
      <c r="BR1289" t="s">
        <v>938</v>
      </c>
      <c r="BS1289">
        <v>63078</v>
      </c>
      <c r="BT1289">
        <v>41950</v>
      </c>
      <c r="BU1289" s="144">
        <f>IFERROR(BT1289/BS1289,"")</f>
        <v>0.66504962110402999</v>
      </c>
      <c r="BV1289">
        <f>BT1289-BS1289</f>
        <v>-21128</v>
      </c>
      <c r="BX1289">
        <f>BV1289*C_to_CO2</f>
        <v>-77539.759999999995</v>
      </c>
      <c r="BY1289" t="str">
        <f>IFERROR(BX1289/BO1289,"")</f>
        <v/>
      </c>
      <c r="BZ1289">
        <v>0</v>
      </c>
      <c r="CA1289">
        <v>0</v>
      </c>
      <c r="CB1289">
        <v>0</v>
      </c>
      <c r="CC1289">
        <v>0</v>
      </c>
      <c r="CD1289">
        <v>0</v>
      </c>
      <c r="CE1289">
        <v>0</v>
      </c>
      <c r="CF1289">
        <v>0</v>
      </c>
      <c r="CG1289">
        <v>0</v>
      </c>
      <c r="CH1289">
        <v>0</v>
      </c>
      <c r="CI1289">
        <v>0</v>
      </c>
      <c r="CJ1289">
        <v>0</v>
      </c>
      <c r="CK1289">
        <v>0</v>
      </c>
      <c r="CL1289">
        <v>0</v>
      </c>
      <c r="CM1289">
        <v>1</v>
      </c>
      <c r="CN1289" t="str">
        <f>IF(BL1289&lt;BK1289,"refNeedCorrection","refOK")</f>
        <v>refOK</v>
      </c>
      <c r="CO1289"/>
      <c r="CP1289"/>
      <c r="CQ1289"/>
      <c r="CR1289">
        <f>IF($CN1289="refOK",$BS1289,$BT1289)*IF($BP1289="Emissions positive",-1,1)</f>
        <v>63078</v>
      </c>
      <c r="CS1289">
        <f>IF($CN1289="refOK",$BT1289,$BS1289)*IF($BP1289="Emissions positive",-1,1)</f>
        <v>41950</v>
      </c>
      <c r="CT1289">
        <f>IF($CN1289="refNeedCorrection",-BX1289,BX1289)*IF($BP1289="Emissions positive",-1,1)</f>
        <v>-77539.759999999995</v>
      </c>
      <c r="CU1289" t="str">
        <f>IFERROR(CT1289/CQ1289,"")</f>
        <v/>
      </c>
      <c r="CV1289" s="2">
        <f>IFERROR((CS1289-CR1289)/ABS(CR1289),"")</f>
        <v>-0.33495037889597007</v>
      </c>
      <c r="CW1289" s="1" t="s">
        <v>1199</v>
      </c>
      <c r="CX1289" s="312" t="str">
        <f>IF(OR($CW1289="prd",$CW1289="std",$CW1289="cit"),"loc",IF(OR($CW1289="eur",$CW1289="reg",$CW1289="coy"),"reg",$CW1289))</f>
        <v>reg</v>
      </c>
      <c r="CY1289" t="s">
        <v>3558</v>
      </c>
      <c r="CZ1289">
        <v>2020</v>
      </c>
      <c r="DA1289">
        <v>2050</v>
      </c>
      <c r="DB1289">
        <f>DA1289-CZ1289</f>
        <v>30</v>
      </c>
      <c r="DC1289" t="str">
        <f>IF(DB1289=0,"0",IF(AND(DB1289&gt;=1,DB1289&lt;=30),"1-30",IF(AND(DB1289&gt;30,DB1289&lt;=70),"31-70",IF(AND(DB1289&gt;70,DB1289&lt;=100),"71-100",IF(DB1289&gt;100,"+100")))))</f>
        <v>1-30</v>
      </c>
      <c r="DD1289">
        <v>1</v>
      </c>
      <c r="DE1289">
        <v>0</v>
      </c>
      <c r="DF1289">
        <v>0</v>
      </c>
      <c r="DG1289">
        <v>0</v>
      </c>
      <c r="DI1289">
        <f>SUM(DD1289:DG1289)</f>
        <v>1</v>
      </c>
      <c r="DJ1289" t="str">
        <f>IF(DI1289=1,INDEX($DD$7:$DG$7,MATCH(1,$DD1289:$DG1289,0)),"mixedProduct")</f>
        <v>UpstreamInput</v>
      </c>
      <c r="DK1289" t="str">
        <f>IF(DD1289=1,DK$7,0)</f>
        <v>Upstream</v>
      </c>
      <c r="DL1289">
        <f>IF(DE1289=1,DL$7,0)</f>
        <v>0</v>
      </c>
      <c r="DM1289">
        <f>IF(DF1289=1,DM$7,0)</f>
        <v>0</v>
      </c>
      <c r="DN1289">
        <f>IF(DG1289=1,DN$7,0)</f>
        <v>0</v>
      </c>
      <c r="DO1289">
        <v>0</v>
      </c>
      <c r="DP1289">
        <v>0</v>
      </c>
      <c r="DQ1289">
        <v>0</v>
      </c>
      <c r="DR1289">
        <v>0</v>
      </c>
      <c r="DS1289">
        <v>0</v>
      </c>
      <c r="DT1289">
        <f>SUM(DO1289:DP1289)</f>
        <v>0</v>
      </c>
      <c r="DU1289" s="143" t="str">
        <f>IF(DO1289=1,"self-calculated DF",IF(DP1289=1,"external DF used","explicit C balance"))</f>
        <v>explicit C balance</v>
      </c>
      <c r="DV1289">
        <v>1</v>
      </c>
      <c r="DW1289">
        <v>0</v>
      </c>
      <c r="DX1289">
        <v>1</v>
      </c>
      <c r="DY1289">
        <v>0</v>
      </c>
      <c r="DZ1289">
        <v>0</v>
      </c>
      <c r="EA1289" s="143">
        <v>0</v>
      </c>
      <c r="EB1289">
        <v>0</v>
      </c>
      <c r="EC1289">
        <v>0</v>
      </c>
      <c r="ED1289">
        <v>0</v>
      </c>
      <c r="EE1289">
        <v>0</v>
      </c>
      <c r="EF1289">
        <v>0</v>
      </c>
      <c r="EG1289">
        <v>0</v>
      </c>
      <c r="EH1289">
        <v>1</v>
      </c>
      <c r="EI1289" s="2">
        <v>0</v>
      </c>
      <c r="EK1289" t="str">
        <f>IF(AND(AND(AND(OR($DX1289=1,$DW1289=1),OR($EC1289=1,$EA1289=1)),SUM($DV1289:$DZ1289,$EF1289)&gt;=3),SUM($EA1289:$EE1289)&gt;=2),"Whole sector","")</f>
        <v/>
      </c>
      <c r="EL1289" t="str">
        <f>IF(AND(AND(OR($DX1289=1,$DW1289=1),AND($EC1289=0,$EA1289=0)),SUM($DV1289:$DZ1289,$EF1289)&gt;=3),"Ecosystem approach","")</f>
        <v/>
      </c>
      <c r="EM1289" s="2" t="str">
        <f>IF(AND(AND(AND($DX1289=0,$DW1289=0),OR($EC1289=1,$EA1289=1)),SUM($EB1289:$EE1289)&gt;=2),"Technology approach","")</f>
        <v/>
      </c>
      <c r="EP1289" t="b">
        <f>IF(ISNUMBER(BU1289),IF(ABS(BU1289-[5]QC_indicators!$B$2)&gt;3*[5]QC_indicators!$C$2,"C ratio",IF(ISNUMBER(BY1289),IF(ABS(BY1289-[5]QC_indicators!$B$1)&gt;3*[5]QC_indicators!$C$1,"DF","no"))),IF(ISNUMBER(BY1289),IF(ABS(BY1289-[5]QC_indicators!$B$1)&gt;3*[5]QC_indicators!$C$1,"DF","no")))</f>
        <v>0</v>
      </c>
      <c r="ER1289" s="314" t="s">
        <v>3559</v>
      </c>
    </row>
    <row r="1290" spans="1:148">
      <c r="A1290" s="1" t="s">
        <v>3548</v>
      </c>
      <c r="B1290" t="s">
        <v>3549</v>
      </c>
      <c r="C1290" t="s">
        <v>3550</v>
      </c>
      <c r="D1290" t="s">
        <v>3551</v>
      </c>
      <c r="E1290" t="s">
        <v>3552</v>
      </c>
      <c r="F1290" t="s">
        <v>3553</v>
      </c>
      <c r="G1290" t="s">
        <v>3554</v>
      </c>
      <c r="H1290" t="s">
        <v>254</v>
      </c>
      <c r="I1290">
        <v>2021</v>
      </c>
      <c r="J1290">
        <v>1</v>
      </c>
      <c r="K1290" t="s">
        <v>3555</v>
      </c>
      <c r="M1290" t="str">
        <f>LEFT($D1290,FIND(",",$D1290)-1)&amp;"_"&amp;I1290&amp;L1290</f>
        <v>Dampha_2021</v>
      </c>
      <c r="N1290" s="312" t="s">
        <v>4383</v>
      </c>
      <c r="O1290" s="145" t="s">
        <v>223</v>
      </c>
      <c r="Q1290" s="312" t="s">
        <v>256</v>
      </c>
      <c r="R1290" s="313"/>
      <c r="S1290" s="1" t="s">
        <v>3556</v>
      </c>
      <c r="T1290" t="s">
        <v>3557</v>
      </c>
      <c r="U1290" t="s">
        <v>3560</v>
      </c>
      <c r="V1290">
        <v>1</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2</v>
      </c>
      <c r="AX1290" s="141">
        <f>COUNTIF(V1290:AW1290,"&lt;&gt;0")</f>
        <v>2</v>
      </c>
      <c r="AY1290" s="141">
        <f>COUNTIF(V1290:AL1290,"&lt;&gt;0")</f>
        <v>1</v>
      </c>
      <c r="AZ1290">
        <f>COUNTIF(V1290:AC1290,"&lt;&gt;0")</f>
        <v>1</v>
      </c>
      <c r="BA1290">
        <f>COUNTIF(AD1290:AI1290,"&lt;&gt;0")</f>
        <v>0</v>
      </c>
      <c r="BB1290">
        <f>COUNTIF(AJ1290:AL1290,"&lt;&gt;0")</f>
        <v>0</v>
      </c>
      <c r="BC1290">
        <f>COUNTIF(AS1290:AW1290,"&lt;&gt;0")</f>
        <v>1</v>
      </c>
      <c r="BD1290">
        <f>COUNTIF(AM1290:AR1290,"&lt;&gt;0")</f>
        <v>0</v>
      </c>
      <c r="BE1290" t="str" cm="1">
        <f t="array" ref="BE1290">IF(AY1290=1,INDEX($V$7:$AL$7,MATCH(TRUE,INDEX($V1290:$AW1290&lt;&gt;0,),0)),IF(AY1290=0,INDEX($AM$7:$AW$7,MATCH(1,$AM1290:$AW1290,0)),IF(BF1290="Multiple strategies","mixed drivers",IF(BF1290="Supply chain","multiple supply","multiple silviculture"))))</f>
        <v>area subject to harvest</v>
      </c>
      <c r="BF1290" s="2" t="str" cm="1">
        <f t="array" ref="BF1290">IF(COUNTIF(AZ1290:BB1290,"&lt;&gt;0")=1,INDEX($V$4:$AW$4,MATCH(TRUE,INDEX($V1290:$AW1290&lt;&gt;0,),0)),IF(COUNTIF(AZ1290:BB1290,"&lt;&gt;0")=0,INDEX($AM$4:$AW$4,MATCH(1,$AM1290:$AW1290,0)),"Multiple strategies"))</f>
        <v>Silviculture for removals</v>
      </c>
      <c r="BP1290" t="s">
        <v>232</v>
      </c>
      <c r="BR1290" t="s">
        <v>938</v>
      </c>
      <c r="BS1290">
        <v>63078</v>
      </c>
      <c r="BT1290">
        <v>20975</v>
      </c>
      <c r="BU1290" s="144">
        <f>IFERROR(BT1290/BS1290,"")</f>
        <v>0.33252481055201499</v>
      </c>
      <c r="BV1290">
        <f>BT1290-BS1290</f>
        <v>-42103</v>
      </c>
      <c r="BX1290">
        <f>BV1290*C_to_CO2</f>
        <v>-154518.01</v>
      </c>
      <c r="BY1290" t="str">
        <f>IFERROR(BX1290/BO1290,"")</f>
        <v/>
      </c>
      <c r="BZ1290">
        <v>0</v>
      </c>
      <c r="CA1290">
        <v>0</v>
      </c>
      <c r="CB1290">
        <v>0</v>
      </c>
      <c r="CC1290">
        <v>0</v>
      </c>
      <c r="CD1290">
        <v>0</v>
      </c>
      <c r="CE1290">
        <v>0</v>
      </c>
      <c r="CF1290">
        <v>0</v>
      </c>
      <c r="CG1290">
        <v>0</v>
      </c>
      <c r="CH1290">
        <v>0</v>
      </c>
      <c r="CI1290">
        <v>0</v>
      </c>
      <c r="CJ1290">
        <v>0</v>
      </c>
      <c r="CK1290">
        <v>0</v>
      </c>
      <c r="CL1290">
        <v>0</v>
      </c>
      <c r="CM1290">
        <v>1</v>
      </c>
      <c r="CN1290" t="str">
        <f>IF(BL1290&lt;BK1290,"refNeedCorrection","refOK")</f>
        <v>refOK</v>
      </c>
      <c r="CO1290"/>
      <c r="CP1290"/>
      <c r="CQ1290"/>
      <c r="CR1290">
        <f>IF($CN1290="refOK",$BS1290,$BT1290)*IF($BP1290="Emissions positive",-1,1)</f>
        <v>63078</v>
      </c>
      <c r="CS1290">
        <f>IF($CN1290="refOK",$BT1290,$BS1290)*IF($BP1290="Emissions positive",-1,1)</f>
        <v>20975</v>
      </c>
      <c r="CT1290">
        <f>IF($CN1290="refNeedCorrection",-BX1290,BX1290)*IF($BP1290="Emissions positive",-1,1)</f>
        <v>-154518.01</v>
      </c>
      <c r="CU1290" t="str">
        <f>IFERROR(CT1290/CQ1290,"")</f>
        <v/>
      </c>
      <c r="CV1290" s="2">
        <f>IFERROR((CS1290-CR1290)/ABS(CR1290),"")</f>
        <v>-0.66747518944798501</v>
      </c>
      <c r="CW1290" s="1" t="s">
        <v>1199</v>
      </c>
      <c r="CX1290" s="312" t="str">
        <f>IF(OR($CW1290="prd",$CW1290="std",$CW1290="cit"),"loc",IF(OR($CW1290="eur",$CW1290="reg",$CW1290="coy"),"reg",$CW1290))</f>
        <v>reg</v>
      </c>
      <c r="CY1290" t="s">
        <v>3558</v>
      </c>
      <c r="CZ1290">
        <v>2020</v>
      </c>
      <c r="DA1290">
        <v>2050</v>
      </c>
      <c r="DB1290">
        <f>DA1290-CZ1290</f>
        <v>30</v>
      </c>
      <c r="DC1290" t="str">
        <f>IF(DB1290=0,"0",IF(AND(DB1290&gt;=1,DB1290&lt;=30),"1-30",IF(AND(DB1290&gt;30,DB1290&lt;=70),"31-70",IF(AND(DB1290&gt;70,DB1290&lt;=100),"71-100",IF(DB1290&gt;100,"+100")))))</f>
        <v>1-30</v>
      </c>
      <c r="DD1290">
        <v>1</v>
      </c>
      <c r="DE1290">
        <v>0</v>
      </c>
      <c r="DF1290">
        <v>0</v>
      </c>
      <c r="DG1290">
        <v>0</v>
      </c>
      <c r="DI1290">
        <f>SUM(DD1290:DG1290)</f>
        <v>1</v>
      </c>
      <c r="DJ1290" t="str">
        <f>IF(DI1290=1,INDEX($DD$7:$DG$7,MATCH(1,$DD1290:$DG1290,0)),"mixedProduct")</f>
        <v>UpstreamInput</v>
      </c>
      <c r="DK1290" t="str">
        <f>IF(DD1290=1,DK$7,0)</f>
        <v>Upstream</v>
      </c>
      <c r="DL1290">
        <f>IF(DE1290=1,DL$7,0)</f>
        <v>0</v>
      </c>
      <c r="DM1290">
        <f>IF(DF1290=1,DM$7,0)</f>
        <v>0</v>
      </c>
      <c r="DN1290">
        <f>IF(DG1290=1,DN$7,0)</f>
        <v>0</v>
      </c>
      <c r="DO1290">
        <v>0</v>
      </c>
      <c r="DP1290">
        <v>0</v>
      </c>
      <c r="DQ1290">
        <v>0</v>
      </c>
      <c r="DR1290">
        <v>0</v>
      </c>
      <c r="DS1290">
        <v>0</v>
      </c>
      <c r="DT1290">
        <f>SUM(DO1290:DP1290)</f>
        <v>0</v>
      </c>
      <c r="DU1290" s="143" t="str">
        <f>IF(DO1290=1,"self-calculated DF",IF(DP1290=1,"external DF used","explicit C balance"))</f>
        <v>explicit C balance</v>
      </c>
      <c r="DV1290">
        <v>1</v>
      </c>
      <c r="DW1290">
        <v>0</v>
      </c>
      <c r="DX1290">
        <v>1</v>
      </c>
      <c r="DY1290">
        <v>0</v>
      </c>
      <c r="DZ1290">
        <v>0</v>
      </c>
      <c r="EA1290" s="143">
        <v>0</v>
      </c>
      <c r="EB1290">
        <v>0</v>
      </c>
      <c r="EC1290">
        <v>0</v>
      </c>
      <c r="ED1290">
        <v>0</v>
      </c>
      <c r="EE1290">
        <v>0</v>
      </c>
      <c r="EF1290">
        <v>0</v>
      </c>
      <c r="EG1290">
        <v>0</v>
      </c>
      <c r="EH1290">
        <v>1</v>
      </c>
      <c r="EI1290" s="2">
        <v>0</v>
      </c>
      <c r="EK1290" t="str">
        <f>IF(AND(AND(AND(OR($DX1290=1,$DW1290=1),OR($EC1290=1,$EA1290=1)),SUM($DV1290:$DZ1290,$EF1290)&gt;=3),SUM($EA1290:$EE1290)&gt;=2),"Whole sector","")</f>
        <v/>
      </c>
      <c r="EL1290" t="str">
        <f>IF(AND(AND(OR($DX1290=1,$DW1290=1),AND($EC1290=0,$EA1290=0)),SUM($DV1290:$DZ1290,$EF1290)&gt;=3),"Ecosystem approach","")</f>
        <v/>
      </c>
      <c r="EM1290" s="2" t="str">
        <f>IF(AND(AND(AND($DX1290=0,$DW1290=0),OR($EC1290=1,$EA1290=1)),SUM($EB1290:$EE1290)&gt;=2),"Technology approach","")</f>
        <v/>
      </c>
      <c r="EP1290" t="b">
        <f>IF(ISNUMBER(BU1290),IF(ABS(BU1290-[5]QC_indicators!$B$2)&gt;3*[5]QC_indicators!$C$2,"C ratio",IF(ISNUMBER(BY1290),IF(ABS(BY1290-[5]QC_indicators!$B$1)&gt;3*[5]QC_indicators!$C$1,"DF","no"))),IF(ISNUMBER(BY1290),IF(ABS(BY1290-[5]QC_indicators!$B$1)&gt;3*[5]QC_indicators!$C$1,"DF","no")))</f>
        <v>0</v>
      </c>
      <c r="ER1290" s="314" t="s">
        <v>3561</v>
      </c>
    </row>
    <row r="1291" spans="1:148">
      <c r="D1291" t="s">
        <v>3562</v>
      </c>
      <c r="E1291" t="s">
        <v>3563</v>
      </c>
      <c r="G1291" t="s">
        <v>3564</v>
      </c>
      <c r="I1291">
        <v>2018</v>
      </c>
      <c r="K1291" s="312" t="s">
        <v>3565</v>
      </c>
      <c r="M1291" t="str">
        <f>LEFT($D1291,FIND(",",$D1291)-1)&amp;"_"&amp;I1291&amp;L1291</f>
        <v>Dugan_2018</v>
      </c>
      <c r="N1291" s="312" t="s">
        <v>4383</v>
      </c>
      <c r="O1291" t="s">
        <v>223</v>
      </c>
      <c r="Q1291" s="312" t="s">
        <v>256</v>
      </c>
      <c r="R1291" s="313"/>
      <c r="S1291" s="1" t="s">
        <v>3566</v>
      </c>
      <c r="T1291" t="s">
        <v>3567</v>
      </c>
      <c r="U1291" s="143" t="s">
        <v>3568</v>
      </c>
      <c r="V1291">
        <v>0</v>
      </c>
      <c r="W1291">
        <v>0</v>
      </c>
      <c r="X1291">
        <v>1</v>
      </c>
      <c r="Y1291">
        <v>0</v>
      </c>
      <c r="Z1291">
        <v>0</v>
      </c>
      <c r="AA1291">
        <v>0</v>
      </c>
      <c r="AB1291">
        <v>0</v>
      </c>
      <c r="AC1291">
        <v>0</v>
      </c>
      <c r="AD1291">
        <v>0</v>
      </c>
      <c r="AE1291">
        <v>0</v>
      </c>
      <c r="AF1291">
        <v>2</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s="141">
        <f>COUNTIF(V1291:AW1291,"&lt;&gt;0")</f>
        <v>2</v>
      </c>
      <c r="AY1291" s="141">
        <f>COUNTIF(V1291:AL1291,"&lt;&gt;0")</f>
        <v>2</v>
      </c>
      <c r="AZ1291">
        <f>COUNTIF(V1291:AC1291,"&lt;&gt;0")</f>
        <v>1</v>
      </c>
      <c r="BA1291">
        <f>COUNTIF(AD1291:AI1291,"&lt;&gt;0")</f>
        <v>1</v>
      </c>
      <c r="BB1291">
        <f>COUNTIF(AJ1291:AL1291,"&lt;&gt;0")</f>
        <v>0</v>
      </c>
      <c r="BC1291">
        <f>COUNTIF(AS1291:AW1291,"&lt;&gt;0")</f>
        <v>0</v>
      </c>
      <c r="BD1291">
        <f>COUNTIF(AM1291:AR1291,"&lt;&gt;0")</f>
        <v>0</v>
      </c>
      <c r="BE1291" t="str" cm="1">
        <f t="array" ref="BE1291">IF(AY1291=1,INDEX($V$7:$AL$7,MATCH(TRUE,INDEX($V1291:$AW1291&lt;&gt;0,),0)),IF(AY1291=0,INDEX($AM$7:$AW$7,MATCH(1,$AM1291:$AW1291,0)),IF(BF1291="Multiple strategies","mixed drivers",IF(BF1291="Supply chain","multiple supply","multiple silviculture"))))</f>
        <v>mixed drivers</v>
      </c>
      <c r="BF1291" s="2" t="str" cm="1">
        <f t="array" ref="BF1291">IF(COUNTIF(AZ1291:BB1291,"&lt;&gt;0")=1,INDEX($V$4:$AW$4,MATCH(TRUE,INDEX($V1291:$AW1291&lt;&gt;0,),0)),IF(COUNTIF(AZ1291:BB1291,"&lt;&gt;0")=0,INDEX($AM$4:$AW$4,MATCH(1,$AM1291:$AW1291,0)),"Multiple strategies"))</f>
        <v>Multiple strategies</v>
      </c>
      <c r="BG1291" s="142" t="s">
        <v>229</v>
      </c>
      <c r="BH1291" s="312" t="s">
        <v>3569</v>
      </c>
      <c r="BI1291" s="312" t="s">
        <v>787</v>
      </c>
      <c r="BJ1291" s="143" t="s">
        <v>1140</v>
      </c>
      <c r="BL1291" s="143"/>
      <c r="BM1291" s="143"/>
      <c r="BO1291" s="143"/>
      <c r="BP1291" s="312" t="s">
        <v>395</v>
      </c>
      <c r="BQ1291" s="312" t="s">
        <v>396</v>
      </c>
      <c r="BR1291" t="s">
        <v>1140</v>
      </c>
      <c r="BS1291" s="143"/>
      <c r="BV1291">
        <v>-17.3</v>
      </c>
      <c r="BX1291">
        <f>BV1291*10^6</f>
        <v>-17300000</v>
      </c>
      <c r="BY1291" t="str">
        <f>IFERROR(BX1291/BO1291,"")</f>
        <v/>
      </c>
      <c r="BZ1291" s="143">
        <v>0</v>
      </c>
      <c r="CA1291" s="143">
        <v>0</v>
      </c>
      <c r="CB1291" s="143">
        <v>0</v>
      </c>
      <c r="CC1291" s="143">
        <v>0</v>
      </c>
      <c r="CD1291" s="143">
        <v>0</v>
      </c>
      <c r="CE1291" s="143">
        <v>0</v>
      </c>
      <c r="CF1291" s="143">
        <v>0</v>
      </c>
      <c r="CG1291" s="143">
        <v>0</v>
      </c>
      <c r="CH1291" s="143">
        <v>0</v>
      </c>
      <c r="CI1291" s="143">
        <v>0</v>
      </c>
      <c r="CJ1291" s="143">
        <v>0</v>
      </c>
      <c r="CK1291" s="143">
        <v>0</v>
      </c>
      <c r="CL1291" s="143">
        <v>0</v>
      </c>
      <c r="CM1291">
        <v>0</v>
      </c>
      <c r="CN1291" t="str">
        <f>IF(BL1291&lt;BK1291,"refNeedCorrection","refOK")</f>
        <v>refOK</v>
      </c>
      <c r="CO1291"/>
      <c r="CP1291"/>
      <c r="CQ1291">
        <f>IF($CN1291="refNeedCorrection",-BO1291,BO1291)</f>
        <v>0</v>
      </c>
      <c r="CR1291">
        <f>IF($CN1291="refOK",$BS1291,$BT1291)*IF($BP1291="Emissions positive",-1,1)</f>
        <v>0</v>
      </c>
      <c r="CS1291">
        <f>IF($CN1291="refOK",$BT1291,$BS1291)*IF($BP1291="Emissions positive",-1,1)</f>
        <v>0</v>
      </c>
      <c r="CT1291">
        <f>IF($CN1291="refNeedCorrection",-BX1291,BX1291)*IF($BP1291="Emissions positive",-1,1)</f>
        <v>17300000</v>
      </c>
      <c r="CU1291" t="str">
        <f>IFERROR(CT1291/CQ1291,"")</f>
        <v/>
      </c>
      <c r="CV1291" s="2" t="str">
        <f>IFERROR((CS1291-CR1291)/ABS(CR1291),"")</f>
        <v/>
      </c>
      <c r="CW1291" s="1" t="s">
        <v>1199</v>
      </c>
      <c r="CX1291" s="312" t="str">
        <f>IF(OR($CW1291="prd",$CW1291="std",$CW1291="cit"),"loc",IF(OR($CW1291="eur",$CW1291="reg",$CW1291="coy"),"reg",$CW1291))</f>
        <v>reg</v>
      </c>
      <c r="CY1291" t="s">
        <v>428</v>
      </c>
      <c r="CZ1291">
        <v>2015</v>
      </c>
      <c r="DA1291" s="143">
        <v>2050</v>
      </c>
      <c r="DB1291" s="143">
        <f>DA1291-CZ1291</f>
        <v>35</v>
      </c>
      <c r="DC1291" t="str">
        <f>IF(DB1291=0,"0",IF(AND(DB1291&gt;=1,DB1291&lt;=30),"1-30",IF(AND(DB1291&gt;30,DB1291&lt;=70),"31-70",IF(AND(DB1291&gt;70,DB1291&lt;=100),"71-100",IF(DB1291&gt;100,"+100")))))</f>
        <v>31-70</v>
      </c>
      <c r="DD1291">
        <v>0</v>
      </c>
      <c r="DE1291">
        <v>1</v>
      </c>
      <c r="DF1291">
        <v>1</v>
      </c>
      <c r="DG1291">
        <v>1</v>
      </c>
      <c r="DI1291">
        <f>SUM(DD1291:DG1291)</f>
        <v>3</v>
      </c>
      <c r="DJ1291" t="str">
        <f>IF(DI1291=1,INDEX($DD$7:$DG$7,MATCH(1,$DD1291:$DG1291,0)),"mixedProduct")</f>
        <v>mixedProduct</v>
      </c>
      <c r="DK1291">
        <f>IF(DD1291=1,DK$7,0)</f>
        <v>0</v>
      </c>
      <c r="DL1291" t="str">
        <f>IF(DE1291=1,DL$7,0)</f>
        <v>Energy</v>
      </c>
      <c r="DM1291" t="str">
        <f>IF(DF1291=1,DM$7,0)</f>
        <v>Pulp/Paper</v>
      </c>
      <c r="DN1291" t="str">
        <f>IF(DG1291=1,DN$7,0)</f>
        <v>Timber</v>
      </c>
      <c r="DO1291">
        <v>0</v>
      </c>
      <c r="DP1291" s="143">
        <v>1</v>
      </c>
      <c r="DQ1291" s="143" t="s">
        <v>3570</v>
      </c>
      <c r="DR1291" s="143" t="s">
        <v>3570</v>
      </c>
      <c r="DS1291" s="143" t="s">
        <v>3570</v>
      </c>
      <c r="DT1291">
        <f>SUM(DO1291:DP1291)</f>
        <v>1</v>
      </c>
      <c r="DU1291" s="143" t="str">
        <f>IF(DO1291=1,"self-calculated DF",IF(DP1291=1,"external DF used","explicit C balance"))</f>
        <v>external DF used</v>
      </c>
      <c r="DV1291" s="143">
        <v>1</v>
      </c>
      <c r="DW1291" s="143">
        <v>1</v>
      </c>
      <c r="DX1291" s="143">
        <v>1</v>
      </c>
      <c r="DY1291" s="143">
        <v>1</v>
      </c>
      <c r="DZ1291">
        <v>1</v>
      </c>
      <c r="EA1291" s="143">
        <v>1</v>
      </c>
      <c r="EB1291" s="143">
        <v>0</v>
      </c>
      <c r="EC1291" s="143">
        <v>1</v>
      </c>
      <c r="ED1291" s="143">
        <v>0</v>
      </c>
      <c r="EE1291">
        <v>0</v>
      </c>
      <c r="EF1291">
        <v>1</v>
      </c>
      <c r="EG1291" s="143">
        <v>0</v>
      </c>
      <c r="EH1291" s="143">
        <v>1</v>
      </c>
      <c r="EI1291" s="2">
        <v>0</v>
      </c>
      <c r="EK1291" t="str">
        <f>IF(AND(AND(AND(OR($DX1291=1,$DW1291=1),OR($EC1291=1,$EA1291=1)),SUM($DV1291:$DZ1291,$EF1291)&gt;=3),SUM($EA1291:$EE1291)&gt;=2),"Whole sector","")</f>
        <v>Whole sector</v>
      </c>
      <c r="EL1291" t="str">
        <f>IF(AND(AND(OR($DX1291=1,$DW1291=1),AND($EC1291=0,$EA1291=0)),SUM($DV1291:$DZ1291,$EF1291)&gt;=3),"Ecosystem approach","")</f>
        <v/>
      </c>
      <c r="EM1291" s="2" t="str">
        <f>IF(AND(AND(AND($DX1291=0,$DW1291=0),OR($EC1291=1,$EA1291=1)),SUM($EB1291:$EE1291)&gt;=2),"Technology approach","")</f>
        <v/>
      </c>
      <c r="EP1291" t="b">
        <f>IF(ISNUMBER(BU1291),IF(ABS(BU1291-[5]QC_indicators!$B$2)&gt;3*[5]QC_indicators!$C$2,"C ratio",IF(ISNUMBER(BY1291),IF(ABS(BY1291-[5]QC_indicators!$B$1)&gt;3*[5]QC_indicators!$C$1,"DF","no"))),IF(ISNUMBER(BY1291),IF(ABS(BY1291-[5]QC_indicators!$B$1)&gt;3*[5]QC_indicators!$C$1,"DF","no")))</f>
        <v>0</v>
      </c>
      <c r="ER1291" s="314" t="s">
        <v>3571</v>
      </c>
    </row>
    <row r="1292" spans="1:148">
      <c r="D1292" t="s">
        <v>3562</v>
      </c>
      <c r="E1292" t="s">
        <v>3563</v>
      </c>
      <c r="G1292" t="s">
        <v>3564</v>
      </c>
      <c r="I1292">
        <v>2018</v>
      </c>
      <c r="K1292" s="312" t="s">
        <v>3565</v>
      </c>
      <c r="M1292" t="str">
        <f>LEFT($D1292,FIND(",",$D1292)-1)&amp;"_"&amp;I1292&amp;L1292</f>
        <v>Dugan_2018</v>
      </c>
      <c r="N1292" s="312" t="s">
        <v>4383</v>
      </c>
      <c r="O1292" t="s">
        <v>223</v>
      </c>
      <c r="Q1292" s="312" t="s">
        <v>256</v>
      </c>
      <c r="R1292" s="313"/>
      <c r="S1292" s="1" t="s">
        <v>3572</v>
      </c>
      <c r="T1292" t="s">
        <v>3568</v>
      </c>
      <c r="U1292" s="143" t="s">
        <v>3573</v>
      </c>
      <c r="V1292">
        <v>0</v>
      </c>
      <c r="W1292">
        <v>0</v>
      </c>
      <c r="X1292">
        <v>0</v>
      </c>
      <c r="Y1292">
        <v>1</v>
      </c>
      <c r="Z1292">
        <v>0</v>
      </c>
      <c r="AA1292">
        <v>0</v>
      </c>
      <c r="AB1292">
        <v>0</v>
      </c>
      <c r="AC1292">
        <v>0</v>
      </c>
      <c r="AD1292">
        <v>0</v>
      </c>
      <c r="AE1292">
        <v>0</v>
      </c>
      <c r="AF1292">
        <v>2</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s="141">
        <f>COUNTIF(V1292:AW1292,"&lt;&gt;0")</f>
        <v>2</v>
      </c>
      <c r="AY1292" s="141">
        <f>COUNTIF(V1292:AL1292,"&lt;&gt;0")</f>
        <v>2</v>
      </c>
      <c r="AZ1292">
        <f>COUNTIF(V1292:AC1292,"&lt;&gt;0")</f>
        <v>1</v>
      </c>
      <c r="BA1292">
        <f>COUNTIF(AD1292:AI1292,"&lt;&gt;0")</f>
        <v>1</v>
      </c>
      <c r="BB1292">
        <f>COUNTIF(AJ1292:AL1292,"&lt;&gt;0")</f>
        <v>0</v>
      </c>
      <c r="BC1292">
        <f>COUNTIF(AS1292:AW1292,"&lt;&gt;0")</f>
        <v>0</v>
      </c>
      <c r="BD1292">
        <f>COUNTIF(AM1292:AR1292,"&lt;&gt;0")</f>
        <v>0</v>
      </c>
      <c r="BE1292" t="str" cm="1">
        <f t="array" ref="BE1292">IF(AY1292=1,INDEX($V$7:$AL$7,MATCH(TRUE,INDEX($V1292:$AW1292&lt;&gt;0,),0)),IF(AY1292=0,INDEX($AM$7:$AW$7,MATCH(1,$AM1292:$AW1292,0)),IF(BF1292="Multiple strategies","mixed drivers",IF(BF1292="Supply chain","multiple supply","multiple silviculture"))))</f>
        <v>mixed drivers</v>
      </c>
      <c r="BF1292" s="2" t="str" cm="1">
        <f t="array" ref="BF1292">IF(COUNTIF(AZ1292:BB1292,"&lt;&gt;0")=1,INDEX($V$4:$AW$4,MATCH(TRUE,INDEX($V1292:$AW1292&lt;&gt;0,),0)),IF(COUNTIF(AZ1292:BB1292,"&lt;&gt;0")=0,INDEX($AM$4:$AW$4,MATCH(1,$AM1292:$AW1292,0)),"Multiple strategies"))</f>
        <v>Multiple strategies</v>
      </c>
      <c r="BG1292" s="142" t="s">
        <v>229</v>
      </c>
      <c r="BH1292" s="312" t="s">
        <v>3569</v>
      </c>
      <c r="BI1292" s="312" t="s">
        <v>787</v>
      </c>
      <c r="BJ1292" s="143" t="s">
        <v>1140</v>
      </c>
      <c r="BL1292" s="143"/>
      <c r="BM1292" s="143"/>
      <c r="BO1292" s="143"/>
      <c r="BP1292" s="312" t="s">
        <v>395</v>
      </c>
      <c r="BQ1292" s="312" t="s">
        <v>396</v>
      </c>
      <c r="BR1292" t="s">
        <v>1140</v>
      </c>
      <c r="BS1292" s="143"/>
      <c r="BV1292">
        <v>2.14</v>
      </c>
      <c r="BX1292">
        <f>BV1292*10^6</f>
        <v>2140000</v>
      </c>
      <c r="BY1292" t="str">
        <f>IFERROR(BX1292/BO1292,"")</f>
        <v/>
      </c>
      <c r="BZ1292" s="143">
        <v>0</v>
      </c>
      <c r="CA1292" s="143">
        <v>0</v>
      </c>
      <c r="CB1292" s="143">
        <v>0</v>
      </c>
      <c r="CC1292" s="143">
        <v>0</v>
      </c>
      <c r="CD1292" s="143">
        <v>0</v>
      </c>
      <c r="CE1292" s="143">
        <v>0</v>
      </c>
      <c r="CF1292" s="143">
        <v>0</v>
      </c>
      <c r="CG1292" s="143">
        <v>0</v>
      </c>
      <c r="CH1292" s="143">
        <v>0</v>
      </c>
      <c r="CI1292" s="143">
        <v>0</v>
      </c>
      <c r="CJ1292" s="143">
        <v>0</v>
      </c>
      <c r="CK1292" s="143">
        <v>0</v>
      </c>
      <c r="CL1292" s="143">
        <v>0</v>
      </c>
      <c r="CM1292">
        <v>0</v>
      </c>
      <c r="CN1292" t="str">
        <f>IF(BL1292&lt;BK1292,"refNeedCorrection","refOK")</f>
        <v>refOK</v>
      </c>
      <c r="CO1292"/>
      <c r="CP1292"/>
      <c r="CQ1292">
        <f>IF($CN1292="refNeedCorrection",-BO1292,BO1292)</f>
        <v>0</v>
      </c>
      <c r="CR1292">
        <f>IF($CN1292="refOK",$BS1292,$BT1292)*IF($BP1292="Emissions positive",-1,1)</f>
        <v>0</v>
      </c>
      <c r="CS1292">
        <f>IF($CN1292="refOK",$BT1292,$BS1292)*IF($BP1292="Emissions positive",-1,1)</f>
        <v>0</v>
      </c>
      <c r="CT1292">
        <f>IF($CN1292="refNeedCorrection",-BX1292,BX1292)*IF($BP1292="Emissions positive",-1,1)</f>
        <v>-2140000</v>
      </c>
      <c r="CU1292" t="str">
        <f>IFERROR(CT1292/CQ1292,"")</f>
        <v/>
      </c>
      <c r="CV1292" s="2" t="str">
        <f>IFERROR((CS1292-CR1292)/ABS(CR1292),"")</f>
        <v/>
      </c>
      <c r="CW1292" s="1" t="s">
        <v>1199</v>
      </c>
      <c r="CX1292" s="312" t="str">
        <f>IF(OR($CW1292="prd",$CW1292="std",$CW1292="cit"),"loc",IF(OR($CW1292="eur",$CW1292="reg",$CW1292="coy"),"reg",$CW1292))</f>
        <v>reg</v>
      </c>
      <c r="CY1292" t="s">
        <v>428</v>
      </c>
      <c r="CZ1292">
        <v>2015</v>
      </c>
      <c r="DA1292" s="143">
        <v>2050</v>
      </c>
      <c r="DB1292" s="143">
        <f>DA1292-CZ1292</f>
        <v>35</v>
      </c>
      <c r="DC1292" t="str">
        <f>IF(DB1292=0,"0",IF(AND(DB1292&gt;=1,DB1292&lt;=30),"1-30",IF(AND(DB1292&gt;30,DB1292&lt;=70),"31-70",IF(AND(DB1292&gt;70,DB1292&lt;=100),"71-100",IF(DB1292&gt;100,"+100")))))</f>
        <v>31-70</v>
      </c>
      <c r="DD1292">
        <v>0</v>
      </c>
      <c r="DE1292">
        <v>1</v>
      </c>
      <c r="DF1292">
        <v>1</v>
      </c>
      <c r="DG1292">
        <v>1</v>
      </c>
      <c r="DI1292">
        <f>SUM(DD1292:DG1292)</f>
        <v>3</v>
      </c>
      <c r="DJ1292" t="str">
        <f>IF(DI1292=1,INDEX($DD$7:$DG$7,MATCH(1,$DD1292:$DG1292,0)),"mixedProduct")</f>
        <v>mixedProduct</v>
      </c>
      <c r="DK1292">
        <f>IF(DD1292=1,DK$7,0)</f>
        <v>0</v>
      </c>
      <c r="DL1292" t="str">
        <f>IF(DE1292=1,DL$7,0)</f>
        <v>Energy</v>
      </c>
      <c r="DM1292" t="str">
        <f>IF(DF1292=1,DM$7,0)</f>
        <v>Pulp/Paper</v>
      </c>
      <c r="DN1292" t="str">
        <f>IF(DG1292=1,DN$7,0)</f>
        <v>Timber</v>
      </c>
      <c r="DO1292">
        <v>0</v>
      </c>
      <c r="DP1292" s="143">
        <v>1</v>
      </c>
      <c r="DQ1292" s="143" t="s">
        <v>3570</v>
      </c>
      <c r="DR1292" s="143" t="s">
        <v>3570</v>
      </c>
      <c r="DS1292" s="143" t="s">
        <v>3570</v>
      </c>
      <c r="DT1292">
        <f>SUM(DO1292:DP1292)</f>
        <v>1</v>
      </c>
      <c r="DU1292" s="143" t="str">
        <f>IF(DO1292=1,"self-calculated DF",IF(DP1292=1,"external DF used","explicit C balance"))</f>
        <v>external DF used</v>
      </c>
      <c r="DV1292" s="143">
        <v>1</v>
      </c>
      <c r="DW1292" s="143">
        <v>1</v>
      </c>
      <c r="DX1292" s="143">
        <v>1</v>
      </c>
      <c r="DY1292" s="143">
        <v>1</v>
      </c>
      <c r="DZ1292">
        <v>1</v>
      </c>
      <c r="EA1292" s="143">
        <v>1</v>
      </c>
      <c r="EB1292" s="143">
        <v>0</v>
      </c>
      <c r="EC1292" s="143">
        <v>1</v>
      </c>
      <c r="ED1292" s="143">
        <v>0</v>
      </c>
      <c r="EE1292">
        <v>0</v>
      </c>
      <c r="EF1292">
        <v>1</v>
      </c>
      <c r="EG1292" s="143">
        <v>0</v>
      </c>
      <c r="EH1292" s="143">
        <v>1</v>
      </c>
      <c r="EI1292" s="2">
        <v>0</v>
      </c>
      <c r="EK1292" t="str">
        <f>IF(AND(AND(AND(OR($DX1292=1,$DW1292=1),OR($EC1292=1,$EA1292=1)),SUM($DV1292:$DZ1292,$EF1292)&gt;=3),SUM($EA1292:$EE1292)&gt;=2),"Whole sector","")</f>
        <v>Whole sector</v>
      </c>
      <c r="EL1292" t="str">
        <f>IF(AND(AND(OR($DX1292=1,$DW1292=1),AND($EC1292=0,$EA1292=0)),SUM($DV1292:$DZ1292,$EF1292)&gt;=3),"Ecosystem approach","")</f>
        <v/>
      </c>
      <c r="EM1292" s="2" t="str">
        <f>IF(AND(AND(AND($DX1292=0,$DW1292=0),OR($EC1292=1,$EA1292=1)),SUM($EB1292:$EE1292)&gt;=2),"Technology approach","")</f>
        <v/>
      </c>
      <c r="EP1292" t="b">
        <f>IF(ISNUMBER(BU1292),IF(ABS(BU1292-[5]QC_indicators!$B$2)&gt;3*[5]QC_indicators!$C$2,"C ratio",IF(ISNUMBER(BY1292),IF(ABS(BY1292-[5]QC_indicators!$B$1)&gt;3*[5]QC_indicators!$C$1,"DF","no"))),IF(ISNUMBER(BY1292),IF(ABS(BY1292-[5]QC_indicators!$B$1)&gt;3*[5]QC_indicators!$C$1,"DF","no")))</f>
        <v>0</v>
      </c>
      <c r="ER1292" s="314" t="s">
        <v>3571</v>
      </c>
    </row>
    <row r="1293" spans="1:148">
      <c r="D1293" t="s">
        <v>3562</v>
      </c>
      <c r="E1293" t="s">
        <v>3563</v>
      </c>
      <c r="G1293" t="s">
        <v>3564</v>
      </c>
      <c r="I1293">
        <v>2018</v>
      </c>
      <c r="K1293" s="312" t="s">
        <v>3565</v>
      </c>
      <c r="M1293" t="str">
        <f>LEFT($D1293,FIND(",",$D1293)-1)&amp;"_"&amp;I1293&amp;L1293</f>
        <v>Dugan_2018</v>
      </c>
      <c r="N1293" s="312" t="s">
        <v>4383</v>
      </c>
      <c r="O1293" t="s">
        <v>223</v>
      </c>
      <c r="Q1293" s="312" t="s">
        <v>256</v>
      </c>
      <c r="R1293" s="313"/>
      <c r="S1293" s="1" t="s">
        <v>3574</v>
      </c>
      <c r="T1293" t="s">
        <v>3568</v>
      </c>
      <c r="U1293" s="143" t="s">
        <v>3575</v>
      </c>
      <c r="V1293">
        <v>1</v>
      </c>
      <c r="W1293">
        <v>0</v>
      </c>
      <c r="X1293">
        <v>0</v>
      </c>
      <c r="Y1293">
        <v>0</v>
      </c>
      <c r="Z1293">
        <v>0</v>
      </c>
      <c r="AA1293">
        <v>0</v>
      </c>
      <c r="AB1293">
        <v>0</v>
      </c>
      <c r="AC1293">
        <v>0</v>
      </c>
      <c r="AD1293">
        <v>0</v>
      </c>
      <c r="AE1293">
        <v>0</v>
      </c>
      <c r="AF1293">
        <v>2</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s="141">
        <f>COUNTIF(V1293:AW1293,"&lt;&gt;0")</f>
        <v>2</v>
      </c>
      <c r="AY1293" s="141">
        <f>COUNTIF(V1293:AL1293,"&lt;&gt;0")</f>
        <v>2</v>
      </c>
      <c r="AZ1293">
        <f>COUNTIF(V1293:AC1293,"&lt;&gt;0")</f>
        <v>1</v>
      </c>
      <c r="BA1293">
        <f>COUNTIF(AD1293:AI1293,"&lt;&gt;0")</f>
        <v>1</v>
      </c>
      <c r="BB1293">
        <f>COUNTIF(AJ1293:AL1293,"&lt;&gt;0")</f>
        <v>0</v>
      </c>
      <c r="BC1293">
        <f>COUNTIF(AS1293:AW1293,"&lt;&gt;0")</f>
        <v>0</v>
      </c>
      <c r="BD1293">
        <f>COUNTIF(AM1293:AR1293,"&lt;&gt;0")</f>
        <v>0</v>
      </c>
      <c r="BE1293" t="str" cm="1">
        <f t="array" ref="BE1293">IF(AY1293=1,INDEX($V$7:$AL$7,MATCH(TRUE,INDEX($V1293:$AW1293&lt;&gt;0,),0)),IF(AY1293=0,INDEX($AM$7:$AW$7,MATCH(1,$AM1293:$AW1293,0)),IF(BF1293="Multiple strategies","mixed drivers",IF(BF1293="Supply chain","multiple supply","multiple silviculture"))))</f>
        <v>mixed drivers</v>
      </c>
      <c r="BF1293" s="2" t="str" cm="1">
        <f t="array" ref="BF1293">IF(COUNTIF(AZ1293:BB1293,"&lt;&gt;0")=1,INDEX($V$4:$AW$4,MATCH(TRUE,INDEX($V1293:$AW1293&lt;&gt;0,),0)),IF(COUNTIF(AZ1293:BB1293,"&lt;&gt;0")=0,INDEX($AM$4:$AW$4,MATCH(1,$AM1293:$AW1293,0)),"Multiple strategies"))</f>
        <v>Multiple strategies</v>
      </c>
      <c r="BG1293" s="142" t="s">
        <v>229</v>
      </c>
      <c r="BH1293" s="312" t="s">
        <v>3576</v>
      </c>
      <c r="BI1293" s="312" t="s">
        <v>787</v>
      </c>
      <c r="BJ1293" s="143" t="s">
        <v>1140</v>
      </c>
      <c r="BL1293" s="143"/>
      <c r="BM1293" s="143"/>
      <c r="BO1293" s="143"/>
      <c r="BP1293" s="312" t="s">
        <v>395</v>
      </c>
      <c r="BQ1293" s="312" t="s">
        <v>396</v>
      </c>
      <c r="BR1293" t="s">
        <v>1140</v>
      </c>
      <c r="BS1293" s="143"/>
      <c r="BV1293">
        <v>-12.1</v>
      </c>
      <c r="BX1293">
        <f>BV1293*10^6</f>
        <v>-12100000</v>
      </c>
      <c r="BY1293" t="str">
        <f>IFERROR(BX1293/BO1293,"")</f>
        <v/>
      </c>
      <c r="BZ1293" s="143">
        <v>0</v>
      </c>
      <c r="CA1293" s="143">
        <v>0</v>
      </c>
      <c r="CB1293" s="143">
        <v>0</v>
      </c>
      <c r="CC1293" s="143">
        <v>0</v>
      </c>
      <c r="CD1293" s="143">
        <v>0</v>
      </c>
      <c r="CE1293" s="143">
        <v>0</v>
      </c>
      <c r="CF1293" s="143">
        <v>0</v>
      </c>
      <c r="CG1293" s="143">
        <v>0</v>
      </c>
      <c r="CH1293" s="143">
        <v>0</v>
      </c>
      <c r="CI1293" s="143">
        <v>0</v>
      </c>
      <c r="CJ1293" s="143">
        <v>0</v>
      </c>
      <c r="CK1293" s="143">
        <v>0</v>
      </c>
      <c r="CL1293" s="143">
        <v>0</v>
      </c>
      <c r="CM1293">
        <v>0</v>
      </c>
      <c r="CN1293" t="str">
        <f>IF(BL1293&lt;BK1293,"refNeedCorrection","refOK")</f>
        <v>refOK</v>
      </c>
      <c r="CO1293"/>
      <c r="CP1293"/>
      <c r="CQ1293">
        <f>IF($CN1293="refNeedCorrection",-BO1293,BO1293)</f>
        <v>0</v>
      </c>
      <c r="CR1293">
        <f>IF($CN1293="refOK",$BS1293,$BT1293)*IF($BP1293="Emissions positive",-1,1)</f>
        <v>0</v>
      </c>
      <c r="CS1293">
        <f>IF($CN1293="refOK",$BT1293,$BS1293)*IF($BP1293="Emissions positive",-1,1)</f>
        <v>0</v>
      </c>
      <c r="CT1293">
        <f>IF($CN1293="refNeedCorrection",-BX1293,BX1293)*IF($BP1293="Emissions positive",-1,1)</f>
        <v>12100000</v>
      </c>
      <c r="CU1293" t="str">
        <f>IFERROR(CT1293/CQ1293,"")</f>
        <v/>
      </c>
      <c r="CV1293" s="2" t="str">
        <f>IFERROR((CS1293-CR1293)/ABS(CR1293),"")</f>
        <v/>
      </c>
      <c r="CW1293" s="1" t="s">
        <v>1199</v>
      </c>
      <c r="CX1293" s="312" t="str">
        <f>IF(OR($CW1293="prd",$CW1293="std",$CW1293="cit"),"loc",IF(OR($CW1293="eur",$CW1293="reg",$CW1293="coy"),"reg",$CW1293))</f>
        <v>reg</v>
      </c>
      <c r="CY1293" t="s">
        <v>428</v>
      </c>
      <c r="CZ1293">
        <v>2015</v>
      </c>
      <c r="DA1293" s="143">
        <v>2050</v>
      </c>
      <c r="DB1293" s="143">
        <f>DA1293-CZ1293</f>
        <v>35</v>
      </c>
      <c r="DC1293" t="str">
        <f>IF(DB1293=0,"0",IF(AND(DB1293&gt;=1,DB1293&lt;=30),"1-30",IF(AND(DB1293&gt;30,DB1293&lt;=70),"31-70",IF(AND(DB1293&gt;70,DB1293&lt;=100),"71-100",IF(DB1293&gt;100,"+100")))))</f>
        <v>31-70</v>
      </c>
      <c r="DD1293">
        <v>0</v>
      </c>
      <c r="DE1293">
        <v>1</v>
      </c>
      <c r="DF1293">
        <v>1</v>
      </c>
      <c r="DG1293">
        <v>1</v>
      </c>
      <c r="DI1293">
        <f>SUM(DD1293:DG1293)</f>
        <v>3</v>
      </c>
      <c r="DJ1293" t="str">
        <f>IF(DI1293=1,INDEX($DD$7:$DG$7,MATCH(1,$DD1293:$DG1293,0)),"mixedProduct")</f>
        <v>mixedProduct</v>
      </c>
      <c r="DK1293">
        <f>IF(DD1293=1,DK$7,0)</f>
        <v>0</v>
      </c>
      <c r="DL1293" t="str">
        <f>IF(DE1293=1,DL$7,0)</f>
        <v>Energy</v>
      </c>
      <c r="DM1293" t="str">
        <f>IF(DF1293=1,DM$7,0)</f>
        <v>Pulp/Paper</v>
      </c>
      <c r="DN1293" t="str">
        <f>IF(DG1293=1,DN$7,0)</f>
        <v>Timber</v>
      </c>
      <c r="DO1293">
        <v>0</v>
      </c>
      <c r="DP1293" s="143">
        <v>1</v>
      </c>
      <c r="DQ1293" s="143" t="s">
        <v>3570</v>
      </c>
      <c r="DR1293" s="143" t="s">
        <v>3570</v>
      </c>
      <c r="DS1293" s="143" t="s">
        <v>3570</v>
      </c>
      <c r="DT1293">
        <f>SUM(DO1293:DP1293)</f>
        <v>1</v>
      </c>
      <c r="DU1293" s="143" t="str">
        <f>IF(DO1293=1,"self-calculated DF",IF(DP1293=1,"external DF used","explicit C balance"))</f>
        <v>external DF used</v>
      </c>
      <c r="DV1293" s="143">
        <v>1</v>
      </c>
      <c r="DW1293" s="143">
        <v>1</v>
      </c>
      <c r="DX1293" s="143">
        <v>1</v>
      </c>
      <c r="DY1293" s="143">
        <v>1</v>
      </c>
      <c r="DZ1293">
        <v>1</v>
      </c>
      <c r="EA1293" s="143">
        <v>1</v>
      </c>
      <c r="EB1293" s="143">
        <v>0</v>
      </c>
      <c r="EC1293" s="143">
        <v>1</v>
      </c>
      <c r="ED1293" s="143">
        <v>0</v>
      </c>
      <c r="EE1293">
        <v>0</v>
      </c>
      <c r="EF1293">
        <v>1</v>
      </c>
      <c r="EG1293" s="143">
        <v>0</v>
      </c>
      <c r="EH1293" s="143">
        <v>1</v>
      </c>
      <c r="EI1293" s="2">
        <v>0</v>
      </c>
      <c r="EK1293" t="str">
        <f>IF(AND(AND(AND(OR($DX1293=1,$DW1293=1),OR($EC1293=1,$EA1293=1)),SUM($DV1293:$DZ1293,$EF1293)&gt;=3),SUM($EA1293:$EE1293)&gt;=2),"Whole sector","")</f>
        <v>Whole sector</v>
      </c>
      <c r="EL1293" t="str">
        <f>IF(AND(AND(OR($DX1293=1,$DW1293=1),AND($EC1293=0,$EA1293=0)),SUM($DV1293:$DZ1293,$EF1293)&gt;=3),"Ecosystem approach","")</f>
        <v/>
      </c>
      <c r="EM1293" s="2" t="str">
        <f>IF(AND(AND(AND($DX1293=0,$DW1293=0),OR($EC1293=1,$EA1293=1)),SUM($EB1293:$EE1293)&gt;=2),"Technology approach","")</f>
        <v/>
      </c>
      <c r="EP1293" t="b">
        <f>IF(ISNUMBER(BU1293),IF(ABS(BU1293-[5]QC_indicators!$B$2)&gt;3*[5]QC_indicators!$C$2,"C ratio",IF(ISNUMBER(BY1293),IF(ABS(BY1293-[5]QC_indicators!$B$1)&gt;3*[5]QC_indicators!$C$1,"DF","no"))),IF(ISNUMBER(BY1293),IF(ABS(BY1293-[5]QC_indicators!$B$1)&gt;3*[5]QC_indicators!$C$1,"DF","no")))</f>
        <v>0</v>
      </c>
      <c r="ER1293" s="314" t="s">
        <v>3571</v>
      </c>
    </row>
    <row r="1294" spans="1:148">
      <c r="D1294" t="s">
        <v>3562</v>
      </c>
      <c r="E1294" t="s">
        <v>3563</v>
      </c>
      <c r="G1294" t="s">
        <v>3564</v>
      </c>
      <c r="I1294">
        <v>2018</v>
      </c>
      <c r="K1294" s="312" t="s">
        <v>3565</v>
      </c>
      <c r="M1294" t="str">
        <f>LEFT($D1294,FIND(",",$D1294)-1)&amp;"_"&amp;I1294&amp;L1294</f>
        <v>Dugan_2018</v>
      </c>
      <c r="N1294" s="312" t="s">
        <v>4383</v>
      </c>
      <c r="O1294" t="s">
        <v>223</v>
      </c>
      <c r="Q1294" s="312" t="s">
        <v>256</v>
      </c>
      <c r="R1294" s="313"/>
      <c r="S1294" s="1" t="s">
        <v>3566</v>
      </c>
      <c r="T1294" t="s">
        <v>3568</v>
      </c>
      <c r="U1294" s="143" t="s">
        <v>3577</v>
      </c>
      <c r="V1294">
        <v>0</v>
      </c>
      <c r="W1294">
        <v>0</v>
      </c>
      <c r="X1294">
        <v>0</v>
      </c>
      <c r="Y1294">
        <v>0</v>
      </c>
      <c r="Z1294">
        <v>0</v>
      </c>
      <c r="AA1294">
        <v>0</v>
      </c>
      <c r="AB1294">
        <v>0</v>
      </c>
      <c r="AC1294">
        <v>0</v>
      </c>
      <c r="AD1294">
        <v>0</v>
      </c>
      <c r="AE1294">
        <v>0</v>
      </c>
      <c r="AF1294">
        <v>0</v>
      </c>
      <c r="AG1294">
        <v>0</v>
      </c>
      <c r="AH1294">
        <v>0</v>
      </c>
      <c r="AI1294">
        <v>1</v>
      </c>
      <c r="AJ1294">
        <v>0</v>
      </c>
      <c r="AK1294">
        <v>0</v>
      </c>
      <c r="AL1294">
        <v>0</v>
      </c>
      <c r="AM1294">
        <v>0</v>
      </c>
      <c r="AN1294">
        <v>0</v>
      </c>
      <c r="AO1294">
        <v>0</v>
      </c>
      <c r="AP1294">
        <v>0</v>
      </c>
      <c r="AQ1294">
        <v>0</v>
      </c>
      <c r="AR1294">
        <v>0</v>
      </c>
      <c r="AS1294">
        <v>0</v>
      </c>
      <c r="AT1294">
        <v>0</v>
      </c>
      <c r="AU1294">
        <v>0</v>
      </c>
      <c r="AV1294">
        <v>0</v>
      </c>
      <c r="AW1294">
        <v>0</v>
      </c>
      <c r="AX1294" s="141">
        <f>COUNTIF(V1294:AW1294,"&lt;&gt;0")</f>
        <v>1</v>
      </c>
      <c r="AY1294" s="141">
        <f>COUNTIF(V1294:AL1294,"&lt;&gt;0")</f>
        <v>1</v>
      </c>
      <c r="AZ1294">
        <f>COUNTIF(V1294:AC1294,"&lt;&gt;0")</f>
        <v>0</v>
      </c>
      <c r="BA1294">
        <f>COUNTIF(AD1294:AI1294,"&lt;&gt;0")</f>
        <v>1</v>
      </c>
      <c r="BB1294">
        <f>COUNTIF(AJ1294:AL1294,"&lt;&gt;0")</f>
        <v>0</v>
      </c>
      <c r="BC1294">
        <f>COUNTIF(AS1294:AW1294,"&lt;&gt;0")</f>
        <v>0</v>
      </c>
      <c r="BD1294">
        <f>COUNTIF(AM1294:AR1294,"&lt;&gt;0")</f>
        <v>0</v>
      </c>
      <c r="BE1294" t="str" cm="1">
        <f t="array" ref="BE1294">IF(AY1294=1,INDEX($V$7:$AL$7,MATCH(TRUE,INDEX($V1294:$AW1294&lt;&gt;0,),0)),IF(AY1294=0,INDEX($AM$7:$AW$7,MATCH(1,$AM1294:$AW1294,0)),IF(BF1294="Multiple strategies","mixed drivers",IF(BF1294="Supply chain","multiple supply","multiple silviculture"))))</f>
        <v>products lifespan</v>
      </c>
      <c r="BF1294" s="2" t="str" cm="1">
        <f t="array" ref="BF1294">IF(COUNTIF(AZ1294:BB1294,"&lt;&gt;0")=1,INDEX($V$4:$AW$4,MATCH(TRUE,INDEX($V1294:$AW1294&lt;&gt;0,),0)),IF(COUNTIF(AZ1294:BB1294,"&lt;&gt;0")=0,INDEX($AM$4:$AW$4,MATCH(1,$AM1294:$AW1294,0)),"Multiple strategies"))</f>
        <v>Supply chain</v>
      </c>
      <c r="BG1294" s="142" t="s">
        <v>229</v>
      </c>
      <c r="BH1294" s="312" t="s">
        <v>3569</v>
      </c>
      <c r="BI1294" s="312" t="s">
        <v>787</v>
      </c>
      <c r="BJ1294" s="143" t="s">
        <v>1140</v>
      </c>
      <c r="BL1294" s="143"/>
      <c r="BM1294" s="143"/>
      <c r="BN1294">
        <v>0</v>
      </c>
      <c r="BO1294" s="143">
        <f>BN1294/C_to_CO2*10^6*tC_to_m3</f>
        <v>0</v>
      </c>
      <c r="BP1294" s="312" t="s">
        <v>395</v>
      </c>
      <c r="BQ1294" s="312" t="s">
        <v>396</v>
      </c>
      <c r="BR1294" t="s">
        <v>1140</v>
      </c>
      <c r="BS1294" s="143"/>
      <c r="BV1294">
        <v>-4.62</v>
      </c>
      <c r="BX1294">
        <f>BV1294*10^6</f>
        <v>-4620000</v>
      </c>
      <c r="BY1294" t="str">
        <f>IFERROR(BX1294/BO1294,"")</f>
        <v/>
      </c>
      <c r="BZ1294" s="143">
        <v>0</v>
      </c>
      <c r="CA1294" s="143">
        <v>0</v>
      </c>
      <c r="CB1294" s="143">
        <v>0</v>
      </c>
      <c r="CC1294" s="143">
        <v>0</v>
      </c>
      <c r="CD1294" s="143">
        <v>0</v>
      </c>
      <c r="CE1294" s="143">
        <v>0</v>
      </c>
      <c r="CF1294" s="143">
        <v>0</v>
      </c>
      <c r="CG1294" s="143">
        <v>0</v>
      </c>
      <c r="CH1294" s="143">
        <v>0</v>
      </c>
      <c r="CI1294" s="143">
        <v>0</v>
      </c>
      <c r="CJ1294" s="143">
        <v>0</v>
      </c>
      <c r="CK1294" s="143">
        <v>0</v>
      </c>
      <c r="CL1294" s="143">
        <v>0</v>
      </c>
      <c r="CM1294">
        <v>0</v>
      </c>
      <c r="CN1294" t="str">
        <f>IF(BL1294&lt;BK1294,"refNeedCorrection","refOK")</f>
        <v>refOK</v>
      </c>
      <c r="CO1294"/>
      <c r="CP1294"/>
      <c r="CQ1294">
        <f>IF($CN1294="refNeedCorrection",-BO1294,BO1294)</f>
        <v>0</v>
      </c>
      <c r="CR1294">
        <f>IF($CN1294="refOK",$BS1294,$BT1294)*IF($BP1294="Emissions positive",-1,1)</f>
        <v>0</v>
      </c>
      <c r="CS1294">
        <f>IF($CN1294="refOK",$BT1294,$BS1294)*IF($BP1294="Emissions positive",-1,1)</f>
        <v>0</v>
      </c>
      <c r="CT1294">
        <f>IF($CN1294="refNeedCorrection",-BX1294,BX1294)*IF($BP1294="Emissions positive",-1,1)</f>
        <v>4620000</v>
      </c>
      <c r="CU1294" t="str">
        <f>IFERROR(CT1294/CQ1294,"")</f>
        <v/>
      </c>
      <c r="CV1294" s="2" t="str">
        <f>IFERROR((CS1294-CR1294)/ABS(CR1294),"")</f>
        <v/>
      </c>
      <c r="CW1294" s="1" t="s">
        <v>1199</v>
      </c>
      <c r="CX1294" s="312" t="str">
        <f>IF(OR($CW1294="prd",$CW1294="std",$CW1294="cit"),"loc",IF(OR($CW1294="eur",$CW1294="reg",$CW1294="coy"),"reg",$CW1294))</f>
        <v>reg</v>
      </c>
      <c r="CY1294" t="s">
        <v>428</v>
      </c>
      <c r="CZ1294">
        <v>2015</v>
      </c>
      <c r="DA1294" s="143">
        <v>2050</v>
      </c>
      <c r="DB1294" s="143">
        <f>DA1294-CZ1294</f>
        <v>35</v>
      </c>
      <c r="DC1294" t="str">
        <f>IF(DB1294=0,"0",IF(AND(DB1294&gt;=1,DB1294&lt;=30),"1-30",IF(AND(DB1294&gt;30,DB1294&lt;=70),"31-70",IF(AND(DB1294&gt;70,DB1294&lt;=100),"71-100",IF(DB1294&gt;100,"+100")))))</f>
        <v>31-70</v>
      </c>
      <c r="DD1294">
        <v>0</v>
      </c>
      <c r="DE1294">
        <v>1</v>
      </c>
      <c r="DF1294">
        <v>1</v>
      </c>
      <c r="DG1294">
        <v>1</v>
      </c>
      <c r="DI1294">
        <f>SUM(DD1294:DG1294)</f>
        <v>3</v>
      </c>
      <c r="DJ1294" t="str">
        <f>IF(DI1294=1,INDEX($DD$7:$DG$7,MATCH(1,$DD1294:$DG1294,0)),"mixedProduct")</f>
        <v>mixedProduct</v>
      </c>
      <c r="DK1294">
        <f>IF(DD1294=1,DK$7,0)</f>
        <v>0</v>
      </c>
      <c r="DL1294" t="str">
        <f>IF(DE1294=1,DL$7,0)</f>
        <v>Energy</v>
      </c>
      <c r="DM1294" t="str">
        <f>IF(DF1294=1,DM$7,0)</f>
        <v>Pulp/Paper</v>
      </c>
      <c r="DN1294" t="str">
        <f>IF(DG1294=1,DN$7,0)</f>
        <v>Timber</v>
      </c>
      <c r="DO1294">
        <v>0</v>
      </c>
      <c r="DP1294" s="143">
        <v>1</v>
      </c>
      <c r="DQ1294" s="143" t="s">
        <v>3570</v>
      </c>
      <c r="DR1294" s="143" t="s">
        <v>3570</v>
      </c>
      <c r="DS1294" s="143" t="s">
        <v>3570</v>
      </c>
      <c r="DT1294">
        <f>SUM(DO1294:DP1294)</f>
        <v>1</v>
      </c>
      <c r="DU1294" s="143" t="str">
        <f>IF(DO1294=1,"self-calculated DF",IF(DP1294=1,"external DF used","explicit C balance"))</f>
        <v>external DF used</v>
      </c>
      <c r="DV1294" s="143">
        <v>1</v>
      </c>
      <c r="DW1294" s="143">
        <v>1</v>
      </c>
      <c r="DX1294" s="143">
        <v>1</v>
      </c>
      <c r="DY1294" s="143">
        <v>1</v>
      </c>
      <c r="DZ1294">
        <v>1</v>
      </c>
      <c r="EA1294" s="143">
        <v>1</v>
      </c>
      <c r="EB1294" s="143">
        <v>0</v>
      </c>
      <c r="EC1294" s="143">
        <v>1</v>
      </c>
      <c r="ED1294" s="143">
        <v>0</v>
      </c>
      <c r="EE1294">
        <v>0</v>
      </c>
      <c r="EF1294">
        <v>1</v>
      </c>
      <c r="EG1294" s="143">
        <v>0</v>
      </c>
      <c r="EH1294" s="143">
        <v>1</v>
      </c>
      <c r="EI1294" s="2">
        <v>0</v>
      </c>
      <c r="EK1294" t="str">
        <f>IF(AND(AND(AND(OR($DX1294=1,$DW1294=1),OR($EC1294=1,$EA1294=1)),SUM($DV1294:$DZ1294,$EF1294)&gt;=3),SUM($EA1294:$EE1294)&gt;=2),"Whole sector","")</f>
        <v>Whole sector</v>
      </c>
      <c r="EL1294" t="str">
        <f>IF(AND(AND(OR($DX1294=1,$DW1294=1),AND($EC1294=0,$EA1294=0)),SUM($DV1294:$DZ1294,$EF1294)&gt;=3),"Ecosystem approach","")</f>
        <v/>
      </c>
      <c r="EM1294" s="2" t="str">
        <f>IF(AND(AND(AND($DX1294=0,$DW1294=0),OR($EC1294=1,$EA1294=1)),SUM($EB1294:$EE1294)&gt;=2),"Technology approach","")</f>
        <v/>
      </c>
      <c r="EP1294" t="b">
        <f>IF(ISNUMBER(BU1294),IF(ABS(BU1294-[5]QC_indicators!$B$2)&gt;3*[5]QC_indicators!$C$2,"C ratio",IF(ISNUMBER(BY1294),IF(ABS(BY1294-[5]QC_indicators!$B$1)&gt;3*[5]QC_indicators!$C$1,"DF","no"))),IF(ISNUMBER(BY1294),IF(ABS(BY1294-[5]QC_indicators!$B$1)&gt;3*[5]QC_indicators!$C$1,"DF","no")))</f>
        <v>0</v>
      </c>
      <c r="ER1294" s="314" t="s">
        <v>3571</v>
      </c>
    </row>
    <row r="1295" spans="1:148">
      <c r="D1295" t="s">
        <v>3562</v>
      </c>
      <c r="E1295" t="s">
        <v>3563</v>
      </c>
      <c r="G1295" t="s">
        <v>3564</v>
      </c>
      <c r="I1295">
        <v>2018</v>
      </c>
      <c r="K1295" s="312" t="s">
        <v>3565</v>
      </c>
      <c r="M1295" t="str">
        <f>LEFT($D1295,FIND(",",$D1295)-1)&amp;"_"&amp;I1295&amp;L1295</f>
        <v>Dugan_2018</v>
      </c>
      <c r="N1295" s="312" t="s">
        <v>4383</v>
      </c>
      <c r="O1295" t="s">
        <v>223</v>
      </c>
      <c r="Q1295" s="312" t="s">
        <v>256</v>
      </c>
      <c r="R1295" s="313"/>
      <c r="S1295" s="1" t="s">
        <v>3566</v>
      </c>
      <c r="T1295" s="312" t="s">
        <v>1399</v>
      </c>
      <c r="U1295" s="143" t="s">
        <v>3568</v>
      </c>
      <c r="V1295">
        <v>0</v>
      </c>
      <c r="W1295">
        <v>0</v>
      </c>
      <c r="X1295">
        <v>0</v>
      </c>
      <c r="Y1295">
        <v>0</v>
      </c>
      <c r="Z1295">
        <v>0</v>
      </c>
      <c r="AA1295">
        <v>0</v>
      </c>
      <c r="AB1295">
        <v>0</v>
      </c>
      <c r="AC1295">
        <v>0</v>
      </c>
      <c r="AD1295">
        <v>0</v>
      </c>
      <c r="AE1295">
        <v>0</v>
      </c>
      <c r="AF1295">
        <v>0</v>
      </c>
      <c r="AG1295">
        <v>0</v>
      </c>
      <c r="AH1295">
        <v>0</v>
      </c>
      <c r="AI1295">
        <v>1</v>
      </c>
      <c r="AJ1295">
        <v>0</v>
      </c>
      <c r="AK1295">
        <v>0</v>
      </c>
      <c r="AL1295">
        <v>0</v>
      </c>
      <c r="AM1295">
        <v>0</v>
      </c>
      <c r="AN1295">
        <v>0</v>
      </c>
      <c r="AO1295">
        <v>0</v>
      </c>
      <c r="AP1295">
        <v>0</v>
      </c>
      <c r="AQ1295">
        <v>0</v>
      </c>
      <c r="AR1295">
        <v>0</v>
      </c>
      <c r="AS1295">
        <v>0</v>
      </c>
      <c r="AT1295">
        <v>0</v>
      </c>
      <c r="AU1295">
        <v>0</v>
      </c>
      <c r="AV1295">
        <v>0</v>
      </c>
      <c r="AW1295">
        <v>0</v>
      </c>
      <c r="AX1295" s="141">
        <f>COUNTIF(V1295:AW1295,"&lt;&gt;0")</f>
        <v>1</v>
      </c>
      <c r="AY1295" s="141">
        <f>COUNTIF(V1295:AL1295,"&lt;&gt;0")</f>
        <v>1</v>
      </c>
      <c r="AZ1295">
        <f>COUNTIF(V1295:AC1295,"&lt;&gt;0")</f>
        <v>0</v>
      </c>
      <c r="BA1295">
        <f>COUNTIF(AD1295:AI1295,"&lt;&gt;0")</f>
        <v>1</v>
      </c>
      <c r="BB1295">
        <f>COUNTIF(AJ1295:AL1295,"&lt;&gt;0")</f>
        <v>0</v>
      </c>
      <c r="BC1295">
        <f>COUNTIF(AS1295:AW1295,"&lt;&gt;0")</f>
        <v>0</v>
      </c>
      <c r="BD1295">
        <f>COUNTIF(AM1295:AR1295,"&lt;&gt;0")</f>
        <v>0</v>
      </c>
      <c r="BE1295" t="str" cm="1">
        <f t="array" ref="BE1295">IF(AY1295=1,INDEX($V$7:$AL$7,MATCH(TRUE,INDEX($V1295:$AW1295&lt;&gt;0,),0)),IF(AY1295=0,INDEX($AM$7:$AW$7,MATCH(1,$AM1295:$AW1295,0)),IF(BF1295="Multiple strategies","mixed drivers",IF(BF1295="Supply chain","multiple supply","multiple silviculture"))))</f>
        <v>products lifespan</v>
      </c>
      <c r="BF1295" s="2" t="str" cm="1">
        <f t="array" ref="BF1295">IF(COUNTIF(AZ1295:BB1295,"&lt;&gt;0")=1,INDEX($V$4:$AW$4,MATCH(TRUE,INDEX($V1295:$AW1295&lt;&gt;0,),0)),IF(COUNTIF(AZ1295:BB1295,"&lt;&gt;0")=0,INDEX($AM$4:$AW$4,MATCH(1,$AM1295:$AW1295,0)),"Multiple strategies"))</f>
        <v>Supply chain</v>
      </c>
      <c r="BG1295" s="142" t="s">
        <v>229</v>
      </c>
      <c r="BH1295" s="312" t="s">
        <v>3576</v>
      </c>
      <c r="BI1295" s="312" t="s">
        <v>787</v>
      </c>
      <c r="BJ1295" s="143" t="s">
        <v>1140</v>
      </c>
      <c r="BL1295" s="143"/>
      <c r="BM1295" s="143"/>
      <c r="BN1295">
        <v>0</v>
      </c>
      <c r="BO1295" s="143">
        <f>BN1295/C_to_CO2*10^6*tC_to_m3</f>
        <v>0</v>
      </c>
      <c r="BP1295" s="312" t="s">
        <v>395</v>
      </c>
      <c r="BQ1295" s="312" t="s">
        <v>396</v>
      </c>
      <c r="BR1295" t="s">
        <v>1140</v>
      </c>
      <c r="BS1295" s="143"/>
      <c r="BV1295">
        <v>-8.02</v>
      </c>
      <c r="BX1295">
        <f>BV1295*10^6</f>
        <v>-8020000</v>
      </c>
      <c r="BY1295" t="str">
        <f>IFERROR(BX1295/BO1295,"")</f>
        <v/>
      </c>
      <c r="BZ1295" s="143">
        <v>0</v>
      </c>
      <c r="CA1295" s="143">
        <v>0</v>
      </c>
      <c r="CB1295" s="143">
        <v>0</v>
      </c>
      <c r="CC1295" s="143">
        <v>0</v>
      </c>
      <c r="CD1295" s="143">
        <v>0</v>
      </c>
      <c r="CE1295" s="143">
        <v>0</v>
      </c>
      <c r="CF1295" s="143">
        <v>0</v>
      </c>
      <c r="CG1295" s="143">
        <v>0</v>
      </c>
      <c r="CH1295" s="143">
        <v>0</v>
      </c>
      <c r="CI1295" s="143">
        <v>0</v>
      </c>
      <c r="CJ1295" s="143">
        <v>0</v>
      </c>
      <c r="CK1295" s="143">
        <v>0</v>
      </c>
      <c r="CL1295" s="143">
        <v>0</v>
      </c>
      <c r="CM1295">
        <v>0</v>
      </c>
      <c r="CN1295" t="str">
        <f>IF(BL1295&lt;BK1295,"refNeedCorrection","refOK")</f>
        <v>refOK</v>
      </c>
      <c r="CO1295"/>
      <c r="CP1295"/>
      <c r="CQ1295">
        <f>IF($CN1295="refNeedCorrection",-BO1295,BO1295)</f>
        <v>0</v>
      </c>
      <c r="CR1295">
        <f>IF($CN1295="refOK",$BS1295,$BT1295)*IF($BP1295="Emissions positive",-1,1)</f>
        <v>0</v>
      </c>
      <c r="CS1295">
        <f>IF($CN1295="refOK",$BT1295,$BS1295)*IF($BP1295="Emissions positive",-1,1)</f>
        <v>0</v>
      </c>
      <c r="CT1295">
        <f>IF($CN1295="refNeedCorrection",-BX1295,BX1295)*IF($BP1295="Emissions positive",-1,1)</f>
        <v>8020000</v>
      </c>
      <c r="CU1295" t="str">
        <f>IFERROR(CT1295/CQ1295,"")</f>
        <v/>
      </c>
      <c r="CV1295" s="2" t="str">
        <f>IFERROR((CS1295-CR1295)/ABS(CR1295),"")</f>
        <v/>
      </c>
      <c r="CW1295" s="1" t="s">
        <v>1199</v>
      </c>
      <c r="CX1295" s="312" t="str">
        <f>IF(OR($CW1295="prd",$CW1295="std",$CW1295="cit"),"loc",IF(OR($CW1295="eur",$CW1295="reg",$CW1295="coy"),"reg",$CW1295))</f>
        <v>reg</v>
      </c>
      <c r="CY1295" t="s">
        <v>428</v>
      </c>
      <c r="CZ1295">
        <v>2015</v>
      </c>
      <c r="DA1295" s="143">
        <v>2050</v>
      </c>
      <c r="DB1295" s="143">
        <f>DA1295-CZ1295</f>
        <v>35</v>
      </c>
      <c r="DC1295" t="str">
        <f>IF(DB1295=0,"0",IF(AND(DB1295&gt;=1,DB1295&lt;=30),"1-30",IF(AND(DB1295&gt;30,DB1295&lt;=70),"31-70",IF(AND(DB1295&gt;70,DB1295&lt;=100),"71-100",IF(DB1295&gt;100,"+100")))))</f>
        <v>31-70</v>
      </c>
      <c r="DD1295">
        <v>0</v>
      </c>
      <c r="DE1295">
        <v>1</v>
      </c>
      <c r="DF1295">
        <v>1</v>
      </c>
      <c r="DG1295">
        <v>1</v>
      </c>
      <c r="DI1295">
        <f>SUM(DD1295:DG1295)</f>
        <v>3</v>
      </c>
      <c r="DJ1295" t="str">
        <f>IF(DI1295=1,INDEX($DD$7:$DG$7,MATCH(1,$DD1295:$DG1295,0)),"mixedProduct")</f>
        <v>mixedProduct</v>
      </c>
      <c r="DK1295">
        <f>IF(DD1295=1,DK$7,0)</f>
        <v>0</v>
      </c>
      <c r="DL1295" t="str">
        <f>IF(DE1295=1,DL$7,0)</f>
        <v>Energy</v>
      </c>
      <c r="DM1295" t="str">
        <f>IF(DF1295=1,DM$7,0)</f>
        <v>Pulp/Paper</v>
      </c>
      <c r="DN1295" t="str">
        <f>IF(DG1295=1,DN$7,0)</f>
        <v>Timber</v>
      </c>
      <c r="DO1295">
        <v>0</v>
      </c>
      <c r="DP1295" s="143">
        <v>1</v>
      </c>
      <c r="DQ1295" s="143" t="s">
        <v>3570</v>
      </c>
      <c r="DR1295" s="143" t="s">
        <v>3570</v>
      </c>
      <c r="DS1295" s="143" t="s">
        <v>3570</v>
      </c>
      <c r="DT1295">
        <f>SUM(DO1295:DP1295)</f>
        <v>1</v>
      </c>
      <c r="DU1295" s="143" t="str">
        <f>IF(DO1295=1,"self-calculated DF",IF(DP1295=1,"external DF used","explicit C balance"))</f>
        <v>external DF used</v>
      </c>
      <c r="DV1295" s="143">
        <v>1</v>
      </c>
      <c r="DW1295" s="143">
        <v>1</v>
      </c>
      <c r="DX1295" s="143">
        <v>1</v>
      </c>
      <c r="DY1295" s="143">
        <v>1</v>
      </c>
      <c r="DZ1295">
        <v>1</v>
      </c>
      <c r="EA1295" s="143">
        <v>1</v>
      </c>
      <c r="EB1295" s="143">
        <v>0</v>
      </c>
      <c r="EC1295" s="143">
        <v>1</v>
      </c>
      <c r="ED1295" s="143">
        <v>0</v>
      </c>
      <c r="EE1295">
        <v>0</v>
      </c>
      <c r="EF1295">
        <v>1</v>
      </c>
      <c r="EG1295" s="143">
        <v>0</v>
      </c>
      <c r="EH1295" s="143">
        <v>1</v>
      </c>
      <c r="EI1295" s="2">
        <v>0</v>
      </c>
      <c r="EK1295" t="str">
        <f>IF(AND(AND(AND(OR($DX1295=1,$DW1295=1),OR($EC1295=1,$EA1295=1)),SUM($DV1295:$DZ1295,$EF1295)&gt;=3),SUM($EA1295:$EE1295)&gt;=2),"Whole sector","")</f>
        <v>Whole sector</v>
      </c>
      <c r="EL1295" t="str">
        <f>IF(AND(AND(OR($DX1295=1,$DW1295=1),AND($EC1295=0,$EA1295=0)),SUM($DV1295:$DZ1295,$EF1295)&gt;=3),"Ecosystem approach","")</f>
        <v/>
      </c>
      <c r="EM1295" s="2" t="str">
        <f>IF(AND(AND(AND($DX1295=0,$DW1295=0),OR($EC1295=1,$EA1295=1)),SUM($EB1295:$EE1295)&gt;=2),"Technology approach","")</f>
        <v/>
      </c>
      <c r="EP1295" t="b">
        <f>IF(ISNUMBER(BU1295),IF(ABS(BU1295-[5]QC_indicators!$B$2)&gt;3*[5]QC_indicators!$C$2,"C ratio",IF(ISNUMBER(BY1295),IF(ABS(BY1295-[5]QC_indicators!$B$1)&gt;3*[5]QC_indicators!$C$1,"DF","no"))),IF(ISNUMBER(BY1295),IF(ABS(BY1295-[5]QC_indicators!$B$1)&gt;3*[5]QC_indicators!$C$1,"DF","no")))</f>
        <v>0</v>
      </c>
      <c r="ER1295" s="314" t="s">
        <v>3571</v>
      </c>
    </row>
    <row r="1296" spans="1:148">
      <c r="A1296" s="1" t="s">
        <v>380</v>
      </c>
      <c r="B1296" t="s">
        <v>3578</v>
      </c>
      <c r="C1296" t="s">
        <v>3579</v>
      </c>
      <c r="D1296" t="s">
        <v>3580</v>
      </c>
      <c r="E1296" t="s">
        <v>3581</v>
      </c>
      <c r="F1296" t="s">
        <v>3582</v>
      </c>
      <c r="G1296" t="s">
        <v>386</v>
      </c>
      <c r="H1296" t="s">
        <v>254</v>
      </c>
      <c r="I1296">
        <v>2010</v>
      </c>
      <c r="J1296">
        <v>22</v>
      </c>
      <c r="K1296" t="s">
        <v>3583</v>
      </c>
      <c r="M1296" t="str">
        <f>LEFT($D1296,FIND(",",$D1296)-1)&amp;"_"&amp;I1296&amp;L1296</f>
        <v>Eshun_2010</v>
      </c>
      <c r="N1296" s="312" t="s">
        <v>4383</v>
      </c>
      <c r="O1296" s="145" t="s">
        <v>274</v>
      </c>
      <c r="Q1296" s="312" t="s">
        <v>256</v>
      </c>
      <c r="R1296" s="313"/>
      <c r="S1296" s="1" t="s">
        <v>3584</v>
      </c>
      <c r="T1296" t="s">
        <v>3585</v>
      </c>
      <c r="U1296" t="s">
        <v>3586</v>
      </c>
      <c r="V1296">
        <v>0</v>
      </c>
      <c r="W1296">
        <v>0</v>
      </c>
      <c r="X1296">
        <v>0</v>
      </c>
      <c r="Y1296">
        <v>0</v>
      </c>
      <c r="Z1296">
        <v>0</v>
      </c>
      <c r="AA1296">
        <v>0</v>
      </c>
      <c r="AB1296">
        <v>0</v>
      </c>
      <c r="AC1296">
        <v>0</v>
      </c>
      <c r="AD1296">
        <v>0</v>
      </c>
      <c r="AE1296">
        <v>0</v>
      </c>
      <c r="AF1296">
        <v>1</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s="141">
        <f>COUNTIF(V1296:AW1296,"&lt;&gt;0")</f>
        <v>1</v>
      </c>
      <c r="AY1296" s="141">
        <f>COUNTIF(V1296:AL1296,"&lt;&gt;0")</f>
        <v>1</v>
      </c>
      <c r="AZ1296">
        <f>COUNTIF(V1296:AC1296,"&lt;&gt;0")</f>
        <v>0</v>
      </c>
      <c r="BA1296">
        <f>COUNTIF(AD1296:AI1296,"&lt;&gt;0")</f>
        <v>1</v>
      </c>
      <c r="BB1296">
        <f>COUNTIF(AJ1296:AL1296,"&lt;&gt;0")</f>
        <v>0</v>
      </c>
      <c r="BC1296">
        <f>COUNTIF(AS1296:AW1296,"&lt;&gt;0")</f>
        <v>0</v>
      </c>
      <c r="BD1296">
        <f>COUNTIF(AM1296:AR1296,"&lt;&gt;0")</f>
        <v>0</v>
      </c>
      <c r="BE1296" t="str" cm="1">
        <f t="array" ref="BE1296">IF(AY1296=1,INDEX($V$7:$AL$7,MATCH(TRUE,INDEX($V1296:$AW1296&lt;&gt;0,),0)),IF(AY1296=0,INDEX($AM$7:$AW$7,MATCH(1,$AM1296:$AW1296,0)),IF(BF1296="Multiple strategies","mixed drivers",IF(BF1296="Supply chain","multiple supply","multiple silviculture"))))</f>
        <v>supply chain organization</v>
      </c>
      <c r="BF1296" s="2" t="str" cm="1">
        <f t="array" ref="BF1296">IF(COUNTIF(AZ1296:BB1296,"&lt;&gt;0")=1,INDEX($V$4:$AW$4,MATCH(TRUE,INDEX($V1296:$AW1296&lt;&gt;0,),0)),IF(COUNTIF(AZ1296:BB1296,"&lt;&gt;0")=0,INDEX($AM$4:$AW$4,MATCH(1,$AM1296:$AW1296,0)),"Multiple strategies"))</f>
        <v>Supply chain</v>
      </c>
      <c r="BG1296" s="142" t="s">
        <v>321</v>
      </c>
      <c r="BH1296" t="s">
        <v>3587</v>
      </c>
      <c r="BJ1296" t="s">
        <v>498</v>
      </c>
      <c r="BK1296">
        <v>1</v>
      </c>
      <c r="BL1296">
        <v>1</v>
      </c>
      <c r="BM1296">
        <f>BL1296/BK1296</f>
        <v>1</v>
      </c>
      <c r="BN1296">
        <f>BL1296-BK1296</f>
        <v>0</v>
      </c>
      <c r="BO1296">
        <f>BN1296</f>
        <v>0</v>
      </c>
      <c r="BP1296" t="s">
        <v>232</v>
      </c>
      <c r="BR1296" t="s">
        <v>3588</v>
      </c>
      <c r="BS1296">
        <v>-2.5261562500000001E-2</v>
      </c>
      <c r="BT1296">
        <v>-0.87240555555555566</v>
      </c>
      <c r="BU1296" s="144">
        <f>IFERROR(BT1296/BS1296,"")</f>
        <v>34.534900822368201</v>
      </c>
      <c r="BV1296" s="152">
        <f>BT1296-BS1296</f>
        <v>-0.84714399305555566</v>
      </c>
      <c r="BW1296" s="152"/>
      <c r="BX1296" s="152">
        <f>BV1296</f>
        <v>-0.84714399305555566</v>
      </c>
      <c r="BY1296" t="str">
        <f>IFERROR(BX1296/BO1296,"")</f>
        <v/>
      </c>
      <c r="BZ1296">
        <v>0</v>
      </c>
      <c r="CA1296">
        <v>1</v>
      </c>
      <c r="CB1296">
        <v>1</v>
      </c>
      <c r="CC1296">
        <v>1</v>
      </c>
      <c r="CD1296">
        <v>1</v>
      </c>
      <c r="CE1296">
        <v>1</v>
      </c>
      <c r="CF1296">
        <v>1</v>
      </c>
      <c r="CG1296">
        <v>0</v>
      </c>
      <c r="CH1296">
        <v>0</v>
      </c>
      <c r="CI1296">
        <v>0</v>
      </c>
      <c r="CJ1296">
        <v>0</v>
      </c>
      <c r="CK1296">
        <v>0</v>
      </c>
      <c r="CL1296">
        <v>0</v>
      </c>
      <c r="CM1296">
        <v>0</v>
      </c>
      <c r="CN1296" t="str">
        <f>IF(BL1296&lt;BK1296,"refNeedCorrection","refOK")</f>
        <v>refOK</v>
      </c>
      <c r="CO1296">
        <f>IF($CN1296="refOK",$BK1296,$BL1296)</f>
        <v>1</v>
      </c>
      <c r="CP1296">
        <f>IF($CN1296="refOK",$BL1296,$BK1296)</f>
        <v>1</v>
      </c>
      <c r="CQ1296">
        <f>IF($CN1296="refOK",$BO1296,-$BO1296)</f>
        <v>0</v>
      </c>
      <c r="CR1296">
        <f>IF($CN1296="refOK",$BS1296,$BT1296)*IF($BP1296="Emissions positive",-1,1)</f>
        <v>-2.5261562500000001E-2</v>
      </c>
      <c r="CS1296">
        <f>IF($CN1296="refOK",$BT1296,$BS1296)*IF($BP1296="Emissions positive",-1,1)</f>
        <v>-0.87240555555555566</v>
      </c>
      <c r="CT1296">
        <f>IF($CN1296="refNeedCorrection",-BX1296,BX1296)*IF($BP1296="Emissions positive",-1,1)</f>
        <v>-0.84714399305555566</v>
      </c>
      <c r="CU1296" t="str">
        <f>IFERROR(CT1296/CQ1296,"")</f>
        <v/>
      </c>
      <c r="CV1296" s="2">
        <f>IFERROR((CS1296-CR1296)/ABS(CR1296),"")</f>
        <v>-33.534900822368201</v>
      </c>
      <c r="CW1296" s="1" t="s">
        <v>1203</v>
      </c>
      <c r="CX1296" s="312" t="str">
        <f>IF(OR($CW1296="prd",$CW1296="std",$CW1296="cit"),"loc",IF(OR($CW1296="eur",$CW1296="reg",$CW1296="coy"),"reg",$CW1296))</f>
        <v>reg</v>
      </c>
      <c r="CY1296" t="s">
        <v>3589</v>
      </c>
      <c r="CZ1296">
        <v>2000</v>
      </c>
      <c r="DA1296">
        <v>2007</v>
      </c>
      <c r="DB1296">
        <v>7</v>
      </c>
      <c r="DC1296" t="str">
        <f>IF(DB1296=0,"0",IF(AND(DB1296&gt;=1,DB1296&lt;=30),"1-30",IF(AND(DB1296&gt;30,DB1296&lt;=70),"31-70",IF(AND(DB1296&gt;70,DB1296&lt;=100),"71-100",IF(DB1296&gt;100,"+100")))))</f>
        <v>1-30</v>
      </c>
      <c r="DD1296">
        <v>0</v>
      </c>
      <c r="DE1296">
        <v>0</v>
      </c>
      <c r="DF1296">
        <v>0</v>
      </c>
      <c r="DG1296">
        <v>1</v>
      </c>
      <c r="DI1296">
        <f>SUM(DD1296:DG1296)</f>
        <v>1</v>
      </c>
      <c r="DJ1296" t="str">
        <f>IF(DI1296=1,INDEX($DD$7:$DG$7,MATCH(1,$DD1296:$DG1296,0)),"mixedProduct")</f>
        <v>TimberInput</v>
      </c>
      <c r="DK1296">
        <f>IF(DD1296=1,DK$7,0)</f>
        <v>0</v>
      </c>
      <c r="DL1296">
        <f>IF(DE1296=1,DL$7,0)</f>
        <v>0</v>
      </c>
      <c r="DM1296">
        <f>IF(DF1296=1,DM$7,0)</f>
        <v>0</v>
      </c>
      <c r="DN1296" t="str">
        <f>IF(DG1296=1,DN$7,0)</f>
        <v>Timber</v>
      </c>
      <c r="DO1296">
        <v>0</v>
      </c>
      <c r="DP1296">
        <v>0</v>
      </c>
      <c r="DQ1296">
        <v>0</v>
      </c>
      <c r="DR1296">
        <v>0</v>
      </c>
      <c r="DS1296">
        <v>0</v>
      </c>
      <c r="DT1296">
        <f>SUM(DO1296:DP1296)</f>
        <v>0</v>
      </c>
      <c r="DU1296" s="143" t="str">
        <f>IF(DO1296=1,"self-calculated DF",IF(DP1296=1,"external DF used","explicit C balance"))</f>
        <v>explicit C balance</v>
      </c>
      <c r="DV1296">
        <v>0</v>
      </c>
      <c r="DW1296">
        <v>0</v>
      </c>
      <c r="DX1296">
        <v>0</v>
      </c>
      <c r="DY1296">
        <v>0</v>
      </c>
      <c r="DZ1296">
        <v>0</v>
      </c>
      <c r="EA1296" s="143">
        <v>0</v>
      </c>
      <c r="EB1296">
        <v>1</v>
      </c>
      <c r="EC1296">
        <v>1</v>
      </c>
      <c r="ED1296">
        <v>0</v>
      </c>
      <c r="EE1296">
        <v>0</v>
      </c>
      <c r="EF1296">
        <v>0</v>
      </c>
      <c r="EG1296">
        <v>0</v>
      </c>
      <c r="EH1296">
        <v>0</v>
      </c>
      <c r="EI1296" s="2">
        <v>0</v>
      </c>
      <c r="EK1296" t="str">
        <f>IF(AND(AND(AND(OR($DX1296=1,$DW1296=1),OR($EC1296=1,$EA1296=1)),SUM($DV1296:$DZ1296,$EF1296)&gt;=3),SUM($EA1296:$EE1296)&gt;=2),"Whole sector","")</f>
        <v/>
      </c>
      <c r="EL1296" t="str">
        <f>IF(AND(AND(OR($DX1296=1,$DW1296=1),AND($EC1296=0,$EA1296=0)),SUM($DV1296:$DZ1296,$EF1296)&gt;=3),"Ecosystem approach","")</f>
        <v/>
      </c>
      <c r="EM1296" s="2" t="str">
        <f>IF(AND(AND(AND($DX1296=0,$DW1296=0),OR($EC1296=1,$EA1296=1)),SUM($EB1296:$EE1296)&gt;=2),"Technology approach","")</f>
        <v>Technology approach</v>
      </c>
      <c r="EN1296" t="s">
        <v>3590</v>
      </c>
      <c r="EP1296" t="b">
        <f>IF(ISNUMBER(BU1296),IF(ABS(BU1296-[5]QC_indicators!$B$2)&gt;3*[5]QC_indicators!$C$2,"C ratio",IF(ISNUMBER(BY1296),IF(ABS(BY1296-[5]QC_indicators!$B$1)&gt;3*[5]QC_indicators!$C$1,"DF","no"))),IF(ISNUMBER(BY1296),IF(ABS(BY1296-[5]QC_indicators!$B$1)&gt;3*[5]QC_indicators!$C$1,"DF","no")))</f>
        <v>0</v>
      </c>
      <c r="EQ1296" t="s">
        <v>286</v>
      </c>
    </row>
    <row r="1297" spans="1:148" ht="15" customHeight="1">
      <c r="A1297" s="1" t="s">
        <v>380</v>
      </c>
      <c r="B1297" t="s">
        <v>3578</v>
      </c>
      <c r="C1297" t="s">
        <v>3579</v>
      </c>
      <c r="D1297" t="s">
        <v>3580</v>
      </c>
      <c r="E1297" s="312" t="s">
        <v>3581</v>
      </c>
      <c r="F1297" t="s">
        <v>3582</v>
      </c>
      <c r="G1297" t="s">
        <v>386</v>
      </c>
      <c r="H1297" t="s">
        <v>254</v>
      </c>
      <c r="I1297">
        <v>2010</v>
      </c>
      <c r="J1297">
        <v>22</v>
      </c>
      <c r="K1297" t="s">
        <v>3583</v>
      </c>
      <c r="M1297" t="str">
        <f>LEFT($D1297,FIND(",",$D1297)-1)&amp;"_"&amp;I1297&amp;L1297</f>
        <v>Eshun_2010</v>
      </c>
      <c r="N1297" s="312" t="s">
        <v>4383</v>
      </c>
      <c r="O1297" s="145" t="s">
        <v>274</v>
      </c>
      <c r="Q1297" s="312" t="s">
        <v>256</v>
      </c>
      <c r="R1297" s="313"/>
      <c r="S1297" s="1" t="s">
        <v>3584</v>
      </c>
      <c r="T1297" t="s">
        <v>3585</v>
      </c>
      <c r="U1297" t="s">
        <v>1530</v>
      </c>
      <c r="V1297">
        <v>0</v>
      </c>
      <c r="W1297">
        <v>0</v>
      </c>
      <c r="X1297">
        <v>0</v>
      </c>
      <c r="Y1297">
        <v>0</v>
      </c>
      <c r="Z1297">
        <v>0</v>
      </c>
      <c r="AA1297">
        <v>0</v>
      </c>
      <c r="AB1297">
        <v>0</v>
      </c>
      <c r="AC1297">
        <v>0</v>
      </c>
      <c r="AD1297">
        <v>0</v>
      </c>
      <c r="AE1297">
        <v>0</v>
      </c>
      <c r="AF1297">
        <v>1</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s="141">
        <f>COUNTIF(V1297:AW1297,"&lt;&gt;0")</f>
        <v>1</v>
      </c>
      <c r="AY1297" s="141">
        <f>COUNTIF(V1297:AL1297,"&lt;&gt;0")</f>
        <v>1</v>
      </c>
      <c r="AZ1297">
        <f>COUNTIF(V1297:AC1297,"&lt;&gt;0")</f>
        <v>0</v>
      </c>
      <c r="BA1297">
        <f>COUNTIF(AD1297:AI1297,"&lt;&gt;0")</f>
        <v>1</v>
      </c>
      <c r="BB1297">
        <f>COUNTIF(AJ1297:AL1297,"&lt;&gt;0")</f>
        <v>0</v>
      </c>
      <c r="BC1297">
        <f>COUNTIF(AS1297:AW1297,"&lt;&gt;0")</f>
        <v>0</v>
      </c>
      <c r="BD1297">
        <f>COUNTIF(AM1297:AR1297,"&lt;&gt;0")</f>
        <v>0</v>
      </c>
      <c r="BE1297" t="str" cm="1">
        <f t="array" ref="BE1297">IF(AY1297=1,INDEX($V$7:$AL$7,MATCH(TRUE,INDEX($V1297:$AW1297&lt;&gt;0,),0)),IF(AY1297=0,INDEX($AM$7:$AW$7,MATCH(1,$AM1297:$AW1297,0)),IF(BF1297="Multiple strategies","mixed drivers",IF(BF1297="Supply chain","multiple supply","multiple silviculture"))))</f>
        <v>supply chain organization</v>
      </c>
      <c r="BF1297" s="2" t="str" cm="1">
        <f t="array" ref="BF1297">IF(COUNTIF(AZ1297:BB1297,"&lt;&gt;0")=1,INDEX($V$4:$AW$4,MATCH(TRUE,INDEX($V1297:$AW1297&lt;&gt;0,),0)),IF(COUNTIF(AZ1297:BB1297,"&lt;&gt;0")=0,INDEX($AM$4:$AW$4,MATCH(1,$AM1297:$AW1297,0)),"Multiple strategies"))</f>
        <v>Supply chain</v>
      </c>
      <c r="BG1297" s="142" t="s">
        <v>321</v>
      </c>
      <c r="BH1297" t="s">
        <v>3587</v>
      </c>
      <c r="BJ1297" t="s">
        <v>498</v>
      </c>
      <c r="BK1297">
        <v>1</v>
      </c>
      <c r="BL1297">
        <v>1</v>
      </c>
      <c r="BM1297">
        <f>BL1297/BK1297</f>
        <v>1</v>
      </c>
      <c r="BN1297">
        <f>BL1297-BK1297</f>
        <v>0</v>
      </c>
      <c r="BO1297">
        <f>BN1297</f>
        <v>0</v>
      </c>
      <c r="BP1297" t="s">
        <v>232</v>
      </c>
      <c r="BR1297" t="s">
        <v>3588</v>
      </c>
      <c r="BS1297">
        <v>-2.5261562500000001E-2</v>
      </c>
      <c r="BT1297">
        <v>-0.71651656250000006</v>
      </c>
      <c r="BU1297" s="144">
        <f>IFERROR(BT1297/BS1297,"")</f>
        <v>28.363905142447148</v>
      </c>
      <c r="BV1297" s="152">
        <f>BT1297-BS1297</f>
        <v>-0.69125500000000006</v>
      </c>
      <c r="BW1297" s="152"/>
      <c r="BX1297" s="152">
        <f>BV1297</f>
        <v>-0.69125500000000006</v>
      </c>
      <c r="BY1297" t="str">
        <f>IFERROR(BX1297/BO1297,"")</f>
        <v/>
      </c>
      <c r="BZ1297">
        <v>0</v>
      </c>
      <c r="CA1297">
        <v>1</v>
      </c>
      <c r="CB1297">
        <v>1</v>
      </c>
      <c r="CC1297">
        <v>1</v>
      </c>
      <c r="CD1297">
        <v>1</v>
      </c>
      <c r="CE1297">
        <v>1</v>
      </c>
      <c r="CF1297">
        <v>1</v>
      </c>
      <c r="CG1297">
        <v>0</v>
      </c>
      <c r="CH1297">
        <v>0</v>
      </c>
      <c r="CI1297">
        <v>0</v>
      </c>
      <c r="CJ1297">
        <v>0</v>
      </c>
      <c r="CK1297">
        <v>0</v>
      </c>
      <c r="CL1297">
        <v>0</v>
      </c>
      <c r="CM1297">
        <v>0</v>
      </c>
      <c r="CN1297" t="str">
        <f>IF(BL1297&lt;BK1297,"refNeedCorrection","refOK")</f>
        <v>refOK</v>
      </c>
      <c r="CO1297">
        <f>IF($CN1297="refOK",$BK1297,$BL1297)</f>
        <v>1</v>
      </c>
      <c r="CP1297">
        <f>IF($CN1297="refOK",$BL1297,$BK1297)</f>
        <v>1</v>
      </c>
      <c r="CQ1297">
        <f>IF($CN1297="refOK",$BO1297,-$BO1297)</f>
        <v>0</v>
      </c>
      <c r="CR1297">
        <f>IF($CN1297="refOK",$BS1297,$BT1297)*IF($BP1297="Emissions positive",-1,1)</f>
        <v>-2.5261562500000001E-2</v>
      </c>
      <c r="CS1297">
        <f>IF($CN1297="refOK",$BT1297,$BS1297)*IF($BP1297="Emissions positive",-1,1)</f>
        <v>-0.71651656250000006</v>
      </c>
      <c r="CT1297">
        <f>IF($CN1297="refNeedCorrection",-BX1297,BX1297)*IF($BP1297="Emissions positive",-1,1)</f>
        <v>-0.69125500000000006</v>
      </c>
      <c r="CU1297" t="str">
        <f>IFERROR(CT1297/CQ1297,"")</f>
        <v/>
      </c>
      <c r="CV1297" s="2">
        <f>IFERROR((CS1297-CR1297)/ABS(CR1297),"")</f>
        <v>-27.363905142447148</v>
      </c>
      <c r="CW1297" s="1" t="s">
        <v>1203</v>
      </c>
      <c r="CX1297" s="312" t="str">
        <f>IF(OR($CW1297="prd",$CW1297="std",$CW1297="cit"),"loc",IF(OR($CW1297="eur",$CW1297="reg",$CW1297="coy"),"reg",$CW1297))</f>
        <v>reg</v>
      </c>
      <c r="CY1297" t="s">
        <v>3589</v>
      </c>
      <c r="CZ1297">
        <v>2000</v>
      </c>
      <c r="DA1297">
        <v>2007</v>
      </c>
      <c r="DB1297">
        <v>7</v>
      </c>
      <c r="DC1297" t="str">
        <f>IF(DB1297=0,"0",IF(AND(DB1297&gt;=1,DB1297&lt;=30),"1-30",IF(AND(DB1297&gt;30,DB1297&lt;=70),"31-70",IF(AND(DB1297&gt;70,DB1297&lt;=100),"71-100",IF(DB1297&gt;100,"+100")))))</f>
        <v>1-30</v>
      </c>
      <c r="DD1297">
        <v>0</v>
      </c>
      <c r="DE1297">
        <v>0</v>
      </c>
      <c r="DF1297">
        <v>0</v>
      </c>
      <c r="DG1297">
        <v>1</v>
      </c>
      <c r="DI1297">
        <f>SUM(DD1297:DG1297)</f>
        <v>1</v>
      </c>
      <c r="DJ1297" t="str">
        <f>IF(DI1297=1,INDEX($DD$7:$DG$7,MATCH(1,$DD1297:$DG1297,0)),"mixedProduct")</f>
        <v>TimberInput</v>
      </c>
      <c r="DK1297">
        <f>IF(DD1297=1,DK$7,0)</f>
        <v>0</v>
      </c>
      <c r="DL1297">
        <f>IF(DE1297=1,DL$7,0)</f>
        <v>0</v>
      </c>
      <c r="DM1297">
        <f>IF(DF1297=1,DM$7,0)</f>
        <v>0</v>
      </c>
      <c r="DN1297" t="str">
        <f>IF(DG1297=1,DN$7,0)</f>
        <v>Timber</v>
      </c>
      <c r="DO1297">
        <v>0</v>
      </c>
      <c r="DP1297">
        <v>0</v>
      </c>
      <c r="DQ1297">
        <v>0</v>
      </c>
      <c r="DR1297">
        <v>0</v>
      </c>
      <c r="DS1297">
        <v>0</v>
      </c>
      <c r="DT1297">
        <f>SUM(DO1297:DP1297)</f>
        <v>0</v>
      </c>
      <c r="DU1297" s="143" t="str">
        <f>IF(DO1297=1,"self-calculated DF",IF(DP1297=1,"external DF used","explicit C balance"))</f>
        <v>explicit C balance</v>
      </c>
      <c r="DV1297">
        <v>0</v>
      </c>
      <c r="DW1297">
        <v>0</v>
      </c>
      <c r="DX1297">
        <v>0</v>
      </c>
      <c r="DY1297">
        <v>0</v>
      </c>
      <c r="DZ1297">
        <v>0</v>
      </c>
      <c r="EA1297" s="143">
        <v>0</v>
      </c>
      <c r="EB1297">
        <v>1</v>
      </c>
      <c r="EC1297">
        <v>1</v>
      </c>
      <c r="ED1297">
        <v>0</v>
      </c>
      <c r="EE1297">
        <v>0</v>
      </c>
      <c r="EF1297">
        <v>0</v>
      </c>
      <c r="EG1297">
        <v>0</v>
      </c>
      <c r="EH1297">
        <v>0</v>
      </c>
      <c r="EI1297" s="2">
        <v>0</v>
      </c>
      <c r="EK1297" t="str">
        <f>IF(AND(AND(AND(OR($DX1297=1,$DW1297=1),OR($EC1297=1,$EA1297=1)),SUM($DV1297:$DZ1297,$EF1297)&gt;=3),SUM($EA1297:$EE1297)&gt;=2),"Whole sector","")</f>
        <v/>
      </c>
      <c r="EL1297" t="str">
        <f>IF(AND(AND(OR($DX1297=1,$DW1297=1),AND($EC1297=0,$EA1297=0)),SUM($DV1297:$DZ1297,$EF1297)&gt;=3),"Ecosystem approach","")</f>
        <v/>
      </c>
      <c r="EM1297" s="2" t="str">
        <f>IF(AND(AND(AND($DX1297=0,$DW1297=0),OR($EC1297=1,$EA1297=1)),SUM($EB1297:$EE1297)&gt;=2),"Technology approach","")</f>
        <v>Technology approach</v>
      </c>
      <c r="EN1297" t="s">
        <v>3590</v>
      </c>
      <c r="EP1297" t="b">
        <f>IF(ISNUMBER(BU1297),IF(ABS(BU1297-[5]QC_indicators!$B$2)&gt;3*[5]QC_indicators!$C$2,"C ratio",IF(ISNUMBER(BY1297),IF(ABS(BY1297-[5]QC_indicators!$B$1)&gt;3*[5]QC_indicators!$C$1,"DF","no"))),IF(ISNUMBER(BY1297),IF(ABS(BY1297-[5]QC_indicators!$B$1)&gt;3*[5]QC_indicators!$C$1,"DF","no")))</f>
        <v>0</v>
      </c>
      <c r="EQ1297" t="s">
        <v>286</v>
      </c>
    </row>
    <row r="1298" spans="1:148" ht="15" customHeight="1">
      <c r="A1298" s="1" t="s">
        <v>380</v>
      </c>
      <c r="B1298" t="s">
        <v>3578</v>
      </c>
      <c r="C1298" t="s">
        <v>3579</v>
      </c>
      <c r="D1298" t="s">
        <v>3580</v>
      </c>
      <c r="E1298" t="s">
        <v>3581</v>
      </c>
      <c r="F1298" t="s">
        <v>3582</v>
      </c>
      <c r="G1298" t="s">
        <v>386</v>
      </c>
      <c r="H1298" t="s">
        <v>254</v>
      </c>
      <c r="I1298">
        <v>2010</v>
      </c>
      <c r="J1298">
        <v>22</v>
      </c>
      <c r="K1298" t="s">
        <v>3583</v>
      </c>
      <c r="M1298" t="str">
        <f>LEFT($D1298,FIND(",",$D1298)-1)&amp;"_"&amp;I1298&amp;L1298</f>
        <v>Eshun_2010</v>
      </c>
      <c r="N1298" s="312" t="s">
        <v>4383</v>
      </c>
      <c r="O1298" s="145" t="s">
        <v>274</v>
      </c>
      <c r="Q1298" s="312" t="s">
        <v>256</v>
      </c>
      <c r="R1298" s="313"/>
      <c r="S1298" s="1" t="s">
        <v>3584</v>
      </c>
      <c r="T1298" t="s">
        <v>3585</v>
      </c>
      <c r="U1298" t="s">
        <v>3591</v>
      </c>
      <c r="V1298">
        <v>0</v>
      </c>
      <c r="W1298">
        <v>0</v>
      </c>
      <c r="X1298">
        <v>0</v>
      </c>
      <c r="Y1298">
        <v>0</v>
      </c>
      <c r="Z1298">
        <v>0</v>
      </c>
      <c r="AA1298">
        <v>0</v>
      </c>
      <c r="AB1298">
        <v>0</v>
      </c>
      <c r="AC1298">
        <v>0</v>
      </c>
      <c r="AD1298">
        <v>0</v>
      </c>
      <c r="AE1298">
        <v>0</v>
      </c>
      <c r="AF1298">
        <v>1</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s="141">
        <f>COUNTIF(V1298:AW1298,"&lt;&gt;0")</f>
        <v>1</v>
      </c>
      <c r="AY1298" s="141">
        <f>COUNTIF(V1298:AL1298,"&lt;&gt;0")</f>
        <v>1</v>
      </c>
      <c r="AZ1298">
        <f>COUNTIF(V1298:AC1298,"&lt;&gt;0")</f>
        <v>0</v>
      </c>
      <c r="BA1298">
        <f>COUNTIF(AD1298:AI1298,"&lt;&gt;0")</f>
        <v>1</v>
      </c>
      <c r="BB1298">
        <f>COUNTIF(AJ1298:AL1298,"&lt;&gt;0")</f>
        <v>0</v>
      </c>
      <c r="BC1298">
        <f>COUNTIF(AS1298:AW1298,"&lt;&gt;0")</f>
        <v>0</v>
      </c>
      <c r="BD1298">
        <f>COUNTIF(AM1298:AR1298,"&lt;&gt;0")</f>
        <v>0</v>
      </c>
      <c r="BE1298" t="str" cm="1">
        <f t="array" ref="BE1298">IF(AY1298=1,INDEX($V$7:$AL$7,MATCH(TRUE,INDEX($V1298:$AW1298&lt;&gt;0,),0)),IF(AY1298=0,INDEX($AM$7:$AW$7,MATCH(1,$AM1298:$AW1298,0)),IF(BF1298="Multiple strategies","mixed drivers",IF(BF1298="Supply chain","multiple supply","multiple silviculture"))))</f>
        <v>supply chain organization</v>
      </c>
      <c r="BF1298" s="2" t="str" cm="1">
        <f t="array" ref="BF1298">IF(COUNTIF(AZ1298:BB1298,"&lt;&gt;0")=1,INDEX($V$4:$AW$4,MATCH(TRUE,INDEX($V1298:$AW1298&lt;&gt;0,),0)),IF(COUNTIF(AZ1298:BB1298,"&lt;&gt;0")=0,INDEX($AM$4:$AW$4,MATCH(1,$AM1298:$AW1298,0)),"Multiple strategies"))</f>
        <v>Supply chain</v>
      </c>
      <c r="BG1298" s="142" t="s">
        <v>321</v>
      </c>
      <c r="BH1298" t="s">
        <v>3587</v>
      </c>
      <c r="BJ1298" t="s">
        <v>498</v>
      </c>
      <c r="BK1298">
        <v>1</v>
      </c>
      <c r="BL1298">
        <v>1</v>
      </c>
      <c r="BM1298">
        <f>BL1298/BK1298</f>
        <v>1</v>
      </c>
      <c r="BN1298">
        <f>BL1298-BK1298</f>
        <v>0</v>
      </c>
      <c r="BO1298">
        <f>BN1298</f>
        <v>0</v>
      </c>
      <c r="BP1298" t="s">
        <v>232</v>
      </c>
      <c r="BR1298" t="s">
        <v>3588</v>
      </c>
      <c r="BS1298">
        <v>-2.5261562500000001E-2</v>
      </c>
      <c r="BT1298">
        <v>-0.52060840909090911</v>
      </c>
      <c r="BU1298" s="144">
        <f>IFERROR(BT1298/BS1298,"")</f>
        <v>20.608717655169155</v>
      </c>
      <c r="BV1298" s="152">
        <f>BT1298-BS1298</f>
        <v>-0.49534684659090911</v>
      </c>
      <c r="BW1298" s="152"/>
      <c r="BX1298" s="152">
        <f>BV1298</f>
        <v>-0.49534684659090911</v>
      </c>
      <c r="BY1298" t="str">
        <f>IFERROR(BX1298/BO1298,"")</f>
        <v/>
      </c>
      <c r="BZ1298">
        <v>0</v>
      </c>
      <c r="CA1298">
        <v>1</v>
      </c>
      <c r="CB1298">
        <v>1</v>
      </c>
      <c r="CC1298">
        <v>1</v>
      </c>
      <c r="CD1298">
        <v>1</v>
      </c>
      <c r="CE1298">
        <v>1</v>
      </c>
      <c r="CF1298">
        <v>1</v>
      </c>
      <c r="CG1298">
        <v>0</v>
      </c>
      <c r="CH1298">
        <v>0</v>
      </c>
      <c r="CI1298">
        <v>0</v>
      </c>
      <c r="CJ1298">
        <v>0</v>
      </c>
      <c r="CK1298">
        <v>0</v>
      </c>
      <c r="CL1298">
        <v>0</v>
      </c>
      <c r="CM1298">
        <v>0</v>
      </c>
      <c r="CN1298" t="str">
        <f>IF(BL1298&lt;BK1298,"refNeedCorrection","refOK")</f>
        <v>refOK</v>
      </c>
      <c r="CO1298">
        <f>IF($CN1298="refOK",$BK1298,$BL1298)</f>
        <v>1</v>
      </c>
      <c r="CP1298">
        <f>IF($CN1298="refOK",$BL1298,$BK1298)</f>
        <v>1</v>
      </c>
      <c r="CQ1298">
        <f>IF($CN1298="refOK",$BO1298,-$BO1298)</f>
        <v>0</v>
      </c>
      <c r="CR1298">
        <f>IF($CN1298="refOK",$BS1298,$BT1298)*IF($BP1298="Emissions positive",-1,1)</f>
        <v>-2.5261562500000001E-2</v>
      </c>
      <c r="CS1298">
        <f>IF($CN1298="refOK",$BT1298,$BS1298)*IF($BP1298="Emissions positive",-1,1)</f>
        <v>-0.52060840909090911</v>
      </c>
      <c r="CT1298">
        <f>IF($CN1298="refNeedCorrection",-BX1298,BX1298)*IF($BP1298="Emissions positive",-1,1)</f>
        <v>-0.49534684659090911</v>
      </c>
      <c r="CU1298" t="str">
        <f>IFERROR(CT1298/CQ1298,"")</f>
        <v/>
      </c>
      <c r="CV1298" s="2">
        <f>IFERROR((CS1298-CR1298)/ABS(CR1298),"")</f>
        <v>-19.608717655169155</v>
      </c>
      <c r="CW1298" s="1" t="s">
        <v>1203</v>
      </c>
      <c r="CX1298" s="312" t="str">
        <f>IF(OR($CW1298="prd",$CW1298="std",$CW1298="cit"),"loc",IF(OR($CW1298="eur",$CW1298="reg",$CW1298="coy"),"reg",$CW1298))</f>
        <v>reg</v>
      </c>
      <c r="CY1298" t="s">
        <v>3589</v>
      </c>
      <c r="CZ1298">
        <v>2000</v>
      </c>
      <c r="DA1298">
        <v>2007</v>
      </c>
      <c r="DB1298">
        <v>7</v>
      </c>
      <c r="DC1298" t="str">
        <f>IF(DB1298=0,"0",IF(AND(DB1298&gt;=1,DB1298&lt;=30),"1-30",IF(AND(DB1298&gt;30,DB1298&lt;=70),"31-70",IF(AND(DB1298&gt;70,DB1298&lt;=100),"71-100",IF(DB1298&gt;100,"+100")))))</f>
        <v>1-30</v>
      </c>
      <c r="DD1298">
        <v>0</v>
      </c>
      <c r="DE1298">
        <v>0</v>
      </c>
      <c r="DF1298">
        <v>0</v>
      </c>
      <c r="DG1298">
        <v>1</v>
      </c>
      <c r="DI1298">
        <f>SUM(DD1298:DG1298)</f>
        <v>1</v>
      </c>
      <c r="DJ1298" t="str">
        <f>IF(DI1298=1,INDEX($DD$7:$DG$7,MATCH(1,$DD1298:$DG1298,0)),"mixedProduct")</f>
        <v>TimberInput</v>
      </c>
      <c r="DK1298">
        <f>IF(DD1298=1,DK$7,0)</f>
        <v>0</v>
      </c>
      <c r="DL1298">
        <f>IF(DE1298=1,DL$7,0)</f>
        <v>0</v>
      </c>
      <c r="DM1298">
        <f>IF(DF1298=1,DM$7,0)</f>
        <v>0</v>
      </c>
      <c r="DN1298" t="str">
        <f>IF(DG1298=1,DN$7,0)</f>
        <v>Timber</v>
      </c>
      <c r="DO1298">
        <v>0</v>
      </c>
      <c r="DP1298">
        <v>0</v>
      </c>
      <c r="DQ1298">
        <v>0</v>
      </c>
      <c r="DR1298">
        <v>0</v>
      </c>
      <c r="DS1298">
        <v>0</v>
      </c>
      <c r="DT1298">
        <f>SUM(DO1298:DP1298)</f>
        <v>0</v>
      </c>
      <c r="DU1298" s="143" t="str">
        <f>IF(DO1298=1,"self-calculated DF",IF(DP1298=1,"external DF used","explicit C balance"))</f>
        <v>explicit C balance</v>
      </c>
      <c r="DV1298">
        <v>0</v>
      </c>
      <c r="DW1298">
        <v>0</v>
      </c>
      <c r="DX1298">
        <v>0</v>
      </c>
      <c r="DY1298">
        <v>0</v>
      </c>
      <c r="DZ1298">
        <v>0</v>
      </c>
      <c r="EA1298" s="143">
        <v>0</v>
      </c>
      <c r="EB1298">
        <v>1</v>
      </c>
      <c r="EC1298">
        <v>1</v>
      </c>
      <c r="ED1298">
        <v>0</v>
      </c>
      <c r="EE1298">
        <v>0</v>
      </c>
      <c r="EF1298">
        <v>0</v>
      </c>
      <c r="EG1298">
        <v>0</v>
      </c>
      <c r="EH1298">
        <v>0</v>
      </c>
      <c r="EI1298" s="2">
        <v>0</v>
      </c>
      <c r="EK1298" t="str">
        <f>IF(AND(AND(AND(OR($DX1298=1,$DW1298=1),OR($EC1298=1,$EA1298=1)),SUM($DV1298:$DZ1298,$EF1298)&gt;=3),SUM($EA1298:$EE1298)&gt;=2),"Whole sector","")</f>
        <v/>
      </c>
      <c r="EL1298" t="str">
        <f>IF(AND(AND(OR($DX1298=1,$DW1298=1),AND($EC1298=0,$EA1298=0)),SUM($DV1298:$DZ1298,$EF1298)&gt;=3),"Ecosystem approach","")</f>
        <v/>
      </c>
      <c r="EM1298" s="2" t="str">
        <f>IF(AND(AND(AND($DX1298=0,$DW1298=0),OR($EC1298=1,$EA1298=1)),SUM($EB1298:$EE1298)&gt;=2),"Technology approach","")</f>
        <v>Technology approach</v>
      </c>
      <c r="EN1298" t="s">
        <v>3590</v>
      </c>
      <c r="EP1298" t="b">
        <f>IF(ISNUMBER(BU1298),IF(ABS(BU1298-[5]QC_indicators!$B$2)&gt;3*[5]QC_indicators!$C$2,"C ratio",IF(ISNUMBER(BY1298),IF(ABS(BY1298-[5]QC_indicators!$B$1)&gt;3*[5]QC_indicators!$C$1,"DF","no"))),IF(ISNUMBER(BY1298),IF(ABS(BY1298-[5]QC_indicators!$B$1)&gt;3*[5]QC_indicators!$C$1,"DF","no")))</f>
        <v>0</v>
      </c>
      <c r="EQ1298" t="s">
        <v>286</v>
      </c>
    </row>
    <row r="1299" spans="1:148" ht="15" customHeight="1">
      <c r="A1299" s="1" t="s">
        <v>380</v>
      </c>
      <c r="B1299" t="s">
        <v>3592</v>
      </c>
      <c r="C1299" t="s">
        <v>544</v>
      </c>
      <c r="D1299" t="s">
        <v>3593</v>
      </c>
      <c r="E1299" t="s">
        <v>3594</v>
      </c>
      <c r="F1299" t="s">
        <v>3595</v>
      </c>
      <c r="G1299" t="s">
        <v>386</v>
      </c>
      <c r="H1299" t="s">
        <v>254</v>
      </c>
      <c r="I1299">
        <v>2003</v>
      </c>
      <c r="J1299">
        <v>83</v>
      </c>
      <c r="K1299" t="s">
        <v>3596</v>
      </c>
      <c r="M1299" t="str">
        <f>LEFT($D1299,FIND(",",$D1299)-1)&amp;"_"&amp;I1299&amp;L1299</f>
        <v>Fu_2003</v>
      </c>
      <c r="N1299" s="312" t="s">
        <v>4383</v>
      </c>
      <c r="O1299" s="181" t="s">
        <v>225</v>
      </c>
      <c r="Q1299" s="312" t="s">
        <v>256</v>
      </c>
      <c r="R1299" s="313"/>
      <c r="S1299" s="1" t="s">
        <v>3597</v>
      </c>
      <c r="T1299" t="s">
        <v>3598</v>
      </c>
      <c r="U1299" t="s">
        <v>3599</v>
      </c>
      <c r="V1299">
        <v>0</v>
      </c>
      <c r="W1299">
        <v>0</v>
      </c>
      <c r="X1299">
        <v>0</v>
      </c>
      <c r="Y1299">
        <v>0</v>
      </c>
      <c r="Z1299">
        <v>0</v>
      </c>
      <c r="AA1299">
        <v>0</v>
      </c>
      <c r="AB1299">
        <v>0</v>
      </c>
      <c r="AC1299">
        <v>0</v>
      </c>
      <c r="AD1299">
        <v>0</v>
      </c>
      <c r="AE1299">
        <v>0</v>
      </c>
      <c r="AF1299">
        <v>1</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s="141">
        <f>COUNTIF(V1299:AW1299,"&lt;&gt;0")</f>
        <v>1</v>
      </c>
      <c r="AY1299" s="141">
        <f>COUNTIF(V1299:AL1299,"&lt;&gt;0")</f>
        <v>1</v>
      </c>
      <c r="AZ1299">
        <f>COUNTIF(V1299:AC1299,"&lt;&gt;0")</f>
        <v>0</v>
      </c>
      <c r="BA1299">
        <f>COUNTIF(AD1299:AI1299,"&lt;&gt;0")</f>
        <v>1</v>
      </c>
      <c r="BB1299">
        <f>COUNTIF(AJ1299:AL1299,"&lt;&gt;0")</f>
        <v>0</v>
      </c>
      <c r="BC1299">
        <f>COUNTIF(AS1299:AW1299,"&lt;&gt;0")</f>
        <v>0</v>
      </c>
      <c r="BD1299">
        <f>COUNTIF(AM1299:AR1299,"&lt;&gt;0")</f>
        <v>0</v>
      </c>
      <c r="BE1299" t="str" cm="1">
        <f t="array" ref="BE1299">IF(AY1299=1,INDEX($V$7:$AL$7,MATCH(TRUE,INDEX($V1299:$AW1299&lt;&gt;0,),0)),IF(AY1299=0,INDEX($AM$7:$AW$7,MATCH(1,$AM1299:$AW1299,0)),IF(BF1299="Multiple strategies","mixed drivers",IF(BF1299="Supply chain","multiple supply","multiple silviculture"))))</f>
        <v>supply chain organization</v>
      </c>
      <c r="BF1299" s="2" t="str" cm="1">
        <f t="array" ref="BF1299">IF(COUNTIF(AZ1299:BB1299,"&lt;&gt;0")=1,INDEX($V$4:$AW$4,MATCH(TRUE,INDEX($V1299:$AW1299&lt;&gt;0,),0)),IF(COUNTIF(AZ1299:BB1299,"&lt;&gt;0")=0,INDEX($AM$4:$AW$4,MATCH(1,$AM1299:$AW1299,0)),"Multiple strategies"))</f>
        <v>Supply chain</v>
      </c>
      <c r="BG1299" s="164"/>
      <c r="BH1299" s="165"/>
      <c r="BI1299" s="165"/>
      <c r="BJ1299" s="166"/>
      <c r="BK1299" s="167"/>
      <c r="BL1299" s="320"/>
      <c r="BM1299" s="321"/>
      <c r="BN1299" s="168"/>
      <c r="BP1299" s="312" t="s">
        <v>232</v>
      </c>
      <c r="BQ1299" s="312"/>
      <c r="BR1299" t="s">
        <v>3600</v>
      </c>
      <c r="BS1299">
        <v>-256</v>
      </c>
      <c r="BT1299">
        <v>-255</v>
      </c>
      <c r="BU1299" s="144">
        <v>0.99609375</v>
      </c>
      <c r="BV1299">
        <v>1</v>
      </c>
      <c r="BX1299">
        <f>BV1299/10^6</f>
        <v>9.9999999999999995E-7</v>
      </c>
      <c r="BY1299" t="str">
        <f>IFERROR(BX1299/BO1299,"")</f>
        <v/>
      </c>
      <c r="BZ1299">
        <v>1</v>
      </c>
      <c r="CA1299">
        <v>0</v>
      </c>
      <c r="CB1299">
        <v>0</v>
      </c>
      <c r="CC1299">
        <v>0</v>
      </c>
      <c r="CD1299">
        <v>0</v>
      </c>
      <c r="CE1299">
        <v>0</v>
      </c>
      <c r="CF1299">
        <v>0</v>
      </c>
      <c r="CG1299">
        <v>0</v>
      </c>
      <c r="CH1299">
        <v>0</v>
      </c>
      <c r="CI1299">
        <v>0</v>
      </c>
      <c r="CJ1299">
        <v>1</v>
      </c>
      <c r="CK1299">
        <v>0</v>
      </c>
      <c r="CL1299">
        <v>0</v>
      </c>
      <c r="CM1299">
        <v>0</v>
      </c>
      <c r="CN1299" t="str">
        <f>IF(BL1299&lt;BK1299,"refNeedCorrection","refOK")</f>
        <v>refOK</v>
      </c>
      <c r="CO1299"/>
      <c r="CP1299"/>
      <c r="CQ1299">
        <f>IF($CN1299="refOK",$BO1299,-$BO1299)</f>
        <v>0</v>
      </c>
      <c r="CR1299">
        <f>IF($CN1299="refOK",$BS1299,$BT1299)*IF($BP1299="Emissions positive",-1,1)</f>
        <v>-256</v>
      </c>
      <c r="CS1299">
        <f>IF($CN1299="refOK",$BT1299,$BS1299)*IF($BP1299="Emissions positive",-1,1)</f>
        <v>-255</v>
      </c>
      <c r="CT1299">
        <f>IF($CN1299="refNeedCorrection",-BX1299,BX1299)*IF($BP1299="Emissions positive",-1,1)</f>
        <v>9.9999999999999995E-7</v>
      </c>
      <c r="CU1299" t="str">
        <f>IFERROR(CT1299/CQ1299,"")</f>
        <v/>
      </c>
      <c r="CV1299" s="2">
        <f>IFERROR((CS1299-CR1299)/ABS(CR1299),"")</f>
        <v>3.90625E-3</v>
      </c>
      <c r="CW1299" s="1" t="s">
        <v>1199</v>
      </c>
      <c r="CX1299" s="312" t="str">
        <f>IF(OR($CW1299="prd",$CW1299="std",$CW1299="cit"),"loc",IF(OR($CW1299="eur",$CW1299="reg",$CW1299="coy"),"reg",$CW1299))</f>
        <v>reg</v>
      </c>
      <c r="CY1299" t="s">
        <v>540</v>
      </c>
      <c r="CZ1299">
        <v>2003</v>
      </c>
      <c r="DB1299">
        <v>0</v>
      </c>
      <c r="DC1299" t="str">
        <f>IF(DB1299=0,"0",IF(AND(DB1299&gt;=1,DB1299&lt;=30),"1-30",IF(AND(DB1299&gt;30,DB1299&lt;=70),"31-70",IF(AND(DB1299&gt;70,DB1299&lt;=100),"71-100",IF(DB1299&gt;100,"+100")))))</f>
        <v>0</v>
      </c>
      <c r="DD1299">
        <v>0</v>
      </c>
      <c r="DE1299">
        <v>1</v>
      </c>
      <c r="DF1299">
        <v>0</v>
      </c>
      <c r="DG1299">
        <v>0</v>
      </c>
      <c r="DI1299">
        <f>SUM(DD1299:DG1299)</f>
        <v>1</v>
      </c>
      <c r="DJ1299" t="str">
        <f>IF(DI1299=1,INDEX($DD$7:$DG$7,MATCH(1,$DD1299:$DG1299,0)),"mixedProduct")</f>
        <v>EnergyInput</v>
      </c>
      <c r="DK1299">
        <f>IF(DD1299=1,DK$7,0)</f>
        <v>0</v>
      </c>
      <c r="DL1299" t="str">
        <f>IF(DE1299=1,DL$7,0)</f>
        <v>Energy</v>
      </c>
      <c r="DM1299">
        <f>IF(DF1299=1,DM$7,0)</f>
        <v>0</v>
      </c>
      <c r="DN1299">
        <f>IF(DG1299=1,DN$7,0)</f>
        <v>0</v>
      </c>
      <c r="DO1299">
        <v>0</v>
      </c>
      <c r="DP1299">
        <v>0</v>
      </c>
      <c r="DQ1299">
        <v>0</v>
      </c>
      <c r="DR1299">
        <v>0</v>
      </c>
      <c r="DS1299">
        <v>0</v>
      </c>
      <c r="DT1299">
        <f>SUM(DO1299:DP1299)</f>
        <v>0</v>
      </c>
      <c r="DU1299" s="143" t="str">
        <f>IF(DO1299=1,"self-calculated DF",IF(DP1299=1,"external DF used","explicit C balance"))</f>
        <v>explicit C balance</v>
      </c>
      <c r="DV1299">
        <v>0</v>
      </c>
      <c r="DW1299">
        <v>0</v>
      </c>
      <c r="DX1299">
        <v>0</v>
      </c>
      <c r="DY1299">
        <v>0</v>
      </c>
      <c r="DZ1299">
        <v>0</v>
      </c>
      <c r="EA1299" s="143">
        <v>0</v>
      </c>
      <c r="EB1299">
        <v>0</v>
      </c>
      <c r="EC1299">
        <v>1</v>
      </c>
      <c r="ED1299">
        <v>0</v>
      </c>
      <c r="EE1299">
        <v>1</v>
      </c>
      <c r="EF1299">
        <v>0</v>
      </c>
      <c r="EG1299">
        <v>0</v>
      </c>
      <c r="EH1299">
        <v>0</v>
      </c>
      <c r="EI1299" s="2">
        <v>0</v>
      </c>
      <c r="EK1299" t="str">
        <f>IF(AND(AND(AND(OR($DX1299=1,$DW1299=1),OR($EC1299=1,$EA1299=1)),SUM($DV1299:$DZ1299,$EF1299)&gt;=3),SUM($EA1299:$EE1299)&gt;=2),"Whole sector","")</f>
        <v/>
      </c>
      <c r="EL1299" t="str">
        <f>IF(AND(AND(OR($DX1299=1,$DW1299=1),AND($EC1299=0,$EA1299=0)),SUM($DV1299:$DZ1299,$EF1299)&gt;=3),"Ecosystem approach","")</f>
        <v/>
      </c>
      <c r="EM1299" s="2" t="str">
        <f>IF(AND(AND(AND($DX1299=0,$DW1299=0),OR($EC1299=1,$EA1299=1)),SUM($EB1299:$EE1299)&gt;=2),"Technology approach","")</f>
        <v>Technology approach</v>
      </c>
      <c r="EN1299" t="s">
        <v>3601</v>
      </c>
      <c r="EP1299" t="b">
        <f>IF(ISNUMBER(BU1299),IF(ABS(BU1299-[5]QC_indicators!$B$2)&gt;3*[5]QC_indicators!$C$2,"C ratio",IF(ISNUMBER(BY1299),IF(ABS(BY1299-[5]QC_indicators!$B$1)&gt;3*[5]QC_indicators!$C$1,"DF","no"))),IF(ISNUMBER(BY1299),IF(ABS(BY1299-[5]QC_indicators!$B$1)&gt;3*[5]QC_indicators!$C$1,"DF","no")))</f>
        <v>0</v>
      </c>
      <c r="ER1299" s="314" t="s">
        <v>349</v>
      </c>
    </row>
    <row r="1300" spans="1:148" ht="15" customHeight="1">
      <c r="A1300" s="1" t="s">
        <v>380</v>
      </c>
      <c r="B1300" t="s">
        <v>3592</v>
      </c>
      <c r="C1300" t="s">
        <v>544</v>
      </c>
      <c r="D1300" t="s">
        <v>3593</v>
      </c>
      <c r="E1300" t="s">
        <v>3594</v>
      </c>
      <c r="F1300" t="s">
        <v>3595</v>
      </c>
      <c r="G1300" t="s">
        <v>386</v>
      </c>
      <c r="H1300" t="s">
        <v>254</v>
      </c>
      <c r="I1300">
        <v>2003</v>
      </c>
      <c r="J1300">
        <v>83</v>
      </c>
      <c r="K1300" t="s">
        <v>3596</v>
      </c>
      <c r="M1300" t="str">
        <f>LEFT($D1300,FIND(",",$D1300)-1)&amp;"_"&amp;I1300&amp;L1300</f>
        <v>Fu_2003</v>
      </c>
      <c r="N1300" s="312" t="s">
        <v>4383</v>
      </c>
      <c r="O1300" s="181" t="s">
        <v>225</v>
      </c>
      <c r="Q1300" s="312" t="s">
        <v>256</v>
      </c>
      <c r="R1300" s="313"/>
      <c r="S1300" s="1" t="s">
        <v>3602</v>
      </c>
      <c r="T1300" t="s">
        <v>3598</v>
      </c>
      <c r="U1300" t="s">
        <v>3599</v>
      </c>
      <c r="V1300">
        <v>0</v>
      </c>
      <c r="W1300">
        <v>0</v>
      </c>
      <c r="X1300">
        <v>0</v>
      </c>
      <c r="Y1300">
        <v>0</v>
      </c>
      <c r="Z1300">
        <v>0</v>
      </c>
      <c r="AA1300">
        <v>0</v>
      </c>
      <c r="AB1300">
        <v>0</v>
      </c>
      <c r="AC1300">
        <v>0</v>
      </c>
      <c r="AD1300">
        <v>0</v>
      </c>
      <c r="AE1300">
        <v>0</v>
      </c>
      <c r="AF1300">
        <v>1</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s="141">
        <f>COUNTIF(V1300:AW1300,"&lt;&gt;0")</f>
        <v>1</v>
      </c>
      <c r="AY1300" s="141">
        <f>COUNTIF(V1300:AL1300,"&lt;&gt;0")</f>
        <v>1</v>
      </c>
      <c r="AZ1300">
        <f>COUNTIF(V1300:AC1300,"&lt;&gt;0")</f>
        <v>0</v>
      </c>
      <c r="BA1300">
        <f>COUNTIF(AD1300:AI1300,"&lt;&gt;0")</f>
        <v>1</v>
      </c>
      <c r="BB1300">
        <f>COUNTIF(AJ1300:AL1300,"&lt;&gt;0")</f>
        <v>0</v>
      </c>
      <c r="BC1300">
        <f>COUNTIF(AS1300:AW1300,"&lt;&gt;0")</f>
        <v>0</v>
      </c>
      <c r="BD1300">
        <f>COUNTIF(AM1300:AR1300,"&lt;&gt;0")</f>
        <v>0</v>
      </c>
      <c r="BE1300" t="str" cm="1">
        <f t="array" ref="BE1300">IF(AY1300=1,INDEX($V$7:$AL$7,MATCH(TRUE,INDEX($V1300:$AW1300&lt;&gt;0,),0)),IF(AY1300=0,INDEX($AM$7:$AW$7,MATCH(1,$AM1300:$AW1300,0)),IF(BF1300="Multiple strategies","mixed drivers",IF(BF1300="Supply chain","multiple supply","multiple silviculture"))))</f>
        <v>supply chain organization</v>
      </c>
      <c r="BF1300" s="2" t="str" cm="1">
        <f t="array" ref="BF1300">IF(COUNTIF(AZ1300:BB1300,"&lt;&gt;0")=1,INDEX($V$4:$AW$4,MATCH(TRUE,INDEX($V1300:$AW1300&lt;&gt;0,),0)),IF(COUNTIF(AZ1300:BB1300,"&lt;&gt;0")=0,INDEX($AM$4:$AW$4,MATCH(1,$AM1300:$AW1300,0)),"Multiple strategies"))</f>
        <v>Supply chain</v>
      </c>
      <c r="BP1300" s="312" t="s">
        <v>232</v>
      </c>
      <c r="BQ1300" s="312"/>
      <c r="BR1300" t="s">
        <v>3600</v>
      </c>
      <c r="BS1300">
        <v>-245</v>
      </c>
      <c r="BT1300">
        <v>-244</v>
      </c>
      <c r="BU1300" s="144">
        <v>0.99591836734693873</v>
      </c>
      <c r="BV1300">
        <v>1</v>
      </c>
      <c r="BX1300">
        <f>BV1300/10^6</f>
        <v>9.9999999999999995E-7</v>
      </c>
      <c r="BY1300" t="str">
        <f>IFERROR(BX1300/BO1300,"")</f>
        <v/>
      </c>
      <c r="BZ1300">
        <v>1</v>
      </c>
      <c r="CA1300">
        <v>0</v>
      </c>
      <c r="CB1300">
        <v>0</v>
      </c>
      <c r="CC1300">
        <v>0</v>
      </c>
      <c r="CD1300">
        <v>0</v>
      </c>
      <c r="CE1300">
        <v>0</v>
      </c>
      <c r="CF1300">
        <v>0</v>
      </c>
      <c r="CG1300">
        <v>0</v>
      </c>
      <c r="CH1300">
        <v>0</v>
      </c>
      <c r="CI1300">
        <v>0</v>
      </c>
      <c r="CJ1300">
        <v>1</v>
      </c>
      <c r="CK1300">
        <v>0</v>
      </c>
      <c r="CL1300">
        <v>0</v>
      </c>
      <c r="CM1300">
        <v>0</v>
      </c>
      <c r="CN1300" t="str">
        <f>IF(BL1300&lt;BK1300,"refNeedCorrection","refOK")</f>
        <v>refOK</v>
      </c>
      <c r="CO1300"/>
      <c r="CP1300"/>
      <c r="CQ1300"/>
      <c r="CR1300">
        <f>IF($CN1300="refOK",$BS1300,$BT1300)*IF($BP1300="Emissions positive",-1,1)</f>
        <v>-245</v>
      </c>
      <c r="CS1300">
        <f>IF($CN1300="refOK",$BT1300,$BS1300)*IF($BP1300="Emissions positive",-1,1)</f>
        <v>-244</v>
      </c>
      <c r="CT1300">
        <f>IF($CN1300="refNeedCorrection",-BX1300,BX1300)*IF($BP1300="Emissions positive",-1,1)</f>
        <v>9.9999999999999995E-7</v>
      </c>
      <c r="CU1300" t="str">
        <f>IFERROR(CT1300/CQ1300,"")</f>
        <v/>
      </c>
      <c r="CV1300" s="2">
        <f>IFERROR((CS1300-CR1300)/ABS(CR1300),"")</f>
        <v>4.0816326530612249E-3</v>
      </c>
      <c r="CW1300" s="1" t="s">
        <v>1199</v>
      </c>
      <c r="CX1300" s="312" t="str">
        <f>IF(OR($CW1300="prd",$CW1300="std",$CW1300="cit"),"loc",IF(OR($CW1300="eur",$CW1300="reg",$CW1300="coy"),"reg",$CW1300))</f>
        <v>reg</v>
      </c>
      <c r="CY1300" t="s">
        <v>540</v>
      </c>
      <c r="CZ1300">
        <v>2003</v>
      </c>
      <c r="DB1300">
        <v>0</v>
      </c>
      <c r="DC1300" t="str">
        <f>IF(DB1300=0,"0",IF(AND(DB1300&gt;=1,DB1300&lt;=30),"1-30",IF(AND(DB1300&gt;30,DB1300&lt;=70),"31-70",IF(AND(DB1300&gt;70,DB1300&lt;=100),"71-100",IF(DB1300&gt;100,"+100")))))</f>
        <v>0</v>
      </c>
      <c r="DD1300">
        <v>0</v>
      </c>
      <c r="DE1300">
        <v>1</v>
      </c>
      <c r="DF1300">
        <v>0</v>
      </c>
      <c r="DG1300">
        <v>0</v>
      </c>
      <c r="DI1300">
        <f>SUM(DD1300:DG1300)</f>
        <v>1</v>
      </c>
      <c r="DJ1300" t="str">
        <f>IF(DI1300=1,INDEX($DD$7:$DG$7,MATCH(1,$DD1300:$DG1300,0)),"mixedProduct")</f>
        <v>EnergyInput</v>
      </c>
      <c r="DK1300">
        <f>IF(DD1300=1,DK$7,0)</f>
        <v>0</v>
      </c>
      <c r="DL1300" t="str">
        <f>IF(DE1300=1,DL$7,0)</f>
        <v>Energy</v>
      </c>
      <c r="DM1300">
        <f>IF(DF1300=1,DM$7,0)</f>
        <v>0</v>
      </c>
      <c r="DN1300">
        <f>IF(DG1300=1,DN$7,0)</f>
        <v>0</v>
      </c>
      <c r="DO1300">
        <v>0</v>
      </c>
      <c r="DP1300">
        <v>0</v>
      </c>
      <c r="DQ1300">
        <v>0</v>
      </c>
      <c r="DR1300">
        <v>0</v>
      </c>
      <c r="DS1300">
        <v>0</v>
      </c>
      <c r="DT1300">
        <f>SUM(DO1300:DP1300)</f>
        <v>0</v>
      </c>
      <c r="DU1300" s="143" t="str">
        <f>IF(DO1300=1,"self-calculated DF",IF(DP1300=1,"external DF used","explicit C balance"))</f>
        <v>explicit C balance</v>
      </c>
      <c r="DV1300">
        <v>0</v>
      </c>
      <c r="DW1300">
        <v>0</v>
      </c>
      <c r="DX1300">
        <v>0</v>
      </c>
      <c r="DY1300">
        <v>0</v>
      </c>
      <c r="DZ1300">
        <v>0</v>
      </c>
      <c r="EA1300" s="143">
        <v>0</v>
      </c>
      <c r="EB1300">
        <v>0</v>
      </c>
      <c r="EC1300">
        <v>1</v>
      </c>
      <c r="ED1300">
        <v>0</v>
      </c>
      <c r="EE1300">
        <v>1</v>
      </c>
      <c r="EF1300">
        <v>0</v>
      </c>
      <c r="EG1300">
        <v>0</v>
      </c>
      <c r="EH1300">
        <v>0</v>
      </c>
      <c r="EI1300" s="2">
        <v>0</v>
      </c>
      <c r="EK1300" t="str">
        <f>IF(AND(AND(AND(OR($DX1300=1,$DW1300=1),OR($EC1300=1,$EA1300=1)),SUM($DV1300:$DZ1300,$EF1300)&gt;=3),SUM($EA1300:$EE1300)&gt;=2),"Whole sector","")</f>
        <v/>
      </c>
      <c r="EL1300" t="str">
        <f>IF(AND(AND(OR($DX1300=1,$DW1300=1),AND($EC1300=0,$EA1300=0)),SUM($DV1300:$DZ1300,$EF1300)&gt;=3),"Ecosystem approach","")</f>
        <v/>
      </c>
      <c r="EM1300" s="2" t="str">
        <f>IF(AND(AND(AND($DX1300=0,$DW1300=0),OR($EC1300=1,$EA1300=1)),SUM($EB1300:$EE1300)&gt;=2),"Technology approach","")</f>
        <v>Technology approach</v>
      </c>
      <c r="EN1300" t="s">
        <v>3601</v>
      </c>
      <c r="EP1300" t="b">
        <f>IF(ISNUMBER(BU1300),IF(ABS(BU1300-[5]QC_indicators!$B$2)&gt;3*[5]QC_indicators!$C$2,"C ratio",IF(ISNUMBER(BY1300),IF(ABS(BY1300-[5]QC_indicators!$B$1)&gt;3*[5]QC_indicators!$C$1,"DF","no"))),IF(ISNUMBER(BY1300),IF(ABS(BY1300-[5]QC_indicators!$B$1)&gt;3*[5]QC_indicators!$C$1,"DF","no")))</f>
        <v>0</v>
      </c>
      <c r="ER1300" s="314" t="s">
        <v>349</v>
      </c>
    </row>
    <row r="1301" spans="1:148" ht="15" customHeight="1">
      <c r="A1301" s="1" t="s">
        <v>380</v>
      </c>
      <c r="B1301" t="s">
        <v>3592</v>
      </c>
      <c r="C1301" t="s">
        <v>544</v>
      </c>
      <c r="D1301" t="s">
        <v>3593</v>
      </c>
      <c r="E1301" t="s">
        <v>3594</v>
      </c>
      <c r="F1301" t="s">
        <v>3595</v>
      </c>
      <c r="G1301" t="s">
        <v>386</v>
      </c>
      <c r="H1301" t="s">
        <v>254</v>
      </c>
      <c r="I1301">
        <v>2003</v>
      </c>
      <c r="J1301">
        <v>83</v>
      </c>
      <c r="K1301" t="s">
        <v>3596</v>
      </c>
      <c r="M1301" t="str">
        <f>LEFT($D1301,FIND(",",$D1301)-1)&amp;"_"&amp;I1301&amp;L1301</f>
        <v>Fu_2003</v>
      </c>
      <c r="N1301" s="312" t="s">
        <v>4383</v>
      </c>
      <c r="O1301" s="181" t="s">
        <v>225</v>
      </c>
      <c r="Q1301" s="312" t="s">
        <v>256</v>
      </c>
      <c r="R1301" s="313"/>
      <c r="S1301" s="1" t="s">
        <v>3603</v>
      </c>
      <c r="T1301" t="s">
        <v>3604</v>
      </c>
      <c r="U1301" t="s">
        <v>3599</v>
      </c>
      <c r="V1301">
        <v>0</v>
      </c>
      <c r="W1301">
        <v>0</v>
      </c>
      <c r="X1301">
        <v>0</v>
      </c>
      <c r="Y1301">
        <v>0</v>
      </c>
      <c r="Z1301">
        <v>0</v>
      </c>
      <c r="AA1301">
        <v>0</v>
      </c>
      <c r="AB1301">
        <v>0</v>
      </c>
      <c r="AC1301">
        <v>0</v>
      </c>
      <c r="AD1301">
        <v>0</v>
      </c>
      <c r="AE1301">
        <v>0</v>
      </c>
      <c r="AF1301">
        <v>0</v>
      </c>
      <c r="AG1301">
        <v>0</v>
      </c>
      <c r="AH1301">
        <v>0</v>
      </c>
      <c r="AI1301">
        <v>0</v>
      </c>
      <c r="AJ1301">
        <v>0</v>
      </c>
      <c r="AK1301">
        <v>1</v>
      </c>
      <c r="AL1301">
        <v>0</v>
      </c>
      <c r="AM1301">
        <v>0</v>
      </c>
      <c r="AN1301">
        <v>0</v>
      </c>
      <c r="AO1301">
        <v>0</v>
      </c>
      <c r="AP1301">
        <v>0</v>
      </c>
      <c r="AQ1301">
        <v>0</v>
      </c>
      <c r="AR1301">
        <v>0</v>
      </c>
      <c r="AS1301">
        <v>0</v>
      </c>
      <c r="AT1301">
        <v>0</v>
      </c>
      <c r="AU1301">
        <v>0</v>
      </c>
      <c r="AV1301">
        <v>0</v>
      </c>
      <c r="AW1301">
        <v>0</v>
      </c>
      <c r="AX1301" s="141">
        <f>COUNTIF(V1301:AW1301,"&lt;&gt;0")</f>
        <v>1</v>
      </c>
      <c r="AY1301" s="141">
        <f>COUNTIF(V1301:AL1301,"&lt;&gt;0")</f>
        <v>1</v>
      </c>
      <c r="AZ1301">
        <f>COUNTIF(V1301:AC1301,"&lt;&gt;0")</f>
        <v>0</v>
      </c>
      <c r="BA1301">
        <f>COUNTIF(AD1301:AI1301,"&lt;&gt;0")</f>
        <v>0</v>
      </c>
      <c r="BB1301">
        <f>COUNTIF(AJ1301:AL1301,"&lt;&gt;0")</f>
        <v>1</v>
      </c>
      <c r="BC1301">
        <f>COUNTIF(AS1301:AW1301,"&lt;&gt;0")</f>
        <v>0</v>
      </c>
      <c r="BD1301">
        <f>COUNTIF(AM1301:AR1301,"&lt;&gt;0")</f>
        <v>0</v>
      </c>
      <c r="BE1301" t="str" cm="1">
        <f t="array" ref="BE1301">IF(AY1301=1,INDEX($V$7:$AL$7,MATCH(TRUE,INDEX($V1301:$AW1301&lt;&gt;0,),0)),IF(AY1301=0,INDEX($AM$7:$AW$7,MATCH(1,$AM1301:$AW1301,0)),IF(BF1301="Multiple strategies","mixed drivers",IF(BF1301="Supply chain","multiple supply","multiple silviculture"))))</f>
        <v>technologies/design switch</v>
      </c>
      <c r="BF1301" s="2" t="str" cm="1">
        <f t="array" ref="BF1301">IF(COUNTIF(AZ1301:BB1301,"&lt;&gt;0")=1,INDEX($V$4:$AW$4,MATCH(TRUE,INDEX($V1301:$AW1301&lt;&gt;0,),0)),IF(COUNTIF(AZ1301:BB1301,"&lt;&gt;0")=0,INDEX($AM$4:$AW$4,MATCH(1,$AM1301:$AW1301,0)),"Multiple strategies"))</f>
        <v>Technology</v>
      </c>
      <c r="BP1301" s="312" t="s">
        <v>232</v>
      </c>
      <c r="BQ1301" s="312"/>
      <c r="BR1301" t="s">
        <v>3600</v>
      </c>
      <c r="BS1301">
        <v>-255</v>
      </c>
      <c r="BT1301">
        <v>-244</v>
      </c>
      <c r="BU1301" s="144">
        <v>0.95686274509803926</v>
      </c>
      <c r="BV1301">
        <v>11</v>
      </c>
      <c r="BX1301">
        <f>BV1301/10^6</f>
        <v>1.1E-5</v>
      </c>
      <c r="BY1301" t="str">
        <f>IFERROR(BX1301/BO1301,"")</f>
        <v/>
      </c>
      <c r="BZ1301">
        <v>1</v>
      </c>
      <c r="CA1301">
        <v>0</v>
      </c>
      <c r="CB1301">
        <v>0</v>
      </c>
      <c r="CC1301">
        <v>0</v>
      </c>
      <c r="CD1301">
        <v>0</v>
      </c>
      <c r="CE1301">
        <v>0</v>
      </c>
      <c r="CF1301">
        <v>0</v>
      </c>
      <c r="CG1301">
        <v>0</v>
      </c>
      <c r="CH1301">
        <v>0</v>
      </c>
      <c r="CI1301">
        <v>0</v>
      </c>
      <c r="CJ1301">
        <v>1</v>
      </c>
      <c r="CK1301">
        <v>0</v>
      </c>
      <c r="CL1301">
        <v>0</v>
      </c>
      <c r="CM1301">
        <v>0</v>
      </c>
      <c r="CN1301" t="str">
        <f>IF(BL1301&lt;BK1301,"refNeedCorrection","refOK")</f>
        <v>refOK</v>
      </c>
      <c r="CO1301"/>
      <c r="CP1301"/>
      <c r="CQ1301"/>
      <c r="CR1301">
        <f>IF($CN1301="refOK",$BS1301,$BT1301)*IF($BP1301="Emissions positive",-1,1)</f>
        <v>-255</v>
      </c>
      <c r="CS1301">
        <f>IF($CN1301="refOK",$BT1301,$BS1301)*IF($BP1301="Emissions positive",-1,1)</f>
        <v>-244</v>
      </c>
      <c r="CT1301">
        <f>IF($CN1301="refNeedCorrection",-BX1301,BX1301)*IF($BP1301="Emissions positive",-1,1)</f>
        <v>1.1E-5</v>
      </c>
      <c r="CU1301" t="str">
        <f>IFERROR(CT1301/CQ1301,"")</f>
        <v/>
      </c>
      <c r="CV1301" s="2">
        <f>IFERROR((CS1301-CR1301)/ABS(CR1301),"")</f>
        <v>4.3137254901960784E-2</v>
      </c>
      <c r="CW1301" s="1" t="s">
        <v>1199</v>
      </c>
      <c r="CX1301" s="312" t="str">
        <f>IF(OR($CW1301="prd",$CW1301="std",$CW1301="cit"),"loc",IF(OR($CW1301="eur",$CW1301="reg",$CW1301="coy"),"reg",$CW1301))</f>
        <v>reg</v>
      </c>
      <c r="CY1301" t="s">
        <v>540</v>
      </c>
      <c r="CZ1301">
        <v>2003</v>
      </c>
      <c r="DB1301">
        <v>0</v>
      </c>
      <c r="DC1301" t="str">
        <f>IF(DB1301=0,"0",IF(AND(DB1301&gt;=1,DB1301&lt;=30),"1-30",IF(AND(DB1301&gt;30,DB1301&lt;=70),"31-70",IF(AND(DB1301&gt;70,DB1301&lt;=100),"71-100",IF(DB1301&gt;100,"+100")))))</f>
        <v>0</v>
      </c>
      <c r="DD1301">
        <v>0</v>
      </c>
      <c r="DE1301">
        <v>1</v>
      </c>
      <c r="DF1301">
        <v>0</v>
      </c>
      <c r="DG1301">
        <v>0</v>
      </c>
      <c r="DI1301">
        <f>SUM(DD1301:DG1301)</f>
        <v>1</v>
      </c>
      <c r="DJ1301" t="str">
        <f>IF(DI1301=1,INDEX($DD$7:$DG$7,MATCH(1,$DD1301:$DG1301,0)),"mixedProduct")</f>
        <v>EnergyInput</v>
      </c>
      <c r="DK1301">
        <f>IF(DD1301=1,DK$7,0)</f>
        <v>0</v>
      </c>
      <c r="DL1301" t="str">
        <f>IF(DE1301=1,DL$7,0)</f>
        <v>Energy</v>
      </c>
      <c r="DM1301">
        <f>IF(DF1301=1,DM$7,0)</f>
        <v>0</v>
      </c>
      <c r="DN1301">
        <f>IF(DG1301=1,DN$7,0)</f>
        <v>0</v>
      </c>
      <c r="DO1301">
        <v>0</v>
      </c>
      <c r="DP1301">
        <v>0</v>
      </c>
      <c r="DQ1301">
        <v>0</v>
      </c>
      <c r="DR1301">
        <v>0</v>
      </c>
      <c r="DS1301">
        <v>0</v>
      </c>
      <c r="DT1301">
        <f>SUM(DO1301:DP1301)</f>
        <v>0</v>
      </c>
      <c r="DU1301" s="143" t="str">
        <f>IF(DO1301=1,"self-calculated DF",IF(DP1301=1,"external DF used","explicit C balance"))</f>
        <v>explicit C balance</v>
      </c>
      <c r="DV1301">
        <v>0</v>
      </c>
      <c r="DW1301">
        <v>0</v>
      </c>
      <c r="DX1301">
        <v>0</v>
      </c>
      <c r="DY1301">
        <v>0</v>
      </c>
      <c r="DZ1301">
        <v>0</v>
      </c>
      <c r="EA1301" s="143">
        <v>0</v>
      </c>
      <c r="EB1301">
        <v>0</v>
      </c>
      <c r="EC1301">
        <v>1</v>
      </c>
      <c r="ED1301">
        <v>0</v>
      </c>
      <c r="EE1301">
        <v>1</v>
      </c>
      <c r="EF1301">
        <v>0</v>
      </c>
      <c r="EG1301">
        <v>0</v>
      </c>
      <c r="EH1301">
        <v>0</v>
      </c>
      <c r="EI1301" s="2">
        <v>0</v>
      </c>
      <c r="EK1301" t="str">
        <f>IF(AND(AND(AND(OR($DX1301=1,$DW1301=1),OR($EC1301=1,$EA1301=1)),SUM($DV1301:$DZ1301,$EF1301)&gt;=3),SUM($EA1301:$EE1301)&gt;=2),"Whole sector","")</f>
        <v/>
      </c>
      <c r="EL1301" t="str">
        <f>IF(AND(AND(OR($DX1301=1,$DW1301=1),AND($EC1301=0,$EA1301=0)),SUM($DV1301:$DZ1301,$EF1301)&gt;=3),"Ecosystem approach","")</f>
        <v/>
      </c>
      <c r="EM1301" s="2" t="str">
        <f>IF(AND(AND(AND($DX1301=0,$DW1301=0),OR($EC1301=1,$EA1301=1)),SUM($EB1301:$EE1301)&gt;=2),"Technology approach","")</f>
        <v>Technology approach</v>
      </c>
      <c r="EN1301" t="s">
        <v>3601</v>
      </c>
      <c r="EP1301" t="b">
        <f>IF(ISNUMBER(BU1301),IF(ABS(BU1301-[5]QC_indicators!$B$2)&gt;3*[5]QC_indicators!$C$2,"C ratio",IF(ISNUMBER(BY1301),IF(ABS(BY1301-[5]QC_indicators!$B$1)&gt;3*[5]QC_indicators!$C$1,"DF","no"))),IF(ISNUMBER(BY1301),IF(ABS(BY1301-[5]QC_indicators!$B$1)&gt;3*[5]QC_indicators!$C$1,"DF","no")))</f>
        <v>0</v>
      </c>
      <c r="ER1301" s="314" t="s">
        <v>3605</v>
      </c>
    </row>
    <row r="1302" spans="1:148" ht="15" customHeight="1">
      <c r="A1302" s="1" t="s">
        <v>380</v>
      </c>
      <c r="B1302" t="s">
        <v>3592</v>
      </c>
      <c r="C1302" t="s">
        <v>544</v>
      </c>
      <c r="D1302" t="s">
        <v>3593</v>
      </c>
      <c r="E1302" t="s">
        <v>3594</v>
      </c>
      <c r="F1302" t="s">
        <v>3595</v>
      </c>
      <c r="G1302" t="s">
        <v>386</v>
      </c>
      <c r="H1302" t="s">
        <v>254</v>
      </c>
      <c r="I1302">
        <v>2003</v>
      </c>
      <c r="J1302">
        <v>83</v>
      </c>
      <c r="K1302" t="s">
        <v>3596</v>
      </c>
      <c r="M1302" t="str">
        <f>LEFT($D1302,FIND(",",$D1302)-1)&amp;"_"&amp;I1302&amp;L1302</f>
        <v>Fu_2003</v>
      </c>
      <c r="N1302" s="312" t="s">
        <v>4383</v>
      </c>
      <c r="O1302" s="181" t="s">
        <v>225</v>
      </c>
      <c r="Q1302" s="312" t="s">
        <v>256</v>
      </c>
      <c r="R1302" s="313"/>
      <c r="S1302" s="1" t="s">
        <v>3606</v>
      </c>
      <c r="T1302" t="s">
        <v>3604</v>
      </c>
      <c r="U1302" t="s">
        <v>3599</v>
      </c>
      <c r="V1302">
        <v>0</v>
      </c>
      <c r="W1302">
        <v>0</v>
      </c>
      <c r="X1302">
        <v>0</v>
      </c>
      <c r="Y1302">
        <v>0</v>
      </c>
      <c r="Z1302">
        <v>0</v>
      </c>
      <c r="AA1302">
        <v>0</v>
      </c>
      <c r="AB1302">
        <v>0</v>
      </c>
      <c r="AC1302">
        <v>0</v>
      </c>
      <c r="AD1302">
        <v>0</v>
      </c>
      <c r="AE1302">
        <v>0</v>
      </c>
      <c r="AF1302">
        <v>0</v>
      </c>
      <c r="AG1302">
        <v>0</v>
      </c>
      <c r="AH1302">
        <v>0</v>
      </c>
      <c r="AI1302">
        <v>0</v>
      </c>
      <c r="AJ1302">
        <v>0</v>
      </c>
      <c r="AK1302">
        <v>1</v>
      </c>
      <c r="AL1302">
        <v>0</v>
      </c>
      <c r="AM1302">
        <v>0</v>
      </c>
      <c r="AN1302">
        <v>0</v>
      </c>
      <c r="AO1302">
        <v>0</v>
      </c>
      <c r="AP1302">
        <v>0</v>
      </c>
      <c r="AQ1302">
        <v>0</v>
      </c>
      <c r="AR1302">
        <v>0</v>
      </c>
      <c r="AS1302">
        <v>0</v>
      </c>
      <c r="AT1302">
        <v>0</v>
      </c>
      <c r="AU1302">
        <v>0</v>
      </c>
      <c r="AV1302">
        <v>0</v>
      </c>
      <c r="AW1302">
        <v>0</v>
      </c>
      <c r="AX1302" s="141">
        <f>COUNTIF(V1302:AW1302,"&lt;&gt;0")</f>
        <v>1</v>
      </c>
      <c r="AY1302" s="141">
        <f>COUNTIF(V1302:AL1302,"&lt;&gt;0")</f>
        <v>1</v>
      </c>
      <c r="AZ1302">
        <f>COUNTIF(V1302:AC1302,"&lt;&gt;0")</f>
        <v>0</v>
      </c>
      <c r="BA1302">
        <f>COUNTIF(AD1302:AI1302,"&lt;&gt;0")</f>
        <v>0</v>
      </c>
      <c r="BB1302">
        <f>COUNTIF(AJ1302:AL1302,"&lt;&gt;0")</f>
        <v>1</v>
      </c>
      <c r="BC1302">
        <f>COUNTIF(AS1302:AW1302,"&lt;&gt;0")</f>
        <v>0</v>
      </c>
      <c r="BD1302">
        <f>COUNTIF(AM1302:AR1302,"&lt;&gt;0")</f>
        <v>0</v>
      </c>
      <c r="BE1302" t="str" cm="1">
        <f t="array" ref="BE1302">IF(AY1302=1,INDEX($V$7:$AL$7,MATCH(TRUE,INDEX($V1302:$AW1302&lt;&gt;0,),0)),IF(AY1302=0,INDEX($AM$7:$AW$7,MATCH(1,$AM1302:$AW1302,0)),IF(BF1302="Multiple strategies","mixed drivers",IF(BF1302="Supply chain","multiple supply","multiple silviculture"))))</f>
        <v>technologies/design switch</v>
      </c>
      <c r="BF1302" s="2" t="str" cm="1">
        <f t="array" ref="BF1302">IF(COUNTIF(AZ1302:BB1302,"&lt;&gt;0")=1,INDEX($V$4:$AW$4,MATCH(TRUE,INDEX($V1302:$AW1302&lt;&gt;0,),0)),IF(COUNTIF(AZ1302:BB1302,"&lt;&gt;0")=0,INDEX($AM$4:$AW$4,MATCH(1,$AM1302:$AW1302,0)),"Multiple strategies"))</f>
        <v>Technology</v>
      </c>
      <c r="BP1302" s="312" t="s">
        <v>232</v>
      </c>
      <c r="BQ1302" s="312"/>
      <c r="BR1302" t="s">
        <v>3600</v>
      </c>
      <c r="BS1302">
        <v>-256</v>
      </c>
      <c r="BT1302">
        <v>-245</v>
      </c>
      <c r="BU1302" s="144">
        <v>0.95703125</v>
      </c>
      <c r="BV1302">
        <v>11</v>
      </c>
      <c r="BX1302">
        <f>BV1302/10^6</f>
        <v>1.1E-5</v>
      </c>
      <c r="BY1302" t="str">
        <f>IFERROR(BX1302/BO1302,"")</f>
        <v/>
      </c>
      <c r="BZ1302">
        <v>1</v>
      </c>
      <c r="CA1302">
        <v>0</v>
      </c>
      <c r="CB1302">
        <v>0</v>
      </c>
      <c r="CC1302">
        <v>0</v>
      </c>
      <c r="CD1302">
        <v>0</v>
      </c>
      <c r="CE1302">
        <v>0</v>
      </c>
      <c r="CF1302">
        <v>0</v>
      </c>
      <c r="CG1302">
        <v>0</v>
      </c>
      <c r="CH1302">
        <v>0</v>
      </c>
      <c r="CI1302">
        <v>0</v>
      </c>
      <c r="CJ1302">
        <v>1</v>
      </c>
      <c r="CK1302">
        <v>0</v>
      </c>
      <c r="CL1302">
        <v>0</v>
      </c>
      <c r="CM1302">
        <v>0</v>
      </c>
      <c r="CN1302" t="str">
        <f>IF(BL1302&lt;BK1302,"refNeedCorrection","refOK")</f>
        <v>refOK</v>
      </c>
      <c r="CO1302"/>
      <c r="CP1302"/>
      <c r="CQ1302"/>
      <c r="CR1302">
        <f>IF($CN1302="refOK",$BS1302,$BT1302)*IF($BP1302="Emissions positive",-1,1)</f>
        <v>-256</v>
      </c>
      <c r="CS1302">
        <f>IF($CN1302="refOK",$BT1302,$BS1302)*IF($BP1302="Emissions positive",-1,1)</f>
        <v>-245</v>
      </c>
      <c r="CT1302">
        <f>IF($CN1302="refNeedCorrection",-BX1302,BX1302)*IF($BP1302="Emissions positive",-1,1)</f>
        <v>1.1E-5</v>
      </c>
      <c r="CU1302" t="str">
        <f>IFERROR(CT1302/CQ1302,"")</f>
        <v/>
      </c>
      <c r="CV1302" s="2">
        <f>IFERROR((CS1302-CR1302)/ABS(CR1302),"")</f>
        <v>4.296875E-2</v>
      </c>
      <c r="CW1302" s="1" t="s">
        <v>1199</v>
      </c>
      <c r="CX1302" s="312" t="str">
        <f>IF(OR($CW1302="prd",$CW1302="std",$CW1302="cit"),"loc",IF(OR($CW1302="eur",$CW1302="reg",$CW1302="coy"),"reg",$CW1302))</f>
        <v>reg</v>
      </c>
      <c r="CY1302" t="s">
        <v>540</v>
      </c>
      <c r="CZ1302">
        <v>2003</v>
      </c>
      <c r="DB1302">
        <v>0</v>
      </c>
      <c r="DC1302" t="str">
        <f>IF(DB1302=0,"0",IF(AND(DB1302&gt;=1,DB1302&lt;=30),"1-30",IF(AND(DB1302&gt;30,DB1302&lt;=70),"31-70",IF(AND(DB1302&gt;70,DB1302&lt;=100),"71-100",IF(DB1302&gt;100,"+100")))))</f>
        <v>0</v>
      </c>
      <c r="DD1302">
        <v>0</v>
      </c>
      <c r="DE1302">
        <v>1</v>
      </c>
      <c r="DF1302">
        <v>0</v>
      </c>
      <c r="DG1302">
        <v>0</v>
      </c>
      <c r="DI1302">
        <f>SUM(DD1302:DG1302)</f>
        <v>1</v>
      </c>
      <c r="DJ1302" t="str">
        <f>IF(DI1302=1,INDEX($DD$7:$DG$7,MATCH(1,$DD1302:$DG1302,0)),"mixedProduct")</f>
        <v>EnergyInput</v>
      </c>
      <c r="DK1302">
        <f>IF(DD1302=1,DK$7,0)</f>
        <v>0</v>
      </c>
      <c r="DL1302" t="str">
        <f>IF(DE1302=1,DL$7,0)</f>
        <v>Energy</v>
      </c>
      <c r="DM1302">
        <f>IF(DF1302=1,DM$7,0)</f>
        <v>0</v>
      </c>
      <c r="DN1302">
        <f>IF(DG1302=1,DN$7,0)</f>
        <v>0</v>
      </c>
      <c r="DO1302">
        <v>0</v>
      </c>
      <c r="DP1302">
        <v>0</v>
      </c>
      <c r="DQ1302">
        <v>0</v>
      </c>
      <c r="DR1302">
        <v>0</v>
      </c>
      <c r="DS1302">
        <v>0</v>
      </c>
      <c r="DT1302">
        <f>SUM(DO1302:DP1302)</f>
        <v>0</v>
      </c>
      <c r="DU1302" s="143" t="str">
        <f>IF(DO1302=1,"self-calculated DF",IF(DP1302=1,"external DF used","explicit C balance"))</f>
        <v>explicit C balance</v>
      </c>
      <c r="DV1302">
        <v>0</v>
      </c>
      <c r="DW1302">
        <v>0</v>
      </c>
      <c r="DX1302">
        <v>0</v>
      </c>
      <c r="DY1302">
        <v>0</v>
      </c>
      <c r="DZ1302">
        <v>0</v>
      </c>
      <c r="EA1302" s="143">
        <v>0</v>
      </c>
      <c r="EB1302">
        <v>0</v>
      </c>
      <c r="EC1302">
        <v>1</v>
      </c>
      <c r="ED1302">
        <v>0</v>
      </c>
      <c r="EE1302">
        <v>1</v>
      </c>
      <c r="EF1302">
        <v>0</v>
      </c>
      <c r="EG1302">
        <v>0</v>
      </c>
      <c r="EH1302">
        <v>0</v>
      </c>
      <c r="EI1302" s="2">
        <v>0</v>
      </c>
      <c r="EK1302" t="str">
        <f>IF(AND(AND(AND(OR($DX1302=1,$DW1302=1),OR($EC1302=1,$EA1302=1)),SUM($DV1302:$DZ1302,$EF1302)&gt;=3),SUM($EA1302:$EE1302)&gt;=2),"Whole sector","")</f>
        <v/>
      </c>
      <c r="EL1302" t="str">
        <f>IF(AND(AND(OR($DX1302=1,$DW1302=1),AND($EC1302=0,$EA1302=0)),SUM($DV1302:$DZ1302,$EF1302)&gt;=3),"Ecosystem approach","")</f>
        <v/>
      </c>
      <c r="EM1302" s="2" t="str">
        <f>IF(AND(AND(AND($DX1302=0,$DW1302=0),OR($EC1302=1,$EA1302=1)),SUM($EB1302:$EE1302)&gt;=2),"Technology approach","")</f>
        <v>Technology approach</v>
      </c>
      <c r="EN1302" t="s">
        <v>3601</v>
      </c>
      <c r="EP1302" t="b">
        <f>IF(ISNUMBER(BU1302),IF(ABS(BU1302-[5]QC_indicators!$B$2)&gt;3*[5]QC_indicators!$C$2,"C ratio",IF(ISNUMBER(BY1302),IF(ABS(BY1302-[5]QC_indicators!$B$1)&gt;3*[5]QC_indicators!$C$1,"DF","no"))),IF(ISNUMBER(BY1302),IF(ABS(BY1302-[5]QC_indicators!$B$1)&gt;3*[5]QC_indicators!$C$1,"DF","no")))</f>
        <v>0</v>
      </c>
      <c r="ER1302" s="314" t="s">
        <v>3605</v>
      </c>
    </row>
    <row r="1303" spans="1:148" ht="15" customHeight="1">
      <c r="A1303" s="1" t="s">
        <v>430</v>
      </c>
      <c r="B1303" t="s">
        <v>3607</v>
      </c>
      <c r="C1303" t="s">
        <v>3608</v>
      </c>
      <c r="D1303" t="s">
        <v>3609</v>
      </c>
      <c r="E1303" t="s">
        <v>3610</v>
      </c>
      <c r="F1303" t="s">
        <v>3611</v>
      </c>
      <c r="G1303" t="s">
        <v>436</v>
      </c>
      <c r="H1303" t="s">
        <v>254</v>
      </c>
      <c r="I1303">
        <v>2015</v>
      </c>
      <c r="J1303">
        <v>14</v>
      </c>
      <c r="K1303" t="s">
        <v>3612</v>
      </c>
      <c r="M1303" t="str">
        <f>LEFT($D1303,FIND(",",$D1303)-1)&amp;"_"&amp;I1303&amp;L1303</f>
        <v>Galik_2015</v>
      </c>
      <c r="N1303" s="312" t="s">
        <v>4383</v>
      </c>
      <c r="O1303" s="171" t="s">
        <v>225</v>
      </c>
      <c r="P1303" t="s">
        <v>341</v>
      </c>
      <c r="Q1303" s="312" t="s">
        <v>389</v>
      </c>
      <c r="R1303" s="313"/>
      <c r="S1303" s="154" t="s">
        <v>3613</v>
      </c>
      <c r="T1303" s="149" t="s">
        <v>798</v>
      </c>
      <c r="U1303" t="s">
        <v>3614</v>
      </c>
      <c r="V1303">
        <v>1</v>
      </c>
      <c r="W1303">
        <v>0</v>
      </c>
      <c r="X1303">
        <v>0</v>
      </c>
      <c r="Y1303">
        <v>1</v>
      </c>
      <c r="Z1303">
        <v>0</v>
      </c>
      <c r="AA1303">
        <v>0</v>
      </c>
      <c r="AB1303">
        <v>0</v>
      </c>
      <c r="AC1303">
        <v>0</v>
      </c>
      <c r="AD1303">
        <v>0</v>
      </c>
      <c r="AE1303">
        <v>0</v>
      </c>
      <c r="AF1303">
        <v>1</v>
      </c>
      <c r="AG1303">
        <v>0</v>
      </c>
      <c r="AH1303">
        <v>0</v>
      </c>
      <c r="AI1303">
        <v>0</v>
      </c>
      <c r="AJ1303">
        <v>0</v>
      </c>
      <c r="AK1303">
        <v>0</v>
      </c>
      <c r="AL1303">
        <v>0</v>
      </c>
      <c r="AM1303">
        <v>0</v>
      </c>
      <c r="AN1303">
        <v>0</v>
      </c>
      <c r="AO1303">
        <v>0</v>
      </c>
      <c r="AP1303">
        <v>0</v>
      </c>
      <c r="AQ1303">
        <v>0</v>
      </c>
      <c r="AR1303">
        <v>0</v>
      </c>
      <c r="AS1303">
        <v>1</v>
      </c>
      <c r="AT1303">
        <v>0</v>
      </c>
      <c r="AU1303">
        <v>1</v>
      </c>
      <c r="AV1303">
        <v>0</v>
      </c>
      <c r="AW1303">
        <v>0</v>
      </c>
      <c r="AX1303" s="141">
        <f>COUNTIF(V1303:AW1303,"&lt;&gt;0")</f>
        <v>5</v>
      </c>
      <c r="AY1303" s="141">
        <f>COUNTIF(V1303:AL1303,"&lt;&gt;0")</f>
        <v>3</v>
      </c>
      <c r="AZ1303">
        <f>COUNTIF(V1303:AC1303,"&lt;&gt;0")</f>
        <v>2</v>
      </c>
      <c r="BA1303">
        <f>COUNTIF(AD1303:AI1303,"&lt;&gt;0")</f>
        <v>1</v>
      </c>
      <c r="BB1303">
        <f>COUNTIF(AJ1303:AL1303,"&lt;&gt;0")</f>
        <v>0</v>
      </c>
      <c r="BC1303">
        <f>COUNTIF(AS1303:AW1303,"&lt;&gt;0")</f>
        <v>2</v>
      </c>
      <c r="BD1303">
        <f>COUNTIF(AM1303:AR1303,"&lt;&gt;0")</f>
        <v>0</v>
      </c>
      <c r="BE1303" t="str" cm="1">
        <f t="array" ref="BE1303">IF(AY1303=1,INDEX($V$7:$AL$7,MATCH(TRUE,INDEX($V1303:$AW1303&lt;&gt;0,),0)),IF(AY1303=0,INDEX($AM$7:$AW$7,MATCH(1,$AM1303:$AW1303,0)),IF(BF1303="Multiple strategies","mixed drivers",IF(BF1303="Supply chain","multiple supply","multiple silviculture"))))</f>
        <v>mixed drivers</v>
      </c>
      <c r="BF1303" s="2" t="str" cm="1">
        <f t="array" ref="BF1303">IF(COUNTIF(AZ1303:BB1303,"&lt;&gt;0")=1,INDEX($V$4:$AW$4,MATCH(TRUE,INDEX($V1303:$AW1303&lt;&gt;0,),0)),IF(COUNTIF(AZ1303:BB1303,"&lt;&gt;0")=0,INDEX($AM$4:$AW$4,MATCH(1,$AM1303:$AW1303,0)),"Multiple strategies"))</f>
        <v>Multiple strategies</v>
      </c>
      <c r="BG1303" s="142"/>
      <c r="BJ1303" s="143"/>
      <c r="BL1303" s="143"/>
      <c r="BM1303" t="str">
        <f>IFERROR(BL1303/BK1303,"")</f>
        <v/>
      </c>
      <c r="BN1303" s="158"/>
      <c r="BO1303" s="143"/>
      <c r="BP1303" s="155" t="s">
        <v>232</v>
      </c>
      <c r="BR1303" s="155" t="s">
        <v>3615</v>
      </c>
      <c r="BU1303" s="144"/>
      <c r="BV1303">
        <v>410</v>
      </c>
      <c r="BY1303" t="str">
        <f>IFERROR(BX1303/BO1303,"")</f>
        <v/>
      </c>
      <c r="BZ1303">
        <v>0</v>
      </c>
      <c r="CA1303">
        <v>1</v>
      </c>
      <c r="CB1303">
        <v>0</v>
      </c>
      <c r="CC1303">
        <v>1</v>
      </c>
      <c r="CD1303">
        <v>0</v>
      </c>
      <c r="CE1303">
        <v>0</v>
      </c>
      <c r="CF1303">
        <v>0</v>
      </c>
      <c r="CG1303">
        <v>0</v>
      </c>
      <c r="CH1303">
        <v>0</v>
      </c>
      <c r="CI1303">
        <v>0</v>
      </c>
      <c r="CJ1303">
        <v>0</v>
      </c>
      <c r="CK1303">
        <v>0</v>
      </c>
      <c r="CL1303">
        <v>0</v>
      </c>
      <c r="CM1303">
        <v>0</v>
      </c>
      <c r="CN1303" t="str">
        <f>IF($BL1303&lt;$BK1303,"refNeedCorrection","refOK")</f>
        <v>refOK</v>
      </c>
      <c r="CO1303"/>
      <c r="CP1303"/>
      <c r="CQ1303"/>
      <c r="CR1303">
        <f>IF($CN1303="refOK",$BS1303,$BT1303)*IF($BP1303="Emissions positive",-1,1)</f>
        <v>0</v>
      </c>
      <c r="CS1303">
        <f>IF($CN1303="refOK",$BT1303,$BS1303)*IF($BP1303="Emissions positive",-1,1)</f>
        <v>0</v>
      </c>
      <c r="CT1303">
        <f>IF($CN1303="refNeedCorrection",-BX1303,BX1303)*IF($BP1303="Emissions positive",-1,1)</f>
        <v>0</v>
      </c>
      <c r="CU1303" t="str">
        <f>IFERROR(CT1303/CQ1303,"")</f>
        <v/>
      </c>
      <c r="CV1303" s="2" t="str">
        <f>IFERROR((CS1303-CR1303)/ABS(CR1303),"")</f>
        <v/>
      </c>
      <c r="CW1303" s="1" t="s">
        <v>1203</v>
      </c>
      <c r="CX1303" s="312" t="str">
        <f>IF(OR($CW1303="prd",$CW1303="std",$CW1303="cit"),"loc",IF(OR($CW1303="eur",$CW1303="reg",$CW1303="coy"),"reg",$CW1303))</f>
        <v>reg</v>
      </c>
      <c r="CY1303" s="318" t="s">
        <v>428</v>
      </c>
      <c r="CZ1303">
        <v>2010</v>
      </c>
      <c r="DA1303" s="143">
        <v>2045</v>
      </c>
      <c r="DB1303" s="143">
        <v>35</v>
      </c>
      <c r="DC1303" t="str">
        <f>IF(DB1303=0,"0",IF(AND(DB1303&gt;=1,DB1303&lt;=30),"1-30",IF(AND(DB1303&gt;30,DB1303&lt;=70),"31-70",IF(AND(DB1303&gt;70,DB1303&lt;=100),"71-100",IF(DB1303&gt;100,"+100")))))</f>
        <v>31-70</v>
      </c>
      <c r="DD1303">
        <v>0</v>
      </c>
      <c r="DE1303">
        <v>1</v>
      </c>
      <c r="DF1303">
        <v>1</v>
      </c>
      <c r="DG1303">
        <v>1</v>
      </c>
      <c r="DH1303">
        <v>1</v>
      </c>
      <c r="DI1303">
        <f>SUM(DD1303:DH1303)</f>
        <v>4</v>
      </c>
      <c r="DJ1303" t="str">
        <f>IF(DI1303=1,INDEX($DD$7:$DG$7,MATCH(1,$DD1303:$DG1303,0)),"mixedProduct")</f>
        <v>mixedProduct</v>
      </c>
      <c r="DK1303">
        <f>IF(DD1303=1,DK$7,0)</f>
        <v>0</v>
      </c>
      <c r="DL1303" t="str">
        <f>IF(DE1303=1,DL$7,0)</f>
        <v>Energy</v>
      </c>
      <c r="DM1303" t="str">
        <f>IF(DF1303=1,DM$7,0)</f>
        <v>Pulp/Paper</v>
      </c>
      <c r="DN1303" t="str">
        <f>IF(DG1303=1,DN$7,0)</f>
        <v>Timber</v>
      </c>
      <c r="DO1303">
        <v>1</v>
      </c>
      <c r="DP1303" s="143">
        <v>0</v>
      </c>
      <c r="DQ1303" s="143">
        <v>0</v>
      </c>
      <c r="DR1303">
        <v>0</v>
      </c>
      <c r="DS1303" s="143">
        <v>0</v>
      </c>
      <c r="DT1303">
        <f>SUM(DO1303:DP1303)</f>
        <v>1</v>
      </c>
      <c r="DU1303" s="143" t="str">
        <f>IF(DO1303=1,"self-calculated DF",IF(DP1303=1,"external DF used","explicit C balance"))</f>
        <v>self-calculated DF</v>
      </c>
      <c r="DV1303" s="143">
        <v>1</v>
      </c>
      <c r="DW1303" s="143">
        <v>1</v>
      </c>
      <c r="DX1303" s="143">
        <v>1</v>
      </c>
      <c r="DY1303" s="143">
        <v>1</v>
      </c>
      <c r="DZ1303">
        <v>0</v>
      </c>
      <c r="EA1303" s="143">
        <v>0</v>
      </c>
      <c r="EB1303" s="143">
        <v>1</v>
      </c>
      <c r="EC1303" s="143">
        <v>1</v>
      </c>
      <c r="ED1303" s="143">
        <v>1</v>
      </c>
      <c r="EE1303">
        <v>0</v>
      </c>
      <c r="EF1303">
        <v>1</v>
      </c>
      <c r="EG1303" s="143">
        <v>1</v>
      </c>
      <c r="EH1303" s="143">
        <v>1</v>
      </c>
      <c r="EI1303" s="2">
        <v>0</v>
      </c>
      <c r="EK1303" t="str">
        <f>IF(AND(AND(AND(OR($DX1303=1,$DW1303=1),OR($EC1303=1,$EA1303=1)),SUM($DV1303:$DZ1303,$EF1303)&gt;=3),SUM($EA1303:$EE1303)&gt;=2),"Whole sector","")</f>
        <v>Whole sector</v>
      </c>
      <c r="EL1303" t="str">
        <f>IF(AND(AND(OR($DX1303=1,$DW1303=1),AND($EC1303=0,$EA1303=0)),SUM($DV1303:$DZ1303,$EF1303)&gt;=3),"Ecosystem approach","")</f>
        <v/>
      </c>
      <c r="EM1303" s="2" t="str">
        <f>IF(AND(AND(AND($DX1303=0,$DW1303=0),OR($EC1303=1,$EA1303=1)),SUM($EB1303:$EE1303)&gt;=2),"Technology approach","")</f>
        <v/>
      </c>
      <c r="EP1303" t="b">
        <f>IF(ISNUMBER(BU1303),IF(ABS(BU1303-[5]QC_indicators!$B$2)&gt;3*[5]QC_indicators!$C$2,"C ratio",IF(ISNUMBER(BY1303),IF(ABS(BY1303-[5]QC_indicators!$B$1)&gt;3*[5]QC_indicators!$C$1,"DF","no"))),IF(ISNUMBER(BY1303),IF(ABS(BY1303-[5]QC_indicators!$B$1)&gt;3*[5]QC_indicators!$C$1,"DF","no")))</f>
        <v>0</v>
      </c>
    </row>
    <row r="1304" spans="1:148" ht="15" customHeight="1">
      <c r="A1304" s="1" t="s">
        <v>430</v>
      </c>
      <c r="B1304" t="s">
        <v>3607</v>
      </c>
      <c r="C1304" t="s">
        <v>3608</v>
      </c>
      <c r="D1304" t="s">
        <v>3609</v>
      </c>
      <c r="E1304" t="s">
        <v>3610</v>
      </c>
      <c r="F1304" t="s">
        <v>3611</v>
      </c>
      <c r="G1304" t="s">
        <v>436</v>
      </c>
      <c r="H1304" t="s">
        <v>254</v>
      </c>
      <c r="I1304">
        <v>2015</v>
      </c>
      <c r="J1304">
        <v>14</v>
      </c>
      <c r="K1304" t="s">
        <v>3612</v>
      </c>
      <c r="M1304" t="str">
        <f>LEFT($D1304,FIND(",",$D1304)-1)&amp;"_"&amp;I1304&amp;L1304</f>
        <v>Galik_2015</v>
      </c>
      <c r="N1304" s="312" t="s">
        <v>4383</v>
      </c>
      <c r="O1304" s="171" t="s">
        <v>225</v>
      </c>
      <c r="P1304" t="s">
        <v>341</v>
      </c>
      <c r="Q1304" s="312" t="s">
        <v>389</v>
      </c>
      <c r="R1304" s="313"/>
      <c r="S1304" s="154" t="s">
        <v>3616</v>
      </c>
      <c r="T1304" s="149" t="s">
        <v>3617</v>
      </c>
      <c r="U1304" t="s">
        <v>3614</v>
      </c>
      <c r="V1304">
        <v>1</v>
      </c>
      <c r="W1304">
        <v>0</v>
      </c>
      <c r="X1304">
        <v>0</v>
      </c>
      <c r="Y1304">
        <v>1</v>
      </c>
      <c r="Z1304">
        <v>0</v>
      </c>
      <c r="AA1304">
        <v>0</v>
      </c>
      <c r="AB1304">
        <v>0</v>
      </c>
      <c r="AC1304">
        <v>0</v>
      </c>
      <c r="AD1304">
        <v>0</v>
      </c>
      <c r="AE1304">
        <v>0</v>
      </c>
      <c r="AF1304">
        <v>1</v>
      </c>
      <c r="AG1304">
        <v>0</v>
      </c>
      <c r="AH1304">
        <v>0</v>
      </c>
      <c r="AI1304">
        <v>0</v>
      </c>
      <c r="AJ1304">
        <v>0</v>
      </c>
      <c r="AK1304">
        <v>0</v>
      </c>
      <c r="AL1304">
        <v>0</v>
      </c>
      <c r="AM1304">
        <v>0</v>
      </c>
      <c r="AN1304">
        <v>0</v>
      </c>
      <c r="AO1304">
        <v>0</v>
      </c>
      <c r="AP1304">
        <v>0</v>
      </c>
      <c r="AQ1304">
        <v>0</v>
      </c>
      <c r="AR1304">
        <v>0</v>
      </c>
      <c r="AS1304">
        <v>1</v>
      </c>
      <c r="AT1304">
        <v>0</v>
      </c>
      <c r="AU1304">
        <v>1</v>
      </c>
      <c r="AV1304">
        <v>0</v>
      </c>
      <c r="AW1304">
        <v>0</v>
      </c>
      <c r="AX1304" s="141">
        <f>COUNTIF(V1304:AW1304,"&lt;&gt;0")</f>
        <v>5</v>
      </c>
      <c r="AY1304" s="141">
        <f>COUNTIF(V1304:AL1304,"&lt;&gt;0")</f>
        <v>3</v>
      </c>
      <c r="AZ1304">
        <f>COUNTIF(V1304:AC1304,"&lt;&gt;0")</f>
        <v>2</v>
      </c>
      <c r="BA1304">
        <f>COUNTIF(AD1304:AI1304,"&lt;&gt;0")</f>
        <v>1</v>
      </c>
      <c r="BB1304">
        <f>COUNTIF(AJ1304:AL1304,"&lt;&gt;0")</f>
        <v>0</v>
      </c>
      <c r="BC1304">
        <f>COUNTIF(AS1304:AW1304,"&lt;&gt;0")</f>
        <v>2</v>
      </c>
      <c r="BD1304">
        <f>COUNTIF(AM1304:AR1304,"&lt;&gt;0")</f>
        <v>0</v>
      </c>
      <c r="BE1304" t="str" cm="1">
        <f t="array" ref="BE1304">IF(AY1304=1,INDEX($V$7:$AL$7,MATCH(TRUE,INDEX($V1304:$AW1304&lt;&gt;0,),0)),IF(AY1304=0,INDEX($AM$7:$AW$7,MATCH(1,$AM1304:$AW1304,0)),IF(BF1304="Multiple strategies","mixed drivers",IF(BF1304="Supply chain","multiple supply","multiple silviculture"))))</f>
        <v>mixed drivers</v>
      </c>
      <c r="BF1304" s="2" t="str" cm="1">
        <f t="array" ref="BF1304">IF(COUNTIF(AZ1304:BB1304,"&lt;&gt;0")=1,INDEX($V$4:$AW$4,MATCH(TRUE,INDEX($V1304:$AW1304&lt;&gt;0,),0)),IF(COUNTIF(AZ1304:BB1304,"&lt;&gt;0")=0,INDEX($AM$4:$AW$4,MATCH(1,$AM1304:$AW1304,0)),"Multiple strategies"))</f>
        <v>Multiple strategies</v>
      </c>
      <c r="BG1304" s="142"/>
      <c r="BJ1304" s="143"/>
      <c r="BL1304" s="143"/>
      <c r="BN1304" s="158"/>
      <c r="BO1304" s="143"/>
      <c r="BP1304" s="155" t="s">
        <v>232</v>
      </c>
      <c r="BR1304" s="155" t="s">
        <v>3615</v>
      </c>
      <c r="BU1304" s="144"/>
      <c r="BV1304">
        <v>200</v>
      </c>
      <c r="BY1304" t="str">
        <f>IFERROR(BX1304/BO1304,"")</f>
        <v/>
      </c>
      <c r="BZ1304">
        <v>0</v>
      </c>
      <c r="CA1304">
        <v>1</v>
      </c>
      <c r="CB1304">
        <v>0</v>
      </c>
      <c r="CC1304">
        <v>1</v>
      </c>
      <c r="CD1304">
        <v>0</v>
      </c>
      <c r="CE1304">
        <v>0</v>
      </c>
      <c r="CF1304">
        <v>0</v>
      </c>
      <c r="CG1304">
        <v>0</v>
      </c>
      <c r="CH1304">
        <v>0</v>
      </c>
      <c r="CI1304">
        <v>0</v>
      </c>
      <c r="CJ1304">
        <v>0</v>
      </c>
      <c r="CK1304">
        <v>0</v>
      </c>
      <c r="CL1304">
        <v>0</v>
      </c>
      <c r="CM1304">
        <v>0</v>
      </c>
      <c r="CN1304" t="str">
        <f>IF($BL1304&lt;$BK1304,"refNeedCorrection","refOK")</f>
        <v>refOK</v>
      </c>
      <c r="CO1304"/>
      <c r="CP1304"/>
      <c r="CQ1304"/>
      <c r="CR1304">
        <f>IF($CN1304="refOK",$BS1304,$BT1304)*IF($BP1304="Emissions positive",-1,1)</f>
        <v>0</v>
      </c>
      <c r="CS1304">
        <f>IF($CN1304="refOK",$BT1304,$BS1304)*IF($BP1304="Emissions positive",-1,1)</f>
        <v>0</v>
      </c>
      <c r="CT1304">
        <f>IF($CN1304="refNeedCorrection",-BX1304,BX1304)*IF($BP1304="Emissions positive",-1,1)</f>
        <v>0</v>
      </c>
      <c r="CU1304" t="str">
        <f>IFERROR(CT1304/CQ1304,"")</f>
        <v/>
      </c>
      <c r="CV1304" s="2" t="str">
        <f>IFERROR((CS1304-CR1304)/ABS(CR1304),"")</f>
        <v/>
      </c>
      <c r="CW1304" s="1" t="s">
        <v>1203</v>
      </c>
      <c r="CX1304" s="312" t="str">
        <f>IF(OR($CW1304="prd",$CW1304="std",$CW1304="cit"),"loc",IF(OR($CW1304="eur",$CW1304="reg",$CW1304="coy"),"reg",$CW1304))</f>
        <v>reg</v>
      </c>
      <c r="CY1304" s="318" t="s">
        <v>428</v>
      </c>
      <c r="CZ1304">
        <v>2010</v>
      </c>
      <c r="DA1304" s="143">
        <v>2045</v>
      </c>
      <c r="DB1304" s="143">
        <v>35</v>
      </c>
      <c r="DC1304" t="str">
        <f>IF(DB1304=0,"0",IF(AND(DB1304&gt;=1,DB1304&lt;=30),"1-30",IF(AND(DB1304&gt;30,DB1304&lt;=70),"31-70",IF(AND(DB1304&gt;70,DB1304&lt;=100),"71-100",IF(DB1304&gt;100,"+100")))))</f>
        <v>31-70</v>
      </c>
      <c r="DD1304">
        <v>0</v>
      </c>
      <c r="DE1304">
        <v>1</v>
      </c>
      <c r="DF1304">
        <v>1</v>
      </c>
      <c r="DG1304">
        <v>1</v>
      </c>
      <c r="DH1304">
        <v>1</v>
      </c>
      <c r="DI1304">
        <f>SUM(DD1304:DH1304)</f>
        <v>4</v>
      </c>
      <c r="DJ1304" t="str">
        <f>IF(DI1304=1,INDEX($DD$7:$DG$7,MATCH(1,$DD1304:$DG1304,0)),"mixedProduct")</f>
        <v>mixedProduct</v>
      </c>
      <c r="DK1304">
        <f>IF(DD1304=1,DK$7,0)</f>
        <v>0</v>
      </c>
      <c r="DL1304" t="str">
        <f>IF(DE1304=1,DL$7,0)</f>
        <v>Energy</v>
      </c>
      <c r="DM1304" t="str">
        <f>IF(DF1304=1,DM$7,0)</f>
        <v>Pulp/Paper</v>
      </c>
      <c r="DN1304" t="str">
        <f>IF(DG1304=1,DN$7,0)</f>
        <v>Timber</v>
      </c>
      <c r="DO1304">
        <v>1</v>
      </c>
      <c r="DP1304" s="143">
        <v>0</v>
      </c>
      <c r="DQ1304" s="143">
        <v>0</v>
      </c>
      <c r="DR1304">
        <v>0</v>
      </c>
      <c r="DS1304" s="143">
        <v>0</v>
      </c>
      <c r="DT1304">
        <f>SUM(DO1304:DP1304)</f>
        <v>1</v>
      </c>
      <c r="DU1304" s="143" t="str">
        <f>IF(DO1304=1,"self-calculated DF",IF(DP1304=1,"external DF used","explicit C balance"))</f>
        <v>self-calculated DF</v>
      </c>
      <c r="DV1304" s="143">
        <v>1</v>
      </c>
      <c r="DW1304" s="143">
        <v>1</v>
      </c>
      <c r="DX1304" s="143">
        <v>1</v>
      </c>
      <c r="DY1304" s="143">
        <v>1</v>
      </c>
      <c r="DZ1304">
        <v>0</v>
      </c>
      <c r="EA1304" s="143">
        <v>0</v>
      </c>
      <c r="EB1304" s="143">
        <v>1</v>
      </c>
      <c r="EC1304" s="143">
        <v>1</v>
      </c>
      <c r="ED1304" s="143">
        <v>1</v>
      </c>
      <c r="EE1304">
        <v>0</v>
      </c>
      <c r="EF1304">
        <v>1</v>
      </c>
      <c r="EG1304" s="143">
        <v>1</v>
      </c>
      <c r="EH1304" s="143">
        <v>1</v>
      </c>
      <c r="EI1304" s="2">
        <v>0</v>
      </c>
      <c r="EK1304" t="str">
        <f>IF(AND(AND(AND(OR($DX1304=1,$DW1304=1),OR($EC1304=1,$EA1304=1)),SUM($DV1304:$DZ1304,$EF1304)&gt;=3),SUM($EA1304:$EE1304)&gt;=2),"Whole sector","")</f>
        <v>Whole sector</v>
      </c>
      <c r="EL1304" t="str">
        <f>IF(AND(AND(OR($DX1304=1,$DW1304=1),AND($EC1304=0,$EA1304=0)),SUM($DV1304:$DZ1304,$EF1304)&gt;=3),"Ecosystem approach","")</f>
        <v/>
      </c>
      <c r="EM1304" s="2" t="str">
        <f>IF(AND(AND(AND($DX1304=0,$DW1304=0),OR($EC1304=1,$EA1304=1)),SUM($EB1304:$EE1304)&gt;=2),"Technology approach","")</f>
        <v/>
      </c>
      <c r="EP1304" t="b">
        <f>IF(ISNUMBER(BU1304),IF(ABS(BU1304-[5]QC_indicators!$B$2)&gt;3*[5]QC_indicators!$C$2,"C ratio",IF(ISNUMBER(BY1304),IF(ABS(BY1304-[5]QC_indicators!$B$1)&gt;3*[5]QC_indicators!$C$1,"DF","no"))),IF(ISNUMBER(BY1304),IF(ABS(BY1304-[5]QC_indicators!$B$1)&gt;3*[5]QC_indicators!$C$1,"DF","no")))</f>
        <v>0</v>
      </c>
    </row>
    <row r="1305" spans="1:148" ht="15" customHeight="1">
      <c r="A1305" s="1" t="s">
        <v>3618</v>
      </c>
      <c r="B1305" t="s">
        <v>3619</v>
      </c>
      <c r="C1305" t="s">
        <v>3620</v>
      </c>
      <c r="D1305" t="s">
        <v>3621</v>
      </c>
      <c r="E1305" t="s">
        <v>3622</v>
      </c>
      <c r="F1305" t="s">
        <v>3623</v>
      </c>
      <c r="G1305" t="s">
        <v>3624</v>
      </c>
      <c r="H1305" t="s">
        <v>254</v>
      </c>
      <c r="I1305">
        <v>2017</v>
      </c>
      <c r="J1305">
        <v>6</v>
      </c>
      <c r="K1305" t="s">
        <v>3625</v>
      </c>
      <c r="M1305" t="str">
        <f>LEFT($D1305,FIND(",",$D1305)-1)&amp;"_"&amp;I1305&amp;L1305</f>
        <v>Gopalakrishnan_2017</v>
      </c>
      <c r="N1305" s="312" t="s">
        <v>4383</v>
      </c>
      <c r="O1305" s="171" t="s">
        <v>274</v>
      </c>
      <c r="P1305" t="s">
        <v>341</v>
      </c>
      <c r="Q1305" s="312" t="s">
        <v>389</v>
      </c>
      <c r="R1305" s="313"/>
      <c r="S1305" s="154" t="s">
        <v>3626</v>
      </c>
      <c r="T1305" s="149" t="s">
        <v>726</v>
      </c>
      <c r="U1305" t="s">
        <v>3627</v>
      </c>
      <c r="V1305">
        <v>0</v>
      </c>
      <c r="W1305">
        <v>0</v>
      </c>
      <c r="X1305">
        <v>0</v>
      </c>
      <c r="Y1305">
        <v>0</v>
      </c>
      <c r="Z1305">
        <v>0</v>
      </c>
      <c r="AA1305">
        <v>0</v>
      </c>
      <c r="AB1305">
        <v>0</v>
      </c>
      <c r="AC1305">
        <v>0</v>
      </c>
      <c r="AD1305">
        <v>0</v>
      </c>
      <c r="AE1305">
        <v>0</v>
      </c>
      <c r="AF1305">
        <v>0</v>
      </c>
      <c r="AG1305">
        <v>0</v>
      </c>
      <c r="AH1305">
        <v>1</v>
      </c>
      <c r="AI1305">
        <v>0</v>
      </c>
      <c r="AJ1305">
        <v>0</v>
      </c>
      <c r="AK1305">
        <v>0</v>
      </c>
      <c r="AL1305">
        <v>0</v>
      </c>
      <c r="AM1305">
        <v>0</v>
      </c>
      <c r="AN1305">
        <v>0</v>
      </c>
      <c r="AO1305">
        <v>0</v>
      </c>
      <c r="AP1305">
        <v>0</v>
      </c>
      <c r="AQ1305">
        <v>0</v>
      </c>
      <c r="AR1305">
        <v>0</v>
      </c>
      <c r="AS1305">
        <v>0</v>
      </c>
      <c r="AT1305">
        <v>0</v>
      </c>
      <c r="AU1305">
        <v>0</v>
      </c>
      <c r="AV1305">
        <v>0</v>
      </c>
      <c r="AW1305">
        <v>0</v>
      </c>
      <c r="AX1305" s="141">
        <f>COUNTIF(V1305:AW1305,"&lt;&gt;0")</f>
        <v>1</v>
      </c>
      <c r="AY1305" s="141">
        <f>COUNTIF(V1305:AL1305,"&lt;&gt;0")</f>
        <v>1</v>
      </c>
      <c r="AZ1305">
        <f>COUNTIF(V1305:AC1305,"&lt;&gt;0")</f>
        <v>0</v>
      </c>
      <c r="BA1305">
        <f>COUNTIF(AD1305:AI1305,"&lt;&gt;0")</f>
        <v>1</v>
      </c>
      <c r="BB1305">
        <f>COUNTIF(AJ1305:AL1305,"&lt;&gt;0")</f>
        <v>0</v>
      </c>
      <c r="BC1305">
        <f>COUNTIF(AS1305:AW1305,"&lt;&gt;0")</f>
        <v>0</v>
      </c>
      <c r="BD1305">
        <f>COUNTIF(AM1305:AR1305,"&lt;&gt;0")</f>
        <v>0</v>
      </c>
      <c r="BE1305" t="str" cm="1">
        <f t="array" ref="BE1305">IF(AY1305=1,INDEX($V$7:$AL$7,MATCH(TRUE,INDEX($V1305:$AW1305&lt;&gt;0,),0)),IF(AY1305=0,INDEX($AM$7:$AW$7,MATCH(1,$AM1305:$AW1305,0)),IF(BF1305="Multiple strategies","mixed drivers",IF(BF1305="Supply chain","multiple supply","multiple silviculture"))))</f>
        <v xml:space="preserve">end of life disposal </v>
      </c>
      <c r="BF1305" s="2" t="str" cm="1">
        <f t="array" ref="BF1305">IF(COUNTIF(AZ1305:BB1305,"&lt;&gt;0")=1,INDEX($V$4:$AW$4,MATCH(TRUE,INDEX($V1305:$AW1305&lt;&gt;0,),0)),IF(COUNTIF(AZ1305:BB1305,"&lt;&gt;0")=0,INDEX($AM$4:$AW$4,MATCH(1,$AM1305:$AW1305,0)),"Multiple strategies"))</f>
        <v>Supply chain</v>
      </c>
      <c r="BG1305" s="142"/>
      <c r="BJ1305" s="143"/>
      <c r="BL1305" s="143"/>
      <c r="BM1305" t="str">
        <f>IFERROR(BL1305/BK1305,"")</f>
        <v/>
      </c>
      <c r="BN1305" s="158"/>
      <c r="BO1305" s="143"/>
      <c r="BP1305" s="155" t="s">
        <v>232</v>
      </c>
      <c r="BR1305" s="155" t="s">
        <v>3628</v>
      </c>
      <c r="BS1305">
        <v>-42808.988764044901</v>
      </c>
      <c r="BT1305">
        <v>-36292.1348314606</v>
      </c>
      <c r="BU1305" s="144"/>
      <c r="BY1305" t="str">
        <f>IFERROR(BX1305/BO1305,"")</f>
        <v/>
      </c>
      <c r="BZ1305">
        <v>0</v>
      </c>
      <c r="CA1305">
        <v>0</v>
      </c>
      <c r="CB1305">
        <v>0</v>
      </c>
      <c r="CC1305">
        <v>0</v>
      </c>
      <c r="CD1305">
        <v>0</v>
      </c>
      <c r="CE1305">
        <v>0</v>
      </c>
      <c r="CF1305">
        <v>0</v>
      </c>
      <c r="CG1305">
        <v>0</v>
      </c>
      <c r="CH1305">
        <v>0</v>
      </c>
      <c r="CI1305">
        <v>0</v>
      </c>
      <c r="CJ1305">
        <v>0</v>
      </c>
      <c r="CK1305">
        <v>0</v>
      </c>
      <c r="CL1305">
        <v>0</v>
      </c>
      <c r="CM1305">
        <v>0</v>
      </c>
      <c r="CN1305" t="str">
        <f>IF($BL1305&lt;$BK1305,"refNeedCorrection","refOK")</f>
        <v>refOK</v>
      </c>
      <c r="CO1305"/>
      <c r="CP1305"/>
      <c r="CQ1305"/>
      <c r="CR1305">
        <f>IF($CN1305="refOK",$BS1305,$BT1305)*IF($BP1305="Emissions positive",-1,1)</f>
        <v>-42808.988764044901</v>
      </c>
      <c r="CS1305">
        <f>IF($CN1305="refOK",$BT1305,$BS1305)*IF($BP1305="Emissions positive",-1,1)</f>
        <v>-36292.1348314606</v>
      </c>
      <c r="CT1305">
        <f>IF($CN1305="refNeedCorrection",-BX1305,BX1305)*IF($BP1305="Emissions positive",-1,1)</f>
        <v>0</v>
      </c>
      <c r="CU1305" t="str">
        <f>IFERROR(CT1305/CQ1305,"")</f>
        <v/>
      </c>
      <c r="CV1305" s="2">
        <f>IFERROR((CS1305-CR1305)/ABS(CR1305),"")</f>
        <v>0.15223097112860981</v>
      </c>
      <c r="CW1305" s="1" t="s">
        <v>1199</v>
      </c>
      <c r="CX1305" s="312" t="str">
        <f>IF(OR($CW1305="prd",$CW1305="std",$CW1305="cit"),"loc",IF(OR($CW1305="eur",$CW1305="reg",$CW1305="coy"),"reg",$CW1305))</f>
        <v>reg</v>
      </c>
      <c r="CY1305" s="318" t="s">
        <v>428</v>
      </c>
      <c r="CZ1305">
        <v>2007</v>
      </c>
      <c r="DA1305" s="143">
        <v>2009</v>
      </c>
      <c r="DB1305" s="143">
        <v>2</v>
      </c>
      <c r="DC1305" t="str">
        <f>IF(DB1305=0,"0",IF(AND(DB1305&gt;=1,DB1305&lt;=30),"1-30",IF(AND(DB1305&gt;30,DB1305&lt;=70),"31-70",IF(AND(DB1305&gt;70,DB1305&lt;=100),"71-100",IF(DB1305&gt;100,"+100")))))</f>
        <v>1-30</v>
      </c>
      <c r="DD1305">
        <v>0</v>
      </c>
      <c r="DE1305">
        <v>1</v>
      </c>
      <c r="DF1305">
        <v>0</v>
      </c>
      <c r="DG1305">
        <v>0</v>
      </c>
      <c r="DH1305">
        <v>1</v>
      </c>
      <c r="DI1305">
        <f>SUM(DD1305:DG1305)</f>
        <v>1</v>
      </c>
      <c r="DJ1305" t="str">
        <f>IF(DI1305=1,INDEX($DD$7:$DG$7,MATCH(1,$DD1305:$DG1305,0)),"mixedProduct")</f>
        <v>EnergyInput</v>
      </c>
      <c r="DK1305">
        <f>IF(DD1305=1,DK$7,0)</f>
        <v>0</v>
      </c>
      <c r="DL1305" t="str">
        <f>IF(DE1305=1,DL$7,0)</f>
        <v>Energy</v>
      </c>
      <c r="DM1305">
        <f>IF(DF1305=1,DM$7,0)</f>
        <v>0</v>
      </c>
      <c r="DN1305">
        <f>IF(DG1305=1,DN$7,0)</f>
        <v>0</v>
      </c>
      <c r="DO1305">
        <v>1</v>
      </c>
      <c r="DP1305" s="143">
        <v>0</v>
      </c>
      <c r="DQ1305" s="143">
        <v>0</v>
      </c>
      <c r="DR1305">
        <v>0</v>
      </c>
      <c r="DS1305" s="143">
        <v>0</v>
      </c>
      <c r="DT1305">
        <f>SUM(DO1305:DP1305)</f>
        <v>1</v>
      </c>
      <c r="DU1305" s="143" t="str">
        <f>IF(DO1305=1,"self-calculated DF",IF(DP1305=1,"external DF used","explicit C balance"))</f>
        <v>self-calculated DF</v>
      </c>
      <c r="DV1305" s="143">
        <v>0</v>
      </c>
      <c r="DW1305">
        <v>0</v>
      </c>
      <c r="DX1305" s="143">
        <v>1</v>
      </c>
      <c r="DY1305" s="143">
        <v>0</v>
      </c>
      <c r="DZ1305">
        <v>1</v>
      </c>
      <c r="EA1305" s="143">
        <v>1</v>
      </c>
      <c r="EB1305" s="143">
        <v>0</v>
      </c>
      <c r="EC1305" s="143">
        <v>0</v>
      </c>
      <c r="ED1305" s="143">
        <v>0</v>
      </c>
      <c r="EE1305">
        <v>1</v>
      </c>
      <c r="EF1305">
        <v>0</v>
      </c>
      <c r="EG1305" s="143">
        <v>0</v>
      </c>
      <c r="EH1305" s="143">
        <v>0</v>
      </c>
      <c r="EI1305" s="2">
        <v>0</v>
      </c>
      <c r="EK1305" t="str">
        <f>IF(AND(AND(AND(OR($DX1305=1,$DW1305=1),OR($EC1305=1,$EA1305=1)),SUM($DV1305:$DZ1305,$EF1305)&gt;=3),SUM($EA1305:$EE1305)&gt;=2),"Whole sector","")</f>
        <v/>
      </c>
      <c r="EL1305" t="str">
        <f>IF(AND(AND(OR($DX1305=1,$DW1305=1),AND($EC1305=0,$EA1305=0)),SUM($DV1305:$DZ1305,$EF1305)&gt;=3),"Ecosystem approach","")</f>
        <v/>
      </c>
      <c r="EM1305" s="2" t="str">
        <f>IF(AND(AND(AND($DX1305=0,$DW1305=0),OR($EC1305=1,$EA1305=1)),SUM($EB1305:$EE1305)&gt;=2),"Technology approach","")</f>
        <v/>
      </c>
      <c r="EP1305" t="b">
        <f>IF(ISNUMBER(BU1305),IF(ABS(BU1305-[5]QC_indicators!$B$2)&gt;3*[5]QC_indicators!$C$2,"C ratio",IF(ISNUMBER(BY1305),IF(ABS(BY1305-[5]QC_indicators!$B$1)&gt;3*[5]QC_indicators!$C$1,"DF","no"))),IF(ISNUMBER(BY1305),IF(ABS(BY1305-[5]QC_indicators!$B$1)&gt;3*[5]QC_indicators!$C$1,"DF","no")))</f>
        <v>0</v>
      </c>
    </row>
    <row r="1306" spans="1:148" ht="15" customHeight="1">
      <c r="A1306" s="1" t="s">
        <v>3618</v>
      </c>
      <c r="B1306" t="s">
        <v>3619</v>
      </c>
      <c r="C1306" t="s">
        <v>3620</v>
      </c>
      <c r="D1306" t="s">
        <v>3621</v>
      </c>
      <c r="E1306" t="s">
        <v>3622</v>
      </c>
      <c r="F1306" t="s">
        <v>3623</v>
      </c>
      <c r="G1306" t="s">
        <v>3624</v>
      </c>
      <c r="H1306" t="s">
        <v>254</v>
      </c>
      <c r="I1306">
        <v>2017</v>
      </c>
      <c r="J1306">
        <v>6</v>
      </c>
      <c r="K1306" t="s">
        <v>3625</v>
      </c>
      <c r="M1306" t="str">
        <f>LEFT($D1306,FIND(",",$D1306)-1)&amp;"_"&amp;I1306&amp;L1306</f>
        <v>Gopalakrishnan_2017</v>
      </c>
      <c r="N1306" s="312" t="s">
        <v>4383</v>
      </c>
      <c r="O1306" s="171" t="s">
        <v>274</v>
      </c>
      <c r="P1306" t="s">
        <v>341</v>
      </c>
      <c r="Q1306" s="312" t="s">
        <v>389</v>
      </c>
      <c r="R1306" s="313"/>
      <c r="S1306" s="154" t="s">
        <v>3626</v>
      </c>
      <c r="T1306" s="149" t="s">
        <v>726</v>
      </c>
      <c r="U1306" t="s">
        <v>3629</v>
      </c>
      <c r="V1306">
        <v>0</v>
      </c>
      <c r="W1306">
        <v>0</v>
      </c>
      <c r="X1306">
        <v>0</v>
      </c>
      <c r="Y1306">
        <v>0</v>
      </c>
      <c r="Z1306">
        <v>0</v>
      </c>
      <c r="AA1306">
        <v>0</v>
      </c>
      <c r="AB1306">
        <v>0</v>
      </c>
      <c r="AC1306">
        <v>0</v>
      </c>
      <c r="AD1306">
        <v>0</v>
      </c>
      <c r="AE1306">
        <v>0</v>
      </c>
      <c r="AF1306">
        <v>0</v>
      </c>
      <c r="AG1306">
        <v>0</v>
      </c>
      <c r="AH1306">
        <v>1</v>
      </c>
      <c r="AI1306">
        <v>0</v>
      </c>
      <c r="AJ1306">
        <v>0</v>
      </c>
      <c r="AK1306">
        <v>0</v>
      </c>
      <c r="AL1306">
        <v>0</v>
      </c>
      <c r="AM1306">
        <v>0</v>
      </c>
      <c r="AN1306">
        <v>0</v>
      </c>
      <c r="AO1306">
        <v>0</v>
      </c>
      <c r="AP1306">
        <v>0</v>
      </c>
      <c r="AQ1306">
        <v>0</v>
      </c>
      <c r="AR1306">
        <v>0</v>
      </c>
      <c r="AS1306">
        <v>0</v>
      </c>
      <c r="AT1306">
        <v>0</v>
      </c>
      <c r="AU1306">
        <v>0</v>
      </c>
      <c r="AV1306">
        <v>0</v>
      </c>
      <c r="AW1306">
        <v>0</v>
      </c>
      <c r="AX1306" s="141">
        <f>COUNTIF(V1306:AW1306,"&lt;&gt;0")</f>
        <v>1</v>
      </c>
      <c r="AY1306" s="141">
        <f>COUNTIF(V1306:AL1306,"&lt;&gt;0")</f>
        <v>1</v>
      </c>
      <c r="AZ1306">
        <f>COUNTIF(V1306:AC1306,"&lt;&gt;0")</f>
        <v>0</v>
      </c>
      <c r="BA1306">
        <f>COUNTIF(AD1306:AI1306,"&lt;&gt;0")</f>
        <v>1</v>
      </c>
      <c r="BB1306">
        <f>COUNTIF(AJ1306:AL1306,"&lt;&gt;0")</f>
        <v>0</v>
      </c>
      <c r="BC1306">
        <f>COUNTIF(AS1306:AW1306,"&lt;&gt;0")</f>
        <v>0</v>
      </c>
      <c r="BD1306">
        <f>COUNTIF(AM1306:AR1306,"&lt;&gt;0")</f>
        <v>0</v>
      </c>
      <c r="BE1306" t="str" cm="1">
        <f t="array" ref="BE1306">IF(AY1306=1,INDEX($V$7:$AL$7,MATCH(TRUE,INDEX($V1306:$AW1306&lt;&gt;0,),0)),IF(AY1306=0,INDEX($AM$7:$AW$7,MATCH(1,$AM1306:$AW1306,0)),IF(BF1306="Multiple strategies","mixed drivers",IF(BF1306="Supply chain","multiple supply","multiple silviculture"))))</f>
        <v xml:space="preserve">end of life disposal </v>
      </c>
      <c r="BF1306" s="2" t="str" cm="1">
        <f t="array" ref="BF1306">IF(COUNTIF(AZ1306:BB1306,"&lt;&gt;0")=1,INDEX($V$4:$AW$4,MATCH(TRUE,INDEX($V1306:$AW1306&lt;&gt;0,),0)),IF(COUNTIF(AZ1306:BB1306,"&lt;&gt;0")=0,INDEX($AM$4:$AW$4,MATCH(1,$AM1306:$AW1306,0)),"Multiple strategies"))</f>
        <v>Supply chain</v>
      </c>
      <c r="BG1306" s="142"/>
      <c r="BJ1306" s="143"/>
      <c r="BL1306" s="143"/>
      <c r="BN1306" s="158"/>
      <c r="BO1306" s="143"/>
      <c r="BP1306" s="155" t="s">
        <v>232</v>
      </c>
      <c r="BR1306" s="155" t="s">
        <v>3628</v>
      </c>
      <c r="BS1306">
        <v>-42808.988764044901</v>
      </c>
      <c r="BT1306">
        <v>-23033.707865168501</v>
      </c>
      <c r="BU1306" s="144"/>
      <c r="BY1306" t="str">
        <f>IFERROR(BX1306/BO1306,"")</f>
        <v/>
      </c>
      <c r="BZ1306">
        <v>0</v>
      </c>
      <c r="CA1306">
        <v>0</v>
      </c>
      <c r="CB1306">
        <v>0</v>
      </c>
      <c r="CC1306">
        <v>0</v>
      </c>
      <c r="CD1306">
        <v>0</v>
      </c>
      <c r="CE1306">
        <v>0</v>
      </c>
      <c r="CF1306">
        <v>0</v>
      </c>
      <c r="CG1306">
        <v>0</v>
      </c>
      <c r="CH1306">
        <v>0</v>
      </c>
      <c r="CI1306">
        <v>0</v>
      </c>
      <c r="CJ1306">
        <v>0</v>
      </c>
      <c r="CK1306">
        <v>0</v>
      </c>
      <c r="CL1306">
        <v>0</v>
      </c>
      <c r="CM1306">
        <v>0</v>
      </c>
      <c r="CN1306" t="str">
        <f>IF($BL1306&lt;$BK1306,"refNeedCorrection","refOK")</f>
        <v>refOK</v>
      </c>
      <c r="CO1306"/>
      <c r="CP1306"/>
      <c r="CQ1306"/>
      <c r="CR1306">
        <f>IF($CN1306="refOK",$BS1306,$BT1306)*IF($BP1306="Emissions positive",-1,1)</f>
        <v>-42808.988764044901</v>
      </c>
      <c r="CS1306">
        <f>IF($CN1306="refOK",$BT1306,$BS1306)*IF($BP1306="Emissions positive",-1,1)</f>
        <v>-23033.707865168501</v>
      </c>
      <c r="CT1306">
        <f>IF($CN1306="refNeedCorrection",-BX1306,BX1306)*IF($BP1306="Emissions positive",-1,1)</f>
        <v>0</v>
      </c>
      <c r="CU1306" t="str">
        <f>IFERROR(CT1306/CQ1306,"")</f>
        <v/>
      </c>
      <c r="CV1306" s="2">
        <f>IFERROR((CS1306-CR1306)/ABS(CR1306),"")</f>
        <v>0.46194225721784815</v>
      </c>
      <c r="CW1306" s="1" t="s">
        <v>1199</v>
      </c>
      <c r="CX1306" s="312" t="str">
        <f>IF(OR($CW1306="prd",$CW1306="std",$CW1306="cit"),"loc",IF(OR($CW1306="eur",$CW1306="reg",$CW1306="coy"),"reg",$CW1306))</f>
        <v>reg</v>
      </c>
      <c r="CY1306" s="318" t="s">
        <v>428</v>
      </c>
      <c r="CZ1306">
        <v>2007</v>
      </c>
      <c r="DA1306" s="143">
        <v>2009</v>
      </c>
      <c r="DB1306" s="143">
        <v>2</v>
      </c>
      <c r="DC1306" t="str">
        <f>IF(DB1306=0,"0",IF(AND(DB1306&gt;=1,DB1306&lt;=30),"1-30",IF(AND(DB1306&gt;30,DB1306&lt;=70),"31-70",IF(AND(DB1306&gt;70,DB1306&lt;=100),"71-100",IF(DB1306&gt;100,"+100")))))</f>
        <v>1-30</v>
      </c>
      <c r="DD1306">
        <v>0</v>
      </c>
      <c r="DE1306">
        <v>1</v>
      </c>
      <c r="DF1306">
        <v>0</v>
      </c>
      <c r="DG1306">
        <v>0</v>
      </c>
      <c r="DH1306">
        <v>1</v>
      </c>
      <c r="DI1306">
        <f>SUM(DD1306:DG1306)</f>
        <v>1</v>
      </c>
      <c r="DJ1306" t="str">
        <f>IF(DI1306=1,INDEX($DD$7:$DG$7,MATCH(1,$DD1306:$DG1306,0)),"mixedProduct")</f>
        <v>EnergyInput</v>
      </c>
      <c r="DK1306">
        <f>IF(DD1306=1,DK$7,0)</f>
        <v>0</v>
      </c>
      <c r="DL1306" t="str">
        <f>IF(DE1306=1,DL$7,0)</f>
        <v>Energy</v>
      </c>
      <c r="DM1306">
        <f>IF(DF1306=1,DM$7,0)</f>
        <v>0</v>
      </c>
      <c r="DN1306">
        <f>IF(DG1306=1,DN$7,0)</f>
        <v>0</v>
      </c>
      <c r="DO1306">
        <v>1</v>
      </c>
      <c r="DP1306" s="143">
        <v>0</v>
      </c>
      <c r="DQ1306" s="143">
        <v>0</v>
      </c>
      <c r="DR1306">
        <v>0</v>
      </c>
      <c r="DS1306" s="143">
        <v>0</v>
      </c>
      <c r="DT1306">
        <f>SUM(DO1306:DP1306)</f>
        <v>1</v>
      </c>
      <c r="DU1306" s="143" t="str">
        <f>IF(DO1306=1,"self-calculated DF",IF(DP1306=1,"external DF used","explicit C balance"))</f>
        <v>self-calculated DF</v>
      </c>
      <c r="DV1306" s="143">
        <v>0</v>
      </c>
      <c r="DW1306">
        <v>0</v>
      </c>
      <c r="DX1306" s="143">
        <v>1</v>
      </c>
      <c r="DY1306" s="143">
        <v>0</v>
      </c>
      <c r="DZ1306">
        <v>1</v>
      </c>
      <c r="EA1306" s="143">
        <v>1</v>
      </c>
      <c r="EB1306" s="143">
        <v>0</v>
      </c>
      <c r="EC1306" s="143">
        <v>0</v>
      </c>
      <c r="ED1306" s="143">
        <v>0</v>
      </c>
      <c r="EE1306">
        <v>1</v>
      </c>
      <c r="EF1306">
        <v>0</v>
      </c>
      <c r="EG1306" s="143">
        <v>0</v>
      </c>
      <c r="EH1306" s="143">
        <v>0</v>
      </c>
      <c r="EI1306" s="2">
        <v>0</v>
      </c>
      <c r="EK1306" t="str">
        <f>IF(AND(AND(AND(OR($DX1306=1,$DW1306=1),OR($EC1306=1,$EA1306=1)),SUM($DV1306:$DZ1306,$EF1306)&gt;=3),SUM($EA1306:$EE1306)&gt;=2),"Whole sector","")</f>
        <v/>
      </c>
      <c r="EL1306" t="str">
        <f>IF(AND(AND(OR($DX1306=1,$DW1306=1),AND($EC1306=0,$EA1306=0)),SUM($DV1306:$DZ1306,$EF1306)&gt;=3),"Ecosystem approach","")</f>
        <v/>
      </c>
      <c r="EM1306" s="2" t="str">
        <f>IF(AND(AND(AND($DX1306=0,$DW1306=0),OR($EC1306=1,$EA1306=1)),SUM($EB1306:$EE1306)&gt;=2),"Technology approach","")</f>
        <v/>
      </c>
      <c r="EP1306" t="b">
        <f>IF(ISNUMBER(BU1306),IF(ABS(BU1306-[5]QC_indicators!$B$2)&gt;3*[5]QC_indicators!$C$2,"C ratio",IF(ISNUMBER(BY1306),IF(ABS(BY1306-[5]QC_indicators!$B$1)&gt;3*[5]QC_indicators!$C$1,"DF","no"))),IF(ISNUMBER(BY1306),IF(ABS(BY1306-[5]QC_indicators!$B$1)&gt;3*[5]QC_indicators!$C$1,"DF","no")))</f>
        <v>0</v>
      </c>
    </row>
    <row r="1307" spans="1:148" ht="15" customHeight="1">
      <c r="A1307" s="1" t="s">
        <v>3618</v>
      </c>
      <c r="B1307" t="s">
        <v>3619</v>
      </c>
      <c r="C1307" t="s">
        <v>3620</v>
      </c>
      <c r="D1307" t="s">
        <v>3621</v>
      </c>
      <c r="E1307" t="s">
        <v>3622</v>
      </c>
      <c r="F1307" t="s">
        <v>3623</v>
      </c>
      <c r="G1307" t="s">
        <v>3624</v>
      </c>
      <c r="H1307" t="s">
        <v>254</v>
      </c>
      <c r="I1307">
        <v>2017</v>
      </c>
      <c r="J1307">
        <v>6</v>
      </c>
      <c r="K1307" t="s">
        <v>3625</v>
      </c>
      <c r="M1307" t="str">
        <f>LEFT($D1307,FIND(",",$D1307)-1)&amp;"_"&amp;I1307&amp;L1307</f>
        <v>Gopalakrishnan_2017</v>
      </c>
      <c r="N1307" s="312" t="s">
        <v>4383</v>
      </c>
      <c r="O1307" s="171" t="s">
        <v>274</v>
      </c>
      <c r="P1307" t="s">
        <v>341</v>
      </c>
      <c r="Q1307" s="312" t="s">
        <v>389</v>
      </c>
      <c r="R1307" s="313"/>
      <c r="S1307" s="154" t="s">
        <v>3626</v>
      </c>
      <c r="T1307" s="149" t="s">
        <v>726</v>
      </c>
      <c r="U1307" t="s">
        <v>3630</v>
      </c>
      <c r="V1307">
        <v>0</v>
      </c>
      <c r="W1307">
        <v>0</v>
      </c>
      <c r="X1307">
        <v>0</v>
      </c>
      <c r="Y1307">
        <v>0</v>
      </c>
      <c r="Z1307">
        <v>0</v>
      </c>
      <c r="AA1307">
        <v>0</v>
      </c>
      <c r="AB1307">
        <v>0</v>
      </c>
      <c r="AC1307">
        <v>0</v>
      </c>
      <c r="AD1307">
        <v>0</v>
      </c>
      <c r="AE1307">
        <v>0</v>
      </c>
      <c r="AF1307">
        <v>0</v>
      </c>
      <c r="AG1307">
        <v>0</v>
      </c>
      <c r="AH1307">
        <v>1</v>
      </c>
      <c r="AI1307">
        <v>0</v>
      </c>
      <c r="AJ1307">
        <v>0</v>
      </c>
      <c r="AK1307">
        <v>0</v>
      </c>
      <c r="AL1307">
        <v>0</v>
      </c>
      <c r="AM1307">
        <v>0</v>
      </c>
      <c r="AN1307">
        <v>0</v>
      </c>
      <c r="AO1307">
        <v>0</v>
      </c>
      <c r="AP1307">
        <v>0</v>
      </c>
      <c r="AQ1307">
        <v>0</v>
      </c>
      <c r="AR1307">
        <v>0</v>
      </c>
      <c r="AS1307">
        <v>0</v>
      </c>
      <c r="AT1307">
        <v>0</v>
      </c>
      <c r="AU1307">
        <v>0</v>
      </c>
      <c r="AV1307">
        <v>0</v>
      </c>
      <c r="AW1307">
        <v>0</v>
      </c>
      <c r="AX1307" s="141">
        <f>COUNTIF(V1307:AW1307,"&lt;&gt;0")</f>
        <v>1</v>
      </c>
      <c r="AY1307" s="141">
        <f>COUNTIF(V1307:AL1307,"&lt;&gt;0")</f>
        <v>1</v>
      </c>
      <c r="AZ1307">
        <f>COUNTIF(V1307:AC1307,"&lt;&gt;0")</f>
        <v>0</v>
      </c>
      <c r="BA1307">
        <f>COUNTIF(AD1307:AI1307,"&lt;&gt;0")</f>
        <v>1</v>
      </c>
      <c r="BB1307">
        <f>COUNTIF(AJ1307:AL1307,"&lt;&gt;0")</f>
        <v>0</v>
      </c>
      <c r="BC1307">
        <f>COUNTIF(AS1307:AW1307,"&lt;&gt;0")</f>
        <v>0</v>
      </c>
      <c r="BD1307">
        <f>COUNTIF(AM1307:AR1307,"&lt;&gt;0")</f>
        <v>0</v>
      </c>
      <c r="BE1307" t="str" cm="1">
        <f t="array" ref="BE1307">IF(AY1307=1,INDEX($V$7:$AL$7,MATCH(TRUE,INDEX($V1307:$AW1307&lt;&gt;0,),0)),IF(AY1307=0,INDEX($AM$7:$AW$7,MATCH(1,$AM1307:$AW1307,0)),IF(BF1307="Multiple strategies","mixed drivers",IF(BF1307="Supply chain","multiple supply","multiple silviculture"))))</f>
        <v xml:space="preserve">end of life disposal </v>
      </c>
      <c r="BF1307" s="2" t="str" cm="1">
        <f t="array" ref="BF1307">IF(COUNTIF(AZ1307:BB1307,"&lt;&gt;0")=1,INDEX($V$4:$AW$4,MATCH(TRUE,INDEX($V1307:$AW1307&lt;&gt;0,),0)),IF(COUNTIF(AZ1307:BB1307,"&lt;&gt;0")=0,INDEX($AM$4:$AW$4,MATCH(1,$AM1307:$AW1307,0)),"Multiple strategies"))</f>
        <v>Supply chain</v>
      </c>
      <c r="BG1307" s="142"/>
      <c r="BJ1307" s="143"/>
      <c r="BL1307" s="143"/>
      <c r="BN1307" s="158"/>
      <c r="BO1307" s="143"/>
      <c r="BP1307" s="155" t="s">
        <v>232</v>
      </c>
      <c r="BR1307" s="155" t="s">
        <v>3628</v>
      </c>
      <c r="BS1307">
        <v>-42808.988764044901</v>
      </c>
      <c r="BT1307">
        <v>-36629.213483145999</v>
      </c>
      <c r="BU1307" s="144"/>
      <c r="BY1307" t="str">
        <f>IFERROR(BX1307/BO1307,"")</f>
        <v/>
      </c>
      <c r="BZ1307">
        <v>0</v>
      </c>
      <c r="CA1307">
        <v>0</v>
      </c>
      <c r="CB1307">
        <v>0</v>
      </c>
      <c r="CC1307">
        <v>0</v>
      </c>
      <c r="CD1307">
        <v>0</v>
      </c>
      <c r="CE1307">
        <v>0</v>
      </c>
      <c r="CF1307">
        <v>0</v>
      </c>
      <c r="CG1307">
        <v>0</v>
      </c>
      <c r="CH1307">
        <v>0</v>
      </c>
      <c r="CI1307">
        <v>0</v>
      </c>
      <c r="CJ1307">
        <v>0</v>
      </c>
      <c r="CK1307">
        <v>0</v>
      </c>
      <c r="CL1307">
        <v>0</v>
      </c>
      <c r="CM1307">
        <v>0</v>
      </c>
      <c r="CN1307" t="str">
        <f>IF($BL1307&lt;$BK1307,"refNeedCorrection","refOK")</f>
        <v>refOK</v>
      </c>
      <c r="CO1307"/>
      <c r="CP1307"/>
      <c r="CQ1307"/>
      <c r="CR1307">
        <f>IF($CN1307="refOK",$BS1307,$BT1307)*IF($BP1307="Emissions positive",-1,1)</f>
        <v>-42808.988764044901</v>
      </c>
      <c r="CS1307">
        <f>IF($CN1307="refOK",$BT1307,$BS1307)*IF($BP1307="Emissions positive",-1,1)</f>
        <v>-36629.213483145999</v>
      </c>
      <c r="CT1307">
        <f>IF($CN1307="refNeedCorrection",-BX1307,BX1307)*IF($BP1307="Emissions positive",-1,1)</f>
        <v>0</v>
      </c>
      <c r="CU1307" t="str">
        <f>IFERROR(CT1307/CQ1307,"")</f>
        <v/>
      </c>
      <c r="CV1307" s="2">
        <f>IFERROR((CS1307-CR1307)/ABS(CR1307),"")</f>
        <v>0.14435695538057819</v>
      </c>
      <c r="CW1307" s="1" t="s">
        <v>1199</v>
      </c>
      <c r="CX1307" s="312" t="str">
        <f>IF(OR($CW1307="prd",$CW1307="std",$CW1307="cit"),"loc",IF(OR($CW1307="eur",$CW1307="reg",$CW1307="coy"),"reg",$CW1307))</f>
        <v>reg</v>
      </c>
      <c r="CY1307" s="318" t="s">
        <v>428</v>
      </c>
      <c r="CZ1307">
        <v>2007</v>
      </c>
      <c r="DA1307" s="143">
        <v>2009</v>
      </c>
      <c r="DB1307" s="143">
        <v>2</v>
      </c>
      <c r="DC1307" t="str">
        <f>IF(DB1307=0,"0",IF(AND(DB1307&gt;=1,DB1307&lt;=30),"1-30",IF(AND(DB1307&gt;30,DB1307&lt;=70),"31-70",IF(AND(DB1307&gt;70,DB1307&lt;=100),"71-100",IF(DB1307&gt;100,"+100")))))</f>
        <v>1-30</v>
      </c>
      <c r="DD1307">
        <v>0</v>
      </c>
      <c r="DE1307">
        <v>1</v>
      </c>
      <c r="DF1307">
        <v>0</v>
      </c>
      <c r="DG1307">
        <v>0</v>
      </c>
      <c r="DH1307">
        <v>1</v>
      </c>
      <c r="DI1307">
        <f>SUM(DD1307:DG1307)</f>
        <v>1</v>
      </c>
      <c r="DJ1307" t="str">
        <f>IF(DI1307=1,INDEX($DD$7:$DG$7,MATCH(1,$DD1307:$DG1307,0)),"mixedProduct")</f>
        <v>EnergyInput</v>
      </c>
      <c r="DK1307">
        <f>IF(DD1307=1,DK$7,0)</f>
        <v>0</v>
      </c>
      <c r="DL1307" t="str">
        <f>IF(DE1307=1,DL$7,0)</f>
        <v>Energy</v>
      </c>
      <c r="DM1307">
        <f>IF(DF1307=1,DM$7,0)</f>
        <v>0</v>
      </c>
      <c r="DN1307">
        <f>IF(DG1307=1,DN$7,0)</f>
        <v>0</v>
      </c>
      <c r="DO1307">
        <v>1</v>
      </c>
      <c r="DP1307" s="143">
        <v>0</v>
      </c>
      <c r="DQ1307" s="143">
        <v>0</v>
      </c>
      <c r="DR1307">
        <v>0</v>
      </c>
      <c r="DS1307" s="143">
        <v>0</v>
      </c>
      <c r="DT1307">
        <f>SUM(DO1307:DP1307)</f>
        <v>1</v>
      </c>
      <c r="DU1307" s="143" t="str">
        <f>IF(DO1307=1,"self-calculated DF",IF(DP1307=1,"external DF used","explicit C balance"))</f>
        <v>self-calculated DF</v>
      </c>
      <c r="DV1307" s="143">
        <v>0</v>
      </c>
      <c r="DW1307">
        <v>0</v>
      </c>
      <c r="DX1307" s="143">
        <v>1</v>
      </c>
      <c r="DY1307" s="143">
        <v>0</v>
      </c>
      <c r="DZ1307">
        <v>1</v>
      </c>
      <c r="EA1307" s="143">
        <v>1</v>
      </c>
      <c r="EB1307" s="143">
        <v>0</v>
      </c>
      <c r="EC1307" s="143">
        <v>0</v>
      </c>
      <c r="ED1307" s="143">
        <v>0</v>
      </c>
      <c r="EE1307">
        <v>1</v>
      </c>
      <c r="EF1307">
        <v>0</v>
      </c>
      <c r="EG1307" s="143">
        <v>0</v>
      </c>
      <c r="EH1307" s="143">
        <v>0</v>
      </c>
      <c r="EI1307" s="2">
        <v>0</v>
      </c>
      <c r="EK1307" t="str">
        <f>IF(AND(AND(AND(OR($DX1307=1,$DW1307=1),OR($EC1307=1,$EA1307=1)),SUM($DV1307:$DZ1307,$EF1307)&gt;=3),SUM($EA1307:$EE1307)&gt;=2),"Whole sector","")</f>
        <v/>
      </c>
      <c r="EL1307" t="str">
        <f>IF(AND(AND(OR($DX1307=1,$DW1307=1),AND($EC1307=0,$EA1307=0)),SUM($DV1307:$DZ1307,$EF1307)&gt;=3),"Ecosystem approach","")</f>
        <v/>
      </c>
      <c r="EM1307" s="2" t="str">
        <f>IF(AND(AND(AND($DX1307=0,$DW1307=0),OR($EC1307=1,$EA1307=1)),SUM($EB1307:$EE1307)&gt;=2),"Technology approach","")</f>
        <v/>
      </c>
      <c r="EP1307" t="b">
        <f>IF(ISNUMBER(BU1307),IF(ABS(BU1307-[5]QC_indicators!$B$2)&gt;3*[5]QC_indicators!$C$2,"C ratio",IF(ISNUMBER(BY1307),IF(ABS(BY1307-[5]QC_indicators!$B$1)&gt;3*[5]QC_indicators!$C$1,"DF","no"))),IF(ISNUMBER(BY1307),IF(ABS(BY1307-[5]QC_indicators!$B$1)&gt;3*[5]QC_indicators!$C$1,"DF","no")))</f>
        <v>0</v>
      </c>
    </row>
    <row r="1308" spans="1:148" ht="15" customHeight="1">
      <c r="A1308" s="1" t="s">
        <v>3618</v>
      </c>
      <c r="B1308" t="s">
        <v>3619</v>
      </c>
      <c r="C1308" t="s">
        <v>3620</v>
      </c>
      <c r="D1308" t="s">
        <v>3621</v>
      </c>
      <c r="E1308" s="312" t="s">
        <v>3622</v>
      </c>
      <c r="F1308" t="s">
        <v>3623</v>
      </c>
      <c r="G1308" t="s">
        <v>3624</v>
      </c>
      <c r="H1308" t="s">
        <v>254</v>
      </c>
      <c r="I1308">
        <v>2017</v>
      </c>
      <c r="J1308">
        <v>6</v>
      </c>
      <c r="K1308" t="s">
        <v>3625</v>
      </c>
      <c r="M1308" t="str">
        <f>LEFT($D1308,FIND(",",$D1308)-1)&amp;"_"&amp;I1308&amp;L1308</f>
        <v>Gopalakrishnan_2017</v>
      </c>
      <c r="N1308" s="312" t="s">
        <v>4383</v>
      </c>
      <c r="O1308" s="171" t="s">
        <v>274</v>
      </c>
      <c r="P1308" t="s">
        <v>341</v>
      </c>
      <c r="Q1308" s="312" t="s">
        <v>389</v>
      </c>
      <c r="R1308" s="313"/>
      <c r="S1308" s="154" t="s">
        <v>3626</v>
      </c>
      <c r="T1308" s="149" t="s">
        <v>726</v>
      </c>
      <c r="U1308" t="s">
        <v>3631</v>
      </c>
      <c r="V1308">
        <v>0</v>
      </c>
      <c r="W1308">
        <v>0</v>
      </c>
      <c r="X1308">
        <v>0</v>
      </c>
      <c r="Y1308">
        <v>0</v>
      </c>
      <c r="Z1308">
        <v>0</v>
      </c>
      <c r="AA1308">
        <v>0</v>
      </c>
      <c r="AB1308">
        <v>0</v>
      </c>
      <c r="AC1308">
        <v>0</v>
      </c>
      <c r="AD1308">
        <v>0</v>
      </c>
      <c r="AE1308">
        <v>0</v>
      </c>
      <c r="AF1308">
        <v>0</v>
      </c>
      <c r="AG1308">
        <v>0</v>
      </c>
      <c r="AH1308">
        <v>1</v>
      </c>
      <c r="AI1308">
        <v>0</v>
      </c>
      <c r="AJ1308">
        <v>0</v>
      </c>
      <c r="AK1308">
        <v>0</v>
      </c>
      <c r="AL1308">
        <v>0</v>
      </c>
      <c r="AM1308">
        <v>0</v>
      </c>
      <c r="AN1308">
        <v>0</v>
      </c>
      <c r="AO1308">
        <v>0</v>
      </c>
      <c r="AP1308">
        <v>0</v>
      </c>
      <c r="AQ1308">
        <v>0</v>
      </c>
      <c r="AR1308">
        <v>0</v>
      </c>
      <c r="AS1308">
        <v>0</v>
      </c>
      <c r="AT1308">
        <v>0</v>
      </c>
      <c r="AU1308">
        <v>0</v>
      </c>
      <c r="AV1308">
        <v>0</v>
      </c>
      <c r="AW1308">
        <v>0</v>
      </c>
      <c r="AX1308" s="141">
        <f>COUNTIF(V1308:AW1308,"&lt;&gt;0")</f>
        <v>1</v>
      </c>
      <c r="AY1308" s="141">
        <f>COUNTIF(V1308:AL1308,"&lt;&gt;0")</f>
        <v>1</v>
      </c>
      <c r="AZ1308">
        <f>COUNTIF(V1308:AC1308,"&lt;&gt;0")</f>
        <v>0</v>
      </c>
      <c r="BA1308">
        <f>COUNTIF(AD1308:AI1308,"&lt;&gt;0")</f>
        <v>1</v>
      </c>
      <c r="BB1308">
        <f>COUNTIF(AJ1308:AL1308,"&lt;&gt;0")</f>
        <v>0</v>
      </c>
      <c r="BC1308">
        <f>COUNTIF(AS1308:AW1308,"&lt;&gt;0")</f>
        <v>0</v>
      </c>
      <c r="BD1308">
        <f>COUNTIF(AM1308:AR1308,"&lt;&gt;0")</f>
        <v>0</v>
      </c>
      <c r="BE1308" t="str" cm="1">
        <f t="array" ref="BE1308">IF(AY1308=1,INDEX($V$7:$AL$7,MATCH(TRUE,INDEX($V1308:$AW1308&lt;&gt;0,),0)),IF(AY1308=0,INDEX($AM$7:$AW$7,MATCH(1,$AM1308:$AW1308,0)),IF(BF1308="Multiple strategies","mixed drivers",IF(BF1308="Supply chain","multiple supply","multiple silviculture"))))</f>
        <v xml:space="preserve">end of life disposal </v>
      </c>
      <c r="BF1308" s="2" t="str" cm="1">
        <f t="array" ref="BF1308">IF(COUNTIF(AZ1308:BB1308,"&lt;&gt;0")=1,INDEX($V$4:$AW$4,MATCH(TRUE,INDEX($V1308:$AW1308&lt;&gt;0,),0)),IF(COUNTIF(AZ1308:BB1308,"&lt;&gt;0")=0,INDEX($AM$4:$AW$4,MATCH(1,$AM1308:$AW1308,0)),"Multiple strategies"))</f>
        <v>Supply chain</v>
      </c>
      <c r="BG1308" s="142"/>
      <c r="BJ1308" s="143"/>
      <c r="BL1308" s="143"/>
      <c r="BN1308" s="158"/>
      <c r="BO1308" s="143"/>
      <c r="BP1308" s="155" t="s">
        <v>232</v>
      </c>
      <c r="BR1308" s="155" t="s">
        <v>3628</v>
      </c>
      <c r="BS1308">
        <v>-42808.988764044901</v>
      </c>
      <c r="BT1308">
        <v>0</v>
      </c>
      <c r="BU1308" s="144"/>
      <c r="BY1308" t="str">
        <f>IFERROR(BX1308/BO1308,"")</f>
        <v/>
      </c>
      <c r="BZ1308">
        <v>0</v>
      </c>
      <c r="CA1308">
        <v>0</v>
      </c>
      <c r="CB1308">
        <v>0</v>
      </c>
      <c r="CC1308">
        <v>0</v>
      </c>
      <c r="CD1308">
        <v>0</v>
      </c>
      <c r="CE1308">
        <v>0</v>
      </c>
      <c r="CF1308">
        <v>0</v>
      </c>
      <c r="CG1308">
        <v>0</v>
      </c>
      <c r="CH1308">
        <v>0</v>
      </c>
      <c r="CI1308">
        <v>0</v>
      </c>
      <c r="CJ1308">
        <v>0</v>
      </c>
      <c r="CK1308">
        <v>0</v>
      </c>
      <c r="CL1308">
        <v>0</v>
      </c>
      <c r="CM1308">
        <v>0</v>
      </c>
      <c r="CN1308" t="str">
        <f>IF($BL1308&lt;$BK1308,"refNeedCorrection","refOK")</f>
        <v>refOK</v>
      </c>
      <c r="CO1308"/>
      <c r="CP1308"/>
      <c r="CQ1308"/>
      <c r="CR1308">
        <f>IF($CN1308="refOK",$BS1308,$BT1308)*IF($BP1308="Emissions positive",-1,1)</f>
        <v>-42808.988764044901</v>
      </c>
      <c r="CS1308">
        <f>IF($CN1308="refOK",$BT1308,$BS1308)*IF($BP1308="Emissions positive",-1,1)</f>
        <v>0</v>
      </c>
      <c r="CT1308">
        <f>IF($CN1308="refNeedCorrection",-BX1308,BX1308)*IF($BP1308="Emissions positive",-1,1)</f>
        <v>0</v>
      </c>
      <c r="CU1308" t="str">
        <f>IFERROR(CT1308/CQ1308,"")</f>
        <v/>
      </c>
      <c r="CV1308" s="2">
        <f>IFERROR((CS1308-CR1308)/ABS(CR1308),"")</f>
        <v>1</v>
      </c>
      <c r="CW1308" s="1" t="s">
        <v>1199</v>
      </c>
      <c r="CX1308" s="312" t="str">
        <f>IF(OR($CW1308="prd",$CW1308="std",$CW1308="cit"),"loc",IF(OR($CW1308="eur",$CW1308="reg",$CW1308="coy"),"reg",$CW1308))</f>
        <v>reg</v>
      </c>
      <c r="CY1308" s="318" t="s">
        <v>428</v>
      </c>
      <c r="CZ1308">
        <v>2007</v>
      </c>
      <c r="DA1308" s="143">
        <v>2009</v>
      </c>
      <c r="DB1308" s="143">
        <v>2</v>
      </c>
      <c r="DC1308" t="str">
        <f>IF(DB1308=0,"0",IF(AND(DB1308&gt;=1,DB1308&lt;=30),"1-30",IF(AND(DB1308&gt;30,DB1308&lt;=70),"31-70",IF(AND(DB1308&gt;70,DB1308&lt;=100),"71-100",IF(DB1308&gt;100,"+100")))))</f>
        <v>1-30</v>
      </c>
      <c r="DD1308">
        <v>0</v>
      </c>
      <c r="DE1308">
        <v>1</v>
      </c>
      <c r="DF1308">
        <v>0</v>
      </c>
      <c r="DG1308">
        <v>0</v>
      </c>
      <c r="DH1308">
        <v>1</v>
      </c>
      <c r="DI1308">
        <f>SUM(DD1308:DG1308)</f>
        <v>1</v>
      </c>
      <c r="DJ1308" t="str">
        <f>IF(DI1308=1,INDEX($DD$7:$DG$7,MATCH(1,$DD1308:$DG1308,0)),"mixedProduct")</f>
        <v>EnergyInput</v>
      </c>
      <c r="DK1308">
        <f>IF(DD1308=1,DK$7,0)</f>
        <v>0</v>
      </c>
      <c r="DL1308" t="str">
        <f>IF(DE1308=1,DL$7,0)</f>
        <v>Energy</v>
      </c>
      <c r="DM1308">
        <f>IF(DF1308=1,DM$7,0)</f>
        <v>0</v>
      </c>
      <c r="DN1308">
        <f>IF(DG1308=1,DN$7,0)</f>
        <v>0</v>
      </c>
      <c r="DO1308">
        <v>1</v>
      </c>
      <c r="DP1308" s="143">
        <v>0</v>
      </c>
      <c r="DQ1308" s="143">
        <v>0</v>
      </c>
      <c r="DR1308">
        <v>0</v>
      </c>
      <c r="DS1308" s="143">
        <v>0</v>
      </c>
      <c r="DT1308">
        <f>SUM(DO1308:DP1308)</f>
        <v>1</v>
      </c>
      <c r="DU1308" s="143" t="str">
        <f>IF(DO1308=1,"self-calculated DF",IF(DP1308=1,"external DF used","explicit C balance"))</f>
        <v>self-calculated DF</v>
      </c>
      <c r="DV1308" s="143">
        <v>0</v>
      </c>
      <c r="DW1308">
        <v>0</v>
      </c>
      <c r="DX1308" s="143">
        <v>1</v>
      </c>
      <c r="DY1308" s="143">
        <v>0</v>
      </c>
      <c r="DZ1308">
        <v>1</v>
      </c>
      <c r="EA1308" s="143">
        <v>1</v>
      </c>
      <c r="EB1308" s="143">
        <v>0</v>
      </c>
      <c r="EC1308" s="143">
        <v>0</v>
      </c>
      <c r="ED1308" s="143">
        <v>0</v>
      </c>
      <c r="EE1308">
        <v>1</v>
      </c>
      <c r="EF1308">
        <v>0</v>
      </c>
      <c r="EG1308" s="143">
        <v>0</v>
      </c>
      <c r="EH1308" s="143">
        <v>0</v>
      </c>
      <c r="EI1308" s="2">
        <v>0</v>
      </c>
      <c r="EK1308" t="str">
        <f>IF(AND(AND(AND(OR($DX1308=1,$DW1308=1),OR($EC1308=1,$EA1308=1)),SUM($DV1308:$DZ1308,$EF1308)&gt;=3),SUM($EA1308:$EE1308)&gt;=2),"Whole sector","")</f>
        <v/>
      </c>
      <c r="EL1308" t="str">
        <f>IF(AND(AND(OR($DX1308=1,$DW1308=1),AND($EC1308=0,$EA1308=0)),SUM($DV1308:$DZ1308,$EF1308)&gt;=3),"Ecosystem approach","")</f>
        <v/>
      </c>
      <c r="EM1308" s="2" t="str">
        <f>IF(AND(AND(AND($DX1308=0,$DW1308=0),OR($EC1308=1,$EA1308=1)),SUM($EB1308:$EE1308)&gt;=2),"Technology approach","")</f>
        <v/>
      </c>
      <c r="EP1308" t="b">
        <f>IF(ISNUMBER(BU1308),IF(ABS(BU1308-[5]QC_indicators!$B$2)&gt;3*[5]QC_indicators!$C$2,"C ratio",IF(ISNUMBER(BY1308),IF(ABS(BY1308-[5]QC_indicators!$B$1)&gt;3*[5]QC_indicators!$C$1,"DF","no"))),IF(ISNUMBER(BY1308),IF(ABS(BY1308-[5]QC_indicators!$B$1)&gt;3*[5]QC_indicators!$C$1,"DF","no")))</f>
        <v>0</v>
      </c>
    </row>
    <row r="1309" spans="1:148" ht="15" customHeight="1">
      <c r="A1309" s="1" t="s">
        <v>3618</v>
      </c>
      <c r="B1309" t="s">
        <v>3619</v>
      </c>
      <c r="C1309" t="s">
        <v>3620</v>
      </c>
      <c r="D1309" t="s">
        <v>3621</v>
      </c>
      <c r="E1309" t="s">
        <v>3622</v>
      </c>
      <c r="F1309" t="s">
        <v>3623</v>
      </c>
      <c r="G1309" t="s">
        <v>3624</v>
      </c>
      <c r="H1309" t="s">
        <v>254</v>
      </c>
      <c r="I1309">
        <v>2017</v>
      </c>
      <c r="J1309">
        <v>6</v>
      </c>
      <c r="K1309" t="s">
        <v>3625</v>
      </c>
      <c r="M1309" t="str">
        <f>LEFT($D1309,FIND(",",$D1309)-1)&amp;"_"&amp;I1309&amp;L1309</f>
        <v>Gopalakrishnan_2017</v>
      </c>
      <c r="N1309" s="312" t="s">
        <v>4383</v>
      </c>
      <c r="O1309" s="171" t="s">
        <v>274</v>
      </c>
      <c r="P1309" t="s">
        <v>341</v>
      </c>
      <c r="Q1309" s="312" t="s">
        <v>389</v>
      </c>
      <c r="R1309" s="313"/>
      <c r="S1309" s="154" t="s">
        <v>3626</v>
      </c>
      <c r="T1309" s="149" t="s">
        <v>726</v>
      </c>
      <c r="U1309" t="s">
        <v>3632</v>
      </c>
      <c r="V1309">
        <v>0</v>
      </c>
      <c r="W1309">
        <v>0</v>
      </c>
      <c r="X1309">
        <v>0</v>
      </c>
      <c r="Y1309">
        <v>0</v>
      </c>
      <c r="Z1309">
        <v>0</v>
      </c>
      <c r="AA1309">
        <v>0</v>
      </c>
      <c r="AB1309">
        <v>0</v>
      </c>
      <c r="AC1309">
        <v>0</v>
      </c>
      <c r="AD1309">
        <v>0</v>
      </c>
      <c r="AE1309">
        <v>0</v>
      </c>
      <c r="AF1309">
        <v>0</v>
      </c>
      <c r="AG1309">
        <v>0</v>
      </c>
      <c r="AH1309">
        <v>1</v>
      </c>
      <c r="AI1309">
        <v>0</v>
      </c>
      <c r="AJ1309">
        <v>0</v>
      </c>
      <c r="AK1309">
        <v>0</v>
      </c>
      <c r="AL1309">
        <v>0</v>
      </c>
      <c r="AM1309">
        <v>0</v>
      </c>
      <c r="AN1309">
        <v>0</v>
      </c>
      <c r="AO1309">
        <v>0</v>
      </c>
      <c r="AP1309">
        <v>0</v>
      </c>
      <c r="AQ1309">
        <v>0</v>
      </c>
      <c r="AR1309">
        <v>0</v>
      </c>
      <c r="AS1309">
        <v>0</v>
      </c>
      <c r="AT1309">
        <v>0</v>
      </c>
      <c r="AU1309">
        <v>0</v>
      </c>
      <c r="AV1309">
        <v>0</v>
      </c>
      <c r="AW1309">
        <v>0</v>
      </c>
      <c r="AX1309" s="141">
        <f>COUNTIF(V1309:AW1309,"&lt;&gt;0")</f>
        <v>1</v>
      </c>
      <c r="AY1309" s="141">
        <f>COUNTIF(V1309:AL1309,"&lt;&gt;0")</f>
        <v>1</v>
      </c>
      <c r="AZ1309">
        <f>COUNTIF(V1309:AC1309,"&lt;&gt;0")</f>
        <v>0</v>
      </c>
      <c r="BA1309">
        <f>COUNTIF(AD1309:AI1309,"&lt;&gt;0")</f>
        <v>1</v>
      </c>
      <c r="BB1309">
        <f>COUNTIF(AJ1309:AL1309,"&lt;&gt;0")</f>
        <v>0</v>
      </c>
      <c r="BC1309">
        <f>COUNTIF(AS1309:AW1309,"&lt;&gt;0")</f>
        <v>0</v>
      </c>
      <c r="BD1309">
        <f>COUNTIF(AM1309:AR1309,"&lt;&gt;0")</f>
        <v>0</v>
      </c>
      <c r="BE1309" t="str" cm="1">
        <f t="array" ref="BE1309">IF(AY1309=1,INDEX($V$7:$AL$7,MATCH(TRUE,INDEX($V1309:$AW1309&lt;&gt;0,),0)),IF(AY1309=0,INDEX($AM$7:$AW$7,MATCH(1,$AM1309:$AW1309,0)),IF(BF1309="Multiple strategies","mixed drivers",IF(BF1309="Supply chain","multiple supply","multiple silviculture"))))</f>
        <v xml:space="preserve">end of life disposal </v>
      </c>
      <c r="BF1309" s="2" t="str" cm="1">
        <f t="array" ref="BF1309">IF(COUNTIF(AZ1309:BB1309,"&lt;&gt;0")=1,INDEX($V$4:$AW$4,MATCH(TRUE,INDEX($V1309:$AW1309&lt;&gt;0,),0)),IF(COUNTIF(AZ1309:BB1309,"&lt;&gt;0")=0,INDEX($AM$4:$AW$4,MATCH(1,$AM1309:$AW1309,0)),"Multiple strategies"))</f>
        <v>Supply chain</v>
      </c>
      <c r="BG1309" s="142"/>
      <c r="BJ1309" s="143"/>
      <c r="BL1309" s="143"/>
      <c r="BN1309" s="158"/>
      <c r="BO1309" s="143"/>
      <c r="BP1309" s="155" t="s">
        <v>232</v>
      </c>
      <c r="BR1309" s="155" t="s">
        <v>3628</v>
      </c>
      <c r="BS1309">
        <v>-42808.988764044901</v>
      </c>
      <c r="BT1309">
        <v>-36629.213483145999</v>
      </c>
      <c r="BU1309" s="144"/>
      <c r="BY1309" t="str">
        <f>IFERROR(BX1309/BO1309,"")</f>
        <v/>
      </c>
      <c r="BZ1309">
        <v>0</v>
      </c>
      <c r="CA1309">
        <v>0</v>
      </c>
      <c r="CB1309">
        <v>0</v>
      </c>
      <c r="CC1309">
        <v>0</v>
      </c>
      <c r="CD1309">
        <v>0</v>
      </c>
      <c r="CE1309">
        <v>0</v>
      </c>
      <c r="CF1309">
        <v>0</v>
      </c>
      <c r="CG1309">
        <v>0</v>
      </c>
      <c r="CH1309">
        <v>0</v>
      </c>
      <c r="CI1309">
        <v>0</v>
      </c>
      <c r="CJ1309">
        <v>0</v>
      </c>
      <c r="CK1309">
        <v>0</v>
      </c>
      <c r="CL1309">
        <v>0</v>
      </c>
      <c r="CM1309">
        <v>0</v>
      </c>
      <c r="CN1309" t="str">
        <f>IF($BL1309&lt;$BK1309,"refNeedCorrection","refOK")</f>
        <v>refOK</v>
      </c>
      <c r="CO1309"/>
      <c r="CP1309"/>
      <c r="CQ1309"/>
      <c r="CR1309">
        <f>IF($CN1309="refOK",$BS1309,$BT1309)*IF($BP1309="Emissions positive",-1,1)</f>
        <v>-42808.988764044901</v>
      </c>
      <c r="CS1309">
        <f>IF($CN1309="refOK",$BT1309,$BS1309)*IF($BP1309="Emissions positive",-1,1)</f>
        <v>-36629.213483145999</v>
      </c>
      <c r="CT1309">
        <f>IF($CN1309="refNeedCorrection",-BX1309,BX1309)*IF($BP1309="Emissions positive",-1,1)</f>
        <v>0</v>
      </c>
      <c r="CU1309" t="str">
        <f>IFERROR(CT1309/CQ1309,"")</f>
        <v/>
      </c>
      <c r="CV1309" s="2">
        <f>IFERROR((CS1309-CR1309)/ABS(CR1309),"")</f>
        <v>0.14435695538057819</v>
      </c>
      <c r="CW1309" s="1" t="s">
        <v>1199</v>
      </c>
      <c r="CX1309" s="312" t="str">
        <f>IF(OR($CW1309="prd",$CW1309="std",$CW1309="cit"),"loc",IF(OR($CW1309="eur",$CW1309="reg",$CW1309="coy"),"reg",$CW1309))</f>
        <v>reg</v>
      </c>
      <c r="CY1309" s="318" t="s">
        <v>428</v>
      </c>
      <c r="CZ1309">
        <v>2007</v>
      </c>
      <c r="DA1309" s="143">
        <v>2009</v>
      </c>
      <c r="DB1309" s="143">
        <v>2</v>
      </c>
      <c r="DC1309" t="str">
        <f>IF(DB1309=0,"0",IF(AND(DB1309&gt;=1,DB1309&lt;=30),"1-30",IF(AND(DB1309&gt;30,DB1309&lt;=70),"31-70",IF(AND(DB1309&gt;70,DB1309&lt;=100),"71-100",IF(DB1309&gt;100,"+100")))))</f>
        <v>1-30</v>
      </c>
      <c r="DD1309">
        <v>0</v>
      </c>
      <c r="DE1309">
        <v>1</v>
      </c>
      <c r="DF1309">
        <v>0</v>
      </c>
      <c r="DG1309">
        <v>0</v>
      </c>
      <c r="DH1309">
        <v>1</v>
      </c>
      <c r="DI1309">
        <f>SUM(DD1309:DG1309)</f>
        <v>1</v>
      </c>
      <c r="DJ1309" t="str">
        <f>IF(DI1309=1,INDEX($DD$7:$DG$7,MATCH(1,$DD1309:$DG1309,0)),"mixedProduct")</f>
        <v>EnergyInput</v>
      </c>
      <c r="DK1309">
        <f>IF(DD1309=1,DK$7,0)</f>
        <v>0</v>
      </c>
      <c r="DL1309" t="str">
        <f>IF(DE1309=1,DL$7,0)</f>
        <v>Energy</v>
      </c>
      <c r="DM1309">
        <f>IF(DF1309=1,DM$7,0)</f>
        <v>0</v>
      </c>
      <c r="DN1309">
        <f>IF(DG1309=1,DN$7,0)</f>
        <v>0</v>
      </c>
      <c r="DO1309">
        <v>1</v>
      </c>
      <c r="DP1309" s="143">
        <v>0</v>
      </c>
      <c r="DQ1309" s="143">
        <v>0</v>
      </c>
      <c r="DR1309">
        <v>0</v>
      </c>
      <c r="DS1309" s="143">
        <v>0</v>
      </c>
      <c r="DT1309">
        <f>SUM(DO1309:DP1309)</f>
        <v>1</v>
      </c>
      <c r="DU1309" s="143" t="str">
        <f>IF(DO1309=1,"self-calculated DF",IF(DP1309=1,"external DF used","explicit C balance"))</f>
        <v>self-calculated DF</v>
      </c>
      <c r="DV1309" s="143">
        <v>0</v>
      </c>
      <c r="DW1309">
        <v>0</v>
      </c>
      <c r="DX1309" s="143">
        <v>1</v>
      </c>
      <c r="DY1309" s="143">
        <v>0</v>
      </c>
      <c r="DZ1309">
        <v>1</v>
      </c>
      <c r="EA1309" s="143">
        <v>1</v>
      </c>
      <c r="EB1309" s="143">
        <v>0</v>
      </c>
      <c r="EC1309" s="143">
        <v>0</v>
      </c>
      <c r="ED1309" s="143">
        <v>0</v>
      </c>
      <c r="EE1309">
        <v>1</v>
      </c>
      <c r="EF1309">
        <v>0</v>
      </c>
      <c r="EG1309" s="143">
        <v>0</v>
      </c>
      <c r="EH1309" s="143">
        <v>0</v>
      </c>
      <c r="EI1309" s="2">
        <v>0</v>
      </c>
      <c r="EK1309" t="str">
        <f>IF(AND(AND(AND(OR($DX1309=1,$DW1309=1),OR($EC1309=1,$EA1309=1)),SUM($DV1309:$DZ1309,$EF1309)&gt;=3),SUM($EA1309:$EE1309)&gt;=2),"Whole sector","")</f>
        <v/>
      </c>
      <c r="EL1309" t="str">
        <f>IF(AND(AND(OR($DX1309=1,$DW1309=1),AND($EC1309=0,$EA1309=0)),SUM($DV1309:$DZ1309,$EF1309)&gt;=3),"Ecosystem approach","")</f>
        <v/>
      </c>
      <c r="EM1309" s="2" t="str">
        <f>IF(AND(AND(AND($DX1309=0,$DW1309=0),OR($EC1309=1,$EA1309=1)),SUM($EB1309:$EE1309)&gt;=2),"Technology approach","")</f>
        <v/>
      </c>
      <c r="EP1309" t="b">
        <f>IF(ISNUMBER(BU1309),IF(ABS(BU1309-[5]QC_indicators!$B$2)&gt;3*[5]QC_indicators!$C$2,"C ratio",IF(ISNUMBER(BY1309),IF(ABS(BY1309-[5]QC_indicators!$B$1)&gt;3*[5]QC_indicators!$C$1,"DF","no"))),IF(ISNUMBER(BY1309),IF(ABS(BY1309-[5]QC_indicators!$B$1)&gt;3*[5]QC_indicators!$C$1,"DF","no")))</f>
        <v>0</v>
      </c>
    </row>
    <row r="1310" spans="1:148" ht="15" customHeight="1">
      <c r="A1310" s="1" t="s">
        <v>3618</v>
      </c>
      <c r="B1310" t="s">
        <v>3619</v>
      </c>
      <c r="C1310" t="s">
        <v>3620</v>
      </c>
      <c r="D1310" t="s">
        <v>3621</v>
      </c>
      <c r="E1310" t="s">
        <v>3622</v>
      </c>
      <c r="F1310" t="s">
        <v>3623</v>
      </c>
      <c r="G1310" t="s">
        <v>3624</v>
      </c>
      <c r="H1310" t="s">
        <v>254</v>
      </c>
      <c r="I1310">
        <v>2017</v>
      </c>
      <c r="J1310">
        <v>6</v>
      </c>
      <c r="K1310" t="s">
        <v>3625</v>
      </c>
      <c r="M1310" t="str">
        <f>LEFT($D1310,FIND(",",$D1310)-1)&amp;"_"&amp;I1310&amp;L1310</f>
        <v>Gopalakrishnan_2017</v>
      </c>
      <c r="N1310" s="312" t="s">
        <v>4383</v>
      </c>
      <c r="O1310" s="171" t="s">
        <v>274</v>
      </c>
      <c r="P1310" t="s">
        <v>341</v>
      </c>
      <c r="Q1310" s="312" t="s">
        <v>389</v>
      </c>
      <c r="R1310" s="313"/>
      <c r="S1310" s="154" t="s">
        <v>3626</v>
      </c>
      <c r="T1310" s="149" t="s">
        <v>726</v>
      </c>
      <c r="U1310" t="s">
        <v>3633</v>
      </c>
      <c r="V1310">
        <v>0</v>
      </c>
      <c r="W1310">
        <v>0</v>
      </c>
      <c r="X1310">
        <v>0</v>
      </c>
      <c r="Y1310">
        <v>0</v>
      </c>
      <c r="Z1310">
        <v>0</v>
      </c>
      <c r="AA1310">
        <v>0</v>
      </c>
      <c r="AB1310">
        <v>0</v>
      </c>
      <c r="AC1310">
        <v>0</v>
      </c>
      <c r="AD1310">
        <v>0</v>
      </c>
      <c r="AE1310">
        <v>0</v>
      </c>
      <c r="AF1310">
        <v>0</v>
      </c>
      <c r="AG1310">
        <v>0</v>
      </c>
      <c r="AH1310">
        <v>1</v>
      </c>
      <c r="AI1310">
        <v>0</v>
      </c>
      <c r="AJ1310">
        <v>0</v>
      </c>
      <c r="AK1310">
        <v>0</v>
      </c>
      <c r="AL1310">
        <v>0</v>
      </c>
      <c r="AM1310">
        <v>0</v>
      </c>
      <c r="AN1310">
        <v>0</v>
      </c>
      <c r="AO1310">
        <v>0</v>
      </c>
      <c r="AP1310">
        <v>0</v>
      </c>
      <c r="AQ1310">
        <v>0</v>
      </c>
      <c r="AR1310">
        <v>0</v>
      </c>
      <c r="AS1310">
        <v>0</v>
      </c>
      <c r="AT1310">
        <v>0</v>
      </c>
      <c r="AU1310">
        <v>0</v>
      </c>
      <c r="AV1310">
        <v>0</v>
      </c>
      <c r="AW1310">
        <v>0</v>
      </c>
      <c r="AX1310" s="141">
        <f>COUNTIF(V1310:AW1310,"&lt;&gt;0")</f>
        <v>1</v>
      </c>
      <c r="AY1310" s="141">
        <f>COUNTIF(V1310:AL1310,"&lt;&gt;0")</f>
        <v>1</v>
      </c>
      <c r="AZ1310">
        <f>COUNTIF(V1310:AC1310,"&lt;&gt;0")</f>
        <v>0</v>
      </c>
      <c r="BA1310">
        <f>COUNTIF(AD1310:AI1310,"&lt;&gt;0")</f>
        <v>1</v>
      </c>
      <c r="BB1310">
        <f>COUNTIF(AJ1310:AL1310,"&lt;&gt;0")</f>
        <v>0</v>
      </c>
      <c r="BC1310">
        <f>COUNTIF(AS1310:AW1310,"&lt;&gt;0")</f>
        <v>0</v>
      </c>
      <c r="BD1310">
        <f>COUNTIF(AM1310:AR1310,"&lt;&gt;0")</f>
        <v>0</v>
      </c>
      <c r="BE1310" t="str" cm="1">
        <f t="array" ref="BE1310">IF(AY1310=1,INDEX($V$7:$AL$7,MATCH(TRUE,INDEX($V1310:$AW1310&lt;&gt;0,),0)),IF(AY1310=0,INDEX($AM$7:$AW$7,MATCH(1,$AM1310:$AW1310,0)),IF(BF1310="Multiple strategies","mixed drivers",IF(BF1310="Supply chain","multiple supply","multiple silviculture"))))</f>
        <v xml:space="preserve">end of life disposal </v>
      </c>
      <c r="BF1310" s="2" t="str" cm="1">
        <f t="array" ref="BF1310">IF(COUNTIF(AZ1310:BB1310,"&lt;&gt;0")=1,INDEX($V$4:$AW$4,MATCH(TRUE,INDEX($V1310:$AW1310&lt;&gt;0,),0)),IF(COUNTIF(AZ1310:BB1310,"&lt;&gt;0")=0,INDEX($AM$4:$AW$4,MATCH(1,$AM1310:$AW1310,0)),"Multiple strategies"))</f>
        <v>Supply chain</v>
      </c>
      <c r="BG1310" s="142"/>
      <c r="BJ1310" s="143"/>
      <c r="BL1310" s="143"/>
      <c r="BN1310" s="158"/>
      <c r="BO1310" s="143"/>
      <c r="BP1310" s="155" t="s">
        <v>232</v>
      </c>
      <c r="BR1310" s="155" t="s">
        <v>3628</v>
      </c>
      <c r="BS1310">
        <v>-42808.988764044901</v>
      </c>
      <c r="BT1310">
        <v>2247.1910112359501</v>
      </c>
      <c r="BU1310" s="144"/>
      <c r="BY1310" t="str">
        <f>IFERROR(BX1310/BO1310,"")</f>
        <v/>
      </c>
      <c r="BZ1310">
        <v>0</v>
      </c>
      <c r="CA1310">
        <v>0</v>
      </c>
      <c r="CB1310">
        <v>0</v>
      </c>
      <c r="CC1310">
        <v>0</v>
      </c>
      <c r="CD1310">
        <v>0</v>
      </c>
      <c r="CE1310">
        <v>0</v>
      </c>
      <c r="CF1310">
        <v>0</v>
      </c>
      <c r="CG1310">
        <v>0</v>
      </c>
      <c r="CH1310">
        <v>0</v>
      </c>
      <c r="CI1310">
        <v>0</v>
      </c>
      <c r="CJ1310">
        <v>0</v>
      </c>
      <c r="CK1310">
        <v>0</v>
      </c>
      <c r="CL1310">
        <v>0</v>
      </c>
      <c r="CM1310">
        <v>0</v>
      </c>
      <c r="CN1310" t="str">
        <f>IF($BL1310&lt;$BK1310,"refNeedCorrection","refOK")</f>
        <v>refOK</v>
      </c>
      <c r="CO1310"/>
      <c r="CP1310"/>
      <c r="CQ1310"/>
      <c r="CR1310">
        <f>IF($CN1310="refOK",$BS1310,$BT1310)*IF($BP1310="Emissions positive",-1,1)</f>
        <v>-42808.988764044901</v>
      </c>
      <c r="CS1310">
        <f>IF($CN1310="refOK",$BT1310,$BS1310)*IF($BP1310="Emissions positive",-1,1)</f>
        <v>2247.1910112359501</v>
      </c>
      <c r="CT1310">
        <f>IF($CN1310="refNeedCorrection",-BX1310,BX1310)*IF($BP1310="Emissions positive",-1,1)</f>
        <v>0</v>
      </c>
      <c r="CU1310" t="str">
        <f>IFERROR(CT1310/CQ1310,"")</f>
        <v/>
      </c>
      <c r="CV1310" s="2">
        <f>IFERROR((CS1310-CR1310)/ABS(CR1310),"")</f>
        <v>1.0524934383202098</v>
      </c>
      <c r="CW1310" s="1" t="s">
        <v>1199</v>
      </c>
      <c r="CX1310" s="312" t="str">
        <f>IF(OR($CW1310="prd",$CW1310="std",$CW1310="cit"),"loc",IF(OR($CW1310="eur",$CW1310="reg",$CW1310="coy"),"reg",$CW1310))</f>
        <v>reg</v>
      </c>
      <c r="CY1310" s="318" t="s">
        <v>428</v>
      </c>
      <c r="CZ1310">
        <v>2007</v>
      </c>
      <c r="DA1310" s="143">
        <v>2009</v>
      </c>
      <c r="DB1310" s="143">
        <v>2</v>
      </c>
      <c r="DC1310" t="str">
        <f>IF(DB1310=0,"0",IF(AND(DB1310&gt;=1,DB1310&lt;=30),"1-30",IF(AND(DB1310&gt;30,DB1310&lt;=70),"31-70",IF(AND(DB1310&gt;70,DB1310&lt;=100),"71-100",IF(DB1310&gt;100,"+100")))))</f>
        <v>1-30</v>
      </c>
      <c r="DD1310">
        <v>0</v>
      </c>
      <c r="DE1310">
        <v>1</v>
      </c>
      <c r="DF1310">
        <v>0</v>
      </c>
      <c r="DG1310">
        <v>0</v>
      </c>
      <c r="DH1310">
        <v>1</v>
      </c>
      <c r="DI1310">
        <f>SUM(DD1310:DG1310)</f>
        <v>1</v>
      </c>
      <c r="DJ1310" t="str">
        <f>IF(DI1310=1,INDEX($DD$7:$DG$7,MATCH(1,$DD1310:$DG1310,0)),"mixedProduct")</f>
        <v>EnergyInput</v>
      </c>
      <c r="DK1310">
        <f>IF(DD1310=1,DK$7,0)</f>
        <v>0</v>
      </c>
      <c r="DL1310" t="str">
        <f>IF(DE1310=1,DL$7,0)</f>
        <v>Energy</v>
      </c>
      <c r="DM1310">
        <f>IF(DF1310=1,DM$7,0)</f>
        <v>0</v>
      </c>
      <c r="DN1310">
        <f>IF(DG1310=1,DN$7,0)</f>
        <v>0</v>
      </c>
      <c r="DO1310">
        <v>1</v>
      </c>
      <c r="DP1310" s="143">
        <v>0</v>
      </c>
      <c r="DQ1310" s="143">
        <v>0</v>
      </c>
      <c r="DR1310">
        <v>0</v>
      </c>
      <c r="DS1310" s="143">
        <v>0</v>
      </c>
      <c r="DT1310">
        <f>SUM(DO1310:DP1310)</f>
        <v>1</v>
      </c>
      <c r="DU1310" s="143" t="str">
        <f>IF(DO1310=1,"self-calculated DF",IF(DP1310=1,"external DF used","explicit C balance"))</f>
        <v>self-calculated DF</v>
      </c>
      <c r="DV1310" s="143">
        <v>0</v>
      </c>
      <c r="DW1310">
        <v>0</v>
      </c>
      <c r="DX1310" s="143">
        <v>1</v>
      </c>
      <c r="DY1310" s="143">
        <v>0</v>
      </c>
      <c r="DZ1310">
        <v>1</v>
      </c>
      <c r="EA1310" s="143">
        <v>1</v>
      </c>
      <c r="EB1310" s="143">
        <v>0</v>
      </c>
      <c r="EC1310" s="143">
        <v>0</v>
      </c>
      <c r="ED1310" s="143">
        <v>0</v>
      </c>
      <c r="EE1310">
        <v>1</v>
      </c>
      <c r="EF1310">
        <v>0</v>
      </c>
      <c r="EG1310" s="143">
        <v>0</v>
      </c>
      <c r="EH1310" s="143">
        <v>0</v>
      </c>
      <c r="EI1310" s="2">
        <v>0</v>
      </c>
      <c r="EK1310" t="str">
        <f>IF(AND(AND(AND(OR($DX1310=1,$DW1310=1),OR($EC1310=1,$EA1310=1)),SUM($DV1310:$DZ1310,$EF1310)&gt;=3),SUM($EA1310:$EE1310)&gt;=2),"Whole sector","")</f>
        <v/>
      </c>
      <c r="EL1310" t="str">
        <f>IF(AND(AND(OR($DX1310=1,$DW1310=1),AND($EC1310=0,$EA1310=0)),SUM($DV1310:$DZ1310,$EF1310)&gt;=3),"Ecosystem approach","")</f>
        <v/>
      </c>
      <c r="EM1310" s="2" t="str">
        <f>IF(AND(AND(AND($DX1310=0,$DW1310=0),OR($EC1310=1,$EA1310=1)),SUM($EB1310:$EE1310)&gt;=2),"Technology approach","")</f>
        <v/>
      </c>
      <c r="EP1310" t="b">
        <f>IF(ISNUMBER(BU1310),IF(ABS(BU1310-[5]QC_indicators!$B$2)&gt;3*[5]QC_indicators!$C$2,"C ratio",IF(ISNUMBER(BY1310),IF(ABS(BY1310-[5]QC_indicators!$B$1)&gt;3*[5]QC_indicators!$C$1,"DF","no"))),IF(ISNUMBER(BY1310),IF(ABS(BY1310-[5]QC_indicators!$B$1)&gt;3*[5]QC_indicators!$C$1,"DF","no")))</f>
        <v>0</v>
      </c>
    </row>
    <row r="1311" spans="1:148" ht="15" customHeight="1">
      <c r="A1311" s="1" t="s">
        <v>3618</v>
      </c>
      <c r="B1311" t="s">
        <v>3619</v>
      </c>
      <c r="C1311" t="s">
        <v>3620</v>
      </c>
      <c r="D1311" t="s">
        <v>3621</v>
      </c>
      <c r="E1311" t="s">
        <v>3622</v>
      </c>
      <c r="F1311" t="s">
        <v>3623</v>
      </c>
      <c r="G1311" t="s">
        <v>3624</v>
      </c>
      <c r="H1311" t="s">
        <v>254</v>
      </c>
      <c r="I1311">
        <v>2017</v>
      </c>
      <c r="J1311">
        <v>6</v>
      </c>
      <c r="K1311" t="s">
        <v>3625</v>
      </c>
      <c r="M1311" t="str">
        <f>LEFT($D1311,FIND(",",$D1311)-1)&amp;"_"&amp;I1311&amp;L1311</f>
        <v>Gopalakrishnan_2017</v>
      </c>
      <c r="N1311" s="312" t="s">
        <v>4383</v>
      </c>
      <c r="O1311" s="171" t="s">
        <v>274</v>
      </c>
      <c r="P1311" t="s">
        <v>341</v>
      </c>
      <c r="Q1311" s="312" t="s">
        <v>389</v>
      </c>
      <c r="R1311" s="313"/>
      <c r="S1311" s="154" t="s">
        <v>3626</v>
      </c>
      <c r="T1311" s="149" t="s">
        <v>726</v>
      </c>
      <c r="U1311" t="s">
        <v>3634</v>
      </c>
      <c r="V1311">
        <v>0</v>
      </c>
      <c r="W1311">
        <v>0</v>
      </c>
      <c r="X1311">
        <v>0</v>
      </c>
      <c r="Y1311">
        <v>0</v>
      </c>
      <c r="Z1311">
        <v>0</v>
      </c>
      <c r="AA1311">
        <v>0</v>
      </c>
      <c r="AB1311">
        <v>0</v>
      </c>
      <c r="AC1311">
        <v>0</v>
      </c>
      <c r="AD1311">
        <v>0</v>
      </c>
      <c r="AE1311">
        <v>0</v>
      </c>
      <c r="AF1311">
        <v>0</v>
      </c>
      <c r="AG1311">
        <v>0</v>
      </c>
      <c r="AH1311">
        <v>1</v>
      </c>
      <c r="AI1311">
        <v>0</v>
      </c>
      <c r="AJ1311">
        <v>0</v>
      </c>
      <c r="AK1311">
        <v>0</v>
      </c>
      <c r="AL1311">
        <v>0</v>
      </c>
      <c r="AM1311">
        <v>0</v>
      </c>
      <c r="AN1311">
        <v>0</v>
      </c>
      <c r="AO1311">
        <v>0</v>
      </c>
      <c r="AP1311">
        <v>0</v>
      </c>
      <c r="AQ1311">
        <v>0</v>
      </c>
      <c r="AR1311">
        <v>0</v>
      </c>
      <c r="AS1311">
        <v>0</v>
      </c>
      <c r="AT1311">
        <v>0</v>
      </c>
      <c r="AU1311">
        <v>0</v>
      </c>
      <c r="AV1311">
        <v>0</v>
      </c>
      <c r="AW1311">
        <v>0</v>
      </c>
      <c r="AX1311" s="141">
        <f>COUNTIF(V1311:AW1311,"&lt;&gt;0")</f>
        <v>1</v>
      </c>
      <c r="AY1311" s="141">
        <f>COUNTIF(V1311:AL1311,"&lt;&gt;0")</f>
        <v>1</v>
      </c>
      <c r="AZ1311">
        <f>COUNTIF(V1311:AC1311,"&lt;&gt;0")</f>
        <v>0</v>
      </c>
      <c r="BA1311">
        <f>COUNTIF(AD1311:AI1311,"&lt;&gt;0")</f>
        <v>1</v>
      </c>
      <c r="BB1311">
        <f>COUNTIF(AJ1311:AL1311,"&lt;&gt;0")</f>
        <v>0</v>
      </c>
      <c r="BC1311">
        <f>COUNTIF(AS1311:AW1311,"&lt;&gt;0")</f>
        <v>0</v>
      </c>
      <c r="BD1311">
        <f>COUNTIF(AM1311:AR1311,"&lt;&gt;0")</f>
        <v>0</v>
      </c>
      <c r="BE1311" t="str" cm="1">
        <f t="array" ref="BE1311">IF(AY1311=1,INDEX($V$7:$AL$7,MATCH(TRUE,INDEX($V1311:$AW1311&lt;&gt;0,),0)),IF(AY1311=0,INDEX($AM$7:$AW$7,MATCH(1,$AM1311:$AW1311,0)),IF(BF1311="Multiple strategies","mixed drivers",IF(BF1311="Supply chain","multiple supply","multiple silviculture"))))</f>
        <v xml:space="preserve">end of life disposal </v>
      </c>
      <c r="BF1311" s="2" t="str" cm="1">
        <f t="array" ref="BF1311">IF(COUNTIF(AZ1311:BB1311,"&lt;&gt;0")=1,INDEX($V$4:$AW$4,MATCH(TRUE,INDEX($V1311:$AW1311&lt;&gt;0,),0)),IF(COUNTIF(AZ1311:BB1311,"&lt;&gt;0")=0,INDEX($AM$4:$AW$4,MATCH(1,$AM1311:$AW1311,0)),"Multiple strategies"))</f>
        <v>Supply chain</v>
      </c>
      <c r="BG1311" s="142"/>
      <c r="BJ1311" s="143"/>
      <c r="BL1311" s="143"/>
      <c r="BN1311" s="158"/>
      <c r="BO1311" s="143"/>
      <c r="BP1311" s="155" t="s">
        <v>232</v>
      </c>
      <c r="BR1311" s="155" t="s">
        <v>3628</v>
      </c>
      <c r="BS1311">
        <v>-42808.988764044901</v>
      </c>
      <c r="BT1311">
        <v>-2247.1910112359501</v>
      </c>
      <c r="BU1311" s="144"/>
      <c r="BY1311" t="str">
        <f>IFERROR(BX1311/BO1311,"")</f>
        <v/>
      </c>
      <c r="BZ1311">
        <v>0</v>
      </c>
      <c r="CA1311">
        <v>0</v>
      </c>
      <c r="CB1311">
        <v>0</v>
      </c>
      <c r="CC1311">
        <v>0</v>
      </c>
      <c r="CD1311">
        <v>0</v>
      </c>
      <c r="CE1311">
        <v>0</v>
      </c>
      <c r="CF1311">
        <v>0</v>
      </c>
      <c r="CG1311">
        <v>0</v>
      </c>
      <c r="CH1311">
        <v>0</v>
      </c>
      <c r="CI1311">
        <v>0</v>
      </c>
      <c r="CJ1311">
        <v>0</v>
      </c>
      <c r="CK1311">
        <v>0</v>
      </c>
      <c r="CL1311">
        <v>0</v>
      </c>
      <c r="CM1311">
        <v>0</v>
      </c>
      <c r="CN1311" t="str">
        <f>IF($BL1311&lt;$BK1311,"refNeedCorrection","refOK")</f>
        <v>refOK</v>
      </c>
      <c r="CO1311"/>
      <c r="CP1311"/>
      <c r="CQ1311"/>
      <c r="CR1311">
        <f>IF($CN1311="refOK",$BS1311,$BT1311)*IF($BP1311="Emissions positive",-1,1)</f>
        <v>-42808.988764044901</v>
      </c>
      <c r="CS1311">
        <f>IF($CN1311="refOK",$BT1311,$BS1311)*IF($BP1311="Emissions positive",-1,1)</f>
        <v>-2247.1910112359501</v>
      </c>
      <c r="CT1311">
        <f>IF($CN1311="refNeedCorrection",-BX1311,BX1311)*IF($BP1311="Emissions positive",-1,1)</f>
        <v>0</v>
      </c>
      <c r="CU1311" t="str">
        <f>IFERROR(CT1311/CQ1311,"")</f>
        <v/>
      </c>
      <c r="CV1311" s="2">
        <f>IFERROR((CS1311-CR1311)/ABS(CR1311),"")</f>
        <v>0.94750656167979019</v>
      </c>
      <c r="CW1311" s="1" t="s">
        <v>1199</v>
      </c>
      <c r="CX1311" s="312" t="str">
        <f>IF(OR($CW1311="prd",$CW1311="std",$CW1311="cit"),"loc",IF(OR($CW1311="eur",$CW1311="reg",$CW1311="coy"),"reg",$CW1311))</f>
        <v>reg</v>
      </c>
      <c r="CY1311" s="318" t="s">
        <v>428</v>
      </c>
      <c r="CZ1311">
        <v>2007</v>
      </c>
      <c r="DA1311" s="143">
        <v>2009</v>
      </c>
      <c r="DB1311" s="143">
        <v>2</v>
      </c>
      <c r="DC1311" t="str">
        <f>IF(DB1311=0,"0",IF(AND(DB1311&gt;=1,DB1311&lt;=30),"1-30",IF(AND(DB1311&gt;30,DB1311&lt;=70),"31-70",IF(AND(DB1311&gt;70,DB1311&lt;=100),"71-100",IF(DB1311&gt;100,"+100")))))</f>
        <v>1-30</v>
      </c>
      <c r="DD1311">
        <v>0</v>
      </c>
      <c r="DE1311">
        <v>1</v>
      </c>
      <c r="DF1311">
        <v>0</v>
      </c>
      <c r="DG1311">
        <v>0</v>
      </c>
      <c r="DH1311">
        <v>1</v>
      </c>
      <c r="DI1311">
        <f>SUM(DD1311:DG1311)</f>
        <v>1</v>
      </c>
      <c r="DJ1311" t="str">
        <f>IF(DI1311=1,INDEX($DD$7:$DG$7,MATCH(1,$DD1311:$DG1311,0)),"mixedProduct")</f>
        <v>EnergyInput</v>
      </c>
      <c r="DK1311">
        <f>IF(DD1311=1,DK$7,0)</f>
        <v>0</v>
      </c>
      <c r="DL1311" t="str">
        <f>IF(DE1311=1,DL$7,0)</f>
        <v>Energy</v>
      </c>
      <c r="DM1311">
        <f>IF(DF1311=1,DM$7,0)</f>
        <v>0</v>
      </c>
      <c r="DN1311">
        <f>IF(DG1311=1,DN$7,0)</f>
        <v>0</v>
      </c>
      <c r="DO1311">
        <v>1</v>
      </c>
      <c r="DP1311" s="143">
        <v>0</v>
      </c>
      <c r="DQ1311" s="143">
        <v>0</v>
      </c>
      <c r="DR1311">
        <v>0</v>
      </c>
      <c r="DS1311" s="143">
        <v>0</v>
      </c>
      <c r="DT1311">
        <f>SUM(DO1311:DP1311)</f>
        <v>1</v>
      </c>
      <c r="DU1311" s="143" t="str">
        <f>IF(DO1311=1,"self-calculated DF",IF(DP1311=1,"external DF used","explicit C balance"))</f>
        <v>self-calculated DF</v>
      </c>
      <c r="DV1311" s="143">
        <v>0</v>
      </c>
      <c r="DW1311">
        <v>0</v>
      </c>
      <c r="DX1311" s="143">
        <v>1</v>
      </c>
      <c r="DY1311" s="143">
        <v>0</v>
      </c>
      <c r="DZ1311">
        <v>1</v>
      </c>
      <c r="EA1311" s="143">
        <v>1</v>
      </c>
      <c r="EB1311" s="143">
        <v>0</v>
      </c>
      <c r="EC1311" s="143">
        <v>0</v>
      </c>
      <c r="ED1311" s="143">
        <v>0</v>
      </c>
      <c r="EE1311">
        <v>1</v>
      </c>
      <c r="EF1311">
        <v>0</v>
      </c>
      <c r="EG1311" s="143">
        <v>0</v>
      </c>
      <c r="EH1311" s="143">
        <v>0</v>
      </c>
      <c r="EI1311" s="2">
        <v>0</v>
      </c>
      <c r="EK1311" t="str">
        <f>IF(AND(AND(AND(OR($DX1311=1,$DW1311=1),OR($EC1311=1,$EA1311=1)),SUM($DV1311:$DZ1311,$EF1311)&gt;=3),SUM($EA1311:$EE1311)&gt;=2),"Whole sector","")</f>
        <v/>
      </c>
      <c r="EL1311" t="str">
        <f>IF(AND(AND(OR($DX1311=1,$DW1311=1),AND($EC1311=0,$EA1311=0)),SUM($DV1311:$DZ1311,$EF1311)&gt;=3),"Ecosystem approach","")</f>
        <v/>
      </c>
      <c r="EM1311" s="2" t="str">
        <f>IF(AND(AND(AND($DX1311=0,$DW1311=0),OR($EC1311=1,$EA1311=1)),SUM($EB1311:$EE1311)&gt;=2),"Technology approach","")</f>
        <v/>
      </c>
      <c r="EP1311" t="b">
        <f>IF(ISNUMBER(BU1311),IF(ABS(BU1311-[5]QC_indicators!$B$2)&gt;3*[5]QC_indicators!$C$2,"C ratio",IF(ISNUMBER(BY1311),IF(ABS(BY1311-[5]QC_indicators!$B$1)&gt;3*[5]QC_indicators!$C$1,"DF","no"))),IF(ISNUMBER(BY1311),IF(ABS(BY1311-[5]QC_indicators!$B$1)&gt;3*[5]QC_indicators!$C$1,"DF","no")))</f>
        <v>0</v>
      </c>
    </row>
    <row r="1312" spans="1:148" ht="15" customHeight="1">
      <c r="A1312" s="1" t="s">
        <v>3635</v>
      </c>
      <c r="B1312" t="s">
        <v>544</v>
      </c>
      <c r="C1312" t="s">
        <v>3636</v>
      </c>
      <c r="D1312" t="s">
        <v>3637</v>
      </c>
      <c r="E1312" t="s">
        <v>3638</v>
      </c>
      <c r="F1312" t="s">
        <v>3639</v>
      </c>
      <c r="G1312" t="s">
        <v>3640</v>
      </c>
      <c r="H1312" t="s">
        <v>254</v>
      </c>
      <c r="I1312">
        <v>2020</v>
      </c>
      <c r="J1312">
        <v>9</v>
      </c>
      <c r="K1312" t="s">
        <v>3641</v>
      </c>
      <c r="M1312" t="str">
        <f>LEFT($D1312,FIND(",",$D1312)-1)&amp;"_"&amp;I1312&amp;L1312</f>
        <v>Graves_2020</v>
      </c>
      <c r="N1312" s="312" t="s">
        <v>4383</v>
      </c>
      <c r="O1312" s="171" t="s">
        <v>341</v>
      </c>
      <c r="P1312" t="s">
        <v>223</v>
      </c>
      <c r="Q1312" s="312" t="s">
        <v>389</v>
      </c>
      <c r="R1312" s="313"/>
      <c r="S1312" s="322" t="s">
        <v>3642</v>
      </c>
      <c r="T1312" s="314" t="s">
        <v>3643</v>
      </c>
      <c r="U1312" s="312" t="s">
        <v>3644</v>
      </c>
      <c r="V1312">
        <v>1</v>
      </c>
      <c r="W1312">
        <v>0</v>
      </c>
      <c r="X1312">
        <v>0</v>
      </c>
      <c r="Y1312">
        <v>0</v>
      </c>
      <c r="Z1312">
        <v>0</v>
      </c>
      <c r="AA1312">
        <v>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s="141">
        <f>COUNTIF(V1312:AW1312,"&lt;&gt;0")</f>
        <v>1</v>
      </c>
      <c r="AY1312" s="141">
        <f>COUNTIF(V1312:AL1312,"&lt;&gt;0")</f>
        <v>1</v>
      </c>
      <c r="AZ1312">
        <f>COUNTIF(V1312:AC1312,"&lt;&gt;0")</f>
        <v>1</v>
      </c>
      <c r="BA1312">
        <f>COUNTIF(AD1312:AI1312,"&lt;&gt;0")</f>
        <v>0</v>
      </c>
      <c r="BB1312">
        <f>COUNTIF(AJ1312:AL1312,"&lt;&gt;0")</f>
        <v>0</v>
      </c>
      <c r="BC1312">
        <f>COUNTIF(AS1312:AW1312,"&lt;&gt;0")</f>
        <v>0</v>
      </c>
      <c r="BD1312">
        <f>COUNTIF(AM1312:AR1312,"&lt;&gt;0")</f>
        <v>0</v>
      </c>
      <c r="BE1312" t="str" cm="1">
        <f t="array" ref="BE1312">IF(AY1312=1,INDEX($V$7:$AL$7,MATCH(TRUE,INDEX($V1312:$AW1312&lt;&gt;0,),0)),IF(AY1312=0,INDEX($AM$7:$AW$7,MATCH(1,$AM1312:$AW1312,0)),IF(BF1312="Multiple strategies","mixed drivers",IF(BF1312="Supply chain","multiple supply","multiple silviculture"))))</f>
        <v>area subject to harvest</v>
      </c>
      <c r="BF1312" s="2" t="str" cm="1">
        <f t="array" ref="BF1312">IF(COUNTIF(AZ1312:BB1312,"&lt;&gt;0")=1,INDEX($V$4:$AW$4,MATCH(TRUE,INDEX($V1312:$AW1312&lt;&gt;0,),0)),IF(COUNTIF(AZ1312:BB1312,"&lt;&gt;0")=0,INDEX($AM$4:$AW$4,MATCH(1,$AM1312:$AW1312,0)),"Multiple strategies"))</f>
        <v>Silviculture for removals</v>
      </c>
      <c r="BP1312" s="155" t="s">
        <v>395</v>
      </c>
      <c r="BQ1312" s="155" t="s">
        <v>3645</v>
      </c>
      <c r="BR1312" s="141" t="s">
        <v>3646</v>
      </c>
      <c r="BS1312">
        <f>BT1312-0.24</f>
        <v>63.76</v>
      </c>
      <c r="BT1312" s="151">
        <v>64</v>
      </c>
      <c r="BU1312" s="144">
        <f>BT1312/BS1312</f>
        <v>1.0037641154328734</v>
      </c>
      <c r="BV1312">
        <f>BT1312-BS1312</f>
        <v>0.24000000000000199</v>
      </c>
      <c r="BX1312">
        <f>BV1312</f>
        <v>0.24000000000000199</v>
      </c>
      <c r="BY1312" t="str">
        <f>IFERROR(BX1312/BO1312,"")</f>
        <v/>
      </c>
      <c r="BZ1312">
        <v>0</v>
      </c>
      <c r="CA1312">
        <v>0</v>
      </c>
      <c r="CB1312">
        <v>0</v>
      </c>
      <c r="CC1312">
        <v>0</v>
      </c>
      <c r="CD1312">
        <v>0</v>
      </c>
      <c r="CE1312">
        <v>0</v>
      </c>
      <c r="CF1312">
        <v>0</v>
      </c>
      <c r="CG1312">
        <v>0</v>
      </c>
      <c r="CH1312">
        <v>0</v>
      </c>
      <c r="CI1312">
        <v>0</v>
      </c>
      <c r="CJ1312">
        <v>0</v>
      </c>
      <c r="CK1312">
        <v>0</v>
      </c>
      <c r="CL1312">
        <v>0</v>
      </c>
      <c r="CM1312">
        <v>0</v>
      </c>
      <c r="CN1312" t="str">
        <f>IF($BL1312&lt;$BK1312,"refNeedCorrection","refOK")</f>
        <v>refOK</v>
      </c>
      <c r="CO1312"/>
      <c r="CP1312"/>
      <c r="CQ1312"/>
      <c r="CR1312">
        <f>IF($CN1312="refOK",$BS1312,$BT1312)*IF($BP1312="Emissions positive",-1,1)</f>
        <v>-63.76</v>
      </c>
      <c r="CS1312">
        <f>IF($CN1312="refOK",$BT1312,$BS1312)*IF($BP1312="Emissions positive",-1,1)</f>
        <v>-64</v>
      </c>
      <c r="CT1312">
        <f>IF($CN1312="refNeedCorrection",-BX1312,BX1312)*IF($BP1312="Emissions positive",-1,1)</f>
        <v>-0.24000000000000199</v>
      </c>
      <c r="CU1312" t="str">
        <f>IFERROR(CT1312/CQ1312,"")</f>
        <v/>
      </c>
      <c r="CV1312" s="2">
        <f>IFERROR((CS1312-CR1312)/ABS(CR1312),"")</f>
        <v>-3.7641154328733059E-3</v>
      </c>
      <c r="CW1312" s="319" t="s">
        <v>1199</v>
      </c>
      <c r="CX1312" s="312" t="str">
        <f>IF(OR($CW1312="prd",$CW1312="std",$CW1312="cit"),"loc",IF(OR($CW1312="eur",$CW1312="reg",$CW1312="coy"),"reg",$CW1312))</f>
        <v>reg</v>
      </c>
      <c r="CY1312" s="318" t="s">
        <v>428</v>
      </c>
      <c r="CZ1312">
        <v>2020</v>
      </c>
      <c r="DA1312">
        <v>2035</v>
      </c>
      <c r="DB1312">
        <f>DA1312-CZ1312</f>
        <v>15</v>
      </c>
      <c r="DC1312" t="str">
        <f>IF(DB1312=0,"0",IF(AND(DB1312&gt;=1,DB1312&lt;=30),"1-30",IF(AND(DB1312&gt;30,DB1312&lt;=70),"31-70",IF(AND(DB1312&gt;70,DB1312&lt;=100),"71-100",IF(DB1312&gt;100,"+100")))))</f>
        <v>1-30</v>
      </c>
      <c r="DD1312">
        <v>1</v>
      </c>
      <c r="DE1312">
        <v>1</v>
      </c>
      <c r="DF1312">
        <v>1</v>
      </c>
      <c r="DG1312">
        <v>1</v>
      </c>
      <c r="DH1312">
        <v>0</v>
      </c>
      <c r="DI1312">
        <f>SUM(DD1312:DH1312)</f>
        <v>4</v>
      </c>
      <c r="DJ1312" t="str">
        <f>IF(DI1312=1,INDEX($DD$7:$DG$7,MATCH(1,$DD1312:$DG1312,0)),"mixedProduct")</f>
        <v>mixedProduct</v>
      </c>
      <c r="DK1312" t="str">
        <f>IF(DD1312=1,DK$7,0)</f>
        <v>Upstream</v>
      </c>
      <c r="DL1312" t="str">
        <f>IF(DE1312=1,DL$7,0)</f>
        <v>Energy</v>
      </c>
      <c r="DM1312" t="str">
        <f>IF(DF1312=1,DM$7,0)</f>
        <v>Pulp/Paper</v>
      </c>
      <c r="DN1312" t="str">
        <f>IF(DG1312=1,DN$7,0)</f>
        <v>Timber</v>
      </c>
      <c r="DO1312">
        <v>0</v>
      </c>
      <c r="DP1312" s="143">
        <v>0</v>
      </c>
      <c r="DQ1312" s="143">
        <v>0</v>
      </c>
      <c r="DR1312">
        <v>0</v>
      </c>
      <c r="DS1312">
        <v>0</v>
      </c>
      <c r="DT1312">
        <f>SUM(DO1312:DP1312)</f>
        <v>0</v>
      </c>
      <c r="DU1312" s="143" t="str">
        <f>IF(DO1312=1,"self-calculated DF",IF(DP1312=1,"external DF used","explicit C balance"))</f>
        <v>explicit C balance</v>
      </c>
      <c r="DV1312" s="143">
        <v>0</v>
      </c>
      <c r="DW1312" s="143">
        <v>1</v>
      </c>
      <c r="DX1312" s="143">
        <v>1</v>
      </c>
      <c r="DY1312" s="143">
        <v>1</v>
      </c>
      <c r="DZ1312">
        <v>1</v>
      </c>
      <c r="EA1312" s="143">
        <v>0</v>
      </c>
      <c r="EB1312" s="143">
        <v>0</v>
      </c>
      <c r="EC1312" s="143">
        <v>0</v>
      </c>
      <c r="ED1312" s="143">
        <v>0</v>
      </c>
      <c r="EE1312">
        <v>0</v>
      </c>
      <c r="EF1312">
        <v>1</v>
      </c>
      <c r="EG1312" s="143">
        <v>0</v>
      </c>
      <c r="EH1312" s="143">
        <v>0</v>
      </c>
      <c r="EI1312" s="2">
        <v>0</v>
      </c>
      <c r="EK1312" t="str">
        <f>IF(AND(AND(AND(OR($DX1312=1,$DW1312=1),OR($EC1312=1,$EA1312=1)),SUM($DV1312:$DZ1312,$EF1312)&gt;=3),SUM($EA1312:$EE1312)&gt;=2),"Whole sector","")</f>
        <v/>
      </c>
      <c r="EL1312" t="str">
        <f>IF(AND(AND(OR($DX1312=1,$DW1312=1),AND($EC1312=0,$EA1312=0)),SUM($DV1312:$DZ1312,$EF1312)&gt;=3),"Ecosystem approach","")</f>
        <v>Ecosystem approach</v>
      </c>
      <c r="EM1312" s="2" t="str">
        <f>IF(AND(AND(AND($DX1312=0,$DW1312=0),OR($EC1312=1,$EA1312=1)),SUM($EB1312:$EE1312)&gt;=2),"Technology approach","")</f>
        <v/>
      </c>
      <c r="EP1312" t="b">
        <f>IF(ISNUMBER(BU1312),IF(ABS(BU1312-[5]QC_indicators!$B$2)&gt;3*[5]QC_indicators!$C$2,"C ratio",IF(ISNUMBER(BY1312),IF(ABS(BY1312-[5]QC_indicators!$B$1)&gt;3*[5]QC_indicators!$C$1,"DF","no"))),IF(ISNUMBER(BY1312),IF(ABS(BY1312-[5]QC_indicators!$B$1)&gt;3*[5]QC_indicators!$C$1,"DF","no")))</f>
        <v>0</v>
      </c>
    </row>
    <row r="1313" spans="1:146" ht="15" customHeight="1">
      <c r="A1313" s="1" t="s">
        <v>3635</v>
      </c>
      <c r="B1313" t="s">
        <v>544</v>
      </c>
      <c r="C1313" t="s">
        <v>3636</v>
      </c>
      <c r="D1313" t="s">
        <v>3637</v>
      </c>
      <c r="E1313" t="s">
        <v>3638</v>
      </c>
      <c r="F1313" t="s">
        <v>3639</v>
      </c>
      <c r="G1313" t="s">
        <v>3640</v>
      </c>
      <c r="H1313" t="s">
        <v>254</v>
      </c>
      <c r="I1313">
        <v>2020</v>
      </c>
      <c r="J1313">
        <v>9</v>
      </c>
      <c r="K1313" t="s">
        <v>3641</v>
      </c>
      <c r="M1313" t="str">
        <f>LEFT($D1313,FIND(",",$D1313)-1)&amp;"_"&amp;I1313&amp;L1313</f>
        <v>Graves_2020</v>
      </c>
      <c r="N1313" s="312" t="s">
        <v>4383</v>
      </c>
      <c r="O1313" s="171" t="s">
        <v>341</v>
      </c>
      <c r="P1313" t="s">
        <v>223</v>
      </c>
      <c r="Q1313" s="312" t="s">
        <v>389</v>
      </c>
      <c r="R1313" s="313"/>
      <c r="S1313" s="322" t="s">
        <v>3642</v>
      </c>
      <c r="T1313" s="314" t="s">
        <v>3643</v>
      </c>
      <c r="U1313" s="312" t="s">
        <v>3644</v>
      </c>
      <c r="V1313">
        <v>1</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s="141">
        <f>COUNTIF(V1313:AW1313,"&lt;&gt;0")</f>
        <v>1</v>
      </c>
      <c r="AY1313" s="141">
        <f>COUNTIF(V1313:AL1313,"&lt;&gt;0")</f>
        <v>1</v>
      </c>
      <c r="AZ1313">
        <f>COUNTIF(V1313:AC1313,"&lt;&gt;0")</f>
        <v>1</v>
      </c>
      <c r="BA1313">
        <f>COUNTIF(AD1313:AI1313,"&lt;&gt;0")</f>
        <v>0</v>
      </c>
      <c r="BB1313">
        <f>COUNTIF(AJ1313:AL1313,"&lt;&gt;0")</f>
        <v>0</v>
      </c>
      <c r="BC1313">
        <f>COUNTIF(AS1313:AW1313,"&lt;&gt;0")</f>
        <v>0</v>
      </c>
      <c r="BD1313">
        <f>COUNTIF(AM1313:AR1313,"&lt;&gt;0")</f>
        <v>0</v>
      </c>
      <c r="BE1313" t="str" cm="1">
        <f t="array" ref="BE1313">IF(AY1313=1,INDEX($V$7:$AL$7,MATCH(TRUE,INDEX($V1313:$AW1313&lt;&gt;0,),0)),IF(AY1313=0,INDEX($AM$7:$AW$7,MATCH(1,$AM1313:$AW1313,0)),IF(BF1313="Multiple strategies","mixed drivers",IF(BF1313="Supply chain","multiple supply","multiple silviculture"))))</f>
        <v>area subject to harvest</v>
      </c>
      <c r="BF1313" s="2" t="str" cm="1">
        <f t="array" ref="BF1313">IF(COUNTIF(AZ1313:BB1313,"&lt;&gt;0")=1,INDEX($V$4:$AW$4,MATCH(TRUE,INDEX($V1313:$AW1313&lt;&gt;0,),0)),IF(COUNTIF(AZ1313:BB1313,"&lt;&gt;0")=0,INDEX($AM$4:$AW$4,MATCH(1,$AM1313:$AW1313,0)),"Multiple strategies"))</f>
        <v>Silviculture for removals</v>
      </c>
      <c r="BP1313" s="155" t="s">
        <v>395</v>
      </c>
      <c r="BQ1313" s="155" t="s">
        <v>3645</v>
      </c>
      <c r="BR1313" s="141" t="s">
        <v>3646</v>
      </c>
      <c r="BS1313">
        <f>BT1313-0.26</f>
        <v>63.74</v>
      </c>
      <c r="BT1313" s="151">
        <v>64</v>
      </c>
      <c r="BU1313" s="144">
        <f>BT1313/BS1313</f>
        <v>1.004079071226859</v>
      </c>
      <c r="BV1313">
        <f>BT1313-BS1313</f>
        <v>0.25999999999999801</v>
      </c>
      <c r="BX1313">
        <f>BV1313</f>
        <v>0.25999999999999801</v>
      </c>
      <c r="BY1313" t="str">
        <f>IFERROR(BX1313/BO1313,"")</f>
        <v/>
      </c>
      <c r="BZ1313">
        <v>0</v>
      </c>
      <c r="CA1313">
        <v>0</v>
      </c>
      <c r="CB1313">
        <v>0</v>
      </c>
      <c r="CC1313">
        <v>0</v>
      </c>
      <c r="CD1313">
        <v>0</v>
      </c>
      <c r="CE1313">
        <v>0</v>
      </c>
      <c r="CF1313">
        <v>0</v>
      </c>
      <c r="CG1313">
        <v>0</v>
      </c>
      <c r="CH1313">
        <v>0</v>
      </c>
      <c r="CI1313">
        <v>0</v>
      </c>
      <c r="CJ1313">
        <v>0</v>
      </c>
      <c r="CK1313">
        <v>0</v>
      </c>
      <c r="CL1313">
        <v>0</v>
      </c>
      <c r="CM1313">
        <v>0</v>
      </c>
      <c r="CN1313" t="str">
        <f>IF($BL1313&lt;$BK1313,"refNeedCorrection","refOK")</f>
        <v>refOK</v>
      </c>
      <c r="CO1313"/>
      <c r="CP1313"/>
      <c r="CQ1313"/>
      <c r="CR1313">
        <f>IF($CN1313="refOK",$BS1313,$BT1313)*IF($BP1313="Emissions positive",-1,1)</f>
        <v>-63.74</v>
      </c>
      <c r="CS1313">
        <f>IF($CN1313="refOK",$BT1313,$BS1313)*IF($BP1313="Emissions positive",-1,1)</f>
        <v>-64</v>
      </c>
      <c r="CT1313">
        <f>IF($CN1313="refNeedCorrection",-BX1313,BX1313)*IF($BP1313="Emissions positive",-1,1)</f>
        <v>-0.25999999999999801</v>
      </c>
      <c r="CU1313" t="str">
        <f>IFERROR(CT1313/CQ1313,"")</f>
        <v/>
      </c>
      <c r="CV1313" s="2">
        <f>IFERROR((CS1313-CR1313)/ABS(CR1313),"")</f>
        <v>-4.0790712268590837E-3</v>
      </c>
      <c r="CW1313" s="319" t="s">
        <v>1199</v>
      </c>
      <c r="CX1313" s="312" t="str">
        <f>IF(OR($CW1313="prd",$CW1313="std",$CW1313="cit"),"loc",IF(OR($CW1313="eur",$CW1313="reg",$CW1313="coy"),"reg",$CW1313))</f>
        <v>reg</v>
      </c>
      <c r="CY1313" s="318" t="s">
        <v>428</v>
      </c>
      <c r="CZ1313">
        <v>2020</v>
      </c>
      <c r="DA1313">
        <v>2050</v>
      </c>
      <c r="DB1313">
        <f>DA1313-CZ1313</f>
        <v>30</v>
      </c>
      <c r="DC1313" t="str">
        <f>IF(DB1313=0,"0",IF(AND(DB1313&gt;=1,DB1313&lt;=30),"1-30",IF(AND(DB1313&gt;30,DB1313&lt;=70),"31-70",IF(AND(DB1313&gt;70,DB1313&lt;=100),"71-100",IF(DB1313&gt;100,"+100")))))</f>
        <v>1-30</v>
      </c>
      <c r="DD1313">
        <v>1</v>
      </c>
      <c r="DE1313">
        <v>1</v>
      </c>
      <c r="DF1313">
        <v>1</v>
      </c>
      <c r="DG1313">
        <v>1</v>
      </c>
      <c r="DH1313">
        <v>0</v>
      </c>
      <c r="DI1313">
        <f>SUM(DD1313:DH1313)</f>
        <v>4</v>
      </c>
      <c r="DJ1313" t="str">
        <f>IF(DI1313=1,INDEX($DD$7:$DG$7,MATCH(1,$DD1313:$DG1313,0)),"mixedProduct")</f>
        <v>mixedProduct</v>
      </c>
      <c r="DK1313" t="str">
        <f>IF(DD1313=1,DK$7,0)</f>
        <v>Upstream</v>
      </c>
      <c r="DL1313" t="str">
        <f>IF(DE1313=1,DL$7,0)</f>
        <v>Energy</v>
      </c>
      <c r="DM1313" t="str">
        <f>IF(DF1313=1,DM$7,0)</f>
        <v>Pulp/Paper</v>
      </c>
      <c r="DN1313" t="str">
        <f>IF(DG1313=1,DN$7,0)</f>
        <v>Timber</v>
      </c>
      <c r="DO1313">
        <v>0</v>
      </c>
      <c r="DP1313" s="143">
        <v>0</v>
      </c>
      <c r="DQ1313" s="143">
        <v>0</v>
      </c>
      <c r="DR1313">
        <v>0</v>
      </c>
      <c r="DS1313">
        <v>0</v>
      </c>
      <c r="DT1313">
        <f>SUM(DO1313:DP1313)</f>
        <v>0</v>
      </c>
      <c r="DU1313" s="143" t="str">
        <f>IF(DO1313=1,"self-calculated DF",IF(DP1313=1,"external DF used","explicit C balance"))</f>
        <v>explicit C balance</v>
      </c>
      <c r="DV1313" s="143">
        <v>0</v>
      </c>
      <c r="DW1313" s="143">
        <v>1</v>
      </c>
      <c r="DX1313" s="143">
        <v>1</v>
      </c>
      <c r="DY1313" s="143">
        <v>1</v>
      </c>
      <c r="DZ1313">
        <v>1</v>
      </c>
      <c r="EA1313" s="143">
        <v>0</v>
      </c>
      <c r="EB1313" s="143">
        <v>0</v>
      </c>
      <c r="EC1313" s="143">
        <v>0</v>
      </c>
      <c r="ED1313" s="143">
        <v>0</v>
      </c>
      <c r="EE1313">
        <v>0</v>
      </c>
      <c r="EF1313">
        <v>1</v>
      </c>
      <c r="EG1313" s="143">
        <v>0</v>
      </c>
      <c r="EH1313" s="143">
        <v>0</v>
      </c>
      <c r="EI1313" s="2">
        <v>0</v>
      </c>
      <c r="EK1313" t="str">
        <f>IF(AND(AND(AND(OR($DX1313=1,$DW1313=1),OR($EC1313=1,$EA1313=1)),SUM($DV1313:$DZ1313,$EF1313)&gt;=3),SUM($EA1313:$EE1313)&gt;=2),"Whole sector","")</f>
        <v/>
      </c>
      <c r="EL1313" t="str">
        <f>IF(AND(AND(OR($DX1313=1,$DW1313=1),AND($EC1313=0,$EA1313=0)),SUM($DV1313:$DZ1313,$EF1313)&gt;=3),"Ecosystem approach","")</f>
        <v>Ecosystem approach</v>
      </c>
      <c r="EM1313" s="2" t="str">
        <f>IF(AND(AND(AND($DX1313=0,$DW1313=0),OR($EC1313=1,$EA1313=1)),SUM($EB1313:$EE1313)&gt;=2),"Technology approach","")</f>
        <v/>
      </c>
      <c r="EP1313" t="b">
        <f>IF(ISNUMBER(BU1313),IF(ABS(BU1313-[5]QC_indicators!$B$2)&gt;3*[5]QC_indicators!$C$2,"C ratio",IF(ISNUMBER(BY1313),IF(ABS(BY1313-[5]QC_indicators!$B$1)&gt;3*[5]QC_indicators!$C$1,"DF","no"))),IF(ISNUMBER(BY1313),IF(ABS(BY1313-[5]QC_indicators!$B$1)&gt;3*[5]QC_indicators!$C$1,"DF","no")))</f>
        <v>0</v>
      </c>
    </row>
    <row r="1314" spans="1:146" ht="15" customHeight="1">
      <c r="A1314" s="1" t="s">
        <v>3635</v>
      </c>
      <c r="B1314" t="s">
        <v>544</v>
      </c>
      <c r="C1314" t="s">
        <v>3636</v>
      </c>
      <c r="D1314" t="s">
        <v>3637</v>
      </c>
      <c r="E1314" t="s">
        <v>3638</v>
      </c>
      <c r="F1314" t="s">
        <v>3639</v>
      </c>
      <c r="G1314" t="s">
        <v>3640</v>
      </c>
      <c r="H1314" t="s">
        <v>254</v>
      </c>
      <c r="I1314">
        <v>2020</v>
      </c>
      <c r="J1314">
        <v>9</v>
      </c>
      <c r="K1314" t="s">
        <v>3641</v>
      </c>
      <c r="M1314" t="str">
        <f>LEFT($D1314,FIND(",",$D1314)-1)&amp;"_"&amp;I1314&amp;L1314</f>
        <v>Graves_2020</v>
      </c>
      <c r="N1314" s="312" t="s">
        <v>4383</v>
      </c>
      <c r="O1314" s="171" t="s">
        <v>341</v>
      </c>
      <c r="P1314" t="s">
        <v>223</v>
      </c>
      <c r="Q1314" s="312" t="s">
        <v>389</v>
      </c>
      <c r="R1314" s="313"/>
      <c r="S1314" s="322" t="s">
        <v>3642</v>
      </c>
      <c r="T1314" s="314" t="s">
        <v>3643</v>
      </c>
      <c r="U1314" s="312" t="s">
        <v>3644</v>
      </c>
      <c r="V1314">
        <v>1</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s="141">
        <f>COUNTIF(V1314:AW1314,"&lt;&gt;0")</f>
        <v>1</v>
      </c>
      <c r="AY1314" s="141">
        <f>COUNTIF(V1314:AL1314,"&lt;&gt;0")</f>
        <v>1</v>
      </c>
      <c r="AZ1314">
        <f>COUNTIF(V1314:AC1314,"&lt;&gt;0")</f>
        <v>1</v>
      </c>
      <c r="BA1314">
        <f>COUNTIF(AD1314:AI1314,"&lt;&gt;0")</f>
        <v>0</v>
      </c>
      <c r="BB1314">
        <f>COUNTIF(AJ1314:AL1314,"&lt;&gt;0")</f>
        <v>0</v>
      </c>
      <c r="BC1314">
        <f>COUNTIF(AS1314:AW1314,"&lt;&gt;0")</f>
        <v>0</v>
      </c>
      <c r="BD1314">
        <f>COUNTIF(AM1314:AR1314,"&lt;&gt;0")</f>
        <v>0</v>
      </c>
      <c r="BE1314" t="str" cm="1">
        <f t="array" ref="BE1314">IF(AY1314=1,INDEX($V$7:$AL$7,MATCH(TRUE,INDEX($V1314:$AW1314&lt;&gt;0,),0)),IF(AY1314=0,INDEX($AM$7:$AW$7,MATCH(1,$AM1314:$AW1314,0)),IF(BF1314="Multiple strategies","mixed drivers",IF(BF1314="Supply chain","multiple supply","multiple silviculture"))))</f>
        <v>area subject to harvest</v>
      </c>
      <c r="BF1314" s="2" t="str" cm="1">
        <f t="array" ref="BF1314">IF(COUNTIF(AZ1314:BB1314,"&lt;&gt;0")=1,INDEX($V$4:$AW$4,MATCH(TRUE,INDEX($V1314:$AW1314&lt;&gt;0,),0)),IF(COUNTIF(AZ1314:BB1314,"&lt;&gt;0")=0,INDEX($AM$4:$AW$4,MATCH(1,$AM1314:$AW1314,0)),"Multiple strategies"))</f>
        <v>Silviculture for removals</v>
      </c>
      <c r="BN1314" s="158"/>
      <c r="BO1314" s="159"/>
      <c r="BP1314" s="155" t="s">
        <v>395</v>
      </c>
      <c r="BQ1314" s="155" t="s">
        <v>3645</v>
      </c>
      <c r="BR1314" s="141" t="s">
        <v>3646</v>
      </c>
      <c r="BS1314">
        <f>BT1314-0.48</f>
        <v>63.52</v>
      </c>
      <c r="BT1314" s="151">
        <v>64</v>
      </c>
      <c r="BU1314" s="144">
        <f>BT1314/BS1314</f>
        <v>1.0075566750629723</v>
      </c>
      <c r="BV1314">
        <f>BT1314-BS1314</f>
        <v>0.47999999999999687</v>
      </c>
      <c r="BX1314">
        <f>BV1314</f>
        <v>0.47999999999999687</v>
      </c>
      <c r="BY1314" t="str">
        <f>IFERROR(BX1314/BO1314,"")</f>
        <v/>
      </c>
      <c r="BZ1314">
        <v>0</v>
      </c>
      <c r="CA1314">
        <v>0</v>
      </c>
      <c r="CB1314">
        <v>0</v>
      </c>
      <c r="CC1314">
        <v>0</v>
      </c>
      <c r="CD1314">
        <v>0</v>
      </c>
      <c r="CE1314">
        <v>0</v>
      </c>
      <c r="CF1314">
        <v>0</v>
      </c>
      <c r="CG1314">
        <v>0</v>
      </c>
      <c r="CH1314">
        <v>0</v>
      </c>
      <c r="CI1314">
        <v>0</v>
      </c>
      <c r="CJ1314">
        <v>0</v>
      </c>
      <c r="CK1314">
        <v>0</v>
      </c>
      <c r="CL1314">
        <v>0</v>
      </c>
      <c r="CM1314">
        <v>0</v>
      </c>
      <c r="CN1314" t="str">
        <f>IF($BL1314&lt;$BK1314,"refNeedCorrection","refOK")</f>
        <v>refOK</v>
      </c>
      <c r="CO1314"/>
      <c r="CP1314"/>
      <c r="CQ1314"/>
      <c r="CR1314">
        <f>IF($CN1314="refOK",$BS1314,$BT1314)*IF($BP1314="Emissions positive",-1,1)</f>
        <v>-63.52</v>
      </c>
      <c r="CS1314">
        <f>IF($CN1314="refOK",$BT1314,$BS1314)*IF($BP1314="Emissions positive",-1,1)</f>
        <v>-64</v>
      </c>
      <c r="CT1314">
        <f>IF($CN1314="refNeedCorrection",-BX1314,BX1314)*IF($BP1314="Emissions positive",-1,1)</f>
        <v>-0.47999999999999687</v>
      </c>
      <c r="CU1314" t="str">
        <f>IFERROR(CT1314/CQ1314,"")</f>
        <v/>
      </c>
      <c r="CV1314" s="2">
        <f>IFERROR((CS1314-CR1314)/ABS(CR1314),"")</f>
        <v>-7.5566750629722425E-3</v>
      </c>
      <c r="CW1314" s="319" t="s">
        <v>1199</v>
      </c>
      <c r="CX1314" s="312" t="str">
        <f>IF(OR($CW1314="prd",$CW1314="std",$CW1314="cit"),"loc",IF(OR($CW1314="eur",$CW1314="reg",$CW1314="coy"),"reg",$CW1314))</f>
        <v>reg</v>
      </c>
      <c r="CY1314" s="318" t="s">
        <v>428</v>
      </c>
      <c r="CZ1314">
        <v>2020</v>
      </c>
      <c r="DA1314">
        <v>2035</v>
      </c>
      <c r="DB1314">
        <f>DA1314-CZ1314</f>
        <v>15</v>
      </c>
      <c r="DC1314" t="str">
        <f>IF(DB1314=0,"0",IF(AND(DB1314&gt;=1,DB1314&lt;=30),"1-30",IF(AND(DB1314&gt;30,DB1314&lt;=70),"31-70",IF(AND(DB1314&gt;70,DB1314&lt;=100),"71-100",IF(DB1314&gt;100,"+100")))))</f>
        <v>1-30</v>
      </c>
      <c r="DD1314">
        <v>1</v>
      </c>
      <c r="DE1314">
        <v>1</v>
      </c>
      <c r="DF1314">
        <v>1</v>
      </c>
      <c r="DG1314">
        <v>1</v>
      </c>
      <c r="DH1314">
        <v>0</v>
      </c>
      <c r="DI1314">
        <f>SUM(DD1314:DH1314)</f>
        <v>4</v>
      </c>
      <c r="DJ1314" t="str">
        <f>IF(DI1314=1,INDEX($DD$7:$DG$7,MATCH(1,$DD1314:$DG1314,0)),"mixedProduct")</f>
        <v>mixedProduct</v>
      </c>
      <c r="DK1314" t="str">
        <f>IF(DD1314=1,DK$7,0)</f>
        <v>Upstream</v>
      </c>
      <c r="DL1314" t="str">
        <f>IF(DE1314=1,DL$7,0)</f>
        <v>Energy</v>
      </c>
      <c r="DM1314" t="str">
        <f>IF(DF1314=1,DM$7,0)</f>
        <v>Pulp/Paper</v>
      </c>
      <c r="DN1314" t="str">
        <f>IF(DG1314=1,DN$7,0)</f>
        <v>Timber</v>
      </c>
      <c r="DO1314">
        <v>0</v>
      </c>
      <c r="DP1314" s="143">
        <v>0</v>
      </c>
      <c r="DQ1314" s="143">
        <v>0</v>
      </c>
      <c r="DR1314">
        <v>0</v>
      </c>
      <c r="DS1314">
        <v>0</v>
      </c>
      <c r="DT1314">
        <f>SUM(DO1314:DP1314)</f>
        <v>0</v>
      </c>
      <c r="DU1314" s="143" t="str">
        <f>IF(DO1314=1,"self-calculated DF",IF(DP1314=1,"external DF used","explicit C balance"))</f>
        <v>explicit C balance</v>
      </c>
      <c r="DV1314" s="143">
        <v>0</v>
      </c>
      <c r="DW1314" s="143">
        <v>1</v>
      </c>
      <c r="DX1314" s="143">
        <v>1</v>
      </c>
      <c r="DY1314" s="143">
        <v>1</v>
      </c>
      <c r="DZ1314">
        <v>1</v>
      </c>
      <c r="EA1314" s="143">
        <v>0</v>
      </c>
      <c r="EB1314" s="143">
        <v>0</v>
      </c>
      <c r="EC1314" s="143">
        <v>0</v>
      </c>
      <c r="ED1314" s="143">
        <v>0</v>
      </c>
      <c r="EE1314">
        <v>0</v>
      </c>
      <c r="EF1314">
        <v>1</v>
      </c>
      <c r="EG1314" s="143">
        <v>0</v>
      </c>
      <c r="EH1314" s="143">
        <v>0</v>
      </c>
      <c r="EI1314" s="2">
        <v>0</v>
      </c>
      <c r="EK1314" t="str">
        <f>IF(AND(AND(AND(OR($DX1314=1,$DW1314=1),OR($EC1314=1,$EA1314=1)),SUM($DV1314:$DZ1314,$EF1314)&gt;=3),SUM($EA1314:$EE1314)&gt;=2),"Whole sector","")</f>
        <v/>
      </c>
      <c r="EL1314" t="str">
        <f>IF(AND(AND(OR($DX1314=1,$DW1314=1),AND($EC1314=0,$EA1314=0)),SUM($DV1314:$DZ1314,$EF1314)&gt;=3),"Ecosystem approach","")</f>
        <v>Ecosystem approach</v>
      </c>
      <c r="EM1314" s="2" t="str">
        <f>IF(AND(AND(AND($DX1314=0,$DW1314=0),OR($EC1314=1,$EA1314=1)),SUM($EB1314:$EE1314)&gt;=2),"Technology approach","")</f>
        <v/>
      </c>
      <c r="EP1314" t="b">
        <f>IF(ISNUMBER(BU1314),IF(ABS(BU1314-[5]QC_indicators!$B$2)&gt;3*[5]QC_indicators!$C$2,"C ratio",IF(ISNUMBER(BY1314),IF(ABS(BY1314-[5]QC_indicators!$B$1)&gt;3*[5]QC_indicators!$C$1,"DF","no"))),IF(ISNUMBER(BY1314),IF(ABS(BY1314-[5]QC_indicators!$B$1)&gt;3*[5]QC_indicators!$C$1,"DF","no")))</f>
        <v>0</v>
      </c>
    </row>
    <row r="1315" spans="1:146" ht="15" customHeight="1">
      <c r="A1315" s="1" t="s">
        <v>3635</v>
      </c>
      <c r="B1315" t="s">
        <v>544</v>
      </c>
      <c r="C1315" t="s">
        <v>3636</v>
      </c>
      <c r="D1315" t="s">
        <v>3637</v>
      </c>
      <c r="E1315" t="s">
        <v>3638</v>
      </c>
      <c r="F1315" t="s">
        <v>3639</v>
      </c>
      <c r="G1315" t="s">
        <v>3640</v>
      </c>
      <c r="H1315" t="s">
        <v>254</v>
      </c>
      <c r="I1315">
        <v>2020</v>
      </c>
      <c r="J1315">
        <v>9</v>
      </c>
      <c r="K1315" t="s">
        <v>3641</v>
      </c>
      <c r="M1315" t="str">
        <f>LEFT($D1315,FIND(",",$D1315)-1)&amp;"_"&amp;I1315&amp;L1315</f>
        <v>Graves_2020</v>
      </c>
      <c r="N1315" s="312" t="s">
        <v>4383</v>
      </c>
      <c r="O1315" s="171" t="s">
        <v>341</v>
      </c>
      <c r="P1315" t="s">
        <v>223</v>
      </c>
      <c r="Q1315" s="312" t="s">
        <v>389</v>
      </c>
      <c r="R1315" s="313"/>
      <c r="S1315" s="322" t="s">
        <v>3642</v>
      </c>
      <c r="T1315" s="314" t="s">
        <v>3643</v>
      </c>
      <c r="U1315" s="312" t="s">
        <v>3644</v>
      </c>
      <c r="V1315">
        <v>1</v>
      </c>
      <c r="W1315">
        <v>0</v>
      </c>
      <c r="X1315">
        <v>0</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s="141">
        <f>COUNTIF(V1315:AW1315,"&lt;&gt;0")</f>
        <v>1</v>
      </c>
      <c r="AY1315" s="141">
        <f>COUNTIF(V1315:AL1315,"&lt;&gt;0")</f>
        <v>1</v>
      </c>
      <c r="AZ1315">
        <f>COUNTIF(V1315:AC1315,"&lt;&gt;0")</f>
        <v>1</v>
      </c>
      <c r="BA1315">
        <f>COUNTIF(AD1315:AI1315,"&lt;&gt;0")</f>
        <v>0</v>
      </c>
      <c r="BB1315">
        <f>COUNTIF(AJ1315:AL1315,"&lt;&gt;0")</f>
        <v>0</v>
      </c>
      <c r="BC1315">
        <f>COUNTIF(AS1315:AW1315,"&lt;&gt;0")</f>
        <v>0</v>
      </c>
      <c r="BD1315">
        <f>COUNTIF(AM1315:AR1315,"&lt;&gt;0")</f>
        <v>0</v>
      </c>
      <c r="BE1315" t="str" cm="1">
        <f t="array" ref="BE1315">IF(AY1315=1,INDEX($V$7:$AL$7,MATCH(TRUE,INDEX($V1315:$AW1315&lt;&gt;0,),0)),IF(AY1315=0,INDEX($AM$7:$AW$7,MATCH(1,$AM1315:$AW1315,0)),IF(BF1315="Multiple strategies","mixed drivers",IF(BF1315="Supply chain","multiple supply","multiple silviculture"))))</f>
        <v>area subject to harvest</v>
      </c>
      <c r="BF1315" s="2" t="str" cm="1">
        <f t="array" ref="BF1315">IF(COUNTIF(AZ1315:BB1315,"&lt;&gt;0")=1,INDEX($V$4:$AW$4,MATCH(TRUE,INDEX($V1315:$AW1315&lt;&gt;0,),0)),IF(COUNTIF(AZ1315:BB1315,"&lt;&gt;0")=0,INDEX($AM$4:$AW$4,MATCH(1,$AM1315:$AW1315,0)),"Multiple strategies"))</f>
        <v>Silviculture for removals</v>
      </c>
      <c r="BN1315" s="158"/>
      <c r="BO1315" s="159"/>
      <c r="BP1315" s="155" t="s">
        <v>395</v>
      </c>
      <c r="BQ1315" s="155" t="s">
        <v>3645</v>
      </c>
      <c r="BR1315" s="141" t="s">
        <v>3646</v>
      </c>
      <c r="BS1315">
        <f>BT1315-0.52</f>
        <v>63.48</v>
      </c>
      <c r="BT1315" s="151">
        <v>64</v>
      </c>
      <c r="BU1315" s="144">
        <f>BT1315/BS1315</f>
        <v>1.0081915563957153</v>
      </c>
      <c r="BV1315">
        <f>BT1315-BS1315</f>
        <v>0.52000000000000313</v>
      </c>
      <c r="BX1315">
        <f>BV1315</f>
        <v>0.52000000000000313</v>
      </c>
      <c r="BY1315" t="str">
        <f>IFERROR(BX1315/BO1315,"")</f>
        <v/>
      </c>
      <c r="BZ1315">
        <v>0</v>
      </c>
      <c r="CA1315">
        <v>0</v>
      </c>
      <c r="CB1315">
        <v>0</v>
      </c>
      <c r="CC1315">
        <v>0</v>
      </c>
      <c r="CD1315">
        <v>0</v>
      </c>
      <c r="CE1315">
        <v>0</v>
      </c>
      <c r="CF1315">
        <v>0</v>
      </c>
      <c r="CG1315">
        <v>0</v>
      </c>
      <c r="CH1315">
        <v>0</v>
      </c>
      <c r="CI1315">
        <v>0</v>
      </c>
      <c r="CJ1315">
        <v>0</v>
      </c>
      <c r="CK1315">
        <v>0</v>
      </c>
      <c r="CL1315">
        <v>0</v>
      </c>
      <c r="CM1315">
        <v>0</v>
      </c>
      <c r="CN1315" t="str">
        <f>IF($BL1315&lt;$BK1315,"refNeedCorrection","refOK")</f>
        <v>refOK</v>
      </c>
      <c r="CO1315"/>
      <c r="CP1315"/>
      <c r="CQ1315"/>
      <c r="CR1315">
        <f>IF($CN1315="refOK",$BS1315,$BT1315)*IF($BP1315="Emissions positive",-1,1)</f>
        <v>-63.48</v>
      </c>
      <c r="CS1315">
        <f>IF($CN1315="refOK",$BT1315,$BS1315)*IF($BP1315="Emissions positive",-1,1)</f>
        <v>-64</v>
      </c>
      <c r="CT1315">
        <f>IF($CN1315="refNeedCorrection",-BX1315,BX1315)*IF($BP1315="Emissions positive",-1,1)</f>
        <v>-0.52000000000000313</v>
      </c>
      <c r="CU1315" t="str">
        <f>IFERROR(CT1315/CQ1315,"")</f>
        <v/>
      </c>
      <c r="CV1315" s="2">
        <f>IFERROR((CS1315-CR1315)/ABS(CR1315),"")</f>
        <v>-8.1915563957152358E-3</v>
      </c>
      <c r="CW1315" s="319" t="s">
        <v>1199</v>
      </c>
      <c r="CX1315" s="312" t="str">
        <f>IF(OR($CW1315="prd",$CW1315="std",$CW1315="cit"),"loc",IF(OR($CW1315="eur",$CW1315="reg",$CW1315="coy"),"reg",$CW1315))</f>
        <v>reg</v>
      </c>
      <c r="CY1315" s="318" t="s">
        <v>428</v>
      </c>
      <c r="CZ1315">
        <v>2020</v>
      </c>
      <c r="DA1315">
        <v>2050</v>
      </c>
      <c r="DB1315">
        <f>DA1315-CZ1315</f>
        <v>30</v>
      </c>
      <c r="DC1315" t="str">
        <f>IF(DB1315=0,"0",IF(AND(DB1315&gt;=1,DB1315&lt;=30),"1-30",IF(AND(DB1315&gt;30,DB1315&lt;=70),"31-70",IF(AND(DB1315&gt;70,DB1315&lt;=100),"71-100",IF(DB1315&gt;100,"+100")))))</f>
        <v>1-30</v>
      </c>
      <c r="DD1315">
        <v>1</v>
      </c>
      <c r="DE1315">
        <v>1</v>
      </c>
      <c r="DF1315">
        <v>1</v>
      </c>
      <c r="DG1315">
        <v>1</v>
      </c>
      <c r="DH1315">
        <v>0</v>
      </c>
      <c r="DI1315">
        <f>SUM(DD1315:DH1315)</f>
        <v>4</v>
      </c>
      <c r="DJ1315" t="str">
        <f>IF(DI1315=1,INDEX($DD$7:$DG$7,MATCH(1,$DD1315:$DG1315,0)),"mixedProduct")</f>
        <v>mixedProduct</v>
      </c>
      <c r="DK1315" t="str">
        <f>IF(DD1315=1,DK$7,0)</f>
        <v>Upstream</v>
      </c>
      <c r="DL1315" t="str">
        <f>IF(DE1315=1,DL$7,0)</f>
        <v>Energy</v>
      </c>
      <c r="DM1315" t="str">
        <f>IF(DF1315=1,DM$7,0)</f>
        <v>Pulp/Paper</v>
      </c>
      <c r="DN1315" t="str">
        <f>IF(DG1315=1,DN$7,0)</f>
        <v>Timber</v>
      </c>
      <c r="DO1315">
        <v>0</v>
      </c>
      <c r="DP1315" s="143">
        <v>0</v>
      </c>
      <c r="DQ1315" s="143">
        <v>0</v>
      </c>
      <c r="DR1315">
        <v>0</v>
      </c>
      <c r="DS1315">
        <v>0</v>
      </c>
      <c r="DT1315">
        <f>SUM(DO1315:DP1315)</f>
        <v>0</v>
      </c>
      <c r="DU1315" s="143" t="str">
        <f>IF(DO1315=1,"self-calculated DF",IF(DP1315=1,"external DF used","explicit C balance"))</f>
        <v>explicit C balance</v>
      </c>
      <c r="DV1315" s="143">
        <v>0</v>
      </c>
      <c r="DW1315" s="143">
        <v>1</v>
      </c>
      <c r="DX1315" s="143">
        <v>1</v>
      </c>
      <c r="DY1315" s="143">
        <v>1</v>
      </c>
      <c r="DZ1315">
        <v>1</v>
      </c>
      <c r="EA1315" s="143">
        <v>0</v>
      </c>
      <c r="EB1315" s="143">
        <v>0</v>
      </c>
      <c r="EC1315" s="143">
        <v>0</v>
      </c>
      <c r="ED1315" s="143">
        <v>0</v>
      </c>
      <c r="EE1315">
        <v>0</v>
      </c>
      <c r="EF1315">
        <v>1</v>
      </c>
      <c r="EG1315" s="143">
        <v>0</v>
      </c>
      <c r="EH1315" s="143">
        <v>0</v>
      </c>
      <c r="EI1315" s="2">
        <v>0</v>
      </c>
      <c r="EK1315" t="str">
        <f>IF(AND(AND(AND(OR($DX1315=1,$DW1315=1),OR($EC1315=1,$EA1315=1)),SUM($DV1315:$DZ1315,$EF1315)&gt;=3),SUM($EA1315:$EE1315)&gt;=2),"Whole sector","")</f>
        <v/>
      </c>
      <c r="EL1315" t="str">
        <f>IF(AND(AND(OR($DX1315=1,$DW1315=1),AND($EC1315=0,$EA1315=0)),SUM($DV1315:$DZ1315,$EF1315)&gt;=3),"Ecosystem approach","")</f>
        <v>Ecosystem approach</v>
      </c>
      <c r="EM1315" s="2" t="str">
        <f>IF(AND(AND(AND($DX1315=0,$DW1315=0),OR($EC1315=1,$EA1315=1)),SUM($EB1315:$EE1315)&gt;=2),"Technology approach","")</f>
        <v/>
      </c>
      <c r="EP1315" t="b">
        <f>IF(ISNUMBER(BU1315),IF(ABS(BU1315-[5]QC_indicators!$B$2)&gt;3*[5]QC_indicators!$C$2,"C ratio",IF(ISNUMBER(BY1315),IF(ABS(BY1315-[5]QC_indicators!$B$1)&gt;3*[5]QC_indicators!$C$1,"DF","no"))),IF(ISNUMBER(BY1315),IF(ABS(BY1315-[5]QC_indicators!$B$1)&gt;3*[5]QC_indicators!$C$1,"DF","no")))</f>
        <v>0</v>
      </c>
    </row>
    <row r="1316" spans="1:146" ht="15" customHeight="1">
      <c r="A1316" s="1" t="s">
        <v>3635</v>
      </c>
      <c r="B1316" t="s">
        <v>544</v>
      </c>
      <c r="C1316" t="s">
        <v>3636</v>
      </c>
      <c r="D1316" t="s">
        <v>3637</v>
      </c>
      <c r="E1316" t="s">
        <v>3638</v>
      </c>
      <c r="F1316" t="s">
        <v>3639</v>
      </c>
      <c r="G1316" t="s">
        <v>3640</v>
      </c>
      <c r="H1316" t="s">
        <v>254</v>
      </c>
      <c r="I1316">
        <v>2020</v>
      </c>
      <c r="J1316">
        <v>9</v>
      </c>
      <c r="K1316" s="312" t="s">
        <v>3641</v>
      </c>
      <c r="M1316" t="str">
        <f>LEFT($D1316,FIND(",",$D1316)-1)&amp;"_"&amp;I1316&amp;L1316</f>
        <v>Graves_2020</v>
      </c>
      <c r="N1316" s="312" t="s">
        <v>4383</v>
      </c>
      <c r="O1316" s="171" t="s">
        <v>341</v>
      </c>
      <c r="P1316" t="s">
        <v>223</v>
      </c>
      <c r="Q1316" s="312" t="s">
        <v>389</v>
      </c>
      <c r="R1316" s="313"/>
      <c r="S1316" s="322" t="s">
        <v>3647</v>
      </c>
      <c r="T1316" s="314" t="s">
        <v>3648</v>
      </c>
      <c r="U1316" s="312" t="s">
        <v>3649</v>
      </c>
      <c r="V1316">
        <v>0</v>
      </c>
      <c r="W1316">
        <v>0</v>
      </c>
      <c r="X1316">
        <v>0</v>
      </c>
      <c r="Y1316">
        <v>0</v>
      </c>
      <c r="Z1316">
        <v>0</v>
      </c>
      <c r="AA1316">
        <v>1</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s="141">
        <f>COUNTIF(V1316:AW1316,"&lt;&gt;0")</f>
        <v>1</v>
      </c>
      <c r="AY1316" s="141">
        <f>COUNTIF(V1316:AL1316,"&lt;&gt;0")</f>
        <v>1</v>
      </c>
      <c r="AZ1316">
        <f>COUNTIF(V1316:AC1316,"&lt;&gt;0")</f>
        <v>1</v>
      </c>
      <c r="BA1316">
        <f>COUNTIF(AD1316:AI1316,"&lt;&gt;0")</f>
        <v>0</v>
      </c>
      <c r="BB1316">
        <f>COUNTIF(AJ1316:AL1316,"&lt;&gt;0")</f>
        <v>0</v>
      </c>
      <c r="BC1316">
        <f>COUNTIF(AS1316:AW1316,"&lt;&gt;0")</f>
        <v>0</v>
      </c>
      <c r="BD1316">
        <f>COUNTIF(AM1316:AR1316,"&lt;&gt;0")</f>
        <v>0</v>
      </c>
      <c r="BE1316" t="str" cm="1">
        <f t="array" ref="BE1316">IF(AY1316=1,INDEX($V$7:$AL$7,MATCH(TRUE,INDEX($V1316:$AW1316&lt;&gt;0,),0)),IF(AY1316=0,INDEX($AM$7:$AW$7,MATCH(1,$AM1316:$AW1316,0)),IF(BF1316="Multiple strategies","mixed drivers",IF(BF1316="Supply chain","multiple supply","multiple silviculture"))))</f>
        <v>plantation density</v>
      </c>
      <c r="BF1316" s="2" t="str" cm="1">
        <f t="array" ref="BF1316">IF(COUNTIF(AZ1316:BB1316,"&lt;&gt;0")=1,INDEX($V$4:$AW$4,MATCH(TRUE,INDEX($V1316:$AW1316&lt;&gt;0,),0)),IF(COUNTIF(AZ1316:BB1316,"&lt;&gt;0")=0,INDEX($AM$4:$AW$4,MATCH(1,$AM1316:$AW1316,0)),"Multiple strategies"))</f>
        <v>Silviculture for productivity</v>
      </c>
      <c r="BP1316" s="155" t="s">
        <v>395</v>
      </c>
      <c r="BQ1316" s="155" t="s">
        <v>3645</v>
      </c>
      <c r="BR1316" s="141" t="s">
        <v>3646</v>
      </c>
      <c r="BS1316">
        <f>BT1316-0.12</f>
        <v>63.88</v>
      </c>
      <c r="BT1316" s="151">
        <v>64</v>
      </c>
      <c r="BU1316" s="144">
        <f>BT1316/BS1316</f>
        <v>1.0018785222291797</v>
      </c>
      <c r="BV1316">
        <f>BT1316-BS1316</f>
        <v>0.11999999999999744</v>
      </c>
      <c r="BX1316">
        <f>BV1316</f>
        <v>0.11999999999999744</v>
      </c>
      <c r="BY1316" t="str">
        <f>IFERROR(BX1316/BO1316,"")</f>
        <v/>
      </c>
      <c r="BZ1316">
        <v>0</v>
      </c>
      <c r="CA1316">
        <v>0</v>
      </c>
      <c r="CB1316">
        <v>0</v>
      </c>
      <c r="CC1316">
        <v>0</v>
      </c>
      <c r="CD1316">
        <v>0</v>
      </c>
      <c r="CE1316">
        <v>0</v>
      </c>
      <c r="CF1316">
        <v>0</v>
      </c>
      <c r="CG1316">
        <v>0</v>
      </c>
      <c r="CH1316">
        <v>0</v>
      </c>
      <c r="CI1316">
        <v>0</v>
      </c>
      <c r="CJ1316">
        <v>0</v>
      </c>
      <c r="CK1316">
        <v>0</v>
      </c>
      <c r="CL1316">
        <v>0</v>
      </c>
      <c r="CM1316">
        <v>0</v>
      </c>
      <c r="CN1316" t="str">
        <f>IF($BL1316&lt;$BK1316,"refNeedCorrection","refOK")</f>
        <v>refOK</v>
      </c>
      <c r="CO1316"/>
      <c r="CP1316"/>
      <c r="CQ1316"/>
      <c r="CR1316">
        <f>IF($CN1316="refOK",$BS1316,$BT1316)*IF($BP1316="Emissions positive",-1,1)</f>
        <v>-63.88</v>
      </c>
      <c r="CS1316">
        <f>IF($CN1316="refOK",$BT1316,$BS1316)*IF($BP1316="Emissions positive",-1,1)</f>
        <v>-64</v>
      </c>
      <c r="CT1316">
        <f>IF($CN1316="refNeedCorrection",-BX1316,BX1316)*IF($BP1316="Emissions positive",-1,1)</f>
        <v>-0.11999999999999744</v>
      </c>
      <c r="CU1316" t="str">
        <f>IFERROR(CT1316/CQ1316,"")</f>
        <v/>
      </c>
      <c r="CV1316" s="2">
        <f>IFERROR((CS1316-CR1316)/ABS(CR1316),"")</f>
        <v>-1.8785222291796719E-3</v>
      </c>
      <c r="CW1316" s="319" t="s">
        <v>1199</v>
      </c>
      <c r="CX1316" s="312" t="str">
        <f>IF(OR($CW1316="prd",$CW1316="std",$CW1316="cit"),"loc",IF(OR($CW1316="eur",$CW1316="reg",$CW1316="coy"),"reg",$CW1316))</f>
        <v>reg</v>
      </c>
      <c r="CY1316" s="318" t="s">
        <v>428</v>
      </c>
      <c r="CZ1316">
        <v>2020</v>
      </c>
      <c r="DA1316">
        <v>2035</v>
      </c>
      <c r="DB1316">
        <f>DA1316-CZ1316</f>
        <v>15</v>
      </c>
      <c r="DC1316" t="str">
        <f>IF(DB1316=0,"0",IF(AND(DB1316&gt;=1,DB1316&lt;=30),"1-30",IF(AND(DB1316&gt;30,DB1316&lt;=70),"31-70",IF(AND(DB1316&gt;70,DB1316&lt;=100),"71-100",IF(DB1316&gt;100,"+100")))))</f>
        <v>1-30</v>
      </c>
      <c r="DD1316">
        <v>1</v>
      </c>
      <c r="DE1316">
        <v>1</v>
      </c>
      <c r="DF1316">
        <v>1</v>
      </c>
      <c r="DG1316">
        <v>1</v>
      </c>
      <c r="DH1316">
        <v>0</v>
      </c>
      <c r="DI1316">
        <f>SUM(DD1316:DH1316)</f>
        <v>4</v>
      </c>
      <c r="DJ1316" t="str">
        <f>IF(DI1316=1,INDEX($DD$7:$DG$7,MATCH(1,$DD1316:$DG1316,0)),"mixedProduct")</f>
        <v>mixedProduct</v>
      </c>
      <c r="DK1316" t="str">
        <f>IF(DD1316=1,DK$7,0)</f>
        <v>Upstream</v>
      </c>
      <c r="DL1316" t="str">
        <f>IF(DE1316=1,DL$7,0)</f>
        <v>Energy</v>
      </c>
      <c r="DM1316" t="str">
        <f>IF(DF1316=1,DM$7,0)</f>
        <v>Pulp/Paper</v>
      </c>
      <c r="DN1316" t="str">
        <f>IF(DG1316=1,DN$7,0)</f>
        <v>Timber</v>
      </c>
      <c r="DO1316">
        <v>0</v>
      </c>
      <c r="DP1316" s="143">
        <v>0</v>
      </c>
      <c r="DQ1316" s="143">
        <v>0</v>
      </c>
      <c r="DR1316">
        <v>0</v>
      </c>
      <c r="DS1316">
        <v>0</v>
      </c>
      <c r="DT1316">
        <f>SUM(DO1316:DP1316)</f>
        <v>0</v>
      </c>
      <c r="DU1316" s="143" t="str">
        <f>IF(DO1316=1,"self-calculated DF",IF(DP1316=1,"external DF used","explicit C balance"))</f>
        <v>explicit C balance</v>
      </c>
      <c r="DV1316" s="143">
        <v>0</v>
      </c>
      <c r="DW1316" s="143">
        <v>1</v>
      </c>
      <c r="DX1316" s="143">
        <v>1</v>
      </c>
      <c r="DY1316" s="143">
        <v>1</v>
      </c>
      <c r="DZ1316">
        <v>1</v>
      </c>
      <c r="EA1316" s="143">
        <v>0</v>
      </c>
      <c r="EB1316" s="143">
        <v>0</v>
      </c>
      <c r="EC1316" s="143">
        <v>0</v>
      </c>
      <c r="ED1316" s="143">
        <v>0</v>
      </c>
      <c r="EE1316">
        <v>0</v>
      </c>
      <c r="EF1316">
        <v>1</v>
      </c>
      <c r="EG1316" s="143">
        <v>0</v>
      </c>
      <c r="EH1316" s="143">
        <v>0</v>
      </c>
      <c r="EI1316" s="2">
        <v>0</v>
      </c>
      <c r="EK1316" t="str">
        <f>IF(AND(AND(AND(OR($DX1316=1,$DW1316=1),OR($EC1316=1,$EA1316=1)),SUM($DV1316:$DZ1316,$EF1316)&gt;=3),SUM($EA1316:$EE1316)&gt;=2),"Whole sector","")</f>
        <v/>
      </c>
      <c r="EL1316" t="str">
        <f>IF(AND(AND(OR($DX1316=1,$DW1316=1),AND($EC1316=0,$EA1316=0)),SUM($DV1316:$DZ1316,$EF1316)&gt;=3),"Ecosystem approach","")</f>
        <v>Ecosystem approach</v>
      </c>
      <c r="EM1316" s="2" t="str">
        <f>IF(AND(AND(AND($DX1316=0,$DW1316=0),OR($EC1316=1,$EA1316=1)),SUM($EB1316:$EE1316)&gt;=2),"Technology approach","")</f>
        <v/>
      </c>
      <c r="EP1316" t="b">
        <f>IF(ISNUMBER(BU1316),IF(ABS(BU1316-[5]QC_indicators!$B$2)&gt;3*[5]QC_indicators!$C$2,"C ratio",IF(ISNUMBER(BY1316),IF(ABS(BY1316-[5]QC_indicators!$B$1)&gt;3*[5]QC_indicators!$C$1,"DF","no"))),IF(ISNUMBER(BY1316),IF(ABS(BY1316-[5]QC_indicators!$B$1)&gt;3*[5]QC_indicators!$C$1,"DF","no")))</f>
        <v>0</v>
      </c>
    </row>
    <row r="1317" spans="1:146" ht="15" customHeight="1">
      <c r="A1317" s="1" t="s">
        <v>3635</v>
      </c>
      <c r="B1317" t="s">
        <v>544</v>
      </c>
      <c r="C1317" t="s">
        <v>3636</v>
      </c>
      <c r="D1317" t="s">
        <v>3637</v>
      </c>
      <c r="E1317" t="s">
        <v>3638</v>
      </c>
      <c r="F1317" t="s">
        <v>3639</v>
      </c>
      <c r="G1317" t="s">
        <v>3640</v>
      </c>
      <c r="H1317" t="s">
        <v>254</v>
      </c>
      <c r="I1317">
        <v>2020</v>
      </c>
      <c r="J1317">
        <v>9</v>
      </c>
      <c r="K1317" t="s">
        <v>3641</v>
      </c>
      <c r="M1317" t="str">
        <f>LEFT($D1317,FIND(",",$D1317)-1)&amp;"_"&amp;I1317&amp;L1317</f>
        <v>Graves_2020</v>
      </c>
      <c r="N1317" s="312" t="s">
        <v>4383</v>
      </c>
      <c r="O1317" s="171" t="s">
        <v>341</v>
      </c>
      <c r="P1317" t="s">
        <v>223</v>
      </c>
      <c r="Q1317" s="312" t="s">
        <v>389</v>
      </c>
      <c r="R1317" s="313"/>
      <c r="S1317" s="322" t="s">
        <v>3647</v>
      </c>
      <c r="T1317" s="314" t="s">
        <v>3648</v>
      </c>
      <c r="U1317" s="312" t="s">
        <v>3649</v>
      </c>
      <c r="V1317">
        <v>0</v>
      </c>
      <c r="W1317">
        <v>0</v>
      </c>
      <c r="X1317">
        <v>0</v>
      </c>
      <c r="Y1317">
        <v>0</v>
      </c>
      <c r="Z1317">
        <v>0</v>
      </c>
      <c r="AA1317">
        <v>1</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s="141">
        <f>COUNTIF(V1317:AW1317,"&lt;&gt;0")</f>
        <v>1</v>
      </c>
      <c r="AY1317" s="141">
        <f>COUNTIF(V1317:AL1317,"&lt;&gt;0")</f>
        <v>1</v>
      </c>
      <c r="AZ1317">
        <f>COUNTIF(V1317:AC1317,"&lt;&gt;0")</f>
        <v>1</v>
      </c>
      <c r="BA1317">
        <f>COUNTIF(AD1317:AI1317,"&lt;&gt;0")</f>
        <v>0</v>
      </c>
      <c r="BB1317">
        <f>COUNTIF(AJ1317:AL1317,"&lt;&gt;0")</f>
        <v>0</v>
      </c>
      <c r="BC1317">
        <f>COUNTIF(AS1317:AW1317,"&lt;&gt;0")</f>
        <v>0</v>
      </c>
      <c r="BD1317">
        <f>COUNTIF(AM1317:AR1317,"&lt;&gt;0")</f>
        <v>0</v>
      </c>
      <c r="BE1317" t="str" cm="1">
        <f t="array" ref="BE1317">IF(AY1317=1,INDEX($V$7:$AL$7,MATCH(TRUE,INDEX($V1317:$AW1317&lt;&gt;0,),0)),IF(AY1317=0,INDEX($AM$7:$AW$7,MATCH(1,$AM1317:$AW1317,0)),IF(BF1317="Multiple strategies","mixed drivers",IF(BF1317="Supply chain","multiple supply","multiple silviculture"))))</f>
        <v>plantation density</v>
      </c>
      <c r="BF1317" s="2" t="str" cm="1">
        <f t="array" ref="BF1317">IF(COUNTIF(AZ1317:BB1317,"&lt;&gt;0")=1,INDEX($V$4:$AW$4,MATCH(TRUE,INDEX($V1317:$AW1317&lt;&gt;0,),0)),IF(COUNTIF(AZ1317:BB1317,"&lt;&gt;0")=0,INDEX($AM$4:$AW$4,MATCH(1,$AM1317:$AW1317,0)),"Multiple strategies"))</f>
        <v>Silviculture for productivity</v>
      </c>
      <c r="BP1317" s="155" t="s">
        <v>395</v>
      </c>
      <c r="BQ1317" s="155" t="s">
        <v>3645</v>
      </c>
      <c r="BR1317" s="141" t="s">
        <v>3646</v>
      </c>
      <c r="BS1317">
        <f>BT1317-0.22</f>
        <v>63.78</v>
      </c>
      <c r="BT1317" s="151">
        <v>64</v>
      </c>
      <c r="BU1317" s="144">
        <f>BT1317/BS1317</f>
        <v>1.0034493571652556</v>
      </c>
      <c r="BV1317">
        <f>BT1317-BS1317</f>
        <v>0.21999999999999886</v>
      </c>
      <c r="BX1317">
        <f>BV1317</f>
        <v>0.21999999999999886</v>
      </c>
      <c r="BY1317" t="str">
        <f>IFERROR(BX1317/BO1317,"")</f>
        <v/>
      </c>
      <c r="BZ1317">
        <v>0</v>
      </c>
      <c r="CA1317">
        <v>0</v>
      </c>
      <c r="CB1317">
        <v>0</v>
      </c>
      <c r="CC1317">
        <v>0</v>
      </c>
      <c r="CD1317">
        <v>0</v>
      </c>
      <c r="CE1317">
        <v>0</v>
      </c>
      <c r="CF1317">
        <v>0</v>
      </c>
      <c r="CG1317">
        <v>0</v>
      </c>
      <c r="CH1317">
        <v>0</v>
      </c>
      <c r="CI1317">
        <v>0</v>
      </c>
      <c r="CJ1317">
        <v>0</v>
      </c>
      <c r="CK1317">
        <v>0</v>
      </c>
      <c r="CL1317">
        <v>0</v>
      </c>
      <c r="CM1317">
        <v>0</v>
      </c>
      <c r="CN1317" t="str">
        <f>IF($BL1317&lt;$BK1317,"refNeedCorrection","refOK")</f>
        <v>refOK</v>
      </c>
      <c r="CO1317"/>
      <c r="CP1317"/>
      <c r="CQ1317"/>
      <c r="CR1317">
        <f>IF($CN1317="refOK",$BS1317,$BT1317)*IF($BP1317="Emissions positive",-1,1)</f>
        <v>-63.78</v>
      </c>
      <c r="CS1317">
        <f>IF($CN1317="refOK",$BT1317,$BS1317)*IF($BP1317="Emissions positive",-1,1)</f>
        <v>-64</v>
      </c>
      <c r="CT1317">
        <f>IF($CN1317="refNeedCorrection",-BX1317,BX1317)*IF($BP1317="Emissions positive",-1,1)</f>
        <v>-0.21999999999999886</v>
      </c>
      <c r="CU1317" t="str">
        <f>IFERROR(CT1317/CQ1317,"")</f>
        <v/>
      </c>
      <c r="CV1317" s="2">
        <f>IFERROR((CS1317-CR1317)/ABS(CR1317),"")</f>
        <v>-3.4493571652555481E-3</v>
      </c>
      <c r="CW1317" s="319" t="s">
        <v>1199</v>
      </c>
      <c r="CX1317" s="312" t="str">
        <f>IF(OR($CW1317="prd",$CW1317="std",$CW1317="cit"),"loc",IF(OR($CW1317="eur",$CW1317="reg",$CW1317="coy"),"reg",$CW1317))</f>
        <v>reg</v>
      </c>
      <c r="CY1317" s="318" t="s">
        <v>428</v>
      </c>
      <c r="CZ1317">
        <v>2020</v>
      </c>
      <c r="DA1317">
        <v>2035</v>
      </c>
      <c r="DB1317">
        <f>DA1317-CZ1317</f>
        <v>15</v>
      </c>
      <c r="DC1317" t="str">
        <f>IF(DB1317=0,"0",IF(AND(DB1317&gt;=1,DB1317&lt;=30),"1-30",IF(AND(DB1317&gt;30,DB1317&lt;=70),"31-70",IF(AND(DB1317&gt;70,DB1317&lt;=100),"71-100",IF(DB1317&gt;100,"+100")))))</f>
        <v>1-30</v>
      </c>
      <c r="DD1317">
        <v>1</v>
      </c>
      <c r="DE1317">
        <v>1</v>
      </c>
      <c r="DF1317">
        <v>1</v>
      </c>
      <c r="DG1317">
        <v>1</v>
      </c>
      <c r="DH1317">
        <v>0</v>
      </c>
      <c r="DI1317">
        <f>SUM(DD1317:DH1317)</f>
        <v>4</v>
      </c>
      <c r="DJ1317" t="str">
        <f>IF(DI1317=1,INDEX($DD$7:$DG$7,MATCH(1,$DD1317:$DG1317,0)),"mixedProduct")</f>
        <v>mixedProduct</v>
      </c>
      <c r="DK1317" t="str">
        <f>IF(DD1317=1,DK$7,0)</f>
        <v>Upstream</v>
      </c>
      <c r="DL1317" t="str">
        <f>IF(DE1317=1,DL$7,0)</f>
        <v>Energy</v>
      </c>
      <c r="DM1317" t="str">
        <f>IF(DF1317=1,DM$7,0)</f>
        <v>Pulp/Paper</v>
      </c>
      <c r="DN1317" t="str">
        <f>IF(DG1317=1,DN$7,0)</f>
        <v>Timber</v>
      </c>
      <c r="DO1317">
        <v>0</v>
      </c>
      <c r="DP1317" s="143">
        <v>0</v>
      </c>
      <c r="DQ1317" s="143">
        <v>0</v>
      </c>
      <c r="DR1317">
        <v>0</v>
      </c>
      <c r="DS1317">
        <v>0</v>
      </c>
      <c r="DT1317">
        <f>SUM(DO1317:DP1317)</f>
        <v>0</v>
      </c>
      <c r="DU1317" s="143" t="str">
        <f>IF(DO1317=1,"self-calculated DF",IF(DP1317=1,"external DF used","explicit C balance"))</f>
        <v>explicit C balance</v>
      </c>
      <c r="DV1317" s="143">
        <v>0</v>
      </c>
      <c r="DW1317" s="143">
        <v>1</v>
      </c>
      <c r="DX1317" s="143">
        <v>1</v>
      </c>
      <c r="DY1317" s="143">
        <v>1</v>
      </c>
      <c r="DZ1317">
        <v>1</v>
      </c>
      <c r="EA1317" s="143">
        <v>0</v>
      </c>
      <c r="EB1317" s="143">
        <v>0</v>
      </c>
      <c r="EC1317" s="143">
        <v>0</v>
      </c>
      <c r="ED1317" s="143">
        <v>0</v>
      </c>
      <c r="EE1317">
        <v>0</v>
      </c>
      <c r="EF1317">
        <v>1</v>
      </c>
      <c r="EG1317" s="143">
        <v>0</v>
      </c>
      <c r="EH1317" s="143">
        <v>0</v>
      </c>
      <c r="EI1317" s="2">
        <v>0</v>
      </c>
      <c r="EK1317" t="str">
        <f>IF(AND(AND(AND(OR($DX1317=1,$DW1317=1),OR($EC1317=1,$EA1317=1)),SUM($DV1317:$DZ1317,$EF1317)&gt;=3),SUM($EA1317:$EE1317)&gt;=2),"Whole sector","")</f>
        <v/>
      </c>
      <c r="EL1317" t="str">
        <f>IF(AND(AND(OR($DX1317=1,$DW1317=1),AND($EC1317=0,$EA1317=0)),SUM($DV1317:$DZ1317,$EF1317)&gt;=3),"Ecosystem approach","")</f>
        <v>Ecosystem approach</v>
      </c>
      <c r="EM1317" s="2" t="str">
        <f>IF(AND(AND(AND($DX1317=0,$DW1317=0),OR($EC1317=1,$EA1317=1)),SUM($EB1317:$EE1317)&gt;=2),"Technology approach","")</f>
        <v/>
      </c>
      <c r="EP1317" t="b">
        <f>IF(ISNUMBER(BU1317),IF(ABS(BU1317-[5]QC_indicators!$B$2)&gt;3*[5]QC_indicators!$C$2,"C ratio",IF(ISNUMBER(BY1317),IF(ABS(BY1317-[5]QC_indicators!$B$1)&gt;3*[5]QC_indicators!$C$1,"DF","no"))),IF(ISNUMBER(BY1317),IF(ABS(BY1317-[5]QC_indicators!$B$1)&gt;3*[5]QC_indicators!$C$1,"DF","no")))</f>
        <v>0</v>
      </c>
    </row>
    <row r="1318" spans="1:146" ht="15" customHeight="1">
      <c r="A1318" s="1" t="s">
        <v>3635</v>
      </c>
      <c r="B1318" t="s">
        <v>544</v>
      </c>
      <c r="C1318" t="s">
        <v>3636</v>
      </c>
      <c r="D1318" t="s">
        <v>3637</v>
      </c>
      <c r="E1318" t="s">
        <v>3638</v>
      </c>
      <c r="F1318" t="s">
        <v>3639</v>
      </c>
      <c r="G1318" t="s">
        <v>3640</v>
      </c>
      <c r="H1318" t="s">
        <v>254</v>
      </c>
      <c r="I1318">
        <v>2020</v>
      </c>
      <c r="J1318">
        <v>9</v>
      </c>
      <c r="K1318" t="s">
        <v>3641</v>
      </c>
      <c r="M1318" t="str">
        <f>LEFT($D1318,FIND(",",$D1318)-1)&amp;"_"&amp;I1318&amp;L1318</f>
        <v>Graves_2020</v>
      </c>
      <c r="N1318" s="312" t="s">
        <v>4383</v>
      </c>
      <c r="O1318" s="171" t="s">
        <v>341</v>
      </c>
      <c r="P1318" t="s">
        <v>223</v>
      </c>
      <c r="Q1318" s="312" t="s">
        <v>389</v>
      </c>
      <c r="R1318" s="313"/>
      <c r="S1318" s="322" t="s">
        <v>3647</v>
      </c>
      <c r="T1318" s="314" t="s">
        <v>3648</v>
      </c>
      <c r="U1318" s="312" t="s">
        <v>3649</v>
      </c>
      <c r="V1318">
        <v>0</v>
      </c>
      <c r="W1318">
        <v>0</v>
      </c>
      <c r="X1318">
        <v>0</v>
      </c>
      <c r="Y1318">
        <v>0</v>
      </c>
      <c r="Z1318">
        <v>0</v>
      </c>
      <c r="AA1318">
        <v>1</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s="141">
        <f>COUNTIF(V1318:AW1318,"&lt;&gt;0")</f>
        <v>1</v>
      </c>
      <c r="AY1318" s="141">
        <f>COUNTIF(V1318:AL1318,"&lt;&gt;0")</f>
        <v>1</v>
      </c>
      <c r="AZ1318">
        <f>COUNTIF(V1318:AC1318,"&lt;&gt;0")</f>
        <v>1</v>
      </c>
      <c r="BA1318">
        <f>COUNTIF(AD1318:AI1318,"&lt;&gt;0")</f>
        <v>0</v>
      </c>
      <c r="BB1318">
        <f>COUNTIF(AJ1318:AL1318,"&lt;&gt;0")</f>
        <v>0</v>
      </c>
      <c r="BC1318">
        <f>COUNTIF(AS1318:AW1318,"&lt;&gt;0")</f>
        <v>0</v>
      </c>
      <c r="BD1318">
        <f>COUNTIF(AM1318:AR1318,"&lt;&gt;0")</f>
        <v>0</v>
      </c>
      <c r="BE1318" t="str" cm="1">
        <f t="array" ref="BE1318">IF(AY1318=1,INDEX($V$7:$AL$7,MATCH(TRUE,INDEX($V1318:$AW1318&lt;&gt;0,),0)),IF(AY1318=0,INDEX($AM$7:$AW$7,MATCH(1,$AM1318:$AW1318,0)),IF(BF1318="Multiple strategies","mixed drivers",IF(BF1318="Supply chain","multiple supply","multiple silviculture"))))</f>
        <v>plantation density</v>
      </c>
      <c r="BF1318" s="2" t="str" cm="1">
        <f t="array" ref="BF1318">IF(COUNTIF(AZ1318:BB1318,"&lt;&gt;0")=1,INDEX($V$4:$AW$4,MATCH(TRUE,INDEX($V1318:$AW1318&lt;&gt;0,),0)),IF(COUNTIF(AZ1318:BB1318,"&lt;&gt;0")=0,INDEX($AM$4:$AW$4,MATCH(1,$AM1318:$AW1318,0)),"Multiple strategies"))</f>
        <v>Silviculture for productivity</v>
      </c>
      <c r="BP1318" s="155" t="s">
        <v>395</v>
      </c>
      <c r="BQ1318" s="155" t="s">
        <v>3645</v>
      </c>
      <c r="BR1318" s="141" t="s">
        <v>3646</v>
      </c>
      <c r="BS1318">
        <f>BT1318-0.24</f>
        <v>63.76</v>
      </c>
      <c r="BT1318" s="151">
        <v>64</v>
      </c>
      <c r="BU1318" s="144">
        <f>BT1318/BS1318</f>
        <v>1.0037641154328734</v>
      </c>
      <c r="BV1318">
        <f>BT1318-BS1318</f>
        <v>0.24000000000000199</v>
      </c>
      <c r="BX1318">
        <f>BV1318</f>
        <v>0.24000000000000199</v>
      </c>
      <c r="BY1318" t="str">
        <f>IFERROR(BX1318/BO1318,"")</f>
        <v/>
      </c>
      <c r="BZ1318">
        <v>0</v>
      </c>
      <c r="CA1318">
        <v>0</v>
      </c>
      <c r="CB1318">
        <v>0</v>
      </c>
      <c r="CC1318">
        <v>0</v>
      </c>
      <c r="CD1318">
        <v>0</v>
      </c>
      <c r="CE1318">
        <v>0</v>
      </c>
      <c r="CF1318">
        <v>0</v>
      </c>
      <c r="CG1318">
        <v>0</v>
      </c>
      <c r="CH1318">
        <v>0</v>
      </c>
      <c r="CI1318">
        <v>0</v>
      </c>
      <c r="CJ1318">
        <v>0</v>
      </c>
      <c r="CK1318">
        <v>0</v>
      </c>
      <c r="CL1318">
        <v>0</v>
      </c>
      <c r="CM1318">
        <v>0</v>
      </c>
      <c r="CN1318" t="str">
        <f>IF($BL1318&lt;$BK1318,"refNeedCorrection","refOK")</f>
        <v>refOK</v>
      </c>
      <c r="CO1318"/>
      <c r="CP1318"/>
      <c r="CQ1318"/>
      <c r="CR1318">
        <f>IF($CN1318="refOK",$BS1318,$BT1318)*IF($BP1318="Emissions positive",-1,1)</f>
        <v>-63.76</v>
      </c>
      <c r="CS1318">
        <f>IF($CN1318="refOK",$BT1318,$BS1318)*IF($BP1318="Emissions positive",-1,1)</f>
        <v>-64</v>
      </c>
      <c r="CT1318">
        <f>IF($CN1318="refNeedCorrection",-BX1318,BX1318)*IF($BP1318="Emissions positive",-1,1)</f>
        <v>-0.24000000000000199</v>
      </c>
      <c r="CU1318" t="str">
        <f>IFERROR(CT1318/CQ1318,"")</f>
        <v/>
      </c>
      <c r="CV1318" s="2">
        <f>IFERROR((CS1318-CR1318)/ABS(CR1318),"")</f>
        <v>-3.7641154328733059E-3</v>
      </c>
      <c r="CW1318" s="319" t="s">
        <v>1199</v>
      </c>
      <c r="CX1318" s="312" t="str">
        <f>IF(OR($CW1318="prd",$CW1318="std",$CW1318="cit"),"loc",IF(OR($CW1318="eur",$CW1318="reg",$CW1318="coy"),"reg",$CW1318))</f>
        <v>reg</v>
      </c>
      <c r="CY1318" s="318" t="s">
        <v>428</v>
      </c>
      <c r="CZ1318">
        <v>2020</v>
      </c>
      <c r="DA1318">
        <v>2050</v>
      </c>
      <c r="DB1318">
        <f>DA1318-CZ1318</f>
        <v>30</v>
      </c>
      <c r="DC1318" t="str">
        <f>IF(DB1318=0,"0",IF(AND(DB1318&gt;=1,DB1318&lt;=30),"1-30",IF(AND(DB1318&gt;30,DB1318&lt;=70),"31-70",IF(AND(DB1318&gt;70,DB1318&lt;=100),"71-100",IF(DB1318&gt;100,"+100")))))</f>
        <v>1-30</v>
      </c>
      <c r="DD1318">
        <v>1</v>
      </c>
      <c r="DE1318">
        <v>1</v>
      </c>
      <c r="DF1318">
        <v>1</v>
      </c>
      <c r="DG1318">
        <v>1</v>
      </c>
      <c r="DH1318">
        <v>0</v>
      </c>
      <c r="DI1318">
        <f>SUM(DD1318:DH1318)</f>
        <v>4</v>
      </c>
      <c r="DJ1318" t="str">
        <f>IF(DI1318=1,INDEX($DD$7:$DG$7,MATCH(1,$DD1318:$DG1318,0)),"mixedProduct")</f>
        <v>mixedProduct</v>
      </c>
      <c r="DK1318" t="str">
        <f>IF(DD1318=1,DK$7,0)</f>
        <v>Upstream</v>
      </c>
      <c r="DL1318" t="str">
        <f>IF(DE1318=1,DL$7,0)</f>
        <v>Energy</v>
      </c>
      <c r="DM1318" t="str">
        <f>IF(DF1318=1,DM$7,0)</f>
        <v>Pulp/Paper</v>
      </c>
      <c r="DN1318" t="str">
        <f>IF(DG1318=1,DN$7,0)</f>
        <v>Timber</v>
      </c>
      <c r="DO1318">
        <v>0</v>
      </c>
      <c r="DP1318" s="143">
        <v>0</v>
      </c>
      <c r="DQ1318" s="143">
        <v>0</v>
      </c>
      <c r="DR1318">
        <v>0</v>
      </c>
      <c r="DS1318">
        <v>0</v>
      </c>
      <c r="DT1318">
        <f>SUM(DO1318:DP1318)</f>
        <v>0</v>
      </c>
      <c r="DU1318" s="143" t="str">
        <f>IF(DO1318=1,"self-calculated DF",IF(DP1318=1,"external DF used","explicit C balance"))</f>
        <v>explicit C balance</v>
      </c>
      <c r="DV1318" s="143">
        <v>0</v>
      </c>
      <c r="DW1318" s="143">
        <v>1</v>
      </c>
      <c r="DX1318" s="143">
        <v>1</v>
      </c>
      <c r="DY1318" s="143">
        <v>1</v>
      </c>
      <c r="DZ1318">
        <v>1</v>
      </c>
      <c r="EA1318" s="143">
        <v>0</v>
      </c>
      <c r="EB1318" s="143">
        <v>0</v>
      </c>
      <c r="EC1318" s="143">
        <v>0</v>
      </c>
      <c r="ED1318" s="143">
        <v>0</v>
      </c>
      <c r="EE1318">
        <v>0</v>
      </c>
      <c r="EF1318">
        <v>1</v>
      </c>
      <c r="EG1318" s="143">
        <v>0</v>
      </c>
      <c r="EH1318" s="143">
        <v>0</v>
      </c>
      <c r="EI1318" s="2">
        <v>0</v>
      </c>
      <c r="EK1318" t="str">
        <f>IF(AND(AND(AND(OR($DX1318=1,$DW1318=1),OR($EC1318=1,$EA1318=1)),SUM($DV1318:$DZ1318,$EF1318)&gt;=3),SUM($EA1318:$EE1318)&gt;=2),"Whole sector","")</f>
        <v/>
      </c>
      <c r="EL1318" t="str">
        <f>IF(AND(AND(OR($DX1318=1,$DW1318=1),AND($EC1318=0,$EA1318=0)),SUM($DV1318:$DZ1318,$EF1318)&gt;=3),"Ecosystem approach","")</f>
        <v>Ecosystem approach</v>
      </c>
      <c r="EM1318" s="2" t="str">
        <f>IF(AND(AND(AND($DX1318=0,$DW1318=0),OR($EC1318=1,$EA1318=1)),SUM($EB1318:$EE1318)&gt;=2),"Technology approach","")</f>
        <v/>
      </c>
      <c r="EP1318" t="b">
        <f>IF(ISNUMBER(BU1318),IF(ABS(BU1318-[5]QC_indicators!$B$2)&gt;3*[5]QC_indicators!$C$2,"C ratio",IF(ISNUMBER(BY1318),IF(ABS(BY1318-[5]QC_indicators!$B$1)&gt;3*[5]QC_indicators!$C$1,"DF","no"))),IF(ISNUMBER(BY1318),IF(ABS(BY1318-[5]QC_indicators!$B$1)&gt;3*[5]QC_indicators!$C$1,"DF","no")))</f>
        <v>0</v>
      </c>
    </row>
    <row r="1319" spans="1:146" ht="15" customHeight="1">
      <c r="A1319" s="1" t="s">
        <v>3635</v>
      </c>
      <c r="B1319" t="s">
        <v>544</v>
      </c>
      <c r="C1319" t="s">
        <v>3636</v>
      </c>
      <c r="D1319" t="s">
        <v>3637</v>
      </c>
      <c r="E1319" t="s">
        <v>3638</v>
      </c>
      <c r="F1319" t="s">
        <v>3639</v>
      </c>
      <c r="G1319" t="s">
        <v>3640</v>
      </c>
      <c r="H1319" t="s">
        <v>254</v>
      </c>
      <c r="I1319">
        <v>2020</v>
      </c>
      <c r="J1319">
        <v>9</v>
      </c>
      <c r="K1319" t="s">
        <v>3641</v>
      </c>
      <c r="M1319" t="str">
        <f>LEFT($D1319,FIND(",",$D1319)-1)&amp;"_"&amp;I1319&amp;L1319</f>
        <v>Graves_2020</v>
      </c>
      <c r="N1319" s="312" t="s">
        <v>4383</v>
      </c>
      <c r="O1319" s="171" t="s">
        <v>341</v>
      </c>
      <c r="P1319" t="s">
        <v>223</v>
      </c>
      <c r="Q1319" s="312" t="s">
        <v>389</v>
      </c>
      <c r="R1319" s="313"/>
      <c r="S1319" s="322" t="s">
        <v>3647</v>
      </c>
      <c r="T1319" s="314" t="s">
        <v>3648</v>
      </c>
      <c r="U1319" s="312" t="s">
        <v>3649</v>
      </c>
      <c r="V1319">
        <v>0</v>
      </c>
      <c r="W1319">
        <v>0</v>
      </c>
      <c r="X1319">
        <v>0</v>
      </c>
      <c r="Y1319">
        <v>0</v>
      </c>
      <c r="Z1319">
        <v>0</v>
      </c>
      <c r="AA1319">
        <v>1</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s="141">
        <f>COUNTIF(V1319:AW1319,"&lt;&gt;0")</f>
        <v>1</v>
      </c>
      <c r="AY1319" s="141">
        <f>COUNTIF(V1319:AL1319,"&lt;&gt;0")</f>
        <v>1</v>
      </c>
      <c r="AZ1319">
        <f>COUNTIF(V1319:AC1319,"&lt;&gt;0")</f>
        <v>1</v>
      </c>
      <c r="BA1319">
        <f>COUNTIF(AD1319:AI1319,"&lt;&gt;0")</f>
        <v>0</v>
      </c>
      <c r="BB1319">
        <f>COUNTIF(AJ1319:AL1319,"&lt;&gt;0")</f>
        <v>0</v>
      </c>
      <c r="BC1319">
        <f>COUNTIF(AS1319:AW1319,"&lt;&gt;0")</f>
        <v>0</v>
      </c>
      <c r="BD1319">
        <f>COUNTIF(AM1319:AR1319,"&lt;&gt;0")</f>
        <v>0</v>
      </c>
      <c r="BE1319" t="str" cm="1">
        <f t="array" ref="BE1319">IF(AY1319=1,INDEX($V$7:$AL$7,MATCH(TRUE,INDEX($V1319:$AW1319&lt;&gt;0,),0)),IF(AY1319=0,INDEX($AM$7:$AW$7,MATCH(1,$AM1319:$AW1319,0)),IF(BF1319="Multiple strategies","mixed drivers",IF(BF1319="Supply chain","multiple supply","multiple silviculture"))))</f>
        <v>plantation density</v>
      </c>
      <c r="BF1319" s="2" t="str" cm="1">
        <f t="array" ref="BF1319">IF(COUNTIF(AZ1319:BB1319,"&lt;&gt;0")=1,INDEX($V$4:$AW$4,MATCH(TRUE,INDEX($V1319:$AW1319&lt;&gt;0,),0)),IF(COUNTIF(AZ1319:BB1319,"&lt;&gt;0")=0,INDEX($AM$4:$AW$4,MATCH(1,$AM1319:$AW1319,0)),"Multiple strategies"))</f>
        <v>Silviculture for productivity</v>
      </c>
      <c r="BP1319" s="155" t="s">
        <v>395</v>
      </c>
      <c r="BQ1319" s="155" t="s">
        <v>3645</v>
      </c>
      <c r="BR1319" s="141" t="s">
        <v>3646</v>
      </c>
      <c r="BS1319">
        <f>BT1319-0.45</f>
        <v>63.55</v>
      </c>
      <c r="BT1319" s="151">
        <v>64</v>
      </c>
      <c r="BU1319" s="144">
        <f>BT1319/BS1319</f>
        <v>1.007081038552321</v>
      </c>
      <c r="BV1319">
        <f>BT1319-BS1319</f>
        <v>0.45000000000000284</v>
      </c>
      <c r="BX1319">
        <f>BV1319</f>
        <v>0.45000000000000284</v>
      </c>
      <c r="BY1319" t="str">
        <f>IFERROR(BX1319/BO1319,"")</f>
        <v/>
      </c>
      <c r="BZ1319">
        <v>0</v>
      </c>
      <c r="CA1319">
        <v>0</v>
      </c>
      <c r="CB1319">
        <v>0</v>
      </c>
      <c r="CC1319">
        <v>0</v>
      </c>
      <c r="CD1319">
        <v>0</v>
      </c>
      <c r="CE1319">
        <v>0</v>
      </c>
      <c r="CF1319">
        <v>0</v>
      </c>
      <c r="CG1319">
        <v>0</v>
      </c>
      <c r="CH1319">
        <v>0</v>
      </c>
      <c r="CI1319">
        <v>0</v>
      </c>
      <c r="CJ1319">
        <v>0</v>
      </c>
      <c r="CK1319">
        <v>0</v>
      </c>
      <c r="CL1319">
        <v>0</v>
      </c>
      <c r="CM1319">
        <v>0</v>
      </c>
      <c r="CN1319" t="str">
        <f>IF($BL1319&lt;$BK1319,"refNeedCorrection","refOK")</f>
        <v>refOK</v>
      </c>
      <c r="CO1319"/>
      <c r="CP1319"/>
      <c r="CQ1319"/>
      <c r="CR1319">
        <f>IF($CN1319="refOK",$BS1319,$BT1319)*IF($BP1319="Emissions positive",-1,1)</f>
        <v>-63.55</v>
      </c>
      <c r="CS1319">
        <f>IF($CN1319="refOK",$BT1319,$BS1319)*IF($BP1319="Emissions positive",-1,1)</f>
        <v>-64</v>
      </c>
      <c r="CT1319">
        <f>IF($CN1319="refNeedCorrection",-BX1319,BX1319)*IF($BP1319="Emissions positive",-1,1)</f>
        <v>-0.45000000000000284</v>
      </c>
      <c r="CU1319" t="str">
        <f>IFERROR(CT1319/CQ1319,"")</f>
        <v/>
      </c>
      <c r="CV1319" s="2">
        <f>IFERROR((CS1319-CR1319)/ABS(CR1319),"")</f>
        <v>-7.0810385523210522E-3</v>
      </c>
      <c r="CW1319" s="319" t="s">
        <v>1199</v>
      </c>
      <c r="CX1319" s="312" t="str">
        <f>IF(OR($CW1319="prd",$CW1319="std",$CW1319="cit"),"loc",IF(OR($CW1319="eur",$CW1319="reg",$CW1319="coy"),"reg",$CW1319))</f>
        <v>reg</v>
      </c>
      <c r="CY1319" s="318" t="s">
        <v>428</v>
      </c>
      <c r="CZ1319">
        <v>2020</v>
      </c>
      <c r="DA1319">
        <v>2050</v>
      </c>
      <c r="DB1319">
        <f>DA1319-CZ1319</f>
        <v>30</v>
      </c>
      <c r="DC1319" t="str">
        <f>IF(DB1319=0,"0",IF(AND(DB1319&gt;=1,DB1319&lt;=30),"1-30",IF(AND(DB1319&gt;30,DB1319&lt;=70),"31-70",IF(AND(DB1319&gt;70,DB1319&lt;=100),"71-100",IF(DB1319&gt;100,"+100")))))</f>
        <v>1-30</v>
      </c>
      <c r="DD1319">
        <v>1</v>
      </c>
      <c r="DE1319">
        <v>1</v>
      </c>
      <c r="DF1319">
        <v>1</v>
      </c>
      <c r="DG1319">
        <v>1</v>
      </c>
      <c r="DH1319">
        <v>0</v>
      </c>
      <c r="DI1319">
        <f>SUM(DD1319:DH1319)</f>
        <v>4</v>
      </c>
      <c r="DJ1319" t="str">
        <f>IF(DI1319=1,INDEX($DD$7:$DG$7,MATCH(1,$DD1319:$DG1319,0)),"mixedProduct")</f>
        <v>mixedProduct</v>
      </c>
      <c r="DK1319" t="str">
        <f>IF(DD1319=1,DK$7,0)</f>
        <v>Upstream</v>
      </c>
      <c r="DL1319" t="str">
        <f>IF(DE1319=1,DL$7,0)</f>
        <v>Energy</v>
      </c>
      <c r="DM1319" t="str">
        <f>IF(DF1319=1,DM$7,0)</f>
        <v>Pulp/Paper</v>
      </c>
      <c r="DN1319" t="str">
        <f>IF(DG1319=1,DN$7,0)</f>
        <v>Timber</v>
      </c>
      <c r="DO1319">
        <v>0</v>
      </c>
      <c r="DP1319" s="143">
        <v>0</v>
      </c>
      <c r="DQ1319" s="143">
        <v>0</v>
      </c>
      <c r="DR1319">
        <v>0</v>
      </c>
      <c r="DS1319">
        <v>0</v>
      </c>
      <c r="DT1319">
        <f>SUM(DO1319:DP1319)</f>
        <v>0</v>
      </c>
      <c r="DU1319" s="143" t="str">
        <f>IF(DO1319=1,"self-calculated DF",IF(DP1319=1,"external DF used","explicit C balance"))</f>
        <v>explicit C balance</v>
      </c>
      <c r="DV1319" s="143">
        <v>0</v>
      </c>
      <c r="DW1319" s="143">
        <v>1</v>
      </c>
      <c r="DX1319" s="143">
        <v>1</v>
      </c>
      <c r="DY1319" s="143">
        <v>1</v>
      </c>
      <c r="DZ1319">
        <v>1</v>
      </c>
      <c r="EA1319" s="143">
        <v>0</v>
      </c>
      <c r="EB1319" s="143">
        <v>0</v>
      </c>
      <c r="EC1319" s="143">
        <v>0</v>
      </c>
      <c r="ED1319" s="143">
        <v>0</v>
      </c>
      <c r="EE1319">
        <v>0</v>
      </c>
      <c r="EF1319">
        <v>1</v>
      </c>
      <c r="EG1319" s="143">
        <v>0</v>
      </c>
      <c r="EH1319" s="143">
        <v>0</v>
      </c>
      <c r="EI1319" s="2">
        <v>0</v>
      </c>
      <c r="EK1319" t="str">
        <f>IF(AND(AND(AND(OR($DX1319=1,$DW1319=1),OR($EC1319=1,$EA1319=1)),SUM($DV1319:$DZ1319,$EF1319)&gt;=3),SUM($EA1319:$EE1319)&gt;=2),"Whole sector","")</f>
        <v/>
      </c>
      <c r="EL1319" t="str">
        <f>IF(AND(AND(OR($DX1319=1,$DW1319=1),AND($EC1319=0,$EA1319=0)),SUM($DV1319:$DZ1319,$EF1319)&gt;=3),"Ecosystem approach","")</f>
        <v>Ecosystem approach</v>
      </c>
      <c r="EM1319" s="2" t="str">
        <f>IF(AND(AND(AND($DX1319=0,$DW1319=0),OR($EC1319=1,$EA1319=1)),SUM($EB1319:$EE1319)&gt;=2),"Technology approach","")</f>
        <v/>
      </c>
      <c r="EP1319" t="b">
        <f>IF(ISNUMBER(BU1319),IF(ABS(BU1319-[5]QC_indicators!$B$2)&gt;3*[5]QC_indicators!$C$2,"C ratio",IF(ISNUMBER(BY1319),IF(ABS(BY1319-[5]QC_indicators!$B$1)&gt;3*[5]QC_indicators!$C$1,"DF","no"))),IF(ISNUMBER(BY1319),IF(ABS(BY1319-[5]QC_indicators!$B$1)&gt;3*[5]QC_indicators!$C$1,"DF","no")))</f>
        <v>0</v>
      </c>
    </row>
    <row r="1320" spans="1:146" ht="15" customHeight="1">
      <c r="A1320" s="1" t="s">
        <v>3635</v>
      </c>
      <c r="B1320" t="s">
        <v>544</v>
      </c>
      <c r="C1320" t="s">
        <v>3636</v>
      </c>
      <c r="D1320" t="s">
        <v>3637</v>
      </c>
      <c r="E1320" t="s">
        <v>3638</v>
      </c>
      <c r="F1320" t="s">
        <v>3639</v>
      </c>
      <c r="G1320" t="s">
        <v>3640</v>
      </c>
      <c r="H1320" t="s">
        <v>254</v>
      </c>
      <c r="I1320">
        <v>2020</v>
      </c>
      <c r="J1320">
        <v>9</v>
      </c>
      <c r="K1320" t="s">
        <v>3641</v>
      </c>
      <c r="M1320" t="str">
        <f>LEFT($D1320,FIND(",",$D1320)-1)&amp;"_"&amp;I1320&amp;L1320</f>
        <v>Graves_2020</v>
      </c>
      <c r="N1320" s="312" t="s">
        <v>4383</v>
      </c>
      <c r="O1320" s="171" t="s">
        <v>341</v>
      </c>
      <c r="P1320" t="s">
        <v>223</v>
      </c>
      <c r="Q1320" s="312" t="s">
        <v>389</v>
      </c>
      <c r="R1320" s="313"/>
      <c r="S1320" s="154" t="s">
        <v>3650</v>
      </c>
      <c r="T1320" s="314" t="s">
        <v>3651</v>
      </c>
      <c r="U1320" s="312" t="s">
        <v>3652</v>
      </c>
      <c r="V1320">
        <v>0</v>
      </c>
      <c r="W1320">
        <v>0</v>
      </c>
      <c r="X1320">
        <v>1</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s="141">
        <f>COUNTIF(V1320:AW1320,"&lt;&gt;0")</f>
        <v>1</v>
      </c>
      <c r="AY1320" s="141">
        <f>COUNTIF(V1320:AL1320,"&lt;&gt;0")</f>
        <v>1</v>
      </c>
      <c r="AZ1320">
        <f>COUNTIF(V1320:AC1320,"&lt;&gt;0")</f>
        <v>1</v>
      </c>
      <c r="BA1320">
        <f>COUNTIF(AD1320:AI1320,"&lt;&gt;0")</f>
        <v>0</v>
      </c>
      <c r="BB1320">
        <f>COUNTIF(AJ1320:AL1320,"&lt;&gt;0")</f>
        <v>0</v>
      </c>
      <c r="BC1320">
        <f>COUNTIF(AS1320:AW1320,"&lt;&gt;0")</f>
        <v>0</v>
      </c>
      <c r="BD1320">
        <f>COUNTIF(AM1320:AR1320,"&lt;&gt;0")</f>
        <v>0</v>
      </c>
      <c r="BE1320" t="str" cm="1">
        <f t="array" ref="BE1320">IF(AY1320=1,INDEX($V$7:$AL$7,MATCH(TRUE,INDEX($V1320:$AW1320&lt;&gt;0,),0)),IF(AY1320=0,INDEX($AM$7:$AW$7,MATCH(1,$AM1320:$AW1320,0)),IF(BF1320="Multiple strategies","mixed drivers",IF(BF1320="Supply chain","multiple supply","multiple silviculture"))))</f>
        <v>rotation length</v>
      </c>
      <c r="BF1320" s="2" t="str" cm="1">
        <f t="array" ref="BF1320">IF(COUNTIF(AZ1320:BB1320,"&lt;&gt;0")=1,INDEX($V$4:$AW$4,MATCH(TRUE,INDEX($V1320:$AW1320&lt;&gt;0,),0)),IF(COUNTIF(AZ1320:BB1320,"&lt;&gt;0")=0,INDEX($AM$4:$AW$4,MATCH(1,$AM1320:$AW1320,0)),"Multiple strategies"))</f>
        <v>Silviculture for removals</v>
      </c>
      <c r="BM1320" t="str">
        <f>IFERROR(BL1320/BK1320,"")</f>
        <v/>
      </c>
      <c r="BN1320" s="158"/>
      <c r="BO1320" s="159"/>
      <c r="BP1320" s="155" t="s">
        <v>395</v>
      </c>
      <c r="BQ1320" s="155" t="s">
        <v>3645</v>
      </c>
      <c r="BR1320" s="141" t="s">
        <v>3646</v>
      </c>
      <c r="BS1320">
        <f>BT1320-5.03</f>
        <v>58.97</v>
      </c>
      <c r="BT1320" s="151">
        <v>64</v>
      </c>
      <c r="BU1320" s="144">
        <f>BT1320/BS1320</f>
        <v>1.0852976089537052</v>
      </c>
      <c r="BV1320">
        <f>BT1320-BS1320</f>
        <v>5.0300000000000011</v>
      </c>
      <c r="BX1320">
        <f>BV1320</f>
        <v>5.0300000000000011</v>
      </c>
      <c r="BY1320" t="str">
        <f>IFERROR(BX1320/BO1320,"")</f>
        <v/>
      </c>
      <c r="BZ1320">
        <v>0</v>
      </c>
      <c r="CA1320">
        <v>0</v>
      </c>
      <c r="CB1320">
        <v>0</v>
      </c>
      <c r="CC1320">
        <v>0</v>
      </c>
      <c r="CD1320">
        <v>0</v>
      </c>
      <c r="CE1320">
        <v>0</v>
      </c>
      <c r="CF1320">
        <v>0</v>
      </c>
      <c r="CG1320">
        <v>0</v>
      </c>
      <c r="CH1320">
        <v>0</v>
      </c>
      <c r="CI1320">
        <v>0</v>
      </c>
      <c r="CJ1320">
        <v>0</v>
      </c>
      <c r="CK1320">
        <v>0</v>
      </c>
      <c r="CL1320">
        <v>0</v>
      </c>
      <c r="CM1320">
        <v>0</v>
      </c>
      <c r="CN1320" t="str">
        <f>IF($BL1320&lt;$BK1320,"refNeedCorrection","refOK")</f>
        <v>refOK</v>
      </c>
      <c r="CO1320"/>
      <c r="CP1320"/>
      <c r="CQ1320"/>
      <c r="CR1320">
        <f>IF($CN1320="refOK",$BS1320,$BT1320)*IF($BP1320="Emissions positive",-1,1)</f>
        <v>-58.97</v>
      </c>
      <c r="CS1320">
        <f>IF($CN1320="refOK",$BT1320,$BS1320)*IF($BP1320="Emissions positive",-1,1)</f>
        <v>-64</v>
      </c>
      <c r="CT1320">
        <f>IF($CN1320="refNeedCorrection",-BX1320,BX1320)*IF($BP1320="Emissions positive",-1,1)</f>
        <v>-5.0300000000000011</v>
      </c>
      <c r="CU1320" t="str">
        <f>IFERROR(CT1320/CQ1320,"")</f>
        <v/>
      </c>
      <c r="CV1320" s="2">
        <f>IFERROR((CS1320-CR1320)/ABS(CR1320),"")</f>
        <v>-8.5297608953705292E-2</v>
      </c>
      <c r="CW1320" s="319" t="s">
        <v>1199</v>
      </c>
      <c r="CX1320" s="312" t="str">
        <f>IF(OR($CW1320="prd",$CW1320="std",$CW1320="cit"),"loc",IF(OR($CW1320="eur",$CW1320="reg",$CW1320="coy"),"reg",$CW1320))</f>
        <v>reg</v>
      </c>
      <c r="CY1320" s="318" t="s">
        <v>428</v>
      </c>
      <c r="CZ1320">
        <v>2020</v>
      </c>
      <c r="DA1320">
        <v>2035</v>
      </c>
      <c r="DB1320">
        <f>DA1320-CZ1320</f>
        <v>15</v>
      </c>
      <c r="DC1320" t="str">
        <f>IF(DB1320=0,"0",IF(AND(DB1320&gt;=1,DB1320&lt;=30),"1-30",IF(AND(DB1320&gt;30,DB1320&lt;=70),"31-70",IF(AND(DB1320&gt;70,DB1320&lt;=100),"71-100",IF(DB1320&gt;100,"+100")))))</f>
        <v>1-30</v>
      </c>
      <c r="DD1320">
        <v>1</v>
      </c>
      <c r="DE1320">
        <v>1</v>
      </c>
      <c r="DF1320">
        <v>1</v>
      </c>
      <c r="DG1320">
        <v>1</v>
      </c>
      <c r="DH1320">
        <v>0</v>
      </c>
      <c r="DI1320">
        <f>SUM(DD1320:DH1320)</f>
        <v>4</v>
      </c>
      <c r="DJ1320" t="str">
        <f>IF(DI1320=1,INDEX($DD$7:$DG$7,MATCH(1,$DD1320:$DG1320,0)),"mixedProduct")</f>
        <v>mixedProduct</v>
      </c>
      <c r="DK1320" t="str">
        <f>IF(DD1320=1,DK$7,0)</f>
        <v>Upstream</v>
      </c>
      <c r="DL1320" t="str">
        <f>IF(DE1320=1,DL$7,0)</f>
        <v>Energy</v>
      </c>
      <c r="DM1320" t="str">
        <f>IF(DF1320=1,DM$7,0)</f>
        <v>Pulp/Paper</v>
      </c>
      <c r="DN1320" t="str">
        <f>IF(DG1320=1,DN$7,0)</f>
        <v>Timber</v>
      </c>
      <c r="DO1320">
        <v>0</v>
      </c>
      <c r="DP1320" s="143">
        <v>0</v>
      </c>
      <c r="DQ1320" s="143">
        <v>0</v>
      </c>
      <c r="DR1320">
        <v>0</v>
      </c>
      <c r="DS1320">
        <v>0</v>
      </c>
      <c r="DT1320">
        <f>SUM(DO1320:DP1320)</f>
        <v>0</v>
      </c>
      <c r="DU1320" s="143" t="str">
        <f>IF(DO1320=1,"self-calculated DF",IF(DP1320=1,"external DF used","explicit C balance"))</f>
        <v>explicit C balance</v>
      </c>
      <c r="DV1320" s="143">
        <v>0</v>
      </c>
      <c r="DW1320" s="143">
        <v>1</v>
      </c>
      <c r="DX1320" s="143">
        <v>1</v>
      </c>
      <c r="DY1320" s="143">
        <v>1</v>
      </c>
      <c r="DZ1320">
        <v>1</v>
      </c>
      <c r="EA1320" s="143">
        <v>0</v>
      </c>
      <c r="EB1320" s="143">
        <v>0</v>
      </c>
      <c r="EC1320" s="143">
        <v>0</v>
      </c>
      <c r="ED1320" s="143">
        <v>0</v>
      </c>
      <c r="EE1320">
        <v>0</v>
      </c>
      <c r="EF1320">
        <v>1</v>
      </c>
      <c r="EG1320" s="143">
        <v>0</v>
      </c>
      <c r="EH1320" s="143">
        <v>0</v>
      </c>
      <c r="EI1320" s="2">
        <v>0</v>
      </c>
      <c r="EK1320" t="str">
        <f>IF(AND(AND(AND(OR($DX1320=1,$DW1320=1),OR($EC1320=1,$EA1320=1)),SUM($DV1320:$DZ1320,$EF1320)&gt;=3),SUM($EA1320:$EE1320)&gt;=2),"Whole sector","")</f>
        <v/>
      </c>
      <c r="EL1320" t="str">
        <f>IF(AND(AND(OR($DX1320=1,$DW1320=1),AND($EC1320=0,$EA1320=0)),SUM($DV1320:$DZ1320,$EF1320)&gt;=3),"Ecosystem approach","")</f>
        <v>Ecosystem approach</v>
      </c>
      <c r="EM1320" s="2" t="str">
        <f>IF(AND(AND(AND($DX1320=0,$DW1320=0),OR($EC1320=1,$EA1320=1)),SUM($EB1320:$EE1320)&gt;=2),"Technology approach","")</f>
        <v/>
      </c>
      <c r="EP1320" t="b">
        <f>IF(ISNUMBER(BU1320),IF(ABS(BU1320-[5]QC_indicators!$B$2)&gt;3*[5]QC_indicators!$C$2,"C ratio",IF(ISNUMBER(BY1320),IF(ABS(BY1320-[5]QC_indicators!$B$1)&gt;3*[5]QC_indicators!$C$1,"DF","no"))),IF(ISNUMBER(BY1320),IF(ABS(BY1320-[5]QC_indicators!$B$1)&gt;3*[5]QC_indicators!$C$1,"DF","no")))</f>
        <v>0</v>
      </c>
    </row>
    <row r="1321" spans="1:146" ht="15" customHeight="1">
      <c r="A1321" s="1" t="s">
        <v>3635</v>
      </c>
      <c r="B1321" t="s">
        <v>544</v>
      </c>
      <c r="C1321" t="s">
        <v>3636</v>
      </c>
      <c r="D1321" t="s">
        <v>3637</v>
      </c>
      <c r="E1321" t="s">
        <v>3638</v>
      </c>
      <c r="F1321" t="s">
        <v>3639</v>
      </c>
      <c r="G1321" t="s">
        <v>3640</v>
      </c>
      <c r="H1321" t="s">
        <v>254</v>
      </c>
      <c r="I1321">
        <v>2020</v>
      </c>
      <c r="J1321">
        <v>9</v>
      </c>
      <c r="K1321" t="s">
        <v>3641</v>
      </c>
      <c r="M1321" t="str">
        <f>LEFT($D1321,FIND(",",$D1321)-1)&amp;"_"&amp;I1321&amp;L1321</f>
        <v>Graves_2020</v>
      </c>
      <c r="N1321" s="312" t="s">
        <v>4383</v>
      </c>
      <c r="O1321" s="171" t="s">
        <v>341</v>
      </c>
      <c r="P1321" t="s">
        <v>223</v>
      </c>
      <c r="Q1321" s="312" t="s">
        <v>389</v>
      </c>
      <c r="R1321" s="313"/>
      <c r="S1321" s="154" t="s">
        <v>3650</v>
      </c>
      <c r="T1321" s="314" t="s">
        <v>3651</v>
      </c>
      <c r="U1321" s="312" t="s">
        <v>3652</v>
      </c>
      <c r="V1321">
        <v>0</v>
      </c>
      <c r="W1321">
        <v>0</v>
      </c>
      <c r="X1321">
        <v>1</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s="141">
        <f>COUNTIF(V1321:AW1321,"&lt;&gt;0")</f>
        <v>1</v>
      </c>
      <c r="AY1321" s="141">
        <f>COUNTIF(V1321:AL1321,"&lt;&gt;0")</f>
        <v>1</v>
      </c>
      <c r="AZ1321">
        <f>COUNTIF(V1321:AC1321,"&lt;&gt;0")</f>
        <v>1</v>
      </c>
      <c r="BA1321">
        <f>COUNTIF(AD1321:AI1321,"&lt;&gt;0")</f>
        <v>0</v>
      </c>
      <c r="BB1321">
        <f>COUNTIF(AJ1321:AL1321,"&lt;&gt;0")</f>
        <v>0</v>
      </c>
      <c r="BC1321">
        <f>COUNTIF(AS1321:AW1321,"&lt;&gt;0")</f>
        <v>0</v>
      </c>
      <c r="BD1321">
        <f>COUNTIF(AM1321:AR1321,"&lt;&gt;0")</f>
        <v>0</v>
      </c>
      <c r="BE1321" t="str" cm="1">
        <f t="array" ref="BE1321">IF(AY1321=1,INDEX($V$7:$AL$7,MATCH(TRUE,INDEX($V1321:$AW1321&lt;&gt;0,),0)),IF(AY1321=0,INDEX($AM$7:$AW$7,MATCH(1,$AM1321:$AW1321,0)),IF(BF1321="Multiple strategies","mixed drivers",IF(BF1321="Supply chain","multiple supply","multiple silviculture"))))</f>
        <v>rotation length</v>
      </c>
      <c r="BF1321" s="2" t="str" cm="1">
        <f t="array" ref="BF1321">IF(COUNTIF(AZ1321:BB1321,"&lt;&gt;0")=1,INDEX($V$4:$AW$4,MATCH(TRUE,INDEX($V1321:$AW1321&lt;&gt;0,),0)),IF(COUNTIF(AZ1321:BB1321,"&lt;&gt;0")=0,INDEX($AM$4:$AW$4,MATCH(1,$AM1321:$AW1321,0)),"Multiple strategies"))</f>
        <v>Silviculture for removals</v>
      </c>
      <c r="BM1321" t="str">
        <f>IFERROR(BL1321/BK1321,"")</f>
        <v/>
      </c>
      <c r="BN1321" s="158"/>
      <c r="BO1321" s="159"/>
      <c r="BP1321" s="155" t="s">
        <v>395</v>
      </c>
      <c r="BQ1321" s="155" t="s">
        <v>3645</v>
      </c>
      <c r="BR1321" s="141" t="s">
        <v>3646</v>
      </c>
      <c r="BS1321">
        <f>BT1321-5.2</f>
        <v>58.8</v>
      </c>
      <c r="BT1321" s="151">
        <v>64</v>
      </c>
      <c r="BU1321" s="144">
        <f>BT1321/BS1321</f>
        <v>1.08843537414966</v>
      </c>
      <c r="BV1321">
        <f>BT1321-BS1321</f>
        <v>5.2000000000000028</v>
      </c>
      <c r="BX1321">
        <f>BV1321</f>
        <v>5.2000000000000028</v>
      </c>
      <c r="BY1321" t="str">
        <f>IFERROR(BX1321/BO1321,"")</f>
        <v/>
      </c>
      <c r="BZ1321">
        <v>0</v>
      </c>
      <c r="CA1321">
        <v>0</v>
      </c>
      <c r="CB1321">
        <v>0</v>
      </c>
      <c r="CC1321">
        <v>0</v>
      </c>
      <c r="CD1321">
        <v>0</v>
      </c>
      <c r="CE1321">
        <v>0</v>
      </c>
      <c r="CF1321">
        <v>0</v>
      </c>
      <c r="CG1321">
        <v>0</v>
      </c>
      <c r="CH1321">
        <v>0</v>
      </c>
      <c r="CI1321">
        <v>0</v>
      </c>
      <c r="CJ1321">
        <v>0</v>
      </c>
      <c r="CK1321">
        <v>0</v>
      </c>
      <c r="CL1321">
        <v>0</v>
      </c>
      <c r="CM1321">
        <v>0</v>
      </c>
      <c r="CN1321" t="str">
        <f>IF($BL1321&lt;$BK1321,"refNeedCorrection","refOK")</f>
        <v>refOK</v>
      </c>
      <c r="CO1321"/>
      <c r="CP1321"/>
      <c r="CQ1321"/>
      <c r="CR1321">
        <f>IF($CN1321="refOK",$BS1321,$BT1321)*IF($BP1321="Emissions positive",-1,1)</f>
        <v>-58.8</v>
      </c>
      <c r="CS1321">
        <f>IF($CN1321="refOK",$BT1321,$BS1321)*IF($BP1321="Emissions positive",-1,1)</f>
        <v>-64</v>
      </c>
      <c r="CT1321">
        <f>IF($CN1321="refNeedCorrection",-BX1321,BX1321)*IF($BP1321="Emissions positive",-1,1)</f>
        <v>-5.2000000000000028</v>
      </c>
      <c r="CU1321" t="str">
        <f>IFERROR(CT1321/CQ1321,"")</f>
        <v/>
      </c>
      <c r="CV1321" s="2">
        <f>IFERROR((CS1321-CR1321)/ABS(CR1321),"")</f>
        <v>-8.843537414965992E-2</v>
      </c>
      <c r="CW1321" s="319" t="s">
        <v>1199</v>
      </c>
      <c r="CX1321" s="312" t="str">
        <f>IF(OR($CW1321="prd",$CW1321="std",$CW1321="cit"),"loc",IF(OR($CW1321="eur",$CW1321="reg",$CW1321="coy"),"reg",$CW1321))</f>
        <v>reg</v>
      </c>
      <c r="CY1321" s="318" t="s">
        <v>428</v>
      </c>
      <c r="CZ1321">
        <v>2020</v>
      </c>
      <c r="DA1321">
        <v>2050</v>
      </c>
      <c r="DB1321">
        <f>DA1321-CZ1321</f>
        <v>30</v>
      </c>
      <c r="DC1321" t="str">
        <f>IF(DB1321=0,"0",IF(AND(DB1321&gt;=1,DB1321&lt;=30),"1-30",IF(AND(DB1321&gt;30,DB1321&lt;=70),"31-70",IF(AND(DB1321&gt;70,DB1321&lt;=100),"71-100",IF(DB1321&gt;100,"+100")))))</f>
        <v>1-30</v>
      </c>
      <c r="DD1321">
        <v>1</v>
      </c>
      <c r="DE1321">
        <v>1</v>
      </c>
      <c r="DF1321">
        <v>1</v>
      </c>
      <c r="DG1321">
        <v>1</v>
      </c>
      <c r="DH1321">
        <v>0</v>
      </c>
      <c r="DI1321">
        <f>SUM(DD1321:DH1321)</f>
        <v>4</v>
      </c>
      <c r="DJ1321" t="str">
        <f>IF(DI1321=1,INDEX($DD$7:$DG$7,MATCH(1,$DD1321:$DG1321,0)),"mixedProduct")</f>
        <v>mixedProduct</v>
      </c>
      <c r="DK1321" t="str">
        <f>IF(DD1321=1,DK$7,0)</f>
        <v>Upstream</v>
      </c>
      <c r="DL1321" t="str">
        <f>IF(DE1321=1,DL$7,0)</f>
        <v>Energy</v>
      </c>
      <c r="DM1321" t="str">
        <f>IF(DF1321=1,DM$7,0)</f>
        <v>Pulp/Paper</v>
      </c>
      <c r="DN1321" t="str">
        <f>IF(DG1321=1,DN$7,0)</f>
        <v>Timber</v>
      </c>
      <c r="DO1321">
        <v>0</v>
      </c>
      <c r="DP1321" s="143">
        <v>0</v>
      </c>
      <c r="DQ1321" s="143">
        <v>0</v>
      </c>
      <c r="DR1321">
        <v>0</v>
      </c>
      <c r="DS1321">
        <v>0</v>
      </c>
      <c r="DT1321">
        <f>SUM(DO1321:DP1321)</f>
        <v>0</v>
      </c>
      <c r="DU1321" s="143" t="str">
        <f>IF(DO1321=1,"self-calculated DF",IF(DP1321=1,"external DF used","explicit C balance"))</f>
        <v>explicit C balance</v>
      </c>
      <c r="DV1321" s="143">
        <v>0</v>
      </c>
      <c r="DW1321" s="143">
        <v>1</v>
      </c>
      <c r="DX1321" s="143">
        <v>1</v>
      </c>
      <c r="DY1321" s="143">
        <v>1</v>
      </c>
      <c r="DZ1321">
        <v>1</v>
      </c>
      <c r="EA1321" s="143">
        <v>0</v>
      </c>
      <c r="EB1321" s="143">
        <v>0</v>
      </c>
      <c r="EC1321" s="143">
        <v>0</v>
      </c>
      <c r="ED1321" s="143">
        <v>0</v>
      </c>
      <c r="EE1321">
        <v>0</v>
      </c>
      <c r="EF1321">
        <v>1</v>
      </c>
      <c r="EG1321" s="143">
        <v>0</v>
      </c>
      <c r="EH1321" s="143">
        <v>0</v>
      </c>
      <c r="EI1321" s="2">
        <v>0</v>
      </c>
      <c r="EK1321" t="str">
        <f>IF(AND(AND(AND(OR($DX1321=1,$DW1321=1),OR($EC1321=1,$EA1321=1)),SUM($DV1321:$DZ1321,$EF1321)&gt;=3),SUM($EA1321:$EE1321)&gt;=2),"Whole sector","")</f>
        <v/>
      </c>
      <c r="EL1321" t="str">
        <f>IF(AND(AND(OR($DX1321=1,$DW1321=1),AND($EC1321=0,$EA1321=0)),SUM($DV1321:$DZ1321,$EF1321)&gt;=3),"Ecosystem approach","")</f>
        <v>Ecosystem approach</v>
      </c>
      <c r="EM1321" s="2" t="str">
        <f>IF(AND(AND(AND($DX1321=0,$DW1321=0),OR($EC1321=1,$EA1321=1)),SUM($EB1321:$EE1321)&gt;=2),"Technology approach","")</f>
        <v/>
      </c>
      <c r="EP1321" t="b">
        <f>IF(ISNUMBER(BU1321),IF(ABS(BU1321-[5]QC_indicators!$B$2)&gt;3*[5]QC_indicators!$C$2,"C ratio",IF(ISNUMBER(BY1321),IF(ABS(BY1321-[5]QC_indicators!$B$1)&gt;3*[5]QC_indicators!$C$1,"DF","no"))),IF(ISNUMBER(BY1321),IF(ABS(BY1321-[5]QC_indicators!$B$1)&gt;3*[5]QC_indicators!$C$1,"DF","no")))</f>
        <v>0</v>
      </c>
    </row>
    <row r="1322" spans="1:146" ht="15" customHeight="1">
      <c r="A1322" s="1" t="s">
        <v>3635</v>
      </c>
      <c r="B1322" t="s">
        <v>544</v>
      </c>
      <c r="C1322" t="s">
        <v>3636</v>
      </c>
      <c r="D1322" t="s">
        <v>3637</v>
      </c>
      <c r="E1322" t="s">
        <v>3638</v>
      </c>
      <c r="F1322" t="s">
        <v>3639</v>
      </c>
      <c r="G1322" t="s">
        <v>3640</v>
      </c>
      <c r="H1322" t="s">
        <v>254</v>
      </c>
      <c r="I1322">
        <v>2020</v>
      </c>
      <c r="J1322">
        <v>9</v>
      </c>
      <c r="K1322" t="s">
        <v>3641</v>
      </c>
      <c r="M1322" t="str">
        <f>LEFT($D1322,FIND(",",$D1322)-1)&amp;"_"&amp;I1322&amp;L1322</f>
        <v>Graves_2020</v>
      </c>
      <c r="N1322" s="312" t="s">
        <v>4383</v>
      </c>
      <c r="O1322" s="171" t="s">
        <v>341</v>
      </c>
      <c r="P1322" t="s">
        <v>223</v>
      </c>
      <c r="Q1322" s="312" t="s">
        <v>389</v>
      </c>
      <c r="R1322" s="313"/>
      <c r="S1322" s="154" t="s">
        <v>3650</v>
      </c>
      <c r="T1322" s="314" t="s">
        <v>3653</v>
      </c>
      <c r="U1322" s="312" t="s">
        <v>3652</v>
      </c>
      <c r="V1322">
        <v>0</v>
      </c>
      <c r="W1322">
        <v>0</v>
      </c>
      <c r="X1322">
        <v>1</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s="141">
        <f>COUNTIF(V1322:AW1322,"&lt;&gt;0")</f>
        <v>1</v>
      </c>
      <c r="AY1322" s="141">
        <f>COUNTIF(V1322:AL1322,"&lt;&gt;0")</f>
        <v>1</v>
      </c>
      <c r="AZ1322">
        <f>COUNTIF(V1322:AC1322,"&lt;&gt;0")</f>
        <v>1</v>
      </c>
      <c r="BA1322">
        <f>COUNTIF(AD1322:AI1322,"&lt;&gt;0")</f>
        <v>0</v>
      </c>
      <c r="BB1322">
        <f>COUNTIF(AJ1322:AL1322,"&lt;&gt;0")</f>
        <v>0</v>
      </c>
      <c r="BC1322">
        <f>COUNTIF(AS1322:AW1322,"&lt;&gt;0")</f>
        <v>0</v>
      </c>
      <c r="BD1322">
        <f>COUNTIF(AM1322:AR1322,"&lt;&gt;0")</f>
        <v>0</v>
      </c>
      <c r="BE1322" t="str" cm="1">
        <f t="array" ref="BE1322">IF(AY1322=1,INDEX($V$7:$AL$7,MATCH(TRUE,INDEX($V1322:$AW1322&lt;&gt;0,),0)),IF(AY1322=0,INDEX($AM$7:$AW$7,MATCH(1,$AM1322:$AW1322,0)),IF(BF1322="Multiple strategies","mixed drivers",IF(BF1322="Supply chain","multiple supply","multiple silviculture"))))</f>
        <v>rotation length</v>
      </c>
      <c r="BF1322" s="2" t="str" cm="1">
        <f t="array" ref="BF1322">IF(COUNTIF(AZ1322:BB1322,"&lt;&gt;0")=1,INDEX($V$4:$AW$4,MATCH(TRUE,INDEX($V1322:$AW1322&lt;&gt;0,),0)),IF(COUNTIF(AZ1322:BB1322,"&lt;&gt;0")=0,INDEX($AM$4:$AW$4,MATCH(1,$AM1322:$AW1322,0)),"Multiple strategies"))</f>
        <v>Silviculture for removals</v>
      </c>
      <c r="BN1322" s="158"/>
      <c r="BO1322" s="159"/>
      <c r="BP1322" s="155" t="s">
        <v>395</v>
      </c>
      <c r="BQ1322" s="155" t="s">
        <v>3645</v>
      </c>
      <c r="BR1322" s="141" t="s">
        <v>3646</v>
      </c>
      <c r="BS1322">
        <f>BT1322-3.36</f>
        <v>60.64</v>
      </c>
      <c r="BT1322" s="151">
        <v>64</v>
      </c>
      <c r="BU1322" s="144">
        <f>BT1322/BS1322</f>
        <v>1.0554089709762533</v>
      </c>
      <c r="BV1322">
        <f>BT1322-BS1322</f>
        <v>3.3599999999999994</v>
      </c>
      <c r="BX1322">
        <f>BV1322</f>
        <v>3.3599999999999994</v>
      </c>
      <c r="BY1322" t="str">
        <f>IFERROR(BX1322/BO1322,"")</f>
        <v/>
      </c>
      <c r="BZ1322">
        <v>0</v>
      </c>
      <c r="CA1322">
        <v>0</v>
      </c>
      <c r="CB1322">
        <v>0</v>
      </c>
      <c r="CC1322">
        <v>0</v>
      </c>
      <c r="CD1322">
        <v>0</v>
      </c>
      <c r="CE1322">
        <v>0</v>
      </c>
      <c r="CF1322">
        <v>0</v>
      </c>
      <c r="CG1322">
        <v>0</v>
      </c>
      <c r="CH1322">
        <v>0</v>
      </c>
      <c r="CI1322">
        <v>0</v>
      </c>
      <c r="CJ1322">
        <v>0</v>
      </c>
      <c r="CK1322">
        <v>0</v>
      </c>
      <c r="CL1322">
        <v>0</v>
      </c>
      <c r="CM1322">
        <v>0</v>
      </c>
      <c r="CN1322" t="str">
        <f>IF($BL1322&lt;$BK1322,"refNeedCorrection","refOK")</f>
        <v>refOK</v>
      </c>
      <c r="CO1322"/>
      <c r="CP1322"/>
      <c r="CQ1322"/>
      <c r="CR1322">
        <f>IF($CN1322="refOK",$BS1322,$BT1322)*IF($BP1322="Emissions positive",-1,1)</f>
        <v>-60.64</v>
      </c>
      <c r="CS1322">
        <f>IF($CN1322="refOK",$BT1322,$BS1322)*IF($BP1322="Emissions positive",-1,1)</f>
        <v>-64</v>
      </c>
      <c r="CT1322">
        <f>IF($CN1322="refNeedCorrection",-BX1322,BX1322)*IF($BP1322="Emissions positive",-1,1)</f>
        <v>-3.3599999999999994</v>
      </c>
      <c r="CU1322" t="str">
        <f>IFERROR(CT1322/CQ1322,"")</f>
        <v/>
      </c>
      <c r="CV1322" s="2">
        <f>IFERROR((CS1322-CR1322)/ABS(CR1322),"")</f>
        <v>-5.5408970976253288E-2</v>
      </c>
      <c r="CW1322" s="319" t="s">
        <v>1199</v>
      </c>
      <c r="CX1322" s="312" t="str">
        <f>IF(OR($CW1322="prd",$CW1322="std",$CW1322="cit"),"loc",IF(OR($CW1322="eur",$CW1322="reg",$CW1322="coy"),"reg",$CW1322))</f>
        <v>reg</v>
      </c>
      <c r="CY1322" s="318" t="s">
        <v>428</v>
      </c>
      <c r="CZ1322">
        <v>2020</v>
      </c>
      <c r="DA1322">
        <v>2035</v>
      </c>
      <c r="DB1322">
        <f>DA1322-CZ1322</f>
        <v>15</v>
      </c>
      <c r="DC1322" t="str">
        <f>IF(DB1322=0,"0",IF(AND(DB1322&gt;=1,DB1322&lt;=30),"1-30",IF(AND(DB1322&gt;30,DB1322&lt;=70),"31-70",IF(AND(DB1322&gt;70,DB1322&lt;=100),"71-100",IF(DB1322&gt;100,"+100")))))</f>
        <v>1-30</v>
      </c>
      <c r="DD1322">
        <v>1</v>
      </c>
      <c r="DE1322">
        <v>1</v>
      </c>
      <c r="DF1322">
        <v>1</v>
      </c>
      <c r="DG1322">
        <v>1</v>
      </c>
      <c r="DH1322">
        <v>0</v>
      </c>
      <c r="DI1322">
        <f>SUM(DD1322:DH1322)</f>
        <v>4</v>
      </c>
      <c r="DJ1322" t="str">
        <f>IF(DI1322=1,INDEX($DD$7:$DG$7,MATCH(1,$DD1322:$DG1322,0)),"mixedProduct")</f>
        <v>mixedProduct</v>
      </c>
      <c r="DK1322" t="str">
        <f>IF(DD1322=1,DK$7,0)</f>
        <v>Upstream</v>
      </c>
      <c r="DL1322" t="str">
        <f>IF(DE1322=1,DL$7,0)</f>
        <v>Energy</v>
      </c>
      <c r="DM1322" t="str">
        <f>IF(DF1322=1,DM$7,0)</f>
        <v>Pulp/Paper</v>
      </c>
      <c r="DN1322" t="str">
        <f>IF(DG1322=1,DN$7,0)</f>
        <v>Timber</v>
      </c>
      <c r="DO1322">
        <v>0</v>
      </c>
      <c r="DP1322" s="143">
        <v>0</v>
      </c>
      <c r="DQ1322" s="143">
        <v>0</v>
      </c>
      <c r="DR1322">
        <v>0</v>
      </c>
      <c r="DS1322">
        <v>0</v>
      </c>
      <c r="DT1322">
        <f>SUM(DO1322:DP1322)</f>
        <v>0</v>
      </c>
      <c r="DU1322" s="143" t="str">
        <f>IF(DO1322=1,"self-calculated DF",IF(DP1322=1,"external DF used","explicit C balance"))</f>
        <v>explicit C balance</v>
      </c>
      <c r="DV1322" s="143">
        <v>0</v>
      </c>
      <c r="DW1322" s="143">
        <v>1</v>
      </c>
      <c r="DX1322" s="143">
        <v>1</v>
      </c>
      <c r="DY1322" s="143">
        <v>1</v>
      </c>
      <c r="DZ1322">
        <v>1</v>
      </c>
      <c r="EA1322" s="143">
        <v>0</v>
      </c>
      <c r="EB1322" s="143">
        <v>0</v>
      </c>
      <c r="EC1322" s="143">
        <v>0</v>
      </c>
      <c r="ED1322" s="143">
        <v>0</v>
      </c>
      <c r="EE1322">
        <v>0</v>
      </c>
      <c r="EF1322">
        <v>1</v>
      </c>
      <c r="EG1322" s="143">
        <v>0</v>
      </c>
      <c r="EH1322" s="143">
        <v>0</v>
      </c>
      <c r="EI1322" s="2">
        <v>0</v>
      </c>
      <c r="EK1322" t="str">
        <f>IF(AND(AND(AND(OR($DX1322=1,$DW1322=1),OR($EC1322=1,$EA1322=1)),SUM($DV1322:$DZ1322,$EF1322)&gt;=3),SUM($EA1322:$EE1322)&gt;=2),"Whole sector","")</f>
        <v/>
      </c>
      <c r="EL1322" t="str">
        <f>IF(AND(AND(OR($DX1322=1,$DW1322=1),AND($EC1322=0,$EA1322=0)),SUM($DV1322:$DZ1322,$EF1322)&gt;=3),"Ecosystem approach","")</f>
        <v>Ecosystem approach</v>
      </c>
      <c r="EM1322" s="2" t="str">
        <f>IF(AND(AND(AND($DX1322=0,$DW1322=0),OR($EC1322=1,$EA1322=1)),SUM($EB1322:$EE1322)&gt;=2),"Technology approach","")</f>
        <v/>
      </c>
      <c r="EP1322" t="b">
        <f>IF(ISNUMBER(BU1322),IF(ABS(BU1322-[5]QC_indicators!$B$2)&gt;3*[5]QC_indicators!$C$2,"C ratio",IF(ISNUMBER(BY1322),IF(ABS(BY1322-[5]QC_indicators!$B$1)&gt;3*[5]QC_indicators!$C$1,"DF","no"))),IF(ISNUMBER(BY1322),IF(ABS(BY1322-[5]QC_indicators!$B$1)&gt;3*[5]QC_indicators!$C$1,"DF","no")))</f>
        <v>0</v>
      </c>
    </row>
    <row r="1323" spans="1:146" ht="15" customHeight="1">
      <c r="A1323" s="1" t="s">
        <v>3635</v>
      </c>
      <c r="B1323" t="s">
        <v>544</v>
      </c>
      <c r="C1323" t="s">
        <v>3636</v>
      </c>
      <c r="D1323" t="s">
        <v>3637</v>
      </c>
      <c r="E1323" t="s">
        <v>3638</v>
      </c>
      <c r="F1323" t="s">
        <v>3639</v>
      </c>
      <c r="G1323" t="s">
        <v>3640</v>
      </c>
      <c r="H1323" t="s">
        <v>254</v>
      </c>
      <c r="I1323">
        <v>2020</v>
      </c>
      <c r="J1323">
        <v>9</v>
      </c>
      <c r="K1323" t="s">
        <v>3641</v>
      </c>
      <c r="M1323" t="str">
        <f>LEFT($D1323,FIND(",",$D1323)-1)&amp;"_"&amp;I1323&amp;L1323</f>
        <v>Graves_2020</v>
      </c>
      <c r="N1323" s="312" t="s">
        <v>4383</v>
      </c>
      <c r="O1323" s="171" t="s">
        <v>341</v>
      </c>
      <c r="P1323" t="s">
        <v>223</v>
      </c>
      <c r="Q1323" s="312" t="s">
        <v>389</v>
      </c>
      <c r="R1323" s="313"/>
      <c r="S1323" s="154" t="s">
        <v>3650</v>
      </c>
      <c r="T1323" s="314" t="s">
        <v>3653</v>
      </c>
      <c r="U1323" s="312" t="s">
        <v>3652</v>
      </c>
      <c r="V1323">
        <v>0</v>
      </c>
      <c r="W1323">
        <v>0</v>
      </c>
      <c r="X1323">
        <v>1</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s="141">
        <f>COUNTIF(V1323:AW1323,"&lt;&gt;0")</f>
        <v>1</v>
      </c>
      <c r="AY1323" s="141">
        <f>COUNTIF(V1323:AL1323,"&lt;&gt;0")</f>
        <v>1</v>
      </c>
      <c r="AZ1323">
        <f>COUNTIF(V1323:AC1323,"&lt;&gt;0")</f>
        <v>1</v>
      </c>
      <c r="BA1323">
        <f>COUNTIF(AD1323:AI1323,"&lt;&gt;0")</f>
        <v>0</v>
      </c>
      <c r="BB1323">
        <f>COUNTIF(AJ1323:AL1323,"&lt;&gt;0")</f>
        <v>0</v>
      </c>
      <c r="BC1323">
        <f>COUNTIF(AS1323:AW1323,"&lt;&gt;0")</f>
        <v>0</v>
      </c>
      <c r="BD1323">
        <f>COUNTIF(AM1323:AR1323,"&lt;&gt;0")</f>
        <v>0</v>
      </c>
      <c r="BE1323" t="str" cm="1">
        <f t="array" ref="BE1323">IF(AY1323=1,INDEX($V$7:$AL$7,MATCH(TRUE,INDEX($V1323:$AW1323&lt;&gt;0,),0)),IF(AY1323=0,INDEX($AM$7:$AW$7,MATCH(1,$AM1323:$AW1323,0)),IF(BF1323="Multiple strategies","mixed drivers",IF(BF1323="Supply chain","multiple supply","multiple silviculture"))))</f>
        <v>rotation length</v>
      </c>
      <c r="BF1323" s="2" t="str" cm="1">
        <f t="array" ref="BF1323">IF(COUNTIF(AZ1323:BB1323,"&lt;&gt;0")=1,INDEX($V$4:$AW$4,MATCH(TRUE,INDEX($V1323:$AW1323&lt;&gt;0,),0)),IF(COUNTIF(AZ1323:BB1323,"&lt;&gt;0")=0,INDEX($AM$4:$AW$4,MATCH(1,$AM1323:$AW1323,0)),"Multiple strategies"))</f>
        <v>Silviculture for removals</v>
      </c>
      <c r="BN1323" s="158"/>
      <c r="BO1323" s="159"/>
      <c r="BP1323" s="155" t="s">
        <v>395</v>
      </c>
      <c r="BQ1323" s="155" t="s">
        <v>3645</v>
      </c>
      <c r="BR1323" s="141" t="s">
        <v>3646</v>
      </c>
      <c r="BS1323">
        <f>BT1323-3.45</f>
        <v>60.55</v>
      </c>
      <c r="BT1323" s="151">
        <v>64</v>
      </c>
      <c r="BU1323" s="144">
        <f>BT1323/BS1323</f>
        <v>1.0569777043765483</v>
      </c>
      <c r="BV1323">
        <f>BT1323-BS1323</f>
        <v>3.4500000000000028</v>
      </c>
      <c r="BX1323">
        <f>BV1323</f>
        <v>3.4500000000000028</v>
      </c>
      <c r="BY1323" t="str">
        <f>IFERROR(BX1323/BO1323,"")</f>
        <v/>
      </c>
      <c r="BZ1323">
        <v>0</v>
      </c>
      <c r="CA1323">
        <v>0</v>
      </c>
      <c r="CB1323">
        <v>0</v>
      </c>
      <c r="CC1323">
        <v>0</v>
      </c>
      <c r="CD1323">
        <v>0</v>
      </c>
      <c r="CE1323">
        <v>0</v>
      </c>
      <c r="CF1323">
        <v>0</v>
      </c>
      <c r="CG1323">
        <v>0</v>
      </c>
      <c r="CH1323">
        <v>0</v>
      </c>
      <c r="CI1323">
        <v>0</v>
      </c>
      <c r="CJ1323">
        <v>0</v>
      </c>
      <c r="CK1323">
        <v>0</v>
      </c>
      <c r="CL1323">
        <v>0</v>
      </c>
      <c r="CM1323">
        <v>0</v>
      </c>
      <c r="CN1323" t="str">
        <f>IF($BL1323&lt;$BK1323,"refNeedCorrection","refOK")</f>
        <v>refOK</v>
      </c>
      <c r="CO1323"/>
      <c r="CP1323"/>
      <c r="CQ1323"/>
      <c r="CR1323">
        <f>IF($CN1323="refOK",$BS1323,$BT1323)*IF($BP1323="Emissions positive",-1,1)</f>
        <v>-60.55</v>
      </c>
      <c r="CS1323">
        <f>IF($CN1323="refOK",$BT1323,$BS1323)*IF($BP1323="Emissions positive",-1,1)</f>
        <v>-64</v>
      </c>
      <c r="CT1323">
        <f>IF($CN1323="refNeedCorrection",-BX1323,BX1323)*IF($BP1323="Emissions positive",-1,1)</f>
        <v>-3.4500000000000028</v>
      </c>
      <c r="CU1323" t="str">
        <f>IFERROR(CT1323/CQ1323,"")</f>
        <v/>
      </c>
      <c r="CV1323" s="2">
        <f>IFERROR((CS1323-CR1323)/ABS(CR1323),"")</f>
        <v>-5.6977704376548359E-2</v>
      </c>
      <c r="CW1323" s="319" t="s">
        <v>1199</v>
      </c>
      <c r="CX1323" s="312" t="str">
        <f>IF(OR($CW1323="prd",$CW1323="std",$CW1323="cit"),"loc",IF(OR($CW1323="eur",$CW1323="reg",$CW1323="coy"),"reg",$CW1323))</f>
        <v>reg</v>
      </c>
      <c r="CY1323" s="318" t="s">
        <v>428</v>
      </c>
      <c r="CZ1323">
        <v>2020</v>
      </c>
      <c r="DA1323">
        <v>2050</v>
      </c>
      <c r="DB1323">
        <f>DA1323-CZ1323</f>
        <v>30</v>
      </c>
      <c r="DC1323" t="str">
        <f>IF(DB1323=0,"0",IF(AND(DB1323&gt;=1,DB1323&lt;=30),"1-30",IF(AND(DB1323&gt;30,DB1323&lt;=70),"31-70",IF(AND(DB1323&gt;70,DB1323&lt;=100),"71-100",IF(DB1323&gt;100,"+100")))))</f>
        <v>1-30</v>
      </c>
      <c r="DD1323">
        <v>1</v>
      </c>
      <c r="DE1323">
        <v>1</v>
      </c>
      <c r="DF1323">
        <v>1</v>
      </c>
      <c r="DG1323">
        <v>1</v>
      </c>
      <c r="DH1323">
        <v>0</v>
      </c>
      <c r="DI1323">
        <f>SUM(DD1323:DH1323)</f>
        <v>4</v>
      </c>
      <c r="DJ1323" t="str">
        <f>IF(DI1323=1,INDEX($DD$7:$DG$7,MATCH(1,$DD1323:$DG1323,0)),"mixedProduct")</f>
        <v>mixedProduct</v>
      </c>
      <c r="DK1323" t="str">
        <f>IF(DD1323=1,DK$7,0)</f>
        <v>Upstream</v>
      </c>
      <c r="DL1323" t="str">
        <f>IF(DE1323=1,DL$7,0)</f>
        <v>Energy</v>
      </c>
      <c r="DM1323" t="str">
        <f>IF(DF1323=1,DM$7,0)</f>
        <v>Pulp/Paper</v>
      </c>
      <c r="DN1323" t="str">
        <f>IF(DG1323=1,DN$7,0)</f>
        <v>Timber</v>
      </c>
      <c r="DO1323">
        <v>0</v>
      </c>
      <c r="DP1323" s="143">
        <v>0</v>
      </c>
      <c r="DQ1323" s="143">
        <v>0</v>
      </c>
      <c r="DR1323">
        <v>0</v>
      </c>
      <c r="DS1323">
        <v>0</v>
      </c>
      <c r="DT1323">
        <f>SUM(DO1323:DP1323)</f>
        <v>0</v>
      </c>
      <c r="DU1323" s="143" t="str">
        <f>IF(DO1323=1,"self-calculated DF",IF(DP1323=1,"external DF used","explicit C balance"))</f>
        <v>explicit C balance</v>
      </c>
      <c r="DV1323" s="143">
        <v>0</v>
      </c>
      <c r="DW1323" s="143">
        <v>1</v>
      </c>
      <c r="DX1323" s="143">
        <v>1</v>
      </c>
      <c r="DY1323" s="143">
        <v>1</v>
      </c>
      <c r="DZ1323">
        <v>1</v>
      </c>
      <c r="EA1323" s="143">
        <v>0</v>
      </c>
      <c r="EB1323" s="143">
        <v>0</v>
      </c>
      <c r="EC1323" s="143">
        <v>0</v>
      </c>
      <c r="ED1323" s="143">
        <v>0</v>
      </c>
      <c r="EE1323">
        <v>0</v>
      </c>
      <c r="EF1323">
        <v>1</v>
      </c>
      <c r="EG1323" s="143">
        <v>0</v>
      </c>
      <c r="EH1323" s="143">
        <v>0</v>
      </c>
      <c r="EI1323" s="2">
        <v>0</v>
      </c>
      <c r="EK1323" t="str">
        <f>IF(AND(AND(AND(OR($DX1323=1,$DW1323=1),OR($EC1323=1,$EA1323=1)),SUM($DV1323:$DZ1323,$EF1323)&gt;=3),SUM($EA1323:$EE1323)&gt;=2),"Whole sector","")</f>
        <v/>
      </c>
      <c r="EL1323" t="str">
        <f>IF(AND(AND(OR($DX1323=1,$DW1323=1),AND($EC1323=0,$EA1323=0)),SUM($DV1323:$DZ1323,$EF1323)&gt;=3),"Ecosystem approach","")</f>
        <v>Ecosystem approach</v>
      </c>
      <c r="EM1323" s="2" t="str">
        <f>IF(AND(AND(AND($DX1323=0,$DW1323=0),OR($EC1323=1,$EA1323=1)),SUM($EB1323:$EE1323)&gt;=2),"Technology approach","")</f>
        <v/>
      </c>
      <c r="EP1323" t="b">
        <f>IF(ISNUMBER(BU1323),IF(ABS(BU1323-[5]QC_indicators!$B$2)&gt;3*[5]QC_indicators!$C$2,"C ratio",IF(ISNUMBER(BY1323),IF(ABS(BY1323-[5]QC_indicators!$B$1)&gt;3*[5]QC_indicators!$C$1,"DF","no"))),IF(ISNUMBER(BY1323),IF(ABS(BY1323-[5]QC_indicators!$B$1)&gt;3*[5]QC_indicators!$C$1,"DF","no")))</f>
        <v>0</v>
      </c>
    </row>
    <row r="1324" spans="1:146" ht="15" customHeight="1">
      <c r="A1324" s="1" t="s">
        <v>3654</v>
      </c>
      <c r="B1324" t="s">
        <v>3655</v>
      </c>
      <c r="C1324" t="s">
        <v>3656</v>
      </c>
      <c r="D1324" t="s">
        <v>3657</v>
      </c>
      <c r="E1324" s="312" t="s">
        <v>3658</v>
      </c>
      <c r="F1324" t="s">
        <v>3659</v>
      </c>
      <c r="G1324" t="s">
        <v>3660</v>
      </c>
      <c r="H1324" t="s">
        <v>254</v>
      </c>
      <c r="I1324">
        <v>2015</v>
      </c>
      <c r="J1324">
        <v>19</v>
      </c>
      <c r="K1324" t="s">
        <v>3661</v>
      </c>
      <c r="M1324" t="str">
        <f>LEFT($D1324,FIND(",",$D1324)-1)&amp;"_"&amp;I1324&amp;L1324</f>
        <v>Guo_2015</v>
      </c>
      <c r="N1324" s="312" t="s">
        <v>4383</v>
      </c>
      <c r="O1324" s="312" t="s">
        <v>223</v>
      </c>
      <c r="Q1324" s="312" t="s">
        <v>389</v>
      </c>
      <c r="R1324" s="313"/>
      <c r="S1324" s="154" t="s">
        <v>3662</v>
      </c>
      <c r="T1324" s="314" t="s">
        <v>3663</v>
      </c>
      <c r="U1324" s="312" t="s">
        <v>3664</v>
      </c>
      <c r="V1324">
        <v>0</v>
      </c>
      <c r="W1324">
        <v>0</v>
      </c>
      <c r="X1324">
        <v>1</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s="141">
        <f>COUNTIF(V1324:AW1324,"&lt;&gt;0")</f>
        <v>1</v>
      </c>
      <c r="AY1324" s="141">
        <f>COUNTIF(V1324:AL1324,"&lt;&gt;0")</f>
        <v>1</v>
      </c>
      <c r="AZ1324">
        <f>COUNTIF(V1324:AC1324,"&lt;&gt;0")</f>
        <v>1</v>
      </c>
      <c r="BA1324">
        <f>COUNTIF(AD1324:AI1324,"&lt;&gt;0")</f>
        <v>0</v>
      </c>
      <c r="BB1324">
        <f>COUNTIF(AJ1324:AL1324,"&lt;&gt;0")</f>
        <v>0</v>
      </c>
      <c r="BC1324">
        <f>COUNTIF(AS1324:AW1324,"&lt;&gt;0")</f>
        <v>0</v>
      </c>
      <c r="BD1324">
        <f>COUNTIF(AM1324:AR1324,"&lt;&gt;0")</f>
        <v>0</v>
      </c>
      <c r="BE1324" t="str" cm="1">
        <f t="array" ref="BE1324">IF(AY1324=1,INDEX($V$7:$AL$7,MATCH(TRUE,INDEX($V1324:$AW1324&lt;&gt;0,),0)),IF(AY1324=0,INDEX($AM$7:$AW$7,MATCH(1,$AM1324:$AW1324,0)),IF(BF1324="Multiple strategies","mixed drivers",IF(BF1324="Supply chain","multiple supply","multiple silviculture"))))</f>
        <v>rotation length</v>
      </c>
      <c r="BF1324" s="2" t="str" cm="1">
        <f t="array" ref="BF1324">IF(COUNTIF(AZ1324:BB1324,"&lt;&gt;0")=1,INDEX($V$4:$AW$4,MATCH(TRUE,INDEX($V1324:$AW1324&lt;&gt;0,),0)),IF(COUNTIF(AZ1324:BB1324,"&lt;&gt;0")=0,INDEX($AM$4:$AW$4,MATCH(1,$AM1324:$AW1324,0)),"Multiple strategies"))</f>
        <v>Silviculture for removals</v>
      </c>
      <c r="BG1324" s="1" t="s">
        <v>321</v>
      </c>
      <c r="BH1324" s="312" t="s">
        <v>3665</v>
      </c>
      <c r="BI1324" s="312"/>
      <c r="BJ1324" s="312" t="s">
        <v>345</v>
      </c>
      <c r="BK1324">
        <v>1</v>
      </c>
      <c r="BL1324">
        <v>1</v>
      </c>
      <c r="BN1324">
        <f>BL1324-BK1324</f>
        <v>0</v>
      </c>
      <c r="BO1324">
        <f>BN1324*10^6</f>
        <v>0</v>
      </c>
      <c r="BP1324" s="312" t="s">
        <v>232</v>
      </c>
      <c r="BQ1324" s="312" t="s">
        <v>3666</v>
      </c>
      <c r="BR1324" s="312" t="s">
        <v>397</v>
      </c>
      <c r="BS1324">
        <v>4.6500000000000004</v>
      </c>
      <c r="BT1324">
        <v>5.8</v>
      </c>
      <c r="BU1324" s="144">
        <f>BT1324/BS1324</f>
        <v>1.247311827956989</v>
      </c>
      <c r="BV1324">
        <f>BT1324-BS1324</f>
        <v>1.1499999999999995</v>
      </c>
      <c r="BX1324">
        <f>BV1324/1000</f>
        <v>1.1499999999999995E-3</v>
      </c>
      <c r="BY1324" t="str">
        <f>IFERROR(BX1324/BO1324,"")</f>
        <v/>
      </c>
      <c r="BZ1324">
        <v>1</v>
      </c>
      <c r="CN1324" t="str">
        <f>IF($BL1324&lt;$BK1324,"refNeedCorrection","refOK")</f>
        <v>refOK</v>
      </c>
      <c r="CO1324">
        <f>IF($CN1324="refOK",$BK1324,$BL1324)</f>
        <v>1</v>
      </c>
      <c r="CP1324">
        <f>IF($CN1324="refOK",$BL1324,$BK1324)</f>
        <v>1</v>
      </c>
      <c r="CQ1324">
        <f>IF($CN1324="refOK",$BO1324,-$BO1324)</f>
        <v>0</v>
      </c>
      <c r="CR1324">
        <f>IF($CN1324="refOK",$BS1324,$BT1324)*IF($BP1324="Emissions positive",-1,1)</f>
        <v>4.6500000000000004</v>
      </c>
      <c r="CS1324">
        <f>IF($CN1324="refOK",$BT1324,$BS1324)*IF($BP1324="Emissions positive",-1,1)</f>
        <v>5.8</v>
      </c>
      <c r="CT1324">
        <f>IF($CN1324="refNeedCorrection",-BX1324,BX1324)*IF($BP1324="Emissions positive",-1,1)</f>
        <v>1.1499999999999995E-3</v>
      </c>
      <c r="CU1324" t="str">
        <f>IFERROR(CT1324/CQ1324,"")</f>
        <v/>
      </c>
      <c r="CV1324" s="2">
        <f>IFERROR((CS1324-CR1324)/ABS(CR1324),"")</f>
        <v>0.24731182795698911</v>
      </c>
      <c r="CW1324" s="319" t="s">
        <v>263</v>
      </c>
      <c r="CX1324" s="312" t="str">
        <f>IF(OR($CW1324="prd",$CW1324="std",$CW1324="cit"),"loc",IF(OR($CW1324="eur",$CW1324="reg",$CW1324="coy"),"reg",$CW1324))</f>
        <v>loc</v>
      </c>
      <c r="CY1324" s="318" t="s">
        <v>732</v>
      </c>
      <c r="DB1324">
        <v>3</v>
      </c>
      <c r="DC1324" t="str">
        <f>IF(DB1324=0,"0",IF(AND(DB1324&gt;=1,DB1324&lt;=30),"1-30",IF(AND(DB1324&gt;30,DB1324&lt;=70),"31-70",IF(AND(DB1324&gt;70,DB1324&lt;=100),"71-100",IF(DB1324&gt;100,"+100")))))</f>
        <v>1-30</v>
      </c>
      <c r="DD1324">
        <v>0</v>
      </c>
      <c r="DE1324">
        <v>1</v>
      </c>
      <c r="DF1324">
        <v>0</v>
      </c>
      <c r="DG1324">
        <v>0</v>
      </c>
      <c r="DH1324">
        <v>0</v>
      </c>
      <c r="DI1324">
        <f>SUM(DD1324:DH1324)</f>
        <v>1</v>
      </c>
      <c r="DJ1324" t="str">
        <f>IF(DI1324=1,INDEX($DD$7:$DG$7,MATCH(1,$DD1324:$DG1324,0)),"mixedProduct")</f>
        <v>EnergyInput</v>
      </c>
      <c r="DK1324">
        <f>IF(DD1324=1,DK$7,0)</f>
        <v>0</v>
      </c>
      <c r="DL1324" t="str">
        <f>IF(DE1324=1,DL$7,0)</f>
        <v>Energy</v>
      </c>
      <c r="DM1324">
        <f>IF(DF1324=1,DM$7,0)</f>
        <v>0</v>
      </c>
      <c r="DN1324">
        <f>IF(DG1324=1,DN$7,0)</f>
        <v>0</v>
      </c>
      <c r="DO1324">
        <v>0</v>
      </c>
      <c r="DP1324">
        <v>0</v>
      </c>
      <c r="DQ1324">
        <v>0</v>
      </c>
      <c r="DR1324">
        <v>0</v>
      </c>
      <c r="DS1324">
        <v>0</v>
      </c>
      <c r="DT1324"/>
      <c r="DU1324" t="str">
        <f>IF(DO1324=1,"self-calculated DF",IF(DP1324=1,"external DF used","explicit C balance"))</f>
        <v>explicit C balance</v>
      </c>
      <c r="DV1324">
        <v>1</v>
      </c>
      <c r="DW1324">
        <v>0</v>
      </c>
      <c r="DX1324">
        <v>0</v>
      </c>
      <c r="DY1324">
        <v>1</v>
      </c>
      <c r="DZ1324">
        <v>0</v>
      </c>
      <c r="EA1324">
        <v>0</v>
      </c>
      <c r="EB1324">
        <v>0</v>
      </c>
      <c r="EC1324">
        <v>0</v>
      </c>
      <c r="ED1324">
        <v>0</v>
      </c>
      <c r="EE1324">
        <v>0</v>
      </c>
      <c r="EF1324">
        <v>0</v>
      </c>
      <c r="EG1324">
        <v>0</v>
      </c>
      <c r="EH1324">
        <v>0</v>
      </c>
      <c r="EI1324" s="2">
        <v>0</v>
      </c>
      <c r="EK1324" t="str">
        <f>IF(AND(AND(AND(OR($DX1324=1,$DW1324=1),OR($EC1324=1,$EA1324=1)),SUM($DV1324:$DZ1324,$EF1324)&gt;=3),SUM($EA1324:$EE1324)&gt;=2),"Whole sector","")</f>
        <v/>
      </c>
      <c r="EL1324" t="str">
        <f>IF(AND(AND(OR($DX1324=1,$DW1324=1),AND($EC1324=0,$EA1324=0)),SUM($DV1324:$DZ1324,$EF1324)&gt;=3),"Ecosystem approach","")</f>
        <v/>
      </c>
      <c r="EM1324" s="2" t="str">
        <f>IF(AND(AND(AND($DX1324=0,$DW1324=0),OR($EC1324=1,$EA1324=1)),SUM($EB1324:$EE1324)&gt;=2),"Technology approach","")</f>
        <v/>
      </c>
      <c r="EP1324" t="b">
        <f>IF(ISNUMBER(BU1324),IF(ABS(BU1324-[5]QC_indicators!$B$2)&gt;3*[5]QC_indicators!$C$2,"C ratio",IF(ISNUMBER(BY1324),IF(ABS(BY1324-[5]QC_indicators!$B$1)&gt;3*[5]QC_indicators!$C$1,"DF","no"))),IF(ISNUMBER(BY1324),IF(ABS(BY1324-[5]QC_indicators!$B$1)&gt;3*[5]QC_indicators!$C$1,"DF","no")))</f>
        <v>0</v>
      </c>
    </row>
    <row r="1325" spans="1:146" ht="15" customHeight="1">
      <c r="A1325" s="1" t="s">
        <v>3654</v>
      </c>
      <c r="B1325" t="s">
        <v>3655</v>
      </c>
      <c r="C1325" t="s">
        <v>3656</v>
      </c>
      <c r="D1325" t="s">
        <v>3657</v>
      </c>
      <c r="E1325" s="312" t="s">
        <v>3658</v>
      </c>
      <c r="F1325" t="s">
        <v>3659</v>
      </c>
      <c r="G1325" t="s">
        <v>3660</v>
      </c>
      <c r="H1325" t="s">
        <v>254</v>
      </c>
      <c r="I1325">
        <v>2015</v>
      </c>
      <c r="J1325">
        <v>19</v>
      </c>
      <c r="K1325" t="s">
        <v>3661</v>
      </c>
      <c r="M1325" t="str">
        <f>LEFT($D1325,FIND(",",$D1325)-1)&amp;"_"&amp;I1325&amp;L1325</f>
        <v>Guo_2015</v>
      </c>
      <c r="N1325" s="312" t="s">
        <v>4383</v>
      </c>
      <c r="O1325" s="312" t="s">
        <v>223</v>
      </c>
      <c r="Q1325" s="312" t="s">
        <v>389</v>
      </c>
      <c r="R1325" s="313"/>
      <c r="S1325" s="154" t="s">
        <v>3662</v>
      </c>
      <c r="T1325" s="314" t="s">
        <v>3663</v>
      </c>
      <c r="U1325" s="312" t="s">
        <v>3664</v>
      </c>
      <c r="V1325">
        <v>0</v>
      </c>
      <c r="W1325">
        <v>0</v>
      </c>
      <c r="X1325">
        <v>1</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s="141">
        <f>COUNTIF(V1325:AW1325,"&lt;&gt;0")</f>
        <v>1</v>
      </c>
      <c r="AY1325" s="141">
        <f>COUNTIF(V1325:AL1325,"&lt;&gt;0")</f>
        <v>1</v>
      </c>
      <c r="AZ1325">
        <f>COUNTIF(V1325:AC1325,"&lt;&gt;0")</f>
        <v>1</v>
      </c>
      <c r="BA1325">
        <f>COUNTIF(AD1325:AI1325,"&lt;&gt;0")</f>
        <v>0</v>
      </c>
      <c r="BB1325">
        <f>COUNTIF(AJ1325:AL1325,"&lt;&gt;0")</f>
        <v>0</v>
      </c>
      <c r="BC1325">
        <f>COUNTIF(AS1325:AW1325,"&lt;&gt;0")</f>
        <v>0</v>
      </c>
      <c r="BD1325">
        <f>COUNTIF(AM1325:AR1325,"&lt;&gt;0")</f>
        <v>0</v>
      </c>
      <c r="BE1325" t="str" cm="1">
        <f t="array" ref="BE1325">IF(AY1325=1,INDEX($V$7:$AL$7,MATCH(TRUE,INDEX($V1325:$AW1325&lt;&gt;0,),0)),IF(AY1325=0,INDEX($AM$7:$AW$7,MATCH(1,$AM1325:$AW1325,0)),IF(BF1325="Multiple strategies","mixed drivers",IF(BF1325="Supply chain","multiple supply","multiple silviculture"))))</f>
        <v>rotation length</v>
      </c>
      <c r="BF1325" s="2" t="str" cm="1">
        <f t="array" ref="BF1325">IF(COUNTIF(AZ1325:BB1325,"&lt;&gt;0")=1,INDEX($V$4:$AW$4,MATCH(TRUE,INDEX($V1325:$AW1325&lt;&gt;0,),0)),IF(COUNTIF(AZ1325:BB1325,"&lt;&gt;0")=0,INDEX($AM$4:$AW$4,MATCH(1,$AM1325:$AW1325,0)),"Multiple strategies"))</f>
        <v>Silviculture for removals</v>
      </c>
      <c r="BG1325" s="1" t="s">
        <v>321</v>
      </c>
      <c r="BH1325" s="312" t="s">
        <v>3665</v>
      </c>
      <c r="BI1325" s="312"/>
      <c r="BJ1325" s="312" t="s">
        <v>345</v>
      </c>
      <c r="BK1325">
        <v>1</v>
      </c>
      <c r="BL1325">
        <v>1</v>
      </c>
      <c r="BN1325">
        <f>BL1325-BK1325</f>
        <v>0</v>
      </c>
      <c r="BO1325">
        <f>BN1325*10^6</f>
        <v>0</v>
      </c>
      <c r="BP1325" s="312" t="s">
        <v>395</v>
      </c>
      <c r="BQ1325" s="312" t="s">
        <v>3666</v>
      </c>
      <c r="BR1325" s="312" t="s">
        <v>397</v>
      </c>
      <c r="BS1325">
        <f>-2.1+2.74+1.91</f>
        <v>2.5499999999999998</v>
      </c>
      <c r="BT1325">
        <f>-3.19+3.89+1.91</f>
        <v>2.6100000000000003</v>
      </c>
      <c r="BV1325">
        <f>BT1325-BS1325</f>
        <v>6.0000000000000497E-2</v>
      </c>
      <c r="BX1325">
        <f>BV1325/1000</f>
        <v>6.0000000000000496E-5</v>
      </c>
      <c r="BY1325" t="str">
        <f>IFERROR(BX1325/BO1325,"")</f>
        <v/>
      </c>
      <c r="BZ1325">
        <v>1</v>
      </c>
      <c r="CN1325" t="str">
        <f>IF($BL1325&lt;$BK1325,"refNeedCorrection","refOK")</f>
        <v>refOK</v>
      </c>
      <c r="CO1325">
        <f>IF($CN1325="refOK",$BK1325,$BL1325)</f>
        <v>1</v>
      </c>
      <c r="CP1325">
        <f>IF($CN1325="refOK",$BL1325,$BK1325)</f>
        <v>1</v>
      </c>
      <c r="CQ1325">
        <f>IF($CN1325="refOK",$BO1325,-$BO1325)</f>
        <v>0</v>
      </c>
      <c r="CR1325">
        <f>IF($CN1325="refOK",$BS1325,$BT1325)*IF($BP1325="Emissions positive",-1,1)</f>
        <v>-2.5499999999999998</v>
      </c>
      <c r="CS1325">
        <f>IF($CN1325="refOK",$BT1325,$BS1325)*IF($BP1325="Emissions positive",-1,1)</f>
        <v>-2.6100000000000003</v>
      </c>
      <c r="CT1325">
        <f>IF($CN1325="refNeedCorrection",-BX1325,BX1325)*IF($BP1325="Emissions positive",-1,1)</f>
        <v>-6.0000000000000496E-5</v>
      </c>
      <c r="CU1325" t="str">
        <f>IFERROR(CT1325/CQ1325,"")</f>
        <v/>
      </c>
      <c r="CV1325" s="2">
        <f>IFERROR((CS1325-CR1325)/ABS(CR1325),"")</f>
        <v>-2.352941176470608E-2</v>
      </c>
      <c r="CW1325" s="319" t="s">
        <v>263</v>
      </c>
      <c r="CX1325" s="312" t="str">
        <f>IF(OR($CW1325="prd",$CW1325="std",$CW1325="cit"),"loc",IF(OR($CW1325="eur",$CW1325="reg",$CW1325="coy"),"reg",$CW1325))</f>
        <v>loc</v>
      </c>
      <c r="CY1325" s="318" t="s">
        <v>732</v>
      </c>
      <c r="DB1325">
        <v>3</v>
      </c>
      <c r="DC1325" t="str">
        <f>IF(DB1325=0,"0",IF(AND(DB1325&gt;=1,DB1325&lt;=30),"1-30",IF(AND(DB1325&gt;30,DB1325&lt;=70),"31-70",IF(AND(DB1325&gt;70,DB1325&lt;=100),"71-100",IF(DB1325&gt;100,"+100")))))</f>
        <v>1-30</v>
      </c>
      <c r="DD1325">
        <v>0</v>
      </c>
      <c r="DE1325">
        <v>1</v>
      </c>
      <c r="DF1325">
        <v>0</v>
      </c>
      <c r="DG1325">
        <v>0</v>
      </c>
      <c r="DH1325">
        <v>0</v>
      </c>
      <c r="DI1325">
        <f>SUM(DD1325:DH1325)</f>
        <v>1</v>
      </c>
      <c r="DJ1325" t="str">
        <f>IF(DI1325=1,INDEX($DD$7:$DG$7,MATCH(1,$DD1325:$DG1325,0)),"mixedProduct")</f>
        <v>EnergyInput</v>
      </c>
      <c r="DK1325">
        <f>IF(DD1325=1,DK$7,0)</f>
        <v>0</v>
      </c>
      <c r="DL1325" t="str">
        <f>IF(DE1325=1,DL$7,0)</f>
        <v>Energy</v>
      </c>
      <c r="DM1325">
        <f>IF(DF1325=1,DM$7,0)</f>
        <v>0</v>
      </c>
      <c r="DN1325">
        <f>IF(DG1325=1,DN$7,0)</f>
        <v>0</v>
      </c>
      <c r="DO1325">
        <v>0</v>
      </c>
      <c r="DP1325">
        <v>0</v>
      </c>
      <c r="DQ1325">
        <v>0</v>
      </c>
      <c r="DR1325">
        <v>0</v>
      </c>
      <c r="DS1325">
        <v>0</v>
      </c>
      <c r="DT1325"/>
      <c r="DU1325" t="str">
        <f>IF(DO1325=1,"self-calculated DF",IF(DP1325=1,"external DF used","explicit C balance"))</f>
        <v>explicit C balance</v>
      </c>
      <c r="DV1325">
        <v>0</v>
      </c>
      <c r="DW1325">
        <v>0</v>
      </c>
      <c r="DX1325">
        <v>0</v>
      </c>
      <c r="DY1325">
        <v>0</v>
      </c>
      <c r="DZ1325">
        <v>0</v>
      </c>
      <c r="EA1325">
        <v>0</v>
      </c>
      <c r="EB1325">
        <v>1</v>
      </c>
      <c r="EC1325">
        <v>1</v>
      </c>
      <c r="ED1325">
        <v>0</v>
      </c>
      <c r="EE1325">
        <v>0</v>
      </c>
      <c r="EF1325">
        <v>0</v>
      </c>
      <c r="EG1325">
        <v>0</v>
      </c>
      <c r="EH1325">
        <v>0</v>
      </c>
      <c r="EI1325" s="2">
        <v>0</v>
      </c>
      <c r="EK1325" t="str">
        <f>IF(AND(AND(AND(OR($DX1325=1,$DW1325=1),OR($EC1325=1,$EA1325=1)),SUM($DV1325:$DZ1325,$EF1325)&gt;=3),SUM($EA1325:$EE1325)&gt;=2),"Whole sector","")</f>
        <v/>
      </c>
      <c r="EL1325" t="str">
        <f>IF(AND(AND(OR($DX1325=1,$DW1325=1),AND($EC1325=0,$EA1325=0)),SUM($DV1325:$DZ1325,$EF1325)&gt;=3),"Ecosystem approach","")</f>
        <v/>
      </c>
      <c r="EM1325" s="2" t="str">
        <f>IF(AND(AND(AND($DX1325=0,$DW1325=0),OR($EC1325=1,$EA1325=1)),SUM($EB1325:$EE1325)&gt;=2),"Technology approach","")</f>
        <v>Technology approach</v>
      </c>
      <c r="EP1325" t="b">
        <f>IF(ISNUMBER(BU1325),IF(ABS(BU1325-[5]QC_indicators!$B$2)&gt;3*[5]QC_indicators!$C$2,"C ratio",IF(ISNUMBER(BY1325),IF(ABS(BY1325-[5]QC_indicators!$B$1)&gt;3*[5]QC_indicators!$C$1,"DF","no"))),IF(ISNUMBER(BY1325),IF(ABS(BY1325-[5]QC_indicators!$B$1)&gt;3*[5]QC_indicators!$C$1,"DF","no")))</f>
        <v>0</v>
      </c>
    </row>
    <row r="1326" spans="1:146" ht="15" customHeight="1">
      <c r="A1326" s="1" t="s">
        <v>3654</v>
      </c>
      <c r="B1326" t="s">
        <v>3655</v>
      </c>
      <c r="C1326" t="s">
        <v>3656</v>
      </c>
      <c r="D1326" t="s">
        <v>3657</v>
      </c>
      <c r="E1326" s="312" t="s">
        <v>3658</v>
      </c>
      <c r="F1326" t="s">
        <v>3659</v>
      </c>
      <c r="G1326" t="s">
        <v>3660</v>
      </c>
      <c r="H1326" t="s">
        <v>254</v>
      </c>
      <c r="I1326">
        <v>2015</v>
      </c>
      <c r="J1326">
        <v>19</v>
      </c>
      <c r="K1326" t="s">
        <v>3661</v>
      </c>
      <c r="M1326" t="str">
        <f>LEFT($D1326,FIND(",",$D1326)-1)&amp;"_"&amp;I1326&amp;L1326</f>
        <v>Guo_2015</v>
      </c>
      <c r="N1326" s="312" t="s">
        <v>4383</v>
      </c>
      <c r="O1326" s="312" t="s">
        <v>223</v>
      </c>
      <c r="Q1326" s="312" t="s">
        <v>389</v>
      </c>
      <c r="R1326" s="313"/>
      <c r="S1326" s="154" t="s">
        <v>3662</v>
      </c>
      <c r="T1326" s="314" t="s">
        <v>3667</v>
      </c>
      <c r="U1326" s="312" t="s">
        <v>3668</v>
      </c>
      <c r="V1326">
        <v>0</v>
      </c>
      <c r="W1326">
        <v>0</v>
      </c>
      <c r="X1326">
        <v>1</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s="141">
        <f>COUNTIF(V1326:AW1326,"&lt;&gt;0")</f>
        <v>1</v>
      </c>
      <c r="AY1326" s="141">
        <f>COUNTIF(V1326:AL1326,"&lt;&gt;0")</f>
        <v>1</v>
      </c>
      <c r="AZ1326">
        <f>COUNTIF(V1326:AC1326,"&lt;&gt;0")</f>
        <v>1</v>
      </c>
      <c r="BA1326">
        <f>COUNTIF(AD1326:AI1326,"&lt;&gt;0")</f>
        <v>0</v>
      </c>
      <c r="BB1326">
        <f>COUNTIF(AJ1326:AL1326,"&lt;&gt;0")</f>
        <v>0</v>
      </c>
      <c r="BC1326">
        <f>COUNTIF(AS1326:AW1326,"&lt;&gt;0")</f>
        <v>0</v>
      </c>
      <c r="BD1326">
        <f>COUNTIF(AM1326:AR1326,"&lt;&gt;0")</f>
        <v>0</v>
      </c>
      <c r="BE1326" t="str" cm="1">
        <f t="array" ref="BE1326">IF(AY1326=1,INDEX($V$7:$AL$7,MATCH(TRUE,INDEX($V1326:$AW1326&lt;&gt;0,),0)),IF(AY1326=0,INDEX($AM$7:$AW$7,MATCH(1,$AM1326:$AW1326,0)),IF(BF1326="Multiple strategies","mixed drivers",IF(BF1326="Supply chain","multiple supply","multiple silviculture"))))</f>
        <v>rotation length</v>
      </c>
      <c r="BF1326" s="2" t="str" cm="1">
        <f t="array" ref="BF1326">IF(COUNTIF(AZ1326:BB1326,"&lt;&gt;0")=1,INDEX($V$4:$AW$4,MATCH(TRUE,INDEX($V1326:$AW1326&lt;&gt;0,),0)),IF(COUNTIF(AZ1326:BB1326,"&lt;&gt;0")=0,INDEX($AM$4:$AW$4,MATCH(1,$AM1326:$AW1326,0)),"Multiple strategies"))</f>
        <v>Silviculture for removals</v>
      </c>
      <c r="BG1326" s="1" t="s">
        <v>321</v>
      </c>
      <c r="BH1326" s="312" t="s">
        <v>3665</v>
      </c>
      <c r="BI1326" s="312"/>
      <c r="BJ1326" s="312" t="s">
        <v>345</v>
      </c>
      <c r="BK1326">
        <v>1</v>
      </c>
      <c r="BL1326">
        <v>1</v>
      </c>
      <c r="BN1326">
        <f>BL1326-BK1326</f>
        <v>0</v>
      </c>
      <c r="BO1326">
        <f>BN1326*10^6</f>
        <v>0</v>
      </c>
      <c r="BP1326" s="312" t="s">
        <v>232</v>
      </c>
      <c r="BQ1326" s="312" t="s">
        <v>3666</v>
      </c>
      <c r="BR1326" s="312" t="s">
        <v>397</v>
      </c>
      <c r="BS1326">
        <v>2.87</v>
      </c>
      <c r="BT1326">
        <v>4.2699999999999996</v>
      </c>
      <c r="BU1326" s="144">
        <f>BT1326/BS1326</f>
        <v>1.4878048780487803</v>
      </c>
      <c r="BV1326">
        <f>BT1326-BS1326</f>
        <v>1.3999999999999995</v>
      </c>
      <c r="BX1326">
        <f>BV1326/1000</f>
        <v>1.3999999999999996E-3</v>
      </c>
      <c r="BY1326" t="str">
        <f>IFERROR(BX1326/BO1326,"")</f>
        <v/>
      </c>
      <c r="BZ1326">
        <v>1</v>
      </c>
      <c r="CN1326" t="str">
        <f>IF($BL1326&lt;$BK1326,"refNeedCorrection","refOK")</f>
        <v>refOK</v>
      </c>
      <c r="CO1326">
        <f>IF($CN1326="refOK",$BK1326,$BL1326)</f>
        <v>1</v>
      </c>
      <c r="CP1326">
        <f>IF($CN1326="refOK",$BL1326,$BK1326)</f>
        <v>1</v>
      </c>
      <c r="CQ1326">
        <f>IF($CN1326="refOK",$BO1326,-$BO1326)</f>
        <v>0</v>
      </c>
      <c r="CR1326">
        <f>IF($CN1326="refOK",$BS1326,$BT1326)*IF($BP1326="Emissions positive",-1,1)</f>
        <v>2.87</v>
      </c>
      <c r="CS1326">
        <f>IF($CN1326="refOK",$BT1326,$BS1326)*IF($BP1326="Emissions positive",-1,1)</f>
        <v>4.2699999999999996</v>
      </c>
      <c r="CT1326">
        <f>IF($CN1326="refNeedCorrection",-BX1326,BX1326)*IF($BP1326="Emissions positive",-1,1)</f>
        <v>1.3999999999999996E-3</v>
      </c>
      <c r="CU1326" t="str">
        <f>IFERROR(CT1326/CQ1326,"")</f>
        <v/>
      </c>
      <c r="CV1326" s="2">
        <f>IFERROR((CS1326-CR1326)/ABS(CR1326),"")</f>
        <v>0.48780487804878031</v>
      </c>
      <c r="CW1326" s="319" t="s">
        <v>263</v>
      </c>
      <c r="CX1326" s="312" t="str">
        <f>IF(OR($CW1326="prd",$CW1326="std",$CW1326="cit"),"loc",IF(OR($CW1326="eur",$CW1326="reg",$CW1326="coy"),"reg",$CW1326))</f>
        <v>loc</v>
      </c>
      <c r="CY1326" s="318" t="s">
        <v>732</v>
      </c>
      <c r="DB1326">
        <v>3</v>
      </c>
      <c r="DC1326" t="str">
        <f>IF(DB1326=0,"0",IF(AND(DB1326&gt;=1,DB1326&lt;=30),"1-30",IF(AND(DB1326&gt;30,DB1326&lt;=70),"31-70",IF(AND(DB1326&gt;70,DB1326&lt;=100),"71-100",IF(DB1326&gt;100,"+100")))))</f>
        <v>1-30</v>
      </c>
      <c r="DD1326">
        <v>0</v>
      </c>
      <c r="DE1326">
        <v>1</v>
      </c>
      <c r="DF1326">
        <v>0</v>
      </c>
      <c r="DG1326">
        <v>0</v>
      </c>
      <c r="DH1326">
        <v>0</v>
      </c>
      <c r="DI1326">
        <f>SUM(DD1326:DH1326)</f>
        <v>1</v>
      </c>
      <c r="DJ1326" t="str">
        <f>IF(DI1326=1,INDEX($DD$7:$DG$7,MATCH(1,$DD1326:$DG1326,0)),"mixedProduct")</f>
        <v>EnergyInput</v>
      </c>
      <c r="DK1326">
        <f>IF(DD1326=1,DK$7,0)</f>
        <v>0</v>
      </c>
      <c r="DL1326" t="str">
        <f>IF(DE1326=1,DL$7,0)</f>
        <v>Energy</v>
      </c>
      <c r="DM1326">
        <f>IF(DF1326=1,DM$7,0)</f>
        <v>0</v>
      </c>
      <c r="DN1326">
        <f>IF(DG1326=1,DN$7,0)</f>
        <v>0</v>
      </c>
      <c r="DO1326">
        <v>0</v>
      </c>
      <c r="DP1326">
        <v>0</v>
      </c>
      <c r="DQ1326">
        <v>0</v>
      </c>
      <c r="DR1326">
        <v>0</v>
      </c>
      <c r="DS1326">
        <v>0</v>
      </c>
      <c r="DT1326"/>
      <c r="DU1326" t="str">
        <f>IF(DO1326=1,"self-calculated DF",IF(DP1326=1,"external DF used","explicit C balance"))</f>
        <v>explicit C balance</v>
      </c>
      <c r="DV1326">
        <v>1</v>
      </c>
      <c r="DW1326">
        <v>0</v>
      </c>
      <c r="DX1326">
        <v>0</v>
      </c>
      <c r="DY1326">
        <v>1</v>
      </c>
      <c r="DZ1326">
        <v>0</v>
      </c>
      <c r="EA1326">
        <v>0</v>
      </c>
      <c r="EB1326">
        <v>1</v>
      </c>
      <c r="EC1326">
        <v>1</v>
      </c>
      <c r="ED1326">
        <v>0</v>
      </c>
      <c r="EE1326">
        <v>0</v>
      </c>
      <c r="EF1326">
        <v>0</v>
      </c>
      <c r="EG1326">
        <v>0</v>
      </c>
      <c r="EH1326">
        <v>0</v>
      </c>
      <c r="EI1326" s="2">
        <v>0</v>
      </c>
      <c r="EK1326" t="str">
        <f>IF(AND(AND(AND(OR($DX1326=1,$DW1326=1),OR($EC1326=1,$EA1326=1)),SUM($DV1326:$DZ1326,$EF1326)&gt;=3),SUM($EA1326:$EE1326)&gt;=2),"Whole sector","")</f>
        <v/>
      </c>
      <c r="EL1326" t="str">
        <f>IF(AND(AND(OR($DX1326=1,$DW1326=1),AND($EC1326=0,$EA1326=0)),SUM($DV1326:$DZ1326,$EF1326)&gt;=3),"Ecosystem approach","")</f>
        <v/>
      </c>
      <c r="EM1326" s="2" t="str">
        <f>IF(AND(AND(AND($DX1326=0,$DW1326=0),OR($EC1326=1,$EA1326=1)),SUM($EB1326:$EE1326)&gt;=2),"Technology approach","")</f>
        <v>Technology approach</v>
      </c>
      <c r="EP1326" t="b">
        <f>IF(ISNUMBER(BU1326),IF(ABS(BU1326-[5]QC_indicators!$B$2)&gt;3*[5]QC_indicators!$C$2,"C ratio",IF(ISNUMBER(BY1326),IF(ABS(BY1326-[5]QC_indicators!$B$1)&gt;3*[5]QC_indicators!$C$1,"DF","no"))),IF(ISNUMBER(BY1326),IF(ABS(BY1326-[5]QC_indicators!$B$1)&gt;3*[5]QC_indicators!$C$1,"DF","no")))</f>
        <v>0</v>
      </c>
    </row>
    <row r="1327" spans="1:146" ht="15" customHeight="1">
      <c r="A1327" s="1" t="s">
        <v>3654</v>
      </c>
      <c r="B1327" t="s">
        <v>3655</v>
      </c>
      <c r="C1327" t="s">
        <v>3656</v>
      </c>
      <c r="D1327" t="s">
        <v>3657</v>
      </c>
      <c r="E1327" s="312" t="s">
        <v>3658</v>
      </c>
      <c r="F1327" t="s">
        <v>3659</v>
      </c>
      <c r="G1327" t="s">
        <v>3660</v>
      </c>
      <c r="H1327" t="s">
        <v>254</v>
      </c>
      <c r="I1327">
        <v>2015</v>
      </c>
      <c r="J1327">
        <v>19</v>
      </c>
      <c r="K1327" t="s">
        <v>3661</v>
      </c>
      <c r="M1327" t="str">
        <f>LEFT($D1327,FIND(",",$D1327)-1)&amp;"_"&amp;I1327&amp;L1327</f>
        <v>Guo_2015</v>
      </c>
      <c r="N1327" s="312" t="s">
        <v>4383</v>
      </c>
      <c r="O1327" s="312" t="s">
        <v>223</v>
      </c>
      <c r="Q1327" s="312" t="s">
        <v>389</v>
      </c>
      <c r="R1327" s="313"/>
      <c r="S1327" s="154" t="s">
        <v>3662</v>
      </c>
      <c r="T1327" s="314" t="s">
        <v>3667</v>
      </c>
      <c r="U1327" s="312" t="s">
        <v>3668</v>
      </c>
      <c r="V1327">
        <v>0</v>
      </c>
      <c r="W1327">
        <v>0</v>
      </c>
      <c r="X1327">
        <v>1</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s="141">
        <f>COUNTIF(V1327:AW1327,"&lt;&gt;0")</f>
        <v>1</v>
      </c>
      <c r="AY1327" s="141">
        <f>COUNTIF(V1327:AL1327,"&lt;&gt;0")</f>
        <v>1</v>
      </c>
      <c r="AZ1327">
        <f>COUNTIF(V1327:AC1327,"&lt;&gt;0")</f>
        <v>1</v>
      </c>
      <c r="BA1327">
        <f>COUNTIF(AD1327:AI1327,"&lt;&gt;0")</f>
        <v>0</v>
      </c>
      <c r="BB1327">
        <f>COUNTIF(AJ1327:AL1327,"&lt;&gt;0")</f>
        <v>0</v>
      </c>
      <c r="BC1327">
        <f>COUNTIF(AS1327:AW1327,"&lt;&gt;0")</f>
        <v>0</v>
      </c>
      <c r="BD1327">
        <f>COUNTIF(AM1327:AR1327,"&lt;&gt;0")</f>
        <v>0</v>
      </c>
      <c r="BE1327" t="str" cm="1">
        <f t="array" ref="BE1327">IF(AY1327=1,INDEX($V$7:$AL$7,MATCH(TRUE,INDEX($V1327:$AW1327&lt;&gt;0,),0)),IF(AY1327=0,INDEX($AM$7:$AW$7,MATCH(1,$AM1327:$AW1327,0)),IF(BF1327="Multiple strategies","mixed drivers",IF(BF1327="Supply chain","multiple supply","multiple silviculture"))))</f>
        <v>rotation length</v>
      </c>
      <c r="BF1327" s="2" t="str" cm="1">
        <f t="array" ref="BF1327">IF(COUNTIF(AZ1327:BB1327,"&lt;&gt;0")=1,INDEX($V$4:$AW$4,MATCH(TRUE,INDEX($V1327:$AW1327&lt;&gt;0,),0)),IF(COUNTIF(AZ1327:BB1327,"&lt;&gt;0")=0,INDEX($AM$4:$AW$4,MATCH(1,$AM1327:$AW1327,0)),"Multiple strategies"))</f>
        <v>Silviculture for removals</v>
      </c>
      <c r="BG1327" s="1" t="s">
        <v>321</v>
      </c>
      <c r="BH1327" s="312" t="s">
        <v>3665</v>
      </c>
      <c r="BI1327" s="312"/>
      <c r="BJ1327" s="312" t="s">
        <v>345</v>
      </c>
      <c r="BK1327">
        <v>1</v>
      </c>
      <c r="BL1327">
        <v>1</v>
      </c>
      <c r="BN1327">
        <f>BL1327-BK1327</f>
        <v>0</v>
      </c>
      <c r="BO1327">
        <f>BN1327*10^6</f>
        <v>0</v>
      </c>
      <c r="BP1327" s="312" t="s">
        <v>232</v>
      </c>
      <c r="BR1327" s="312" t="s">
        <v>397</v>
      </c>
      <c r="BS1327">
        <f>3.5+1.91</f>
        <v>5.41</v>
      </c>
      <c r="BT1327">
        <f>4.99+1.91</f>
        <v>6.9</v>
      </c>
      <c r="BU1327" s="144">
        <f>BT1327/BS1327</f>
        <v>1.2754158964879851</v>
      </c>
      <c r="BV1327">
        <f>BT1327-BS1327</f>
        <v>1.4900000000000002</v>
      </c>
      <c r="BX1327">
        <f>BV1327/1000</f>
        <v>1.4900000000000002E-3</v>
      </c>
      <c r="BY1327" t="str">
        <f>IFERROR(BX1327/BO1327,"")</f>
        <v/>
      </c>
      <c r="BZ1327">
        <v>1</v>
      </c>
      <c r="CN1327" t="str">
        <f>IF($BL1327&lt;$BK1327,"refNeedCorrection","refOK")</f>
        <v>refOK</v>
      </c>
      <c r="CO1327">
        <f>IF($CN1327="refOK",$BK1327,$BL1327)</f>
        <v>1</v>
      </c>
      <c r="CP1327">
        <f>IF($CN1327="refOK",$BL1327,$BK1327)</f>
        <v>1</v>
      </c>
      <c r="CQ1327">
        <f>IF($CN1327="refOK",$BO1327,-$BO1327)</f>
        <v>0</v>
      </c>
      <c r="CR1327">
        <f>IF($CN1327="refOK",$BS1327,$BT1327)*IF($BP1327="Emissions positive",-1,1)</f>
        <v>5.41</v>
      </c>
      <c r="CS1327">
        <f>IF($CN1327="refOK",$BT1327,$BS1327)*IF($BP1327="Emissions positive",-1,1)</f>
        <v>6.9</v>
      </c>
      <c r="CT1327">
        <f>IF($CN1327="refNeedCorrection",-BX1327,BX1327)*IF($BP1327="Emissions positive",-1,1)</f>
        <v>1.4900000000000002E-3</v>
      </c>
      <c r="CU1327" t="str">
        <f>IFERROR(CT1327/CQ1327,"")</f>
        <v/>
      </c>
      <c r="CV1327" s="2">
        <f>IFERROR((CS1327-CR1327)/ABS(CR1327),"")</f>
        <v>0.27541589648798526</v>
      </c>
      <c r="CW1327" s="319" t="s">
        <v>263</v>
      </c>
      <c r="CX1327" s="312" t="str">
        <f>IF(OR($CW1327="prd",$CW1327="std",$CW1327="cit"),"loc",IF(OR($CW1327="eur",$CW1327="reg",$CW1327="coy"),"reg",$CW1327))</f>
        <v>loc</v>
      </c>
      <c r="CY1327" s="318" t="s">
        <v>732</v>
      </c>
      <c r="DB1327">
        <v>3</v>
      </c>
      <c r="DC1327" t="str">
        <f>IF(DB1327=0,"0",IF(AND(DB1327&gt;=1,DB1327&lt;=30),"1-30",IF(AND(DB1327&gt;30,DB1327&lt;=70),"31-70",IF(AND(DB1327&gt;70,DB1327&lt;=100),"71-100",IF(DB1327&gt;100,"+100")))))</f>
        <v>1-30</v>
      </c>
      <c r="DD1327">
        <v>0</v>
      </c>
      <c r="DE1327">
        <v>1</v>
      </c>
      <c r="DF1327">
        <v>0</v>
      </c>
      <c r="DG1327">
        <v>0</v>
      </c>
      <c r="DH1327">
        <v>0</v>
      </c>
      <c r="DI1327">
        <f>SUM(DD1327:DH1327)</f>
        <v>1</v>
      </c>
      <c r="DJ1327" t="str">
        <f>IF(DI1327=1,INDEX($DD$7:$DG$7,MATCH(1,$DD1327:$DG1327,0)),"mixedProduct")</f>
        <v>EnergyInput</v>
      </c>
      <c r="DK1327">
        <f>IF(DD1327=1,DK$7,0)</f>
        <v>0</v>
      </c>
      <c r="DL1327" t="str">
        <f>IF(DE1327=1,DL$7,0)</f>
        <v>Energy</v>
      </c>
      <c r="DM1327">
        <f>IF(DF1327=1,DM$7,0)</f>
        <v>0</v>
      </c>
      <c r="DN1327">
        <f>IF(DG1327=1,DN$7,0)</f>
        <v>0</v>
      </c>
      <c r="DO1327">
        <v>0</v>
      </c>
      <c r="DP1327">
        <v>0</v>
      </c>
      <c r="DQ1327">
        <v>0</v>
      </c>
      <c r="DR1327">
        <v>0</v>
      </c>
      <c r="DS1327">
        <v>0</v>
      </c>
      <c r="DT1327"/>
      <c r="DU1327" t="str">
        <f>IF(DO1327=1,"self-calculated DF",IF(DP1327=1,"external DF used","explicit C balance"))</f>
        <v>explicit C balance</v>
      </c>
      <c r="DV1327">
        <v>1</v>
      </c>
      <c r="DW1327">
        <v>0</v>
      </c>
      <c r="DX1327">
        <v>0</v>
      </c>
      <c r="DY1327">
        <v>1</v>
      </c>
      <c r="DZ1327">
        <v>0</v>
      </c>
      <c r="EA1327">
        <v>0</v>
      </c>
      <c r="EB1327">
        <v>0</v>
      </c>
      <c r="EC1327">
        <v>0</v>
      </c>
      <c r="ED1327">
        <v>0</v>
      </c>
      <c r="EE1327">
        <v>0</v>
      </c>
      <c r="EF1327">
        <v>0</v>
      </c>
      <c r="EG1327">
        <v>0</v>
      </c>
      <c r="EH1327">
        <v>0</v>
      </c>
      <c r="EI1327" s="2">
        <v>0</v>
      </c>
      <c r="EK1327" t="str">
        <f>IF(AND(AND(AND(OR($DX1327=1,$DW1327=1),OR($EC1327=1,$EA1327=1)),SUM($DV1327:$DZ1327,$EF1327)&gt;=3),SUM($EA1327:$EE1327)&gt;=2),"Whole sector","")</f>
        <v/>
      </c>
      <c r="EL1327" t="str">
        <f>IF(AND(AND(OR($DX1327=1,$DW1327=1),AND($EC1327=0,$EA1327=0)),SUM($DV1327:$DZ1327,$EF1327)&gt;=3),"Ecosystem approach","")</f>
        <v/>
      </c>
      <c r="EM1327" s="2" t="str">
        <f>IF(AND(AND(AND($DX1327=0,$DW1327=0),OR($EC1327=1,$EA1327=1)),SUM($EB1327:$EE1327)&gt;=2),"Technology approach","")</f>
        <v/>
      </c>
      <c r="EP1327" t="b">
        <f>IF(ISNUMBER(BU1327),IF(ABS(BU1327-[5]QC_indicators!$B$2)&gt;3*[5]QC_indicators!$C$2,"C ratio",IF(ISNUMBER(BY1327),IF(ABS(BY1327-[5]QC_indicators!$B$1)&gt;3*[5]QC_indicators!$C$1,"DF","no"))),IF(ISNUMBER(BY1327),IF(ABS(BY1327-[5]QC_indicators!$B$1)&gt;3*[5]QC_indicators!$C$1,"DF","no")))</f>
        <v>0</v>
      </c>
    </row>
    <row r="1328" spans="1:146" ht="15" customHeight="1">
      <c r="A1328" s="1" t="s">
        <v>3654</v>
      </c>
      <c r="B1328" t="s">
        <v>3655</v>
      </c>
      <c r="C1328" t="s">
        <v>3656</v>
      </c>
      <c r="D1328" t="s">
        <v>3657</v>
      </c>
      <c r="E1328" s="312" t="s">
        <v>3658</v>
      </c>
      <c r="F1328" t="s">
        <v>3659</v>
      </c>
      <c r="G1328" t="s">
        <v>3660</v>
      </c>
      <c r="H1328" t="s">
        <v>254</v>
      </c>
      <c r="I1328">
        <v>2015</v>
      </c>
      <c r="J1328">
        <v>19</v>
      </c>
      <c r="K1328" t="s">
        <v>3661</v>
      </c>
      <c r="M1328" t="str">
        <f>LEFT($D1328,FIND(",",$D1328)-1)&amp;"_"&amp;I1328&amp;L1328</f>
        <v>Guo_2015</v>
      </c>
      <c r="N1328" s="312" t="s">
        <v>4383</v>
      </c>
      <c r="O1328" s="312" t="s">
        <v>223</v>
      </c>
      <c r="Q1328" s="312" t="s">
        <v>389</v>
      </c>
      <c r="R1328" s="313"/>
      <c r="S1328" s="154" t="s">
        <v>3662</v>
      </c>
      <c r="T1328" s="314" t="s">
        <v>3663</v>
      </c>
      <c r="U1328" s="312" t="s">
        <v>3669</v>
      </c>
      <c r="V1328">
        <v>0</v>
      </c>
      <c r="W1328">
        <v>0</v>
      </c>
      <c r="X1328">
        <v>1</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s="141">
        <f>COUNTIF(V1328:AW1328,"&lt;&gt;0")</f>
        <v>1</v>
      </c>
      <c r="AY1328" s="141">
        <f>COUNTIF(V1328:AL1328,"&lt;&gt;0")</f>
        <v>1</v>
      </c>
      <c r="AZ1328">
        <f>COUNTIF(V1328:AC1328,"&lt;&gt;0")</f>
        <v>1</v>
      </c>
      <c r="BA1328">
        <f>COUNTIF(AD1328:AI1328,"&lt;&gt;0")</f>
        <v>0</v>
      </c>
      <c r="BB1328">
        <f>COUNTIF(AJ1328:AL1328,"&lt;&gt;0")</f>
        <v>0</v>
      </c>
      <c r="BC1328">
        <f>COUNTIF(AS1328:AW1328,"&lt;&gt;0")</f>
        <v>0</v>
      </c>
      <c r="BD1328">
        <f>COUNTIF(AM1328:AR1328,"&lt;&gt;0")</f>
        <v>0</v>
      </c>
      <c r="BE1328" t="str" cm="1">
        <f t="array" ref="BE1328">IF(AY1328=1,INDEX($V$7:$AL$7,MATCH(TRUE,INDEX($V1328:$AW1328&lt;&gt;0,),0)),IF(AY1328=0,INDEX($AM$7:$AW$7,MATCH(1,$AM1328:$AW1328,0)),IF(BF1328="Multiple strategies","mixed drivers",IF(BF1328="Supply chain","multiple supply","multiple silviculture"))))</f>
        <v>rotation length</v>
      </c>
      <c r="BF1328" s="2" t="str" cm="1">
        <f t="array" ref="BF1328">IF(COUNTIF(AZ1328:BB1328,"&lt;&gt;0")=1,INDEX($V$4:$AW$4,MATCH(TRUE,INDEX($V1328:$AW1328&lt;&gt;0,),0)),IF(COUNTIF(AZ1328:BB1328,"&lt;&gt;0")=0,INDEX($AM$4:$AW$4,MATCH(1,$AM1328:$AW1328,0)),"Multiple strategies"))</f>
        <v>Silviculture for removals</v>
      </c>
      <c r="BG1328" s="1" t="s">
        <v>321</v>
      </c>
      <c r="BH1328" s="312" t="s">
        <v>3665</v>
      </c>
      <c r="BI1328" s="312"/>
      <c r="BJ1328" s="312" t="s">
        <v>345</v>
      </c>
      <c r="BK1328">
        <v>1</v>
      </c>
      <c r="BL1328">
        <v>1</v>
      </c>
      <c r="BN1328">
        <f>BL1328-BK1328</f>
        <v>0</v>
      </c>
      <c r="BO1328">
        <f>BN1328*10^6</f>
        <v>0</v>
      </c>
      <c r="BP1328" s="312" t="s">
        <v>395</v>
      </c>
      <c r="BR1328" s="312" t="s">
        <v>397</v>
      </c>
      <c r="BS1328">
        <f>-2.1</f>
        <v>-2.1</v>
      </c>
      <c r="BT1328">
        <v>-3.19</v>
      </c>
      <c r="BV1328">
        <f>BT1328-BS1328</f>
        <v>-1.0899999999999999</v>
      </c>
      <c r="BX1328">
        <f>BV1328/1000</f>
        <v>-1.0899999999999998E-3</v>
      </c>
      <c r="BY1328" t="str">
        <f>IFERROR(BX1328/BO1328,"")</f>
        <v/>
      </c>
      <c r="BZ1328">
        <v>1</v>
      </c>
      <c r="CN1328" t="str">
        <f>IF($BL1328&lt;$BK1328,"refNeedCorrection","refOK")</f>
        <v>refOK</v>
      </c>
      <c r="CO1328">
        <f>IF($CN1328="refOK",$BK1328,$BL1328)</f>
        <v>1</v>
      </c>
      <c r="CP1328">
        <f>IF($CN1328="refOK",$BL1328,$BK1328)</f>
        <v>1</v>
      </c>
      <c r="CQ1328">
        <f>IF($CN1328="refOK",$BO1328,-$BO1328)</f>
        <v>0</v>
      </c>
      <c r="CR1328">
        <f>IF($CN1328="refOK",$BS1328,$BT1328)*IF($BP1328="Emissions positive",-1,1)</f>
        <v>2.1</v>
      </c>
      <c r="CS1328">
        <f>IF($CN1328="refOK",$BT1328,$BS1328)*IF($BP1328="Emissions positive",-1,1)</f>
        <v>3.19</v>
      </c>
      <c r="CT1328">
        <f>IF($CN1328="refNeedCorrection",-BX1328,BX1328)*IF($BP1328="Emissions positive",-1,1)</f>
        <v>1.0899999999999998E-3</v>
      </c>
      <c r="CU1328" t="str">
        <f>IFERROR(CT1328/CQ1328,"")</f>
        <v/>
      </c>
      <c r="CV1328" s="2">
        <f>IFERROR((CS1328-CR1328)/ABS(CR1328),"")</f>
        <v>0.51904761904761898</v>
      </c>
      <c r="CW1328" s="319" t="s">
        <v>263</v>
      </c>
      <c r="CX1328" s="312" t="str">
        <f>IF(OR($CW1328="prd",$CW1328="std",$CW1328="cit"),"loc",IF(OR($CW1328="eur",$CW1328="reg",$CW1328="coy"),"reg",$CW1328))</f>
        <v>loc</v>
      </c>
      <c r="CY1328" s="318" t="s">
        <v>732</v>
      </c>
      <c r="DB1328">
        <v>3</v>
      </c>
      <c r="DC1328" t="str">
        <f>IF(DB1328=0,"0",IF(AND(DB1328&gt;=1,DB1328&lt;=30),"1-30",IF(AND(DB1328&gt;30,DB1328&lt;=70),"31-70",IF(AND(DB1328&gt;70,DB1328&lt;=100),"71-100",IF(DB1328&gt;100,"+100")))))</f>
        <v>1-30</v>
      </c>
      <c r="DD1328">
        <v>0</v>
      </c>
      <c r="DE1328">
        <v>1</v>
      </c>
      <c r="DF1328">
        <v>0</v>
      </c>
      <c r="DG1328">
        <v>0</v>
      </c>
      <c r="DH1328">
        <v>0</v>
      </c>
      <c r="DI1328">
        <f>SUM(DD1328:DH1328)</f>
        <v>1</v>
      </c>
      <c r="DJ1328" t="str">
        <f>IF(DI1328=1,INDEX($DD$7:$DG$7,MATCH(1,$DD1328:$DG1328,0)),"mixedProduct")</f>
        <v>EnergyInput</v>
      </c>
      <c r="DK1328">
        <f>IF(DD1328=1,DK$7,0)</f>
        <v>0</v>
      </c>
      <c r="DL1328" t="str">
        <f>IF(DE1328=1,DL$7,0)</f>
        <v>Energy</v>
      </c>
      <c r="DM1328">
        <f>IF(DF1328=1,DM$7,0)</f>
        <v>0</v>
      </c>
      <c r="DN1328">
        <f>IF(DG1328=1,DN$7,0)</f>
        <v>0</v>
      </c>
      <c r="DO1328">
        <v>0</v>
      </c>
      <c r="DP1328">
        <v>0</v>
      </c>
      <c r="DQ1328">
        <v>0</v>
      </c>
      <c r="DR1328">
        <v>0</v>
      </c>
      <c r="DS1328">
        <v>0</v>
      </c>
      <c r="DT1328"/>
      <c r="DU1328" t="str">
        <f>IF(DO1328=1,"self-calculated DF",IF(DP1328=1,"external DF used","explicit C balance"))</f>
        <v>explicit C balance</v>
      </c>
      <c r="DV1328">
        <v>1</v>
      </c>
      <c r="DW1328">
        <v>0</v>
      </c>
      <c r="DX1328">
        <v>0</v>
      </c>
      <c r="DY1328">
        <v>1</v>
      </c>
      <c r="DZ1328">
        <v>0</v>
      </c>
      <c r="EA1328">
        <v>0</v>
      </c>
      <c r="EB1328">
        <v>1</v>
      </c>
      <c r="EC1328">
        <v>1</v>
      </c>
      <c r="ED1328">
        <v>0</v>
      </c>
      <c r="EE1328">
        <v>0</v>
      </c>
      <c r="EF1328">
        <v>0</v>
      </c>
      <c r="EG1328">
        <v>0</v>
      </c>
      <c r="EH1328">
        <v>0</v>
      </c>
      <c r="EI1328" s="2">
        <v>0</v>
      </c>
      <c r="EK1328" t="str">
        <f>IF(AND(AND(AND(OR($DX1328=1,$DW1328=1),OR($EC1328=1,$EA1328=1)),SUM($DV1328:$DZ1328,$EF1328)&gt;=3),SUM($EA1328:$EE1328)&gt;=2),"Whole sector","")</f>
        <v/>
      </c>
      <c r="EL1328" t="str">
        <f>IF(AND(AND(OR($DX1328=1,$DW1328=1),AND($EC1328=0,$EA1328=0)),SUM($DV1328:$DZ1328,$EF1328)&gt;=3),"Ecosystem approach","")</f>
        <v/>
      </c>
      <c r="EM1328" s="2" t="str">
        <f>IF(AND(AND(AND($DX1328=0,$DW1328=0),OR($EC1328=1,$EA1328=1)),SUM($EB1328:$EE1328)&gt;=2),"Technology approach","")</f>
        <v>Technology approach</v>
      </c>
      <c r="EP1328" t="b">
        <f>IF(ISNUMBER(BU1328),IF(ABS(BU1328-[5]QC_indicators!$B$2)&gt;3*[5]QC_indicators!$C$2,"C ratio",IF(ISNUMBER(BY1328),IF(ABS(BY1328-[5]QC_indicators!$B$1)&gt;3*[5]QC_indicators!$C$1,"DF","no"))),IF(ISNUMBER(BY1328),IF(ABS(BY1328-[5]QC_indicators!$B$1)&gt;3*[5]QC_indicators!$C$1,"DF","no")))</f>
        <v>0</v>
      </c>
    </row>
    <row r="1329" spans="1:148" ht="15" customHeight="1">
      <c r="A1329" s="1" t="s">
        <v>3654</v>
      </c>
      <c r="B1329" t="s">
        <v>3655</v>
      </c>
      <c r="C1329" t="s">
        <v>3656</v>
      </c>
      <c r="D1329" t="s">
        <v>3657</v>
      </c>
      <c r="E1329" s="312" t="s">
        <v>3658</v>
      </c>
      <c r="F1329" t="s">
        <v>3659</v>
      </c>
      <c r="G1329" t="s">
        <v>3660</v>
      </c>
      <c r="H1329" t="s">
        <v>254</v>
      </c>
      <c r="I1329">
        <v>2015</v>
      </c>
      <c r="J1329">
        <v>19</v>
      </c>
      <c r="K1329" t="s">
        <v>3661</v>
      </c>
      <c r="M1329" t="str">
        <f>LEFT($D1329,FIND(",",$D1329)-1)&amp;"_"&amp;I1329&amp;L1329</f>
        <v>Guo_2015</v>
      </c>
      <c r="N1329" s="312" t="s">
        <v>4383</v>
      </c>
      <c r="O1329" s="312" t="s">
        <v>223</v>
      </c>
      <c r="Q1329" s="312" t="s">
        <v>389</v>
      </c>
      <c r="R1329" s="313"/>
      <c r="S1329" s="154" t="s">
        <v>3670</v>
      </c>
      <c r="T1329" s="314" t="s">
        <v>3671</v>
      </c>
      <c r="U1329" s="312" t="s">
        <v>3672</v>
      </c>
      <c r="V1329">
        <v>0</v>
      </c>
      <c r="W1329">
        <v>0</v>
      </c>
      <c r="X1329">
        <v>0</v>
      </c>
      <c r="Y1329">
        <v>0</v>
      </c>
      <c r="Z1329">
        <v>0</v>
      </c>
      <c r="AA1329">
        <v>0</v>
      </c>
      <c r="AB1329">
        <v>0</v>
      </c>
      <c r="AC1329">
        <v>0</v>
      </c>
      <c r="AD1329">
        <v>0</v>
      </c>
      <c r="AE1329">
        <v>0</v>
      </c>
      <c r="AF1329">
        <v>0</v>
      </c>
      <c r="AG1329">
        <v>0</v>
      </c>
      <c r="AH1329">
        <v>0</v>
      </c>
      <c r="AI1329">
        <v>0</v>
      </c>
      <c r="AJ1329">
        <v>0</v>
      </c>
      <c r="AK1329">
        <v>1</v>
      </c>
      <c r="AL1329">
        <v>0</v>
      </c>
      <c r="AM1329">
        <v>0</v>
      </c>
      <c r="AN1329">
        <v>0</v>
      </c>
      <c r="AO1329">
        <v>0</v>
      </c>
      <c r="AP1329">
        <v>0</v>
      </c>
      <c r="AQ1329">
        <v>0</v>
      </c>
      <c r="AR1329">
        <v>0</v>
      </c>
      <c r="AS1329">
        <v>0</v>
      </c>
      <c r="AT1329">
        <v>0</v>
      </c>
      <c r="AU1329">
        <v>0</v>
      </c>
      <c r="AV1329">
        <v>0</v>
      </c>
      <c r="AW1329">
        <v>0</v>
      </c>
      <c r="AX1329" s="141">
        <f>COUNTIF(V1329:AW1329,"&lt;&gt;0")</f>
        <v>1</v>
      </c>
      <c r="AY1329" s="141">
        <f>COUNTIF(V1329:AL1329,"&lt;&gt;0")</f>
        <v>1</v>
      </c>
      <c r="AZ1329">
        <f>COUNTIF(V1329:AC1329,"&lt;&gt;0")</f>
        <v>0</v>
      </c>
      <c r="BA1329">
        <f>COUNTIF(AD1329:AI1329,"&lt;&gt;0")</f>
        <v>0</v>
      </c>
      <c r="BB1329">
        <f>COUNTIF(AJ1329:AL1329,"&lt;&gt;0")</f>
        <v>1</v>
      </c>
      <c r="BC1329">
        <f>COUNTIF(AS1329:AW1329,"&lt;&gt;0")</f>
        <v>0</v>
      </c>
      <c r="BD1329">
        <f>COUNTIF(AM1329:AR1329,"&lt;&gt;0")</f>
        <v>0</v>
      </c>
      <c r="BE1329" t="str" cm="1">
        <f t="array" ref="BE1329">IF(AY1329=1,INDEX($V$7:$AL$7,MATCH(TRUE,INDEX($V1329:$AW1329&lt;&gt;0,),0)),IF(AY1329=0,INDEX($AM$7:$AW$7,MATCH(1,$AM1329:$AW1329,0)),IF(BF1329="Multiple strategies","mixed drivers",IF(BF1329="Supply chain","multiple supply","multiple silviculture"))))</f>
        <v>technologies/design switch</v>
      </c>
      <c r="BF1329" s="2" t="str" cm="1">
        <f t="array" ref="BF1329">IF(COUNTIF(AZ1329:BB1329,"&lt;&gt;0")=1,INDEX($V$4:$AW$4,MATCH(TRUE,INDEX($V1329:$AW1329&lt;&gt;0,),0)),IF(COUNTIF(AZ1329:BB1329,"&lt;&gt;0")=0,INDEX($AM$4:$AW$4,MATCH(1,$AM1329:$AW1329,0)),"Multiple strategies"))</f>
        <v>Technology</v>
      </c>
      <c r="BG1329" s="1" t="s">
        <v>321</v>
      </c>
      <c r="BH1329" s="312" t="s">
        <v>3665</v>
      </c>
      <c r="BI1329" s="312"/>
      <c r="BJ1329" s="312" t="s">
        <v>345</v>
      </c>
      <c r="BK1329">
        <v>1</v>
      </c>
      <c r="BL1329">
        <v>1</v>
      </c>
      <c r="BN1329">
        <f>BL1329-BK1329</f>
        <v>0</v>
      </c>
      <c r="BO1329">
        <f>BN1329*10^6</f>
        <v>0</v>
      </c>
      <c r="BP1329" s="312" t="s">
        <v>395</v>
      </c>
      <c r="BR1329" s="312" t="s">
        <v>397</v>
      </c>
      <c r="BS1329">
        <f>-2.1</f>
        <v>-2.1</v>
      </c>
      <c r="BT1329">
        <v>-2.87</v>
      </c>
      <c r="BV1329">
        <f>BT1329-BS1329</f>
        <v>-0.77</v>
      </c>
      <c r="BX1329">
        <f>BV1329/1000</f>
        <v>-7.7000000000000007E-4</v>
      </c>
      <c r="BY1329" t="str">
        <f>IFERROR(BX1329/BO1329,"")</f>
        <v/>
      </c>
      <c r="BZ1329">
        <v>1</v>
      </c>
      <c r="CN1329" t="str">
        <f>IF($BL1329&lt;$BK1329,"refNeedCorrection","refOK")</f>
        <v>refOK</v>
      </c>
      <c r="CO1329">
        <f>IF($CN1329="refOK",$BK1329,$BL1329)</f>
        <v>1</v>
      </c>
      <c r="CP1329">
        <f>IF($CN1329="refOK",$BL1329,$BK1329)</f>
        <v>1</v>
      </c>
      <c r="CQ1329">
        <f>IF($CN1329="refOK",$BO1329,-$BO1329)</f>
        <v>0</v>
      </c>
      <c r="CR1329">
        <f>IF($CN1329="refOK",$BS1329,$BT1329)*IF($BP1329="Emissions positive",-1,1)</f>
        <v>2.1</v>
      </c>
      <c r="CS1329">
        <f>IF($CN1329="refOK",$BT1329,$BS1329)*IF($BP1329="Emissions positive",-1,1)</f>
        <v>2.87</v>
      </c>
      <c r="CT1329">
        <f>IF($CN1329="refNeedCorrection",-BX1329,BX1329)*IF($BP1329="Emissions positive",-1,1)</f>
        <v>7.7000000000000007E-4</v>
      </c>
      <c r="CU1329" t="str">
        <f>IFERROR(CT1329/CQ1329,"")</f>
        <v/>
      </c>
      <c r="CV1329" s="2">
        <f>IFERROR((CS1329-CR1329)/ABS(CR1329),"")</f>
        <v>0.36666666666666664</v>
      </c>
      <c r="CW1329" s="319" t="s">
        <v>263</v>
      </c>
      <c r="CX1329" s="312" t="str">
        <f>IF(OR($CW1329="prd",$CW1329="std",$CW1329="cit"),"loc",IF(OR($CW1329="eur",$CW1329="reg",$CW1329="coy"),"reg",$CW1329))</f>
        <v>loc</v>
      </c>
      <c r="CY1329" s="318" t="s">
        <v>732</v>
      </c>
      <c r="DB1329">
        <v>3</v>
      </c>
      <c r="DC1329" t="str">
        <f>IF(DB1329=0,"0",IF(AND(DB1329&gt;=1,DB1329&lt;=30),"1-30",IF(AND(DB1329&gt;30,DB1329&lt;=70),"31-70",IF(AND(DB1329&gt;70,DB1329&lt;=100),"71-100",IF(DB1329&gt;100,"+100")))))</f>
        <v>1-30</v>
      </c>
      <c r="DD1329">
        <v>0</v>
      </c>
      <c r="DE1329">
        <v>1</v>
      </c>
      <c r="DF1329">
        <v>0</v>
      </c>
      <c r="DG1329">
        <v>0</v>
      </c>
      <c r="DH1329">
        <v>0</v>
      </c>
      <c r="DI1329">
        <f>SUM(DD1329:DH1329)</f>
        <v>1</v>
      </c>
      <c r="DJ1329" t="str">
        <f>IF(DI1329=1,INDEX($DD$7:$DG$7,MATCH(1,$DD1329:$DG1329,0)),"mixedProduct")</f>
        <v>EnergyInput</v>
      </c>
      <c r="DK1329">
        <f>IF(DD1329=1,DK$7,0)</f>
        <v>0</v>
      </c>
      <c r="DL1329" t="str">
        <f>IF(DE1329=1,DL$7,0)</f>
        <v>Energy</v>
      </c>
      <c r="DM1329">
        <f>IF(DF1329=1,DM$7,0)</f>
        <v>0</v>
      </c>
      <c r="DN1329">
        <f>IF(DG1329=1,DN$7,0)</f>
        <v>0</v>
      </c>
      <c r="DO1329">
        <v>0</v>
      </c>
      <c r="DP1329">
        <v>0</v>
      </c>
      <c r="DQ1329">
        <v>0</v>
      </c>
      <c r="DR1329">
        <v>0</v>
      </c>
      <c r="DS1329">
        <v>0</v>
      </c>
      <c r="DT1329"/>
      <c r="DU1329" t="str">
        <f>IF(DO1329=1,"self-calculated DF",IF(DP1329=1,"external DF used","explicit C balance"))</f>
        <v>explicit C balance</v>
      </c>
      <c r="DV1329">
        <v>1</v>
      </c>
      <c r="DW1329">
        <v>0</v>
      </c>
      <c r="DX1329">
        <v>0</v>
      </c>
      <c r="DY1329">
        <v>1</v>
      </c>
      <c r="DZ1329">
        <v>0</v>
      </c>
      <c r="EA1329">
        <v>0</v>
      </c>
      <c r="EB1329">
        <v>1</v>
      </c>
      <c r="EC1329">
        <v>1</v>
      </c>
      <c r="ED1329">
        <v>0</v>
      </c>
      <c r="EE1329">
        <v>0</v>
      </c>
      <c r="EF1329">
        <v>0</v>
      </c>
      <c r="EG1329">
        <v>0</v>
      </c>
      <c r="EH1329">
        <v>0</v>
      </c>
      <c r="EI1329" s="2">
        <v>0</v>
      </c>
      <c r="EK1329" t="str">
        <f>IF(AND(AND(AND(OR($DX1329=1,$DW1329=1),OR($EC1329=1,$EA1329=1)),SUM($DV1329:$DZ1329,$EF1329)&gt;=3),SUM($EA1329:$EE1329)&gt;=2),"Whole sector","")</f>
        <v/>
      </c>
      <c r="EL1329" t="str">
        <f>IF(AND(AND(OR($DX1329=1,$DW1329=1),AND($EC1329=0,$EA1329=0)),SUM($DV1329:$DZ1329,$EF1329)&gt;=3),"Ecosystem approach","")</f>
        <v/>
      </c>
      <c r="EM1329" s="2" t="str">
        <f>IF(AND(AND(AND($DX1329=0,$DW1329=0),OR($EC1329=1,$EA1329=1)),SUM($EB1329:$EE1329)&gt;=2),"Technology approach","")</f>
        <v>Technology approach</v>
      </c>
      <c r="EP1329" t="b">
        <f>IF(ISNUMBER(BU1329),IF(ABS(BU1329-[5]QC_indicators!$B$2)&gt;3*[5]QC_indicators!$C$2,"C ratio",IF(ISNUMBER(BY1329),IF(ABS(BY1329-[5]QC_indicators!$B$1)&gt;3*[5]QC_indicators!$C$1,"DF","no"))),IF(ISNUMBER(BY1329),IF(ABS(BY1329-[5]QC_indicators!$B$1)&gt;3*[5]QC_indicators!$C$1,"DF","no")))</f>
        <v>0</v>
      </c>
    </row>
    <row r="1330" spans="1:148" ht="15" customHeight="1">
      <c r="A1330" s="1" t="s">
        <v>3654</v>
      </c>
      <c r="B1330" t="s">
        <v>3655</v>
      </c>
      <c r="C1330" t="s">
        <v>3656</v>
      </c>
      <c r="D1330" t="s">
        <v>3657</v>
      </c>
      <c r="E1330" s="312" t="s">
        <v>3658</v>
      </c>
      <c r="F1330" t="s">
        <v>3659</v>
      </c>
      <c r="G1330" t="s">
        <v>3660</v>
      </c>
      <c r="H1330" t="s">
        <v>254</v>
      </c>
      <c r="I1330">
        <v>2015</v>
      </c>
      <c r="J1330">
        <v>19</v>
      </c>
      <c r="K1330" t="s">
        <v>3661</v>
      </c>
      <c r="M1330" t="str">
        <f>LEFT($D1330,FIND(",",$D1330)-1)&amp;"_"&amp;I1330&amp;L1330</f>
        <v>Guo_2015</v>
      </c>
      <c r="N1330" s="312" t="s">
        <v>4383</v>
      </c>
      <c r="O1330" s="312" t="s">
        <v>223</v>
      </c>
      <c r="Q1330" s="312" t="s">
        <v>389</v>
      </c>
      <c r="R1330" s="313"/>
      <c r="S1330" s="154" t="s">
        <v>3670</v>
      </c>
      <c r="T1330" s="314" t="s">
        <v>3671</v>
      </c>
      <c r="U1330" s="312" t="s">
        <v>3672</v>
      </c>
      <c r="V1330">
        <v>0</v>
      </c>
      <c r="W1330">
        <v>0</v>
      </c>
      <c r="X1330">
        <v>0</v>
      </c>
      <c r="Y1330">
        <v>0</v>
      </c>
      <c r="Z1330">
        <v>0</v>
      </c>
      <c r="AA1330">
        <v>0</v>
      </c>
      <c r="AB1330">
        <v>0</v>
      </c>
      <c r="AC1330">
        <v>0</v>
      </c>
      <c r="AD1330">
        <v>0</v>
      </c>
      <c r="AE1330">
        <v>0</v>
      </c>
      <c r="AF1330">
        <v>0</v>
      </c>
      <c r="AG1330">
        <v>0</v>
      </c>
      <c r="AH1330">
        <v>0</v>
      </c>
      <c r="AI1330">
        <v>0</v>
      </c>
      <c r="AJ1330">
        <v>0</v>
      </c>
      <c r="AK1330">
        <v>1</v>
      </c>
      <c r="AL1330">
        <v>0</v>
      </c>
      <c r="AM1330">
        <v>0</v>
      </c>
      <c r="AN1330">
        <v>0</v>
      </c>
      <c r="AO1330">
        <v>0</v>
      </c>
      <c r="AP1330">
        <v>0</v>
      </c>
      <c r="AQ1330">
        <v>0</v>
      </c>
      <c r="AR1330">
        <v>0</v>
      </c>
      <c r="AS1330">
        <v>0</v>
      </c>
      <c r="AT1330">
        <v>0</v>
      </c>
      <c r="AU1330">
        <v>0</v>
      </c>
      <c r="AV1330">
        <v>0</v>
      </c>
      <c r="AW1330">
        <v>0</v>
      </c>
      <c r="AX1330" s="141">
        <f>COUNTIF(V1330:AW1330,"&lt;&gt;0")</f>
        <v>1</v>
      </c>
      <c r="AY1330" s="141">
        <f>COUNTIF(V1330:AL1330,"&lt;&gt;0")</f>
        <v>1</v>
      </c>
      <c r="AZ1330">
        <f>COUNTIF(V1330:AC1330,"&lt;&gt;0")</f>
        <v>0</v>
      </c>
      <c r="BA1330">
        <f>COUNTIF(AD1330:AI1330,"&lt;&gt;0")</f>
        <v>0</v>
      </c>
      <c r="BB1330">
        <f>COUNTIF(AJ1330:AL1330,"&lt;&gt;0")</f>
        <v>1</v>
      </c>
      <c r="BC1330">
        <f>COUNTIF(AS1330:AW1330,"&lt;&gt;0")</f>
        <v>0</v>
      </c>
      <c r="BD1330">
        <f>COUNTIF(AM1330:AR1330,"&lt;&gt;0")</f>
        <v>0</v>
      </c>
      <c r="BE1330" t="str" cm="1">
        <f t="array" ref="BE1330">IF(AY1330=1,INDEX($V$7:$AL$7,MATCH(TRUE,INDEX($V1330:$AW1330&lt;&gt;0,),0)),IF(AY1330=0,INDEX($AM$7:$AW$7,MATCH(1,$AM1330:$AW1330,0)),IF(BF1330="Multiple strategies","mixed drivers",IF(BF1330="Supply chain","multiple supply","multiple silviculture"))))</f>
        <v>technologies/design switch</v>
      </c>
      <c r="BF1330" s="2" t="str" cm="1">
        <f t="array" ref="BF1330">IF(COUNTIF(AZ1330:BB1330,"&lt;&gt;0")=1,INDEX($V$4:$AW$4,MATCH(TRUE,INDEX($V1330:$AW1330&lt;&gt;0,),0)),IF(COUNTIF(AZ1330:BB1330,"&lt;&gt;0")=0,INDEX($AM$4:$AW$4,MATCH(1,$AM1330:$AW1330,0)),"Multiple strategies"))</f>
        <v>Technology</v>
      </c>
      <c r="BG1330" s="1" t="s">
        <v>321</v>
      </c>
      <c r="BH1330" s="312" t="s">
        <v>3665</v>
      </c>
      <c r="BI1330" s="312"/>
      <c r="BJ1330" s="312" t="s">
        <v>345</v>
      </c>
      <c r="BK1330">
        <v>1</v>
      </c>
      <c r="BL1330">
        <v>1</v>
      </c>
      <c r="BN1330">
        <f>BL1330-BK1330</f>
        <v>0</v>
      </c>
      <c r="BO1330">
        <f>BN1330*10^6</f>
        <v>0</v>
      </c>
      <c r="BP1330" s="312" t="s">
        <v>395</v>
      </c>
      <c r="BR1330" s="312" t="s">
        <v>397</v>
      </c>
      <c r="BS1330">
        <f>-2.1+2.74+1.91</f>
        <v>2.5499999999999998</v>
      </c>
      <c r="BT1330">
        <f>-2.87+3.5+1.91</f>
        <v>2.54</v>
      </c>
      <c r="BV1330">
        <f>BT1330-BS1330</f>
        <v>-9.9999999999997868E-3</v>
      </c>
      <c r="BX1330">
        <f>BV1330/1000</f>
        <v>-9.9999999999997874E-6</v>
      </c>
      <c r="BY1330" t="str">
        <f>IFERROR(BX1330/BO1330,"")</f>
        <v/>
      </c>
      <c r="BZ1330">
        <v>1</v>
      </c>
      <c r="CN1330" t="str">
        <f>IF($BL1330&lt;$BK1330,"refNeedCorrection","refOK")</f>
        <v>refOK</v>
      </c>
      <c r="CO1330">
        <f>IF($CN1330="refOK",$BK1330,$BL1330)</f>
        <v>1</v>
      </c>
      <c r="CP1330">
        <f>IF($CN1330="refOK",$BL1330,$BK1330)</f>
        <v>1</v>
      </c>
      <c r="CQ1330">
        <f>IF($CN1330="refOK",$BO1330,-$BO1330)</f>
        <v>0</v>
      </c>
      <c r="CR1330">
        <f>IF($CN1330="refOK",$BS1330,$BT1330)*IF($BP1330="Emissions positive",-1,1)</f>
        <v>-2.5499999999999998</v>
      </c>
      <c r="CS1330">
        <f>IF($CN1330="refOK",$BT1330,$BS1330)*IF($BP1330="Emissions positive",-1,1)</f>
        <v>-2.54</v>
      </c>
      <c r="CT1330">
        <f>IF($CN1330="refNeedCorrection",-BX1330,BX1330)*IF($BP1330="Emissions positive",-1,1)</f>
        <v>9.9999999999997874E-6</v>
      </c>
      <c r="CU1330" t="str">
        <f>IFERROR(CT1330/CQ1330,"")</f>
        <v/>
      </c>
      <c r="CV1330" s="2">
        <f>IFERROR((CS1330-CR1330)/ABS(CR1330),"")</f>
        <v>3.9215686274508971E-3</v>
      </c>
      <c r="CW1330" s="319" t="s">
        <v>263</v>
      </c>
      <c r="CX1330" s="312" t="str">
        <f>IF(OR($CW1330="prd",$CW1330="std",$CW1330="cit"),"loc",IF(OR($CW1330="eur",$CW1330="reg",$CW1330="coy"),"reg",$CW1330))</f>
        <v>loc</v>
      </c>
      <c r="CY1330" s="318" t="s">
        <v>732</v>
      </c>
      <c r="DB1330">
        <v>3</v>
      </c>
      <c r="DC1330" t="str">
        <f>IF(DB1330=0,"0",IF(AND(DB1330&gt;=1,DB1330&lt;=30),"1-30",IF(AND(DB1330&gt;30,DB1330&lt;=70),"31-70",IF(AND(DB1330&gt;70,DB1330&lt;=100),"71-100",IF(DB1330&gt;100,"+100")))))</f>
        <v>1-30</v>
      </c>
      <c r="DD1330">
        <v>0</v>
      </c>
      <c r="DE1330">
        <v>1</v>
      </c>
      <c r="DF1330">
        <v>0</v>
      </c>
      <c r="DG1330">
        <v>0</v>
      </c>
      <c r="DH1330">
        <v>0</v>
      </c>
      <c r="DI1330">
        <f>SUM(DD1330:DH1330)</f>
        <v>1</v>
      </c>
      <c r="DJ1330" t="str">
        <f>IF(DI1330=1,INDEX($DD$7:$DG$7,MATCH(1,$DD1330:$DG1330,0)),"mixedProduct")</f>
        <v>EnergyInput</v>
      </c>
      <c r="DK1330">
        <f>IF(DD1330=1,DK$7,0)</f>
        <v>0</v>
      </c>
      <c r="DL1330" t="str">
        <f>IF(DE1330=1,DL$7,0)</f>
        <v>Energy</v>
      </c>
      <c r="DM1330">
        <f>IF(DF1330=1,DM$7,0)</f>
        <v>0</v>
      </c>
      <c r="DN1330">
        <f>IF(DG1330=1,DN$7,0)</f>
        <v>0</v>
      </c>
      <c r="DO1330">
        <v>0</v>
      </c>
      <c r="DP1330">
        <v>0</v>
      </c>
      <c r="DQ1330">
        <v>0</v>
      </c>
      <c r="DR1330">
        <v>0</v>
      </c>
      <c r="DS1330">
        <v>0</v>
      </c>
      <c r="DT1330"/>
      <c r="DU1330" t="str">
        <f>IF(DO1330=1,"self-calculated DF",IF(DP1330=1,"external DF used","explicit C balance"))</f>
        <v>explicit C balance</v>
      </c>
      <c r="DV1330">
        <v>0</v>
      </c>
      <c r="DW1330">
        <v>0</v>
      </c>
      <c r="DX1330">
        <v>0</v>
      </c>
      <c r="DY1330">
        <v>0</v>
      </c>
      <c r="DZ1330">
        <v>0</v>
      </c>
      <c r="EA1330">
        <v>0</v>
      </c>
      <c r="EB1330">
        <v>1</v>
      </c>
      <c r="EC1330">
        <v>1</v>
      </c>
      <c r="ED1330">
        <v>0</v>
      </c>
      <c r="EE1330">
        <v>0</v>
      </c>
      <c r="EF1330">
        <v>0</v>
      </c>
      <c r="EG1330">
        <v>0</v>
      </c>
      <c r="EH1330">
        <v>0</v>
      </c>
      <c r="EI1330" s="2">
        <v>0</v>
      </c>
      <c r="EK1330" t="str">
        <f>IF(AND(AND(AND(OR($DX1330=1,$DW1330=1),OR($EC1330=1,$EA1330=1)),SUM($DV1330:$DZ1330,$EF1330)&gt;=3),SUM($EA1330:$EE1330)&gt;=2),"Whole sector","")</f>
        <v/>
      </c>
      <c r="EL1330" t="str">
        <f>IF(AND(AND(OR($DX1330=1,$DW1330=1),AND($EC1330=0,$EA1330=0)),SUM($DV1330:$DZ1330,$EF1330)&gt;=3),"Ecosystem approach","")</f>
        <v/>
      </c>
      <c r="EM1330" s="2" t="str">
        <f>IF(AND(AND(AND($DX1330=0,$DW1330=0),OR($EC1330=1,$EA1330=1)),SUM($EB1330:$EE1330)&gt;=2),"Technology approach","")</f>
        <v>Technology approach</v>
      </c>
      <c r="EP1330" t="b">
        <f>IF(ISNUMBER(BU1330),IF(ABS(BU1330-[5]QC_indicators!$B$2)&gt;3*[5]QC_indicators!$C$2,"C ratio",IF(ISNUMBER(BY1330),IF(ABS(BY1330-[5]QC_indicators!$B$1)&gt;3*[5]QC_indicators!$C$1,"DF","no"))),IF(ISNUMBER(BY1330),IF(ABS(BY1330-[5]QC_indicators!$B$1)&gt;3*[5]QC_indicators!$C$1,"DF","no")))</f>
        <v>0</v>
      </c>
    </row>
    <row r="1331" spans="1:148" ht="15" customHeight="1">
      <c r="A1331" s="319" t="s">
        <v>781</v>
      </c>
      <c r="D1331" t="s">
        <v>3673</v>
      </c>
      <c r="E1331" s="312" t="s">
        <v>3674</v>
      </c>
      <c r="F1331" s="312" t="s">
        <v>3675</v>
      </c>
      <c r="G1331" t="s">
        <v>782</v>
      </c>
      <c r="I1331">
        <v>2014</v>
      </c>
      <c r="J1331">
        <v>34</v>
      </c>
      <c r="K1331" s="295" t="s">
        <v>3676</v>
      </c>
      <c r="M1331" t="str">
        <f>LEFT($D1331,FIND(",",$D1331)-1)&amp;"_"&amp;I1331&amp;L1331</f>
        <v>Haus_2014</v>
      </c>
      <c r="N1331" s="312" t="s">
        <v>4383</v>
      </c>
      <c r="O1331" s="157" t="s">
        <v>223</v>
      </c>
      <c r="P1331" t="s">
        <v>223</v>
      </c>
      <c r="Q1331" s="312" t="s">
        <v>389</v>
      </c>
      <c r="R1331" s="313"/>
      <c r="S1331" s="154" t="s">
        <v>3677</v>
      </c>
      <c r="T1331" s="314" t="s">
        <v>3678</v>
      </c>
      <c r="U1331" s="143" t="s">
        <v>3679</v>
      </c>
      <c r="V1331">
        <v>1</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s="141">
        <f>COUNTIF(V1331:AW1331,"&lt;&gt;0")</f>
        <v>1</v>
      </c>
      <c r="AY1331" s="141">
        <f>COUNTIF(V1331:AL1331,"&lt;&gt;0")</f>
        <v>1</v>
      </c>
      <c r="AZ1331">
        <f>COUNTIF(V1331:AC1331,"&lt;&gt;0")</f>
        <v>1</v>
      </c>
      <c r="BA1331">
        <f>COUNTIF(AD1331:AI1331,"&lt;&gt;0")</f>
        <v>0</v>
      </c>
      <c r="BB1331">
        <f>COUNTIF(AJ1331:AL1331,"&lt;&gt;0")</f>
        <v>0</v>
      </c>
      <c r="BC1331">
        <f>COUNTIF(AS1331:AW1331,"&lt;&gt;0")</f>
        <v>0</v>
      </c>
      <c r="BD1331">
        <f>COUNTIF(AM1331:AR1331,"&lt;&gt;0")</f>
        <v>0</v>
      </c>
      <c r="BE1331" t="str" cm="1">
        <f t="array" ref="BE1331">IF(AY1331=1,INDEX($V$7:$AL$7,MATCH(TRUE,INDEX($V1331:$AW1331&lt;&gt;0,),0)),IF(AY1331=0,INDEX($AM$7:$AW$7,MATCH(1,$AM1331:$AW1331,0)),IF(BF1331="Multiple strategies","mixed drivers",IF(BF1331="Supply chain","multiple supply","multiple silviculture"))))</f>
        <v>area subject to harvest</v>
      </c>
      <c r="BF1331" s="2" t="str" cm="1">
        <f t="array" ref="BF1331">IF(COUNTIF(AZ1331:BB1331,"&lt;&gt;0")=1,INDEX($V$4:$AW$4,MATCH(TRUE,INDEX($V1331:$AW1331&lt;&gt;0,),0)),IF(COUNTIF(AZ1331:BB1331,"&lt;&gt;0")=0,INDEX($AM$4:$AW$4,MATCH(1,$AM1331:$AW1331,0)),"Multiple strategies"))</f>
        <v>Silviculture for removals</v>
      </c>
      <c r="BG1331" s="142"/>
      <c r="BJ1331" s="143"/>
      <c r="BL1331" s="143"/>
      <c r="BN1331" s="158"/>
      <c r="BO1331" s="159"/>
      <c r="BP1331" s="155" t="s">
        <v>232</v>
      </c>
      <c r="BQ1331" s="155" t="s">
        <v>783</v>
      </c>
      <c r="BR1331" s="141" t="s">
        <v>784</v>
      </c>
      <c r="BS1331" s="151">
        <v>608</v>
      </c>
      <c r="BT1331" s="151">
        <v>328</v>
      </c>
      <c r="BU1331" s="144">
        <f>BT1331/BS1331</f>
        <v>0.53947368421052633</v>
      </c>
      <c r="BV1331">
        <f>BT1331-BS1331</f>
        <v>-280</v>
      </c>
      <c r="BX1331">
        <f>BV1331</f>
        <v>-280</v>
      </c>
      <c r="BY1331" t="str">
        <f>IFERROR(BX1331/BO1331,"")</f>
        <v/>
      </c>
      <c r="BZ1331">
        <v>0</v>
      </c>
      <c r="CA1331">
        <v>0</v>
      </c>
      <c r="CB1331">
        <v>0</v>
      </c>
      <c r="CC1331">
        <v>0</v>
      </c>
      <c r="CD1331">
        <v>0</v>
      </c>
      <c r="CE1331">
        <v>0</v>
      </c>
      <c r="CF1331">
        <v>0</v>
      </c>
      <c r="CG1331">
        <v>0</v>
      </c>
      <c r="CH1331">
        <v>0</v>
      </c>
      <c r="CI1331">
        <v>0</v>
      </c>
      <c r="CJ1331">
        <v>0</v>
      </c>
      <c r="CK1331">
        <v>0</v>
      </c>
      <c r="CL1331">
        <v>0</v>
      </c>
      <c r="CM1331">
        <v>0</v>
      </c>
      <c r="CN1331" t="str">
        <f>IF($BL1331&lt;$BK1331,"refNeedCorrection","refOK")</f>
        <v>refOK</v>
      </c>
      <c r="CO1331"/>
      <c r="CP1331"/>
      <c r="CQ1331"/>
      <c r="CR1331">
        <f>IF($CN1331="refOK",$BS1331,$BT1331)*IF($BP1331="Emissions positive",-1,1)</f>
        <v>608</v>
      </c>
      <c r="CS1331">
        <f>IF($CN1331="refOK",$BT1331,$BS1331)*IF($BP1331="Emissions positive",-1,1)</f>
        <v>328</v>
      </c>
      <c r="CT1331">
        <f>IF($CN1331="refNeedCorrection",-BX1331,BX1331)*IF($BP1331="Emissions positive",-1,1)</f>
        <v>-280</v>
      </c>
      <c r="CU1331" t="str">
        <f>IFERROR(CT1331/CQ1331,"")</f>
        <v/>
      </c>
      <c r="CV1331" s="2">
        <f>IFERROR((CS1331-CR1331)/ABS(CR1331),"")</f>
        <v>-0.46052631578947367</v>
      </c>
      <c r="CW1331" s="319" t="s">
        <v>234</v>
      </c>
      <c r="CX1331" s="312" t="str">
        <f>IF(OR($CW1331="prd",$CW1331="std",$CW1331="cit"),"loc",IF(OR($CW1331="eur",$CW1331="reg",$CW1331="coy"),"reg",$CW1331))</f>
        <v>loc</v>
      </c>
      <c r="CY1331" s="318" t="s">
        <v>444</v>
      </c>
      <c r="DA1331" s="143"/>
      <c r="DB1331" s="143">
        <v>69</v>
      </c>
      <c r="DC1331" t="str">
        <f>IF(DB1331=0,"0",IF(AND(DB1331&gt;=1,DB1331&lt;=30),"1-30",IF(AND(DB1331&gt;30,DB1331&lt;=70),"31-70",IF(AND(DB1331&gt;70,DB1331&lt;=100),"71-100",IF(DB1331&gt;100,"+100")))))</f>
        <v>31-70</v>
      </c>
      <c r="DD1331">
        <v>1</v>
      </c>
      <c r="DE1331">
        <v>1</v>
      </c>
      <c r="DF1331">
        <v>1</v>
      </c>
      <c r="DG1331">
        <v>1</v>
      </c>
      <c r="DH1331">
        <v>0</v>
      </c>
      <c r="DI1331">
        <f>SUM(DD1331:DG1331)</f>
        <v>4</v>
      </c>
      <c r="DJ1331" t="str">
        <f>IF(DI1331=1,INDEX($DD$7:$DG$7,MATCH(1,$DD1331:$DG1331,0)),"mixedProduct")</f>
        <v>mixedProduct</v>
      </c>
      <c r="DK1331" t="str">
        <f>IF(DD1331=1,DK$7,0)</f>
        <v>Upstream</v>
      </c>
      <c r="DL1331" t="str">
        <f>IF(DE1331=1,DL$7,0)</f>
        <v>Energy</v>
      </c>
      <c r="DM1331" t="str">
        <f>IF(DF1331=1,DM$7,0)</f>
        <v>Pulp/Paper</v>
      </c>
      <c r="DN1331" t="str">
        <f>IF(DG1331=1,DN$7,0)</f>
        <v>Timber</v>
      </c>
      <c r="DO1331">
        <v>0</v>
      </c>
      <c r="DP1331" s="143">
        <v>0</v>
      </c>
      <c r="DQ1331" s="143">
        <v>0</v>
      </c>
      <c r="DR1331">
        <v>0</v>
      </c>
      <c r="DS1331" s="143">
        <v>0</v>
      </c>
      <c r="DT1331">
        <f>SUM(DO1331:DP1331)</f>
        <v>0</v>
      </c>
      <c r="DU1331" s="143" t="str">
        <f>IF(DO1331=1,"self-calculated DF",IF(DP1331=1,"external DF used","explicit C balance"))</f>
        <v>explicit C balance</v>
      </c>
      <c r="DV1331" s="143">
        <v>0</v>
      </c>
      <c r="DW1331" s="143">
        <v>1</v>
      </c>
      <c r="DX1331" s="143">
        <v>1</v>
      </c>
      <c r="DY1331" s="143">
        <v>1</v>
      </c>
      <c r="DZ1331">
        <v>0</v>
      </c>
      <c r="EA1331" s="143">
        <v>0</v>
      </c>
      <c r="EB1331" s="143">
        <v>0</v>
      </c>
      <c r="EC1331" s="143">
        <v>0</v>
      </c>
      <c r="ED1331" s="143">
        <v>0</v>
      </c>
      <c r="EE1331">
        <v>0</v>
      </c>
      <c r="EF1331">
        <v>1</v>
      </c>
      <c r="EG1331" s="143">
        <v>0</v>
      </c>
      <c r="EH1331" s="143">
        <v>0</v>
      </c>
      <c r="EI1331" s="2">
        <v>0</v>
      </c>
      <c r="EK1331" t="str">
        <f>IF(AND(AND(AND(OR($DX1331=1,$DW1331=1),OR($EC1331=1,$EA1331=1)),SUM($DV1331:$DZ1331,$EF1331)&gt;=3),SUM($EA1331:$EE1331)&gt;=2),"Whole sector","")</f>
        <v/>
      </c>
      <c r="EL1331" t="str">
        <f>IF(AND(AND(OR($DX1331=1,$DW1331=1),AND($EC1331=0,$EA1331=0)),SUM($DV1331:$DZ1331,$EF1331)&gt;=3),"Ecosystem approach","")</f>
        <v>Ecosystem approach</v>
      </c>
      <c r="EM1331" s="2" t="str">
        <f>IF(AND(AND(AND($DX1331=0,$DW1331=0),OR($EC1331=1,$EA1331=1)),SUM($EB1331:$EE1331)&gt;=2),"Technology approach","")</f>
        <v/>
      </c>
      <c r="EN1331" s="312" t="s">
        <v>3680</v>
      </c>
      <c r="EP1331" t="b">
        <f>IF(ISNUMBER(BU1331),IF(ABS(BU1331-[5]QC_indicators!$B$2)&gt;3*[5]QC_indicators!$C$2,"C ratio",IF(ISNUMBER(BY1331),IF(ABS(BY1331-[5]QC_indicators!$B$1)&gt;3*[5]QC_indicators!$C$1,"DF","no"))),IF(ISNUMBER(BY1331),IF(ABS(BY1331-[5]QC_indicators!$B$1)&gt;3*[5]QC_indicators!$C$1,"DF","no")))</f>
        <v>0</v>
      </c>
    </row>
    <row r="1332" spans="1:148" ht="15" customHeight="1">
      <c r="A1332" s="319" t="s">
        <v>781</v>
      </c>
      <c r="D1332" t="s">
        <v>3673</v>
      </c>
      <c r="E1332" s="312" t="s">
        <v>3674</v>
      </c>
      <c r="F1332" s="312" t="s">
        <v>3675</v>
      </c>
      <c r="G1332" t="s">
        <v>782</v>
      </c>
      <c r="I1332">
        <v>2014</v>
      </c>
      <c r="J1332">
        <v>34</v>
      </c>
      <c r="K1332" s="295" t="s">
        <v>3676</v>
      </c>
      <c r="M1332" t="str">
        <f>LEFT($D1332,FIND(",",$D1332)-1)&amp;"_"&amp;I1332&amp;L1332</f>
        <v>Haus_2014</v>
      </c>
      <c r="N1332" s="312" t="s">
        <v>4383</v>
      </c>
      <c r="O1332" s="157" t="s">
        <v>223</v>
      </c>
      <c r="P1332" t="s">
        <v>223</v>
      </c>
      <c r="Q1332" s="312" t="s">
        <v>389</v>
      </c>
      <c r="R1332" s="313"/>
      <c r="S1332" s="154" t="s">
        <v>3677</v>
      </c>
      <c r="T1332" s="314" t="s">
        <v>3681</v>
      </c>
      <c r="U1332" s="143" t="s">
        <v>3679</v>
      </c>
      <c r="V1332">
        <v>1</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s="141">
        <f>COUNTIF(V1332:AW1332,"&lt;&gt;0")</f>
        <v>1</v>
      </c>
      <c r="AY1332" s="141">
        <f>COUNTIF(V1332:AL1332,"&lt;&gt;0")</f>
        <v>1</v>
      </c>
      <c r="AZ1332">
        <f>COUNTIF(V1332:AC1332,"&lt;&gt;0")</f>
        <v>1</v>
      </c>
      <c r="BA1332">
        <f>COUNTIF(AD1332:AI1332,"&lt;&gt;0")</f>
        <v>0</v>
      </c>
      <c r="BB1332">
        <f>COUNTIF(AJ1332:AL1332,"&lt;&gt;0")</f>
        <v>0</v>
      </c>
      <c r="BC1332">
        <f>COUNTIF(AS1332:AW1332,"&lt;&gt;0")</f>
        <v>0</v>
      </c>
      <c r="BD1332">
        <f>COUNTIF(AM1332:AR1332,"&lt;&gt;0")</f>
        <v>0</v>
      </c>
      <c r="BE1332" t="str" cm="1">
        <f t="array" ref="BE1332">IF(AY1332=1,INDEX($V$7:$AL$7,MATCH(TRUE,INDEX($V1332:$AW1332&lt;&gt;0,),0)),IF(AY1332=0,INDEX($AM$7:$AW$7,MATCH(1,$AM1332:$AW1332,0)),IF(BF1332="Multiple strategies","mixed drivers",IF(BF1332="Supply chain","multiple supply","multiple silviculture"))))</f>
        <v>area subject to harvest</v>
      </c>
      <c r="BF1332" s="2" t="str" cm="1">
        <f t="array" ref="BF1332">IF(COUNTIF(AZ1332:BB1332,"&lt;&gt;0")=1,INDEX($V$4:$AW$4,MATCH(TRUE,INDEX($V1332:$AW1332&lt;&gt;0,),0)),IF(COUNTIF(AZ1332:BB1332,"&lt;&gt;0")=0,INDEX($AM$4:$AW$4,MATCH(1,$AM1332:$AW1332,0)),"Multiple strategies"))</f>
        <v>Silviculture for removals</v>
      </c>
      <c r="BG1332" s="142"/>
      <c r="BJ1332" s="143"/>
      <c r="BL1332" s="143"/>
      <c r="BN1332" s="158"/>
      <c r="BO1332" s="159"/>
      <c r="BP1332" s="155" t="s">
        <v>232</v>
      </c>
      <c r="BQ1332" s="155" t="s">
        <v>689</v>
      </c>
      <c r="BR1332" s="141" t="s">
        <v>784</v>
      </c>
      <c r="BS1332" s="151">
        <v>766</v>
      </c>
      <c r="BT1332" s="151">
        <v>328</v>
      </c>
      <c r="BU1332" s="144">
        <f>BT1332/BS1332</f>
        <v>0.42819843342036551</v>
      </c>
      <c r="BV1332">
        <f>BT1332-BS1332</f>
        <v>-438</v>
      </c>
      <c r="BX1332">
        <f>BV1332</f>
        <v>-438</v>
      </c>
      <c r="BY1332" t="str">
        <f>IFERROR(BX1332/BO1332,"")</f>
        <v/>
      </c>
      <c r="BZ1332">
        <v>0</v>
      </c>
      <c r="CA1332">
        <v>0</v>
      </c>
      <c r="CB1332">
        <v>0</v>
      </c>
      <c r="CC1332">
        <v>0</v>
      </c>
      <c r="CD1332">
        <v>0</v>
      </c>
      <c r="CE1332">
        <v>0</v>
      </c>
      <c r="CF1332">
        <v>0</v>
      </c>
      <c r="CG1332">
        <v>0</v>
      </c>
      <c r="CH1332">
        <v>0</v>
      </c>
      <c r="CI1332">
        <v>0</v>
      </c>
      <c r="CJ1332">
        <v>0</v>
      </c>
      <c r="CK1332">
        <v>0</v>
      </c>
      <c r="CL1332">
        <v>0</v>
      </c>
      <c r="CM1332">
        <v>0</v>
      </c>
      <c r="CN1332" t="str">
        <f>IF($BL1332&lt;$BK1332,"refNeedCorrection","refOK")</f>
        <v>refOK</v>
      </c>
      <c r="CO1332"/>
      <c r="CP1332"/>
      <c r="CQ1332"/>
      <c r="CR1332">
        <f>IF($CN1332="refOK",$BS1332,$BT1332)*IF($BP1332="Emissions positive",-1,1)</f>
        <v>766</v>
      </c>
      <c r="CS1332">
        <f>IF($CN1332="refOK",$BT1332,$BS1332)*IF($BP1332="Emissions positive",-1,1)</f>
        <v>328</v>
      </c>
      <c r="CT1332">
        <f>IF($CN1332="refNeedCorrection",-BX1332,BX1332)*IF($BP1332="Emissions positive",-1,1)</f>
        <v>-438</v>
      </c>
      <c r="CU1332" t="str">
        <f>IFERROR(CT1332/CQ1332,"")</f>
        <v/>
      </c>
      <c r="CV1332" s="2">
        <f>IFERROR((CS1332-CR1332)/ABS(CR1332),"")</f>
        <v>-0.57180156657963443</v>
      </c>
      <c r="CW1332" s="319" t="s">
        <v>234</v>
      </c>
      <c r="CX1332" s="312" t="str">
        <f>IF(OR($CW1332="prd",$CW1332="std",$CW1332="cit"),"loc",IF(OR($CW1332="eur",$CW1332="reg",$CW1332="coy"),"reg",$CW1332))</f>
        <v>loc</v>
      </c>
      <c r="CY1332" s="318" t="s">
        <v>444</v>
      </c>
      <c r="DA1332" s="143"/>
      <c r="DB1332" s="143">
        <v>69</v>
      </c>
      <c r="DC1332" t="str">
        <f>IF(DB1332=0,"0",IF(AND(DB1332&gt;=1,DB1332&lt;=30),"1-30",IF(AND(DB1332&gt;30,DB1332&lt;=70),"31-70",IF(AND(DB1332&gt;70,DB1332&lt;=100),"71-100",IF(DB1332&gt;100,"+100")))))</f>
        <v>31-70</v>
      </c>
      <c r="DD1332">
        <v>1</v>
      </c>
      <c r="DE1332">
        <v>1</v>
      </c>
      <c r="DF1332">
        <v>1</v>
      </c>
      <c r="DG1332">
        <v>1</v>
      </c>
      <c r="DH1332">
        <v>0</v>
      </c>
      <c r="DI1332">
        <f>SUM(DD1332:DG1332)</f>
        <v>4</v>
      </c>
      <c r="DJ1332" t="str">
        <f>IF(DI1332=1,INDEX($DD$7:$DG$7,MATCH(1,$DD1332:$DG1332,0)),"mixedProduct")</f>
        <v>mixedProduct</v>
      </c>
      <c r="DK1332" t="str">
        <f>IF(DD1332=1,DK$7,0)</f>
        <v>Upstream</v>
      </c>
      <c r="DL1332" t="str">
        <f>IF(DE1332=1,DL$7,0)</f>
        <v>Energy</v>
      </c>
      <c r="DM1332" t="str">
        <f>IF(DF1332=1,DM$7,0)</f>
        <v>Pulp/Paper</v>
      </c>
      <c r="DN1332" t="str">
        <f>IF(DG1332=1,DN$7,0)</f>
        <v>Timber</v>
      </c>
      <c r="DO1332">
        <v>0</v>
      </c>
      <c r="DP1332" s="143">
        <v>0</v>
      </c>
      <c r="DQ1332" s="143">
        <v>0</v>
      </c>
      <c r="DR1332">
        <v>0</v>
      </c>
      <c r="DS1332" s="143">
        <v>0</v>
      </c>
      <c r="DT1332">
        <f>SUM(DO1332:DP1332)</f>
        <v>0</v>
      </c>
      <c r="DU1332" s="143" t="str">
        <f>IF(DO1332=1,"self-calculated DF",IF(DP1332=1,"external DF used","explicit C balance"))</f>
        <v>explicit C balance</v>
      </c>
      <c r="DV1332" s="143">
        <v>0</v>
      </c>
      <c r="DW1332" s="143">
        <v>1</v>
      </c>
      <c r="DX1332" s="143">
        <v>1</v>
      </c>
      <c r="DY1332" s="143">
        <v>1</v>
      </c>
      <c r="DZ1332">
        <v>0</v>
      </c>
      <c r="EA1332" s="143">
        <v>0</v>
      </c>
      <c r="EB1332" s="143">
        <v>0</v>
      </c>
      <c r="EC1332" s="143">
        <v>0</v>
      </c>
      <c r="ED1332" s="143">
        <v>0</v>
      </c>
      <c r="EE1332">
        <v>0</v>
      </c>
      <c r="EF1332">
        <v>1</v>
      </c>
      <c r="EG1332" s="143">
        <v>0</v>
      </c>
      <c r="EH1332" s="143">
        <v>0</v>
      </c>
      <c r="EI1332" s="2">
        <v>0</v>
      </c>
      <c r="EK1332" t="str">
        <f>IF(AND(AND(AND(OR($DX1332=1,$DW1332=1),OR($EC1332=1,$EA1332=1)),SUM($DV1332:$DZ1332,$EF1332)&gt;=3),SUM($EA1332:$EE1332)&gt;=2),"Whole sector","")</f>
        <v/>
      </c>
      <c r="EL1332" t="str">
        <f>IF(AND(AND(OR($DX1332=1,$DW1332=1),AND($EC1332=0,$EA1332=0)),SUM($DV1332:$DZ1332,$EF1332)&gt;=3),"Ecosystem approach","")</f>
        <v>Ecosystem approach</v>
      </c>
      <c r="EM1332" s="2" t="str">
        <f>IF(AND(AND(AND($DX1332=0,$DW1332=0),OR($EC1332=1,$EA1332=1)),SUM($EB1332:$EE1332)&gt;=2),"Technology approach","")</f>
        <v/>
      </c>
      <c r="EN1332" s="312" t="s">
        <v>3680</v>
      </c>
      <c r="EP1332" t="b">
        <f>IF(ISNUMBER(BU1332),IF(ABS(BU1332-[5]QC_indicators!$B$2)&gt;3*[5]QC_indicators!$C$2,"C ratio",IF(ISNUMBER(BY1332),IF(ABS(BY1332-[5]QC_indicators!$B$1)&gt;3*[5]QC_indicators!$C$1,"DF","no"))),IF(ISNUMBER(BY1332),IF(ABS(BY1332-[5]QC_indicators!$B$1)&gt;3*[5]QC_indicators!$C$1,"DF","no")))</f>
        <v>0</v>
      </c>
    </row>
    <row r="1333" spans="1:148" ht="15" customHeight="1">
      <c r="A1333" s="319" t="s">
        <v>781</v>
      </c>
      <c r="D1333" t="s">
        <v>3673</v>
      </c>
      <c r="E1333" s="312" t="s">
        <v>3674</v>
      </c>
      <c r="F1333" s="312" t="s">
        <v>3675</v>
      </c>
      <c r="G1333" t="s">
        <v>782</v>
      </c>
      <c r="I1333">
        <v>2014</v>
      </c>
      <c r="J1333">
        <v>34</v>
      </c>
      <c r="K1333" s="295" t="s">
        <v>3676</v>
      </c>
      <c r="M1333" t="str">
        <f>LEFT($D1333,FIND(",",$D1333)-1)&amp;"_"&amp;I1333&amp;L1333</f>
        <v>Haus_2014</v>
      </c>
      <c r="N1333" s="312" t="s">
        <v>4383</v>
      </c>
      <c r="O1333" s="157" t="s">
        <v>223</v>
      </c>
      <c r="P1333" t="s">
        <v>223</v>
      </c>
      <c r="Q1333" s="312" t="s">
        <v>389</v>
      </c>
      <c r="R1333" s="313"/>
      <c r="S1333" s="154" t="s">
        <v>3677</v>
      </c>
      <c r="T1333" s="314" t="s">
        <v>3681</v>
      </c>
      <c r="U1333" s="143" t="s">
        <v>3679</v>
      </c>
      <c r="V1333">
        <v>1</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s="141">
        <f>COUNTIF(V1333:AW1333,"&lt;&gt;0")</f>
        <v>1</v>
      </c>
      <c r="AY1333" s="141">
        <f>COUNTIF(V1333:AL1333,"&lt;&gt;0")</f>
        <v>1</v>
      </c>
      <c r="AZ1333">
        <f>COUNTIF(V1333:AC1333,"&lt;&gt;0")</f>
        <v>1</v>
      </c>
      <c r="BA1333">
        <f>COUNTIF(AD1333:AI1333,"&lt;&gt;0")</f>
        <v>0</v>
      </c>
      <c r="BB1333">
        <f>COUNTIF(AJ1333:AL1333,"&lt;&gt;0")</f>
        <v>0</v>
      </c>
      <c r="BC1333">
        <f>COUNTIF(AS1333:AW1333,"&lt;&gt;0")</f>
        <v>0</v>
      </c>
      <c r="BD1333">
        <f>COUNTIF(AM1333:AR1333,"&lt;&gt;0")</f>
        <v>0</v>
      </c>
      <c r="BE1333" t="str" cm="1">
        <f t="array" ref="BE1333">IF(AY1333=1,INDEX($V$7:$AL$7,MATCH(TRUE,INDEX($V1333:$AW1333&lt;&gt;0,),0)),IF(AY1333=0,INDEX($AM$7:$AW$7,MATCH(1,$AM1333:$AW1333,0)),IF(BF1333="Multiple strategies","mixed drivers",IF(BF1333="Supply chain","multiple supply","multiple silviculture"))))</f>
        <v>area subject to harvest</v>
      </c>
      <c r="BF1333" s="2" t="str" cm="1">
        <f t="array" ref="BF1333">IF(COUNTIF(AZ1333:BB1333,"&lt;&gt;0")=1,INDEX($V$4:$AW$4,MATCH(TRUE,INDEX($V1333:$AW1333&lt;&gt;0,),0)),IF(COUNTIF(AZ1333:BB1333,"&lt;&gt;0")=0,INDEX($AM$4:$AW$4,MATCH(1,$AM1333:$AW1333,0)),"Multiple strategies"))</f>
        <v>Silviculture for removals</v>
      </c>
      <c r="BG1333" s="142"/>
      <c r="BJ1333" s="143"/>
      <c r="BL1333" s="143"/>
      <c r="BN1333" s="158"/>
      <c r="BO1333" s="159"/>
      <c r="BP1333" s="155" t="s">
        <v>232</v>
      </c>
      <c r="BQ1333" s="155" t="s">
        <v>429</v>
      </c>
      <c r="BR1333" s="141" t="s">
        <v>784</v>
      </c>
      <c r="BS1333" s="151">
        <v>992</v>
      </c>
      <c r="BT1333" s="151">
        <v>-852</v>
      </c>
      <c r="BU1333" s="144">
        <f>BT1333/BS1333</f>
        <v>-0.8588709677419355</v>
      </c>
      <c r="BV1333">
        <f>BT1333-BS1333</f>
        <v>-1844</v>
      </c>
      <c r="BX1333">
        <f>BV1333</f>
        <v>-1844</v>
      </c>
      <c r="BY1333" t="str">
        <f>IFERROR(BX1333/BO1333,"")</f>
        <v/>
      </c>
      <c r="BZ1333">
        <v>0</v>
      </c>
      <c r="CA1333">
        <v>0</v>
      </c>
      <c r="CB1333">
        <v>0</v>
      </c>
      <c r="CC1333">
        <v>0</v>
      </c>
      <c r="CD1333">
        <v>0</v>
      </c>
      <c r="CE1333">
        <v>0</v>
      </c>
      <c r="CF1333">
        <v>0</v>
      </c>
      <c r="CG1333">
        <v>0</v>
      </c>
      <c r="CH1333">
        <v>0</v>
      </c>
      <c r="CI1333">
        <v>0</v>
      </c>
      <c r="CJ1333">
        <v>0</v>
      </c>
      <c r="CK1333">
        <v>0</v>
      </c>
      <c r="CL1333">
        <v>0</v>
      </c>
      <c r="CM1333">
        <v>0</v>
      </c>
      <c r="CN1333" t="str">
        <f>IF($BL1333&lt;$BK1333,"refNeedCorrection","refOK")</f>
        <v>refOK</v>
      </c>
      <c r="CO1333"/>
      <c r="CP1333"/>
      <c r="CQ1333"/>
      <c r="CR1333">
        <f>IF($CN1333="refOK",$BS1333,$BT1333)*IF($BP1333="Emissions positive",-1,1)</f>
        <v>992</v>
      </c>
      <c r="CS1333">
        <f>IF($CN1333="refOK",$BT1333,$BS1333)*IF($BP1333="Emissions positive",-1,1)</f>
        <v>-852</v>
      </c>
      <c r="CT1333">
        <f>IF($CN1333="refNeedCorrection",-BX1333,BX1333)*IF($BP1333="Emissions positive",-1,1)</f>
        <v>-1844</v>
      </c>
      <c r="CU1333" t="str">
        <f>IFERROR(CT1333/CQ1333,"")</f>
        <v/>
      </c>
      <c r="CV1333" s="2">
        <f>IFERROR((CS1333-CR1333)/ABS(CR1333),"")</f>
        <v>-1.8588709677419355</v>
      </c>
      <c r="CW1333" s="319" t="s">
        <v>234</v>
      </c>
      <c r="CX1333" s="312" t="str">
        <f>IF(OR($CW1333="prd",$CW1333="std",$CW1333="cit"),"loc",IF(OR($CW1333="eur",$CW1333="reg",$CW1333="coy"),"reg",$CW1333))</f>
        <v>loc</v>
      </c>
      <c r="CY1333" s="318" t="s">
        <v>444</v>
      </c>
      <c r="DA1333" s="143"/>
      <c r="DB1333" s="143">
        <v>240</v>
      </c>
      <c r="DC1333" t="str">
        <f>IF(DB1333=0,"0",IF(AND(DB1333&gt;=1,DB1333&lt;=30),"1-30",IF(AND(DB1333&gt;30,DB1333&lt;=70),"31-70",IF(AND(DB1333&gt;70,DB1333&lt;=100),"71-100",IF(DB1333&gt;100,"+100")))))</f>
        <v>+100</v>
      </c>
      <c r="DD1333">
        <v>1</v>
      </c>
      <c r="DE1333">
        <v>1</v>
      </c>
      <c r="DF1333">
        <v>1</v>
      </c>
      <c r="DG1333">
        <v>1</v>
      </c>
      <c r="DH1333">
        <v>0</v>
      </c>
      <c r="DI1333">
        <f>SUM(DD1333:DG1333)</f>
        <v>4</v>
      </c>
      <c r="DJ1333" t="str">
        <f>IF(DI1333=1,INDEX($DD$7:$DG$7,MATCH(1,$DD1333:$DG1333,0)),"mixedProduct")</f>
        <v>mixedProduct</v>
      </c>
      <c r="DK1333" t="str">
        <f>IF(DD1333=1,DK$7,0)</f>
        <v>Upstream</v>
      </c>
      <c r="DL1333" t="str">
        <f>IF(DE1333=1,DL$7,0)</f>
        <v>Energy</v>
      </c>
      <c r="DM1333" t="str">
        <f>IF(DF1333=1,DM$7,0)</f>
        <v>Pulp/Paper</v>
      </c>
      <c r="DN1333" t="str">
        <f>IF(DG1333=1,DN$7,0)</f>
        <v>Timber</v>
      </c>
      <c r="DO1333">
        <v>0</v>
      </c>
      <c r="DP1333" s="143">
        <v>0</v>
      </c>
      <c r="DQ1333" s="143">
        <v>0</v>
      </c>
      <c r="DR1333">
        <v>0</v>
      </c>
      <c r="DS1333" s="143">
        <v>0</v>
      </c>
      <c r="DT1333">
        <f>SUM(DO1333:DP1333)</f>
        <v>0</v>
      </c>
      <c r="DU1333" s="143" t="str">
        <f>IF(DO1333=1,"self-calculated DF",IF(DP1333=1,"external DF used","explicit C balance"))</f>
        <v>explicit C balance</v>
      </c>
      <c r="DV1333" s="143">
        <v>0</v>
      </c>
      <c r="DW1333" s="143">
        <v>1</v>
      </c>
      <c r="DX1333" s="143">
        <v>1</v>
      </c>
      <c r="DY1333" s="143">
        <v>1</v>
      </c>
      <c r="DZ1333">
        <v>0</v>
      </c>
      <c r="EA1333" s="143">
        <v>0</v>
      </c>
      <c r="EB1333" s="143">
        <v>0</v>
      </c>
      <c r="EC1333" s="143">
        <v>0</v>
      </c>
      <c r="ED1333" s="143">
        <v>0</v>
      </c>
      <c r="EE1333">
        <v>0</v>
      </c>
      <c r="EF1333">
        <v>1</v>
      </c>
      <c r="EG1333" s="143">
        <v>0</v>
      </c>
      <c r="EH1333" s="143">
        <v>0</v>
      </c>
      <c r="EI1333" s="2">
        <v>0</v>
      </c>
      <c r="EK1333" t="str">
        <f>IF(AND(AND(AND(OR($DX1333=1,$DW1333=1),OR($EC1333=1,$EA1333=1)),SUM($DV1333:$DZ1333,$EF1333)&gt;=3),SUM($EA1333:$EE1333)&gt;=2),"Whole sector","")</f>
        <v/>
      </c>
      <c r="EL1333" t="str">
        <f>IF(AND(AND(OR($DX1333=1,$DW1333=1),AND($EC1333=0,$EA1333=0)),SUM($DV1333:$DZ1333,$EF1333)&gt;=3),"Ecosystem approach","")</f>
        <v>Ecosystem approach</v>
      </c>
      <c r="EM1333" s="2" t="str">
        <f>IF(AND(AND(AND($DX1333=0,$DW1333=0),OR($EC1333=1,$EA1333=1)),SUM($EB1333:$EE1333)&gt;=2),"Technology approach","")</f>
        <v/>
      </c>
      <c r="EN1333" s="312" t="s">
        <v>3680</v>
      </c>
      <c r="EP1333" t="b">
        <f>IF(ISNUMBER(BU1333),IF(ABS(BU1333-[5]QC_indicators!$B$2)&gt;3*[5]QC_indicators!$C$2,"C ratio",IF(ISNUMBER(BY1333),IF(ABS(BY1333-[5]QC_indicators!$B$1)&gt;3*[5]QC_indicators!$C$1,"DF","no"))),IF(ISNUMBER(BY1333),IF(ABS(BY1333-[5]QC_indicators!$B$1)&gt;3*[5]QC_indicators!$C$1,"DF","no")))</f>
        <v>0</v>
      </c>
    </row>
    <row r="1334" spans="1:148" ht="15" customHeight="1">
      <c r="A1334" s="319" t="s">
        <v>781</v>
      </c>
      <c r="D1334" t="s">
        <v>3673</v>
      </c>
      <c r="E1334" s="312" t="s">
        <v>3674</v>
      </c>
      <c r="F1334" s="312" t="s">
        <v>3675</v>
      </c>
      <c r="G1334" t="s">
        <v>782</v>
      </c>
      <c r="I1334">
        <v>2014</v>
      </c>
      <c r="J1334">
        <v>34</v>
      </c>
      <c r="K1334" s="295" t="s">
        <v>3676</v>
      </c>
      <c r="M1334" t="str">
        <f>LEFT($D1334,FIND(",",$D1334)-1)&amp;"_"&amp;I1334&amp;L1334</f>
        <v>Haus_2014</v>
      </c>
      <c r="N1334" s="312" t="s">
        <v>4383</v>
      </c>
      <c r="O1334" s="157" t="s">
        <v>223</v>
      </c>
      <c r="P1334" t="s">
        <v>223</v>
      </c>
      <c r="Q1334" s="312" t="s">
        <v>389</v>
      </c>
      <c r="R1334" s="313"/>
      <c r="S1334" s="154" t="s">
        <v>3677</v>
      </c>
      <c r="T1334" s="314" t="s">
        <v>3681</v>
      </c>
      <c r="U1334" s="143" t="s">
        <v>3679</v>
      </c>
      <c r="V1334">
        <v>1</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s="141">
        <f>COUNTIF(V1334:AW1334,"&lt;&gt;0")</f>
        <v>1</v>
      </c>
      <c r="AY1334" s="141">
        <f>COUNTIF(V1334:AL1334,"&lt;&gt;0")</f>
        <v>1</v>
      </c>
      <c r="AZ1334">
        <f>COUNTIF(V1334:AC1334,"&lt;&gt;0")</f>
        <v>1</v>
      </c>
      <c r="BA1334">
        <f>COUNTIF(AD1334:AI1334,"&lt;&gt;0")</f>
        <v>0</v>
      </c>
      <c r="BB1334">
        <f>COUNTIF(AJ1334:AL1334,"&lt;&gt;0")</f>
        <v>0</v>
      </c>
      <c r="BC1334">
        <f>COUNTIF(AS1334:AW1334,"&lt;&gt;0")</f>
        <v>0</v>
      </c>
      <c r="BD1334">
        <f>COUNTIF(AM1334:AR1334,"&lt;&gt;0")</f>
        <v>0</v>
      </c>
      <c r="BE1334" t="str" cm="1">
        <f t="array" ref="BE1334">IF(AY1334=1,INDEX($V$7:$AL$7,MATCH(TRUE,INDEX($V1334:$AW1334&lt;&gt;0,),0)),IF(AY1334=0,INDEX($AM$7:$AW$7,MATCH(1,$AM1334:$AW1334,0)),IF(BF1334="Multiple strategies","mixed drivers",IF(BF1334="Supply chain","multiple supply","multiple silviculture"))))</f>
        <v>area subject to harvest</v>
      </c>
      <c r="BF1334" s="2" t="str" cm="1">
        <f t="array" ref="BF1334">IF(COUNTIF(AZ1334:BB1334,"&lt;&gt;0")=1,INDEX($V$4:$AW$4,MATCH(TRUE,INDEX($V1334:$AW1334&lt;&gt;0,),0)),IF(COUNTIF(AZ1334:BB1334,"&lt;&gt;0")=0,INDEX($AM$4:$AW$4,MATCH(1,$AM1334:$AW1334,0)),"Multiple strategies"))</f>
        <v>Silviculture for removals</v>
      </c>
      <c r="BG1334" s="142"/>
      <c r="BH1334" s="160"/>
      <c r="BI1334" s="160"/>
      <c r="BJ1334" s="143"/>
      <c r="BK1334" s="143"/>
      <c r="BL1334" s="143"/>
      <c r="BN1334" s="158"/>
      <c r="BO1334" s="159"/>
      <c r="BP1334" s="155" t="s">
        <v>232</v>
      </c>
      <c r="BQ1334" s="155" t="s">
        <v>785</v>
      </c>
      <c r="BR1334" s="141" t="s">
        <v>784</v>
      </c>
      <c r="BS1334" s="143">
        <v>141</v>
      </c>
      <c r="BT1334" s="151">
        <v>-138</v>
      </c>
      <c r="BU1334" s="144">
        <f>BT1334/BS1334</f>
        <v>-0.97872340425531912</v>
      </c>
      <c r="BV1334">
        <f>BT1334-BS1334</f>
        <v>-279</v>
      </c>
      <c r="BX1334">
        <f>BV1334</f>
        <v>-279</v>
      </c>
      <c r="BY1334" t="str">
        <f>IFERROR(BX1334/BO1334,"")</f>
        <v/>
      </c>
      <c r="BZ1334">
        <v>0</v>
      </c>
      <c r="CA1334">
        <v>0</v>
      </c>
      <c r="CB1334">
        <v>0</v>
      </c>
      <c r="CC1334">
        <v>0</v>
      </c>
      <c r="CD1334">
        <v>0</v>
      </c>
      <c r="CE1334">
        <v>0</v>
      </c>
      <c r="CF1334">
        <v>0</v>
      </c>
      <c r="CG1334">
        <v>0</v>
      </c>
      <c r="CH1334">
        <v>0</v>
      </c>
      <c r="CI1334">
        <v>0</v>
      </c>
      <c r="CJ1334">
        <v>0</v>
      </c>
      <c r="CK1334">
        <v>0</v>
      </c>
      <c r="CL1334">
        <v>0</v>
      </c>
      <c r="CM1334">
        <v>0</v>
      </c>
      <c r="CN1334" t="str">
        <f>IF($BL1334&lt;$BK1334,"refNeedCorrection","refOK")</f>
        <v>refOK</v>
      </c>
      <c r="CO1334"/>
      <c r="CP1334"/>
      <c r="CQ1334"/>
      <c r="CR1334">
        <f>IF($CN1334="refOK",$BS1334,$BT1334)*IF($BP1334="Emissions positive",-1,1)</f>
        <v>141</v>
      </c>
      <c r="CS1334">
        <f>IF($CN1334="refOK",$BT1334,$BS1334)*IF($BP1334="Emissions positive",-1,1)</f>
        <v>-138</v>
      </c>
      <c r="CT1334">
        <f>IF($CN1334="refNeedCorrection",-BX1334,BX1334)*IF($BP1334="Emissions positive",-1,1)</f>
        <v>-279</v>
      </c>
      <c r="CU1334" t="str">
        <f>IFERROR(CT1334/CQ1334,"")</f>
        <v/>
      </c>
      <c r="CV1334" s="2">
        <f>IFERROR((CS1334-CR1334)/ABS(CR1334),"")</f>
        <v>-1.9787234042553192</v>
      </c>
      <c r="CW1334" s="319" t="s">
        <v>234</v>
      </c>
      <c r="CX1334" s="312" t="str">
        <f>IF(OR($CW1334="prd",$CW1334="std",$CW1334="cit"),"loc",IF(OR($CW1334="eur",$CW1334="reg",$CW1334="coy"),"reg",$CW1334))</f>
        <v>loc</v>
      </c>
      <c r="CY1334" s="318" t="s">
        <v>444</v>
      </c>
      <c r="DA1334" s="143"/>
      <c r="DB1334" s="143">
        <v>29</v>
      </c>
      <c r="DC1334" t="str">
        <f>IF(DB1334=0,"0",IF(AND(DB1334&gt;=1,DB1334&lt;=30),"1-30",IF(AND(DB1334&gt;30,DB1334&lt;=70),"31-70",IF(AND(DB1334&gt;70,DB1334&lt;=100),"71-100",IF(DB1334&gt;100,"+100")))))</f>
        <v>1-30</v>
      </c>
      <c r="DD1334">
        <v>1</v>
      </c>
      <c r="DE1334">
        <v>1</v>
      </c>
      <c r="DF1334">
        <v>1</v>
      </c>
      <c r="DG1334">
        <v>1</v>
      </c>
      <c r="DH1334">
        <v>0</v>
      </c>
      <c r="DI1334">
        <f>SUM(DD1334:DG1334)</f>
        <v>4</v>
      </c>
      <c r="DJ1334" t="str">
        <f>IF(DI1334=1,INDEX($DD$7:$DG$7,MATCH(1,$DD1334:$DG1334,0)),"mixedProduct")</f>
        <v>mixedProduct</v>
      </c>
      <c r="DK1334" t="str">
        <f>IF(DD1334=1,DK$7,0)</f>
        <v>Upstream</v>
      </c>
      <c r="DL1334" t="str">
        <f>IF(DE1334=1,DL$7,0)</f>
        <v>Energy</v>
      </c>
      <c r="DM1334" t="str">
        <f>IF(DF1334=1,DM$7,0)</f>
        <v>Pulp/Paper</v>
      </c>
      <c r="DN1334" t="str">
        <f>IF(DG1334=1,DN$7,0)</f>
        <v>Timber</v>
      </c>
      <c r="DO1334">
        <v>0</v>
      </c>
      <c r="DP1334" s="143">
        <v>0</v>
      </c>
      <c r="DQ1334" s="143">
        <v>0</v>
      </c>
      <c r="DR1334">
        <v>0</v>
      </c>
      <c r="DS1334" s="143">
        <v>0</v>
      </c>
      <c r="DT1334">
        <f>SUM(DO1334:DP1334)</f>
        <v>0</v>
      </c>
      <c r="DU1334" s="143" t="str">
        <f>IF(DO1334=1,"self-calculated DF",IF(DP1334=1,"external DF used","explicit C balance"))</f>
        <v>explicit C balance</v>
      </c>
      <c r="DV1334" s="143">
        <v>0</v>
      </c>
      <c r="DW1334" s="143">
        <v>1</v>
      </c>
      <c r="DX1334" s="143">
        <v>1</v>
      </c>
      <c r="DY1334" s="143">
        <v>1</v>
      </c>
      <c r="DZ1334">
        <v>0</v>
      </c>
      <c r="EA1334" s="143">
        <v>0</v>
      </c>
      <c r="EB1334" s="143">
        <v>0</v>
      </c>
      <c r="EC1334" s="143">
        <v>0</v>
      </c>
      <c r="ED1334" s="143">
        <v>0</v>
      </c>
      <c r="EE1334">
        <v>0</v>
      </c>
      <c r="EF1334">
        <v>1</v>
      </c>
      <c r="EG1334" s="143">
        <v>0</v>
      </c>
      <c r="EH1334" s="143">
        <v>0</v>
      </c>
      <c r="EI1334" s="2">
        <v>0</v>
      </c>
      <c r="EK1334" t="str">
        <f>IF(AND(AND(AND(OR($DX1334=1,$DW1334=1),OR($EC1334=1,$EA1334=1)),SUM($DV1334:$DZ1334,$EF1334)&gt;=3),SUM($EA1334:$EE1334)&gt;=2),"Whole sector","")</f>
        <v/>
      </c>
      <c r="EL1334" t="str">
        <f>IF(AND(AND(OR($DX1334=1,$DW1334=1),AND($EC1334=0,$EA1334=0)),SUM($DV1334:$DZ1334,$EF1334)&gt;=3),"Ecosystem approach","")</f>
        <v>Ecosystem approach</v>
      </c>
      <c r="EM1334" s="2" t="str">
        <f>IF(AND(AND(AND($DX1334=0,$DW1334=0),OR($EC1334=1,$EA1334=1)),SUM($EB1334:$EE1334)&gt;=2),"Technology approach","")</f>
        <v/>
      </c>
      <c r="EN1334" s="312" t="s">
        <v>3680</v>
      </c>
      <c r="EP1334" t="b">
        <f>IF(ISNUMBER(BU1334),IF(ABS(BU1334-[5]QC_indicators!$B$2)&gt;3*[5]QC_indicators!$C$2,"C ratio",IF(ISNUMBER(BY1334),IF(ABS(BY1334-[5]QC_indicators!$B$1)&gt;3*[5]QC_indicators!$C$1,"DF","no"))),IF(ISNUMBER(BY1334),IF(ABS(BY1334-[5]QC_indicators!$B$1)&gt;3*[5]QC_indicators!$C$1,"DF","no")))</f>
        <v>0</v>
      </c>
      <c r="ER1334" s="149"/>
    </row>
    <row r="1335" spans="1:148" ht="15" customHeight="1">
      <c r="A1335" s="319" t="s">
        <v>781</v>
      </c>
      <c r="D1335" t="s">
        <v>3673</v>
      </c>
      <c r="E1335" s="312" t="s">
        <v>3674</v>
      </c>
      <c r="F1335" s="312" t="s">
        <v>3675</v>
      </c>
      <c r="G1335" t="s">
        <v>782</v>
      </c>
      <c r="I1335">
        <v>2014</v>
      </c>
      <c r="J1335">
        <v>34</v>
      </c>
      <c r="K1335" s="295" t="s">
        <v>3676</v>
      </c>
      <c r="M1335" t="str">
        <f>LEFT($D1335,FIND(",",$D1335)-1)&amp;"_"&amp;I1335&amp;L1335</f>
        <v>Haus_2014</v>
      </c>
      <c r="N1335" s="312" t="s">
        <v>4383</v>
      </c>
      <c r="O1335" s="157" t="s">
        <v>223</v>
      </c>
      <c r="P1335" t="s">
        <v>223</v>
      </c>
      <c r="Q1335" s="312" t="s">
        <v>389</v>
      </c>
      <c r="R1335" s="313"/>
      <c r="S1335" s="154" t="s">
        <v>3677</v>
      </c>
      <c r="T1335" s="314" t="s">
        <v>3678</v>
      </c>
      <c r="U1335" s="143" t="s">
        <v>3679</v>
      </c>
      <c r="V1335">
        <v>1</v>
      </c>
      <c r="W1335">
        <v>0</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s="141">
        <f>COUNTIF(V1335:AW1335,"&lt;&gt;0")</f>
        <v>1</v>
      </c>
      <c r="AY1335" s="141">
        <f>COUNTIF(V1335:AL1335,"&lt;&gt;0")</f>
        <v>1</v>
      </c>
      <c r="AZ1335">
        <f>COUNTIF(V1335:AC1335,"&lt;&gt;0")</f>
        <v>1</v>
      </c>
      <c r="BA1335">
        <f>COUNTIF(AD1335:AI1335,"&lt;&gt;0")</f>
        <v>0</v>
      </c>
      <c r="BB1335">
        <f>COUNTIF(AJ1335:AL1335,"&lt;&gt;0")</f>
        <v>0</v>
      </c>
      <c r="BC1335">
        <f>COUNTIF(AS1335:AW1335,"&lt;&gt;0")</f>
        <v>0</v>
      </c>
      <c r="BD1335">
        <f>COUNTIF(AM1335:AR1335,"&lt;&gt;0")</f>
        <v>0</v>
      </c>
      <c r="BE1335" t="str" cm="1">
        <f t="array" ref="BE1335">IF(AY1335=1,INDEX($V$7:$AL$7,MATCH(TRUE,INDEX($V1335:$AW1335&lt;&gt;0,),0)),IF(AY1335=0,INDEX($AM$7:$AW$7,MATCH(1,$AM1335:$AW1335,0)),IF(BF1335="Multiple strategies","mixed drivers",IF(BF1335="Supply chain","multiple supply","multiple silviculture"))))</f>
        <v>area subject to harvest</v>
      </c>
      <c r="BF1335" s="2" t="str" cm="1">
        <f t="array" ref="BF1335">IF(COUNTIF(AZ1335:BB1335,"&lt;&gt;0")=1,INDEX($V$4:$AW$4,MATCH(TRUE,INDEX($V1335:$AW1335&lt;&gt;0,),0)),IF(COUNTIF(AZ1335:BB1335,"&lt;&gt;0")=0,INDEX($AM$4:$AW$4,MATCH(1,$AM1335:$AW1335,0)),"Multiple strategies"))</f>
        <v>Silviculture for removals</v>
      </c>
      <c r="BG1335" s="142"/>
      <c r="BJ1335" s="143"/>
      <c r="BL1335" s="143"/>
      <c r="BN1335" s="158"/>
      <c r="BO1335" s="159"/>
      <c r="BP1335" s="155" t="s">
        <v>232</v>
      </c>
      <c r="BQ1335" s="155" t="s">
        <v>3682</v>
      </c>
      <c r="BR1335" s="141" t="s">
        <v>784</v>
      </c>
      <c r="BS1335" s="151">
        <v>131</v>
      </c>
      <c r="BT1335" s="151">
        <v>-138</v>
      </c>
      <c r="BU1335" s="144">
        <f>BT1335/BS1335</f>
        <v>-1.0534351145038168</v>
      </c>
      <c r="BV1335">
        <f>BT1335-BS1335</f>
        <v>-269</v>
      </c>
      <c r="BX1335">
        <f>BV1335</f>
        <v>-269</v>
      </c>
      <c r="BY1335" t="str">
        <f>IFERROR(BX1335/BO1335,"")</f>
        <v/>
      </c>
      <c r="BZ1335">
        <v>0</v>
      </c>
      <c r="CA1335">
        <v>0</v>
      </c>
      <c r="CB1335">
        <v>0</v>
      </c>
      <c r="CC1335">
        <v>0</v>
      </c>
      <c r="CD1335">
        <v>0</v>
      </c>
      <c r="CE1335">
        <v>0</v>
      </c>
      <c r="CF1335">
        <v>0</v>
      </c>
      <c r="CG1335">
        <v>0</v>
      </c>
      <c r="CH1335">
        <v>0</v>
      </c>
      <c r="CI1335">
        <v>0</v>
      </c>
      <c r="CJ1335">
        <v>0</v>
      </c>
      <c r="CK1335">
        <v>0</v>
      </c>
      <c r="CL1335">
        <v>0</v>
      </c>
      <c r="CM1335">
        <v>0</v>
      </c>
      <c r="CN1335" t="str">
        <f>IF($BL1335&lt;$BK1335,"refNeedCorrection","refOK")</f>
        <v>refOK</v>
      </c>
      <c r="CO1335"/>
      <c r="CP1335"/>
      <c r="CQ1335"/>
      <c r="CR1335">
        <f>IF($CN1335="refOK",$BS1335,$BT1335)*IF($BP1335="Emissions positive",-1,1)</f>
        <v>131</v>
      </c>
      <c r="CS1335">
        <f>IF($CN1335="refOK",$BT1335,$BS1335)*IF($BP1335="Emissions positive",-1,1)</f>
        <v>-138</v>
      </c>
      <c r="CT1335">
        <f>IF($CN1335="refNeedCorrection",-BX1335,BX1335)*IF($BP1335="Emissions positive",-1,1)</f>
        <v>-269</v>
      </c>
      <c r="CU1335" t="str">
        <f>IFERROR(CT1335/CQ1335,"")</f>
        <v/>
      </c>
      <c r="CV1335" s="2">
        <f>IFERROR((CS1335-CR1335)/ABS(CR1335),"")</f>
        <v>-2.053435114503817</v>
      </c>
      <c r="CW1335" s="319" t="s">
        <v>234</v>
      </c>
      <c r="CX1335" s="312" t="str">
        <f>IF(OR($CW1335="prd",$CW1335="std",$CW1335="cit"),"loc",IF(OR($CW1335="eur",$CW1335="reg",$CW1335="coy"),"reg",$CW1335))</f>
        <v>loc</v>
      </c>
      <c r="CY1335" s="318" t="s">
        <v>444</v>
      </c>
      <c r="DA1335" s="143"/>
      <c r="DB1335" s="143">
        <v>29</v>
      </c>
      <c r="DC1335" t="str">
        <f>IF(DB1335=0,"0",IF(AND(DB1335&gt;=1,DB1335&lt;=30),"1-30",IF(AND(DB1335&gt;30,DB1335&lt;=70),"31-70",IF(AND(DB1335&gt;70,DB1335&lt;=100),"71-100",IF(DB1335&gt;100,"+100")))))</f>
        <v>1-30</v>
      </c>
      <c r="DD1335">
        <v>1</v>
      </c>
      <c r="DE1335">
        <v>1</v>
      </c>
      <c r="DF1335">
        <v>1</v>
      </c>
      <c r="DG1335">
        <v>1</v>
      </c>
      <c r="DH1335">
        <v>0</v>
      </c>
      <c r="DI1335">
        <f>SUM(DD1335:DG1335)</f>
        <v>4</v>
      </c>
      <c r="DJ1335" t="str">
        <f>IF(DI1335=1,INDEX($DD$7:$DG$7,MATCH(1,$DD1335:$DG1335,0)),"mixedProduct")</f>
        <v>mixedProduct</v>
      </c>
      <c r="DK1335" t="str">
        <f>IF(DD1335=1,DK$7,0)</f>
        <v>Upstream</v>
      </c>
      <c r="DL1335" t="str">
        <f>IF(DE1335=1,DL$7,0)</f>
        <v>Energy</v>
      </c>
      <c r="DM1335" t="str">
        <f>IF(DF1335=1,DM$7,0)</f>
        <v>Pulp/Paper</v>
      </c>
      <c r="DN1335" t="str">
        <f>IF(DG1335=1,DN$7,0)</f>
        <v>Timber</v>
      </c>
      <c r="DO1335">
        <v>0</v>
      </c>
      <c r="DP1335" s="143">
        <v>0</v>
      </c>
      <c r="DQ1335" s="143">
        <v>0</v>
      </c>
      <c r="DR1335">
        <v>0</v>
      </c>
      <c r="DS1335" s="143">
        <v>0</v>
      </c>
      <c r="DT1335">
        <f>SUM(DO1335:DP1335)</f>
        <v>0</v>
      </c>
      <c r="DU1335" s="143" t="str">
        <f>IF(DO1335=1,"self-calculated DF",IF(DP1335=1,"external DF used","explicit C balance"))</f>
        <v>explicit C balance</v>
      </c>
      <c r="DV1335" s="143">
        <v>0</v>
      </c>
      <c r="DW1335" s="143">
        <v>1</v>
      </c>
      <c r="DX1335" s="143">
        <v>1</v>
      </c>
      <c r="DY1335" s="143">
        <v>1</v>
      </c>
      <c r="DZ1335">
        <v>0</v>
      </c>
      <c r="EA1335" s="143">
        <v>0</v>
      </c>
      <c r="EB1335" s="143">
        <v>0</v>
      </c>
      <c r="EC1335" s="143">
        <v>0</v>
      </c>
      <c r="ED1335" s="143">
        <v>0</v>
      </c>
      <c r="EE1335">
        <v>0</v>
      </c>
      <c r="EF1335">
        <v>1</v>
      </c>
      <c r="EG1335" s="143">
        <v>0</v>
      </c>
      <c r="EH1335" s="143">
        <v>0</v>
      </c>
      <c r="EI1335" s="2">
        <v>0</v>
      </c>
      <c r="EK1335" t="str">
        <f>IF(AND(AND(AND(OR($DX1335=1,$DW1335=1),OR($EC1335=1,$EA1335=1)),SUM($DV1335:$DZ1335,$EF1335)&gt;=3),SUM($EA1335:$EE1335)&gt;=2),"Whole sector","")</f>
        <v/>
      </c>
      <c r="EL1335" t="str">
        <f>IF(AND(AND(OR($DX1335=1,$DW1335=1),AND($EC1335=0,$EA1335=0)),SUM($DV1335:$DZ1335,$EF1335)&gt;=3),"Ecosystem approach","")</f>
        <v>Ecosystem approach</v>
      </c>
      <c r="EM1335" s="2" t="str">
        <f>IF(AND(AND(AND($DX1335=0,$DW1335=0),OR($EC1335=1,$EA1335=1)),SUM($EB1335:$EE1335)&gt;=2),"Technology approach","")</f>
        <v/>
      </c>
      <c r="EN1335" s="312" t="s">
        <v>3680</v>
      </c>
      <c r="EP1335" t="b">
        <f>IF(ISNUMBER(BU1335),IF(ABS(BU1335-[5]QC_indicators!$B$2)&gt;3*[5]QC_indicators!$C$2,"C ratio",IF(ISNUMBER(BY1335),IF(ABS(BY1335-[5]QC_indicators!$B$1)&gt;3*[5]QC_indicators!$C$1,"DF","no"))),IF(ISNUMBER(BY1335),IF(ABS(BY1335-[5]QC_indicators!$B$1)&gt;3*[5]QC_indicators!$C$1,"DF","no")))</f>
        <v>0</v>
      </c>
    </row>
    <row r="1336" spans="1:148" ht="15" customHeight="1">
      <c r="A1336" s="319" t="s">
        <v>781</v>
      </c>
      <c r="D1336" t="s">
        <v>3673</v>
      </c>
      <c r="E1336" s="312" t="s">
        <v>3674</v>
      </c>
      <c r="F1336" s="312" t="s">
        <v>3675</v>
      </c>
      <c r="G1336" t="s">
        <v>782</v>
      </c>
      <c r="I1336">
        <v>2014</v>
      </c>
      <c r="J1336">
        <v>34</v>
      </c>
      <c r="K1336" s="295" t="s">
        <v>3676</v>
      </c>
      <c r="M1336" t="str">
        <f>LEFT($D1336,FIND(",",$D1336)-1)&amp;"_"&amp;I1336&amp;L1336</f>
        <v>Haus_2014</v>
      </c>
      <c r="N1336" s="312" t="s">
        <v>4383</v>
      </c>
      <c r="O1336" s="157" t="s">
        <v>223</v>
      </c>
      <c r="P1336" t="s">
        <v>223</v>
      </c>
      <c r="Q1336" s="312" t="s">
        <v>389</v>
      </c>
      <c r="R1336" s="313"/>
      <c r="S1336" s="154" t="s">
        <v>3677</v>
      </c>
      <c r="T1336" s="314" t="s">
        <v>3678</v>
      </c>
      <c r="U1336" s="143" t="s">
        <v>3679</v>
      </c>
      <c r="V1336">
        <v>1</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s="141">
        <f>COUNTIF(V1336:AW1336,"&lt;&gt;0")</f>
        <v>1</v>
      </c>
      <c r="AY1336" s="141">
        <f>COUNTIF(V1336:AL1336,"&lt;&gt;0")</f>
        <v>1</v>
      </c>
      <c r="AZ1336">
        <f>COUNTIF(V1336:AC1336,"&lt;&gt;0")</f>
        <v>1</v>
      </c>
      <c r="BA1336">
        <f>COUNTIF(AD1336:AI1336,"&lt;&gt;0")</f>
        <v>0</v>
      </c>
      <c r="BB1336">
        <f>COUNTIF(AJ1336:AL1336,"&lt;&gt;0")</f>
        <v>0</v>
      </c>
      <c r="BC1336">
        <f>COUNTIF(AS1336:AW1336,"&lt;&gt;0")</f>
        <v>0</v>
      </c>
      <c r="BD1336">
        <f>COUNTIF(AM1336:AR1336,"&lt;&gt;0")</f>
        <v>0</v>
      </c>
      <c r="BE1336" t="str" cm="1">
        <f t="array" ref="BE1336">IF(AY1336=1,INDEX($V$7:$AL$7,MATCH(TRUE,INDEX($V1336:$AW1336&lt;&gt;0,),0)),IF(AY1336=0,INDEX($AM$7:$AW$7,MATCH(1,$AM1336:$AW1336,0)),IF(BF1336="Multiple strategies","mixed drivers",IF(BF1336="Supply chain","multiple supply","multiple silviculture"))))</f>
        <v>area subject to harvest</v>
      </c>
      <c r="BF1336" s="2" t="str" cm="1">
        <f t="array" ref="BF1336">IF(COUNTIF(AZ1336:BB1336,"&lt;&gt;0")=1,INDEX($V$4:$AW$4,MATCH(TRUE,INDEX($V1336:$AW1336&lt;&gt;0,),0)),IF(COUNTIF(AZ1336:BB1336,"&lt;&gt;0")=0,INDEX($AM$4:$AW$4,MATCH(1,$AM1336:$AW1336,0)),"Multiple strategies"))</f>
        <v>Silviculture for removals</v>
      </c>
      <c r="BG1336" s="142"/>
      <c r="BJ1336" s="143"/>
      <c r="BL1336" s="143"/>
      <c r="BN1336" s="158"/>
      <c r="BO1336" s="159"/>
      <c r="BP1336" s="155" t="s">
        <v>232</v>
      </c>
      <c r="BQ1336" s="155" t="s">
        <v>429</v>
      </c>
      <c r="BR1336" s="141" t="s">
        <v>784</v>
      </c>
      <c r="BS1336" s="151">
        <v>649</v>
      </c>
      <c r="BT1336" s="151">
        <v>-852</v>
      </c>
      <c r="BU1336" s="144">
        <f>BT1336/BS1336</f>
        <v>-1.312788906009245</v>
      </c>
      <c r="BV1336">
        <f>BT1336-BS1336</f>
        <v>-1501</v>
      </c>
      <c r="BX1336">
        <f>BV1336</f>
        <v>-1501</v>
      </c>
      <c r="BY1336" t="str">
        <f>IFERROR(BX1336/BO1336,"")</f>
        <v/>
      </c>
      <c r="BZ1336">
        <v>0</v>
      </c>
      <c r="CA1336">
        <v>0</v>
      </c>
      <c r="CB1336">
        <v>0</v>
      </c>
      <c r="CC1336">
        <v>0</v>
      </c>
      <c r="CD1336">
        <v>0</v>
      </c>
      <c r="CE1336">
        <v>0</v>
      </c>
      <c r="CF1336">
        <v>0</v>
      </c>
      <c r="CG1336">
        <v>0</v>
      </c>
      <c r="CH1336">
        <v>0</v>
      </c>
      <c r="CI1336">
        <v>0</v>
      </c>
      <c r="CJ1336">
        <v>0</v>
      </c>
      <c r="CK1336">
        <v>0</v>
      </c>
      <c r="CL1336">
        <v>0</v>
      </c>
      <c r="CM1336">
        <v>0</v>
      </c>
      <c r="CN1336" t="str">
        <f>IF($BL1336&lt;$BK1336,"refNeedCorrection","refOK")</f>
        <v>refOK</v>
      </c>
      <c r="CO1336"/>
      <c r="CP1336"/>
      <c r="CQ1336"/>
      <c r="CR1336">
        <f>IF($CN1336="refOK",$BS1336,$BT1336)*IF($BP1336="Emissions positive",-1,1)</f>
        <v>649</v>
      </c>
      <c r="CS1336">
        <f>IF($CN1336="refOK",$BT1336,$BS1336)*IF($BP1336="Emissions positive",-1,1)</f>
        <v>-852</v>
      </c>
      <c r="CT1336">
        <f>IF($CN1336="refNeedCorrection",-BX1336,BX1336)*IF($BP1336="Emissions positive",-1,1)</f>
        <v>-1501</v>
      </c>
      <c r="CU1336" t="str">
        <f>IFERROR(CT1336/CQ1336,"")</f>
        <v/>
      </c>
      <c r="CV1336" s="2">
        <f>IFERROR((CS1336-CR1336)/ABS(CR1336),"")</f>
        <v>-2.3127889060092448</v>
      </c>
      <c r="CW1336" s="319" t="s">
        <v>234</v>
      </c>
      <c r="CX1336" s="312" t="str">
        <f>IF(OR($CW1336="prd",$CW1336="std",$CW1336="cit"),"loc",IF(OR($CW1336="eur",$CW1336="reg",$CW1336="coy"),"reg",$CW1336))</f>
        <v>loc</v>
      </c>
      <c r="CY1336" s="318" t="s">
        <v>444</v>
      </c>
      <c r="DA1336" s="143"/>
      <c r="DB1336" s="143">
        <v>240</v>
      </c>
      <c r="DC1336" t="str">
        <f>IF(DB1336=0,"0",IF(AND(DB1336&gt;=1,DB1336&lt;=30),"1-30",IF(AND(DB1336&gt;30,DB1336&lt;=70),"31-70",IF(AND(DB1336&gt;70,DB1336&lt;=100),"71-100",IF(DB1336&gt;100,"+100")))))</f>
        <v>+100</v>
      </c>
      <c r="DD1336">
        <v>1</v>
      </c>
      <c r="DE1336">
        <v>1</v>
      </c>
      <c r="DF1336">
        <v>1</v>
      </c>
      <c r="DG1336">
        <v>1</v>
      </c>
      <c r="DH1336">
        <v>0</v>
      </c>
      <c r="DI1336">
        <f>SUM(DD1336:DG1336)</f>
        <v>4</v>
      </c>
      <c r="DJ1336" t="str">
        <f>IF(DI1336=1,INDEX($DD$7:$DG$7,MATCH(1,$DD1336:$DG1336,0)),"mixedProduct")</f>
        <v>mixedProduct</v>
      </c>
      <c r="DK1336" t="str">
        <f>IF(DD1336=1,DK$7,0)</f>
        <v>Upstream</v>
      </c>
      <c r="DL1336" t="str">
        <f>IF(DE1336=1,DL$7,0)</f>
        <v>Energy</v>
      </c>
      <c r="DM1336" t="str">
        <f>IF(DF1336=1,DM$7,0)</f>
        <v>Pulp/Paper</v>
      </c>
      <c r="DN1336" t="str">
        <f>IF(DG1336=1,DN$7,0)</f>
        <v>Timber</v>
      </c>
      <c r="DO1336">
        <v>0</v>
      </c>
      <c r="DP1336" s="143">
        <v>0</v>
      </c>
      <c r="DQ1336" s="143">
        <v>0</v>
      </c>
      <c r="DR1336">
        <v>0</v>
      </c>
      <c r="DS1336" s="143">
        <v>0</v>
      </c>
      <c r="DT1336">
        <f>SUM(DO1336:DP1336)</f>
        <v>0</v>
      </c>
      <c r="DU1336" s="143" t="str">
        <f>IF(DO1336=1,"self-calculated DF",IF(DP1336=1,"external DF used","explicit C balance"))</f>
        <v>explicit C balance</v>
      </c>
      <c r="DV1336" s="143">
        <v>0</v>
      </c>
      <c r="DW1336" s="143">
        <v>1</v>
      </c>
      <c r="DX1336" s="143">
        <v>1</v>
      </c>
      <c r="DY1336" s="143">
        <v>1</v>
      </c>
      <c r="DZ1336">
        <v>0</v>
      </c>
      <c r="EA1336" s="143">
        <v>0</v>
      </c>
      <c r="EB1336" s="143">
        <v>0</v>
      </c>
      <c r="EC1336" s="143">
        <v>0</v>
      </c>
      <c r="ED1336" s="143">
        <v>0</v>
      </c>
      <c r="EE1336">
        <v>0</v>
      </c>
      <c r="EF1336">
        <v>1</v>
      </c>
      <c r="EG1336" s="143">
        <v>0</v>
      </c>
      <c r="EH1336" s="143">
        <v>0</v>
      </c>
      <c r="EI1336" s="2">
        <v>0</v>
      </c>
      <c r="EK1336" t="str">
        <f>IF(AND(AND(AND(OR($DX1336=1,$DW1336=1),OR($EC1336=1,$EA1336=1)),SUM($DV1336:$DZ1336,$EF1336)&gt;=3),SUM($EA1336:$EE1336)&gt;=2),"Whole sector","")</f>
        <v/>
      </c>
      <c r="EL1336" t="str">
        <f>IF(AND(AND(OR($DX1336=1,$DW1336=1),AND($EC1336=0,$EA1336=0)),SUM($DV1336:$DZ1336,$EF1336)&gt;=3),"Ecosystem approach","")</f>
        <v>Ecosystem approach</v>
      </c>
      <c r="EM1336" s="2" t="str">
        <f>IF(AND(AND(AND($DX1336=0,$DW1336=0),OR($EC1336=1,$EA1336=1)),SUM($EB1336:$EE1336)&gt;=2),"Technology approach","")</f>
        <v/>
      </c>
      <c r="EN1336" s="312" t="s">
        <v>3680</v>
      </c>
      <c r="EP1336" t="b">
        <f>IF(ISNUMBER(BU1336),IF(ABS(BU1336-[5]QC_indicators!$B$2)&gt;3*[5]QC_indicators!$C$2,"C ratio",IF(ISNUMBER(BY1336),IF(ABS(BY1336-[5]QC_indicators!$B$1)&gt;3*[5]QC_indicators!$C$1,"DF","no"))),IF(ISNUMBER(BY1336),IF(ABS(BY1336-[5]QC_indicators!$B$1)&gt;3*[5]QC_indicators!$C$1,"DF","no")))</f>
        <v>0</v>
      </c>
    </row>
    <row r="1337" spans="1:148" ht="15" customHeight="1">
      <c r="A1337" s="319" t="s">
        <v>781</v>
      </c>
      <c r="D1337" t="s">
        <v>3673</v>
      </c>
      <c r="E1337" s="312" t="s">
        <v>3674</v>
      </c>
      <c r="F1337" s="312" t="s">
        <v>3675</v>
      </c>
      <c r="G1337" t="s">
        <v>782</v>
      </c>
      <c r="I1337">
        <v>2014</v>
      </c>
      <c r="J1337">
        <v>34</v>
      </c>
      <c r="K1337" s="295" t="s">
        <v>3676</v>
      </c>
      <c r="M1337" t="str">
        <f>LEFT($D1337,FIND(",",$D1337)-1)&amp;"_"&amp;I1337&amp;L1337</f>
        <v>Haus_2014</v>
      </c>
      <c r="N1337" s="312" t="s">
        <v>4383</v>
      </c>
      <c r="O1337" s="157" t="s">
        <v>223</v>
      </c>
      <c r="P1337" t="s">
        <v>223</v>
      </c>
      <c r="Q1337" s="312" t="s">
        <v>389</v>
      </c>
      <c r="R1337" s="313"/>
      <c r="S1337" s="154" t="s">
        <v>3677</v>
      </c>
      <c r="T1337" s="314" t="s">
        <v>3678</v>
      </c>
      <c r="U1337" s="143" t="s">
        <v>3683</v>
      </c>
      <c r="V1337">
        <v>1</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s="141">
        <f>COUNTIF(V1337:AW1337,"&lt;&gt;0")</f>
        <v>1</v>
      </c>
      <c r="AY1337" s="141">
        <f>COUNTIF(V1337:AL1337,"&lt;&gt;0")</f>
        <v>1</v>
      </c>
      <c r="AZ1337">
        <f>COUNTIF(V1337:AC1337,"&lt;&gt;0")</f>
        <v>1</v>
      </c>
      <c r="BA1337">
        <f>COUNTIF(AD1337:AI1337,"&lt;&gt;0")</f>
        <v>0</v>
      </c>
      <c r="BB1337">
        <f>COUNTIF(AJ1337:AL1337,"&lt;&gt;0")</f>
        <v>0</v>
      </c>
      <c r="BC1337">
        <f>COUNTIF(AS1337:AW1337,"&lt;&gt;0")</f>
        <v>0</v>
      </c>
      <c r="BD1337">
        <f>COUNTIF(AM1337:AR1337,"&lt;&gt;0")</f>
        <v>0</v>
      </c>
      <c r="BE1337" t="str" cm="1">
        <f t="array" ref="BE1337">IF(AY1337=1,INDEX($V$7:$AL$7,MATCH(TRUE,INDEX($V1337:$AW1337&lt;&gt;0,),0)),IF(AY1337=0,INDEX($AM$7:$AW$7,MATCH(1,$AM1337:$AW1337,0)),IF(BF1337="Multiple strategies","mixed drivers",IF(BF1337="Supply chain","multiple supply","multiple silviculture"))))</f>
        <v>area subject to harvest</v>
      </c>
      <c r="BF1337" s="2" t="str" cm="1">
        <f t="array" ref="BF1337">IF(COUNTIF(AZ1337:BB1337,"&lt;&gt;0")=1,INDEX($V$4:$AW$4,MATCH(TRUE,INDEX($V1337:$AW1337&lt;&gt;0,),0)),IF(COUNTIF(AZ1337:BB1337,"&lt;&gt;0")=0,INDEX($AM$4:$AW$4,MATCH(1,$AM1337:$AW1337,0)),"Multiple strategies"))</f>
        <v>Silviculture for removals</v>
      </c>
      <c r="BG1337" s="142"/>
      <c r="BJ1337" s="143"/>
      <c r="BL1337" s="143"/>
      <c r="BN1337" s="158"/>
      <c r="BO1337" s="159"/>
      <c r="BP1337" s="155" t="s">
        <v>232</v>
      </c>
      <c r="BQ1337" s="155" t="s">
        <v>786</v>
      </c>
      <c r="BR1337" s="141" t="s">
        <v>784</v>
      </c>
      <c r="BS1337" s="151">
        <v>608</v>
      </c>
      <c r="BT1337" s="151">
        <v>513</v>
      </c>
      <c r="BU1337" s="144">
        <f>BT1337/BS1337</f>
        <v>0.84375</v>
      </c>
      <c r="BV1337">
        <f>BT1337-BS1337</f>
        <v>-95</v>
      </c>
      <c r="BX1337">
        <f>BV1337</f>
        <v>-95</v>
      </c>
      <c r="BY1337" t="str">
        <f>IFERROR(BX1337/BO1337,"")</f>
        <v/>
      </c>
      <c r="BZ1337">
        <v>0</v>
      </c>
      <c r="CA1337">
        <v>0</v>
      </c>
      <c r="CB1337">
        <v>0</v>
      </c>
      <c r="CC1337">
        <v>0</v>
      </c>
      <c r="CD1337">
        <v>0</v>
      </c>
      <c r="CE1337">
        <v>0</v>
      </c>
      <c r="CF1337">
        <v>0</v>
      </c>
      <c r="CG1337">
        <v>0</v>
      </c>
      <c r="CH1337">
        <v>0</v>
      </c>
      <c r="CI1337">
        <v>0</v>
      </c>
      <c r="CJ1337">
        <v>0</v>
      </c>
      <c r="CK1337">
        <v>0</v>
      </c>
      <c r="CL1337">
        <v>0</v>
      </c>
      <c r="CM1337">
        <v>0</v>
      </c>
      <c r="CN1337" t="str">
        <f>IF($BL1337&lt;$BK1337,"refNeedCorrection","refOK")</f>
        <v>refOK</v>
      </c>
      <c r="CO1337"/>
      <c r="CP1337"/>
      <c r="CQ1337"/>
      <c r="CR1337">
        <f>IF($CN1337="refOK",$BS1337,$BT1337)*IF($BP1337="Emissions positive",-1,1)</f>
        <v>608</v>
      </c>
      <c r="CS1337">
        <f>IF($CN1337="refOK",$BT1337,$BS1337)*IF($BP1337="Emissions positive",-1,1)</f>
        <v>513</v>
      </c>
      <c r="CT1337">
        <f>IF($CN1337="refNeedCorrection",-BX1337,BX1337)*IF($BP1337="Emissions positive",-1,1)</f>
        <v>-95</v>
      </c>
      <c r="CU1337" t="str">
        <f>IFERROR(CT1337/CQ1337,"")</f>
        <v/>
      </c>
      <c r="CV1337" s="2">
        <f>IFERROR((CS1337-CR1337)/ABS(CR1337),"")</f>
        <v>-0.15625</v>
      </c>
      <c r="CW1337" s="319" t="s">
        <v>234</v>
      </c>
      <c r="CX1337" s="312" t="str">
        <f>IF(OR($CW1337="prd",$CW1337="std",$CW1337="cit"),"loc",IF(OR($CW1337="eur",$CW1337="reg",$CW1337="coy"),"reg",$CW1337))</f>
        <v>loc</v>
      </c>
      <c r="CY1337" s="318" t="s">
        <v>444</v>
      </c>
      <c r="DA1337" s="143"/>
      <c r="DB1337" s="143">
        <v>69</v>
      </c>
      <c r="DC1337" t="str">
        <f>IF(DB1337=0,"0",IF(AND(DB1337&gt;=1,DB1337&lt;=30),"1-30",IF(AND(DB1337&gt;30,DB1337&lt;=70),"31-70",IF(AND(DB1337&gt;70,DB1337&lt;=100),"71-100",IF(DB1337&gt;100,"+100")))))</f>
        <v>31-70</v>
      </c>
      <c r="DD1337">
        <v>1</v>
      </c>
      <c r="DE1337">
        <v>1</v>
      </c>
      <c r="DF1337">
        <v>1</v>
      </c>
      <c r="DG1337">
        <v>1</v>
      </c>
      <c r="DH1337">
        <v>0</v>
      </c>
      <c r="DI1337">
        <f>SUM(DD1337:DG1337)</f>
        <v>4</v>
      </c>
      <c r="DJ1337" t="str">
        <f>IF(DI1337=1,INDEX($DD$7:$DG$7,MATCH(1,$DD1337:$DG1337,0)),"mixedProduct")</f>
        <v>mixedProduct</v>
      </c>
      <c r="DK1337" t="str">
        <f>IF(DD1337=1,DK$7,0)</f>
        <v>Upstream</v>
      </c>
      <c r="DL1337" t="str">
        <f>IF(DE1337=1,DL$7,0)</f>
        <v>Energy</v>
      </c>
      <c r="DM1337" t="str">
        <f>IF(DF1337=1,DM$7,0)</f>
        <v>Pulp/Paper</v>
      </c>
      <c r="DN1337" t="str">
        <f>IF(DG1337=1,DN$7,0)</f>
        <v>Timber</v>
      </c>
      <c r="DO1337">
        <v>0</v>
      </c>
      <c r="DP1337" s="143">
        <v>0</v>
      </c>
      <c r="DQ1337" s="143">
        <v>0</v>
      </c>
      <c r="DR1337">
        <v>0</v>
      </c>
      <c r="DS1337" s="143">
        <v>0</v>
      </c>
      <c r="DT1337">
        <f>SUM(DO1337:DP1337)</f>
        <v>0</v>
      </c>
      <c r="DU1337" s="143" t="str">
        <f>IF(DO1337=1,"self-calculated DF",IF(DP1337=1,"external DF used","explicit C balance"))</f>
        <v>explicit C balance</v>
      </c>
      <c r="DV1337" s="143">
        <v>0</v>
      </c>
      <c r="DW1337" s="143">
        <v>1</v>
      </c>
      <c r="DX1337" s="143">
        <v>1</v>
      </c>
      <c r="DY1337" s="143">
        <v>1</v>
      </c>
      <c r="DZ1337">
        <v>0</v>
      </c>
      <c r="EA1337" s="143">
        <v>0</v>
      </c>
      <c r="EB1337" s="143">
        <v>0</v>
      </c>
      <c r="EC1337" s="143">
        <v>0</v>
      </c>
      <c r="ED1337" s="143">
        <v>0</v>
      </c>
      <c r="EE1337">
        <v>0</v>
      </c>
      <c r="EF1337">
        <v>1</v>
      </c>
      <c r="EG1337" s="143">
        <v>0</v>
      </c>
      <c r="EH1337" s="143">
        <v>0</v>
      </c>
      <c r="EI1337" s="2">
        <v>0</v>
      </c>
      <c r="EK1337" t="str">
        <f>IF(AND(AND(AND(OR($DX1337=1,$DW1337=1),OR($EC1337=1,$EA1337=1)),SUM($DV1337:$DZ1337,$EF1337)&gt;=3),SUM($EA1337:$EE1337)&gt;=2),"Whole sector","")</f>
        <v/>
      </c>
      <c r="EL1337" t="str">
        <f>IF(AND(AND(OR($DX1337=1,$DW1337=1),AND($EC1337=0,$EA1337=0)),SUM($DV1337:$DZ1337,$EF1337)&gt;=3),"Ecosystem approach","")</f>
        <v>Ecosystem approach</v>
      </c>
      <c r="EM1337" s="2" t="str">
        <f>IF(AND(AND(AND($DX1337=0,$DW1337=0),OR($EC1337=1,$EA1337=1)),SUM($EB1337:$EE1337)&gt;=2),"Technology approach","")</f>
        <v/>
      </c>
      <c r="EN1337" s="312" t="s">
        <v>3680</v>
      </c>
      <c r="EP1337" t="b">
        <f>IF(ISNUMBER(BU1337),IF(ABS(BU1337-[5]QC_indicators!$B$2)&gt;3*[5]QC_indicators!$C$2,"C ratio",IF(ISNUMBER(BY1337),IF(ABS(BY1337-[5]QC_indicators!$B$1)&gt;3*[5]QC_indicators!$C$1,"DF","no"))),IF(ISNUMBER(BY1337),IF(ABS(BY1337-[5]QC_indicators!$B$1)&gt;3*[5]QC_indicators!$C$1,"DF","no")))</f>
        <v>0</v>
      </c>
    </row>
    <row r="1338" spans="1:148" ht="15" customHeight="1">
      <c r="A1338" s="319" t="s">
        <v>781</v>
      </c>
      <c r="D1338" t="s">
        <v>3673</v>
      </c>
      <c r="E1338" s="312" t="s">
        <v>3674</v>
      </c>
      <c r="F1338" s="312" t="s">
        <v>3675</v>
      </c>
      <c r="G1338" t="s">
        <v>782</v>
      </c>
      <c r="I1338">
        <v>2014</v>
      </c>
      <c r="J1338">
        <v>34</v>
      </c>
      <c r="K1338" s="295" t="s">
        <v>3676</v>
      </c>
      <c r="M1338" t="str">
        <f>LEFT($D1338,FIND(",",$D1338)-1)&amp;"_"&amp;I1338&amp;L1338</f>
        <v>Haus_2014</v>
      </c>
      <c r="N1338" s="312" t="s">
        <v>4383</v>
      </c>
      <c r="O1338" s="157" t="s">
        <v>223</v>
      </c>
      <c r="P1338" t="s">
        <v>223</v>
      </c>
      <c r="Q1338" s="312" t="s">
        <v>389</v>
      </c>
      <c r="R1338" s="313"/>
      <c r="S1338" s="154" t="s">
        <v>3677</v>
      </c>
      <c r="T1338" s="314" t="s">
        <v>3681</v>
      </c>
      <c r="U1338" s="143" t="s">
        <v>3683</v>
      </c>
      <c r="V1338">
        <v>1</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s="141">
        <f>COUNTIF(V1338:AW1338,"&lt;&gt;0")</f>
        <v>1</v>
      </c>
      <c r="AY1338" s="141">
        <f>COUNTIF(V1338:AL1338,"&lt;&gt;0")</f>
        <v>1</v>
      </c>
      <c r="AZ1338">
        <f>COUNTIF(V1338:AC1338,"&lt;&gt;0")</f>
        <v>1</v>
      </c>
      <c r="BA1338">
        <f>COUNTIF(AD1338:AI1338,"&lt;&gt;0")</f>
        <v>0</v>
      </c>
      <c r="BB1338">
        <f>COUNTIF(AJ1338:AL1338,"&lt;&gt;0")</f>
        <v>0</v>
      </c>
      <c r="BC1338">
        <f>COUNTIF(AS1338:AW1338,"&lt;&gt;0")</f>
        <v>0</v>
      </c>
      <c r="BD1338">
        <f>COUNTIF(AM1338:AR1338,"&lt;&gt;0")</f>
        <v>0</v>
      </c>
      <c r="BE1338" t="str" cm="1">
        <f t="array" ref="BE1338">IF(AY1338=1,INDEX($V$7:$AL$7,MATCH(TRUE,INDEX($V1338:$AW1338&lt;&gt;0,),0)),IF(AY1338=0,INDEX($AM$7:$AW$7,MATCH(1,$AM1338:$AW1338,0)),IF(BF1338="Multiple strategies","mixed drivers",IF(BF1338="Supply chain","multiple supply","multiple silviculture"))))</f>
        <v>area subject to harvest</v>
      </c>
      <c r="BF1338" s="2" t="str" cm="1">
        <f t="array" ref="BF1338">IF(COUNTIF(AZ1338:BB1338,"&lt;&gt;0")=1,INDEX($V$4:$AW$4,MATCH(TRUE,INDEX($V1338:$AW1338&lt;&gt;0,),0)),IF(COUNTIF(AZ1338:BB1338,"&lt;&gt;0")=0,INDEX($AM$4:$AW$4,MATCH(1,$AM1338:$AW1338,0)),"Multiple strategies"))</f>
        <v>Silviculture for removals</v>
      </c>
      <c r="BG1338" s="142"/>
      <c r="BJ1338" s="143"/>
      <c r="BL1338" s="143"/>
      <c r="BN1338" s="158"/>
      <c r="BO1338" s="159"/>
      <c r="BP1338" s="155" t="s">
        <v>232</v>
      </c>
      <c r="BQ1338" s="155" t="s">
        <v>787</v>
      </c>
      <c r="BR1338" s="141" t="s">
        <v>784</v>
      </c>
      <c r="BS1338" s="151">
        <v>766</v>
      </c>
      <c r="BT1338" s="151">
        <v>513</v>
      </c>
      <c r="BU1338" s="144">
        <f>BT1338/BS1338</f>
        <v>0.66971279373368142</v>
      </c>
      <c r="BV1338">
        <f>BT1338-BS1338</f>
        <v>-253</v>
      </c>
      <c r="BX1338">
        <f>BV1338</f>
        <v>-253</v>
      </c>
      <c r="BY1338" t="str">
        <f>IFERROR(BX1338/BO1338,"")</f>
        <v/>
      </c>
      <c r="BZ1338">
        <v>0</v>
      </c>
      <c r="CA1338">
        <v>0</v>
      </c>
      <c r="CB1338">
        <v>0</v>
      </c>
      <c r="CC1338">
        <v>0</v>
      </c>
      <c r="CD1338">
        <v>0</v>
      </c>
      <c r="CE1338">
        <v>0</v>
      </c>
      <c r="CF1338">
        <v>0</v>
      </c>
      <c r="CG1338">
        <v>0</v>
      </c>
      <c r="CH1338">
        <v>0</v>
      </c>
      <c r="CI1338">
        <v>0</v>
      </c>
      <c r="CJ1338">
        <v>0</v>
      </c>
      <c r="CK1338">
        <v>0</v>
      </c>
      <c r="CL1338">
        <v>0</v>
      </c>
      <c r="CM1338">
        <v>0</v>
      </c>
      <c r="CN1338" t="str">
        <f>IF($BL1338&lt;$BK1338,"refNeedCorrection","refOK")</f>
        <v>refOK</v>
      </c>
      <c r="CO1338"/>
      <c r="CP1338"/>
      <c r="CQ1338"/>
      <c r="CR1338">
        <f>IF($CN1338="refOK",$BS1338,$BT1338)*IF($BP1338="Emissions positive",-1,1)</f>
        <v>766</v>
      </c>
      <c r="CS1338">
        <f>IF($CN1338="refOK",$BT1338,$BS1338)*IF($BP1338="Emissions positive",-1,1)</f>
        <v>513</v>
      </c>
      <c r="CT1338">
        <f>IF($CN1338="refNeedCorrection",-BX1338,BX1338)*IF($BP1338="Emissions positive",-1,1)</f>
        <v>-253</v>
      </c>
      <c r="CU1338" t="str">
        <f>IFERROR(CT1338/CQ1338,"")</f>
        <v/>
      </c>
      <c r="CV1338" s="2">
        <f>IFERROR((CS1338-CR1338)/ABS(CR1338),"")</f>
        <v>-0.33028720626631852</v>
      </c>
      <c r="CW1338" s="319" t="s">
        <v>234</v>
      </c>
      <c r="CX1338" s="312" t="str">
        <f>IF(OR($CW1338="prd",$CW1338="std",$CW1338="cit"),"loc",IF(OR($CW1338="eur",$CW1338="reg",$CW1338="coy"),"reg",$CW1338))</f>
        <v>loc</v>
      </c>
      <c r="CY1338" s="318" t="s">
        <v>444</v>
      </c>
      <c r="DA1338" s="143"/>
      <c r="DB1338" s="143">
        <v>69</v>
      </c>
      <c r="DC1338" t="str">
        <f>IF(DB1338=0,"0",IF(AND(DB1338&gt;=1,DB1338&lt;=30),"1-30",IF(AND(DB1338&gt;30,DB1338&lt;=70),"31-70",IF(AND(DB1338&gt;70,DB1338&lt;=100),"71-100",IF(DB1338&gt;100,"+100")))))</f>
        <v>31-70</v>
      </c>
      <c r="DD1338">
        <v>1</v>
      </c>
      <c r="DE1338">
        <v>1</v>
      </c>
      <c r="DF1338">
        <v>1</v>
      </c>
      <c r="DG1338">
        <v>1</v>
      </c>
      <c r="DH1338">
        <v>0</v>
      </c>
      <c r="DI1338">
        <f>SUM(DD1338:DG1338)</f>
        <v>4</v>
      </c>
      <c r="DJ1338" t="str">
        <f>IF(DI1338=1,INDEX($DD$7:$DG$7,MATCH(1,$DD1338:$DG1338,0)),"mixedProduct")</f>
        <v>mixedProduct</v>
      </c>
      <c r="DK1338" t="str">
        <f>IF(DD1338=1,DK$7,0)</f>
        <v>Upstream</v>
      </c>
      <c r="DL1338" t="str">
        <f>IF(DE1338=1,DL$7,0)</f>
        <v>Energy</v>
      </c>
      <c r="DM1338" t="str">
        <f>IF(DF1338=1,DM$7,0)</f>
        <v>Pulp/Paper</v>
      </c>
      <c r="DN1338" t="str">
        <f>IF(DG1338=1,DN$7,0)</f>
        <v>Timber</v>
      </c>
      <c r="DO1338">
        <v>0</v>
      </c>
      <c r="DP1338" s="143">
        <v>0</v>
      </c>
      <c r="DQ1338" s="143">
        <v>0</v>
      </c>
      <c r="DR1338">
        <v>0</v>
      </c>
      <c r="DS1338" s="143">
        <v>0</v>
      </c>
      <c r="DT1338">
        <f>SUM(DO1338:DP1338)</f>
        <v>0</v>
      </c>
      <c r="DU1338" s="143" t="str">
        <f>IF(DO1338=1,"self-calculated DF",IF(DP1338=1,"external DF used","explicit C balance"))</f>
        <v>explicit C balance</v>
      </c>
      <c r="DV1338" s="143">
        <v>0</v>
      </c>
      <c r="DW1338" s="143">
        <v>1</v>
      </c>
      <c r="DX1338" s="143">
        <v>1</v>
      </c>
      <c r="DY1338" s="143">
        <v>1</v>
      </c>
      <c r="DZ1338">
        <v>0</v>
      </c>
      <c r="EA1338" s="143">
        <v>0</v>
      </c>
      <c r="EB1338" s="143">
        <v>0</v>
      </c>
      <c r="EC1338" s="143">
        <v>0</v>
      </c>
      <c r="ED1338" s="143">
        <v>0</v>
      </c>
      <c r="EE1338">
        <v>0</v>
      </c>
      <c r="EF1338">
        <v>1</v>
      </c>
      <c r="EG1338" s="143">
        <v>0</v>
      </c>
      <c r="EH1338" s="143">
        <v>0</v>
      </c>
      <c r="EI1338" s="2">
        <v>0</v>
      </c>
      <c r="EK1338" t="str">
        <f>IF(AND(AND(AND(OR($DX1338=1,$DW1338=1),OR($EC1338=1,$EA1338=1)),SUM($DV1338:$DZ1338,$EF1338)&gt;=3),SUM($EA1338:$EE1338)&gt;=2),"Whole sector","")</f>
        <v/>
      </c>
      <c r="EL1338" t="str">
        <f>IF(AND(AND(OR($DX1338=1,$DW1338=1),AND($EC1338=0,$EA1338=0)),SUM($DV1338:$DZ1338,$EF1338)&gt;=3),"Ecosystem approach","")</f>
        <v>Ecosystem approach</v>
      </c>
      <c r="EM1338" s="2" t="str">
        <f>IF(AND(AND(AND($DX1338=0,$DW1338=0),OR($EC1338=1,$EA1338=1)),SUM($EB1338:$EE1338)&gt;=2),"Technology approach","")</f>
        <v/>
      </c>
      <c r="EN1338" s="312" t="s">
        <v>3680</v>
      </c>
      <c r="EP1338" t="b">
        <f>IF(ISNUMBER(BU1338),IF(ABS(BU1338-[5]QC_indicators!$B$2)&gt;3*[5]QC_indicators!$C$2,"C ratio",IF(ISNUMBER(BY1338),IF(ABS(BY1338-[5]QC_indicators!$B$1)&gt;3*[5]QC_indicators!$C$1,"DF","no"))),IF(ISNUMBER(BY1338),IF(ABS(BY1338-[5]QC_indicators!$B$1)&gt;3*[5]QC_indicators!$C$1,"DF","no")))</f>
        <v>0</v>
      </c>
    </row>
    <row r="1339" spans="1:148" ht="15" customHeight="1">
      <c r="A1339" s="319" t="s">
        <v>781</v>
      </c>
      <c r="D1339" t="s">
        <v>3673</v>
      </c>
      <c r="E1339" s="312" t="s">
        <v>3674</v>
      </c>
      <c r="F1339" s="312" t="s">
        <v>3675</v>
      </c>
      <c r="G1339" t="s">
        <v>782</v>
      </c>
      <c r="I1339">
        <v>2014</v>
      </c>
      <c r="J1339">
        <v>34</v>
      </c>
      <c r="K1339" s="295" t="s">
        <v>3676</v>
      </c>
      <c r="M1339" t="str">
        <f>LEFT($D1339,FIND(",",$D1339)-1)&amp;"_"&amp;I1339&amp;L1339</f>
        <v>Haus_2014</v>
      </c>
      <c r="N1339" s="312" t="s">
        <v>4383</v>
      </c>
      <c r="O1339" s="157" t="s">
        <v>223</v>
      </c>
      <c r="P1339" t="s">
        <v>223</v>
      </c>
      <c r="Q1339" s="312" t="s">
        <v>389</v>
      </c>
      <c r="R1339" s="313"/>
      <c r="S1339" s="154" t="s">
        <v>3677</v>
      </c>
      <c r="T1339" s="314" t="s">
        <v>3678</v>
      </c>
      <c r="U1339" s="143" t="s">
        <v>3683</v>
      </c>
      <c r="V1339">
        <v>1</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s="141">
        <f>COUNTIF(V1339:AW1339,"&lt;&gt;0")</f>
        <v>1</v>
      </c>
      <c r="AY1339" s="141">
        <f>COUNTIF(V1339:AL1339,"&lt;&gt;0")</f>
        <v>1</v>
      </c>
      <c r="AZ1339">
        <f>COUNTIF(V1339:AC1339,"&lt;&gt;0")</f>
        <v>1</v>
      </c>
      <c r="BA1339">
        <f>COUNTIF(AD1339:AI1339,"&lt;&gt;0")</f>
        <v>0</v>
      </c>
      <c r="BB1339">
        <f>COUNTIF(AJ1339:AL1339,"&lt;&gt;0")</f>
        <v>0</v>
      </c>
      <c r="BC1339">
        <f>COUNTIF(AS1339:AW1339,"&lt;&gt;0")</f>
        <v>0</v>
      </c>
      <c r="BD1339">
        <f>COUNTIF(AM1339:AR1339,"&lt;&gt;0")</f>
        <v>0</v>
      </c>
      <c r="BE1339" t="str" cm="1">
        <f t="array" ref="BE1339">IF(AY1339=1,INDEX($V$7:$AL$7,MATCH(TRUE,INDEX($V1339:$AW1339&lt;&gt;0,),0)),IF(AY1339=0,INDEX($AM$7:$AW$7,MATCH(1,$AM1339:$AW1339,0)),IF(BF1339="Multiple strategies","mixed drivers",IF(BF1339="Supply chain","multiple supply","multiple silviculture"))))</f>
        <v>area subject to harvest</v>
      </c>
      <c r="BF1339" s="2" t="str" cm="1">
        <f t="array" ref="BF1339">IF(COUNTIF(AZ1339:BB1339,"&lt;&gt;0")=1,INDEX($V$4:$AW$4,MATCH(TRUE,INDEX($V1339:$AW1339&lt;&gt;0,),0)),IF(COUNTIF(AZ1339:BB1339,"&lt;&gt;0")=0,INDEX($AM$4:$AW$4,MATCH(1,$AM1339:$AW1339,0)),"Multiple strategies"))</f>
        <v>Silviculture for removals</v>
      </c>
      <c r="BG1339" s="142"/>
      <c r="BJ1339" s="143"/>
      <c r="BL1339" s="143"/>
      <c r="BN1339" s="158"/>
      <c r="BO1339" s="159"/>
      <c r="BP1339" s="155" t="s">
        <v>232</v>
      </c>
      <c r="BQ1339" s="155" t="s">
        <v>3684</v>
      </c>
      <c r="BR1339" s="141" t="s">
        <v>784</v>
      </c>
      <c r="BS1339" s="151">
        <v>131</v>
      </c>
      <c r="BT1339" s="151">
        <v>47</v>
      </c>
      <c r="BU1339" s="144">
        <f>BT1339/BS1339</f>
        <v>0.35877862595419846</v>
      </c>
      <c r="BV1339">
        <f>BT1339-BS1339</f>
        <v>-84</v>
      </c>
      <c r="BX1339">
        <f>BV1339</f>
        <v>-84</v>
      </c>
      <c r="BY1339" t="str">
        <f>IFERROR(BX1339/BO1339,"")</f>
        <v/>
      </c>
      <c r="BZ1339">
        <v>0</v>
      </c>
      <c r="CA1339">
        <v>0</v>
      </c>
      <c r="CB1339">
        <v>0</v>
      </c>
      <c r="CC1339">
        <v>0</v>
      </c>
      <c r="CD1339">
        <v>0</v>
      </c>
      <c r="CE1339">
        <v>0</v>
      </c>
      <c r="CF1339">
        <v>0</v>
      </c>
      <c r="CG1339">
        <v>0</v>
      </c>
      <c r="CH1339">
        <v>0</v>
      </c>
      <c r="CI1339">
        <v>0</v>
      </c>
      <c r="CJ1339">
        <v>0</v>
      </c>
      <c r="CK1339">
        <v>0</v>
      </c>
      <c r="CL1339">
        <v>0</v>
      </c>
      <c r="CM1339">
        <v>0</v>
      </c>
      <c r="CN1339" t="str">
        <f>IF($BL1339&lt;$BK1339,"refNeedCorrection","refOK")</f>
        <v>refOK</v>
      </c>
      <c r="CO1339"/>
      <c r="CP1339"/>
      <c r="CQ1339"/>
      <c r="CR1339">
        <f>IF($CN1339="refOK",$BS1339,$BT1339)*IF($BP1339="Emissions positive",-1,1)</f>
        <v>131</v>
      </c>
      <c r="CS1339">
        <f>IF($CN1339="refOK",$BT1339,$BS1339)*IF($BP1339="Emissions positive",-1,1)</f>
        <v>47</v>
      </c>
      <c r="CT1339">
        <f>IF($CN1339="refNeedCorrection",-BX1339,BX1339)*IF($BP1339="Emissions positive",-1,1)</f>
        <v>-84</v>
      </c>
      <c r="CU1339" t="str">
        <f>IFERROR(CT1339/CQ1339,"")</f>
        <v/>
      </c>
      <c r="CV1339" s="2">
        <f>IFERROR((CS1339-CR1339)/ABS(CR1339),"")</f>
        <v>-0.64122137404580148</v>
      </c>
      <c r="CW1339" s="319" t="s">
        <v>234</v>
      </c>
      <c r="CX1339" s="312" t="str">
        <f>IF(OR($CW1339="prd",$CW1339="std",$CW1339="cit"),"loc",IF(OR($CW1339="eur",$CW1339="reg",$CW1339="coy"),"reg",$CW1339))</f>
        <v>loc</v>
      </c>
      <c r="CY1339" s="318" t="s">
        <v>444</v>
      </c>
      <c r="DA1339" s="143"/>
      <c r="DB1339" s="143">
        <v>29</v>
      </c>
      <c r="DC1339" t="str">
        <f>IF(DB1339=0,"0",IF(AND(DB1339&gt;=1,DB1339&lt;=30),"1-30",IF(AND(DB1339&gt;30,DB1339&lt;=70),"31-70",IF(AND(DB1339&gt;70,DB1339&lt;=100),"71-100",IF(DB1339&gt;100,"+100")))))</f>
        <v>1-30</v>
      </c>
      <c r="DD1339">
        <v>1</v>
      </c>
      <c r="DE1339">
        <v>1</v>
      </c>
      <c r="DF1339">
        <v>1</v>
      </c>
      <c r="DG1339">
        <v>1</v>
      </c>
      <c r="DH1339">
        <v>0</v>
      </c>
      <c r="DI1339">
        <f>SUM(DD1339:DG1339)</f>
        <v>4</v>
      </c>
      <c r="DJ1339" t="str">
        <f>IF(DI1339=1,INDEX($DD$7:$DG$7,MATCH(1,$DD1339:$DG1339,0)),"mixedProduct")</f>
        <v>mixedProduct</v>
      </c>
      <c r="DK1339" t="str">
        <f>IF(DD1339=1,DK$7,0)</f>
        <v>Upstream</v>
      </c>
      <c r="DL1339" t="str">
        <f>IF(DE1339=1,DL$7,0)</f>
        <v>Energy</v>
      </c>
      <c r="DM1339" t="str">
        <f>IF(DF1339=1,DM$7,0)</f>
        <v>Pulp/Paper</v>
      </c>
      <c r="DN1339" t="str">
        <f>IF(DG1339=1,DN$7,0)</f>
        <v>Timber</v>
      </c>
      <c r="DO1339">
        <v>0</v>
      </c>
      <c r="DP1339" s="143">
        <v>0</v>
      </c>
      <c r="DQ1339" s="143">
        <v>0</v>
      </c>
      <c r="DR1339">
        <v>0</v>
      </c>
      <c r="DS1339" s="143">
        <v>0</v>
      </c>
      <c r="DT1339">
        <f>SUM(DO1339:DP1339)</f>
        <v>0</v>
      </c>
      <c r="DU1339" s="143" t="str">
        <f>IF(DO1339=1,"self-calculated DF",IF(DP1339=1,"external DF used","explicit C balance"))</f>
        <v>explicit C balance</v>
      </c>
      <c r="DV1339" s="143">
        <v>0</v>
      </c>
      <c r="DW1339" s="143">
        <v>1</v>
      </c>
      <c r="DX1339" s="143">
        <v>1</v>
      </c>
      <c r="DY1339" s="143">
        <v>1</v>
      </c>
      <c r="DZ1339">
        <v>0</v>
      </c>
      <c r="EA1339" s="143">
        <v>0</v>
      </c>
      <c r="EB1339" s="143">
        <v>0</v>
      </c>
      <c r="EC1339" s="143">
        <v>0</v>
      </c>
      <c r="ED1339" s="143">
        <v>0</v>
      </c>
      <c r="EE1339">
        <v>0</v>
      </c>
      <c r="EF1339">
        <v>1</v>
      </c>
      <c r="EG1339" s="143">
        <v>0</v>
      </c>
      <c r="EH1339" s="143">
        <v>0</v>
      </c>
      <c r="EI1339" s="2">
        <v>0</v>
      </c>
      <c r="EK1339" t="str">
        <f>IF(AND(AND(AND(OR($DX1339=1,$DW1339=1),OR($EC1339=1,$EA1339=1)),SUM($DV1339:$DZ1339,$EF1339)&gt;=3),SUM($EA1339:$EE1339)&gt;=2),"Whole sector","")</f>
        <v/>
      </c>
      <c r="EL1339" t="str">
        <f>IF(AND(AND(OR($DX1339=1,$DW1339=1),AND($EC1339=0,$EA1339=0)),SUM($DV1339:$DZ1339,$EF1339)&gt;=3),"Ecosystem approach","")</f>
        <v>Ecosystem approach</v>
      </c>
      <c r="EM1339" s="2" t="str">
        <f>IF(AND(AND(AND($DX1339=0,$DW1339=0),OR($EC1339=1,$EA1339=1)),SUM($EB1339:$EE1339)&gt;=2),"Technology approach","")</f>
        <v/>
      </c>
      <c r="EN1339" s="312" t="s">
        <v>3680</v>
      </c>
      <c r="EP1339" t="b">
        <f>IF(ISNUMBER(BU1339),IF(ABS(BU1339-[5]QC_indicators!$B$2)&gt;3*[5]QC_indicators!$C$2,"C ratio",IF(ISNUMBER(BY1339),IF(ABS(BY1339-[5]QC_indicators!$B$1)&gt;3*[5]QC_indicators!$C$1,"DF","no"))),IF(ISNUMBER(BY1339),IF(ABS(BY1339-[5]QC_indicators!$B$1)&gt;3*[5]QC_indicators!$C$1,"DF","no")))</f>
        <v>0</v>
      </c>
    </row>
    <row r="1340" spans="1:148" ht="15" customHeight="1">
      <c r="A1340" s="319" t="s">
        <v>781</v>
      </c>
      <c r="D1340" t="s">
        <v>3673</v>
      </c>
      <c r="E1340" s="312" t="s">
        <v>3674</v>
      </c>
      <c r="F1340" s="312" t="s">
        <v>3675</v>
      </c>
      <c r="G1340" t="s">
        <v>782</v>
      </c>
      <c r="I1340">
        <v>2014</v>
      </c>
      <c r="J1340">
        <v>34</v>
      </c>
      <c r="K1340" s="295" t="s">
        <v>3676</v>
      </c>
      <c r="M1340" t="str">
        <f>LEFT($D1340,FIND(",",$D1340)-1)&amp;"_"&amp;I1340&amp;L1340</f>
        <v>Haus_2014</v>
      </c>
      <c r="N1340" s="312" t="s">
        <v>4383</v>
      </c>
      <c r="O1340" s="157" t="s">
        <v>223</v>
      </c>
      <c r="P1340" t="s">
        <v>223</v>
      </c>
      <c r="Q1340" s="312" t="s">
        <v>389</v>
      </c>
      <c r="R1340" s="313"/>
      <c r="S1340" s="154" t="s">
        <v>3677</v>
      </c>
      <c r="T1340" s="314" t="s">
        <v>3681</v>
      </c>
      <c r="U1340" s="143" t="s">
        <v>3683</v>
      </c>
      <c r="V1340">
        <v>1</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s="141">
        <f>COUNTIF(V1340:AW1340,"&lt;&gt;0")</f>
        <v>1</v>
      </c>
      <c r="AY1340" s="141">
        <f>COUNTIF(V1340:AL1340,"&lt;&gt;0")</f>
        <v>1</v>
      </c>
      <c r="AZ1340">
        <f>COUNTIF(V1340:AC1340,"&lt;&gt;0")</f>
        <v>1</v>
      </c>
      <c r="BA1340">
        <f>COUNTIF(AD1340:AI1340,"&lt;&gt;0")</f>
        <v>0</v>
      </c>
      <c r="BB1340">
        <f>COUNTIF(AJ1340:AL1340,"&lt;&gt;0")</f>
        <v>0</v>
      </c>
      <c r="BC1340">
        <f>COUNTIF(AS1340:AW1340,"&lt;&gt;0")</f>
        <v>0</v>
      </c>
      <c r="BD1340">
        <f>COUNTIF(AM1340:AR1340,"&lt;&gt;0")</f>
        <v>0</v>
      </c>
      <c r="BE1340" t="str" cm="1">
        <f t="array" ref="BE1340">IF(AY1340=1,INDEX($V$7:$AL$7,MATCH(TRUE,INDEX($V1340:$AW1340&lt;&gt;0,),0)),IF(AY1340=0,INDEX($AM$7:$AW$7,MATCH(1,$AM1340:$AW1340,0)),IF(BF1340="Multiple strategies","mixed drivers",IF(BF1340="Supply chain","multiple supply","multiple silviculture"))))</f>
        <v>area subject to harvest</v>
      </c>
      <c r="BF1340" s="2" t="str" cm="1">
        <f t="array" ref="BF1340">IF(COUNTIF(AZ1340:BB1340,"&lt;&gt;0")=1,INDEX($V$4:$AW$4,MATCH(TRUE,INDEX($V1340:$AW1340&lt;&gt;0,),0)),IF(COUNTIF(AZ1340:BB1340,"&lt;&gt;0")=0,INDEX($AM$4:$AW$4,MATCH(1,$AM1340:$AW1340,0)),"Multiple strategies"))</f>
        <v>Silviculture for removals</v>
      </c>
      <c r="BG1340" s="142"/>
      <c r="BJ1340" s="143"/>
      <c r="BL1340" s="143"/>
      <c r="BN1340" s="158"/>
      <c r="BO1340" s="159"/>
      <c r="BP1340" s="155" t="s">
        <v>232</v>
      </c>
      <c r="BQ1340" s="155" t="s">
        <v>3685</v>
      </c>
      <c r="BR1340" s="141" t="s">
        <v>784</v>
      </c>
      <c r="BS1340" s="151">
        <v>141</v>
      </c>
      <c r="BT1340" s="151">
        <v>47</v>
      </c>
      <c r="BU1340" s="144">
        <f>BT1340/BS1340</f>
        <v>0.33333333333333331</v>
      </c>
      <c r="BV1340">
        <f>BT1340-BS1340</f>
        <v>-94</v>
      </c>
      <c r="BX1340">
        <f>BV1340</f>
        <v>-94</v>
      </c>
      <c r="BY1340" t="str">
        <f>IFERROR(BX1340/BO1340,"")</f>
        <v/>
      </c>
      <c r="BZ1340">
        <v>0</v>
      </c>
      <c r="CA1340">
        <v>0</v>
      </c>
      <c r="CB1340">
        <v>0</v>
      </c>
      <c r="CC1340">
        <v>0</v>
      </c>
      <c r="CD1340">
        <v>0</v>
      </c>
      <c r="CE1340">
        <v>0</v>
      </c>
      <c r="CF1340">
        <v>0</v>
      </c>
      <c r="CG1340">
        <v>0</v>
      </c>
      <c r="CH1340">
        <v>0</v>
      </c>
      <c r="CI1340">
        <v>0</v>
      </c>
      <c r="CJ1340">
        <v>0</v>
      </c>
      <c r="CK1340">
        <v>0</v>
      </c>
      <c r="CL1340">
        <v>0</v>
      </c>
      <c r="CM1340">
        <v>0</v>
      </c>
      <c r="CN1340" t="str">
        <f>IF($BL1340&lt;$BK1340,"refNeedCorrection","refOK")</f>
        <v>refOK</v>
      </c>
      <c r="CO1340"/>
      <c r="CP1340"/>
      <c r="CQ1340"/>
      <c r="CR1340">
        <f>IF($CN1340="refOK",$BS1340,$BT1340)*IF($BP1340="Emissions positive",-1,1)</f>
        <v>141</v>
      </c>
      <c r="CS1340">
        <f>IF($CN1340="refOK",$BT1340,$BS1340)*IF($BP1340="Emissions positive",-1,1)</f>
        <v>47</v>
      </c>
      <c r="CT1340">
        <f>IF($CN1340="refNeedCorrection",-BX1340,BX1340)*IF($BP1340="Emissions positive",-1,1)</f>
        <v>-94</v>
      </c>
      <c r="CU1340" t="str">
        <f>IFERROR(CT1340/CQ1340,"")</f>
        <v/>
      </c>
      <c r="CV1340" s="2">
        <f>IFERROR((CS1340-CR1340)/ABS(CR1340),"")</f>
        <v>-0.66666666666666663</v>
      </c>
      <c r="CW1340" s="319" t="s">
        <v>234</v>
      </c>
      <c r="CX1340" s="312" t="str">
        <f>IF(OR($CW1340="prd",$CW1340="std",$CW1340="cit"),"loc",IF(OR($CW1340="eur",$CW1340="reg",$CW1340="coy"),"reg",$CW1340))</f>
        <v>loc</v>
      </c>
      <c r="CY1340" s="318" t="s">
        <v>444</v>
      </c>
      <c r="DA1340" s="143"/>
      <c r="DB1340" s="143">
        <v>29</v>
      </c>
      <c r="DC1340" t="str">
        <f>IF(DB1340=0,"0",IF(AND(DB1340&gt;=1,DB1340&lt;=30),"1-30",IF(AND(DB1340&gt;30,DB1340&lt;=70),"31-70",IF(AND(DB1340&gt;70,DB1340&lt;=100),"71-100",IF(DB1340&gt;100,"+100")))))</f>
        <v>1-30</v>
      </c>
      <c r="DD1340">
        <v>1</v>
      </c>
      <c r="DE1340">
        <v>1</v>
      </c>
      <c r="DF1340">
        <v>1</v>
      </c>
      <c r="DG1340">
        <v>1</v>
      </c>
      <c r="DH1340">
        <v>0</v>
      </c>
      <c r="DI1340">
        <f>SUM(DD1340:DG1340)</f>
        <v>4</v>
      </c>
      <c r="DJ1340" t="str">
        <f>IF(DI1340=1,INDEX($DD$7:$DG$7,MATCH(1,$DD1340:$DG1340,0)),"mixedProduct")</f>
        <v>mixedProduct</v>
      </c>
      <c r="DK1340" t="str">
        <f>IF(DD1340=1,DK$7,0)</f>
        <v>Upstream</v>
      </c>
      <c r="DL1340" t="str">
        <f>IF(DE1340=1,DL$7,0)</f>
        <v>Energy</v>
      </c>
      <c r="DM1340" t="str">
        <f>IF(DF1340=1,DM$7,0)</f>
        <v>Pulp/Paper</v>
      </c>
      <c r="DN1340" t="str">
        <f>IF(DG1340=1,DN$7,0)</f>
        <v>Timber</v>
      </c>
      <c r="DO1340">
        <v>0</v>
      </c>
      <c r="DP1340" s="143">
        <v>0</v>
      </c>
      <c r="DQ1340" s="143">
        <v>0</v>
      </c>
      <c r="DR1340">
        <v>0</v>
      </c>
      <c r="DS1340" s="143">
        <v>0</v>
      </c>
      <c r="DT1340">
        <f>SUM(DO1340:DP1340)</f>
        <v>0</v>
      </c>
      <c r="DU1340" s="143" t="str">
        <f>IF(DO1340=1,"self-calculated DF",IF(DP1340=1,"external DF used","explicit C balance"))</f>
        <v>explicit C balance</v>
      </c>
      <c r="DV1340" s="143">
        <v>0</v>
      </c>
      <c r="DW1340" s="143">
        <v>1</v>
      </c>
      <c r="DX1340" s="143">
        <v>1</v>
      </c>
      <c r="DY1340" s="143">
        <v>1</v>
      </c>
      <c r="DZ1340">
        <v>0</v>
      </c>
      <c r="EA1340" s="143">
        <v>0</v>
      </c>
      <c r="EB1340" s="143">
        <v>0</v>
      </c>
      <c r="EC1340" s="143">
        <v>0</v>
      </c>
      <c r="ED1340" s="143">
        <v>0</v>
      </c>
      <c r="EE1340">
        <v>0</v>
      </c>
      <c r="EF1340">
        <v>1</v>
      </c>
      <c r="EG1340" s="143">
        <v>0</v>
      </c>
      <c r="EH1340" s="143">
        <v>0</v>
      </c>
      <c r="EI1340" s="2">
        <v>0</v>
      </c>
      <c r="EK1340" t="str">
        <f>IF(AND(AND(AND(OR($DX1340=1,$DW1340=1),OR($EC1340=1,$EA1340=1)),SUM($DV1340:$DZ1340,$EF1340)&gt;=3),SUM($EA1340:$EE1340)&gt;=2),"Whole sector","")</f>
        <v/>
      </c>
      <c r="EL1340" t="str">
        <f>IF(AND(AND(OR($DX1340=1,$DW1340=1),AND($EC1340=0,$EA1340=0)),SUM($DV1340:$DZ1340,$EF1340)&gt;=3),"Ecosystem approach","")</f>
        <v>Ecosystem approach</v>
      </c>
      <c r="EM1340" s="2" t="str">
        <f>IF(AND(AND(AND($DX1340=0,$DW1340=0),OR($EC1340=1,$EA1340=1)),SUM($EB1340:$EE1340)&gt;=2),"Technology approach","")</f>
        <v/>
      </c>
      <c r="EN1340" s="312" t="s">
        <v>3680</v>
      </c>
      <c r="EP1340" t="b">
        <f>IF(ISNUMBER(BU1340),IF(ABS(BU1340-[5]QC_indicators!$B$2)&gt;3*[5]QC_indicators!$C$2,"C ratio",IF(ISNUMBER(BY1340),IF(ABS(BY1340-[5]QC_indicators!$B$1)&gt;3*[5]QC_indicators!$C$1,"DF","no"))),IF(ISNUMBER(BY1340),IF(ABS(BY1340-[5]QC_indicators!$B$1)&gt;3*[5]QC_indicators!$C$1,"DF","no")))</f>
        <v>0</v>
      </c>
    </row>
    <row r="1341" spans="1:148" ht="15" customHeight="1">
      <c r="A1341" s="319" t="s">
        <v>781</v>
      </c>
      <c r="D1341" t="s">
        <v>3673</v>
      </c>
      <c r="E1341" s="312" t="s">
        <v>3674</v>
      </c>
      <c r="F1341" s="312" t="s">
        <v>3675</v>
      </c>
      <c r="G1341" t="s">
        <v>782</v>
      </c>
      <c r="I1341">
        <v>2014</v>
      </c>
      <c r="J1341">
        <v>34</v>
      </c>
      <c r="K1341" s="295" t="s">
        <v>3676</v>
      </c>
      <c r="M1341" t="str">
        <f>LEFT($D1341,FIND(",",$D1341)-1)&amp;"_"&amp;I1341&amp;L1341</f>
        <v>Haus_2014</v>
      </c>
      <c r="N1341" s="312" t="s">
        <v>4383</v>
      </c>
      <c r="O1341" s="157" t="s">
        <v>223</v>
      </c>
      <c r="P1341" t="s">
        <v>223</v>
      </c>
      <c r="Q1341" s="312" t="s">
        <v>389</v>
      </c>
      <c r="R1341" s="313"/>
      <c r="S1341" s="154" t="s">
        <v>3677</v>
      </c>
      <c r="T1341" s="314" t="s">
        <v>3681</v>
      </c>
      <c r="U1341" s="143" t="s">
        <v>3683</v>
      </c>
      <c r="V1341">
        <v>1</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s="141">
        <f>COUNTIF(V1341:AW1341,"&lt;&gt;0")</f>
        <v>1</v>
      </c>
      <c r="AY1341" s="141">
        <f>COUNTIF(V1341:AL1341,"&lt;&gt;0")</f>
        <v>1</v>
      </c>
      <c r="AZ1341">
        <f>COUNTIF(V1341:AC1341,"&lt;&gt;0")</f>
        <v>1</v>
      </c>
      <c r="BA1341">
        <f>COUNTIF(AD1341:AI1341,"&lt;&gt;0")</f>
        <v>0</v>
      </c>
      <c r="BB1341">
        <f>COUNTIF(AJ1341:AL1341,"&lt;&gt;0")</f>
        <v>0</v>
      </c>
      <c r="BC1341">
        <f>COUNTIF(AS1341:AW1341,"&lt;&gt;0")</f>
        <v>0</v>
      </c>
      <c r="BD1341">
        <f>COUNTIF(AM1341:AR1341,"&lt;&gt;0")</f>
        <v>0</v>
      </c>
      <c r="BE1341" t="str" cm="1">
        <f t="array" ref="BE1341">IF(AY1341=1,INDEX($V$7:$AL$7,MATCH(TRUE,INDEX($V1341:$AW1341&lt;&gt;0,),0)),IF(AY1341=0,INDEX($AM$7:$AW$7,MATCH(1,$AM1341:$AW1341,0)),IF(BF1341="Multiple strategies","mixed drivers",IF(BF1341="Supply chain","multiple supply","multiple silviculture"))))</f>
        <v>area subject to harvest</v>
      </c>
      <c r="BF1341" s="2" t="str" cm="1">
        <f t="array" ref="BF1341">IF(COUNTIF(AZ1341:BB1341,"&lt;&gt;0")=1,INDEX($V$4:$AW$4,MATCH(TRUE,INDEX($V1341:$AW1341&lt;&gt;0,),0)),IF(COUNTIF(AZ1341:BB1341,"&lt;&gt;0")=0,INDEX($AM$4:$AW$4,MATCH(1,$AM1341:$AW1341,0)),"Multiple strategies"))</f>
        <v>Silviculture for removals</v>
      </c>
      <c r="BG1341" s="142"/>
      <c r="BJ1341" s="143"/>
      <c r="BL1341" s="143"/>
      <c r="BN1341" s="158"/>
      <c r="BO1341" s="159"/>
      <c r="BP1341" s="155" t="s">
        <v>232</v>
      </c>
      <c r="BQ1341" s="155" t="s">
        <v>429</v>
      </c>
      <c r="BR1341" s="141" t="s">
        <v>784</v>
      </c>
      <c r="BS1341" s="151">
        <v>992</v>
      </c>
      <c r="BT1341" s="151">
        <v>-1716</v>
      </c>
      <c r="BU1341" s="144">
        <f>BT1341/BS1341</f>
        <v>-1.7298387096774193</v>
      </c>
      <c r="BV1341">
        <f>BT1341-BS1341</f>
        <v>-2708</v>
      </c>
      <c r="BX1341">
        <f>BV1341</f>
        <v>-2708</v>
      </c>
      <c r="BY1341" t="str">
        <f>IFERROR(BX1341/BO1341,"")</f>
        <v/>
      </c>
      <c r="BZ1341">
        <v>0</v>
      </c>
      <c r="CA1341">
        <v>0</v>
      </c>
      <c r="CB1341">
        <v>0</v>
      </c>
      <c r="CC1341">
        <v>0</v>
      </c>
      <c r="CD1341">
        <v>0</v>
      </c>
      <c r="CE1341">
        <v>0</v>
      </c>
      <c r="CF1341">
        <v>0</v>
      </c>
      <c r="CG1341">
        <v>0</v>
      </c>
      <c r="CH1341">
        <v>0</v>
      </c>
      <c r="CI1341">
        <v>0</v>
      </c>
      <c r="CJ1341">
        <v>0</v>
      </c>
      <c r="CK1341">
        <v>0</v>
      </c>
      <c r="CL1341">
        <v>0</v>
      </c>
      <c r="CM1341">
        <v>0</v>
      </c>
      <c r="CN1341" t="str">
        <f>IF($BL1341&lt;$BK1341,"refNeedCorrection","refOK")</f>
        <v>refOK</v>
      </c>
      <c r="CO1341"/>
      <c r="CP1341"/>
      <c r="CQ1341"/>
      <c r="CR1341">
        <f>IF($CN1341="refOK",$BS1341,$BT1341)*IF($BP1341="Emissions positive",-1,1)</f>
        <v>992</v>
      </c>
      <c r="CS1341">
        <f>IF($CN1341="refOK",$BT1341,$BS1341)*IF($BP1341="Emissions positive",-1,1)</f>
        <v>-1716</v>
      </c>
      <c r="CT1341">
        <f>IF($CN1341="refNeedCorrection",-BX1341,BX1341)*IF($BP1341="Emissions positive",-1,1)</f>
        <v>-2708</v>
      </c>
      <c r="CU1341" t="str">
        <f>IFERROR(CT1341/CQ1341,"")</f>
        <v/>
      </c>
      <c r="CV1341" s="2">
        <f>IFERROR((CS1341-CR1341)/ABS(CR1341),"")</f>
        <v>-2.7298387096774195</v>
      </c>
      <c r="CW1341" s="319" t="s">
        <v>234</v>
      </c>
      <c r="CX1341" s="312" t="str">
        <f>IF(OR($CW1341="prd",$CW1341="std",$CW1341="cit"),"loc",IF(OR($CW1341="eur",$CW1341="reg",$CW1341="coy"),"reg",$CW1341))</f>
        <v>loc</v>
      </c>
      <c r="CY1341" s="318" t="s">
        <v>444</v>
      </c>
      <c r="DA1341" s="143"/>
      <c r="DB1341" s="143">
        <v>240</v>
      </c>
      <c r="DC1341" t="str">
        <f>IF(DB1341=0,"0",IF(AND(DB1341&gt;=1,DB1341&lt;=30),"1-30",IF(AND(DB1341&gt;30,DB1341&lt;=70),"31-70",IF(AND(DB1341&gt;70,DB1341&lt;=100),"71-100",IF(DB1341&gt;100,"+100")))))</f>
        <v>+100</v>
      </c>
      <c r="DD1341">
        <v>1</v>
      </c>
      <c r="DE1341">
        <v>1</v>
      </c>
      <c r="DF1341">
        <v>1</v>
      </c>
      <c r="DG1341">
        <v>1</v>
      </c>
      <c r="DH1341">
        <v>0</v>
      </c>
      <c r="DI1341">
        <f>SUM(DD1341:DG1341)</f>
        <v>4</v>
      </c>
      <c r="DJ1341" t="str">
        <f>IF(DI1341=1,INDEX($DD$7:$DG$7,MATCH(1,$DD1341:$DG1341,0)),"mixedProduct")</f>
        <v>mixedProduct</v>
      </c>
      <c r="DK1341" t="str">
        <f>IF(DD1341=1,DK$7,0)</f>
        <v>Upstream</v>
      </c>
      <c r="DL1341" t="str">
        <f>IF(DE1341=1,DL$7,0)</f>
        <v>Energy</v>
      </c>
      <c r="DM1341" t="str">
        <f>IF(DF1341=1,DM$7,0)</f>
        <v>Pulp/Paper</v>
      </c>
      <c r="DN1341" t="str">
        <f>IF(DG1341=1,DN$7,0)</f>
        <v>Timber</v>
      </c>
      <c r="DO1341">
        <v>0</v>
      </c>
      <c r="DP1341" s="143">
        <v>0</v>
      </c>
      <c r="DQ1341" s="143">
        <v>0</v>
      </c>
      <c r="DR1341">
        <v>0</v>
      </c>
      <c r="DS1341" s="143">
        <v>0</v>
      </c>
      <c r="DT1341">
        <f>SUM(DO1341:DP1341)</f>
        <v>0</v>
      </c>
      <c r="DU1341" s="143" t="str">
        <f>IF(DO1341=1,"self-calculated DF",IF(DP1341=1,"external DF used","explicit C balance"))</f>
        <v>explicit C balance</v>
      </c>
      <c r="DV1341" s="143">
        <v>0</v>
      </c>
      <c r="DW1341" s="143">
        <v>1</v>
      </c>
      <c r="DX1341" s="143">
        <v>1</v>
      </c>
      <c r="DY1341" s="143">
        <v>1</v>
      </c>
      <c r="DZ1341">
        <v>0</v>
      </c>
      <c r="EA1341" s="143">
        <v>0</v>
      </c>
      <c r="EB1341" s="143">
        <v>0</v>
      </c>
      <c r="EC1341" s="143">
        <v>0</v>
      </c>
      <c r="ED1341" s="143">
        <v>0</v>
      </c>
      <c r="EE1341">
        <v>0</v>
      </c>
      <c r="EF1341">
        <v>1</v>
      </c>
      <c r="EG1341" s="143">
        <v>0</v>
      </c>
      <c r="EH1341" s="143">
        <v>0</v>
      </c>
      <c r="EI1341" s="2">
        <v>0</v>
      </c>
      <c r="EK1341" t="str">
        <f>IF(AND(AND(AND(OR($DX1341=1,$DW1341=1),OR($EC1341=1,$EA1341=1)),SUM($DV1341:$DZ1341,$EF1341)&gt;=3),SUM($EA1341:$EE1341)&gt;=2),"Whole sector","")</f>
        <v/>
      </c>
      <c r="EL1341" t="str">
        <f>IF(AND(AND(OR($DX1341=1,$DW1341=1),AND($EC1341=0,$EA1341=0)),SUM($DV1341:$DZ1341,$EF1341)&gt;=3),"Ecosystem approach","")</f>
        <v>Ecosystem approach</v>
      </c>
      <c r="EM1341" s="2" t="str">
        <f>IF(AND(AND(AND($DX1341=0,$DW1341=0),OR($EC1341=1,$EA1341=1)),SUM($EB1341:$EE1341)&gt;=2),"Technology approach","")</f>
        <v/>
      </c>
      <c r="EN1341" s="312" t="s">
        <v>3680</v>
      </c>
      <c r="EP1341" t="b">
        <f>IF(ISNUMBER(BU1341),IF(ABS(BU1341-[5]QC_indicators!$B$2)&gt;3*[5]QC_indicators!$C$2,"C ratio",IF(ISNUMBER(BY1341),IF(ABS(BY1341-[5]QC_indicators!$B$1)&gt;3*[5]QC_indicators!$C$1,"DF","no"))),IF(ISNUMBER(BY1341),IF(ABS(BY1341-[5]QC_indicators!$B$1)&gt;3*[5]QC_indicators!$C$1,"DF","no")))</f>
        <v>0</v>
      </c>
    </row>
    <row r="1342" spans="1:148" ht="15" customHeight="1">
      <c r="A1342" s="319" t="s">
        <v>781</v>
      </c>
      <c r="D1342" t="s">
        <v>3673</v>
      </c>
      <c r="E1342" s="312" t="s">
        <v>3674</v>
      </c>
      <c r="F1342" s="312" t="s">
        <v>3675</v>
      </c>
      <c r="G1342" t="s">
        <v>782</v>
      </c>
      <c r="I1342">
        <v>2014</v>
      </c>
      <c r="J1342">
        <v>34</v>
      </c>
      <c r="K1342" s="295" t="s">
        <v>3676</v>
      </c>
      <c r="M1342" t="str">
        <f>LEFT($D1342,FIND(",",$D1342)-1)&amp;"_"&amp;I1342&amp;L1342</f>
        <v>Haus_2014</v>
      </c>
      <c r="N1342" s="312" t="s">
        <v>4383</v>
      </c>
      <c r="O1342" s="157" t="s">
        <v>223</v>
      </c>
      <c r="P1342" t="s">
        <v>223</v>
      </c>
      <c r="Q1342" s="312" t="s">
        <v>389</v>
      </c>
      <c r="R1342" s="313"/>
      <c r="S1342" s="154" t="s">
        <v>3677</v>
      </c>
      <c r="T1342" s="314" t="s">
        <v>3678</v>
      </c>
      <c r="U1342" s="143" t="s">
        <v>3683</v>
      </c>
      <c r="V1342">
        <v>1</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s="141">
        <f>COUNTIF(V1342:AW1342,"&lt;&gt;0")</f>
        <v>1</v>
      </c>
      <c r="AY1342" s="141">
        <f>COUNTIF(V1342:AL1342,"&lt;&gt;0")</f>
        <v>1</v>
      </c>
      <c r="AZ1342">
        <f>COUNTIF(V1342:AC1342,"&lt;&gt;0")</f>
        <v>1</v>
      </c>
      <c r="BA1342">
        <f>COUNTIF(AD1342:AI1342,"&lt;&gt;0")</f>
        <v>0</v>
      </c>
      <c r="BB1342">
        <f>COUNTIF(AJ1342:AL1342,"&lt;&gt;0")</f>
        <v>0</v>
      </c>
      <c r="BC1342">
        <f>COUNTIF(AS1342:AW1342,"&lt;&gt;0")</f>
        <v>0</v>
      </c>
      <c r="BD1342">
        <f>COUNTIF(AM1342:AR1342,"&lt;&gt;0")</f>
        <v>0</v>
      </c>
      <c r="BE1342" t="str" cm="1">
        <f t="array" ref="BE1342">IF(AY1342=1,INDEX($V$7:$AL$7,MATCH(TRUE,INDEX($V1342:$AW1342&lt;&gt;0,),0)),IF(AY1342=0,INDEX($AM$7:$AW$7,MATCH(1,$AM1342:$AW1342,0)),IF(BF1342="Multiple strategies","mixed drivers",IF(BF1342="Supply chain","multiple supply","multiple silviculture"))))</f>
        <v>area subject to harvest</v>
      </c>
      <c r="BF1342" s="2" t="str" cm="1">
        <f t="array" ref="BF1342">IF(COUNTIF(AZ1342:BB1342,"&lt;&gt;0")=1,INDEX($V$4:$AW$4,MATCH(TRUE,INDEX($V1342:$AW1342&lt;&gt;0,),0)),IF(COUNTIF(AZ1342:BB1342,"&lt;&gt;0")=0,INDEX($AM$4:$AW$4,MATCH(1,$AM1342:$AW1342,0)),"Multiple strategies"))</f>
        <v>Silviculture for removals</v>
      </c>
      <c r="BG1342" s="142"/>
      <c r="BJ1342" s="143"/>
      <c r="BL1342" s="143"/>
      <c r="BM1342" t="str">
        <f>IFERROR(BL1342/BK1342,"")</f>
        <v/>
      </c>
      <c r="BN1342" s="158">
        <f>BL1342-BK1342</f>
        <v>0</v>
      </c>
      <c r="BO1342" s="159">
        <f>BN1342</f>
        <v>0</v>
      </c>
      <c r="BP1342" s="155" t="s">
        <v>232</v>
      </c>
      <c r="BQ1342" s="155" t="s">
        <v>429</v>
      </c>
      <c r="BR1342" s="141" t="s">
        <v>784</v>
      </c>
      <c r="BS1342" s="151">
        <v>649</v>
      </c>
      <c r="BT1342" s="151">
        <v>-1716</v>
      </c>
      <c r="BU1342" s="144">
        <f>BT1342/BS1342</f>
        <v>-2.6440677966101696</v>
      </c>
      <c r="BV1342">
        <f>BT1342-BS1342</f>
        <v>-2365</v>
      </c>
      <c r="BX1342">
        <f>BV1342</f>
        <v>-2365</v>
      </c>
      <c r="BY1342" t="str">
        <f>IFERROR(BX1342/BO1342,"")</f>
        <v/>
      </c>
      <c r="BZ1342">
        <v>0</v>
      </c>
      <c r="CA1342">
        <v>0</v>
      </c>
      <c r="CB1342">
        <v>0</v>
      </c>
      <c r="CC1342">
        <v>0</v>
      </c>
      <c r="CD1342">
        <v>0</v>
      </c>
      <c r="CE1342">
        <v>0</v>
      </c>
      <c r="CF1342">
        <v>0</v>
      </c>
      <c r="CG1342">
        <v>0</v>
      </c>
      <c r="CH1342">
        <v>0</v>
      </c>
      <c r="CI1342">
        <v>0</v>
      </c>
      <c r="CJ1342">
        <v>0</v>
      </c>
      <c r="CK1342">
        <v>0</v>
      </c>
      <c r="CL1342">
        <v>0</v>
      </c>
      <c r="CM1342">
        <v>0</v>
      </c>
      <c r="CN1342" t="str">
        <f>IF($BL1342&lt;$BK1342,"refNeedCorrection","refOK")</f>
        <v>refOK</v>
      </c>
      <c r="CO1342">
        <f>IF($CN1342="refOK",$BK1342,$BL1342)</f>
        <v>0</v>
      </c>
      <c r="CP1342">
        <f>IF($CN1342="refOK",$BL1342,$BK1342)</f>
        <v>0</v>
      </c>
      <c r="CQ1342">
        <f>IF($CN1342="refOK",$BO1342,-$BO1342)</f>
        <v>0</v>
      </c>
      <c r="CR1342">
        <f>IF($CN1342="refOK",$BS1342,$BT1342)*IF($BP1342="Emissions positive",-1,1)</f>
        <v>649</v>
      </c>
      <c r="CS1342">
        <f>IF($CN1342="refOK",$BT1342,$BS1342)*IF($BP1342="Emissions positive",-1,1)</f>
        <v>-1716</v>
      </c>
      <c r="CT1342">
        <f>IF($CN1342="refNeedCorrection",-BX1342,BX1342)*IF($BP1342="Emissions positive",-1,1)</f>
        <v>-2365</v>
      </c>
      <c r="CU1342" t="str">
        <f>IFERROR(CT1342/CQ1342,"")</f>
        <v/>
      </c>
      <c r="CV1342" s="2">
        <f>IFERROR((CS1342-CR1342)/ABS(CR1342),"")</f>
        <v>-3.6440677966101696</v>
      </c>
      <c r="CW1342" s="319" t="s">
        <v>234</v>
      </c>
      <c r="CX1342" s="312" t="str">
        <f>IF(OR($CW1342="prd",$CW1342="std",$CW1342="cit"),"loc",IF(OR($CW1342="eur",$CW1342="reg",$CW1342="coy"),"reg",$CW1342))</f>
        <v>loc</v>
      </c>
      <c r="CY1342" s="318" t="s">
        <v>444</v>
      </c>
      <c r="DA1342" s="143"/>
      <c r="DB1342" s="143">
        <v>240</v>
      </c>
      <c r="DC1342" t="str">
        <f>IF(DB1342=0,"0",IF(AND(DB1342&gt;=1,DB1342&lt;=30),"1-30",IF(AND(DB1342&gt;30,DB1342&lt;=70),"31-70",IF(AND(DB1342&gt;70,DB1342&lt;=100),"71-100",IF(DB1342&gt;100,"+100")))))</f>
        <v>+100</v>
      </c>
      <c r="DD1342">
        <v>1</v>
      </c>
      <c r="DE1342">
        <v>1</v>
      </c>
      <c r="DF1342">
        <v>1</v>
      </c>
      <c r="DG1342">
        <v>1</v>
      </c>
      <c r="DH1342">
        <v>0</v>
      </c>
      <c r="DI1342">
        <f>SUM(DD1342:DH1342)</f>
        <v>4</v>
      </c>
      <c r="DJ1342" t="str">
        <f>IF(DI1342=1,INDEX($DD$7:$DG$7,MATCH(1,$DD1342:$DG1342,0)),"mixedProduct")</f>
        <v>mixedProduct</v>
      </c>
      <c r="DK1342" t="str">
        <f>IF(DD1342=1,DK$7,0)</f>
        <v>Upstream</v>
      </c>
      <c r="DL1342" t="str">
        <f>IF(DE1342=1,DL$7,0)</f>
        <v>Energy</v>
      </c>
      <c r="DM1342" t="str">
        <f>IF(DF1342=1,DM$7,0)</f>
        <v>Pulp/Paper</v>
      </c>
      <c r="DN1342" t="str">
        <f>IF(DG1342=1,DN$7,0)</f>
        <v>Timber</v>
      </c>
      <c r="DO1342">
        <v>0</v>
      </c>
      <c r="DP1342" s="143">
        <v>0</v>
      </c>
      <c r="DQ1342" s="143">
        <v>0</v>
      </c>
      <c r="DR1342">
        <v>0</v>
      </c>
      <c r="DS1342" s="143">
        <v>0</v>
      </c>
      <c r="DT1342">
        <f>SUM(DO1342:DP1342)</f>
        <v>0</v>
      </c>
      <c r="DU1342" s="143" t="str">
        <f>IF(DO1342=1,"self-calculated DF",IF(DP1342=1,"external DF used","explicit C balance"))</f>
        <v>explicit C balance</v>
      </c>
      <c r="DV1342" s="143">
        <v>0</v>
      </c>
      <c r="DW1342" s="143">
        <v>1</v>
      </c>
      <c r="DX1342" s="143">
        <v>1</v>
      </c>
      <c r="DY1342" s="143">
        <v>1</v>
      </c>
      <c r="DZ1342">
        <v>0</v>
      </c>
      <c r="EA1342" s="143">
        <v>0</v>
      </c>
      <c r="EB1342" s="143">
        <v>0</v>
      </c>
      <c r="EC1342" s="143">
        <v>0</v>
      </c>
      <c r="ED1342" s="143">
        <v>0</v>
      </c>
      <c r="EE1342">
        <v>0</v>
      </c>
      <c r="EF1342">
        <v>1</v>
      </c>
      <c r="EG1342" s="143">
        <v>0</v>
      </c>
      <c r="EH1342" s="143">
        <v>0</v>
      </c>
      <c r="EI1342" s="2">
        <v>0</v>
      </c>
      <c r="EK1342" t="str">
        <f>IF(AND(AND(AND(OR($DX1342=1,$DW1342=1),OR($EC1342=1,$EA1342=1)),SUM($DV1342:$DZ1342,$EF1342)&gt;=3),SUM($EA1342:$EE1342)&gt;=2),"Whole sector","")</f>
        <v/>
      </c>
      <c r="EL1342" t="str">
        <f>IF(AND(AND(OR($DX1342=1,$DW1342=1),AND($EC1342=0,$EA1342=0)),SUM($DV1342:$DZ1342,$EF1342)&gt;=3),"Ecosystem approach","")</f>
        <v>Ecosystem approach</v>
      </c>
      <c r="EM1342" s="2" t="str">
        <f>IF(AND(AND(AND($DX1342=0,$DW1342=0),OR($EC1342=1,$EA1342=1)),SUM($EB1342:$EE1342)&gt;=2),"Technology approach","")</f>
        <v/>
      </c>
      <c r="EN1342" s="312" t="s">
        <v>3680</v>
      </c>
      <c r="EP1342" t="b">
        <f>IF(ISNUMBER(BU1342),IF(ABS(BU1342-[5]QC_indicators!$B$2)&gt;3*[5]QC_indicators!$C$2,"C ratio",IF(ISNUMBER(BY1342),IF(ABS(BY1342-[5]QC_indicators!$B$1)&gt;3*[5]QC_indicators!$C$1,"DF","no"))),IF(ISNUMBER(BY1342),IF(ABS(BY1342-[5]QC_indicators!$B$1)&gt;3*[5]QC_indicators!$C$1,"DF","no")))</f>
        <v>0</v>
      </c>
    </row>
    <row r="1343" spans="1:148" ht="15" customHeight="1">
      <c r="A1343" s="1" t="s">
        <v>667</v>
      </c>
      <c r="B1343" t="s">
        <v>3686</v>
      </c>
      <c r="C1343" t="s">
        <v>3687</v>
      </c>
      <c r="D1343" t="s">
        <v>3688</v>
      </c>
      <c r="E1343" t="s">
        <v>3689</v>
      </c>
      <c r="F1343" t="s">
        <v>3690</v>
      </c>
      <c r="G1343" t="s">
        <v>673</v>
      </c>
      <c r="H1343" t="s">
        <v>254</v>
      </c>
      <c r="I1343">
        <v>2018</v>
      </c>
      <c r="J1343">
        <v>27</v>
      </c>
      <c r="K1343" t="s">
        <v>3691</v>
      </c>
      <c r="L1343" t="s">
        <v>388</v>
      </c>
      <c r="M1343" t="str">
        <f>LEFT($D1343,FIND(",",$D1343)-1)&amp;"_"&amp;I1343&amp;L1343</f>
        <v>Hossain_2018a</v>
      </c>
      <c r="N1343" s="312" t="s">
        <v>4383</v>
      </c>
      <c r="O1343" s="145" t="s">
        <v>513</v>
      </c>
      <c r="Q1343" s="312" t="s">
        <v>256</v>
      </c>
      <c r="R1343" s="313"/>
      <c r="S1343" s="1" t="s">
        <v>3692</v>
      </c>
      <c r="T1343" t="s">
        <v>3693</v>
      </c>
      <c r="U1343" t="s">
        <v>3694</v>
      </c>
      <c r="V1343">
        <v>0</v>
      </c>
      <c r="W1343">
        <v>0</v>
      </c>
      <c r="X1343">
        <v>0</v>
      </c>
      <c r="Y1343">
        <v>0</v>
      </c>
      <c r="Z1343">
        <v>0</v>
      </c>
      <c r="AA1343">
        <v>0</v>
      </c>
      <c r="AB1343">
        <v>0</v>
      </c>
      <c r="AC1343">
        <v>0</v>
      </c>
      <c r="AD1343">
        <v>0</v>
      </c>
      <c r="AE1343">
        <v>0</v>
      </c>
      <c r="AF1343">
        <v>0</v>
      </c>
      <c r="AG1343">
        <v>1</v>
      </c>
      <c r="AH1343">
        <v>0</v>
      </c>
      <c r="AI1343">
        <v>0</v>
      </c>
      <c r="AJ1343">
        <v>0</v>
      </c>
      <c r="AK1343">
        <v>2</v>
      </c>
      <c r="AL1343">
        <v>0</v>
      </c>
      <c r="AM1343">
        <v>0</v>
      </c>
      <c r="AN1343">
        <v>0</v>
      </c>
      <c r="AO1343">
        <v>0</v>
      </c>
      <c r="AP1343">
        <v>0</v>
      </c>
      <c r="AQ1343">
        <v>0</v>
      </c>
      <c r="AR1343">
        <v>0</v>
      </c>
      <c r="AS1343">
        <v>0</v>
      </c>
      <c r="AT1343">
        <v>0</v>
      </c>
      <c r="AU1343">
        <v>0</v>
      </c>
      <c r="AV1343">
        <v>0</v>
      </c>
      <c r="AW1343">
        <v>0</v>
      </c>
      <c r="AX1343" s="141">
        <f>COUNTIF(V1343:AW1343,"&lt;&gt;0")</f>
        <v>2</v>
      </c>
      <c r="AY1343" s="141">
        <f>COUNTIF(V1343:AL1343,"&lt;&gt;0")</f>
        <v>2</v>
      </c>
      <c r="AZ1343">
        <f>COUNTIF(V1343:AC1343,"&lt;&gt;0")</f>
        <v>0</v>
      </c>
      <c r="BA1343">
        <f>COUNTIF(AD1343:AI1343,"&lt;&gt;0")</f>
        <v>1</v>
      </c>
      <c r="BB1343">
        <f>COUNTIF(AJ1343:AL1343,"&lt;&gt;0")</f>
        <v>1</v>
      </c>
      <c r="BC1343">
        <f>COUNTIF(AS1343:AW1343,"&lt;&gt;0")</f>
        <v>0</v>
      </c>
      <c r="BD1343">
        <f>COUNTIF(AM1343:AR1343,"&lt;&gt;0")</f>
        <v>0</v>
      </c>
      <c r="BE1343" t="str" cm="1">
        <f t="array" ref="BE1343">IF(AY1343=1,INDEX($V$7:$AL$7,MATCH(TRUE,INDEX($V1343:$AW1343&lt;&gt;0,),0)),IF(AY1343=0,INDEX($AM$7:$AW$7,MATCH(1,$AM1343:$AW1343,0)),IF(BF1343="Multiple strategies","mixed drivers",IF(BF1343="Supply chain","multiple supply","multiple silviculture"))))</f>
        <v>mixed drivers</v>
      </c>
      <c r="BF1343" s="2" t="str" cm="1">
        <f t="array" ref="BF1343">IF(COUNTIF(AZ1343:BB1343,"&lt;&gt;0")=1,INDEX($V$4:$AW$4,MATCH(TRUE,INDEX($V1343:$AW1343&lt;&gt;0,),0)),IF(COUNTIF(AZ1343:BB1343,"&lt;&gt;0")=0,INDEX($AM$4:$AW$4,MATCH(1,$AM1343:$AW1343,0)),"Multiple strategies"))</f>
        <v>Multiple strategies</v>
      </c>
      <c r="BP1343" t="s">
        <v>232</v>
      </c>
      <c r="BR1343" t="s">
        <v>3695</v>
      </c>
      <c r="BS1343">
        <v>-957</v>
      </c>
      <c r="BT1343">
        <v>-994</v>
      </c>
      <c r="BU1343" s="144">
        <f>IFERROR(BT1343/BS1343,"")</f>
        <v>1.038662486938349</v>
      </c>
      <c r="BV1343">
        <f>BT1343-BS1343</f>
        <v>-37</v>
      </c>
      <c r="BX1343">
        <f>BV1343/1000</f>
        <v>-3.6999999999999998E-2</v>
      </c>
      <c r="BY1343" t="str">
        <f>IFERROR(BX1343/BO1343,"")</f>
        <v/>
      </c>
      <c r="BZ1343">
        <v>0</v>
      </c>
      <c r="CA1343">
        <v>0</v>
      </c>
      <c r="CB1343">
        <v>0</v>
      </c>
      <c r="CC1343">
        <v>0</v>
      </c>
      <c r="CD1343">
        <v>0</v>
      </c>
      <c r="CE1343">
        <v>0</v>
      </c>
      <c r="CF1343">
        <v>0</v>
      </c>
      <c r="CG1343">
        <v>0</v>
      </c>
      <c r="CH1343">
        <v>0</v>
      </c>
      <c r="CI1343">
        <v>0</v>
      </c>
      <c r="CJ1343">
        <v>0</v>
      </c>
      <c r="CK1343">
        <v>0</v>
      </c>
      <c r="CL1343">
        <v>0</v>
      </c>
      <c r="CM1343">
        <v>0</v>
      </c>
      <c r="CN1343" t="str">
        <f>IF(BL1343&lt;BK1343,"refNeedCorrection","refOK")</f>
        <v>refOK</v>
      </c>
      <c r="CO1343"/>
      <c r="CP1343"/>
      <c r="CQ1343"/>
      <c r="CR1343">
        <f>IF($CN1343="refOK",$BS1343,$BT1343)*IF($BP1343="Emissions positive",-1,1)</f>
        <v>-957</v>
      </c>
      <c r="CS1343">
        <f>IF($CN1343="refOK",$BT1343,$BS1343)*IF($BP1343="Emissions positive",-1,1)</f>
        <v>-994</v>
      </c>
      <c r="CT1343">
        <f>IF($CN1343="refNeedCorrection",-BX1343,BX1343)*IF($BP1343="Emissions positive",-1,1)</f>
        <v>-3.6999999999999998E-2</v>
      </c>
      <c r="CU1343" t="str">
        <f>IFERROR(CT1343/CQ1343,"")</f>
        <v/>
      </c>
      <c r="CV1343" s="2">
        <f>IFERROR((CS1343-CR1343)/ABS(CR1343),"")</f>
        <v>-3.8662486938349006E-2</v>
      </c>
      <c r="CW1343" s="1" t="s">
        <v>347</v>
      </c>
      <c r="CX1343" s="312" t="str">
        <f>IF(OR($CW1343="prd",$CW1343="std",$CW1343="cit"),"loc",IF(OR($CW1343="eur",$CW1343="reg",$CW1343="coy"),"reg",$CW1343))</f>
        <v>loc</v>
      </c>
      <c r="CY1343" t="s">
        <v>680</v>
      </c>
      <c r="DB1343">
        <v>0</v>
      </c>
      <c r="DC1343" t="str">
        <f>IF(DB1343=0,"0",IF(AND(DB1343&gt;=1,DB1343&lt;=30),"1-30",IF(AND(DB1343&gt;30,DB1343&lt;=70),"31-70",IF(AND(DB1343&gt;70,DB1343&lt;=100),"71-100",IF(DB1343&gt;100,"+100")))))</f>
        <v>0</v>
      </c>
      <c r="DD1343">
        <v>0</v>
      </c>
      <c r="DE1343">
        <v>0</v>
      </c>
      <c r="DF1343">
        <v>0</v>
      </c>
      <c r="DG1343">
        <v>1</v>
      </c>
      <c r="DI1343">
        <f>SUM(DD1343:DG1343)</f>
        <v>1</v>
      </c>
      <c r="DJ1343" t="str">
        <f>IF(DI1343=1,INDEX($DD$7:$DG$7,MATCH(1,$DD1343:$DG1343,0)),"mixedProduct")</f>
        <v>TimberInput</v>
      </c>
      <c r="DK1343">
        <f>IF(DD1343=1,DK$7,0)</f>
        <v>0</v>
      </c>
      <c r="DL1343">
        <f>IF(DE1343=1,DL$7,0)</f>
        <v>0</v>
      </c>
      <c r="DM1343">
        <f>IF(DF1343=1,DM$7,0)</f>
        <v>0</v>
      </c>
      <c r="DN1343" t="str">
        <f>IF(DG1343=1,DN$7,0)</f>
        <v>Timber</v>
      </c>
      <c r="DO1343">
        <v>1</v>
      </c>
      <c r="DP1343">
        <v>0</v>
      </c>
      <c r="DQ1343">
        <v>0</v>
      </c>
      <c r="DR1343">
        <v>0</v>
      </c>
      <c r="DS1343">
        <v>0</v>
      </c>
      <c r="DT1343">
        <f>SUM(DO1343:DP1343)</f>
        <v>1</v>
      </c>
      <c r="DU1343" s="143" t="str">
        <f>IF(DO1343=1,"self-calculated DF",IF(DP1343=1,"external DF used","explicit C balance"))</f>
        <v>self-calculated DF</v>
      </c>
      <c r="DV1343">
        <v>0</v>
      </c>
      <c r="DW1343">
        <v>0</v>
      </c>
      <c r="DX1343">
        <v>0</v>
      </c>
      <c r="DY1343">
        <v>0</v>
      </c>
      <c r="DZ1343">
        <v>0</v>
      </c>
      <c r="EA1343" s="143">
        <v>0</v>
      </c>
      <c r="EB1343">
        <v>0</v>
      </c>
      <c r="EC1343">
        <v>1</v>
      </c>
      <c r="ED1343">
        <v>0</v>
      </c>
      <c r="EE1343">
        <v>0</v>
      </c>
      <c r="EF1343">
        <v>0</v>
      </c>
      <c r="EG1343">
        <v>0</v>
      </c>
      <c r="EH1343">
        <v>0</v>
      </c>
      <c r="EI1343" s="2">
        <v>0</v>
      </c>
      <c r="EK1343" t="str">
        <f>IF(AND(AND(AND(OR($DX1343=1,$DW1343=1),OR($EC1343=1,$EA1343=1)),SUM($DV1343:$DZ1343,$EF1343)&gt;=3),SUM($EA1343:$EE1343)&gt;=2),"Whole sector","")</f>
        <v/>
      </c>
      <c r="EL1343" t="str">
        <f>IF(AND(AND(OR($DX1343=1,$DW1343=1),AND($EC1343=0,$EA1343=0)),SUM($DV1343:$DZ1343,$EF1343)&gt;=3),"Ecosystem approach","")</f>
        <v/>
      </c>
      <c r="EM1343" s="2" t="str">
        <f>IF(AND(AND(AND($DX1343=0,$DW1343=0),OR($EC1343=1,$EA1343=1)),SUM($EB1343:$EE1343)&gt;=2),"Technology approach","")</f>
        <v/>
      </c>
      <c r="EP1343" t="b">
        <f>IF(ISNUMBER(BU1343),IF(ABS(BU1343-[5]QC_indicators!$B$2)&gt;3*[5]QC_indicators!$C$2,"C ratio",IF(ISNUMBER(BY1343),IF(ABS(BY1343-[5]QC_indicators!$B$1)&gt;3*[5]QC_indicators!$C$1,"DF","no"))),IF(ISNUMBER(BY1343),IF(ABS(BY1343-[5]QC_indicators!$B$1)&gt;3*[5]QC_indicators!$C$1,"DF","no")))</f>
        <v>0</v>
      </c>
    </row>
    <row r="1344" spans="1:148" ht="15" customHeight="1">
      <c r="A1344" s="1" t="s">
        <v>667</v>
      </c>
      <c r="B1344" t="s">
        <v>3686</v>
      </c>
      <c r="C1344" t="s">
        <v>3687</v>
      </c>
      <c r="D1344" t="s">
        <v>3688</v>
      </c>
      <c r="E1344" t="s">
        <v>3689</v>
      </c>
      <c r="F1344" t="s">
        <v>3690</v>
      </c>
      <c r="G1344" t="s">
        <v>673</v>
      </c>
      <c r="H1344" t="s">
        <v>254</v>
      </c>
      <c r="I1344">
        <v>2018</v>
      </c>
      <c r="J1344">
        <v>27</v>
      </c>
      <c r="K1344" t="s">
        <v>3691</v>
      </c>
      <c r="L1344" t="s">
        <v>388</v>
      </c>
      <c r="M1344" t="str">
        <f>LEFT($D1344,FIND(",",$D1344)-1)&amp;"_"&amp;I1344&amp;L1344</f>
        <v>Hossain_2018a</v>
      </c>
      <c r="N1344" s="312" t="s">
        <v>4383</v>
      </c>
      <c r="O1344" s="145" t="s">
        <v>513</v>
      </c>
      <c r="Q1344" s="312" t="s">
        <v>256</v>
      </c>
      <c r="R1344" s="313"/>
      <c r="S1344" s="1" t="s">
        <v>3696</v>
      </c>
      <c r="T1344" t="s">
        <v>3693</v>
      </c>
      <c r="U1344" t="s">
        <v>3697</v>
      </c>
      <c r="V1344">
        <v>0</v>
      </c>
      <c r="W1344">
        <v>0</v>
      </c>
      <c r="X1344">
        <v>0</v>
      </c>
      <c r="Y1344">
        <v>0</v>
      </c>
      <c r="Z1344">
        <v>0</v>
      </c>
      <c r="AA1344">
        <v>0</v>
      </c>
      <c r="AB1344">
        <v>0</v>
      </c>
      <c r="AC1344">
        <v>0</v>
      </c>
      <c r="AD1344">
        <v>0</v>
      </c>
      <c r="AE1344">
        <v>0</v>
      </c>
      <c r="AF1344">
        <v>0</v>
      </c>
      <c r="AG1344">
        <v>1</v>
      </c>
      <c r="AH1344">
        <v>0</v>
      </c>
      <c r="AI1344">
        <v>0</v>
      </c>
      <c r="AJ1344">
        <v>0</v>
      </c>
      <c r="AK1344">
        <v>2</v>
      </c>
      <c r="AL1344">
        <v>0</v>
      </c>
      <c r="AM1344">
        <v>0</v>
      </c>
      <c r="AN1344">
        <v>0</v>
      </c>
      <c r="AO1344">
        <v>0</v>
      </c>
      <c r="AP1344">
        <v>0</v>
      </c>
      <c r="AQ1344">
        <v>0</v>
      </c>
      <c r="AR1344">
        <v>0</v>
      </c>
      <c r="AS1344">
        <v>0</v>
      </c>
      <c r="AT1344">
        <v>0</v>
      </c>
      <c r="AU1344">
        <v>0</v>
      </c>
      <c r="AV1344">
        <v>0</v>
      </c>
      <c r="AW1344">
        <v>0</v>
      </c>
      <c r="AX1344" s="141">
        <f>COUNTIF(V1344:AW1344,"&lt;&gt;0")</f>
        <v>2</v>
      </c>
      <c r="AY1344" s="141">
        <f>COUNTIF(V1344:AL1344,"&lt;&gt;0")</f>
        <v>2</v>
      </c>
      <c r="AZ1344">
        <f>COUNTIF(V1344:AC1344,"&lt;&gt;0")</f>
        <v>0</v>
      </c>
      <c r="BA1344">
        <f>COUNTIF(AD1344:AI1344,"&lt;&gt;0")</f>
        <v>1</v>
      </c>
      <c r="BB1344">
        <f>COUNTIF(AJ1344:AL1344,"&lt;&gt;0")</f>
        <v>1</v>
      </c>
      <c r="BC1344">
        <f>COUNTIF(AS1344:AW1344,"&lt;&gt;0")</f>
        <v>0</v>
      </c>
      <c r="BD1344">
        <f>COUNTIF(AM1344:AR1344,"&lt;&gt;0")</f>
        <v>0</v>
      </c>
      <c r="BE1344" t="str" cm="1">
        <f t="array" ref="BE1344">IF(AY1344=1,INDEX($V$7:$AL$7,MATCH(TRUE,INDEX($V1344:$AW1344&lt;&gt;0,),0)),IF(AY1344=0,INDEX($AM$7:$AW$7,MATCH(1,$AM1344:$AW1344,0)),IF(BF1344="Multiple strategies","mixed drivers",IF(BF1344="Supply chain","multiple supply","multiple silviculture"))))</f>
        <v>mixed drivers</v>
      </c>
      <c r="BF1344" s="2" t="str" cm="1">
        <f t="array" ref="BF1344">IF(COUNTIF(AZ1344:BB1344,"&lt;&gt;0")=1,INDEX($V$4:$AW$4,MATCH(TRUE,INDEX($V1344:$AW1344&lt;&gt;0,),0)),IF(COUNTIF(AZ1344:BB1344,"&lt;&gt;0")=0,INDEX($AM$4:$AW$4,MATCH(1,$AM1344:$AW1344,0)),"Multiple strategies"))</f>
        <v>Multiple strategies</v>
      </c>
      <c r="BP1344" t="s">
        <v>232</v>
      </c>
      <c r="BR1344" t="s">
        <v>3695</v>
      </c>
      <c r="BS1344">
        <v>-957</v>
      </c>
      <c r="BT1344">
        <v>-906</v>
      </c>
      <c r="BU1344" s="144">
        <f>IFERROR(BT1344/BS1344,"")</f>
        <v>0.94670846394984332</v>
      </c>
      <c r="BV1344">
        <f>BT1344-BS1344</f>
        <v>51</v>
      </c>
      <c r="BX1344">
        <f>BV1344/1000</f>
        <v>5.0999999999999997E-2</v>
      </c>
      <c r="BY1344" t="str">
        <f>IFERROR(BX1344/BO1344,"")</f>
        <v/>
      </c>
      <c r="BZ1344">
        <v>0</v>
      </c>
      <c r="CA1344">
        <v>0</v>
      </c>
      <c r="CB1344">
        <v>0</v>
      </c>
      <c r="CC1344">
        <v>0</v>
      </c>
      <c r="CD1344">
        <v>0</v>
      </c>
      <c r="CE1344">
        <v>0</v>
      </c>
      <c r="CF1344">
        <v>0</v>
      </c>
      <c r="CG1344">
        <v>0</v>
      </c>
      <c r="CH1344">
        <v>0</v>
      </c>
      <c r="CI1344">
        <v>0</v>
      </c>
      <c r="CJ1344">
        <v>0</v>
      </c>
      <c r="CK1344">
        <v>0</v>
      </c>
      <c r="CL1344">
        <v>0</v>
      </c>
      <c r="CM1344">
        <v>0</v>
      </c>
      <c r="CN1344" t="str">
        <f>IF(BL1344&lt;BK1344,"refNeedCorrection","refOK")</f>
        <v>refOK</v>
      </c>
      <c r="CO1344"/>
      <c r="CP1344"/>
      <c r="CQ1344"/>
      <c r="CR1344">
        <f>IF($CN1344="refOK",$BS1344,$BT1344)*IF($BP1344="Emissions positive",-1,1)</f>
        <v>-957</v>
      </c>
      <c r="CS1344">
        <f>IF($CN1344="refOK",$BT1344,$BS1344)*IF($BP1344="Emissions positive",-1,1)</f>
        <v>-906</v>
      </c>
      <c r="CT1344">
        <f>IF($CN1344="refNeedCorrection",-BX1344,BX1344)*IF($BP1344="Emissions positive",-1,1)</f>
        <v>5.0999999999999997E-2</v>
      </c>
      <c r="CU1344" t="str">
        <f>IFERROR(CT1344/CQ1344,"")</f>
        <v/>
      </c>
      <c r="CV1344" s="2">
        <f>IFERROR((CS1344-CR1344)/ABS(CR1344),"")</f>
        <v>5.329153605015674E-2</v>
      </c>
      <c r="CW1344" s="1" t="s">
        <v>347</v>
      </c>
      <c r="CX1344" s="312" t="str">
        <f>IF(OR($CW1344="prd",$CW1344="std",$CW1344="cit"),"loc",IF(OR($CW1344="eur",$CW1344="reg",$CW1344="coy"),"reg",$CW1344))</f>
        <v>loc</v>
      </c>
      <c r="CY1344" t="s">
        <v>680</v>
      </c>
      <c r="DB1344">
        <v>0</v>
      </c>
      <c r="DC1344" t="str">
        <f>IF(DB1344=0,"0",IF(AND(DB1344&gt;=1,DB1344&lt;=30),"1-30",IF(AND(DB1344&gt;30,DB1344&lt;=70),"31-70",IF(AND(DB1344&gt;70,DB1344&lt;=100),"71-100",IF(DB1344&gt;100,"+100")))))</f>
        <v>0</v>
      </c>
      <c r="DD1344">
        <v>0</v>
      </c>
      <c r="DE1344">
        <v>0</v>
      </c>
      <c r="DF1344">
        <v>0</v>
      </c>
      <c r="DG1344">
        <v>1</v>
      </c>
      <c r="DI1344">
        <f>SUM(DD1344:DG1344)</f>
        <v>1</v>
      </c>
      <c r="DJ1344" t="str">
        <f>IF(DI1344=1,INDEX($DD$7:$DG$7,MATCH(1,$DD1344:$DG1344,0)),"mixedProduct")</f>
        <v>TimberInput</v>
      </c>
      <c r="DK1344">
        <f>IF(DD1344=1,DK$7,0)</f>
        <v>0</v>
      </c>
      <c r="DL1344">
        <f>IF(DE1344=1,DL$7,0)</f>
        <v>0</v>
      </c>
      <c r="DM1344">
        <f>IF(DF1344=1,DM$7,0)</f>
        <v>0</v>
      </c>
      <c r="DN1344" t="str">
        <f>IF(DG1344=1,DN$7,0)</f>
        <v>Timber</v>
      </c>
      <c r="DO1344">
        <v>1</v>
      </c>
      <c r="DP1344">
        <v>0</v>
      </c>
      <c r="DQ1344">
        <v>0</v>
      </c>
      <c r="DR1344">
        <v>0</v>
      </c>
      <c r="DS1344">
        <v>0</v>
      </c>
      <c r="DT1344">
        <f>SUM(DO1344:DP1344)</f>
        <v>1</v>
      </c>
      <c r="DU1344" s="143" t="str">
        <f>IF(DO1344=1,"self-calculated DF",IF(DP1344=1,"external DF used","explicit C balance"))</f>
        <v>self-calculated DF</v>
      </c>
      <c r="DV1344">
        <v>0</v>
      </c>
      <c r="DW1344">
        <v>0</v>
      </c>
      <c r="DX1344">
        <v>0</v>
      </c>
      <c r="DY1344">
        <v>0</v>
      </c>
      <c r="DZ1344">
        <v>0</v>
      </c>
      <c r="EA1344" s="143">
        <v>0</v>
      </c>
      <c r="EB1344">
        <v>0</v>
      </c>
      <c r="EC1344">
        <v>1</v>
      </c>
      <c r="ED1344">
        <v>0</v>
      </c>
      <c r="EE1344">
        <v>0</v>
      </c>
      <c r="EF1344">
        <v>0</v>
      </c>
      <c r="EG1344">
        <v>0</v>
      </c>
      <c r="EH1344">
        <v>0</v>
      </c>
      <c r="EI1344" s="2">
        <v>0</v>
      </c>
      <c r="EK1344" t="str">
        <f>IF(AND(AND(AND(OR($DX1344=1,$DW1344=1),OR($EC1344=1,$EA1344=1)),SUM($DV1344:$DZ1344,$EF1344)&gt;=3),SUM($EA1344:$EE1344)&gt;=2),"Whole sector","")</f>
        <v/>
      </c>
      <c r="EL1344" t="str">
        <f>IF(AND(AND(OR($DX1344=1,$DW1344=1),AND($EC1344=0,$EA1344=0)),SUM($DV1344:$DZ1344,$EF1344)&gt;=3),"Ecosystem approach","")</f>
        <v/>
      </c>
      <c r="EM1344" s="2" t="str">
        <f>IF(AND(AND(AND($DX1344=0,$DW1344=0),OR($EC1344=1,$EA1344=1)),SUM($EB1344:$EE1344)&gt;=2),"Technology approach","")</f>
        <v/>
      </c>
      <c r="EP1344" t="b">
        <f>IF(ISNUMBER(BU1344),IF(ABS(BU1344-[5]QC_indicators!$B$2)&gt;3*[5]QC_indicators!$C$2,"C ratio",IF(ISNUMBER(BY1344),IF(ABS(BY1344-[5]QC_indicators!$B$1)&gt;3*[5]QC_indicators!$C$1,"DF","no"))),IF(ISNUMBER(BY1344),IF(ABS(BY1344-[5]QC_indicators!$B$1)&gt;3*[5]QC_indicators!$C$1,"DF","no")))</f>
        <v>0</v>
      </c>
    </row>
    <row r="1345" spans="1:148" ht="15" customHeight="1">
      <c r="A1345" s="1" t="s">
        <v>667</v>
      </c>
      <c r="B1345" t="s">
        <v>3686</v>
      </c>
      <c r="C1345" t="s">
        <v>3687</v>
      </c>
      <c r="D1345" t="s">
        <v>3688</v>
      </c>
      <c r="E1345" t="s">
        <v>3689</v>
      </c>
      <c r="F1345" t="s">
        <v>3690</v>
      </c>
      <c r="G1345" t="s">
        <v>673</v>
      </c>
      <c r="H1345" t="s">
        <v>254</v>
      </c>
      <c r="I1345">
        <v>2018</v>
      </c>
      <c r="J1345">
        <v>27</v>
      </c>
      <c r="K1345" t="s">
        <v>3691</v>
      </c>
      <c r="L1345" t="s">
        <v>388</v>
      </c>
      <c r="M1345" t="str">
        <f>LEFT($D1345,FIND(",",$D1345)-1)&amp;"_"&amp;I1345&amp;L1345</f>
        <v>Hossain_2018a</v>
      </c>
      <c r="N1345" s="312" t="s">
        <v>4383</v>
      </c>
      <c r="O1345" s="145" t="s">
        <v>513</v>
      </c>
      <c r="Q1345" s="312" t="s">
        <v>256</v>
      </c>
      <c r="R1345" s="313"/>
      <c r="S1345" s="1" t="s">
        <v>3698</v>
      </c>
      <c r="T1345" t="s">
        <v>3693</v>
      </c>
      <c r="U1345" t="s">
        <v>3699</v>
      </c>
      <c r="V1345">
        <v>0</v>
      </c>
      <c r="W1345">
        <v>0</v>
      </c>
      <c r="X1345">
        <v>0</v>
      </c>
      <c r="Y1345">
        <v>0</v>
      </c>
      <c r="Z1345">
        <v>0</v>
      </c>
      <c r="AA1345">
        <v>0</v>
      </c>
      <c r="AB1345">
        <v>0</v>
      </c>
      <c r="AC1345">
        <v>0</v>
      </c>
      <c r="AD1345">
        <v>0</v>
      </c>
      <c r="AE1345">
        <v>0</v>
      </c>
      <c r="AF1345">
        <v>0</v>
      </c>
      <c r="AG1345">
        <v>1</v>
      </c>
      <c r="AH1345">
        <v>0</v>
      </c>
      <c r="AI1345">
        <v>2</v>
      </c>
      <c r="AJ1345">
        <v>0</v>
      </c>
      <c r="AK1345">
        <v>2</v>
      </c>
      <c r="AL1345">
        <v>0</v>
      </c>
      <c r="AM1345">
        <v>0</v>
      </c>
      <c r="AN1345">
        <v>0</v>
      </c>
      <c r="AO1345">
        <v>0</v>
      </c>
      <c r="AP1345">
        <v>0</v>
      </c>
      <c r="AQ1345">
        <v>0</v>
      </c>
      <c r="AR1345">
        <v>0</v>
      </c>
      <c r="AS1345">
        <v>0</v>
      </c>
      <c r="AT1345">
        <v>0</v>
      </c>
      <c r="AU1345">
        <v>0</v>
      </c>
      <c r="AV1345">
        <v>0</v>
      </c>
      <c r="AW1345">
        <v>0</v>
      </c>
      <c r="AX1345" s="141">
        <f>COUNTIF(V1345:AW1345,"&lt;&gt;0")</f>
        <v>3</v>
      </c>
      <c r="AY1345" s="141">
        <f>COUNTIF(V1345:AL1345,"&lt;&gt;0")</f>
        <v>3</v>
      </c>
      <c r="AZ1345">
        <f>COUNTIF(V1345:AC1345,"&lt;&gt;0")</f>
        <v>0</v>
      </c>
      <c r="BA1345">
        <f>COUNTIF(AD1345:AI1345,"&lt;&gt;0")</f>
        <v>2</v>
      </c>
      <c r="BB1345">
        <f>COUNTIF(AJ1345:AL1345,"&lt;&gt;0")</f>
        <v>1</v>
      </c>
      <c r="BC1345">
        <f>COUNTIF(AS1345:AW1345,"&lt;&gt;0")</f>
        <v>0</v>
      </c>
      <c r="BD1345">
        <f>COUNTIF(AM1345:AR1345,"&lt;&gt;0")</f>
        <v>0</v>
      </c>
      <c r="BE1345" t="str" cm="1">
        <f t="array" ref="BE1345">IF(AY1345=1,INDEX($V$7:$AL$7,MATCH(TRUE,INDEX($V1345:$AW1345&lt;&gt;0,),0)),IF(AY1345=0,INDEX($AM$7:$AW$7,MATCH(1,$AM1345:$AW1345,0)),IF(BF1345="Multiple strategies","mixed drivers",IF(BF1345="Supply chain","multiple supply","multiple silviculture"))))</f>
        <v>mixed drivers</v>
      </c>
      <c r="BF1345" s="2" t="str" cm="1">
        <f t="array" ref="BF1345">IF(COUNTIF(AZ1345:BB1345,"&lt;&gt;0")=1,INDEX($V$4:$AW$4,MATCH(TRUE,INDEX($V1345:$AW1345&lt;&gt;0,),0)),IF(COUNTIF(AZ1345:BB1345,"&lt;&gt;0")=0,INDEX($AM$4:$AW$4,MATCH(1,$AM1345:$AW1345,0)),"Multiple strategies"))</f>
        <v>Multiple strategies</v>
      </c>
      <c r="BP1345" t="s">
        <v>232</v>
      </c>
      <c r="BR1345" t="s">
        <v>3695</v>
      </c>
      <c r="BS1345">
        <v>-957</v>
      </c>
      <c r="BT1345">
        <v>-873</v>
      </c>
      <c r="BU1345" s="144">
        <f>IFERROR(BT1345/BS1345,"")</f>
        <v>0.91222570532915359</v>
      </c>
      <c r="BV1345">
        <f>BT1345-BS1345</f>
        <v>84</v>
      </c>
      <c r="BX1345">
        <f>BV1345/1000</f>
        <v>8.4000000000000005E-2</v>
      </c>
      <c r="BY1345" t="str">
        <f>IFERROR(BX1345/BO1345,"")</f>
        <v/>
      </c>
      <c r="BZ1345">
        <v>0</v>
      </c>
      <c r="CA1345">
        <v>0</v>
      </c>
      <c r="CB1345">
        <v>0</v>
      </c>
      <c r="CC1345">
        <v>0</v>
      </c>
      <c r="CD1345">
        <v>0</v>
      </c>
      <c r="CE1345">
        <v>0</v>
      </c>
      <c r="CF1345">
        <v>0</v>
      </c>
      <c r="CG1345">
        <v>0</v>
      </c>
      <c r="CH1345">
        <v>0</v>
      </c>
      <c r="CI1345">
        <v>0</v>
      </c>
      <c r="CJ1345">
        <v>0</v>
      </c>
      <c r="CK1345">
        <v>0</v>
      </c>
      <c r="CL1345">
        <v>0</v>
      </c>
      <c r="CM1345">
        <v>0</v>
      </c>
      <c r="CN1345" t="str">
        <f>IF(BL1345&lt;BK1345,"refNeedCorrection","refOK")</f>
        <v>refOK</v>
      </c>
      <c r="CO1345"/>
      <c r="CP1345"/>
      <c r="CQ1345"/>
      <c r="CR1345">
        <f>IF($CN1345="refOK",$BS1345,$BT1345)*IF($BP1345="Emissions positive",-1,1)</f>
        <v>-957</v>
      </c>
      <c r="CS1345">
        <f>IF($CN1345="refOK",$BT1345,$BS1345)*IF($BP1345="Emissions positive",-1,1)</f>
        <v>-873</v>
      </c>
      <c r="CT1345">
        <f>IF($CN1345="refNeedCorrection",-BX1345,BX1345)*IF($BP1345="Emissions positive",-1,1)</f>
        <v>8.4000000000000005E-2</v>
      </c>
      <c r="CU1345" t="str">
        <f>IFERROR(CT1345/CQ1345,"")</f>
        <v/>
      </c>
      <c r="CV1345" s="2">
        <f>IFERROR((CS1345-CR1345)/ABS(CR1345),"")</f>
        <v>8.7774294670846395E-2</v>
      </c>
      <c r="CW1345" s="1" t="s">
        <v>347</v>
      </c>
      <c r="CX1345" s="312" t="str">
        <f>IF(OR($CW1345="prd",$CW1345="std",$CW1345="cit"),"loc",IF(OR($CW1345="eur",$CW1345="reg",$CW1345="coy"),"reg",$CW1345))</f>
        <v>loc</v>
      </c>
      <c r="CY1345" t="s">
        <v>680</v>
      </c>
      <c r="DB1345">
        <v>0</v>
      </c>
      <c r="DC1345" t="str">
        <f>IF(DB1345=0,"0",IF(AND(DB1345&gt;=1,DB1345&lt;=30),"1-30",IF(AND(DB1345&gt;30,DB1345&lt;=70),"31-70",IF(AND(DB1345&gt;70,DB1345&lt;=100),"71-100",IF(DB1345&gt;100,"+100")))))</f>
        <v>0</v>
      </c>
      <c r="DD1345">
        <v>0</v>
      </c>
      <c r="DE1345">
        <v>0</v>
      </c>
      <c r="DF1345">
        <v>0</v>
      </c>
      <c r="DG1345">
        <v>1</v>
      </c>
      <c r="DI1345">
        <f>SUM(DD1345:DG1345)</f>
        <v>1</v>
      </c>
      <c r="DJ1345" t="str">
        <f>IF(DI1345=1,INDEX($DD$7:$DG$7,MATCH(1,$DD1345:$DG1345,0)),"mixedProduct")</f>
        <v>TimberInput</v>
      </c>
      <c r="DK1345">
        <f>IF(DD1345=1,DK$7,0)</f>
        <v>0</v>
      </c>
      <c r="DL1345">
        <f>IF(DE1345=1,DL$7,0)</f>
        <v>0</v>
      </c>
      <c r="DM1345">
        <f>IF(DF1345=1,DM$7,0)</f>
        <v>0</v>
      </c>
      <c r="DN1345" t="str">
        <f>IF(DG1345=1,DN$7,0)</f>
        <v>Timber</v>
      </c>
      <c r="DO1345">
        <v>1</v>
      </c>
      <c r="DP1345">
        <v>0</v>
      </c>
      <c r="DQ1345">
        <v>0</v>
      </c>
      <c r="DR1345">
        <v>0</v>
      </c>
      <c r="DS1345">
        <v>0</v>
      </c>
      <c r="DT1345">
        <f>SUM(DO1345:DP1345)</f>
        <v>1</v>
      </c>
      <c r="DU1345" s="143" t="str">
        <f>IF(DO1345=1,"self-calculated DF",IF(DP1345=1,"external DF used","explicit C balance"))</f>
        <v>self-calculated DF</v>
      </c>
      <c r="DV1345">
        <v>0</v>
      </c>
      <c r="DW1345">
        <v>0</v>
      </c>
      <c r="DX1345">
        <v>0</v>
      </c>
      <c r="DY1345">
        <v>0</v>
      </c>
      <c r="DZ1345">
        <v>0</v>
      </c>
      <c r="EA1345" s="143">
        <v>0</v>
      </c>
      <c r="EB1345">
        <v>0</v>
      </c>
      <c r="EC1345">
        <v>1</v>
      </c>
      <c r="ED1345">
        <v>0</v>
      </c>
      <c r="EE1345">
        <v>1</v>
      </c>
      <c r="EF1345">
        <v>0</v>
      </c>
      <c r="EG1345">
        <v>0</v>
      </c>
      <c r="EH1345">
        <v>0</v>
      </c>
      <c r="EI1345" s="2">
        <v>0</v>
      </c>
      <c r="EK1345" t="str">
        <f>IF(AND(AND(AND(OR($DX1345=1,$DW1345=1),OR($EC1345=1,$EA1345=1)),SUM($DV1345:$DZ1345,$EF1345)&gt;=3),SUM($EA1345:$EE1345)&gt;=2),"Whole sector","")</f>
        <v/>
      </c>
      <c r="EL1345" t="str">
        <f>IF(AND(AND(OR($DX1345=1,$DW1345=1),AND($EC1345=0,$EA1345=0)),SUM($DV1345:$DZ1345,$EF1345)&gt;=3),"Ecosystem approach","")</f>
        <v/>
      </c>
      <c r="EM1345" s="2" t="str">
        <f>IF(AND(AND(AND($DX1345=0,$DW1345=0),OR($EC1345=1,$EA1345=1)),SUM($EB1345:$EE1345)&gt;=2),"Technology approach","")</f>
        <v>Technology approach</v>
      </c>
      <c r="EP1345" t="b">
        <f>IF(ISNUMBER(BU1345),IF(ABS(BU1345-[5]QC_indicators!$B$2)&gt;3*[5]QC_indicators!$C$2,"C ratio",IF(ISNUMBER(BY1345),IF(ABS(BY1345-[5]QC_indicators!$B$1)&gt;3*[5]QC_indicators!$C$1,"DF","no"))),IF(ISNUMBER(BY1345),IF(ABS(BY1345-[5]QC_indicators!$B$1)&gt;3*[5]QC_indicators!$C$1,"DF","no")))</f>
        <v>0</v>
      </c>
    </row>
    <row r="1346" spans="1:148" ht="15" customHeight="1">
      <c r="A1346" s="1" t="s">
        <v>587</v>
      </c>
      <c r="B1346" t="s">
        <v>3700</v>
      </c>
      <c r="C1346" t="s">
        <v>3701</v>
      </c>
      <c r="D1346" t="s">
        <v>3702</v>
      </c>
      <c r="E1346" t="s">
        <v>3703</v>
      </c>
      <c r="F1346" t="s">
        <v>3704</v>
      </c>
      <c r="G1346" t="s">
        <v>593</v>
      </c>
      <c r="H1346" t="s">
        <v>254</v>
      </c>
      <c r="I1346">
        <v>2018</v>
      </c>
      <c r="J1346">
        <v>40</v>
      </c>
      <c r="K1346" t="s">
        <v>3705</v>
      </c>
      <c r="L1346" t="s">
        <v>406</v>
      </c>
      <c r="M1346" t="str">
        <f>LEFT($D1346,FIND(",",$D1346)-1)&amp;"_"&amp;I1346&amp;L1346</f>
        <v>Hossain_2018b</v>
      </c>
      <c r="N1346" s="312" t="s">
        <v>4383</v>
      </c>
      <c r="O1346" s="145" t="s">
        <v>513</v>
      </c>
      <c r="Q1346" s="312" t="s">
        <v>256</v>
      </c>
      <c r="R1346" s="313"/>
      <c r="S1346" s="1" t="s">
        <v>3706</v>
      </c>
      <c r="T1346" t="s">
        <v>3693</v>
      </c>
      <c r="U1346" t="s">
        <v>3707</v>
      </c>
      <c r="V1346">
        <v>0</v>
      </c>
      <c r="W1346">
        <v>0</v>
      </c>
      <c r="X1346">
        <v>0</v>
      </c>
      <c r="Y1346">
        <v>0</v>
      </c>
      <c r="Z1346">
        <v>0</v>
      </c>
      <c r="AA1346">
        <v>0</v>
      </c>
      <c r="AB1346">
        <v>0</v>
      </c>
      <c r="AC1346">
        <v>0</v>
      </c>
      <c r="AD1346">
        <v>0</v>
      </c>
      <c r="AE1346">
        <v>0</v>
      </c>
      <c r="AF1346">
        <v>0</v>
      </c>
      <c r="AG1346">
        <v>1</v>
      </c>
      <c r="AH1346">
        <v>0</v>
      </c>
      <c r="AI1346">
        <v>0</v>
      </c>
      <c r="AJ1346">
        <v>0</v>
      </c>
      <c r="AK1346">
        <v>2</v>
      </c>
      <c r="AL1346">
        <v>0</v>
      </c>
      <c r="AM1346">
        <v>0</v>
      </c>
      <c r="AN1346">
        <v>0</v>
      </c>
      <c r="AO1346">
        <v>0</v>
      </c>
      <c r="AP1346">
        <v>0</v>
      </c>
      <c r="AQ1346">
        <v>0</v>
      </c>
      <c r="AR1346">
        <v>0</v>
      </c>
      <c r="AS1346">
        <v>0</v>
      </c>
      <c r="AT1346">
        <v>0</v>
      </c>
      <c r="AU1346">
        <v>0</v>
      </c>
      <c r="AV1346">
        <v>0</v>
      </c>
      <c r="AW1346">
        <v>0</v>
      </c>
      <c r="AX1346" s="141">
        <f>COUNTIF(V1346:AW1346,"&lt;&gt;0")</f>
        <v>2</v>
      </c>
      <c r="AY1346" s="141">
        <f>COUNTIF(V1346:AL1346,"&lt;&gt;0")</f>
        <v>2</v>
      </c>
      <c r="AZ1346">
        <f>COUNTIF(V1346:AC1346,"&lt;&gt;0")</f>
        <v>0</v>
      </c>
      <c r="BA1346">
        <f>COUNTIF(AD1346:AI1346,"&lt;&gt;0")</f>
        <v>1</v>
      </c>
      <c r="BB1346">
        <f>COUNTIF(AJ1346:AL1346,"&lt;&gt;0")</f>
        <v>1</v>
      </c>
      <c r="BC1346">
        <f>COUNTIF(AS1346:AW1346,"&lt;&gt;0")</f>
        <v>0</v>
      </c>
      <c r="BD1346">
        <f>COUNTIF(AM1346:AR1346,"&lt;&gt;0")</f>
        <v>0</v>
      </c>
      <c r="BE1346" t="str" cm="1">
        <f t="array" ref="BE1346">IF(AY1346=1,INDEX($V$7:$AL$7,MATCH(TRUE,INDEX($V1346:$AW1346&lt;&gt;0,),0)),IF(AY1346=0,INDEX($AM$7:$AW$7,MATCH(1,$AM1346:$AW1346,0)),IF(BF1346="Multiple strategies","mixed drivers",IF(BF1346="Supply chain","multiple supply","multiple silviculture"))))</f>
        <v>mixed drivers</v>
      </c>
      <c r="BF1346" s="2" t="str" cm="1">
        <f t="array" ref="BF1346">IF(COUNTIF(AZ1346:BB1346,"&lt;&gt;0")=1,INDEX($V$4:$AW$4,MATCH(TRUE,INDEX($V1346:$AW1346&lt;&gt;0,),0)),IF(COUNTIF(AZ1346:BB1346,"&lt;&gt;0")=0,INDEX($AM$4:$AW$4,MATCH(1,$AM1346:$AW1346,0)),"Multiple strategies"))</f>
        <v>Multiple strategies</v>
      </c>
      <c r="BP1346" t="s">
        <v>232</v>
      </c>
      <c r="BR1346" t="s">
        <v>3708</v>
      </c>
      <c r="BS1346">
        <v>-313</v>
      </c>
      <c r="BT1346">
        <v>-295</v>
      </c>
      <c r="BU1346" s="144">
        <f>IFERROR(BT1346/BS1346,"")</f>
        <v>0.94249201277955275</v>
      </c>
      <c r="BV1346">
        <f>BT1346-BS1346</f>
        <v>18</v>
      </c>
      <c r="BX1346">
        <f>BV1346/1000</f>
        <v>1.7999999999999999E-2</v>
      </c>
      <c r="BY1346" t="str">
        <f>IFERROR(BX1346/BO1346,"")</f>
        <v/>
      </c>
      <c r="BZ1346">
        <v>0</v>
      </c>
      <c r="CA1346">
        <v>0</v>
      </c>
      <c r="CB1346">
        <v>0</v>
      </c>
      <c r="CC1346">
        <v>0</v>
      </c>
      <c r="CD1346">
        <v>0</v>
      </c>
      <c r="CE1346">
        <v>0</v>
      </c>
      <c r="CF1346">
        <v>0</v>
      </c>
      <c r="CG1346">
        <v>0</v>
      </c>
      <c r="CH1346">
        <v>0</v>
      </c>
      <c r="CI1346">
        <v>0</v>
      </c>
      <c r="CJ1346">
        <v>0</v>
      </c>
      <c r="CK1346">
        <v>0</v>
      </c>
      <c r="CL1346">
        <v>0</v>
      </c>
      <c r="CM1346">
        <v>0</v>
      </c>
      <c r="CN1346" t="str">
        <f>IF(BL1346&lt;BK1346,"refNeedCorrection","refOK")</f>
        <v>refOK</v>
      </c>
      <c r="CO1346"/>
      <c r="CP1346"/>
      <c r="CQ1346"/>
      <c r="CR1346">
        <f>IF($CN1346="refOK",$BS1346,$BT1346)*IF($BP1346="Emissions positive",-1,1)</f>
        <v>-313</v>
      </c>
      <c r="CS1346">
        <f>IF($CN1346="refOK",$BT1346,$BS1346)*IF($BP1346="Emissions positive",-1,1)</f>
        <v>-295</v>
      </c>
      <c r="CT1346">
        <f>IF($CN1346="refNeedCorrection",-BX1346,BX1346)*IF($BP1346="Emissions positive",-1,1)</f>
        <v>1.7999999999999999E-2</v>
      </c>
      <c r="CU1346" t="str">
        <f>IFERROR(CT1346/CQ1346,"")</f>
        <v/>
      </c>
      <c r="CV1346" s="2">
        <f>IFERROR((CS1346-CR1346)/ABS(CR1346),"")</f>
        <v>5.7507987220447282E-2</v>
      </c>
      <c r="CW1346" s="1" t="s">
        <v>347</v>
      </c>
      <c r="CX1346" s="312" t="str">
        <f>IF(OR($CW1346="prd",$CW1346="std",$CW1346="cit"),"loc",IF(OR($CW1346="eur",$CW1346="reg",$CW1346="coy"),"reg",$CW1346))</f>
        <v>loc</v>
      </c>
      <c r="CY1346" t="s">
        <v>680</v>
      </c>
      <c r="DB1346">
        <v>0</v>
      </c>
      <c r="DC1346" t="str">
        <f>IF(DB1346=0,"0",IF(AND(DB1346&gt;=1,DB1346&lt;=30),"1-30",IF(AND(DB1346&gt;30,DB1346&lt;=70),"31-70",IF(AND(DB1346&gt;70,DB1346&lt;=100),"71-100",IF(DB1346&gt;100,"+100")))))</f>
        <v>0</v>
      </c>
      <c r="DD1346">
        <v>0</v>
      </c>
      <c r="DE1346">
        <v>0</v>
      </c>
      <c r="DF1346">
        <v>0</v>
      </c>
      <c r="DG1346">
        <v>1</v>
      </c>
      <c r="DI1346">
        <f>SUM(DD1346:DG1346)</f>
        <v>1</v>
      </c>
      <c r="DJ1346" t="str">
        <f>IF(DI1346=1,INDEX($DD$7:$DG$7,MATCH(1,$DD1346:$DG1346,0)),"mixedProduct")</f>
        <v>TimberInput</v>
      </c>
      <c r="DK1346">
        <f>IF(DD1346=1,DK$7,0)</f>
        <v>0</v>
      </c>
      <c r="DL1346">
        <f>IF(DE1346=1,DL$7,0)</f>
        <v>0</v>
      </c>
      <c r="DM1346">
        <f>IF(DF1346=1,DM$7,0)</f>
        <v>0</v>
      </c>
      <c r="DN1346" t="str">
        <f>IF(DG1346=1,DN$7,0)</f>
        <v>Timber</v>
      </c>
      <c r="DO1346">
        <v>1</v>
      </c>
      <c r="DP1346">
        <v>0</v>
      </c>
      <c r="DQ1346">
        <v>0</v>
      </c>
      <c r="DR1346">
        <v>0</v>
      </c>
      <c r="DS1346">
        <v>0</v>
      </c>
      <c r="DT1346">
        <f>SUM(DO1346:DP1346)</f>
        <v>1</v>
      </c>
      <c r="DU1346" s="143" t="str">
        <f>IF(DO1346=1,"self-calculated DF",IF(DP1346=1,"external DF used","explicit C balance"))</f>
        <v>self-calculated DF</v>
      </c>
      <c r="DV1346">
        <v>0</v>
      </c>
      <c r="DW1346">
        <v>0</v>
      </c>
      <c r="DX1346">
        <v>0</v>
      </c>
      <c r="DY1346">
        <v>0</v>
      </c>
      <c r="DZ1346">
        <v>0</v>
      </c>
      <c r="EA1346" s="143">
        <v>0</v>
      </c>
      <c r="EB1346">
        <v>0</v>
      </c>
      <c r="EC1346">
        <v>1</v>
      </c>
      <c r="ED1346">
        <v>0</v>
      </c>
      <c r="EE1346">
        <v>0</v>
      </c>
      <c r="EF1346">
        <v>0</v>
      </c>
      <c r="EG1346">
        <v>0</v>
      </c>
      <c r="EH1346">
        <v>0</v>
      </c>
      <c r="EI1346" s="2">
        <v>0</v>
      </c>
      <c r="EK1346" t="str">
        <f>IF(AND(AND(AND(OR($DX1346=1,$DW1346=1),OR($EC1346=1,$EA1346=1)),SUM($DV1346:$DZ1346,$EF1346)&gt;=3),SUM($EA1346:$EE1346)&gt;=2),"Whole sector","")</f>
        <v/>
      </c>
      <c r="EL1346" t="str">
        <f>IF(AND(AND(OR($DX1346=1,$DW1346=1),AND($EC1346=0,$EA1346=0)),SUM($DV1346:$DZ1346,$EF1346)&gt;=3),"Ecosystem approach","")</f>
        <v/>
      </c>
      <c r="EM1346" s="2" t="str">
        <f>IF(AND(AND(AND($DX1346=0,$DW1346=0),OR($EC1346=1,$EA1346=1)),SUM($EB1346:$EE1346)&gt;=2),"Technology approach","")</f>
        <v/>
      </c>
      <c r="EP1346" t="b">
        <f>IF(ISNUMBER(BU1346),IF(ABS(BU1346-[5]QC_indicators!$B$2)&gt;3*[5]QC_indicators!$C$2,"C ratio",IF(ISNUMBER(BY1346),IF(ABS(BY1346-[5]QC_indicators!$B$1)&gt;3*[5]QC_indicators!$C$1,"DF","no"))),IF(ISNUMBER(BY1346),IF(ABS(BY1346-[5]QC_indicators!$B$1)&gt;3*[5]QC_indicators!$C$1,"DF","no")))</f>
        <v>0</v>
      </c>
    </row>
    <row r="1347" spans="1:148" ht="15" customHeight="1">
      <c r="A1347" s="1" t="s">
        <v>587</v>
      </c>
      <c r="B1347" t="s">
        <v>3700</v>
      </c>
      <c r="C1347" t="s">
        <v>3701</v>
      </c>
      <c r="D1347" t="s">
        <v>3702</v>
      </c>
      <c r="E1347" t="s">
        <v>3703</v>
      </c>
      <c r="F1347" t="s">
        <v>3704</v>
      </c>
      <c r="G1347" t="s">
        <v>593</v>
      </c>
      <c r="H1347" t="s">
        <v>254</v>
      </c>
      <c r="I1347">
        <v>2018</v>
      </c>
      <c r="J1347">
        <v>40</v>
      </c>
      <c r="K1347" t="s">
        <v>3705</v>
      </c>
      <c r="L1347" t="s">
        <v>406</v>
      </c>
      <c r="M1347" t="str">
        <f>LEFT($D1347,FIND(",",$D1347)-1)&amp;"_"&amp;I1347&amp;L1347</f>
        <v>Hossain_2018b</v>
      </c>
      <c r="N1347" s="312" t="s">
        <v>4383</v>
      </c>
      <c r="O1347" s="145" t="s">
        <v>513</v>
      </c>
      <c r="Q1347" s="312" t="s">
        <v>256</v>
      </c>
      <c r="R1347" s="313"/>
      <c r="S1347" s="1" t="s">
        <v>3706</v>
      </c>
      <c r="T1347" t="s">
        <v>3693</v>
      </c>
      <c r="U1347" t="s">
        <v>3709</v>
      </c>
      <c r="V1347">
        <v>0</v>
      </c>
      <c r="W1347">
        <v>0</v>
      </c>
      <c r="X1347">
        <v>0</v>
      </c>
      <c r="Y1347">
        <v>0</v>
      </c>
      <c r="Z1347">
        <v>0</v>
      </c>
      <c r="AA1347">
        <v>0</v>
      </c>
      <c r="AB1347">
        <v>0</v>
      </c>
      <c r="AC1347">
        <v>0</v>
      </c>
      <c r="AD1347">
        <v>0</v>
      </c>
      <c r="AE1347">
        <v>0</v>
      </c>
      <c r="AF1347">
        <v>0</v>
      </c>
      <c r="AG1347">
        <v>1</v>
      </c>
      <c r="AH1347">
        <v>0</v>
      </c>
      <c r="AI1347">
        <v>0</v>
      </c>
      <c r="AJ1347">
        <v>0</v>
      </c>
      <c r="AK1347">
        <v>2</v>
      </c>
      <c r="AL1347">
        <v>0</v>
      </c>
      <c r="AM1347">
        <v>0</v>
      </c>
      <c r="AN1347">
        <v>0</v>
      </c>
      <c r="AO1347">
        <v>0</v>
      </c>
      <c r="AP1347">
        <v>0</v>
      </c>
      <c r="AQ1347">
        <v>0</v>
      </c>
      <c r="AR1347">
        <v>0</v>
      </c>
      <c r="AS1347">
        <v>0</v>
      </c>
      <c r="AT1347">
        <v>0</v>
      </c>
      <c r="AU1347">
        <v>0</v>
      </c>
      <c r="AV1347">
        <v>0</v>
      </c>
      <c r="AW1347">
        <v>0</v>
      </c>
      <c r="AX1347" s="141">
        <f>COUNTIF(V1347:AW1347,"&lt;&gt;0")</f>
        <v>2</v>
      </c>
      <c r="AY1347" s="141">
        <f>COUNTIF(V1347:AL1347,"&lt;&gt;0")</f>
        <v>2</v>
      </c>
      <c r="AZ1347">
        <f>COUNTIF(V1347:AC1347,"&lt;&gt;0")</f>
        <v>0</v>
      </c>
      <c r="BA1347">
        <f>COUNTIF(AD1347:AI1347,"&lt;&gt;0")</f>
        <v>1</v>
      </c>
      <c r="BB1347">
        <f>COUNTIF(AJ1347:AL1347,"&lt;&gt;0")</f>
        <v>1</v>
      </c>
      <c r="BC1347">
        <f>COUNTIF(AS1347:AW1347,"&lt;&gt;0")</f>
        <v>0</v>
      </c>
      <c r="BD1347">
        <f>COUNTIF(AM1347:AR1347,"&lt;&gt;0")</f>
        <v>0</v>
      </c>
      <c r="BE1347" t="str" cm="1">
        <f t="array" ref="BE1347">IF(AY1347=1,INDEX($V$7:$AL$7,MATCH(TRUE,INDEX($V1347:$AW1347&lt;&gt;0,),0)),IF(AY1347=0,INDEX($AM$7:$AW$7,MATCH(1,$AM1347:$AW1347,0)),IF(BF1347="Multiple strategies","mixed drivers",IF(BF1347="Supply chain","multiple supply","multiple silviculture"))))</f>
        <v>mixed drivers</v>
      </c>
      <c r="BF1347" s="2" t="str" cm="1">
        <f t="array" ref="BF1347">IF(COUNTIF(AZ1347:BB1347,"&lt;&gt;0")=1,INDEX($V$4:$AW$4,MATCH(TRUE,INDEX($V1347:$AW1347&lt;&gt;0,),0)),IF(COUNTIF(AZ1347:BB1347,"&lt;&gt;0")=0,INDEX($AM$4:$AW$4,MATCH(1,$AM1347:$AW1347,0)),"Multiple strategies"))</f>
        <v>Multiple strategies</v>
      </c>
      <c r="BP1347" t="s">
        <v>232</v>
      </c>
      <c r="BR1347" t="s">
        <v>3710</v>
      </c>
      <c r="BU1347" s="144" t="str">
        <f>IFERROR(BT1347/BS1347,"")</f>
        <v/>
      </c>
      <c r="BV1347">
        <v>12</v>
      </c>
      <c r="BX1347">
        <f>BV1347/1000</f>
        <v>1.2E-2</v>
      </c>
      <c r="BY1347" t="str">
        <f>IFERROR(BX1347/BO1347,"")</f>
        <v/>
      </c>
      <c r="BZ1347">
        <v>0</v>
      </c>
      <c r="CA1347">
        <v>0</v>
      </c>
      <c r="CB1347">
        <v>0</v>
      </c>
      <c r="CC1347">
        <v>0</v>
      </c>
      <c r="CD1347">
        <v>0</v>
      </c>
      <c r="CE1347">
        <v>0</v>
      </c>
      <c r="CF1347">
        <v>0</v>
      </c>
      <c r="CG1347">
        <v>0</v>
      </c>
      <c r="CH1347">
        <v>0</v>
      </c>
      <c r="CI1347">
        <v>0</v>
      </c>
      <c r="CJ1347">
        <v>0</v>
      </c>
      <c r="CK1347">
        <v>0</v>
      </c>
      <c r="CL1347">
        <v>0</v>
      </c>
      <c r="CM1347">
        <v>0</v>
      </c>
      <c r="CN1347" t="str">
        <f>IF(BL1347&lt;BK1347,"refNeedCorrection","refOK")</f>
        <v>refOK</v>
      </c>
      <c r="CO1347"/>
      <c r="CP1347"/>
      <c r="CQ1347"/>
      <c r="CR1347">
        <f>IF($CN1347="refOK",$BS1347,$BT1347)*IF($BP1347="Emissions positive",-1,1)</f>
        <v>0</v>
      </c>
      <c r="CS1347">
        <f>IF($CN1347="refOK",$BT1347,$BS1347)*IF($BP1347="Emissions positive",-1,1)</f>
        <v>0</v>
      </c>
      <c r="CT1347">
        <f>IF($CN1347="refNeedCorrection",-BX1347,BX1347)*IF($BP1347="Emissions positive",-1,1)</f>
        <v>1.2E-2</v>
      </c>
      <c r="CU1347" t="str">
        <f>IFERROR(CT1347/CQ1347,"")</f>
        <v/>
      </c>
      <c r="CV1347" s="2" t="str">
        <f>IFERROR((CS1347-CR1347)/ABS(CR1347),"")</f>
        <v/>
      </c>
      <c r="CW1347" s="1" t="s">
        <v>347</v>
      </c>
      <c r="CX1347" s="312" t="str">
        <f>IF(OR($CW1347="prd",$CW1347="std",$CW1347="cit"),"loc",IF(OR($CW1347="eur",$CW1347="reg",$CW1347="coy"),"reg",$CW1347))</f>
        <v>loc</v>
      </c>
      <c r="CY1347" t="s">
        <v>680</v>
      </c>
      <c r="DB1347">
        <v>0</v>
      </c>
      <c r="DC1347" t="str">
        <f>IF(DB1347=0,"0",IF(AND(DB1347&gt;=1,DB1347&lt;=30),"1-30",IF(AND(DB1347&gt;30,DB1347&lt;=70),"31-70",IF(AND(DB1347&gt;70,DB1347&lt;=100),"71-100",IF(DB1347&gt;100,"+100")))))</f>
        <v>0</v>
      </c>
      <c r="DD1347">
        <v>0</v>
      </c>
      <c r="DE1347">
        <v>0</v>
      </c>
      <c r="DF1347">
        <v>0</v>
      </c>
      <c r="DG1347">
        <v>1</v>
      </c>
      <c r="DI1347">
        <f>SUM(DD1347:DG1347)</f>
        <v>1</v>
      </c>
      <c r="DJ1347" t="str">
        <f>IF(DI1347=1,INDEX($DD$7:$DG$7,MATCH(1,$DD1347:$DG1347,0)),"mixedProduct")</f>
        <v>TimberInput</v>
      </c>
      <c r="DK1347">
        <f>IF(DD1347=1,DK$7,0)</f>
        <v>0</v>
      </c>
      <c r="DL1347">
        <f>IF(DE1347=1,DL$7,0)</f>
        <v>0</v>
      </c>
      <c r="DM1347">
        <f>IF(DF1347=1,DM$7,0)</f>
        <v>0</v>
      </c>
      <c r="DN1347" t="str">
        <f>IF(DG1347=1,DN$7,0)</f>
        <v>Timber</v>
      </c>
      <c r="DO1347">
        <v>1</v>
      </c>
      <c r="DP1347">
        <v>0</v>
      </c>
      <c r="DQ1347">
        <v>0</v>
      </c>
      <c r="DR1347">
        <v>0</v>
      </c>
      <c r="DS1347">
        <v>0</v>
      </c>
      <c r="DT1347">
        <f>SUM(DO1347:DP1347)</f>
        <v>1</v>
      </c>
      <c r="DU1347" s="143" t="str">
        <f>IF(DO1347=1,"self-calculated DF",IF(DP1347=1,"external DF used","explicit C balance"))</f>
        <v>self-calculated DF</v>
      </c>
      <c r="DV1347">
        <v>0</v>
      </c>
      <c r="DW1347">
        <v>0</v>
      </c>
      <c r="DX1347">
        <v>0</v>
      </c>
      <c r="DY1347">
        <v>0</v>
      </c>
      <c r="DZ1347">
        <v>0</v>
      </c>
      <c r="EA1347" s="143">
        <v>0</v>
      </c>
      <c r="EB1347">
        <v>0</v>
      </c>
      <c r="EC1347">
        <v>1</v>
      </c>
      <c r="ED1347">
        <v>0</v>
      </c>
      <c r="EE1347">
        <v>0</v>
      </c>
      <c r="EF1347">
        <v>0</v>
      </c>
      <c r="EG1347">
        <v>0</v>
      </c>
      <c r="EH1347">
        <v>0</v>
      </c>
      <c r="EI1347" s="2">
        <v>0</v>
      </c>
      <c r="EK1347" t="str">
        <f>IF(AND(AND(AND(OR($DX1347=1,$DW1347=1),OR($EC1347=1,$EA1347=1)),SUM($DV1347:$DZ1347,$EF1347)&gt;=3),SUM($EA1347:$EE1347)&gt;=2),"Whole sector","")</f>
        <v/>
      </c>
      <c r="EL1347" t="str">
        <f>IF(AND(AND(OR($DX1347=1,$DW1347=1),AND($EC1347=0,$EA1347=0)),SUM($DV1347:$DZ1347,$EF1347)&gt;=3),"Ecosystem approach","")</f>
        <v/>
      </c>
      <c r="EM1347" s="2" t="str">
        <f>IF(AND(AND(AND($DX1347=0,$DW1347=0),OR($EC1347=1,$EA1347=1)),SUM($EB1347:$EE1347)&gt;=2),"Technology approach","")</f>
        <v/>
      </c>
      <c r="EP1347" t="b">
        <f>IF(ISNUMBER(BU1347),IF(ABS(BU1347-[5]QC_indicators!$B$2)&gt;3*[5]QC_indicators!$C$2,"C ratio",IF(ISNUMBER(BY1347),IF(ABS(BY1347-[5]QC_indicators!$B$1)&gt;3*[5]QC_indicators!$C$1,"DF","no"))),IF(ISNUMBER(BY1347),IF(ABS(BY1347-[5]QC_indicators!$B$1)&gt;3*[5]QC_indicators!$C$1,"DF","no")))</f>
        <v>0</v>
      </c>
    </row>
    <row r="1348" spans="1:148" ht="15" customHeight="1">
      <c r="A1348" s="1" t="s">
        <v>587</v>
      </c>
      <c r="B1348" t="s">
        <v>3700</v>
      </c>
      <c r="C1348" t="s">
        <v>3701</v>
      </c>
      <c r="D1348" t="s">
        <v>3702</v>
      </c>
      <c r="E1348" t="s">
        <v>3703</v>
      </c>
      <c r="F1348" t="s">
        <v>3704</v>
      </c>
      <c r="G1348" t="s">
        <v>593</v>
      </c>
      <c r="H1348" t="s">
        <v>254</v>
      </c>
      <c r="I1348">
        <v>2018</v>
      </c>
      <c r="J1348">
        <v>40</v>
      </c>
      <c r="K1348" t="s">
        <v>3705</v>
      </c>
      <c r="L1348" t="s">
        <v>406</v>
      </c>
      <c r="M1348" t="str">
        <f>LEFT($D1348,FIND(",",$D1348)-1)&amp;"_"&amp;I1348&amp;L1348</f>
        <v>Hossain_2018b</v>
      </c>
      <c r="N1348" s="312" t="s">
        <v>4383</v>
      </c>
      <c r="O1348" s="145" t="s">
        <v>513</v>
      </c>
      <c r="Q1348" s="312" t="s">
        <v>256</v>
      </c>
      <c r="R1348" s="313"/>
      <c r="S1348" s="1" t="s">
        <v>3706</v>
      </c>
      <c r="T1348" t="s">
        <v>798</v>
      </c>
      <c r="U1348" t="s">
        <v>3711</v>
      </c>
      <c r="V1348">
        <v>0</v>
      </c>
      <c r="W1348">
        <v>0</v>
      </c>
      <c r="X1348">
        <v>0</v>
      </c>
      <c r="Y1348">
        <v>0</v>
      </c>
      <c r="Z1348">
        <v>0</v>
      </c>
      <c r="AA1348">
        <v>0</v>
      </c>
      <c r="AB1348">
        <v>0</v>
      </c>
      <c r="AC1348">
        <v>0</v>
      </c>
      <c r="AD1348">
        <v>0</v>
      </c>
      <c r="AE1348">
        <v>0</v>
      </c>
      <c r="AF1348">
        <v>0</v>
      </c>
      <c r="AG1348">
        <v>1</v>
      </c>
      <c r="AH1348">
        <v>0</v>
      </c>
      <c r="AI1348">
        <v>0</v>
      </c>
      <c r="AJ1348">
        <v>0</v>
      </c>
      <c r="AK1348">
        <v>2</v>
      </c>
      <c r="AL1348">
        <v>0</v>
      </c>
      <c r="AM1348">
        <v>0</v>
      </c>
      <c r="AN1348">
        <v>0</v>
      </c>
      <c r="AO1348">
        <v>0</v>
      </c>
      <c r="AP1348">
        <v>0</v>
      </c>
      <c r="AQ1348">
        <v>0</v>
      </c>
      <c r="AR1348">
        <v>0</v>
      </c>
      <c r="AS1348">
        <v>0</v>
      </c>
      <c r="AT1348">
        <v>0</v>
      </c>
      <c r="AU1348">
        <v>0</v>
      </c>
      <c r="AV1348">
        <v>0</v>
      </c>
      <c r="AW1348">
        <v>0</v>
      </c>
      <c r="AX1348" s="141">
        <f>COUNTIF(V1348:AW1348,"&lt;&gt;0")</f>
        <v>2</v>
      </c>
      <c r="AY1348" s="141">
        <f>COUNTIF(V1348:AL1348,"&lt;&gt;0")</f>
        <v>2</v>
      </c>
      <c r="AZ1348">
        <f>COUNTIF(V1348:AC1348,"&lt;&gt;0")</f>
        <v>0</v>
      </c>
      <c r="BA1348">
        <f>COUNTIF(AD1348:AI1348,"&lt;&gt;0")</f>
        <v>1</v>
      </c>
      <c r="BB1348">
        <f>COUNTIF(AJ1348:AL1348,"&lt;&gt;0")</f>
        <v>1</v>
      </c>
      <c r="BC1348">
        <f>COUNTIF(AS1348:AW1348,"&lt;&gt;0")</f>
        <v>0</v>
      </c>
      <c r="BD1348">
        <f>COUNTIF(AM1348:AR1348,"&lt;&gt;0")</f>
        <v>0</v>
      </c>
      <c r="BE1348" t="str" cm="1">
        <f t="array" ref="BE1348">IF(AY1348=1,INDEX($V$7:$AL$7,MATCH(TRUE,INDEX($V1348:$AW1348&lt;&gt;0,),0)),IF(AY1348=0,INDEX($AM$7:$AW$7,MATCH(1,$AM1348:$AW1348,0)),IF(BF1348="Multiple strategies","mixed drivers",IF(BF1348="Supply chain","multiple supply","multiple silviculture"))))</f>
        <v>mixed drivers</v>
      </c>
      <c r="BF1348" s="2" t="str" cm="1">
        <f t="array" ref="BF1348">IF(COUNTIF(AZ1348:BB1348,"&lt;&gt;0")=1,INDEX($V$4:$AW$4,MATCH(TRUE,INDEX($V1348:$AW1348&lt;&gt;0,),0)),IF(COUNTIF(AZ1348:BB1348,"&lt;&gt;0")=0,INDEX($AM$4:$AW$4,MATCH(1,$AM1348:$AW1348,0)),"Multiple strategies"))</f>
        <v>Multiple strategies</v>
      </c>
      <c r="BP1348" t="s">
        <v>232</v>
      </c>
      <c r="BR1348" t="s">
        <v>3712</v>
      </c>
      <c r="BU1348" s="144" t="str">
        <f>IFERROR(BT1348/BS1348,"")</f>
        <v/>
      </c>
      <c r="BV1348">
        <v>1075</v>
      </c>
      <c r="BX1348">
        <f>BV1348/1000</f>
        <v>1.075</v>
      </c>
      <c r="BY1348" t="str">
        <f>IFERROR(BX1348/BO1348,"")</f>
        <v/>
      </c>
      <c r="BZ1348">
        <v>0</v>
      </c>
      <c r="CA1348">
        <v>0</v>
      </c>
      <c r="CB1348">
        <v>0</v>
      </c>
      <c r="CC1348">
        <v>0</v>
      </c>
      <c r="CD1348">
        <v>0</v>
      </c>
      <c r="CE1348">
        <v>0</v>
      </c>
      <c r="CF1348">
        <v>0</v>
      </c>
      <c r="CG1348">
        <v>0</v>
      </c>
      <c r="CH1348">
        <v>0</v>
      </c>
      <c r="CI1348">
        <v>0</v>
      </c>
      <c r="CJ1348">
        <v>0</v>
      </c>
      <c r="CK1348">
        <v>0</v>
      </c>
      <c r="CL1348">
        <v>0</v>
      </c>
      <c r="CM1348">
        <v>0</v>
      </c>
      <c r="CN1348" t="str">
        <f>IF(BL1348&lt;BK1348,"refNeedCorrection","refOK")</f>
        <v>refOK</v>
      </c>
      <c r="CO1348"/>
      <c r="CP1348"/>
      <c r="CQ1348"/>
      <c r="CR1348">
        <f>IF($CN1348="refOK",$BS1348,$BT1348)*IF($BP1348="Emissions positive",-1,1)</f>
        <v>0</v>
      </c>
      <c r="CS1348">
        <f>IF($CN1348="refOK",$BT1348,$BS1348)*IF($BP1348="Emissions positive",-1,1)</f>
        <v>0</v>
      </c>
      <c r="CT1348">
        <f>IF($CN1348="refNeedCorrection",-BX1348,BX1348)*IF($BP1348="Emissions positive",-1,1)</f>
        <v>1.075</v>
      </c>
      <c r="CU1348" t="str">
        <f>IFERROR(CT1348/CQ1348,"")</f>
        <v/>
      </c>
      <c r="CV1348" s="2" t="str">
        <f>IFERROR((CS1348-CR1348)/ABS(CR1348),"")</f>
        <v/>
      </c>
      <c r="CW1348" s="1" t="s">
        <v>347</v>
      </c>
      <c r="CX1348" s="312" t="str">
        <f>IF(OR($CW1348="prd",$CW1348="std",$CW1348="cit"),"loc",IF(OR($CW1348="eur",$CW1348="reg",$CW1348="coy"),"reg",$CW1348))</f>
        <v>loc</v>
      </c>
      <c r="CY1348" t="s">
        <v>680</v>
      </c>
      <c r="DB1348">
        <v>0</v>
      </c>
      <c r="DC1348" t="str">
        <f>IF(DB1348=0,"0",IF(AND(DB1348&gt;=1,DB1348&lt;=30),"1-30",IF(AND(DB1348&gt;30,DB1348&lt;=70),"31-70",IF(AND(DB1348&gt;70,DB1348&lt;=100),"71-100",IF(DB1348&gt;100,"+100")))))</f>
        <v>0</v>
      </c>
      <c r="DD1348">
        <v>0</v>
      </c>
      <c r="DE1348">
        <v>1</v>
      </c>
      <c r="DF1348">
        <v>0</v>
      </c>
      <c r="DG1348">
        <v>0</v>
      </c>
      <c r="DI1348">
        <f>SUM(DD1348:DG1348)</f>
        <v>1</v>
      </c>
      <c r="DJ1348" t="str">
        <f>IF(DI1348=1,INDEX($DD$7:$DG$7,MATCH(1,$DD1348:$DG1348,0)),"mixedProduct")</f>
        <v>EnergyInput</v>
      </c>
      <c r="DK1348">
        <f>IF(DD1348=1,DK$7,0)</f>
        <v>0</v>
      </c>
      <c r="DL1348" t="str">
        <f>IF(DE1348=1,DL$7,0)</f>
        <v>Energy</v>
      </c>
      <c r="DM1348">
        <f>IF(DF1348=1,DM$7,0)</f>
        <v>0</v>
      </c>
      <c r="DN1348">
        <f>IF(DG1348=1,DN$7,0)</f>
        <v>0</v>
      </c>
      <c r="DO1348">
        <v>1</v>
      </c>
      <c r="DP1348">
        <v>0</v>
      </c>
      <c r="DQ1348">
        <v>0</v>
      </c>
      <c r="DR1348">
        <v>0</v>
      </c>
      <c r="DS1348">
        <v>0</v>
      </c>
      <c r="DT1348">
        <f>SUM(DO1348:DP1348)</f>
        <v>1</v>
      </c>
      <c r="DU1348" s="143" t="str">
        <f>IF(DO1348=1,"self-calculated DF",IF(DP1348=1,"external DF used","explicit C balance"))</f>
        <v>self-calculated DF</v>
      </c>
      <c r="DV1348">
        <v>0</v>
      </c>
      <c r="DW1348">
        <v>0</v>
      </c>
      <c r="DX1348">
        <v>0</v>
      </c>
      <c r="DY1348">
        <v>0</v>
      </c>
      <c r="DZ1348">
        <v>0</v>
      </c>
      <c r="EA1348" s="143">
        <v>0</v>
      </c>
      <c r="EB1348">
        <v>0</v>
      </c>
      <c r="EC1348">
        <v>1</v>
      </c>
      <c r="ED1348">
        <v>0</v>
      </c>
      <c r="EE1348">
        <v>0</v>
      </c>
      <c r="EF1348">
        <v>0</v>
      </c>
      <c r="EG1348">
        <v>0</v>
      </c>
      <c r="EH1348">
        <v>0</v>
      </c>
      <c r="EI1348" s="2">
        <v>0</v>
      </c>
      <c r="EK1348" t="str">
        <f>IF(AND(AND(AND(OR($DX1348=1,$DW1348=1),OR($EC1348=1,$EA1348=1)),SUM($DV1348:$DZ1348,$EF1348)&gt;=3),SUM($EA1348:$EE1348)&gt;=2),"Whole sector","")</f>
        <v/>
      </c>
      <c r="EL1348" t="str">
        <f>IF(AND(AND(OR($DX1348=1,$DW1348=1),AND($EC1348=0,$EA1348=0)),SUM($DV1348:$DZ1348,$EF1348)&gt;=3),"Ecosystem approach","")</f>
        <v/>
      </c>
      <c r="EM1348" s="2" t="str">
        <f>IF(AND(AND(AND($DX1348=0,$DW1348=0),OR($EC1348=1,$EA1348=1)),SUM($EB1348:$EE1348)&gt;=2),"Technology approach","")</f>
        <v/>
      </c>
      <c r="EP1348" t="b">
        <f>IF(ISNUMBER(BU1348),IF(ABS(BU1348-[5]QC_indicators!$B$2)&gt;3*[5]QC_indicators!$C$2,"C ratio",IF(ISNUMBER(BY1348),IF(ABS(BY1348-[5]QC_indicators!$B$1)&gt;3*[5]QC_indicators!$C$1,"DF","no"))),IF(ISNUMBER(BY1348),IF(ABS(BY1348-[5]QC_indicators!$B$1)&gt;3*[5]QC_indicators!$C$1,"DF","no")))</f>
        <v>0</v>
      </c>
    </row>
    <row r="1349" spans="1:148" ht="15" customHeight="1">
      <c r="A1349" s="1" t="s">
        <v>3713</v>
      </c>
      <c r="B1349" t="s">
        <v>3714</v>
      </c>
      <c r="C1349" t="s">
        <v>3715</v>
      </c>
      <c r="D1349" t="s">
        <v>3716</v>
      </c>
      <c r="E1349" t="s">
        <v>3717</v>
      </c>
      <c r="F1349" t="s">
        <v>3718</v>
      </c>
      <c r="G1349" t="s">
        <v>3719</v>
      </c>
      <c r="H1349" t="s">
        <v>254</v>
      </c>
      <c r="I1349">
        <v>2021</v>
      </c>
      <c r="J1349">
        <v>1</v>
      </c>
      <c r="K1349" t="s">
        <v>3720</v>
      </c>
      <c r="M1349" t="str">
        <f>LEFT($D1349,FIND(",",$D1349)-1)&amp;"_"&amp;I1349&amp;L1349</f>
        <v>Iannuzzi_2021</v>
      </c>
      <c r="N1349" s="312" t="s">
        <v>4383</v>
      </c>
      <c r="O1349" s="145" t="s">
        <v>513</v>
      </c>
      <c r="Q1349" s="312" t="s">
        <v>256</v>
      </c>
      <c r="R1349" s="313"/>
      <c r="S1349" s="1" t="s">
        <v>3721</v>
      </c>
      <c r="T1349" t="s">
        <v>3722</v>
      </c>
      <c r="U1349" t="s">
        <v>3723</v>
      </c>
      <c r="V1349">
        <v>0</v>
      </c>
      <c r="W1349">
        <v>0</v>
      </c>
      <c r="X1349">
        <v>0</v>
      </c>
      <c r="Y1349">
        <v>0</v>
      </c>
      <c r="Z1349">
        <v>0</v>
      </c>
      <c r="AA1349">
        <v>0</v>
      </c>
      <c r="AB1349">
        <v>0</v>
      </c>
      <c r="AC1349">
        <v>0</v>
      </c>
      <c r="AD1349">
        <v>0</v>
      </c>
      <c r="AE1349">
        <v>0</v>
      </c>
      <c r="AF1349">
        <v>0</v>
      </c>
      <c r="AG1349">
        <v>1</v>
      </c>
      <c r="AH1349">
        <v>0</v>
      </c>
      <c r="AI1349">
        <v>0</v>
      </c>
      <c r="AJ1349">
        <v>0</v>
      </c>
      <c r="AK1349">
        <v>0</v>
      </c>
      <c r="AL1349">
        <v>0</v>
      </c>
      <c r="AM1349">
        <v>0</v>
      </c>
      <c r="AN1349">
        <v>0</v>
      </c>
      <c r="AO1349">
        <v>0</v>
      </c>
      <c r="AP1349">
        <v>0</v>
      </c>
      <c r="AQ1349">
        <v>0</v>
      </c>
      <c r="AR1349">
        <v>0</v>
      </c>
      <c r="AS1349">
        <v>0</v>
      </c>
      <c r="AT1349">
        <v>0</v>
      </c>
      <c r="AU1349">
        <v>0</v>
      </c>
      <c r="AV1349">
        <v>0</v>
      </c>
      <c r="AW1349">
        <v>0</v>
      </c>
      <c r="AX1349" s="141">
        <f>COUNTIF(V1349:AW1349,"&lt;&gt;0")</f>
        <v>1</v>
      </c>
      <c r="AY1349" s="141">
        <f>COUNTIF(V1349:AL1349,"&lt;&gt;0")</f>
        <v>1</v>
      </c>
      <c r="AZ1349">
        <f>COUNTIF(V1349:AC1349,"&lt;&gt;0")</f>
        <v>0</v>
      </c>
      <c r="BA1349">
        <f>COUNTIF(AD1349:AI1349,"&lt;&gt;0")</f>
        <v>1</v>
      </c>
      <c r="BB1349">
        <f>COUNTIF(AJ1349:AL1349,"&lt;&gt;0")</f>
        <v>0</v>
      </c>
      <c r="BC1349">
        <f>COUNTIF(AS1349:AW1349,"&lt;&gt;0")</f>
        <v>0</v>
      </c>
      <c r="BD1349">
        <f>COUNTIF(AM1349:AR1349,"&lt;&gt;0")</f>
        <v>0</v>
      </c>
      <c r="BE1349" t="str" cm="1">
        <f t="array" ref="BE1349">IF(AY1349=1,INDEX($V$7:$AL$7,MATCH(TRUE,INDEX($V1349:$AW1349&lt;&gt;0,),0)),IF(AY1349=0,INDEX($AM$7:$AW$7,MATCH(1,$AM1349:$AW1349,0)),IF(BF1349="Multiple strategies","mixed drivers",IF(BF1349="Supply chain","multiple supply","multiple silviculture"))))</f>
        <v>recycling</v>
      </c>
      <c r="BF1349" s="2" t="str" cm="1">
        <f t="array" ref="BF1349">IF(COUNTIF(AZ1349:BB1349,"&lt;&gt;0")=1,INDEX($V$4:$AW$4,MATCH(TRUE,INDEX($V1349:$AW1349&lt;&gt;0,),0)),IF(COUNTIF(AZ1349:BB1349,"&lt;&gt;0")=0,INDEX($AM$4:$AW$4,MATCH(1,$AM1349:$AW1349,0)),"Multiple strategies"))</f>
        <v>Supply chain</v>
      </c>
      <c r="BP1349" t="s">
        <v>232</v>
      </c>
      <c r="BR1349" t="s">
        <v>3724</v>
      </c>
      <c r="BS1349">
        <v>-97.7</v>
      </c>
      <c r="BT1349">
        <v>-43.6</v>
      </c>
      <c r="BU1349" s="144">
        <f>IFERROR(BT1349/BS1349,"")</f>
        <v>0.44626407369498466</v>
      </c>
      <c r="BV1349">
        <f>BT1349-BS1349</f>
        <v>54.1</v>
      </c>
      <c r="BX1349">
        <f>BV1349/10^6</f>
        <v>5.41E-5</v>
      </c>
      <c r="BY1349" t="str">
        <f>IFERROR(BX1349/BO1349,"")</f>
        <v/>
      </c>
      <c r="BZ1349">
        <v>0</v>
      </c>
      <c r="CA1349">
        <v>0</v>
      </c>
      <c r="CB1349">
        <v>0</v>
      </c>
      <c r="CC1349">
        <v>0</v>
      </c>
      <c r="CD1349">
        <v>0</v>
      </c>
      <c r="CE1349">
        <v>0</v>
      </c>
      <c r="CF1349">
        <v>0</v>
      </c>
      <c r="CG1349">
        <v>0</v>
      </c>
      <c r="CH1349">
        <v>0</v>
      </c>
      <c r="CI1349">
        <v>1</v>
      </c>
      <c r="CJ1349">
        <v>0</v>
      </c>
      <c r="CK1349">
        <v>0</v>
      </c>
      <c r="CL1349">
        <v>0</v>
      </c>
      <c r="CM1349">
        <v>0</v>
      </c>
      <c r="CN1349" t="str">
        <f>IF(BL1349&lt;BK1349,"refNeedCorrection","refOK")</f>
        <v>refOK</v>
      </c>
      <c r="CO1349"/>
      <c r="CP1349"/>
      <c r="CQ1349"/>
      <c r="CR1349">
        <f>IF($CN1349="refOK",$BS1349,$BT1349)*IF($BP1349="Emissions positive",-1,1)</f>
        <v>-97.7</v>
      </c>
      <c r="CS1349">
        <f>IF($CN1349="refOK",$BT1349,$BS1349)*IF($BP1349="Emissions positive",-1,1)</f>
        <v>-43.6</v>
      </c>
      <c r="CT1349">
        <f>IF($CN1349="refNeedCorrection",-BX1349,BX1349)*IF($BP1349="Emissions positive",-1,1)</f>
        <v>5.41E-5</v>
      </c>
      <c r="CU1349" t="str">
        <f>IFERROR(CT1349/CQ1349,"")</f>
        <v/>
      </c>
      <c r="CV1349" s="2">
        <f>IFERROR((CS1349-CR1349)/ABS(CR1349),"")</f>
        <v>0.55373592630501534</v>
      </c>
      <c r="CW1349" s="1" t="s">
        <v>347</v>
      </c>
      <c r="CX1349" s="312" t="str">
        <f>IF(OR($CW1349="prd",$CW1349="std",$CW1349="cit"),"loc",IF(OR($CW1349="eur",$CW1349="reg",$CW1349="coy"),"reg",$CW1349))</f>
        <v>loc</v>
      </c>
      <c r="CY1349" t="s">
        <v>3725</v>
      </c>
      <c r="DB1349">
        <v>0</v>
      </c>
      <c r="DC1349" t="str">
        <f>IF(DB1349=0,"0",IF(AND(DB1349&gt;=1,DB1349&lt;=30),"1-30",IF(AND(DB1349&gt;30,DB1349&lt;=70),"31-70",IF(AND(DB1349&gt;70,DB1349&lt;=100),"71-100",IF(DB1349&gt;100,"+100")))))</f>
        <v>0</v>
      </c>
      <c r="DD1349">
        <v>0</v>
      </c>
      <c r="DE1349">
        <v>1</v>
      </c>
      <c r="DF1349">
        <v>0</v>
      </c>
      <c r="DG1349">
        <v>0</v>
      </c>
      <c r="DI1349">
        <f>SUM(DD1349:DG1349)</f>
        <v>1</v>
      </c>
      <c r="DJ1349" t="str">
        <f>IF(DI1349=1,INDEX($DD$7:$DG$7,MATCH(1,$DD1349:$DG1349,0)),"mixedProduct")</f>
        <v>EnergyInput</v>
      </c>
      <c r="DK1349">
        <f>IF(DD1349=1,DK$7,0)</f>
        <v>0</v>
      </c>
      <c r="DL1349" t="str">
        <f>IF(DE1349=1,DL$7,0)</f>
        <v>Energy</v>
      </c>
      <c r="DM1349">
        <f>IF(DF1349=1,DM$7,0)</f>
        <v>0</v>
      </c>
      <c r="DN1349">
        <f>IF(DG1349=1,DN$7,0)</f>
        <v>0</v>
      </c>
      <c r="DO1349">
        <v>1</v>
      </c>
      <c r="DP1349">
        <v>0</v>
      </c>
      <c r="DQ1349">
        <v>0</v>
      </c>
      <c r="DR1349">
        <v>0</v>
      </c>
      <c r="DS1349">
        <v>0</v>
      </c>
      <c r="DT1349">
        <f>SUM(DO1349:DP1349)</f>
        <v>1</v>
      </c>
      <c r="DU1349" s="143" t="str">
        <f>IF(DO1349=1,"self-calculated DF",IF(DP1349=1,"external DF used","explicit C balance"))</f>
        <v>self-calculated DF</v>
      </c>
      <c r="DV1349">
        <v>0</v>
      </c>
      <c r="DW1349">
        <v>0</v>
      </c>
      <c r="DX1349">
        <v>0</v>
      </c>
      <c r="DY1349">
        <v>0</v>
      </c>
      <c r="DZ1349">
        <v>0</v>
      </c>
      <c r="EA1349" s="143">
        <v>0</v>
      </c>
      <c r="EB1349">
        <v>0</v>
      </c>
      <c r="EC1349">
        <v>1</v>
      </c>
      <c r="ED1349">
        <v>0</v>
      </c>
      <c r="EE1349">
        <v>0</v>
      </c>
      <c r="EF1349">
        <v>0</v>
      </c>
      <c r="EG1349">
        <v>0</v>
      </c>
      <c r="EH1349">
        <v>1</v>
      </c>
      <c r="EI1349" s="2">
        <v>0</v>
      </c>
      <c r="EK1349" t="str">
        <f>IF(AND(AND(AND(OR($DX1349=1,$DW1349=1),OR($EC1349=1,$EA1349=1)),SUM($DV1349:$DZ1349,$EF1349)&gt;=3),SUM($EA1349:$EE1349)&gt;=2),"Whole sector","")</f>
        <v/>
      </c>
      <c r="EL1349" t="str">
        <f>IF(AND(AND(OR($DX1349=1,$DW1349=1),AND($EC1349=0,$EA1349=0)),SUM($DV1349:$DZ1349,$EF1349)&gt;=3),"Ecosystem approach","")</f>
        <v/>
      </c>
      <c r="EM1349" s="2" t="str">
        <f>IF(AND(AND(AND($DX1349=0,$DW1349=0),OR($EC1349=1,$EA1349=1)),SUM($EB1349:$EE1349)&gt;=2),"Technology approach","")</f>
        <v/>
      </c>
      <c r="EP1349" t="b">
        <f>IF(ISNUMBER(BU1349),IF(ABS(BU1349-[5]QC_indicators!$B$2)&gt;3*[5]QC_indicators!$C$2,"C ratio",IF(ISNUMBER(BY1349),IF(ABS(BY1349-[5]QC_indicators!$B$1)&gt;3*[5]QC_indicators!$C$1,"DF","no"))),IF(ISNUMBER(BY1349),IF(ABS(BY1349-[5]QC_indicators!$B$1)&gt;3*[5]QC_indicators!$C$1,"DF","no")))</f>
        <v>0</v>
      </c>
    </row>
    <row r="1350" spans="1:148" ht="15" customHeight="1">
      <c r="A1350" s="1" t="s">
        <v>3713</v>
      </c>
      <c r="B1350" t="s">
        <v>3714</v>
      </c>
      <c r="C1350" t="s">
        <v>3715</v>
      </c>
      <c r="D1350" t="s">
        <v>3716</v>
      </c>
      <c r="E1350" t="s">
        <v>3717</v>
      </c>
      <c r="F1350" t="s">
        <v>3718</v>
      </c>
      <c r="G1350" t="s">
        <v>3719</v>
      </c>
      <c r="H1350" t="s">
        <v>254</v>
      </c>
      <c r="I1350">
        <v>2021</v>
      </c>
      <c r="J1350">
        <v>1</v>
      </c>
      <c r="K1350" t="s">
        <v>3720</v>
      </c>
      <c r="M1350" t="str">
        <f>LEFT($D1350,FIND(",",$D1350)-1)&amp;"_"&amp;I1350&amp;L1350</f>
        <v>Iannuzzi_2021</v>
      </c>
      <c r="N1350" s="312" t="s">
        <v>4383</v>
      </c>
      <c r="O1350" s="145" t="s">
        <v>513</v>
      </c>
      <c r="Q1350" s="312" t="s">
        <v>256</v>
      </c>
      <c r="R1350" s="313"/>
      <c r="S1350" s="1" t="s">
        <v>3726</v>
      </c>
      <c r="T1350" t="s">
        <v>3722</v>
      </c>
      <c r="U1350" t="s">
        <v>3727</v>
      </c>
      <c r="V1350">
        <v>0</v>
      </c>
      <c r="W1350">
        <v>0</v>
      </c>
      <c r="X1350">
        <v>0</v>
      </c>
      <c r="Y1350">
        <v>0</v>
      </c>
      <c r="Z1350">
        <v>0</v>
      </c>
      <c r="AA1350">
        <v>0</v>
      </c>
      <c r="AB1350">
        <v>0</v>
      </c>
      <c r="AC1350">
        <v>0</v>
      </c>
      <c r="AD1350">
        <v>0</v>
      </c>
      <c r="AE1350">
        <v>0</v>
      </c>
      <c r="AF1350">
        <v>1</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s="141">
        <f>COUNTIF(V1350:AW1350,"&lt;&gt;0")</f>
        <v>1</v>
      </c>
      <c r="AY1350" s="141">
        <f>COUNTIF(V1350:AL1350,"&lt;&gt;0")</f>
        <v>1</v>
      </c>
      <c r="AZ1350">
        <f>COUNTIF(V1350:AC1350,"&lt;&gt;0")</f>
        <v>0</v>
      </c>
      <c r="BA1350">
        <f>COUNTIF(AD1350:AI1350,"&lt;&gt;0")</f>
        <v>1</v>
      </c>
      <c r="BB1350">
        <f>COUNTIF(AJ1350:AL1350,"&lt;&gt;0")</f>
        <v>0</v>
      </c>
      <c r="BC1350">
        <f>COUNTIF(AS1350:AW1350,"&lt;&gt;0")</f>
        <v>0</v>
      </c>
      <c r="BD1350">
        <f>COUNTIF(AM1350:AR1350,"&lt;&gt;0")</f>
        <v>0</v>
      </c>
      <c r="BE1350" t="str" cm="1">
        <f t="array" ref="BE1350">IF(AY1350=1,INDEX($V$7:$AL$7,MATCH(TRUE,INDEX($V1350:$AW1350&lt;&gt;0,),0)),IF(AY1350=0,INDEX($AM$7:$AW$7,MATCH(1,$AM1350:$AW1350,0)),IF(BF1350="Multiple strategies","mixed drivers",IF(BF1350="Supply chain","multiple supply","multiple silviculture"))))</f>
        <v>supply chain organization</v>
      </c>
      <c r="BF1350" s="2" t="str" cm="1">
        <f t="array" ref="BF1350">IF(COUNTIF(AZ1350:BB1350,"&lt;&gt;0")=1,INDEX($V$4:$AW$4,MATCH(TRUE,INDEX($V1350:$AW1350&lt;&gt;0,),0)),IF(COUNTIF(AZ1350:BB1350,"&lt;&gt;0")=0,INDEX($AM$4:$AW$4,MATCH(1,$AM1350:$AW1350,0)),"Multiple strategies"))</f>
        <v>Supply chain</v>
      </c>
      <c r="BP1350" t="s">
        <v>232</v>
      </c>
      <c r="BR1350" t="s">
        <v>3724</v>
      </c>
      <c r="BS1350">
        <v>-97.7</v>
      </c>
      <c r="BT1350">
        <v>-43.9</v>
      </c>
      <c r="BU1350" s="144">
        <f>IFERROR(BT1350/BS1350,"")</f>
        <v>0.44933469805527121</v>
      </c>
      <c r="BV1350">
        <f>BT1350-BS1350</f>
        <v>53.800000000000004</v>
      </c>
      <c r="BX1350">
        <f>BV1350/10^6</f>
        <v>5.3800000000000007E-5</v>
      </c>
      <c r="BY1350" t="str">
        <f>IFERROR(BX1350/BO1350,"")</f>
        <v/>
      </c>
      <c r="BZ1350">
        <v>0</v>
      </c>
      <c r="CA1350">
        <v>0</v>
      </c>
      <c r="CB1350">
        <v>0</v>
      </c>
      <c r="CC1350">
        <v>0</v>
      </c>
      <c r="CD1350">
        <v>0</v>
      </c>
      <c r="CE1350">
        <v>0</v>
      </c>
      <c r="CF1350">
        <v>0</v>
      </c>
      <c r="CG1350">
        <v>0</v>
      </c>
      <c r="CH1350">
        <v>0</v>
      </c>
      <c r="CI1350">
        <v>1</v>
      </c>
      <c r="CJ1350">
        <v>0</v>
      </c>
      <c r="CK1350">
        <v>0</v>
      </c>
      <c r="CL1350">
        <v>0</v>
      </c>
      <c r="CM1350">
        <v>0</v>
      </c>
      <c r="CN1350" t="str">
        <f>IF(BL1350&lt;BK1350,"refNeedCorrection","refOK")</f>
        <v>refOK</v>
      </c>
      <c r="CO1350"/>
      <c r="CP1350"/>
      <c r="CQ1350"/>
      <c r="CR1350">
        <f>IF($CN1350="refOK",$BS1350,$BT1350)*IF($BP1350="Emissions positive",-1,1)</f>
        <v>-97.7</v>
      </c>
      <c r="CS1350">
        <f>IF($CN1350="refOK",$BT1350,$BS1350)*IF($BP1350="Emissions positive",-1,1)</f>
        <v>-43.9</v>
      </c>
      <c r="CT1350">
        <f>IF($CN1350="refNeedCorrection",-BX1350,BX1350)*IF($BP1350="Emissions positive",-1,1)</f>
        <v>5.3800000000000007E-5</v>
      </c>
      <c r="CU1350" t="str">
        <f>IFERROR(CT1350/CQ1350,"")</f>
        <v/>
      </c>
      <c r="CV1350" s="2">
        <f>IFERROR((CS1350-CR1350)/ABS(CR1350),"")</f>
        <v>0.55066530194472874</v>
      </c>
      <c r="CW1350" s="1" t="s">
        <v>347</v>
      </c>
      <c r="CX1350" s="312" t="str">
        <f>IF(OR($CW1350="prd",$CW1350="std",$CW1350="cit"),"loc",IF(OR($CW1350="eur",$CW1350="reg",$CW1350="coy"),"reg",$CW1350))</f>
        <v>loc</v>
      </c>
      <c r="CY1350" t="s">
        <v>3725</v>
      </c>
      <c r="DB1350">
        <v>0</v>
      </c>
      <c r="DC1350" t="str">
        <f>IF(DB1350=0,"0",IF(AND(DB1350&gt;=1,DB1350&lt;=30),"1-30",IF(AND(DB1350&gt;30,DB1350&lt;=70),"31-70",IF(AND(DB1350&gt;70,DB1350&lt;=100),"71-100",IF(DB1350&gt;100,"+100")))))</f>
        <v>0</v>
      </c>
      <c r="DD1350">
        <v>0</v>
      </c>
      <c r="DE1350">
        <v>1</v>
      </c>
      <c r="DF1350">
        <v>0</v>
      </c>
      <c r="DG1350">
        <v>0</v>
      </c>
      <c r="DI1350">
        <f>SUM(DD1350:DG1350)</f>
        <v>1</v>
      </c>
      <c r="DJ1350" t="str">
        <f>IF(DI1350=1,INDEX($DD$7:$DG$7,MATCH(1,$DD1350:$DG1350,0)),"mixedProduct")</f>
        <v>EnergyInput</v>
      </c>
      <c r="DK1350">
        <f>IF(DD1350=1,DK$7,0)</f>
        <v>0</v>
      </c>
      <c r="DL1350" t="str">
        <f>IF(DE1350=1,DL$7,0)</f>
        <v>Energy</v>
      </c>
      <c r="DM1350">
        <f>IF(DF1350=1,DM$7,0)</f>
        <v>0</v>
      </c>
      <c r="DN1350">
        <f>IF(DG1350=1,DN$7,0)</f>
        <v>0</v>
      </c>
      <c r="DO1350">
        <v>1</v>
      </c>
      <c r="DP1350">
        <v>0</v>
      </c>
      <c r="DQ1350">
        <v>0</v>
      </c>
      <c r="DR1350">
        <v>0</v>
      </c>
      <c r="DS1350">
        <v>0</v>
      </c>
      <c r="DT1350">
        <f>SUM(DO1350:DP1350)</f>
        <v>1</v>
      </c>
      <c r="DU1350" s="143" t="str">
        <f>IF(DO1350=1,"self-calculated DF",IF(DP1350=1,"external DF used","explicit C balance"))</f>
        <v>self-calculated DF</v>
      </c>
      <c r="DV1350">
        <v>0</v>
      </c>
      <c r="DW1350">
        <v>0</v>
      </c>
      <c r="DX1350">
        <v>0</v>
      </c>
      <c r="DY1350">
        <v>0</v>
      </c>
      <c r="DZ1350">
        <v>0</v>
      </c>
      <c r="EA1350" s="143">
        <v>0</v>
      </c>
      <c r="EB1350">
        <v>0</v>
      </c>
      <c r="EC1350">
        <v>1</v>
      </c>
      <c r="ED1350">
        <v>0</v>
      </c>
      <c r="EE1350">
        <v>0</v>
      </c>
      <c r="EF1350">
        <v>0</v>
      </c>
      <c r="EG1350">
        <v>0</v>
      </c>
      <c r="EH1350">
        <v>1</v>
      </c>
      <c r="EI1350" s="2">
        <v>0</v>
      </c>
      <c r="EK1350" t="str">
        <f>IF(AND(AND(AND(OR($DX1350=1,$DW1350=1),OR($EC1350=1,$EA1350=1)),SUM($DV1350:$DZ1350,$EF1350)&gt;=3),SUM($EA1350:$EE1350)&gt;=2),"Whole sector","")</f>
        <v/>
      </c>
      <c r="EL1350" t="str">
        <f>IF(AND(AND(OR($DX1350=1,$DW1350=1),AND($EC1350=0,$EA1350=0)),SUM($DV1350:$DZ1350,$EF1350)&gt;=3),"Ecosystem approach","")</f>
        <v/>
      </c>
      <c r="EM1350" s="2" t="str">
        <f>IF(AND(AND(AND($DX1350=0,$DW1350=0),OR($EC1350=1,$EA1350=1)),SUM($EB1350:$EE1350)&gt;=2),"Technology approach","")</f>
        <v/>
      </c>
      <c r="EP1350" t="b">
        <f>IF(ISNUMBER(BU1350),IF(ABS(BU1350-[5]QC_indicators!$B$2)&gt;3*[5]QC_indicators!$C$2,"C ratio",IF(ISNUMBER(BY1350),IF(ABS(BY1350-[5]QC_indicators!$B$1)&gt;3*[5]QC_indicators!$C$1,"DF","no"))),IF(ISNUMBER(BY1350),IF(ABS(BY1350-[5]QC_indicators!$B$1)&gt;3*[5]QC_indicators!$C$1,"DF","no")))</f>
        <v>0</v>
      </c>
    </row>
    <row r="1351" spans="1:148" ht="15" customHeight="1">
      <c r="A1351" s="1" t="s">
        <v>3728</v>
      </c>
      <c r="B1351" t="s">
        <v>3729</v>
      </c>
      <c r="C1351" t="s">
        <v>3730</v>
      </c>
      <c r="D1351" t="s">
        <v>3731</v>
      </c>
      <c r="E1351" t="s">
        <v>3732</v>
      </c>
      <c r="F1351" t="s">
        <v>3733</v>
      </c>
      <c r="G1351" t="s">
        <v>3734</v>
      </c>
      <c r="H1351" t="s">
        <v>254</v>
      </c>
      <c r="I1351">
        <v>2022</v>
      </c>
      <c r="J1351">
        <v>2</v>
      </c>
      <c r="K1351" t="s">
        <v>3735</v>
      </c>
      <c r="M1351" t="str">
        <f>LEFT($D1351,FIND(",",$D1351)-1)&amp;"_"&amp;I1351&amp;L1351</f>
        <v>Ilari_2022</v>
      </c>
      <c r="N1351" s="312" t="s">
        <v>4383</v>
      </c>
      <c r="O1351" s="161" t="s">
        <v>223</v>
      </c>
      <c r="Q1351" s="312" t="s">
        <v>389</v>
      </c>
      <c r="R1351" s="313"/>
      <c r="S1351" s="154" t="s">
        <v>3736</v>
      </c>
      <c r="T1351" s="314" t="s">
        <v>3737</v>
      </c>
      <c r="U1351" s="312" t="s">
        <v>3738</v>
      </c>
      <c r="V1351">
        <v>0</v>
      </c>
      <c r="W1351">
        <v>0</v>
      </c>
      <c r="X1351">
        <v>0</v>
      </c>
      <c r="Y1351">
        <v>0</v>
      </c>
      <c r="Z1351">
        <v>0</v>
      </c>
      <c r="AA1351">
        <v>0</v>
      </c>
      <c r="AB1351">
        <v>0</v>
      </c>
      <c r="AC1351">
        <v>0</v>
      </c>
      <c r="AD1351">
        <v>0</v>
      </c>
      <c r="AE1351">
        <v>0</v>
      </c>
      <c r="AF1351">
        <v>0</v>
      </c>
      <c r="AG1351">
        <v>0</v>
      </c>
      <c r="AH1351">
        <v>0</v>
      </c>
      <c r="AI1351">
        <v>0</v>
      </c>
      <c r="AJ1351">
        <v>0</v>
      </c>
      <c r="AK1351">
        <v>1</v>
      </c>
      <c r="AL1351">
        <v>0</v>
      </c>
      <c r="AM1351">
        <v>0</v>
      </c>
      <c r="AN1351">
        <v>0</v>
      </c>
      <c r="AO1351">
        <v>0</v>
      </c>
      <c r="AP1351">
        <v>0</v>
      </c>
      <c r="AQ1351">
        <v>0</v>
      </c>
      <c r="AR1351">
        <v>0</v>
      </c>
      <c r="AS1351">
        <v>0</v>
      </c>
      <c r="AT1351">
        <v>0</v>
      </c>
      <c r="AU1351">
        <v>0</v>
      </c>
      <c r="AV1351">
        <v>0</v>
      </c>
      <c r="AW1351">
        <v>0</v>
      </c>
      <c r="AX1351" s="141">
        <f>COUNTIF(V1351:AW1351,"&lt;&gt;0")</f>
        <v>1</v>
      </c>
      <c r="AY1351" s="141">
        <f>COUNTIF(V1351:AL1351,"&lt;&gt;0")</f>
        <v>1</v>
      </c>
      <c r="AZ1351">
        <f>COUNTIF(V1351:AC1351,"&lt;&gt;0")</f>
        <v>0</v>
      </c>
      <c r="BA1351">
        <f>COUNTIF(AD1351:AI1351,"&lt;&gt;0")</f>
        <v>0</v>
      </c>
      <c r="BB1351">
        <f>COUNTIF(AJ1351:AL1351,"&lt;&gt;0")</f>
        <v>1</v>
      </c>
      <c r="BC1351">
        <f>COUNTIF(AS1351:AW1351,"&lt;&gt;0")</f>
        <v>0</v>
      </c>
      <c r="BD1351">
        <f>COUNTIF(AM1351:AR1351,"&lt;&gt;0")</f>
        <v>0</v>
      </c>
      <c r="BE1351" t="str" cm="1">
        <f t="array" ref="BE1351">IF(AY1351=1,INDEX($V$7:$AL$7,MATCH(TRUE,INDEX($V1351:$AW1351&lt;&gt;0,),0)),IF(AY1351=0,INDEX($AM$7:$AW$7,MATCH(1,$AM1351:$AW1351,0)),IF(BF1351="Multiple strategies","mixed drivers",IF(BF1351="Supply chain","multiple supply","multiple silviculture"))))</f>
        <v>technologies/design switch</v>
      </c>
      <c r="BF1351" s="2" t="str" cm="1">
        <f t="array" ref="BF1351">IF(COUNTIF(AZ1351:BB1351,"&lt;&gt;0")=1,INDEX($V$4:$AW$4,MATCH(TRUE,INDEX($V1351:$AW1351&lt;&gt;0,),0)),IF(COUNTIF(AZ1351:BB1351,"&lt;&gt;0")=0,INDEX($AM$4:$AW$4,MATCH(1,$AM1351:$AW1351,0)),"Multiple strategies"))</f>
        <v>Technology</v>
      </c>
      <c r="BG1351" s="1" t="s">
        <v>321</v>
      </c>
      <c r="BH1351" s="312" t="s">
        <v>3739</v>
      </c>
      <c r="BI1351" s="312" t="s">
        <v>699</v>
      </c>
      <c r="BJ1351" s="312" t="s">
        <v>3740</v>
      </c>
      <c r="BK1351">
        <v>4.5</v>
      </c>
      <c r="BL1351">
        <v>4.5</v>
      </c>
      <c r="BN1351">
        <f>BL1351-BK1351</f>
        <v>0</v>
      </c>
      <c r="BO1351">
        <f>BN1351</f>
        <v>0</v>
      </c>
      <c r="BP1351" t="s">
        <v>395</v>
      </c>
      <c r="BQ1351" s="312" t="s">
        <v>3741</v>
      </c>
      <c r="BR1351" s="312" t="s">
        <v>397</v>
      </c>
      <c r="BS1351">
        <v>2.09</v>
      </c>
      <c r="BT1351">
        <v>1.97</v>
      </c>
      <c r="BY1351" t="str">
        <f>IFERROR(BX1351/BO1351,"")</f>
        <v/>
      </c>
      <c r="BZ1351">
        <v>0</v>
      </c>
      <c r="CA1351">
        <v>0</v>
      </c>
      <c r="CB1351">
        <v>0</v>
      </c>
      <c r="CC1351">
        <v>0</v>
      </c>
      <c r="CD1351">
        <v>0</v>
      </c>
      <c r="CE1351">
        <v>0</v>
      </c>
      <c r="CF1351">
        <v>0</v>
      </c>
      <c r="CG1351">
        <v>0</v>
      </c>
      <c r="CH1351">
        <v>0</v>
      </c>
      <c r="CI1351">
        <v>0</v>
      </c>
      <c r="CJ1351">
        <v>0</v>
      </c>
      <c r="CK1351">
        <v>0</v>
      </c>
      <c r="CL1351">
        <v>0</v>
      </c>
      <c r="CM1351">
        <v>0</v>
      </c>
      <c r="CN1351" t="str">
        <f>IF($BL1351&lt;$BK1351,"refNeedCorrection","refOK")</f>
        <v>refOK</v>
      </c>
      <c r="CO1351">
        <f>IF($CN1351="refOK",$BK1351,$BL1351)</f>
        <v>4.5</v>
      </c>
      <c r="CP1351">
        <f>IF($CN1351="refOK",$BL1351,$BK1351)</f>
        <v>4.5</v>
      </c>
      <c r="CQ1351">
        <f>IF($CN1351="refOK",$BO1351,-$BO1351)</f>
        <v>0</v>
      </c>
      <c r="CR1351">
        <f>IF($CN1351="refOK",$BS1351,$BT1351)*IF($BP1351="Emissions positive",-1,1)</f>
        <v>-2.09</v>
      </c>
      <c r="CS1351">
        <f>IF($CN1351="refOK",$BT1351,$BS1351)*IF($BP1351="Emissions positive",-1,1)</f>
        <v>-1.97</v>
      </c>
      <c r="CT1351">
        <f>IF($CN1351="refNeedCorrection",-BX1351,BX1351)*IF($BP1351="Emissions positive",-1,1)</f>
        <v>0</v>
      </c>
      <c r="CU1351" t="str">
        <f>IFERROR(CT1351/CQ1351,"")</f>
        <v/>
      </c>
      <c r="CV1351" s="2">
        <f>IFERROR((CS1351-CR1351)/ABS(CR1351),"")</f>
        <v>5.7416267942583678E-2</v>
      </c>
      <c r="CW1351" s="319" t="s">
        <v>263</v>
      </c>
      <c r="CX1351" s="312" t="str">
        <f>IF(OR($CW1351="prd",$CW1351="std",$CW1351="cit"),"loc",IF(OR($CW1351="eur",$CW1351="reg",$CW1351="coy"),"reg",$CW1351))</f>
        <v>loc</v>
      </c>
      <c r="CY1351" s="312" t="s">
        <v>264</v>
      </c>
      <c r="DC1351" t="str">
        <f>IF(DB1351=0,"0",IF(AND(DB1351&gt;=1,DB1351&lt;=30),"1-30",IF(AND(DB1351&gt;30,DB1351&lt;=70),"31-70",IF(AND(DB1351&gt;70,DB1351&lt;=100),"71-100",IF(DB1351&gt;100,"+100")))))</f>
        <v>0</v>
      </c>
      <c r="DD1351">
        <v>0</v>
      </c>
      <c r="DE1351">
        <v>1</v>
      </c>
      <c r="DF1351">
        <v>0</v>
      </c>
      <c r="DG1351">
        <v>0</v>
      </c>
      <c r="DI1351">
        <f>SUM(DD1351:DG1351)</f>
        <v>1</v>
      </c>
      <c r="DJ1351" t="str">
        <f>IF(DI1351=1,INDEX($DD$7:$DG$7,MATCH(1,$DD1351:$DG1351,0)),"mixedProduct")</f>
        <v>EnergyInput</v>
      </c>
      <c r="DK1351">
        <f>IF(DD1351=1,DK$7,0)</f>
        <v>0</v>
      </c>
      <c r="DL1351" t="str">
        <f>IF(DE1351=1,DL$7,0)</f>
        <v>Energy</v>
      </c>
      <c r="DM1351">
        <f>IF(DF1351=1,DM$7,0)</f>
        <v>0</v>
      </c>
      <c r="DN1351">
        <f>IF(DG1351=1,DN$7,0)</f>
        <v>0</v>
      </c>
      <c r="DT1351">
        <f>SUM(DO1351:DP1351)</f>
        <v>0</v>
      </c>
      <c r="DU1351" s="143" t="str">
        <f>IF(DO1351=1,"self-calculated DF",IF(DP1351=1,"external DF used","explicit C balance"))</f>
        <v>explicit C balance</v>
      </c>
      <c r="DV1351">
        <v>0</v>
      </c>
      <c r="DW1351">
        <v>0</v>
      </c>
      <c r="DX1351">
        <v>0</v>
      </c>
      <c r="DY1351">
        <v>0</v>
      </c>
      <c r="DZ1351">
        <v>1</v>
      </c>
      <c r="EA1351">
        <v>0</v>
      </c>
      <c r="EB1351">
        <v>1</v>
      </c>
      <c r="EC1351">
        <v>1</v>
      </c>
      <c r="ED1351">
        <v>0</v>
      </c>
      <c r="EE1351">
        <v>0</v>
      </c>
      <c r="EF1351">
        <v>0</v>
      </c>
      <c r="EG1351">
        <v>0</v>
      </c>
      <c r="EH1351">
        <v>0</v>
      </c>
      <c r="EI1351" s="2">
        <v>0</v>
      </c>
      <c r="EK1351" t="str">
        <f>IF(AND(AND(AND(OR($DX1351=1,$DW1351=1),OR($EC1351=1,$EA1351=1)),SUM($DV1351:$DZ1351,$EF1351)&gt;=3),SUM($EA1351:$EE1351)&gt;=2),"Whole sector","")</f>
        <v/>
      </c>
      <c r="EL1351" t="str">
        <f>IF(AND(AND(OR($DX1351=1,$DW1351=1),AND($EC1351=0,$EA1351=0)),SUM($DV1351:$DZ1351,$EF1351)&gt;=3),"Ecosystem approach","")</f>
        <v/>
      </c>
      <c r="EM1351" s="2" t="str">
        <f>IF(AND(AND(AND($DX1351=0,$DW1351=0),OR($EC1351=1,$EA1351=1)),SUM($EB1351:$EE1351)&gt;=2),"Technology approach","")</f>
        <v>Technology approach</v>
      </c>
      <c r="EP1351" t="b">
        <f>IF(ISNUMBER(BU1351),IF(ABS(BU1351-[5]QC_indicators!$B$2)&gt;3*[5]QC_indicators!$C$2,"C ratio",IF(ISNUMBER(BY1351),IF(ABS(BY1351-[5]QC_indicators!$B$1)&gt;3*[5]QC_indicators!$C$1,"DF","no"))),IF(ISNUMBER(BY1351),IF(ABS(BY1351-[5]QC_indicators!$B$1)&gt;3*[5]QC_indicators!$C$1,"DF","no")))</f>
        <v>0</v>
      </c>
    </row>
    <row r="1352" spans="1:148" ht="15" customHeight="1">
      <c r="A1352" s="1" t="s">
        <v>3728</v>
      </c>
      <c r="B1352" t="s">
        <v>3729</v>
      </c>
      <c r="C1352" t="s">
        <v>3730</v>
      </c>
      <c r="D1352" t="s">
        <v>3731</v>
      </c>
      <c r="E1352" t="s">
        <v>3732</v>
      </c>
      <c r="F1352" t="s">
        <v>3733</v>
      </c>
      <c r="G1352" t="s">
        <v>3734</v>
      </c>
      <c r="H1352" t="s">
        <v>254</v>
      </c>
      <c r="I1352">
        <v>2022</v>
      </c>
      <c r="J1352">
        <v>2</v>
      </c>
      <c r="K1352" t="s">
        <v>3735</v>
      </c>
      <c r="M1352" t="str">
        <f>LEFT($D1352,FIND(",",$D1352)-1)&amp;"_"&amp;I1352&amp;L1352</f>
        <v>Ilari_2022</v>
      </c>
      <c r="N1352" s="312" t="s">
        <v>4383</v>
      </c>
      <c r="O1352" s="161" t="s">
        <v>223</v>
      </c>
      <c r="Q1352" s="312" t="s">
        <v>389</v>
      </c>
      <c r="R1352" s="313"/>
      <c r="S1352" s="154" t="s">
        <v>3736</v>
      </c>
      <c r="T1352" s="314" t="s">
        <v>3737</v>
      </c>
      <c r="U1352" s="312" t="s">
        <v>3742</v>
      </c>
      <c r="V1352">
        <v>0</v>
      </c>
      <c r="W1352">
        <v>0</v>
      </c>
      <c r="X1352">
        <v>0</v>
      </c>
      <c r="Y1352">
        <v>0</v>
      </c>
      <c r="Z1352">
        <v>0</v>
      </c>
      <c r="AA1352">
        <v>0</v>
      </c>
      <c r="AB1352">
        <v>0</v>
      </c>
      <c r="AC1352">
        <v>0</v>
      </c>
      <c r="AD1352">
        <v>0</v>
      </c>
      <c r="AE1352">
        <v>0</v>
      </c>
      <c r="AF1352">
        <v>0</v>
      </c>
      <c r="AG1352">
        <v>0</v>
      </c>
      <c r="AH1352">
        <v>0</v>
      </c>
      <c r="AI1352">
        <v>0</v>
      </c>
      <c r="AJ1352">
        <v>0</v>
      </c>
      <c r="AK1352">
        <v>1</v>
      </c>
      <c r="AL1352">
        <v>0</v>
      </c>
      <c r="AM1352">
        <v>0</v>
      </c>
      <c r="AN1352">
        <v>0</v>
      </c>
      <c r="AO1352">
        <v>0</v>
      </c>
      <c r="AP1352">
        <v>0</v>
      </c>
      <c r="AQ1352">
        <v>0</v>
      </c>
      <c r="AR1352">
        <v>0</v>
      </c>
      <c r="AS1352">
        <v>0</v>
      </c>
      <c r="AT1352">
        <v>0</v>
      </c>
      <c r="AU1352">
        <v>0</v>
      </c>
      <c r="AV1352">
        <v>0</v>
      </c>
      <c r="AW1352">
        <v>0</v>
      </c>
      <c r="AX1352" s="141">
        <f>COUNTIF(V1352:AW1352,"&lt;&gt;0")</f>
        <v>1</v>
      </c>
      <c r="AY1352" s="141">
        <f>COUNTIF(V1352:AL1352,"&lt;&gt;0")</f>
        <v>1</v>
      </c>
      <c r="AZ1352">
        <f>COUNTIF(V1352:AC1352,"&lt;&gt;0")</f>
        <v>0</v>
      </c>
      <c r="BA1352">
        <f>COUNTIF(AD1352:AI1352,"&lt;&gt;0")</f>
        <v>0</v>
      </c>
      <c r="BB1352">
        <f>COUNTIF(AJ1352:AL1352,"&lt;&gt;0")</f>
        <v>1</v>
      </c>
      <c r="BC1352">
        <f>COUNTIF(AS1352:AW1352,"&lt;&gt;0")</f>
        <v>0</v>
      </c>
      <c r="BD1352">
        <f>COUNTIF(AM1352:AR1352,"&lt;&gt;0")</f>
        <v>0</v>
      </c>
      <c r="BE1352" t="str" cm="1">
        <f t="array" ref="BE1352">IF(AY1352=1,INDEX($V$7:$AL$7,MATCH(TRUE,INDEX($V1352:$AW1352&lt;&gt;0,),0)),IF(AY1352=0,INDEX($AM$7:$AW$7,MATCH(1,$AM1352:$AW1352,0)),IF(BF1352="Multiple strategies","mixed drivers",IF(BF1352="Supply chain","multiple supply","multiple silviculture"))))</f>
        <v>technologies/design switch</v>
      </c>
      <c r="BF1352" s="2" t="str" cm="1">
        <f t="array" ref="BF1352">IF(COUNTIF(AZ1352:BB1352,"&lt;&gt;0")=1,INDEX($V$4:$AW$4,MATCH(TRUE,INDEX($V1352:$AW1352&lt;&gt;0,),0)),IF(COUNTIF(AZ1352:BB1352,"&lt;&gt;0")=0,INDEX($AM$4:$AW$4,MATCH(1,$AM1352:$AW1352,0)),"Multiple strategies"))</f>
        <v>Technology</v>
      </c>
      <c r="BG1352" s="1" t="s">
        <v>321</v>
      </c>
      <c r="BH1352" s="312" t="s">
        <v>3739</v>
      </c>
      <c r="BI1352" s="312" t="s">
        <v>699</v>
      </c>
      <c r="BJ1352" s="312" t="s">
        <v>3740</v>
      </c>
      <c r="BK1352">
        <v>4.5</v>
      </c>
      <c r="BL1352">
        <v>4.5</v>
      </c>
      <c r="BN1352">
        <f>BL1352-BK1352</f>
        <v>0</v>
      </c>
      <c r="BO1352">
        <f>BN1352</f>
        <v>0</v>
      </c>
      <c r="BP1352" t="s">
        <v>395</v>
      </c>
      <c r="BQ1352" s="312" t="s">
        <v>3741</v>
      </c>
      <c r="BR1352" s="312" t="s">
        <v>397</v>
      </c>
      <c r="BS1352">
        <v>2.09</v>
      </c>
      <c r="BT1352">
        <v>2.0299999999999998</v>
      </c>
      <c r="BY1352" t="str">
        <f>IFERROR(BX1352/BO1352,"")</f>
        <v/>
      </c>
      <c r="BZ1352">
        <v>0</v>
      </c>
      <c r="CA1352">
        <v>0</v>
      </c>
      <c r="CB1352">
        <v>0</v>
      </c>
      <c r="CC1352">
        <v>0</v>
      </c>
      <c r="CD1352">
        <v>0</v>
      </c>
      <c r="CE1352">
        <v>0</v>
      </c>
      <c r="CF1352">
        <v>0</v>
      </c>
      <c r="CG1352">
        <v>0</v>
      </c>
      <c r="CH1352">
        <v>0</v>
      </c>
      <c r="CI1352">
        <v>0</v>
      </c>
      <c r="CJ1352">
        <v>0</v>
      </c>
      <c r="CK1352">
        <v>0</v>
      </c>
      <c r="CL1352">
        <v>0</v>
      </c>
      <c r="CM1352">
        <v>0</v>
      </c>
      <c r="CN1352" t="str">
        <f>IF($BL1352&lt;$BK1352,"refNeedCorrection","refOK")</f>
        <v>refOK</v>
      </c>
      <c r="CO1352">
        <f>IF($CN1352="refOK",$BK1352,$BL1352)</f>
        <v>4.5</v>
      </c>
      <c r="CP1352">
        <f>IF($CN1352="refOK",$BL1352,$BK1352)</f>
        <v>4.5</v>
      </c>
      <c r="CQ1352">
        <f>IF($CN1352="refOK",$BO1352,-$BO1352)</f>
        <v>0</v>
      </c>
      <c r="CR1352">
        <f>IF($CN1352="refOK",$BS1352,$BT1352)*IF($BP1352="Emissions positive",-1,1)</f>
        <v>-2.09</v>
      </c>
      <c r="CS1352">
        <f>IF($CN1352="refOK",$BT1352,$BS1352)*IF($BP1352="Emissions positive",-1,1)</f>
        <v>-2.0299999999999998</v>
      </c>
      <c r="CT1352">
        <f>IF($CN1352="refNeedCorrection",-BX1352,BX1352)*IF($BP1352="Emissions positive",-1,1)</f>
        <v>0</v>
      </c>
      <c r="CU1352" t="str">
        <f>IFERROR(CT1352/CQ1352,"")</f>
        <v/>
      </c>
      <c r="CV1352" s="2">
        <f>IFERROR((CS1352-CR1352)/ABS(CR1352),"")</f>
        <v>2.8708133971291894E-2</v>
      </c>
      <c r="CW1352" s="319" t="s">
        <v>263</v>
      </c>
      <c r="CX1352" s="312" t="str">
        <f>IF(OR($CW1352="prd",$CW1352="std",$CW1352="cit"),"loc",IF(OR($CW1352="eur",$CW1352="reg",$CW1352="coy"),"reg",$CW1352))</f>
        <v>loc</v>
      </c>
      <c r="CY1352" s="312" t="s">
        <v>264</v>
      </c>
      <c r="DC1352" t="str">
        <f>IF(DB1352=0,"0",IF(AND(DB1352&gt;=1,DB1352&lt;=30),"1-30",IF(AND(DB1352&gt;30,DB1352&lt;=70),"31-70",IF(AND(DB1352&gt;70,DB1352&lt;=100),"71-100",IF(DB1352&gt;100,"+100")))))</f>
        <v>0</v>
      </c>
      <c r="DD1352">
        <v>0</v>
      </c>
      <c r="DE1352">
        <v>1</v>
      </c>
      <c r="DF1352">
        <v>0</v>
      </c>
      <c r="DG1352">
        <v>0</v>
      </c>
      <c r="DI1352">
        <f>SUM(DD1352:DG1352)</f>
        <v>1</v>
      </c>
      <c r="DJ1352" t="str">
        <f>IF(DI1352=1,INDEX($DD$7:$DG$7,MATCH(1,$DD1352:$DG1352,0)),"mixedProduct")</f>
        <v>EnergyInput</v>
      </c>
      <c r="DK1352">
        <f>IF(DD1352=1,DK$7,0)</f>
        <v>0</v>
      </c>
      <c r="DL1352" t="str">
        <f>IF(DE1352=1,DL$7,0)</f>
        <v>Energy</v>
      </c>
      <c r="DM1352">
        <f>IF(DF1352=1,DM$7,0)</f>
        <v>0</v>
      </c>
      <c r="DN1352">
        <f>IF(DG1352=1,DN$7,0)</f>
        <v>0</v>
      </c>
      <c r="DT1352">
        <f>SUM(DO1352:DP1352)</f>
        <v>0</v>
      </c>
      <c r="DU1352" s="143" t="str">
        <f>IF(DO1352=1,"self-calculated DF",IF(DP1352=1,"external DF used","explicit C balance"))</f>
        <v>explicit C balance</v>
      </c>
      <c r="DV1352">
        <v>0</v>
      </c>
      <c r="DW1352">
        <v>0</v>
      </c>
      <c r="DX1352">
        <v>0</v>
      </c>
      <c r="DY1352">
        <v>0</v>
      </c>
      <c r="DZ1352">
        <v>1</v>
      </c>
      <c r="EA1352">
        <v>0</v>
      </c>
      <c r="EB1352">
        <v>1</v>
      </c>
      <c r="EC1352">
        <v>1</v>
      </c>
      <c r="ED1352">
        <v>0</v>
      </c>
      <c r="EE1352">
        <v>0</v>
      </c>
      <c r="EF1352">
        <v>0</v>
      </c>
      <c r="EG1352">
        <v>0</v>
      </c>
      <c r="EH1352">
        <v>0</v>
      </c>
      <c r="EI1352" s="2">
        <v>0</v>
      </c>
      <c r="EK1352" t="str">
        <f>IF(AND(AND(AND(OR($DX1352=1,$DW1352=1),OR($EC1352=1,$EA1352=1)),SUM($DV1352:$DZ1352,$EF1352)&gt;=3),SUM($EA1352:$EE1352)&gt;=2),"Whole sector","")</f>
        <v/>
      </c>
      <c r="EL1352" t="str">
        <f>IF(AND(AND(OR($DX1352=1,$DW1352=1),AND($EC1352=0,$EA1352=0)),SUM($DV1352:$DZ1352,$EF1352)&gt;=3),"Ecosystem approach","")</f>
        <v/>
      </c>
      <c r="EM1352" s="2" t="str">
        <f>IF(AND(AND(AND($DX1352=0,$DW1352=0),OR($EC1352=1,$EA1352=1)),SUM($EB1352:$EE1352)&gt;=2),"Technology approach","")</f>
        <v>Technology approach</v>
      </c>
      <c r="EP1352" t="b">
        <f>IF(ISNUMBER(BU1352),IF(ABS(BU1352-[5]QC_indicators!$B$2)&gt;3*[5]QC_indicators!$C$2,"C ratio",IF(ISNUMBER(BY1352),IF(ABS(BY1352-[5]QC_indicators!$B$1)&gt;3*[5]QC_indicators!$C$1,"DF","no"))),IF(ISNUMBER(BY1352),IF(ABS(BY1352-[5]QC_indicators!$B$1)&gt;3*[5]QC_indicators!$C$1,"DF","no")))</f>
        <v>0</v>
      </c>
    </row>
    <row r="1353" spans="1:148" ht="15" customHeight="1">
      <c r="A1353" s="1" t="s">
        <v>3728</v>
      </c>
      <c r="B1353" t="s">
        <v>3729</v>
      </c>
      <c r="C1353" t="s">
        <v>3730</v>
      </c>
      <c r="D1353" t="s">
        <v>3731</v>
      </c>
      <c r="E1353" t="s">
        <v>3732</v>
      </c>
      <c r="F1353" t="s">
        <v>3733</v>
      </c>
      <c r="G1353" t="s">
        <v>3734</v>
      </c>
      <c r="H1353" t="s">
        <v>254</v>
      </c>
      <c r="I1353">
        <v>2022</v>
      </c>
      <c r="J1353">
        <v>2</v>
      </c>
      <c r="K1353" t="s">
        <v>3735</v>
      </c>
      <c r="M1353" t="str">
        <f>LEFT($D1353,FIND(",",$D1353)-1)&amp;"_"&amp;I1353&amp;L1353</f>
        <v>Ilari_2022</v>
      </c>
      <c r="N1353" s="312" t="s">
        <v>4383</v>
      </c>
      <c r="O1353" s="161" t="s">
        <v>223</v>
      </c>
      <c r="Q1353" s="312" t="s">
        <v>389</v>
      </c>
      <c r="R1353" s="313"/>
      <c r="S1353" s="154" t="s">
        <v>3736</v>
      </c>
      <c r="T1353" s="314" t="s">
        <v>3737</v>
      </c>
      <c r="U1353" s="312" t="s">
        <v>3743</v>
      </c>
      <c r="V1353">
        <v>0</v>
      </c>
      <c r="W1353">
        <v>0</v>
      </c>
      <c r="X1353">
        <v>0</v>
      </c>
      <c r="Y1353">
        <v>0</v>
      </c>
      <c r="Z1353">
        <v>0</v>
      </c>
      <c r="AA1353">
        <v>0</v>
      </c>
      <c r="AB1353">
        <v>0</v>
      </c>
      <c r="AC1353">
        <v>0</v>
      </c>
      <c r="AD1353">
        <v>0</v>
      </c>
      <c r="AE1353">
        <v>0</v>
      </c>
      <c r="AF1353">
        <v>0</v>
      </c>
      <c r="AG1353">
        <v>0</v>
      </c>
      <c r="AH1353">
        <v>0</v>
      </c>
      <c r="AI1353">
        <v>0</v>
      </c>
      <c r="AJ1353">
        <v>0</v>
      </c>
      <c r="AK1353">
        <v>1</v>
      </c>
      <c r="AL1353">
        <v>0</v>
      </c>
      <c r="AM1353">
        <v>0</v>
      </c>
      <c r="AN1353">
        <v>0</v>
      </c>
      <c r="AO1353">
        <v>0</v>
      </c>
      <c r="AP1353">
        <v>0</v>
      </c>
      <c r="AQ1353">
        <v>0</v>
      </c>
      <c r="AR1353">
        <v>0</v>
      </c>
      <c r="AS1353">
        <v>0</v>
      </c>
      <c r="AT1353">
        <v>0</v>
      </c>
      <c r="AU1353">
        <v>0</v>
      </c>
      <c r="AV1353">
        <v>0</v>
      </c>
      <c r="AW1353">
        <v>0</v>
      </c>
      <c r="AX1353" s="141">
        <f>COUNTIF(V1353:AW1353,"&lt;&gt;0")</f>
        <v>1</v>
      </c>
      <c r="AY1353" s="141">
        <f>COUNTIF(V1353:AL1353,"&lt;&gt;0")</f>
        <v>1</v>
      </c>
      <c r="AZ1353">
        <f>COUNTIF(V1353:AC1353,"&lt;&gt;0")</f>
        <v>0</v>
      </c>
      <c r="BA1353">
        <f>COUNTIF(AD1353:AI1353,"&lt;&gt;0")</f>
        <v>0</v>
      </c>
      <c r="BB1353">
        <f>COUNTIF(AJ1353:AL1353,"&lt;&gt;0")</f>
        <v>1</v>
      </c>
      <c r="BC1353">
        <f>COUNTIF(AS1353:AW1353,"&lt;&gt;0")</f>
        <v>0</v>
      </c>
      <c r="BD1353">
        <f>COUNTIF(AM1353:AR1353,"&lt;&gt;0")</f>
        <v>0</v>
      </c>
      <c r="BE1353" t="str" cm="1">
        <f t="array" ref="BE1353">IF(AY1353=1,INDEX($V$7:$AL$7,MATCH(TRUE,INDEX($V1353:$AW1353&lt;&gt;0,),0)),IF(AY1353=0,INDEX($AM$7:$AW$7,MATCH(1,$AM1353:$AW1353,0)),IF(BF1353="Multiple strategies","mixed drivers",IF(BF1353="Supply chain","multiple supply","multiple silviculture"))))</f>
        <v>technologies/design switch</v>
      </c>
      <c r="BF1353" s="2" t="str" cm="1">
        <f t="array" ref="BF1353">IF(COUNTIF(AZ1353:BB1353,"&lt;&gt;0")=1,INDEX($V$4:$AW$4,MATCH(TRUE,INDEX($V1353:$AW1353&lt;&gt;0,),0)),IF(COUNTIF(AZ1353:BB1353,"&lt;&gt;0")=0,INDEX($AM$4:$AW$4,MATCH(1,$AM1353:$AW1353,0)),"Multiple strategies"))</f>
        <v>Technology</v>
      </c>
      <c r="BG1353" s="1" t="s">
        <v>321</v>
      </c>
      <c r="BH1353" s="312" t="s">
        <v>3739</v>
      </c>
      <c r="BI1353" s="312" t="s">
        <v>699</v>
      </c>
      <c r="BJ1353" s="312" t="s">
        <v>3740</v>
      </c>
      <c r="BK1353">
        <v>4.5</v>
      </c>
      <c r="BL1353">
        <v>4.5</v>
      </c>
      <c r="BN1353">
        <f>BL1353-BK1353</f>
        <v>0</v>
      </c>
      <c r="BO1353">
        <f>BN1353</f>
        <v>0</v>
      </c>
      <c r="BP1353" t="s">
        <v>395</v>
      </c>
      <c r="BQ1353" s="312" t="s">
        <v>3741</v>
      </c>
      <c r="BR1353" s="312" t="s">
        <v>397</v>
      </c>
      <c r="BS1353">
        <v>2.09</v>
      </c>
      <c r="BT1353">
        <v>1.87</v>
      </c>
      <c r="BY1353" t="str">
        <f>IFERROR(BX1353/BO1353,"")</f>
        <v/>
      </c>
      <c r="BZ1353">
        <v>0</v>
      </c>
      <c r="CA1353">
        <v>0</v>
      </c>
      <c r="CB1353">
        <v>0</v>
      </c>
      <c r="CC1353">
        <v>0</v>
      </c>
      <c r="CD1353">
        <v>0</v>
      </c>
      <c r="CE1353">
        <v>0</v>
      </c>
      <c r="CF1353">
        <v>0</v>
      </c>
      <c r="CG1353">
        <v>0</v>
      </c>
      <c r="CH1353">
        <v>0</v>
      </c>
      <c r="CI1353">
        <v>0</v>
      </c>
      <c r="CJ1353">
        <v>0</v>
      </c>
      <c r="CK1353">
        <v>0</v>
      </c>
      <c r="CL1353">
        <v>0</v>
      </c>
      <c r="CM1353">
        <v>0</v>
      </c>
      <c r="CN1353" t="str">
        <f>IF($BL1353&lt;$BK1353,"refNeedCorrection","refOK")</f>
        <v>refOK</v>
      </c>
      <c r="CO1353">
        <f>IF($CN1353="refOK",$BK1353,$BL1353)</f>
        <v>4.5</v>
      </c>
      <c r="CP1353">
        <f>IF($CN1353="refOK",$BL1353,$BK1353)</f>
        <v>4.5</v>
      </c>
      <c r="CQ1353">
        <f>IF($CN1353="refOK",$BO1353,-$BO1353)</f>
        <v>0</v>
      </c>
      <c r="CR1353">
        <f>IF($CN1353="refOK",$BS1353,$BT1353)*IF($BP1353="Emissions positive",-1,1)</f>
        <v>-2.09</v>
      </c>
      <c r="CS1353">
        <f>IF($CN1353="refOK",$BT1353,$BS1353)*IF($BP1353="Emissions positive",-1,1)</f>
        <v>-1.87</v>
      </c>
      <c r="CT1353">
        <f>IF($CN1353="refNeedCorrection",-BX1353,BX1353)*IF($BP1353="Emissions positive",-1,1)</f>
        <v>0</v>
      </c>
      <c r="CU1353" t="str">
        <f>IFERROR(CT1353/CQ1353,"")</f>
        <v/>
      </c>
      <c r="CV1353" s="2">
        <f>IFERROR((CS1353-CR1353)/ABS(CR1353),"")</f>
        <v>0.10526315789473673</v>
      </c>
      <c r="CW1353" s="319" t="s">
        <v>263</v>
      </c>
      <c r="CX1353" s="312" t="str">
        <f>IF(OR($CW1353="prd",$CW1353="std",$CW1353="cit"),"loc",IF(OR($CW1353="eur",$CW1353="reg",$CW1353="coy"),"reg",$CW1353))</f>
        <v>loc</v>
      </c>
      <c r="CY1353" s="312" t="s">
        <v>264</v>
      </c>
      <c r="DC1353" t="str">
        <f>IF(DB1353=0,"0",IF(AND(DB1353&gt;=1,DB1353&lt;=30),"1-30",IF(AND(DB1353&gt;30,DB1353&lt;=70),"31-70",IF(AND(DB1353&gt;70,DB1353&lt;=100),"71-100",IF(DB1353&gt;100,"+100")))))</f>
        <v>0</v>
      </c>
      <c r="DD1353">
        <v>0</v>
      </c>
      <c r="DE1353">
        <v>1</v>
      </c>
      <c r="DF1353">
        <v>0</v>
      </c>
      <c r="DG1353">
        <v>0</v>
      </c>
      <c r="DI1353">
        <f>SUM(DD1353:DG1353)</f>
        <v>1</v>
      </c>
      <c r="DJ1353" t="str">
        <f>IF(DI1353=1,INDEX($DD$7:$DG$7,MATCH(1,$DD1353:$DG1353,0)),"mixedProduct")</f>
        <v>EnergyInput</v>
      </c>
      <c r="DK1353">
        <f>IF(DD1353=1,DK$7,0)</f>
        <v>0</v>
      </c>
      <c r="DL1353" t="str">
        <f>IF(DE1353=1,DL$7,0)</f>
        <v>Energy</v>
      </c>
      <c r="DM1353">
        <f>IF(DF1353=1,DM$7,0)</f>
        <v>0</v>
      </c>
      <c r="DN1353">
        <f>IF(DG1353=1,DN$7,0)</f>
        <v>0</v>
      </c>
      <c r="DT1353">
        <f>SUM(DO1353:DP1353)</f>
        <v>0</v>
      </c>
      <c r="DU1353" s="143" t="str">
        <f>IF(DO1353=1,"self-calculated DF",IF(DP1353=1,"external DF used","explicit C balance"))</f>
        <v>explicit C balance</v>
      </c>
      <c r="DV1353">
        <v>0</v>
      </c>
      <c r="DW1353">
        <v>0</v>
      </c>
      <c r="DX1353">
        <v>0</v>
      </c>
      <c r="DY1353">
        <v>0</v>
      </c>
      <c r="DZ1353">
        <v>1</v>
      </c>
      <c r="EA1353">
        <v>0</v>
      </c>
      <c r="EB1353">
        <v>1</v>
      </c>
      <c r="EC1353">
        <v>1</v>
      </c>
      <c r="ED1353">
        <v>0</v>
      </c>
      <c r="EE1353">
        <v>0</v>
      </c>
      <c r="EF1353">
        <v>0</v>
      </c>
      <c r="EG1353">
        <v>0</v>
      </c>
      <c r="EH1353">
        <v>0</v>
      </c>
      <c r="EI1353" s="2">
        <v>0</v>
      </c>
      <c r="EK1353" t="str">
        <f>IF(AND(AND(AND(OR($DX1353=1,$DW1353=1),OR($EC1353=1,$EA1353=1)),SUM($DV1353:$DZ1353,$EF1353)&gt;=3),SUM($EA1353:$EE1353)&gt;=2),"Whole sector","")</f>
        <v/>
      </c>
      <c r="EL1353" t="str">
        <f>IF(AND(AND(OR($DX1353=1,$DW1353=1),AND($EC1353=0,$EA1353=0)),SUM($DV1353:$DZ1353,$EF1353)&gt;=3),"Ecosystem approach","")</f>
        <v/>
      </c>
      <c r="EM1353" s="2" t="str">
        <f>IF(AND(AND(AND($DX1353=0,$DW1353=0),OR($EC1353=1,$EA1353=1)),SUM($EB1353:$EE1353)&gt;=2),"Technology approach","")</f>
        <v>Technology approach</v>
      </c>
      <c r="EP1353" t="b">
        <f>IF(ISNUMBER(BU1353),IF(ABS(BU1353-[5]QC_indicators!$B$2)&gt;3*[5]QC_indicators!$C$2,"C ratio",IF(ISNUMBER(BY1353),IF(ABS(BY1353-[5]QC_indicators!$B$1)&gt;3*[5]QC_indicators!$C$1,"DF","no"))),IF(ISNUMBER(BY1353),IF(ABS(BY1353-[5]QC_indicators!$B$1)&gt;3*[5]QC_indicators!$C$1,"DF","no")))</f>
        <v>0</v>
      </c>
    </row>
    <row r="1354" spans="1:148" ht="15" customHeight="1">
      <c r="A1354" s="1" t="s">
        <v>3728</v>
      </c>
      <c r="B1354" t="s">
        <v>3729</v>
      </c>
      <c r="C1354" t="s">
        <v>3730</v>
      </c>
      <c r="D1354" t="s">
        <v>3731</v>
      </c>
      <c r="E1354" t="s">
        <v>3732</v>
      </c>
      <c r="F1354" t="s">
        <v>3733</v>
      </c>
      <c r="G1354" t="s">
        <v>3734</v>
      </c>
      <c r="H1354" t="s">
        <v>254</v>
      </c>
      <c r="I1354">
        <v>2022</v>
      </c>
      <c r="J1354">
        <v>2</v>
      </c>
      <c r="K1354" t="s">
        <v>3735</v>
      </c>
      <c r="M1354" t="str">
        <f>LEFT($D1354,FIND(",",$D1354)-1)&amp;"_"&amp;I1354&amp;L1354</f>
        <v>Ilari_2022</v>
      </c>
      <c r="N1354" s="312" t="s">
        <v>4383</v>
      </c>
      <c r="O1354" s="161" t="s">
        <v>223</v>
      </c>
      <c r="Q1354" s="312" t="s">
        <v>389</v>
      </c>
      <c r="R1354" s="313"/>
      <c r="S1354" s="154" t="s">
        <v>3736</v>
      </c>
      <c r="T1354" s="314" t="s">
        <v>3737</v>
      </c>
      <c r="U1354" s="312" t="s">
        <v>3744</v>
      </c>
      <c r="V1354">
        <v>0</v>
      </c>
      <c r="W1354">
        <v>0</v>
      </c>
      <c r="X1354">
        <v>0</v>
      </c>
      <c r="Y1354">
        <v>0</v>
      </c>
      <c r="Z1354">
        <v>0</v>
      </c>
      <c r="AA1354">
        <v>0</v>
      </c>
      <c r="AB1354">
        <v>0</v>
      </c>
      <c r="AC1354">
        <v>0</v>
      </c>
      <c r="AD1354">
        <v>0</v>
      </c>
      <c r="AE1354">
        <v>0</v>
      </c>
      <c r="AF1354">
        <v>0</v>
      </c>
      <c r="AG1354">
        <v>0</v>
      </c>
      <c r="AH1354">
        <v>0</v>
      </c>
      <c r="AI1354">
        <v>0</v>
      </c>
      <c r="AJ1354">
        <v>0</v>
      </c>
      <c r="AK1354">
        <v>1</v>
      </c>
      <c r="AL1354">
        <v>0</v>
      </c>
      <c r="AM1354">
        <v>0</v>
      </c>
      <c r="AN1354">
        <v>0</v>
      </c>
      <c r="AO1354">
        <v>0</v>
      </c>
      <c r="AP1354">
        <v>0</v>
      </c>
      <c r="AQ1354">
        <v>0</v>
      </c>
      <c r="AR1354">
        <v>0</v>
      </c>
      <c r="AS1354">
        <v>0</v>
      </c>
      <c r="AT1354">
        <v>0</v>
      </c>
      <c r="AU1354">
        <v>0</v>
      </c>
      <c r="AV1354">
        <v>0</v>
      </c>
      <c r="AW1354">
        <v>0</v>
      </c>
      <c r="AX1354" s="141">
        <f>COUNTIF(V1354:AW1354,"&lt;&gt;0")</f>
        <v>1</v>
      </c>
      <c r="AY1354" s="141">
        <f>COUNTIF(V1354:AL1354,"&lt;&gt;0")</f>
        <v>1</v>
      </c>
      <c r="AZ1354">
        <f>COUNTIF(V1354:AC1354,"&lt;&gt;0")</f>
        <v>0</v>
      </c>
      <c r="BA1354">
        <f>COUNTIF(AD1354:AI1354,"&lt;&gt;0")</f>
        <v>0</v>
      </c>
      <c r="BB1354">
        <f>COUNTIF(AJ1354:AL1354,"&lt;&gt;0")</f>
        <v>1</v>
      </c>
      <c r="BC1354">
        <f>COUNTIF(AS1354:AW1354,"&lt;&gt;0")</f>
        <v>0</v>
      </c>
      <c r="BD1354">
        <f>COUNTIF(AM1354:AR1354,"&lt;&gt;0")</f>
        <v>0</v>
      </c>
      <c r="BE1354" t="str" cm="1">
        <f t="array" ref="BE1354">IF(AY1354=1,INDEX($V$7:$AL$7,MATCH(TRUE,INDEX($V1354:$AW1354&lt;&gt;0,),0)),IF(AY1354=0,INDEX($AM$7:$AW$7,MATCH(1,$AM1354:$AW1354,0)),IF(BF1354="Multiple strategies","mixed drivers",IF(BF1354="Supply chain","multiple supply","multiple silviculture"))))</f>
        <v>technologies/design switch</v>
      </c>
      <c r="BF1354" s="2" t="str" cm="1">
        <f t="array" ref="BF1354">IF(COUNTIF(AZ1354:BB1354,"&lt;&gt;0")=1,INDEX($V$4:$AW$4,MATCH(TRUE,INDEX($V1354:$AW1354&lt;&gt;0,),0)),IF(COUNTIF(AZ1354:BB1354,"&lt;&gt;0")=0,INDEX($AM$4:$AW$4,MATCH(1,$AM1354:$AW1354,0)),"Multiple strategies"))</f>
        <v>Technology</v>
      </c>
      <c r="BG1354" s="1" t="s">
        <v>321</v>
      </c>
      <c r="BH1354" s="312" t="s">
        <v>3739</v>
      </c>
      <c r="BI1354" s="312" t="s">
        <v>699</v>
      </c>
      <c r="BJ1354" s="312" t="s">
        <v>3740</v>
      </c>
      <c r="BK1354">
        <v>4.5</v>
      </c>
      <c r="BL1354">
        <v>4.5</v>
      </c>
      <c r="BN1354">
        <f>BL1354-BK1354</f>
        <v>0</v>
      </c>
      <c r="BO1354">
        <f>BN1354</f>
        <v>0</v>
      </c>
      <c r="BP1354" t="s">
        <v>395</v>
      </c>
      <c r="BQ1354" s="312" t="s">
        <v>3741</v>
      </c>
      <c r="BR1354" s="312" t="s">
        <v>397</v>
      </c>
      <c r="BS1354">
        <v>2.09</v>
      </c>
      <c r="BT1354">
        <v>1.93</v>
      </c>
      <c r="BY1354" t="str">
        <f>IFERROR(BX1354/BO1354,"")</f>
        <v/>
      </c>
      <c r="BZ1354">
        <v>0</v>
      </c>
      <c r="CA1354">
        <v>0</v>
      </c>
      <c r="CB1354">
        <v>0</v>
      </c>
      <c r="CC1354">
        <v>0</v>
      </c>
      <c r="CD1354">
        <v>0</v>
      </c>
      <c r="CE1354">
        <v>0</v>
      </c>
      <c r="CF1354">
        <v>0</v>
      </c>
      <c r="CG1354">
        <v>0</v>
      </c>
      <c r="CH1354">
        <v>0</v>
      </c>
      <c r="CI1354">
        <v>0</v>
      </c>
      <c r="CJ1354">
        <v>0</v>
      </c>
      <c r="CK1354">
        <v>0</v>
      </c>
      <c r="CL1354">
        <v>0</v>
      </c>
      <c r="CM1354">
        <v>0</v>
      </c>
      <c r="CN1354" t="str">
        <f>IF($BL1354&lt;$BK1354,"refNeedCorrection","refOK")</f>
        <v>refOK</v>
      </c>
      <c r="CO1354">
        <f>IF($CN1354="refOK",$BK1354,$BL1354)</f>
        <v>4.5</v>
      </c>
      <c r="CP1354">
        <f>IF($CN1354="refOK",$BL1354,$BK1354)</f>
        <v>4.5</v>
      </c>
      <c r="CQ1354">
        <f>IF($CN1354="refOK",$BO1354,-$BO1354)</f>
        <v>0</v>
      </c>
      <c r="CR1354">
        <f>IF($CN1354="refOK",$BS1354,$BT1354)*IF($BP1354="Emissions positive",-1,1)</f>
        <v>-2.09</v>
      </c>
      <c r="CS1354">
        <f>IF($CN1354="refOK",$BT1354,$BS1354)*IF($BP1354="Emissions positive",-1,1)</f>
        <v>-1.93</v>
      </c>
      <c r="CT1354">
        <f>IF($CN1354="refNeedCorrection",-BX1354,BX1354)*IF($BP1354="Emissions positive",-1,1)</f>
        <v>0</v>
      </c>
      <c r="CU1354" t="str">
        <f>IFERROR(CT1354/CQ1354,"")</f>
        <v/>
      </c>
      <c r="CV1354" s="2">
        <f>IFERROR((CS1354-CR1354)/ABS(CR1354),"")</f>
        <v>7.6555023923444945E-2</v>
      </c>
      <c r="CW1354" s="319" t="s">
        <v>263</v>
      </c>
      <c r="CX1354" s="312" t="str">
        <f>IF(OR($CW1354="prd",$CW1354="std",$CW1354="cit"),"loc",IF(OR($CW1354="eur",$CW1354="reg",$CW1354="coy"),"reg",$CW1354))</f>
        <v>loc</v>
      </c>
      <c r="CY1354" s="312" t="s">
        <v>264</v>
      </c>
      <c r="DC1354" t="str">
        <f>IF(DB1354=0,"0",IF(AND(DB1354&gt;=1,DB1354&lt;=30),"1-30",IF(AND(DB1354&gt;30,DB1354&lt;=70),"31-70",IF(AND(DB1354&gt;70,DB1354&lt;=100),"71-100",IF(DB1354&gt;100,"+100")))))</f>
        <v>0</v>
      </c>
      <c r="DD1354">
        <v>0</v>
      </c>
      <c r="DE1354">
        <v>1</v>
      </c>
      <c r="DF1354">
        <v>0</v>
      </c>
      <c r="DG1354">
        <v>0</v>
      </c>
      <c r="DI1354">
        <f>SUM(DD1354:DG1354)</f>
        <v>1</v>
      </c>
      <c r="DJ1354" t="str">
        <f>IF(DI1354=1,INDEX($DD$7:$DG$7,MATCH(1,$DD1354:$DG1354,0)),"mixedProduct")</f>
        <v>EnergyInput</v>
      </c>
      <c r="DK1354">
        <f>IF(DD1354=1,DK$7,0)</f>
        <v>0</v>
      </c>
      <c r="DL1354" t="str">
        <f>IF(DE1354=1,DL$7,0)</f>
        <v>Energy</v>
      </c>
      <c r="DM1354">
        <f>IF(DF1354=1,DM$7,0)</f>
        <v>0</v>
      </c>
      <c r="DN1354">
        <f>IF(DG1354=1,DN$7,0)</f>
        <v>0</v>
      </c>
      <c r="DT1354">
        <f>SUM(DO1354:DP1354)</f>
        <v>0</v>
      </c>
      <c r="DU1354" s="143" t="str">
        <f>IF(DO1354=1,"self-calculated DF",IF(DP1354=1,"external DF used","explicit C balance"))</f>
        <v>explicit C balance</v>
      </c>
      <c r="DV1354">
        <v>0</v>
      </c>
      <c r="DW1354">
        <v>0</v>
      </c>
      <c r="DX1354">
        <v>0</v>
      </c>
      <c r="DY1354">
        <v>0</v>
      </c>
      <c r="DZ1354">
        <v>1</v>
      </c>
      <c r="EA1354">
        <v>0</v>
      </c>
      <c r="EB1354">
        <v>1</v>
      </c>
      <c r="EC1354">
        <v>1</v>
      </c>
      <c r="ED1354">
        <v>0</v>
      </c>
      <c r="EE1354">
        <v>0</v>
      </c>
      <c r="EF1354">
        <v>0</v>
      </c>
      <c r="EG1354">
        <v>0</v>
      </c>
      <c r="EH1354">
        <v>0</v>
      </c>
      <c r="EI1354" s="2">
        <v>0</v>
      </c>
      <c r="EK1354" t="str">
        <f>IF(AND(AND(AND(OR($DX1354=1,$DW1354=1),OR($EC1354=1,$EA1354=1)),SUM($DV1354:$DZ1354,$EF1354)&gt;=3),SUM($EA1354:$EE1354)&gt;=2),"Whole sector","")</f>
        <v/>
      </c>
      <c r="EL1354" t="str">
        <f>IF(AND(AND(OR($DX1354=1,$DW1354=1),AND($EC1354=0,$EA1354=0)),SUM($DV1354:$DZ1354,$EF1354)&gt;=3),"Ecosystem approach","")</f>
        <v/>
      </c>
      <c r="EM1354" s="2" t="str">
        <f>IF(AND(AND(AND($DX1354=0,$DW1354=0),OR($EC1354=1,$EA1354=1)),SUM($EB1354:$EE1354)&gt;=2),"Technology approach","")</f>
        <v>Technology approach</v>
      </c>
      <c r="EP1354" t="b">
        <f>IF(ISNUMBER(BU1354),IF(ABS(BU1354-[5]QC_indicators!$B$2)&gt;3*[5]QC_indicators!$C$2,"C ratio",IF(ISNUMBER(BY1354),IF(ABS(BY1354-[5]QC_indicators!$B$1)&gt;3*[5]QC_indicators!$C$1,"DF","no"))),IF(ISNUMBER(BY1354),IF(ABS(BY1354-[5]QC_indicators!$B$1)&gt;3*[5]QC_indicators!$C$1,"DF","no")))</f>
        <v>0</v>
      </c>
    </row>
    <row r="1355" spans="1:148" ht="15" customHeight="1">
      <c r="A1355" s="1" t="s">
        <v>1138</v>
      </c>
      <c r="B1355" t="s">
        <v>3745</v>
      </c>
      <c r="C1355" t="s">
        <v>3746</v>
      </c>
      <c r="D1355" t="s">
        <v>3747</v>
      </c>
      <c r="E1355" t="s">
        <v>3748</v>
      </c>
      <c r="F1355" t="s">
        <v>3749</v>
      </c>
      <c r="G1355" t="s">
        <v>1139</v>
      </c>
      <c r="H1355" t="s">
        <v>254</v>
      </c>
      <c r="I1355">
        <v>2017</v>
      </c>
      <c r="J1355">
        <v>12</v>
      </c>
      <c r="K1355" t="s">
        <v>3750</v>
      </c>
      <c r="M1355" t="str">
        <f>LEFT($D1355,FIND(",",$D1355)-1)&amp;"_"&amp;I1355&amp;L1355</f>
        <v>Jasinevicius_2017</v>
      </c>
      <c r="N1355" s="312" t="s">
        <v>4383</v>
      </c>
      <c r="O1355" s="145" t="s">
        <v>513</v>
      </c>
      <c r="Q1355" s="312" t="s">
        <v>256</v>
      </c>
      <c r="R1355" s="313"/>
      <c r="S1355" s="1" t="s">
        <v>1741</v>
      </c>
      <c r="T1355" t="s">
        <v>1155</v>
      </c>
      <c r="U1355" t="s">
        <v>3751</v>
      </c>
      <c r="V1355">
        <v>0</v>
      </c>
      <c r="W1355">
        <v>0</v>
      </c>
      <c r="X1355">
        <v>0</v>
      </c>
      <c r="Y1355">
        <v>1</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s="141">
        <f>COUNTIF(V1355:AW1355,"&lt;&gt;0")</f>
        <v>1</v>
      </c>
      <c r="AY1355" s="141">
        <f>COUNTIF(V1355:AL1355,"&lt;&gt;0")</f>
        <v>1</v>
      </c>
      <c r="AZ1355">
        <f>COUNTIF(V1355:AC1355,"&lt;&gt;0")</f>
        <v>1</v>
      </c>
      <c r="BA1355">
        <f>COUNTIF(AD1355:AI1355,"&lt;&gt;0")</f>
        <v>0</v>
      </c>
      <c r="BB1355">
        <f>COUNTIF(AJ1355:AL1355,"&lt;&gt;0")</f>
        <v>0</v>
      </c>
      <c r="BC1355">
        <f>COUNTIF(AS1355:AW1355,"&lt;&gt;0")</f>
        <v>0</v>
      </c>
      <c r="BD1355">
        <f>COUNTIF(AM1355:AR1355,"&lt;&gt;0")</f>
        <v>0</v>
      </c>
      <c r="BE1355" t="str" cm="1">
        <f t="array" ref="BE1355">IF(AY1355=1,INDEX($V$7:$AL$7,MATCH(TRUE,INDEX($V1355:$AW1355&lt;&gt;0,),0)),IF(AY1355=0,INDEX($AM$7:$AW$7,MATCH(1,$AM1355:$AW1355,0)),IF(BF1355="Multiple strategies","mixed drivers",IF(BF1355="Supply chain","multiple supply","multiple silviculture"))))</f>
        <v xml:space="preserve">cutting intensity </v>
      </c>
      <c r="BF1355" s="2" t="str" cm="1">
        <f t="array" ref="BF1355">IF(COUNTIF(AZ1355:BB1355,"&lt;&gt;0")=1,INDEX($V$4:$AW$4,MATCH(TRUE,INDEX($V1355:$AW1355&lt;&gt;0,),0)),IF(COUNTIF(AZ1355:BB1355,"&lt;&gt;0")=0,INDEX($AM$4:$AW$4,MATCH(1,$AM1355:$AW1355,0)),"Multiple strategies"))</f>
        <v>Silviculture for removals</v>
      </c>
      <c r="BH1355" s="312"/>
      <c r="BJ1355" s="312"/>
      <c r="BP1355" t="s">
        <v>232</v>
      </c>
      <c r="BQ1355" s="312" t="s">
        <v>3684</v>
      </c>
      <c r="BR1355" t="s">
        <v>1359</v>
      </c>
      <c r="BS1355">
        <v>617</v>
      </c>
      <c r="BT1355">
        <v>602</v>
      </c>
      <c r="BU1355" s="144">
        <f>IFERROR(BT1355/BS1355,"")</f>
        <v>0.97568881685575359</v>
      </c>
      <c r="BV1355">
        <f>BT1355-BS1355</f>
        <v>-15</v>
      </c>
      <c r="BX1355">
        <f>BV1355*C_to_CO2*10^6</f>
        <v>-55050000</v>
      </c>
      <c r="BY1355" t="str">
        <f>IFERROR(BX1355/BO1355,"")</f>
        <v/>
      </c>
      <c r="BZ1355">
        <v>0</v>
      </c>
      <c r="CA1355">
        <v>0</v>
      </c>
      <c r="CB1355">
        <v>0</v>
      </c>
      <c r="CC1355">
        <v>0</v>
      </c>
      <c r="CD1355">
        <v>0</v>
      </c>
      <c r="CE1355">
        <v>0</v>
      </c>
      <c r="CF1355">
        <v>0</v>
      </c>
      <c r="CG1355">
        <v>0</v>
      </c>
      <c r="CH1355">
        <v>0</v>
      </c>
      <c r="CI1355">
        <v>0</v>
      </c>
      <c r="CJ1355">
        <v>0</v>
      </c>
      <c r="CK1355">
        <v>0</v>
      </c>
      <c r="CL1355">
        <v>0</v>
      </c>
      <c r="CM1355">
        <v>1</v>
      </c>
      <c r="CN1355" t="str">
        <f>IF($BL1355&lt;$BK1355,"refNeedCorrection","refOK")</f>
        <v>refOK</v>
      </c>
      <c r="CO1355">
        <f>IF($CN1355="refOK",$BK1355,$BL1355)</f>
        <v>0</v>
      </c>
      <c r="CP1355">
        <f>IF($CN1355="refOK",$BL1355,$BK1355)</f>
        <v>0</v>
      </c>
      <c r="CQ1355">
        <f>IF($CN1355="refOK",$BO1355,-$BO1355)</f>
        <v>0</v>
      </c>
      <c r="CR1355">
        <f>IF($CN1355="refOK",$BS1355,$BT1355)*IF($BP1355="Emissions positive",-1,1)</f>
        <v>617</v>
      </c>
      <c r="CS1355">
        <f>IF($CN1355="refOK",$BT1355,$BS1355)*IF($BP1355="Emissions positive",-1,1)</f>
        <v>602</v>
      </c>
      <c r="CT1355">
        <f>IF($CN1355="refNeedCorrection",-BX1355,BX1355)*IF($BP1355="Emissions positive",-1,1)</f>
        <v>-55050000</v>
      </c>
      <c r="CU1355" t="str">
        <f>IFERROR(CT1355/CQ1355,"")</f>
        <v/>
      </c>
      <c r="CV1355" s="2">
        <f>IFERROR((CS1355-CR1355)/ABS(CR1355),"")</f>
        <v>-2.4311183144246355E-2</v>
      </c>
      <c r="CW1355" s="1" t="s">
        <v>1203</v>
      </c>
      <c r="CX1355" s="312" t="str">
        <f>IF(OR($CW1355="prd",$CW1355="std",$CW1355="cit"),"loc",IF(OR($CW1355="eur",$CW1355="reg",$CW1355="coy"),"reg",$CW1355))</f>
        <v>reg</v>
      </c>
      <c r="CY1355" t="s">
        <v>3752</v>
      </c>
      <c r="CZ1355">
        <v>1994</v>
      </c>
      <c r="DA1355">
        <v>2100</v>
      </c>
      <c r="DB1355">
        <f>DA1355-CZ1355</f>
        <v>106</v>
      </c>
      <c r="DC1355" t="str">
        <f>IF(DB1355=0,"0",IF(AND(DB1355&gt;=1,DB1355&lt;=30),"1-30",IF(AND(DB1355&gt;30,DB1355&lt;=70),"31-70",IF(AND(DB1355&gt;70,DB1355&lt;=100),"71-100",IF(DB1355&gt;100,"+100")))))</f>
        <v>+100</v>
      </c>
      <c r="DD1355">
        <v>1</v>
      </c>
      <c r="DE1355">
        <v>1</v>
      </c>
      <c r="DF1355">
        <v>1</v>
      </c>
      <c r="DG1355">
        <v>1</v>
      </c>
      <c r="DH1355">
        <v>1</v>
      </c>
      <c r="DI1355">
        <f>SUM(DD1355:DG1355)</f>
        <v>4</v>
      </c>
      <c r="DJ1355" t="str">
        <f>IF(DI1355=1,INDEX($DD$7:$DG$7,MATCH(1,$DD1355:$DG1355,0)),"mixedProduct")</f>
        <v>mixedProduct</v>
      </c>
      <c r="DK1355" t="str">
        <f>IF(DD1355=1,DK$7,0)</f>
        <v>Upstream</v>
      </c>
      <c r="DL1355" t="str">
        <f>IF(DE1355=1,DL$7,0)</f>
        <v>Energy</v>
      </c>
      <c r="DM1355" t="str">
        <f>IF(DF1355=1,DM$7,0)</f>
        <v>Pulp/Paper</v>
      </c>
      <c r="DN1355" t="str">
        <f>IF(DG1355=1,DN$7,0)</f>
        <v>Timber</v>
      </c>
      <c r="DO1355">
        <v>0</v>
      </c>
      <c r="DP1355">
        <v>1</v>
      </c>
      <c r="DQ1355">
        <v>0</v>
      </c>
      <c r="DR1355">
        <v>0</v>
      </c>
      <c r="DS1355" t="s">
        <v>3753</v>
      </c>
      <c r="DT1355">
        <f>SUM(DO1355:DP1355)</f>
        <v>1</v>
      </c>
      <c r="DU1355" s="143" t="str">
        <f>IF(DO1355=1,"self-calculated DF",IF(DP1355=1,"external DF used","explicit C balance"))</f>
        <v>external DF used</v>
      </c>
      <c r="DV1355">
        <v>1</v>
      </c>
      <c r="DW1355">
        <v>0</v>
      </c>
      <c r="DX1355">
        <v>1</v>
      </c>
      <c r="DY1355">
        <v>1</v>
      </c>
      <c r="DZ1355">
        <v>1</v>
      </c>
      <c r="EA1355">
        <v>1</v>
      </c>
      <c r="EB1355">
        <v>1</v>
      </c>
      <c r="EC1355">
        <v>1</v>
      </c>
      <c r="ED1355">
        <v>0</v>
      </c>
      <c r="EE1355">
        <v>0</v>
      </c>
      <c r="EF1355">
        <v>1</v>
      </c>
      <c r="EG1355">
        <v>0</v>
      </c>
      <c r="EH1355">
        <v>0</v>
      </c>
      <c r="EI1355" s="2">
        <v>0</v>
      </c>
      <c r="EK1355" t="str">
        <f>IF(AND(AND(AND(OR($DX1355=1,$DW1355=1),OR($EC1355=1,$EA1355=1)),SUM($DV1355:$DZ1355,$EF1355)&gt;=3),SUM($EA1355:$EE1355)&gt;=2),"Whole sector","")</f>
        <v>Whole sector</v>
      </c>
      <c r="EL1355" t="str">
        <f>IF(AND(AND(OR($DX1355=1,$DW1355=1),AND($EC1355=0,$EA1355=0)),SUM($DV1355:$DZ1355,$EF1355)&gt;=3),"Ecosystem approach","")</f>
        <v/>
      </c>
      <c r="EM1355" s="2" t="str">
        <f>IF(AND(AND(AND($DX1355=0,$DW1355=0),OR($EC1355=1,$EA1355=1)),SUM($EB1355:$EE1355)&gt;=2),"Technology approach","")</f>
        <v/>
      </c>
      <c r="EP1355" t="b">
        <f>IF(ISNUMBER(BU1355),IF(ABS(BU1355-[5]QC_indicators!$B$2)&gt;3*[5]QC_indicators!$C$2,"C ratio",IF(ISNUMBER(BY1355),IF(ABS(BY1355-[5]QC_indicators!$B$1)&gt;3*[5]QC_indicators!$C$1,"DF","no"))),IF(ISNUMBER(BY1355),IF(ABS(BY1355-[5]QC_indicators!$B$1)&gt;3*[5]QC_indicators!$C$1,"DF","no")))</f>
        <v>0</v>
      </c>
    </row>
    <row r="1356" spans="1:148" ht="15" customHeight="1">
      <c r="A1356" s="1" t="s">
        <v>3754</v>
      </c>
      <c r="B1356" t="s">
        <v>3755</v>
      </c>
      <c r="C1356" t="s">
        <v>3756</v>
      </c>
      <c r="D1356" t="s">
        <v>3757</v>
      </c>
      <c r="E1356" t="s">
        <v>3758</v>
      </c>
      <c r="F1356" t="s">
        <v>3759</v>
      </c>
      <c r="G1356" t="s">
        <v>3760</v>
      </c>
      <c r="H1356" t="s">
        <v>254</v>
      </c>
      <c r="I1356">
        <v>2019</v>
      </c>
      <c r="J1356">
        <v>12</v>
      </c>
      <c r="K1356" t="s">
        <v>3761</v>
      </c>
      <c r="M1356" t="str">
        <f>LEFT($D1356,FIND(",",$D1356)-1)&amp;"_"&amp;I1356&amp;L1356</f>
        <v>Jia_2019</v>
      </c>
      <c r="N1356" s="312" t="s">
        <v>4383</v>
      </c>
      <c r="O1356" s="145" t="s">
        <v>513</v>
      </c>
      <c r="Q1356" s="312" t="s">
        <v>256</v>
      </c>
      <c r="R1356" s="313"/>
      <c r="S1356" s="1" t="s">
        <v>3762</v>
      </c>
      <c r="T1356" t="s">
        <v>3763</v>
      </c>
      <c r="U1356" t="s">
        <v>3764</v>
      </c>
      <c r="V1356">
        <v>0</v>
      </c>
      <c r="W1356">
        <v>0</v>
      </c>
      <c r="X1356">
        <v>0</v>
      </c>
      <c r="Y1356">
        <v>0</v>
      </c>
      <c r="Z1356">
        <v>0</v>
      </c>
      <c r="AA1356">
        <v>0</v>
      </c>
      <c r="AB1356">
        <v>0</v>
      </c>
      <c r="AC1356">
        <v>0</v>
      </c>
      <c r="AD1356">
        <v>0</v>
      </c>
      <c r="AE1356">
        <v>0</v>
      </c>
      <c r="AF1356">
        <v>0</v>
      </c>
      <c r="AG1356">
        <v>0</v>
      </c>
      <c r="AH1356">
        <v>0</v>
      </c>
      <c r="AI1356">
        <v>0</v>
      </c>
      <c r="AJ1356">
        <v>0</v>
      </c>
      <c r="AK1356">
        <v>1</v>
      </c>
      <c r="AL1356">
        <v>0</v>
      </c>
      <c r="AM1356">
        <v>0</v>
      </c>
      <c r="AN1356">
        <v>0</v>
      </c>
      <c r="AO1356">
        <v>0</v>
      </c>
      <c r="AP1356">
        <v>0</v>
      </c>
      <c r="AQ1356">
        <v>0</v>
      </c>
      <c r="AR1356">
        <v>0</v>
      </c>
      <c r="AS1356">
        <v>0</v>
      </c>
      <c r="AT1356">
        <v>0</v>
      </c>
      <c r="AU1356">
        <v>0</v>
      </c>
      <c r="AV1356">
        <v>0</v>
      </c>
      <c r="AW1356">
        <v>0</v>
      </c>
      <c r="AX1356" s="141">
        <f>COUNTIF(V1356:AW1356,"&lt;&gt;0")</f>
        <v>1</v>
      </c>
      <c r="AY1356" s="141">
        <f>COUNTIF(V1356:AL1356,"&lt;&gt;0")</f>
        <v>1</v>
      </c>
      <c r="AZ1356">
        <f>COUNTIF(V1356:AC1356,"&lt;&gt;0")</f>
        <v>0</v>
      </c>
      <c r="BA1356">
        <f>COUNTIF(AD1356:AI1356,"&lt;&gt;0")</f>
        <v>0</v>
      </c>
      <c r="BB1356">
        <f>COUNTIF(AJ1356:AL1356,"&lt;&gt;0")</f>
        <v>1</v>
      </c>
      <c r="BC1356">
        <f>COUNTIF(AS1356:AW1356,"&lt;&gt;0")</f>
        <v>0</v>
      </c>
      <c r="BD1356">
        <f>COUNTIF(AM1356:AR1356,"&lt;&gt;0")</f>
        <v>0</v>
      </c>
      <c r="BE1356" t="str" cm="1">
        <f t="array" ref="BE1356">IF(AY1356=1,INDEX($V$7:$AL$7,MATCH(TRUE,INDEX($V1356:$AW1356&lt;&gt;0,),0)),IF(AY1356=0,INDEX($AM$7:$AW$7,MATCH(1,$AM1356:$AW1356,0)),IF(BF1356="Multiple strategies","mixed drivers",IF(BF1356="Supply chain","multiple supply","multiple silviculture"))))</f>
        <v>technologies/design switch</v>
      </c>
      <c r="BF1356" s="2" t="str" cm="1">
        <f t="array" ref="BF1356">IF(COUNTIF(AZ1356:BB1356,"&lt;&gt;0")=1,INDEX($V$4:$AW$4,MATCH(TRUE,INDEX($V1356:$AW1356&lt;&gt;0,),0)),IF(COUNTIF(AZ1356:BB1356,"&lt;&gt;0")=0,INDEX($AM$4:$AW$4,MATCH(1,$AM1356:$AW1356,0)),"Multiple strategies"))</f>
        <v>Technology</v>
      </c>
      <c r="BL1356" s="143"/>
      <c r="BP1356" s="312" t="s">
        <v>232</v>
      </c>
      <c r="BQ1356" s="312" t="s">
        <v>3765</v>
      </c>
      <c r="BR1356" t="s">
        <v>679</v>
      </c>
      <c r="BS1356">
        <v>-18800</v>
      </c>
      <c r="BT1356">
        <v>-18296.16</v>
      </c>
      <c r="BU1356" s="144">
        <v>0.97319999999999995</v>
      </c>
      <c r="BV1356">
        <v>503.84000000000015</v>
      </c>
      <c r="BX1356">
        <f>BV1356/1000</f>
        <v>0.50384000000000018</v>
      </c>
      <c r="BY1356" t="str">
        <f>IFERROR(BX1356/BO1356,"")</f>
        <v/>
      </c>
      <c r="BZ1356">
        <v>1</v>
      </c>
      <c r="CA1356">
        <v>0</v>
      </c>
      <c r="CB1356">
        <v>0</v>
      </c>
      <c r="CC1356">
        <v>0</v>
      </c>
      <c r="CD1356">
        <v>0</v>
      </c>
      <c r="CE1356">
        <v>1</v>
      </c>
      <c r="CF1356">
        <v>0</v>
      </c>
      <c r="CG1356">
        <v>0</v>
      </c>
      <c r="CH1356">
        <v>0</v>
      </c>
      <c r="CI1356">
        <v>0</v>
      </c>
      <c r="CJ1356">
        <v>0</v>
      </c>
      <c r="CK1356">
        <v>0</v>
      </c>
      <c r="CL1356">
        <v>0</v>
      </c>
      <c r="CM1356">
        <v>0</v>
      </c>
      <c r="CN1356" t="str">
        <f>IF(BL1356&lt;BK1356,"refNeedCorrection","refOK")</f>
        <v>refOK</v>
      </c>
      <c r="CO1356"/>
      <c r="CP1356"/>
      <c r="CQ1356"/>
      <c r="CR1356">
        <f>IF($CN1356="refOK",$BS1356,$BT1356)*IF($BP1356="Emissions positive",-1,1)</f>
        <v>-18800</v>
      </c>
      <c r="CS1356">
        <f>IF($CN1356="refOK",$BT1356,$BS1356)*IF($BP1356="Emissions positive",-1,1)</f>
        <v>-18296.16</v>
      </c>
      <c r="CT1356">
        <f>IF($CN1356="refNeedCorrection",-BX1356,BX1356)*IF($BP1356="Emissions positive",-1,1)</f>
        <v>0.50384000000000018</v>
      </c>
      <c r="CU1356" t="str">
        <f>IFERROR(CT1356/CQ1356,"")</f>
        <v/>
      </c>
      <c r="CV1356" s="2">
        <f>IFERROR((CS1356-CR1356)/ABS(CR1356),"")</f>
        <v>2.6800000000000008E-2</v>
      </c>
      <c r="CW1356" s="1" t="s">
        <v>1203</v>
      </c>
      <c r="CX1356" s="312" t="str">
        <f>IF(OR($CW1356="prd",$CW1356="std",$CW1356="cit"),"loc",IF(OR($CW1356="eur",$CW1356="reg",$CW1356="coy"),"reg",$CW1356))</f>
        <v>reg</v>
      </c>
      <c r="CY1356" t="s">
        <v>690</v>
      </c>
      <c r="DB1356">
        <v>0</v>
      </c>
      <c r="DC1356" t="str">
        <f>IF(DB1356=0,"0",IF(AND(DB1356&gt;=1,DB1356&lt;=30),"1-30",IF(AND(DB1356&gt;30,DB1356&lt;=70),"31-70",IF(AND(DB1356&gt;70,DB1356&lt;=100),"71-100",IF(DB1356&gt;100,"+100")))))</f>
        <v>0</v>
      </c>
      <c r="DD1356">
        <v>0</v>
      </c>
      <c r="DE1356">
        <v>0</v>
      </c>
      <c r="DF1356">
        <v>0</v>
      </c>
      <c r="DG1356">
        <v>1</v>
      </c>
      <c r="DI1356">
        <f>SUM(DD1356:DG1356)</f>
        <v>1</v>
      </c>
      <c r="DJ1356" t="str">
        <f>IF(DI1356=1,INDEX($DD$7:$DG$7,MATCH(1,$DD1356:$DG1356,0)),"mixedProduct")</f>
        <v>TimberInput</v>
      </c>
      <c r="DK1356">
        <f>IF(DD1356=1,DK$7,0)</f>
        <v>0</v>
      </c>
      <c r="DL1356">
        <f>IF(DE1356=1,DL$7,0)</f>
        <v>0</v>
      </c>
      <c r="DM1356">
        <f>IF(DF1356=1,DM$7,0)</f>
        <v>0</v>
      </c>
      <c r="DN1356" t="str">
        <f>IF(DG1356=1,DN$7,0)</f>
        <v>Timber</v>
      </c>
      <c r="DO1356">
        <v>0</v>
      </c>
      <c r="DP1356">
        <v>0</v>
      </c>
      <c r="DQ1356">
        <v>0</v>
      </c>
      <c r="DR1356">
        <v>0</v>
      </c>
      <c r="DS1356">
        <v>0</v>
      </c>
      <c r="DT1356">
        <f>SUM(DO1356:DP1356)</f>
        <v>0</v>
      </c>
      <c r="DU1356" s="143" t="str">
        <f>IF(DO1356=1,"self-calculated DF",IF(DP1356=1,"external DF used","explicit C balance"))</f>
        <v>explicit C balance</v>
      </c>
      <c r="DV1356">
        <v>0</v>
      </c>
      <c r="DW1356">
        <v>0</v>
      </c>
      <c r="DX1356">
        <v>0</v>
      </c>
      <c r="DY1356">
        <v>0</v>
      </c>
      <c r="DZ1356">
        <v>0</v>
      </c>
      <c r="EA1356" s="143">
        <v>0</v>
      </c>
      <c r="EB1356">
        <v>0</v>
      </c>
      <c r="EC1356">
        <v>1</v>
      </c>
      <c r="ED1356">
        <v>0</v>
      </c>
      <c r="EE1356">
        <v>0</v>
      </c>
      <c r="EF1356">
        <v>0</v>
      </c>
      <c r="EG1356">
        <v>0</v>
      </c>
      <c r="EH1356">
        <v>0</v>
      </c>
      <c r="EI1356" s="2">
        <v>0</v>
      </c>
      <c r="EK1356" t="str">
        <f>IF(AND(AND(AND(OR($DX1356=1,$DW1356=1),OR($EC1356=1,$EA1356=1)),SUM($DV1356:$DZ1356,$EF1356)&gt;=3),SUM($EA1356:$EE1356)&gt;=2),"Whole sector","")</f>
        <v/>
      </c>
      <c r="EL1356" t="str">
        <f>IF(AND(AND(OR($DX1356=1,$DW1356=1),AND($EC1356=0,$EA1356=0)),SUM($DV1356:$DZ1356,$EF1356)&gt;=3),"Ecosystem approach","")</f>
        <v/>
      </c>
      <c r="EM1356" s="2" t="str">
        <f>IF(AND(AND(AND($DX1356=0,$DW1356=0),OR($EC1356=1,$EA1356=1)),SUM($EB1356:$EE1356)&gt;=2),"Technology approach","")</f>
        <v/>
      </c>
      <c r="EP1356" t="b">
        <f>IF(ISNUMBER(BU1356),IF(ABS(BU1356-[5]QC_indicators!$B$2)&gt;3*[5]QC_indicators!$C$2,"C ratio",IF(ISNUMBER(BY1356),IF(ABS(BY1356-[5]QC_indicators!$B$1)&gt;3*[5]QC_indicators!$C$1,"DF","no"))),IF(ISNUMBER(BY1356),IF(ABS(BY1356-[5]QC_indicators!$B$1)&gt;3*[5]QC_indicators!$C$1,"DF","no")))</f>
        <v>0</v>
      </c>
      <c r="ER1356" s="314" t="s">
        <v>349</v>
      </c>
    </row>
    <row r="1357" spans="1:148" ht="15" customHeight="1">
      <c r="A1357" s="1" t="s">
        <v>3754</v>
      </c>
      <c r="B1357" t="s">
        <v>3755</v>
      </c>
      <c r="C1357" t="s">
        <v>3756</v>
      </c>
      <c r="D1357" t="s">
        <v>3757</v>
      </c>
      <c r="E1357" t="s">
        <v>3758</v>
      </c>
      <c r="F1357" t="s">
        <v>3759</v>
      </c>
      <c r="G1357" t="s">
        <v>3760</v>
      </c>
      <c r="H1357" t="s">
        <v>254</v>
      </c>
      <c r="I1357">
        <v>2019</v>
      </c>
      <c r="J1357">
        <v>12</v>
      </c>
      <c r="K1357" t="s">
        <v>3761</v>
      </c>
      <c r="M1357" t="str">
        <f>LEFT($D1357,FIND(",",$D1357)-1)&amp;"_"&amp;I1357&amp;L1357</f>
        <v>Jia_2019</v>
      </c>
      <c r="N1357" s="312" t="s">
        <v>4383</v>
      </c>
      <c r="O1357" s="145" t="s">
        <v>513</v>
      </c>
      <c r="Q1357" s="312" t="s">
        <v>256</v>
      </c>
      <c r="R1357" s="313"/>
      <c r="S1357" s="1" t="s">
        <v>3766</v>
      </c>
      <c r="T1357" t="s">
        <v>3767</v>
      </c>
      <c r="U1357" t="s">
        <v>3768</v>
      </c>
      <c r="V1357">
        <v>0</v>
      </c>
      <c r="W1357">
        <v>0</v>
      </c>
      <c r="X1357">
        <v>0</v>
      </c>
      <c r="Y1357">
        <v>0</v>
      </c>
      <c r="Z1357">
        <v>0</v>
      </c>
      <c r="AA1357">
        <v>0</v>
      </c>
      <c r="AB1357">
        <v>0</v>
      </c>
      <c r="AC1357">
        <v>0</v>
      </c>
      <c r="AD1357">
        <v>0</v>
      </c>
      <c r="AE1357">
        <v>0</v>
      </c>
      <c r="AF1357">
        <v>0</v>
      </c>
      <c r="AG1357">
        <v>0</v>
      </c>
      <c r="AH1357">
        <v>0</v>
      </c>
      <c r="AI1357">
        <v>0</v>
      </c>
      <c r="AJ1357">
        <v>0</v>
      </c>
      <c r="AK1357">
        <v>1</v>
      </c>
      <c r="AL1357">
        <v>0</v>
      </c>
      <c r="AM1357">
        <v>0</v>
      </c>
      <c r="AN1357">
        <v>0</v>
      </c>
      <c r="AO1357">
        <v>0</v>
      </c>
      <c r="AP1357">
        <v>0</v>
      </c>
      <c r="AQ1357">
        <v>0</v>
      </c>
      <c r="AR1357">
        <v>0</v>
      </c>
      <c r="AS1357">
        <v>0</v>
      </c>
      <c r="AT1357">
        <v>0</v>
      </c>
      <c r="AU1357">
        <v>0</v>
      </c>
      <c r="AV1357">
        <v>0</v>
      </c>
      <c r="AW1357">
        <v>0</v>
      </c>
      <c r="AX1357" s="141">
        <f>COUNTIF(V1357:AW1357,"&lt;&gt;0")</f>
        <v>1</v>
      </c>
      <c r="AY1357" s="141">
        <f>COUNTIF(V1357:AL1357,"&lt;&gt;0")</f>
        <v>1</v>
      </c>
      <c r="AZ1357">
        <f>COUNTIF(V1357:AC1357,"&lt;&gt;0")</f>
        <v>0</v>
      </c>
      <c r="BA1357">
        <f>COUNTIF(AD1357:AI1357,"&lt;&gt;0")</f>
        <v>0</v>
      </c>
      <c r="BB1357">
        <f>COUNTIF(AJ1357:AL1357,"&lt;&gt;0")</f>
        <v>1</v>
      </c>
      <c r="BC1357">
        <f>COUNTIF(AS1357:AW1357,"&lt;&gt;0")</f>
        <v>0</v>
      </c>
      <c r="BD1357">
        <f>COUNTIF(AM1357:AR1357,"&lt;&gt;0")</f>
        <v>0</v>
      </c>
      <c r="BE1357" t="str" cm="1">
        <f t="array" ref="BE1357">IF(AY1357=1,INDEX($V$7:$AL$7,MATCH(TRUE,INDEX($V1357:$AW1357&lt;&gt;0,),0)),IF(AY1357=0,INDEX($AM$7:$AW$7,MATCH(1,$AM1357:$AW1357,0)),IF(BF1357="Multiple strategies","mixed drivers",IF(BF1357="Supply chain","multiple supply","multiple silviculture"))))</f>
        <v>technologies/design switch</v>
      </c>
      <c r="BF1357" s="2" t="str" cm="1">
        <f t="array" ref="BF1357">IF(COUNTIF(AZ1357:BB1357,"&lt;&gt;0")=1,INDEX($V$4:$AW$4,MATCH(TRUE,INDEX($V1357:$AW1357&lt;&gt;0,),0)),IF(COUNTIF(AZ1357:BB1357,"&lt;&gt;0")=0,INDEX($AM$4:$AW$4,MATCH(1,$AM1357:$AW1357,0)),"Multiple strategies"))</f>
        <v>Technology</v>
      </c>
      <c r="BL1357" s="143"/>
      <c r="BP1357" s="312" t="s">
        <v>232</v>
      </c>
      <c r="BQ1357" s="312" t="s">
        <v>3765</v>
      </c>
      <c r="BR1357" t="s">
        <v>679</v>
      </c>
      <c r="BS1357">
        <v>-18800</v>
      </c>
      <c r="BT1357">
        <v>-12374.16</v>
      </c>
      <c r="BU1357" s="144">
        <v>0.65820000000000001</v>
      </c>
      <c r="BV1357">
        <v>6425.84</v>
      </c>
      <c r="BX1357">
        <f>BV1357/1000</f>
        <v>6.42584</v>
      </c>
      <c r="BY1357" t="str">
        <f>IFERROR(BX1357/BO1357,"")</f>
        <v/>
      </c>
      <c r="BZ1357">
        <v>1</v>
      </c>
      <c r="CA1357">
        <v>0</v>
      </c>
      <c r="CB1357">
        <v>0</v>
      </c>
      <c r="CC1357">
        <v>0</v>
      </c>
      <c r="CD1357">
        <v>0</v>
      </c>
      <c r="CE1357">
        <v>1</v>
      </c>
      <c r="CF1357">
        <v>0</v>
      </c>
      <c r="CG1357">
        <v>0</v>
      </c>
      <c r="CH1357">
        <v>0</v>
      </c>
      <c r="CI1357">
        <v>0</v>
      </c>
      <c r="CJ1357">
        <v>0</v>
      </c>
      <c r="CK1357">
        <v>0</v>
      </c>
      <c r="CL1357">
        <v>0</v>
      </c>
      <c r="CM1357">
        <v>0</v>
      </c>
      <c r="CN1357" t="str">
        <f>IF(BL1357&lt;BK1357,"refNeedCorrection","refOK")</f>
        <v>refOK</v>
      </c>
      <c r="CO1357"/>
      <c r="CP1357"/>
      <c r="CQ1357"/>
      <c r="CR1357">
        <f>IF($CN1357="refOK",$BS1357,$BT1357)*IF($BP1357="Emissions positive",-1,1)</f>
        <v>-18800</v>
      </c>
      <c r="CS1357">
        <f>IF($CN1357="refOK",$BT1357,$BS1357)*IF($BP1357="Emissions positive",-1,1)</f>
        <v>-12374.16</v>
      </c>
      <c r="CT1357">
        <f>IF($CN1357="refNeedCorrection",-BX1357,BX1357)*IF($BP1357="Emissions positive",-1,1)</f>
        <v>6.42584</v>
      </c>
      <c r="CU1357" t="str">
        <f>IFERROR(CT1357/CQ1357,"")</f>
        <v/>
      </c>
      <c r="CV1357" s="2">
        <f>IFERROR((CS1357-CR1357)/ABS(CR1357),"")</f>
        <v>0.34179999999999999</v>
      </c>
      <c r="CW1357" s="1" t="s">
        <v>1203</v>
      </c>
      <c r="CX1357" s="312" t="str">
        <f>IF(OR($CW1357="prd",$CW1357="std",$CW1357="cit"),"loc",IF(OR($CW1357="eur",$CW1357="reg",$CW1357="coy"),"reg",$CW1357))</f>
        <v>reg</v>
      </c>
      <c r="CY1357" t="s">
        <v>690</v>
      </c>
      <c r="DB1357">
        <v>0</v>
      </c>
      <c r="DC1357" t="str">
        <f>IF(DB1357=0,"0",IF(AND(DB1357&gt;=1,DB1357&lt;=30),"1-30",IF(AND(DB1357&gt;30,DB1357&lt;=70),"31-70",IF(AND(DB1357&gt;70,DB1357&lt;=100),"71-100",IF(DB1357&gt;100,"+100")))))</f>
        <v>0</v>
      </c>
      <c r="DD1357">
        <v>0</v>
      </c>
      <c r="DE1357">
        <v>0</v>
      </c>
      <c r="DF1357">
        <v>0</v>
      </c>
      <c r="DG1357">
        <v>1</v>
      </c>
      <c r="DI1357">
        <f>SUM(DD1357:DG1357)</f>
        <v>1</v>
      </c>
      <c r="DJ1357" t="str">
        <f>IF(DI1357=1,INDEX($DD$7:$DG$7,MATCH(1,$DD1357:$DG1357,0)),"mixedProduct")</f>
        <v>TimberInput</v>
      </c>
      <c r="DK1357">
        <f>IF(DD1357=1,DK$7,0)</f>
        <v>0</v>
      </c>
      <c r="DL1357">
        <f>IF(DE1357=1,DL$7,0)</f>
        <v>0</v>
      </c>
      <c r="DM1357">
        <f>IF(DF1357=1,DM$7,0)</f>
        <v>0</v>
      </c>
      <c r="DN1357" t="str">
        <f>IF(DG1357=1,DN$7,0)</f>
        <v>Timber</v>
      </c>
      <c r="DO1357">
        <v>0</v>
      </c>
      <c r="DP1357">
        <v>0</v>
      </c>
      <c r="DQ1357">
        <v>0</v>
      </c>
      <c r="DR1357">
        <v>0</v>
      </c>
      <c r="DS1357">
        <v>0</v>
      </c>
      <c r="DT1357">
        <f>SUM(DO1357:DP1357)</f>
        <v>0</v>
      </c>
      <c r="DU1357" s="143" t="str">
        <f>IF(DO1357=1,"self-calculated DF",IF(DP1357=1,"external DF used","explicit C balance"))</f>
        <v>explicit C balance</v>
      </c>
      <c r="DV1357">
        <v>0</v>
      </c>
      <c r="DW1357">
        <v>0</v>
      </c>
      <c r="DX1357">
        <v>0</v>
      </c>
      <c r="DY1357">
        <v>0</v>
      </c>
      <c r="DZ1357">
        <v>0</v>
      </c>
      <c r="EA1357" s="143">
        <v>0</v>
      </c>
      <c r="EB1357">
        <v>0</v>
      </c>
      <c r="EC1357">
        <v>1</v>
      </c>
      <c r="ED1357">
        <v>0</v>
      </c>
      <c r="EE1357">
        <v>0</v>
      </c>
      <c r="EF1357">
        <v>0</v>
      </c>
      <c r="EG1357">
        <v>0</v>
      </c>
      <c r="EH1357">
        <v>0</v>
      </c>
      <c r="EI1357" s="2">
        <v>0</v>
      </c>
      <c r="EK1357" t="str">
        <f>IF(AND(AND(AND(OR($DX1357=1,$DW1357=1),OR($EC1357=1,$EA1357=1)),SUM($DV1357:$DZ1357,$EF1357)&gt;=3),SUM($EA1357:$EE1357)&gt;=2),"Whole sector","")</f>
        <v/>
      </c>
      <c r="EL1357" t="str">
        <f>IF(AND(AND(OR($DX1357=1,$DW1357=1),AND($EC1357=0,$EA1357=0)),SUM($DV1357:$DZ1357,$EF1357)&gt;=3),"Ecosystem approach","")</f>
        <v/>
      </c>
      <c r="EM1357" s="2" t="str">
        <f>IF(AND(AND(AND($DX1357=0,$DW1357=0),OR($EC1357=1,$EA1357=1)),SUM($EB1357:$EE1357)&gt;=2),"Technology approach","")</f>
        <v/>
      </c>
      <c r="EP1357" t="b">
        <f>IF(ISNUMBER(BU1357),IF(ABS(BU1357-[5]QC_indicators!$B$2)&gt;3*[5]QC_indicators!$C$2,"C ratio",IF(ISNUMBER(BY1357),IF(ABS(BY1357-[5]QC_indicators!$B$1)&gt;3*[5]QC_indicators!$C$1,"DF","no"))),IF(ISNUMBER(BY1357),IF(ABS(BY1357-[5]QC_indicators!$B$1)&gt;3*[5]QC_indicators!$C$1,"DF","no")))</f>
        <v>0</v>
      </c>
      <c r="ER1357" s="314" t="s">
        <v>349</v>
      </c>
    </row>
    <row r="1358" spans="1:148" ht="15" customHeight="1">
      <c r="A1358" s="1" t="s">
        <v>1360</v>
      </c>
      <c r="B1358" t="s">
        <v>3769</v>
      </c>
      <c r="C1358" t="s">
        <v>3770</v>
      </c>
      <c r="D1358" t="s">
        <v>3771</v>
      </c>
      <c r="E1358" t="s">
        <v>3772</v>
      </c>
      <c r="F1358" t="s">
        <v>3773</v>
      </c>
      <c r="G1358" t="s">
        <v>1366</v>
      </c>
      <c r="H1358" t="s">
        <v>254</v>
      </c>
      <c r="I1358">
        <v>2021</v>
      </c>
      <c r="J1358">
        <v>2</v>
      </c>
      <c r="K1358" t="s">
        <v>3774</v>
      </c>
      <c r="M1358" t="str">
        <f>LEFT($D1358,FIND(",",$D1358)-1)&amp;"_"&amp;I1358&amp;L1358</f>
        <v>Jong_2021</v>
      </c>
      <c r="N1358" s="312" t="s">
        <v>4383</v>
      </c>
      <c r="O1358" s="171" t="s">
        <v>513</v>
      </c>
      <c r="P1358" t="s">
        <v>341</v>
      </c>
      <c r="Q1358" s="312" t="s">
        <v>389</v>
      </c>
      <c r="R1358" s="313"/>
      <c r="S1358" s="154" t="s">
        <v>3775</v>
      </c>
      <c r="T1358" s="149" t="s">
        <v>3776</v>
      </c>
      <c r="U1358" t="s">
        <v>3777</v>
      </c>
      <c r="V1358">
        <v>1</v>
      </c>
      <c r="W1358">
        <v>0</v>
      </c>
      <c r="X1358">
        <v>1</v>
      </c>
      <c r="Y1358">
        <v>0</v>
      </c>
      <c r="Z1358">
        <v>1</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1</v>
      </c>
      <c r="AT1358">
        <v>0</v>
      </c>
      <c r="AU1358">
        <v>0</v>
      </c>
      <c r="AV1358">
        <v>0</v>
      </c>
      <c r="AW1358">
        <v>0</v>
      </c>
      <c r="AX1358" s="141">
        <f>COUNTIF(V1358:AW1358,"&lt;&gt;0")</f>
        <v>4</v>
      </c>
      <c r="AY1358" s="141">
        <f>COUNTIF(V1358:AL1358,"&lt;&gt;0")</f>
        <v>3</v>
      </c>
      <c r="AZ1358">
        <f>COUNTIF(V1358:AC1358,"&lt;&gt;0")</f>
        <v>3</v>
      </c>
      <c r="BA1358">
        <f>COUNTIF(AD1358:AI1358,"&lt;&gt;0")</f>
        <v>0</v>
      </c>
      <c r="BB1358">
        <f>COUNTIF(AJ1358:AL1358,"&lt;&gt;0")</f>
        <v>0</v>
      </c>
      <c r="BC1358">
        <f>COUNTIF(AS1358:AW1358,"&lt;&gt;0")</f>
        <v>1</v>
      </c>
      <c r="BD1358">
        <f>COUNTIF(AM1358:AR1358,"&lt;&gt;0")</f>
        <v>0</v>
      </c>
      <c r="BE1358" t="str" cm="1">
        <f t="array" ref="BE1358">IF(AY1358=1,INDEX($V$7:$AL$7,MATCH(TRUE,INDEX($V1358:$AW1358&lt;&gt;0,),0)),IF(AY1358=0,INDEX($AM$7:$AW$7,MATCH(1,$AM1358:$AW1358,0)),IF(BF1358="Multiple strategies","mixed drivers",IF(BF1358="Supply chain","multiple supply","multiple silviculture"))))</f>
        <v>multiple silviculture</v>
      </c>
      <c r="BF1358" s="2" t="str" cm="1">
        <f t="array" ref="BF1358">IF(COUNTIF(AZ1358:BB1358,"&lt;&gt;0")=1,INDEX($V$4:$AW$4,MATCH(TRUE,INDEX($V1358:$AW1358&lt;&gt;0,),0)),IF(COUNTIF(AZ1358:BB1358,"&lt;&gt;0")=0,INDEX($AM$4:$AW$4,MATCH(1,$AM1358:$AW1358,0)),"Multiple strategies"))</f>
        <v>Silviculture for removals</v>
      </c>
      <c r="BG1358" s="142"/>
      <c r="BJ1358" s="143"/>
      <c r="BL1358" s="143"/>
      <c r="BM1358" t="str">
        <f>IFERROR(BL1358/BK1358,"")</f>
        <v/>
      </c>
      <c r="BN1358" s="158"/>
      <c r="BO1358" s="143"/>
      <c r="BP1358" s="149" t="s">
        <v>232</v>
      </c>
      <c r="BR1358" s="149" t="s">
        <v>3778</v>
      </c>
      <c r="BS1358">
        <v>151.1</v>
      </c>
      <c r="BT1358">
        <v>82</v>
      </c>
      <c r="BU1358" s="144"/>
      <c r="BV1358">
        <f>BT1358-BS1358</f>
        <v>-69.099999999999994</v>
      </c>
      <c r="BY1358" t="str">
        <f>IFERROR(BX1358/BO1358,"")</f>
        <v/>
      </c>
      <c r="BZ1358">
        <v>0</v>
      </c>
      <c r="CA1358">
        <v>0</v>
      </c>
      <c r="CB1358">
        <v>0</v>
      </c>
      <c r="CC1358">
        <v>0</v>
      </c>
      <c r="CD1358">
        <v>0</v>
      </c>
      <c r="CE1358">
        <v>0</v>
      </c>
      <c r="CF1358">
        <v>0</v>
      </c>
      <c r="CG1358">
        <v>0</v>
      </c>
      <c r="CH1358">
        <v>0</v>
      </c>
      <c r="CI1358">
        <v>0</v>
      </c>
      <c r="CJ1358">
        <v>0</v>
      </c>
      <c r="CK1358">
        <v>0</v>
      </c>
      <c r="CL1358">
        <v>0</v>
      </c>
      <c r="CM1358">
        <v>0</v>
      </c>
      <c r="CN1358" t="str">
        <f>IF($BL1358&lt;$BK1358,"refNeedCorrection","refOK")</f>
        <v>refOK</v>
      </c>
      <c r="CO1358"/>
      <c r="CP1358"/>
      <c r="CQ1358"/>
      <c r="CR1358">
        <f>IF($CN1358="refOK",$BS1358,$BT1358)*IF($BP1358="Emissions positive",-1,1)</f>
        <v>151.1</v>
      </c>
      <c r="CS1358">
        <f>IF($CN1358="refOK",$BT1358,$BS1358)*IF($BP1358="Emissions positive",-1,1)</f>
        <v>82</v>
      </c>
      <c r="CT1358">
        <f>IF($CN1358="refNeedCorrection",-BX1358,BX1358)*IF($BP1358="Emissions positive",-1,1)</f>
        <v>0</v>
      </c>
      <c r="CU1358" t="str">
        <f>IFERROR(CT1358/CQ1358,"")</f>
        <v/>
      </c>
      <c r="CV1358" s="2">
        <f>IFERROR((CS1358-CR1358)/ABS(CR1358),"")</f>
        <v>-0.45731303772336201</v>
      </c>
      <c r="CW1358" s="1" t="s">
        <v>1203</v>
      </c>
      <c r="CX1358" s="312" t="str">
        <f>IF(OR($CW1358="prd",$CW1358="std",$CW1358="cit"),"loc",IF(OR($CW1358="eur",$CW1358="reg",$CW1358="coy"),"reg",$CW1358))</f>
        <v>reg</v>
      </c>
      <c r="CY1358" s="149" t="s">
        <v>3779</v>
      </c>
      <c r="DA1358" s="143"/>
      <c r="DB1358" s="143">
        <v>30</v>
      </c>
      <c r="DC1358" t="str">
        <f>IF(DB1358=0,"0",IF(AND(DB1358&gt;=1,DB1358&lt;=30),"1-30",IF(AND(DB1358&gt;30,DB1358&lt;=70),"31-70",IF(AND(DB1358&gt;70,DB1358&lt;=100),"71-100",IF(DB1358&gt;100,"+100")))))</f>
        <v>1-30</v>
      </c>
      <c r="DD1358">
        <v>0</v>
      </c>
      <c r="DE1358">
        <v>0</v>
      </c>
      <c r="DF1358">
        <v>0</v>
      </c>
      <c r="DG1358">
        <v>1</v>
      </c>
      <c r="DH1358">
        <v>0</v>
      </c>
      <c r="DI1358">
        <f>SUM(DD1358:DH1358)</f>
        <v>1</v>
      </c>
      <c r="DJ1358" t="str">
        <f>IF(DI1358=1,INDEX($DD$7:$DG$7,MATCH(1,$DD1358:$DG1358,0)),"mixedProduct")</f>
        <v>TimberInput</v>
      </c>
      <c r="DK1358">
        <f>IF(DD1358=1,DK$7,0)</f>
        <v>0</v>
      </c>
      <c r="DL1358">
        <f>IF(DE1358=1,DL$7,0)</f>
        <v>0</v>
      </c>
      <c r="DM1358">
        <f>IF(DF1358=1,DM$7,0)</f>
        <v>0</v>
      </c>
      <c r="DN1358" t="str">
        <f>IF(DG1358=1,DN$7,0)</f>
        <v>Timber</v>
      </c>
      <c r="DO1358">
        <v>1</v>
      </c>
      <c r="DP1358" s="143">
        <v>0</v>
      </c>
      <c r="DQ1358" s="143">
        <v>0</v>
      </c>
      <c r="DR1358">
        <v>0</v>
      </c>
      <c r="DS1358" s="143">
        <v>0</v>
      </c>
      <c r="DT1358">
        <f>SUM(DO1358:DP1358)</f>
        <v>1</v>
      </c>
      <c r="DU1358" s="143" t="str">
        <f>IF(DO1358=1,"self-calculated DF",IF(DP1358=1,"external DF used","explicit C balance"))</f>
        <v>self-calculated DF</v>
      </c>
      <c r="DV1358" s="143">
        <v>0</v>
      </c>
      <c r="DW1358" s="143">
        <v>0</v>
      </c>
      <c r="DX1358" s="143">
        <v>1</v>
      </c>
      <c r="DY1358" s="143">
        <v>0</v>
      </c>
      <c r="DZ1358">
        <v>0</v>
      </c>
      <c r="EA1358" s="143">
        <v>0</v>
      </c>
      <c r="EB1358" s="143">
        <v>0</v>
      </c>
      <c r="EC1358" s="143">
        <v>0</v>
      </c>
      <c r="ED1358" s="143">
        <v>0</v>
      </c>
      <c r="EE1358">
        <v>0</v>
      </c>
      <c r="EF1358">
        <v>1</v>
      </c>
      <c r="EG1358" s="143">
        <v>0</v>
      </c>
      <c r="EH1358" s="143">
        <v>1</v>
      </c>
      <c r="EI1358" s="2">
        <v>0</v>
      </c>
      <c r="EK1358" t="str">
        <f>IF(AND(AND(AND(OR($DX1358=1,$DW1358=1),OR($EC1358=1,$EA1358=1)),SUM($DV1358:$DZ1358,$EF1358)&gt;=3),SUM($EA1358:$EE1358)&gt;=2),"Whole sector","")</f>
        <v/>
      </c>
      <c r="EL1358" t="str">
        <f>IF(AND(AND(OR($DX1358=1,$DW1358=1),AND($EC1358=0,$EA1358=0)),SUM($DV1358:$DZ1358,$EF1358)&gt;=3),"Ecosystem approach","")</f>
        <v/>
      </c>
      <c r="EM1358" s="2" t="str">
        <f>IF(AND(AND(AND($DX1358=0,$DW1358=0),OR($EC1358=1,$EA1358=1)),SUM($EB1358:$EE1358)&gt;=2),"Technology approach","")</f>
        <v/>
      </c>
      <c r="EP1358" t="b">
        <f>IF(ISNUMBER(BU1358),IF(ABS(BU1358-[5]QC_indicators!$B$2)&gt;3*[5]QC_indicators!$C$2,"C ratio",IF(ISNUMBER(BY1358),IF(ABS(BY1358-[5]QC_indicators!$B$1)&gt;3*[5]QC_indicators!$C$1,"DF","no"))),IF(ISNUMBER(BY1358),IF(ABS(BY1358-[5]QC_indicators!$B$1)&gt;3*[5]QC_indicators!$C$1,"DF","no")))</f>
        <v>0</v>
      </c>
    </row>
    <row r="1359" spans="1:148" ht="15" customHeight="1">
      <c r="A1359" s="1" t="s">
        <v>1360</v>
      </c>
      <c r="B1359" t="s">
        <v>3769</v>
      </c>
      <c r="C1359" t="s">
        <v>3770</v>
      </c>
      <c r="D1359" t="s">
        <v>3771</v>
      </c>
      <c r="E1359" t="s">
        <v>3772</v>
      </c>
      <c r="F1359" t="s">
        <v>3773</v>
      </c>
      <c r="G1359" t="s">
        <v>1366</v>
      </c>
      <c r="H1359" t="s">
        <v>254</v>
      </c>
      <c r="I1359">
        <v>2021</v>
      </c>
      <c r="J1359">
        <v>2</v>
      </c>
      <c r="K1359" t="s">
        <v>3774</v>
      </c>
      <c r="M1359" t="str">
        <f>LEFT($D1359,FIND(",",$D1359)-1)&amp;"_"&amp;I1359&amp;L1359</f>
        <v>Jong_2021</v>
      </c>
      <c r="N1359" s="312" t="s">
        <v>4383</v>
      </c>
      <c r="O1359" s="171" t="s">
        <v>513</v>
      </c>
      <c r="P1359" t="s">
        <v>341</v>
      </c>
      <c r="Q1359" s="312" t="s">
        <v>389</v>
      </c>
      <c r="R1359" s="313"/>
      <c r="S1359" s="154" t="s">
        <v>3780</v>
      </c>
      <c r="T1359" s="149" t="s">
        <v>3776</v>
      </c>
      <c r="U1359" t="s">
        <v>3781</v>
      </c>
      <c r="V1359">
        <v>1</v>
      </c>
      <c r="W1359">
        <v>0</v>
      </c>
      <c r="X1359">
        <v>1</v>
      </c>
      <c r="Y1359">
        <v>0</v>
      </c>
      <c r="Z1359">
        <v>1</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1</v>
      </c>
      <c r="AT1359">
        <v>0</v>
      </c>
      <c r="AU1359">
        <v>0</v>
      </c>
      <c r="AV1359">
        <v>0</v>
      </c>
      <c r="AW1359">
        <v>0</v>
      </c>
      <c r="AX1359" s="141">
        <f>COUNTIF(V1359:AW1359,"&lt;&gt;0")</f>
        <v>4</v>
      </c>
      <c r="AY1359" s="141">
        <f>COUNTIF(V1359:AL1359,"&lt;&gt;0")</f>
        <v>3</v>
      </c>
      <c r="AZ1359">
        <f>COUNTIF(V1359:AC1359,"&lt;&gt;0")</f>
        <v>3</v>
      </c>
      <c r="BA1359">
        <f>COUNTIF(AD1359:AI1359,"&lt;&gt;0")</f>
        <v>0</v>
      </c>
      <c r="BB1359">
        <f>COUNTIF(AJ1359:AL1359,"&lt;&gt;0")</f>
        <v>0</v>
      </c>
      <c r="BC1359">
        <f>COUNTIF(AS1359:AW1359,"&lt;&gt;0")</f>
        <v>1</v>
      </c>
      <c r="BD1359">
        <f>COUNTIF(AM1359:AR1359,"&lt;&gt;0")</f>
        <v>0</v>
      </c>
      <c r="BE1359" t="str" cm="1">
        <f t="array" ref="BE1359">IF(AY1359=1,INDEX($V$7:$AL$7,MATCH(TRUE,INDEX($V1359:$AW1359&lt;&gt;0,),0)),IF(AY1359=0,INDEX($AM$7:$AW$7,MATCH(1,$AM1359:$AW1359,0)),IF(BF1359="Multiple strategies","mixed drivers",IF(BF1359="Supply chain","multiple supply","multiple silviculture"))))</f>
        <v>multiple silviculture</v>
      </c>
      <c r="BF1359" s="2" t="str" cm="1">
        <f t="array" ref="BF1359">IF(COUNTIF(AZ1359:BB1359,"&lt;&gt;0")=1,INDEX($V$4:$AW$4,MATCH(TRUE,INDEX($V1359:$AW1359&lt;&gt;0,),0)),IF(COUNTIF(AZ1359:BB1359,"&lt;&gt;0")=0,INDEX($AM$4:$AW$4,MATCH(1,$AM1359:$AW1359,0)),"Multiple strategies"))</f>
        <v>Silviculture for removals</v>
      </c>
      <c r="BG1359" s="142"/>
      <c r="BJ1359" s="143"/>
      <c r="BL1359" s="143"/>
      <c r="BN1359" s="158"/>
      <c r="BO1359" s="143"/>
      <c r="BP1359" s="149" t="s">
        <v>232</v>
      </c>
      <c r="BR1359" s="149" t="s">
        <v>3778</v>
      </c>
      <c r="BS1359">
        <v>151.1</v>
      </c>
      <c r="BT1359">
        <v>29.5</v>
      </c>
      <c r="BU1359" s="144"/>
      <c r="BV1359">
        <f>BT1359-BS1359</f>
        <v>-121.6</v>
      </c>
      <c r="BY1359" t="str">
        <f>IFERROR(BX1359/BO1359,"")</f>
        <v/>
      </c>
      <c r="BZ1359">
        <v>0</v>
      </c>
      <c r="CA1359">
        <v>0</v>
      </c>
      <c r="CB1359">
        <v>0</v>
      </c>
      <c r="CC1359">
        <v>0</v>
      </c>
      <c r="CD1359">
        <v>0</v>
      </c>
      <c r="CE1359">
        <v>0</v>
      </c>
      <c r="CF1359">
        <v>0</v>
      </c>
      <c r="CG1359">
        <v>0</v>
      </c>
      <c r="CH1359">
        <v>0</v>
      </c>
      <c r="CI1359">
        <v>0</v>
      </c>
      <c r="CJ1359">
        <v>0</v>
      </c>
      <c r="CK1359">
        <v>0</v>
      </c>
      <c r="CL1359">
        <v>0</v>
      </c>
      <c r="CM1359">
        <v>0</v>
      </c>
      <c r="CN1359" t="str">
        <f>IF($BL1359&lt;$BK1359,"refNeedCorrection","refOK")</f>
        <v>refOK</v>
      </c>
      <c r="CO1359"/>
      <c r="CP1359"/>
      <c r="CQ1359"/>
      <c r="CR1359">
        <f>IF($CN1359="refOK",$BS1359,$BT1359)*IF($BP1359="Emissions positive",-1,1)</f>
        <v>151.1</v>
      </c>
      <c r="CS1359">
        <f>IF($CN1359="refOK",$BT1359,$BS1359)*IF($BP1359="Emissions positive",-1,1)</f>
        <v>29.5</v>
      </c>
      <c r="CT1359">
        <f>IF($CN1359="refNeedCorrection",-BX1359,BX1359)*IF($BP1359="Emissions positive",-1,1)</f>
        <v>0</v>
      </c>
      <c r="CU1359" t="str">
        <f>IFERROR(CT1359/CQ1359,"")</f>
        <v/>
      </c>
      <c r="CV1359" s="2">
        <f>IFERROR((CS1359-CR1359)/ABS(CR1359),"")</f>
        <v>-0.8047650562541363</v>
      </c>
      <c r="CW1359" s="1" t="s">
        <v>1203</v>
      </c>
      <c r="CX1359" s="312" t="str">
        <f>IF(OR($CW1359="prd",$CW1359="std",$CW1359="cit"),"loc",IF(OR($CW1359="eur",$CW1359="reg",$CW1359="coy"),"reg",$CW1359))</f>
        <v>reg</v>
      </c>
      <c r="CY1359" s="149" t="s">
        <v>3779</v>
      </c>
      <c r="DA1359" s="143"/>
      <c r="DB1359" s="143">
        <v>30</v>
      </c>
      <c r="DC1359" t="str">
        <f>IF(DB1359=0,"0",IF(AND(DB1359&gt;=1,DB1359&lt;=30),"1-30",IF(AND(DB1359&gt;30,DB1359&lt;=70),"31-70",IF(AND(DB1359&gt;70,DB1359&lt;=100),"71-100",IF(DB1359&gt;100,"+100")))))</f>
        <v>1-30</v>
      </c>
      <c r="DD1359">
        <v>0</v>
      </c>
      <c r="DE1359">
        <v>0</v>
      </c>
      <c r="DF1359">
        <v>0</v>
      </c>
      <c r="DG1359">
        <v>1</v>
      </c>
      <c r="DH1359">
        <v>0</v>
      </c>
      <c r="DI1359">
        <f>SUM(DD1359:DH1359)</f>
        <v>1</v>
      </c>
      <c r="DJ1359" t="str">
        <f>IF(DI1359=1,INDEX($DD$7:$DG$7,MATCH(1,$DD1359:$DG1359,0)),"mixedProduct")</f>
        <v>TimberInput</v>
      </c>
      <c r="DK1359">
        <f>IF(DD1359=1,DK$7,0)</f>
        <v>0</v>
      </c>
      <c r="DL1359">
        <f>IF(DE1359=1,DL$7,0)</f>
        <v>0</v>
      </c>
      <c r="DM1359">
        <f>IF(DF1359=1,DM$7,0)</f>
        <v>0</v>
      </c>
      <c r="DN1359" t="str">
        <f>IF(DG1359=1,DN$7,0)</f>
        <v>Timber</v>
      </c>
      <c r="DO1359">
        <v>1</v>
      </c>
      <c r="DP1359" s="143">
        <v>0</v>
      </c>
      <c r="DQ1359" s="143">
        <v>0</v>
      </c>
      <c r="DR1359">
        <v>0</v>
      </c>
      <c r="DS1359" s="143">
        <v>0</v>
      </c>
      <c r="DT1359">
        <f>SUM(DO1359:DP1359)</f>
        <v>1</v>
      </c>
      <c r="DU1359" s="143" t="str">
        <f>IF(DO1359=1,"self-calculated DF",IF(DP1359=1,"external DF used","explicit C balance"))</f>
        <v>self-calculated DF</v>
      </c>
      <c r="DV1359" s="143">
        <v>0</v>
      </c>
      <c r="DW1359" s="143">
        <v>0</v>
      </c>
      <c r="DX1359" s="143">
        <v>1</v>
      </c>
      <c r="DY1359" s="143">
        <v>0</v>
      </c>
      <c r="DZ1359">
        <v>0</v>
      </c>
      <c r="EA1359" s="143">
        <v>0</v>
      </c>
      <c r="EB1359" s="143">
        <v>0</v>
      </c>
      <c r="EC1359" s="143">
        <v>0</v>
      </c>
      <c r="ED1359" s="143">
        <v>0</v>
      </c>
      <c r="EE1359">
        <v>0</v>
      </c>
      <c r="EF1359">
        <v>1</v>
      </c>
      <c r="EG1359" s="143">
        <v>0</v>
      </c>
      <c r="EH1359" s="143">
        <v>1</v>
      </c>
      <c r="EI1359" s="2">
        <v>0</v>
      </c>
      <c r="EK1359" t="str">
        <f>IF(AND(AND(AND(OR($DX1359=1,$DW1359=1),OR($EC1359=1,$EA1359=1)),SUM($DV1359:$DZ1359,$EF1359)&gt;=3),SUM($EA1359:$EE1359)&gt;=2),"Whole sector","")</f>
        <v/>
      </c>
      <c r="EL1359" t="str">
        <f>IF(AND(AND(OR($DX1359=1,$DW1359=1),AND($EC1359=0,$EA1359=0)),SUM($DV1359:$DZ1359,$EF1359)&gt;=3),"Ecosystem approach","")</f>
        <v/>
      </c>
      <c r="EM1359" s="2" t="str">
        <f>IF(AND(AND(AND($DX1359=0,$DW1359=0),OR($EC1359=1,$EA1359=1)),SUM($EB1359:$EE1359)&gt;=2),"Technology approach","")</f>
        <v/>
      </c>
      <c r="EP1359" t="b">
        <f>IF(ISNUMBER(BU1359),IF(ABS(BU1359-[5]QC_indicators!$B$2)&gt;3*[5]QC_indicators!$C$2,"C ratio",IF(ISNUMBER(BY1359),IF(ABS(BY1359-[5]QC_indicators!$B$1)&gt;3*[5]QC_indicators!$C$1,"DF","no"))),IF(ISNUMBER(BY1359),IF(ABS(BY1359-[5]QC_indicators!$B$1)&gt;3*[5]QC_indicators!$C$1,"DF","no")))</f>
        <v>0</v>
      </c>
    </row>
    <row r="1360" spans="1:148" ht="15" customHeight="1">
      <c r="A1360" s="1" t="s">
        <v>1360</v>
      </c>
      <c r="B1360" t="s">
        <v>3769</v>
      </c>
      <c r="C1360" t="s">
        <v>3770</v>
      </c>
      <c r="D1360" t="s">
        <v>3771</v>
      </c>
      <c r="E1360" t="s">
        <v>3772</v>
      </c>
      <c r="F1360" t="s">
        <v>3773</v>
      </c>
      <c r="G1360" t="s">
        <v>1366</v>
      </c>
      <c r="H1360" t="s">
        <v>254</v>
      </c>
      <c r="I1360">
        <v>2021</v>
      </c>
      <c r="J1360">
        <v>2</v>
      </c>
      <c r="K1360" t="s">
        <v>3774</v>
      </c>
      <c r="M1360" t="str">
        <f>LEFT($D1360,FIND(",",$D1360)-1)&amp;"_"&amp;I1360&amp;L1360</f>
        <v>Jong_2021</v>
      </c>
      <c r="N1360" s="312" t="s">
        <v>4383</v>
      </c>
      <c r="O1360" s="171" t="s">
        <v>513</v>
      </c>
      <c r="P1360" t="s">
        <v>341</v>
      </c>
      <c r="Q1360" s="312" t="s">
        <v>389</v>
      </c>
      <c r="R1360" s="313"/>
      <c r="S1360" s="154" t="s">
        <v>3782</v>
      </c>
      <c r="T1360" s="149" t="s">
        <v>3776</v>
      </c>
      <c r="U1360" t="s">
        <v>3783</v>
      </c>
      <c r="V1360">
        <v>1</v>
      </c>
      <c r="W1360">
        <v>0</v>
      </c>
      <c r="X1360">
        <v>1</v>
      </c>
      <c r="Y1360">
        <v>0</v>
      </c>
      <c r="Z1360">
        <v>1</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1</v>
      </c>
      <c r="AT1360">
        <v>0</v>
      </c>
      <c r="AU1360">
        <v>0</v>
      </c>
      <c r="AV1360">
        <v>0</v>
      </c>
      <c r="AW1360">
        <v>0</v>
      </c>
      <c r="AX1360" s="141">
        <f>COUNTIF(V1360:AW1360,"&lt;&gt;0")</f>
        <v>4</v>
      </c>
      <c r="AY1360" s="141">
        <f>COUNTIF(V1360:AL1360,"&lt;&gt;0")</f>
        <v>3</v>
      </c>
      <c r="AZ1360">
        <f>COUNTIF(V1360:AC1360,"&lt;&gt;0")</f>
        <v>3</v>
      </c>
      <c r="BA1360">
        <f>COUNTIF(AD1360:AI1360,"&lt;&gt;0")</f>
        <v>0</v>
      </c>
      <c r="BB1360">
        <f>COUNTIF(AJ1360:AL1360,"&lt;&gt;0")</f>
        <v>0</v>
      </c>
      <c r="BC1360">
        <f>COUNTIF(AS1360:AW1360,"&lt;&gt;0")</f>
        <v>1</v>
      </c>
      <c r="BD1360">
        <f>COUNTIF(AM1360:AR1360,"&lt;&gt;0")</f>
        <v>0</v>
      </c>
      <c r="BE1360" t="str" cm="1">
        <f t="array" ref="BE1360">IF(AY1360=1,INDEX($V$7:$AL$7,MATCH(TRUE,INDEX($V1360:$AW1360&lt;&gt;0,),0)),IF(AY1360=0,INDEX($AM$7:$AW$7,MATCH(1,$AM1360:$AW1360,0)),IF(BF1360="Multiple strategies","mixed drivers",IF(BF1360="Supply chain","multiple supply","multiple silviculture"))))</f>
        <v>multiple silviculture</v>
      </c>
      <c r="BF1360" s="2" t="str" cm="1">
        <f t="array" ref="BF1360">IF(COUNTIF(AZ1360:BB1360,"&lt;&gt;0")=1,INDEX($V$4:$AW$4,MATCH(TRUE,INDEX($V1360:$AW1360&lt;&gt;0,),0)),IF(COUNTIF(AZ1360:BB1360,"&lt;&gt;0")=0,INDEX($AM$4:$AW$4,MATCH(1,$AM1360:$AW1360,0)),"Multiple strategies"))</f>
        <v>Silviculture for removals</v>
      </c>
      <c r="BG1360" s="142"/>
      <c r="BJ1360" s="143"/>
      <c r="BL1360" s="143"/>
      <c r="BN1360" s="158"/>
      <c r="BO1360" s="143"/>
      <c r="BP1360" s="149" t="s">
        <v>232</v>
      </c>
      <c r="BR1360" s="149" t="s">
        <v>3778</v>
      </c>
      <c r="BS1360">
        <v>151.1</v>
      </c>
      <c r="BT1360">
        <v>89.1</v>
      </c>
      <c r="BU1360" s="144"/>
      <c r="BV1360">
        <f>BT1360-BS1360</f>
        <v>-62</v>
      </c>
      <c r="BY1360" t="str">
        <f>IFERROR(BX1360/BO1360,"")</f>
        <v/>
      </c>
      <c r="BZ1360">
        <v>0</v>
      </c>
      <c r="CA1360">
        <v>0</v>
      </c>
      <c r="CB1360">
        <v>0</v>
      </c>
      <c r="CC1360">
        <v>0</v>
      </c>
      <c r="CD1360">
        <v>0</v>
      </c>
      <c r="CE1360">
        <v>0</v>
      </c>
      <c r="CF1360">
        <v>0</v>
      </c>
      <c r="CG1360">
        <v>0</v>
      </c>
      <c r="CH1360">
        <v>0</v>
      </c>
      <c r="CI1360">
        <v>0</v>
      </c>
      <c r="CJ1360">
        <v>0</v>
      </c>
      <c r="CK1360">
        <v>0</v>
      </c>
      <c r="CL1360">
        <v>0</v>
      </c>
      <c r="CM1360">
        <v>0</v>
      </c>
      <c r="CN1360" t="str">
        <f>IF($BL1360&lt;$BK1360,"refNeedCorrection","refOK")</f>
        <v>refOK</v>
      </c>
      <c r="CO1360"/>
      <c r="CP1360"/>
      <c r="CQ1360"/>
      <c r="CR1360">
        <f>IF($CN1360="refOK",$BS1360,$BT1360)*IF($BP1360="Emissions positive",-1,1)</f>
        <v>151.1</v>
      </c>
      <c r="CS1360">
        <f>IF($CN1360="refOK",$BT1360,$BS1360)*IF($BP1360="Emissions positive",-1,1)</f>
        <v>89.1</v>
      </c>
      <c r="CT1360">
        <f>IF($CN1360="refNeedCorrection",-BX1360,BX1360)*IF($BP1360="Emissions positive",-1,1)</f>
        <v>0</v>
      </c>
      <c r="CU1360" t="str">
        <f>IFERROR(CT1360/CQ1360,"")</f>
        <v/>
      </c>
      <c r="CV1360" s="2">
        <f>IFERROR((CS1360-CR1360)/ABS(CR1360),"")</f>
        <v>-0.41032428855062875</v>
      </c>
      <c r="CW1360" s="1" t="s">
        <v>1203</v>
      </c>
      <c r="CX1360" s="312" t="str">
        <f>IF(OR($CW1360="prd",$CW1360="std",$CW1360="cit"),"loc",IF(OR($CW1360="eur",$CW1360="reg",$CW1360="coy"),"reg",$CW1360))</f>
        <v>reg</v>
      </c>
      <c r="CY1360" s="149" t="s">
        <v>3779</v>
      </c>
      <c r="DA1360" s="143"/>
      <c r="DB1360" s="143">
        <v>40</v>
      </c>
      <c r="DC1360" t="str">
        <f>IF(DB1360=0,"0",IF(AND(DB1360&gt;=1,DB1360&lt;=30),"1-30",IF(AND(DB1360&gt;30,DB1360&lt;=70),"31-70",IF(AND(DB1360&gt;70,DB1360&lt;=100),"71-100",IF(DB1360&gt;100,"+100")))))</f>
        <v>31-70</v>
      </c>
      <c r="DD1360">
        <v>0</v>
      </c>
      <c r="DE1360">
        <v>0</v>
      </c>
      <c r="DF1360">
        <v>0</v>
      </c>
      <c r="DG1360">
        <v>1</v>
      </c>
      <c r="DH1360">
        <v>0</v>
      </c>
      <c r="DI1360">
        <f>SUM(DD1360:DH1360)</f>
        <v>1</v>
      </c>
      <c r="DJ1360" t="str">
        <f>IF(DI1360=1,INDEX($DD$7:$DG$7,MATCH(1,$DD1360:$DG1360,0)),"mixedProduct")</f>
        <v>TimberInput</v>
      </c>
      <c r="DK1360">
        <f>IF(DD1360=1,DK$7,0)</f>
        <v>0</v>
      </c>
      <c r="DL1360">
        <f>IF(DE1360=1,DL$7,0)</f>
        <v>0</v>
      </c>
      <c r="DM1360">
        <f>IF(DF1360=1,DM$7,0)</f>
        <v>0</v>
      </c>
      <c r="DN1360" t="str">
        <f>IF(DG1360=1,DN$7,0)</f>
        <v>Timber</v>
      </c>
      <c r="DO1360">
        <v>1</v>
      </c>
      <c r="DP1360" s="143">
        <v>0</v>
      </c>
      <c r="DQ1360" s="143">
        <v>0</v>
      </c>
      <c r="DR1360">
        <v>0</v>
      </c>
      <c r="DS1360" s="143">
        <v>0</v>
      </c>
      <c r="DT1360">
        <f>SUM(DO1360:DP1360)</f>
        <v>1</v>
      </c>
      <c r="DU1360" s="143" t="str">
        <f>IF(DO1360=1,"self-calculated DF",IF(DP1360=1,"external DF used","explicit C balance"))</f>
        <v>self-calculated DF</v>
      </c>
      <c r="DV1360" s="143">
        <v>0</v>
      </c>
      <c r="DW1360" s="143">
        <v>0</v>
      </c>
      <c r="DX1360" s="143">
        <v>1</v>
      </c>
      <c r="DY1360" s="143">
        <v>0</v>
      </c>
      <c r="DZ1360">
        <v>0</v>
      </c>
      <c r="EA1360" s="143">
        <v>0</v>
      </c>
      <c r="EB1360" s="143">
        <v>0</v>
      </c>
      <c r="EC1360" s="143">
        <v>0</v>
      </c>
      <c r="ED1360" s="143">
        <v>0</v>
      </c>
      <c r="EE1360">
        <v>0</v>
      </c>
      <c r="EF1360">
        <v>1</v>
      </c>
      <c r="EG1360" s="143">
        <v>0</v>
      </c>
      <c r="EH1360" s="143">
        <v>1</v>
      </c>
      <c r="EI1360" s="2">
        <v>0</v>
      </c>
      <c r="EK1360" t="str">
        <f>IF(AND(AND(AND(OR($DX1360=1,$DW1360=1),OR($EC1360=1,$EA1360=1)),SUM($DV1360:$DZ1360,$EF1360)&gt;=3),SUM($EA1360:$EE1360)&gt;=2),"Whole sector","")</f>
        <v/>
      </c>
      <c r="EL1360" t="str">
        <f>IF(AND(AND(OR($DX1360=1,$DW1360=1),AND($EC1360=0,$EA1360=0)),SUM($DV1360:$DZ1360,$EF1360)&gt;=3),"Ecosystem approach","")</f>
        <v/>
      </c>
      <c r="EM1360" s="2" t="str">
        <f>IF(AND(AND(AND($DX1360=0,$DW1360=0),OR($EC1360=1,$EA1360=1)),SUM($EB1360:$EE1360)&gt;=2),"Technology approach","")</f>
        <v/>
      </c>
      <c r="EP1360" t="b">
        <f>IF(ISNUMBER(BU1360),IF(ABS(BU1360-[5]QC_indicators!$B$2)&gt;3*[5]QC_indicators!$C$2,"C ratio",IF(ISNUMBER(BY1360),IF(ABS(BY1360-[5]QC_indicators!$B$1)&gt;3*[5]QC_indicators!$C$1,"DF","no"))),IF(ISNUMBER(BY1360),IF(ABS(BY1360-[5]QC_indicators!$B$1)&gt;3*[5]QC_indicators!$C$1,"DF","no")))</f>
        <v>0</v>
      </c>
    </row>
    <row r="1361" spans="1:148" ht="15" customHeight="1">
      <c r="A1361" s="1" t="s">
        <v>3784</v>
      </c>
      <c r="B1361" t="s">
        <v>3785</v>
      </c>
      <c r="C1361" t="s">
        <v>3786</v>
      </c>
      <c r="D1361" t="s">
        <v>3787</v>
      </c>
      <c r="E1361" s="312" t="s">
        <v>3788</v>
      </c>
      <c r="F1361" t="s">
        <v>3789</v>
      </c>
      <c r="G1361" t="s">
        <v>3790</v>
      </c>
      <c r="H1361" t="s">
        <v>3791</v>
      </c>
      <c r="I1361">
        <v>2018</v>
      </c>
      <c r="J1361">
        <v>17</v>
      </c>
      <c r="K1361" t="s">
        <v>3792</v>
      </c>
      <c r="M1361" t="str">
        <f>LEFT($D1361,FIND(",",$D1361)-1)&amp;"_"&amp;I1361&amp;L1361</f>
        <v>Kovacic_2018</v>
      </c>
      <c r="N1361" s="312" t="s">
        <v>4383</v>
      </c>
      <c r="O1361" s="171" t="s">
        <v>225</v>
      </c>
      <c r="P1361" t="s">
        <v>513</v>
      </c>
      <c r="Q1361" s="312" t="s">
        <v>389</v>
      </c>
      <c r="R1361" s="313"/>
      <c r="S1361" s="1" t="s">
        <v>3793</v>
      </c>
      <c r="T1361" t="s">
        <v>3794</v>
      </c>
      <c r="U1361" t="s">
        <v>3795</v>
      </c>
      <c r="V1361">
        <v>0</v>
      </c>
      <c r="W1361">
        <v>0</v>
      </c>
      <c r="X1361">
        <v>0</v>
      </c>
      <c r="Y1361">
        <v>0</v>
      </c>
      <c r="Z1361">
        <v>0</v>
      </c>
      <c r="AA1361">
        <v>0</v>
      </c>
      <c r="AB1361">
        <v>0</v>
      </c>
      <c r="AC1361">
        <v>0</v>
      </c>
      <c r="AD1361">
        <v>0</v>
      </c>
      <c r="AE1361">
        <v>0</v>
      </c>
      <c r="AF1361">
        <v>0</v>
      </c>
      <c r="AG1361">
        <v>0</v>
      </c>
      <c r="AH1361">
        <v>0</v>
      </c>
      <c r="AI1361">
        <v>0</v>
      </c>
      <c r="AJ1361">
        <v>0</v>
      </c>
      <c r="AK1361">
        <v>1</v>
      </c>
      <c r="AL1361">
        <v>0</v>
      </c>
      <c r="AM1361">
        <v>0</v>
      </c>
      <c r="AN1361">
        <v>0</v>
      </c>
      <c r="AO1361">
        <v>0</v>
      </c>
      <c r="AP1361">
        <v>0</v>
      </c>
      <c r="AQ1361">
        <v>0</v>
      </c>
      <c r="AR1361">
        <v>0</v>
      </c>
      <c r="AS1361">
        <v>0</v>
      </c>
      <c r="AT1361">
        <v>0</v>
      </c>
      <c r="AU1361">
        <v>0</v>
      </c>
      <c r="AV1361">
        <v>0</v>
      </c>
      <c r="AW1361">
        <v>0</v>
      </c>
      <c r="AX1361" s="141">
        <f>COUNTIF(V1361:AW1361,"&lt;&gt;0")</f>
        <v>1</v>
      </c>
      <c r="AY1361" s="141">
        <f>COUNTIF(V1361:AL1361,"&lt;&gt;0")</f>
        <v>1</v>
      </c>
      <c r="AZ1361">
        <f>COUNTIF(V1361:AC1361,"&lt;&gt;0")</f>
        <v>0</v>
      </c>
      <c r="BA1361">
        <f>COUNTIF(AD1361:AI1361,"&lt;&gt;0")</f>
        <v>0</v>
      </c>
      <c r="BB1361">
        <f>COUNTIF(AJ1361:AL1361,"&lt;&gt;0")</f>
        <v>1</v>
      </c>
      <c r="BC1361">
        <f>COUNTIF(AS1361:AW1361,"&lt;&gt;0")</f>
        <v>0</v>
      </c>
      <c r="BD1361">
        <f>COUNTIF(AM1361:AR1361,"&lt;&gt;0")</f>
        <v>0</v>
      </c>
      <c r="BE1361" t="str" cm="1">
        <f t="array" ref="BE1361">IF(AY1361=1,INDEX($V$7:$AL$7,MATCH(TRUE,INDEX($V1361:$AW1361&lt;&gt;0,),0)),IF(AY1361=0,INDEX($AM$7:$AW$7,MATCH(1,$AM1361:$AW1361,0)),IF(BF1361="Multiple strategies","mixed drivers",IF(BF1361="Supply chain","multiple supply","multiple silviculture"))))</f>
        <v>technologies/design switch</v>
      </c>
      <c r="BF1361" s="2" t="str" cm="1">
        <f t="array" ref="BF1361">IF(COUNTIF(AZ1361:BB1361,"&lt;&gt;0")=1,INDEX($V$4:$AW$4,MATCH(TRUE,INDEX($V1361:$AW1361&lt;&gt;0,),0)),IF(COUNTIF(AZ1361:BB1361,"&lt;&gt;0")=0,INDEX($AM$4:$AW$4,MATCH(1,$AM1361:$AW1361,0)),"Multiple strategies"))</f>
        <v>Technology</v>
      </c>
      <c r="BG1361" s="1" t="s">
        <v>229</v>
      </c>
      <c r="BM1361" t="str">
        <f>IFERROR(BL1361/BK1361,"")</f>
        <v/>
      </c>
      <c r="BP1361" t="s">
        <v>395</v>
      </c>
      <c r="BR1361" s="312" t="s">
        <v>3796</v>
      </c>
      <c r="BS1361">
        <v>429</v>
      </c>
      <c r="BT1361">
        <v>324</v>
      </c>
      <c r="BU1361" s="144">
        <f>BT1361/BS1361</f>
        <v>0.75524475524475521</v>
      </c>
      <c r="BV1361">
        <f>BT1361-BS1361</f>
        <v>-105</v>
      </c>
      <c r="BX1361">
        <f>BV1361/1000</f>
        <v>-0.105</v>
      </c>
      <c r="BY1361" t="str">
        <f>IFERROR(BX1361/BO1361,"")</f>
        <v/>
      </c>
      <c r="BZ1361">
        <v>0</v>
      </c>
      <c r="CA1361">
        <v>0</v>
      </c>
      <c r="CB1361">
        <v>0</v>
      </c>
      <c r="CC1361">
        <v>0</v>
      </c>
      <c r="CD1361">
        <v>0</v>
      </c>
      <c r="CE1361">
        <v>1</v>
      </c>
      <c r="CF1361">
        <v>0</v>
      </c>
      <c r="CG1361">
        <v>0</v>
      </c>
      <c r="CH1361">
        <v>0</v>
      </c>
      <c r="CI1361">
        <v>0</v>
      </c>
      <c r="CJ1361">
        <v>0</v>
      </c>
      <c r="CK1361">
        <v>0</v>
      </c>
      <c r="CL1361">
        <v>0</v>
      </c>
      <c r="CM1361">
        <v>0</v>
      </c>
      <c r="CN1361" t="str">
        <f>IF($BL1361&lt;$BK1361,"refNeedCorrection","refOK")</f>
        <v>refOK</v>
      </c>
      <c r="CO1361"/>
      <c r="CP1361"/>
      <c r="CQ1361"/>
      <c r="CR1361">
        <f>IF($CN1361="refOK",$BS1361,$BT1361)*IF($BP1361="Emissions positive",-1,1)</f>
        <v>-429</v>
      </c>
      <c r="CS1361">
        <f>IF($CN1361="refOK",$BT1361,$BS1361)*IF($BP1361="Emissions positive",-1,1)</f>
        <v>-324</v>
      </c>
      <c r="CT1361">
        <f>IF($CN1361="refNeedCorrection",-BX1361,BX1361)*IF($BP1361="Emissions positive",-1,1)</f>
        <v>0.105</v>
      </c>
      <c r="CU1361" t="str">
        <f>IFERROR(CT1361/CQ1361,"")</f>
        <v/>
      </c>
      <c r="CV1361" s="2">
        <f>IFERROR((CS1361-CR1361)/ABS(CR1361),"")</f>
        <v>0.24475524475524477</v>
      </c>
      <c r="CW1361" s="1" t="s">
        <v>3797</v>
      </c>
      <c r="CX1361" s="312" t="str">
        <f>IF(OR($CW1361="prd",$CW1361="std",$CW1361="cit"),"loc",IF(OR($CW1361="eur",$CW1361="reg",$CW1361="coy"),"reg",$CW1361))</f>
        <v>reg</v>
      </c>
      <c r="CY1361" t="s">
        <v>666</v>
      </c>
      <c r="DB1361">
        <v>50</v>
      </c>
      <c r="DC1361" t="str">
        <f>IF(DB1361=0,"0",IF(AND(DB1361&gt;=1,DB1361&lt;=30),"1-30",IF(AND(DB1361&gt;30,DB1361&lt;=70),"31-70",IF(AND(DB1361&gt;70,DB1361&lt;=100),"71-100",IF(DB1361&gt;100,"+100")))))</f>
        <v>31-70</v>
      </c>
      <c r="DD1361">
        <v>0</v>
      </c>
      <c r="DE1361">
        <v>0</v>
      </c>
      <c r="DF1361">
        <v>0</v>
      </c>
      <c r="DG1361">
        <v>1</v>
      </c>
      <c r="DH1361">
        <v>0</v>
      </c>
      <c r="DI1361">
        <f>SUM(DD1361:DH1361)</f>
        <v>1</v>
      </c>
      <c r="DJ1361" t="str">
        <f>IF(DI1361=1,INDEX($DD$7:$DG$7,MATCH(1,$DD1361:$DG1361,0)),"mixedProduct")</f>
        <v>TimberInput</v>
      </c>
      <c r="DK1361">
        <f>IF(DD1361=1,DK$7,0)</f>
        <v>0</v>
      </c>
      <c r="DL1361">
        <f>IF(DE1361=1,DL$7,0)</f>
        <v>0</v>
      </c>
      <c r="DM1361">
        <f>IF(DF1361=1,DM$7,0)</f>
        <v>0</v>
      </c>
      <c r="DN1361" t="str">
        <f>IF(DG1361=1,DN$7,0)</f>
        <v>Timber</v>
      </c>
      <c r="DO1361">
        <v>0</v>
      </c>
      <c r="DP1361">
        <v>0</v>
      </c>
      <c r="DQ1361">
        <v>0</v>
      </c>
      <c r="DR1361">
        <v>0</v>
      </c>
      <c r="DS1361">
        <v>0</v>
      </c>
      <c r="DT1361"/>
      <c r="DU1361" s="143" t="str">
        <f>IF(DO1361=1,"self-calculated DF",IF(DP1361=1,"external DF used","explicit C balance"))</f>
        <v>explicit C balance</v>
      </c>
      <c r="DV1361">
        <v>0</v>
      </c>
      <c r="DW1361">
        <v>0</v>
      </c>
      <c r="DX1361">
        <v>0</v>
      </c>
      <c r="DY1361">
        <v>0</v>
      </c>
      <c r="DZ1361">
        <v>0</v>
      </c>
      <c r="EA1361" s="143">
        <v>0</v>
      </c>
      <c r="EB1361">
        <v>0</v>
      </c>
      <c r="EC1361">
        <v>1</v>
      </c>
      <c r="ED1361">
        <v>1</v>
      </c>
      <c r="EE1361">
        <v>1</v>
      </c>
      <c r="EF1361">
        <v>0</v>
      </c>
      <c r="EG1361">
        <v>0</v>
      </c>
      <c r="EH1361">
        <v>0</v>
      </c>
      <c r="EI1361" s="2">
        <v>0</v>
      </c>
      <c r="EK1361" t="str">
        <f>IF(AND(AND(AND(OR($DX1361=1,$DW1361=1),OR($EC1361=1,$EA1361=1)),SUM($DV1361:$DZ1361,$EF1361)&gt;=3),SUM($EA1361:$EE1361)&gt;=2),"Whole sector","")</f>
        <v/>
      </c>
      <c r="EL1361" t="str">
        <f>IF(AND(AND(OR($DX1361=1,$DW1361=1),AND($EC1361=0,$EA1361=0)),SUM($DV1361:$DZ1361,$EF1361)&gt;=3),"Ecosystem approach","")</f>
        <v/>
      </c>
      <c r="EM1361" s="2" t="str">
        <f>IF(AND(AND(AND($DX1361=0,$DW1361=0),OR($EC1361=1,$EA1361=1)),SUM($EB1361:$EE1361)&gt;=2),"Technology approach","")</f>
        <v>Technology approach</v>
      </c>
      <c r="EP1361" t="b">
        <f>IF(ISNUMBER(BU1361),IF(ABS(BU1361-[5]QC_indicators!$B$2)&gt;3*[5]QC_indicators!$C$2,"C ratio",IF(ISNUMBER(BY1361),IF(ABS(BY1361-[5]QC_indicators!$B$1)&gt;3*[5]QC_indicators!$C$1,"DF","no"))),IF(ISNUMBER(BY1361),IF(ABS(BY1361-[5]QC_indicators!$B$1)&gt;3*[5]QC_indicators!$C$1,"DF","no")))</f>
        <v>0</v>
      </c>
    </row>
    <row r="1362" spans="1:148" ht="15" customHeight="1">
      <c r="A1362" s="1" t="s">
        <v>3784</v>
      </c>
      <c r="B1362" t="s">
        <v>3785</v>
      </c>
      <c r="C1362" t="s">
        <v>3786</v>
      </c>
      <c r="D1362" t="s">
        <v>3787</v>
      </c>
      <c r="E1362" s="312" t="s">
        <v>3788</v>
      </c>
      <c r="F1362" t="s">
        <v>3789</v>
      </c>
      <c r="G1362" t="s">
        <v>3790</v>
      </c>
      <c r="H1362" t="s">
        <v>3791</v>
      </c>
      <c r="I1362">
        <v>2018</v>
      </c>
      <c r="J1362">
        <v>17</v>
      </c>
      <c r="K1362" t="s">
        <v>3792</v>
      </c>
      <c r="M1362" t="str">
        <f>LEFT($D1362,FIND(",",$D1362)-1)&amp;"_"&amp;I1362&amp;L1362</f>
        <v>Kovacic_2018</v>
      </c>
      <c r="N1362" s="312" t="s">
        <v>4383</v>
      </c>
      <c r="O1362" s="171" t="s">
        <v>225</v>
      </c>
      <c r="P1362" t="s">
        <v>513</v>
      </c>
      <c r="Q1362" s="312" t="s">
        <v>389</v>
      </c>
      <c r="R1362" s="313"/>
      <c r="S1362" s="1" t="s">
        <v>3793</v>
      </c>
      <c r="T1362" t="s">
        <v>3794</v>
      </c>
      <c r="U1362" t="s">
        <v>3795</v>
      </c>
      <c r="V1362">
        <v>0</v>
      </c>
      <c r="W1362">
        <v>0</v>
      </c>
      <c r="X1362">
        <v>0</v>
      </c>
      <c r="Y1362">
        <v>0</v>
      </c>
      <c r="Z1362">
        <v>0</v>
      </c>
      <c r="AA1362">
        <v>0</v>
      </c>
      <c r="AB1362">
        <v>0</v>
      </c>
      <c r="AC1362">
        <v>0</v>
      </c>
      <c r="AD1362">
        <v>0</v>
      </c>
      <c r="AE1362">
        <v>0</v>
      </c>
      <c r="AF1362">
        <v>0</v>
      </c>
      <c r="AG1362">
        <v>0</v>
      </c>
      <c r="AH1362">
        <v>0</v>
      </c>
      <c r="AI1362">
        <v>0</v>
      </c>
      <c r="AJ1362">
        <v>0</v>
      </c>
      <c r="AK1362">
        <v>1</v>
      </c>
      <c r="AL1362">
        <v>0</v>
      </c>
      <c r="AM1362">
        <v>0</v>
      </c>
      <c r="AN1362">
        <v>0</v>
      </c>
      <c r="AO1362">
        <v>0</v>
      </c>
      <c r="AP1362">
        <v>0</v>
      </c>
      <c r="AQ1362">
        <v>0</v>
      </c>
      <c r="AR1362">
        <v>0</v>
      </c>
      <c r="AS1362">
        <v>0</v>
      </c>
      <c r="AT1362">
        <v>0</v>
      </c>
      <c r="AU1362">
        <v>0</v>
      </c>
      <c r="AV1362">
        <v>0</v>
      </c>
      <c r="AW1362">
        <v>0</v>
      </c>
      <c r="AX1362" s="141">
        <f>COUNTIF(V1362:AW1362,"&lt;&gt;0")</f>
        <v>1</v>
      </c>
      <c r="AY1362" s="141">
        <f>COUNTIF(V1362:AL1362,"&lt;&gt;0")</f>
        <v>1</v>
      </c>
      <c r="AZ1362">
        <f>COUNTIF(V1362:AC1362,"&lt;&gt;0")</f>
        <v>0</v>
      </c>
      <c r="BA1362">
        <f>COUNTIF(AD1362:AI1362,"&lt;&gt;0")</f>
        <v>0</v>
      </c>
      <c r="BB1362">
        <f>COUNTIF(AJ1362:AL1362,"&lt;&gt;0")</f>
        <v>1</v>
      </c>
      <c r="BC1362">
        <f>COUNTIF(AS1362:AW1362,"&lt;&gt;0")</f>
        <v>0</v>
      </c>
      <c r="BD1362">
        <f>COUNTIF(AM1362:AR1362,"&lt;&gt;0")</f>
        <v>0</v>
      </c>
      <c r="BE1362" t="str" cm="1">
        <f t="array" ref="BE1362">IF(AY1362=1,INDEX($V$7:$AL$7,MATCH(TRUE,INDEX($V1362:$AW1362&lt;&gt;0,),0)),IF(AY1362=0,INDEX($AM$7:$AW$7,MATCH(1,$AM1362:$AW1362,0)),IF(BF1362="Multiple strategies","mixed drivers",IF(BF1362="Supply chain","multiple supply","multiple silviculture"))))</f>
        <v>technologies/design switch</v>
      </c>
      <c r="BF1362" s="2" t="str" cm="1">
        <f t="array" ref="BF1362">IF(COUNTIF(AZ1362:BB1362,"&lt;&gt;0")=1,INDEX($V$4:$AW$4,MATCH(TRUE,INDEX($V1362:$AW1362&lt;&gt;0,),0)),IF(COUNTIF(AZ1362:BB1362,"&lt;&gt;0")=0,INDEX($AM$4:$AW$4,MATCH(1,$AM1362:$AW1362,0)),"Multiple strategies"))</f>
        <v>Technology</v>
      </c>
      <c r="BG1362" s="1" t="s">
        <v>229</v>
      </c>
      <c r="BM1362" t="str">
        <f>IFERROR(BL1362/BK1362,"")</f>
        <v/>
      </c>
      <c r="BP1362" t="s">
        <v>395</v>
      </c>
      <c r="BR1362" s="312" t="s">
        <v>3796</v>
      </c>
      <c r="BS1362">
        <v>373</v>
      </c>
      <c r="BT1362">
        <v>295</v>
      </c>
      <c r="BU1362" s="144">
        <f>BT1362/BS1362</f>
        <v>0.79088471849865949</v>
      </c>
      <c r="BV1362">
        <f>BT1362-BS1362</f>
        <v>-78</v>
      </c>
      <c r="BX1362">
        <f>BV1362/1000</f>
        <v>-7.8E-2</v>
      </c>
      <c r="BY1362" t="str">
        <f>IFERROR(BX1362/BO1362,"")</f>
        <v/>
      </c>
      <c r="BZ1362">
        <v>0</v>
      </c>
      <c r="CA1362">
        <v>0</v>
      </c>
      <c r="CB1362">
        <v>0</v>
      </c>
      <c r="CC1362">
        <v>0</v>
      </c>
      <c r="CD1362">
        <v>0</v>
      </c>
      <c r="CE1362">
        <v>1</v>
      </c>
      <c r="CF1362">
        <v>0</v>
      </c>
      <c r="CG1362">
        <v>0</v>
      </c>
      <c r="CH1362">
        <v>0</v>
      </c>
      <c r="CI1362">
        <v>0</v>
      </c>
      <c r="CJ1362">
        <v>0</v>
      </c>
      <c r="CK1362">
        <v>0</v>
      </c>
      <c r="CL1362">
        <v>0</v>
      </c>
      <c r="CM1362">
        <v>0</v>
      </c>
      <c r="CN1362" t="str">
        <f>IF($BL1362&lt;$BK1362,"refNeedCorrection","refOK")</f>
        <v>refOK</v>
      </c>
      <c r="CO1362"/>
      <c r="CP1362"/>
      <c r="CQ1362"/>
      <c r="CR1362">
        <f>IF($CN1362="refOK",$BS1362,$BT1362)*IF($BP1362="Emissions positive",-1,1)</f>
        <v>-373</v>
      </c>
      <c r="CS1362">
        <f>IF($CN1362="refOK",$BT1362,$BS1362)*IF($BP1362="Emissions positive",-1,1)</f>
        <v>-295</v>
      </c>
      <c r="CT1362">
        <f>IF($CN1362="refNeedCorrection",-BX1362,BX1362)*IF($BP1362="Emissions positive",-1,1)</f>
        <v>7.8E-2</v>
      </c>
      <c r="CU1362" t="str">
        <f>IFERROR(CT1362/CQ1362,"")</f>
        <v/>
      </c>
      <c r="CV1362" s="2">
        <f>IFERROR((CS1362-CR1362)/ABS(CR1362),"")</f>
        <v>0.20911528150134048</v>
      </c>
      <c r="CW1362" s="1" t="s">
        <v>3797</v>
      </c>
      <c r="CX1362" s="312" t="str">
        <f>IF(OR($CW1362="prd",$CW1362="std",$CW1362="cit"),"loc",IF(OR($CW1362="eur",$CW1362="reg",$CW1362="coy"),"reg",$CW1362))</f>
        <v>reg</v>
      </c>
      <c r="CY1362" t="s">
        <v>666</v>
      </c>
      <c r="DB1362">
        <v>20</v>
      </c>
      <c r="DC1362" t="str">
        <f>IF(DB1362=0,"0",IF(AND(DB1362&gt;=1,DB1362&lt;=30),"1-30",IF(AND(DB1362&gt;30,DB1362&lt;=70),"31-70",IF(AND(DB1362&gt;70,DB1362&lt;=100),"71-100",IF(DB1362&gt;100,"+100")))))</f>
        <v>1-30</v>
      </c>
      <c r="DD1362">
        <v>0</v>
      </c>
      <c r="DE1362">
        <v>0</v>
      </c>
      <c r="DF1362">
        <v>0</v>
      </c>
      <c r="DG1362">
        <v>1</v>
      </c>
      <c r="DH1362">
        <v>0</v>
      </c>
      <c r="DI1362">
        <f>SUM(DD1362:DH1362)</f>
        <v>1</v>
      </c>
      <c r="DJ1362" t="str">
        <f>IF(DI1362=1,INDEX($DD$7:$DG$7,MATCH(1,$DD1362:$DG1362,0)),"mixedProduct")</f>
        <v>TimberInput</v>
      </c>
      <c r="DK1362">
        <f>IF(DD1362=1,DK$7,0)</f>
        <v>0</v>
      </c>
      <c r="DL1362">
        <f>IF(DE1362=1,DL$7,0)</f>
        <v>0</v>
      </c>
      <c r="DM1362">
        <f>IF(DF1362=1,DM$7,0)</f>
        <v>0</v>
      </c>
      <c r="DN1362" t="str">
        <f>IF(DG1362=1,DN$7,0)</f>
        <v>Timber</v>
      </c>
      <c r="DO1362">
        <v>0</v>
      </c>
      <c r="DP1362">
        <v>0</v>
      </c>
      <c r="DQ1362">
        <v>0</v>
      </c>
      <c r="DR1362">
        <v>0</v>
      </c>
      <c r="DS1362">
        <v>0</v>
      </c>
      <c r="DT1362"/>
      <c r="DU1362" s="143" t="str">
        <f>IF(DO1362=1,"self-calculated DF",IF(DP1362=1,"external DF used","explicit C balance"))</f>
        <v>explicit C balance</v>
      </c>
      <c r="DV1362">
        <v>0</v>
      </c>
      <c r="DW1362">
        <v>0</v>
      </c>
      <c r="DX1362">
        <v>0</v>
      </c>
      <c r="DY1362">
        <v>0</v>
      </c>
      <c r="DZ1362">
        <v>0</v>
      </c>
      <c r="EA1362" s="143">
        <v>0</v>
      </c>
      <c r="EB1362">
        <v>0</v>
      </c>
      <c r="EC1362">
        <v>1</v>
      </c>
      <c r="ED1362">
        <v>1</v>
      </c>
      <c r="EE1362">
        <v>1</v>
      </c>
      <c r="EF1362">
        <v>0</v>
      </c>
      <c r="EG1362">
        <v>0</v>
      </c>
      <c r="EH1362">
        <v>0</v>
      </c>
      <c r="EI1362" s="2">
        <v>0</v>
      </c>
      <c r="EK1362" t="str">
        <f>IF(AND(AND(AND(OR($DX1362=1,$DW1362=1),OR($EC1362=1,$EA1362=1)),SUM($DV1362:$DZ1362,$EF1362)&gt;=3),SUM($EA1362:$EE1362)&gt;=2),"Whole sector","")</f>
        <v/>
      </c>
      <c r="EL1362" t="str">
        <f>IF(AND(AND(OR($DX1362=1,$DW1362=1),AND($EC1362=0,$EA1362=0)),SUM($DV1362:$DZ1362,$EF1362)&gt;=3),"Ecosystem approach","")</f>
        <v/>
      </c>
      <c r="EM1362" s="2" t="str">
        <f>IF(AND(AND(AND($DX1362=0,$DW1362=0),OR($EC1362=1,$EA1362=1)),SUM($EB1362:$EE1362)&gt;=2),"Technology approach","")</f>
        <v>Technology approach</v>
      </c>
      <c r="EP1362" t="b">
        <f>IF(ISNUMBER(BU1362),IF(ABS(BU1362-[5]QC_indicators!$B$2)&gt;3*[5]QC_indicators!$C$2,"C ratio",IF(ISNUMBER(BY1362),IF(ABS(BY1362-[5]QC_indicators!$B$1)&gt;3*[5]QC_indicators!$C$1,"DF","no"))),IF(ISNUMBER(BY1362),IF(ABS(BY1362-[5]QC_indicators!$B$1)&gt;3*[5]QC_indicators!$C$1,"DF","no")))</f>
        <v>0</v>
      </c>
    </row>
    <row r="1363" spans="1:148" ht="15" customHeight="1">
      <c r="A1363" s="1" t="s">
        <v>3784</v>
      </c>
      <c r="B1363" t="s">
        <v>3785</v>
      </c>
      <c r="C1363" t="s">
        <v>3786</v>
      </c>
      <c r="D1363" t="s">
        <v>3787</v>
      </c>
      <c r="E1363" s="312" t="s">
        <v>3788</v>
      </c>
      <c r="F1363" t="s">
        <v>3789</v>
      </c>
      <c r="G1363" t="s">
        <v>3790</v>
      </c>
      <c r="H1363" t="s">
        <v>3791</v>
      </c>
      <c r="I1363">
        <v>2018</v>
      </c>
      <c r="J1363">
        <v>17</v>
      </c>
      <c r="K1363" t="s">
        <v>3792</v>
      </c>
      <c r="M1363" t="str">
        <f>LEFT($D1363,FIND(",",$D1363)-1)&amp;"_"&amp;I1363&amp;L1363</f>
        <v>Kovacic_2018</v>
      </c>
      <c r="N1363" s="312" t="s">
        <v>4383</v>
      </c>
      <c r="O1363" s="171" t="s">
        <v>225</v>
      </c>
      <c r="P1363" t="s">
        <v>513</v>
      </c>
      <c r="Q1363" s="312" t="s">
        <v>389</v>
      </c>
      <c r="R1363" s="313"/>
      <c r="S1363" s="1" t="s">
        <v>3793</v>
      </c>
      <c r="T1363" t="s">
        <v>3794</v>
      </c>
      <c r="U1363" t="s">
        <v>3795</v>
      </c>
      <c r="V1363">
        <v>0</v>
      </c>
      <c r="W1363">
        <v>0</v>
      </c>
      <c r="X1363">
        <v>0</v>
      </c>
      <c r="Y1363">
        <v>0</v>
      </c>
      <c r="Z1363">
        <v>0</v>
      </c>
      <c r="AA1363">
        <v>0</v>
      </c>
      <c r="AB1363">
        <v>0</v>
      </c>
      <c r="AC1363">
        <v>0</v>
      </c>
      <c r="AD1363">
        <v>0</v>
      </c>
      <c r="AE1363">
        <v>0</v>
      </c>
      <c r="AF1363">
        <v>0</v>
      </c>
      <c r="AG1363">
        <v>0</v>
      </c>
      <c r="AH1363">
        <v>0</v>
      </c>
      <c r="AI1363">
        <v>0</v>
      </c>
      <c r="AJ1363">
        <v>0</v>
      </c>
      <c r="AK1363">
        <v>1</v>
      </c>
      <c r="AL1363">
        <v>0</v>
      </c>
      <c r="AM1363">
        <v>0</v>
      </c>
      <c r="AN1363">
        <v>0</v>
      </c>
      <c r="AO1363">
        <v>0</v>
      </c>
      <c r="AP1363">
        <v>0</v>
      </c>
      <c r="AQ1363">
        <v>0</v>
      </c>
      <c r="AR1363">
        <v>0</v>
      </c>
      <c r="AS1363">
        <v>0</v>
      </c>
      <c r="AT1363">
        <v>0</v>
      </c>
      <c r="AU1363">
        <v>0</v>
      </c>
      <c r="AV1363">
        <v>0</v>
      </c>
      <c r="AW1363">
        <v>0</v>
      </c>
      <c r="AX1363" s="141">
        <f>COUNTIF(V1363:AW1363,"&lt;&gt;0")</f>
        <v>1</v>
      </c>
      <c r="AY1363" s="141">
        <f>COUNTIF(V1363:AL1363,"&lt;&gt;0")</f>
        <v>1</v>
      </c>
      <c r="AZ1363">
        <f>COUNTIF(V1363:AC1363,"&lt;&gt;0")</f>
        <v>0</v>
      </c>
      <c r="BA1363">
        <f>COUNTIF(AD1363:AI1363,"&lt;&gt;0")</f>
        <v>0</v>
      </c>
      <c r="BB1363">
        <f>COUNTIF(AJ1363:AL1363,"&lt;&gt;0")</f>
        <v>1</v>
      </c>
      <c r="BC1363">
        <f>COUNTIF(AS1363:AW1363,"&lt;&gt;0")</f>
        <v>0</v>
      </c>
      <c r="BD1363">
        <f>COUNTIF(AM1363:AR1363,"&lt;&gt;0")</f>
        <v>0</v>
      </c>
      <c r="BE1363" t="str" cm="1">
        <f t="array" ref="BE1363">IF(AY1363=1,INDEX($V$7:$AL$7,MATCH(TRUE,INDEX($V1363:$AW1363&lt;&gt;0,),0)),IF(AY1363=0,INDEX($AM$7:$AW$7,MATCH(1,$AM1363:$AW1363,0)),IF(BF1363="Multiple strategies","mixed drivers",IF(BF1363="Supply chain","multiple supply","multiple silviculture"))))</f>
        <v>technologies/design switch</v>
      </c>
      <c r="BF1363" s="2" t="str" cm="1">
        <f t="array" ref="BF1363">IF(COUNTIF(AZ1363:BB1363,"&lt;&gt;0")=1,INDEX($V$4:$AW$4,MATCH(TRUE,INDEX($V1363:$AW1363&lt;&gt;0,),0)),IF(COUNTIF(AZ1363:BB1363,"&lt;&gt;0")=0,INDEX($AM$4:$AW$4,MATCH(1,$AM1363:$AW1363,0)),"Multiple strategies"))</f>
        <v>Technology</v>
      </c>
      <c r="BG1363" s="1" t="s">
        <v>229</v>
      </c>
      <c r="BM1363" t="str">
        <f>IFERROR(BL1363/BK1363,"")</f>
        <v/>
      </c>
      <c r="BP1363" t="s">
        <v>395</v>
      </c>
      <c r="BR1363" s="312" t="s">
        <v>3796</v>
      </c>
      <c r="BS1363">
        <v>483</v>
      </c>
      <c r="BT1363">
        <v>388</v>
      </c>
      <c r="BU1363" s="144">
        <f>BT1363/BS1363</f>
        <v>0.80331262939958592</v>
      </c>
      <c r="BV1363">
        <f>BT1363-BS1363</f>
        <v>-95</v>
      </c>
      <c r="BX1363">
        <f>BV1363/1000</f>
        <v>-9.5000000000000001E-2</v>
      </c>
      <c r="BY1363" t="str">
        <f>IFERROR(BX1363/BO1363,"")</f>
        <v/>
      </c>
      <c r="BZ1363">
        <v>0</v>
      </c>
      <c r="CA1363">
        <v>0</v>
      </c>
      <c r="CB1363">
        <v>0</v>
      </c>
      <c r="CC1363">
        <v>0</v>
      </c>
      <c r="CD1363">
        <v>0</v>
      </c>
      <c r="CE1363">
        <v>1</v>
      </c>
      <c r="CF1363">
        <v>0</v>
      </c>
      <c r="CG1363">
        <v>0</v>
      </c>
      <c r="CH1363">
        <v>0</v>
      </c>
      <c r="CI1363">
        <v>0</v>
      </c>
      <c r="CJ1363">
        <v>0</v>
      </c>
      <c r="CK1363">
        <v>0</v>
      </c>
      <c r="CL1363">
        <v>0</v>
      </c>
      <c r="CM1363">
        <v>0</v>
      </c>
      <c r="CN1363" t="str">
        <f>IF($BL1363&lt;$BK1363,"refNeedCorrection","refOK")</f>
        <v>refOK</v>
      </c>
      <c r="CO1363"/>
      <c r="CP1363"/>
      <c r="CQ1363"/>
      <c r="CR1363">
        <f>IF($CN1363="refOK",$BS1363,$BT1363)*IF($BP1363="Emissions positive",-1,1)</f>
        <v>-483</v>
      </c>
      <c r="CS1363">
        <f>IF($CN1363="refOK",$BT1363,$BS1363)*IF($BP1363="Emissions positive",-1,1)</f>
        <v>-388</v>
      </c>
      <c r="CT1363">
        <f>IF($CN1363="refNeedCorrection",-BX1363,BX1363)*IF($BP1363="Emissions positive",-1,1)</f>
        <v>9.5000000000000001E-2</v>
      </c>
      <c r="CU1363" t="str">
        <f>IFERROR(CT1363/CQ1363,"")</f>
        <v/>
      </c>
      <c r="CV1363" s="2">
        <f>IFERROR((CS1363-CR1363)/ABS(CR1363),"")</f>
        <v>0.19668737060041408</v>
      </c>
      <c r="CW1363" s="1" t="s">
        <v>3797</v>
      </c>
      <c r="CX1363" s="312" t="str">
        <f>IF(OR($CW1363="prd",$CW1363="std",$CW1363="cit"),"loc",IF(OR($CW1363="eur",$CW1363="reg",$CW1363="coy"),"reg",$CW1363))</f>
        <v>reg</v>
      </c>
      <c r="CY1363" t="s">
        <v>666</v>
      </c>
      <c r="DB1363">
        <v>80</v>
      </c>
      <c r="DC1363" t="str">
        <f>IF(DB1363=0,"0",IF(AND(DB1363&gt;=1,DB1363&lt;=30),"1-30",IF(AND(DB1363&gt;30,DB1363&lt;=70),"31-70",IF(AND(DB1363&gt;70,DB1363&lt;=100),"71-100",IF(DB1363&gt;100,"+100")))))</f>
        <v>71-100</v>
      </c>
      <c r="DD1363">
        <v>0</v>
      </c>
      <c r="DE1363">
        <v>0</v>
      </c>
      <c r="DF1363">
        <v>0</v>
      </c>
      <c r="DG1363">
        <v>1</v>
      </c>
      <c r="DH1363">
        <v>0</v>
      </c>
      <c r="DI1363">
        <f>SUM(DD1363:DH1363)</f>
        <v>1</v>
      </c>
      <c r="DJ1363" t="str">
        <f>IF(DI1363=1,INDEX($DD$7:$DG$7,MATCH(1,$DD1363:$DG1363,0)),"mixedProduct")</f>
        <v>TimberInput</v>
      </c>
      <c r="DK1363">
        <f>IF(DD1363=1,DK$7,0)</f>
        <v>0</v>
      </c>
      <c r="DL1363">
        <f>IF(DE1363=1,DL$7,0)</f>
        <v>0</v>
      </c>
      <c r="DM1363">
        <f>IF(DF1363=1,DM$7,0)</f>
        <v>0</v>
      </c>
      <c r="DN1363" t="str">
        <f>IF(DG1363=1,DN$7,0)</f>
        <v>Timber</v>
      </c>
      <c r="DO1363">
        <v>0</v>
      </c>
      <c r="DP1363">
        <v>0</v>
      </c>
      <c r="DQ1363">
        <v>0</v>
      </c>
      <c r="DR1363">
        <v>0</v>
      </c>
      <c r="DS1363">
        <v>0</v>
      </c>
      <c r="DT1363"/>
      <c r="DU1363" s="143" t="str">
        <f>IF(DO1363=1,"self-calculated DF",IF(DP1363=1,"external DF used","explicit C balance"))</f>
        <v>explicit C balance</v>
      </c>
      <c r="DV1363">
        <v>0</v>
      </c>
      <c r="DW1363">
        <v>0</v>
      </c>
      <c r="DX1363">
        <v>0</v>
      </c>
      <c r="DY1363">
        <v>0</v>
      </c>
      <c r="DZ1363">
        <v>0</v>
      </c>
      <c r="EA1363" s="143">
        <v>0</v>
      </c>
      <c r="EB1363">
        <v>0</v>
      </c>
      <c r="EC1363">
        <v>1</v>
      </c>
      <c r="ED1363">
        <v>1</v>
      </c>
      <c r="EE1363">
        <v>1</v>
      </c>
      <c r="EF1363">
        <v>0</v>
      </c>
      <c r="EG1363">
        <v>0</v>
      </c>
      <c r="EH1363">
        <v>0</v>
      </c>
      <c r="EI1363" s="2">
        <v>0</v>
      </c>
      <c r="EK1363" t="str">
        <f>IF(AND(AND(AND(OR($DX1363=1,$DW1363=1),OR($EC1363=1,$EA1363=1)),SUM($DV1363:$DZ1363,$EF1363)&gt;=3),SUM($EA1363:$EE1363)&gt;=2),"Whole sector","")</f>
        <v/>
      </c>
      <c r="EL1363" t="str">
        <f>IF(AND(AND(OR($DX1363=1,$DW1363=1),AND($EC1363=0,$EA1363=0)),SUM($DV1363:$DZ1363,$EF1363)&gt;=3),"Ecosystem approach","")</f>
        <v/>
      </c>
      <c r="EM1363" s="2" t="str">
        <f>IF(AND(AND(AND($DX1363=0,$DW1363=0),OR($EC1363=1,$EA1363=1)),SUM($EB1363:$EE1363)&gt;=2),"Technology approach","")</f>
        <v>Technology approach</v>
      </c>
      <c r="EP1363" t="b">
        <f>IF(ISNUMBER(BU1363),IF(ABS(BU1363-[5]QC_indicators!$B$2)&gt;3*[5]QC_indicators!$C$2,"C ratio",IF(ISNUMBER(BY1363),IF(ABS(BY1363-[5]QC_indicators!$B$1)&gt;3*[5]QC_indicators!$C$1,"DF","no"))),IF(ISNUMBER(BY1363),IF(ABS(BY1363-[5]QC_indicators!$B$1)&gt;3*[5]QC_indicators!$C$1,"DF","no")))</f>
        <v>0</v>
      </c>
    </row>
    <row r="1364" spans="1:148">
      <c r="A1364" s="1" t="s">
        <v>3798</v>
      </c>
      <c r="B1364" t="s">
        <v>3799</v>
      </c>
      <c r="C1364" t="s">
        <v>3800</v>
      </c>
      <c r="D1364" t="s">
        <v>3801</v>
      </c>
      <c r="E1364" t="s">
        <v>3802</v>
      </c>
      <c r="F1364" t="s">
        <v>3803</v>
      </c>
      <c r="G1364" t="s">
        <v>3804</v>
      </c>
      <c r="H1364" t="s">
        <v>254</v>
      </c>
      <c r="I1364">
        <v>2019</v>
      </c>
      <c r="J1364">
        <v>9</v>
      </c>
      <c r="K1364" t="s">
        <v>3805</v>
      </c>
      <c r="M1364" t="str">
        <f>LEFT($D1364,FIND(",",$D1364)-1)&amp;"_"&amp;I1364&amp;L1364</f>
        <v>Labelle_2019</v>
      </c>
      <c r="N1364" s="312" t="s">
        <v>4383</v>
      </c>
      <c r="O1364" s="145" t="s">
        <v>225</v>
      </c>
      <c r="Q1364" s="312" t="s">
        <v>256</v>
      </c>
      <c r="R1364" s="313"/>
      <c r="S1364" s="1" t="s">
        <v>3806</v>
      </c>
      <c r="T1364" t="s">
        <v>3807</v>
      </c>
      <c r="U1364" t="s">
        <v>3808</v>
      </c>
      <c r="V1364">
        <v>0</v>
      </c>
      <c r="W1364">
        <v>0</v>
      </c>
      <c r="X1364">
        <v>0</v>
      </c>
      <c r="Y1364">
        <v>0</v>
      </c>
      <c r="Z1364">
        <v>0</v>
      </c>
      <c r="AA1364">
        <v>0</v>
      </c>
      <c r="AB1364">
        <v>0</v>
      </c>
      <c r="AC1364">
        <v>0</v>
      </c>
      <c r="AD1364">
        <v>1</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s="141">
        <f>COUNTIF(V1364:AW1364,"&lt;&gt;0")</f>
        <v>1</v>
      </c>
      <c r="AY1364" s="141">
        <f>COUNTIF(V1364:AL1364,"&lt;&gt;0")</f>
        <v>1</v>
      </c>
      <c r="AZ1364">
        <f>COUNTIF(V1364:AC1364,"&lt;&gt;0")</f>
        <v>0</v>
      </c>
      <c r="BA1364">
        <f>COUNTIF(AD1364:AI1364,"&lt;&gt;0")</f>
        <v>1</v>
      </c>
      <c r="BB1364">
        <f>COUNTIF(AJ1364:AL1364,"&lt;&gt;0")</f>
        <v>0</v>
      </c>
      <c r="BC1364">
        <f>COUNTIF(AS1364:AW1364,"&lt;&gt;0")</f>
        <v>0</v>
      </c>
      <c r="BD1364">
        <f>COUNTIF(AM1364:AR1364,"&lt;&gt;0")</f>
        <v>0</v>
      </c>
      <c r="BE1364" t="str" cm="1">
        <f t="array" ref="BE1364">IF(AY1364=1,INDEX($V$7:$AL$7,MATCH(TRUE,INDEX($V1364:$AW1364&lt;&gt;0,),0)),IF(AY1364=0,INDEX($AM$7:$AW$7,MATCH(1,$AM1364:$AW1364,0)),IF(BF1364="Multiple strategies","mixed drivers",IF(BF1364="Supply chain","multiple supply","multiple silviculture"))))</f>
        <v>harvesting system</v>
      </c>
      <c r="BF1364" s="2" t="str" cm="1">
        <f t="array" ref="BF1364">IF(COUNTIF(AZ1364:BB1364,"&lt;&gt;0")=1,INDEX($V$4:$AW$4,MATCH(TRUE,INDEX($V1364:$AW1364&lt;&gt;0,),0)),IF(COUNTIF(AZ1364:BB1364,"&lt;&gt;0")=0,INDEX($AM$4:$AW$4,MATCH(1,$AM1364:$AW1364,0)),"Multiple strategies"))</f>
        <v>Supply chain</v>
      </c>
      <c r="BG1364" s="142"/>
      <c r="BJ1364" s="143"/>
      <c r="BL1364" s="143"/>
      <c r="BM1364" s="163"/>
      <c r="BN1364" s="158"/>
      <c r="BO1364" s="143"/>
      <c r="BP1364" s="312" t="s">
        <v>232</v>
      </c>
      <c r="BQ1364" s="312"/>
      <c r="BR1364" t="s">
        <v>3809</v>
      </c>
      <c r="BS1364" s="323">
        <v>-4.4180000000000001</v>
      </c>
      <c r="BT1364" s="324">
        <v>-3.0760000000000001</v>
      </c>
      <c r="BU1364" s="144">
        <v>0.69624264373019462</v>
      </c>
      <c r="BV1364" s="324">
        <f>BT1364-BS1364</f>
        <v>1.3420000000000001</v>
      </c>
      <c r="BX1364">
        <f>BV1364/10^3</f>
        <v>1.3420000000000001E-3</v>
      </c>
      <c r="BY1364" t="str">
        <f>IFERROR(BX1364/BO1364,"")</f>
        <v/>
      </c>
      <c r="BZ1364">
        <v>0</v>
      </c>
      <c r="CA1364">
        <v>0</v>
      </c>
      <c r="CB1364">
        <v>0</v>
      </c>
      <c r="CC1364">
        <v>0</v>
      </c>
      <c r="CD1364">
        <v>0</v>
      </c>
      <c r="CE1364">
        <v>0</v>
      </c>
      <c r="CF1364">
        <v>0</v>
      </c>
      <c r="CG1364">
        <v>0</v>
      </c>
      <c r="CH1364">
        <v>0</v>
      </c>
      <c r="CI1364">
        <v>0</v>
      </c>
      <c r="CJ1364">
        <v>0</v>
      </c>
      <c r="CK1364">
        <v>0</v>
      </c>
      <c r="CL1364">
        <v>0</v>
      </c>
      <c r="CM1364">
        <v>0</v>
      </c>
      <c r="CN1364" t="str">
        <f>IF(BL1364&lt;BK1364,"refNeedCorrection","refOK")</f>
        <v>refOK</v>
      </c>
      <c r="CO1364"/>
      <c r="CP1364"/>
      <c r="CQ1364"/>
      <c r="CR1364">
        <f>IF($CN1364="refOK",$BS1364,$BT1364)*IF($BP1364="Emissions positive",-1,1)</f>
        <v>-4.4180000000000001</v>
      </c>
      <c r="CS1364">
        <f>IF($CN1364="refOK",$BT1364,$BS1364)*IF($BP1364="Emissions positive",-1,1)</f>
        <v>-3.0760000000000001</v>
      </c>
      <c r="CT1364">
        <f>IF($CN1364="refNeedCorrection",-BX1364,BX1364)*IF($BP1364="Emissions positive",-1,1)</f>
        <v>1.3420000000000001E-3</v>
      </c>
      <c r="CU1364" t="str">
        <f>IFERROR(CT1364/CQ1364,"")</f>
        <v/>
      </c>
      <c r="CV1364" s="2">
        <f>IFERROR((CS1364-CR1364)/ABS(CR1364),"")</f>
        <v>0.30375735626980532</v>
      </c>
      <c r="CW1364" s="1" t="s">
        <v>1199</v>
      </c>
      <c r="CX1364" s="312" t="str">
        <f>IF(OR($CW1364="prd",$CW1364="std",$CW1364="cit"),"loc",IF(OR($CW1364="eur",$CW1364="reg",$CW1364="coy"),"reg",$CW1364))</f>
        <v>reg</v>
      </c>
      <c r="CY1364" t="s">
        <v>1301</v>
      </c>
      <c r="CZ1364">
        <v>2016</v>
      </c>
      <c r="DA1364" s="143">
        <v>2016</v>
      </c>
      <c r="DB1364" s="143">
        <v>1</v>
      </c>
      <c r="DC1364" t="str">
        <f>IF(DB1364=0,"0",IF(AND(DB1364&gt;=1,DB1364&lt;=30),"1-30",IF(AND(DB1364&gt;30,DB1364&lt;=70),"31-70",IF(AND(DB1364&gt;70,DB1364&lt;=100),"71-100",IF(DB1364&gt;100,"+100")))))</f>
        <v>1-30</v>
      </c>
      <c r="DD1364">
        <v>0</v>
      </c>
      <c r="DE1364">
        <v>0</v>
      </c>
      <c r="DF1364">
        <v>0</v>
      </c>
      <c r="DG1364">
        <v>0</v>
      </c>
      <c r="DI1364">
        <f>SUM(DD1364:DG1364)</f>
        <v>0</v>
      </c>
      <c r="DJ1364" t="str">
        <f>IF(DI1364=1,INDEX($DD$7:$DG$7,MATCH(1,$DD1364:$DG1364,0)),"mixedProduct")</f>
        <v>mixedProduct</v>
      </c>
      <c r="DK1364">
        <f>IF(DD1364=1,DK$7,0)</f>
        <v>0</v>
      </c>
      <c r="DL1364">
        <f>IF(DE1364=1,DL$7,0)</f>
        <v>0</v>
      </c>
      <c r="DM1364">
        <f>IF(DF1364=1,DM$7,0)</f>
        <v>0</v>
      </c>
      <c r="DN1364">
        <f>IF(DG1364=1,DN$7,0)</f>
        <v>0</v>
      </c>
      <c r="DO1364">
        <v>0</v>
      </c>
      <c r="DP1364" s="143">
        <v>0</v>
      </c>
      <c r="DQ1364" s="143">
        <v>0</v>
      </c>
      <c r="DR1364">
        <v>0</v>
      </c>
      <c r="DS1364" s="143">
        <v>0</v>
      </c>
      <c r="DT1364">
        <f>SUM(DO1364:DP1364)</f>
        <v>0</v>
      </c>
      <c r="DU1364" s="143" t="str">
        <f>IF(DO1364=1,"self-calculated DF",IF(DP1364=1,"external DF used","explicit C balance"))</f>
        <v>explicit C balance</v>
      </c>
      <c r="DV1364" s="143">
        <v>0</v>
      </c>
      <c r="DW1364" s="143">
        <v>0</v>
      </c>
      <c r="DX1364" s="143">
        <v>0</v>
      </c>
      <c r="DY1364" s="143">
        <v>0</v>
      </c>
      <c r="DZ1364">
        <v>0</v>
      </c>
      <c r="EA1364" s="143">
        <v>0</v>
      </c>
      <c r="EB1364" s="143">
        <v>1</v>
      </c>
      <c r="EC1364" s="143">
        <v>0</v>
      </c>
      <c r="ED1364" s="143">
        <v>0</v>
      </c>
      <c r="EE1364">
        <v>0</v>
      </c>
      <c r="EF1364">
        <v>0</v>
      </c>
      <c r="EG1364" s="143">
        <v>0</v>
      </c>
      <c r="EH1364">
        <v>0</v>
      </c>
      <c r="EI1364" s="2">
        <v>0</v>
      </c>
      <c r="EK1364" t="str">
        <f>IF(AND(AND(AND(OR($DX1364=1,$DW1364=1),OR($EC1364=1,$EA1364=1)),SUM($DV1364:$DZ1364,$EF1364)&gt;=3),SUM($EA1364:$EE1364)&gt;=2),"Whole sector","")</f>
        <v/>
      </c>
      <c r="EL1364" t="str">
        <f>IF(AND(AND(OR($DX1364=1,$DW1364=1),AND($EC1364=0,$EA1364=0)),SUM($DV1364:$DZ1364,$EF1364)&gt;=3),"Ecosystem approach","")</f>
        <v/>
      </c>
      <c r="EM1364" s="2" t="str">
        <f>IF(AND(AND(AND($DX1364=0,$DW1364=0),OR($EC1364=1,$EA1364=1)),SUM($EB1364:$EE1364)&gt;=2),"Technology approach","")</f>
        <v/>
      </c>
      <c r="EP1364" t="b">
        <f>IF(ISNUMBER(BU1364),IF(ABS(BU1364-[5]QC_indicators!$B$2)&gt;3*[5]QC_indicators!$C$2,"C ratio",IF(ISNUMBER(BY1364),IF(ABS(BY1364-[5]QC_indicators!$B$1)&gt;3*[5]QC_indicators!$C$1,"DF","no"))),IF(ISNUMBER(BY1364),IF(ABS(BY1364-[5]QC_indicators!$B$1)&gt;3*[5]QC_indicators!$C$1,"DF","no")))</f>
        <v>0</v>
      </c>
      <c r="ER1364" s="314" t="s">
        <v>349</v>
      </c>
    </row>
    <row r="1365" spans="1:148" ht="15" customHeight="1">
      <c r="A1365" s="1" t="s">
        <v>3798</v>
      </c>
      <c r="B1365" t="s">
        <v>3799</v>
      </c>
      <c r="C1365" t="s">
        <v>3800</v>
      </c>
      <c r="D1365" t="s">
        <v>3801</v>
      </c>
      <c r="E1365" t="s">
        <v>3802</v>
      </c>
      <c r="F1365" t="s">
        <v>3803</v>
      </c>
      <c r="G1365" t="s">
        <v>3804</v>
      </c>
      <c r="H1365" t="s">
        <v>254</v>
      </c>
      <c r="I1365">
        <v>2019</v>
      </c>
      <c r="J1365">
        <v>9</v>
      </c>
      <c r="K1365" t="s">
        <v>3805</v>
      </c>
      <c r="M1365" t="str">
        <f>LEFT($D1365,FIND(",",$D1365)-1)&amp;"_"&amp;I1365&amp;L1365</f>
        <v>Labelle_2019</v>
      </c>
      <c r="N1365" s="312" t="s">
        <v>4383</v>
      </c>
      <c r="O1365" s="145" t="s">
        <v>225</v>
      </c>
      <c r="Q1365" s="312" t="s">
        <v>256</v>
      </c>
      <c r="R1365" s="313"/>
      <c r="S1365" s="1" t="s">
        <v>3806</v>
      </c>
      <c r="T1365" t="s">
        <v>3807</v>
      </c>
      <c r="U1365" t="s">
        <v>3810</v>
      </c>
      <c r="V1365">
        <v>0</v>
      </c>
      <c r="W1365">
        <v>0</v>
      </c>
      <c r="X1365">
        <v>0</v>
      </c>
      <c r="Y1365">
        <v>0</v>
      </c>
      <c r="Z1365">
        <v>0</v>
      </c>
      <c r="AA1365">
        <v>0</v>
      </c>
      <c r="AB1365">
        <v>0</v>
      </c>
      <c r="AC1365">
        <v>0</v>
      </c>
      <c r="AD1365">
        <v>1</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s="141">
        <f>COUNTIF(V1365:AW1365,"&lt;&gt;0")</f>
        <v>1</v>
      </c>
      <c r="AY1365" s="141">
        <f>COUNTIF(V1365:AL1365,"&lt;&gt;0")</f>
        <v>1</v>
      </c>
      <c r="AZ1365">
        <f>COUNTIF(V1365:AC1365,"&lt;&gt;0")</f>
        <v>0</v>
      </c>
      <c r="BA1365">
        <f>COUNTIF(AD1365:AI1365,"&lt;&gt;0")</f>
        <v>1</v>
      </c>
      <c r="BB1365">
        <f>COUNTIF(AJ1365:AL1365,"&lt;&gt;0")</f>
        <v>0</v>
      </c>
      <c r="BC1365">
        <f>COUNTIF(AS1365:AW1365,"&lt;&gt;0")</f>
        <v>0</v>
      </c>
      <c r="BD1365">
        <f>COUNTIF(AM1365:AR1365,"&lt;&gt;0")</f>
        <v>0</v>
      </c>
      <c r="BE1365" t="str" cm="1">
        <f t="array" ref="BE1365">IF(AY1365=1,INDEX($V$7:$AL$7,MATCH(TRUE,INDEX($V1365:$AW1365&lt;&gt;0,),0)),IF(AY1365=0,INDEX($AM$7:$AW$7,MATCH(1,$AM1365:$AW1365,0)),IF(BF1365="Multiple strategies","mixed drivers",IF(BF1365="Supply chain","multiple supply","multiple silviculture"))))</f>
        <v>harvesting system</v>
      </c>
      <c r="BF1365" s="2" t="str" cm="1">
        <f t="array" ref="BF1365">IF(COUNTIF(AZ1365:BB1365,"&lt;&gt;0")=1,INDEX($V$4:$AW$4,MATCH(TRUE,INDEX($V1365:$AW1365&lt;&gt;0,),0)),IF(COUNTIF(AZ1365:BB1365,"&lt;&gt;0")=0,INDEX($AM$4:$AW$4,MATCH(1,$AM1365:$AW1365,0)),"Multiple strategies"))</f>
        <v>Supply chain</v>
      </c>
      <c r="BG1365" s="142"/>
      <c r="BJ1365" s="143"/>
      <c r="BL1365" s="143"/>
      <c r="BM1365" s="163"/>
      <c r="BN1365" s="158"/>
      <c r="BO1365" s="143"/>
      <c r="BP1365" s="312" t="s">
        <v>232</v>
      </c>
      <c r="BQ1365" s="312"/>
      <c r="BR1365" t="s">
        <v>3809</v>
      </c>
      <c r="BS1365" s="323">
        <v>-4.4180000000000001</v>
      </c>
      <c r="BT1365">
        <v>-2.1970000000000001</v>
      </c>
      <c r="BU1365" s="144">
        <v>0.49728383884110455</v>
      </c>
      <c r="BV1365" s="324">
        <f>BT1365-BS1365</f>
        <v>2.2210000000000001</v>
      </c>
      <c r="BX1365">
        <f>BV1365/10^3</f>
        <v>2.2209999999999999E-3</v>
      </c>
      <c r="BY1365" t="str">
        <f>IFERROR(BX1365/BO1365,"")</f>
        <v/>
      </c>
      <c r="BZ1365">
        <v>0</v>
      </c>
      <c r="CA1365">
        <v>0</v>
      </c>
      <c r="CB1365">
        <v>0</v>
      </c>
      <c r="CC1365">
        <v>0</v>
      </c>
      <c r="CD1365">
        <v>0</v>
      </c>
      <c r="CE1365">
        <v>0</v>
      </c>
      <c r="CF1365">
        <v>0</v>
      </c>
      <c r="CG1365">
        <v>0</v>
      </c>
      <c r="CH1365">
        <v>0</v>
      </c>
      <c r="CI1365">
        <v>0</v>
      </c>
      <c r="CJ1365">
        <v>0</v>
      </c>
      <c r="CK1365">
        <v>0</v>
      </c>
      <c r="CL1365">
        <v>0</v>
      </c>
      <c r="CM1365">
        <v>0</v>
      </c>
      <c r="CN1365" t="str">
        <f>IF(BL1365&lt;BK1365,"refNeedCorrection","refOK")</f>
        <v>refOK</v>
      </c>
      <c r="CO1365"/>
      <c r="CP1365"/>
      <c r="CQ1365"/>
      <c r="CR1365">
        <f>IF($CN1365="refOK",$BS1365,$BT1365)*IF($BP1365="Emissions positive",-1,1)</f>
        <v>-4.4180000000000001</v>
      </c>
      <c r="CS1365">
        <f>IF($CN1365="refOK",$BT1365,$BS1365)*IF($BP1365="Emissions positive",-1,1)</f>
        <v>-2.1970000000000001</v>
      </c>
      <c r="CT1365">
        <f>IF($CN1365="refNeedCorrection",-BX1365,BX1365)*IF($BP1365="Emissions positive",-1,1)</f>
        <v>2.2209999999999999E-3</v>
      </c>
      <c r="CU1365" t="str">
        <f>IFERROR(CT1365/CQ1365,"")</f>
        <v/>
      </c>
      <c r="CV1365" s="2">
        <f>IFERROR((CS1365-CR1365)/ABS(CR1365),"")</f>
        <v>0.50271616115889539</v>
      </c>
      <c r="CW1365" s="1" t="s">
        <v>1199</v>
      </c>
      <c r="CX1365" s="312" t="str">
        <f>IF(OR($CW1365="prd",$CW1365="std",$CW1365="cit"),"loc",IF(OR($CW1365="eur",$CW1365="reg",$CW1365="coy"),"reg",$CW1365))</f>
        <v>reg</v>
      </c>
      <c r="CY1365" t="s">
        <v>1301</v>
      </c>
      <c r="CZ1365">
        <v>2016</v>
      </c>
      <c r="DA1365" s="143">
        <v>2016</v>
      </c>
      <c r="DB1365" s="143">
        <v>1</v>
      </c>
      <c r="DC1365" t="str">
        <f>IF(DB1365=0,"0",IF(AND(DB1365&gt;=1,DB1365&lt;=30),"1-30",IF(AND(DB1365&gt;30,DB1365&lt;=70),"31-70",IF(AND(DB1365&gt;70,DB1365&lt;=100),"71-100",IF(DB1365&gt;100,"+100")))))</f>
        <v>1-30</v>
      </c>
      <c r="DD1365">
        <v>0</v>
      </c>
      <c r="DE1365">
        <v>0</v>
      </c>
      <c r="DF1365">
        <v>0</v>
      </c>
      <c r="DG1365">
        <v>0</v>
      </c>
      <c r="DI1365">
        <f>SUM(DD1365:DG1365)</f>
        <v>0</v>
      </c>
      <c r="DJ1365" t="str">
        <f>IF(DI1365=1,INDEX($DD$7:$DG$7,MATCH(1,$DD1365:$DG1365,0)),"mixedProduct")</f>
        <v>mixedProduct</v>
      </c>
      <c r="DK1365">
        <f>IF(DD1365=1,DK$7,0)</f>
        <v>0</v>
      </c>
      <c r="DL1365">
        <f>IF(DE1365=1,DL$7,0)</f>
        <v>0</v>
      </c>
      <c r="DM1365">
        <f>IF(DF1365=1,DM$7,0)</f>
        <v>0</v>
      </c>
      <c r="DN1365">
        <f>IF(DG1365=1,DN$7,0)</f>
        <v>0</v>
      </c>
      <c r="DO1365">
        <v>0</v>
      </c>
      <c r="DP1365" s="143">
        <v>0</v>
      </c>
      <c r="DQ1365" s="143">
        <v>0</v>
      </c>
      <c r="DR1365">
        <v>0</v>
      </c>
      <c r="DS1365" s="143">
        <v>0</v>
      </c>
      <c r="DT1365">
        <f>SUM(DO1365:DP1365)</f>
        <v>0</v>
      </c>
      <c r="DU1365" s="143" t="str">
        <f>IF(DO1365=1,"self-calculated DF",IF(DP1365=1,"external DF used","explicit C balance"))</f>
        <v>explicit C balance</v>
      </c>
      <c r="DV1365" s="143">
        <v>0</v>
      </c>
      <c r="DW1365" s="143">
        <v>0</v>
      </c>
      <c r="DX1365" s="143">
        <v>0</v>
      </c>
      <c r="DY1365" s="143">
        <v>0</v>
      </c>
      <c r="DZ1365">
        <v>0</v>
      </c>
      <c r="EA1365" s="143">
        <v>0</v>
      </c>
      <c r="EB1365" s="143">
        <v>1</v>
      </c>
      <c r="EC1365" s="143">
        <v>0</v>
      </c>
      <c r="ED1365" s="143">
        <v>0</v>
      </c>
      <c r="EE1365">
        <v>0</v>
      </c>
      <c r="EF1365">
        <v>0</v>
      </c>
      <c r="EG1365" s="143">
        <v>0</v>
      </c>
      <c r="EH1365">
        <v>0</v>
      </c>
      <c r="EI1365" s="2">
        <v>0</v>
      </c>
      <c r="EK1365" t="str">
        <f>IF(AND(AND(AND(OR($DX1365=1,$DW1365=1),OR($EC1365=1,$EA1365=1)),SUM($DV1365:$DZ1365,$EF1365)&gt;=3),SUM($EA1365:$EE1365)&gt;=2),"Whole sector","")</f>
        <v/>
      </c>
      <c r="EL1365" t="str">
        <f>IF(AND(AND(OR($DX1365=1,$DW1365=1),AND($EC1365=0,$EA1365=0)),SUM($DV1365:$DZ1365,$EF1365)&gt;=3),"Ecosystem approach","")</f>
        <v/>
      </c>
      <c r="EM1365" s="2" t="str">
        <f>IF(AND(AND(AND($DX1365=0,$DW1365=0),OR($EC1365=1,$EA1365=1)),SUM($EB1365:$EE1365)&gt;=2),"Technology approach","")</f>
        <v/>
      </c>
      <c r="EP1365" t="b">
        <f>IF(ISNUMBER(BU1365),IF(ABS(BU1365-[5]QC_indicators!$B$2)&gt;3*[5]QC_indicators!$C$2,"C ratio",IF(ISNUMBER(BY1365),IF(ABS(BY1365-[5]QC_indicators!$B$1)&gt;3*[5]QC_indicators!$C$1,"DF","no"))),IF(ISNUMBER(BY1365),IF(ABS(BY1365-[5]QC_indicators!$B$1)&gt;3*[5]QC_indicators!$C$1,"DF","no")))</f>
        <v>0</v>
      </c>
      <c r="ER1365" s="314" t="s">
        <v>349</v>
      </c>
    </row>
    <row r="1366" spans="1:148" ht="15" customHeight="1">
      <c r="A1366" s="1" t="s">
        <v>656</v>
      </c>
      <c r="B1366" t="s">
        <v>3811</v>
      </c>
      <c r="C1366" t="s">
        <v>3812</v>
      </c>
      <c r="D1366" t="s">
        <v>3813</v>
      </c>
      <c r="E1366" t="s">
        <v>3814</v>
      </c>
      <c r="F1366" t="s">
        <v>3815</v>
      </c>
      <c r="G1366" t="s">
        <v>662</v>
      </c>
      <c r="H1366" t="s">
        <v>254</v>
      </c>
      <c r="I1366">
        <v>2021</v>
      </c>
      <c r="J1366">
        <v>2</v>
      </c>
      <c r="K1366" t="s">
        <v>3816</v>
      </c>
      <c r="M1366" t="str">
        <f>LEFT($D1366,FIND(",",$D1366)-1)&amp;"_"&amp;I1366&amp;L1366</f>
        <v>Liang_2021</v>
      </c>
      <c r="N1366" s="312" t="s">
        <v>4383</v>
      </c>
      <c r="O1366" s="145" t="s">
        <v>225</v>
      </c>
      <c r="Q1366" s="312" t="s">
        <v>256</v>
      </c>
      <c r="R1366" s="313"/>
      <c r="S1366" s="1" t="s">
        <v>3817</v>
      </c>
      <c r="T1366" s="143" t="s">
        <v>3818</v>
      </c>
      <c r="U1366" s="143" t="s">
        <v>3819</v>
      </c>
      <c r="V1366">
        <v>0</v>
      </c>
      <c r="W1366">
        <v>0</v>
      </c>
      <c r="X1366">
        <v>0</v>
      </c>
      <c r="Y1366">
        <v>0</v>
      </c>
      <c r="Z1366">
        <v>0</v>
      </c>
      <c r="AA1366">
        <v>0</v>
      </c>
      <c r="AB1366">
        <v>0</v>
      </c>
      <c r="AC1366">
        <v>0</v>
      </c>
      <c r="AD1366">
        <v>0</v>
      </c>
      <c r="AE1366">
        <v>0</v>
      </c>
      <c r="AF1366">
        <v>0</v>
      </c>
      <c r="AG1366">
        <v>0</v>
      </c>
      <c r="AH1366">
        <v>1</v>
      </c>
      <c r="AI1366">
        <v>0</v>
      </c>
      <c r="AJ1366">
        <v>0</v>
      </c>
      <c r="AK1366">
        <v>0</v>
      </c>
      <c r="AL1366">
        <v>0</v>
      </c>
      <c r="AM1366">
        <v>0</v>
      </c>
      <c r="AN1366">
        <v>0</v>
      </c>
      <c r="AO1366">
        <v>0</v>
      </c>
      <c r="AP1366">
        <v>0</v>
      </c>
      <c r="AQ1366">
        <v>0</v>
      </c>
      <c r="AR1366">
        <v>0</v>
      </c>
      <c r="AS1366">
        <v>0</v>
      </c>
      <c r="AT1366">
        <v>0</v>
      </c>
      <c r="AU1366">
        <v>0</v>
      </c>
      <c r="AV1366">
        <v>0</v>
      </c>
      <c r="AW1366">
        <v>0</v>
      </c>
      <c r="AX1366" s="141">
        <f>COUNTIF(V1366:AW1366,"&lt;&gt;0")</f>
        <v>1</v>
      </c>
      <c r="AY1366" s="141">
        <f>COUNTIF(V1366:AL1366,"&lt;&gt;0")</f>
        <v>1</v>
      </c>
      <c r="AZ1366">
        <f>COUNTIF(V1366:AC1366,"&lt;&gt;0")</f>
        <v>0</v>
      </c>
      <c r="BA1366">
        <f>COUNTIF(AD1366:AI1366,"&lt;&gt;0")</f>
        <v>1</v>
      </c>
      <c r="BB1366">
        <f>COUNTIF(AJ1366:AL1366,"&lt;&gt;0")</f>
        <v>0</v>
      </c>
      <c r="BC1366">
        <f>COUNTIF(AS1366:AW1366,"&lt;&gt;0")</f>
        <v>0</v>
      </c>
      <c r="BD1366">
        <f>COUNTIF(AM1366:AR1366,"&lt;&gt;0")</f>
        <v>0</v>
      </c>
      <c r="BE1366" t="str" cm="1">
        <f t="array" ref="BE1366">IF(AY1366=1,INDEX($V$7:$AL$7,MATCH(TRUE,INDEX($V1366:$AW1366&lt;&gt;0,),0)),IF(AY1366=0,INDEX($AM$7:$AW$7,MATCH(1,$AM1366:$AW1366,0)),IF(BF1366="Multiple strategies","mixed drivers",IF(BF1366="Supply chain","multiple supply","multiple silviculture"))))</f>
        <v xml:space="preserve">end of life disposal </v>
      </c>
      <c r="BF1366" s="2" t="str" cm="1">
        <f t="array" ref="BF1366">IF(COUNTIF(AZ1366:BB1366,"&lt;&gt;0")=1,INDEX($V$4:$AW$4,MATCH(TRUE,INDEX($V1366:$AW1366&lt;&gt;0,),0)),IF(COUNTIF(AZ1366:BB1366,"&lt;&gt;0")=0,INDEX($AM$4:$AW$4,MATCH(1,$AM1366:$AW1366,0)),"Multiple strategies"))</f>
        <v>Supply chain</v>
      </c>
      <c r="BG1366" s="142"/>
      <c r="BJ1366" s="143"/>
      <c r="BL1366" s="143"/>
      <c r="BM1366" s="163"/>
      <c r="BN1366" s="158"/>
      <c r="BO1366" s="143"/>
      <c r="BP1366" s="312" t="s">
        <v>232</v>
      </c>
      <c r="BQ1366" s="312"/>
      <c r="BR1366" t="s">
        <v>3820</v>
      </c>
      <c r="BS1366">
        <v>-273</v>
      </c>
      <c r="BT1366">
        <v>-186</v>
      </c>
      <c r="BU1366" s="144">
        <v>0.68131868131868134</v>
      </c>
      <c r="BV1366">
        <v>87</v>
      </c>
      <c r="BX1366">
        <v>-8.6999999999999994E-2</v>
      </c>
      <c r="BY1366" t="str">
        <f>IFERROR(BX1366/BO1366,"")</f>
        <v/>
      </c>
      <c r="BZ1366">
        <v>0</v>
      </c>
      <c r="CA1366">
        <v>0</v>
      </c>
      <c r="CB1366">
        <v>0</v>
      </c>
      <c r="CC1366">
        <v>0</v>
      </c>
      <c r="CD1366">
        <v>0</v>
      </c>
      <c r="CE1366">
        <v>0</v>
      </c>
      <c r="CF1366">
        <v>0</v>
      </c>
      <c r="CG1366">
        <v>0</v>
      </c>
      <c r="CH1366">
        <v>0</v>
      </c>
      <c r="CI1366">
        <v>0</v>
      </c>
      <c r="CJ1366">
        <v>0</v>
      </c>
      <c r="CK1366">
        <v>0</v>
      </c>
      <c r="CL1366">
        <v>0</v>
      </c>
      <c r="CM1366">
        <v>0</v>
      </c>
      <c r="CN1366" t="str">
        <f>IF(BL1366&lt;BK1366,"refNeedCorrection","refOK")</f>
        <v>refOK</v>
      </c>
      <c r="CO1366"/>
      <c r="CP1366"/>
      <c r="CQ1366"/>
      <c r="CR1366">
        <f>IF($CN1366="refOK",$BS1366,$BT1366)*IF($BP1366="Emissions positive",-1,1)</f>
        <v>-273</v>
      </c>
      <c r="CS1366">
        <f>IF($CN1366="refOK",$BT1366,$BS1366)*IF($BP1366="Emissions positive",-1,1)</f>
        <v>-186</v>
      </c>
      <c r="CT1366">
        <f>IF($CN1366="refNeedCorrection",-BX1366,BX1366)*IF($BP1366="Emissions positive",-1,1)</f>
        <v>-8.6999999999999994E-2</v>
      </c>
      <c r="CU1366" t="str">
        <f>IFERROR(CT1366/CQ1366,"")</f>
        <v/>
      </c>
      <c r="CV1366" s="2">
        <f>IFERROR((CS1366-CR1366)/ABS(CR1366),"")</f>
        <v>0.31868131868131866</v>
      </c>
      <c r="CW1366" s="1" t="s">
        <v>1203</v>
      </c>
      <c r="CX1366" s="312" t="str">
        <f>IF(OR($CW1366="prd",$CW1366="std",$CW1366="cit"),"loc",IF(OR($CW1366="eur",$CW1366="reg",$CW1366="coy"),"reg",$CW1366))</f>
        <v>reg</v>
      </c>
      <c r="CY1366" t="s">
        <v>428</v>
      </c>
      <c r="DA1366" s="143"/>
      <c r="DB1366" s="143">
        <v>60</v>
      </c>
      <c r="DC1366" t="str">
        <f>IF(DB1366=0,"0",IF(AND(DB1366&gt;=1,DB1366&lt;=30),"1-30",IF(AND(DB1366&gt;30,DB1366&lt;=70),"31-70",IF(AND(DB1366&gt;70,DB1366&lt;=100),"71-100",IF(DB1366&gt;100,"+100")))))</f>
        <v>31-70</v>
      </c>
      <c r="DD1366">
        <v>0</v>
      </c>
      <c r="DE1366">
        <v>0</v>
      </c>
      <c r="DF1366">
        <v>0</v>
      </c>
      <c r="DG1366">
        <v>1</v>
      </c>
      <c r="DI1366">
        <f>SUM(DD1366:DG1366)</f>
        <v>1</v>
      </c>
      <c r="DJ1366" t="str">
        <f>IF(DI1366=1,INDEX($DD$7:$DG$7,MATCH(1,$DD1366:$DG1366,0)),"mixedProduct")</f>
        <v>TimberInput</v>
      </c>
      <c r="DK1366">
        <f>IF(DD1366=1,DK$7,0)</f>
        <v>0</v>
      </c>
      <c r="DL1366">
        <f>IF(DE1366=1,DL$7,0)</f>
        <v>0</v>
      </c>
      <c r="DM1366">
        <f>IF(DF1366=1,DM$7,0)</f>
        <v>0</v>
      </c>
      <c r="DN1366" t="str">
        <f>IF(DG1366=1,DN$7,0)</f>
        <v>Timber</v>
      </c>
      <c r="DO1366">
        <v>0</v>
      </c>
      <c r="DP1366" s="143">
        <v>0</v>
      </c>
      <c r="DQ1366" s="143">
        <v>0</v>
      </c>
      <c r="DR1366">
        <v>0</v>
      </c>
      <c r="DS1366" s="143">
        <v>0</v>
      </c>
      <c r="DT1366">
        <f>SUM(DO1366:DP1366)</f>
        <v>0</v>
      </c>
      <c r="DU1366" s="143" t="str">
        <f>IF(DO1366=1,"self-calculated DF",IF(DP1366=1,"external DF used","explicit C balance"))</f>
        <v>explicit C balance</v>
      </c>
      <c r="DV1366" s="143">
        <v>0</v>
      </c>
      <c r="DW1366" s="143">
        <v>0</v>
      </c>
      <c r="DX1366" s="143">
        <v>0</v>
      </c>
      <c r="DY1366" s="143">
        <v>1</v>
      </c>
      <c r="DZ1366">
        <v>1</v>
      </c>
      <c r="EA1366" s="143">
        <v>1</v>
      </c>
      <c r="EB1366" s="143">
        <v>1</v>
      </c>
      <c r="EC1366" s="143">
        <v>1</v>
      </c>
      <c r="ED1366" s="143">
        <v>1</v>
      </c>
      <c r="EE1366" s="143">
        <v>1</v>
      </c>
      <c r="EF1366">
        <v>0</v>
      </c>
      <c r="EG1366" s="143">
        <v>0</v>
      </c>
      <c r="EH1366">
        <v>0</v>
      </c>
      <c r="EI1366" s="2">
        <v>0</v>
      </c>
      <c r="EK1366" t="str">
        <f>IF(AND(AND(AND(OR($DX1366=1,$DW1366=1),OR($EC1366=1,$EA1366=1)),SUM($DV1366:$DZ1366,$EF1366)&gt;=3),SUM($EA1366:$EE1366)&gt;=2),"Whole sector","")</f>
        <v/>
      </c>
      <c r="EL1366" t="str">
        <f>IF(AND(AND(OR($DX1366=1,$DW1366=1),AND($EC1366=0,$EA1366=0)),SUM($DV1366:$DZ1366,$EF1366)&gt;=3),"Ecosystem approach","")</f>
        <v/>
      </c>
      <c r="EM1366" s="2" t="str">
        <f>IF(AND(AND(AND($DX1366=0,$DW1366=0),OR($EC1366=1,$EA1366=1)),SUM($EB1366:$EE1366)&gt;=2),"Technology approach","")</f>
        <v>Technology approach</v>
      </c>
      <c r="EP1366" t="b">
        <f>IF(ISNUMBER(BU1366),IF(ABS(BU1366-[5]QC_indicators!$B$2)&gt;3*[5]QC_indicators!$C$2,"C ratio",IF(ISNUMBER(BY1366),IF(ABS(BY1366-[5]QC_indicators!$B$1)&gt;3*[5]QC_indicators!$C$1,"DF","no"))),IF(ISNUMBER(BY1366),IF(ABS(BY1366-[5]QC_indicators!$B$1)&gt;3*[5]QC_indicators!$C$1,"DF","no")))</f>
        <v>0</v>
      </c>
      <c r="ER1366" s="314" t="s">
        <v>349</v>
      </c>
    </row>
    <row r="1367" spans="1:148" ht="15" customHeight="1">
      <c r="A1367" s="1" t="s">
        <v>656</v>
      </c>
      <c r="B1367" t="s">
        <v>3811</v>
      </c>
      <c r="C1367" t="s">
        <v>3812</v>
      </c>
      <c r="D1367" t="s">
        <v>3813</v>
      </c>
      <c r="E1367" t="s">
        <v>3814</v>
      </c>
      <c r="F1367" t="s">
        <v>3815</v>
      </c>
      <c r="G1367" t="s">
        <v>662</v>
      </c>
      <c r="H1367" t="s">
        <v>254</v>
      </c>
      <c r="I1367">
        <v>2021</v>
      </c>
      <c r="J1367">
        <v>2</v>
      </c>
      <c r="K1367" t="s">
        <v>3816</v>
      </c>
      <c r="M1367" t="str">
        <f>LEFT($D1367,FIND(",",$D1367)-1)&amp;"_"&amp;I1367&amp;L1367</f>
        <v>Liang_2021</v>
      </c>
      <c r="N1367" s="312" t="s">
        <v>4383</v>
      </c>
      <c r="O1367" s="145" t="s">
        <v>225</v>
      </c>
      <c r="Q1367" s="312" t="s">
        <v>256</v>
      </c>
      <c r="R1367" s="313"/>
      <c r="S1367" s="1" t="s">
        <v>3817</v>
      </c>
      <c r="T1367" s="143" t="s">
        <v>3818</v>
      </c>
      <c r="U1367" s="143" t="s">
        <v>3821</v>
      </c>
      <c r="V1367">
        <v>0</v>
      </c>
      <c r="W1367">
        <v>0</v>
      </c>
      <c r="X1367">
        <v>0</v>
      </c>
      <c r="Y1367">
        <v>0</v>
      </c>
      <c r="Z1367">
        <v>0</v>
      </c>
      <c r="AA1367">
        <v>0</v>
      </c>
      <c r="AB1367">
        <v>0</v>
      </c>
      <c r="AC1367">
        <v>0</v>
      </c>
      <c r="AD1367">
        <v>0</v>
      </c>
      <c r="AE1367">
        <v>0</v>
      </c>
      <c r="AF1367">
        <v>0</v>
      </c>
      <c r="AG1367">
        <v>0</v>
      </c>
      <c r="AH1367">
        <v>1</v>
      </c>
      <c r="AI1367">
        <v>0</v>
      </c>
      <c r="AJ1367">
        <v>0</v>
      </c>
      <c r="AK1367">
        <v>0</v>
      </c>
      <c r="AL1367">
        <v>0</v>
      </c>
      <c r="AM1367">
        <v>0</v>
      </c>
      <c r="AN1367">
        <v>0</v>
      </c>
      <c r="AO1367">
        <v>0</v>
      </c>
      <c r="AP1367">
        <v>0</v>
      </c>
      <c r="AQ1367">
        <v>0</v>
      </c>
      <c r="AR1367">
        <v>0</v>
      </c>
      <c r="AS1367">
        <v>0</v>
      </c>
      <c r="AT1367">
        <v>0</v>
      </c>
      <c r="AU1367">
        <v>0</v>
      </c>
      <c r="AV1367">
        <v>0</v>
      </c>
      <c r="AW1367">
        <v>0</v>
      </c>
      <c r="AX1367" s="141">
        <f>COUNTIF(V1367:AW1367,"&lt;&gt;0")</f>
        <v>1</v>
      </c>
      <c r="AY1367" s="141">
        <f>COUNTIF(V1367:AL1367,"&lt;&gt;0")</f>
        <v>1</v>
      </c>
      <c r="AZ1367">
        <f>COUNTIF(V1367:AC1367,"&lt;&gt;0")</f>
        <v>0</v>
      </c>
      <c r="BA1367">
        <f>COUNTIF(AD1367:AI1367,"&lt;&gt;0")</f>
        <v>1</v>
      </c>
      <c r="BB1367">
        <f>COUNTIF(AJ1367:AL1367,"&lt;&gt;0")</f>
        <v>0</v>
      </c>
      <c r="BC1367">
        <f>COUNTIF(AS1367:AW1367,"&lt;&gt;0")</f>
        <v>0</v>
      </c>
      <c r="BD1367">
        <f>COUNTIF(AM1367:AR1367,"&lt;&gt;0")</f>
        <v>0</v>
      </c>
      <c r="BE1367" t="str" cm="1">
        <f t="array" ref="BE1367">IF(AY1367=1,INDEX($V$7:$AL$7,MATCH(TRUE,INDEX($V1367:$AW1367&lt;&gt;0,),0)),IF(AY1367=0,INDEX($AM$7:$AW$7,MATCH(1,$AM1367:$AW1367,0)),IF(BF1367="Multiple strategies","mixed drivers",IF(BF1367="Supply chain","multiple supply","multiple silviculture"))))</f>
        <v xml:space="preserve">end of life disposal </v>
      </c>
      <c r="BF1367" s="2" t="str" cm="1">
        <f t="array" ref="BF1367">IF(COUNTIF(AZ1367:BB1367,"&lt;&gt;0")=1,INDEX($V$4:$AW$4,MATCH(TRUE,INDEX($V1367:$AW1367&lt;&gt;0,),0)),IF(COUNTIF(AZ1367:BB1367,"&lt;&gt;0")=0,INDEX($AM$4:$AW$4,MATCH(1,$AM1367:$AW1367,0)),"Multiple strategies"))</f>
        <v>Supply chain</v>
      </c>
      <c r="BG1367" s="142"/>
      <c r="BJ1367" s="143"/>
      <c r="BL1367" s="143"/>
      <c r="BM1367" s="163"/>
      <c r="BN1367" s="158"/>
      <c r="BO1367" s="143"/>
      <c r="BP1367" s="312" t="s">
        <v>232</v>
      </c>
      <c r="BQ1367" s="312"/>
      <c r="BR1367" t="s">
        <v>3820</v>
      </c>
      <c r="BS1367">
        <v>-273</v>
      </c>
      <c r="BT1367">
        <v>-251</v>
      </c>
      <c r="BU1367" s="144">
        <v>0.91941391941391937</v>
      </c>
      <c r="BV1367">
        <v>22</v>
      </c>
      <c r="BX1367">
        <v>-2.1999999999999999E-2</v>
      </c>
      <c r="BY1367" t="str">
        <f>IFERROR(BX1367/BO1367,"")</f>
        <v/>
      </c>
      <c r="BZ1367">
        <v>0</v>
      </c>
      <c r="CA1367">
        <v>0</v>
      </c>
      <c r="CB1367">
        <v>0</v>
      </c>
      <c r="CC1367">
        <v>0</v>
      </c>
      <c r="CD1367">
        <v>0</v>
      </c>
      <c r="CE1367">
        <v>0</v>
      </c>
      <c r="CF1367">
        <v>0</v>
      </c>
      <c r="CG1367">
        <v>0</v>
      </c>
      <c r="CH1367">
        <v>0</v>
      </c>
      <c r="CI1367">
        <v>0</v>
      </c>
      <c r="CJ1367">
        <v>0</v>
      </c>
      <c r="CK1367">
        <v>0</v>
      </c>
      <c r="CL1367">
        <v>0</v>
      </c>
      <c r="CM1367">
        <v>0</v>
      </c>
      <c r="CN1367" t="str">
        <f>IF(BL1367&lt;BK1367,"refNeedCorrection","refOK")</f>
        <v>refOK</v>
      </c>
      <c r="CO1367"/>
      <c r="CP1367"/>
      <c r="CQ1367"/>
      <c r="CR1367">
        <f>IF($CN1367="refOK",$BS1367,$BT1367)*IF($BP1367="Emissions positive",-1,1)</f>
        <v>-273</v>
      </c>
      <c r="CS1367">
        <f>IF($CN1367="refOK",$BT1367,$BS1367)*IF($BP1367="Emissions positive",-1,1)</f>
        <v>-251</v>
      </c>
      <c r="CT1367">
        <f>IF($CN1367="refNeedCorrection",-BX1367,BX1367)*IF($BP1367="Emissions positive",-1,1)</f>
        <v>-2.1999999999999999E-2</v>
      </c>
      <c r="CU1367" t="str">
        <f>IFERROR(CT1367/CQ1367,"")</f>
        <v/>
      </c>
      <c r="CV1367" s="2">
        <f>IFERROR((CS1367-CR1367)/ABS(CR1367),"")</f>
        <v>8.0586080586080591E-2</v>
      </c>
      <c r="CW1367" s="1" t="s">
        <v>1203</v>
      </c>
      <c r="CX1367" s="312" t="str">
        <f>IF(OR($CW1367="prd",$CW1367="std",$CW1367="cit"),"loc",IF(OR($CW1367="eur",$CW1367="reg",$CW1367="coy"),"reg",$CW1367))</f>
        <v>reg</v>
      </c>
      <c r="CY1367" t="s">
        <v>428</v>
      </c>
      <c r="DA1367" s="143"/>
      <c r="DB1367" s="143">
        <v>60</v>
      </c>
      <c r="DC1367" t="str">
        <f>IF(DB1367=0,"0",IF(AND(DB1367&gt;=1,DB1367&lt;=30),"1-30",IF(AND(DB1367&gt;30,DB1367&lt;=70),"31-70",IF(AND(DB1367&gt;70,DB1367&lt;=100),"71-100",IF(DB1367&gt;100,"+100")))))</f>
        <v>31-70</v>
      </c>
      <c r="DD1367">
        <v>0</v>
      </c>
      <c r="DE1367">
        <v>0</v>
      </c>
      <c r="DF1367">
        <v>0</v>
      </c>
      <c r="DG1367">
        <v>1</v>
      </c>
      <c r="DI1367">
        <f>SUM(DD1367:DG1367)</f>
        <v>1</v>
      </c>
      <c r="DJ1367" t="str">
        <f>IF(DI1367=1,INDEX($DD$7:$DG$7,MATCH(1,$DD1367:$DG1367,0)),"mixedProduct")</f>
        <v>TimberInput</v>
      </c>
      <c r="DK1367">
        <f>IF(DD1367=1,DK$7,0)</f>
        <v>0</v>
      </c>
      <c r="DL1367">
        <f>IF(DE1367=1,DL$7,0)</f>
        <v>0</v>
      </c>
      <c r="DM1367">
        <f>IF(DF1367=1,DM$7,0)</f>
        <v>0</v>
      </c>
      <c r="DN1367" t="str">
        <f>IF(DG1367=1,DN$7,0)</f>
        <v>Timber</v>
      </c>
      <c r="DO1367">
        <v>0</v>
      </c>
      <c r="DP1367" s="143">
        <v>0</v>
      </c>
      <c r="DQ1367" s="143">
        <v>0</v>
      </c>
      <c r="DR1367">
        <v>0</v>
      </c>
      <c r="DS1367" s="143">
        <v>0</v>
      </c>
      <c r="DT1367">
        <f>SUM(DO1367:DP1367)</f>
        <v>0</v>
      </c>
      <c r="DU1367" s="143" t="str">
        <f>IF(DO1367=1,"self-calculated DF",IF(DP1367=1,"external DF used","explicit C balance"))</f>
        <v>explicit C balance</v>
      </c>
      <c r="DV1367" s="143">
        <v>0</v>
      </c>
      <c r="DW1367" s="143">
        <v>0</v>
      </c>
      <c r="DX1367" s="143">
        <v>0</v>
      </c>
      <c r="DY1367" s="143">
        <v>1</v>
      </c>
      <c r="DZ1367">
        <v>1</v>
      </c>
      <c r="EA1367" s="143">
        <v>1</v>
      </c>
      <c r="EB1367" s="143">
        <v>1</v>
      </c>
      <c r="EC1367" s="143">
        <v>1</v>
      </c>
      <c r="ED1367" s="143">
        <v>1</v>
      </c>
      <c r="EE1367" s="143">
        <v>1</v>
      </c>
      <c r="EF1367">
        <v>0</v>
      </c>
      <c r="EG1367" s="143">
        <v>0</v>
      </c>
      <c r="EH1367">
        <v>0</v>
      </c>
      <c r="EI1367" s="2">
        <v>0</v>
      </c>
      <c r="EK1367" t="str">
        <f>IF(AND(AND(AND(OR($DX1367=1,$DW1367=1),OR($EC1367=1,$EA1367=1)),SUM($DV1367:$DZ1367,$EF1367)&gt;=3),SUM($EA1367:$EE1367)&gt;=2),"Whole sector","")</f>
        <v/>
      </c>
      <c r="EL1367" t="str">
        <f>IF(AND(AND(OR($DX1367=1,$DW1367=1),AND($EC1367=0,$EA1367=0)),SUM($DV1367:$DZ1367,$EF1367)&gt;=3),"Ecosystem approach","")</f>
        <v/>
      </c>
      <c r="EM1367" s="2" t="str">
        <f>IF(AND(AND(AND($DX1367=0,$DW1367=0),OR($EC1367=1,$EA1367=1)),SUM($EB1367:$EE1367)&gt;=2),"Technology approach","")</f>
        <v>Technology approach</v>
      </c>
      <c r="EP1367" t="b">
        <f>IF(ISNUMBER(BU1367),IF(ABS(BU1367-[5]QC_indicators!$B$2)&gt;3*[5]QC_indicators!$C$2,"C ratio",IF(ISNUMBER(BY1367),IF(ABS(BY1367-[5]QC_indicators!$B$1)&gt;3*[5]QC_indicators!$C$1,"DF","no"))),IF(ISNUMBER(BY1367),IF(ABS(BY1367-[5]QC_indicators!$B$1)&gt;3*[5]QC_indicators!$C$1,"DF","no")))</f>
        <v>0</v>
      </c>
      <c r="ER1367" s="314" t="s">
        <v>349</v>
      </c>
    </row>
    <row r="1368" spans="1:148" ht="15" customHeight="1">
      <c r="A1368" s="1" t="s">
        <v>656</v>
      </c>
      <c r="B1368" t="s">
        <v>3811</v>
      </c>
      <c r="C1368" t="s">
        <v>3812</v>
      </c>
      <c r="D1368" t="s">
        <v>3813</v>
      </c>
      <c r="E1368" t="s">
        <v>3814</v>
      </c>
      <c r="F1368" t="s">
        <v>3815</v>
      </c>
      <c r="G1368" t="s">
        <v>662</v>
      </c>
      <c r="H1368" t="s">
        <v>254</v>
      </c>
      <c r="I1368">
        <v>2021</v>
      </c>
      <c r="J1368">
        <v>2</v>
      </c>
      <c r="K1368" t="s">
        <v>3816</v>
      </c>
      <c r="M1368" t="str">
        <f>LEFT($D1368,FIND(",",$D1368)-1)&amp;"_"&amp;I1368&amp;L1368</f>
        <v>Liang_2021</v>
      </c>
      <c r="N1368" s="312" t="s">
        <v>4383</v>
      </c>
      <c r="O1368" s="145" t="s">
        <v>225</v>
      </c>
      <c r="Q1368" s="312" t="s">
        <v>256</v>
      </c>
      <c r="R1368" s="313"/>
      <c r="S1368" s="1" t="s">
        <v>3817</v>
      </c>
      <c r="T1368" s="143" t="s">
        <v>3818</v>
      </c>
      <c r="U1368" s="143" t="s">
        <v>3822</v>
      </c>
      <c r="V1368">
        <v>0</v>
      </c>
      <c r="W1368">
        <v>0</v>
      </c>
      <c r="X1368">
        <v>0</v>
      </c>
      <c r="Y1368">
        <v>0</v>
      </c>
      <c r="Z1368">
        <v>0</v>
      </c>
      <c r="AA1368">
        <v>0</v>
      </c>
      <c r="AB1368">
        <v>0</v>
      </c>
      <c r="AC1368">
        <v>0</v>
      </c>
      <c r="AD1368">
        <v>0</v>
      </c>
      <c r="AE1368">
        <v>0</v>
      </c>
      <c r="AF1368">
        <v>0</v>
      </c>
      <c r="AG1368">
        <v>0</v>
      </c>
      <c r="AH1368">
        <v>1</v>
      </c>
      <c r="AI1368">
        <v>0</v>
      </c>
      <c r="AJ1368">
        <v>0</v>
      </c>
      <c r="AK1368">
        <v>0</v>
      </c>
      <c r="AL1368">
        <v>0</v>
      </c>
      <c r="AM1368">
        <v>0</v>
      </c>
      <c r="AN1368">
        <v>0</v>
      </c>
      <c r="AO1368">
        <v>0</v>
      </c>
      <c r="AP1368">
        <v>0</v>
      </c>
      <c r="AQ1368">
        <v>0</v>
      </c>
      <c r="AR1368">
        <v>0</v>
      </c>
      <c r="AS1368">
        <v>0</v>
      </c>
      <c r="AT1368">
        <v>0</v>
      </c>
      <c r="AU1368">
        <v>0</v>
      </c>
      <c r="AV1368">
        <v>0</v>
      </c>
      <c r="AW1368">
        <v>0</v>
      </c>
      <c r="AX1368" s="141">
        <f>COUNTIF(V1368:AW1368,"&lt;&gt;0")</f>
        <v>1</v>
      </c>
      <c r="AY1368" s="141">
        <f>COUNTIF(V1368:AL1368,"&lt;&gt;0")</f>
        <v>1</v>
      </c>
      <c r="AZ1368">
        <f>COUNTIF(V1368:AC1368,"&lt;&gt;0")</f>
        <v>0</v>
      </c>
      <c r="BA1368">
        <f>COUNTIF(AD1368:AI1368,"&lt;&gt;0")</f>
        <v>1</v>
      </c>
      <c r="BB1368">
        <f>COUNTIF(AJ1368:AL1368,"&lt;&gt;0")</f>
        <v>0</v>
      </c>
      <c r="BC1368">
        <f>COUNTIF(AS1368:AW1368,"&lt;&gt;0")</f>
        <v>0</v>
      </c>
      <c r="BD1368">
        <f>COUNTIF(AM1368:AR1368,"&lt;&gt;0")</f>
        <v>0</v>
      </c>
      <c r="BE1368" t="str" cm="1">
        <f t="array" ref="BE1368">IF(AY1368=1,INDEX($V$7:$AL$7,MATCH(TRUE,INDEX($V1368:$AW1368&lt;&gt;0,),0)),IF(AY1368=0,INDEX($AM$7:$AW$7,MATCH(1,$AM1368:$AW1368,0)),IF(BF1368="Multiple strategies","mixed drivers",IF(BF1368="Supply chain","multiple supply","multiple silviculture"))))</f>
        <v xml:space="preserve">end of life disposal </v>
      </c>
      <c r="BF1368" s="2" t="str" cm="1">
        <f t="array" ref="BF1368">IF(COUNTIF(AZ1368:BB1368,"&lt;&gt;0")=1,INDEX($V$4:$AW$4,MATCH(TRUE,INDEX($V1368:$AW1368&lt;&gt;0,),0)),IF(COUNTIF(AZ1368:BB1368,"&lt;&gt;0")=0,INDEX($AM$4:$AW$4,MATCH(1,$AM1368:$AW1368,0)),"Multiple strategies"))</f>
        <v>Supply chain</v>
      </c>
      <c r="BG1368" s="142"/>
      <c r="BJ1368" s="143"/>
      <c r="BL1368" s="143"/>
      <c r="BM1368" s="163"/>
      <c r="BN1368" s="158"/>
      <c r="BO1368" s="143"/>
      <c r="BP1368" s="312" t="s">
        <v>232</v>
      </c>
      <c r="BQ1368" s="312"/>
      <c r="BR1368" t="s">
        <v>3820</v>
      </c>
      <c r="BS1368">
        <v>-273</v>
      </c>
      <c r="BT1368">
        <v>-225</v>
      </c>
      <c r="BU1368" s="144">
        <v>0.82417582417582413</v>
      </c>
      <c r="BV1368">
        <v>48</v>
      </c>
      <c r="BX1368">
        <v>-4.8000000000000001E-2</v>
      </c>
      <c r="BY1368" t="str">
        <f>IFERROR(BX1368/BO1368,"")</f>
        <v/>
      </c>
      <c r="BZ1368">
        <v>0</v>
      </c>
      <c r="CA1368">
        <v>0</v>
      </c>
      <c r="CB1368">
        <v>0</v>
      </c>
      <c r="CC1368">
        <v>0</v>
      </c>
      <c r="CD1368">
        <v>0</v>
      </c>
      <c r="CE1368">
        <v>0</v>
      </c>
      <c r="CF1368">
        <v>0</v>
      </c>
      <c r="CG1368">
        <v>0</v>
      </c>
      <c r="CH1368">
        <v>0</v>
      </c>
      <c r="CI1368">
        <v>0</v>
      </c>
      <c r="CJ1368">
        <v>0</v>
      </c>
      <c r="CK1368">
        <v>0</v>
      </c>
      <c r="CL1368">
        <v>0</v>
      </c>
      <c r="CM1368">
        <v>0</v>
      </c>
      <c r="CN1368" t="str">
        <f>IF(BL1368&lt;BK1368,"refNeedCorrection","refOK")</f>
        <v>refOK</v>
      </c>
      <c r="CO1368"/>
      <c r="CP1368"/>
      <c r="CQ1368"/>
      <c r="CR1368">
        <f>IF($CN1368="refOK",$BS1368,$BT1368)*IF($BP1368="Emissions positive",-1,1)</f>
        <v>-273</v>
      </c>
      <c r="CS1368">
        <f>IF($CN1368="refOK",$BT1368,$BS1368)*IF($BP1368="Emissions positive",-1,1)</f>
        <v>-225</v>
      </c>
      <c r="CT1368">
        <f>IF($CN1368="refNeedCorrection",-BX1368,BX1368)*IF($BP1368="Emissions positive",-1,1)</f>
        <v>-4.8000000000000001E-2</v>
      </c>
      <c r="CU1368" t="str">
        <f>IFERROR(CT1368/CQ1368,"")</f>
        <v/>
      </c>
      <c r="CV1368" s="2">
        <f>IFERROR((CS1368-CR1368)/ABS(CR1368),"")</f>
        <v>0.17582417582417584</v>
      </c>
      <c r="CW1368" s="1" t="s">
        <v>1203</v>
      </c>
      <c r="CX1368" s="312" t="str">
        <f>IF(OR($CW1368="prd",$CW1368="std",$CW1368="cit"),"loc",IF(OR($CW1368="eur",$CW1368="reg",$CW1368="coy"),"reg",$CW1368))</f>
        <v>reg</v>
      </c>
      <c r="CY1368" t="s">
        <v>428</v>
      </c>
      <c r="DA1368" s="143"/>
      <c r="DB1368" s="143">
        <v>60</v>
      </c>
      <c r="DC1368" t="str">
        <f>IF(DB1368=0,"0",IF(AND(DB1368&gt;=1,DB1368&lt;=30),"1-30",IF(AND(DB1368&gt;30,DB1368&lt;=70),"31-70",IF(AND(DB1368&gt;70,DB1368&lt;=100),"71-100",IF(DB1368&gt;100,"+100")))))</f>
        <v>31-70</v>
      </c>
      <c r="DD1368">
        <v>0</v>
      </c>
      <c r="DE1368">
        <v>0</v>
      </c>
      <c r="DF1368">
        <v>0</v>
      </c>
      <c r="DG1368">
        <v>1</v>
      </c>
      <c r="DI1368">
        <f>SUM(DD1368:DG1368)</f>
        <v>1</v>
      </c>
      <c r="DJ1368" t="str">
        <f>IF(DI1368=1,INDEX($DD$7:$DG$7,MATCH(1,$DD1368:$DG1368,0)),"mixedProduct")</f>
        <v>TimberInput</v>
      </c>
      <c r="DK1368">
        <f>IF(DD1368=1,DK$7,0)</f>
        <v>0</v>
      </c>
      <c r="DL1368">
        <f>IF(DE1368=1,DL$7,0)</f>
        <v>0</v>
      </c>
      <c r="DM1368">
        <f>IF(DF1368=1,DM$7,0)</f>
        <v>0</v>
      </c>
      <c r="DN1368" t="str">
        <f>IF(DG1368=1,DN$7,0)</f>
        <v>Timber</v>
      </c>
      <c r="DO1368">
        <v>0</v>
      </c>
      <c r="DP1368" s="143">
        <v>0</v>
      </c>
      <c r="DQ1368" s="143">
        <v>0</v>
      </c>
      <c r="DR1368">
        <v>0</v>
      </c>
      <c r="DS1368" s="143">
        <v>0</v>
      </c>
      <c r="DT1368">
        <f>SUM(DO1368:DP1368)</f>
        <v>0</v>
      </c>
      <c r="DU1368" s="143" t="str">
        <f>IF(DO1368=1,"self-calculated DF",IF(DP1368=1,"external DF used","explicit C balance"))</f>
        <v>explicit C balance</v>
      </c>
      <c r="DV1368" s="143">
        <v>0</v>
      </c>
      <c r="DW1368" s="143">
        <v>0</v>
      </c>
      <c r="DX1368" s="143">
        <v>0</v>
      </c>
      <c r="DY1368" s="143">
        <v>1</v>
      </c>
      <c r="DZ1368">
        <v>1</v>
      </c>
      <c r="EA1368" s="143">
        <v>1</v>
      </c>
      <c r="EB1368" s="143">
        <v>1</v>
      </c>
      <c r="EC1368" s="143">
        <v>1</v>
      </c>
      <c r="ED1368" s="143">
        <v>1</v>
      </c>
      <c r="EE1368" s="143">
        <v>1</v>
      </c>
      <c r="EF1368">
        <v>0</v>
      </c>
      <c r="EG1368" s="143">
        <v>0</v>
      </c>
      <c r="EH1368">
        <v>0</v>
      </c>
      <c r="EI1368" s="2">
        <v>0</v>
      </c>
      <c r="EK1368" t="str">
        <f>IF(AND(AND(AND(OR($DX1368=1,$DW1368=1),OR($EC1368=1,$EA1368=1)),SUM($DV1368:$DZ1368,$EF1368)&gt;=3),SUM($EA1368:$EE1368)&gt;=2),"Whole sector","")</f>
        <v/>
      </c>
      <c r="EL1368" t="str">
        <f>IF(AND(AND(OR($DX1368=1,$DW1368=1),AND($EC1368=0,$EA1368=0)),SUM($DV1368:$DZ1368,$EF1368)&gt;=3),"Ecosystem approach","")</f>
        <v/>
      </c>
      <c r="EM1368" s="2" t="str">
        <f>IF(AND(AND(AND($DX1368=0,$DW1368=0),OR($EC1368=1,$EA1368=1)),SUM($EB1368:$EE1368)&gt;=2),"Technology approach","")</f>
        <v>Technology approach</v>
      </c>
      <c r="EP1368" t="b">
        <f>IF(ISNUMBER(BU1368),IF(ABS(BU1368-[5]QC_indicators!$B$2)&gt;3*[5]QC_indicators!$C$2,"C ratio",IF(ISNUMBER(BY1368),IF(ABS(BY1368-[5]QC_indicators!$B$1)&gt;3*[5]QC_indicators!$C$1,"DF","no"))),IF(ISNUMBER(BY1368),IF(ABS(BY1368-[5]QC_indicators!$B$1)&gt;3*[5]QC_indicators!$C$1,"DF","no")))</f>
        <v>0</v>
      </c>
      <c r="ER1368" s="314" t="s">
        <v>349</v>
      </c>
    </row>
    <row r="1369" spans="1:148" ht="15" customHeight="1">
      <c r="A1369" s="1" t="s">
        <v>656</v>
      </c>
      <c r="B1369" t="s">
        <v>3811</v>
      </c>
      <c r="C1369" t="s">
        <v>3812</v>
      </c>
      <c r="D1369" t="s">
        <v>3813</v>
      </c>
      <c r="E1369" t="s">
        <v>3814</v>
      </c>
      <c r="F1369" t="s">
        <v>3815</v>
      </c>
      <c r="G1369" t="s">
        <v>662</v>
      </c>
      <c r="H1369" t="s">
        <v>254</v>
      </c>
      <c r="I1369">
        <v>2021</v>
      </c>
      <c r="J1369">
        <v>2</v>
      </c>
      <c r="K1369" t="s">
        <v>3816</v>
      </c>
      <c r="M1369" t="str">
        <f>LEFT($D1369,FIND(",",$D1369)-1)&amp;"_"&amp;I1369&amp;L1369</f>
        <v>Liang_2021</v>
      </c>
      <c r="N1369" s="312" t="s">
        <v>4383</v>
      </c>
      <c r="O1369" s="145" t="s">
        <v>225</v>
      </c>
      <c r="Q1369" s="312" t="s">
        <v>256</v>
      </c>
      <c r="R1369" s="313"/>
      <c r="S1369" s="1" t="s">
        <v>3817</v>
      </c>
      <c r="T1369" s="143" t="s">
        <v>3818</v>
      </c>
      <c r="U1369" s="143" t="s">
        <v>3823</v>
      </c>
      <c r="V1369">
        <v>0</v>
      </c>
      <c r="W1369">
        <v>0</v>
      </c>
      <c r="X1369">
        <v>0</v>
      </c>
      <c r="Y1369">
        <v>0</v>
      </c>
      <c r="Z1369">
        <v>0</v>
      </c>
      <c r="AA1369">
        <v>0</v>
      </c>
      <c r="AB1369">
        <v>0</v>
      </c>
      <c r="AC1369">
        <v>0</v>
      </c>
      <c r="AD1369">
        <v>0</v>
      </c>
      <c r="AE1369">
        <v>0</v>
      </c>
      <c r="AF1369">
        <v>0</v>
      </c>
      <c r="AG1369">
        <v>0</v>
      </c>
      <c r="AH1369">
        <v>1</v>
      </c>
      <c r="AI1369">
        <v>0</v>
      </c>
      <c r="AJ1369">
        <v>0</v>
      </c>
      <c r="AK1369">
        <v>0</v>
      </c>
      <c r="AL1369">
        <v>0</v>
      </c>
      <c r="AM1369">
        <v>0</v>
      </c>
      <c r="AN1369">
        <v>0</v>
      </c>
      <c r="AO1369">
        <v>0</v>
      </c>
      <c r="AP1369">
        <v>0</v>
      </c>
      <c r="AQ1369">
        <v>0</v>
      </c>
      <c r="AR1369">
        <v>0</v>
      </c>
      <c r="AS1369">
        <v>0</v>
      </c>
      <c r="AT1369">
        <v>0</v>
      </c>
      <c r="AU1369">
        <v>0</v>
      </c>
      <c r="AV1369">
        <v>0</v>
      </c>
      <c r="AW1369">
        <v>0</v>
      </c>
      <c r="AX1369" s="141">
        <f>COUNTIF(V1369:AW1369,"&lt;&gt;0")</f>
        <v>1</v>
      </c>
      <c r="AY1369" s="141">
        <f>COUNTIF(V1369:AL1369,"&lt;&gt;0")</f>
        <v>1</v>
      </c>
      <c r="AZ1369">
        <f>COUNTIF(V1369:AC1369,"&lt;&gt;0")</f>
        <v>0</v>
      </c>
      <c r="BA1369">
        <f>COUNTIF(AD1369:AI1369,"&lt;&gt;0")</f>
        <v>1</v>
      </c>
      <c r="BB1369">
        <f>COUNTIF(AJ1369:AL1369,"&lt;&gt;0")</f>
        <v>0</v>
      </c>
      <c r="BC1369">
        <f>COUNTIF(AS1369:AW1369,"&lt;&gt;0")</f>
        <v>0</v>
      </c>
      <c r="BD1369">
        <f>COUNTIF(AM1369:AR1369,"&lt;&gt;0")</f>
        <v>0</v>
      </c>
      <c r="BE1369" t="str" cm="1">
        <f t="array" ref="BE1369">IF(AY1369=1,INDEX($V$7:$AL$7,MATCH(TRUE,INDEX($V1369:$AW1369&lt;&gt;0,),0)),IF(AY1369=0,INDEX($AM$7:$AW$7,MATCH(1,$AM1369:$AW1369,0)),IF(BF1369="Multiple strategies","mixed drivers",IF(BF1369="Supply chain","multiple supply","multiple silviculture"))))</f>
        <v xml:space="preserve">end of life disposal </v>
      </c>
      <c r="BF1369" s="2" t="str" cm="1">
        <f t="array" ref="BF1369">IF(COUNTIF(AZ1369:BB1369,"&lt;&gt;0")=1,INDEX($V$4:$AW$4,MATCH(TRUE,INDEX($V1369:$AW1369&lt;&gt;0,),0)),IF(COUNTIF(AZ1369:BB1369,"&lt;&gt;0")=0,INDEX($AM$4:$AW$4,MATCH(1,$AM1369:$AW1369,0)),"Multiple strategies"))</f>
        <v>Supply chain</v>
      </c>
      <c r="BG1369" s="142"/>
      <c r="BJ1369" s="143"/>
      <c r="BL1369" s="143"/>
      <c r="BM1369" s="163"/>
      <c r="BN1369" s="158"/>
      <c r="BO1369" s="143"/>
      <c r="BP1369" s="312" t="s">
        <v>232</v>
      </c>
      <c r="BQ1369" s="312"/>
      <c r="BR1369" t="s">
        <v>3820</v>
      </c>
      <c r="BS1369">
        <v>-273</v>
      </c>
      <c r="BT1369">
        <v>-208</v>
      </c>
      <c r="BU1369" s="144">
        <v>0.76190476190476186</v>
      </c>
      <c r="BV1369">
        <v>65</v>
      </c>
      <c r="BX1369">
        <v>-6.5000000000000002E-2</v>
      </c>
      <c r="BY1369" t="str">
        <f>IFERROR(BX1369/BO1369,"")</f>
        <v/>
      </c>
      <c r="BZ1369">
        <v>0</v>
      </c>
      <c r="CA1369">
        <v>0</v>
      </c>
      <c r="CB1369">
        <v>0</v>
      </c>
      <c r="CC1369">
        <v>0</v>
      </c>
      <c r="CD1369">
        <v>0</v>
      </c>
      <c r="CE1369">
        <v>0</v>
      </c>
      <c r="CF1369">
        <v>0</v>
      </c>
      <c r="CG1369">
        <v>0</v>
      </c>
      <c r="CH1369">
        <v>0</v>
      </c>
      <c r="CI1369">
        <v>0</v>
      </c>
      <c r="CJ1369">
        <v>0</v>
      </c>
      <c r="CK1369">
        <v>0</v>
      </c>
      <c r="CL1369">
        <v>0</v>
      </c>
      <c r="CM1369">
        <v>0</v>
      </c>
      <c r="CN1369" t="str">
        <f>IF(BL1369&lt;BK1369,"refNeedCorrection","refOK")</f>
        <v>refOK</v>
      </c>
      <c r="CO1369"/>
      <c r="CP1369"/>
      <c r="CQ1369"/>
      <c r="CR1369">
        <f>IF($CN1369="refOK",$BS1369,$BT1369)*IF($BP1369="Emissions positive",-1,1)</f>
        <v>-273</v>
      </c>
      <c r="CS1369">
        <f>IF($CN1369="refOK",$BT1369,$BS1369)*IF($BP1369="Emissions positive",-1,1)</f>
        <v>-208</v>
      </c>
      <c r="CT1369">
        <f>IF($CN1369="refNeedCorrection",-BX1369,BX1369)*IF($BP1369="Emissions positive",-1,1)</f>
        <v>-6.5000000000000002E-2</v>
      </c>
      <c r="CU1369" t="str">
        <f>IFERROR(CT1369/CQ1369,"")</f>
        <v/>
      </c>
      <c r="CV1369" s="2">
        <f>IFERROR((CS1369-CR1369)/ABS(CR1369),"")</f>
        <v>0.23809523809523808</v>
      </c>
      <c r="CW1369" s="1" t="s">
        <v>1203</v>
      </c>
      <c r="CX1369" s="312" t="str">
        <f>IF(OR($CW1369="prd",$CW1369="std",$CW1369="cit"),"loc",IF(OR($CW1369="eur",$CW1369="reg",$CW1369="coy"),"reg",$CW1369))</f>
        <v>reg</v>
      </c>
      <c r="CY1369" t="s">
        <v>428</v>
      </c>
      <c r="DA1369" s="143"/>
      <c r="DB1369" s="143">
        <v>60</v>
      </c>
      <c r="DC1369" t="str">
        <f>IF(DB1369=0,"0",IF(AND(DB1369&gt;=1,DB1369&lt;=30),"1-30",IF(AND(DB1369&gt;30,DB1369&lt;=70),"31-70",IF(AND(DB1369&gt;70,DB1369&lt;=100),"71-100",IF(DB1369&gt;100,"+100")))))</f>
        <v>31-70</v>
      </c>
      <c r="DD1369">
        <v>0</v>
      </c>
      <c r="DE1369">
        <v>0</v>
      </c>
      <c r="DF1369">
        <v>0</v>
      </c>
      <c r="DG1369">
        <v>1</v>
      </c>
      <c r="DI1369">
        <f>SUM(DD1369:DG1369)</f>
        <v>1</v>
      </c>
      <c r="DJ1369" t="str">
        <f>IF(DI1369=1,INDEX($DD$7:$DG$7,MATCH(1,$DD1369:$DG1369,0)),"mixedProduct")</f>
        <v>TimberInput</v>
      </c>
      <c r="DK1369">
        <f>IF(DD1369=1,DK$7,0)</f>
        <v>0</v>
      </c>
      <c r="DL1369">
        <f>IF(DE1369=1,DL$7,0)</f>
        <v>0</v>
      </c>
      <c r="DM1369">
        <f>IF(DF1369=1,DM$7,0)</f>
        <v>0</v>
      </c>
      <c r="DN1369" t="str">
        <f>IF(DG1369=1,DN$7,0)</f>
        <v>Timber</v>
      </c>
      <c r="DO1369">
        <v>0</v>
      </c>
      <c r="DP1369" s="143">
        <v>0</v>
      </c>
      <c r="DQ1369" s="143">
        <v>0</v>
      </c>
      <c r="DR1369">
        <v>0</v>
      </c>
      <c r="DS1369" s="143">
        <v>0</v>
      </c>
      <c r="DT1369">
        <f>SUM(DO1369:DP1369)</f>
        <v>0</v>
      </c>
      <c r="DU1369" s="143" t="str">
        <f>IF(DO1369=1,"self-calculated DF",IF(DP1369=1,"external DF used","explicit C balance"))</f>
        <v>explicit C balance</v>
      </c>
      <c r="DV1369" s="143">
        <v>0</v>
      </c>
      <c r="DW1369" s="143">
        <v>0</v>
      </c>
      <c r="DX1369" s="143">
        <v>0</v>
      </c>
      <c r="DY1369" s="143">
        <v>1</v>
      </c>
      <c r="DZ1369">
        <v>1</v>
      </c>
      <c r="EA1369" s="143">
        <v>1</v>
      </c>
      <c r="EB1369" s="143">
        <v>1</v>
      </c>
      <c r="EC1369" s="143">
        <v>1</v>
      </c>
      <c r="ED1369" s="143">
        <v>1</v>
      </c>
      <c r="EE1369" s="143">
        <v>1</v>
      </c>
      <c r="EF1369">
        <v>0</v>
      </c>
      <c r="EG1369" s="143">
        <v>0</v>
      </c>
      <c r="EH1369">
        <v>0</v>
      </c>
      <c r="EI1369" s="2">
        <v>0</v>
      </c>
      <c r="EK1369" t="str">
        <f>IF(AND(AND(AND(OR($DX1369=1,$DW1369=1),OR($EC1369=1,$EA1369=1)),SUM($DV1369:$DZ1369,$EF1369)&gt;=3),SUM($EA1369:$EE1369)&gt;=2),"Whole sector","")</f>
        <v/>
      </c>
      <c r="EL1369" t="str">
        <f>IF(AND(AND(OR($DX1369=1,$DW1369=1),AND($EC1369=0,$EA1369=0)),SUM($DV1369:$DZ1369,$EF1369)&gt;=3),"Ecosystem approach","")</f>
        <v/>
      </c>
      <c r="EM1369" s="2" t="str">
        <f>IF(AND(AND(AND($DX1369=0,$DW1369=0),OR($EC1369=1,$EA1369=1)),SUM($EB1369:$EE1369)&gt;=2),"Technology approach","")</f>
        <v>Technology approach</v>
      </c>
      <c r="EP1369" t="b">
        <f>IF(ISNUMBER(BU1369),IF(ABS(BU1369-[5]QC_indicators!$B$2)&gt;3*[5]QC_indicators!$C$2,"C ratio",IF(ISNUMBER(BY1369),IF(ABS(BY1369-[5]QC_indicators!$B$1)&gt;3*[5]QC_indicators!$C$1,"DF","no"))),IF(ISNUMBER(BY1369),IF(ABS(BY1369-[5]QC_indicators!$B$1)&gt;3*[5]QC_indicators!$C$1,"DF","no")))</f>
        <v>0</v>
      </c>
      <c r="ER1369" s="314" t="s">
        <v>349</v>
      </c>
    </row>
    <row r="1370" spans="1:148" ht="15" customHeight="1">
      <c r="A1370" s="1" t="s">
        <v>656</v>
      </c>
      <c r="B1370" t="s">
        <v>3811</v>
      </c>
      <c r="C1370" t="s">
        <v>3812</v>
      </c>
      <c r="D1370" t="s">
        <v>3813</v>
      </c>
      <c r="E1370" t="s">
        <v>3814</v>
      </c>
      <c r="F1370" t="s">
        <v>3815</v>
      </c>
      <c r="G1370" t="s">
        <v>662</v>
      </c>
      <c r="H1370" t="s">
        <v>254</v>
      </c>
      <c r="I1370">
        <v>2021</v>
      </c>
      <c r="J1370">
        <v>2</v>
      </c>
      <c r="K1370" t="s">
        <v>3816</v>
      </c>
      <c r="M1370" t="str">
        <f>LEFT($D1370,FIND(",",$D1370)-1)&amp;"_"&amp;I1370&amp;L1370</f>
        <v>Liang_2021</v>
      </c>
      <c r="N1370" s="312" t="s">
        <v>4383</v>
      </c>
      <c r="O1370" s="145" t="s">
        <v>225</v>
      </c>
      <c r="Q1370" s="312" t="s">
        <v>256</v>
      </c>
      <c r="R1370" s="313"/>
      <c r="S1370" s="1" t="s">
        <v>3824</v>
      </c>
      <c r="T1370" t="s">
        <v>3825</v>
      </c>
      <c r="U1370" s="143" t="s">
        <v>3826</v>
      </c>
      <c r="V1370">
        <v>0</v>
      </c>
      <c r="W1370">
        <v>0</v>
      </c>
      <c r="X1370">
        <v>0</v>
      </c>
      <c r="Y1370">
        <v>0</v>
      </c>
      <c r="Z1370">
        <v>0</v>
      </c>
      <c r="AA1370">
        <v>0</v>
      </c>
      <c r="AB1370">
        <v>0</v>
      </c>
      <c r="AC1370">
        <v>0</v>
      </c>
      <c r="AD1370">
        <v>0</v>
      </c>
      <c r="AE1370">
        <v>0</v>
      </c>
      <c r="AF1370">
        <v>1</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s="141">
        <f>COUNTIF(V1370:AW1370,"&lt;&gt;0")</f>
        <v>1</v>
      </c>
      <c r="AY1370" s="141">
        <f>COUNTIF(V1370:AL1370,"&lt;&gt;0")</f>
        <v>1</v>
      </c>
      <c r="AZ1370">
        <f>COUNTIF(V1370:AC1370,"&lt;&gt;0")</f>
        <v>0</v>
      </c>
      <c r="BA1370">
        <f>COUNTIF(AD1370:AI1370,"&lt;&gt;0")</f>
        <v>1</v>
      </c>
      <c r="BB1370">
        <f>COUNTIF(AJ1370:AL1370,"&lt;&gt;0")</f>
        <v>0</v>
      </c>
      <c r="BC1370">
        <f>COUNTIF(AS1370:AW1370,"&lt;&gt;0")</f>
        <v>0</v>
      </c>
      <c r="BD1370">
        <f>COUNTIF(AM1370:AR1370,"&lt;&gt;0")</f>
        <v>0</v>
      </c>
      <c r="BE1370" t="str" cm="1">
        <f t="array" ref="BE1370">IF(AY1370=1,INDEX($V$7:$AL$7,MATCH(TRUE,INDEX($V1370:$AW1370&lt;&gt;0,),0)),IF(AY1370=0,INDEX($AM$7:$AW$7,MATCH(1,$AM1370:$AW1370,0)),IF(BF1370="Multiple strategies","mixed drivers",IF(BF1370="Supply chain","multiple supply","multiple silviculture"))))</f>
        <v>supply chain organization</v>
      </c>
      <c r="BF1370" s="2" t="str" cm="1">
        <f t="array" ref="BF1370">IF(COUNTIF(AZ1370:BB1370,"&lt;&gt;0")=1,INDEX($V$4:$AW$4,MATCH(TRUE,INDEX($V1370:$AW1370&lt;&gt;0,),0)),IF(COUNTIF(AZ1370:BB1370,"&lt;&gt;0")=0,INDEX($AM$4:$AW$4,MATCH(1,$AM1370:$AW1370,0)),"Multiple strategies"))</f>
        <v>Supply chain</v>
      </c>
      <c r="BG1370" s="142"/>
      <c r="BJ1370" s="143"/>
      <c r="BL1370" s="143"/>
      <c r="BM1370" s="163"/>
      <c r="BN1370" s="158"/>
      <c r="BO1370" s="143"/>
      <c r="BP1370" s="312" t="s">
        <v>232</v>
      </c>
      <c r="BQ1370" s="312"/>
      <c r="BR1370" t="s">
        <v>3820</v>
      </c>
      <c r="BS1370">
        <v>-36.467999999999996</v>
      </c>
      <c r="BT1370">
        <v>-63.11</v>
      </c>
      <c r="BU1370" s="144">
        <v>1.7305582976856424</v>
      </c>
      <c r="BV1370">
        <v>-26.642000000000003</v>
      </c>
      <c r="BX1370">
        <v>2.6642000000000002E-2</v>
      </c>
      <c r="BY1370" t="str">
        <f>IFERROR(BX1370/BO1370,"")</f>
        <v/>
      </c>
      <c r="BZ1370">
        <v>0</v>
      </c>
      <c r="CA1370">
        <v>0</v>
      </c>
      <c r="CB1370">
        <v>0</v>
      </c>
      <c r="CC1370">
        <v>0</v>
      </c>
      <c r="CD1370">
        <v>0</v>
      </c>
      <c r="CE1370">
        <v>0</v>
      </c>
      <c r="CF1370">
        <v>0</v>
      </c>
      <c r="CG1370">
        <v>0</v>
      </c>
      <c r="CH1370">
        <v>0</v>
      </c>
      <c r="CI1370">
        <v>0</v>
      </c>
      <c r="CJ1370">
        <v>0</v>
      </c>
      <c r="CK1370">
        <v>0</v>
      </c>
      <c r="CL1370">
        <v>0</v>
      </c>
      <c r="CM1370">
        <v>0</v>
      </c>
      <c r="CN1370" t="str">
        <f>IF(BL1370&lt;BK1370,"refNeedCorrection","refOK")</f>
        <v>refOK</v>
      </c>
      <c r="CO1370"/>
      <c r="CP1370"/>
      <c r="CQ1370"/>
      <c r="CR1370">
        <f>IF($CN1370="refOK",$BS1370,$BT1370)*IF($BP1370="Emissions positive",-1,1)</f>
        <v>-36.467999999999996</v>
      </c>
      <c r="CS1370">
        <f>IF($CN1370="refOK",$BT1370,$BS1370)*IF($BP1370="Emissions positive",-1,1)</f>
        <v>-63.11</v>
      </c>
      <c r="CT1370">
        <f>IF($CN1370="refNeedCorrection",-BX1370,BX1370)*IF($BP1370="Emissions positive",-1,1)</f>
        <v>2.6642000000000002E-2</v>
      </c>
      <c r="CU1370" t="str">
        <f>IFERROR(CT1370/CQ1370,"")</f>
        <v/>
      </c>
      <c r="CV1370" s="2">
        <f>IFERROR((CS1370-CR1370)/ABS(CR1370),"")</f>
        <v>-0.7305582976856424</v>
      </c>
      <c r="CW1370" s="1" t="s">
        <v>1203</v>
      </c>
      <c r="CX1370" s="312" t="str">
        <f>IF(OR($CW1370="prd",$CW1370="std",$CW1370="cit"),"loc",IF(OR($CW1370="eur",$CW1370="reg",$CW1370="coy"),"reg",$CW1370))</f>
        <v>reg</v>
      </c>
      <c r="CY1370" t="s">
        <v>428</v>
      </c>
      <c r="DA1370" s="143"/>
      <c r="DB1370" s="143">
        <v>60</v>
      </c>
      <c r="DC1370" t="str">
        <f>IF(DB1370=0,"0",IF(AND(DB1370&gt;=1,DB1370&lt;=30),"1-30",IF(AND(DB1370&gt;30,DB1370&lt;=70),"31-70",IF(AND(DB1370&gt;70,DB1370&lt;=100),"71-100",IF(DB1370&gt;100,"+100")))))</f>
        <v>31-70</v>
      </c>
      <c r="DD1370">
        <v>0</v>
      </c>
      <c r="DE1370">
        <v>0</v>
      </c>
      <c r="DF1370">
        <v>0</v>
      </c>
      <c r="DG1370">
        <v>1</v>
      </c>
      <c r="DI1370">
        <f>SUM(DD1370:DG1370)</f>
        <v>1</v>
      </c>
      <c r="DJ1370" t="str">
        <f>IF(DI1370=1,INDEX($DD$7:$DG$7,MATCH(1,$DD1370:$DG1370,0)),"mixedProduct")</f>
        <v>TimberInput</v>
      </c>
      <c r="DK1370">
        <f>IF(DD1370=1,DK$7,0)</f>
        <v>0</v>
      </c>
      <c r="DL1370">
        <f>IF(DE1370=1,DL$7,0)</f>
        <v>0</v>
      </c>
      <c r="DM1370">
        <f>IF(DF1370=1,DM$7,0)</f>
        <v>0</v>
      </c>
      <c r="DN1370" t="str">
        <f>IF(DG1370=1,DN$7,0)</f>
        <v>Timber</v>
      </c>
      <c r="DO1370">
        <v>0</v>
      </c>
      <c r="DP1370" s="143">
        <v>0</v>
      </c>
      <c r="DQ1370" s="143">
        <v>0</v>
      </c>
      <c r="DR1370">
        <v>0</v>
      </c>
      <c r="DS1370" s="143">
        <v>0</v>
      </c>
      <c r="DT1370">
        <f>SUM(DO1370:DP1370)</f>
        <v>0</v>
      </c>
      <c r="DU1370" s="143" t="str">
        <f>IF(DO1370=1,"self-calculated DF",IF(DP1370=1,"external DF used","explicit C balance"))</f>
        <v>explicit C balance</v>
      </c>
      <c r="DV1370" s="143">
        <v>0</v>
      </c>
      <c r="DW1370" s="143">
        <v>0</v>
      </c>
      <c r="DX1370" s="143">
        <v>0</v>
      </c>
      <c r="DY1370" s="143">
        <v>1</v>
      </c>
      <c r="DZ1370">
        <v>1</v>
      </c>
      <c r="EA1370" s="143">
        <v>1</v>
      </c>
      <c r="EB1370" s="143">
        <v>1</v>
      </c>
      <c r="EC1370" s="143">
        <v>1</v>
      </c>
      <c r="ED1370" s="143">
        <v>1</v>
      </c>
      <c r="EE1370" s="143">
        <v>1</v>
      </c>
      <c r="EF1370">
        <v>0</v>
      </c>
      <c r="EG1370" s="143">
        <v>0</v>
      </c>
      <c r="EH1370">
        <v>0</v>
      </c>
      <c r="EI1370" s="2">
        <v>0</v>
      </c>
      <c r="EK1370" t="str">
        <f>IF(AND(AND(AND(OR($DX1370=1,$DW1370=1),OR($EC1370=1,$EA1370=1)),SUM($DV1370:$DZ1370,$EF1370)&gt;=3),SUM($EA1370:$EE1370)&gt;=2),"Whole sector","")</f>
        <v/>
      </c>
      <c r="EL1370" t="str">
        <f>IF(AND(AND(OR($DX1370=1,$DW1370=1),AND($EC1370=0,$EA1370=0)),SUM($DV1370:$DZ1370,$EF1370)&gt;=3),"Ecosystem approach","")</f>
        <v/>
      </c>
      <c r="EM1370" s="2" t="str">
        <f>IF(AND(AND(AND($DX1370=0,$DW1370=0),OR($EC1370=1,$EA1370=1)),SUM($EB1370:$EE1370)&gt;=2),"Technology approach","")</f>
        <v>Technology approach</v>
      </c>
      <c r="EP1370" t="b">
        <f>IF(ISNUMBER(BU1370),IF(ABS(BU1370-[5]QC_indicators!$B$2)&gt;3*[5]QC_indicators!$C$2,"C ratio",IF(ISNUMBER(BY1370),IF(ABS(BY1370-[5]QC_indicators!$B$1)&gt;3*[5]QC_indicators!$C$1,"DF","no"))),IF(ISNUMBER(BY1370),IF(ABS(BY1370-[5]QC_indicators!$B$1)&gt;3*[5]QC_indicators!$C$1,"DF","no")))</f>
        <v>0</v>
      </c>
      <c r="ER1370" s="314" t="s">
        <v>349</v>
      </c>
    </row>
    <row r="1371" spans="1:148" ht="15" customHeight="1">
      <c r="A1371" s="1" t="s">
        <v>656</v>
      </c>
      <c r="B1371" t="s">
        <v>3811</v>
      </c>
      <c r="C1371" t="s">
        <v>3812</v>
      </c>
      <c r="D1371" t="s">
        <v>3813</v>
      </c>
      <c r="E1371" t="s">
        <v>3814</v>
      </c>
      <c r="F1371" t="s">
        <v>3815</v>
      </c>
      <c r="G1371" t="s">
        <v>662</v>
      </c>
      <c r="H1371" t="s">
        <v>254</v>
      </c>
      <c r="I1371">
        <v>2021</v>
      </c>
      <c r="J1371">
        <v>2</v>
      </c>
      <c r="K1371" t="s">
        <v>3816</v>
      </c>
      <c r="M1371" t="str">
        <f>LEFT($D1371,FIND(",",$D1371)-1)&amp;"_"&amp;I1371&amp;L1371</f>
        <v>Liang_2021</v>
      </c>
      <c r="N1371" s="312" t="s">
        <v>4383</v>
      </c>
      <c r="O1371" s="145" t="s">
        <v>225</v>
      </c>
      <c r="Q1371" s="312" t="s">
        <v>256</v>
      </c>
      <c r="R1371" s="313"/>
      <c r="S1371" s="1" t="s">
        <v>3824</v>
      </c>
      <c r="T1371" t="s">
        <v>3825</v>
      </c>
      <c r="U1371" s="143" t="s">
        <v>3827</v>
      </c>
      <c r="V1371">
        <v>0</v>
      </c>
      <c r="W1371">
        <v>0</v>
      </c>
      <c r="X1371">
        <v>0</v>
      </c>
      <c r="Y1371">
        <v>0</v>
      </c>
      <c r="Z1371">
        <v>0</v>
      </c>
      <c r="AA1371">
        <v>0</v>
      </c>
      <c r="AB1371">
        <v>0</v>
      </c>
      <c r="AC1371">
        <v>0</v>
      </c>
      <c r="AD1371">
        <v>0</v>
      </c>
      <c r="AE1371">
        <v>0</v>
      </c>
      <c r="AF1371">
        <v>1</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s="141">
        <f>COUNTIF(V1371:AW1371,"&lt;&gt;0")</f>
        <v>1</v>
      </c>
      <c r="AY1371" s="141">
        <f>COUNTIF(V1371:AL1371,"&lt;&gt;0")</f>
        <v>1</v>
      </c>
      <c r="AZ1371">
        <f>COUNTIF(V1371:AC1371,"&lt;&gt;0")</f>
        <v>0</v>
      </c>
      <c r="BA1371">
        <f>COUNTIF(AD1371:AI1371,"&lt;&gt;0")</f>
        <v>1</v>
      </c>
      <c r="BB1371">
        <f>COUNTIF(AJ1371:AL1371,"&lt;&gt;0")</f>
        <v>0</v>
      </c>
      <c r="BC1371">
        <f>COUNTIF(AS1371:AW1371,"&lt;&gt;0")</f>
        <v>0</v>
      </c>
      <c r="BD1371">
        <f>COUNTIF(AM1371:AR1371,"&lt;&gt;0")</f>
        <v>0</v>
      </c>
      <c r="BE1371" t="str" cm="1">
        <f t="array" ref="BE1371">IF(AY1371=1,INDEX($V$7:$AL$7,MATCH(TRUE,INDEX($V1371:$AW1371&lt;&gt;0,),0)),IF(AY1371=0,INDEX($AM$7:$AW$7,MATCH(1,$AM1371:$AW1371,0)),IF(BF1371="Multiple strategies","mixed drivers",IF(BF1371="Supply chain","multiple supply","multiple silviculture"))))</f>
        <v>supply chain organization</v>
      </c>
      <c r="BF1371" s="2" t="str" cm="1">
        <f t="array" ref="BF1371">IF(COUNTIF(AZ1371:BB1371,"&lt;&gt;0")=1,INDEX($V$4:$AW$4,MATCH(TRUE,INDEX($V1371:$AW1371&lt;&gt;0,),0)),IF(COUNTIF(AZ1371:BB1371,"&lt;&gt;0")=0,INDEX($AM$4:$AW$4,MATCH(1,$AM1371:$AW1371,0)),"Multiple strategies"))</f>
        <v>Supply chain</v>
      </c>
      <c r="BG1371" s="164"/>
      <c r="BH1371" s="165"/>
      <c r="BI1371" s="165"/>
      <c r="BJ1371" s="166"/>
      <c r="BK1371" s="167"/>
      <c r="BL1371" s="315"/>
      <c r="BM1371" s="325"/>
      <c r="BN1371" s="326"/>
      <c r="BO1371" s="166"/>
      <c r="BP1371" s="312" t="s">
        <v>232</v>
      </c>
      <c r="BQ1371" s="312"/>
      <c r="BR1371" t="s">
        <v>3820</v>
      </c>
      <c r="BS1371">
        <v>-36.467999999999996</v>
      </c>
      <c r="BT1371">
        <v>-41.379999999999995</v>
      </c>
      <c r="BU1371" s="144">
        <v>1.1346934298563123</v>
      </c>
      <c r="BV1371">
        <v>-4.911999999999999</v>
      </c>
      <c r="BX1371">
        <v>4.9119999999999988E-3</v>
      </c>
      <c r="BY1371" t="str">
        <f>IFERROR(BX1371/BO1371,"")</f>
        <v/>
      </c>
      <c r="BZ1371">
        <v>0</v>
      </c>
      <c r="CA1371">
        <v>0</v>
      </c>
      <c r="CB1371">
        <v>0</v>
      </c>
      <c r="CC1371">
        <v>0</v>
      </c>
      <c r="CD1371">
        <v>0</v>
      </c>
      <c r="CE1371">
        <v>0</v>
      </c>
      <c r="CF1371">
        <v>0</v>
      </c>
      <c r="CG1371">
        <v>0</v>
      </c>
      <c r="CH1371">
        <v>0</v>
      </c>
      <c r="CI1371">
        <v>0</v>
      </c>
      <c r="CJ1371">
        <v>0</v>
      </c>
      <c r="CK1371">
        <v>0</v>
      </c>
      <c r="CL1371">
        <v>0</v>
      </c>
      <c r="CM1371">
        <v>0</v>
      </c>
      <c r="CN1371" t="str">
        <f>IF(BL1371&lt;BK1371,"refNeedCorrection","refOK")</f>
        <v>refOK</v>
      </c>
      <c r="CO1371"/>
      <c r="CP1371"/>
      <c r="CQ1371"/>
      <c r="CR1371">
        <f>IF($CN1371="refOK",$BS1371,$BT1371)*IF($BP1371="Emissions positive",-1,1)</f>
        <v>-36.467999999999996</v>
      </c>
      <c r="CS1371">
        <f>IF($CN1371="refOK",$BT1371,$BS1371)*IF($BP1371="Emissions positive",-1,1)</f>
        <v>-41.379999999999995</v>
      </c>
      <c r="CT1371">
        <f>IF($CN1371="refNeedCorrection",-BX1371,BX1371)*IF($BP1371="Emissions positive",-1,1)</f>
        <v>4.9119999999999988E-3</v>
      </c>
      <c r="CU1371" t="str">
        <f>IFERROR(CT1371/CQ1371,"")</f>
        <v/>
      </c>
      <c r="CV1371" s="2">
        <f>IFERROR((CS1371-CR1371)/ABS(CR1371),"")</f>
        <v>-0.13469342985631236</v>
      </c>
      <c r="CW1371" s="1" t="s">
        <v>1203</v>
      </c>
      <c r="CX1371" s="312" t="str">
        <f>IF(OR($CW1371="prd",$CW1371="std",$CW1371="cit"),"loc",IF(OR($CW1371="eur",$CW1371="reg",$CW1371="coy"),"reg",$CW1371))</f>
        <v>reg</v>
      </c>
      <c r="CY1371" t="s">
        <v>428</v>
      </c>
      <c r="DA1371" s="143"/>
      <c r="DB1371" s="143">
        <v>60</v>
      </c>
      <c r="DC1371" t="str">
        <f>IF(DB1371=0,"0",IF(AND(DB1371&gt;=1,DB1371&lt;=30),"1-30",IF(AND(DB1371&gt;30,DB1371&lt;=70),"31-70",IF(AND(DB1371&gt;70,DB1371&lt;=100),"71-100",IF(DB1371&gt;100,"+100")))))</f>
        <v>31-70</v>
      </c>
      <c r="DD1371">
        <v>0</v>
      </c>
      <c r="DE1371">
        <v>0</v>
      </c>
      <c r="DF1371">
        <v>0</v>
      </c>
      <c r="DG1371">
        <v>1</v>
      </c>
      <c r="DI1371">
        <f>SUM(DD1371:DG1371)</f>
        <v>1</v>
      </c>
      <c r="DJ1371" t="str">
        <f>IF(DI1371=1,INDEX($DD$7:$DG$7,MATCH(1,$DD1371:$DG1371,0)),"mixedProduct")</f>
        <v>TimberInput</v>
      </c>
      <c r="DK1371">
        <f>IF(DD1371=1,DK$7,0)</f>
        <v>0</v>
      </c>
      <c r="DL1371">
        <f>IF(DE1371=1,DL$7,0)</f>
        <v>0</v>
      </c>
      <c r="DM1371">
        <f>IF(DF1371=1,DM$7,0)</f>
        <v>0</v>
      </c>
      <c r="DN1371" t="str">
        <f>IF(DG1371=1,DN$7,0)</f>
        <v>Timber</v>
      </c>
      <c r="DO1371">
        <v>0</v>
      </c>
      <c r="DP1371" s="143">
        <v>0</v>
      </c>
      <c r="DQ1371" s="143">
        <v>0</v>
      </c>
      <c r="DR1371">
        <v>0</v>
      </c>
      <c r="DS1371" s="143">
        <v>0</v>
      </c>
      <c r="DT1371">
        <f>SUM(DO1371:DP1371)</f>
        <v>0</v>
      </c>
      <c r="DU1371" s="143" t="str">
        <f>IF(DO1371=1,"self-calculated DF",IF(DP1371=1,"external DF used","explicit C balance"))</f>
        <v>explicit C balance</v>
      </c>
      <c r="DV1371" s="143">
        <v>0</v>
      </c>
      <c r="DW1371" s="143">
        <v>0</v>
      </c>
      <c r="DX1371" s="143">
        <v>0</v>
      </c>
      <c r="DY1371" s="143">
        <v>1</v>
      </c>
      <c r="DZ1371">
        <v>1</v>
      </c>
      <c r="EA1371" s="143">
        <v>1</v>
      </c>
      <c r="EB1371" s="143">
        <v>1</v>
      </c>
      <c r="EC1371" s="143">
        <v>1</v>
      </c>
      <c r="ED1371" s="143">
        <v>1</v>
      </c>
      <c r="EE1371" s="143">
        <v>1</v>
      </c>
      <c r="EF1371">
        <v>0</v>
      </c>
      <c r="EG1371" s="143">
        <v>0</v>
      </c>
      <c r="EH1371">
        <v>0</v>
      </c>
      <c r="EI1371" s="2">
        <v>0</v>
      </c>
      <c r="EK1371" t="str">
        <f>IF(AND(AND(AND(OR($DX1371=1,$DW1371=1),OR($EC1371=1,$EA1371=1)),SUM($DV1371:$DZ1371,$EF1371)&gt;=3),SUM($EA1371:$EE1371)&gt;=2),"Whole sector","")</f>
        <v/>
      </c>
      <c r="EL1371" t="str">
        <f>IF(AND(AND(OR($DX1371=1,$DW1371=1),AND($EC1371=0,$EA1371=0)),SUM($DV1371:$DZ1371,$EF1371)&gt;=3),"Ecosystem approach","")</f>
        <v/>
      </c>
      <c r="EM1371" s="2" t="str">
        <f>IF(AND(AND(AND($DX1371=0,$DW1371=0),OR($EC1371=1,$EA1371=1)),SUM($EB1371:$EE1371)&gt;=2),"Technology approach","")</f>
        <v>Technology approach</v>
      </c>
      <c r="EP1371" t="b">
        <f>IF(ISNUMBER(BU1371),IF(ABS(BU1371-[5]QC_indicators!$B$2)&gt;3*[5]QC_indicators!$C$2,"C ratio",IF(ISNUMBER(BY1371),IF(ABS(BY1371-[5]QC_indicators!$B$1)&gt;3*[5]QC_indicators!$C$1,"DF","no"))),IF(ISNUMBER(BY1371),IF(ABS(BY1371-[5]QC_indicators!$B$1)&gt;3*[5]QC_indicators!$C$1,"DF","no")))</f>
        <v>0</v>
      </c>
      <c r="ER1371" s="314" t="s">
        <v>349</v>
      </c>
    </row>
    <row r="1372" spans="1:148" ht="15" customHeight="1">
      <c r="A1372" s="1" t="s">
        <v>656</v>
      </c>
      <c r="B1372" t="s">
        <v>3811</v>
      </c>
      <c r="C1372" t="s">
        <v>3812</v>
      </c>
      <c r="D1372" t="s">
        <v>3813</v>
      </c>
      <c r="E1372" t="s">
        <v>3814</v>
      </c>
      <c r="F1372" t="s">
        <v>3815</v>
      </c>
      <c r="G1372" t="s">
        <v>662</v>
      </c>
      <c r="H1372" t="s">
        <v>254</v>
      </c>
      <c r="I1372">
        <v>2021</v>
      </c>
      <c r="J1372">
        <v>2</v>
      </c>
      <c r="K1372" t="s">
        <v>3816</v>
      </c>
      <c r="M1372" t="str">
        <f>LEFT($D1372,FIND(",",$D1372)-1)&amp;"_"&amp;I1372&amp;L1372</f>
        <v>Liang_2021</v>
      </c>
      <c r="N1372" s="312" t="s">
        <v>4383</v>
      </c>
      <c r="O1372" s="145" t="s">
        <v>225</v>
      </c>
      <c r="Q1372" s="312" t="s">
        <v>256</v>
      </c>
      <c r="R1372" s="313"/>
      <c r="S1372" s="1" t="s">
        <v>3824</v>
      </c>
      <c r="T1372" t="s">
        <v>3825</v>
      </c>
      <c r="U1372" s="143" t="s">
        <v>3828</v>
      </c>
      <c r="V1372">
        <v>0</v>
      </c>
      <c r="W1372">
        <v>0</v>
      </c>
      <c r="X1372">
        <v>0</v>
      </c>
      <c r="Y1372">
        <v>0</v>
      </c>
      <c r="Z1372">
        <v>0</v>
      </c>
      <c r="AA1372">
        <v>0</v>
      </c>
      <c r="AB1372">
        <v>0</v>
      </c>
      <c r="AC1372">
        <v>0</v>
      </c>
      <c r="AD1372">
        <v>0</v>
      </c>
      <c r="AE1372">
        <v>0</v>
      </c>
      <c r="AF1372">
        <v>1</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s="141">
        <f>COUNTIF(V1372:AW1372,"&lt;&gt;0")</f>
        <v>1</v>
      </c>
      <c r="AY1372" s="141">
        <f>COUNTIF(V1372:AL1372,"&lt;&gt;0")</f>
        <v>1</v>
      </c>
      <c r="AZ1372">
        <f>COUNTIF(V1372:AC1372,"&lt;&gt;0")</f>
        <v>0</v>
      </c>
      <c r="BA1372">
        <f>COUNTIF(AD1372:AI1372,"&lt;&gt;0")</f>
        <v>1</v>
      </c>
      <c r="BB1372">
        <f>COUNTIF(AJ1372:AL1372,"&lt;&gt;0")</f>
        <v>0</v>
      </c>
      <c r="BC1372">
        <f>COUNTIF(AS1372:AW1372,"&lt;&gt;0")</f>
        <v>0</v>
      </c>
      <c r="BD1372">
        <f>COUNTIF(AM1372:AR1372,"&lt;&gt;0")</f>
        <v>0</v>
      </c>
      <c r="BE1372" t="str" cm="1">
        <f t="array" ref="BE1372">IF(AY1372=1,INDEX($V$7:$AL$7,MATCH(TRUE,INDEX($V1372:$AW1372&lt;&gt;0,),0)),IF(AY1372=0,INDEX($AM$7:$AW$7,MATCH(1,$AM1372:$AW1372,0)),IF(BF1372="Multiple strategies","mixed drivers",IF(BF1372="Supply chain","multiple supply","multiple silviculture"))))</f>
        <v>supply chain organization</v>
      </c>
      <c r="BF1372" s="2" t="str" cm="1">
        <f t="array" ref="BF1372">IF(COUNTIF(AZ1372:BB1372,"&lt;&gt;0")=1,INDEX($V$4:$AW$4,MATCH(TRUE,INDEX($V1372:$AW1372&lt;&gt;0,),0)),IF(COUNTIF(AZ1372:BB1372,"&lt;&gt;0")=0,INDEX($AM$4:$AW$4,MATCH(1,$AM1372:$AW1372,0)),"Multiple strategies"))</f>
        <v>Supply chain</v>
      </c>
      <c r="BG1372" s="142"/>
      <c r="BJ1372" s="143"/>
      <c r="BL1372" s="143"/>
      <c r="BM1372" s="163"/>
      <c r="BN1372" s="158"/>
      <c r="BO1372" s="143"/>
      <c r="BP1372" s="312" t="s">
        <v>232</v>
      </c>
      <c r="BQ1372" s="312"/>
      <c r="BR1372" t="s">
        <v>3820</v>
      </c>
      <c r="BS1372">
        <v>-36.467999999999996</v>
      </c>
      <c r="BT1372">
        <v>-35.64</v>
      </c>
      <c r="BU1372" s="144">
        <v>0.97729516288252727</v>
      </c>
      <c r="BV1372">
        <v>0.82799999999999585</v>
      </c>
      <c r="BX1372">
        <v>-8.2799999999999584E-4</v>
      </c>
      <c r="BY1372" t="str">
        <f>IFERROR(BX1372/BO1372,"")</f>
        <v/>
      </c>
      <c r="BZ1372">
        <v>0</v>
      </c>
      <c r="CA1372">
        <v>0</v>
      </c>
      <c r="CB1372">
        <v>0</v>
      </c>
      <c r="CC1372">
        <v>0</v>
      </c>
      <c r="CD1372">
        <v>0</v>
      </c>
      <c r="CE1372">
        <v>0</v>
      </c>
      <c r="CF1372">
        <v>0</v>
      </c>
      <c r="CG1372">
        <v>0</v>
      </c>
      <c r="CH1372">
        <v>0</v>
      </c>
      <c r="CI1372">
        <v>0</v>
      </c>
      <c r="CJ1372">
        <v>0</v>
      </c>
      <c r="CK1372">
        <v>0</v>
      </c>
      <c r="CL1372">
        <v>0</v>
      </c>
      <c r="CM1372">
        <v>0</v>
      </c>
      <c r="CN1372" t="str">
        <f>IF(BL1372&lt;BK1372,"refNeedCorrection","refOK")</f>
        <v>refOK</v>
      </c>
      <c r="CO1372"/>
      <c r="CP1372"/>
      <c r="CQ1372"/>
      <c r="CR1372">
        <f>IF($CN1372="refOK",$BS1372,$BT1372)*IF($BP1372="Emissions positive",-1,1)</f>
        <v>-36.467999999999996</v>
      </c>
      <c r="CS1372">
        <f>IF($CN1372="refOK",$BT1372,$BS1372)*IF($BP1372="Emissions positive",-1,1)</f>
        <v>-35.64</v>
      </c>
      <c r="CT1372">
        <f>IF($CN1372="refNeedCorrection",-BX1372,BX1372)*IF($BP1372="Emissions positive",-1,1)</f>
        <v>-8.2799999999999584E-4</v>
      </c>
      <c r="CU1372" t="str">
        <f>IFERROR(CT1372/CQ1372,"")</f>
        <v/>
      </c>
      <c r="CV1372" s="2">
        <f>IFERROR((CS1372-CR1372)/ABS(CR1372),"")</f>
        <v>2.2704837117472742E-2</v>
      </c>
      <c r="CW1372" s="1" t="s">
        <v>1203</v>
      </c>
      <c r="CX1372" s="312" t="str">
        <f>IF(OR($CW1372="prd",$CW1372="std",$CW1372="cit"),"loc",IF(OR($CW1372="eur",$CW1372="reg",$CW1372="coy"),"reg",$CW1372))</f>
        <v>reg</v>
      </c>
      <c r="CY1372" t="s">
        <v>428</v>
      </c>
      <c r="DA1372" s="143"/>
      <c r="DB1372" s="143">
        <v>60</v>
      </c>
      <c r="DC1372" t="str">
        <f>IF(DB1372=0,"0",IF(AND(DB1372&gt;=1,DB1372&lt;=30),"1-30",IF(AND(DB1372&gt;30,DB1372&lt;=70),"31-70",IF(AND(DB1372&gt;70,DB1372&lt;=100),"71-100",IF(DB1372&gt;100,"+100")))))</f>
        <v>31-70</v>
      </c>
      <c r="DD1372">
        <v>0</v>
      </c>
      <c r="DE1372">
        <v>0</v>
      </c>
      <c r="DF1372">
        <v>0</v>
      </c>
      <c r="DG1372">
        <v>1</v>
      </c>
      <c r="DI1372">
        <f>SUM(DD1372:DG1372)</f>
        <v>1</v>
      </c>
      <c r="DJ1372" t="str">
        <f>IF(DI1372=1,INDEX($DD$7:$DG$7,MATCH(1,$DD1372:$DG1372,0)),"mixedProduct")</f>
        <v>TimberInput</v>
      </c>
      <c r="DK1372">
        <f>IF(DD1372=1,DK$7,0)</f>
        <v>0</v>
      </c>
      <c r="DL1372">
        <f>IF(DE1372=1,DL$7,0)</f>
        <v>0</v>
      </c>
      <c r="DM1372">
        <f>IF(DF1372=1,DM$7,0)</f>
        <v>0</v>
      </c>
      <c r="DN1372" t="str">
        <f>IF(DG1372=1,DN$7,0)</f>
        <v>Timber</v>
      </c>
      <c r="DO1372">
        <v>0</v>
      </c>
      <c r="DP1372" s="143">
        <v>0</v>
      </c>
      <c r="DQ1372" s="143">
        <v>0</v>
      </c>
      <c r="DR1372">
        <v>0</v>
      </c>
      <c r="DS1372" s="143">
        <v>0</v>
      </c>
      <c r="DT1372">
        <f>SUM(DO1372:DP1372)</f>
        <v>0</v>
      </c>
      <c r="DU1372" s="143" t="str">
        <f>IF(DO1372=1,"self-calculated DF",IF(DP1372=1,"external DF used","explicit C balance"))</f>
        <v>explicit C balance</v>
      </c>
      <c r="DV1372" s="143">
        <v>0</v>
      </c>
      <c r="DW1372" s="143">
        <v>0</v>
      </c>
      <c r="DX1372" s="143">
        <v>0</v>
      </c>
      <c r="DY1372" s="143">
        <v>1</v>
      </c>
      <c r="DZ1372">
        <v>1</v>
      </c>
      <c r="EA1372" s="143">
        <v>1</v>
      </c>
      <c r="EB1372" s="143">
        <v>1</v>
      </c>
      <c r="EC1372" s="143">
        <v>1</v>
      </c>
      <c r="ED1372" s="143">
        <v>1</v>
      </c>
      <c r="EE1372" s="143">
        <v>1</v>
      </c>
      <c r="EF1372">
        <v>0</v>
      </c>
      <c r="EG1372" s="143">
        <v>0</v>
      </c>
      <c r="EH1372">
        <v>0</v>
      </c>
      <c r="EI1372" s="2">
        <v>0</v>
      </c>
      <c r="EK1372" t="str">
        <f>IF(AND(AND(AND(OR($DX1372=1,$DW1372=1),OR($EC1372=1,$EA1372=1)),SUM($DV1372:$DZ1372,$EF1372)&gt;=3),SUM($EA1372:$EE1372)&gt;=2),"Whole sector","")</f>
        <v/>
      </c>
      <c r="EL1372" t="str">
        <f>IF(AND(AND(OR($DX1372=1,$DW1372=1),AND($EC1372=0,$EA1372=0)),SUM($DV1372:$DZ1372,$EF1372)&gt;=3),"Ecosystem approach","")</f>
        <v/>
      </c>
      <c r="EM1372" s="2" t="str">
        <f>IF(AND(AND(AND($DX1372=0,$DW1372=0),OR($EC1372=1,$EA1372=1)),SUM($EB1372:$EE1372)&gt;=2),"Technology approach","")</f>
        <v>Technology approach</v>
      </c>
      <c r="EP1372" t="b">
        <f>IF(ISNUMBER(BU1372),IF(ABS(BU1372-[5]QC_indicators!$B$2)&gt;3*[5]QC_indicators!$C$2,"C ratio",IF(ISNUMBER(BY1372),IF(ABS(BY1372-[5]QC_indicators!$B$1)&gt;3*[5]QC_indicators!$C$1,"DF","no"))),IF(ISNUMBER(BY1372),IF(ABS(BY1372-[5]QC_indicators!$B$1)&gt;3*[5]QC_indicators!$C$1,"DF","no")))</f>
        <v>0</v>
      </c>
      <c r="ER1372" s="314" t="s">
        <v>349</v>
      </c>
    </row>
    <row r="1373" spans="1:148" ht="15" customHeight="1">
      <c r="A1373" s="1" t="s">
        <v>656</v>
      </c>
      <c r="B1373" t="s">
        <v>3811</v>
      </c>
      <c r="C1373" t="s">
        <v>3812</v>
      </c>
      <c r="D1373" t="s">
        <v>3813</v>
      </c>
      <c r="E1373" t="s">
        <v>3814</v>
      </c>
      <c r="F1373" t="s">
        <v>3815</v>
      </c>
      <c r="G1373" t="s">
        <v>662</v>
      </c>
      <c r="H1373" t="s">
        <v>254</v>
      </c>
      <c r="I1373">
        <v>2021</v>
      </c>
      <c r="J1373">
        <v>2</v>
      </c>
      <c r="K1373" t="s">
        <v>3816</v>
      </c>
      <c r="M1373" t="str">
        <f>LEFT($D1373,FIND(",",$D1373)-1)&amp;"_"&amp;I1373&amp;L1373</f>
        <v>Liang_2021</v>
      </c>
      <c r="N1373" s="312" t="s">
        <v>4383</v>
      </c>
      <c r="O1373" s="145" t="s">
        <v>225</v>
      </c>
      <c r="Q1373" s="312" t="s">
        <v>256</v>
      </c>
      <c r="R1373" s="313"/>
      <c r="S1373" s="1" t="s">
        <v>3824</v>
      </c>
      <c r="T1373" t="s">
        <v>3825</v>
      </c>
      <c r="U1373" s="143" t="s">
        <v>3829</v>
      </c>
      <c r="V1373">
        <v>0</v>
      </c>
      <c r="W1373">
        <v>0</v>
      </c>
      <c r="X1373">
        <v>0</v>
      </c>
      <c r="Y1373">
        <v>0</v>
      </c>
      <c r="Z1373">
        <v>0</v>
      </c>
      <c r="AA1373">
        <v>0</v>
      </c>
      <c r="AB1373">
        <v>0</v>
      </c>
      <c r="AC1373">
        <v>0</v>
      </c>
      <c r="AD1373">
        <v>0</v>
      </c>
      <c r="AE1373">
        <v>0</v>
      </c>
      <c r="AF1373">
        <v>1</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s="141">
        <f>COUNTIF(V1373:AW1373,"&lt;&gt;0")</f>
        <v>1</v>
      </c>
      <c r="AY1373" s="141">
        <f>COUNTIF(V1373:AL1373,"&lt;&gt;0")</f>
        <v>1</v>
      </c>
      <c r="AZ1373">
        <f>COUNTIF(V1373:AC1373,"&lt;&gt;0")</f>
        <v>0</v>
      </c>
      <c r="BA1373">
        <f>COUNTIF(AD1373:AI1373,"&lt;&gt;0")</f>
        <v>1</v>
      </c>
      <c r="BB1373">
        <f>COUNTIF(AJ1373:AL1373,"&lt;&gt;0")</f>
        <v>0</v>
      </c>
      <c r="BC1373">
        <f>COUNTIF(AS1373:AW1373,"&lt;&gt;0")</f>
        <v>0</v>
      </c>
      <c r="BD1373">
        <f>COUNTIF(AM1373:AR1373,"&lt;&gt;0")</f>
        <v>0</v>
      </c>
      <c r="BE1373" t="str" cm="1">
        <f t="array" ref="BE1373">IF(AY1373=1,INDEX($V$7:$AL$7,MATCH(TRUE,INDEX($V1373:$AW1373&lt;&gt;0,),0)),IF(AY1373=0,INDEX($AM$7:$AW$7,MATCH(1,$AM1373:$AW1373,0)),IF(BF1373="Multiple strategies","mixed drivers",IF(BF1373="Supply chain","multiple supply","multiple silviculture"))))</f>
        <v>supply chain organization</v>
      </c>
      <c r="BF1373" s="2" t="str" cm="1">
        <f t="array" ref="BF1373">IF(COUNTIF(AZ1373:BB1373,"&lt;&gt;0")=1,INDEX($V$4:$AW$4,MATCH(TRUE,INDEX($V1373:$AW1373&lt;&gt;0,),0)),IF(COUNTIF(AZ1373:BB1373,"&lt;&gt;0")=0,INDEX($AM$4:$AW$4,MATCH(1,$AM1373:$AW1373,0)),"Multiple strategies"))</f>
        <v>Supply chain</v>
      </c>
      <c r="BG1373" s="142"/>
      <c r="BJ1373" s="143"/>
      <c r="BL1373" s="143"/>
      <c r="BM1373" s="163"/>
      <c r="BN1373" s="158"/>
      <c r="BO1373" s="143"/>
      <c r="BP1373" s="312" t="s">
        <v>232</v>
      </c>
      <c r="BQ1373" s="312"/>
      <c r="BR1373" t="s">
        <v>3820</v>
      </c>
      <c r="BS1373">
        <v>-36.467999999999996</v>
      </c>
      <c r="BT1373">
        <v>-28.270000000000003</v>
      </c>
      <c r="BU1373" s="144">
        <v>0.77520017549632569</v>
      </c>
      <c r="BV1373">
        <v>8.1979999999999933</v>
      </c>
      <c r="BX1373">
        <v>-8.1979999999999935E-3</v>
      </c>
      <c r="BY1373" t="str">
        <f>IFERROR(BX1373/BO1373,"")</f>
        <v/>
      </c>
      <c r="BZ1373">
        <v>0</v>
      </c>
      <c r="CA1373">
        <v>0</v>
      </c>
      <c r="CB1373">
        <v>0</v>
      </c>
      <c r="CC1373">
        <v>0</v>
      </c>
      <c r="CD1373">
        <v>0</v>
      </c>
      <c r="CE1373">
        <v>0</v>
      </c>
      <c r="CF1373">
        <v>0</v>
      </c>
      <c r="CG1373">
        <v>0</v>
      </c>
      <c r="CH1373">
        <v>0</v>
      </c>
      <c r="CI1373">
        <v>0</v>
      </c>
      <c r="CJ1373">
        <v>0</v>
      </c>
      <c r="CK1373">
        <v>0</v>
      </c>
      <c r="CL1373">
        <v>0</v>
      </c>
      <c r="CM1373">
        <v>0</v>
      </c>
      <c r="CN1373" t="str">
        <f>IF(BL1373&lt;BK1373,"refNeedCorrection","refOK")</f>
        <v>refOK</v>
      </c>
      <c r="CO1373"/>
      <c r="CP1373"/>
      <c r="CQ1373"/>
      <c r="CR1373">
        <f>IF($CN1373="refOK",$BS1373,$BT1373)*IF($BP1373="Emissions positive",-1,1)</f>
        <v>-36.467999999999996</v>
      </c>
      <c r="CS1373">
        <f>IF($CN1373="refOK",$BT1373,$BS1373)*IF($BP1373="Emissions positive",-1,1)</f>
        <v>-28.270000000000003</v>
      </c>
      <c r="CT1373">
        <f>IF($CN1373="refNeedCorrection",-BX1373,BX1373)*IF($BP1373="Emissions positive",-1,1)</f>
        <v>-8.1979999999999935E-3</v>
      </c>
      <c r="CU1373" t="str">
        <f>IFERROR(CT1373/CQ1373,"")</f>
        <v/>
      </c>
      <c r="CV1373" s="2">
        <f>IFERROR((CS1373-CR1373)/ABS(CR1373),"")</f>
        <v>0.22479982450367431</v>
      </c>
      <c r="CW1373" s="1" t="s">
        <v>1203</v>
      </c>
      <c r="CX1373" s="312" t="str">
        <f>IF(OR($CW1373="prd",$CW1373="std",$CW1373="cit"),"loc",IF(OR($CW1373="eur",$CW1373="reg",$CW1373="coy"),"reg",$CW1373))</f>
        <v>reg</v>
      </c>
      <c r="CY1373" t="s">
        <v>428</v>
      </c>
      <c r="DA1373" s="143"/>
      <c r="DB1373" s="143">
        <v>60</v>
      </c>
      <c r="DC1373" t="str">
        <f>IF(DB1373=0,"0",IF(AND(DB1373&gt;=1,DB1373&lt;=30),"1-30",IF(AND(DB1373&gt;30,DB1373&lt;=70),"31-70",IF(AND(DB1373&gt;70,DB1373&lt;=100),"71-100",IF(DB1373&gt;100,"+100")))))</f>
        <v>31-70</v>
      </c>
      <c r="DD1373">
        <v>0</v>
      </c>
      <c r="DE1373">
        <v>0</v>
      </c>
      <c r="DF1373">
        <v>0</v>
      </c>
      <c r="DG1373">
        <v>1</v>
      </c>
      <c r="DI1373">
        <f>SUM(DD1373:DG1373)</f>
        <v>1</v>
      </c>
      <c r="DJ1373" t="str">
        <f>IF(DI1373=1,INDEX($DD$7:$DG$7,MATCH(1,$DD1373:$DG1373,0)),"mixedProduct")</f>
        <v>TimberInput</v>
      </c>
      <c r="DK1373">
        <f>IF(DD1373=1,DK$7,0)</f>
        <v>0</v>
      </c>
      <c r="DL1373">
        <f>IF(DE1373=1,DL$7,0)</f>
        <v>0</v>
      </c>
      <c r="DM1373">
        <f>IF(DF1373=1,DM$7,0)</f>
        <v>0</v>
      </c>
      <c r="DN1373" t="str">
        <f>IF(DG1373=1,DN$7,0)</f>
        <v>Timber</v>
      </c>
      <c r="DO1373">
        <v>0</v>
      </c>
      <c r="DP1373" s="143">
        <v>0</v>
      </c>
      <c r="DQ1373" s="143">
        <v>0</v>
      </c>
      <c r="DR1373">
        <v>0</v>
      </c>
      <c r="DS1373" s="143">
        <v>0</v>
      </c>
      <c r="DT1373">
        <f>SUM(DO1373:DP1373)</f>
        <v>0</v>
      </c>
      <c r="DU1373" s="143" t="str">
        <f>IF(DO1373=1,"self-calculated DF",IF(DP1373=1,"external DF used","explicit C balance"))</f>
        <v>explicit C balance</v>
      </c>
      <c r="DV1373" s="143">
        <v>0</v>
      </c>
      <c r="DW1373" s="143">
        <v>0</v>
      </c>
      <c r="DX1373" s="143">
        <v>0</v>
      </c>
      <c r="DY1373" s="143">
        <v>1</v>
      </c>
      <c r="DZ1373">
        <v>1</v>
      </c>
      <c r="EA1373" s="143">
        <v>1</v>
      </c>
      <c r="EB1373" s="143">
        <v>1</v>
      </c>
      <c r="EC1373" s="143">
        <v>1</v>
      </c>
      <c r="ED1373" s="143">
        <v>1</v>
      </c>
      <c r="EE1373" s="143">
        <v>1</v>
      </c>
      <c r="EF1373">
        <v>0</v>
      </c>
      <c r="EG1373" s="143">
        <v>0</v>
      </c>
      <c r="EH1373">
        <v>0</v>
      </c>
      <c r="EI1373" s="2">
        <v>0</v>
      </c>
      <c r="EK1373" t="str">
        <f>IF(AND(AND(AND(OR($DX1373=1,$DW1373=1),OR($EC1373=1,$EA1373=1)),SUM($DV1373:$DZ1373,$EF1373)&gt;=3),SUM($EA1373:$EE1373)&gt;=2),"Whole sector","")</f>
        <v/>
      </c>
      <c r="EL1373" t="str">
        <f>IF(AND(AND(OR($DX1373=1,$DW1373=1),AND($EC1373=0,$EA1373=0)),SUM($DV1373:$DZ1373,$EF1373)&gt;=3),"Ecosystem approach","")</f>
        <v/>
      </c>
      <c r="EM1373" s="2" t="str">
        <f>IF(AND(AND(AND($DX1373=0,$DW1373=0),OR($EC1373=1,$EA1373=1)),SUM($EB1373:$EE1373)&gt;=2),"Technology approach","")</f>
        <v>Technology approach</v>
      </c>
      <c r="EP1373" t="b">
        <f>IF(ISNUMBER(BU1373),IF(ABS(BU1373-[5]QC_indicators!$B$2)&gt;3*[5]QC_indicators!$C$2,"C ratio",IF(ISNUMBER(BY1373),IF(ABS(BY1373-[5]QC_indicators!$B$1)&gt;3*[5]QC_indicators!$C$1,"DF","no"))),IF(ISNUMBER(BY1373),IF(ABS(BY1373-[5]QC_indicators!$B$1)&gt;3*[5]QC_indicators!$C$1,"DF","no")))</f>
        <v>0</v>
      </c>
      <c r="ER1373" s="314" t="s">
        <v>349</v>
      </c>
    </row>
    <row r="1374" spans="1:148" ht="15" customHeight="1">
      <c r="A1374" s="1" t="s">
        <v>656</v>
      </c>
      <c r="B1374" t="s">
        <v>3830</v>
      </c>
      <c r="C1374" t="s">
        <v>3831</v>
      </c>
      <c r="D1374" t="s">
        <v>3832</v>
      </c>
      <c r="E1374" t="s">
        <v>3833</v>
      </c>
      <c r="F1374" t="s">
        <v>3834</v>
      </c>
      <c r="G1374" t="s">
        <v>662</v>
      </c>
      <c r="H1374" t="s">
        <v>254</v>
      </c>
      <c r="I1374">
        <v>2016</v>
      </c>
      <c r="J1374">
        <v>6</v>
      </c>
      <c r="K1374" t="s">
        <v>3835</v>
      </c>
      <c r="M1374" t="str">
        <f>LEFT($D1374,FIND(",",$D1374)-1)&amp;"_"&amp;I1374&amp;L1374</f>
        <v>Lun_2016</v>
      </c>
      <c r="N1374" s="312" t="s">
        <v>4383</v>
      </c>
      <c r="O1374" s="145" t="s">
        <v>225</v>
      </c>
      <c r="Q1374" s="312" t="s">
        <v>256</v>
      </c>
      <c r="R1374" s="313"/>
      <c r="S1374" s="1" t="s">
        <v>3836</v>
      </c>
      <c r="T1374" t="s">
        <v>3837</v>
      </c>
      <c r="U1374" s="143" t="s">
        <v>3838</v>
      </c>
      <c r="V1374">
        <v>0</v>
      </c>
      <c r="W1374">
        <v>0</v>
      </c>
      <c r="X1374">
        <v>0</v>
      </c>
      <c r="Y1374">
        <v>0</v>
      </c>
      <c r="Z1374">
        <v>0</v>
      </c>
      <c r="AA1374">
        <v>0</v>
      </c>
      <c r="AB1374">
        <v>0</v>
      </c>
      <c r="AC1374">
        <v>0</v>
      </c>
      <c r="AD1374">
        <v>0</v>
      </c>
      <c r="AE1374">
        <v>0</v>
      </c>
      <c r="AF1374">
        <v>1</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s="141">
        <f>COUNTIF(V1374:AW1374,"&lt;&gt;0")</f>
        <v>1</v>
      </c>
      <c r="AY1374" s="141">
        <f>COUNTIF(V1374:AL1374,"&lt;&gt;0")</f>
        <v>1</v>
      </c>
      <c r="AZ1374">
        <f>COUNTIF(V1374:AC1374,"&lt;&gt;0")</f>
        <v>0</v>
      </c>
      <c r="BA1374">
        <f>COUNTIF(AD1374:AI1374,"&lt;&gt;0")</f>
        <v>1</v>
      </c>
      <c r="BB1374">
        <f>COUNTIF(AJ1374:AL1374,"&lt;&gt;0")</f>
        <v>0</v>
      </c>
      <c r="BC1374">
        <f>COUNTIF(AS1374:AW1374,"&lt;&gt;0")</f>
        <v>0</v>
      </c>
      <c r="BD1374">
        <f>COUNTIF(AM1374:AR1374,"&lt;&gt;0")</f>
        <v>0</v>
      </c>
      <c r="BE1374" t="str" cm="1">
        <f t="array" ref="BE1374">IF(AY1374=1,INDEX($V$7:$AL$7,MATCH(TRUE,INDEX($V1374:$AW1374&lt;&gt;0,),0)),IF(AY1374=0,INDEX($AM$7:$AW$7,MATCH(1,$AM1374:$AW1374,0)),IF(BF1374="Multiple strategies","mixed drivers",IF(BF1374="Supply chain","multiple supply","multiple silviculture"))))</f>
        <v>supply chain organization</v>
      </c>
      <c r="BF1374" s="2" t="str" cm="1">
        <f t="array" ref="BF1374">IF(COUNTIF(AZ1374:BB1374,"&lt;&gt;0")=1,INDEX($V$4:$AW$4,MATCH(TRUE,INDEX($V1374:$AW1374&lt;&gt;0,),0)),IF(COUNTIF(AZ1374:BB1374,"&lt;&gt;0")=0,INDEX($AM$4:$AW$4,MATCH(1,$AM1374:$AW1374,0)),"Multiple strategies"))</f>
        <v>Supply chain</v>
      </c>
      <c r="BG1374" s="142"/>
      <c r="BJ1374" s="143"/>
      <c r="BL1374" s="143"/>
      <c r="BM1374" s="163"/>
      <c r="BN1374" s="158"/>
      <c r="BO1374" s="143"/>
      <c r="BP1374" t="s">
        <v>232</v>
      </c>
      <c r="BR1374" t="s">
        <v>3839</v>
      </c>
      <c r="BS1374" s="143">
        <v>14.87</v>
      </c>
      <c r="BT1374">
        <v>54.14</v>
      </c>
      <c r="BU1374" s="144">
        <f>IFERROR(BT1374/BS1374,"")</f>
        <v>3.6408876933423002</v>
      </c>
      <c r="BV1374">
        <f>BT1374-BS1374</f>
        <v>39.270000000000003</v>
      </c>
      <c r="BX1374">
        <f>BV1374/10^3*C_to_CO2</f>
        <v>0.14412090000000002</v>
      </c>
      <c r="BY1374" t="str">
        <f>IFERROR(BX1374/BO1374,"")</f>
        <v/>
      </c>
      <c r="BZ1374">
        <v>0</v>
      </c>
      <c r="CA1374">
        <v>0</v>
      </c>
      <c r="CB1374">
        <v>0</v>
      </c>
      <c r="CC1374">
        <v>0</v>
      </c>
      <c r="CD1374">
        <v>0</v>
      </c>
      <c r="CE1374">
        <v>0</v>
      </c>
      <c r="CF1374">
        <v>0</v>
      </c>
      <c r="CG1374">
        <v>0</v>
      </c>
      <c r="CH1374">
        <v>0</v>
      </c>
      <c r="CI1374">
        <v>0</v>
      </c>
      <c r="CJ1374">
        <v>0</v>
      </c>
      <c r="CK1374">
        <v>0</v>
      </c>
      <c r="CL1374">
        <v>0</v>
      </c>
      <c r="CM1374">
        <v>0</v>
      </c>
      <c r="CN1374" t="str">
        <f>IF(BL1374&lt;BK1374,"refNeedCorrection","refOK")</f>
        <v>refOK</v>
      </c>
      <c r="CO1374"/>
      <c r="CP1374"/>
      <c r="CQ1374"/>
      <c r="CR1374">
        <f>IF($CN1374="refOK",$BS1374,$BT1374)*IF($BP1374="Emissions positive",-1,1)</f>
        <v>14.87</v>
      </c>
      <c r="CS1374">
        <f>IF($CN1374="refOK",$BT1374,$BS1374)*IF($BP1374="Emissions positive",-1,1)</f>
        <v>54.14</v>
      </c>
      <c r="CT1374">
        <f>IF($CN1374="refNeedCorrection",-BX1374,BX1374)*IF($BP1374="Emissions positive",-1,1)</f>
        <v>0.14412090000000002</v>
      </c>
      <c r="CU1374" t="str">
        <f>IFERROR(CT1374/CQ1374,"")</f>
        <v/>
      </c>
      <c r="CV1374" s="2">
        <f>IFERROR((CS1374-CR1374)/ABS(CR1374),"")</f>
        <v>2.6408876933423002</v>
      </c>
      <c r="CW1374" s="1" t="s">
        <v>234</v>
      </c>
      <c r="CX1374" s="312" t="str">
        <f>IF(OR($CW1374="prd",$CW1374="std",$CW1374="cit"),"loc",IF(OR($CW1374="eur",$CW1374="reg",$CW1374="coy"),"reg",$CW1374))</f>
        <v>loc</v>
      </c>
      <c r="CY1374" t="s">
        <v>690</v>
      </c>
      <c r="DA1374" s="143"/>
      <c r="DB1374" s="143">
        <f>DA1374-CZ1374</f>
        <v>0</v>
      </c>
      <c r="DC1374" t="str">
        <f>IF(DB1374=0,"0",IF(AND(DB1374&gt;=1,DB1374&lt;=30),"1-30",IF(AND(DB1374&gt;30,DB1374&lt;=70),"31-70",IF(AND(DB1374&gt;70,DB1374&lt;=100),"71-100",IF(DB1374&gt;100,"+100")))))</f>
        <v>0</v>
      </c>
      <c r="DD1374">
        <v>0</v>
      </c>
      <c r="DE1374">
        <v>1</v>
      </c>
      <c r="DF1374">
        <v>0</v>
      </c>
      <c r="DG1374">
        <v>1</v>
      </c>
      <c r="DI1374">
        <f>SUM(DD1374:DG1374)</f>
        <v>2</v>
      </c>
      <c r="DJ1374" t="str">
        <f>IF(DI1374=1,INDEX($DD$7:$DG$7,MATCH(1,$DD1374:$DG1374,0)),"mixedProduct")</f>
        <v>mixedProduct</v>
      </c>
      <c r="DK1374">
        <f>IF(DD1374=1,DK$7,0)</f>
        <v>0</v>
      </c>
      <c r="DL1374" t="str">
        <f>IF(DE1374=1,DL$7,0)</f>
        <v>Energy</v>
      </c>
      <c r="DM1374">
        <f>IF(DF1374=1,DM$7,0)</f>
        <v>0</v>
      </c>
      <c r="DN1374" t="str">
        <f>IF(DG1374=1,DN$7,0)</f>
        <v>Timber</v>
      </c>
      <c r="DO1374">
        <v>0</v>
      </c>
      <c r="DP1374" s="143">
        <v>0</v>
      </c>
      <c r="DQ1374" s="143" t="s">
        <v>3840</v>
      </c>
      <c r="DR1374">
        <v>0</v>
      </c>
      <c r="DS1374" s="143">
        <v>0</v>
      </c>
      <c r="DT1374">
        <f>SUM(DO1374:DP1374)</f>
        <v>0</v>
      </c>
      <c r="DU1374" s="143" t="str">
        <f>IF(DO1374=1,"self-calculated DF",IF(DP1374=1,"external DF used","explicit C balance"))</f>
        <v>explicit C balance</v>
      </c>
      <c r="DV1374" s="143">
        <v>0</v>
      </c>
      <c r="DW1374" s="143">
        <v>0</v>
      </c>
      <c r="DX1374" s="143">
        <v>1</v>
      </c>
      <c r="DY1374" s="143">
        <v>1</v>
      </c>
      <c r="DZ1374">
        <v>1</v>
      </c>
      <c r="EA1374" s="143">
        <v>1</v>
      </c>
      <c r="EB1374" s="143">
        <v>1</v>
      </c>
      <c r="EC1374" s="143">
        <v>1</v>
      </c>
      <c r="ED1374" s="143">
        <v>1</v>
      </c>
      <c r="EE1374">
        <v>0</v>
      </c>
      <c r="EF1374">
        <v>0</v>
      </c>
      <c r="EG1374" s="143">
        <v>0</v>
      </c>
      <c r="EH1374">
        <v>0</v>
      </c>
      <c r="EI1374" s="2">
        <v>0</v>
      </c>
      <c r="EK1374" t="str">
        <f>IF(AND(AND(AND(OR($DX1374=1,$DW1374=1),OR($EC1374=1,$EA1374=1)),SUM($DV1374:$DZ1374,$EF1374)&gt;=3),SUM($EA1374:$EE1374)&gt;=2),"Whole sector","")</f>
        <v>Whole sector</v>
      </c>
      <c r="EL1374" t="str">
        <f>IF(AND(AND(OR($DX1374=1,$DW1374=1),AND($EC1374=0,$EA1374=0)),SUM($DV1374:$DZ1374,$EF1374)&gt;=3),"Ecosystem approach","")</f>
        <v/>
      </c>
      <c r="EM1374" s="2" t="str">
        <f>IF(AND(AND(AND($DX1374=0,$DW1374=0),OR($EC1374=1,$EA1374=1)),SUM($EB1374:$EE1374)&gt;=2),"Technology approach","")</f>
        <v/>
      </c>
      <c r="EP1374" t="b">
        <f>IF(ISNUMBER(BU1374),IF(ABS(BU1374-[5]QC_indicators!$B$2)&gt;3*[5]QC_indicators!$C$2,"C ratio",IF(ISNUMBER(BY1374),IF(ABS(BY1374-[5]QC_indicators!$B$1)&gt;3*[5]QC_indicators!$C$1,"DF","no"))),IF(ISNUMBER(BY1374),IF(ABS(BY1374-[5]QC_indicators!$B$1)&gt;3*[5]QC_indicators!$C$1,"DF","no")))</f>
        <v>0</v>
      </c>
    </row>
    <row r="1375" spans="1:148" ht="15" customHeight="1">
      <c r="A1375" s="1" t="s">
        <v>656</v>
      </c>
      <c r="B1375" t="s">
        <v>3830</v>
      </c>
      <c r="C1375" t="s">
        <v>3831</v>
      </c>
      <c r="D1375" t="s">
        <v>3832</v>
      </c>
      <c r="E1375" t="s">
        <v>3833</v>
      </c>
      <c r="F1375" t="s">
        <v>3834</v>
      </c>
      <c r="G1375" t="s">
        <v>662</v>
      </c>
      <c r="H1375" t="s">
        <v>254</v>
      </c>
      <c r="I1375">
        <v>2016</v>
      </c>
      <c r="J1375">
        <v>6</v>
      </c>
      <c r="K1375" t="s">
        <v>3835</v>
      </c>
      <c r="M1375" t="str">
        <f>LEFT($D1375,FIND(",",$D1375)-1)&amp;"_"&amp;I1375&amp;L1375</f>
        <v>Lun_2016</v>
      </c>
      <c r="N1375" s="312" t="s">
        <v>4383</v>
      </c>
      <c r="O1375" s="145" t="s">
        <v>225</v>
      </c>
      <c r="Q1375" s="312" t="s">
        <v>256</v>
      </c>
      <c r="R1375" s="313"/>
      <c r="S1375" s="1" t="s">
        <v>3836</v>
      </c>
      <c r="T1375" t="s">
        <v>3837</v>
      </c>
      <c r="U1375" s="143" t="s">
        <v>925</v>
      </c>
      <c r="V1375">
        <v>0</v>
      </c>
      <c r="W1375">
        <v>0</v>
      </c>
      <c r="X1375">
        <v>0</v>
      </c>
      <c r="Y1375">
        <v>0</v>
      </c>
      <c r="Z1375">
        <v>0</v>
      </c>
      <c r="AA1375">
        <v>0</v>
      </c>
      <c r="AB1375">
        <v>0</v>
      </c>
      <c r="AC1375">
        <v>0</v>
      </c>
      <c r="AD1375">
        <v>0</v>
      </c>
      <c r="AE1375">
        <v>0</v>
      </c>
      <c r="AF1375">
        <v>1</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s="141">
        <f>COUNTIF(V1375:AW1375,"&lt;&gt;0")</f>
        <v>1</v>
      </c>
      <c r="AY1375" s="141">
        <f>COUNTIF(V1375:AL1375,"&lt;&gt;0")</f>
        <v>1</v>
      </c>
      <c r="AZ1375">
        <f>COUNTIF(V1375:AC1375,"&lt;&gt;0")</f>
        <v>0</v>
      </c>
      <c r="BA1375">
        <f>COUNTIF(AD1375:AI1375,"&lt;&gt;0")</f>
        <v>1</v>
      </c>
      <c r="BB1375">
        <f>COUNTIF(AJ1375:AL1375,"&lt;&gt;0")</f>
        <v>0</v>
      </c>
      <c r="BC1375">
        <f>COUNTIF(AS1375:AW1375,"&lt;&gt;0")</f>
        <v>0</v>
      </c>
      <c r="BD1375">
        <f>COUNTIF(AM1375:AR1375,"&lt;&gt;0")</f>
        <v>0</v>
      </c>
      <c r="BE1375" t="str" cm="1">
        <f t="array" ref="BE1375">IF(AY1375=1,INDEX($V$7:$AL$7,MATCH(TRUE,INDEX($V1375:$AW1375&lt;&gt;0,),0)),IF(AY1375=0,INDEX($AM$7:$AW$7,MATCH(1,$AM1375:$AW1375,0)),IF(BF1375="Multiple strategies","mixed drivers",IF(BF1375="Supply chain","multiple supply","multiple silviculture"))))</f>
        <v>supply chain organization</v>
      </c>
      <c r="BF1375" s="2" t="str" cm="1">
        <f t="array" ref="BF1375">IF(COUNTIF(AZ1375:BB1375,"&lt;&gt;0")=1,INDEX($V$4:$AW$4,MATCH(TRUE,INDEX($V1375:$AW1375&lt;&gt;0,),0)),IF(COUNTIF(AZ1375:BB1375,"&lt;&gt;0")=0,INDEX($AM$4:$AW$4,MATCH(1,$AM1375:$AW1375,0)),"Multiple strategies"))</f>
        <v>Supply chain</v>
      </c>
      <c r="BG1375" s="142"/>
      <c r="BJ1375" s="143"/>
      <c r="BL1375" s="143"/>
      <c r="BM1375" s="163"/>
      <c r="BN1375" s="158"/>
      <c r="BO1375" s="143"/>
      <c r="BP1375" t="s">
        <v>232</v>
      </c>
      <c r="BR1375" t="s">
        <v>3839</v>
      </c>
      <c r="BS1375" s="143">
        <v>14.87</v>
      </c>
      <c r="BT1375">
        <v>147.22</v>
      </c>
      <c r="BU1375" s="144">
        <f>IFERROR(BT1375/BS1375,"")</f>
        <v>9.9004707464694022</v>
      </c>
      <c r="BV1375">
        <f>BT1375-BS1375</f>
        <v>132.35</v>
      </c>
      <c r="BX1375">
        <f>BV1375/10^3*C_to_CO2</f>
        <v>0.48572449999999995</v>
      </c>
      <c r="BY1375" t="str">
        <f>IFERROR(BX1375/BO1375,"")</f>
        <v/>
      </c>
      <c r="BZ1375">
        <v>0</v>
      </c>
      <c r="CA1375">
        <v>0</v>
      </c>
      <c r="CB1375">
        <v>0</v>
      </c>
      <c r="CC1375">
        <v>0</v>
      </c>
      <c r="CD1375">
        <v>0</v>
      </c>
      <c r="CE1375">
        <v>0</v>
      </c>
      <c r="CF1375">
        <v>0</v>
      </c>
      <c r="CG1375">
        <v>0</v>
      </c>
      <c r="CH1375">
        <v>0</v>
      </c>
      <c r="CI1375">
        <v>0</v>
      </c>
      <c r="CJ1375">
        <v>0</v>
      </c>
      <c r="CK1375">
        <v>0</v>
      </c>
      <c r="CL1375">
        <v>0</v>
      </c>
      <c r="CM1375">
        <v>0</v>
      </c>
      <c r="CN1375" t="str">
        <f>IF(BL1375&lt;BK1375,"refNeedCorrection","refOK")</f>
        <v>refOK</v>
      </c>
      <c r="CO1375"/>
      <c r="CP1375"/>
      <c r="CQ1375"/>
      <c r="CR1375">
        <f>IF($CN1375="refOK",$BS1375,$BT1375)*IF($BP1375="Emissions positive",-1,1)</f>
        <v>14.87</v>
      </c>
      <c r="CS1375">
        <f>IF($CN1375="refOK",$BT1375,$BS1375)*IF($BP1375="Emissions positive",-1,1)</f>
        <v>147.22</v>
      </c>
      <c r="CT1375">
        <f>IF($CN1375="refNeedCorrection",-BX1375,BX1375)*IF($BP1375="Emissions positive",-1,1)</f>
        <v>0.48572449999999995</v>
      </c>
      <c r="CU1375" t="str">
        <f>IFERROR(CT1375/CQ1375,"")</f>
        <v/>
      </c>
      <c r="CV1375" s="2">
        <f>IFERROR((CS1375-CR1375)/ABS(CR1375),"")</f>
        <v>8.9004707464694022</v>
      </c>
      <c r="CW1375" s="1" t="s">
        <v>234</v>
      </c>
      <c r="CX1375" s="312" t="str">
        <f>IF(OR($CW1375="prd",$CW1375="std",$CW1375="cit"),"loc",IF(OR($CW1375="eur",$CW1375="reg",$CW1375="coy"),"reg",$CW1375))</f>
        <v>loc</v>
      </c>
      <c r="CY1375" t="s">
        <v>690</v>
      </c>
      <c r="DA1375" s="143"/>
      <c r="DB1375" s="143">
        <f>DA1375-CZ1375</f>
        <v>0</v>
      </c>
      <c r="DC1375" t="str">
        <f>IF(DB1375=0,"0",IF(AND(DB1375&gt;=1,DB1375&lt;=30),"1-30",IF(AND(DB1375&gt;30,DB1375&lt;=70),"31-70",IF(AND(DB1375&gt;70,DB1375&lt;=100),"71-100",IF(DB1375&gt;100,"+100")))))</f>
        <v>0</v>
      </c>
      <c r="DD1375">
        <v>0</v>
      </c>
      <c r="DE1375">
        <v>1</v>
      </c>
      <c r="DF1375">
        <v>0</v>
      </c>
      <c r="DG1375">
        <v>1</v>
      </c>
      <c r="DI1375">
        <f>SUM(DD1375:DG1375)</f>
        <v>2</v>
      </c>
      <c r="DJ1375" t="str">
        <f>IF(DI1375=1,INDEX($DD$7:$DG$7,MATCH(1,$DD1375:$DG1375,0)),"mixedProduct")</f>
        <v>mixedProduct</v>
      </c>
      <c r="DK1375">
        <f>IF(DD1375=1,DK$7,0)</f>
        <v>0</v>
      </c>
      <c r="DL1375" t="str">
        <f>IF(DE1375=1,DL$7,0)</f>
        <v>Energy</v>
      </c>
      <c r="DM1375">
        <f>IF(DF1375=1,DM$7,0)</f>
        <v>0</v>
      </c>
      <c r="DN1375" t="str">
        <f>IF(DG1375=1,DN$7,0)</f>
        <v>Timber</v>
      </c>
      <c r="DO1375">
        <v>0</v>
      </c>
      <c r="DP1375" s="143">
        <v>0</v>
      </c>
      <c r="DQ1375" s="143" t="s">
        <v>3840</v>
      </c>
      <c r="DR1375">
        <v>0</v>
      </c>
      <c r="DS1375" s="143">
        <v>0</v>
      </c>
      <c r="DT1375">
        <f>SUM(DO1375:DP1375)</f>
        <v>0</v>
      </c>
      <c r="DU1375" s="143" t="str">
        <f>IF(DO1375=1,"self-calculated DF",IF(DP1375=1,"external DF used","explicit C balance"))</f>
        <v>explicit C balance</v>
      </c>
      <c r="DV1375" s="143">
        <v>0</v>
      </c>
      <c r="DW1375" s="143">
        <v>0</v>
      </c>
      <c r="DX1375" s="143">
        <v>1</v>
      </c>
      <c r="DY1375" s="143">
        <v>1</v>
      </c>
      <c r="DZ1375">
        <v>1</v>
      </c>
      <c r="EA1375" s="143">
        <v>1</v>
      </c>
      <c r="EB1375" s="143">
        <v>1</v>
      </c>
      <c r="EC1375" s="143">
        <v>1</v>
      </c>
      <c r="ED1375" s="143">
        <v>1</v>
      </c>
      <c r="EE1375">
        <v>0</v>
      </c>
      <c r="EF1375">
        <v>0</v>
      </c>
      <c r="EG1375" s="143">
        <v>0</v>
      </c>
      <c r="EH1375">
        <v>0</v>
      </c>
      <c r="EI1375" s="2">
        <v>0</v>
      </c>
      <c r="EK1375" t="str">
        <f>IF(AND(AND(AND(OR($DX1375=1,$DW1375=1),OR($EC1375=1,$EA1375=1)),SUM($DV1375:$DZ1375,$EF1375)&gt;=3),SUM($EA1375:$EE1375)&gt;=2),"Whole sector","")</f>
        <v>Whole sector</v>
      </c>
      <c r="EL1375" t="str">
        <f>IF(AND(AND(OR($DX1375=1,$DW1375=1),AND($EC1375=0,$EA1375=0)),SUM($DV1375:$DZ1375,$EF1375)&gt;=3),"Ecosystem approach","")</f>
        <v/>
      </c>
      <c r="EM1375" s="2" t="str">
        <f>IF(AND(AND(AND($DX1375=0,$DW1375=0),OR($EC1375=1,$EA1375=1)),SUM($EB1375:$EE1375)&gt;=2),"Technology approach","")</f>
        <v/>
      </c>
      <c r="EP1375" t="b">
        <f>IF(ISNUMBER(BU1375),IF(ABS(BU1375-[5]QC_indicators!$B$2)&gt;3*[5]QC_indicators!$C$2,"C ratio",IF(ISNUMBER(BY1375),IF(ABS(BY1375-[5]QC_indicators!$B$1)&gt;3*[5]QC_indicators!$C$1,"DF","no"))),IF(ISNUMBER(BY1375),IF(ABS(BY1375-[5]QC_indicators!$B$1)&gt;3*[5]QC_indicators!$C$1,"DF","no")))</f>
        <v>0</v>
      </c>
    </row>
    <row r="1376" spans="1:148" ht="15" customHeight="1">
      <c r="A1376" s="1" t="s">
        <v>3841</v>
      </c>
      <c r="B1376" t="s">
        <v>3842</v>
      </c>
      <c r="C1376" t="s">
        <v>3843</v>
      </c>
      <c r="D1376" t="s">
        <v>3844</v>
      </c>
      <c r="E1376" t="s">
        <v>3845</v>
      </c>
      <c r="F1376" t="s">
        <v>3846</v>
      </c>
      <c r="G1376" t="s">
        <v>3847</v>
      </c>
      <c r="H1376" t="s">
        <v>254</v>
      </c>
      <c r="I1376">
        <v>2019</v>
      </c>
      <c r="J1376">
        <v>10</v>
      </c>
      <c r="K1376" t="s">
        <v>3848</v>
      </c>
      <c r="M1376" t="str">
        <f>LEFT($D1376,FIND(",",$D1376)-1)&amp;"_"&amp;I1376&amp;L1376</f>
        <v>Mai-Moulin_2019</v>
      </c>
      <c r="N1376" s="312" t="s">
        <v>4383</v>
      </c>
      <c r="O1376" s="145" t="s">
        <v>225</v>
      </c>
      <c r="Q1376" s="312" t="s">
        <v>256</v>
      </c>
      <c r="R1376" s="313"/>
      <c r="S1376" s="1" t="s">
        <v>3849</v>
      </c>
      <c r="T1376" t="s">
        <v>3850</v>
      </c>
      <c r="U1376" t="s">
        <v>3851</v>
      </c>
      <c r="V1376">
        <v>0</v>
      </c>
      <c r="W1376">
        <v>0</v>
      </c>
      <c r="X1376">
        <v>0</v>
      </c>
      <c r="Y1376">
        <v>0</v>
      </c>
      <c r="Z1376">
        <v>0</v>
      </c>
      <c r="AA1376">
        <v>0</v>
      </c>
      <c r="AB1376">
        <v>0</v>
      </c>
      <c r="AC1376">
        <v>0</v>
      </c>
      <c r="AD1376">
        <v>0</v>
      </c>
      <c r="AE1376">
        <v>0</v>
      </c>
      <c r="AF1376">
        <v>0</v>
      </c>
      <c r="AG1376">
        <v>0</v>
      </c>
      <c r="AH1376">
        <v>0</v>
      </c>
      <c r="AI1376">
        <v>0</v>
      </c>
      <c r="AJ1376">
        <v>1</v>
      </c>
      <c r="AK1376">
        <v>0</v>
      </c>
      <c r="AL1376">
        <v>0</v>
      </c>
      <c r="AM1376">
        <v>0</v>
      </c>
      <c r="AN1376">
        <v>0</v>
      </c>
      <c r="AO1376">
        <v>0</v>
      </c>
      <c r="AP1376">
        <v>0</v>
      </c>
      <c r="AQ1376">
        <v>0</v>
      </c>
      <c r="AR1376">
        <v>0</v>
      </c>
      <c r="AS1376">
        <v>0</v>
      </c>
      <c r="AT1376">
        <v>0</v>
      </c>
      <c r="AU1376">
        <v>0</v>
      </c>
      <c r="AV1376">
        <v>0</v>
      </c>
      <c r="AW1376">
        <v>0</v>
      </c>
      <c r="AX1376" s="141">
        <f>COUNTIF(V1376:AW1376,"&lt;&gt;0")</f>
        <v>1</v>
      </c>
      <c r="AY1376" s="141">
        <f>COUNTIF(V1376:AL1376,"&lt;&gt;0")</f>
        <v>1</v>
      </c>
      <c r="AZ1376">
        <f>COUNTIF(V1376:AC1376,"&lt;&gt;0")</f>
        <v>0</v>
      </c>
      <c r="BA1376">
        <f>COUNTIF(AD1376:AI1376,"&lt;&gt;0")</f>
        <v>0</v>
      </c>
      <c r="BB1376">
        <f>COUNTIF(AJ1376:AL1376,"&lt;&gt;0")</f>
        <v>1</v>
      </c>
      <c r="BC1376">
        <f>COUNTIF(AS1376:AW1376,"&lt;&gt;0")</f>
        <v>0</v>
      </c>
      <c r="BD1376">
        <f>COUNTIF(AM1376:AR1376,"&lt;&gt;0")</f>
        <v>0</v>
      </c>
      <c r="BE1376" t="str" cm="1">
        <f t="array" ref="BE1376">IF(AY1376=1,INDEX($V$7:$AL$7,MATCH(TRUE,INDEX($V1376:$AW1376&lt;&gt;0,),0)),IF(AY1376=0,INDEX($AM$7:$AW$7,MATCH(1,$AM1376:$AW1376,0)),IF(BF1376="Multiple strategies","mixed drivers",IF(BF1376="Supply chain","multiple supply","multiple silviculture"))))</f>
        <v>efficiency improvement</v>
      </c>
      <c r="BF1376" s="2" t="str" cm="1">
        <f t="array" ref="BF1376">IF(COUNTIF(AZ1376:BB1376,"&lt;&gt;0")=1,INDEX($V$4:$AW$4,MATCH(TRUE,INDEX($V1376:$AW1376&lt;&gt;0,),0)),IF(COUNTIF(AZ1376:BB1376,"&lt;&gt;0")=0,INDEX($AM$4:$AW$4,MATCH(1,$AM1376:$AW1376,0)),"Multiple strategies"))</f>
        <v>Technology</v>
      </c>
      <c r="BG1376" s="142"/>
      <c r="BJ1376" s="143"/>
      <c r="BL1376" s="143"/>
      <c r="BM1376" s="163"/>
      <c r="BN1376" s="158"/>
      <c r="BO1376" s="143"/>
      <c r="BP1376" s="312" t="s">
        <v>232</v>
      </c>
      <c r="BQ1376" s="312"/>
      <c r="BR1376" t="s">
        <v>3852</v>
      </c>
      <c r="BS1376">
        <v>-6.73</v>
      </c>
      <c r="BT1376" s="143">
        <v>-9</v>
      </c>
      <c r="BU1376" s="144">
        <v>1.3372956909361069</v>
      </c>
      <c r="BV1376">
        <v>-2.2699999999999996</v>
      </c>
      <c r="BX1376" s="144">
        <f>BV1376*1000</f>
        <v>-2269.9999999999995</v>
      </c>
      <c r="BY1376" t="str">
        <f>IFERROR(BX1376/BO1376,"")</f>
        <v/>
      </c>
      <c r="BZ1376">
        <v>0</v>
      </c>
      <c r="CA1376">
        <v>0</v>
      </c>
      <c r="CB1376">
        <v>0</v>
      </c>
      <c r="CC1376">
        <v>0</v>
      </c>
      <c r="CD1376">
        <v>0</v>
      </c>
      <c r="CE1376">
        <v>0</v>
      </c>
      <c r="CF1376">
        <v>0</v>
      </c>
      <c r="CG1376">
        <v>0</v>
      </c>
      <c r="CH1376">
        <v>0</v>
      </c>
      <c r="CI1376">
        <v>0</v>
      </c>
      <c r="CJ1376">
        <v>0</v>
      </c>
      <c r="CK1376">
        <v>0</v>
      </c>
      <c r="CL1376">
        <v>0</v>
      </c>
      <c r="CM1376">
        <v>0</v>
      </c>
      <c r="CN1376" t="str">
        <f>IF(BL1376&lt;BK1376,"refNeedCorrection","refOK")</f>
        <v>refOK</v>
      </c>
      <c r="CO1376"/>
      <c r="CP1376"/>
      <c r="CQ1376"/>
      <c r="CR1376">
        <f>IF($CN1376="refOK",$BS1376,$BT1376)*IF($BP1376="Emissions positive",-1,1)</f>
        <v>-6.73</v>
      </c>
      <c r="CS1376">
        <f>IF($CN1376="refOK",$BT1376,$BS1376)*IF($BP1376="Emissions positive",-1,1)</f>
        <v>-9</v>
      </c>
      <c r="CT1376">
        <f>IF($CN1376="refNeedCorrection",-BX1376,BX1376)*IF($BP1376="Emissions positive",-1,1)</f>
        <v>-2269.9999999999995</v>
      </c>
      <c r="CU1376" t="str">
        <f>IFERROR(CT1376/CQ1376,"")</f>
        <v/>
      </c>
      <c r="CV1376" s="2">
        <f>IFERROR((CS1376-CR1376)/ABS(CR1376),"")</f>
        <v>-0.3372956909361069</v>
      </c>
      <c r="CW1376" s="1" t="s">
        <v>1203</v>
      </c>
      <c r="CX1376" s="312" t="str">
        <f>IF(OR($CW1376="prd",$CW1376="std",$CW1376="cit"),"loc",IF(OR($CW1376="eur",$CW1376="reg",$CW1376="coy"),"reg",$CW1376))</f>
        <v>reg</v>
      </c>
      <c r="CY1376" t="s">
        <v>3853</v>
      </c>
      <c r="CZ1376">
        <v>2020</v>
      </c>
      <c r="DA1376" s="143">
        <v>2030</v>
      </c>
      <c r="DB1376" s="143">
        <f>DA1376-CZ1376</f>
        <v>10</v>
      </c>
      <c r="DC1376" t="str">
        <f>IF(DB1376=0,"0",IF(AND(DB1376&gt;=1,DB1376&lt;=30),"1-30",IF(AND(DB1376&gt;30,DB1376&lt;=70),"31-70",IF(AND(DB1376&gt;70,DB1376&lt;=100),"71-100",IF(DB1376&gt;100,"+100")))))</f>
        <v>1-30</v>
      </c>
      <c r="DD1376">
        <v>0</v>
      </c>
      <c r="DE1376">
        <v>1</v>
      </c>
      <c r="DF1376">
        <v>0</v>
      </c>
      <c r="DG1376">
        <v>0</v>
      </c>
      <c r="DI1376">
        <f>SUM(DD1376:DG1376)</f>
        <v>1</v>
      </c>
      <c r="DJ1376" t="str">
        <f>IF(DI1376=1,INDEX($DD$7:$DG$7,MATCH(1,$DD1376:$DG1376,0)),"mixedProduct")</f>
        <v>EnergyInput</v>
      </c>
      <c r="DK1376">
        <f>IF(DD1376=1,DK$7,0)</f>
        <v>0</v>
      </c>
      <c r="DL1376" t="str">
        <f>IF(DE1376=1,DL$7,0)</f>
        <v>Energy</v>
      </c>
      <c r="DM1376">
        <f>IF(DF1376=1,DM$7,0)</f>
        <v>0</v>
      </c>
      <c r="DN1376">
        <f>IF(DG1376=1,DN$7,0)</f>
        <v>0</v>
      </c>
      <c r="DO1376">
        <v>0</v>
      </c>
      <c r="DP1376" s="143">
        <v>0</v>
      </c>
      <c r="DQ1376" s="143">
        <v>0</v>
      </c>
      <c r="DR1376">
        <v>0</v>
      </c>
      <c r="DS1376" s="143">
        <v>0</v>
      </c>
      <c r="DT1376">
        <f>SUM(DO1376:DP1376)</f>
        <v>0</v>
      </c>
      <c r="DU1376" s="143" t="str">
        <f>IF(DO1376=1,"self-calculated DF",IF(DP1376=1,"external DF used","explicit C balance"))</f>
        <v>explicit C balance</v>
      </c>
      <c r="DV1376" s="143">
        <v>0</v>
      </c>
      <c r="DW1376" s="143">
        <v>0</v>
      </c>
      <c r="DX1376" s="143">
        <v>0</v>
      </c>
      <c r="DY1376" s="143">
        <v>0</v>
      </c>
      <c r="DZ1376">
        <v>0</v>
      </c>
      <c r="EA1376" s="143">
        <v>0</v>
      </c>
      <c r="EB1376" s="143">
        <v>0</v>
      </c>
      <c r="EC1376" s="143">
        <v>1</v>
      </c>
      <c r="ED1376" s="143">
        <v>0</v>
      </c>
      <c r="EE1376">
        <v>0</v>
      </c>
      <c r="EF1376">
        <v>0</v>
      </c>
      <c r="EG1376" s="143">
        <v>0</v>
      </c>
      <c r="EH1376">
        <v>0</v>
      </c>
      <c r="EI1376" s="2">
        <v>0</v>
      </c>
      <c r="EK1376" t="str">
        <f>IF(AND(AND(AND(OR($DX1376=1,$DW1376=1),OR($EC1376=1,$EA1376=1)),SUM($DV1376:$DZ1376,$EF1376)&gt;=3),SUM($EA1376:$EE1376)&gt;=2),"Whole sector","")</f>
        <v/>
      </c>
      <c r="EL1376" t="str">
        <f>IF(AND(AND(OR($DX1376=1,$DW1376=1),AND($EC1376=0,$EA1376=0)),SUM($DV1376:$DZ1376,$EF1376)&gt;=3),"Ecosystem approach","")</f>
        <v/>
      </c>
      <c r="EM1376" s="2" t="str">
        <f>IF(AND(AND(AND($DX1376=0,$DW1376=0),OR($EC1376=1,$EA1376=1)),SUM($EB1376:$EE1376)&gt;=2),"Technology approach","")</f>
        <v/>
      </c>
      <c r="EN1376" t="s">
        <v>3854</v>
      </c>
      <c r="EP1376" t="b">
        <f>IF(ISNUMBER(BU1376),IF(ABS(BU1376-[5]QC_indicators!$B$2)&gt;3*[5]QC_indicators!$C$2,"C ratio",IF(ISNUMBER(BY1376),IF(ABS(BY1376-[5]QC_indicators!$B$1)&gt;3*[5]QC_indicators!$C$1,"DF","no"))),IF(ISNUMBER(BY1376),IF(ABS(BY1376-[5]QC_indicators!$B$1)&gt;3*[5]QC_indicators!$C$1,"DF","no")))</f>
        <v>0</v>
      </c>
      <c r="ER1376" s="314" t="s">
        <v>349</v>
      </c>
    </row>
    <row r="1377" spans="1:148" ht="15" customHeight="1">
      <c r="A1377" s="1" t="s">
        <v>3841</v>
      </c>
      <c r="B1377" t="s">
        <v>3842</v>
      </c>
      <c r="C1377" t="s">
        <v>3843</v>
      </c>
      <c r="D1377" t="s">
        <v>3844</v>
      </c>
      <c r="E1377" t="s">
        <v>3845</v>
      </c>
      <c r="F1377" t="s">
        <v>3846</v>
      </c>
      <c r="G1377" t="s">
        <v>3847</v>
      </c>
      <c r="H1377" t="s">
        <v>254</v>
      </c>
      <c r="I1377">
        <v>2019</v>
      </c>
      <c r="J1377">
        <v>10</v>
      </c>
      <c r="K1377" t="s">
        <v>3848</v>
      </c>
      <c r="M1377" t="str">
        <f>LEFT($D1377,FIND(",",$D1377)-1)&amp;"_"&amp;I1377&amp;L1377</f>
        <v>Mai-Moulin_2019</v>
      </c>
      <c r="N1377" s="312" t="s">
        <v>4383</v>
      </c>
      <c r="O1377" s="145" t="s">
        <v>225</v>
      </c>
      <c r="Q1377" s="312" t="s">
        <v>256</v>
      </c>
      <c r="R1377" s="313"/>
      <c r="S1377" s="1" t="s">
        <v>3849</v>
      </c>
      <c r="T1377" t="s">
        <v>3850</v>
      </c>
      <c r="U1377" t="s">
        <v>3851</v>
      </c>
      <c r="V1377">
        <v>0</v>
      </c>
      <c r="W1377">
        <v>0</v>
      </c>
      <c r="X1377">
        <v>0</v>
      </c>
      <c r="Y1377">
        <v>0</v>
      </c>
      <c r="Z1377">
        <v>0</v>
      </c>
      <c r="AA1377">
        <v>0</v>
      </c>
      <c r="AB1377">
        <v>0</v>
      </c>
      <c r="AC1377">
        <v>0</v>
      </c>
      <c r="AD1377">
        <v>0</v>
      </c>
      <c r="AE1377">
        <v>0</v>
      </c>
      <c r="AF1377">
        <v>0</v>
      </c>
      <c r="AG1377">
        <v>0</v>
      </c>
      <c r="AH1377">
        <v>0</v>
      </c>
      <c r="AI1377">
        <v>0</v>
      </c>
      <c r="AJ1377">
        <v>1</v>
      </c>
      <c r="AK1377">
        <v>0</v>
      </c>
      <c r="AL1377">
        <v>0</v>
      </c>
      <c r="AM1377">
        <v>0</v>
      </c>
      <c r="AN1377">
        <v>0</v>
      </c>
      <c r="AO1377">
        <v>0</v>
      </c>
      <c r="AP1377">
        <v>0</v>
      </c>
      <c r="AQ1377">
        <v>0</v>
      </c>
      <c r="AR1377">
        <v>0</v>
      </c>
      <c r="AS1377">
        <v>0</v>
      </c>
      <c r="AT1377">
        <v>0</v>
      </c>
      <c r="AU1377">
        <v>0</v>
      </c>
      <c r="AV1377">
        <v>0</v>
      </c>
      <c r="AW1377">
        <v>0</v>
      </c>
      <c r="AX1377" s="141">
        <f>COUNTIF(V1377:AW1377,"&lt;&gt;0")</f>
        <v>1</v>
      </c>
      <c r="AY1377" s="141">
        <f>COUNTIF(V1377:AL1377,"&lt;&gt;0")</f>
        <v>1</v>
      </c>
      <c r="AZ1377">
        <f>COUNTIF(V1377:AC1377,"&lt;&gt;0")</f>
        <v>0</v>
      </c>
      <c r="BA1377">
        <f>COUNTIF(AD1377:AI1377,"&lt;&gt;0")</f>
        <v>0</v>
      </c>
      <c r="BB1377">
        <f>COUNTIF(AJ1377:AL1377,"&lt;&gt;0")</f>
        <v>1</v>
      </c>
      <c r="BC1377">
        <f>COUNTIF(AS1377:AW1377,"&lt;&gt;0")</f>
        <v>0</v>
      </c>
      <c r="BD1377">
        <f>COUNTIF(AM1377:AR1377,"&lt;&gt;0")</f>
        <v>0</v>
      </c>
      <c r="BE1377" t="str" cm="1">
        <f t="array" ref="BE1377">IF(AY1377=1,INDEX($V$7:$AL$7,MATCH(TRUE,INDEX($V1377:$AW1377&lt;&gt;0,),0)),IF(AY1377=0,INDEX($AM$7:$AW$7,MATCH(1,$AM1377:$AW1377,0)),IF(BF1377="Multiple strategies","mixed drivers",IF(BF1377="Supply chain","multiple supply","multiple silviculture"))))</f>
        <v>efficiency improvement</v>
      </c>
      <c r="BF1377" s="2" t="str" cm="1">
        <f t="array" ref="BF1377">IF(COUNTIF(AZ1377:BB1377,"&lt;&gt;0")=1,INDEX($V$4:$AW$4,MATCH(TRUE,INDEX($V1377:$AW1377&lt;&gt;0,),0)),IF(COUNTIF(AZ1377:BB1377,"&lt;&gt;0")=0,INDEX($AM$4:$AW$4,MATCH(1,$AM1377:$AW1377,0)),"Multiple strategies"))</f>
        <v>Technology</v>
      </c>
      <c r="BG1377" s="142"/>
      <c r="BJ1377" s="143"/>
      <c r="BL1377" s="143"/>
      <c r="BM1377" s="163"/>
      <c r="BN1377" s="158"/>
      <c r="BO1377" s="143"/>
      <c r="BP1377" s="312" t="s">
        <v>232</v>
      </c>
      <c r="BQ1377" s="312"/>
      <c r="BR1377" t="s">
        <v>3852</v>
      </c>
      <c r="BS1377">
        <v>-6.53</v>
      </c>
      <c r="BT1377" s="143">
        <v>-18.2</v>
      </c>
      <c r="BU1377" s="144">
        <v>2.7871362940275648</v>
      </c>
      <c r="BV1377">
        <v>-11.669999999999998</v>
      </c>
      <c r="BX1377" s="144">
        <f>BV1377*1000</f>
        <v>-11669.999999999998</v>
      </c>
      <c r="BY1377" t="str">
        <f>IFERROR(BX1377/BO1377,"")</f>
        <v/>
      </c>
      <c r="BZ1377">
        <v>0</v>
      </c>
      <c r="CA1377">
        <v>0</v>
      </c>
      <c r="CB1377">
        <v>0</v>
      </c>
      <c r="CC1377">
        <v>0</v>
      </c>
      <c r="CD1377">
        <v>0</v>
      </c>
      <c r="CE1377">
        <v>0</v>
      </c>
      <c r="CF1377">
        <v>0</v>
      </c>
      <c r="CG1377">
        <v>0</v>
      </c>
      <c r="CH1377">
        <v>0</v>
      </c>
      <c r="CI1377">
        <v>0</v>
      </c>
      <c r="CJ1377">
        <v>0</v>
      </c>
      <c r="CK1377">
        <v>0</v>
      </c>
      <c r="CL1377">
        <v>0</v>
      </c>
      <c r="CM1377">
        <v>0</v>
      </c>
      <c r="CN1377" t="str">
        <f>IF(BL1377&lt;BK1377,"refNeedCorrection","refOK")</f>
        <v>refOK</v>
      </c>
      <c r="CO1377"/>
      <c r="CP1377"/>
      <c r="CQ1377"/>
      <c r="CR1377">
        <f>IF($CN1377="refOK",$BS1377,$BT1377)*IF($BP1377="Emissions positive",-1,1)</f>
        <v>-6.53</v>
      </c>
      <c r="CS1377">
        <f>IF($CN1377="refOK",$BT1377,$BS1377)*IF($BP1377="Emissions positive",-1,1)</f>
        <v>-18.2</v>
      </c>
      <c r="CT1377">
        <f>IF($CN1377="refNeedCorrection",-BX1377,BX1377)*IF($BP1377="Emissions positive",-1,1)</f>
        <v>-11669.999999999998</v>
      </c>
      <c r="CU1377" t="str">
        <f>IFERROR(CT1377/CQ1377,"")</f>
        <v/>
      </c>
      <c r="CV1377" s="2">
        <f>IFERROR((CS1377-CR1377)/ABS(CR1377),"")</f>
        <v>-1.7871362940275648</v>
      </c>
      <c r="CW1377" s="1" t="s">
        <v>1203</v>
      </c>
      <c r="CX1377" s="312" t="str">
        <f>IF(OR($CW1377="prd",$CW1377="std",$CW1377="cit"),"loc",IF(OR($CW1377="eur",$CW1377="reg",$CW1377="coy"),"reg",$CW1377))</f>
        <v>reg</v>
      </c>
      <c r="CY1377" t="s">
        <v>520</v>
      </c>
      <c r="CZ1377">
        <v>2020</v>
      </c>
      <c r="DA1377" s="143">
        <v>2030</v>
      </c>
      <c r="DB1377" s="143">
        <f>DA1377-CZ1377</f>
        <v>10</v>
      </c>
      <c r="DC1377" t="str">
        <f>IF(DB1377=0,"0",IF(AND(DB1377&gt;=1,DB1377&lt;=30),"1-30",IF(AND(DB1377&gt;30,DB1377&lt;=70),"31-70",IF(AND(DB1377&gt;70,DB1377&lt;=100),"71-100",IF(DB1377&gt;100,"+100")))))</f>
        <v>1-30</v>
      </c>
      <c r="DD1377">
        <v>0</v>
      </c>
      <c r="DE1377">
        <v>1</v>
      </c>
      <c r="DF1377">
        <v>0</v>
      </c>
      <c r="DG1377">
        <v>0</v>
      </c>
      <c r="DI1377">
        <f>SUM(DD1377:DG1377)</f>
        <v>1</v>
      </c>
      <c r="DJ1377" t="str">
        <f>IF(DI1377=1,INDEX($DD$7:$DG$7,MATCH(1,$DD1377:$DG1377,0)),"mixedProduct")</f>
        <v>EnergyInput</v>
      </c>
      <c r="DK1377">
        <f>IF(DD1377=1,DK$7,0)</f>
        <v>0</v>
      </c>
      <c r="DL1377" t="str">
        <f>IF(DE1377=1,DL$7,0)</f>
        <v>Energy</v>
      </c>
      <c r="DM1377">
        <f>IF(DF1377=1,DM$7,0)</f>
        <v>0</v>
      </c>
      <c r="DN1377">
        <f>IF(DG1377=1,DN$7,0)</f>
        <v>0</v>
      </c>
      <c r="DO1377">
        <v>0</v>
      </c>
      <c r="DP1377" s="143">
        <v>0</v>
      </c>
      <c r="DQ1377" s="143">
        <v>0</v>
      </c>
      <c r="DR1377">
        <v>0</v>
      </c>
      <c r="DS1377" s="143">
        <v>0</v>
      </c>
      <c r="DT1377">
        <f>SUM(DO1377:DP1377)</f>
        <v>0</v>
      </c>
      <c r="DU1377" s="143" t="str">
        <f>IF(DO1377=1,"self-calculated DF",IF(DP1377=1,"external DF used","explicit C balance"))</f>
        <v>explicit C balance</v>
      </c>
      <c r="DV1377" s="143">
        <v>0</v>
      </c>
      <c r="DW1377" s="143">
        <v>0</v>
      </c>
      <c r="DX1377" s="143">
        <v>0</v>
      </c>
      <c r="DY1377" s="143">
        <v>0</v>
      </c>
      <c r="DZ1377">
        <v>0</v>
      </c>
      <c r="EA1377" s="143">
        <v>0</v>
      </c>
      <c r="EB1377" s="143">
        <v>0</v>
      </c>
      <c r="EC1377" s="143">
        <v>1</v>
      </c>
      <c r="ED1377" s="143">
        <v>0</v>
      </c>
      <c r="EE1377">
        <v>0</v>
      </c>
      <c r="EF1377">
        <v>0</v>
      </c>
      <c r="EG1377" s="143">
        <v>0</v>
      </c>
      <c r="EH1377">
        <v>0</v>
      </c>
      <c r="EI1377" s="2">
        <v>0</v>
      </c>
      <c r="EK1377" t="str">
        <f>IF(AND(AND(AND(OR($DX1377=1,$DW1377=1),OR($EC1377=1,$EA1377=1)),SUM($DV1377:$DZ1377,$EF1377)&gt;=3),SUM($EA1377:$EE1377)&gt;=2),"Whole sector","")</f>
        <v/>
      </c>
      <c r="EL1377" t="str">
        <f>IF(AND(AND(OR($DX1377=1,$DW1377=1),AND($EC1377=0,$EA1377=0)),SUM($DV1377:$DZ1377,$EF1377)&gt;=3),"Ecosystem approach","")</f>
        <v/>
      </c>
      <c r="EM1377" s="2" t="str">
        <f>IF(AND(AND(AND($DX1377=0,$DW1377=0),OR($EC1377=1,$EA1377=1)),SUM($EB1377:$EE1377)&gt;=2),"Technology approach","")</f>
        <v/>
      </c>
      <c r="EN1377" t="s">
        <v>3854</v>
      </c>
      <c r="EP1377" t="b">
        <f>IF(ISNUMBER(BU1377),IF(ABS(BU1377-[5]QC_indicators!$B$2)&gt;3*[5]QC_indicators!$C$2,"C ratio",IF(ISNUMBER(BY1377),IF(ABS(BY1377-[5]QC_indicators!$B$1)&gt;3*[5]QC_indicators!$C$1,"DF","no"))),IF(ISNUMBER(BY1377),IF(ABS(BY1377-[5]QC_indicators!$B$1)&gt;3*[5]QC_indicators!$C$1,"DF","no")))</f>
        <v>0</v>
      </c>
      <c r="ER1377" s="314" t="s">
        <v>349</v>
      </c>
    </row>
    <row r="1378" spans="1:148" ht="15" customHeight="1">
      <c r="A1378" s="1" t="s">
        <v>656</v>
      </c>
      <c r="B1378" t="s">
        <v>3855</v>
      </c>
      <c r="C1378" t="s">
        <v>3856</v>
      </c>
      <c r="D1378" t="s">
        <v>3857</v>
      </c>
      <c r="E1378" t="s">
        <v>3858</v>
      </c>
      <c r="F1378" t="s">
        <v>3859</v>
      </c>
      <c r="G1378" t="s">
        <v>662</v>
      </c>
      <c r="H1378" t="s">
        <v>254</v>
      </c>
      <c r="I1378">
        <v>2020</v>
      </c>
      <c r="J1378">
        <v>4</v>
      </c>
      <c r="K1378" t="s">
        <v>3860</v>
      </c>
      <c r="M1378" t="str">
        <f>LEFT($D1378,FIND(",",$D1378)-1)&amp;"_"&amp;I1378&amp;L1378</f>
        <v>Nakano_2020</v>
      </c>
      <c r="N1378" s="312" t="s">
        <v>4383</v>
      </c>
      <c r="O1378" s="157" t="s">
        <v>274</v>
      </c>
      <c r="P1378" t="s">
        <v>960</v>
      </c>
      <c r="Q1378" s="312" t="s">
        <v>389</v>
      </c>
      <c r="R1378" s="313"/>
      <c r="S1378" s="319" t="s">
        <v>3861</v>
      </c>
      <c r="T1378" s="312" t="s">
        <v>3862</v>
      </c>
      <c r="U1378" t="s">
        <v>3863</v>
      </c>
      <c r="V1378">
        <v>0</v>
      </c>
      <c r="W1378">
        <v>0</v>
      </c>
      <c r="X1378">
        <v>0</v>
      </c>
      <c r="Y1378">
        <v>0</v>
      </c>
      <c r="Z1378">
        <v>0</v>
      </c>
      <c r="AA1378">
        <v>0</v>
      </c>
      <c r="AB1378">
        <v>0</v>
      </c>
      <c r="AC1378">
        <v>0</v>
      </c>
      <c r="AD1378">
        <v>0</v>
      </c>
      <c r="AE1378">
        <v>0</v>
      </c>
      <c r="AF1378">
        <v>1</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s="141">
        <f>COUNTIF(V1378:AW1378,"&lt;&gt;0")</f>
        <v>1</v>
      </c>
      <c r="AY1378" s="141">
        <f>COUNTIF(V1378:AL1378,"&lt;&gt;0")</f>
        <v>1</v>
      </c>
      <c r="AZ1378">
        <f>COUNTIF(V1378:AC1378,"&lt;&gt;0")</f>
        <v>0</v>
      </c>
      <c r="BA1378">
        <f>COUNTIF(AD1378:AI1378,"&lt;&gt;0")</f>
        <v>1</v>
      </c>
      <c r="BB1378">
        <f>COUNTIF(AJ1378:AL1378,"&lt;&gt;0")</f>
        <v>0</v>
      </c>
      <c r="BC1378">
        <f>COUNTIF(AS1378:AW1378,"&lt;&gt;0")</f>
        <v>0</v>
      </c>
      <c r="BD1378">
        <f>COUNTIF(AM1378:AR1378,"&lt;&gt;0")</f>
        <v>0</v>
      </c>
      <c r="BE1378" t="str" cm="1">
        <f t="array" ref="BE1378">IF(AY1378=1,INDEX($V$7:$AL$7,MATCH(TRUE,INDEX($V1378:$AW1378&lt;&gt;0,),0)),IF(AY1378=0,INDEX($AM$7:$AW$7,MATCH(1,$AM1378:$AW1378,0)),IF(BF1378="Multiple strategies","mixed drivers",IF(BF1378="Supply chain","multiple supply","multiple silviculture"))))</f>
        <v>supply chain organization</v>
      </c>
      <c r="BF1378" s="2" t="str" cm="1">
        <f t="array" ref="BF1378">IF(COUNTIF(AZ1378:BB1378,"&lt;&gt;0")=1,INDEX($V$4:$AW$4,MATCH(TRUE,INDEX($V1378:$AW1378&lt;&gt;0,),0)),IF(COUNTIF(AZ1378:BB1378,"&lt;&gt;0")=0,INDEX($AM$4:$AW$4,MATCH(1,$AM1378:$AW1378,0)),"Multiple strategies"))</f>
        <v>Supply chain</v>
      </c>
      <c r="BM1378" t="s">
        <v>544</v>
      </c>
      <c r="BP1378" t="s">
        <v>395</v>
      </c>
      <c r="BQ1378" t="s">
        <v>3864</v>
      </c>
      <c r="BR1378" s="312" t="s">
        <v>3865</v>
      </c>
      <c r="BS1378">
        <v>174</v>
      </c>
      <c r="BT1378">
        <v>165.29999999999998</v>
      </c>
      <c r="BU1378" s="144">
        <v>0.95</v>
      </c>
      <c r="BV1378">
        <v>-8.7000000000000171</v>
      </c>
      <c r="BX1378">
        <v>-8.7000000000000167E-3</v>
      </c>
      <c r="BY1378" t="str">
        <f>IFERROR(BX1378/BO1378,"")</f>
        <v/>
      </c>
      <c r="BZ1378">
        <v>0</v>
      </c>
      <c r="CA1378">
        <v>0</v>
      </c>
      <c r="CB1378">
        <v>0</v>
      </c>
      <c r="CC1378">
        <v>0</v>
      </c>
      <c r="CD1378">
        <v>0</v>
      </c>
      <c r="CE1378">
        <v>0</v>
      </c>
      <c r="CF1378">
        <v>0</v>
      </c>
      <c r="CG1378">
        <v>0</v>
      </c>
      <c r="CH1378">
        <v>0</v>
      </c>
      <c r="CI1378">
        <v>0</v>
      </c>
      <c r="CJ1378">
        <v>0</v>
      </c>
      <c r="CK1378">
        <v>0</v>
      </c>
      <c r="CL1378">
        <v>0</v>
      </c>
      <c r="CM1378">
        <v>0</v>
      </c>
      <c r="CN1378" t="str">
        <f>IF($BL1378&lt;$BK1378,"refNeedCorrection","refOK")</f>
        <v>refOK</v>
      </c>
      <c r="CO1378"/>
      <c r="CP1378"/>
      <c r="CQ1378"/>
      <c r="CR1378">
        <f>IF($CN1378="refOK",$BS1378,$BT1378)*IF($BP1378="Emissions positive",-1,1)</f>
        <v>-174</v>
      </c>
      <c r="CS1378">
        <f>IF($CN1378="refOK",$BT1378,$BS1378)*IF($BP1378="Emissions positive",-1,1)</f>
        <v>-165.29999999999998</v>
      </c>
      <c r="CT1378">
        <f>IF($CN1378="refNeedCorrection",-BX1378,BX1378)*IF($BP1378="Emissions positive",-1,1)</f>
        <v>8.7000000000000167E-3</v>
      </c>
      <c r="CU1378" t="str">
        <f>IFERROR(CT1378/CQ1378,"")</f>
        <v/>
      </c>
      <c r="CV1378" s="2">
        <f>IFERROR((CS1378-CR1378)/ABS(CR1378),"")</f>
        <v>5.00000000000001E-2</v>
      </c>
      <c r="CW1378" s="1" t="s">
        <v>263</v>
      </c>
      <c r="CX1378" s="312" t="str">
        <f>IF(OR($CW1378="prd",$CW1378="std",$CW1378="cit"),"loc",IF(OR($CW1378="eur",$CW1378="reg",$CW1378="coy"),"reg",$CW1378))</f>
        <v>loc</v>
      </c>
      <c r="CY1378" t="s">
        <v>961</v>
      </c>
      <c r="CZ1378">
        <v>0</v>
      </c>
      <c r="DA1378">
        <v>0</v>
      </c>
      <c r="DB1378">
        <v>0</v>
      </c>
      <c r="DC1378" t="str">
        <f>IF(DB1378=0,"0",IF(AND(DB1378&gt;=1,DB1378&lt;=30),"1-30",IF(AND(DB1378&gt;30,DB1378&lt;=70),"31-70",IF(AND(DB1378&gt;70,DB1378&lt;=100),"71-100",IF(DB1378&gt;100,"+100")))))</f>
        <v>0</v>
      </c>
      <c r="DD1378">
        <v>0</v>
      </c>
      <c r="DE1378">
        <v>1</v>
      </c>
      <c r="DF1378">
        <v>0</v>
      </c>
      <c r="DG1378">
        <v>0</v>
      </c>
      <c r="DH1378">
        <v>0</v>
      </c>
      <c r="DI1378">
        <v>1</v>
      </c>
      <c r="DJ1378" t="str">
        <f>IF(DI1378=1,INDEX($DD$7:$DG$7,MATCH(1,$DD1378:$DG1378,0)),"mixedProduct")</f>
        <v>EnergyInput</v>
      </c>
      <c r="DK1378">
        <f>IF(DD1378=1,DK$7,0)</f>
        <v>0</v>
      </c>
      <c r="DL1378" t="str">
        <f>IF(DE1378=1,DL$7,0)</f>
        <v>Energy</v>
      </c>
      <c r="DM1378">
        <f>IF(DF1378=1,DM$7,0)</f>
        <v>0</v>
      </c>
      <c r="DN1378">
        <f>IF(DG1378=1,DN$7,0)</f>
        <v>0</v>
      </c>
      <c r="DO1378">
        <v>0</v>
      </c>
      <c r="DP1378">
        <v>0</v>
      </c>
      <c r="DQ1378">
        <v>0</v>
      </c>
      <c r="DR1378">
        <v>0</v>
      </c>
      <c r="DS1378">
        <v>0</v>
      </c>
      <c r="DT1378">
        <f>SUM(DO1378:DP1378)</f>
        <v>0</v>
      </c>
      <c r="DU1378" s="143" t="s">
        <v>962</v>
      </c>
      <c r="DV1378">
        <v>0</v>
      </c>
      <c r="DW1378">
        <v>0</v>
      </c>
      <c r="DX1378">
        <v>0</v>
      </c>
      <c r="DY1378">
        <v>1</v>
      </c>
      <c r="DZ1378">
        <v>0</v>
      </c>
      <c r="EA1378" s="143">
        <v>0</v>
      </c>
      <c r="EB1378">
        <v>0</v>
      </c>
      <c r="EC1378">
        <v>1</v>
      </c>
      <c r="ED1378">
        <v>0</v>
      </c>
      <c r="EE1378">
        <v>0</v>
      </c>
      <c r="EF1378">
        <v>0</v>
      </c>
      <c r="EG1378">
        <v>0</v>
      </c>
      <c r="EH1378">
        <v>0</v>
      </c>
      <c r="EI1378" s="2">
        <v>0</v>
      </c>
      <c r="EK1378" t="str">
        <f>IF(AND(AND(AND(OR($DX1378=1,$DW1378=1),OR($EC1378=1,$EA1378=1)),SUM($DV1378:$DZ1378,$EF1378)&gt;=3),SUM($EA1378:$EE1378)&gt;=2),"Whole sector","")</f>
        <v/>
      </c>
      <c r="EL1378" t="str">
        <f>IF(AND(AND(OR($DX1378=1,$DW1378=1),AND($EC1378=0,$EA1378=0)),SUM($DV1378:$DZ1378,$EF1378)&gt;=3),"Ecosystem approach","")</f>
        <v/>
      </c>
      <c r="EM1378" s="2" t="str">
        <f>IF(AND(AND(AND($DX1378=0,$DW1378=0),OR($EC1378=1,$EA1378=1)),SUM($EB1378:$EE1378)&gt;=2),"Technology approach","")</f>
        <v/>
      </c>
      <c r="EP1378" t="b">
        <f>IF(ISNUMBER(BU1378),IF(ABS(BU1378-[5]QC_indicators!$B$2)&gt;3*[5]QC_indicators!$C$2,"C ratio",IF(ISNUMBER(BY1378),IF(ABS(BY1378-[5]QC_indicators!$B$1)&gt;3*[5]QC_indicators!$C$1,"DF","no"))),IF(ISNUMBER(BY1378),IF(ABS(BY1378-[5]QC_indicators!$B$1)&gt;3*[5]QC_indicators!$C$1,"DF","no")))</f>
        <v>0</v>
      </c>
    </row>
    <row r="1379" spans="1:148" ht="15" customHeight="1">
      <c r="A1379" s="1" t="s">
        <v>3866</v>
      </c>
      <c r="B1379" t="s">
        <v>3867</v>
      </c>
      <c r="C1379" t="s">
        <v>3868</v>
      </c>
      <c r="D1379" t="s">
        <v>3869</v>
      </c>
      <c r="E1379" t="s">
        <v>3870</v>
      </c>
      <c r="F1379" t="s">
        <v>3871</v>
      </c>
      <c r="G1379" t="s">
        <v>3872</v>
      </c>
      <c r="H1379" t="s">
        <v>254</v>
      </c>
      <c r="I1379">
        <v>2011</v>
      </c>
      <c r="J1379">
        <v>23</v>
      </c>
      <c r="K1379" t="s">
        <v>3873</v>
      </c>
      <c r="M1379" t="str">
        <f>LEFT($D1379,FIND(",",$D1379)-1)&amp;"_"&amp;I1379&amp;L1379</f>
        <v>Newell_2011</v>
      </c>
      <c r="N1379" s="312" t="s">
        <v>4383</v>
      </c>
      <c r="O1379" s="157" t="s">
        <v>274</v>
      </c>
      <c r="P1379" t="s">
        <v>960</v>
      </c>
      <c r="Q1379" s="312" t="s">
        <v>389</v>
      </c>
      <c r="R1379" s="313"/>
      <c r="S1379" s="319" t="s">
        <v>3874</v>
      </c>
      <c r="T1379" s="312" t="s">
        <v>3875</v>
      </c>
      <c r="U1379" s="312" t="s">
        <v>3876</v>
      </c>
      <c r="V1379">
        <v>0</v>
      </c>
      <c r="W1379">
        <v>0</v>
      </c>
      <c r="X1379">
        <v>0</v>
      </c>
      <c r="Y1379">
        <v>0</v>
      </c>
      <c r="Z1379">
        <v>0</v>
      </c>
      <c r="AA1379">
        <v>0</v>
      </c>
      <c r="AB1379">
        <v>0</v>
      </c>
      <c r="AC1379">
        <v>1</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s="141">
        <f>COUNTIF(V1379:AW1379,"&lt;&gt;0")</f>
        <v>1</v>
      </c>
      <c r="AY1379" s="141">
        <f>COUNTIF(V1379:AL1379,"&lt;&gt;0")</f>
        <v>1</v>
      </c>
      <c r="AZ1379">
        <f>COUNTIF(V1379:AC1379,"&lt;&gt;0")</f>
        <v>1</v>
      </c>
      <c r="BA1379">
        <f>COUNTIF(AD1379:AI1379,"&lt;&gt;0")</f>
        <v>0</v>
      </c>
      <c r="BB1379">
        <f>COUNTIF(AJ1379:AL1379,"&lt;&gt;0")</f>
        <v>0</v>
      </c>
      <c r="BC1379">
        <f>COUNTIF(AS1379:AW1379,"&lt;&gt;0")</f>
        <v>0</v>
      </c>
      <c r="BD1379">
        <f>COUNTIF(AM1379:AR1379,"&lt;&gt;0")</f>
        <v>0</v>
      </c>
      <c r="BE1379" t="str" cm="1">
        <f t="array" ref="BE1379">IF(AY1379=1,INDEX($V$7:$AL$7,MATCH(TRUE,INDEX($V1379:$AW1379&lt;&gt;0,),0)),IF(AY1379=0,INDEX($AM$7:$AW$7,MATCH(1,$AM1379:$AW1379,0)),IF(BF1379="Multiple strategies","mixed drivers",IF(BF1379="Supply chain","multiple supply","multiple silviculture"))))</f>
        <v>site fertility</v>
      </c>
      <c r="BF1379" s="2" t="str" cm="1">
        <f t="array" ref="BF1379">IF(COUNTIF(AZ1379:BB1379,"&lt;&gt;0")=1,INDEX($V$4:$AW$4,MATCH(TRUE,INDEX($V1379:$AW1379&lt;&gt;0,),0)),IF(COUNTIF(AZ1379:BB1379,"&lt;&gt;0")=0,INDEX($AM$4:$AW$4,MATCH(1,$AM1379:$AW1379,0)),"Multiple strategies"))</f>
        <v>Silviculture for productivity</v>
      </c>
      <c r="BG1379" s="1" t="s">
        <v>229</v>
      </c>
      <c r="BH1379" t="s">
        <v>3877</v>
      </c>
      <c r="BI1379" s="312" t="s">
        <v>3878</v>
      </c>
      <c r="BK1379">
        <v>1</v>
      </c>
      <c r="BL1379">
        <v>1</v>
      </c>
      <c r="BM1379">
        <v>1</v>
      </c>
      <c r="BN1379">
        <f>BL1379-BK1379</f>
        <v>0</v>
      </c>
      <c r="BO1379">
        <f>BN1379</f>
        <v>0</v>
      </c>
      <c r="BP1379" t="s">
        <v>395</v>
      </c>
      <c r="BR1379" s="312" t="s">
        <v>3879</v>
      </c>
      <c r="BS1379">
        <v>2.6710000000000003</v>
      </c>
      <c r="BT1379">
        <v>3.5169999999999999</v>
      </c>
      <c r="BU1379">
        <v>1.316735305129165</v>
      </c>
      <c r="BV1379">
        <v>0.84599999999999964</v>
      </c>
      <c r="BX1379">
        <v>0.84599999999999964</v>
      </c>
      <c r="BY1379" t="str">
        <f>IFERROR(BX1379/BO1379,"")</f>
        <v/>
      </c>
      <c r="BZ1379">
        <v>0</v>
      </c>
      <c r="CA1379">
        <v>0</v>
      </c>
      <c r="CB1379">
        <v>0</v>
      </c>
      <c r="CC1379">
        <v>0</v>
      </c>
      <c r="CD1379">
        <v>0</v>
      </c>
      <c r="CE1379">
        <v>0</v>
      </c>
      <c r="CF1379">
        <v>0</v>
      </c>
      <c r="CG1379">
        <v>0</v>
      </c>
      <c r="CH1379">
        <v>0</v>
      </c>
      <c r="CI1379">
        <v>0</v>
      </c>
      <c r="CJ1379">
        <v>0</v>
      </c>
      <c r="CK1379">
        <v>0</v>
      </c>
      <c r="CL1379">
        <v>0</v>
      </c>
      <c r="CM1379">
        <v>0</v>
      </c>
      <c r="CN1379" t="str">
        <f>IF($BL1379&lt;$BK1379,"refNeedCorrection","refOK")</f>
        <v>refOK</v>
      </c>
      <c r="CO1379">
        <f>IF($CN1379="refOK",$BK1379,$BL1379)</f>
        <v>1</v>
      </c>
      <c r="CP1379">
        <f>IF($CN1379="refOK",$BL1379,$BK1379)</f>
        <v>1</v>
      </c>
      <c r="CQ1379">
        <f>IF($CN1379="refOK",$BO1379,-$BO1379)</f>
        <v>0</v>
      </c>
      <c r="CR1379">
        <f>IF($CN1379="refOK",$BS1379,$BT1379)*IF($BP1379="Emissions positive",-1,1)</f>
        <v>-2.6710000000000003</v>
      </c>
      <c r="CS1379">
        <f>IF($CN1379="refOK",$BT1379,$BS1379)*IF($BP1379="Emissions positive",-1,1)</f>
        <v>-3.5169999999999999</v>
      </c>
      <c r="CT1379">
        <f>IF($CN1379="refNeedCorrection",-BX1379,BX1379)*IF($BP1379="Emissions positive",-1,1)</f>
        <v>-0.84599999999999964</v>
      </c>
      <c r="CU1379" t="str">
        <f>IFERROR(CT1379/CQ1379,"")</f>
        <v/>
      </c>
      <c r="CV1379" s="2">
        <f>IFERROR((CS1379-CR1379)/ABS(CR1379),"")</f>
        <v>-0.31673530512916492</v>
      </c>
      <c r="CW1379" s="319" t="s">
        <v>1203</v>
      </c>
      <c r="CX1379" s="312" t="str">
        <f>IF(OR($CW1379="prd",$CW1379="std",$CW1379="cit"),"loc",IF(OR($CW1379="eur",$CW1379="reg",$CW1379="coy"),"reg",$CW1379))</f>
        <v>reg</v>
      </c>
      <c r="CY1379" t="s">
        <v>428</v>
      </c>
      <c r="CZ1379">
        <v>2007</v>
      </c>
      <c r="DA1379">
        <v>0</v>
      </c>
      <c r="DB1379">
        <v>0</v>
      </c>
      <c r="DC1379" t="str">
        <f>IF(DB1379=0,"0",IF(AND(DB1379&gt;=1,DB1379&lt;=30),"1-30",IF(AND(DB1379&gt;30,DB1379&lt;=70),"31-70",IF(AND(DB1379&gt;70,DB1379&lt;=100),"71-100",IF(DB1379&gt;100,"+100")))))</f>
        <v>0</v>
      </c>
      <c r="DD1379">
        <v>1</v>
      </c>
      <c r="DE1379">
        <v>0</v>
      </c>
      <c r="DF1379">
        <v>0</v>
      </c>
      <c r="DG1379">
        <v>0</v>
      </c>
      <c r="DH1379">
        <v>0</v>
      </c>
      <c r="DI1379">
        <v>1</v>
      </c>
      <c r="DJ1379" t="str">
        <f>IF(DI1379=1,INDEX($DD$7:$DG$7,MATCH(1,$DD1379:$DG1379,0)),"mixedProduct")</f>
        <v>UpstreamInput</v>
      </c>
      <c r="DK1379" t="str">
        <f>IF(DD1379=1,DK$7,0)</f>
        <v>Upstream</v>
      </c>
      <c r="DL1379">
        <f>IF(DE1379=1,DL$7,0)</f>
        <v>0</v>
      </c>
      <c r="DM1379">
        <f>IF(DF1379=1,DM$7,0)</f>
        <v>0</v>
      </c>
      <c r="DN1379">
        <f>IF(DG1379=1,DN$7,0)</f>
        <v>0</v>
      </c>
      <c r="DO1379">
        <v>0</v>
      </c>
      <c r="DP1379">
        <v>0</v>
      </c>
      <c r="DQ1379">
        <v>0</v>
      </c>
      <c r="DR1379">
        <v>0</v>
      </c>
      <c r="DS1379">
        <v>0</v>
      </c>
      <c r="DT1379">
        <f>SUM(DO1379:DP1379)</f>
        <v>0</v>
      </c>
      <c r="DU1379" s="143" t="s">
        <v>962</v>
      </c>
      <c r="DV1379">
        <v>0</v>
      </c>
      <c r="DW1379">
        <v>1</v>
      </c>
      <c r="DX1379">
        <v>1</v>
      </c>
      <c r="DY1379">
        <v>0</v>
      </c>
      <c r="DZ1379">
        <v>0</v>
      </c>
      <c r="EA1379" s="143">
        <v>0</v>
      </c>
      <c r="EB1379">
        <v>0</v>
      </c>
      <c r="EC1379">
        <v>0</v>
      </c>
      <c r="ED1379">
        <v>0</v>
      </c>
      <c r="EE1379">
        <v>0</v>
      </c>
      <c r="EF1379">
        <v>1</v>
      </c>
      <c r="EG1379">
        <v>0</v>
      </c>
      <c r="EH1379">
        <v>1</v>
      </c>
      <c r="EI1379" s="2">
        <v>0</v>
      </c>
      <c r="EK1379" t="str">
        <f>IF(AND(AND(AND(OR($DX1379=1,$DW1379=1),OR($EC1379=1,$EA1379=1)),SUM($DV1379:$DZ1379,$EF1379)&gt;=3),SUM($EA1379:$EE1379)&gt;=2),"Whole sector","")</f>
        <v/>
      </c>
      <c r="EL1379" t="str">
        <f>IF(AND(AND(OR($DX1379=1,$DW1379=1),AND($EC1379=0,$EA1379=0)),SUM($DV1379:$DZ1379,$EF1379)&gt;=3),"Ecosystem approach","")</f>
        <v>Ecosystem approach</v>
      </c>
      <c r="EM1379" s="2" t="str">
        <f>IF(AND(AND(AND($DX1379=0,$DW1379=0),OR($EC1379=1,$EA1379=1)),SUM($EB1379:$EE1379)&gt;=2),"Technology approach","")</f>
        <v/>
      </c>
      <c r="EP1379" t="b">
        <f>IF(ISNUMBER(BU1379),IF(ABS(BU1379-[5]QC_indicators!$B$2)&gt;3*[5]QC_indicators!$C$2,"C ratio",IF(ISNUMBER(BY1379),IF(ABS(BY1379-[5]QC_indicators!$B$1)&gt;3*[5]QC_indicators!$C$1,"DF","no"))),IF(ISNUMBER(BY1379),IF(ABS(BY1379-[5]QC_indicators!$B$1)&gt;3*[5]QC_indicators!$C$1,"DF","no")))</f>
        <v>0</v>
      </c>
    </row>
    <row r="1380" spans="1:148" ht="15" customHeight="1">
      <c r="A1380" s="1" t="s">
        <v>3866</v>
      </c>
      <c r="B1380" t="s">
        <v>3867</v>
      </c>
      <c r="C1380" t="s">
        <v>3868</v>
      </c>
      <c r="D1380" t="s">
        <v>3869</v>
      </c>
      <c r="E1380" t="s">
        <v>3870</v>
      </c>
      <c r="F1380" t="s">
        <v>3871</v>
      </c>
      <c r="G1380" t="s">
        <v>3872</v>
      </c>
      <c r="H1380" t="s">
        <v>254</v>
      </c>
      <c r="I1380">
        <v>2011</v>
      </c>
      <c r="J1380">
        <v>23</v>
      </c>
      <c r="K1380" t="s">
        <v>3873</v>
      </c>
      <c r="M1380" t="str">
        <f>LEFT($D1380,FIND(",",$D1380)-1)&amp;"_"&amp;I1380&amp;L1380</f>
        <v>Newell_2011</v>
      </c>
      <c r="N1380" s="312" t="s">
        <v>4383</v>
      </c>
      <c r="O1380" s="157" t="s">
        <v>274</v>
      </c>
      <c r="P1380" t="s">
        <v>960</v>
      </c>
      <c r="Q1380" s="312" t="s">
        <v>389</v>
      </c>
      <c r="R1380" s="313"/>
      <c r="S1380" s="319" t="s">
        <v>3880</v>
      </c>
      <c r="T1380" s="312" t="s">
        <v>3875</v>
      </c>
      <c r="U1380" s="312" t="s">
        <v>3876</v>
      </c>
      <c r="V1380">
        <v>0</v>
      </c>
      <c r="W1380">
        <v>0</v>
      </c>
      <c r="X1380">
        <v>0</v>
      </c>
      <c r="Y1380">
        <v>0</v>
      </c>
      <c r="Z1380">
        <v>0</v>
      </c>
      <c r="AA1380">
        <v>0</v>
      </c>
      <c r="AB1380">
        <v>0</v>
      </c>
      <c r="AC1380">
        <v>1</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s="141">
        <f>COUNTIF(V1380:AW1380,"&lt;&gt;0")</f>
        <v>1</v>
      </c>
      <c r="AY1380" s="141">
        <f>COUNTIF(V1380:AL1380,"&lt;&gt;0")</f>
        <v>1</v>
      </c>
      <c r="AZ1380">
        <f>COUNTIF(V1380:AC1380,"&lt;&gt;0")</f>
        <v>1</v>
      </c>
      <c r="BA1380">
        <f>COUNTIF(AD1380:AI1380,"&lt;&gt;0")</f>
        <v>0</v>
      </c>
      <c r="BB1380">
        <f>COUNTIF(AJ1380:AL1380,"&lt;&gt;0")</f>
        <v>0</v>
      </c>
      <c r="BC1380">
        <f>COUNTIF(AS1380:AW1380,"&lt;&gt;0")</f>
        <v>0</v>
      </c>
      <c r="BD1380">
        <f>COUNTIF(AM1380:AR1380,"&lt;&gt;0")</f>
        <v>0</v>
      </c>
      <c r="BE1380" t="str" cm="1">
        <f t="array" ref="BE1380">IF(AY1380=1,INDEX($V$7:$AL$7,MATCH(TRUE,INDEX($V1380:$AW1380&lt;&gt;0,),0)),IF(AY1380=0,INDEX($AM$7:$AW$7,MATCH(1,$AM1380:$AW1380,0)),IF(BF1380="Multiple strategies","mixed drivers",IF(BF1380="Supply chain","multiple supply","multiple silviculture"))))</f>
        <v>site fertility</v>
      </c>
      <c r="BF1380" s="2" t="str" cm="1">
        <f t="array" ref="BF1380">IF(COUNTIF(AZ1380:BB1380,"&lt;&gt;0")=1,INDEX($V$4:$AW$4,MATCH(TRUE,INDEX($V1380:$AW1380&lt;&gt;0,),0)),IF(COUNTIF(AZ1380:BB1380,"&lt;&gt;0")=0,INDEX($AM$4:$AW$4,MATCH(1,$AM1380:$AW1380,0)),"Multiple strategies"))</f>
        <v>Silviculture for productivity</v>
      </c>
      <c r="BG1380" s="1" t="s">
        <v>229</v>
      </c>
      <c r="BH1380" t="s">
        <v>3877</v>
      </c>
      <c r="BI1380" s="312" t="s">
        <v>3878</v>
      </c>
      <c r="BK1380">
        <v>1</v>
      </c>
      <c r="BL1380">
        <v>1</v>
      </c>
      <c r="BM1380">
        <v>1</v>
      </c>
      <c r="BN1380">
        <f>BL1380-BK1380</f>
        <v>0</v>
      </c>
      <c r="BO1380">
        <f>BN1380</f>
        <v>0</v>
      </c>
      <c r="BP1380" t="s">
        <v>395</v>
      </c>
      <c r="BR1380" s="312" t="s">
        <v>3879</v>
      </c>
      <c r="BS1380">
        <v>1.3860000000000001</v>
      </c>
      <c r="BT1380">
        <v>9.2100000000000009</v>
      </c>
      <c r="BU1380">
        <v>6.6450216450216448</v>
      </c>
      <c r="BV1380">
        <v>7.8240000000000007</v>
      </c>
      <c r="BX1380">
        <v>7.8240000000000007</v>
      </c>
      <c r="BY1380" t="str">
        <f>IFERROR(BX1380/BO1380,"")</f>
        <v/>
      </c>
      <c r="BZ1380">
        <v>0</v>
      </c>
      <c r="CA1380">
        <v>0</v>
      </c>
      <c r="CB1380">
        <v>0</v>
      </c>
      <c r="CC1380">
        <v>0</v>
      </c>
      <c r="CD1380">
        <v>0</v>
      </c>
      <c r="CE1380">
        <v>0</v>
      </c>
      <c r="CF1380">
        <v>0</v>
      </c>
      <c r="CG1380">
        <v>0</v>
      </c>
      <c r="CH1380">
        <v>0</v>
      </c>
      <c r="CI1380">
        <v>0</v>
      </c>
      <c r="CJ1380">
        <v>0</v>
      </c>
      <c r="CK1380">
        <v>0</v>
      </c>
      <c r="CL1380">
        <v>0</v>
      </c>
      <c r="CM1380">
        <v>0</v>
      </c>
      <c r="CN1380" t="str">
        <f>IF($BL1380&lt;$BK1380,"refNeedCorrection","refOK")</f>
        <v>refOK</v>
      </c>
      <c r="CO1380">
        <f>IF($CN1380="refOK",$BK1380,$BL1380)</f>
        <v>1</v>
      </c>
      <c r="CP1380">
        <f>IF($CN1380="refOK",$BL1380,$BK1380)</f>
        <v>1</v>
      </c>
      <c r="CQ1380">
        <f>IF($CN1380="refOK",$BO1380,-$BO1380)</f>
        <v>0</v>
      </c>
      <c r="CR1380">
        <f>IF($CN1380="refOK",$BS1380,$BT1380)*IF($BP1380="Emissions positive",-1,1)</f>
        <v>-1.3860000000000001</v>
      </c>
      <c r="CS1380">
        <f>IF($CN1380="refOK",$BT1380,$BS1380)*IF($BP1380="Emissions positive",-1,1)</f>
        <v>-9.2100000000000009</v>
      </c>
      <c r="CT1380">
        <f>IF($CN1380="refNeedCorrection",-BX1380,BX1380)*IF($BP1380="Emissions positive",-1,1)</f>
        <v>-7.8240000000000007</v>
      </c>
      <c r="CU1380" t="str">
        <f>IFERROR(CT1380/CQ1380,"")</f>
        <v/>
      </c>
      <c r="CV1380" s="2">
        <f>IFERROR((CS1380-CR1380)/ABS(CR1380),"")</f>
        <v>-5.6450216450216448</v>
      </c>
      <c r="CW1380" s="319" t="s">
        <v>1203</v>
      </c>
      <c r="CX1380" s="312" t="str">
        <f>IF(OR($CW1380="prd",$CW1380="std",$CW1380="cit"),"loc",IF(OR($CW1380="eur",$CW1380="reg",$CW1380="coy"),"reg",$CW1380))</f>
        <v>reg</v>
      </c>
      <c r="CY1380" s="312" t="s">
        <v>690</v>
      </c>
      <c r="CZ1380">
        <v>2007</v>
      </c>
      <c r="DA1380">
        <v>0</v>
      </c>
      <c r="DB1380">
        <v>0</v>
      </c>
      <c r="DC1380" t="str">
        <f>IF(DB1380=0,"0",IF(AND(DB1380&gt;=1,DB1380&lt;=30),"1-30",IF(AND(DB1380&gt;30,DB1380&lt;=70),"31-70",IF(AND(DB1380&gt;70,DB1380&lt;=100),"71-100",IF(DB1380&gt;100,"+100")))))</f>
        <v>0</v>
      </c>
      <c r="DD1380">
        <v>1</v>
      </c>
      <c r="DE1380">
        <v>0</v>
      </c>
      <c r="DF1380">
        <v>0</v>
      </c>
      <c r="DG1380">
        <v>0</v>
      </c>
      <c r="DH1380">
        <v>0</v>
      </c>
      <c r="DI1380">
        <v>1</v>
      </c>
      <c r="DJ1380" t="str">
        <f>IF(DI1380=1,INDEX($DD$7:$DG$7,MATCH(1,$DD1380:$DG1380,0)),"mixedProduct")</f>
        <v>UpstreamInput</v>
      </c>
      <c r="DK1380" t="str">
        <f>IF(DD1380=1,DK$7,0)</f>
        <v>Upstream</v>
      </c>
      <c r="DL1380">
        <f>IF(DE1380=1,DL$7,0)</f>
        <v>0</v>
      </c>
      <c r="DM1380">
        <f>IF(DF1380=1,DM$7,0)</f>
        <v>0</v>
      </c>
      <c r="DN1380">
        <f>IF(DG1380=1,DN$7,0)</f>
        <v>0</v>
      </c>
      <c r="DO1380">
        <v>0</v>
      </c>
      <c r="DP1380">
        <v>0</v>
      </c>
      <c r="DQ1380">
        <v>0</v>
      </c>
      <c r="DR1380">
        <v>0</v>
      </c>
      <c r="DS1380">
        <v>0</v>
      </c>
      <c r="DT1380">
        <f>SUM(DO1380:DP1380)</f>
        <v>0</v>
      </c>
      <c r="DU1380" s="143" t="s">
        <v>962</v>
      </c>
      <c r="DV1380">
        <v>0</v>
      </c>
      <c r="DW1380">
        <v>1</v>
      </c>
      <c r="DX1380">
        <v>1</v>
      </c>
      <c r="DY1380">
        <v>0</v>
      </c>
      <c r="DZ1380">
        <v>0</v>
      </c>
      <c r="EA1380" s="143">
        <v>0</v>
      </c>
      <c r="EB1380">
        <v>0</v>
      </c>
      <c r="EC1380">
        <v>0</v>
      </c>
      <c r="ED1380">
        <v>0</v>
      </c>
      <c r="EE1380">
        <v>0</v>
      </c>
      <c r="EF1380">
        <v>1</v>
      </c>
      <c r="EG1380">
        <v>0</v>
      </c>
      <c r="EH1380">
        <v>1</v>
      </c>
      <c r="EI1380" s="2">
        <v>0</v>
      </c>
      <c r="EK1380" t="str">
        <f>IF(AND(AND(AND(OR($DX1380=1,$DW1380=1),OR($EC1380=1,$EA1380=1)),SUM($DV1380:$DZ1380,$EF1380)&gt;=3),SUM($EA1380:$EE1380)&gt;=2),"Whole sector","")</f>
        <v/>
      </c>
      <c r="EL1380" t="str">
        <f>IF(AND(AND(OR($DX1380=1,$DW1380=1),AND($EC1380=0,$EA1380=0)),SUM($DV1380:$DZ1380,$EF1380)&gt;=3),"Ecosystem approach","")</f>
        <v>Ecosystem approach</v>
      </c>
      <c r="EM1380" s="2" t="str">
        <f>IF(AND(AND(AND($DX1380=0,$DW1380=0),OR($EC1380=1,$EA1380=1)),SUM($EB1380:$EE1380)&gt;=2),"Technology approach","")</f>
        <v/>
      </c>
      <c r="EP1380" t="b">
        <f>IF(ISNUMBER(BU1380),IF(ABS(BU1380-[5]QC_indicators!$B$2)&gt;3*[5]QC_indicators!$C$2,"C ratio",IF(ISNUMBER(BY1380),IF(ABS(BY1380-[5]QC_indicators!$B$1)&gt;3*[5]QC_indicators!$C$1,"DF","no"))),IF(ISNUMBER(BY1380),IF(ABS(BY1380-[5]QC_indicators!$B$1)&gt;3*[5]QC_indicators!$C$1,"DF","no")))</f>
        <v>0</v>
      </c>
    </row>
    <row r="1381" spans="1:148" ht="15" customHeight="1">
      <c r="A1381" s="1" t="s">
        <v>3866</v>
      </c>
      <c r="B1381" t="s">
        <v>3867</v>
      </c>
      <c r="C1381" t="s">
        <v>3868</v>
      </c>
      <c r="D1381" t="s">
        <v>3869</v>
      </c>
      <c r="E1381" t="s">
        <v>3870</v>
      </c>
      <c r="F1381" t="s">
        <v>3871</v>
      </c>
      <c r="G1381" t="s">
        <v>3872</v>
      </c>
      <c r="H1381" t="s">
        <v>254</v>
      </c>
      <c r="I1381">
        <v>2011</v>
      </c>
      <c r="J1381">
        <v>23</v>
      </c>
      <c r="K1381" t="s">
        <v>3873</v>
      </c>
      <c r="M1381" t="str">
        <f>LEFT($D1381,FIND(",",$D1381)-1)&amp;"_"&amp;I1381&amp;L1381</f>
        <v>Newell_2011</v>
      </c>
      <c r="N1381" s="312" t="s">
        <v>4383</v>
      </c>
      <c r="O1381" s="157" t="s">
        <v>274</v>
      </c>
      <c r="P1381" t="s">
        <v>960</v>
      </c>
      <c r="Q1381" s="312" t="s">
        <v>389</v>
      </c>
      <c r="R1381" s="313"/>
      <c r="S1381" s="319" t="s">
        <v>3874</v>
      </c>
      <c r="T1381" s="312" t="s">
        <v>3875</v>
      </c>
      <c r="U1381" s="312" t="s">
        <v>3876</v>
      </c>
      <c r="V1381">
        <v>0</v>
      </c>
      <c r="W1381">
        <v>0</v>
      </c>
      <c r="X1381">
        <v>0</v>
      </c>
      <c r="Y1381">
        <v>0</v>
      </c>
      <c r="Z1381">
        <v>0</v>
      </c>
      <c r="AA1381">
        <v>0</v>
      </c>
      <c r="AB1381">
        <v>0</v>
      </c>
      <c r="AC1381">
        <v>0</v>
      </c>
      <c r="AD1381">
        <v>0</v>
      </c>
      <c r="AE1381">
        <v>1</v>
      </c>
      <c r="AF1381">
        <v>1</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s="141">
        <f>COUNTIF(V1381:AW1381,"&lt;&gt;0")</f>
        <v>2</v>
      </c>
      <c r="AY1381" s="141">
        <f>COUNTIF(V1381:AL1381,"&lt;&gt;0")</f>
        <v>2</v>
      </c>
      <c r="AZ1381">
        <f>COUNTIF(V1381:AC1381,"&lt;&gt;0")</f>
        <v>0</v>
      </c>
      <c r="BA1381">
        <f>COUNTIF(AD1381:AI1381,"&lt;&gt;0")</f>
        <v>2</v>
      </c>
      <c r="BB1381">
        <f>COUNTIF(AJ1381:AL1381,"&lt;&gt;0")</f>
        <v>0</v>
      </c>
      <c r="BC1381">
        <f>COUNTIF(AS1381:AW1381,"&lt;&gt;0")</f>
        <v>0</v>
      </c>
      <c r="BD1381">
        <f>COUNTIF(AM1381:AR1381,"&lt;&gt;0")</f>
        <v>0</v>
      </c>
      <c r="BE1381" t="str" cm="1">
        <f t="array" ref="BE1381">IF(AY1381=1,INDEX($V$7:$AL$7,MATCH(TRUE,INDEX($V1381:$AW1381&lt;&gt;0,),0)),IF(AY1381=0,INDEX($AM$7:$AW$7,MATCH(1,$AM1381:$AW1381,0)),IF(BF1381="Multiple strategies","mixed drivers",IF(BF1381="Supply chain","multiple supply","multiple silviculture"))))</f>
        <v>multiple supply</v>
      </c>
      <c r="BF1381" s="2" t="str" cm="1">
        <f t="array" ref="BF1381">IF(COUNTIF(AZ1381:BB1381,"&lt;&gt;0")=1,INDEX($V$4:$AW$4,MATCH(TRUE,INDEX($V1381:$AW1381&lt;&gt;0,),0)),IF(COUNTIF(AZ1381:BB1381,"&lt;&gt;0")=0,INDEX($AM$4:$AW$4,MATCH(1,$AM1381:$AW1381,0)),"Multiple strategies"))</f>
        <v>Supply chain</v>
      </c>
      <c r="BG1381" s="1" t="s">
        <v>229</v>
      </c>
      <c r="BH1381" t="s">
        <v>3877</v>
      </c>
      <c r="BI1381" s="312" t="s">
        <v>3878</v>
      </c>
      <c r="BK1381">
        <v>1</v>
      </c>
      <c r="BL1381">
        <v>1</v>
      </c>
      <c r="BM1381">
        <v>1</v>
      </c>
      <c r="BN1381">
        <f>BL1381-BK1381</f>
        <v>0</v>
      </c>
      <c r="BO1381">
        <f>BN1381</f>
        <v>0</v>
      </c>
      <c r="BP1381" t="s">
        <v>395</v>
      </c>
      <c r="BR1381" s="312" t="s">
        <v>3879</v>
      </c>
      <c r="BS1381">
        <v>4.1040000000000001</v>
      </c>
      <c r="BT1381">
        <v>4.95</v>
      </c>
      <c r="BU1381">
        <v>1.2061403508771931</v>
      </c>
      <c r="BV1381">
        <v>0.84600000000000009</v>
      </c>
      <c r="BX1381">
        <v>0.84600000000000009</v>
      </c>
      <c r="BY1381" t="str">
        <f>IFERROR(BX1381/BO1381,"")</f>
        <v/>
      </c>
      <c r="BZ1381">
        <v>0</v>
      </c>
      <c r="CA1381">
        <v>0</v>
      </c>
      <c r="CB1381">
        <v>0</v>
      </c>
      <c r="CC1381">
        <v>0</v>
      </c>
      <c r="CD1381">
        <v>0</v>
      </c>
      <c r="CE1381">
        <v>0</v>
      </c>
      <c r="CF1381">
        <v>0</v>
      </c>
      <c r="CG1381">
        <v>0</v>
      </c>
      <c r="CH1381">
        <v>0</v>
      </c>
      <c r="CI1381">
        <v>0</v>
      </c>
      <c r="CJ1381">
        <v>0</v>
      </c>
      <c r="CK1381">
        <v>0</v>
      </c>
      <c r="CL1381">
        <v>0</v>
      </c>
      <c r="CM1381">
        <v>0</v>
      </c>
      <c r="CN1381" t="str">
        <f>IF($BL1381&lt;$BK1381,"refNeedCorrection","refOK")</f>
        <v>refOK</v>
      </c>
      <c r="CO1381">
        <f>IF($CN1381="refOK",$BK1381,$BL1381)</f>
        <v>1</v>
      </c>
      <c r="CP1381">
        <f>IF($CN1381="refOK",$BL1381,$BK1381)</f>
        <v>1</v>
      </c>
      <c r="CQ1381">
        <f>IF($CN1381="refOK",$BO1381,-$BO1381)</f>
        <v>0</v>
      </c>
      <c r="CR1381">
        <f>IF($CN1381="refOK",$BS1381,$BT1381)*IF($BP1381="Emissions positive",-1,1)</f>
        <v>-4.1040000000000001</v>
      </c>
      <c r="CS1381">
        <f>IF($CN1381="refOK",$BT1381,$BS1381)*IF($BP1381="Emissions positive",-1,1)</f>
        <v>-4.95</v>
      </c>
      <c r="CT1381">
        <f>IF($CN1381="refNeedCorrection",-BX1381,BX1381)*IF($BP1381="Emissions positive",-1,1)</f>
        <v>-0.84600000000000009</v>
      </c>
      <c r="CU1381" t="str">
        <f>IFERROR(CT1381/CQ1381,"")</f>
        <v/>
      </c>
      <c r="CV1381" s="2">
        <f>IFERROR((CS1381-CR1381)/ABS(CR1381),"")</f>
        <v>-0.20614035087719298</v>
      </c>
      <c r="CW1381" s="319" t="s">
        <v>1203</v>
      </c>
      <c r="CX1381" s="312" t="str">
        <f>IF(OR($CW1381="prd",$CW1381="std",$CW1381="cit"),"loc",IF(OR($CW1381="eur",$CW1381="reg",$CW1381="coy"),"reg",$CW1381))</f>
        <v>reg</v>
      </c>
      <c r="CY1381" t="s">
        <v>428</v>
      </c>
      <c r="CZ1381">
        <v>2007</v>
      </c>
      <c r="DA1381">
        <v>0</v>
      </c>
      <c r="DB1381">
        <v>0</v>
      </c>
      <c r="DC1381" t="str">
        <f>IF(DB1381=0,"0",IF(AND(DB1381&gt;=1,DB1381&lt;=30),"1-30",IF(AND(DB1381&gt;30,DB1381&lt;=70),"31-70",IF(AND(DB1381&gt;70,DB1381&lt;=100),"71-100",IF(DB1381&gt;100,"+100")))))</f>
        <v>0</v>
      </c>
      <c r="DD1381">
        <v>0</v>
      </c>
      <c r="DE1381">
        <v>0</v>
      </c>
      <c r="DF1381">
        <v>1</v>
      </c>
      <c r="DG1381">
        <v>0</v>
      </c>
      <c r="DH1381">
        <v>0</v>
      </c>
      <c r="DI1381">
        <v>1</v>
      </c>
      <c r="DJ1381" t="str">
        <f>IF(DI1381=1,INDEX($DD$7:$DG$7,MATCH(1,$DD1381:$DG1381,0)),"mixedProduct")</f>
        <v>PulpPaperInput</v>
      </c>
      <c r="DK1381">
        <f>IF(DD1381=1,DK$7,0)</f>
        <v>0</v>
      </c>
      <c r="DL1381">
        <f>IF(DE1381=1,DL$7,0)</f>
        <v>0</v>
      </c>
      <c r="DM1381" t="str">
        <f>IF(DF1381=1,DM$7,0)</f>
        <v>Pulp/Paper</v>
      </c>
      <c r="DN1381">
        <f>IF(DG1381=1,DN$7,0)</f>
        <v>0</v>
      </c>
      <c r="DO1381">
        <v>0</v>
      </c>
      <c r="DP1381">
        <v>0</v>
      </c>
      <c r="DQ1381">
        <v>0</v>
      </c>
      <c r="DR1381">
        <v>0</v>
      </c>
      <c r="DS1381">
        <v>0</v>
      </c>
      <c r="DT1381">
        <f>SUM(DO1381:DP1381)</f>
        <v>0</v>
      </c>
      <c r="DU1381" s="143" t="s">
        <v>962</v>
      </c>
      <c r="DV1381">
        <v>0</v>
      </c>
      <c r="DW1381">
        <v>1</v>
      </c>
      <c r="DX1381">
        <v>1</v>
      </c>
      <c r="DY1381">
        <v>0</v>
      </c>
      <c r="DZ1381">
        <v>0</v>
      </c>
      <c r="EA1381" s="143">
        <v>0</v>
      </c>
      <c r="EB1381">
        <v>0</v>
      </c>
      <c r="EC1381">
        <v>1</v>
      </c>
      <c r="ED1381">
        <v>0</v>
      </c>
      <c r="EE1381">
        <v>0</v>
      </c>
      <c r="EF1381">
        <v>1</v>
      </c>
      <c r="EG1381">
        <v>0</v>
      </c>
      <c r="EH1381">
        <v>1</v>
      </c>
      <c r="EI1381" s="2">
        <v>0</v>
      </c>
      <c r="EK1381" t="str">
        <f>IF(AND(AND(AND(OR($DX1381=1,$DW1381=1),OR($EC1381=1,$EA1381=1)),SUM($DV1381:$DZ1381,$EF1381)&gt;=3),SUM($EA1381:$EE1381)&gt;=2),"Whole sector","")</f>
        <v/>
      </c>
      <c r="EL1381" t="str">
        <f>IF(AND(AND(OR($DX1381=1,$DW1381=1),AND($EC1381=0,$EA1381=0)),SUM($DV1381:$DZ1381,$EF1381)&gt;=3),"Ecosystem approach","")</f>
        <v/>
      </c>
      <c r="EM1381" s="2" t="str">
        <f>IF(AND(AND(AND($DX1381=0,$DW1381=0),OR($EC1381=1,$EA1381=1)),SUM($EB1381:$EE1381)&gt;=2),"Technology approach","")</f>
        <v/>
      </c>
      <c r="EP1381" t="b">
        <f>IF(ISNUMBER(BU1381),IF(ABS(BU1381-[5]QC_indicators!$B$2)&gt;3*[5]QC_indicators!$C$2,"C ratio",IF(ISNUMBER(BY1381),IF(ABS(BY1381-[5]QC_indicators!$B$1)&gt;3*[5]QC_indicators!$C$1,"DF","no"))),IF(ISNUMBER(BY1381),IF(ABS(BY1381-[5]QC_indicators!$B$1)&gt;3*[5]QC_indicators!$C$1,"DF","no")))</f>
        <v>0</v>
      </c>
    </row>
    <row r="1382" spans="1:148" ht="15" customHeight="1">
      <c r="A1382" s="1" t="s">
        <v>3866</v>
      </c>
      <c r="B1382" t="s">
        <v>3867</v>
      </c>
      <c r="C1382" t="s">
        <v>3868</v>
      </c>
      <c r="D1382" t="s">
        <v>3869</v>
      </c>
      <c r="E1382" t="s">
        <v>3870</v>
      </c>
      <c r="F1382" t="s">
        <v>3871</v>
      </c>
      <c r="G1382" t="s">
        <v>3872</v>
      </c>
      <c r="H1382" t="s">
        <v>254</v>
      </c>
      <c r="I1382">
        <v>2011</v>
      </c>
      <c r="J1382">
        <v>23</v>
      </c>
      <c r="K1382" t="s">
        <v>3873</v>
      </c>
      <c r="M1382" t="str">
        <f>LEFT($D1382,FIND(",",$D1382)-1)&amp;"_"&amp;I1382&amp;L1382</f>
        <v>Newell_2011</v>
      </c>
      <c r="N1382" s="312" t="s">
        <v>4383</v>
      </c>
      <c r="O1382" s="157" t="s">
        <v>274</v>
      </c>
      <c r="P1382" t="s">
        <v>960</v>
      </c>
      <c r="Q1382" s="312" t="s">
        <v>389</v>
      </c>
      <c r="R1382" s="313"/>
      <c r="S1382" s="319" t="s">
        <v>3880</v>
      </c>
      <c r="T1382" s="312" t="s">
        <v>3875</v>
      </c>
      <c r="U1382" s="312" t="s">
        <v>3876</v>
      </c>
      <c r="V1382">
        <v>0</v>
      </c>
      <c r="W1382">
        <v>0</v>
      </c>
      <c r="X1382">
        <v>0</v>
      </c>
      <c r="Y1382">
        <v>0</v>
      </c>
      <c r="Z1382">
        <v>0</v>
      </c>
      <c r="AA1382">
        <v>0</v>
      </c>
      <c r="AB1382">
        <v>0</v>
      </c>
      <c r="AC1382">
        <v>0</v>
      </c>
      <c r="AD1382">
        <v>0</v>
      </c>
      <c r="AE1382">
        <v>1</v>
      </c>
      <c r="AF1382">
        <v>1</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s="141">
        <f>COUNTIF(V1382:AW1382,"&lt;&gt;0")</f>
        <v>2</v>
      </c>
      <c r="AY1382" s="141">
        <f>COUNTIF(V1382:AL1382,"&lt;&gt;0")</f>
        <v>2</v>
      </c>
      <c r="AZ1382">
        <f>COUNTIF(V1382:AC1382,"&lt;&gt;0")</f>
        <v>0</v>
      </c>
      <c r="BA1382">
        <f>COUNTIF(AD1382:AI1382,"&lt;&gt;0")</f>
        <v>2</v>
      </c>
      <c r="BB1382">
        <f>COUNTIF(AJ1382:AL1382,"&lt;&gt;0")</f>
        <v>0</v>
      </c>
      <c r="BC1382">
        <f>COUNTIF(AS1382:AW1382,"&lt;&gt;0")</f>
        <v>0</v>
      </c>
      <c r="BD1382">
        <f>COUNTIF(AM1382:AR1382,"&lt;&gt;0")</f>
        <v>0</v>
      </c>
      <c r="BE1382" t="str" cm="1">
        <f t="array" ref="BE1382">IF(AY1382=1,INDEX($V$7:$AL$7,MATCH(TRUE,INDEX($V1382:$AW1382&lt;&gt;0,),0)),IF(AY1382=0,INDEX($AM$7:$AW$7,MATCH(1,$AM1382:$AW1382,0)),IF(BF1382="Multiple strategies","mixed drivers",IF(BF1382="Supply chain","multiple supply","multiple silviculture"))))</f>
        <v>multiple supply</v>
      </c>
      <c r="BF1382" s="2" t="str" cm="1">
        <f t="array" ref="BF1382">IF(COUNTIF(AZ1382:BB1382,"&lt;&gt;0")=1,INDEX($V$4:$AW$4,MATCH(TRUE,INDEX($V1382:$AW1382&lt;&gt;0,),0)),IF(COUNTIF(AZ1382:BB1382,"&lt;&gt;0")=0,INDEX($AM$4:$AW$4,MATCH(1,$AM1382:$AW1382,0)),"Multiple strategies"))</f>
        <v>Supply chain</v>
      </c>
      <c r="BG1382" s="1" t="s">
        <v>229</v>
      </c>
      <c r="BH1382" t="s">
        <v>3877</v>
      </c>
      <c r="BI1382" s="312" t="s">
        <v>3878</v>
      </c>
      <c r="BK1382">
        <v>1</v>
      </c>
      <c r="BL1382">
        <v>1</v>
      </c>
      <c r="BM1382">
        <v>1</v>
      </c>
      <c r="BN1382">
        <f>BL1382-BK1382</f>
        <v>0</v>
      </c>
      <c r="BO1382">
        <f>BN1382</f>
        <v>0</v>
      </c>
      <c r="BP1382" t="s">
        <v>395</v>
      </c>
      <c r="BR1382" s="312" t="s">
        <v>3879</v>
      </c>
      <c r="BS1382">
        <v>4.0510000000000002</v>
      </c>
      <c r="BT1382">
        <v>11.875</v>
      </c>
      <c r="BU1382">
        <v>2.9313749691434214</v>
      </c>
      <c r="BV1382">
        <v>7.8239999999999998</v>
      </c>
      <c r="BX1382">
        <v>7.8239999999999998</v>
      </c>
      <c r="BY1382" t="str">
        <f>IFERROR(BX1382/BO1382,"")</f>
        <v/>
      </c>
      <c r="BZ1382">
        <v>0</v>
      </c>
      <c r="CA1382">
        <v>0</v>
      </c>
      <c r="CB1382">
        <v>0</v>
      </c>
      <c r="CC1382">
        <v>0</v>
      </c>
      <c r="CD1382">
        <v>0</v>
      </c>
      <c r="CE1382">
        <v>0</v>
      </c>
      <c r="CF1382">
        <v>0</v>
      </c>
      <c r="CG1382">
        <v>0</v>
      </c>
      <c r="CH1382">
        <v>0</v>
      </c>
      <c r="CI1382">
        <v>0</v>
      </c>
      <c r="CJ1382">
        <v>0</v>
      </c>
      <c r="CK1382">
        <v>0</v>
      </c>
      <c r="CL1382">
        <v>0</v>
      </c>
      <c r="CM1382">
        <v>0</v>
      </c>
      <c r="CN1382" t="str">
        <f>IF($BL1382&lt;$BK1382,"refNeedCorrection","refOK")</f>
        <v>refOK</v>
      </c>
      <c r="CO1382">
        <f>IF($CN1382="refOK",$BK1382,$BL1382)</f>
        <v>1</v>
      </c>
      <c r="CP1382">
        <f>IF($CN1382="refOK",$BL1382,$BK1382)</f>
        <v>1</v>
      </c>
      <c r="CQ1382">
        <f>IF($CN1382="refOK",$BO1382,-$BO1382)</f>
        <v>0</v>
      </c>
      <c r="CR1382">
        <f>IF($CN1382="refOK",$BS1382,$BT1382)*IF($BP1382="Emissions positive",-1,1)</f>
        <v>-4.0510000000000002</v>
      </c>
      <c r="CS1382">
        <f>IF($CN1382="refOK",$BT1382,$BS1382)*IF($BP1382="Emissions positive",-1,1)</f>
        <v>-11.875</v>
      </c>
      <c r="CT1382">
        <f>IF($CN1382="refNeedCorrection",-BX1382,BX1382)*IF($BP1382="Emissions positive",-1,1)</f>
        <v>-7.8239999999999998</v>
      </c>
      <c r="CU1382" t="str">
        <f>IFERROR(CT1382/CQ1382,"")</f>
        <v/>
      </c>
      <c r="CV1382" s="2">
        <f>IFERROR((CS1382-CR1382)/ABS(CR1382),"")</f>
        <v>-1.9313749691434212</v>
      </c>
      <c r="CW1382" s="319" t="s">
        <v>1203</v>
      </c>
      <c r="CX1382" s="312" t="str">
        <f>IF(OR($CW1382="prd",$CW1382="std",$CW1382="cit"),"loc",IF(OR($CW1382="eur",$CW1382="reg",$CW1382="coy"),"reg",$CW1382))</f>
        <v>reg</v>
      </c>
      <c r="CY1382" s="312" t="s">
        <v>690</v>
      </c>
      <c r="CZ1382">
        <v>2007</v>
      </c>
      <c r="DA1382">
        <v>0</v>
      </c>
      <c r="DB1382">
        <v>0</v>
      </c>
      <c r="DC1382" t="str">
        <f>IF(DB1382=0,"0",IF(AND(DB1382&gt;=1,DB1382&lt;=30),"1-30",IF(AND(DB1382&gt;30,DB1382&lt;=70),"31-70",IF(AND(DB1382&gt;70,DB1382&lt;=100),"71-100",IF(DB1382&gt;100,"+100")))))</f>
        <v>0</v>
      </c>
      <c r="DD1382">
        <v>0</v>
      </c>
      <c r="DE1382">
        <v>0</v>
      </c>
      <c r="DF1382">
        <v>1</v>
      </c>
      <c r="DG1382">
        <v>0</v>
      </c>
      <c r="DH1382">
        <v>0</v>
      </c>
      <c r="DI1382">
        <v>1</v>
      </c>
      <c r="DJ1382" t="str">
        <f>IF(DI1382=1,INDEX($DD$7:$DG$7,MATCH(1,$DD1382:$DG1382,0)),"mixedProduct")</f>
        <v>PulpPaperInput</v>
      </c>
      <c r="DK1382">
        <f>IF(DD1382=1,DK$7,0)</f>
        <v>0</v>
      </c>
      <c r="DL1382">
        <f>IF(DE1382=1,DL$7,0)</f>
        <v>0</v>
      </c>
      <c r="DM1382" t="str">
        <f>IF(DF1382=1,DM$7,0)</f>
        <v>Pulp/Paper</v>
      </c>
      <c r="DN1382">
        <f>IF(DG1382=1,DN$7,0)</f>
        <v>0</v>
      </c>
      <c r="DO1382">
        <v>0</v>
      </c>
      <c r="DP1382">
        <v>0</v>
      </c>
      <c r="DQ1382">
        <v>0</v>
      </c>
      <c r="DR1382">
        <v>0</v>
      </c>
      <c r="DS1382">
        <v>0</v>
      </c>
      <c r="DT1382">
        <f>SUM(DO1382:DP1382)</f>
        <v>0</v>
      </c>
      <c r="DU1382" s="143" t="s">
        <v>962</v>
      </c>
      <c r="DV1382">
        <v>0</v>
      </c>
      <c r="DW1382">
        <v>1</v>
      </c>
      <c r="DX1382">
        <v>1</v>
      </c>
      <c r="DY1382">
        <v>0</v>
      </c>
      <c r="DZ1382">
        <v>0</v>
      </c>
      <c r="EA1382" s="143">
        <v>0</v>
      </c>
      <c r="EB1382">
        <v>0</v>
      </c>
      <c r="EC1382">
        <v>1</v>
      </c>
      <c r="ED1382">
        <v>0</v>
      </c>
      <c r="EE1382">
        <v>0</v>
      </c>
      <c r="EF1382">
        <v>1</v>
      </c>
      <c r="EG1382">
        <v>0</v>
      </c>
      <c r="EH1382">
        <v>1</v>
      </c>
      <c r="EI1382" s="2">
        <v>0</v>
      </c>
      <c r="EK1382" t="str">
        <f>IF(AND(AND(AND(OR($DX1382=1,$DW1382=1),OR($EC1382=1,$EA1382=1)),SUM($DV1382:$DZ1382,$EF1382)&gt;=3),SUM($EA1382:$EE1382)&gt;=2),"Whole sector","")</f>
        <v/>
      </c>
      <c r="EL1382" t="str">
        <f>IF(AND(AND(OR($DX1382=1,$DW1382=1),AND($EC1382=0,$EA1382=0)),SUM($DV1382:$DZ1382,$EF1382)&gt;=3),"Ecosystem approach","")</f>
        <v/>
      </c>
      <c r="EM1382" s="2" t="str">
        <f>IF(AND(AND(AND($DX1382=0,$DW1382=0),OR($EC1382=1,$EA1382=1)),SUM($EB1382:$EE1382)&gt;=2),"Technology approach","")</f>
        <v/>
      </c>
      <c r="EP1382" t="b">
        <f>IF(ISNUMBER(BU1382),IF(ABS(BU1382-[5]QC_indicators!$B$2)&gt;3*[5]QC_indicators!$C$2,"C ratio",IF(ISNUMBER(BY1382),IF(ABS(BY1382-[5]QC_indicators!$B$1)&gt;3*[5]QC_indicators!$C$1,"DF","no"))),IF(ISNUMBER(BY1382),IF(ABS(BY1382-[5]QC_indicators!$B$1)&gt;3*[5]QC_indicators!$C$1,"DF","no")))</f>
        <v>0</v>
      </c>
    </row>
    <row r="1383" spans="1:148" ht="15" customHeight="1">
      <c r="A1383" s="1" t="s">
        <v>3866</v>
      </c>
      <c r="B1383" t="s">
        <v>3867</v>
      </c>
      <c r="C1383" t="s">
        <v>3868</v>
      </c>
      <c r="D1383" t="s">
        <v>3869</v>
      </c>
      <c r="E1383" t="s">
        <v>3870</v>
      </c>
      <c r="F1383" s="312" t="s">
        <v>3871</v>
      </c>
      <c r="G1383" t="s">
        <v>3872</v>
      </c>
      <c r="H1383" t="s">
        <v>254</v>
      </c>
      <c r="I1383">
        <v>2011</v>
      </c>
      <c r="J1383">
        <v>23</v>
      </c>
      <c r="K1383" t="s">
        <v>3873</v>
      </c>
      <c r="M1383" t="str">
        <f>LEFT($D1383,FIND(",",$D1383)-1)&amp;"_"&amp;I1383&amp;L1383</f>
        <v>Newell_2011</v>
      </c>
      <c r="N1383" s="312" t="s">
        <v>4383</v>
      </c>
      <c r="O1383" s="157" t="s">
        <v>274</v>
      </c>
      <c r="P1383" t="s">
        <v>960</v>
      </c>
      <c r="Q1383" s="312" t="s">
        <v>389</v>
      </c>
      <c r="R1383" s="313"/>
      <c r="S1383" s="319" t="s">
        <v>3881</v>
      </c>
      <c r="T1383" s="312" t="s">
        <v>3882</v>
      </c>
      <c r="U1383" s="312" t="s">
        <v>3883</v>
      </c>
      <c r="V1383">
        <v>1</v>
      </c>
      <c r="W1383">
        <v>0</v>
      </c>
      <c r="X1383">
        <v>0</v>
      </c>
      <c r="Y1383">
        <v>0</v>
      </c>
      <c r="Z1383">
        <v>0</v>
      </c>
      <c r="AA1383">
        <v>0</v>
      </c>
      <c r="AB1383">
        <v>0</v>
      </c>
      <c r="AC1383">
        <v>0</v>
      </c>
      <c r="AD1383">
        <v>0</v>
      </c>
      <c r="AE1383">
        <v>1</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s="141">
        <f>COUNTIF(V1383:AW1383,"&lt;&gt;0")</f>
        <v>2</v>
      </c>
      <c r="AY1383" s="141">
        <f>COUNTIF(V1383:AL1383,"&lt;&gt;0")</f>
        <v>2</v>
      </c>
      <c r="AZ1383">
        <f>COUNTIF(V1383:AC1383,"&lt;&gt;0")</f>
        <v>1</v>
      </c>
      <c r="BA1383">
        <f>COUNTIF(AD1383:AI1383,"&lt;&gt;0")</f>
        <v>1</v>
      </c>
      <c r="BB1383">
        <f>COUNTIF(AJ1383:AL1383,"&lt;&gt;0")</f>
        <v>0</v>
      </c>
      <c r="BC1383">
        <f>COUNTIF(AS1383:AW1383,"&lt;&gt;0")</f>
        <v>0</v>
      </c>
      <c r="BD1383">
        <f>COUNTIF(AM1383:AR1383,"&lt;&gt;0")</f>
        <v>0</v>
      </c>
      <c r="BE1383" t="str" cm="1">
        <f t="array" ref="BE1383">IF(AY1383=1,INDEX($V$7:$AL$7,MATCH(TRUE,INDEX($V1383:$AW1383&lt;&gt;0,),0)),IF(AY1383=0,INDEX($AM$7:$AW$7,MATCH(1,$AM1383:$AW1383,0)),IF(BF1383="Multiple strategies","mixed drivers",IF(BF1383="Supply chain","multiple supply","multiple silviculture"))))</f>
        <v>mixed drivers</v>
      </c>
      <c r="BF1383" s="2" t="str" cm="1">
        <f t="array" ref="BF1383">IF(COUNTIF(AZ1383:BB1383,"&lt;&gt;0")=1,INDEX($V$4:$AW$4,MATCH(TRUE,INDEX($V1383:$AW1383&lt;&gt;0,),0)),IF(COUNTIF(AZ1383:BB1383,"&lt;&gt;0")=0,INDEX($AM$4:$AW$4,MATCH(1,$AM1383:$AW1383,0)),"Multiple strategies"))</f>
        <v>Multiple strategies</v>
      </c>
      <c r="BG1383" s="1" t="s">
        <v>229</v>
      </c>
      <c r="BH1383" t="s">
        <v>3877</v>
      </c>
      <c r="BI1383" t="s">
        <v>3878</v>
      </c>
      <c r="BK1383">
        <v>1</v>
      </c>
      <c r="BL1383">
        <v>1</v>
      </c>
      <c r="BM1383">
        <v>1</v>
      </c>
      <c r="BN1383">
        <f>BL1383-BK1383</f>
        <v>0</v>
      </c>
      <c r="BO1383">
        <f>BN1383</f>
        <v>0</v>
      </c>
      <c r="BP1383" t="s">
        <v>395</v>
      </c>
      <c r="BR1383" s="312" t="s">
        <v>3879</v>
      </c>
      <c r="BS1383">
        <v>3.5169999999999999</v>
      </c>
      <c r="BT1383">
        <v>9.2100000000000009</v>
      </c>
      <c r="BU1383">
        <v>2.6187091270969578</v>
      </c>
      <c r="BV1383">
        <v>5.6930000000000014</v>
      </c>
      <c r="BX1383">
        <v>5.6930000000000014</v>
      </c>
      <c r="BY1383" t="str">
        <f>IFERROR(BX1383/BO1383,"")</f>
        <v/>
      </c>
      <c r="BZ1383">
        <v>0</v>
      </c>
      <c r="CA1383">
        <v>0</v>
      </c>
      <c r="CB1383">
        <v>0</v>
      </c>
      <c r="CC1383">
        <v>0</v>
      </c>
      <c r="CD1383">
        <v>0</v>
      </c>
      <c r="CE1383">
        <v>0</v>
      </c>
      <c r="CF1383">
        <v>0</v>
      </c>
      <c r="CG1383">
        <v>0</v>
      </c>
      <c r="CH1383">
        <v>0</v>
      </c>
      <c r="CI1383">
        <v>0</v>
      </c>
      <c r="CJ1383">
        <v>0</v>
      </c>
      <c r="CK1383">
        <v>0</v>
      </c>
      <c r="CL1383">
        <v>0</v>
      </c>
      <c r="CM1383">
        <v>0</v>
      </c>
      <c r="CN1383" t="str">
        <f>IF($BL1383&lt;$BK1383,"refNeedCorrection","refOK")</f>
        <v>refOK</v>
      </c>
      <c r="CO1383">
        <f>IF($CN1383="refOK",$BK1383,$BL1383)</f>
        <v>1</v>
      </c>
      <c r="CP1383">
        <f>IF($CN1383="refOK",$BL1383,$BK1383)</f>
        <v>1</v>
      </c>
      <c r="CQ1383">
        <f>IF($CN1383="refOK",$BO1383,-$BO1383)</f>
        <v>0</v>
      </c>
      <c r="CR1383">
        <f>IF($CN1383="refOK",$BS1383,$BT1383)*IF($BP1383="Emissions positive",-1,1)</f>
        <v>-3.5169999999999999</v>
      </c>
      <c r="CS1383">
        <f>IF($CN1383="refOK",$BT1383,$BS1383)*IF($BP1383="Emissions positive",-1,1)</f>
        <v>-9.2100000000000009</v>
      </c>
      <c r="CT1383">
        <f>IF($CN1383="refNeedCorrection",-BX1383,BX1383)*IF($BP1383="Emissions positive",-1,1)</f>
        <v>-5.6930000000000014</v>
      </c>
      <c r="CU1383" t="str">
        <f>IFERROR(CT1383/CQ1383,"")</f>
        <v/>
      </c>
      <c r="CV1383" s="2">
        <f>IFERROR((CS1383-CR1383)/ABS(CR1383),"")</f>
        <v>-1.618709127096958</v>
      </c>
      <c r="CW1383" s="319" t="s">
        <v>2539</v>
      </c>
      <c r="CX1383" s="312" t="s">
        <v>2539</v>
      </c>
      <c r="CY1383" s="312" t="s">
        <v>2540</v>
      </c>
      <c r="CZ1383">
        <v>2007</v>
      </c>
      <c r="DA1383">
        <v>0</v>
      </c>
      <c r="DB1383">
        <v>0</v>
      </c>
      <c r="DC1383" t="str">
        <f>IF(DB1383=0,"0",IF(AND(DB1383&gt;=1,DB1383&lt;=30),"1-30",IF(AND(DB1383&gt;30,DB1383&lt;=70),"31-70",IF(AND(DB1383&gt;70,DB1383&lt;=100),"71-100",IF(DB1383&gt;100,"+100")))))</f>
        <v>0</v>
      </c>
      <c r="DD1383">
        <v>1</v>
      </c>
      <c r="DE1383">
        <v>0</v>
      </c>
      <c r="DF1383">
        <v>0</v>
      </c>
      <c r="DG1383">
        <v>0</v>
      </c>
      <c r="DH1383">
        <v>0</v>
      </c>
      <c r="DI1383">
        <v>1</v>
      </c>
      <c r="DJ1383" t="str">
        <f>IF(DI1383=1,INDEX($DD$7:$DG$7,MATCH(1,$DD1383:$DG1383,0)),"mixedProduct")</f>
        <v>UpstreamInput</v>
      </c>
      <c r="DK1383" t="str">
        <f>IF(DD1383=1,DK$7,0)</f>
        <v>Upstream</v>
      </c>
      <c r="DL1383">
        <f>IF(DE1383=1,DL$7,0)</f>
        <v>0</v>
      </c>
      <c r="DM1383">
        <f>IF(DF1383=1,DM$7,0)</f>
        <v>0</v>
      </c>
      <c r="DN1383">
        <f>IF(DG1383=1,DN$7,0)</f>
        <v>0</v>
      </c>
      <c r="DO1383">
        <v>0</v>
      </c>
      <c r="DP1383">
        <v>0</v>
      </c>
      <c r="DQ1383">
        <v>0</v>
      </c>
      <c r="DR1383">
        <v>0</v>
      </c>
      <c r="DS1383">
        <v>0</v>
      </c>
      <c r="DT1383">
        <f>SUM(DO1383:DP1383)</f>
        <v>0</v>
      </c>
      <c r="DU1383" s="143" t="s">
        <v>962</v>
      </c>
      <c r="DV1383">
        <v>0</v>
      </c>
      <c r="DW1383">
        <v>1</v>
      </c>
      <c r="DX1383">
        <v>1</v>
      </c>
      <c r="DY1383">
        <v>0</v>
      </c>
      <c r="DZ1383">
        <v>0</v>
      </c>
      <c r="EA1383" s="143">
        <v>0</v>
      </c>
      <c r="EB1383">
        <v>0</v>
      </c>
      <c r="EC1383">
        <v>0</v>
      </c>
      <c r="ED1383">
        <v>0</v>
      </c>
      <c r="EE1383">
        <v>0</v>
      </c>
      <c r="EF1383">
        <v>1</v>
      </c>
      <c r="EG1383">
        <v>0</v>
      </c>
      <c r="EH1383">
        <v>0</v>
      </c>
      <c r="EI1383" s="2">
        <v>0</v>
      </c>
      <c r="EK1383" t="str">
        <f>IF(AND(AND(AND(OR($DX1383=1,$DW1383=1),OR($EC1383=1,$EA1383=1)),SUM($DV1383:$DZ1383,$EF1383)&gt;=3),SUM($EA1383:$EE1383)&gt;=2),"Whole sector","")</f>
        <v/>
      </c>
      <c r="EL1383" t="str">
        <f>IF(AND(AND(OR($DX1383=1,$DW1383=1),AND($EC1383=0,$EA1383=0)),SUM($DV1383:$DZ1383,$EF1383)&gt;=3),"Ecosystem approach","")</f>
        <v>Ecosystem approach</v>
      </c>
      <c r="EM1383" s="2" t="str">
        <f>IF(AND(AND(AND($DX1383=0,$DW1383=0),OR($EC1383=1,$EA1383=1)),SUM($EB1383:$EE1383)&gt;=2),"Technology approach","")</f>
        <v/>
      </c>
      <c r="EP1383" t="b">
        <f>IF(ISNUMBER(BU1383),IF(ABS(BU1383-[5]QC_indicators!$B$2)&gt;3*[5]QC_indicators!$C$2,"C ratio",IF(ISNUMBER(BY1383),IF(ABS(BY1383-[5]QC_indicators!$B$1)&gt;3*[5]QC_indicators!$C$1,"DF","no"))),IF(ISNUMBER(BY1383),IF(ABS(BY1383-[5]QC_indicators!$B$1)&gt;3*[5]QC_indicators!$C$1,"DF","no")))</f>
        <v>0</v>
      </c>
    </row>
    <row r="1384" spans="1:148" ht="15" customHeight="1">
      <c r="A1384" s="1" t="s">
        <v>3866</v>
      </c>
      <c r="B1384" t="s">
        <v>3867</v>
      </c>
      <c r="C1384" t="s">
        <v>3868</v>
      </c>
      <c r="D1384" t="s">
        <v>3869</v>
      </c>
      <c r="E1384" t="s">
        <v>3870</v>
      </c>
      <c r="F1384" t="s">
        <v>3871</v>
      </c>
      <c r="G1384" t="s">
        <v>3872</v>
      </c>
      <c r="H1384" t="s">
        <v>254</v>
      </c>
      <c r="I1384">
        <v>2011</v>
      </c>
      <c r="J1384">
        <v>23</v>
      </c>
      <c r="K1384" t="s">
        <v>3873</v>
      </c>
      <c r="M1384" t="str">
        <f>LEFT($D1384,FIND(",",$D1384)-1)&amp;"_"&amp;I1384&amp;L1384</f>
        <v>Newell_2011</v>
      </c>
      <c r="N1384" s="312" t="s">
        <v>4383</v>
      </c>
      <c r="O1384" s="157" t="s">
        <v>274</v>
      </c>
      <c r="P1384" t="s">
        <v>960</v>
      </c>
      <c r="Q1384" s="312" t="s">
        <v>389</v>
      </c>
      <c r="R1384" s="313"/>
      <c r="S1384" s="319" t="s">
        <v>3881</v>
      </c>
      <c r="T1384" s="312" t="s">
        <v>3884</v>
      </c>
      <c r="U1384" s="312" t="s">
        <v>3885</v>
      </c>
      <c r="V1384">
        <v>1</v>
      </c>
      <c r="W1384">
        <v>0</v>
      </c>
      <c r="X1384">
        <v>0</v>
      </c>
      <c r="Y1384">
        <v>0</v>
      </c>
      <c r="Z1384">
        <v>0</v>
      </c>
      <c r="AA1384">
        <v>1</v>
      </c>
      <c r="AB1384">
        <v>0</v>
      </c>
      <c r="AC1384">
        <v>0</v>
      </c>
      <c r="AD1384">
        <v>0</v>
      </c>
      <c r="AE1384">
        <v>1</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s="141">
        <f>COUNTIF(V1384:AW1384,"&lt;&gt;0")</f>
        <v>3</v>
      </c>
      <c r="AY1384" s="141">
        <f>COUNTIF(V1384:AL1384,"&lt;&gt;0")</f>
        <v>3</v>
      </c>
      <c r="AZ1384">
        <f>COUNTIF(V1384:AC1384,"&lt;&gt;0")</f>
        <v>2</v>
      </c>
      <c r="BA1384">
        <f>COUNTIF(AD1384:AI1384,"&lt;&gt;0")</f>
        <v>1</v>
      </c>
      <c r="BB1384">
        <f>COUNTIF(AJ1384:AL1384,"&lt;&gt;0")</f>
        <v>0</v>
      </c>
      <c r="BC1384">
        <f>COUNTIF(AS1384:AW1384,"&lt;&gt;0")</f>
        <v>0</v>
      </c>
      <c r="BD1384">
        <f>COUNTIF(AM1384:AR1384,"&lt;&gt;0")</f>
        <v>0</v>
      </c>
      <c r="BE1384" t="str" cm="1">
        <f t="array" ref="BE1384">IF(AY1384=1,INDEX($V$7:$AL$7,MATCH(TRUE,INDEX($V1384:$AW1384&lt;&gt;0,),0)),IF(AY1384=0,INDEX($AM$7:$AW$7,MATCH(1,$AM1384:$AW1384,0)),IF(BF1384="Multiple strategies","mixed drivers",IF(BF1384="Supply chain","multiple supply","multiple silviculture"))))</f>
        <v>mixed drivers</v>
      </c>
      <c r="BF1384" s="2" t="str" cm="1">
        <f t="array" ref="BF1384">IF(COUNTIF(AZ1384:BB1384,"&lt;&gt;0")=1,INDEX($V$4:$AW$4,MATCH(TRUE,INDEX($V1384:$AW1384&lt;&gt;0,),0)),IF(COUNTIF(AZ1384:BB1384,"&lt;&gt;0")=0,INDEX($AM$4:$AW$4,MATCH(1,$AM1384:$AW1384,0)),"Multiple strategies"))</f>
        <v>Multiple strategies</v>
      </c>
      <c r="BG1384" s="1" t="s">
        <v>229</v>
      </c>
      <c r="BH1384" t="s">
        <v>3877</v>
      </c>
      <c r="BI1384" t="s">
        <v>3878</v>
      </c>
      <c r="BK1384">
        <v>1</v>
      </c>
      <c r="BL1384">
        <v>1</v>
      </c>
      <c r="BM1384">
        <v>1</v>
      </c>
      <c r="BN1384">
        <f>BL1384-BK1384</f>
        <v>0</v>
      </c>
      <c r="BO1384">
        <f>BN1384</f>
        <v>0</v>
      </c>
      <c r="BP1384" t="s">
        <v>395</v>
      </c>
      <c r="BR1384" s="312" t="s">
        <v>3879</v>
      </c>
      <c r="BS1384">
        <v>1.3860000000000001</v>
      </c>
      <c r="BT1384">
        <v>2.6710000000000003</v>
      </c>
      <c r="BU1384">
        <v>1.9271284271284272</v>
      </c>
      <c r="BV1384">
        <v>1.2850000000000001</v>
      </c>
      <c r="BX1384">
        <v>1.2850000000000001</v>
      </c>
      <c r="BY1384" t="str">
        <f>IFERROR(BX1384/BO1384,"")</f>
        <v/>
      </c>
      <c r="BZ1384">
        <v>0</v>
      </c>
      <c r="CA1384">
        <v>0</v>
      </c>
      <c r="CB1384">
        <v>0</v>
      </c>
      <c r="CC1384">
        <v>0</v>
      </c>
      <c r="CD1384">
        <v>0</v>
      </c>
      <c r="CE1384">
        <v>0</v>
      </c>
      <c r="CF1384">
        <v>0</v>
      </c>
      <c r="CG1384">
        <v>0</v>
      </c>
      <c r="CH1384">
        <v>0</v>
      </c>
      <c r="CI1384">
        <v>0</v>
      </c>
      <c r="CJ1384">
        <v>0</v>
      </c>
      <c r="CK1384">
        <v>0</v>
      </c>
      <c r="CL1384">
        <v>0</v>
      </c>
      <c r="CM1384">
        <v>0</v>
      </c>
      <c r="CN1384" t="str">
        <f>IF($BL1384&lt;$BK1384,"refNeedCorrection","refOK")</f>
        <v>refOK</v>
      </c>
      <c r="CO1384">
        <f>IF($CN1384="refOK",$BK1384,$BL1384)</f>
        <v>1</v>
      </c>
      <c r="CP1384">
        <f>IF($CN1384="refOK",$BL1384,$BK1384)</f>
        <v>1</v>
      </c>
      <c r="CQ1384">
        <f>IF($CN1384="refOK",$BO1384,-$BO1384)</f>
        <v>0</v>
      </c>
      <c r="CR1384">
        <f>IF($CN1384="refOK",$BS1384,$BT1384)*IF($BP1384="Emissions positive",-1,1)</f>
        <v>-1.3860000000000001</v>
      </c>
      <c r="CS1384">
        <f>IF($CN1384="refOK",$BT1384,$BS1384)*IF($BP1384="Emissions positive",-1,1)</f>
        <v>-2.6710000000000003</v>
      </c>
      <c r="CT1384">
        <f>IF($CN1384="refNeedCorrection",-BX1384,BX1384)*IF($BP1384="Emissions positive",-1,1)</f>
        <v>-1.2850000000000001</v>
      </c>
      <c r="CU1384" t="str">
        <f>IFERROR(CT1384/CQ1384,"")</f>
        <v/>
      </c>
      <c r="CV1384" s="2">
        <f>IFERROR((CS1384-CR1384)/ABS(CR1384),"")</f>
        <v>-0.92712842712842713</v>
      </c>
      <c r="CW1384" s="319" t="s">
        <v>2539</v>
      </c>
      <c r="CX1384" s="312" t="s">
        <v>2539</v>
      </c>
      <c r="CY1384" s="312" t="s">
        <v>2540</v>
      </c>
      <c r="CZ1384">
        <v>2007</v>
      </c>
      <c r="DA1384">
        <v>0</v>
      </c>
      <c r="DB1384">
        <v>0</v>
      </c>
      <c r="DC1384" t="str">
        <f>IF(DB1384=0,"0",IF(AND(DB1384&gt;=1,DB1384&lt;=30),"1-30",IF(AND(DB1384&gt;30,DB1384&lt;=70),"31-70",IF(AND(DB1384&gt;70,DB1384&lt;=100),"71-100",IF(DB1384&gt;100,"+100")))))</f>
        <v>0</v>
      </c>
      <c r="DD1384">
        <v>1</v>
      </c>
      <c r="DE1384">
        <v>0</v>
      </c>
      <c r="DF1384">
        <v>0</v>
      </c>
      <c r="DG1384">
        <v>0</v>
      </c>
      <c r="DH1384">
        <v>0</v>
      </c>
      <c r="DI1384">
        <v>1</v>
      </c>
      <c r="DJ1384" t="str">
        <f>IF(DI1384=1,INDEX($DD$7:$DG$7,MATCH(1,$DD1384:$DG1384,0)),"mixedProduct")</f>
        <v>UpstreamInput</v>
      </c>
      <c r="DK1384" t="str">
        <f>IF(DD1384=1,DK$7,0)</f>
        <v>Upstream</v>
      </c>
      <c r="DL1384">
        <f>IF(DE1384=1,DL$7,0)</f>
        <v>0</v>
      </c>
      <c r="DM1384">
        <f>IF(DF1384=1,DM$7,0)</f>
        <v>0</v>
      </c>
      <c r="DN1384">
        <f>IF(DG1384=1,DN$7,0)</f>
        <v>0</v>
      </c>
      <c r="DO1384">
        <v>0</v>
      </c>
      <c r="DP1384">
        <v>0</v>
      </c>
      <c r="DQ1384">
        <v>0</v>
      </c>
      <c r="DR1384">
        <v>0</v>
      </c>
      <c r="DS1384">
        <v>0</v>
      </c>
      <c r="DT1384">
        <f>SUM(DO1384:DP1384)</f>
        <v>0</v>
      </c>
      <c r="DU1384" s="143" t="s">
        <v>962</v>
      </c>
      <c r="DV1384">
        <v>0</v>
      </c>
      <c r="DW1384">
        <v>1</v>
      </c>
      <c r="DX1384">
        <v>1</v>
      </c>
      <c r="DY1384">
        <v>0</v>
      </c>
      <c r="DZ1384">
        <v>0</v>
      </c>
      <c r="EA1384" s="143">
        <v>0</v>
      </c>
      <c r="EB1384">
        <v>0</v>
      </c>
      <c r="EC1384">
        <v>0</v>
      </c>
      <c r="ED1384">
        <v>0</v>
      </c>
      <c r="EE1384">
        <v>0</v>
      </c>
      <c r="EF1384">
        <v>1</v>
      </c>
      <c r="EG1384">
        <v>0</v>
      </c>
      <c r="EH1384">
        <v>0</v>
      </c>
      <c r="EI1384" s="2">
        <v>0</v>
      </c>
      <c r="EK1384" t="str">
        <f>IF(AND(AND(AND(OR($DX1384=1,$DW1384=1),OR($EC1384=1,$EA1384=1)),SUM($DV1384:$DZ1384,$EF1384)&gt;=3),SUM($EA1384:$EE1384)&gt;=2),"Whole sector","")</f>
        <v/>
      </c>
      <c r="EL1384" t="str">
        <f>IF(AND(AND(OR($DX1384=1,$DW1384=1),AND($EC1384=0,$EA1384=0)),SUM($DV1384:$DZ1384,$EF1384)&gt;=3),"Ecosystem approach","")</f>
        <v>Ecosystem approach</v>
      </c>
      <c r="EM1384" s="2" t="str">
        <f>IF(AND(AND(AND($DX1384=0,$DW1384=0),OR($EC1384=1,$EA1384=1)),SUM($EB1384:$EE1384)&gt;=2),"Technology approach","")</f>
        <v/>
      </c>
      <c r="EP1384" t="b">
        <f>IF(ISNUMBER(BU1384),IF(ABS(BU1384-[5]QC_indicators!$B$2)&gt;3*[5]QC_indicators!$C$2,"C ratio",IF(ISNUMBER(BY1384),IF(ABS(BY1384-[5]QC_indicators!$B$1)&gt;3*[5]QC_indicators!$C$1,"DF","no"))),IF(ISNUMBER(BY1384),IF(ABS(BY1384-[5]QC_indicators!$B$1)&gt;3*[5]QC_indicators!$C$1,"DF","no")))</f>
        <v>0</v>
      </c>
    </row>
    <row r="1385" spans="1:148" ht="15" customHeight="1">
      <c r="A1385" s="1" t="s">
        <v>3866</v>
      </c>
      <c r="B1385" t="s">
        <v>3867</v>
      </c>
      <c r="C1385" t="s">
        <v>3868</v>
      </c>
      <c r="D1385" t="s">
        <v>3869</v>
      </c>
      <c r="E1385" t="s">
        <v>3870</v>
      </c>
      <c r="F1385" t="s">
        <v>3871</v>
      </c>
      <c r="G1385" t="s">
        <v>3872</v>
      </c>
      <c r="H1385" t="s">
        <v>254</v>
      </c>
      <c r="I1385">
        <v>2011</v>
      </c>
      <c r="J1385">
        <v>23</v>
      </c>
      <c r="K1385" t="s">
        <v>3873</v>
      </c>
      <c r="M1385" t="str">
        <f>LEFT($D1385,FIND(",",$D1385)-1)&amp;"_"&amp;I1385&amp;L1385</f>
        <v>Newell_2011</v>
      </c>
      <c r="N1385" s="312" t="s">
        <v>4383</v>
      </c>
      <c r="O1385" s="157" t="s">
        <v>274</v>
      </c>
      <c r="P1385" t="s">
        <v>960</v>
      </c>
      <c r="Q1385" s="312" t="s">
        <v>389</v>
      </c>
      <c r="R1385" s="313"/>
      <c r="S1385" s="319" t="s">
        <v>3881</v>
      </c>
      <c r="T1385" s="312" t="s">
        <v>3882</v>
      </c>
      <c r="U1385" s="312" t="s">
        <v>3883</v>
      </c>
      <c r="V1385">
        <v>1</v>
      </c>
      <c r="W1385">
        <v>0</v>
      </c>
      <c r="X1385">
        <v>0</v>
      </c>
      <c r="Y1385">
        <v>0</v>
      </c>
      <c r="Z1385">
        <v>0</v>
      </c>
      <c r="AA1385">
        <v>0</v>
      </c>
      <c r="AB1385">
        <v>0</v>
      </c>
      <c r="AC1385">
        <v>0</v>
      </c>
      <c r="AD1385">
        <v>0</v>
      </c>
      <c r="AE1385">
        <v>1</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s="141">
        <f>COUNTIF(V1385:AW1385,"&lt;&gt;0")</f>
        <v>2</v>
      </c>
      <c r="AY1385" s="141">
        <f>COUNTIF(V1385:AL1385,"&lt;&gt;0")</f>
        <v>2</v>
      </c>
      <c r="AZ1385">
        <f>COUNTIF(V1385:AC1385,"&lt;&gt;0")</f>
        <v>1</v>
      </c>
      <c r="BA1385">
        <f>COUNTIF(AD1385:AI1385,"&lt;&gt;0")</f>
        <v>1</v>
      </c>
      <c r="BB1385">
        <f>COUNTIF(AJ1385:AL1385,"&lt;&gt;0")</f>
        <v>0</v>
      </c>
      <c r="BC1385">
        <f>COUNTIF(AS1385:AW1385,"&lt;&gt;0")</f>
        <v>0</v>
      </c>
      <c r="BD1385">
        <f>COUNTIF(AM1385:AR1385,"&lt;&gt;0")</f>
        <v>0</v>
      </c>
      <c r="BE1385" t="str" cm="1">
        <f t="array" ref="BE1385">IF(AY1385=1,INDEX($V$7:$AL$7,MATCH(TRUE,INDEX($V1385:$AW1385&lt;&gt;0,),0)),IF(AY1385=0,INDEX($AM$7:$AW$7,MATCH(1,$AM1385:$AW1385,0)),IF(BF1385="Multiple strategies","mixed drivers",IF(BF1385="Supply chain","multiple supply","multiple silviculture"))))</f>
        <v>mixed drivers</v>
      </c>
      <c r="BF1385" s="2" t="str" cm="1">
        <f t="array" ref="BF1385">IF(COUNTIF(AZ1385:BB1385,"&lt;&gt;0")=1,INDEX($V$4:$AW$4,MATCH(TRUE,INDEX($V1385:$AW1385&lt;&gt;0,),0)),IF(COUNTIF(AZ1385:BB1385,"&lt;&gt;0")=0,INDEX($AM$4:$AW$4,MATCH(1,$AM1385:$AW1385,0)),"Multiple strategies"))</f>
        <v>Multiple strategies</v>
      </c>
      <c r="BG1385" s="1" t="s">
        <v>229</v>
      </c>
      <c r="BH1385" t="s">
        <v>3877</v>
      </c>
      <c r="BI1385" t="s">
        <v>3878</v>
      </c>
      <c r="BK1385">
        <v>1</v>
      </c>
      <c r="BL1385">
        <v>1</v>
      </c>
      <c r="BM1385">
        <v>1</v>
      </c>
      <c r="BN1385">
        <f>BL1385-BK1385</f>
        <v>0</v>
      </c>
      <c r="BO1385">
        <f>BN1385</f>
        <v>0</v>
      </c>
      <c r="BP1385" t="s">
        <v>395</v>
      </c>
      <c r="BR1385" s="312" t="s">
        <v>3879</v>
      </c>
      <c r="BS1385">
        <v>4.95</v>
      </c>
      <c r="BT1385">
        <v>11.875</v>
      </c>
      <c r="BU1385">
        <v>2.3989898989898988</v>
      </c>
      <c r="BV1385">
        <v>6.9249999999999998</v>
      </c>
      <c r="BX1385">
        <v>6.9249999999999998</v>
      </c>
      <c r="BY1385" t="str">
        <f>IFERROR(BX1385/BO1385,"")</f>
        <v/>
      </c>
      <c r="BZ1385">
        <v>0</v>
      </c>
      <c r="CA1385">
        <v>0</v>
      </c>
      <c r="CB1385">
        <v>0</v>
      </c>
      <c r="CC1385">
        <v>0</v>
      </c>
      <c r="CD1385">
        <v>0</v>
      </c>
      <c r="CE1385">
        <v>0</v>
      </c>
      <c r="CF1385">
        <v>0</v>
      </c>
      <c r="CG1385">
        <v>0</v>
      </c>
      <c r="CH1385">
        <v>0</v>
      </c>
      <c r="CI1385">
        <v>0</v>
      </c>
      <c r="CJ1385">
        <v>0</v>
      </c>
      <c r="CK1385">
        <v>0</v>
      </c>
      <c r="CL1385">
        <v>0</v>
      </c>
      <c r="CM1385">
        <v>0</v>
      </c>
      <c r="CN1385" t="str">
        <f>IF($BL1385&lt;$BK1385,"refNeedCorrection","refOK")</f>
        <v>refOK</v>
      </c>
      <c r="CO1385">
        <f>IF($CN1385="refOK",$BK1385,$BL1385)</f>
        <v>1</v>
      </c>
      <c r="CP1385">
        <f>IF($CN1385="refOK",$BL1385,$BK1385)</f>
        <v>1</v>
      </c>
      <c r="CQ1385">
        <f>IF($CN1385="refOK",$BO1385,-$BO1385)</f>
        <v>0</v>
      </c>
      <c r="CR1385">
        <f>IF($CN1385="refOK",$BS1385,$BT1385)*IF($BP1385="Emissions positive",-1,1)</f>
        <v>-4.95</v>
      </c>
      <c r="CS1385">
        <f>IF($CN1385="refOK",$BT1385,$BS1385)*IF($BP1385="Emissions positive",-1,1)</f>
        <v>-11.875</v>
      </c>
      <c r="CT1385">
        <f>IF($CN1385="refNeedCorrection",-BX1385,BX1385)*IF($BP1385="Emissions positive",-1,1)</f>
        <v>-6.9249999999999998</v>
      </c>
      <c r="CU1385" t="str">
        <f>IFERROR(CT1385/CQ1385,"")</f>
        <v/>
      </c>
      <c r="CV1385" s="2">
        <f>IFERROR((CS1385-CR1385)/ABS(CR1385),"")</f>
        <v>-1.398989898989899</v>
      </c>
      <c r="CW1385" s="319" t="s">
        <v>2539</v>
      </c>
      <c r="CX1385" s="312" t="s">
        <v>2539</v>
      </c>
      <c r="CY1385" s="312" t="s">
        <v>2540</v>
      </c>
      <c r="CZ1385">
        <v>2007</v>
      </c>
      <c r="DA1385">
        <v>0</v>
      </c>
      <c r="DB1385">
        <v>0</v>
      </c>
      <c r="DC1385" t="str">
        <f>IF(DB1385=0,"0",IF(AND(DB1385&gt;=1,DB1385&lt;=30),"1-30",IF(AND(DB1385&gt;30,DB1385&lt;=70),"31-70",IF(AND(DB1385&gt;70,DB1385&lt;=100),"71-100",IF(DB1385&gt;100,"+100")))))</f>
        <v>0</v>
      </c>
      <c r="DD1385">
        <v>0</v>
      </c>
      <c r="DE1385">
        <v>0</v>
      </c>
      <c r="DF1385">
        <v>1</v>
      </c>
      <c r="DG1385">
        <v>0</v>
      </c>
      <c r="DH1385">
        <v>0</v>
      </c>
      <c r="DI1385">
        <v>1</v>
      </c>
      <c r="DJ1385" t="str">
        <f>IF(DI1385=1,INDEX($DD$7:$DG$7,MATCH(1,$DD1385:$DG1385,0)),"mixedProduct")</f>
        <v>PulpPaperInput</v>
      </c>
      <c r="DK1385">
        <f>IF(DD1385=1,DK$7,0)</f>
        <v>0</v>
      </c>
      <c r="DL1385">
        <f>IF(DE1385=1,DL$7,0)</f>
        <v>0</v>
      </c>
      <c r="DM1385" t="str">
        <f>IF(DF1385=1,DM$7,0)</f>
        <v>Pulp/Paper</v>
      </c>
      <c r="DN1385">
        <f>IF(DG1385=1,DN$7,0)</f>
        <v>0</v>
      </c>
      <c r="DO1385">
        <v>0</v>
      </c>
      <c r="DP1385">
        <v>0</v>
      </c>
      <c r="DQ1385">
        <v>0</v>
      </c>
      <c r="DR1385">
        <v>0</v>
      </c>
      <c r="DS1385">
        <v>0</v>
      </c>
      <c r="DT1385">
        <f>SUM(DO1385:DP1385)</f>
        <v>0</v>
      </c>
      <c r="DU1385" s="143" t="s">
        <v>962</v>
      </c>
      <c r="DV1385">
        <v>0</v>
      </c>
      <c r="DW1385">
        <v>1</v>
      </c>
      <c r="DX1385">
        <v>1</v>
      </c>
      <c r="DY1385">
        <v>0</v>
      </c>
      <c r="DZ1385">
        <v>0</v>
      </c>
      <c r="EA1385" s="143">
        <v>0</v>
      </c>
      <c r="EB1385">
        <v>0</v>
      </c>
      <c r="EC1385">
        <v>1</v>
      </c>
      <c r="ED1385">
        <v>0</v>
      </c>
      <c r="EE1385">
        <v>0</v>
      </c>
      <c r="EF1385">
        <v>1</v>
      </c>
      <c r="EG1385">
        <v>0</v>
      </c>
      <c r="EH1385">
        <v>0</v>
      </c>
      <c r="EI1385" s="2">
        <v>0</v>
      </c>
      <c r="EK1385" t="str">
        <f>IF(AND(AND(AND(OR($DX1385=1,$DW1385=1),OR($EC1385=1,$EA1385=1)),SUM($DV1385:$DZ1385,$EF1385)&gt;=3),SUM($EA1385:$EE1385)&gt;=2),"Whole sector","")</f>
        <v/>
      </c>
      <c r="EL1385" t="str">
        <f>IF(AND(AND(OR($DX1385=1,$DW1385=1),AND($EC1385=0,$EA1385=0)),SUM($DV1385:$DZ1385,$EF1385)&gt;=3),"Ecosystem approach","")</f>
        <v/>
      </c>
      <c r="EM1385" s="2" t="str">
        <f>IF(AND(AND(AND($DX1385=0,$DW1385=0),OR($EC1385=1,$EA1385=1)),SUM($EB1385:$EE1385)&gt;=2),"Technology approach","")</f>
        <v/>
      </c>
      <c r="EP1385" t="b">
        <f>IF(ISNUMBER(BU1385),IF(ABS(BU1385-[5]QC_indicators!$B$2)&gt;3*[5]QC_indicators!$C$2,"C ratio",IF(ISNUMBER(BY1385),IF(ABS(BY1385-[5]QC_indicators!$B$1)&gt;3*[5]QC_indicators!$C$1,"DF","no"))),IF(ISNUMBER(BY1385),IF(ABS(BY1385-[5]QC_indicators!$B$1)&gt;3*[5]QC_indicators!$C$1,"DF","no")))</f>
        <v>0</v>
      </c>
    </row>
    <row r="1386" spans="1:148" ht="15" customHeight="1">
      <c r="A1386" s="1" t="s">
        <v>3866</v>
      </c>
      <c r="B1386" t="s">
        <v>3867</v>
      </c>
      <c r="C1386" t="s">
        <v>3868</v>
      </c>
      <c r="D1386" t="s">
        <v>3869</v>
      </c>
      <c r="E1386" t="s">
        <v>3870</v>
      </c>
      <c r="F1386" t="s">
        <v>3871</v>
      </c>
      <c r="G1386" t="s">
        <v>3872</v>
      </c>
      <c r="H1386" t="s">
        <v>254</v>
      </c>
      <c r="I1386">
        <v>2011</v>
      </c>
      <c r="J1386">
        <v>23</v>
      </c>
      <c r="K1386" t="s">
        <v>3873</v>
      </c>
      <c r="M1386" t="str">
        <f>LEFT($D1386,FIND(",",$D1386)-1)&amp;"_"&amp;I1386&amp;L1386</f>
        <v>Newell_2011</v>
      </c>
      <c r="N1386" s="312" t="s">
        <v>4383</v>
      </c>
      <c r="O1386" s="157" t="s">
        <v>274</v>
      </c>
      <c r="P1386" t="s">
        <v>960</v>
      </c>
      <c r="Q1386" s="312" t="s">
        <v>389</v>
      </c>
      <c r="R1386" s="313"/>
      <c r="S1386" s="319" t="s">
        <v>3881</v>
      </c>
      <c r="T1386" s="312" t="s">
        <v>3884</v>
      </c>
      <c r="U1386" s="312" t="s">
        <v>3885</v>
      </c>
      <c r="V1386">
        <v>1</v>
      </c>
      <c r="W1386">
        <v>0</v>
      </c>
      <c r="X1386">
        <v>0</v>
      </c>
      <c r="Y1386">
        <v>0</v>
      </c>
      <c r="Z1386">
        <v>0</v>
      </c>
      <c r="AA1386">
        <v>1</v>
      </c>
      <c r="AB1386">
        <v>0</v>
      </c>
      <c r="AC1386">
        <v>0</v>
      </c>
      <c r="AD1386">
        <v>0</v>
      </c>
      <c r="AE1386">
        <v>1</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s="141">
        <f>COUNTIF(V1386:AW1386,"&lt;&gt;0")</f>
        <v>3</v>
      </c>
      <c r="AY1386" s="141">
        <f>COUNTIF(V1386:AL1386,"&lt;&gt;0")</f>
        <v>3</v>
      </c>
      <c r="AZ1386">
        <f>COUNTIF(V1386:AC1386,"&lt;&gt;0")</f>
        <v>2</v>
      </c>
      <c r="BA1386">
        <f>COUNTIF(AD1386:AI1386,"&lt;&gt;0")</f>
        <v>1</v>
      </c>
      <c r="BB1386">
        <f>COUNTIF(AJ1386:AL1386,"&lt;&gt;0")</f>
        <v>0</v>
      </c>
      <c r="BC1386">
        <f>COUNTIF(AS1386:AW1386,"&lt;&gt;0")</f>
        <v>0</v>
      </c>
      <c r="BD1386">
        <f>COUNTIF(AM1386:AR1386,"&lt;&gt;0")</f>
        <v>0</v>
      </c>
      <c r="BE1386" t="str" cm="1">
        <f t="array" ref="BE1386">IF(AY1386=1,INDEX($V$7:$AL$7,MATCH(TRUE,INDEX($V1386:$AW1386&lt;&gt;0,),0)),IF(AY1386=0,INDEX($AM$7:$AW$7,MATCH(1,$AM1386:$AW1386,0)),IF(BF1386="Multiple strategies","mixed drivers",IF(BF1386="Supply chain","multiple supply","multiple silviculture"))))</f>
        <v>mixed drivers</v>
      </c>
      <c r="BF1386" s="2" t="str" cm="1">
        <f t="array" ref="BF1386">IF(COUNTIF(AZ1386:BB1386,"&lt;&gt;0")=1,INDEX($V$4:$AW$4,MATCH(TRUE,INDEX($V1386:$AW1386&lt;&gt;0,),0)),IF(COUNTIF(AZ1386:BB1386,"&lt;&gt;0")=0,INDEX($AM$4:$AW$4,MATCH(1,$AM1386:$AW1386,0)),"Multiple strategies"))</f>
        <v>Multiple strategies</v>
      </c>
      <c r="BG1386" s="1" t="s">
        <v>229</v>
      </c>
      <c r="BH1386" t="s">
        <v>3877</v>
      </c>
      <c r="BI1386" t="s">
        <v>3878</v>
      </c>
      <c r="BK1386">
        <v>1</v>
      </c>
      <c r="BL1386">
        <v>1</v>
      </c>
      <c r="BM1386">
        <v>1</v>
      </c>
      <c r="BN1386">
        <f>BL1386-BK1386</f>
        <v>0</v>
      </c>
      <c r="BO1386">
        <f>BN1386</f>
        <v>0</v>
      </c>
      <c r="BP1386" t="s">
        <v>395</v>
      </c>
      <c r="BR1386" s="312" t="s">
        <v>3879</v>
      </c>
      <c r="BS1386">
        <v>4.0510000000000002</v>
      </c>
      <c r="BT1386">
        <v>4.1040000000000001</v>
      </c>
      <c r="BU1386">
        <v>1.0130831893359664</v>
      </c>
      <c r="BV1386">
        <v>5.2999999999999936E-2</v>
      </c>
      <c r="BX1386">
        <v>5.2999999999999936E-2</v>
      </c>
      <c r="BY1386" t="str">
        <f>IFERROR(BX1386/BO1386,"")</f>
        <v/>
      </c>
      <c r="BZ1386">
        <v>0</v>
      </c>
      <c r="CA1386">
        <v>0</v>
      </c>
      <c r="CB1386">
        <v>0</v>
      </c>
      <c r="CC1386">
        <v>0</v>
      </c>
      <c r="CD1386">
        <v>0</v>
      </c>
      <c r="CE1386">
        <v>0</v>
      </c>
      <c r="CF1386">
        <v>0</v>
      </c>
      <c r="CG1386">
        <v>0</v>
      </c>
      <c r="CH1386">
        <v>0</v>
      </c>
      <c r="CI1386">
        <v>0</v>
      </c>
      <c r="CJ1386">
        <v>0</v>
      </c>
      <c r="CK1386">
        <v>0</v>
      </c>
      <c r="CL1386">
        <v>0</v>
      </c>
      <c r="CM1386">
        <v>0</v>
      </c>
      <c r="CN1386" t="str">
        <f>IF($BL1386&lt;$BK1386,"refNeedCorrection","refOK")</f>
        <v>refOK</v>
      </c>
      <c r="CO1386">
        <f>IF($CN1386="refOK",$BK1386,$BL1386)</f>
        <v>1</v>
      </c>
      <c r="CP1386">
        <f>IF($CN1386="refOK",$BL1386,$BK1386)</f>
        <v>1</v>
      </c>
      <c r="CQ1386">
        <f>IF($CN1386="refOK",$BO1386,-$BO1386)</f>
        <v>0</v>
      </c>
      <c r="CR1386">
        <f>IF($CN1386="refOK",$BS1386,$BT1386)*IF($BP1386="Emissions positive",-1,1)</f>
        <v>-4.0510000000000002</v>
      </c>
      <c r="CS1386">
        <f>IF($CN1386="refOK",$BT1386,$BS1386)*IF($BP1386="Emissions positive",-1,1)</f>
        <v>-4.1040000000000001</v>
      </c>
      <c r="CT1386">
        <f>IF($CN1386="refNeedCorrection",-BX1386,BX1386)*IF($BP1386="Emissions positive",-1,1)</f>
        <v>-5.2999999999999936E-2</v>
      </c>
      <c r="CU1386" t="str">
        <f>IFERROR(CT1386/CQ1386,"")</f>
        <v/>
      </c>
      <c r="CV1386" s="2">
        <f>IFERROR((CS1386-CR1386)/ABS(CR1386),"")</f>
        <v>-1.3083189335966411E-2</v>
      </c>
      <c r="CW1386" s="319" t="s">
        <v>2539</v>
      </c>
      <c r="CX1386" s="312" t="s">
        <v>2539</v>
      </c>
      <c r="CY1386" s="312" t="s">
        <v>2540</v>
      </c>
      <c r="CZ1386">
        <v>2007</v>
      </c>
      <c r="DA1386">
        <v>0</v>
      </c>
      <c r="DB1386">
        <v>0</v>
      </c>
      <c r="DC1386" t="str">
        <f>IF(DB1386=0,"0",IF(AND(DB1386&gt;=1,DB1386&lt;=30),"1-30",IF(AND(DB1386&gt;30,DB1386&lt;=70),"31-70",IF(AND(DB1386&gt;70,DB1386&lt;=100),"71-100",IF(DB1386&gt;100,"+100")))))</f>
        <v>0</v>
      </c>
      <c r="DD1386">
        <v>0</v>
      </c>
      <c r="DE1386">
        <v>0</v>
      </c>
      <c r="DF1386">
        <v>1</v>
      </c>
      <c r="DG1386">
        <v>0</v>
      </c>
      <c r="DH1386">
        <v>0</v>
      </c>
      <c r="DI1386">
        <v>1</v>
      </c>
      <c r="DJ1386" t="str">
        <f>IF(DI1386=1,INDEX($DD$7:$DG$7,MATCH(1,$DD1386:$DG1386,0)),"mixedProduct")</f>
        <v>PulpPaperInput</v>
      </c>
      <c r="DK1386">
        <f>IF(DD1386=1,DK$7,0)</f>
        <v>0</v>
      </c>
      <c r="DL1386">
        <f>IF(DE1386=1,DL$7,0)</f>
        <v>0</v>
      </c>
      <c r="DM1386" t="str">
        <f>IF(DF1386=1,DM$7,0)</f>
        <v>Pulp/Paper</v>
      </c>
      <c r="DN1386">
        <f>IF(DG1386=1,DN$7,0)</f>
        <v>0</v>
      </c>
      <c r="DO1386">
        <v>0</v>
      </c>
      <c r="DP1386">
        <v>0</v>
      </c>
      <c r="DQ1386">
        <v>0</v>
      </c>
      <c r="DR1386">
        <v>0</v>
      </c>
      <c r="DS1386">
        <v>0</v>
      </c>
      <c r="DT1386">
        <f>SUM(DO1386:DP1386)</f>
        <v>0</v>
      </c>
      <c r="DU1386" s="143" t="s">
        <v>962</v>
      </c>
      <c r="DV1386">
        <v>0</v>
      </c>
      <c r="DW1386">
        <v>1</v>
      </c>
      <c r="DX1386">
        <v>1</v>
      </c>
      <c r="DY1386">
        <v>0</v>
      </c>
      <c r="DZ1386">
        <v>0</v>
      </c>
      <c r="EA1386" s="143">
        <v>0</v>
      </c>
      <c r="EB1386">
        <v>0</v>
      </c>
      <c r="EC1386">
        <v>1</v>
      </c>
      <c r="ED1386">
        <v>0</v>
      </c>
      <c r="EE1386">
        <v>0</v>
      </c>
      <c r="EF1386">
        <v>1</v>
      </c>
      <c r="EG1386">
        <v>0</v>
      </c>
      <c r="EH1386">
        <v>0</v>
      </c>
      <c r="EI1386" s="2">
        <v>0</v>
      </c>
      <c r="EK1386" t="str">
        <f>IF(AND(AND(AND(OR($DX1386=1,$DW1386=1),OR($EC1386=1,$EA1386=1)),SUM($DV1386:$DZ1386,$EF1386)&gt;=3),SUM($EA1386:$EE1386)&gt;=2),"Whole sector","")</f>
        <v/>
      </c>
      <c r="EL1386" t="str">
        <f>IF(AND(AND(OR($DX1386=1,$DW1386=1),AND($EC1386=0,$EA1386=0)),SUM($DV1386:$DZ1386,$EF1386)&gt;=3),"Ecosystem approach","")</f>
        <v/>
      </c>
      <c r="EM1386" s="2" t="str">
        <f>IF(AND(AND(AND($DX1386=0,$DW1386=0),OR($EC1386=1,$EA1386=1)),SUM($EB1386:$EE1386)&gt;=2),"Technology approach","")</f>
        <v/>
      </c>
      <c r="EP1386" t="b">
        <f>IF(ISNUMBER(BU1386),IF(ABS(BU1386-[5]QC_indicators!$B$2)&gt;3*[5]QC_indicators!$C$2,"C ratio",IF(ISNUMBER(BY1386),IF(ABS(BY1386-[5]QC_indicators!$B$1)&gt;3*[5]QC_indicators!$C$1,"DF","no"))),IF(ISNUMBER(BY1386),IF(ABS(BY1386-[5]QC_indicators!$B$1)&gt;3*[5]QC_indicators!$C$1,"DF","no")))</f>
        <v>0</v>
      </c>
    </row>
    <row r="1387" spans="1:148" ht="15" customHeight="1">
      <c r="A1387" s="1" t="s">
        <v>667</v>
      </c>
      <c r="B1387" t="s">
        <v>3886</v>
      </c>
      <c r="C1387" t="s">
        <v>3887</v>
      </c>
      <c r="D1387" t="s">
        <v>3888</v>
      </c>
      <c r="E1387" t="s">
        <v>3889</v>
      </c>
      <c r="F1387" t="s">
        <v>3890</v>
      </c>
      <c r="G1387" t="s">
        <v>673</v>
      </c>
      <c r="H1387" t="s">
        <v>254</v>
      </c>
      <c r="I1387">
        <v>2016</v>
      </c>
      <c r="J1387">
        <v>46</v>
      </c>
      <c r="K1387" t="s">
        <v>3891</v>
      </c>
      <c r="M1387" t="str">
        <f>LEFT($D1387,FIND(",",$D1387)-1)&amp;"_"&amp;I1387&amp;L1387</f>
        <v>Penaloza_2016</v>
      </c>
      <c r="N1387" s="312" t="s">
        <v>4383</v>
      </c>
      <c r="O1387" s="171" t="s">
        <v>513</v>
      </c>
      <c r="P1387" t="s">
        <v>513</v>
      </c>
      <c r="Q1387" s="312" t="s">
        <v>389</v>
      </c>
      <c r="R1387" s="313"/>
      <c r="S1387" s="1" t="s">
        <v>3892</v>
      </c>
      <c r="T1387" t="s">
        <v>3893</v>
      </c>
      <c r="U1387" t="s">
        <v>3892</v>
      </c>
      <c r="V1387">
        <v>0</v>
      </c>
      <c r="W1387">
        <v>0</v>
      </c>
      <c r="X1387">
        <v>0</v>
      </c>
      <c r="Y1387">
        <v>0</v>
      </c>
      <c r="Z1387">
        <v>0</v>
      </c>
      <c r="AA1387">
        <v>0</v>
      </c>
      <c r="AB1387">
        <v>0</v>
      </c>
      <c r="AC1387">
        <v>0</v>
      </c>
      <c r="AD1387">
        <v>0</v>
      </c>
      <c r="AE1387">
        <v>0</v>
      </c>
      <c r="AF1387">
        <v>0</v>
      </c>
      <c r="AG1387">
        <v>0</v>
      </c>
      <c r="AH1387">
        <v>0</v>
      </c>
      <c r="AI1387">
        <v>1</v>
      </c>
      <c r="AJ1387">
        <v>0</v>
      </c>
      <c r="AK1387">
        <v>1</v>
      </c>
      <c r="AL1387">
        <v>0</v>
      </c>
      <c r="AM1387">
        <v>0</v>
      </c>
      <c r="AN1387">
        <v>0</v>
      </c>
      <c r="AO1387">
        <v>0</v>
      </c>
      <c r="AP1387">
        <v>0</v>
      </c>
      <c r="AQ1387">
        <v>0</v>
      </c>
      <c r="AR1387">
        <v>0</v>
      </c>
      <c r="AS1387">
        <v>0</v>
      </c>
      <c r="AT1387">
        <v>0</v>
      </c>
      <c r="AU1387">
        <v>0</v>
      </c>
      <c r="AV1387">
        <v>0</v>
      </c>
      <c r="AW1387">
        <v>0</v>
      </c>
      <c r="AX1387" s="141">
        <f>COUNTIF(V1387:AW1387,"&lt;&gt;0")</f>
        <v>2</v>
      </c>
      <c r="AY1387" s="141">
        <f>COUNTIF(V1387:AL1387,"&lt;&gt;0")</f>
        <v>2</v>
      </c>
      <c r="AZ1387">
        <f>COUNTIF(V1387:AC1387,"&lt;&gt;0")</f>
        <v>0</v>
      </c>
      <c r="BA1387">
        <f>COUNTIF(AD1387:AI1387,"&lt;&gt;0")</f>
        <v>1</v>
      </c>
      <c r="BB1387">
        <f>COUNTIF(AJ1387:AL1387,"&lt;&gt;0")</f>
        <v>1</v>
      </c>
      <c r="BC1387">
        <f>COUNTIF(AS1387:AW1387,"&lt;&gt;0")</f>
        <v>0</v>
      </c>
      <c r="BD1387">
        <f>COUNTIF(AM1387:AR1387,"&lt;&gt;0")</f>
        <v>0</v>
      </c>
      <c r="BE1387" t="str" cm="1">
        <f t="array" ref="BE1387">IF(AY1387=1,INDEX($V$7:$AL$7,MATCH(TRUE,INDEX($V1387:$AW1387&lt;&gt;0,),0)),IF(AY1387=0,INDEX($AM$7:$AW$7,MATCH(1,$AM1387:$AW1387,0)),IF(BF1387="Multiple strategies","mixed drivers",IF(BF1387="Supply chain","multiple supply","multiple silviculture"))))</f>
        <v>mixed drivers</v>
      </c>
      <c r="BF1387" s="2" t="str" cm="1">
        <f t="array" ref="BF1387">IF(COUNTIF(AZ1387:BB1387,"&lt;&gt;0")=1,INDEX($V$4:$AW$4,MATCH(TRUE,INDEX($V1387:$AW1387&lt;&gt;0,),0)),IF(COUNTIF(AZ1387:BB1387,"&lt;&gt;0")=0,INDEX($AM$4:$AW$4,MATCH(1,$AM1387:$AW1387,0)),"Multiple strategies"))</f>
        <v>Multiple strategies</v>
      </c>
      <c r="BM1387" t="str">
        <f>IFERROR(BL1387/BK1387,"")</f>
        <v/>
      </c>
      <c r="BP1387" s="312" t="s">
        <v>232</v>
      </c>
      <c r="BR1387" t="s">
        <v>3894</v>
      </c>
      <c r="BS1387">
        <v>-468</v>
      </c>
      <c r="BT1387">
        <v>-197</v>
      </c>
      <c r="BU1387" s="144">
        <f>BT1387/BS1387</f>
        <v>0.42094017094017094</v>
      </c>
      <c r="BV1387">
        <f>BT1387-BS1387</f>
        <v>271</v>
      </c>
      <c r="BX1387">
        <f>BV1387/1000</f>
        <v>0.27100000000000002</v>
      </c>
      <c r="BY1387" t="str">
        <f>IFERROR(BX1387/BO1387,"")</f>
        <v/>
      </c>
      <c r="BZ1387">
        <v>0</v>
      </c>
      <c r="CA1387">
        <v>0</v>
      </c>
      <c r="CB1387">
        <v>0</v>
      </c>
      <c r="CC1387">
        <v>0</v>
      </c>
      <c r="CD1387">
        <v>0</v>
      </c>
      <c r="CE1387">
        <v>0</v>
      </c>
      <c r="CF1387">
        <v>0</v>
      </c>
      <c r="CG1387">
        <v>0</v>
      </c>
      <c r="CH1387">
        <v>0</v>
      </c>
      <c r="CI1387">
        <v>0</v>
      </c>
      <c r="CJ1387">
        <v>0</v>
      </c>
      <c r="CK1387">
        <v>0</v>
      </c>
      <c r="CL1387">
        <v>0</v>
      </c>
      <c r="CM1387">
        <v>0</v>
      </c>
      <c r="CN1387" t="str">
        <f>IF($BL1387&lt;$BK1387,"refNeedCorrection","refOK")</f>
        <v>refOK</v>
      </c>
      <c r="CO1387"/>
      <c r="CP1387"/>
      <c r="CQ1387"/>
      <c r="CR1387">
        <f>IF($CN1387="refOK",$BS1387,$BT1387)*IF($BP1387="Emissions positive",-1,1)</f>
        <v>-468</v>
      </c>
      <c r="CS1387">
        <f>IF($CN1387="refOK",$BT1387,$BS1387)*IF($BP1387="Emissions positive",-1,1)</f>
        <v>-197</v>
      </c>
      <c r="CT1387">
        <f>IF($CN1387="refNeedCorrection",-BX1387,BX1387)*IF($BP1387="Emissions positive",-1,1)</f>
        <v>0.27100000000000002</v>
      </c>
      <c r="CU1387" t="str">
        <f>IFERROR(CT1387/CQ1387,"")</f>
        <v/>
      </c>
      <c r="CV1387" s="2">
        <f>IFERROR((CS1387-CR1387)/ABS(CR1387),"")</f>
        <v>0.57905982905982911</v>
      </c>
      <c r="CW1387" s="1" t="s">
        <v>3797</v>
      </c>
      <c r="CX1387" s="312" t="str">
        <f>IF(OR($CW1387="prd",$CW1387="std",$CW1387="cit"),"loc",IF(OR($CW1387="eur",$CW1387="reg",$CW1387="coy"),"reg",$CW1387))</f>
        <v>reg</v>
      </c>
      <c r="CY1387" t="s">
        <v>3895</v>
      </c>
      <c r="DB1387">
        <v>100</v>
      </c>
      <c r="DC1387" t="str">
        <f>IF(DB1387=0,"0",IF(AND(DB1387&gt;=1,DB1387&lt;=30),"1-30",IF(AND(DB1387&gt;30,DB1387&lt;=70),"31-70",IF(AND(DB1387&gt;70,DB1387&lt;=100),"71-100",IF(DB1387&gt;100,"+100")))))</f>
        <v>71-100</v>
      </c>
      <c r="DD1387">
        <v>0</v>
      </c>
      <c r="DE1387">
        <v>0</v>
      </c>
      <c r="DF1387">
        <v>0</v>
      </c>
      <c r="DG1387">
        <v>1</v>
      </c>
      <c r="DH1387">
        <v>1</v>
      </c>
      <c r="DI1387">
        <f>SUM(DD1387:DH1387)</f>
        <v>2</v>
      </c>
      <c r="DJ1387" t="str">
        <f>IF(DI1387=1,INDEX($DD$7:$DG$7,MATCH(1,$DD1387:$DG1387,0)),"mixedProduct")</f>
        <v>mixedProduct</v>
      </c>
      <c r="DK1387">
        <f>IF(DD1387=1,DK$7,0)</f>
        <v>0</v>
      </c>
      <c r="DL1387">
        <f>IF(DE1387=1,DL$7,0)</f>
        <v>0</v>
      </c>
      <c r="DM1387">
        <f>IF(DF1387=1,DM$7,0)</f>
        <v>0</v>
      </c>
      <c r="DN1387" t="str">
        <f>IF(DG1387=1,DN$7,0)</f>
        <v>Timber</v>
      </c>
      <c r="DO1387">
        <v>0</v>
      </c>
      <c r="DP1387">
        <v>0</v>
      </c>
      <c r="DQ1387">
        <v>0</v>
      </c>
      <c r="DR1387">
        <v>0</v>
      </c>
      <c r="DS1387">
        <v>0</v>
      </c>
      <c r="DT1387"/>
      <c r="DU1387" s="143" t="str">
        <f>IF(DO1387=1,"self-calculated DF",IF(DP1387=1,"external DF used","explicit C balance"))</f>
        <v>explicit C balance</v>
      </c>
      <c r="DV1387">
        <v>0</v>
      </c>
      <c r="DW1387">
        <v>0</v>
      </c>
      <c r="DX1387">
        <v>1</v>
      </c>
      <c r="DY1387">
        <v>1</v>
      </c>
      <c r="DZ1387">
        <v>1</v>
      </c>
      <c r="EA1387">
        <v>1</v>
      </c>
      <c r="EB1387">
        <v>0</v>
      </c>
      <c r="EC1387">
        <v>1</v>
      </c>
      <c r="ED1387">
        <v>1</v>
      </c>
      <c r="EE1387">
        <v>1</v>
      </c>
      <c r="EF1387">
        <v>1</v>
      </c>
      <c r="EG1387">
        <v>1</v>
      </c>
      <c r="EH1387">
        <v>0</v>
      </c>
      <c r="EI1387" s="2">
        <v>0</v>
      </c>
      <c r="EK1387" t="str">
        <f>IF(AND(AND(AND(OR($DX1387=1,$DW1387=1),OR($EC1387=1,$EA1387=1)),SUM($DV1387:$DZ1387,$EF1387)&gt;=3),SUM($EA1387:$EE1387)&gt;=2),"Whole sector","")</f>
        <v>Whole sector</v>
      </c>
      <c r="EL1387" t="str">
        <f>IF(AND(AND(OR($DX1387=1,$DW1387=1),AND($EC1387=0,$EA1387=0)),SUM($DV1387:$DZ1387,$EF1387)&gt;=3),"Ecosystem approach","")</f>
        <v/>
      </c>
      <c r="EM1387" s="2" t="str">
        <f>IF(AND(AND(AND($DX1387=0,$DW1387=0),OR($EC1387=1,$EA1387=1)),SUM($EB1387:$EE1387)&gt;=2),"Technology approach","")</f>
        <v/>
      </c>
      <c r="EP1387" t="b">
        <f>IF(ISNUMBER(BU1387),IF(ABS(BU1387-[5]QC_indicators!$B$2)&gt;3*[5]QC_indicators!$C$2,"C ratio",IF(ISNUMBER(BY1387),IF(ABS(BY1387-[5]QC_indicators!$B$1)&gt;3*[5]QC_indicators!$C$1,"DF","no"))),IF(ISNUMBER(BY1387),IF(ABS(BY1387-[5]QC_indicators!$B$1)&gt;3*[5]QC_indicators!$C$1,"DF","no")))</f>
        <v>0</v>
      </c>
    </row>
    <row r="1388" spans="1:148" ht="15" customHeight="1">
      <c r="A1388" s="1" t="s">
        <v>667</v>
      </c>
      <c r="B1388" t="s">
        <v>3886</v>
      </c>
      <c r="C1388" t="s">
        <v>3887</v>
      </c>
      <c r="D1388" t="s">
        <v>3888</v>
      </c>
      <c r="E1388" s="312" t="s">
        <v>3889</v>
      </c>
      <c r="F1388" t="s">
        <v>3890</v>
      </c>
      <c r="G1388" t="s">
        <v>673</v>
      </c>
      <c r="H1388" t="s">
        <v>254</v>
      </c>
      <c r="I1388">
        <v>2016</v>
      </c>
      <c r="J1388">
        <v>46</v>
      </c>
      <c r="K1388" t="s">
        <v>3891</v>
      </c>
      <c r="M1388" t="str">
        <f>LEFT($D1388,FIND(",",$D1388)-1)&amp;"_"&amp;I1388&amp;L1388</f>
        <v>Penaloza_2016</v>
      </c>
      <c r="N1388" s="312" t="s">
        <v>4383</v>
      </c>
      <c r="O1388" s="171" t="s">
        <v>513</v>
      </c>
      <c r="P1388" t="s">
        <v>513</v>
      </c>
      <c r="Q1388" s="312" t="s">
        <v>389</v>
      </c>
      <c r="R1388" s="313"/>
      <c r="S1388" s="1" t="s">
        <v>3892</v>
      </c>
      <c r="T1388" t="s">
        <v>3893</v>
      </c>
      <c r="U1388" t="s">
        <v>3892</v>
      </c>
      <c r="V1388">
        <v>0</v>
      </c>
      <c r="W1388">
        <v>0</v>
      </c>
      <c r="X1388">
        <v>0</v>
      </c>
      <c r="Y1388">
        <v>0</v>
      </c>
      <c r="Z1388">
        <v>0</v>
      </c>
      <c r="AA1388">
        <v>0</v>
      </c>
      <c r="AB1388">
        <v>0</v>
      </c>
      <c r="AC1388">
        <v>0</v>
      </c>
      <c r="AD1388">
        <v>0</v>
      </c>
      <c r="AE1388">
        <v>0</v>
      </c>
      <c r="AF1388">
        <v>0</v>
      </c>
      <c r="AG1388">
        <v>0</v>
      </c>
      <c r="AH1388">
        <v>0</v>
      </c>
      <c r="AI1388">
        <v>1</v>
      </c>
      <c r="AJ1388">
        <v>0</v>
      </c>
      <c r="AK1388">
        <v>1</v>
      </c>
      <c r="AL1388">
        <v>0</v>
      </c>
      <c r="AM1388">
        <v>0</v>
      </c>
      <c r="AN1388">
        <v>0</v>
      </c>
      <c r="AO1388">
        <v>0</v>
      </c>
      <c r="AP1388">
        <v>0</v>
      </c>
      <c r="AQ1388">
        <v>0</v>
      </c>
      <c r="AR1388">
        <v>0</v>
      </c>
      <c r="AS1388">
        <v>0</v>
      </c>
      <c r="AT1388">
        <v>0</v>
      </c>
      <c r="AU1388">
        <v>0</v>
      </c>
      <c r="AV1388">
        <v>0</v>
      </c>
      <c r="AW1388">
        <v>0</v>
      </c>
      <c r="AX1388" s="141">
        <f>COUNTIF(V1388:AW1388,"&lt;&gt;0")</f>
        <v>2</v>
      </c>
      <c r="AY1388" s="141">
        <f>COUNTIF(V1388:AL1388,"&lt;&gt;0")</f>
        <v>2</v>
      </c>
      <c r="AZ1388">
        <f>COUNTIF(V1388:AC1388,"&lt;&gt;0")</f>
        <v>0</v>
      </c>
      <c r="BA1388">
        <f>COUNTIF(AD1388:AI1388,"&lt;&gt;0")</f>
        <v>1</v>
      </c>
      <c r="BB1388">
        <f>COUNTIF(AJ1388:AL1388,"&lt;&gt;0")</f>
        <v>1</v>
      </c>
      <c r="BC1388">
        <f>COUNTIF(AS1388:AW1388,"&lt;&gt;0")</f>
        <v>0</v>
      </c>
      <c r="BD1388">
        <f>COUNTIF(AM1388:AR1388,"&lt;&gt;0")</f>
        <v>0</v>
      </c>
      <c r="BE1388" t="str" cm="1">
        <f t="array" ref="BE1388">IF(AY1388=1,INDEX($V$7:$AL$7,MATCH(TRUE,INDEX($V1388:$AW1388&lt;&gt;0,),0)),IF(AY1388=0,INDEX($AM$7:$AW$7,MATCH(1,$AM1388:$AW1388,0)),IF(BF1388="Multiple strategies","mixed drivers",IF(BF1388="Supply chain","multiple supply","multiple silviculture"))))</f>
        <v>mixed drivers</v>
      </c>
      <c r="BF1388" s="2" t="str" cm="1">
        <f t="array" ref="BF1388">IF(COUNTIF(AZ1388:BB1388,"&lt;&gt;0")=1,INDEX($V$4:$AW$4,MATCH(TRUE,INDEX($V1388:$AW1388&lt;&gt;0,),0)),IF(COUNTIF(AZ1388:BB1388,"&lt;&gt;0")=0,INDEX($AM$4:$AW$4,MATCH(1,$AM1388:$AW1388,0)),"Multiple strategies"))</f>
        <v>Multiple strategies</v>
      </c>
      <c r="BM1388" t="str">
        <f>IFERROR(BL1388/BK1388,"")</f>
        <v/>
      </c>
      <c r="BP1388" s="312" t="s">
        <v>232</v>
      </c>
      <c r="BR1388" t="s">
        <v>3894</v>
      </c>
      <c r="BS1388">
        <v>-479</v>
      </c>
      <c r="BT1388">
        <v>-215</v>
      </c>
      <c r="BU1388" s="144">
        <f>BT1388/BS1388</f>
        <v>0.44885177453027142</v>
      </c>
      <c r="BV1388">
        <f>BT1388-BS1388</f>
        <v>264</v>
      </c>
      <c r="BX1388">
        <f>BV1388/1000</f>
        <v>0.26400000000000001</v>
      </c>
      <c r="BY1388" t="str">
        <f>IFERROR(BX1388/BO1388,"")</f>
        <v/>
      </c>
      <c r="BZ1388">
        <v>0</v>
      </c>
      <c r="CA1388">
        <v>0</v>
      </c>
      <c r="CB1388">
        <v>0</v>
      </c>
      <c r="CC1388">
        <v>0</v>
      </c>
      <c r="CD1388">
        <v>0</v>
      </c>
      <c r="CE1388">
        <v>0</v>
      </c>
      <c r="CF1388">
        <v>0</v>
      </c>
      <c r="CG1388">
        <v>0</v>
      </c>
      <c r="CH1388">
        <v>0</v>
      </c>
      <c r="CI1388">
        <v>0</v>
      </c>
      <c r="CJ1388">
        <v>0</v>
      </c>
      <c r="CK1388">
        <v>0</v>
      </c>
      <c r="CL1388">
        <v>0</v>
      </c>
      <c r="CM1388">
        <v>0</v>
      </c>
      <c r="CN1388" t="str">
        <f>IF($BL1388&lt;$BK1388,"refNeedCorrection","refOK")</f>
        <v>refOK</v>
      </c>
      <c r="CO1388"/>
      <c r="CP1388"/>
      <c r="CQ1388"/>
      <c r="CR1388">
        <f>IF($CN1388="refOK",$BS1388,$BT1388)*IF($BP1388="Emissions positive",-1,1)</f>
        <v>-479</v>
      </c>
      <c r="CS1388">
        <f>IF($CN1388="refOK",$BT1388,$BS1388)*IF($BP1388="Emissions positive",-1,1)</f>
        <v>-215</v>
      </c>
      <c r="CT1388">
        <f>IF($CN1388="refNeedCorrection",-BX1388,BX1388)*IF($BP1388="Emissions positive",-1,1)</f>
        <v>0.26400000000000001</v>
      </c>
      <c r="CU1388" t="str">
        <f>IFERROR(CT1388/CQ1388,"")</f>
        <v/>
      </c>
      <c r="CV1388" s="2">
        <f>IFERROR((CS1388-CR1388)/ABS(CR1388),"")</f>
        <v>0.55114822546972864</v>
      </c>
      <c r="CW1388" s="1" t="s">
        <v>3797</v>
      </c>
      <c r="CX1388" s="312" t="str">
        <f>IF(OR($CW1388="prd",$CW1388="std",$CW1388="cit"),"loc",IF(OR($CW1388="eur",$CW1388="reg",$CW1388="coy"),"reg",$CW1388))</f>
        <v>reg</v>
      </c>
      <c r="CY1388" t="s">
        <v>3895</v>
      </c>
      <c r="DB1388">
        <v>300</v>
      </c>
      <c r="DC1388" t="str">
        <f>IF(DB1388=0,"0",IF(AND(DB1388&gt;=1,DB1388&lt;=30),"1-30",IF(AND(DB1388&gt;30,DB1388&lt;=70),"31-70",IF(AND(DB1388&gt;70,DB1388&lt;=100),"71-100",IF(DB1388&gt;100,"+100")))))</f>
        <v>+100</v>
      </c>
      <c r="DD1388">
        <v>0</v>
      </c>
      <c r="DE1388">
        <v>0</v>
      </c>
      <c r="DF1388">
        <v>0</v>
      </c>
      <c r="DG1388">
        <v>1</v>
      </c>
      <c r="DH1388">
        <v>1</v>
      </c>
      <c r="DI1388">
        <f>SUM(DD1388:DH1388)</f>
        <v>2</v>
      </c>
      <c r="DJ1388" t="str">
        <f>IF(DI1388=1,INDEX($DD$7:$DG$7,MATCH(1,$DD1388:$DG1388,0)),"mixedProduct")</f>
        <v>mixedProduct</v>
      </c>
      <c r="DK1388">
        <f>IF(DD1388=1,DK$7,0)</f>
        <v>0</v>
      </c>
      <c r="DL1388">
        <f>IF(DE1388=1,DL$7,0)</f>
        <v>0</v>
      </c>
      <c r="DM1388">
        <f>IF(DF1388=1,DM$7,0)</f>
        <v>0</v>
      </c>
      <c r="DN1388" t="str">
        <f>IF(DG1388=1,DN$7,0)</f>
        <v>Timber</v>
      </c>
      <c r="DO1388">
        <v>0</v>
      </c>
      <c r="DP1388">
        <v>0</v>
      </c>
      <c r="DQ1388">
        <v>0</v>
      </c>
      <c r="DR1388">
        <v>0</v>
      </c>
      <c r="DS1388">
        <v>0</v>
      </c>
      <c r="DT1388"/>
      <c r="DU1388" s="143" t="str">
        <f>IF(DO1388=1,"self-calculated DF",IF(DP1388=1,"external DF used","explicit C balance"))</f>
        <v>explicit C balance</v>
      </c>
      <c r="DV1388">
        <v>0</v>
      </c>
      <c r="DW1388">
        <v>0</v>
      </c>
      <c r="DX1388">
        <v>1</v>
      </c>
      <c r="DY1388">
        <v>1</v>
      </c>
      <c r="DZ1388">
        <v>1</v>
      </c>
      <c r="EA1388">
        <v>1</v>
      </c>
      <c r="EB1388">
        <v>0</v>
      </c>
      <c r="EC1388">
        <v>1</v>
      </c>
      <c r="ED1388">
        <v>1</v>
      </c>
      <c r="EE1388">
        <v>1</v>
      </c>
      <c r="EF1388">
        <v>1</v>
      </c>
      <c r="EG1388">
        <v>1</v>
      </c>
      <c r="EH1388">
        <v>0</v>
      </c>
      <c r="EI1388" s="2">
        <v>0</v>
      </c>
      <c r="EK1388" t="str">
        <f>IF(AND(AND(AND(OR($DX1388=1,$DW1388=1),OR($EC1388=1,$EA1388=1)),SUM($DV1388:$DZ1388,$EF1388)&gt;=3),SUM($EA1388:$EE1388)&gt;=2),"Whole sector","")</f>
        <v>Whole sector</v>
      </c>
      <c r="EL1388" t="str">
        <f>IF(AND(AND(OR($DX1388=1,$DW1388=1),AND($EC1388=0,$EA1388=0)),SUM($DV1388:$DZ1388,$EF1388)&gt;=3),"Ecosystem approach","")</f>
        <v/>
      </c>
      <c r="EM1388" s="2" t="str">
        <f>IF(AND(AND(AND($DX1388=0,$DW1388=0),OR($EC1388=1,$EA1388=1)),SUM($EB1388:$EE1388)&gt;=2),"Technology approach","")</f>
        <v/>
      </c>
      <c r="EP1388" t="b">
        <f>IF(ISNUMBER(BU1388),IF(ABS(BU1388-[5]QC_indicators!$B$2)&gt;3*[5]QC_indicators!$C$2,"C ratio",IF(ISNUMBER(BY1388),IF(ABS(BY1388-[5]QC_indicators!$B$1)&gt;3*[5]QC_indicators!$C$1,"DF","no"))),IF(ISNUMBER(BY1388),IF(ABS(BY1388-[5]QC_indicators!$B$1)&gt;3*[5]QC_indicators!$C$1,"DF","no")))</f>
        <v>0</v>
      </c>
    </row>
    <row r="1389" spans="1:148" ht="15" customHeight="1">
      <c r="A1389" s="1" t="s">
        <v>667</v>
      </c>
      <c r="B1389" t="s">
        <v>3886</v>
      </c>
      <c r="C1389" t="s">
        <v>3887</v>
      </c>
      <c r="D1389" t="s">
        <v>3888</v>
      </c>
      <c r="E1389" t="s">
        <v>3889</v>
      </c>
      <c r="F1389" t="s">
        <v>3890</v>
      </c>
      <c r="G1389" t="s">
        <v>673</v>
      </c>
      <c r="H1389" t="s">
        <v>254</v>
      </c>
      <c r="I1389">
        <v>2016</v>
      </c>
      <c r="J1389">
        <v>46</v>
      </c>
      <c r="K1389" t="s">
        <v>3891</v>
      </c>
      <c r="M1389" t="str">
        <f>LEFT($D1389,FIND(",",$D1389)-1)&amp;"_"&amp;I1389&amp;L1389</f>
        <v>Penaloza_2016</v>
      </c>
      <c r="N1389" s="312" t="s">
        <v>4383</v>
      </c>
      <c r="O1389" s="171" t="s">
        <v>513</v>
      </c>
      <c r="P1389" t="s">
        <v>513</v>
      </c>
      <c r="Q1389" s="312" t="s">
        <v>389</v>
      </c>
      <c r="R1389" s="313"/>
      <c r="S1389" s="1" t="s">
        <v>3896</v>
      </c>
      <c r="T1389" t="s">
        <v>3897</v>
      </c>
      <c r="U1389" t="s">
        <v>3896</v>
      </c>
      <c r="V1389">
        <v>0</v>
      </c>
      <c r="W1389">
        <v>0</v>
      </c>
      <c r="X1389">
        <v>0</v>
      </c>
      <c r="Y1389">
        <v>0</v>
      </c>
      <c r="Z1389">
        <v>0</v>
      </c>
      <c r="AA1389">
        <v>0</v>
      </c>
      <c r="AB1389">
        <v>0</v>
      </c>
      <c r="AC1389">
        <v>0</v>
      </c>
      <c r="AD1389">
        <v>0</v>
      </c>
      <c r="AE1389">
        <v>0</v>
      </c>
      <c r="AF1389">
        <v>0</v>
      </c>
      <c r="AG1389">
        <v>0</v>
      </c>
      <c r="AH1389">
        <v>1</v>
      </c>
      <c r="AI1389">
        <v>0</v>
      </c>
      <c r="AJ1389">
        <v>0</v>
      </c>
      <c r="AK1389">
        <v>1</v>
      </c>
      <c r="AL1389">
        <v>0</v>
      </c>
      <c r="AM1389">
        <v>0</v>
      </c>
      <c r="AN1389">
        <v>0</v>
      </c>
      <c r="AO1389">
        <v>0</v>
      </c>
      <c r="AP1389">
        <v>0</v>
      </c>
      <c r="AQ1389">
        <v>0</v>
      </c>
      <c r="AR1389">
        <v>0</v>
      </c>
      <c r="AS1389">
        <v>0</v>
      </c>
      <c r="AT1389">
        <v>0</v>
      </c>
      <c r="AU1389">
        <v>0</v>
      </c>
      <c r="AV1389">
        <v>0</v>
      </c>
      <c r="AW1389">
        <v>0</v>
      </c>
      <c r="AX1389" s="141">
        <f>COUNTIF(V1389:AW1389,"&lt;&gt;0")</f>
        <v>2</v>
      </c>
      <c r="AY1389" s="141">
        <f>COUNTIF(V1389:AL1389,"&lt;&gt;0")</f>
        <v>2</v>
      </c>
      <c r="AZ1389">
        <f>COUNTIF(V1389:AC1389,"&lt;&gt;0")</f>
        <v>0</v>
      </c>
      <c r="BA1389">
        <f>COUNTIF(AD1389:AI1389,"&lt;&gt;0")</f>
        <v>1</v>
      </c>
      <c r="BB1389">
        <f>COUNTIF(AJ1389:AL1389,"&lt;&gt;0")</f>
        <v>1</v>
      </c>
      <c r="BC1389">
        <f>COUNTIF(AS1389:AW1389,"&lt;&gt;0")</f>
        <v>0</v>
      </c>
      <c r="BD1389">
        <f>COUNTIF(AM1389:AR1389,"&lt;&gt;0")</f>
        <v>0</v>
      </c>
      <c r="BE1389" t="str" cm="1">
        <f t="array" ref="BE1389">IF(AY1389=1,INDEX($V$7:$AL$7,MATCH(TRUE,INDEX($V1389:$AW1389&lt;&gt;0,),0)),IF(AY1389=0,INDEX($AM$7:$AW$7,MATCH(1,$AM1389:$AW1389,0)),IF(BF1389="Multiple strategies","mixed drivers",IF(BF1389="Supply chain","multiple supply","multiple silviculture"))))</f>
        <v>mixed drivers</v>
      </c>
      <c r="BF1389" s="2" t="str" cm="1">
        <f t="array" ref="BF1389">IF(COUNTIF(AZ1389:BB1389,"&lt;&gt;0")=1,INDEX($V$4:$AW$4,MATCH(TRUE,INDEX($V1389:$AW1389&lt;&gt;0,),0)),IF(COUNTIF(AZ1389:BB1389,"&lt;&gt;0")=0,INDEX($AM$4:$AW$4,MATCH(1,$AM1389:$AW1389,0)),"Multiple strategies"))</f>
        <v>Multiple strategies</v>
      </c>
      <c r="BM1389" t="str">
        <f>IFERROR(BL1389/BK1389,"")</f>
        <v/>
      </c>
      <c r="BP1389" s="312" t="s">
        <v>232</v>
      </c>
      <c r="BR1389" t="s">
        <v>3894</v>
      </c>
      <c r="BS1389">
        <v>-462</v>
      </c>
      <c r="BT1389">
        <v>-149</v>
      </c>
      <c r="BU1389" s="144">
        <f>BT1389/BS1389</f>
        <v>0.32251082251082253</v>
      </c>
      <c r="BV1389">
        <f>BT1389-BS1389</f>
        <v>313</v>
      </c>
      <c r="BX1389">
        <f>BV1389/1000</f>
        <v>0.313</v>
      </c>
      <c r="BY1389" t="str">
        <f>IFERROR(BX1389/BO1389,"")</f>
        <v/>
      </c>
      <c r="BZ1389">
        <v>0</v>
      </c>
      <c r="CA1389">
        <v>0</v>
      </c>
      <c r="CB1389">
        <v>0</v>
      </c>
      <c r="CC1389">
        <v>0</v>
      </c>
      <c r="CD1389">
        <v>0</v>
      </c>
      <c r="CE1389">
        <v>0</v>
      </c>
      <c r="CF1389">
        <v>0</v>
      </c>
      <c r="CG1389">
        <v>0</v>
      </c>
      <c r="CH1389">
        <v>0</v>
      </c>
      <c r="CI1389">
        <v>0</v>
      </c>
      <c r="CJ1389">
        <v>0</v>
      </c>
      <c r="CK1389">
        <v>0</v>
      </c>
      <c r="CL1389">
        <v>0</v>
      </c>
      <c r="CM1389">
        <v>0</v>
      </c>
      <c r="CN1389" t="str">
        <f>IF($BL1389&lt;$BK1389,"refNeedCorrection","refOK")</f>
        <v>refOK</v>
      </c>
      <c r="CO1389"/>
      <c r="CP1389"/>
      <c r="CQ1389"/>
      <c r="CR1389">
        <f>IF($CN1389="refOK",$BS1389,$BT1389)*IF($BP1389="Emissions positive",-1,1)</f>
        <v>-462</v>
      </c>
      <c r="CS1389">
        <f>IF($CN1389="refOK",$BT1389,$BS1389)*IF($BP1389="Emissions positive",-1,1)</f>
        <v>-149</v>
      </c>
      <c r="CT1389">
        <f>IF($CN1389="refNeedCorrection",-BX1389,BX1389)*IF($BP1389="Emissions positive",-1,1)</f>
        <v>0.313</v>
      </c>
      <c r="CU1389" t="str">
        <f>IFERROR(CT1389/CQ1389,"")</f>
        <v/>
      </c>
      <c r="CV1389" s="2">
        <f>IFERROR((CS1389-CR1389)/ABS(CR1389),"")</f>
        <v>0.67748917748917747</v>
      </c>
      <c r="CW1389" s="1" t="s">
        <v>3797</v>
      </c>
      <c r="CX1389" s="312" t="str">
        <f>IF(OR($CW1389="prd",$CW1389="std",$CW1389="cit"),"loc",IF(OR($CW1389="eur",$CW1389="reg",$CW1389="coy"),"reg",$CW1389))</f>
        <v>reg</v>
      </c>
      <c r="CY1389" t="s">
        <v>3895</v>
      </c>
      <c r="DB1389">
        <v>100</v>
      </c>
      <c r="DC1389" t="str">
        <f>IF(DB1389=0,"0",IF(AND(DB1389&gt;=1,DB1389&lt;=30),"1-30",IF(AND(DB1389&gt;30,DB1389&lt;=70),"31-70",IF(AND(DB1389&gt;70,DB1389&lt;=100),"71-100",IF(DB1389&gt;100,"+100")))))</f>
        <v>71-100</v>
      </c>
      <c r="DD1389">
        <v>0</v>
      </c>
      <c r="DE1389">
        <v>0</v>
      </c>
      <c r="DF1389">
        <v>0</v>
      </c>
      <c r="DG1389">
        <v>1</v>
      </c>
      <c r="DH1389">
        <v>1</v>
      </c>
      <c r="DI1389">
        <f>SUM(DD1389:DH1389)</f>
        <v>2</v>
      </c>
      <c r="DJ1389" t="str">
        <f>IF(DI1389=1,INDEX($DD$7:$DG$7,MATCH(1,$DD1389:$DG1389,0)),"mixedProduct")</f>
        <v>mixedProduct</v>
      </c>
      <c r="DK1389">
        <f>IF(DD1389=1,DK$7,0)</f>
        <v>0</v>
      </c>
      <c r="DL1389">
        <f>IF(DE1389=1,DL$7,0)</f>
        <v>0</v>
      </c>
      <c r="DM1389">
        <f>IF(DF1389=1,DM$7,0)</f>
        <v>0</v>
      </c>
      <c r="DN1389" t="str">
        <f>IF(DG1389=1,DN$7,0)</f>
        <v>Timber</v>
      </c>
      <c r="DO1389">
        <v>0</v>
      </c>
      <c r="DP1389">
        <v>0</v>
      </c>
      <c r="DQ1389">
        <v>0</v>
      </c>
      <c r="DR1389">
        <v>0</v>
      </c>
      <c r="DS1389">
        <v>0</v>
      </c>
      <c r="DT1389"/>
      <c r="DU1389" s="143" t="str">
        <f>IF(DO1389=1,"self-calculated DF",IF(DP1389=1,"external DF used","explicit C balance"))</f>
        <v>explicit C balance</v>
      </c>
      <c r="DV1389">
        <v>0</v>
      </c>
      <c r="DW1389">
        <v>0</v>
      </c>
      <c r="DX1389">
        <v>1</v>
      </c>
      <c r="DY1389">
        <v>1</v>
      </c>
      <c r="DZ1389">
        <v>1</v>
      </c>
      <c r="EA1389">
        <v>1</v>
      </c>
      <c r="EB1389">
        <v>0</v>
      </c>
      <c r="EC1389">
        <v>1</v>
      </c>
      <c r="ED1389">
        <v>1</v>
      </c>
      <c r="EE1389">
        <v>1</v>
      </c>
      <c r="EF1389">
        <v>1</v>
      </c>
      <c r="EG1389">
        <v>1</v>
      </c>
      <c r="EH1389">
        <v>0</v>
      </c>
      <c r="EI1389" s="2">
        <v>0</v>
      </c>
      <c r="EK1389" t="str">
        <f>IF(AND(AND(AND(OR($DX1389=1,$DW1389=1),OR($EC1389=1,$EA1389=1)),SUM($DV1389:$DZ1389,$EF1389)&gt;=3),SUM($EA1389:$EE1389)&gt;=2),"Whole sector","")</f>
        <v>Whole sector</v>
      </c>
      <c r="EL1389" t="str">
        <f>IF(AND(AND(OR($DX1389=1,$DW1389=1),AND($EC1389=0,$EA1389=0)),SUM($DV1389:$DZ1389,$EF1389)&gt;=3),"Ecosystem approach","")</f>
        <v/>
      </c>
      <c r="EM1389" s="2" t="str">
        <f>IF(AND(AND(AND($DX1389=0,$DW1389=0),OR($EC1389=1,$EA1389=1)),SUM($EB1389:$EE1389)&gt;=2),"Technology approach","")</f>
        <v/>
      </c>
      <c r="EP1389" t="b">
        <f>IF(ISNUMBER(BU1389),IF(ABS(BU1389-[5]QC_indicators!$B$2)&gt;3*[5]QC_indicators!$C$2,"C ratio",IF(ISNUMBER(BY1389),IF(ABS(BY1389-[5]QC_indicators!$B$1)&gt;3*[5]QC_indicators!$C$1,"DF","no"))),IF(ISNUMBER(BY1389),IF(ABS(BY1389-[5]QC_indicators!$B$1)&gt;3*[5]QC_indicators!$C$1,"DF","no")))</f>
        <v>0</v>
      </c>
    </row>
    <row r="1390" spans="1:148" ht="15" customHeight="1">
      <c r="A1390" s="1" t="s">
        <v>667</v>
      </c>
      <c r="B1390" t="s">
        <v>3886</v>
      </c>
      <c r="C1390" t="s">
        <v>3887</v>
      </c>
      <c r="D1390" t="s">
        <v>3888</v>
      </c>
      <c r="E1390" t="s">
        <v>3889</v>
      </c>
      <c r="F1390" t="s">
        <v>3890</v>
      </c>
      <c r="G1390" t="s">
        <v>673</v>
      </c>
      <c r="H1390" t="s">
        <v>254</v>
      </c>
      <c r="I1390">
        <v>2016</v>
      </c>
      <c r="J1390">
        <v>46</v>
      </c>
      <c r="K1390" t="s">
        <v>3891</v>
      </c>
      <c r="M1390" t="str">
        <f>LEFT($D1390,FIND(",",$D1390)-1)&amp;"_"&amp;I1390&amp;L1390</f>
        <v>Penaloza_2016</v>
      </c>
      <c r="N1390" s="312" t="s">
        <v>4383</v>
      </c>
      <c r="O1390" s="171" t="s">
        <v>513</v>
      </c>
      <c r="P1390" t="s">
        <v>513</v>
      </c>
      <c r="Q1390" s="312" t="s">
        <v>389</v>
      </c>
      <c r="R1390" s="313"/>
      <c r="S1390" s="1" t="s">
        <v>3896</v>
      </c>
      <c r="T1390" t="s">
        <v>3897</v>
      </c>
      <c r="U1390" t="s">
        <v>3896</v>
      </c>
      <c r="V1390">
        <v>0</v>
      </c>
      <c r="W1390">
        <v>0</v>
      </c>
      <c r="X1390">
        <v>0</v>
      </c>
      <c r="Y1390">
        <v>0</v>
      </c>
      <c r="Z1390">
        <v>0</v>
      </c>
      <c r="AA1390">
        <v>0</v>
      </c>
      <c r="AB1390">
        <v>0</v>
      </c>
      <c r="AC1390">
        <v>0</v>
      </c>
      <c r="AD1390">
        <v>0</v>
      </c>
      <c r="AE1390">
        <v>0</v>
      </c>
      <c r="AF1390">
        <v>0</v>
      </c>
      <c r="AG1390">
        <v>0</v>
      </c>
      <c r="AH1390">
        <v>1</v>
      </c>
      <c r="AI1390">
        <v>0</v>
      </c>
      <c r="AJ1390">
        <v>0</v>
      </c>
      <c r="AK1390">
        <v>1</v>
      </c>
      <c r="AL1390">
        <v>0</v>
      </c>
      <c r="AM1390">
        <v>0</v>
      </c>
      <c r="AN1390">
        <v>0</v>
      </c>
      <c r="AO1390">
        <v>0</v>
      </c>
      <c r="AP1390">
        <v>0</v>
      </c>
      <c r="AQ1390">
        <v>0</v>
      </c>
      <c r="AR1390">
        <v>0</v>
      </c>
      <c r="AS1390">
        <v>0</v>
      </c>
      <c r="AT1390">
        <v>0</v>
      </c>
      <c r="AU1390">
        <v>0</v>
      </c>
      <c r="AV1390">
        <v>0</v>
      </c>
      <c r="AW1390">
        <v>0</v>
      </c>
      <c r="AX1390" s="141">
        <f>COUNTIF(V1390:AW1390,"&lt;&gt;0")</f>
        <v>2</v>
      </c>
      <c r="AY1390" s="141">
        <f>COUNTIF(V1390:AL1390,"&lt;&gt;0")</f>
        <v>2</v>
      </c>
      <c r="AZ1390">
        <f>COUNTIF(V1390:AC1390,"&lt;&gt;0")</f>
        <v>0</v>
      </c>
      <c r="BA1390">
        <f>COUNTIF(AD1390:AI1390,"&lt;&gt;0")</f>
        <v>1</v>
      </c>
      <c r="BB1390">
        <f>COUNTIF(AJ1390:AL1390,"&lt;&gt;0")</f>
        <v>1</v>
      </c>
      <c r="BC1390">
        <f>COUNTIF(AS1390:AW1390,"&lt;&gt;0")</f>
        <v>0</v>
      </c>
      <c r="BD1390">
        <f>COUNTIF(AM1390:AR1390,"&lt;&gt;0")</f>
        <v>0</v>
      </c>
      <c r="BE1390" t="str" cm="1">
        <f t="array" ref="BE1390">IF(AY1390=1,INDEX($V$7:$AL$7,MATCH(TRUE,INDEX($V1390:$AW1390&lt;&gt;0,),0)),IF(AY1390=0,INDEX($AM$7:$AW$7,MATCH(1,$AM1390:$AW1390,0)),IF(BF1390="Multiple strategies","mixed drivers",IF(BF1390="Supply chain","multiple supply","multiple silviculture"))))</f>
        <v>mixed drivers</v>
      </c>
      <c r="BF1390" s="2" t="str" cm="1">
        <f t="array" ref="BF1390">IF(COUNTIF(AZ1390:BB1390,"&lt;&gt;0")=1,INDEX($V$4:$AW$4,MATCH(TRUE,INDEX($V1390:$AW1390&lt;&gt;0,),0)),IF(COUNTIF(AZ1390:BB1390,"&lt;&gt;0")=0,INDEX($AM$4:$AW$4,MATCH(1,$AM1390:$AW1390,0)),"Multiple strategies"))</f>
        <v>Multiple strategies</v>
      </c>
      <c r="BM1390" t="str">
        <f>IFERROR(BL1390/BK1390,"")</f>
        <v/>
      </c>
      <c r="BP1390" s="312" t="s">
        <v>232</v>
      </c>
      <c r="BR1390" t="s">
        <v>3894</v>
      </c>
      <c r="BS1390">
        <v>-462</v>
      </c>
      <c r="BT1390">
        <v>-196</v>
      </c>
      <c r="BU1390" s="144">
        <f>BT1390/BS1390</f>
        <v>0.42424242424242425</v>
      </c>
      <c r="BV1390">
        <f>BT1390-BS1390</f>
        <v>266</v>
      </c>
      <c r="BX1390">
        <f>BV1390/1000</f>
        <v>0.26600000000000001</v>
      </c>
      <c r="BY1390" t="str">
        <f>IFERROR(BX1390/BO1390,"")</f>
        <v/>
      </c>
      <c r="BZ1390">
        <v>0</v>
      </c>
      <c r="CA1390">
        <v>0</v>
      </c>
      <c r="CB1390">
        <v>0</v>
      </c>
      <c r="CC1390">
        <v>0</v>
      </c>
      <c r="CD1390">
        <v>0</v>
      </c>
      <c r="CE1390">
        <v>0</v>
      </c>
      <c r="CF1390">
        <v>0</v>
      </c>
      <c r="CG1390">
        <v>0</v>
      </c>
      <c r="CH1390">
        <v>0</v>
      </c>
      <c r="CI1390">
        <v>0</v>
      </c>
      <c r="CJ1390">
        <v>0</v>
      </c>
      <c r="CK1390">
        <v>0</v>
      </c>
      <c r="CL1390">
        <v>0</v>
      </c>
      <c r="CM1390">
        <v>0</v>
      </c>
      <c r="CN1390" t="str">
        <f>IF($BL1390&lt;$BK1390,"refNeedCorrection","refOK")</f>
        <v>refOK</v>
      </c>
      <c r="CO1390"/>
      <c r="CP1390"/>
      <c r="CQ1390"/>
      <c r="CR1390">
        <f>IF($CN1390="refOK",$BS1390,$BT1390)*IF($BP1390="Emissions positive",-1,1)</f>
        <v>-462</v>
      </c>
      <c r="CS1390">
        <f>IF($CN1390="refOK",$BT1390,$BS1390)*IF($BP1390="Emissions positive",-1,1)</f>
        <v>-196</v>
      </c>
      <c r="CT1390">
        <f>IF($CN1390="refNeedCorrection",-BX1390,BX1390)*IF($BP1390="Emissions positive",-1,1)</f>
        <v>0.26600000000000001</v>
      </c>
      <c r="CU1390" t="str">
        <f>IFERROR(CT1390/CQ1390,"")</f>
        <v/>
      </c>
      <c r="CV1390" s="2">
        <f>IFERROR((CS1390-CR1390)/ABS(CR1390),"")</f>
        <v>0.5757575757575758</v>
      </c>
      <c r="CW1390" s="1" t="s">
        <v>3797</v>
      </c>
      <c r="CX1390" s="312" t="str">
        <f>IF(OR($CW1390="prd",$CW1390="std",$CW1390="cit"),"loc",IF(OR($CW1390="eur",$CW1390="reg",$CW1390="coy"),"reg",$CW1390))</f>
        <v>reg</v>
      </c>
      <c r="CY1390" t="s">
        <v>3895</v>
      </c>
      <c r="DB1390">
        <v>300</v>
      </c>
      <c r="DC1390" t="str">
        <f>IF(DB1390=0,"0",IF(AND(DB1390&gt;=1,DB1390&lt;=30),"1-30",IF(AND(DB1390&gt;30,DB1390&lt;=70),"31-70",IF(AND(DB1390&gt;70,DB1390&lt;=100),"71-100",IF(DB1390&gt;100,"+100")))))</f>
        <v>+100</v>
      </c>
      <c r="DD1390">
        <v>0</v>
      </c>
      <c r="DE1390">
        <v>0</v>
      </c>
      <c r="DF1390">
        <v>0</v>
      </c>
      <c r="DG1390">
        <v>1</v>
      </c>
      <c r="DH1390">
        <v>1</v>
      </c>
      <c r="DI1390">
        <f>SUM(DD1390:DH1390)</f>
        <v>2</v>
      </c>
      <c r="DJ1390" t="str">
        <f>IF(DI1390=1,INDEX($DD$7:$DG$7,MATCH(1,$DD1390:$DG1390,0)),"mixedProduct")</f>
        <v>mixedProduct</v>
      </c>
      <c r="DK1390">
        <f>IF(DD1390=1,DK$7,0)</f>
        <v>0</v>
      </c>
      <c r="DL1390">
        <f>IF(DE1390=1,DL$7,0)</f>
        <v>0</v>
      </c>
      <c r="DM1390">
        <f>IF(DF1390=1,DM$7,0)</f>
        <v>0</v>
      </c>
      <c r="DN1390" t="str">
        <f>IF(DG1390=1,DN$7,0)</f>
        <v>Timber</v>
      </c>
      <c r="DO1390">
        <v>0</v>
      </c>
      <c r="DP1390">
        <v>0</v>
      </c>
      <c r="DQ1390">
        <v>0</v>
      </c>
      <c r="DR1390">
        <v>0</v>
      </c>
      <c r="DS1390">
        <v>0</v>
      </c>
      <c r="DT1390"/>
      <c r="DU1390" s="143" t="str">
        <f>IF(DO1390=1,"self-calculated DF",IF(DP1390=1,"external DF used","explicit C balance"))</f>
        <v>explicit C balance</v>
      </c>
      <c r="DV1390">
        <v>0</v>
      </c>
      <c r="DW1390">
        <v>0</v>
      </c>
      <c r="DX1390">
        <v>1</v>
      </c>
      <c r="DY1390">
        <v>1</v>
      </c>
      <c r="DZ1390">
        <v>1</v>
      </c>
      <c r="EA1390">
        <v>1</v>
      </c>
      <c r="EB1390">
        <v>0</v>
      </c>
      <c r="EC1390">
        <v>1</v>
      </c>
      <c r="ED1390">
        <v>1</v>
      </c>
      <c r="EE1390">
        <v>1</v>
      </c>
      <c r="EF1390">
        <v>1</v>
      </c>
      <c r="EG1390">
        <v>1</v>
      </c>
      <c r="EH1390">
        <v>0</v>
      </c>
      <c r="EI1390" s="2">
        <v>0</v>
      </c>
      <c r="EK1390" t="str">
        <f>IF(AND(AND(AND(OR($DX1390=1,$DW1390=1),OR($EC1390=1,$EA1390=1)),SUM($DV1390:$DZ1390,$EF1390)&gt;=3),SUM($EA1390:$EE1390)&gt;=2),"Whole sector","")</f>
        <v>Whole sector</v>
      </c>
      <c r="EL1390" t="str">
        <f>IF(AND(AND(OR($DX1390=1,$DW1390=1),AND($EC1390=0,$EA1390=0)),SUM($DV1390:$DZ1390,$EF1390)&gt;=3),"Ecosystem approach","")</f>
        <v/>
      </c>
      <c r="EM1390" s="2" t="str">
        <f>IF(AND(AND(AND($DX1390=0,$DW1390=0),OR($EC1390=1,$EA1390=1)),SUM($EB1390:$EE1390)&gt;=2),"Technology approach","")</f>
        <v/>
      </c>
      <c r="EP1390" t="b">
        <f>IF(ISNUMBER(BU1390),IF(ABS(BU1390-[5]QC_indicators!$B$2)&gt;3*[5]QC_indicators!$C$2,"C ratio",IF(ISNUMBER(BY1390),IF(ABS(BY1390-[5]QC_indicators!$B$1)&gt;3*[5]QC_indicators!$C$1,"DF","no"))),IF(ISNUMBER(BY1390),IF(ABS(BY1390-[5]QC_indicators!$B$1)&gt;3*[5]QC_indicators!$C$1,"DF","no")))</f>
        <v>0</v>
      </c>
    </row>
    <row r="1391" spans="1:148" ht="15" customHeight="1">
      <c r="A1391" s="1" t="s">
        <v>667</v>
      </c>
      <c r="B1391" t="s">
        <v>3886</v>
      </c>
      <c r="C1391" t="s">
        <v>3887</v>
      </c>
      <c r="D1391" t="s">
        <v>3888</v>
      </c>
      <c r="E1391" t="s">
        <v>3889</v>
      </c>
      <c r="F1391" t="s">
        <v>3890</v>
      </c>
      <c r="G1391" t="s">
        <v>673</v>
      </c>
      <c r="H1391" t="s">
        <v>254</v>
      </c>
      <c r="I1391">
        <v>2016</v>
      </c>
      <c r="J1391">
        <v>46</v>
      </c>
      <c r="K1391" t="s">
        <v>3891</v>
      </c>
      <c r="M1391" t="str">
        <f>LEFT($D1391,FIND(",",$D1391)-1)&amp;"_"&amp;I1391&amp;L1391</f>
        <v>Penaloza_2016</v>
      </c>
      <c r="N1391" s="312" t="s">
        <v>4383</v>
      </c>
      <c r="O1391" s="171" t="s">
        <v>513</v>
      </c>
      <c r="P1391" t="s">
        <v>513</v>
      </c>
      <c r="Q1391" s="312" t="s">
        <v>389</v>
      </c>
      <c r="R1391" s="313"/>
      <c r="S1391" s="1" t="s">
        <v>3898</v>
      </c>
      <c r="T1391" t="s">
        <v>3893</v>
      </c>
      <c r="U1391" t="s">
        <v>3898</v>
      </c>
      <c r="V1391">
        <v>0</v>
      </c>
      <c r="W1391">
        <v>0</v>
      </c>
      <c r="X1391">
        <v>0</v>
      </c>
      <c r="Y1391">
        <v>0</v>
      </c>
      <c r="Z1391">
        <v>0</v>
      </c>
      <c r="AA1391">
        <v>0</v>
      </c>
      <c r="AB1391">
        <v>0</v>
      </c>
      <c r="AC1391">
        <v>0</v>
      </c>
      <c r="AD1391">
        <v>0</v>
      </c>
      <c r="AE1391">
        <v>0</v>
      </c>
      <c r="AF1391">
        <v>0</v>
      </c>
      <c r="AG1391">
        <v>0</v>
      </c>
      <c r="AH1391">
        <v>0</v>
      </c>
      <c r="AI1391">
        <v>1</v>
      </c>
      <c r="AJ1391">
        <v>0</v>
      </c>
      <c r="AK1391">
        <v>1</v>
      </c>
      <c r="AL1391">
        <v>0</v>
      </c>
      <c r="AM1391">
        <v>0</v>
      </c>
      <c r="AN1391">
        <v>0</v>
      </c>
      <c r="AO1391">
        <v>0</v>
      </c>
      <c r="AP1391">
        <v>0</v>
      </c>
      <c r="AQ1391">
        <v>0</v>
      </c>
      <c r="AR1391">
        <v>0</v>
      </c>
      <c r="AS1391">
        <v>0</v>
      </c>
      <c r="AT1391">
        <v>0</v>
      </c>
      <c r="AU1391">
        <v>0</v>
      </c>
      <c r="AV1391">
        <v>0</v>
      </c>
      <c r="AW1391">
        <v>0</v>
      </c>
      <c r="AX1391" s="141">
        <f>COUNTIF(V1391:AW1391,"&lt;&gt;0")</f>
        <v>2</v>
      </c>
      <c r="AY1391" s="141">
        <f>COUNTIF(V1391:AL1391,"&lt;&gt;0")</f>
        <v>2</v>
      </c>
      <c r="AZ1391">
        <f>COUNTIF(V1391:AC1391,"&lt;&gt;0")</f>
        <v>0</v>
      </c>
      <c r="BA1391">
        <f>COUNTIF(AD1391:AI1391,"&lt;&gt;0")</f>
        <v>1</v>
      </c>
      <c r="BB1391">
        <f>COUNTIF(AJ1391:AL1391,"&lt;&gt;0")</f>
        <v>1</v>
      </c>
      <c r="BC1391">
        <f>COUNTIF(AS1391:AW1391,"&lt;&gt;0")</f>
        <v>0</v>
      </c>
      <c r="BD1391">
        <f>COUNTIF(AM1391:AR1391,"&lt;&gt;0")</f>
        <v>0</v>
      </c>
      <c r="BE1391" t="str" cm="1">
        <f t="array" ref="BE1391">IF(AY1391=1,INDEX($V$7:$AL$7,MATCH(TRUE,INDEX($V1391:$AW1391&lt;&gt;0,),0)),IF(AY1391=0,INDEX($AM$7:$AW$7,MATCH(1,$AM1391:$AW1391,0)),IF(BF1391="Multiple strategies","mixed drivers",IF(BF1391="Supply chain","multiple supply","multiple silviculture"))))</f>
        <v>mixed drivers</v>
      </c>
      <c r="BF1391" s="2" t="str" cm="1">
        <f t="array" ref="BF1391">IF(COUNTIF(AZ1391:BB1391,"&lt;&gt;0")=1,INDEX($V$4:$AW$4,MATCH(TRUE,INDEX($V1391:$AW1391&lt;&gt;0,),0)),IF(COUNTIF(AZ1391:BB1391,"&lt;&gt;0")=0,INDEX($AM$4:$AW$4,MATCH(1,$AM1391:$AW1391,0)),"Multiple strategies"))</f>
        <v>Multiple strategies</v>
      </c>
      <c r="BM1391" t="str">
        <f>IFERROR(BL1391/BK1391,"")</f>
        <v/>
      </c>
      <c r="BP1391" s="312" t="s">
        <v>232</v>
      </c>
      <c r="BR1391" t="s">
        <v>3894</v>
      </c>
      <c r="BS1391">
        <v>-479</v>
      </c>
      <c r="BT1391">
        <v>-144</v>
      </c>
      <c r="BU1391" s="144">
        <f>BT1391/BS1391</f>
        <v>0.30062630480167013</v>
      </c>
      <c r="BV1391">
        <f>BT1391-BS1391</f>
        <v>335</v>
      </c>
      <c r="BX1391">
        <f>BV1391/1000</f>
        <v>0.33500000000000002</v>
      </c>
      <c r="BY1391" t="str">
        <f>IFERROR(BX1391/BO1391,"")</f>
        <v/>
      </c>
      <c r="BZ1391">
        <v>0</v>
      </c>
      <c r="CA1391">
        <v>0</v>
      </c>
      <c r="CB1391">
        <v>0</v>
      </c>
      <c r="CC1391">
        <v>0</v>
      </c>
      <c r="CD1391">
        <v>0</v>
      </c>
      <c r="CE1391">
        <v>0</v>
      </c>
      <c r="CF1391">
        <v>0</v>
      </c>
      <c r="CG1391">
        <v>0</v>
      </c>
      <c r="CH1391">
        <v>0</v>
      </c>
      <c r="CI1391">
        <v>0</v>
      </c>
      <c r="CJ1391">
        <v>0</v>
      </c>
      <c r="CK1391">
        <v>0</v>
      </c>
      <c r="CL1391">
        <v>0</v>
      </c>
      <c r="CM1391">
        <v>0</v>
      </c>
      <c r="CN1391" t="str">
        <f>IF($BL1391&lt;$BK1391,"refNeedCorrection","refOK")</f>
        <v>refOK</v>
      </c>
      <c r="CO1391"/>
      <c r="CP1391"/>
      <c r="CQ1391"/>
      <c r="CR1391">
        <f>IF($CN1391="refOK",$BS1391,$BT1391)*IF($BP1391="Emissions positive",-1,1)</f>
        <v>-479</v>
      </c>
      <c r="CS1391">
        <f>IF($CN1391="refOK",$BT1391,$BS1391)*IF($BP1391="Emissions positive",-1,1)</f>
        <v>-144</v>
      </c>
      <c r="CT1391">
        <f>IF($CN1391="refNeedCorrection",-BX1391,BX1391)*IF($BP1391="Emissions positive",-1,1)</f>
        <v>0.33500000000000002</v>
      </c>
      <c r="CU1391" t="str">
        <f>IFERROR(CT1391/CQ1391,"")</f>
        <v/>
      </c>
      <c r="CV1391" s="2">
        <f>IFERROR((CS1391-CR1391)/ABS(CR1391),"")</f>
        <v>0.69937369519832981</v>
      </c>
      <c r="CW1391" s="1" t="s">
        <v>3797</v>
      </c>
      <c r="CX1391" s="312" t="str">
        <f>IF(OR($CW1391="prd",$CW1391="std",$CW1391="cit"),"loc",IF(OR($CW1391="eur",$CW1391="reg",$CW1391="coy"),"reg",$CW1391))</f>
        <v>reg</v>
      </c>
      <c r="CY1391" t="s">
        <v>3895</v>
      </c>
      <c r="DB1391">
        <v>300</v>
      </c>
      <c r="DC1391" t="str">
        <f>IF(DB1391=0,"0",IF(AND(DB1391&gt;=1,DB1391&lt;=30),"1-30",IF(AND(DB1391&gt;30,DB1391&lt;=70),"31-70",IF(AND(DB1391&gt;70,DB1391&lt;=100),"71-100",IF(DB1391&gt;100,"+100")))))</f>
        <v>+100</v>
      </c>
      <c r="DD1391">
        <v>0</v>
      </c>
      <c r="DE1391">
        <v>0</v>
      </c>
      <c r="DF1391">
        <v>0</v>
      </c>
      <c r="DG1391">
        <v>1</v>
      </c>
      <c r="DH1391">
        <v>1</v>
      </c>
      <c r="DI1391">
        <f>SUM(DD1391:DH1391)</f>
        <v>2</v>
      </c>
      <c r="DJ1391" t="str">
        <f>IF(DI1391=1,INDEX($DD$7:$DG$7,MATCH(1,$DD1391:$DG1391,0)),"mixedProduct")</f>
        <v>mixedProduct</v>
      </c>
      <c r="DK1391">
        <f>IF(DD1391=1,DK$7,0)</f>
        <v>0</v>
      </c>
      <c r="DL1391">
        <f>IF(DE1391=1,DL$7,0)</f>
        <v>0</v>
      </c>
      <c r="DM1391">
        <f>IF(DF1391=1,DM$7,0)</f>
        <v>0</v>
      </c>
      <c r="DN1391" t="str">
        <f>IF(DG1391=1,DN$7,0)</f>
        <v>Timber</v>
      </c>
      <c r="DO1391">
        <v>0</v>
      </c>
      <c r="DP1391">
        <v>0</v>
      </c>
      <c r="DQ1391">
        <v>0</v>
      </c>
      <c r="DR1391">
        <v>0</v>
      </c>
      <c r="DS1391">
        <v>0</v>
      </c>
      <c r="DT1391"/>
      <c r="DU1391" s="143" t="str">
        <f>IF(DO1391=1,"self-calculated DF",IF(DP1391=1,"external DF used","explicit C balance"))</f>
        <v>explicit C balance</v>
      </c>
      <c r="DV1391">
        <v>0</v>
      </c>
      <c r="DW1391">
        <v>0</v>
      </c>
      <c r="DX1391">
        <v>1</v>
      </c>
      <c r="DY1391">
        <v>1</v>
      </c>
      <c r="DZ1391">
        <v>1</v>
      </c>
      <c r="EA1391">
        <v>1</v>
      </c>
      <c r="EB1391">
        <v>0</v>
      </c>
      <c r="EC1391">
        <v>1</v>
      </c>
      <c r="ED1391">
        <v>1</v>
      </c>
      <c r="EE1391">
        <v>1</v>
      </c>
      <c r="EF1391">
        <v>1</v>
      </c>
      <c r="EG1391">
        <v>1</v>
      </c>
      <c r="EH1391">
        <v>0</v>
      </c>
      <c r="EI1391" s="2">
        <v>0</v>
      </c>
      <c r="EK1391" t="str">
        <f>IF(AND(AND(AND(OR($DX1391=1,$DW1391=1),OR($EC1391=1,$EA1391=1)),SUM($DV1391:$DZ1391,$EF1391)&gt;=3),SUM($EA1391:$EE1391)&gt;=2),"Whole sector","")</f>
        <v>Whole sector</v>
      </c>
      <c r="EL1391" t="str">
        <f>IF(AND(AND(OR($DX1391=1,$DW1391=1),AND($EC1391=0,$EA1391=0)),SUM($DV1391:$DZ1391,$EF1391)&gt;=3),"Ecosystem approach","")</f>
        <v/>
      </c>
      <c r="EM1391" s="2" t="str">
        <f>IF(AND(AND(AND($DX1391=0,$DW1391=0),OR($EC1391=1,$EA1391=1)),SUM($EB1391:$EE1391)&gt;=2),"Technology approach","")</f>
        <v/>
      </c>
      <c r="EP1391" t="b">
        <f>IF(ISNUMBER(BU1391),IF(ABS(BU1391-[5]QC_indicators!$B$2)&gt;3*[5]QC_indicators!$C$2,"C ratio",IF(ISNUMBER(BY1391),IF(ABS(BY1391-[5]QC_indicators!$B$1)&gt;3*[5]QC_indicators!$C$1,"DF","no"))),IF(ISNUMBER(BY1391),IF(ABS(BY1391-[5]QC_indicators!$B$1)&gt;3*[5]QC_indicators!$C$1,"DF","no")))</f>
        <v>0</v>
      </c>
    </row>
    <row r="1392" spans="1:148" ht="15" customHeight="1">
      <c r="A1392" s="1" t="s">
        <v>667</v>
      </c>
      <c r="B1392" t="s">
        <v>3886</v>
      </c>
      <c r="C1392" t="s">
        <v>3887</v>
      </c>
      <c r="D1392" t="s">
        <v>3888</v>
      </c>
      <c r="E1392" t="s">
        <v>3889</v>
      </c>
      <c r="F1392" t="s">
        <v>3890</v>
      </c>
      <c r="G1392" t="s">
        <v>673</v>
      </c>
      <c r="H1392" t="s">
        <v>254</v>
      </c>
      <c r="I1392">
        <v>2016</v>
      </c>
      <c r="J1392">
        <v>46</v>
      </c>
      <c r="K1392" t="s">
        <v>3891</v>
      </c>
      <c r="M1392" t="str">
        <f>LEFT($D1392,FIND(",",$D1392)-1)&amp;"_"&amp;I1392&amp;L1392</f>
        <v>Penaloza_2016</v>
      </c>
      <c r="N1392" s="312" t="s">
        <v>4383</v>
      </c>
      <c r="O1392" s="171" t="s">
        <v>513</v>
      </c>
      <c r="P1392" t="s">
        <v>513</v>
      </c>
      <c r="Q1392" s="312" t="s">
        <v>389</v>
      </c>
      <c r="R1392" s="313"/>
      <c r="S1392" s="1" t="s">
        <v>3898</v>
      </c>
      <c r="T1392" t="s">
        <v>3893</v>
      </c>
      <c r="U1392" t="s">
        <v>3898</v>
      </c>
      <c r="V1392">
        <v>0</v>
      </c>
      <c r="W1392">
        <v>0</v>
      </c>
      <c r="X1392">
        <v>0</v>
      </c>
      <c r="Y1392">
        <v>0</v>
      </c>
      <c r="Z1392">
        <v>0</v>
      </c>
      <c r="AA1392">
        <v>0</v>
      </c>
      <c r="AB1392">
        <v>0</v>
      </c>
      <c r="AC1392">
        <v>0</v>
      </c>
      <c r="AD1392">
        <v>0</v>
      </c>
      <c r="AE1392">
        <v>0</v>
      </c>
      <c r="AF1392">
        <v>0</v>
      </c>
      <c r="AG1392">
        <v>0</v>
      </c>
      <c r="AH1392">
        <v>0</v>
      </c>
      <c r="AI1392">
        <v>1</v>
      </c>
      <c r="AJ1392">
        <v>0</v>
      </c>
      <c r="AK1392">
        <v>1</v>
      </c>
      <c r="AL1392">
        <v>0</v>
      </c>
      <c r="AM1392">
        <v>0</v>
      </c>
      <c r="AN1392">
        <v>0</v>
      </c>
      <c r="AO1392">
        <v>0</v>
      </c>
      <c r="AP1392">
        <v>0</v>
      </c>
      <c r="AQ1392">
        <v>0</v>
      </c>
      <c r="AR1392">
        <v>0</v>
      </c>
      <c r="AS1392">
        <v>0</v>
      </c>
      <c r="AT1392">
        <v>0</v>
      </c>
      <c r="AU1392">
        <v>0</v>
      </c>
      <c r="AV1392">
        <v>0</v>
      </c>
      <c r="AW1392">
        <v>0</v>
      </c>
      <c r="AX1392" s="141">
        <f>COUNTIF(V1392:AW1392,"&lt;&gt;0")</f>
        <v>2</v>
      </c>
      <c r="AY1392" s="141">
        <f>COUNTIF(V1392:AL1392,"&lt;&gt;0")</f>
        <v>2</v>
      </c>
      <c r="AZ1392">
        <f>COUNTIF(V1392:AC1392,"&lt;&gt;0")</f>
        <v>0</v>
      </c>
      <c r="BA1392">
        <f>COUNTIF(AD1392:AI1392,"&lt;&gt;0")</f>
        <v>1</v>
      </c>
      <c r="BB1392">
        <f>COUNTIF(AJ1392:AL1392,"&lt;&gt;0")</f>
        <v>1</v>
      </c>
      <c r="BC1392">
        <f>COUNTIF(AS1392:AW1392,"&lt;&gt;0")</f>
        <v>0</v>
      </c>
      <c r="BD1392">
        <f>COUNTIF(AM1392:AR1392,"&lt;&gt;0")</f>
        <v>0</v>
      </c>
      <c r="BE1392" t="str" cm="1">
        <f t="array" ref="BE1392">IF(AY1392=1,INDEX($V$7:$AL$7,MATCH(TRUE,INDEX($V1392:$AW1392&lt;&gt;0,),0)),IF(AY1392=0,INDEX($AM$7:$AW$7,MATCH(1,$AM1392:$AW1392,0)),IF(BF1392="Multiple strategies","mixed drivers",IF(BF1392="Supply chain","multiple supply","multiple silviculture"))))</f>
        <v>mixed drivers</v>
      </c>
      <c r="BF1392" s="2" t="str" cm="1">
        <f t="array" ref="BF1392">IF(COUNTIF(AZ1392:BB1392,"&lt;&gt;0")=1,INDEX($V$4:$AW$4,MATCH(TRUE,INDEX($V1392:$AW1392&lt;&gt;0,),0)),IF(COUNTIF(AZ1392:BB1392,"&lt;&gt;0")=0,INDEX($AM$4:$AW$4,MATCH(1,$AM1392:$AW1392,0)),"Multiple strategies"))</f>
        <v>Multiple strategies</v>
      </c>
      <c r="BM1392" t="str">
        <f>IFERROR(BL1392/BK1392,"")</f>
        <v/>
      </c>
      <c r="BP1392" s="312" t="s">
        <v>232</v>
      </c>
      <c r="BR1392" t="s">
        <v>3894</v>
      </c>
      <c r="BS1392">
        <v>-468</v>
      </c>
      <c r="BT1392">
        <v>-146</v>
      </c>
      <c r="BU1392" s="144">
        <f>BT1392/BS1392</f>
        <v>0.31196581196581197</v>
      </c>
      <c r="BV1392">
        <f>BT1392-BS1392</f>
        <v>322</v>
      </c>
      <c r="BX1392">
        <f>BV1392/1000</f>
        <v>0.32200000000000001</v>
      </c>
      <c r="BY1392" t="str">
        <f>IFERROR(BX1392/BO1392,"")</f>
        <v/>
      </c>
      <c r="BZ1392">
        <v>0</v>
      </c>
      <c r="CA1392">
        <v>0</v>
      </c>
      <c r="CB1392">
        <v>0</v>
      </c>
      <c r="CC1392">
        <v>0</v>
      </c>
      <c r="CD1392">
        <v>0</v>
      </c>
      <c r="CE1392">
        <v>0</v>
      </c>
      <c r="CF1392">
        <v>0</v>
      </c>
      <c r="CG1392">
        <v>0</v>
      </c>
      <c r="CH1392">
        <v>0</v>
      </c>
      <c r="CI1392">
        <v>0</v>
      </c>
      <c r="CJ1392">
        <v>0</v>
      </c>
      <c r="CK1392">
        <v>0</v>
      </c>
      <c r="CL1392">
        <v>0</v>
      </c>
      <c r="CM1392">
        <v>0</v>
      </c>
      <c r="CN1392" t="str">
        <f>IF($BL1392&lt;$BK1392,"refNeedCorrection","refOK")</f>
        <v>refOK</v>
      </c>
      <c r="CO1392"/>
      <c r="CP1392"/>
      <c r="CQ1392"/>
      <c r="CR1392">
        <f>IF($CN1392="refOK",$BS1392,$BT1392)*IF($BP1392="Emissions positive",-1,1)</f>
        <v>-468</v>
      </c>
      <c r="CS1392">
        <v>-146</v>
      </c>
      <c r="CT1392">
        <f>IF($CN1392="refNeedCorrection",-BX1392,BX1392)*IF($BP1392="Emissions positive",-1,1)</f>
        <v>0.32200000000000001</v>
      </c>
      <c r="CU1392" t="str">
        <f>IFERROR(CT1392/CQ1392,"")</f>
        <v/>
      </c>
      <c r="CV1392" s="2">
        <f>IFERROR((CS1392-CR1392)/ABS(CR1392),"")</f>
        <v>0.68803418803418803</v>
      </c>
      <c r="CW1392" s="1" t="s">
        <v>3797</v>
      </c>
      <c r="CX1392" s="312" t="str">
        <f>IF(OR($CW1392="prd",$CW1392="std",$CW1392="cit"),"loc",IF(OR($CW1392="eur",$CW1392="reg",$CW1392="coy"),"reg",$CW1392))</f>
        <v>reg</v>
      </c>
      <c r="CY1392" t="s">
        <v>3895</v>
      </c>
      <c r="DB1392">
        <v>100</v>
      </c>
      <c r="DC1392" t="str">
        <f>IF(DB1392=0,"0",IF(AND(DB1392&gt;=1,DB1392&lt;=30),"1-30",IF(AND(DB1392&gt;30,DB1392&lt;=70),"31-70",IF(AND(DB1392&gt;70,DB1392&lt;=100),"71-100",IF(DB1392&gt;100,"+100")))))</f>
        <v>71-100</v>
      </c>
      <c r="DD1392">
        <v>0</v>
      </c>
      <c r="DE1392">
        <v>0</v>
      </c>
      <c r="DF1392">
        <v>0</v>
      </c>
      <c r="DG1392">
        <v>1</v>
      </c>
      <c r="DH1392">
        <v>1</v>
      </c>
      <c r="DI1392">
        <f>SUM(DD1392:DH1392)</f>
        <v>2</v>
      </c>
      <c r="DJ1392" t="str">
        <f>IF(DI1392=1,INDEX($DD$7:$DG$7,MATCH(1,$DD1392:$DG1392,0)),"mixedProduct")</f>
        <v>mixedProduct</v>
      </c>
      <c r="DK1392">
        <f>IF(DD1392=1,DK$7,0)</f>
        <v>0</v>
      </c>
      <c r="DL1392">
        <f>IF(DE1392=1,DL$7,0)</f>
        <v>0</v>
      </c>
      <c r="DM1392">
        <f>IF(DF1392=1,DM$7,0)</f>
        <v>0</v>
      </c>
      <c r="DN1392" t="str">
        <f>IF(DG1392=1,DN$7,0)</f>
        <v>Timber</v>
      </c>
      <c r="DO1392">
        <v>0</v>
      </c>
      <c r="DP1392">
        <v>0</v>
      </c>
      <c r="DQ1392">
        <v>0</v>
      </c>
      <c r="DR1392">
        <v>0</v>
      </c>
      <c r="DS1392">
        <v>0</v>
      </c>
      <c r="DT1392"/>
      <c r="DU1392" s="143" t="str">
        <f>IF(DO1392=1,"self-calculated DF",IF(DP1392=1,"external DF used","explicit C balance"))</f>
        <v>explicit C balance</v>
      </c>
      <c r="DV1392">
        <v>0</v>
      </c>
      <c r="DW1392">
        <v>0</v>
      </c>
      <c r="DX1392">
        <v>1</v>
      </c>
      <c r="DY1392">
        <v>1</v>
      </c>
      <c r="DZ1392">
        <v>1</v>
      </c>
      <c r="EA1392">
        <v>1</v>
      </c>
      <c r="EB1392">
        <v>0</v>
      </c>
      <c r="EC1392">
        <v>1</v>
      </c>
      <c r="ED1392">
        <v>1</v>
      </c>
      <c r="EE1392">
        <v>1</v>
      </c>
      <c r="EF1392">
        <v>1</v>
      </c>
      <c r="EG1392">
        <v>1</v>
      </c>
      <c r="EH1392">
        <v>0</v>
      </c>
      <c r="EI1392" s="2">
        <v>0</v>
      </c>
      <c r="EK1392" t="str">
        <f>IF(AND(AND(AND(OR($DX1392=1,$DW1392=1),OR($EC1392=1,$EA1392=1)),SUM($DV1392:$DZ1392,$EF1392)&gt;=3),SUM($EA1392:$EE1392)&gt;=2),"Whole sector","")</f>
        <v>Whole sector</v>
      </c>
      <c r="EL1392" t="str">
        <f>IF(AND(AND(OR($DX1392=1,$DW1392=1),AND($EC1392=0,$EA1392=0)),SUM($DV1392:$DZ1392,$EF1392)&gt;=3),"Ecosystem approach","")</f>
        <v/>
      </c>
      <c r="EM1392" s="2" t="str">
        <f>IF(AND(AND(AND($DX1392=0,$DW1392=0),OR($EC1392=1,$EA1392=1)),SUM($EB1392:$EE1392)&gt;=2),"Technology approach","")</f>
        <v/>
      </c>
      <c r="EP1392" t="b">
        <f>IF(ISNUMBER(BU1392),IF(ABS(BU1392-[5]QC_indicators!$B$2)&gt;3*[5]QC_indicators!$C$2,"C ratio",IF(ISNUMBER(BY1392),IF(ABS(BY1392-[5]QC_indicators!$B$1)&gt;3*[5]QC_indicators!$C$1,"DF","no"))),IF(ISNUMBER(BY1392),IF(ABS(BY1392-[5]QC_indicators!$B$1)&gt;3*[5]QC_indicators!$C$1,"DF","no")))</f>
        <v>0</v>
      </c>
    </row>
    <row r="1393" spans="1:146" ht="15" customHeight="1">
      <c r="A1393" s="1" t="s">
        <v>667</v>
      </c>
      <c r="B1393" t="s">
        <v>3886</v>
      </c>
      <c r="C1393" t="s">
        <v>3887</v>
      </c>
      <c r="D1393" t="s">
        <v>3888</v>
      </c>
      <c r="E1393" t="s">
        <v>3889</v>
      </c>
      <c r="F1393" t="s">
        <v>3890</v>
      </c>
      <c r="G1393" t="s">
        <v>673</v>
      </c>
      <c r="H1393" t="s">
        <v>254</v>
      </c>
      <c r="I1393">
        <v>2016</v>
      </c>
      <c r="J1393">
        <v>46</v>
      </c>
      <c r="K1393" t="s">
        <v>3891</v>
      </c>
      <c r="M1393" t="str">
        <f>LEFT($D1393,FIND(",",$D1393)-1)&amp;"_"&amp;I1393&amp;L1393</f>
        <v>Penaloza_2016</v>
      </c>
      <c r="N1393" s="312" t="s">
        <v>4383</v>
      </c>
      <c r="O1393" s="171" t="s">
        <v>513</v>
      </c>
      <c r="P1393" t="s">
        <v>513</v>
      </c>
      <c r="Q1393" s="312" t="s">
        <v>389</v>
      </c>
      <c r="R1393" s="313"/>
      <c r="S1393" s="1" t="s">
        <v>3899</v>
      </c>
      <c r="T1393" t="s">
        <v>3897</v>
      </c>
      <c r="U1393" t="s">
        <v>3899</v>
      </c>
      <c r="V1393">
        <v>0</v>
      </c>
      <c r="W1393">
        <v>0</v>
      </c>
      <c r="X1393">
        <v>0</v>
      </c>
      <c r="Y1393">
        <v>0</v>
      </c>
      <c r="Z1393">
        <v>0</v>
      </c>
      <c r="AA1393">
        <v>0</v>
      </c>
      <c r="AB1393">
        <v>0</v>
      </c>
      <c r="AC1393">
        <v>0</v>
      </c>
      <c r="AD1393">
        <v>0</v>
      </c>
      <c r="AE1393">
        <v>0</v>
      </c>
      <c r="AF1393">
        <v>0</v>
      </c>
      <c r="AG1393">
        <v>0</v>
      </c>
      <c r="AH1393">
        <v>1</v>
      </c>
      <c r="AI1393">
        <v>0</v>
      </c>
      <c r="AJ1393">
        <v>0</v>
      </c>
      <c r="AK1393">
        <v>1</v>
      </c>
      <c r="AL1393">
        <v>0</v>
      </c>
      <c r="AM1393">
        <v>0</v>
      </c>
      <c r="AN1393">
        <v>0</v>
      </c>
      <c r="AO1393">
        <v>0</v>
      </c>
      <c r="AP1393">
        <v>0</v>
      </c>
      <c r="AQ1393">
        <v>0</v>
      </c>
      <c r="AR1393">
        <v>0</v>
      </c>
      <c r="AS1393">
        <v>0</v>
      </c>
      <c r="AT1393">
        <v>0</v>
      </c>
      <c r="AU1393">
        <v>0</v>
      </c>
      <c r="AV1393">
        <v>0</v>
      </c>
      <c r="AW1393">
        <v>0</v>
      </c>
      <c r="AX1393" s="141">
        <f>COUNTIF(V1393:AW1393,"&lt;&gt;0")</f>
        <v>2</v>
      </c>
      <c r="AY1393" s="141">
        <f>COUNTIF(V1393:AL1393,"&lt;&gt;0")</f>
        <v>2</v>
      </c>
      <c r="AZ1393">
        <f>COUNTIF(V1393:AC1393,"&lt;&gt;0")</f>
        <v>0</v>
      </c>
      <c r="BA1393">
        <f>COUNTIF(AD1393:AI1393,"&lt;&gt;0")</f>
        <v>1</v>
      </c>
      <c r="BB1393">
        <f>COUNTIF(AJ1393:AL1393,"&lt;&gt;0")</f>
        <v>1</v>
      </c>
      <c r="BC1393">
        <f>COUNTIF(AS1393:AW1393,"&lt;&gt;0")</f>
        <v>0</v>
      </c>
      <c r="BD1393">
        <f>COUNTIF(AM1393:AR1393,"&lt;&gt;0")</f>
        <v>0</v>
      </c>
      <c r="BE1393" t="str" cm="1">
        <f t="array" ref="BE1393">IF(AY1393=1,INDEX($V$7:$AL$7,MATCH(TRUE,INDEX($V1393:$AW1393&lt;&gt;0,),0)),IF(AY1393=0,INDEX($AM$7:$AW$7,MATCH(1,$AM1393:$AW1393,0)),IF(BF1393="Multiple strategies","mixed drivers",IF(BF1393="Supply chain","multiple supply","multiple silviculture"))))</f>
        <v>mixed drivers</v>
      </c>
      <c r="BF1393" s="2" t="str" cm="1">
        <f t="array" ref="BF1393">IF(COUNTIF(AZ1393:BB1393,"&lt;&gt;0")=1,INDEX($V$4:$AW$4,MATCH(TRUE,INDEX($V1393:$AW1393&lt;&gt;0,),0)),IF(COUNTIF(AZ1393:BB1393,"&lt;&gt;0")=0,INDEX($AM$4:$AW$4,MATCH(1,$AM1393:$AW1393,0)),"Multiple strategies"))</f>
        <v>Multiple strategies</v>
      </c>
      <c r="BM1393" t="str">
        <f>IFERROR(BL1393/BK1393,"")</f>
        <v/>
      </c>
      <c r="BP1393" s="312" t="s">
        <v>232</v>
      </c>
      <c r="BR1393" t="s">
        <v>3894</v>
      </c>
      <c r="BS1393">
        <v>-462</v>
      </c>
      <c r="BT1393">
        <v>-56</v>
      </c>
      <c r="BU1393" s="144">
        <f>BT1393/BS1393</f>
        <v>0.12121212121212122</v>
      </c>
      <c r="BV1393">
        <f>BT1393-BS1393</f>
        <v>406</v>
      </c>
      <c r="BX1393">
        <f>BV1393/1000</f>
        <v>0.40600000000000003</v>
      </c>
      <c r="BY1393" t="str">
        <f>IFERROR(BX1393/BO1393,"")</f>
        <v/>
      </c>
      <c r="BZ1393">
        <v>0</v>
      </c>
      <c r="CA1393">
        <v>0</v>
      </c>
      <c r="CB1393">
        <v>0</v>
      </c>
      <c r="CC1393">
        <v>0</v>
      </c>
      <c r="CD1393">
        <v>0</v>
      </c>
      <c r="CE1393">
        <v>0</v>
      </c>
      <c r="CF1393">
        <v>0</v>
      </c>
      <c r="CG1393">
        <v>0</v>
      </c>
      <c r="CH1393">
        <v>0</v>
      </c>
      <c r="CI1393">
        <v>0</v>
      </c>
      <c r="CJ1393">
        <v>0</v>
      </c>
      <c r="CK1393">
        <v>0</v>
      </c>
      <c r="CL1393">
        <v>0</v>
      </c>
      <c r="CM1393">
        <v>0</v>
      </c>
      <c r="CN1393" t="str">
        <f>IF($BL1393&lt;$BK1393,"refNeedCorrection","refOK")</f>
        <v>refOK</v>
      </c>
      <c r="CO1393"/>
      <c r="CP1393"/>
      <c r="CQ1393"/>
      <c r="CR1393">
        <f>IF($CN1393="refOK",$BS1393,$BT1393)*IF($BP1393="Emissions positive",-1,1)</f>
        <v>-462</v>
      </c>
      <c r="CS1393">
        <v>-56</v>
      </c>
      <c r="CT1393">
        <f>IF($CN1393="refNeedCorrection",-BX1393,BX1393)*IF($BP1393="Emissions positive",-1,1)</f>
        <v>0.40600000000000003</v>
      </c>
      <c r="CU1393" t="str">
        <f>IFERROR(CT1393/CQ1393,"")</f>
        <v/>
      </c>
      <c r="CV1393" s="2">
        <f>IFERROR((CS1393-CR1393)/ABS(CR1393),"")</f>
        <v>0.87878787878787878</v>
      </c>
      <c r="CW1393" s="1" t="s">
        <v>3797</v>
      </c>
      <c r="CX1393" s="312" t="str">
        <f>IF(OR($CW1393="prd",$CW1393="std",$CW1393="cit"),"loc",IF(OR($CW1393="eur",$CW1393="reg",$CW1393="coy"),"reg",$CW1393))</f>
        <v>reg</v>
      </c>
      <c r="CY1393" t="s">
        <v>3895</v>
      </c>
      <c r="DB1393">
        <v>100</v>
      </c>
      <c r="DC1393" t="str">
        <f>IF(DB1393=0,"0",IF(AND(DB1393&gt;=1,DB1393&lt;=30),"1-30",IF(AND(DB1393&gt;30,DB1393&lt;=70),"31-70",IF(AND(DB1393&gt;70,DB1393&lt;=100),"71-100",IF(DB1393&gt;100,"+100")))))</f>
        <v>71-100</v>
      </c>
      <c r="DD1393">
        <v>0</v>
      </c>
      <c r="DE1393">
        <v>0</v>
      </c>
      <c r="DF1393">
        <v>0</v>
      </c>
      <c r="DG1393">
        <v>1</v>
      </c>
      <c r="DH1393">
        <v>1</v>
      </c>
      <c r="DI1393">
        <f>SUM(DD1393:DH1393)</f>
        <v>2</v>
      </c>
      <c r="DJ1393" t="str">
        <f>IF(DI1393=1,INDEX($DD$7:$DG$7,MATCH(1,$DD1393:$DG1393,0)),"mixedProduct")</f>
        <v>mixedProduct</v>
      </c>
      <c r="DK1393">
        <f>IF(DD1393=1,DK$7,0)</f>
        <v>0</v>
      </c>
      <c r="DL1393">
        <f>IF(DE1393=1,DL$7,0)</f>
        <v>0</v>
      </c>
      <c r="DM1393">
        <f>IF(DF1393=1,DM$7,0)</f>
        <v>0</v>
      </c>
      <c r="DN1393" t="str">
        <f>IF(DG1393=1,DN$7,0)</f>
        <v>Timber</v>
      </c>
      <c r="DO1393">
        <v>0</v>
      </c>
      <c r="DP1393">
        <v>0</v>
      </c>
      <c r="DQ1393">
        <v>0</v>
      </c>
      <c r="DR1393">
        <v>0</v>
      </c>
      <c r="DS1393">
        <v>0</v>
      </c>
      <c r="DT1393"/>
      <c r="DU1393" s="143" t="str">
        <f>IF(DO1393=1,"self-calculated DF",IF(DP1393=1,"external DF used","explicit C balance"))</f>
        <v>explicit C balance</v>
      </c>
      <c r="DV1393">
        <v>0</v>
      </c>
      <c r="DW1393">
        <v>0</v>
      </c>
      <c r="DX1393">
        <v>1</v>
      </c>
      <c r="DY1393">
        <v>1</v>
      </c>
      <c r="DZ1393">
        <v>1</v>
      </c>
      <c r="EA1393">
        <v>1</v>
      </c>
      <c r="EB1393">
        <v>0</v>
      </c>
      <c r="EC1393">
        <v>1</v>
      </c>
      <c r="ED1393">
        <v>1</v>
      </c>
      <c r="EE1393">
        <v>1</v>
      </c>
      <c r="EF1393">
        <v>1</v>
      </c>
      <c r="EG1393">
        <v>1</v>
      </c>
      <c r="EH1393">
        <v>0</v>
      </c>
      <c r="EI1393" s="2">
        <v>0</v>
      </c>
      <c r="EK1393" t="str">
        <f>IF(AND(AND(AND(OR($DX1393=1,$DW1393=1),OR($EC1393=1,$EA1393=1)),SUM($DV1393:$DZ1393,$EF1393)&gt;=3),SUM($EA1393:$EE1393)&gt;=2),"Whole sector","")</f>
        <v>Whole sector</v>
      </c>
      <c r="EL1393" t="str">
        <f>IF(AND(AND(OR($DX1393=1,$DW1393=1),AND($EC1393=0,$EA1393=0)),SUM($DV1393:$DZ1393,$EF1393)&gt;=3),"Ecosystem approach","")</f>
        <v/>
      </c>
      <c r="EM1393" s="2" t="str">
        <f>IF(AND(AND(AND($DX1393=0,$DW1393=0),OR($EC1393=1,$EA1393=1)),SUM($EB1393:$EE1393)&gt;=2),"Technology approach","")</f>
        <v/>
      </c>
      <c r="EP1393" t="b">
        <f>IF(ISNUMBER(BU1393),IF(ABS(BU1393-[5]QC_indicators!$B$2)&gt;3*[5]QC_indicators!$C$2,"C ratio",IF(ISNUMBER(BY1393),IF(ABS(BY1393-[5]QC_indicators!$B$1)&gt;3*[5]QC_indicators!$C$1,"DF","no"))),IF(ISNUMBER(BY1393),IF(ABS(BY1393-[5]QC_indicators!$B$1)&gt;3*[5]QC_indicators!$C$1,"DF","no")))</f>
        <v>0</v>
      </c>
    </row>
    <row r="1394" spans="1:146" ht="15" customHeight="1">
      <c r="A1394" s="1" t="s">
        <v>667</v>
      </c>
      <c r="B1394" t="s">
        <v>3886</v>
      </c>
      <c r="C1394" t="s">
        <v>3887</v>
      </c>
      <c r="D1394" t="s">
        <v>3888</v>
      </c>
      <c r="E1394" t="s">
        <v>3889</v>
      </c>
      <c r="F1394" t="s">
        <v>3890</v>
      </c>
      <c r="G1394" t="s">
        <v>673</v>
      </c>
      <c r="H1394" t="s">
        <v>254</v>
      </c>
      <c r="I1394">
        <v>2016</v>
      </c>
      <c r="J1394">
        <v>46</v>
      </c>
      <c r="K1394" t="s">
        <v>3891</v>
      </c>
      <c r="M1394" t="str">
        <f>LEFT($D1394,FIND(",",$D1394)-1)&amp;"_"&amp;I1394&amp;L1394</f>
        <v>Penaloza_2016</v>
      </c>
      <c r="N1394" s="312" t="s">
        <v>4383</v>
      </c>
      <c r="O1394" s="171" t="s">
        <v>513</v>
      </c>
      <c r="P1394" t="s">
        <v>513</v>
      </c>
      <c r="Q1394" s="312" t="s">
        <v>389</v>
      </c>
      <c r="R1394" s="313"/>
      <c r="S1394" s="1" t="s">
        <v>3899</v>
      </c>
      <c r="T1394" t="s">
        <v>3897</v>
      </c>
      <c r="U1394" t="s">
        <v>3899</v>
      </c>
      <c r="V1394">
        <v>0</v>
      </c>
      <c r="W1394">
        <v>0</v>
      </c>
      <c r="X1394">
        <v>0</v>
      </c>
      <c r="Y1394">
        <v>0</v>
      </c>
      <c r="Z1394">
        <v>0</v>
      </c>
      <c r="AA1394">
        <v>0</v>
      </c>
      <c r="AB1394">
        <v>0</v>
      </c>
      <c r="AC1394">
        <v>0</v>
      </c>
      <c r="AD1394">
        <v>0</v>
      </c>
      <c r="AE1394">
        <v>0</v>
      </c>
      <c r="AF1394">
        <v>0</v>
      </c>
      <c r="AG1394">
        <v>0</v>
      </c>
      <c r="AH1394">
        <v>1</v>
      </c>
      <c r="AI1394">
        <v>0</v>
      </c>
      <c r="AJ1394">
        <v>0</v>
      </c>
      <c r="AK1394">
        <v>1</v>
      </c>
      <c r="AL1394">
        <v>0</v>
      </c>
      <c r="AM1394">
        <v>0</v>
      </c>
      <c r="AN1394">
        <v>0</v>
      </c>
      <c r="AO1394">
        <v>0</v>
      </c>
      <c r="AP1394">
        <v>0</v>
      </c>
      <c r="AQ1394">
        <v>0</v>
      </c>
      <c r="AR1394">
        <v>0</v>
      </c>
      <c r="AS1394">
        <v>0</v>
      </c>
      <c r="AT1394">
        <v>0</v>
      </c>
      <c r="AU1394">
        <v>0</v>
      </c>
      <c r="AV1394">
        <v>0</v>
      </c>
      <c r="AW1394">
        <v>0</v>
      </c>
      <c r="AX1394" s="141">
        <f>COUNTIF(V1394:AW1394,"&lt;&gt;0")</f>
        <v>2</v>
      </c>
      <c r="AY1394" s="141">
        <f>COUNTIF(V1394:AL1394,"&lt;&gt;0")</f>
        <v>2</v>
      </c>
      <c r="AZ1394">
        <f>COUNTIF(V1394:AC1394,"&lt;&gt;0")</f>
        <v>0</v>
      </c>
      <c r="BA1394">
        <f>COUNTIF(AD1394:AI1394,"&lt;&gt;0")</f>
        <v>1</v>
      </c>
      <c r="BB1394">
        <f>COUNTIF(AJ1394:AL1394,"&lt;&gt;0")</f>
        <v>1</v>
      </c>
      <c r="BC1394">
        <f>COUNTIF(AS1394:AW1394,"&lt;&gt;0")</f>
        <v>0</v>
      </c>
      <c r="BD1394">
        <f>COUNTIF(AM1394:AR1394,"&lt;&gt;0")</f>
        <v>0</v>
      </c>
      <c r="BE1394" t="str" cm="1">
        <f t="array" ref="BE1394">IF(AY1394=1,INDEX($V$7:$AL$7,MATCH(TRUE,INDEX($V1394:$AW1394&lt;&gt;0,),0)),IF(AY1394=0,INDEX($AM$7:$AW$7,MATCH(1,$AM1394:$AW1394,0)),IF(BF1394="Multiple strategies","mixed drivers",IF(BF1394="Supply chain","multiple supply","multiple silviculture"))))</f>
        <v>mixed drivers</v>
      </c>
      <c r="BF1394" s="2" t="str" cm="1">
        <f t="array" ref="BF1394">IF(COUNTIF(AZ1394:BB1394,"&lt;&gt;0")=1,INDEX($V$4:$AW$4,MATCH(TRUE,INDEX($V1394:$AW1394&lt;&gt;0,),0)),IF(COUNTIF(AZ1394:BB1394,"&lt;&gt;0")=0,INDEX($AM$4:$AW$4,MATCH(1,$AM1394:$AW1394,0)),"Multiple strategies"))</f>
        <v>Multiple strategies</v>
      </c>
      <c r="BM1394" t="str">
        <f>IFERROR(BL1394/BK1394,"")</f>
        <v/>
      </c>
      <c r="BP1394" s="312" t="s">
        <v>232</v>
      </c>
      <c r="BR1394" t="s">
        <v>3894</v>
      </c>
      <c r="BS1394">
        <v>-462</v>
      </c>
      <c r="BT1394">
        <v>-121</v>
      </c>
      <c r="BU1394" s="144">
        <f>BT1394/BS1394</f>
        <v>0.26190476190476192</v>
      </c>
      <c r="BV1394">
        <f>BT1394-BS1394</f>
        <v>341</v>
      </c>
      <c r="BX1394">
        <f>BV1394/1000</f>
        <v>0.34100000000000003</v>
      </c>
      <c r="BY1394" t="str">
        <f>IFERROR(BX1394/BO1394,"")</f>
        <v/>
      </c>
      <c r="BZ1394">
        <v>0</v>
      </c>
      <c r="CA1394">
        <v>0</v>
      </c>
      <c r="CB1394">
        <v>0</v>
      </c>
      <c r="CC1394">
        <v>0</v>
      </c>
      <c r="CD1394">
        <v>0</v>
      </c>
      <c r="CE1394">
        <v>0</v>
      </c>
      <c r="CF1394">
        <v>0</v>
      </c>
      <c r="CG1394">
        <v>0</v>
      </c>
      <c r="CH1394">
        <v>0</v>
      </c>
      <c r="CI1394">
        <v>0</v>
      </c>
      <c r="CJ1394">
        <v>0</v>
      </c>
      <c r="CK1394">
        <v>0</v>
      </c>
      <c r="CL1394">
        <v>0</v>
      </c>
      <c r="CM1394">
        <v>0</v>
      </c>
      <c r="CN1394" t="str">
        <f>IF($BL1394&lt;$BK1394,"refNeedCorrection","refOK")</f>
        <v>refOK</v>
      </c>
      <c r="CO1394"/>
      <c r="CP1394"/>
      <c r="CQ1394"/>
      <c r="CR1394">
        <f>IF($CN1394="refOK",$BS1394,$BT1394)*IF($BP1394="Emissions positive",-1,1)</f>
        <v>-462</v>
      </c>
      <c r="CS1394">
        <f>IF($CN1394="refOK",$BT1394,$BS1394)*IF($BP1394="Emissions positive",-1,1)</f>
        <v>-121</v>
      </c>
      <c r="CT1394">
        <f>IF($CN1394="refNeedCorrection",-BX1394,BX1394)*IF($BP1394="Emissions positive",-1,1)</f>
        <v>0.34100000000000003</v>
      </c>
      <c r="CU1394" t="str">
        <f>IFERROR(CT1394/CQ1394,"")</f>
        <v/>
      </c>
      <c r="CV1394" s="2">
        <f>IFERROR((CS1394-CR1394)/ABS(CR1394),"")</f>
        <v>0.73809523809523814</v>
      </c>
      <c r="CW1394" s="1" t="s">
        <v>3797</v>
      </c>
      <c r="CX1394" s="312" t="str">
        <f>IF(OR($CW1394="prd",$CW1394="std",$CW1394="cit"),"loc",IF(OR($CW1394="eur",$CW1394="reg",$CW1394="coy"),"reg",$CW1394))</f>
        <v>reg</v>
      </c>
      <c r="CY1394" t="s">
        <v>3895</v>
      </c>
      <c r="DB1394">
        <v>300</v>
      </c>
      <c r="DC1394" t="str">
        <f>IF(DB1394=0,"0",IF(AND(DB1394&gt;=1,DB1394&lt;=30),"1-30",IF(AND(DB1394&gt;30,DB1394&lt;=70),"31-70",IF(AND(DB1394&gt;70,DB1394&lt;=100),"71-100",IF(DB1394&gt;100,"+100")))))</f>
        <v>+100</v>
      </c>
      <c r="DD1394">
        <v>0</v>
      </c>
      <c r="DE1394">
        <v>0</v>
      </c>
      <c r="DF1394">
        <v>0</v>
      </c>
      <c r="DG1394">
        <v>1</v>
      </c>
      <c r="DH1394">
        <v>1</v>
      </c>
      <c r="DI1394">
        <f>SUM(DD1394:DH1394)</f>
        <v>2</v>
      </c>
      <c r="DJ1394" t="str">
        <f>IF(DI1394=1,INDEX($DD$7:$DG$7,MATCH(1,$DD1394:$DG1394,0)),"mixedProduct")</f>
        <v>mixedProduct</v>
      </c>
      <c r="DK1394">
        <f>IF(DD1394=1,DK$7,0)</f>
        <v>0</v>
      </c>
      <c r="DL1394">
        <f>IF(DE1394=1,DL$7,0)</f>
        <v>0</v>
      </c>
      <c r="DM1394">
        <f>IF(DF1394=1,DM$7,0)</f>
        <v>0</v>
      </c>
      <c r="DN1394" t="str">
        <f>IF(DG1394=1,DN$7,0)</f>
        <v>Timber</v>
      </c>
      <c r="DO1394">
        <v>0</v>
      </c>
      <c r="DP1394">
        <v>0</v>
      </c>
      <c r="DQ1394">
        <v>0</v>
      </c>
      <c r="DR1394">
        <v>0</v>
      </c>
      <c r="DS1394">
        <v>0</v>
      </c>
      <c r="DT1394"/>
      <c r="DU1394" s="143" t="str">
        <f>IF(DO1394=1,"self-calculated DF",IF(DP1394=1,"external DF used","explicit C balance"))</f>
        <v>explicit C balance</v>
      </c>
      <c r="DV1394">
        <v>0</v>
      </c>
      <c r="DW1394">
        <v>0</v>
      </c>
      <c r="DX1394">
        <v>1</v>
      </c>
      <c r="DY1394">
        <v>1</v>
      </c>
      <c r="DZ1394">
        <v>1</v>
      </c>
      <c r="EA1394">
        <v>1</v>
      </c>
      <c r="EB1394">
        <v>0</v>
      </c>
      <c r="EC1394">
        <v>1</v>
      </c>
      <c r="ED1394">
        <v>1</v>
      </c>
      <c r="EE1394">
        <v>1</v>
      </c>
      <c r="EF1394">
        <v>1</v>
      </c>
      <c r="EG1394">
        <v>1</v>
      </c>
      <c r="EH1394">
        <v>0</v>
      </c>
      <c r="EI1394" s="2">
        <v>0</v>
      </c>
      <c r="EK1394" t="str">
        <f>IF(AND(AND(AND(OR($DX1394=1,$DW1394=1),OR($EC1394=1,$EA1394=1)),SUM($DV1394:$DZ1394,$EF1394)&gt;=3),SUM($EA1394:$EE1394)&gt;=2),"Whole sector","")</f>
        <v>Whole sector</v>
      </c>
      <c r="EL1394" t="str">
        <f>IF(AND(AND(OR($DX1394=1,$DW1394=1),AND($EC1394=0,$EA1394=0)),SUM($DV1394:$DZ1394,$EF1394)&gt;=3),"Ecosystem approach","")</f>
        <v/>
      </c>
      <c r="EM1394" s="2" t="str">
        <f>IF(AND(AND(AND($DX1394=0,$DW1394=0),OR($EC1394=1,$EA1394=1)),SUM($EB1394:$EE1394)&gt;=2),"Technology approach","")</f>
        <v/>
      </c>
      <c r="EP1394" t="b">
        <f>IF(ISNUMBER(BU1394),IF(ABS(BU1394-[5]QC_indicators!$B$2)&gt;3*[5]QC_indicators!$C$2,"C ratio",IF(ISNUMBER(BY1394),IF(ABS(BY1394-[5]QC_indicators!$B$1)&gt;3*[5]QC_indicators!$C$1,"DF","no"))),IF(ISNUMBER(BY1394),IF(ABS(BY1394-[5]QC_indicators!$B$1)&gt;3*[5]QC_indicators!$C$1,"DF","no")))</f>
        <v>0</v>
      </c>
    </row>
    <row r="1395" spans="1:146" ht="15" customHeight="1">
      <c r="A1395" s="1" t="s">
        <v>667</v>
      </c>
      <c r="B1395" t="s">
        <v>3886</v>
      </c>
      <c r="C1395" t="s">
        <v>3887</v>
      </c>
      <c r="D1395" t="s">
        <v>3888</v>
      </c>
      <c r="E1395" t="s">
        <v>3889</v>
      </c>
      <c r="F1395" t="s">
        <v>3890</v>
      </c>
      <c r="G1395" t="s">
        <v>673</v>
      </c>
      <c r="H1395" t="s">
        <v>254</v>
      </c>
      <c r="I1395">
        <v>2016</v>
      </c>
      <c r="J1395">
        <v>46</v>
      </c>
      <c r="K1395" t="s">
        <v>3891</v>
      </c>
      <c r="M1395" t="str">
        <f>LEFT($D1395,FIND(",",$D1395)-1)&amp;"_"&amp;I1395&amp;L1395</f>
        <v>Penaloza_2016</v>
      </c>
      <c r="N1395" s="312" t="s">
        <v>4383</v>
      </c>
      <c r="O1395" s="171" t="s">
        <v>513</v>
      </c>
      <c r="P1395" t="s">
        <v>513</v>
      </c>
      <c r="Q1395" s="312" t="s">
        <v>389</v>
      </c>
      <c r="R1395" s="313"/>
      <c r="S1395" s="1" t="s">
        <v>3900</v>
      </c>
      <c r="T1395" t="s">
        <v>3901</v>
      </c>
      <c r="U1395" t="s">
        <v>3900</v>
      </c>
      <c r="V1395">
        <v>0</v>
      </c>
      <c r="W1395">
        <v>0</v>
      </c>
      <c r="X1395">
        <v>0</v>
      </c>
      <c r="Y1395">
        <v>0</v>
      </c>
      <c r="Z1395">
        <v>0</v>
      </c>
      <c r="AA1395">
        <v>0</v>
      </c>
      <c r="AB1395">
        <v>0</v>
      </c>
      <c r="AC1395">
        <v>0</v>
      </c>
      <c r="AD1395">
        <v>0</v>
      </c>
      <c r="AE1395">
        <v>0</v>
      </c>
      <c r="AF1395">
        <v>0</v>
      </c>
      <c r="AG1395">
        <v>0</v>
      </c>
      <c r="AH1395">
        <v>0</v>
      </c>
      <c r="AI1395">
        <v>0</v>
      </c>
      <c r="AJ1395">
        <v>0</v>
      </c>
      <c r="AK1395">
        <v>1</v>
      </c>
      <c r="AL1395">
        <v>0</v>
      </c>
      <c r="AM1395">
        <v>0</v>
      </c>
      <c r="AN1395">
        <v>0</v>
      </c>
      <c r="AO1395">
        <v>0</v>
      </c>
      <c r="AP1395">
        <v>0</v>
      </c>
      <c r="AQ1395">
        <v>0</v>
      </c>
      <c r="AR1395">
        <v>0</v>
      </c>
      <c r="AS1395">
        <v>0</v>
      </c>
      <c r="AT1395">
        <v>0</v>
      </c>
      <c r="AU1395">
        <v>0</v>
      </c>
      <c r="AV1395">
        <v>0</v>
      </c>
      <c r="AW1395">
        <v>0</v>
      </c>
      <c r="AX1395" s="141">
        <f>COUNTIF(V1395:AW1395,"&lt;&gt;0")</f>
        <v>1</v>
      </c>
      <c r="AY1395" s="141">
        <f>COUNTIF(V1395:AL1395,"&lt;&gt;0")</f>
        <v>1</v>
      </c>
      <c r="AZ1395">
        <f>COUNTIF(V1395:AC1395,"&lt;&gt;0")</f>
        <v>0</v>
      </c>
      <c r="BA1395">
        <f>COUNTIF(AD1395:AI1395,"&lt;&gt;0")</f>
        <v>0</v>
      </c>
      <c r="BB1395">
        <f>COUNTIF(AJ1395:AL1395,"&lt;&gt;0")</f>
        <v>1</v>
      </c>
      <c r="BC1395">
        <f>COUNTIF(AS1395:AW1395,"&lt;&gt;0")</f>
        <v>0</v>
      </c>
      <c r="BD1395">
        <f>COUNTIF(AM1395:AR1395,"&lt;&gt;0")</f>
        <v>0</v>
      </c>
      <c r="BE1395" t="str" cm="1">
        <f t="array" ref="BE1395">IF(AY1395=1,INDEX($V$7:$AL$7,MATCH(TRUE,INDEX($V1395:$AW1395&lt;&gt;0,),0)),IF(AY1395=0,INDEX($AM$7:$AW$7,MATCH(1,$AM1395:$AW1395,0)),IF(BF1395="Multiple strategies","mixed drivers",IF(BF1395="Supply chain","multiple supply","multiple silviculture"))))</f>
        <v>technologies/design switch</v>
      </c>
      <c r="BF1395" s="2" t="str" cm="1">
        <f t="array" ref="BF1395">IF(COUNTIF(AZ1395:BB1395,"&lt;&gt;0")=1,INDEX($V$4:$AW$4,MATCH(TRUE,INDEX($V1395:$AW1395&lt;&gt;0,),0)),IF(COUNTIF(AZ1395:BB1395,"&lt;&gt;0")=0,INDEX($AM$4:$AW$4,MATCH(1,$AM1395:$AW1395,0)),"Multiple strategies"))</f>
        <v>Technology</v>
      </c>
      <c r="BM1395" t="str">
        <f>IFERROR(BL1395/BK1395,"")</f>
        <v/>
      </c>
      <c r="BP1395" s="312" t="s">
        <v>232</v>
      </c>
      <c r="BR1395" t="s">
        <v>3894</v>
      </c>
      <c r="BS1395">
        <v>-462</v>
      </c>
      <c r="BT1395">
        <v>-5</v>
      </c>
      <c r="BU1395" s="144">
        <f>BT1395/BS1395</f>
        <v>1.0822510822510822E-2</v>
      </c>
      <c r="BV1395">
        <f>BT1395-BS1395</f>
        <v>457</v>
      </c>
      <c r="BX1395">
        <f>BV1395/1000</f>
        <v>0.45700000000000002</v>
      </c>
      <c r="BY1395" t="str">
        <f>IFERROR(BX1395/BO1395,"")</f>
        <v/>
      </c>
      <c r="BZ1395">
        <v>0</v>
      </c>
      <c r="CA1395">
        <v>0</v>
      </c>
      <c r="CB1395">
        <v>0</v>
      </c>
      <c r="CC1395">
        <v>0</v>
      </c>
      <c r="CD1395">
        <v>0</v>
      </c>
      <c r="CE1395">
        <v>0</v>
      </c>
      <c r="CF1395">
        <v>0</v>
      </c>
      <c r="CG1395">
        <v>0</v>
      </c>
      <c r="CH1395">
        <v>0</v>
      </c>
      <c r="CI1395">
        <v>0</v>
      </c>
      <c r="CJ1395">
        <v>0</v>
      </c>
      <c r="CK1395">
        <v>0</v>
      </c>
      <c r="CL1395">
        <v>0</v>
      </c>
      <c r="CM1395">
        <v>0</v>
      </c>
      <c r="CN1395" t="str">
        <f>IF($BL1395&lt;$BK1395,"refNeedCorrection","refOK")</f>
        <v>refOK</v>
      </c>
      <c r="CO1395"/>
      <c r="CP1395"/>
      <c r="CQ1395"/>
      <c r="CR1395">
        <f>IF($CN1395="refOK",$BS1395,$BT1395)*IF($BP1395="Emissions positive",-1,1)</f>
        <v>-462</v>
      </c>
      <c r="CS1395">
        <f>IF($CN1395="refOK",$BT1395,$BS1395)*IF($BP1395="Emissions positive",-1,1)</f>
        <v>-5</v>
      </c>
      <c r="CT1395">
        <f>IF($CN1395="refNeedCorrection",-BX1395,BX1395)*IF($BP1395="Emissions positive",-1,1)</f>
        <v>0.45700000000000002</v>
      </c>
      <c r="CU1395" t="str">
        <f>IFERROR(CT1395/CQ1395,"")</f>
        <v/>
      </c>
      <c r="CV1395" s="2">
        <f>IFERROR((CS1395-CR1395)/ABS(CR1395),"")</f>
        <v>0.98917748917748916</v>
      </c>
      <c r="CW1395" s="1" t="s">
        <v>3797</v>
      </c>
      <c r="CX1395" s="312" t="str">
        <f>IF(OR($CW1395="prd",$CW1395="std",$CW1395="cit"),"loc",IF(OR($CW1395="eur",$CW1395="reg",$CW1395="coy"),"reg",$CW1395))</f>
        <v>reg</v>
      </c>
      <c r="CY1395" t="s">
        <v>3895</v>
      </c>
      <c r="DB1395">
        <v>100</v>
      </c>
      <c r="DC1395" t="str">
        <f>IF(DB1395=0,"0",IF(AND(DB1395&gt;=1,DB1395&lt;=30),"1-30",IF(AND(DB1395&gt;30,DB1395&lt;=70),"31-70",IF(AND(DB1395&gt;70,DB1395&lt;=100),"71-100",IF(DB1395&gt;100,"+100")))))</f>
        <v>71-100</v>
      </c>
      <c r="DD1395">
        <v>0</v>
      </c>
      <c r="DE1395">
        <v>0</v>
      </c>
      <c r="DF1395">
        <v>0</v>
      </c>
      <c r="DG1395">
        <v>1</v>
      </c>
      <c r="DH1395">
        <v>1</v>
      </c>
      <c r="DI1395">
        <f>SUM(DD1395:DH1395)</f>
        <v>2</v>
      </c>
      <c r="DJ1395" t="str">
        <f>IF(DI1395=1,INDEX($DD$7:$DG$7,MATCH(1,$DD1395:$DG1395,0)),"mixedProduct")</f>
        <v>mixedProduct</v>
      </c>
      <c r="DK1395">
        <f>IF(DD1395=1,DK$7,0)</f>
        <v>0</v>
      </c>
      <c r="DL1395">
        <f>IF(DE1395=1,DL$7,0)</f>
        <v>0</v>
      </c>
      <c r="DM1395">
        <f>IF(DF1395=1,DM$7,0)</f>
        <v>0</v>
      </c>
      <c r="DN1395" t="str">
        <f>IF(DG1395=1,DN$7,0)</f>
        <v>Timber</v>
      </c>
      <c r="DO1395">
        <v>0</v>
      </c>
      <c r="DP1395">
        <v>0</v>
      </c>
      <c r="DQ1395">
        <v>0</v>
      </c>
      <c r="DR1395">
        <v>0</v>
      </c>
      <c r="DS1395">
        <v>0</v>
      </c>
      <c r="DT1395"/>
      <c r="DU1395" s="143" t="str">
        <f>IF(DO1395=1,"self-calculated DF",IF(DP1395=1,"external DF used","explicit C balance"))</f>
        <v>explicit C balance</v>
      </c>
      <c r="DV1395">
        <v>0</v>
      </c>
      <c r="DW1395">
        <v>0</v>
      </c>
      <c r="DX1395">
        <v>1</v>
      </c>
      <c r="DY1395">
        <v>1</v>
      </c>
      <c r="DZ1395">
        <v>1</v>
      </c>
      <c r="EA1395">
        <v>1</v>
      </c>
      <c r="EB1395">
        <v>0</v>
      </c>
      <c r="EC1395">
        <v>1</v>
      </c>
      <c r="ED1395">
        <v>1</v>
      </c>
      <c r="EE1395">
        <v>1</v>
      </c>
      <c r="EF1395">
        <v>1</v>
      </c>
      <c r="EG1395">
        <v>1</v>
      </c>
      <c r="EH1395">
        <v>0</v>
      </c>
      <c r="EI1395" s="2">
        <v>0</v>
      </c>
      <c r="EK1395" t="str">
        <f>IF(AND(AND(AND(OR($DX1395=1,$DW1395=1),OR($EC1395=1,$EA1395=1)),SUM($DV1395:$DZ1395,$EF1395)&gt;=3),SUM($EA1395:$EE1395)&gt;=2),"Whole sector","")</f>
        <v>Whole sector</v>
      </c>
      <c r="EL1395" t="str">
        <f>IF(AND(AND(OR($DX1395=1,$DW1395=1),AND($EC1395=0,$EA1395=0)),SUM($DV1395:$DZ1395,$EF1395)&gt;=3),"Ecosystem approach","")</f>
        <v/>
      </c>
      <c r="EM1395" s="2" t="str">
        <f>IF(AND(AND(AND($DX1395=0,$DW1395=0),OR($EC1395=1,$EA1395=1)),SUM($EB1395:$EE1395)&gt;=2),"Technology approach","")</f>
        <v/>
      </c>
      <c r="EP1395" t="b">
        <f>IF(ISNUMBER(BU1395),IF(ABS(BU1395-[5]QC_indicators!$B$2)&gt;3*[5]QC_indicators!$C$2,"C ratio",IF(ISNUMBER(BY1395),IF(ABS(BY1395-[5]QC_indicators!$B$1)&gt;3*[5]QC_indicators!$C$1,"DF","no"))),IF(ISNUMBER(BY1395),IF(ABS(BY1395-[5]QC_indicators!$B$1)&gt;3*[5]QC_indicators!$C$1,"DF","no")))</f>
        <v>0</v>
      </c>
    </row>
    <row r="1396" spans="1:146" ht="15" customHeight="1">
      <c r="A1396" s="1" t="s">
        <v>667</v>
      </c>
      <c r="B1396" t="s">
        <v>3886</v>
      </c>
      <c r="C1396" t="s">
        <v>3887</v>
      </c>
      <c r="D1396" t="s">
        <v>3888</v>
      </c>
      <c r="E1396" t="s">
        <v>3889</v>
      </c>
      <c r="F1396" t="s">
        <v>3890</v>
      </c>
      <c r="G1396" t="s">
        <v>673</v>
      </c>
      <c r="H1396" t="s">
        <v>254</v>
      </c>
      <c r="I1396">
        <v>2016</v>
      </c>
      <c r="J1396">
        <v>46</v>
      </c>
      <c r="K1396" t="s">
        <v>3891</v>
      </c>
      <c r="M1396" t="str">
        <f>LEFT($D1396,FIND(",",$D1396)-1)&amp;"_"&amp;I1396&amp;L1396</f>
        <v>Penaloza_2016</v>
      </c>
      <c r="N1396" s="312" t="s">
        <v>4383</v>
      </c>
      <c r="O1396" s="171" t="s">
        <v>513</v>
      </c>
      <c r="P1396" t="s">
        <v>513</v>
      </c>
      <c r="Q1396" s="312" t="s">
        <v>389</v>
      </c>
      <c r="R1396" s="313"/>
      <c r="S1396" s="1" t="s">
        <v>3900</v>
      </c>
      <c r="T1396" t="s">
        <v>3901</v>
      </c>
      <c r="U1396" t="s">
        <v>3900</v>
      </c>
      <c r="V1396">
        <v>0</v>
      </c>
      <c r="W1396">
        <v>0</v>
      </c>
      <c r="X1396">
        <v>0</v>
      </c>
      <c r="Y1396">
        <v>0</v>
      </c>
      <c r="Z1396">
        <v>0</v>
      </c>
      <c r="AA1396">
        <v>0</v>
      </c>
      <c r="AB1396">
        <v>0</v>
      </c>
      <c r="AC1396">
        <v>0</v>
      </c>
      <c r="AD1396">
        <v>0</v>
      </c>
      <c r="AE1396">
        <v>0</v>
      </c>
      <c r="AF1396">
        <v>0</v>
      </c>
      <c r="AG1396">
        <v>0</v>
      </c>
      <c r="AH1396">
        <v>0</v>
      </c>
      <c r="AI1396">
        <v>0</v>
      </c>
      <c r="AJ1396">
        <v>0</v>
      </c>
      <c r="AK1396">
        <v>1</v>
      </c>
      <c r="AL1396">
        <v>0</v>
      </c>
      <c r="AM1396">
        <v>0</v>
      </c>
      <c r="AN1396">
        <v>0</v>
      </c>
      <c r="AO1396">
        <v>0</v>
      </c>
      <c r="AP1396">
        <v>0</v>
      </c>
      <c r="AQ1396">
        <v>0</v>
      </c>
      <c r="AR1396">
        <v>0</v>
      </c>
      <c r="AS1396">
        <v>0</v>
      </c>
      <c r="AT1396">
        <v>0</v>
      </c>
      <c r="AU1396">
        <v>0</v>
      </c>
      <c r="AV1396">
        <v>0</v>
      </c>
      <c r="AW1396">
        <v>0</v>
      </c>
      <c r="AX1396" s="141">
        <f>COUNTIF(V1396:AW1396,"&lt;&gt;0")</f>
        <v>1</v>
      </c>
      <c r="AY1396" s="141">
        <f>COUNTIF(V1396:AL1396,"&lt;&gt;0")</f>
        <v>1</v>
      </c>
      <c r="AZ1396">
        <f>COUNTIF(V1396:AC1396,"&lt;&gt;0")</f>
        <v>0</v>
      </c>
      <c r="BA1396">
        <f>COUNTIF(AD1396:AI1396,"&lt;&gt;0")</f>
        <v>0</v>
      </c>
      <c r="BB1396">
        <f>COUNTIF(AJ1396:AL1396,"&lt;&gt;0")</f>
        <v>1</v>
      </c>
      <c r="BC1396">
        <f>COUNTIF(AS1396:AW1396,"&lt;&gt;0")</f>
        <v>0</v>
      </c>
      <c r="BD1396">
        <f>COUNTIF(AM1396:AR1396,"&lt;&gt;0")</f>
        <v>0</v>
      </c>
      <c r="BE1396" t="str" cm="1">
        <f t="array" ref="BE1396">IF(AY1396=1,INDEX($V$7:$AL$7,MATCH(TRUE,INDEX($V1396:$AW1396&lt;&gt;0,),0)),IF(AY1396=0,INDEX($AM$7:$AW$7,MATCH(1,$AM1396:$AW1396,0)),IF(BF1396="Multiple strategies","mixed drivers",IF(BF1396="Supply chain","multiple supply","multiple silviculture"))))</f>
        <v>technologies/design switch</v>
      </c>
      <c r="BF1396" s="2" t="str" cm="1">
        <f t="array" ref="BF1396">IF(COUNTIF(AZ1396:BB1396,"&lt;&gt;0")=1,INDEX($V$4:$AW$4,MATCH(TRUE,INDEX($V1396:$AW1396&lt;&gt;0,),0)),IF(COUNTIF(AZ1396:BB1396,"&lt;&gt;0")=0,INDEX($AM$4:$AW$4,MATCH(1,$AM1396:$AW1396,0)),"Multiple strategies"))</f>
        <v>Technology</v>
      </c>
      <c r="BM1396" t="str">
        <f>IFERROR(BL1396/BK1396,"")</f>
        <v/>
      </c>
      <c r="BP1396" s="312" t="s">
        <v>232</v>
      </c>
      <c r="BR1396" t="s">
        <v>3894</v>
      </c>
      <c r="BS1396">
        <v>-463</v>
      </c>
      <c r="BT1396">
        <v>-79</v>
      </c>
      <c r="BU1396" s="144">
        <f>BT1396/BS1396</f>
        <v>0.17062634989200864</v>
      </c>
      <c r="BV1396">
        <f>BT1396-BS1396</f>
        <v>384</v>
      </c>
      <c r="BX1396">
        <f>BV1396/1000</f>
        <v>0.38400000000000001</v>
      </c>
      <c r="BY1396" t="str">
        <f>IFERROR(BX1396/BO1396,"")</f>
        <v/>
      </c>
      <c r="BZ1396">
        <v>0</v>
      </c>
      <c r="CA1396">
        <v>0</v>
      </c>
      <c r="CB1396">
        <v>0</v>
      </c>
      <c r="CC1396">
        <v>0</v>
      </c>
      <c r="CD1396">
        <v>0</v>
      </c>
      <c r="CE1396">
        <v>0</v>
      </c>
      <c r="CF1396">
        <v>0</v>
      </c>
      <c r="CG1396">
        <v>0</v>
      </c>
      <c r="CH1396">
        <v>0</v>
      </c>
      <c r="CI1396">
        <v>0</v>
      </c>
      <c r="CJ1396">
        <v>0</v>
      </c>
      <c r="CK1396">
        <v>0</v>
      </c>
      <c r="CL1396">
        <v>0</v>
      </c>
      <c r="CM1396">
        <v>0</v>
      </c>
      <c r="CN1396" t="str">
        <f>IF($BL1396&lt;$BK1396,"refNeedCorrection","refOK")</f>
        <v>refOK</v>
      </c>
      <c r="CO1396"/>
      <c r="CP1396"/>
      <c r="CQ1396"/>
      <c r="CR1396">
        <f>IF($CN1396="refOK",$BS1396,$BT1396)*IF($BP1396="Emissions positive",-1,1)</f>
        <v>-463</v>
      </c>
      <c r="CS1396">
        <f>IF($CN1396="refOK",$BT1396,$BS1396)*IF($BP1396="Emissions positive",-1,1)</f>
        <v>-79</v>
      </c>
      <c r="CT1396">
        <f>IF($CN1396="refNeedCorrection",-BX1396,BX1396)*IF($BP1396="Emissions positive",-1,1)</f>
        <v>0.38400000000000001</v>
      </c>
      <c r="CU1396" t="str">
        <f>IFERROR(CT1396/CQ1396,"")</f>
        <v/>
      </c>
      <c r="CV1396" s="2">
        <f>IFERROR((CS1396-CR1396)/ABS(CR1396),"")</f>
        <v>0.82937365010799136</v>
      </c>
      <c r="CW1396" s="1" t="s">
        <v>3797</v>
      </c>
      <c r="CX1396" s="312" t="str">
        <f>IF(OR($CW1396="prd",$CW1396="std",$CW1396="cit"),"loc",IF(OR($CW1396="eur",$CW1396="reg",$CW1396="coy"),"reg",$CW1396))</f>
        <v>reg</v>
      </c>
      <c r="CY1396" t="s">
        <v>3895</v>
      </c>
      <c r="DB1396">
        <v>300</v>
      </c>
      <c r="DC1396" t="str">
        <f>IF(DB1396=0,"0",IF(AND(DB1396&gt;=1,DB1396&lt;=30),"1-30",IF(AND(DB1396&gt;30,DB1396&lt;=70),"31-70",IF(AND(DB1396&gt;70,DB1396&lt;=100),"71-100",IF(DB1396&gt;100,"+100")))))</f>
        <v>+100</v>
      </c>
      <c r="DD1396">
        <v>0</v>
      </c>
      <c r="DE1396">
        <v>0</v>
      </c>
      <c r="DF1396">
        <v>0</v>
      </c>
      <c r="DG1396">
        <v>1</v>
      </c>
      <c r="DH1396">
        <v>1</v>
      </c>
      <c r="DI1396">
        <f>SUM(DD1396:DH1396)</f>
        <v>2</v>
      </c>
      <c r="DJ1396" t="str">
        <f>IF(DI1396=1,INDEX($DD$7:$DG$7,MATCH(1,$DD1396:$DG1396,0)),"mixedProduct")</f>
        <v>mixedProduct</v>
      </c>
      <c r="DK1396">
        <f>IF(DD1396=1,DK$7,0)</f>
        <v>0</v>
      </c>
      <c r="DL1396">
        <f>IF(DE1396=1,DL$7,0)</f>
        <v>0</v>
      </c>
      <c r="DM1396">
        <f>IF(DF1396=1,DM$7,0)</f>
        <v>0</v>
      </c>
      <c r="DN1396" t="str">
        <f>IF(DG1396=1,DN$7,0)</f>
        <v>Timber</v>
      </c>
      <c r="DO1396">
        <v>0</v>
      </c>
      <c r="DP1396">
        <v>0</v>
      </c>
      <c r="DQ1396">
        <v>0</v>
      </c>
      <c r="DR1396">
        <v>0</v>
      </c>
      <c r="DS1396">
        <v>0</v>
      </c>
      <c r="DT1396"/>
      <c r="DU1396" s="143" t="str">
        <f>IF(DO1396=1,"self-calculated DF",IF(DP1396=1,"external DF used","explicit C balance"))</f>
        <v>explicit C balance</v>
      </c>
      <c r="DV1396">
        <v>0</v>
      </c>
      <c r="DW1396">
        <v>0</v>
      </c>
      <c r="DX1396">
        <v>1</v>
      </c>
      <c r="DY1396">
        <v>1</v>
      </c>
      <c r="DZ1396">
        <v>1</v>
      </c>
      <c r="EA1396">
        <v>1</v>
      </c>
      <c r="EB1396">
        <v>0</v>
      </c>
      <c r="EC1396">
        <v>1</v>
      </c>
      <c r="ED1396">
        <v>1</v>
      </c>
      <c r="EE1396">
        <v>1</v>
      </c>
      <c r="EF1396">
        <v>1</v>
      </c>
      <c r="EG1396">
        <v>1</v>
      </c>
      <c r="EH1396">
        <v>0</v>
      </c>
      <c r="EI1396" s="2">
        <v>0</v>
      </c>
      <c r="EK1396" t="str">
        <f>IF(AND(AND(AND(OR($DX1396=1,$DW1396=1),OR($EC1396=1,$EA1396=1)),SUM($DV1396:$DZ1396,$EF1396)&gt;=3),SUM($EA1396:$EE1396)&gt;=2),"Whole sector","")</f>
        <v>Whole sector</v>
      </c>
      <c r="EL1396" t="str">
        <f>IF(AND(AND(OR($DX1396=1,$DW1396=1),AND($EC1396=0,$EA1396=0)),SUM($DV1396:$DZ1396,$EF1396)&gt;=3),"Ecosystem approach","")</f>
        <v/>
      </c>
      <c r="EM1396" s="2" t="str">
        <f>IF(AND(AND(AND($DX1396=0,$DW1396=0),OR($EC1396=1,$EA1396=1)),SUM($EB1396:$EE1396)&gt;=2),"Technology approach","")</f>
        <v/>
      </c>
      <c r="EP1396" t="b">
        <f>IF(ISNUMBER(BU1396),IF(ABS(BU1396-[5]QC_indicators!$B$2)&gt;3*[5]QC_indicators!$C$2,"C ratio",IF(ISNUMBER(BY1396),IF(ABS(BY1396-[5]QC_indicators!$B$1)&gt;3*[5]QC_indicators!$C$1,"DF","no"))),IF(ISNUMBER(BY1396),IF(ABS(BY1396-[5]QC_indicators!$B$1)&gt;3*[5]QC_indicators!$C$1,"DF","no")))</f>
        <v>0</v>
      </c>
    </row>
    <row r="1397" spans="1:146" ht="15" customHeight="1">
      <c r="A1397" s="1" t="s">
        <v>667</v>
      </c>
      <c r="B1397" t="s">
        <v>3886</v>
      </c>
      <c r="C1397" t="s">
        <v>3887</v>
      </c>
      <c r="D1397" t="s">
        <v>3888</v>
      </c>
      <c r="E1397" t="s">
        <v>3889</v>
      </c>
      <c r="F1397" t="s">
        <v>3890</v>
      </c>
      <c r="G1397" t="s">
        <v>673</v>
      </c>
      <c r="H1397" t="s">
        <v>254</v>
      </c>
      <c r="I1397">
        <v>2016</v>
      </c>
      <c r="J1397">
        <v>46</v>
      </c>
      <c r="K1397" t="s">
        <v>3891</v>
      </c>
      <c r="M1397" t="str">
        <f>LEFT($D1397,FIND(",",$D1397)-1)&amp;"_"&amp;I1397&amp;L1397</f>
        <v>Penaloza_2016</v>
      </c>
      <c r="N1397" s="312" t="s">
        <v>4383</v>
      </c>
      <c r="O1397" s="171" t="s">
        <v>513</v>
      </c>
      <c r="P1397" t="s">
        <v>513</v>
      </c>
      <c r="Q1397" s="312" t="s">
        <v>389</v>
      </c>
      <c r="R1397" s="313"/>
      <c r="S1397" s="1" t="s">
        <v>3902</v>
      </c>
      <c r="T1397" t="s">
        <v>3901</v>
      </c>
      <c r="U1397" t="s">
        <v>3902</v>
      </c>
      <c r="V1397">
        <v>0</v>
      </c>
      <c r="W1397">
        <v>0</v>
      </c>
      <c r="X1397">
        <v>0</v>
      </c>
      <c r="Y1397">
        <v>0</v>
      </c>
      <c r="Z1397">
        <v>0</v>
      </c>
      <c r="AA1397">
        <v>0</v>
      </c>
      <c r="AB1397">
        <v>0</v>
      </c>
      <c r="AC1397">
        <v>0</v>
      </c>
      <c r="AD1397">
        <v>0</v>
      </c>
      <c r="AE1397">
        <v>0</v>
      </c>
      <c r="AF1397">
        <v>0</v>
      </c>
      <c r="AG1397">
        <v>0</v>
      </c>
      <c r="AH1397">
        <v>0</v>
      </c>
      <c r="AI1397">
        <v>0</v>
      </c>
      <c r="AJ1397">
        <v>0</v>
      </c>
      <c r="AK1397">
        <v>1</v>
      </c>
      <c r="AL1397">
        <v>0</v>
      </c>
      <c r="AM1397">
        <v>0</v>
      </c>
      <c r="AN1397">
        <v>0</v>
      </c>
      <c r="AO1397">
        <v>0</v>
      </c>
      <c r="AP1397">
        <v>0</v>
      </c>
      <c r="AQ1397">
        <v>0</v>
      </c>
      <c r="AR1397">
        <v>0</v>
      </c>
      <c r="AS1397">
        <v>0</v>
      </c>
      <c r="AT1397">
        <v>0</v>
      </c>
      <c r="AU1397">
        <v>0</v>
      </c>
      <c r="AV1397">
        <v>0</v>
      </c>
      <c r="AW1397">
        <v>0</v>
      </c>
      <c r="AX1397" s="141">
        <f>COUNTIF(V1397:AW1397,"&lt;&gt;0")</f>
        <v>1</v>
      </c>
      <c r="AY1397" s="141">
        <f>COUNTIF(V1397:AL1397,"&lt;&gt;0")</f>
        <v>1</v>
      </c>
      <c r="AZ1397">
        <f>COUNTIF(V1397:AC1397,"&lt;&gt;0")</f>
        <v>0</v>
      </c>
      <c r="BA1397">
        <f>COUNTIF(AD1397:AI1397,"&lt;&gt;0")</f>
        <v>0</v>
      </c>
      <c r="BB1397">
        <f>COUNTIF(AJ1397:AL1397,"&lt;&gt;0")</f>
        <v>1</v>
      </c>
      <c r="BC1397">
        <f>COUNTIF(AS1397:AW1397,"&lt;&gt;0")</f>
        <v>0</v>
      </c>
      <c r="BD1397">
        <f>COUNTIF(AM1397:AR1397,"&lt;&gt;0")</f>
        <v>0</v>
      </c>
      <c r="BE1397" t="str" cm="1">
        <f t="array" ref="BE1397">IF(AY1397=1,INDEX($V$7:$AL$7,MATCH(TRUE,INDEX($V1397:$AW1397&lt;&gt;0,),0)),IF(AY1397=0,INDEX($AM$7:$AW$7,MATCH(1,$AM1397:$AW1397,0)),IF(BF1397="Multiple strategies","mixed drivers",IF(BF1397="Supply chain","multiple supply","multiple silviculture"))))</f>
        <v>technologies/design switch</v>
      </c>
      <c r="BF1397" s="2" t="str" cm="1">
        <f t="array" ref="BF1397">IF(COUNTIF(AZ1397:BB1397,"&lt;&gt;0")=1,INDEX($V$4:$AW$4,MATCH(TRUE,INDEX($V1397:$AW1397&lt;&gt;0,),0)),IF(COUNTIF(AZ1397:BB1397,"&lt;&gt;0")=0,INDEX($AM$4:$AW$4,MATCH(1,$AM1397:$AW1397,0)),"Multiple strategies"))</f>
        <v>Technology</v>
      </c>
      <c r="BM1397" t="str">
        <f>IFERROR(BL1397/BK1397,"")</f>
        <v/>
      </c>
      <c r="BP1397" s="312" t="s">
        <v>232</v>
      </c>
      <c r="BR1397" t="s">
        <v>3894</v>
      </c>
      <c r="BS1397">
        <v>-462</v>
      </c>
      <c r="BT1397">
        <v>188</v>
      </c>
      <c r="BU1397" s="144">
        <f>BT1397/BS1397</f>
        <v>-0.40692640692640691</v>
      </c>
      <c r="BV1397">
        <f>BT1397-BS1397</f>
        <v>650</v>
      </c>
      <c r="BX1397">
        <f>BV1397/1000</f>
        <v>0.65</v>
      </c>
      <c r="BY1397" t="str">
        <f>IFERROR(BX1397/BO1397,"")</f>
        <v/>
      </c>
      <c r="BZ1397">
        <v>0</v>
      </c>
      <c r="CA1397">
        <v>0</v>
      </c>
      <c r="CB1397">
        <v>0</v>
      </c>
      <c r="CC1397">
        <v>0</v>
      </c>
      <c r="CD1397">
        <v>0</v>
      </c>
      <c r="CE1397">
        <v>0</v>
      </c>
      <c r="CF1397">
        <v>0</v>
      </c>
      <c r="CG1397">
        <v>0</v>
      </c>
      <c r="CH1397">
        <v>0</v>
      </c>
      <c r="CI1397">
        <v>0</v>
      </c>
      <c r="CJ1397">
        <v>0</v>
      </c>
      <c r="CK1397">
        <v>0</v>
      </c>
      <c r="CL1397">
        <v>0</v>
      </c>
      <c r="CM1397">
        <v>0</v>
      </c>
      <c r="CN1397" t="str">
        <f>IF($BL1397&lt;$BK1397,"refNeedCorrection","refOK")</f>
        <v>refOK</v>
      </c>
      <c r="CO1397"/>
      <c r="CP1397"/>
      <c r="CQ1397"/>
      <c r="CR1397">
        <f>IF($CN1397="refOK",$BS1397,$BT1397)*IF($BP1397="Emissions positive",-1,1)</f>
        <v>-462</v>
      </c>
      <c r="CS1397">
        <v>188</v>
      </c>
      <c r="CT1397">
        <f>IF($CN1397="refNeedCorrection",-BX1397,BX1397)*IF($BP1397="Emissions positive",-1,1)</f>
        <v>0.65</v>
      </c>
      <c r="CU1397" t="str">
        <f>IFERROR(CT1397/CQ1397,"")</f>
        <v/>
      </c>
      <c r="CV1397" s="2">
        <f>IFERROR((CS1397-CR1397)/ABS(CR1397),"")</f>
        <v>1.4069264069264069</v>
      </c>
      <c r="CW1397" s="1" t="s">
        <v>3797</v>
      </c>
      <c r="CX1397" s="312" t="str">
        <f>IF(OR($CW1397="prd",$CW1397="std",$CW1397="cit"),"loc",IF(OR($CW1397="eur",$CW1397="reg",$CW1397="coy"),"reg",$CW1397))</f>
        <v>reg</v>
      </c>
      <c r="CY1397" t="s">
        <v>3895</v>
      </c>
      <c r="DB1397">
        <v>100</v>
      </c>
      <c r="DC1397" t="str">
        <f>IF(DB1397=0,"0",IF(AND(DB1397&gt;=1,DB1397&lt;=30),"1-30",IF(AND(DB1397&gt;30,DB1397&lt;=70),"31-70",IF(AND(DB1397&gt;70,DB1397&lt;=100),"71-100",IF(DB1397&gt;100,"+100")))))</f>
        <v>71-100</v>
      </c>
      <c r="DD1397">
        <v>0</v>
      </c>
      <c r="DE1397">
        <v>0</v>
      </c>
      <c r="DF1397">
        <v>0</v>
      </c>
      <c r="DG1397">
        <v>1</v>
      </c>
      <c r="DH1397">
        <v>1</v>
      </c>
      <c r="DI1397">
        <f>SUM(DD1397:DH1397)</f>
        <v>2</v>
      </c>
      <c r="DJ1397" t="str">
        <f>IF(DI1397=1,INDEX($DD$7:$DG$7,MATCH(1,$DD1397:$DG1397,0)),"mixedProduct")</f>
        <v>mixedProduct</v>
      </c>
      <c r="DK1397">
        <f>IF(DD1397=1,DK$7,0)</f>
        <v>0</v>
      </c>
      <c r="DL1397">
        <f>IF(DE1397=1,DL$7,0)</f>
        <v>0</v>
      </c>
      <c r="DM1397">
        <f>IF(DF1397=1,DM$7,0)</f>
        <v>0</v>
      </c>
      <c r="DN1397" t="str">
        <f>IF(DG1397=1,DN$7,0)</f>
        <v>Timber</v>
      </c>
      <c r="DO1397">
        <v>0</v>
      </c>
      <c r="DP1397">
        <v>0</v>
      </c>
      <c r="DQ1397">
        <v>0</v>
      </c>
      <c r="DR1397">
        <v>0</v>
      </c>
      <c r="DS1397">
        <v>0</v>
      </c>
      <c r="DT1397"/>
      <c r="DU1397" s="143" t="str">
        <f>IF(DO1397=1,"self-calculated DF",IF(DP1397=1,"external DF used","explicit C balance"))</f>
        <v>explicit C balance</v>
      </c>
      <c r="DV1397">
        <v>0</v>
      </c>
      <c r="DW1397">
        <v>0</v>
      </c>
      <c r="DX1397">
        <v>1</v>
      </c>
      <c r="DY1397">
        <v>1</v>
      </c>
      <c r="DZ1397">
        <v>1</v>
      </c>
      <c r="EA1397">
        <v>1</v>
      </c>
      <c r="EB1397">
        <v>0</v>
      </c>
      <c r="EC1397">
        <v>1</v>
      </c>
      <c r="ED1397">
        <v>1</v>
      </c>
      <c r="EE1397">
        <v>1</v>
      </c>
      <c r="EF1397">
        <v>1</v>
      </c>
      <c r="EG1397">
        <v>1</v>
      </c>
      <c r="EH1397">
        <v>0</v>
      </c>
      <c r="EI1397" s="2">
        <v>0</v>
      </c>
      <c r="EK1397" t="str">
        <f>IF(AND(AND(AND(OR($DX1397=1,$DW1397=1),OR($EC1397=1,$EA1397=1)),SUM($DV1397:$DZ1397,$EF1397)&gt;=3),SUM($EA1397:$EE1397)&gt;=2),"Whole sector","")</f>
        <v>Whole sector</v>
      </c>
      <c r="EL1397" t="str">
        <f>IF(AND(AND(OR($DX1397=1,$DW1397=1),AND($EC1397=0,$EA1397=0)),SUM($DV1397:$DZ1397,$EF1397)&gt;=3),"Ecosystem approach","")</f>
        <v/>
      </c>
      <c r="EM1397" s="2" t="str">
        <f>IF(AND(AND(AND($DX1397=0,$DW1397=0),OR($EC1397=1,$EA1397=1)),SUM($EB1397:$EE1397)&gt;=2),"Technology approach","")</f>
        <v/>
      </c>
      <c r="EP1397" t="b">
        <f>IF(ISNUMBER(BU1397),IF(ABS(BU1397-[5]QC_indicators!$B$2)&gt;3*[5]QC_indicators!$C$2,"C ratio",IF(ISNUMBER(BY1397),IF(ABS(BY1397-[5]QC_indicators!$B$1)&gt;3*[5]QC_indicators!$C$1,"DF","no"))),IF(ISNUMBER(BY1397),IF(ABS(BY1397-[5]QC_indicators!$B$1)&gt;3*[5]QC_indicators!$C$1,"DF","no")))</f>
        <v>0</v>
      </c>
    </row>
    <row r="1398" spans="1:146" ht="15" customHeight="1">
      <c r="A1398" s="1" t="s">
        <v>667</v>
      </c>
      <c r="B1398" t="s">
        <v>3886</v>
      </c>
      <c r="C1398" t="s">
        <v>3887</v>
      </c>
      <c r="D1398" t="s">
        <v>3888</v>
      </c>
      <c r="E1398" t="s">
        <v>3889</v>
      </c>
      <c r="F1398" t="s">
        <v>3890</v>
      </c>
      <c r="G1398" t="s">
        <v>673</v>
      </c>
      <c r="H1398" t="s">
        <v>254</v>
      </c>
      <c r="I1398">
        <v>2016</v>
      </c>
      <c r="J1398">
        <v>46</v>
      </c>
      <c r="K1398" t="s">
        <v>3891</v>
      </c>
      <c r="M1398" t="str">
        <f>LEFT($D1398,FIND(",",$D1398)-1)&amp;"_"&amp;I1398&amp;L1398</f>
        <v>Penaloza_2016</v>
      </c>
      <c r="N1398" s="312" t="s">
        <v>4383</v>
      </c>
      <c r="O1398" s="171" t="s">
        <v>513</v>
      </c>
      <c r="P1398" t="s">
        <v>513</v>
      </c>
      <c r="Q1398" s="312" t="s">
        <v>389</v>
      </c>
      <c r="R1398" s="313"/>
      <c r="S1398" s="1" t="s">
        <v>3902</v>
      </c>
      <c r="T1398" t="s">
        <v>3901</v>
      </c>
      <c r="U1398" t="s">
        <v>3902</v>
      </c>
      <c r="V1398">
        <v>0</v>
      </c>
      <c r="W1398">
        <v>0</v>
      </c>
      <c r="X1398">
        <v>0</v>
      </c>
      <c r="Y1398">
        <v>0</v>
      </c>
      <c r="Z1398">
        <v>0</v>
      </c>
      <c r="AA1398">
        <v>0</v>
      </c>
      <c r="AB1398">
        <v>0</v>
      </c>
      <c r="AC1398">
        <v>0</v>
      </c>
      <c r="AD1398">
        <v>0</v>
      </c>
      <c r="AE1398">
        <v>0</v>
      </c>
      <c r="AF1398">
        <v>0</v>
      </c>
      <c r="AG1398">
        <v>0</v>
      </c>
      <c r="AH1398">
        <v>0</v>
      </c>
      <c r="AI1398">
        <v>0</v>
      </c>
      <c r="AJ1398">
        <v>0</v>
      </c>
      <c r="AK1398">
        <v>1</v>
      </c>
      <c r="AL1398">
        <v>0</v>
      </c>
      <c r="AM1398">
        <v>0</v>
      </c>
      <c r="AN1398">
        <v>0</v>
      </c>
      <c r="AO1398">
        <v>0</v>
      </c>
      <c r="AP1398">
        <v>0</v>
      </c>
      <c r="AQ1398">
        <v>0</v>
      </c>
      <c r="AR1398">
        <v>0</v>
      </c>
      <c r="AS1398">
        <v>0</v>
      </c>
      <c r="AT1398">
        <v>0</v>
      </c>
      <c r="AU1398">
        <v>0</v>
      </c>
      <c r="AV1398">
        <v>0</v>
      </c>
      <c r="AW1398">
        <v>0</v>
      </c>
      <c r="AX1398" s="141">
        <f>COUNTIF(V1398:AW1398,"&lt;&gt;0")</f>
        <v>1</v>
      </c>
      <c r="AY1398" s="141">
        <f>COUNTIF(V1398:AL1398,"&lt;&gt;0")</f>
        <v>1</v>
      </c>
      <c r="AZ1398">
        <f>COUNTIF(V1398:AC1398,"&lt;&gt;0")</f>
        <v>0</v>
      </c>
      <c r="BA1398">
        <f>COUNTIF(AD1398:AI1398,"&lt;&gt;0")</f>
        <v>0</v>
      </c>
      <c r="BB1398">
        <f>COUNTIF(AJ1398:AL1398,"&lt;&gt;0")</f>
        <v>1</v>
      </c>
      <c r="BC1398">
        <f>COUNTIF(AS1398:AW1398,"&lt;&gt;0")</f>
        <v>0</v>
      </c>
      <c r="BD1398">
        <f>COUNTIF(AM1398:AR1398,"&lt;&gt;0")</f>
        <v>0</v>
      </c>
      <c r="BE1398" t="str" cm="1">
        <f t="array" ref="BE1398">IF(AY1398=1,INDEX($V$7:$AL$7,MATCH(TRUE,INDEX($V1398:$AW1398&lt;&gt;0,),0)),IF(AY1398=0,INDEX($AM$7:$AW$7,MATCH(1,$AM1398:$AW1398,0)),IF(BF1398="Multiple strategies","mixed drivers",IF(BF1398="Supply chain","multiple supply","multiple silviculture"))))</f>
        <v>technologies/design switch</v>
      </c>
      <c r="BF1398" s="2" t="str" cm="1">
        <f t="array" ref="BF1398">IF(COUNTIF(AZ1398:BB1398,"&lt;&gt;0")=1,INDEX($V$4:$AW$4,MATCH(TRUE,INDEX($V1398:$AW1398&lt;&gt;0,),0)),IF(COUNTIF(AZ1398:BB1398,"&lt;&gt;0")=0,INDEX($AM$4:$AW$4,MATCH(1,$AM1398:$AW1398,0)),"Multiple strategies"))</f>
        <v>Technology</v>
      </c>
      <c r="BM1398" t="str">
        <f>IFERROR(BL1398/BK1398,"")</f>
        <v/>
      </c>
      <c r="BP1398" s="312" t="s">
        <v>232</v>
      </c>
      <c r="BR1398" t="s">
        <v>3894</v>
      </c>
      <c r="BS1398">
        <v>-463</v>
      </c>
      <c r="BT1398">
        <v>70</v>
      </c>
      <c r="BU1398" s="144">
        <f>BT1398/BS1398</f>
        <v>-0.15118790496760259</v>
      </c>
      <c r="BV1398">
        <f>BT1398-BS1398</f>
        <v>533</v>
      </c>
      <c r="BX1398">
        <f>BV1398/1000</f>
        <v>0.53300000000000003</v>
      </c>
      <c r="BY1398" t="str">
        <f>IFERROR(BX1398/BO1398,"")</f>
        <v/>
      </c>
      <c r="BZ1398">
        <v>0</v>
      </c>
      <c r="CA1398">
        <v>0</v>
      </c>
      <c r="CB1398">
        <v>0</v>
      </c>
      <c r="CC1398">
        <v>0</v>
      </c>
      <c r="CD1398">
        <v>0</v>
      </c>
      <c r="CE1398">
        <v>0</v>
      </c>
      <c r="CF1398">
        <v>0</v>
      </c>
      <c r="CG1398">
        <v>0</v>
      </c>
      <c r="CH1398">
        <v>0</v>
      </c>
      <c r="CI1398">
        <v>0</v>
      </c>
      <c r="CJ1398">
        <v>0</v>
      </c>
      <c r="CK1398">
        <v>0</v>
      </c>
      <c r="CL1398">
        <v>0</v>
      </c>
      <c r="CM1398">
        <v>0</v>
      </c>
      <c r="CN1398" t="str">
        <f>IF($BL1398&lt;$BK1398,"refNeedCorrection","refOK")</f>
        <v>refOK</v>
      </c>
      <c r="CO1398"/>
      <c r="CP1398"/>
      <c r="CQ1398"/>
      <c r="CR1398">
        <f>IF($CN1398="refOK",$BS1398,$BT1398)*IF($BP1398="Emissions positive",-1,1)</f>
        <v>-463</v>
      </c>
      <c r="CS1398">
        <f>IF($CN1398="refOK",$BT1398,$BS1398)*IF($BP1398="Emissions positive",-1,1)</f>
        <v>70</v>
      </c>
      <c r="CT1398">
        <f>IF($CN1398="refNeedCorrection",-BX1398,BX1398)*IF($BP1398="Emissions positive",-1,1)</f>
        <v>0.53300000000000003</v>
      </c>
      <c r="CU1398" t="str">
        <f>IFERROR(CT1398/CQ1398,"")</f>
        <v/>
      </c>
      <c r="CV1398" s="2">
        <f>IFERROR((CS1398-CR1398)/ABS(CR1398),"")</f>
        <v>1.1511879049676026</v>
      </c>
      <c r="CW1398" s="1" t="s">
        <v>3797</v>
      </c>
      <c r="CX1398" s="312" t="str">
        <f>IF(OR($CW1398="prd",$CW1398="std",$CW1398="cit"),"loc",IF(OR($CW1398="eur",$CW1398="reg",$CW1398="coy"),"reg",$CW1398))</f>
        <v>reg</v>
      </c>
      <c r="CY1398" t="s">
        <v>3895</v>
      </c>
      <c r="DB1398">
        <v>300</v>
      </c>
      <c r="DC1398" t="str">
        <f>IF(DB1398=0,"0",IF(AND(DB1398&gt;=1,DB1398&lt;=30),"1-30",IF(AND(DB1398&gt;30,DB1398&lt;=70),"31-70",IF(AND(DB1398&gt;70,DB1398&lt;=100),"71-100",IF(DB1398&gt;100,"+100")))))</f>
        <v>+100</v>
      </c>
      <c r="DD1398">
        <v>0</v>
      </c>
      <c r="DE1398">
        <v>0</v>
      </c>
      <c r="DF1398">
        <v>0</v>
      </c>
      <c r="DG1398">
        <v>1</v>
      </c>
      <c r="DH1398">
        <v>1</v>
      </c>
      <c r="DI1398">
        <f>SUM(DD1398:DH1398)</f>
        <v>2</v>
      </c>
      <c r="DJ1398" t="str">
        <f>IF(DI1398=1,INDEX($DD$7:$DG$7,MATCH(1,$DD1398:$DG1398,0)),"mixedProduct")</f>
        <v>mixedProduct</v>
      </c>
      <c r="DK1398">
        <f>IF(DD1398=1,DK$7,0)</f>
        <v>0</v>
      </c>
      <c r="DL1398">
        <f>IF(DE1398=1,DL$7,0)</f>
        <v>0</v>
      </c>
      <c r="DM1398">
        <f>IF(DF1398=1,DM$7,0)</f>
        <v>0</v>
      </c>
      <c r="DN1398" t="str">
        <f>IF(DG1398=1,DN$7,0)</f>
        <v>Timber</v>
      </c>
      <c r="DO1398">
        <v>0</v>
      </c>
      <c r="DP1398">
        <v>0</v>
      </c>
      <c r="DQ1398">
        <v>0</v>
      </c>
      <c r="DR1398">
        <v>0</v>
      </c>
      <c r="DS1398">
        <v>0</v>
      </c>
      <c r="DT1398"/>
      <c r="DU1398" s="143" t="str">
        <f>IF(DO1398=1,"self-calculated DF",IF(DP1398=1,"external DF used","explicit C balance"))</f>
        <v>explicit C balance</v>
      </c>
      <c r="DV1398">
        <v>0</v>
      </c>
      <c r="DW1398">
        <v>0</v>
      </c>
      <c r="DX1398">
        <v>1</v>
      </c>
      <c r="DY1398">
        <v>1</v>
      </c>
      <c r="DZ1398">
        <v>1</v>
      </c>
      <c r="EA1398">
        <v>1</v>
      </c>
      <c r="EB1398">
        <v>0</v>
      </c>
      <c r="EC1398">
        <v>1</v>
      </c>
      <c r="ED1398">
        <v>1</v>
      </c>
      <c r="EE1398">
        <v>1</v>
      </c>
      <c r="EF1398">
        <v>1</v>
      </c>
      <c r="EG1398">
        <v>1</v>
      </c>
      <c r="EH1398">
        <v>0</v>
      </c>
      <c r="EI1398" s="2">
        <v>0</v>
      </c>
      <c r="EK1398" t="str">
        <f>IF(AND(AND(AND(OR($DX1398=1,$DW1398=1),OR($EC1398=1,$EA1398=1)),SUM($DV1398:$DZ1398,$EF1398)&gt;=3),SUM($EA1398:$EE1398)&gt;=2),"Whole sector","")</f>
        <v>Whole sector</v>
      </c>
      <c r="EL1398" t="str">
        <f>IF(AND(AND(OR($DX1398=1,$DW1398=1),AND($EC1398=0,$EA1398=0)),SUM($DV1398:$DZ1398,$EF1398)&gt;=3),"Ecosystem approach","")</f>
        <v/>
      </c>
      <c r="EM1398" s="2" t="str">
        <f>IF(AND(AND(AND($DX1398=0,$DW1398=0),OR($EC1398=1,$EA1398=1)),SUM($EB1398:$EE1398)&gt;=2),"Technology approach","")</f>
        <v/>
      </c>
      <c r="EP1398" t="b">
        <f>IF(ISNUMBER(BU1398),IF(ABS(BU1398-[5]QC_indicators!$B$2)&gt;3*[5]QC_indicators!$C$2,"C ratio",IF(ISNUMBER(BY1398),IF(ABS(BY1398-[5]QC_indicators!$B$1)&gt;3*[5]QC_indicators!$C$1,"DF","no"))),IF(ISNUMBER(BY1398),IF(ABS(BY1398-[5]QC_indicators!$B$1)&gt;3*[5]QC_indicators!$C$1,"DF","no")))</f>
        <v>0</v>
      </c>
    </row>
    <row r="1399" spans="1:146" ht="15" customHeight="1">
      <c r="A1399" s="1" t="s">
        <v>667</v>
      </c>
      <c r="B1399" t="s">
        <v>3886</v>
      </c>
      <c r="C1399" t="s">
        <v>3887</v>
      </c>
      <c r="D1399" t="s">
        <v>3888</v>
      </c>
      <c r="E1399" t="s">
        <v>3889</v>
      </c>
      <c r="F1399" t="s">
        <v>3890</v>
      </c>
      <c r="G1399" t="s">
        <v>673</v>
      </c>
      <c r="H1399" t="s">
        <v>254</v>
      </c>
      <c r="I1399">
        <v>2016</v>
      </c>
      <c r="J1399">
        <v>46</v>
      </c>
      <c r="K1399" t="s">
        <v>3891</v>
      </c>
      <c r="M1399" t="str">
        <f>LEFT($D1399,FIND(",",$D1399)-1)&amp;"_"&amp;I1399&amp;L1399</f>
        <v>Penaloza_2016</v>
      </c>
      <c r="N1399" s="312" t="s">
        <v>4383</v>
      </c>
      <c r="O1399" s="171" t="s">
        <v>513</v>
      </c>
      <c r="P1399" t="s">
        <v>513</v>
      </c>
      <c r="Q1399" s="312" t="s">
        <v>389</v>
      </c>
      <c r="R1399" s="313"/>
      <c r="S1399" s="1" t="s">
        <v>3903</v>
      </c>
      <c r="T1399" t="s">
        <v>3904</v>
      </c>
      <c r="U1399" t="s">
        <v>3903</v>
      </c>
      <c r="V1399">
        <v>0</v>
      </c>
      <c r="W1399">
        <v>0</v>
      </c>
      <c r="X1399">
        <v>0</v>
      </c>
      <c r="Y1399">
        <v>0</v>
      </c>
      <c r="Z1399">
        <v>0</v>
      </c>
      <c r="AA1399">
        <v>0</v>
      </c>
      <c r="AB1399">
        <v>0</v>
      </c>
      <c r="AC1399">
        <v>0</v>
      </c>
      <c r="AD1399">
        <v>0</v>
      </c>
      <c r="AE1399">
        <v>0</v>
      </c>
      <c r="AF1399">
        <v>0</v>
      </c>
      <c r="AG1399">
        <v>0</v>
      </c>
      <c r="AH1399">
        <v>0</v>
      </c>
      <c r="AI1399">
        <v>0</v>
      </c>
      <c r="AJ1399">
        <v>0</v>
      </c>
      <c r="AK1399">
        <v>1</v>
      </c>
      <c r="AL1399">
        <v>0</v>
      </c>
      <c r="AM1399">
        <v>0</v>
      </c>
      <c r="AN1399">
        <v>0</v>
      </c>
      <c r="AO1399">
        <v>0</v>
      </c>
      <c r="AP1399">
        <v>0</v>
      </c>
      <c r="AQ1399">
        <v>0</v>
      </c>
      <c r="AR1399">
        <v>0</v>
      </c>
      <c r="AS1399">
        <v>0</v>
      </c>
      <c r="AT1399">
        <v>0</v>
      </c>
      <c r="AU1399">
        <v>0</v>
      </c>
      <c r="AV1399">
        <v>0</v>
      </c>
      <c r="AW1399">
        <v>0</v>
      </c>
      <c r="AX1399" s="141">
        <f>COUNTIF(V1399:AW1399,"&lt;&gt;0")</f>
        <v>1</v>
      </c>
      <c r="AY1399" s="141">
        <f>COUNTIF(V1399:AL1399,"&lt;&gt;0")</f>
        <v>1</v>
      </c>
      <c r="AZ1399">
        <f>COUNTIF(V1399:AC1399,"&lt;&gt;0")</f>
        <v>0</v>
      </c>
      <c r="BA1399">
        <f>COUNTIF(AD1399:AI1399,"&lt;&gt;0")</f>
        <v>0</v>
      </c>
      <c r="BB1399">
        <f>COUNTIF(AJ1399:AL1399,"&lt;&gt;0")</f>
        <v>1</v>
      </c>
      <c r="BC1399">
        <f>COUNTIF(AS1399:AW1399,"&lt;&gt;0")</f>
        <v>0</v>
      </c>
      <c r="BD1399">
        <f>COUNTIF(AM1399:AR1399,"&lt;&gt;0")</f>
        <v>0</v>
      </c>
      <c r="BE1399" t="str" cm="1">
        <f t="array" ref="BE1399">IF(AY1399=1,INDEX($V$7:$AL$7,MATCH(TRUE,INDEX($V1399:$AW1399&lt;&gt;0,),0)),IF(AY1399=0,INDEX($AM$7:$AW$7,MATCH(1,$AM1399:$AW1399,0)),IF(BF1399="Multiple strategies","mixed drivers",IF(BF1399="Supply chain","multiple supply","multiple silviculture"))))</f>
        <v>technologies/design switch</v>
      </c>
      <c r="BF1399" s="2" t="str" cm="1">
        <f t="array" ref="BF1399">IF(COUNTIF(AZ1399:BB1399,"&lt;&gt;0")=1,INDEX($V$4:$AW$4,MATCH(TRUE,INDEX($V1399:$AW1399&lt;&gt;0,),0)),IF(COUNTIF(AZ1399:BB1399,"&lt;&gt;0")=0,INDEX($AM$4:$AW$4,MATCH(1,$AM1399:$AW1399,0)),"Multiple strategies"))</f>
        <v>Technology</v>
      </c>
      <c r="BM1399" t="str">
        <f>IFERROR(BL1399/BK1399,"")</f>
        <v/>
      </c>
      <c r="BP1399" s="312" t="s">
        <v>232</v>
      </c>
      <c r="BR1399" t="s">
        <v>3894</v>
      </c>
      <c r="BS1399">
        <v>-462</v>
      </c>
      <c r="BT1399">
        <v>-218</v>
      </c>
      <c r="BU1399" s="144">
        <f>BT1399/BS1399</f>
        <v>0.47186147186147187</v>
      </c>
      <c r="BV1399">
        <f>BT1399-BS1399</f>
        <v>244</v>
      </c>
      <c r="BX1399">
        <f>BV1399/1000</f>
        <v>0.24399999999999999</v>
      </c>
      <c r="BY1399" t="str">
        <f>IFERROR(BX1399/BO1399,"")</f>
        <v/>
      </c>
      <c r="BZ1399">
        <v>0</v>
      </c>
      <c r="CA1399">
        <v>0</v>
      </c>
      <c r="CB1399">
        <v>0</v>
      </c>
      <c r="CC1399">
        <v>0</v>
      </c>
      <c r="CD1399">
        <v>0</v>
      </c>
      <c r="CE1399">
        <v>0</v>
      </c>
      <c r="CF1399">
        <v>0</v>
      </c>
      <c r="CG1399">
        <v>0</v>
      </c>
      <c r="CH1399">
        <v>0</v>
      </c>
      <c r="CI1399">
        <v>0</v>
      </c>
      <c r="CJ1399">
        <v>0</v>
      </c>
      <c r="CK1399">
        <v>0</v>
      </c>
      <c r="CL1399">
        <v>0</v>
      </c>
      <c r="CM1399">
        <v>0</v>
      </c>
      <c r="CN1399" t="str">
        <f>IF($BL1399&lt;$BK1399,"refNeedCorrection","refOK")</f>
        <v>refOK</v>
      </c>
      <c r="CO1399"/>
      <c r="CP1399"/>
      <c r="CQ1399"/>
      <c r="CR1399">
        <f>IF($CN1399="refOK",$BS1399,$BT1399)*IF($BP1399="Emissions positive",-1,1)</f>
        <v>-462</v>
      </c>
      <c r="CS1399">
        <v>-218</v>
      </c>
      <c r="CT1399">
        <f>IF($CN1399="refNeedCorrection",-BX1399,BX1399)*IF($BP1399="Emissions positive",-1,1)</f>
        <v>0.24399999999999999</v>
      </c>
      <c r="CU1399" t="str">
        <f>IFERROR(CT1399/CQ1399,"")</f>
        <v/>
      </c>
      <c r="CV1399" s="2">
        <f>IFERROR((CS1399-CR1399)/ABS(CR1399),"")</f>
        <v>0.52813852813852813</v>
      </c>
      <c r="CW1399" s="1" t="s">
        <v>3797</v>
      </c>
      <c r="CX1399" s="312" t="str">
        <f>IF(OR($CW1399="prd",$CW1399="std",$CW1399="cit"),"loc",IF(OR($CW1399="eur",$CW1399="reg",$CW1399="coy"),"reg",$CW1399))</f>
        <v>reg</v>
      </c>
      <c r="CY1399" t="s">
        <v>3895</v>
      </c>
      <c r="DB1399">
        <v>300</v>
      </c>
      <c r="DC1399" t="str">
        <f>IF(DB1399=0,"0",IF(AND(DB1399&gt;=1,DB1399&lt;=30),"1-30",IF(AND(DB1399&gt;30,DB1399&lt;=70),"31-70",IF(AND(DB1399&gt;70,DB1399&lt;=100),"71-100",IF(DB1399&gt;100,"+100")))))</f>
        <v>+100</v>
      </c>
      <c r="DD1399">
        <v>0</v>
      </c>
      <c r="DE1399">
        <v>0</v>
      </c>
      <c r="DF1399">
        <v>0</v>
      </c>
      <c r="DG1399">
        <v>1</v>
      </c>
      <c r="DH1399">
        <v>1</v>
      </c>
      <c r="DI1399">
        <f>SUM(DD1399:DH1399)</f>
        <v>2</v>
      </c>
      <c r="DJ1399" t="str">
        <f>IF(DI1399=1,INDEX($DD$7:$DG$7,MATCH(1,$DD1399:$DG1399,0)),"mixedProduct")</f>
        <v>mixedProduct</v>
      </c>
      <c r="DK1399">
        <f>IF(DD1399=1,DK$7,0)</f>
        <v>0</v>
      </c>
      <c r="DL1399">
        <f>IF(DE1399=1,DL$7,0)</f>
        <v>0</v>
      </c>
      <c r="DM1399">
        <f>IF(DF1399=1,DM$7,0)</f>
        <v>0</v>
      </c>
      <c r="DN1399" t="str">
        <f>IF(DG1399=1,DN$7,0)</f>
        <v>Timber</v>
      </c>
      <c r="DO1399">
        <v>0</v>
      </c>
      <c r="DP1399">
        <v>0</v>
      </c>
      <c r="DQ1399">
        <v>0</v>
      </c>
      <c r="DR1399">
        <v>0</v>
      </c>
      <c r="DS1399">
        <v>0</v>
      </c>
      <c r="DT1399"/>
      <c r="DU1399" s="143" t="str">
        <f>IF(DO1399=1,"self-calculated DF",IF(DP1399=1,"external DF used","explicit C balance"))</f>
        <v>explicit C balance</v>
      </c>
      <c r="DV1399">
        <v>0</v>
      </c>
      <c r="DW1399">
        <v>0</v>
      </c>
      <c r="DX1399">
        <v>1</v>
      </c>
      <c r="DY1399">
        <v>1</v>
      </c>
      <c r="DZ1399">
        <v>1</v>
      </c>
      <c r="EA1399">
        <v>1</v>
      </c>
      <c r="EB1399">
        <v>0</v>
      </c>
      <c r="EC1399">
        <v>1</v>
      </c>
      <c r="ED1399">
        <v>1</v>
      </c>
      <c r="EE1399">
        <v>1</v>
      </c>
      <c r="EF1399">
        <v>1</v>
      </c>
      <c r="EG1399">
        <v>1</v>
      </c>
      <c r="EH1399">
        <v>0</v>
      </c>
      <c r="EI1399" s="2">
        <v>0</v>
      </c>
      <c r="EK1399" t="str">
        <f>IF(AND(AND(AND(OR($DX1399=1,$DW1399=1),OR($EC1399=1,$EA1399=1)),SUM($DV1399:$DZ1399,$EF1399)&gt;=3),SUM($EA1399:$EE1399)&gt;=2),"Whole sector","")</f>
        <v>Whole sector</v>
      </c>
      <c r="EL1399" t="str">
        <f>IF(AND(AND(OR($DX1399=1,$DW1399=1),AND($EC1399=0,$EA1399=0)),SUM($DV1399:$DZ1399,$EF1399)&gt;=3),"Ecosystem approach","")</f>
        <v/>
      </c>
      <c r="EM1399" s="2" t="str">
        <f>IF(AND(AND(AND($DX1399=0,$DW1399=0),OR($EC1399=1,$EA1399=1)),SUM($EB1399:$EE1399)&gt;=2),"Technology approach","")</f>
        <v/>
      </c>
      <c r="EP1399" t="b">
        <f>IF(ISNUMBER(BU1399),IF(ABS(BU1399-[5]QC_indicators!$B$2)&gt;3*[5]QC_indicators!$C$2,"C ratio",IF(ISNUMBER(BY1399),IF(ABS(BY1399-[5]QC_indicators!$B$1)&gt;3*[5]QC_indicators!$C$1,"DF","no"))),IF(ISNUMBER(BY1399),IF(ABS(BY1399-[5]QC_indicators!$B$1)&gt;3*[5]QC_indicators!$C$1,"DF","no")))</f>
        <v>0</v>
      </c>
    </row>
    <row r="1400" spans="1:146" ht="15" customHeight="1">
      <c r="A1400" s="1" t="s">
        <v>667</v>
      </c>
      <c r="B1400" t="s">
        <v>3886</v>
      </c>
      <c r="C1400" t="s">
        <v>3887</v>
      </c>
      <c r="D1400" t="s">
        <v>3888</v>
      </c>
      <c r="E1400" t="s">
        <v>3889</v>
      </c>
      <c r="F1400" t="s">
        <v>3890</v>
      </c>
      <c r="G1400" t="s">
        <v>673</v>
      </c>
      <c r="H1400" t="s">
        <v>254</v>
      </c>
      <c r="I1400">
        <v>2016</v>
      </c>
      <c r="J1400">
        <v>46</v>
      </c>
      <c r="K1400" t="s">
        <v>3891</v>
      </c>
      <c r="M1400" t="str">
        <f>LEFT($D1400,FIND(",",$D1400)-1)&amp;"_"&amp;I1400&amp;L1400</f>
        <v>Penaloza_2016</v>
      </c>
      <c r="N1400" s="312" t="s">
        <v>4383</v>
      </c>
      <c r="O1400" s="171" t="s">
        <v>513</v>
      </c>
      <c r="P1400" t="s">
        <v>513</v>
      </c>
      <c r="Q1400" s="312" t="s">
        <v>389</v>
      </c>
      <c r="R1400" s="313"/>
      <c r="S1400" s="1" t="s">
        <v>3903</v>
      </c>
      <c r="T1400" t="s">
        <v>3904</v>
      </c>
      <c r="U1400" t="s">
        <v>3903</v>
      </c>
      <c r="V1400">
        <v>0</v>
      </c>
      <c r="W1400">
        <v>0</v>
      </c>
      <c r="X1400">
        <v>0</v>
      </c>
      <c r="Y1400">
        <v>0</v>
      </c>
      <c r="Z1400">
        <v>0</v>
      </c>
      <c r="AA1400">
        <v>0</v>
      </c>
      <c r="AB1400">
        <v>0</v>
      </c>
      <c r="AC1400">
        <v>0</v>
      </c>
      <c r="AD1400">
        <v>0</v>
      </c>
      <c r="AE1400">
        <v>0</v>
      </c>
      <c r="AF1400">
        <v>0</v>
      </c>
      <c r="AG1400">
        <v>0</v>
      </c>
      <c r="AH1400">
        <v>0</v>
      </c>
      <c r="AI1400">
        <v>0</v>
      </c>
      <c r="AJ1400">
        <v>0</v>
      </c>
      <c r="AK1400">
        <v>1</v>
      </c>
      <c r="AL1400">
        <v>0</v>
      </c>
      <c r="AM1400">
        <v>0</v>
      </c>
      <c r="AN1400">
        <v>0</v>
      </c>
      <c r="AO1400">
        <v>0</v>
      </c>
      <c r="AP1400">
        <v>0</v>
      </c>
      <c r="AQ1400">
        <v>0</v>
      </c>
      <c r="AR1400">
        <v>0</v>
      </c>
      <c r="AS1400">
        <v>0</v>
      </c>
      <c r="AT1400">
        <v>0</v>
      </c>
      <c r="AU1400">
        <v>0</v>
      </c>
      <c r="AV1400">
        <v>0</v>
      </c>
      <c r="AW1400">
        <v>0</v>
      </c>
      <c r="AX1400" s="141">
        <f>COUNTIF(V1400:AW1400,"&lt;&gt;0")</f>
        <v>1</v>
      </c>
      <c r="AY1400" s="141">
        <f>COUNTIF(V1400:AL1400,"&lt;&gt;0")</f>
        <v>1</v>
      </c>
      <c r="AZ1400">
        <f>COUNTIF(V1400:AC1400,"&lt;&gt;0")</f>
        <v>0</v>
      </c>
      <c r="BA1400">
        <f>COUNTIF(AD1400:AI1400,"&lt;&gt;0")</f>
        <v>0</v>
      </c>
      <c r="BB1400">
        <f>COUNTIF(AJ1400:AL1400,"&lt;&gt;0")</f>
        <v>1</v>
      </c>
      <c r="BC1400">
        <f>COUNTIF(AS1400:AW1400,"&lt;&gt;0")</f>
        <v>0</v>
      </c>
      <c r="BD1400">
        <f>COUNTIF(AM1400:AR1400,"&lt;&gt;0")</f>
        <v>0</v>
      </c>
      <c r="BE1400" t="str" cm="1">
        <f t="array" ref="BE1400">IF(AY1400=1,INDEX($V$7:$AL$7,MATCH(TRUE,INDEX($V1400:$AW1400&lt;&gt;0,),0)),IF(AY1400=0,INDEX($AM$7:$AW$7,MATCH(1,$AM1400:$AW1400,0)),IF(BF1400="Multiple strategies","mixed drivers",IF(BF1400="Supply chain","multiple supply","multiple silviculture"))))</f>
        <v>technologies/design switch</v>
      </c>
      <c r="BF1400" s="2" t="str" cm="1">
        <f t="array" ref="BF1400">IF(COUNTIF(AZ1400:BB1400,"&lt;&gt;0")=1,INDEX($V$4:$AW$4,MATCH(TRUE,INDEX($V1400:$AW1400&lt;&gt;0,),0)),IF(COUNTIF(AZ1400:BB1400,"&lt;&gt;0")=0,INDEX($AM$4:$AW$4,MATCH(1,$AM1400:$AW1400,0)),"Multiple strategies"))</f>
        <v>Technology</v>
      </c>
      <c r="BM1400" t="str">
        <f>IFERROR(BL1400/BK1400,"")</f>
        <v/>
      </c>
      <c r="BP1400" s="312" t="s">
        <v>232</v>
      </c>
      <c r="BR1400" t="s">
        <v>3894</v>
      </c>
      <c r="BS1400">
        <v>-462</v>
      </c>
      <c r="BT1400">
        <v>-260</v>
      </c>
      <c r="BU1400" s="144">
        <f>BT1400/BS1400</f>
        <v>0.56277056277056281</v>
      </c>
      <c r="BV1400">
        <f>BT1400-BS1400</f>
        <v>202</v>
      </c>
      <c r="BX1400">
        <f>BV1400/1000</f>
        <v>0.20200000000000001</v>
      </c>
      <c r="BY1400" t="str">
        <f>IFERROR(BX1400/BO1400,"")</f>
        <v/>
      </c>
      <c r="BZ1400">
        <v>0</v>
      </c>
      <c r="CA1400">
        <v>0</v>
      </c>
      <c r="CB1400">
        <v>0</v>
      </c>
      <c r="CC1400">
        <v>0</v>
      </c>
      <c r="CD1400">
        <v>0</v>
      </c>
      <c r="CE1400">
        <v>0</v>
      </c>
      <c r="CF1400">
        <v>0</v>
      </c>
      <c r="CG1400">
        <v>0</v>
      </c>
      <c r="CH1400">
        <v>0</v>
      </c>
      <c r="CI1400">
        <v>0</v>
      </c>
      <c r="CJ1400">
        <v>0</v>
      </c>
      <c r="CK1400">
        <v>0</v>
      </c>
      <c r="CL1400">
        <v>0</v>
      </c>
      <c r="CM1400">
        <v>0</v>
      </c>
      <c r="CN1400" t="str">
        <f>IF($BL1400&lt;$BK1400,"refNeedCorrection","refOK")</f>
        <v>refOK</v>
      </c>
      <c r="CO1400"/>
      <c r="CP1400"/>
      <c r="CQ1400"/>
      <c r="CR1400">
        <f>IF($CN1400="refOK",$BS1400,$BT1400)*IF($BP1400="Emissions positive",-1,1)</f>
        <v>-462</v>
      </c>
      <c r="CS1400">
        <f>IF($CN1400="refOK",$BT1400,$BS1400)*IF($BP1400="Emissions positive",-1,1)</f>
        <v>-260</v>
      </c>
      <c r="CT1400">
        <f>IF($CN1400="refNeedCorrection",-BX1400,BX1400)*IF($BP1400="Emissions positive",-1,1)</f>
        <v>0.20200000000000001</v>
      </c>
      <c r="CU1400" t="str">
        <f>IFERROR(CT1400/CQ1400,"")</f>
        <v/>
      </c>
      <c r="CV1400" s="2">
        <f>IFERROR((CS1400-CR1400)/ABS(CR1400),"")</f>
        <v>0.43722943722943725</v>
      </c>
      <c r="CW1400" s="1" t="s">
        <v>3797</v>
      </c>
      <c r="CX1400" s="312" t="str">
        <f>IF(OR($CW1400="prd",$CW1400="std",$CW1400="cit"),"loc",IF(OR($CW1400="eur",$CW1400="reg",$CW1400="coy"),"reg",$CW1400))</f>
        <v>reg</v>
      </c>
      <c r="CY1400" t="s">
        <v>3895</v>
      </c>
      <c r="DB1400">
        <v>100</v>
      </c>
      <c r="DC1400" t="str">
        <f>IF(DB1400=0,"0",IF(AND(DB1400&gt;=1,DB1400&lt;=30),"1-30",IF(AND(DB1400&gt;30,DB1400&lt;=70),"31-70",IF(AND(DB1400&gt;70,DB1400&lt;=100),"71-100",IF(DB1400&gt;100,"+100")))))</f>
        <v>71-100</v>
      </c>
      <c r="DD1400">
        <v>0</v>
      </c>
      <c r="DE1400">
        <v>0</v>
      </c>
      <c r="DF1400">
        <v>0</v>
      </c>
      <c r="DG1400">
        <v>1</v>
      </c>
      <c r="DH1400">
        <v>1</v>
      </c>
      <c r="DI1400">
        <f>SUM(DD1400:DH1400)</f>
        <v>2</v>
      </c>
      <c r="DJ1400" t="str">
        <f>IF(DI1400=1,INDEX($DD$7:$DG$7,MATCH(1,$DD1400:$DG1400,0)),"mixedProduct")</f>
        <v>mixedProduct</v>
      </c>
      <c r="DK1400">
        <f>IF(DD1400=1,DK$7,0)</f>
        <v>0</v>
      </c>
      <c r="DL1400">
        <f>IF(DE1400=1,DL$7,0)</f>
        <v>0</v>
      </c>
      <c r="DM1400">
        <f>IF(DF1400=1,DM$7,0)</f>
        <v>0</v>
      </c>
      <c r="DN1400" t="str">
        <f>IF(DG1400=1,DN$7,0)</f>
        <v>Timber</v>
      </c>
      <c r="DO1400">
        <v>0</v>
      </c>
      <c r="DP1400">
        <v>0</v>
      </c>
      <c r="DQ1400">
        <v>0</v>
      </c>
      <c r="DR1400">
        <v>0</v>
      </c>
      <c r="DS1400">
        <v>0</v>
      </c>
      <c r="DT1400"/>
      <c r="DU1400" s="143" t="str">
        <f>IF(DO1400=1,"self-calculated DF",IF(DP1400=1,"external DF used","explicit C balance"))</f>
        <v>explicit C balance</v>
      </c>
      <c r="DV1400">
        <v>0</v>
      </c>
      <c r="DW1400">
        <v>0</v>
      </c>
      <c r="DX1400">
        <v>1</v>
      </c>
      <c r="DY1400">
        <v>1</v>
      </c>
      <c r="DZ1400">
        <v>1</v>
      </c>
      <c r="EA1400">
        <v>1</v>
      </c>
      <c r="EB1400">
        <v>0</v>
      </c>
      <c r="EC1400">
        <v>1</v>
      </c>
      <c r="ED1400">
        <v>1</v>
      </c>
      <c r="EE1400">
        <v>1</v>
      </c>
      <c r="EF1400">
        <v>1</v>
      </c>
      <c r="EG1400">
        <v>1</v>
      </c>
      <c r="EH1400">
        <v>0</v>
      </c>
      <c r="EI1400" s="2">
        <v>0</v>
      </c>
      <c r="EK1400" t="str">
        <f>IF(AND(AND(AND(OR($DX1400=1,$DW1400=1),OR($EC1400=1,$EA1400=1)),SUM($DV1400:$DZ1400,$EF1400)&gt;=3),SUM($EA1400:$EE1400)&gt;=2),"Whole sector","")</f>
        <v>Whole sector</v>
      </c>
      <c r="EL1400" t="str">
        <f>IF(AND(AND(OR($DX1400=1,$DW1400=1),AND($EC1400=0,$EA1400=0)),SUM($DV1400:$DZ1400,$EF1400)&gt;=3),"Ecosystem approach","")</f>
        <v/>
      </c>
      <c r="EM1400" s="2" t="str">
        <f>IF(AND(AND(AND($DX1400=0,$DW1400=0),OR($EC1400=1,$EA1400=1)),SUM($EB1400:$EE1400)&gt;=2),"Technology approach","")</f>
        <v/>
      </c>
      <c r="EP1400" t="b">
        <f>IF(ISNUMBER(BU1400),IF(ABS(BU1400-[5]QC_indicators!$B$2)&gt;3*[5]QC_indicators!$C$2,"C ratio",IF(ISNUMBER(BY1400),IF(ABS(BY1400-[5]QC_indicators!$B$1)&gt;3*[5]QC_indicators!$C$1,"DF","no"))),IF(ISNUMBER(BY1400),IF(ABS(BY1400-[5]QC_indicators!$B$1)&gt;3*[5]QC_indicators!$C$1,"DF","no")))</f>
        <v>0</v>
      </c>
    </row>
    <row r="1401" spans="1:146" ht="15" customHeight="1">
      <c r="A1401" s="1" t="s">
        <v>667</v>
      </c>
      <c r="B1401" t="s">
        <v>3886</v>
      </c>
      <c r="C1401" t="s">
        <v>3887</v>
      </c>
      <c r="D1401" t="s">
        <v>3888</v>
      </c>
      <c r="E1401" t="s">
        <v>3889</v>
      </c>
      <c r="F1401" t="s">
        <v>3890</v>
      </c>
      <c r="G1401" t="s">
        <v>673</v>
      </c>
      <c r="H1401" t="s">
        <v>254</v>
      </c>
      <c r="I1401">
        <v>2016</v>
      </c>
      <c r="J1401">
        <v>46</v>
      </c>
      <c r="K1401" t="s">
        <v>3891</v>
      </c>
      <c r="M1401" t="str">
        <f>LEFT($D1401,FIND(",",$D1401)-1)&amp;"_"&amp;I1401&amp;L1401</f>
        <v>Penaloza_2016</v>
      </c>
      <c r="N1401" s="312" t="s">
        <v>4383</v>
      </c>
      <c r="O1401" s="171" t="s">
        <v>513</v>
      </c>
      <c r="P1401" t="s">
        <v>513</v>
      </c>
      <c r="Q1401" s="312" t="s">
        <v>389</v>
      </c>
      <c r="R1401" s="313"/>
      <c r="S1401" s="1" t="s">
        <v>3905</v>
      </c>
      <c r="T1401" t="s">
        <v>3904</v>
      </c>
      <c r="U1401" t="s">
        <v>3905</v>
      </c>
      <c r="V1401">
        <v>0</v>
      </c>
      <c r="W1401">
        <v>0</v>
      </c>
      <c r="X1401">
        <v>0</v>
      </c>
      <c r="Y1401">
        <v>0</v>
      </c>
      <c r="Z1401">
        <v>0</v>
      </c>
      <c r="AA1401">
        <v>0</v>
      </c>
      <c r="AB1401">
        <v>0</v>
      </c>
      <c r="AC1401">
        <v>0</v>
      </c>
      <c r="AD1401">
        <v>0</v>
      </c>
      <c r="AE1401">
        <v>0</v>
      </c>
      <c r="AF1401">
        <v>0</v>
      </c>
      <c r="AG1401">
        <v>0</v>
      </c>
      <c r="AH1401">
        <v>0</v>
      </c>
      <c r="AI1401">
        <v>0</v>
      </c>
      <c r="AJ1401">
        <v>0</v>
      </c>
      <c r="AK1401">
        <v>1</v>
      </c>
      <c r="AL1401">
        <v>0</v>
      </c>
      <c r="AM1401">
        <v>0</v>
      </c>
      <c r="AN1401">
        <v>0</v>
      </c>
      <c r="AO1401">
        <v>0</v>
      </c>
      <c r="AP1401">
        <v>0</v>
      </c>
      <c r="AQ1401">
        <v>0</v>
      </c>
      <c r="AR1401">
        <v>0</v>
      </c>
      <c r="AS1401">
        <v>0</v>
      </c>
      <c r="AT1401">
        <v>0</v>
      </c>
      <c r="AU1401">
        <v>0</v>
      </c>
      <c r="AV1401">
        <v>0</v>
      </c>
      <c r="AW1401">
        <v>0</v>
      </c>
      <c r="AX1401" s="141">
        <f>COUNTIF(V1401:AW1401,"&lt;&gt;0")</f>
        <v>1</v>
      </c>
      <c r="AY1401" s="141">
        <f>COUNTIF(V1401:AL1401,"&lt;&gt;0")</f>
        <v>1</v>
      </c>
      <c r="AZ1401">
        <f>COUNTIF(V1401:AC1401,"&lt;&gt;0")</f>
        <v>0</v>
      </c>
      <c r="BA1401">
        <f>COUNTIF(AD1401:AI1401,"&lt;&gt;0")</f>
        <v>0</v>
      </c>
      <c r="BB1401">
        <f>COUNTIF(AJ1401:AL1401,"&lt;&gt;0")</f>
        <v>1</v>
      </c>
      <c r="BC1401">
        <f>COUNTIF(AS1401:AW1401,"&lt;&gt;0")</f>
        <v>0</v>
      </c>
      <c r="BD1401">
        <f>COUNTIF(AM1401:AR1401,"&lt;&gt;0")</f>
        <v>0</v>
      </c>
      <c r="BE1401" t="str" cm="1">
        <f t="array" ref="BE1401">IF(AY1401=1,INDEX($V$7:$AL$7,MATCH(TRUE,INDEX($V1401:$AW1401&lt;&gt;0,),0)),IF(AY1401=0,INDEX($AM$7:$AW$7,MATCH(1,$AM1401:$AW1401,0)),IF(BF1401="Multiple strategies","mixed drivers",IF(BF1401="Supply chain","multiple supply","multiple silviculture"))))</f>
        <v>technologies/design switch</v>
      </c>
      <c r="BF1401" s="2" t="str" cm="1">
        <f t="array" ref="BF1401">IF(COUNTIF(AZ1401:BB1401,"&lt;&gt;0")=1,INDEX($V$4:$AW$4,MATCH(TRUE,INDEX($V1401:$AW1401&lt;&gt;0,),0)),IF(COUNTIF(AZ1401:BB1401,"&lt;&gt;0")=0,INDEX($AM$4:$AW$4,MATCH(1,$AM1401:$AW1401,0)),"Multiple strategies"))</f>
        <v>Technology</v>
      </c>
      <c r="BM1401" t="str">
        <f>IFERROR(BL1401/BK1401,"")</f>
        <v/>
      </c>
      <c r="BP1401" s="312" t="s">
        <v>232</v>
      </c>
      <c r="BR1401" t="s">
        <v>3894</v>
      </c>
      <c r="BS1401">
        <v>-462</v>
      </c>
      <c r="BT1401">
        <v>-167</v>
      </c>
      <c r="BU1401" s="144">
        <f>BT1401/BS1401</f>
        <v>0.36147186147186144</v>
      </c>
      <c r="BV1401">
        <f>BT1401-BS1401</f>
        <v>295</v>
      </c>
      <c r="BX1401">
        <f>BV1401/1000</f>
        <v>0.29499999999999998</v>
      </c>
      <c r="BY1401" t="str">
        <f>IFERROR(BX1401/BO1401,"")</f>
        <v/>
      </c>
      <c r="BZ1401">
        <v>0</v>
      </c>
      <c r="CA1401">
        <v>0</v>
      </c>
      <c r="CB1401">
        <v>0</v>
      </c>
      <c r="CC1401">
        <v>0</v>
      </c>
      <c r="CD1401">
        <v>0</v>
      </c>
      <c r="CE1401">
        <v>0</v>
      </c>
      <c r="CF1401">
        <v>0</v>
      </c>
      <c r="CG1401">
        <v>0</v>
      </c>
      <c r="CH1401">
        <v>0</v>
      </c>
      <c r="CI1401">
        <v>0</v>
      </c>
      <c r="CJ1401">
        <v>0</v>
      </c>
      <c r="CK1401">
        <v>0</v>
      </c>
      <c r="CL1401">
        <v>0</v>
      </c>
      <c r="CM1401">
        <v>0</v>
      </c>
      <c r="CN1401" t="str">
        <f>IF($BL1401&lt;$BK1401,"refNeedCorrection","refOK")</f>
        <v>refOK</v>
      </c>
      <c r="CO1401"/>
      <c r="CP1401"/>
      <c r="CQ1401"/>
      <c r="CR1401">
        <f>IF($CN1401="refOK",$BS1401,$BT1401)*IF($BP1401="Emissions positive",-1,1)</f>
        <v>-462</v>
      </c>
      <c r="CS1401">
        <f>IF($CN1401="refOK",$BT1401,$BS1401)*IF($BP1401="Emissions positive",-1,1)</f>
        <v>-167</v>
      </c>
      <c r="CT1401">
        <f>IF($CN1401="refNeedCorrection",-BX1401,BX1401)*IF($BP1401="Emissions positive",-1,1)</f>
        <v>0.29499999999999998</v>
      </c>
      <c r="CU1401" t="str">
        <f>IFERROR(CT1401/CQ1401,"")</f>
        <v/>
      </c>
      <c r="CV1401" s="2">
        <f>IFERROR((CS1401-CR1401)/ABS(CR1401),"")</f>
        <v>0.6385281385281385</v>
      </c>
      <c r="CW1401" s="1" t="s">
        <v>3797</v>
      </c>
      <c r="CX1401" s="312" t="str">
        <f>IF(OR($CW1401="prd",$CW1401="std",$CW1401="cit"),"loc",IF(OR($CW1401="eur",$CW1401="reg",$CW1401="coy"),"reg",$CW1401))</f>
        <v>reg</v>
      </c>
      <c r="CY1401" t="s">
        <v>3895</v>
      </c>
      <c r="DB1401">
        <v>300</v>
      </c>
      <c r="DC1401" t="str">
        <f>IF(DB1401=0,"0",IF(AND(DB1401&gt;=1,DB1401&lt;=30),"1-30",IF(AND(DB1401&gt;30,DB1401&lt;=70),"31-70",IF(AND(DB1401&gt;70,DB1401&lt;=100),"71-100",IF(DB1401&gt;100,"+100")))))</f>
        <v>+100</v>
      </c>
      <c r="DD1401">
        <v>0</v>
      </c>
      <c r="DE1401">
        <v>0</v>
      </c>
      <c r="DF1401">
        <v>0</v>
      </c>
      <c r="DG1401">
        <v>1</v>
      </c>
      <c r="DH1401">
        <v>1</v>
      </c>
      <c r="DI1401">
        <f>SUM(DD1401:DH1401)</f>
        <v>2</v>
      </c>
      <c r="DJ1401" t="str">
        <f>IF(DI1401=1,INDEX($DD$7:$DG$7,MATCH(1,$DD1401:$DG1401,0)),"mixedProduct")</f>
        <v>mixedProduct</v>
      </c>
      <c r="DK1401">
        <f>IF(DD1401=1,DK$7,0)</f>
        <v>0</v>
      </c>
      <c r="DL1401">
        <f>IF(DE1401=1,DL$7,0)</f>
        <v>0</v>
      </c>
      <c r="DM1401">
        <f>IF(DF1401=1,DM$7,0)</f>
        <v>0</v>
      </c>
      <c r="DN1401" t="str">
        <f>IF(DG1401=1,DN$7,0)</f>
        <v>Timber</v>
      </c>
      <c r="DO1401">
        <v>0</v>
      </c>
      <c r="DP1401">
        <v>0</v>
      </c>
      <c r="DQ1401">
        <v>0</v>
      </c>
      <c r="DR1401">
        <v>0</v>
      </c>
      <c r="DS1401">
        <v>0</v>
      </c>
      <c r="DT1401"/>
      <c r="DU1401" s="143" t="str">
        <f>IF(DO1401=1,"self-calculated DF",IF(DP1401=1,"external DF used","explicit C balance"))</f>
        <v>explicit C balance</v>
      </c>
      <c r="DV1401">
        <v>0</v>
      </c>
      <c r="DW1401">
        <v>0</v>
      </c>
      <c r="DX1401">
        <v>1</v>
      </c>
      <c r="DY1401">
        <v>1</v>
      </c>
      <c r="DZ1401">
        <v>1</v>
      </c>
      <c r="EA1401">
        <v>1</v>
      </c>
      <c r="EB1401">
        <v>0</v>
      </c>
      <c r="EC1401">
        <v>1</v>
      </c>
      <c r="ED1401">
        <v>1</v>
      </c>
      <c r="EE1401">
        <v>1</v>
      </c>
      <c r="EF1401">
        <v>1</v>
      </c>
      <c r="EG1401">
        <v>1</v>
      </c>
      <c r="EH1401">
        <v>0</v>
      </c>
      <c r="EI1401" s="2">
        <v>0</v>
      </c>
      <c r="EK1401" t="str">
        <f>IF(AND(AND(AND(OR($DX1401=1,$DW1401=1),OR($EC1401=1,$EA1401=1)),SUM($DV1401:$DZ1401,$EF1401)&gt;=3),SUM($EA1401:$EE1401)&gt;=2),"Whole sector","")</f>
        <v>Whole sector</v>
      </c>
      <c r="EL1401" t="str">
        <f>IF(AND(AND(OR($DX1401=1,$DW1401=1),AND($EC1401=0,$EA1401=0)),SUM($DV1401:$DZ1401,$EF1401)&gt;=3),"Ecosystem approach","")</f>
        <v/>
      </c>
      <c r="EM1401" s="2" t="str">
        <f>IF(AND(AND(AND($DX1401=0,$DW1401=0),OR($EC1401=1,$EA1401=1)),SUM($EB1401:$EE1401)&gt;=2),"Technology approach","")</f>
        <v/>
      </c>
      <c r="EP1401" t="b">
        <f>IF(ISNUMBER(BU1401),IF(ABS(BU1401-[5]QC_indicators!$B$2)&gt;3*[5]QC_indicators!$C$2,"C ratio",IF(ISNUMBER(BY1401),IF(ABS(BY1401-[5]QC_indicators!$B$1)&gt;3*[5]QC_indicators!$C$1,"DF","no"))),IF(ISNUMBER(BY1401),IF(ABS(BY1401-[5]QC_indicators!$B$1)&gt;3*[5]QC_indicators!$C$1,"DF","no")))</f>
        <v>0</v>
      </c>
    </row>
    <row r="1402" spans="1:146" ht="15" customHeight="1">
      <c r="A1402" s="1" t="s">
        <v>667</v>
      </c>
      <c r="B1402" t="s">
        <v>3886</v>
      </c>
      <c r="C1402" t="s">
        <v>3887</v>
      </c>
      <c r="D1402" t="s">
        <v>3888</v>
      </c>
      <c r="E1402" t="s">
        <v>3889</v>
      </c>
      <c r="F1402" t="s">
        <v>3890</v>
      </c>
      <c r="G1402" t="s">
        <v>673</v>
      </c>
      <c r="H1402" t="s">
        <v>254</v>
      </c>
      <c r="I1402">
        <v>2016</v>
      </c>
      <c r="J1402">
        <v>46</v>
      </c>
      <c r="K1402" t="s">
        <v>3891</v>
      </c>
      <c r="M1402" t="str">
        <f>LEFT($D1402,FIND(",",$D1402)-1)&amp;"_"&amp;I1402&amp;L1402</f>
        <v>Penaloza_2016</v>
      </c>
      <c r="N1402" s="312" t="s">
        <v>4383</v>
      </c>
      <c r="O1402" s="171" t="s">
        <v>513</v>
      </c>
      <c r="P1402" t="s">
        <v>513</v>
      </c>
      <c r="Q1402" s="312" t="s">
        <v>389</v>
      </c>
      <c r="R1402" s="313"/>
      <c r="S1402" s="1" t="s">
        <v>3905</v>
      </c>
      <c r="T1402" t="s">
        <v>3904</v>
      </c>
      <c r="U1402" t="s">
        <v>3905</v>
      </c>
      <c r="V1402">
        <v>0</v>
      </c>
      <c r="W1402">
        <v>0</v>
      </c>
      <c r="X1402">
        <v>0</v>
      </c>
      <c r="Y1402">
        <v>0</v>
      </c>
      <c r="Z1402">
        <v>0</v>
      </c>
      <c r="AA1402">
        <v>0</v>
      </c>
      <c r="AB1402">
        <v>0</v>
      </c>
      <c r="AC1402">
        <v>0</v>
      </c>
      <c r="AD1402">
        <v>0</v>
      </c>
      <c r="AE1402">
        <v>0</v>
      </c>
      <c r="AF1402">
        <v>0</v>
      </c>
      <c r="AG1402">
        <v>0</v>
      </c>
      <c r="AH1402">
        <v>0</v>
      </c>
      <c r="AI1402">
        <v>0</v>
      </c>
      <c r="AJ1402">
        <v>0</v>
      </c>
      <c r="AK1402">
        <v>1</v>
      </c>
      <c r="AL1402">
        <v>0</v>
      </c>
      <c r="AM1402">
        <v>0</v>
      </c>
      <c r="AN1402">
        <v>0</v>
      </c>
      <c r="AO1402">
        <v>0</v>
      </c>
      <c r="AP1402">
        <v>0</v>
      </c>
      <c r="AQ1402">
        <v>0</v>
      </c>
      <c r="AR1402">
        <v>0</v>
      </c>
      <c r="AS1402">
        <v>0</v>
      </c>
      <c r="AT1402">
        <v>0</v>
      </c>
      <c r="AU1402">
        <v>0</v>
      </c>
      <c r="AV1402">
        <v>0</v>
      </c>
      <c r="AW1402">
        <v>0</v>
      </c>
      <c r="AX1402" s="141">
        <f>COUNTIF(V1402:AW1402,"&lt;&gt;0")</f>
        <v>1</v>
      </c>
      <c r="AY1402" s="141">
        <f>COUNTIF(V1402:AL1402,"&lt;&gt;0")</f>
        <v>1</v>
      </c>
      <c r="AZ1402">
        <f>COUNTIF(V1402:AC1402,"&lt;&gt;0")</f>
        <v>0</v>
      </c>
      <c r="BA1402">
        <f>COUNTIF(AD1402:AI1402,"&lt;&gt;0")</f>
        <v>0</v>
      </c>
      <c r="BB1402">
        <f>COUNTIF(AJ1402:AL1402,"&lt;&gt;0")</f>
        <v>1</v>
      </c>
      <c r="BC1402">
        <f>COUNTIF(AS1402:AW1402,"&lt;&gt;0")</f>
        <v>0</v>
      </c>
      <c r="BD1402">
        <f>COUNTIF(AM1402:AR1402,"&lt;&gt;0")</f>
        <v>0</v>
      </c>
      <c r="BE1402" t="str" cm="1">
        <f t="array" ref="BE1402">IF(AY1402=1,INDEX($V$7:$AL$7,MATCH(TRUE,INDEX($V1402:$AW1402&lt;&gt;0,),0)),IF(AY1402=0,INDEX($AM$7:$AW$7,MATCH(1,$AM1402:$AW1402,0)),IF(BF1402="Multiple strategies","mixed drivers",IF(BF1402="Supply chain","multiple supply","multiple silviculture"))))</f>
        <v>technologies/design switch</v>
      </c>
      <c r="BF1402" s="2" t="str" cm="1">
        <f t="array" ref="BF1402">IF(COUNTIF(AZ1402:BB1402,"&lt;&gt;0")=1,INDEX($V$4:$AW$4,MATCH(TRUE,INDEX($V1402:$AW1402&lt;&gt;0,),0)),IF(COUNTIF(AZ1402:BB1402,"&lt;&gt;0")=0,INDEX($AM$4:$AW$4,MATCH(1,$AM1402:$AW1402,0)),"Multiple strategies"))</f>
        <v>Technology</v>
      </c>
      <c r="BM1402" t="str">
        <f>IFERROR(BL1402/BK1402,"")</f>
        <v/>
      </c>
      <c r="BP1402" s="312" t="s">
        <v>232</v>
      </c>
      <c r="BR1402" t="s">
        <v>3894</v>
      </c>
      <c r="BS1402">
        <v>-462</v>
      </c>
      <c r="BT1402">
        <v>-281</v>
      </c>
      <c r="BU1402" s="144">
        <f>BT1402/BS1402</f>
        <v>0.60822510822510822</v>
      </c>
      <c r="BV1402">
        <f>BT1402-BS1402</f>
        <v>181</v>
      </c>
      <c r="BX1402">
        <f>BV1402/1000</f>
        <v>0.18099999999999999</v>
      </c>
      <c r="BY1402" t="str">
        <f>IFERROR(BX1402/BO1402,"")</f>
        <v/>
      </c>
      <c r="BZ1402">
        <v>0</v>
      </c>
      <c r="CA1402">
        <v>0</v>
      </c>
      <c r="CB1402">
        <v>0</v>
      </c>
      <c r="CC1402">
        <v>0</v>
      </c>
      <c r="CD1402">
        <v>0</v>
      </c>
      <c r="CE1402">
        <v>0</v>
      </c>
      <c r="CF1402">
        <v>0</v>
      </c>
      <c r="CG1402">
        <v>0</v>
      </c>
      <c r="CH1402">
        <v>0</v>
      </c>
      <c r="CI1402">
        <v>0</v>
      </c>
      <c r="CJ1402">
        <v>0</v>
      </c>
      <c r="CK1402">
        <v>0</v>
      </c>
      <c r="CL1402">
        <v>0</v>
      </c>
      <c r="CM1402">
        <v>0</v>
      </c>
      <c r="CN1402" t="str">
        <f>IF($BL1402&lt;$BK1402,"refNeedCorrection","refOK")</f>
        <v>refOK</v>
      </c>
      <c r="CO1402"/>
      <c r="CP1402"/>
      <c r="CQ1402"/>
      <c r="CR1402">
        <f>IF($CN1402="refOK",$BS1402,$BT1402)*IF($BP1402="Emissions positive",-1,1)</f>
        <v>-462</v>
      </c>
      <c r="CS1402">
        <v>-281</v>
      </c>
      <c r="CT1402">
        <f>IF($CN1402="refNeedCorrection",-BX1402,BX1402)*IF($BP1402="Emissions positive",-1,1)</f>
        <v>0.18099999999999999</v>
      </c>
      <c r="CU1402" t="str">
        <f>IFERROR(CT1402/CQ1402,"")</f>
        <v/>
      </c>
      <c r="CV1402" s="2">
        <f>IFERROR((CS1402-CR1402)/ABS(CR1402),"")</f>
        <v>0.39177489177489178</v>
      </c>
      <c r="CW1402" s="1" t="s">
        <v>3797</v>
      </c>
      <c r="CX1402" s="312" t="str">
        <f>IF(OR($CW1402="prd",$CW1402="std",$CW1402="cit"),"loc",IF(OR($CW1402="eur",$CW1402="reg",$CW1402="coy"),"reg",$CW1402))</f>
        <v>reg</v>
      </c>
      <c r="CY1402" t="s">
        <v>3895</v>
      </c>
      <c r="DB1402">
        <v>100</v>
      </c>
      <c r="DC1402" t="str">
        <f>IF(DB1402=0,"0",IF(AND(DB1402&gt;=1,DB1402&lt;=30),"1-30",IF(AND(DB1402&gt;30,DB1402&lt;=70),"31-70",IF(AND(DB1402&gt;70,DB1402&lt;=100),"71-100",IF(DB1402&gt;100,"+100")))))</f>
        <v>71-100</v>
      </c>
      <c r="DD1402">
        <v>0</v>
      </c>
      <c r="DE1402">
        <v>0</v>
      </c>
      <c r="DF1402">
        <v>0</v>
      </c>
      <c r="DG1402">
        <v>1</v>
      </c>
      <c r="DH1402">
        <v>1</v>
      </c>
      <c r="DI1402">
        <f>SUM(DD1402:DH1402)</f>
        <v>2</v>
      </c>
      <c r="DJ1402" t="str">
        <f>IF(DI1402=1,INDEX($DD$7:$DG$7,MATCH(1,$DD1402:$DG1402,0)),"mixedProduct")</f>
        <v>mixedProduct</v>
      </c>
      <c r="DK1402">
        <f>IF(DD1402=1,DK$7,0)</f>
        <v>0</v>
      </c>
      <c r="DL1402">
        <f>IF(DE1402=1,DL$7,0)</f>
        <v>0</v>
      </c>
      <c r="DM1402">
        <f>IF(DF1402=1,DM$7,0)</f>
        <v>0</v>
      </c>
      <c r="DN1402" t="str">
        <f>IF(DG1402=1,DN$7,0)</f>
        <v>Timber</v>
      </c>
      <c r="DO1402">
        <v>0</v>
      </c>
      <c r="DP1402">
        <v>0</v>
      </c>
      <c r="DQ1402">
        <v>0</v>
      </c>
      <c r="DR1402">
        <v>0</v>
      </c>
      <c r="DS1402">
        <v>0</v>
      </c>
      <c r="DT1402"/>
      <c r="DU1402" s="143" t="str">
        <f>IF(DO1402=1,"self-calculated DF",IF(DP1402=1,"external DF used","explicit C balance"))</f>
        <v>explicit C balance</v>
      </c>
      <c r="DV1402">
        <v>0</v>
      </c>
      <c r="DW1402">
        <v>0</v>
      </c>
      <c r="DX1402">
        <v>1</v>
      </c>
      <c r="DY1402">
        <v>1</v>
      </c>
      <c r="DZ1402">
        <v>1</v>
      </c>
      <c r="EA1402">
        <v>1</v>
      </c>
      <c r="EB1402">
        <v>0</v>
      </c>
      <c r="EC1402">
        <v>1</v>
      </c>
      <c r="ED1402">
        <v>1</v>
      </c>
      <c r="EE1402">
        <v>1</v>
      </c>
      <c r="EF1402">
        <v>1</v>
      </c>
      <c r="EG1402">
        <v>1</v>
      </c>
      <c r="EH1402">
        <v>0</v>
      </c>
      <c r="EI1402" s="2">
        <v>0</v>
      </c>
      <c r="EK1402" t="str">
        <f>IF(AND(AND(AND(OR($DX1402=1,$DW1402=1),OR($EC1402=1,$EA1402=1)),SUM($DV1402:$DZ1402,$EF1402)&gt;=3),SUM($EA1402:$EE1402)&gt;=2),"Whole sector","")</f>
        <v>Whole sector</v>
      </c>
      <c r="EL1402" t="str">
        <f>IF(AND(AND(OR($DX1402=1,$DW1402=1),AND($EC1402=0,$EA1402=0)),SUM($DV1402:$DZ1402,$EF1402)&gt;=3),"Ecosystem approach","")</f>
        <v/>
      </c>
      <c r="EM1402" s="2" t="str">
        <f>IF(AND(AND(AND($DX1402=0,$DW1402=0),OR($EC1402=1,$EA1402=1)),SUM($EB1402:$EE1402)&gt;=2),"Technology approach","")</f>
        <v/>
      </c>
      <c r="EP1402" t="b">
        <f>IF(ISNUMBER(BU1402),IF(ABS(BU1402-[5]QC_indicators!$B$2)&gt;3*[5]QC_indicators!$C$2,"C ratio",IF(ISNUMBER(BY1402),IF(ABS(BY1402-[5]QC_indicators!$B$1)&gt;3*[5]QC_indicators!$C$1,"DF","no"))),IF(ISNUMBER(BY1402),IF(ABS(BY1402-[5]QC_indicators!$B$1)&gt;3*[5]QC_indicators!$C$1,"DF","no")))</f>
        <v>0</v>
      </c>
    </row>
    <row r="1403" spans="1:146" ht="15" customHeight="1">
      <c r="A1403" s="1" t="s">
        <v>214</v>
      </c>
      <c r="B1403" t="s">
        <v>3906</v>
      </c>
      <c r="C1403" t="s">
        <v>3907</v>
      </c>
      <c r="D1403" t="s">
        <v>3908</v>
      </c>
      <c r="E1403" t="s">
        <v>3909</v>
      </c>
      <c r="F1403" t="s">
        <v>3910</v>
      </c>
      <c r="G1403" t="s">
        <v>220</v>
      </c>
      <c r="H1403" t="s">
        <v>254</v>
      </c>
      <c r="I1403">
        <v>2012</v>
      </c>
      <c r="J1403">
        <v>24</v>
      </c>
      <c r="K1403" t="s">
        <v>3911</v>
      </c>
      <c r="M1403" t="str">
        <f>LEFT($D1403,FIND(",",$D1403)-1)&amp;"_"&amp;I1403&amp;L1403</f>
        <v>Perez-Cruzado_2012</v>
      </c>
      <c r="N1403" s="312" t="s">
        <v>4383</v>
      </c>
      <c r="O1403" s="171" t="s">
        <v>513</v>
      </c>
      <c r="P1403" s="141" t="s">
        <v>225</v>
      </c>
      <c r="Q1403" s="312" t="s">
        <v>389</v>
      </c>
      <c r="R1403" s="313"/>
      <c r="S1403" s="1" t="s">
        <v>3912</v>
      </c>
      <c r="T1403" t="s">
        <v>3913</v>
      </c>
      <c r="U1403" t="s">
        <v>3914</v>
      </c>
      <c r="V1403">
        <v>0</v>
      </c>
      <c r="W1403">
        <v>0</v>
      </c>
      <c r="X1403">
        <v>0</v>
      </c>
      <c r="Y1403">
        <v>0</v>
      </c>
      <c r="Z1403">
        <v>1</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s="141">
        <f>COUNTIF(V1403:AW1403,"&lt;&gt;0")</f>
        <v>1</v>
      </c>
      <c r="AY1403" s="141">
        <f>COUNTIF(V1403:AL1403,"&lt;&gt;0")</f>
        <v>1</v>
      </c>
      <c r="AZ1403">
        <f>COUNTIF(V1403:AC1403,"&lt;&gt;0")</f>
        <v>1</v>
      </c>
      <c r="BA1403">
        <f>COUNTIF(AD1403:AI1403,"&lt;&gt;0")</f>
        <v>0</v>
      </c>
      <c r="BB1403">
        <f>COUNTIF(AJ1403:AL1403,"&lt;&gt;0")</f>
        <v>0</v>
      </c>
      <c r="BC1403">
        <f>COUNTIF(AS1403:AW1403,"&lt;&gt;0")</f>
        <v>0</v>
      </c>
      <c r="BD1403">
        <f>COUNTIF(AM1403:AR1403,"&lt;&gt;0")</f>
        <v>0</v>
      </c>
      <c r="BE1403" t="str" cm="1">
        <f t="array" ref="BE1403">IF(AY1403=1,INDEX($V$7:$AL$7,MATCH(TRUE,INDEX($V1403:$AW1403&lt;&gt;0,),0)),IF(AY1403=0,INDEX($AM$7:$AW$7,MATCH(1,$AM1403:$AW1403,0)),IF(BF1403="Multiple strategies","mixed drivers",IF(BF1403="Supply chain","multiple supply","multiple silviculture"))))</f>
        <v>species</v>
      </c>
      <c r="BF1403" s="2" t="str" cm="1">
        <f t="array" ref="BF1403">IF(COUNTIF(AZ1403:BB1403,"&lt;&gt;0")=1,INDEX($V$4:$AW$4,MATCH(TRUE,INDEX($V1403:$AW1403&lt;&gt;0,),0)),IF(COUNTIF(AZ1403:BB1403,"&lt;&gt;0")=0,INDEX($AM$4:$AW$4,MATCH(1,$AM1403:$AW1403,0)),"Multiple strategies"))</f>
        <v>Silviculture for productivity</v>
      </c>
      <c r="BP1403" t="s">
        <v>232</v>
      </c>
      <c r="BQ1403" t="s">
        <v>3915</v>
      </c>
      <c r="BR1403" t="s">
        <v>3916</v>
      </c>
      <c r="BS1403">
        <v>237.9</v>
      </c>
      <c r="BT1403">
        <v>304</v>
      </c>
      <c r="BU1403" s="144"/>
      <c r="BV1403">
        <f>BT1403-BS1403</f>
        <v>66.099999999999994</v>
      </c>
      <c r="BY1403" t="str">
        <f>IFERROR(BX1403/BO1403,"")</f>
        <v/>
      </c>
      <c r="BZ1403">
        <v>0</v>
      </c>
      <c r="CA1403">
        <v>0</v>
      </c>
      <c r="CB1403">
        <v>0</v>
      </c>
      <c r="CC1403">
        <v>0</v>
      </c>
      <c r="CD1403">
        <v>0</v>
      </c>
      <c r="CE1403">
        <v>0</v>
      </c>
      <c r="CF1403">
        <v>0</v>
      </c>
      <c r="CG1403">
        <v>0</v>
      </c>
      <c r="CH1403">
        <v>0</v>
      </c>
      <c r="CI1403">
        <v>0</v>
      </c>
      <c r="CJ1403">
        <v>0</v>
      </c>
      <c r="CK1403">
        <v>0</v>
      </c>
      <c r="CL1403">
        <v>0</v>
      </c>
      <c r="CM1403">
        <v>0</v>
      </c>
      <c r="CN1403" t="str">
        <f>IF($BL1403&lt;$BK1403,"refNeedCorrection","refOK")</f>
        <v>refOK</v>
      </c>
      <c r="CO1403"/>
      <c r="CP1403"/>
      <c r="CQ1403"/>
      <c r="CR1403">
        <f>IF($CN1403="refOK",$BS1403,$BT1403)*IF($BP1403="Emissions positive",-1,1)</f>
        <v>237.9</v>
      </c>
      <c r="CS1403">
        <f>IF($CN1403="refOK",$BT1403,$BS1403)*IF($BP1403="Emissions positive",-1,1)</f>
        <v>304</v>
      </c>
      <c r="CT1403">
        <f>IF($CN1403="refNeedCorrection",-BX1403,BX1403)*IF($BP1403="Emissions positive",-1,1)</f>
        <v>0</v>
      </c>
      <c r="CU1403" t="str">
        <f>IFERROR(CT1403/CQ1403,"")</f>
        <v/>
      </c>
      <c r="CV1403" s="2">
        <f>IFERROR((CS1403-CR1403)/ABS(CR1403),"")</f>
        <v>0.27784783522488438</v>
      </c>
      <c r="CW1403" s="1" t="s">
        <v>1203</v>
      </c>
      <c r="CX1403" s="312" t="str">
        <f>IF(OR($CW1403="prd",$CW1403="std",$CW1403="cit"),"loc",IF(OR($CW1403="eur",$CW1403="reg",$CW1403="coy"),"reg",$CW1403))</f>
        <v>reg</v>
      </c>
      <c r="CY1403" t="s">
        <v>3917</v>
      </c>
      <c r="DB1403">
        <v>200</v>
      </c>
      <c r="DC1403" t="str">
        <f>IF(DB1403=0,"0",IF(AND(DB1403&gt;=1,DB1403&lt;=30),"1-30",IF(AND(DB1403&gt;30,DB1403&lt;=70),"31-70",IF(AND(DB1403&gt;70,DB1403&lt;=100),"71-100",IF(DB1403&gt;100,"+100")))))</f>
        <v>+100</v>
      </c>
      <c r="DD1403">
        <v>0</v>
      </c>
      <c r="DE1403">
        <v>0</v>
      </c>
      <c r="DF1403">
        <v>0</v>
      </c>
      <c r="DG1403">
        <v>1</v>
      </c>
      <c r="DH1403">
        <v>0</v>
      </c>
      <c r="DI1403">
        <f>SUM(DD1403:DH1403)</f>
        <v>1</v>
      </c>
      <c r="DJ1403" t="str">
        <f>IF(DI1403=1,INDEX($DD$7:$DG$7,MATCH(1,$DD1403:$DG1403,0)),"mixedProduct")</f>
        <v>TimberInput</v>
      </c>
      <c r="DK1403">
        <f>IF(DD1403=1,DK$7,0)</f>
        <v>0</v>
      </c>
      <c r="DL1403">
        <f>IF(DE1403=1,DL$7,0)</f>
        <v>0</v>
      </c>
      <c r="DM1403">
        <f>IF(DF1403=1,DM$7,0)</f>
        <v>0</v>
      </c>
      <c r="DN1403" t="str">
        <f>IF(DG1403=1,DN$7,0)</f>
        <v>Timber</v>
      </c>
      <c r="DO1403">
        <v>0</v>
      </c>
      <c r="DP1403">
        <v>0</v>
      </c>
      <c r="DQ1403">
        <v>0</v>
      </c>
      <c r="DR1403">
        <v>0</v>
      </c>
      <c r="DS1403">
        <v>0</v>
      </c>
      <c r="DT1403">
        <f>SUM(DO1403:DP1403)</f>
        <v>0</v>
      </c>
      <c r="DU1403" s="143" t="str">
        <f>IF(DO1403=1,"self-calculated DF",IF(DP1403=1,"external DF used","explicit C balance"))</f>
        <v>explicit C balance</v>
      </c>
      <c r="DV1403">
        <v>1</v>
      </c>
      <c r="DW1403">
        <v>1</v>
      </c>
      <c r="DX1403">
        <v>1</v>
      </c>
      <c r="DY1403">
        <v>1</v>
      </c>
      <c r="DZ1403">
        <v>1</v>
      </c>
      <c r="EA1403">
        <v>0</v>
      </c>
      <c r="EB1403">
        <v>0</v>
      </c>
      <c r="EC1403">
        <v>0</v>
      </c>
      <c r="ED1403">
        <v>0</v>
      </c>
      <c r="EE1403">
        <v>0</v>
      </c>
      <c r="EF1403">
        <v>1</v>
      </c>
      <c r="EG1403">
        <v>0</v>
      </c>
      <c r="EH1403">
        <v>0</v>
      </c>
      <c r="EI1403" s="2">
        <v>0</v>
      </c>
      <c r="EK1403" t="str">
        <f>IF(AND(AND(AND(OR($DX1403=1,$DW1403=1),OR($EC1403=1,$EA1403=1)),SUM($DV1403:$DZ1403,$EF1403)&gt;=3),SUM($EA1403:$EE1403)&gt;=2),"Whole sector","")</f>
        <v/>
      </c>
      <c r="EL1403" t="str">
        <f>IF(AND(AND(OR($DX1403=1,$DW1403=1),AND($EC1403=0,$EA1403=0)),SUM($DV1403:$DZ1403,$EF1403)&gt;=3),"Ecosystem approach","")</f>
        <v>Ecosystem approach</v>
      </c>
      <c r="EM1403" s="2" t="str">
        <f>IF(AND(AND(AND($DX1403=0,$DW1403=0),OR($EC1403=1,$EA1403=1)),SUM($EB1403:$EE1403)&gt;=2),"Technology approach","")</f>
        <v/>
      </c>
      <c r="EP1403" t="b">
        <f>IF(ISNUMBER(BU1403),IF(ABS(BU1403-[5]QC_indicators!$B$2)&gt;3*[5]QC_indicators!$C$2,"C ratio",IF(ISNUMBER(BY1403),IF(ABS(BY1403-[5]QC_indicators!$B$1)&gt;3*[5]QC_indicators!$C$1,"DF","no"))),IF(ISNUMBER(BY1403),IF(ABS(BY1403-[5]QC_indicators!$B$1)&gt;3*[5]QC_indicators!$C$1,"DF","no")))</f>
        <v>0</v>
      </c>
    </row>
    <row r="1404" spans="1:146" ht="15" customHeight="1">
      <c r="A1404" s="1" t="s">
        <v>214</v>
      </c>
      <c r="B1404" t="s">
        <v>3906</v>
      </c>
      <c r="C1404" t="s">
        <v>3907</v>
      </c>
      <c r="D1404" t="s">
        <v>3908</v>
      </c>
      <c r="E1404" t="s">
        <v>3909</v>
      </c>
      <c r="F1404" t="s">
        <v>3910</v>
      </c>
      <c r="G1404" t="s">
        <v>220</v>
      </c>
      <c r="H1404" t="s">
        <v>254</v>
      </c>
      <c r="I1404">
        <v>2012</v>
      </c>
      <c r="J1404">
        <v>24</v>
      </c>
      <c r="K1404" t="s">
        <v>3911</v>
      </c>
      <c r="M1404" t="str">
        <f>LEFT($D1404,FIND(",",$D1404)-1)&amp;"_"&amp;I1404&amp;L1404</f>
        <v>Perez-Cruzado_2012</v>
      </c>
      <c r="N1404" s="312" t="s">
        <v>4383</v>
      </c>
      <c r="O1404" s="171" t="s">
        <v>513</v>
      </c>
      <c r="P1404" s="141" t="s">
        <v>225</v>
      </c>
      <c r="Q1404" s="312" t="s">
        <v>389</v>
      </c>
      <c r="R1404" s="313"/>
      <c r="S1404" s="1" t="s">
        <v>3912</v>
      </c>
      <c r="T1404" t="s">
        <v>3913</v>
      </c>
      <c r="U1404" t="s">
        <v>3918</v>
      </c>
      <c r="V1404">
        <v>0</v>
      </c>
      <c r="W1404">
        <v>0</v>
      </c>
      <c r="X1404">
        <v>0</v>
      </c>
      <c r="Y1404">
        <v>0</v>
      </c>
      <c r="Z1404">
        <v>1</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s="141">
        <f>COUNTIF(V1404:AW1404,"&lt;&gt;0")</f>
        <v>1</v>
      </c>
      <c r="AY1404" s="141">
        <f>COUNTIF(V1404:AL1404,"&lt;&gt;0")</f>
        <v>1</v>
      </c>
      <c r="AZ1404">
        <f>COUNTIF(V1404:AC1404,"&lt;&gt;0")</f>
        <v>1</v>
      </c>
      <c r="BA1404">
        <f>COUNTIF(AD1404:AI1404,"&lt;&gt;0")</f>
        <v>0</v>
      </c>
      <c r="BB1404">
        <f>COUNTIF(AJ1404:AL1404,"&lt;&gt;0")</f>
        <v>0</v>
      </c>
      <c r="BC1404">
        <f>COUNTIF(AS1404:AW1404,"&lt;&gt;0")</f>
        <v>0</v>
      </c>
      <c r="BD1404">
        <f>COUNTIF(AM1404:AR1404,"&lt;&gt;0")</f>
        <v>0</v>
      </c>
      <c r="BE1404" t="str" cm="1">
        <f t="array" ref="BE1404">IF(AY1404=1,INDEX($V$7:$AL$7,MATCH(TRUE,INDEX($V1404:$AW1404&lt;&gt;0,),0)),IF(AY1404=0,INDEX($AM$7:$AW$7,MATCH(1,$AM1404:$AW1404,0)),IF(BF1404="Multiple strategies","mixed drivers",IF(BF1404="Supply chain","multiple supply","multiple silviculture"))))</f>
        <v>species</v>
      </c>
      <c r="BF1404" s="2" t="str" cm="1">
        <f t="array" ref="BF1404">IF(COUNTIF(AZ1404:BB1404,"&lt;&gt;0")=1,INDEX($V$4:$AW$4,MATCH(TRUE,INDEX($V1404:$AW1404&lt;&gt;0,),0)),IF(COUNTIF(AZ1404:BB1404,"&lt;&gt;0")=0,INDEX($AM$4:$AW$4,MATCH(1,$AM1404:$AW1404,0)),"Multiple strategies"))</f>
        <v>Silviculture for productivity</v>
      </c>
      <c r="BP1404" t="s">
        <v>232</v>
      </c>
      <c r="BQ1404" t="s">
        <v>3915</v>
      </c>
      <c r="BR1404" t="s">
        <v>3916</v>
      </c>
      <c r="BS1404">
        <v>237.9</v>
      </c>
      <c r="BT1404">
        <v>273.7</v>
      </c>
      <c r="BU1404" s="144"/>
      <c r="BV1404">
        <f>BT1404-BS1404</f>
        <v>35.799999999999983</v>
      </c>
      <c r="BY1404" t="str">
        <f>IFERROR(BX1404/BO1404,"")</f>
        <v/>
      </c>
      <c r="BZ1404">
        <v>0</v>
      </c>
      <c r="CA1404">
        <v>0</v>
      </c>
      <c r="CB1404">
        <v>0</v>
      </c>
      <c r="CC1404">
        <v>0</v>
      </c>
      <c r="CD1404">
        <v>0</v>
      </c>
      <c r="CE1404">
        <v>0</v>
      </c>
      <c r="CF1404">
        <v>0</v>
      </c>
      <c r="CG1404">
        <v>0</v>
      </c>
      <c r="CH1404">
        <v>0</v>
      </c>
      <c r="CI1404">
        <v>0</v>
      </c>
      <c r="CJ1404">
        <v>0</v>
      </c>
      <c r="CK1404">
        <v>0</v>
      </c>
      <c r="CL1404">
        <v>0</v>
      </c>
      <c r="CM1404">
        <v>0</v>
      </c>
      <c r="CN1404" t="str">
        <f>IF($BL1404&lt;$BK1404,"refNeedCorrection","refOK")</f>
        <v>refOK</v>
      </c>
      <c r="CO1404"/>
      <c r="CP1404"/>
      <c r="CQ1404"/>
      <c r="CR1404">
        <f>IF($CN1404="refOK",$BS1404,$BT1404)*IF($BP1404="Emissions positive",-1,1)</f>
        <v>237.9</v>
      </c>
      <c r="CS1404">
        <f>IF($CN1404="refOK",$BT1404,$BS1404)*IF($BP1404="Emissions positive",-1,1)</f>
        <v>273.7</v>
      </c>
      <c r="CT1404">
        <f>IF($CN1404="refNeedCorrection",-BX1404,BX1404)*IF($BP1404="Emissions positive",-1,1)</f>
        <v>0</v>
      </c>
      <c r="CU1404" t="str">
        <f>IFERROR(CT1404/CQ1404,"")</f>
        <v/>
      </c>
      <c r="CV1404" s="2">
        <f>IFERROR((CS1404-CR1404)/ABS(CR1404),"")</f>
        <v>0.15048339638503566</v>
      </c>
      <c r="CW1404" s="1" t="s">
        <v>1203</v>
      </c>
      <c r="CX1404" s="312" t="str">
        <f>IF(OR($CW1404="prd",$CW1404="std",$CW1404="cit"),"loc",IF(OR($CW1404="eur",$CW1404="reg",$CW1404="coy"),"reg",$CW1404))</f>
        <v>reg</v>
      </c>
      <c r="CY1404" t="s">
        <v>3917</v>
      </c>
      <c r="DB1404">
        <v>200</v>
      </c>
      <c r="DC1404" t="str">
        <f>IF(DB1404=0,"0",IF(AND(DB1404&gt;=1,DB1404&lt;=30),"1-30",IF(AND(DB1404&gt;30,DB1404&lt;=70),"31-70",IF(AND(DB1404&gt;70,DB1404&lt;=100),"71-100",IF(DB1404&gt;100,"+100")))))</f>
        <v>+100</v>
      </c>
      <c r="DD1404">
        <v>0</v>
      </c>
      <c r="DE1404">
        <v>0</v>
      </c>
      <c r="DF1404">
        <v>0</v>
      </c>
      <c r="DG1404">
        <v>1</v>
      </c>
      <c r="DH1404">
        <v>0</v>
      </c>
      <c r="DI1404">
        <f>SUM(DD1404:DH1404)</f>
        <v>1</v>
      </c>
      <c r="DJ1404" t="str">
        <f>IF(DI1404=1,INDEX($DD$7:$DG$7,MATCH(1,$DD1404:$DG1404,0)),"mixedProduct")</f>
        <v>TimberInput</v>
      </c>
      <c r="DK1404">
        <f>IF(DD1404=1,DK$7,0)</f>
        <v>0</v>
      </c>
      <c r="DL1404">
        <f>IF(DE1404=1,DL$7,0)</f>
        <v>0</v>
      </c>
      <c r="DM1404">
        <f>IF(DF1404=1,DM$7,0)</f>
        <v>0</v>
      </c>
      <c r="DN1404" t="str">
        <f>IF(DG1404=1,DN$7,0)</f>
        <v>Timber</v>
      </c>
      <c r="DO1404">
        <v>0</v>
      </c>
      <c r="DP1404">
        <v>0</v>
      </c>
      <c r="DQ1404">
        <v>0</v>
      </c>
      <c r="DR1404">
        <v>0</v>
      </c>
      <c r="DS1404">
        <v>0</v>
      </c>
      <c r="DT1404">
        <f>SUM(DO1404:DP1404)</f>
        <v>0</v>
      </c>
      <c r="DU1404" s="143" t="str">
        <f>IF(DO1404=1,"self-calculated DF",IF(DP1404=1,"external DF used","explicit C balance"))</f>
        <v>explicit C balance</v>
      </c>
      <c r="DV1404">
        <v>1</v>
      </c>
      <c r="DW1404">
        <v>1</v>
      </c>
      <c r="DX1404">
        <v>1</v>
      </c>
      <c r="DY1404">
        <v>1</v>
      </c>
      <c r="DZ1404">
        <v>1</v>
      </c>
      <c r="EA1404">
        <v>0</v>
      </c>
      <c r="EB1404">
        <v>0</v>
      </c>
      <c r="EC1404">
        <v>0</v>
      </c>
      <c r="ED1404">
        <v>0</v>
      </c>
      <c r="EE1404">
        <v>0</v>
      </c>
      <c r="EF1404">
        <v>1</v>
      </c>
      <c r="EG1404">
        <v>0</v>
      </c>
      <c r="EH1404">
        <v>0</v>
      </c>
      <c r="EI1404" s="2">
        <v>0</v>
      </c>
      <c r="EK1404" t="str">
        <f>IF(AND(AND(AND(OR($DX1404=1,$DW1404=1),OR($EC1404=1,$EA1404=1)),SUM($DV1404:$DZ1404,$EF1404)&gt;=3),SUM($EA1404:$EE1404)&gt;=2),"Whole sector","")</f>
        <v/>
      </c>
      <c r="EL1404" t="str">
        <f>IF(AND(AND(OR($DX1404=1,$DW1404=1),AND($EC1404=0,$EA1404=0)),SUM($DV1404:$DZ1404,$EF1404)&gt;=3),"Ecosystem approach","")</f>
        <v>Ecosystem approach</v>
      </c>
      <c r="EM1404" s="2" t="str">
        <f>IF(AND(AND(AND($DX1404=0,$DW1404=0),OR($EC1404=1,$EA1404=1)),SUM($EB1404:$EE1404)&gt;=2),"Technology approach","")</f>
        <v/>
      </c>
      <c r="EP1404" t="b">
        <f>IF(ISNUMBER(BU1404),IF(ABS(BU1404-[5]QC_indicators!$B$2)&gt;3*[5]QC_indicators!$C$2,"C ratio",IF(ISNUMBER(BY1404),IF(ABS(BY1404-[5]QC_indicators!$B$1)&gt;3*[5]QC_indicators!$C$1,"DF","no"))),IF(ISNUMBER(BY1404),IF(ABS(BY1404-[5]QC_indicators!$B$1)&gt;3*[5]QC_indicators!$C$1,"DF","no")))</f>
        <v>0</v>
      </c>
    </row>
    <row r="1405" spans="1:146" ht="15" customHeight="1">
      <c r="A1405" s="1" t="s">
        <v>214</v>
      </c>
      <c r="B1405" t="s">
        <v>3906</v>
      </c>
      <c r="C1405" t="s">
        <v>3907</v>
      </c>
      <c r="D1405" t="s">
        <v>3908</v>
      </c>
      <c r="E1405" t="s">
        <v>3909</v>
      </c>
      <c r="F1405" t="s">
        <v>3910</v>
      </c>
      <c r="G1405" t="s">
        <v>220</v>
      </c>
      <c r="H1405" t="s">
        <v>254</v>
      </c>
      <c r="I1405">
        <v>2012</v>
      </c>
      <c r="J1405">
        <v>24</v>
      </c>
      <c r="K1405" t="s">
        <v>3911</v>
      </c>
      <c r="M1405" t="str">
        <f>LEFT($D1405,FIND(",",$D1405)-1)&amp;"_"&amp;I1405&amp;L1405</f>
        <v>Perez-Cruzado_2012</v>
      </c>
      <c r="N1405" s="312" t="s">
        <v>4383</v>
      </c>
      <c r="O1405" s="171" t="s">
        <v>513</v>
      </c>
      <c r="P1405" s="141" t="s">
        <v>225</v>
      </c>
      <c r="Q1405" s="312" t="s">
        <v>389</v>
      </c>
      <c r="R1405" s="313"/>
      <c r="S1405" s="1" t="s">
        <v>3919</v>
      </c>
      <c r="T1405" t="s">
        <v>3920</v>
      </c>
      <c r="U1405" t="s">
        <v>3918</v>
      </c>
      <c r="V1405">
        <v>0</v>
      </c>
      <c r="W1405">
        <v>0</v>
      </c>
      <c r="X1405">
        <v>0</v>
      </c>
      <c r="Y1405">
        <v>0</v>
      </c>
      <c r="Z1405">
        <v>0</v>
      </c>
      <c r="AA1405">
        <v>0</v>
      </c>
      <c r="AB1405">
        <v>0</v>
      </c>
      <c r="AC1405">
        <v>0</v>
      </c>
      <c r="AD1405">
        <v>0</v>
      </c>
      <c r="AE1405">
        <v>0</v>
      </c>
      <c r="AF1405">
        <v>1</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s="141">
        <f>COUNTIF(V1405:AW1405,"&lt;&gt;0")</f>
        <v>1</v>
      </c>
      <c r="AY1405" s="141">
        <f>COUNTIF(V1405:AL1405,"&lt;&gt;0")</f>
        <v>1</v>
      </c>
      <c r="AZ1405">
        <f>COUNTIF(V1405:AC1405,"&lt;&gt;0")</f>
        <v>0</v>
      </c>
      <c r="BA1405">
        <f>COUNTIF(AD1405:AI1405,"&lt;&gt;0")</f>
        <v>1</v>
      </c>
      <c r="BB1405">
        <f>COUNTIF(AJ1405:AL1405,"&lt;&gt;0")</f>
        <v>0</v>
      </c>
      <c r="BC1405">
        <f>COUNTIF(AS1405:AW1405,"&lt;&gt;0")</f>
        <v>0</v>
      </c>
      <c r="BD1405">
        <f>COUNTIF(AM1405:AR1405,"&lt;&gt;0")</f>
        <v>0</v>
      </c>
      <c r="BE1405" t="str" cm="1">
        <f t="array" ref="BE1405">IF(AY1405=1,INDEX($V$7:$AL$7,MATCH(TRUE,INDEX($V1405:$AW1405&lt;&gt;0,),0)),IF(AY1405=0,INDEX($AM$7:$AW$7,MATCH(1,$AM1405:$AW1405,0)),IF(BF1405="Multiple strategies","mixed drivers",IF(BF1405="Supply chain","multiple supply","multiple silviculture"))))</f>
        <v>supply chain organization</v>
      </c>
      <c r="BF1405" s="2" t="str" cm="1">
        <f t="array" ref="BF1405">IF(COUNTIF(AZ1405:BB1405,"&lt;&gt;0")=1,INDEX($V$4:$AW$4,MATCH(TRUE,INDEX($V1405:$AW1405&lt;&gt;0,),0)),IF(COUNTIF(AZ1405:BB1405,"&lt;&gt;0")=0,INDEX($AM$4:$AW$4,MATCH(1,$AM1405:$AW1405,0)),"Multiple strategies"))</f>
        <v>Supply chain</v>
      </c>
      <c r="BP1405" t="s">
        <v>232</v>
      </c>
      <c r="BQ1405" t="s">
        <v>3915</v>
      </c>
      <c r="BR1405" t="s">
        <v>3916</v>
      </c>
      <c r="BS1405">
        <v>273.7</v>
      </c>
      <c r="BT1405">
        <v>793.5</v>
      </c>
      <c r="BU1405" s="144"/>
      <c r="BV1405">
        <f>BT1405-BS1405</f>
        <v>519.79999999999995</v>
      </c>
      <c r="BY1405" t="str">
        <f>IFERROR(BX1405/BO1405,"")</f>
        <v/>
      </c>
      <c r="BZ1405">
        <v>0</v>
      </c>
      <c r="CA1405">
        <v>0</v>
      </c>
      <c r="CB1405">
        <v>0</v>
      </c>
      <c r="CC1405">
        <v>0</v>
      </c>
      <c r="CD1405">
        <v>0</v>
      </c>
      <c r="CE1405">
        <v>0</v>
      </c>
      <c r="CF1405">
        <v>0</v>
      </c>
      <c r="CG1405">
        <v>0</v>
      </c>
      <c r="CH1405">
        <v>0</v>
      </c>
      <c r="CI1405">
        <v>0</v>
      </c>
      <c r="CJ1405">
        <v>0</v>
      </c>
      <c r="CK1405">
        <v>0</v>
      </c>
      <c r="CL1405">
        <v>0</v>
      </c>
      <c r="CM1405">
        <v>0</v>
      </c>
      <c r="CN1405" t="str">
        <f>IF($BL1405&lt;$BK1405,"refNeedCorrection","refOK")</f>
        <v>refOK</v>
      </c>
      <c r="CO1405"/>
      <c r="CP1405"/>
      <c r="CQ1405"/>
      <c r="CR1405">
        <f>IF($CN1405="refOK",$BS1405,$BT1405)*IF($BP1405="Emissions positive",-1,1)</f>
        <v>273.7</v>
      </c>
      <c r="CS1405">
        <f>IF($CN1405="refOK",$BT1405,$BS1405)*IF($BP1405="Emissions positive",-1,1)</f>
        <v>793.5</v>
      </c>
      <c r="CT1405">
        <f>IF($CN1405="refNeedCorrection",-BX1405,BX1405)*IF($BP1405="Emissions positive",-1,1)</f>
        <v>0</v>
      </c>
      <c r="CU1405" t="str">
        <f>IFERROR(CT1405/CQ1405,"")</f>
        <v/>
      </c>
      <c r="CV1405" s="2">
        <f>IFERROR((CS1405-CR1405)/ABS(CR1405),"")</f>
        <v>1.8991596638655461</v>
      </c>
      <c r="CW1405" s="1" t="s">
        <v>1203</v>
      </c>
      <c r="CX1405" s="312" t="str">
        <f>IF(OR($CW1405="prd",$CW1405="std",$CW1405="cit"),"loc",IF(OR($CW1405="eur",$CW1405="reg",$CW1405="coy"),"reg",$CW1405))</f>
        <v>reg</v>
      </c>
      <c r="CY1405" t="s">
        <v>3917</v>
      </c>
      <c r="DB1405">
        <v>200</v>
      </c>
      <c r="DC1405" t="str">
        <f>IF(DB1405=0,"0",IF(AND(DB1405&gt;=1,DB1405&lt;=30),"1-30",IF(AND(DB1405&gt;30,DB1405&lt;=70),"31-70",IF(AND(DB1405&gt;70,DB1405&lt;=100),"71-100",IF(DB1405&gt;100,"+100")))))</f>
        <v>+100</v>
      </c>
      <c r="DD1405">
        <v>0</v>
      </c>
      <c r="DE1405">
        <v>1</v>
      </c>
      <c r="DF1405">
        <v>0</v>
      </c>
      <c r="DG1405">
        <v>1</v>
      </c>
      <c r="DH1405">
        <v>0</v>
      </c>
      <c r="DI1405">
        <f>SUM(DD1405:DH1405)</f>
        <v>2</v>
      </c>
      <c r="DJ1405" t="str">
        <f>IF(DI1405=1,INDEX($DD$7:$DG$7,MATCH(1,$DD1405:$DG1405,0)),"mixedProduct")</f>
        <v>mixedProduct</v>
      </c>
      <c r="DK1405">
        <f>IF(DD1405=1,DK$7,0)</f>
        <v>0</v>
      </c>
      <c r="DL1405" t="str">
        <f>IF(DE1405=1,DL$7,0)</f>
        <v>Energy</v>
      </c>
      <c r="DM1405">
        <f>IF(DF1405=1,DM$7,0)</f>
        <v>0</v>
      </c>
      <c r="DN1405" t="str">
        <f>IF(DG1405=1,DN$7,0)</f>
        <v>Timber</v>
      </c>
      <c r="DO1405">
        <v>0</v>
      </c>
      <c r="DP1405">
        <v>0</v>
      </c>
      <c r="DQ1405">
        <v>0</v>
      </c>
      <c r="DR1405">
        <v>0</v>
      </c>
      <c r="DS1405">
        <v>0</v>
      </c>
      <c r="DT1405">
        <f>SUM(DO1405:DP1405)</f>
        <v>0</v>
      </c>
      <c r="DU1405" s="143" t="str">
        <f>IF(DO1405=1,"self-calculated DF",IF(DP1405=1,"external DF used","explicit C balance"))</f>
        <v>explicit C balance</v>
      </c>
      <c r="DV1405">
        <v>1</v>
      </c>
      <c r="DW1405">
        <v>1</v>
      </c>
      <c r="DX1405">
        <v>1</v>
      </c>
      <c r="DY1405">
        <v>1</v>
      </c>
      <c r="DZ1405">
        <v>1</v>
      </c>
      <c r="EA1405">
        <v>0</v>
      </c>
      <c r="EB1405">
        <v>0</v>
      </c>
      <c r="EC1405">
        <v>0</v>
      </c>
      <c r="ED1405">
        <v>0</v>
      </c>
      <c r="EE1405">
        <v>0</v>
      </c>
      <c r="EF1405">
        <v>1</v>
      </c>
      <c r="EG1405">
        <v>0</v>
      </c>
      <c r="EH1405">
        <v>0</v>
      </c>
      <c r="EI1405" s="2">
        <v>0</v>
      </c>
      <c r="EK1405" t="str">
        <f>IF(AND(AND(AND(OR($DX1405=1,$DW1405=1),OR($EC1405=1,$EA1405=1)),SUM($DV1405:$DZ1405,$EF1405)&gt;=3),SUM($EA1405:$EE1405)&gt;=2),"Whole sector","")</f>
        <v/>
      </c>
      <c r="EL1405" t="str">
        <f>IF(AND(AND(OR($DX1405=1,$DW1405=1),AND($EC1405=0,$EA1405=0)),SUM($DV1405:$DZ1405,$EF1405)&gt;=3),"Ecosystem approach","")</f>
        <v>Ecosystem approach</v>
      </c>
      <c r="EM1405" s="2" t="str">
        <f>IF(AND(AND(AND($DX1405=0,$DW1405=0),OR($EC1405=1,$EA1405=1)),SUM($EB1405:$EE1405)&gt;=2),"Technology approach","")</f>
        <v/>
      </c>
      <c r="EP1405" t="b">
        <f>IF(ISNUMBER(BU1405),IF(ABS(BU1405-[5]QC_indicators!$B$2)&gt;3*[5]QC_indicators!$C$2,"C ratio",IF(ISNUMBER(BY1405),IF(ABS(BY1405-[5]QC_indicators!$B$1)&gt;3*[5]QC_indicators!$C$1,"DF","no"))),IF(ISNUMBER(BY1405),IF(ABS(BY1405-[5]QC_indicators!$B$1)&gt;3*[5]QC_indicators!$C$1,"DF","no")))</f>
        <v>0</v>
      </c>
    </row>
    <row r="1406" spans="1:146" ht="15" customHeight="1">
      <c r="A1406" s="1" t="s">
        <v>214</v>
      </c>
      <c r="B1406" t="s">
        <v>3906</v>
      </c>
      <c r="C1406" t="s">
        <v>3907</v>
      </c>
      <c r="D1406" t="s">
        <v>3908</v>
      </c>
      <c r="E1406" t="s">
        <v>3909</v>
      </c>
      <c r="F1406" t="s">
        <v>3910</v>
      </c>
      <c r="G1406" t="s">
        <v>220</v>
      </c>
      <c r="H1406" t="s">
        <v>254</v>
      </c>
      <c r="I1406">
        <v>2012</v>
      </c>
      <c r="J1406">
        <v>24</v>
      </c>
      <c r="K1406" t="s">
        <v>3911</v>
      </c>
      <c r="M1406" t="str">
        <f>LEFT($D1406,FIND(",",$D1406)-1)&amp;"_"&amp;I1406&amp;L1406</f>
        <v>Perez-Cruzado_2012</v>
      </c>
      <c r="N1406" s="312" t="s">
        <v>4383</v>
      </c>
      <c r="O1406" s="171" t="s">
        <v>513</v>
      </c>
      <c r="P1406" s="141" t="s">
        <v>225</v>
      </c>
      <c r="Q1406" s="312" t="s">
        <v>389</v>
      </c>
      <c r="R1406" s="313"/>
      <c r="S1406" s="1" t="s">
        <v>3919</v>
      </c>
      <c r="T1406" t="s">
        <v>3914</v>
      </c>
      <c r="U1406" t="s">
        <v>3921</v>
      </c>
      <c r="V1406">
        <v>0</v>
      </c>
      <c r="W1406">
        <v>0</v>
      </c>
      <c r="X1406">
        <v>0</v>
      </c>
      <c r="Y1406">
        <v>0</v>
      </c>
      <c r="Z1406">
        <v>0</v>
      </c>
      <c r="AA1406">
        <v>0</v>
      </c>
      <c r="AB1406">
        <v>0</v>
      </c>
      <c r="AC1406">
        <v>0</v>
      </c>
      <c r="AD1406">
        <v>0</v>
      </c>
      <c r="AE1406">
        <v>0</v>
      </c>
      <c r="AF1406">
        <v>1</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s="141">
        <f>COUNTIF(V1406:AW1406,"&lt;&gt;0")</f>
        <v>1</v>
      </c>
      <c r="AY1406" s="141">
        <f>COUNTIF(V1406:AL1406,"&lt;&gt;0")</f>
        <v>1</v>
      </c>
      <c r="AZ1406">
        <f>COUNTIF(V1406:AC1406,"&lt;&gt;0")</f>
        <v>0</v>
      </c>
      <c r="BA1406">
        <f>COUNTIF(AD1406:AI1406,"&lt;&gt;0")</f>
        <v>1</v>
      </c>
      <c r="BB1406">
        <f>COUNTIF(AJ1406:AL1406,"&lt;&gt;0")</f>
        <v>0</v>
      </c>
      <c r="BC1406">
        <f>COUNTIF(AS1406:AW1406,"&lt;&gt;0")</f>
        <v>0</v>
      </c>
      <c r="BD1406">
        <f>COUNTIF(AM1406:AR1406,"&lt;&gt;0")</f>
        <v>0</v>
      </c>
      <c r="BE1406" t="str" cm="1">
        <f t="array" ref="BE1406">IF(AY1406=1,INDEX($V$7:$AL$7,MATCH(TRUE,INDEX($V1406:$AW1406&lt;&gt;0,),0)),IF(AY1406=0,INDEX($AM$7:$AW$7,MATCH(1,$AM1406:$AW1406,0)),IF(BF1406="Multiple strategies","mixed drivers",IF(BF1406="Supply chain","multiple supply","multiple silviculture"))))</f>
        <v>supply chain organization</v>
      </c>
      <c r="BF1406" s="2" t="str" cm="1">
        <f t="array" ref="BF1406">IF(COUNTIF(AZ1406:BB1406,"&lt;&gt;0")=1,INDEX($V$4:$AW$4,MATCH(TRUE,INDEX($V1406:$AW1406&lt;&gt;0,),0)),IF(COUNTIF(AZ1406:BB1406,"&lt;&gt;0")=0,INDEX($AM$4:$AW$4,MATCH(1,$AM1406:$AW1406,0)),"Multiple strategies"))</f>
        <v>Supply chain</v>
      </c>
      <c r="BP1406" t="s">
        <v>232</v>
      </c>
      <c r="BQ1406" t="s">
        <v>3915</v>
      </c>
      <c r="BR1406" t="s">
        <v>3916</v>
      </c>
      <c r="BS1406">
        <v>304</v>
      </c>
      <c r="BT1406">
        <v>1031.5</v>
      </c>
      <c r="BU1406" s="144"/>
      <c r="BV1406">
        <f>BT1406-BS1406</f>
        <v>727.5</v>
      </c>
      <c r="BY1406" t="str">
        <f>IFERROR(BX1406/BO1406,"")</f>
        <v/>
      </c>
      <c r="BZ1406">
        <v>0</v>
      </c>
      <c r="CA1406">
        <v>0</v>
      </c>
      <c r="CB1406">
        <v>0</v>
      </c>
      <c r="CC1406">
        <v>0</v>
      </c>
      <c r="CD1406">
        <v>0</v>
      </c>
      <c r="CE1406">
        <v>0</v>
      </c>
      <c r="CF1406">
        <v>0</v>
      </c>
      <c r="CG1406">
        <v>0</v>
      </c>
      <c r="CH1406">
        <v>0</v>
      </c>
      <c r="CI1406">
        <v>0</v>
      </c>
      <c r="CJ1406">
        <v>0</v>
      </c>
      <c r="CK1406">
        <v>0</v>
      </c>
      <c r="CL1406">
        <v>0</v>
      </c>
      <c r="CM1406">
        <v>0</v>
      </c>
      <c r="CN1406" t="str">
        <f>IF($BL1406&lt;$BK1406,"refNeedCorrection","refOK")</f>
        <v>refOK</v>
      </c>
      <c r="CO1406"/>
      <c r="CP1406"/>
      <c r="CQ1406"/>
      <c r="CR1406">
        <f>IF($CN1406="refOK",$BS1406,$BT1406)*IF($BP1406="Emissions positive",-1,1)</f>
        <v>304</v>
      </c>
      <c r="CS1406">
        <f>IF($CN1406="refOK",$BT1406,$BS1406)*IF($BP1406="Emissions positive",-1,1)</f>
        <v>1031.5</v>
      </c>
      <c r="CT1406">
        <f>IF($CN1406="refNeedCorrection",-BX1406,BX1406)*IF($BP1406="Emissions positive",-1,1)</f>
        <v>0</v>
      </c>
      <c r="CU1406" t="str">
        <f>IFERROR(CT1406/CQ1406,"")</f>
        <v/>
      </c>
      <c r="CV1406" s="2">
        <f>IFERROR((CS1406-CR1406)/ABS(CR1406),"")</f>
        <v>2.393092105263158</v>
      </c>
      <c r="CW1406" s="1" t="s">
        <v>1203</v>
      </c>
      <c r="CX1406" s="312" t="str">
        <f>IF(OR($CW1406="prd",$CW1406="std",$CW1406="cit"),"loc",IF(OR($CW1406="eur",$CW1406="reg",$CW1406="coy"),"reg",$CW1406))</f>
        <v>reg</v>
      </c>
      <c r="CY1406" t="s">
        <v>3917</v>
      </c>
      <c r="DB1406">
        <v>200</v>
      </c>
      <c r="DC1406" t="str">
        <f>IF(DB1406=0,"0",IF(AND(DB1406&gt;=1,DB1406&lt;=30),"1-30",IF(AND(DB1406&gt;30,DB1406&lt;=70),"31-70",IF(AND(DB1406&gt;70,DB1406&lt;=100),"71-100",IF(DB1406&gt;100,"+100")))))</f>
        <v>+100</v>
      </c>
      <c r="DD1406">
        <v>0</v>
      </c>
      <c r="DE1406">
        <v>1</v>
      </c>
      <c r="DF1406">
        <v>0</v>
      </c>
      <c r="DG1406">
        <v>1</v>
      </c>
      <c r="DH1406">
        <v>0</v>
      </c>
      <c r="DI1406">
        <f>SUM(DD1406:DH1406)</f>
        <v>2</v>
      </c>
      <c r="DJ1406" t="str">
        <f>IF(DI1406=1,INDEX($DD$7:$DG$7,MATCH(1,$DD1406:$DG1406,0)),"mixedProduct")</f>
        <v>mixedProduct</v>
      </c>
      <c r="DK1406">
        <f>IF(DD1406=1,DK$7,0)</f>
        <v>0</v>
      </c>
      <c r="DL1406" t="str">
        <f>IF(DE1406=1,DL$7,0)</f>
        <v>Energy</v>
      </c>
      <c r="DM1406">
        <f>IF(DF1406=1,DM$7,0)</f>
        <v>0</v>
      </c>
      <c r="DN1406" t="str">
        <f>IF(DG1406=1,DN$7,0)</f>
        <v>Timber</v>
      </c>
      <c r="DO1406">
        <v>0</v>
      </c>
      <c r="DP1406">
        <v>0</v>
      </c>
      <c r="DQ1406">
        <v>0</v>
      </c>
      <c r="DR1406">
        <v>0</v>
      </c>
      <c r="DS1406">
        <v>0</v>
      </c>
      <c r="DT1406">
        <f>SUM(DO1406:DP1406)</f>
        <v>0</v>
      </c>
      <c r="DU1406" s="143" t="str">
        <f>IF(DO1406=1,"self-calculated DF",IF(DP1406=1,"external DF used","explicit C balance"))</f>
        <v>explicit C balance</v>
      </c>
      <c r="DV1406">
        <v>1</v>
      </c>
      <c r="DW1406">
        <v>1</v>
      </c>
      <c r="DX1406">
        <v>1</v>
      </c>
      <c r="DY1406">
        <v>1</v>
      </c>
      <c r="DZ1406">
        <v>1</v>
      </c>
      <c r="EA1406">
        <v>0</v>
      </c>
      <c r="EB1406">
        <v>0</v>
      </c>
      <c r="EC1406">
        <v>0</v>
      </c>
      <c r="ED1406">
        <v>0</v>
      </c>
      <c r="EE1406">
        <v>0</v>
      </c>
      <c r="EF1406">
        <v>1</v>
      </c>
      <c r="EG1406">
        <v>0</v>
      </c>
      <c r="EH1406">
        <v>0</v>
      </c>
      <c r="EI1406" s="2">
        <v>0</v>
      </c>
      <c r="EK1406" t="str">
        <f>IF(AND(AND(AND(OR($DX1406=1,$DW1406=1),OR($EC1406=1,$EA1406=1)),SUM($DV1406:$DZ1406,$EF1406)&gt;=3),SUM($EA1406:$EE1406)&gt;=2),"Whole sector","")</f>
        <v/>
      </c>
      <c r="EL1406" t="str">
        <f>IF(AND(AND(OR($DX1406=1,$DW1406=1),AND($EC1406=0,$EA1406=0)),SUM($DV1406:$DZ1406,$EF1406)&gt;=3),"Ecosystem approach","")</f>
        <v>Ecosystem approach</v>
      </c>
      <c r="EM1406" s="2" t="str">
        <f>IF(AND(AND(AND($DX1406=0,$DW1406=0),OR($EC1406=1,$EA1406=1)),SUM($EB1406:$EE1406)&gt;=2),"Technology approach","")</f>
        <v/>
      </c>
      <c r="EP1406" t="b">
        <f>IF(ISNUMBER(BU1406),IF(ABS(BU1406-[5]QC_indicators!$B$2)&gt;3*[5]QC_indicators!$C$2,"C ratio",IF(ISNUMBER(BY1406),IF(ABS(BY1406-[5]QC_indicators!$B$1)&gt;3*[5]QC_indicators!$C$1,"DF","no"))),IF(ISNUMBER(BY1406),IF(ABS(BY1406-[5]QC_indicators!$B$1)&gt;3*[5]QC_indicators!$C$1,"DF","no")))</f>
        <v>0</v>
      </c>
    </row>
    <row r="1407" spans="1:146" ht="15" customHeight="1">
      <c r="A1407" s="1" t="s">
        <v>214</v>
      </c>
      <c r="B1407" t="s">
        <v>3906</v>
      </c>
      <c r="C1407" t="s">
        <v>3907</v>
      </c>
      <c r="D1407" t="s">
        <v>3908</v>
      </c>
      <c r="E1407" t="s">
        <v>3909</v>
      </c>
      <c r="F1407" t="s">
        <v>3910</v>
      </c>
      <c r="G1407" t="s">
        <v>220</v>
      </c>
      <c r="H1407" t="s">
        <v>254</v>
      </c>
      <c r="I1407">
        <v>2012</v>
      </c>
      <c r="J1407">
        <v>24</v>
      </c>
      <c r="K1407" t="s">
        <v>3911</v>
      </c>
      <c r="M1407" t="str">
        <f>LEFT($D1407,FIND(",",$D1407)-1)&amp;"_"&amp;I1407&amp;L1407</f>
        <v>Perez-Cruzado_2012</v>
      </c>
      <c r="N1407" s="312" t="s">
        <v>4383</v>
      </c>
      <c r="O1407" s="171" t="s">
        <v>513</v>
      </c>
      <c r="P1407" s="141" t="s">
        <v>225</v>
      </c>
      <c r="Q1407" s="312" t="s">
        <v>389</v>
      </c>
      <c r="R1407" s="313"/>
      <c r="S1407" s="1" t="s">
        <v>3919</v>
      </c>
      <c r="T1407" t="s">
        <v>3913</v>
      </c>
      <c r="U1407" t="s">
        <v>3922</v>
      </c>
      <c r="V1407">
        <v>0</v>
      </c>
      <c r="W1407">
        <v>0</v>
      </c>
      <c r="X1407">
        <v>0</v>
      </c>
      <c r="Y1407">
        <v>0</v>
      </c>
      <c r="Z1407">
        <v>0</v>
      </c>
      <c r="AA1407">
        <v>0</v>
      </c>
      <c r="AB1407">
        <v>0</v>
      </c>
      <c r="AC1407">
        <v>0</v>
      </c>
      <c r="AD1407">
        <v>0</v>
      </c>
      <c r="AE1407">
        <v>0</v>
      </c>
      <c r="AF1407">
        <v>1</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s="141">
        <f>COUNTIF(V1407:AW1407,"&lt;&gt;0")</f>
        <v>1</v>
      </c>
      <c r="AY1407" s="141">
        <f>COUNTIF(V1407:AL1407,"&lt;&gt;0")</f>
        <v>1</v>
      </c>
      <c r="AZ1407">
        <f>COUNTIF(V1407:AC1407,"&lt;&gt;0")</f>
        <v>0</v>
      </c>
      <c r="BA1407">
        <f>COUNTIF(AD1407:AI1407,"&lt;&gt;0")</f>
        <v>1</v>
      </c>
      <c r="BB1407">
        <f>COUNTIF(AJ1407:AL1407,"&lt;&gt;0")</f>
        <v>0</v>
      </c>
      <c r="BC1407">
        <f>COUNTIF(AS1407:AW1407,"&lt;&gt;0")</f>
        <v>0</v>
      </c>
      <c r="BD1407">
        <f>COUNTIF(AM1407:AR1407,"&lt;&gt;0")</f>
        <v>0</v>
      </c>
      <c r="BE1407" t="str" cm="1">
        <f t="array" ref="BE1407">IF(AY1407=1,INDEX($V$7:$AL$7,MATCH(TRUE,INDEX($V1407:$AW1407&lt;&gt;0,),0)),IF(AY1407=0,INDEX($AM$7:$AW$7,MATCH(1,$AM1407:$AW1407,0)),IF(BF1407="Multiple strategies","mixed drivers",IF(BF1407="Supply chain","multiple supply","multiple silviculture"))))</f>
        <v>supply chain organization</v>
      </c>
      <c r="BF1407" s="2" t="str" cm="1">
        <f t="array" ref="BF1407">IF(COUNTIF(AZ1407:BB1407,"&lt;&gt;0")=1,INDEX($V$4:$AW$4,MATCH(TRUE,INDEX($V1407:$AW1407&lt;&gt;0,),0)),IF(COUNTIF(AZ1407:BB1407,"&lt;&gt;0")=0,INDEX($AM$4:$AW$4,MATCH(1,$AM1407:$AW1407,0)),"Multiple strategies"))</f>
        <v>Supply chain</v>
      </c>
      <c r="BP1407" t="s">
        <v>232</v>
      </c>
      <c r="BQ1407" t="s">
        <v>3915</v>
      </c>
      <c r="BR1407" t="s">
        <v>3916</v>
      </c>
      <c r="BS1407">
        <v>237.9</v>
      </c>
      <c r="BT1407">
        <v>1983</v>
      </c>
      <c r="BU1407" s="144"/>
      <c r="BV1407">
        <f>BT1407-BS1407</f>
        <v>1745.1</v>
      </c>
      <c r="BY1407" t="str">
        <f>IFERROR(BX1407/BO1407,"")</f>
        <v/>
      </c>
      <c r="BZ1407">
        <v>0</v>
      </c>
      <c r="CA1407">
        <v>0</v>
      </c>
      <c r="CB1407">
        <v>0</v>
      </c>
      <c r="CC1407">
        <v>0</v>
      </c>
      <c r="CD1407">
        <v>0</v>
      </c>
      <c r="CE1407">
        <v>0</v>
      </c>
      <c r="CF1407">
        <v>0</v>
      </c>
      <c r="CG1407">
        <v>0</v>
      </c>
      <c r="CH1407">
        <v>0</v>
      </c>
      <c r="CI1407">
        <v>0</v>
      </c>
      <c r="CJ1407">
        <v>0</v>
      </c>
      <c r="CK1407">
        <v>0</v>
      </c>
      <c r="CL1407">
        <v>0</v>
      </c>
      <c r="CM1407">
        <v>0</v>
      </c>
      <c r="CN1407" t="str">
        <f>IF($BL1407&lt;$BK1407,"refNeedCorrection","refOK")</f>
        <v>refOK</v>
      </c>
      <c r="CO1407"/>
      <c r="CP1407"/>
      <c r="CQ1407"/>
      <c r="CR1407">
        <f>IF($CN1407="refOK",$BS1407,$BT1407)*IF($BP1407="Emissions positive",-1,1)</f>
        <v>237.9</v>
      </c>
      <c r="CS1407">
        <f>IF($CN1407="refOK",$BT1407,$BS1407)*IF($BP1407="Emissions positive",-1,1)</f>
        <v>1983</v>
      </c>
      <c r="CT1407">
        <f>IF($CN1407="refNeedCorrection",-BX1407,BX1407)*IF($BP1407="Emissions positive",-1,1)</f>
        <v>0</v>
      </c>
      <c r="CU1407" t="str">
        <f>IFERROR(CT1407/CQ1407,"")</f>
        <v/>
      </c>
      <c r="CV1407" s="2">
        <f>IFERROR((CS1407-CR1407)/ABS(CR1407),"")</f>
        <v>7.3354350567465314</v>
      </c>
      <c r="CW1407" s="1" t="s">
        <v>1203</v>
      </c>
      <c r="CX1407" s="312" t="str">
        <f>IF(OR($CW1407="prd",$CW1407="std",$CW1407="cit"),"loc",IF(OR($CW1407="eur",$CW1407="reg",$CW1407="coy"),"reg",$CW1407))</f>
        <v>reg</v>
      </c>
      <c r="CY1407" t="s">
        <v>3917</v>
      </c>
      <c r="DB1407">
        <v>200</v>
      </c>
      <c r="DC1407" t="str">
        <f>IF(DB1407=0,"0",IF(AND(DB1407&gt;=1,DB1407&lt;=30),"1-30",IF(AND(DB1407&gt;30,DB1407&lt;=70),"31-70",IF(AND(DB1407&gt;70,DB1407&lt;=100),"71-100",IF(DB1407&gt;100,"+100")))))</f>
        <v>+100</v>
      </c>
      <c r="DD1407">
        <v>0</v>
      </c>
      <c r="DE1407">
        <v>1</v>
      </c>
      <c r="DF1407">
        <v>0</v>
      </c>
      <c r="DG1407">
        <v>1</v>
      </c>
      <c r="DH1407">
        <v>0</v>
      </c>
      <c r="DI1407">
        <f>SUM(DD1407:DH1407)</f>
        <v>2</v>
      </c>
      <c r="DJ1407" t="str">
        <f>IF(DI1407=1,INDEX($DD$7:$DG$7,MATCH(1,$DD1407:$DG1407,0)),"mixedProduct")</f>
        <v>mixedProduct</v>
      </c>
      <c r="DK1407">
        <f>IF(DD1407=1,DK$7,0)</f>
        <v>0</v>
      </c>
      <c r="DL1407" t="str">
        <f>IF(DE1407=1,DL$7,0)</f>
        <v>Energy</v>
      </c>
      <c r="DM1407">
        <f>IF(DF1407=1,DM$7,0)</f>
        <v>0</v>
      </c>
      <c r="DN1407" t="str">
        <f>IF(DG1407=1,DN$7,0)</f>
        <v>Timber</v>
      </c>
      <c r="DO1407">
        <v>0</v>
      </c>
      <c r="DP1407">
        <v>0</v>
      </c>
      <c r="DQ1407">
        <v>0</v>
      </c>
      <c r="DR1407">
        <v>0</v>
      </c>
      <c r="DS1407">
        <v>0</v>
      </c>
      <c r="DT1407">
        <f>SUM(DO1407:DP1407)</f>
        <v>0</v>
      </c>
      <c r="DU1407" s="143" t="str">
        <f>IF(DO1407=1,"self-calculated DF",IF(DP1407=1,"external DF used","explicit C balance"))</f>
        <v>explicit C balance</v>
      </c>
      <c r="DV1407">
        <v>1</v>
      </c>
      <c r="DW1407">
        <v>1</v>
      </c>
      <c r="DX1407">
        <v>1</v>
      </c>
      <c r="DY1407">
        <v>1</v>
      </c>
      <c r="DZ1407">
        <v>1</v>
      </c>
      <c r="EA1407">
        <v>0</v>
      </c>
      <c r="EB1407">
        <v>0</v>
      </c>
      <c r="EC1407">
        <v>0</v>
      </c>
      <c r="ED1407">
        <v>0</v>
      </c>
      <c r="EE1407">
        <v>0</v>
      </c>
      <c r="EF1407">
        <v>1</v>
      </c>
      <c r="EG1407">
        <v>0</v>
      </c>
      <c r="EH1407">
        <v>0</v>
      </c>
      <c r="EI1407" s="2">
        <v>0</v>
      </c>
      <c r="EK1407" t="str">
        <f>IF(AND(AND(AND(OR($DX1407=1,$DW1407=1),OR($EC1407=1,$EA1407=1)),SUM($DV1407:$DZ1407,$EF1407)&gt;=3),SUM($EA1407:$EE1407)&gt;=2),"Whole sector","")</f>
        <v/>
      </c>
      <c r="EL1407" t="str">
        <f>IF(AND(AND(OR($DX1407=1,$DW1407=1),AND($EC1407=0,$EA1407=0)),SUM($DV1407:$DZ1407,$EF1407)&gt;=3),"Ecosystem approach","")</f>
        <v>Ecosystem approach</v>
      </c>
      <c r="EM1407" s="2" t="str">
        <f>IF(AND(AND(AND($DX1407=0,$DW1407=0),OR($EC1407=1,$EA1407=1)),SUM($EB1407:$EE1407)&gt;=2),"Technology approach","")</f>
        <v/>
      </c>
      <c r="EP1407" t="b">
        <f>IF(ISNUMBER(BU1407),IF(ABS(BU1407-[5]QC_indicators!$B$2)&gt;3*[5]QC_indicators!$C$2,"C ratio",IF(ISNUMBER(BY1407),IF(ABS(BY1407-[5]QC_indicators!$B$1)&gt;3*[5]QC_indicators!$C$1,"DF","no"))),IF(ISNUMBER(BY1407),IF(ABS(BY1407-[5]QC_indicators!$B$1)&gt;3*[5]QC_indicators!$C$1,"DF","no")))</f>
        <v>0</v>
      </c>
    </row>
    <row r="1408" spans="1:146" ht="15" customHeight="1">
      <c r="A1408" s="1" t="s">
        <v>214</v>
      </c>
      <c r="B1408" t="s">
        <v>3906</v>
      </c>
      <c r="C1408" t="s">
        <v>3907</v>
      </c>
      <c r="D1408" t="s">
        <v>3908</v>
      </c>
      <c r="E1408" t="s">
        <v>3909</v>
      </c>
      <c r="F1408" t="s">
        <v>3910</v>
      </c>
      <c r="G1408" t="s">
        <v>220</v>
      </c>
      <c r="H1408" t="s">
        <v>254</v>
      </c>
      <c r="I1408">
        <v>2012</v>
      </c>
      <c r="J1408">
        <v>24</v>
      </c>
      <c r="K1408" t="s">
        <v>3911</v>
      </c>
      <c r="M1408" t="str">
        <f>LEFT($D1408,FIND(",",$D1408)-1)&amp;"_"&amp;I1408&amp;L1408</f>
        <v>Perez-Cruzado_2012</v>
      </c>
      <c r="N1408" s="312" t="s">
        <v>4383</v>
      </c>
      <c r="O1408" s="171" t="s">
        <v>513</v>
      </c>
      <c r="P1408" s="141" t="s">
        <v>225</v>
      </c>
      <c r="Q1408" s="312" t="s">
        <v>389</v>
      </c>
      <c r="R1408" s="313"/>
      <c r="S1408" s="1" t="s">
        <v>3923</v>
      </c>
      <c r="T1408" t="s">
        <v>3924</v>
      </c>
      <c r="U1408" t="s">
        <v>3925</v>
      </c>
      <c r="V1408">
        <v>0</v>
      </c>
      <c r="W1408">
        <v>0</v>
      </c>
      <c r="X1408">
        <v>0</v>
      </c>
      <c r="Y1408">
        <v>0</v>
      </c>
      <c r="Z1408">
        <v>0</v>
      </c>
      <c r="AA1408">
        <v>0</v>
      </c>
      <c r="AB1408">
        <v>0</v>
      </c>
      <c r="AC1408">
        <v>0</v>
      </c>
      <c r="AD1408">
        <v>1</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s="141">
        <f>COUNTIF(V1408:AW1408,"&lt;&gt;0")</f>
        <v>1</v>
      </c>
      <c r="AY1408" s="141">
        <f>COUNTIF(V1408:AL1408,"&lt;&gt;0")</f>
        <v>1</v>
      </c>
      <c r="AZ1408">
        <f>COUNTIF(V1408:AC1408,"&lt;&gt;0")</f>
        <v>0</v>
      </c>
      <c r="BA1408">
        <f>COUNTIF(AD1408:AI1408,"&lt;&gt;0")</f>
        <v>1</v>
      </c>
      <c r="BB1408">
        <f>COUNTIF(AJ1408:AL1408,"&lt;&gt;0")</f>
        <v>0</v>
      </c>
      <c r="BC1408">
        <f>COUNTIF(AS1408:AW1408,"&lt;&gt;0")</f>
        <v>0</v>
      </c>
      <c r="BD1408">
        <f>COUNTIF(AM1408:AR1408,"&lt;&gt;0")</f>
        <v>0</v>
      </c>
      <c r="BE1408" t="str" cm="1">
        <f t="array" ref="BE1408">IF(AY1408=1,INDEX($V$7:$AL$7,MATCH(TRUE,INDEX($V1408:$AW1408&lt;&gt;0,),0)),IF(AY1408=0,INDEX($AM$7:$AW$7,MATCH(1,$AM1408:$AW1408,0)),IF(BF1408="Multiple strategies","mixed drivers",IF(BF1408="Supply chain","multiple supply","multiple silviculture"))))</f>
        <v>harvesting system</v>
      </c>
      <c r="BF1408" s="2" t="str" cm="1">
        <f t="array" ref="BF1408">IF(COUNTIF(AZ1408:BB1408,"&lt;&gt;0")=1,INDEX($V$4:$AW$4,MATCH(TRUE,INDEX($V1408:$AW1408&lt;&gt;0,),0)),IF(COUNTIF(AZ1408:BB1408,"&lt;&gt;0")=0,INDEX($AM$4:$AW$4,MATCH(1,$AM1408:$AW1408,0)),"Multiple strategies"))</f>
        <v>Supply chain</v>
      </c>
      <c r="BP1408" t="s">
        <v>232</v>
      </c>
      <c r="BQ1408" t="s">
        <v>3915</v>
      </c>
      <c r="BR1408" t="s">
        <v>3916</v>
      </c>
      <c r="BS1408">
        <v>716.5</v>
      </c>
      <c r="BT1408">
        <v>1983</v>
      </c>
      <c r="BU1408" s="144"/>
      <c r="BV1408">
        <f>BT1408-BS1408</f>
        <v>1266.5</v>
      </c>
      <c r="BY1408" t="str">
        <f>IFERROR(BX1408/BO1408,"")</f>
        <v/>
      </c>
      <c r="BZ1408">
        <v>0</v>
      </c>
      <c r="CA1408">
        <v>0</v>
      </c>
      <c r="CB1408">
        <v>0</v>
      </c>
      <c r="CC1408">
        <v>0</v>
      </c>
      <c r="CD1408">
        <v>0</v>
      </c>
      <c r="CE1408">
        <v>0</v>
      </c>
      <c r="CF1408">
        <v>0</v>
      </c>
      <c r="CG1408">
        <v>0</v>
      </c>
      <c r="CH1408">
        <v>0</v>
      </c>
      <c r="CI1408">
        <v>0</v>
      </c>
      <c r="CJ1408">
        <v>0</v>
      </c>
      <c r="CK1408">
        <v>0</v>
      </c>
      <c r="CL1408">
        <v>0</v>
      </c>
      <c r="CM1408">
        <v>0</v>
      </c>
      <c r="CN1408" t="str">
        <f>IF($BL1408&lt;$BK1408,"refNeedCorrection","refOK")</f>
        <v>refOK</v>
      </c>
      <c r="CO1408"/>
      <c r="CP1408"/>
      <c r="CQ1408"/>
      <c r="CR1408">
        <f>IF($CN1408="refOK",$BS1408,$BT1408)*IF($BP1408="Emissions positive",-1,1)</f>
        <v>716.5</v>
      </c>
      <c r="CS1408">
        <f>IF($CN1408="refOK",$BT1408,$BS1408)*IF($BP1408="Emissions positive",-1,1)</f>
        <v>1983</v>
      </c>
      <c r="CT1408">
        <f>IF($CN1408="refNeedCorrection",-BX1408,BX1408)*IF($BP1408="Emissions positive",-1,1)</f>
        <v>0</v>
      </c>
      <c r="CU1408" t="str">
        <f>IFERROR(CT1408/CQ1408,"")</f>
        <v/>
      </c>
      <c r="CV1408" s="2">
        <f>IFERROR((CS1408-CR1408)/ABS(CR1408),"")</f>
        <v>1.7676203768318213</v>
      </c>
      <c r="CW1408" s="1" t="s">
        <v>1203</v>
      </c>
      <c r="CX1408" s="312" t="str">
        <f>IF(OR($CW1408="prd",$CW1408="std",$CW1408="cit"),"loc",IF(OR($CW1408="eur",$CW1408="reg",$CW1408="coy"),"reg",$CW1408))</f>
        <v>reg</v>
      </c>
      <c r="CY1408" t="s">
        <v>3917</v>
      </c>
      <c r="DB1408">
        <v>200</v>
      </c>
      <c r="DC1408" t="str">
        <f>IF(DB1408=0,"0",IF(AND(DB1408&gt;=1,DB1408&lt;=30),"1-30",IF(AND(DB1408&gt;30,DB1408&lt;=70),"31-70",IF(AND(DB1408&gt;70,DB1408&lt;=100),"71-100",IF(DB1408&gt;100,"+100")))))</f>
        <v>+100</v>
      </c>
      <c r="DD1408">
        <v>0</v>
      </c>
      <c r="DE1408">
        <v>1</v>
      </c>
      <c r="DF1408">
        <v>0</v>
      </c>
      <c r="DG1408">
        <v>0</v>
      </c>
      <c r="DH1408">
        <v>0</v>
      </c>
      <c r="DI1408">
        <f>SUM(DD1408:DH1408)</f>
        <v>1</v>
      </c>
      <c r="DJ1408" t="str">
        <f>IF(DI1408=1,INDEX($DD$7:$DG$7,MATCH(1,$DD1408:$DG1408,0)),"mixedProduct")</f>
        <v>EnergyInput</v>
      </c>
      <c r="DK1408">
        <f>IF(DD1408=1,DK$7,0)</f>
        <v>0</v>
      </c>
      <c r="DL1408" t="str">
        <f>IF(DE1408=1,DL$7,0)</f>
        <v>Energy</v>
      </c>
      <c r="DM1408">
        <f>IF(DF1408=1,DM$7,0)</f>
        <v>0</v>
      </c>
      <c r="DN1408">
        <f>IF(DG1408=1,DN$7,0)</f>
        <v>0</v>
      </c>
      <c r="DO1408">
        <v>0</v>
      </c>
      <c r="DP1408">
        <v>0</v>
      </c>
      <c r="DQ1408">
        <v>0</v>
      </c>
      <c r="DR1408">
        <v>0</v>
      </c>
      <c r="DS1408">
        <v>0</v>
      </c>
      <c r="DT1408">
        <f>SUM(DO1408:DP1408)</f>
        <v>0</v>
      </c>
      <c r="DU1408" s="143" t="str">
        <f>IF(DO1408=1,"self-calculated DF",IF(DP1408=1,"external DF used","explicit C balance"))</f>
        <v>explicit C balance</v>
      </c>
      <c r="DV1408">
        <v>1</v>
      </c>
      <c r="DW1408">
        <v>1</v>
      </c>
      <c r="DX1408">
        <v>1</v>
      </c>
      <c r="DY1408">
        <v>1</v>
      </c>
      <c r="DZ1408">
        <v>1</v>
      </c>
      <c r="EA1408">
        <v>0</v>
      </c>
      <c r="EB1408">
        <v>0</v>
      </c>
      <c r="EC1408">
        <v>0</v>
      </c>
      <c r="ED1408">
        <v>0</v>
      </c>
      <c r="EE1408">
        <v>0</v>
      </c>
      <c r="EF1408">
        <v>1</v>
      </c>
      <c r="EG1408">
        <v>0</v>
      </c>
      <c r="EH1408">
        <v>0</v>
      </c>
      <c r="EI1408" s="2">
        <v>0</v>
      </c>
      <c r="EK1408" t="str">
        <f>IF(AND(AND(AND(OR($DX1408=1,$DW1408=1),OR($EC1408=1,$EA1408=1)),SUM($DV1408:$DZ1408,$EF1408)&gt;=3),SUM($EA1408:$EE1408)&gt;=2),"Whole sector","")</f>
        <v/>
      </c>
      <c r="EL1408" t="str">
        <f>IF(AND(AND(OR($DX1408=1,$DW1408=1),AND($EC1408=0,$EA1408=0)),SUM($DV1408:$DZ1408,$EF1408)&gt;=3),"Ecosystem approach","")</f>
        <v>Ecosystem approach</v>
      </c>
      <c r="EM1408" s="2" t="str">
        <f>IF(AND(AND(AND($DX1408=0,$DW1408=0),OR($EC1408=1,$EA1408=1)),SUM($EB1408:$EE1408)&gt;=2),"Technology approach","")</f>
        <v/>
      </c>
      <c r="EP1408" t="b">
        <f>IF(ISNUMBER(BU1408),IF(ABS(BU1408-[5]QC_indicators!$B$2)&gt;3*[5]QC_indicators!$C$2,"C ratio",IF(ISNUMBER(BY1408),IF(ABS(BY1408-[5]QC_indicators!$B$1)&gt;3*[5]QC_indicators!$C$1,"DF","no"))),IF(ISNUMBER(BY1408),IF(ABS(BY1408-[5]QC_indicators!$B$1)&gt;3*[5]QC_indicators!$C$1,"DF","no")))</f>
        <v>0</v>
      </c>
    </row>
    <row r="1409" spans="1:146" ht="15" customHeight="1">
      <c r="A1409" s="1" t="s">
        <v>214</v>
      </c>
      <c r="B1409" t="s">
        <v>3906</v>
      </c>
      <c r="C1409" t="s">
        <v>3907</v>
      </c>
      <c r="D1409" t="s">
        <v>3908</v>
      </c>
      <c r="E1409" t="s">
        <v>3909</v>
      </c>
      <c r="F1409" t="s">
        <v>3910</v>
      </c>
      <c r="G1409" t="s">
        <v>220</v>
      </c>
      <c r="H1409" t="s">
        <v>254</v>
      </c>
      <c r="I1409">
        <v>2012</v>
      </c>
      <c r="J1409">
        <v>24</v>
      </c>
      <c r="K1409" t="s">
        <v>3911</v>
      </c>
      <c r="M1409" t="str">
        <f>LEFT($D1409,FIND(",",$D1409)-1)&amp;"_"&amp;I1409&amp;L1409</f>
        <v>Perez-Cruzado_2012</v>
      </c>
      <c r="N1409" s="312" t="s">
        <v>4383</v>
      </c>
      <c r="O1409" s="171" t="s">
        <v>513</v>
      </c>
      <c r="P1409" s="141" t="s">
        <v>225</v>
      </c>
      <c r="Q1409" s="312" t="s">
        <v>389</v>
      </c>
      <c r="R1409" s="313"/>
      <c r="S1409" s="1" t="s">
        <v>3923</v>
      </c>
      <c r="T1409" t="s">
        <v>3921</v>
      </c>
      <c r="U1409" t="s">
        <v>3926</v>
      </c>
      <c r="V1409">
        <v>0</v>
      </c>
      <c r="W1409">
        <v>0</v>
      </c>
      <c r="X1409">
        <v>0</v>
      </c>
      <c r="Y1409">
        <v>0</v>
      </c>
      <c r="Z1409">
        <v>0</v>
      </c>
      <c r="AA1409">
        <v>0</v>
      </c>
      <c r="AB1409">
        <v>0</v>
      </c>
      <c r="AC1409">
        <v>0</v>
      </c>
      <c r="AD1409">
        <v>1</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s="141">
        <f>COUNTIF(V1409:AW1409,"&lt;&gt;0")</f>
        <v>1</v>
      </c>
      <c r="AY1409" s="141">
        <f>COUNTIF(V1409:AL1409,"&lt;&gt;0")</f>
        <v>1</v>
      </c>
      <c r="AZ1409">
        <f>COUNTIF(V1409:AC1409,"&lt;&gt;0")</f>
        <v>0</v>
      </c>
      <c r="BA1409">
        <f>COUNTIF(AD1409:AI1409,"&lt;&gt;0")</f>
        <v>1</v>
      </c>
      <c r="BB1409">
        <f>COUNTIF(AJ1409:AL1409,"&lt;&gt;0")</f>
        <v>0</v>
      </c>
      <c r="BC1409">
        <f>COUNTIF(AS1409:AW1409,"&lt;&gt;0")</f>
        <v>0</v>
      </c>
      <c r="BD1409">
        <f>COUNTIF(AM1409:AR1409,"&lt;&gt;0")</f>
        <v>0</v>
      </c>
      <c r="BE1409" t="str" cm="1">
        <f t="array" ref="BE1409">IF(AY1409=1,INDEX($V$7:$AL$7,MATCH(TRUE,INDEX($V1409:$AW1409&lt;&gt;0,),0)),IF(AY1409=0,INDEX($AM$7:$AW$7,MATCH(1,$AM1409:$AW1409,0)),IF(BF1409="Multiple strategies","mixed drivers",IF(BF1409="Supply chain","multiple supply","multiple silviculture"))))</f>
        <v>harvesting system</v>
      </c>
      <c r="BF1409" s="2" t="str" cm="1">
        <f t="array" ref="BF1409">IF(COUNTIF(AZ1409:BB1409,"&lt;&gt;0")=1,INDEX($V$4:$AW$4,MATCH(TRUE,INDEX($V1409:$AW1409&lt;&gt;0,),0)),IF(COUNTIF(AZ1409:BB1409,"&lt;&gt;0")=0,INDEX($AM$4:$AW$4,MATCH(1,$AM1409:$AW1409,0)),"Multiple strategies"))</f>
        <v>Supply chain</v>
      </c>
      <c r="BP1409" t="s">
        <v>232</v>
      </c>
      <c r="BQ1409" t="s">
        <v>3915</v>
      </c>
      <c r="BR1409" t="s">
        <v>3916</v>
      </c>
      <c r="BS1409">
        <v>839.2</v>
      </c>
      <c r="BT1409">
        <v>1031.5</v>
      </c>
      <c r="BU1409" s="144"/>
      <c r="BV1409">
        <f>BT1409-BS1409</f>
        <v>192.29999999999995</v>
      </c>
      <c r="BY1409" t="str">
        <f>IFERROR(BX1409/BO1409,"")</f>
        <v/>
      </c>
      <c r="BZ1409">
        <v>0</v>
      </c>
      <c r="CA1409">
        <v>0</v>
      </c>
      <c r="CB1409">
        <v>0</v>
      </c>
      <c r="CC1409">
        <v>0</v>
      </c>
      <c r="CD1409">
        <v>0</v>
      </c>
      <c r="CE1409">
        <v>0</v>
      </c>
      <c r="CF1409">
        <v>0</v>
      </c>
      <c r="CG1409">
        <v>0</v>
      </c>
      <c r="CH1409">
        <v>0</v>
      </c>
      <c r="CI1409">
        <v>0</v>
      </c>
      <c r="CJ1409">
        <v>0</v>
      </c>
      <c r="CK1409">
        <v>0</v>
      </c>
      <c r="CL1409">
        <v>0</v>
      </c>
      <c r="CM1409">
        <v>0</v>
      </c>
      <c r="CN1409" t="str">
        <f>IF($BL1409&lt;$BK1409,"refNeedCorrection","refOK")</f>
        <v>refOK</v>
      </c>
      <c r="CO1409"/>
      <c r="CP1409"/>
      <c r="CQ1409"/>
      <c r="CR1409">
        <f>IF($CN1409="refOK",$BS1409,$BT1409)*IF($BP1409="Emissions positive",-1,1)</f>
        <v>839.2</v>
      </c>
      <c r="CS1409">
        <f>IF($CN1409="refOK",$BT1409,$BS1409)*IF($BP1409="Emissions positive",-1,1)</f>
        <v>1031.5</v>
      </c>
      <c r="CT1409">
        <f>IF($CN1409="refNeedCorrection",-BX1409,BX1409)*IF($BP1409="Emissions positive",-1,1)</f>
        <v>0</v>
      </c>
      <c r="CU1409" t="str">
        <f>IFERROR(CT1409/CQ1409,"")</f>
        <v/>
      </c>
      <c r="CV1409" s="2">
        <f>IFERROR((CS1409-CR1409)/ABS(CR1409),"")</f>
        <v>0.2291468064823641</v>
      </c>
      <c r="CW1409" s="1" t="s">
        <v>1203</v>
      </c>
      <c r="CX1409" s="312" t="str">
        <f>IF(OR($CW1409="prd",$CW1409="std",$CW1409="cit"),"loc",IF(OR($CW1409="eur",$CW1409="reg",$CW1409="coy"),"reg",$CW1409))</f>
        <v>reg</v>
      </c>
      <c r="CY1409" t="s">
        <v>3917</v>
      </c>
      <c r="DB1409">
        <v>200</v>
      </c>
      <c r="DC1409" t="str">
        <f>IF(DB1409=0,"0",IF(AND(DB1409&gt;=1,DB1409&lt;=30),"1-30",IF(AND(DB1409&gt;30,DB1409&lt;=70),"31-70",IF(AND(DB1409&gt;70,DB1409&lt;=100),"71-100",IF(DB1409&gt;100,"+100")))))</f>
        <v>+100</v>
      </c>
      <c r="DD1409">
        <v>0</v>
      </c>
      <c r="DE1409">
        <v>1</v>
      </c>
      <c r="DF1409">
        <v>0</v>
      </c>
      <c r="DG1409">
        <v>0</v>
      </c>
      <c r="DH1409">
        <v>0</v>
      </c>
      <c r="DI1409">
        <f>SUM(DD1409:DH1409)</f>
        <v>1</v>
      </c>
      <c r="DJ1409" t="str">
        <f>IF(DI1409=1,INDEX($DD$7:$DG$7,MATCH(1,$DD1409:$DG1409,0)),"mixedProduct")</f>
        <v>EnergyInput</v>
      </c>
      <c r="DK1409">
        <f>IF(DD1409=1,DK$7,0)</f>
        <v>0</v>
      </c>
      <c r="DL1409" t="str">
        <f>IF(DE1409=1,DL$7,0)</f>
        <v>Energy</v>
      </c>
      <c r="DM1409">
        <f>IF(DF1409=1,DM$7,0)</f>
        <v>0</v>
      </c>
      <c r="DN1409">
        <f>IF(DG1409=1,DN$7,0)</f>
        <v>0</v>
      </c>
      <c r="DO1409">
        <v>0</v>
      </c>
      <c r="DP1409">
        <v>0</v>
      </c>
      <c r="DQ1409">
        <v>0</v>
      </c>
      <c r="DR1409">
        <v>0</v>
      </c>
      <c r="DS1409">
        <v>0</v>
      </c>
      <c r="DT1409">
        <f>SUM(DO1409:DP1409)</f>
        <v>0</v>
      </c>
      <c r="DU1409" s="143" t="str">
        <f>IF(DO1409=1,"self-calculated DF",IF(DP1409=1,"external DF used","explicit C balance"))</f>
        <v>explicit C balance</v>
      </c>
      <c r="DV1409">
        <v>1</v>
      </c>
      <c r="DW1409">
        <v>1</v>
      </c>
      <c r="DX1409">
        <v>1</v>
      </c>
      <c r="DY1409">
        <v>1</v>
      </c>
      <c r="DZ1409">
        <v>1</v>
      </c>
      <c r="EA1409">
        <v>0</v>
      </c>
      <c r="EB1409">
        <v>0</v>
      </c>
      <c r="EC1409">
        <v>0</v>
      </c>
      <c r="ED1409">
        <v>0</v>
      </c>
      <c r="EE1409">
        <v>0</v>
      </c>
      <c r="EF1409">
        <v>1</v>
      </c>
      <c r="EG1409">
        <v>0</v>
      </c>
      <c r="EH1409">
        <v>0</v>
      </c>
      <c r="EI1409" s="2">
        <v>0</v>
      </c>
      <c r="EK1409" t="str">
        <f>IF(AND(AND(AND(OR($DX1409=1,$DW1409=1),OR($EC1409=1,$EA1409=1)),SUM($DV1409:$DZ1409,$EF1409)&gt;=3),SUM($EA1409:$EE1409)&gt;=2),"Whole sector","")</f>
        <v/>
      </c>
      <c r="EL1409" t="str">
        <f>IF(AND(AND(OR($DX1409=1,$DW1409=1),AND($EC1409=0,$EA1409=0)),SUM($DV1409:$DZ1409,$EF1409)&gt;=3),"Ecosystem approach","")</f>
        <v>Ecosystem approach</v>
      </c>
      <c r="EM1409" s="2" t="str">
        <f>IF(AND(AND(AND($DX1409=0,$DW1409=0),OR($EC1409=1,$EA1409=1)),SUM($EB1409:$EE1409)&gt;=2),"Technology approach","")</f>
        <v/>
      </c>
      <c r="EP1409" t="b">
        <f>IF(ISNUMBER(BU1409),IF(ABS(BU1409-[5]QC_indicators!$B$2)&gt;3*[5]QC_indicators!$C$2,"C ratio",IF(ISNUMBER(BY1409),IF(ABS(BY1409-[5]QC_indicators!$B$1)&gt;3*[5]QC_indicators!$C$1,"DF","no"))),IF(ISNUMBER(BY1409),IF(ABS(BY1409-[5]QC_indicators!$B$1)&gt;3*[5]QC_indicators!$C$1,"DF","no")))</f>
        <v>0</v>
      </c>
    </row>
    <row r="1410" spans="1:146" ht="15" customHeight="1">
      <c r="A1410" s="1" t="s">
        <v>214</v>
      </c>
      <c r="B1410" t="s">
        <v>3906</v>
      </c>
      <c r="C1410" t="s">
        <v>3907</v>
      </c>
      <c r="D1410" t="s">
        <v>3908</v>
      </c>
      <c r="E1410" t="s">
        <v>3909</v>
      </c>
      <c r="F1410" t="s">
        <v>3910</v>
      </c>
      <c r="G1410" t="s">
        <v>220</v>
      </c>
      <c r="H1410" t="s">
        <v>254</v>
      </c>
      <c r="I1410">
        <v>2012</v>
      </c>
      <c r="J1410">
        <v>24</v>
      </c>
      <c r="K1410" t="s">
        <v>3911</v>
      </c>
      <c r="M1410" t="str">
        <f>LEFT($D1410,FIND(",",$D1410)-1)&amp;"_"&amp;I1410&amp;L1410</f>
        <v>Perez-Cruzado_2012</v>
      </c>
      <c r="N1410" s="312" t="s">
        <v>4383</v>
      </c>
      <c r="O1410" s="171" t="s">
        <v>513</v>
      </c>
      <c r="P1410" s="141" t="s">
        <v>225</v>
      </c>
      <c r="Q1410" s="312" t="s">
        <v>389</v>
      </c>
      <c r="R1410" s="313"/>
      <c r="S1410" s="1" t="s">
        <v>3923</v>
      </c>
      <c r="T1410" t="s">
        <v>3918</v>
      </c>
      <c r="U1410" t="s">
        <v>3927</v>
      </c>
      <c r="V1410">
        <v>0</v>
      </c>
      <c r="W1410">
        <v>0</v>
      </c>
      <c r="X1410">
        <v>0</v>
      </c>
      <c r="Y1410">
        <v>0</v>
      </c>
      <c r="Z1410">
        <v>0</v>
      </c>
      <c r="AA1410">
        <v>0</v>
      </c>
      <c r="AB1410">
        <v>0</v>
      </c>
      <c r="AC1410">
        <v>0</v>
      </c>
      <c r="AD1410">
        <v>1</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s="141">
        <f>COUNTIF(V1410:AW1410,"&lt;&gt;0")</f>
        <v>1</v>
      </c>
      <c r="AY1410" s="141">
        <f>COUNTIF(V1410:AL1410,"&lt;&gt;0")</f>
        <v>1</v>
      </c>
      <c r="AZ1410">
        <f>COUNTIF(V1410:AC1410,"&lt;&gt;0")</f>
        <v>0</v>
      </c>
      <c r="BA1410">
        <f>COUNTIF(AD1410:AI1410,"&lt;&gt;0")</f>
        <v>1</v>
      </c>
      <c r="BB1410">
        <f>COUNTIF(AJ1410:AL1410,"&lt;&gt;0")</f>
        <v>0</v>
      </c>
      <c r="BC1410">
        <f>COUNTIF(AS1410:AW1410,"&lt;&gt;0")</f>
        <v>0</v>
      </c>
      <c r="BD1410">
        <f>COUNTIF(AM1410:AR1410,"&lt;&gt;0")</f>
        <v>0</v>
      </c>
      <c r="BE1410" t="str" cm="1">
        <f t="array" ref="BE1410">IF(AY1410=1,INDEX($V$7:$AL$7,MATCH(TRUE,INDEX($V1410:$AW1410&lt;&gt;0,),0)),IF(AY1410=0,INDEX($AM$7:$AW$7,MATCH(1,$AM1410:$AW1410,0)),IF(BF1410="Multiple strategies","mixed drivers",IF(BF1410="Supply chain","multiple supply","multiple silviculture"))))</f>
        <v>harvesting system</v>
      </c>
      <c r="BF1410" s="2" t="str" cm="1">
        <f t="array" ref="BF1410">IF(COUNTIF(AZ1410:BB1410,"&lt;&gt;0")=1,INDEX($V$4:$AW$4,MATCH(TRUE,INDEX($V1410:$AW1410&lt;&gt;0,),0)),IF(COUNTIF(AZ1410:BB1410,"&lt;&gt;0")=0,INDEX($AM$4:$AW$4,MATCH(1,$AM1410:$AW1410,0)),"Multiple strategies"))</f>
        <v>Supply chain</v>
      </c>
      <c r="BP1410" t="s">
        <v>232</v>
      </c>
      <c r="BQ1410" t="s">
        <v>3915</v>
      </c>
      <c r="BR1410" t="s">
        <v>3916</v>
      </c>
      <c r="BS1410">
        <v>513.5</v>
      </c>
      <c r="BT1410">
        <v>793.5</v>
      </c>
      <c r="BU1410" s="144"/>
      <c r="BV1410">
        <f>BT1410-BS1410</f>
        <v>280</v>
      </c>
      <c r="BY1410" t="str">
        <f>IFERROR(BX1410/BO1410,"")</f>
        <v/>
      </c>
      <c r="BZ1410">
        <v>0</v>
      </c>
      <c r="CA1410">
        <v>0</v>
      </c>
      <c r="CB1410">
        <v>0</v>
      </c>
      <c r="CC1410">
        <v>0</v>
      </c>
      <c r="CD1410">
        <v>0</v>
      </c>
      <c r="CE1410">
        <v>0</v>
      </c>
      <c r="CF1410">
        <v>0</v>
      </c>
      <c r="CG1410">
        <v>0</v>
      </c>
      <c r="CH1410">
        <v>0</v>
      </c>
      <c r="CI1410">
        <v>0</v>
      </c>
      <c r="CJ1410">
        <v>0</v>
      </c>
      <c r="CK1410">
        <v>0</v>
      </c>
      <c r="CL1410">
        <v>0</v>
      </c>
      <c r="CM1410">
        <v>0</v>
      </c>
      <c r="CN1410" t="str">
        <f>IF($BL1410&lt;$BK1410,"refNeedCorrection","refOK")</f>
        <v>refOK</v>
      </c>
      <c r="CO1410"/>
      <c r="CP1410"/>
      <c r="CQ1410"/>
      <c r="CR1410">
        <f>IF($CN1410="refOK",$BS1410,$BT1410)*IF($BP1410="Emissions positive",-1,1)</f>
        <v>513.5</v>
      </c>
      <c r="CS1410">
        <f>IF($CN1410="refOK",$BT1410,$BS1410)*IF($BP1410="Emissions positive",-1,1)</f>
        <v>793.5</v>
      </c>
      <c r="CT1410">
        <f>IF($CN1410="refNeedCorrection",-BX1410,BX1410)*IF($BP1410="Emissions positive",-1,1)</f>
        <v>0</v>
      </c>
      <c r="CU1410" t="str">
        <f>IFERROR(CT1410/CQ1410,"")</f>
        <v/>
      </c>
      <c r="CV1410" s="2">
        <f>IFERROR((CS1410-CR1410)/ABS(CR1410),"")</f>
        <v>0.54527750730282376</v>
      </c>
      <c r="CW1410" s="1" t="s">
        <v>1203</v>
      </c>
      <c r="CX1410" s="312" t="str">
        <f>IF(OR($CW1410="prd",$CW1410="std",$CW1410="cit"),"loc",IF(OR($CW1410="eur",$CW1410="reg",$CW1410="coy"),"reg",$CW1410))</f>
        <v>reg</v>
      </c>
      <c r="CY1410" t="s">
        <v>3917</v>
      </c>
      <c r="DB1410">
        <v>200</v>
      </c>
      <c r="DC1410" t="str">
        <f>IF(DB1410=0,"0",IF(AND(DB1410&gt;=1,DB1410&lt;=30),"1-30",IF(AND(DB1410&gt;30,DB1410&lt;=70),"31-70",IF(AND(DB1410&gt;70,DB1410&lt;=100),"71-100",IF(DB1410&gt;100,"+100")))))</f>
        <v>+100</v>
      </c>
      <c r="DD1410">
        <v>0</v>
      </c>
      <c r="DE1410">
        <v>1</v>
      </c>
      <c r="DF1410">
        <v>0</v>
      </c>
      <c r="DG1410">
        <v>0</v>
      </c>
      <c r="DH1410">
        <v>0</v>
      </c>
      <c r="DI1410">
        <f>SUM(DD1410:DH1410)</f>
        <v>1</v>
      </c>
      <c r="DJ1410" t="str">
        <f>IF(DI1410=1,INDEX($DD$7:$DG$7,MATCH(1,$DD1410:$DG1410,0)),"mixedProduct")</f>
        <v>EnergyInput</v>
      </c>
      <c r="DK1410">
        <f>IF(DD1410=1,DK$7,0)</f>
        <v>0</v>
      </c>
      <c r="DL1410" t="str">
        <f>IF(DE1410=1,DL$7,0)</f>
        <v>Energy</v>
      </c>
      <c r="DM1410">
        <f>IF(DF1410=1,DM$7,0)</f>
        <v>0</v>
      </c>
      <c r="DN1410">
        <f>IF(DG1410=1,DN$7,0)</f>
        <v>0</v>
      </c>
      <c r="DO1410">
        <v>0</v>
      </c>
      <c r="DP1410">
        <v>0</v>
      </c>
      <c r="DQ1410">
        <v>0</v>
      </c>
      <c r="DR1410">
        <v>0</v>
      </c>
      <c r="DS1410">
        <v>0</v>
      </c>
      <c r="DT1410">
        <f>SUM(DO1410:DP1410)</f>
        <v>0</v>
      </c>
      <c r="DU1410" s="143" t="str">
        <f>IF(DO1410=1,"self-calculated DF",IF(DP1410=1,"external DF used","explicit C balance"))</f>
        <v>explicit C balance</v>
      </c>
      <c r="DV1410">
        <v>1</v>
      </c>
      <c r="DW1410">
        <v>1</v>
      </c>
      <c r="DX1410">
        <v>1</v>
      </c>
      <c r="DY1410">
        <v>1</v>
      </c>
      <c r="DZ1410">
        <v>1</v>
      </c>
      <c r="EA1410">
        <v>0</v>
      </c>
      <c r="EB1410">
        <v>0</v>
      </c>
      <c r="EC1410">
        <v>0</v>
      </c>
      <c r="ED1410">
        <v>0</v>
      </c>
      <c r="EE1410">
        <v>0</v>
      </c>
      <c r="EF1410">
        <v>1</v>
      </c>
      <c r="EG1410">
        <v>0</v>
      </c>
      <c r="EH1410">
        <v>0</v>
      </c>
      <c r="EI1410" s="2">
        <v>0</v>
      </c>
      <c r="EK1410" t="str">
        <f>IF(AND(AND(AND(OR($DX1410=1,$DW1410=1),OR($EC1410=1,$EA1410=1)),SUM($DV1410:$DZ1410,$EF1410)&gt;=3),SUM($EA1410:$EE1410)&gt;=2),"Whole sector","")</f>
        <v/>
      </c>
      <c r="EL1410" t="str">
        <f>IF(AND(AND(OR($DX1410=1,$DW1410=1),AND($EC1410=0,$EA1410=0)),SUM($DV1410:$DZ1410,$EF1410)&gt;=3),"Ecosystem approach","")</f>
        <v>Ecosystem approach</v>
      </c>
      <c r="EM1410" s="2" t="str">
        <f>IF(AND(AND(AND($DX1410=0,$DW1410=0),OR($EC1410=1,$EA1410=1)),SUM($EB1410:$EE1410)&gt;=2),"Technology approach","")</f>
        <v/>
      </c>
      <c r="EP1410" t="b">
        <f>IF(ISNUMBER(BU1410),IF(ABS(BU1410-[5]QC_indicators!$B$2)&gt;3*[5]QC_indicators!$C$2,"C ratio",IF(ISNUMBER(BY1410),IF(ABS(BY1410-[5]QC_indicators!$B$1)&gt;3*[5]QC_indicators!$C$1,"DF","no"))),IF(ISNUMBER(BY1410),IF(ABS(BY1410-[5]QC_indicators!$B$1)&gt;3*[5]QC_indicators!$C$1,"DF","no")))</f>
        <v>0</v>
      </c>
    </row>
    <row r="1411" spans="1:146" ht="15" customHeight="1">
      <c r="A1411" s="1" t="s">
        <v>214</v>
      </c>
      <c r="B1411" t="s">
        <v>3906</v>
      </c>
      <c r="C1411" t="s">
        <v>3907</v>
      </c>
      <c r="D1411" t="s">
        <v>3908</v>
      </c>
      <c r="E1411" t="s">
        <v>3909</v>
      </c>
      <c r="F1411" t="s">
        <v>3910</v>
      </c>
      <c r="G1411" t="s">
        <v>220</v>
      </c>
      <c r="H1411" t="s">
        <v>254</v>
      </c>
      <c r="I1411">
        <v>2012</v>
      </c>
      <c r="J1411">
        <v>24</v>
      </c>
      <c r="K1411" t="s">
        <v>3911</v>
      </c>
      <c r="M1411" t="str">
        <f>LEFT($D1411,FIND(",",$D1411)-1)&amp;"_"&amp;I1411&amp;L1411</f>
        <v>Perez-Cruzado_2012</v>
      </c>
      <c r="N1411" s="312" t="s">
        <v>4383</v>
      </c>
      <c r="O1411" s="171" t="s">
        <v>513</v>
      </c>
      <c r="P1411" s="141" t="s">
        <v>225</v>
      </c>
      <c r="Q1411" s="312" t="s">
        <v>389</v>
      </c>
      <c r="R1411" s="313"/>
      <c r="S1411" s="1" t="s">
        <v>3912</v>
      </c>
      <c r="T1411" t="s">
        <v>3918</v>
      </c>
      <c r="U1411" t="s">
        <v>3913</v>
      </c>
      <c r="V1411">
        <v>0</v>
      </c>
      <c r="W1411">
        <v>0</v>
      </c>
      <c r="X1411">
        <v>0</v>
      </c>
      <c r="Y1411">
        <v>0</v>
      </c>
      <c r="Z1411">
        <v>1</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s="141">
        <f>COUNTIF(V1411:AW1411,"&lt;&gt;0")</f>
        <v>1</v>
      </c>
      <c r="AY1411" s="141">
        <f>COUNTIF(V1411:AL1411,"&lt;&gt;0")</f>
        <v>1</v>
      </c>
      <c r="AZ1411">
        <f>COUNTIF(V1411:AC1411,"&lt;&gt;0")</f>
        <v>1</v>
      </c>
      <c r="BA1411">
        <f>COUNTIF(AD1411:AI1411,"&lt;&gt;0")</f>
        <v>0</v>
      </c>
      <c r="BB1411">
        <f>COUNTIF(AJ1411:AL1411,"&lt;&gt;0")</f>
        <v>0</v>
      </c>
      <c r="BC1411">
        <f>COUNTIF(AS1411:AW1411,"&lt;&gt;0")</f>
        <v>0</v>
      </c>
      <c r="BD1411">
        <f>COUNTIF(AM1411:AR1411,"&lt;&gt;0")</f>
        <v>0</v>
      </c>
      <c r="BE1411" t="str" cm="1">
        <f t="array" ref="BE1411">IF(AY1411=1,INDEX($V$7:$AL$7,MATCH(TRUE,INDEX($V1411:$AW1411&lt;&gt;0,),0)),IF(AY1411=0,INDEX($AM$7:$AW$7,MATCH(1,$AM1411:$AW1411,0)),IF(BF1411="Multiple strategies","mixed drivers",IF(BF1411="Supply chain","multiple supply","multiple silviculture"))))</f>
        <v>species</v>
      </c>
      <c r="BF1411" s="2" t="str" cm="1">
        <f t="array" ref="BF1411">IF(COUNTIF(AZ1411:BB1411,"&lt;&gt;0")=1,INDEX($V$4:$AW$4,MATCH(TRUE,INDEX($V1411:$AW1411&lt;&gt;0,),0)),IF(COUNTIF(AZ1411:BB1411,"&lt;&gt;0")=0,INDEX($AM$4:$AW$4,MATCH(1,$AM1411:$AW1411,0)),"Multiple strategies"))</f>
        <v>Silviculture for productivity</v>
      </c>
      <c r="BP1411" t="s">
        <v>232</v>
      </c>
      <c r="BQ1411" t="s">
        <v>3915</v>
      </c>
      <c r="BR1411" t="s">
        <v>3916</v>
      </c>
      <c r="BS1411">
        <v>513.5</v>
      </c>
      <c r="BT1411">
        <v>716.5</v>
      </c>
      <c r="BU1411" s="144"/>
      <c r="BV1411">
        <f>BT1411-BS1411</f>
        <v>203</v>
      </c>
      <c r="BY1411" t="str">
        <f>IFERROR(BX1411/BO1411,"")</f>
        <v/>
      </c>
      <c r="BZ1411">
        <v>0</v>
      </c>
      <c r="CA1411">
        <v>0</v>
      </c>
      <c r="CB1411">
        <v>0</v>
      </c>
      <c r="CC1411">
        <v>0</v>
      </c>
      <c r="CD1411">
        <v>0</v>
      </c>
      <c r="CE1411">
        <v>0</v>
      </c>
      <c r="CF1411">
        <v>0</v>
      </c>
      <c r="CG1411">
        <v>0</v>
      </c>
      <c r="CH1411">
        <v>0</v>
      </c>
      <c r="CI1411">
        <v>0</v>
      </c>
      <c r="CJ1411">
        <v>0</v>
      </c>
      <c r="CK1411">
        <v>0</v>
      </c>
      <c r="CL1411">
        <v>0</v>
      </c>
      <c r="CM1411">
        <v>0</v>
      </c>
      <c r="CN1411" t="str">
        <f>IF($BL1411&lt;$BK1411,"refNeedCorrection","refOK")</f>
        <v>refOK</v>
      </c>
      <c r="CO1411"/>
      <c r="CP1411"/>
      <c r="CQ1411"/>
      <c r="CR1411">
        <f>IF($CN1411="refOK",$BS1411,$BT1411)*IF($BP1411="Emissions positive",-1,1)</f>
        <v>513.5</v>
      </c>
      <c r="CS1411">
        <f>IF($CN1411="refOK",$BT1411,$BS1411)*IF($BP1411="Emissions positive",-1,1)</f>
        <v>716.5</v>
      </c>
      <c r="CT1411">
        <f>IF($CN1411="refNeedCorrection",-BX1411,BX1411)*IF($BP1411="Emissions positive",-1,1)</f>
        <v>0</v>
      </c>
      <c r="CU1411" t="str">
        <f>IFERROR(CT1411/CQ1411,"")</f>
        <v/>
      </c>
      <c r="CV1411" s="2">
        <f>IFERROR((CS1411-CR1411)/ABS(CR1411),"")</f>
        <v>0.39532619279454723</v>
      </c>
      <c r="CW1411" s="1" t="s">
        <v>1203</v>
      </c>
      <c r="CX1411" s="312" t="str">
        <f>IF(OR($CW1411="prd",$CW1411="std",$CW1411="cit"),"loc",IF(OR($CW1411="eur",$CW1411="reg",$CW1411="coy"),"reg",$CW1411))</f>
        <v>reg</v>
      </c>
      <c r="CY1411" t="s">
        <v>3917</v>
      </c>
      <c r="DB1411">
        <v>200</v>
      </c>
      <c r="DC1411" t="str">
        <f>IF(DB1411=0,"0",IF(AND(DB1411&gt;=1,DB1411&lt;=30),"1-30",IF(AND(DB1411&gt;30,DB1411&lt;=70),"31-70",IF(AND(DB1411&gt;70,DB1411&lt;=100),"71-100",IF(DB1411&gt;100,"+100")))))</f>
        <v>+100</v>
      </c>
      <c r="DD1411">
        <v>0</v>
      </c>
      <c r="DE1411">
        <v>1</v>
      </c>
      <c r="DF1411">
        <v>0</v>
      </c>
      <c r="DG1411">
        <v>0</v>
      </c>
      <c r="DH1411">
        <v>0</v>
      </c>
      <c r="DI1411">
        <f>SUM(DD1411:DH1411)</f>
        <v>1</v>
      </c>
      <c r="DJ1411" t="str">
        <f>IF(DI1411=1,INDEX($DD$7:$DG$7,MATCH(1,$DD1411:$DG1411,0)),"mixedProduct")</f>
        <v>EnergyInput</v>
      </c>
      <c r="DK1411">
        <f>IF(DD1411=1,DK$7,0)</f>
        <v>0</v>
      </c>
      <c r="DL1411" t="str">
        <f>IF(DE1411=1,DL$7,0)</f>
        <v>Energy</v>
      </c>
      <c r="DM1411">
        <f>IF(DF1411=1,DM$7,0)</f>
        <v>0</v>
      </c>
      <c r="DN1411">
        <f>IF(DG1411=1,DN$7,0)</f>
        <v>0</v>
      </c>
      <c r="DO1411">
        <v>0</v>
      </c>
      <c r="DP1411">
        <v>0</v>
      </c>
      <c r="DQ1411">
        <v>0</v>
      </c>
      <c r="DR1411">
        <v>0</v>
      </c>
      <c r="DS1411">
        <v>0</v>
      </c>
      <c r="DT1411">
        <f>SUM(DO1411:DP1411)</f>
        <v>0</v>
      </c>
      <c r="DU1411" s="143" t="str">
        <f>IF(DO1411=1,"self-calculated DF",IF(DP1411=1,"external DF used","explicit C balance"))</f>
        <v>explicit C balance</v>
      </c>
      <c r="DV1411">
        <v>1</v>
      </c>
      <c r="DW1411">
        <v>1</v>
      </c>
      <c r="DX1411">
        <v>1</v>
      </c>
      <c r="DY1411">
        <v>1</v>
      </c>
      <c r="DZ1411">
        <v>1</v>
      </c>
      <c r="EA1411">
        <v>0</v>
      </c>
      <c r="EB1411">
        <v>0</v>
      </c>
      <c r="EC1411">
        <v>0</v>
      </c>
      <c r="ED1411">
        <v>0</v>
      </c>
      <c r="EE1411">
        <v>0</v>
      </c>
      <c r="EF1411">
        <v>1</v>
      </c>
      <c r="EG1411">
        <v>0</v>
      </c>
      <c r="EH1411">
        <v>0</v>
      </c>
      <c r="EI1411" s="2">
        <v>0</v>
      </c>
      <c r="EK1411" t="str">
        <f>IF(AND(AND(AND(OR($DX1411=1,$DW1411=1),OR($EC1411=1,$EA1411=1)),SUM($DV1411:$DZ1411,$EF1411)&gt;=3),SUM($EA1411:$EE1411)&gt;=2),"Whole sector","")</f>
        <v/>
      </c>
      <c r="EL1411" t="str">
        <f>IF(AND(AND(OR($DX1411=1,$DW1411=1),AND($EC1411=0,$EA1411=0)),SUM($DV1411:$DZ1411,$EF1411)&gt;=3),"Ecosystem approach","")</f>
        <v>Ecosystem approach</v>
      </c>
      <c r="EM1411" s="2" t="str">
        <f>IF(AND(AND(AND($DX1411=0,$DW1411=0),OR($EC1411=1,$EA1411=1)),SUM($EB1411:$EE1411)&gt;=2),"Technology approach","")</f>
        <v/>
      </c>
      <c r="EP1411" t="b">
        <f>IF(ISNUMBER(BU1411),IF(ABS(BU1411-[5]QC_indicators!$B$2)&gt;3*[5]QC_indicators!$C$2,"C ratio",IF(ISNUMBER(BY1411),IF(ABS(BY1411-[5]QC_indicators!$B$1)&gt;3*[5]QC_indicators!$C$1,"DF","no"))),IF(ISNUMBER(BY1411),IF(ABS(BY1411-[5]QC_indicators!$B$1)&gt;3*[5]QC_indicators!$C$1,"DF","no")))</f>
        <v>0</v>
      </c>
    </row>
    <row r="1412" spans="1:146" ht="15" customHeight="1">
      <c r="A1412" s="1" t="s">
        <v>214</v>
      </c>
      <c r="B1412" t="s">
        <v>3906</v>
      </c>
      <c r="C1412" t="s">
        <v>3907</v>
      </c>
      <c r="D1412" t="s">
        <v>3908</v>
      </c>
      <c r="E1412" t="s">
        <v>3909</v>
      </c>
      <c r="F1412" t="s">
        <v>3910</v>
      </c>
      <c r="G1412" t="s">
        <v>220</v>
      </c>
      <c r="H1412" t="s">
        <v>254</v>
      </c>
      <c r="I1412">
        <v>2012</v>
      </c>
      <c r="J1412">
        <v>24</v>
      </c>
      <c r="K1412" t="s">
        <v>3911</v>
      </c>
      <c r="M1412" t="str">
        <f>LEFT($D1412,FIND(",",$D1412)-1)&amp;"_"&amp;I1412&amp;L1412</f>
        <v>Perez-Cruzado_2012</v>
      </c>
      <c r="N1412" s="312" t="s">
        <v>4383</v>
      </c>
      <c r="O1412" s="171" t="s">
        <v>513</v>
      </c>
      <c r="P1412" s="141" t="s">
        <v>225</v>
      </c>
      <c r="Q1412" s="312" t="s">
        <v>389</v>
      </c>
      <c r="R1412" s="313"/>
      <c r="S1412" s="1" t="s">
        <v>3912</v>
      </c>
      <c r="T1412" t="s">
        <v>3918</v>
      </c>
      <c r="U1412" t="s">
        <v>3914</v>
      </c>
      <c r="V1412">
        <v>0</v>
      </c>
      <c r="W1412">
        <v>0</v>
      </c>
      <c r="X1412">
        <v>0</v>
      </c>
      <c r="Y1412">
        <v>0</v>
      </c>
      <c r="Z1412">
        <v>1</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s="141">
        <f>COUNTIF(V1412:AW1412,"&lt;&gt;0")</f>
        <v>1</v>
      </c>
      <c r="AY1412" s="141">
        <f>COUNTIF(V1412:AL1412,"&lt;&gt;0")</f>
        <v>1</v>
      </c>
      <c r="AZ1412">
        <f>COUNTIF(V1412:AC1412,"&lt;&gt;0")</f>
        <v>1</v>
      </c>
      <c r="BA1412">
        <f>COUNTIF(AD1412:AI1412,"&lt;&gt;0")</f>
        <v>0</v>
      </c>
      <c r="BB1412">
        <f>COUNTIF(AJ1412:AL1412,"&lt;&gt;0")</f>
        <v>0</v>
      </c>
      <c r="BC1412">
        <f>COUNTIF(AS1412:AW1412,"&lt;&gt;0")</f>
        <v>0</v>
      </c>
      <c r="BD1412">
        <f>COUNTIF(AM1412:AR1412,"&lt;&gt;0")</f>
        <v>0</v>
      </c>
      <c r="BE1412" t="str" cm="1">
        <f t="array" ref="BE1412">IF(AY1412=1,INDEX($V$7:$AL$7,MATCH(TRUE,INDEX($V1412:$AW1412&lt;&gt;0,),0)),IF(AY1412=0,INDEX($AM$7:$AW$7,MATCH(1,$AM1412:$AW1412,0)),IF(BF1412="Multiple strategies","mixed drivers",IF(BF1412="Supply chain","multiple supply","multiple silviculture"))))</f>
        <v>species</v>
      </c>
      <c r="BF1412" s="2" t="str" cm="1">
        <f t="array" ref="BF1412">IF(COUNTIF(AZ1412:BB1412,"&lt;&gt;0")=1,INDEX($V$4:$AW$4,MATCH(TRUE,INDEX($V1412:$AW1412&lt;&gt;0,),0)),IF(COUNTIF(AZ1412:BB1412,"&lt;&gt;0")=0,INDEX($AM$4:$AW$4,MATCH(1,$AM1412:$AW1412,0)),"Multiple strategies"))</f>
        <v>Silviculture for productivity</v>
      </c>
      <c r="BP1412" t="s">
        <v>232</v>
      </c>
      <c r="BQ1412" t="s">
        <v>3915</v>
      </c>
      <c r="BR1412" t="s">
        <v>3916</v>
      </c>
      <c r="BS1412">
        <v>513.5</v>
      </c>
      <c r="BT1412">
        <v>839.2</v>
      </c>
      <c r="BU1412" s="144"/>
      <c r="BV1412">
        <f>BT1412-BS1412</f>
        <v>325.70000000000005</v>
      </c>
      <c r="BY1412" t="str">
        <f>IFERROR(BX1412/BO1412,"")</f>
        <v/>
      </c>
      <c r="BZ1412">
        <v>0</v>
      </c>
      <c r="CA1412">
        <v>0</v>
      </c>
      <c r="CB1412">
        <v>0</v>
      </c>
      <c r="CC1412">
        <v>0</v>
      </c>
      <c r="CD1412">
        <v>0</v>
      </c>
      <c r="CE1412">
        <v>0</v>
      </c>
      <c r="CF1412">
        <v>0</v>
      </c>
      <c r="CG1412">
        <v>0</v>
      </c>
      <c r="CH1412">
        <v>0</v>
      </c>
      <c r="CI1412">
        <v>0</v>
      </c>
      <c r="CJ1412">
        <v>0</v>
      </c>
      <c r="CK1412">
        <v>0</v>
      </c>
      <c r="CL1412">
        <v>0</v>
      </c>
      <c r="CM1412">
        <v>0</v>
      </c>
      <c r="CN1412" t="str">
        <f>IF($BL1412&lt;$BK1412,"refNeedCorrection","refOK")</f>
        <v>refOK</v>
      </c>
      <c r="CO1412"/>
      <c r="CP1412"/>
      <c r="CQ1412"/>
      <c r="CR1412">
        <f>IF($CN1412="refOK",$BS1412,$BT1412)*IF($BP1412="Emissions positive",-1,1)</f>
        <v>513.5</v>
      </c>
      <c r="CS1412">
        <f>IF($CN1412="refOK",$BT1412,$BS1412)*IF($BP1412="Emissions positive",-1,1)</f>
        <v>839.2</v>
      </c>
      <c r="CT1412">
        <f>IF($CN1412="refNeedCorrection",-BX1412,BX1412)*IF($BP1412="Emissions positive",-1,1)</f>
        <v>0</v>
      </c>
      <c r="CU1412" t="str">
        <f>IFERROR(CT1412/CQ1412,"")</f>
        <v/>
      </c>
      <c r="CV1412" s="2">
        <f>IFERROR((CS1412-CR1412)/ABS(CR1412),"")</f>
        <v>0.63427458617332044</v>
      </c>
      <c r="CW1412" s="1" t="s">
        <v>1203</v>
      </c>
      <c r="CX1412" s="312" t="str">
        <f>IF(OR($CW1412="prd",$CW1412="std",$CW1412="cit"),"loc",IF(OR($CW1412="eur",$CW1412="reg",$CW1412="coy"),"reg",$CW1412))</f>
        <v>reg</v>
      </c>
      <c r="CY1412" t="s">
        <v>3917</v>
      </c>
      <c r="DB1412">
        <v>200</v>
      </c>
      <c r="DC1412" t="str">
        <f>IF(DB1412=0,"0",IF(AND(DB1412&gt;=1,DB1412&lt;=30),"1-30",IF(AND(DB1412&gt;30,DB1412&lt;=70),"31-70",IF(AND(DB1412&gt;70,DB1412&lt;=100),"71-100",IF(DB1412&gt;100,"+100")))))</f>
        <v>+100</v>
      </c>
      <c r="DD1412">
        <v>0</v>
      </c>
      <c r="DE1412">
        <v>1</v>
      </c>
      <c r="DF1412">
        <v>0</v>
      </c>
      <c r="DG1412">
        <v>0</v>
      </c>
      <c r="DH1412">
        <v>0</v>
      </c>
      <c r="DI1412">
        <f>SUM(DD1412:DH1412)</f>
        <v>1</v>
      </c>
      <c r="DJ1412" t="str">
        <f>IF(DI1412=1,INDEX($DD$7:$DG$7,MATCH(1,$DD1412:$DG1412,0)),"mixedProduct")</f>
        <v>EnergyInput</v>
      </c>
      <c r="DK1412">
        <f>IF(DD1412=1,DK$7,0)</f>
        <v>0</v>
      </c>
      <c r="DL1412" t="str">
        <f>IF(DE1412=1,DL$7,0)</f>
        <v>Energy</v>
      </c>
      <c r="DM1412">
        <f>IF(DF1412=1,DM$7,0)</f>
        <v>0</v>
      </c>
      <c r="DN1412">
        <f>IF(DG1412=1,DN$7,0)</f>
        <v>0</v>
      </c>
      <c r="DO1412">
        <v>0</v>
      </c>
      <c r="DP1412">
        <v>0</v>
      </c>
      <c r="DQ1412">
        <v>0</v>
      </c>
      <c r="DR1412">
        <v>0</v>
      </c>
      <c r="DS1412">
        <v>0</v>
      </c>
      <c r="DT1412">
        <f>SUM(DO1412:DP1412)</f>
        <v>0</v>
      </c>
      <c r="DU1412" s="143" t="str">
        <f>IF(DO1412=1,"self-calculated DF",IF(DP1412=1,"external DF used","explicit C balance"))</f>
        <v>explicit C balance</v>
      </c>
      <c r="DV1412">
        <v>1</v>
      </c>
      <c r="DW1412">
        <v>1</v>
      </c>
      <c r="DX1412">
        <v>1</v>
      </c>
      <c r="DY1412">
        <v>1</v>
      </c>
      <c r="DZ1412">
        <v>1</v>
      </c>
      <c r="EA1412">
        <v>0</v>
      </c>
      <c r="EB1412">
        <v>0</v>
      </c>
      <c r="EC1412">
        <v>0</v>
      </c>
      <c r="ED1412">
        <v>0</v>
      </c>
      <c r="EE1412">
        <v>0</v>
      </c>
      <c r="EF1412">
        <v>1</v>
      </c>
      <c r="EG1412">
        <v>0</v>
      </c>
      <c r="EH1412">
        <v>0</v>
      </c>
      <c r="EI1412" s="2">
        <v>0</v>
      </c>
      <c r="EK1412" t="str">
        <f>IF(AND(AND(AND(OR($DX1412=1,$DW1412=1),OR($EC1412=1,$EA1412=1)),SUM($DV1412:$DZ1412,$EF1412)&gt;=3),SUM($EA1412:$EE1412)&gt;=2),"Whole sector","")</f>
        <v/>
      </c>
      <c r="EL1412" t="str">
        <f>IF(AND(AND(OR($DX1412=1,$DW1412=1),AND($EC1412=0,$EA1412=0)),SUM($DV1412:$DZ1412,$EF1412)&gt;=3),"Ecosystem approach","")</f>
        <v>Ecosystem approach</v>
      </c>
      <c r="EM1412" s="2" t="str">
        <f>IF(AND(AND(AND($DX1412=0,$DW1412=0),OR($EC1412=1,$EA1412=1)),SUM($EB1412:$EE1412)&gt;=2),"Technology approach","")</f>
        <v/>
      </c>
      <c r="EP1412" t="b">
        <f>IF(ISNUMBER(BU1412),IF(ABS(BU1412-[5]QC_indicators!$B$2)&gt;3*[5]QC_indicators!$C$2,"C ratio",IF(ISNUMBER(BY1412),IF(ABS(BY1412-[5]QC_indicators!$B$1)&gt;3*[5]QC_indicators!$C$1,"DF","no"))),IF(ISNUMBER(BY1412),IF(ABS(BY1412-[5]QC_indicators!$B$1)&gt;3*[5]QC_indicators!$C$1,"DF","no")))</f>
        <v>0</v>
      </c>
    </row>
    <row r="1413" spans="1:146" ht="15" customHeight="1">
      <c r="A1413" s="1" t="s">
        <v>2114</v>
      </c>
      <c r="B1413" t="s">
        <v>544</v>
      </c>
      <c r="C1413" t="s">
        <v>3928</v>
      </c>
      <c r="D1413" t="s">
        <v>3929</v>
      </c>
      <c r="E1413" t="s">
        <v>3930</v>
      </c>
      <c r="F1413" t="s">
        <v>3931</v>
      </c>
      <c r="G1413" t="s">
        <v>2115</v>
      </c>
      <c r="H1413" t="s">
        <v>254</v>
      </c>
      <c r="I1413">
        <v>2017</v>
      </c>
      <c r="J1413">
        <v>25</v>
      </c>
      <c r="K1413" t="s">
        <v>3932</v>
      </c>
      <c r="M1413" t="str">
        <f>LEFT($D1413,FIND(",",$D1413)-1)&amp;"_"&amp;I1413&amp;L1413</f>
        <v>Pilli_2017</v>
      </c>
      <c r="N1413" s="312" t="s">
        <v>4383</v>
      </c>
      <c r="O1413" s="171" t="s">
        <v>513</v>
      </c>
      <c r="P1413" t="s">
        <v>341</v>
      </c>
      <c r="Q1413" s="312" t="s">
        <v>389</v>
      </c>
      <c r="R1413" s="313"/>
      <c r="S1413" s="1" t="s">
        <v>3933</v>
      </c>
      <c r="T1413" t="s">
        <v>3934</v>
      </c>
      <c r="U1413" t="s">
        <v>3935</v>
      </c>
      <c r="V1413">
        <v>0</v>
      </c>
      <c r="W1413">
        <v>1</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s="141">
        <f>COUNTIF(V1413:AW1413,"&lt;&gt;0")</f>
        <v>1</v>
      </c>
      <c r="AY1413" s="141">
        <f>COUNTIF(V1413:AL1413,"&lt;&gt;0")</f>
        <v>1</v>
      </c>
      <c r="AZ1413">
        <f>COUNTIF(V1413:AC1413,"&lt;&gt;0")</f>
        <v>1</v>
      </c>
      <c r="BA1413">
        <f>COUNTIF(AD1413:AI1413,"&lt;&gt;0")</f>
        <v>0</v>
      </c>
      <c r="BB1413">
        <f>COUNTIF(AJ1413:AL1413,"&lt;&gt;0")</f>
        <v>0</v>
      </c>
      <c r="BC1413">
        <f>COUNTIF(AS1413:AW1413,"&lt;&gt;0")</f>
        <v>0</v>
      </c>
      <c r="BD1413">
        <f>COUNTIF(AM1413:AR1413,"&lt;&gt;0")</f>
        <v>0</v>
      </c>
      <c r="BE1413" t="str" cm="1">
        <f t="array" ref="BE1413">IF(AY1413=1,INDEX($V$7:$AL$7,MATCH(TRUE,INDEX($V1413:$AW1413&lt;&gt;0,),0)),IF(AY1413=0,INDEX($AM$7:$AW$7,MATCH(1,$AM1413:$AW1413,0)),IF(BF1413="Multiple strategies","mixed drivers",IF(BF1413="Supply chain","multiple supply","multiple silviculture"))))</f>
        <v>unspecified harvest increase</v>
      </c>
      <c r="BF1413" s="2" t="str" cm="1">
        <f t="array" ref="BF1413">IF(COUNTIF(AZ1413:BB1413,"&lt;&gt;0")=1,INDEX($V$4:$AW$4,MATCH(TRUE,INDEX($V1413:$AW1413&lt;&gt;0,),0)),IF(COUNTIF(AZ1413:BB1413,"&lt;&gt;0")=0,INDEX($AM$4:$AW$4,MATCH(1,$AM1413:$AW1413,0)),"Multiple strategies"))</f>
        <v>Silviculture for removals</v>
      </c>
      <c r="BM1413" t="str">
        <f>IFERROR(BL1413/BK1413,"")</f>
        <v/>
      </c>
      <c r="BN1413" s="158"/>
      <c r="BO1413" s="143"/>
      <c r="BP1413" t="s">
        <v>232</v>
      </c>
      <c r="BR1413" t="s">
        <v>3936</v>
      </c>
      <c r="BS1413">
        <v>126</v>
      </c>
      <c r="BT1413">
        <v>101</v>
      </c>
      <c r="BU1413" s="144"/>
      <c r="BV1413">
        <f>BT1413-BS1413</f>
        <v>-25</v>
      </c>
      <c r="BY1413" t="str">
        <f>IFERROR(BX1413/BO1413,"")</f>
        <v/>
      </c>
      <c r="BZ1413">
        <v>0</v>
      </c>
      <c r="CA1413">
        <v>0</v>
      </c>
      <c r="CB1413">
        <v>0</v>
      </c>
      <c r="CC1413">
        <v>0</v>
      </c>
      <c r="CD1413">
        <v>0</v>
      </c>
      <c r="CE1413">
        <v>0</v>
      </c>
      <c r="CF1413">
        <v>0</v>
      </c>
      <c r="CG1413">
        <v>0</v>
      </c>
      <c r="CH1413">
        <v>0</v>
      </c>
      <c r="CI1413">
        <v>0</v>
      </c>
      <c r="CJ1413">
        <v>0</v>
      </c>
      <c r="CK1413">
        <v>0</v>
      </c>
      <c r="CL1413">
        <v>0</v>
      </c>
      <c r="CM1413">
        <v>0</v>
      </c>
      <c r="CN1413" t="str">
        <f>IF($BL1413&lt;$BK1413,"refNeedCorrection","refOK")</f>
        <v>refOK</v>
      </c>
      <c r="CO1413"/>
      <c r="CP1413"/>
      <c r="CQ1413"/>
      <c r="CR1413">
        <f>IF($CN1413="refOK",$BS1413,$BT1413)*IF($BP1413="Emissions positive",-1,1)</f>
        <v>126</v>
      </c>
      <c r="CS1413">
        <f>IF($CN1413="refOK",$BT1413,$BS1413)*IF($BP1413="Emissions positive",-1,1)</f>
        <v>101</v>
      </c>
      <c r="CT1413">
        <f>IF($CN1413="refNeedCorrection",-BX1413,BX1413)*IF($BP1413="Emissions positive",-1,1)</f>
        <v>0</v>
      </c>
      <c r="CU1413" t="str">
        <f>IFERROR(CT1413/CQ1413,"")</f>
        <v/>
      </c>
      <c r="CV1413" s="2">
        <f>IFERROR((CS1413-CR1413)/ABS(CR1413),"")</f>
        <v>-0.1984126984126984</v>
      </c>
      <c r="CW1413" s="1" t="s">
        <v>1231</v>
      </c>
      <c r="CX1413" s="312" t="str">
        <f>IF(OR($CW1413="prd",$CW1413="std",$CW1413="cit"),"loc",IF(OR($CW1413="eur",$CW1413="reg",$CW1413="coy"),"reg",$CW1413))</f>
        <v>reg</v>
      </c>
      <c r="CY1413" s="312" t="s">
        <v>743</v>
      </c>
      <c r="CZ1413">
        <v>2012</v>
      </c>
      <c r="DA1413" s="143">
        <v>2030</v>
      </c>
      <c r="DB1413" s="143">
        <v>18</v>
      </c>
      <c r="DC1413" t="str">
        <f>IF(DB1413=0,"0",IF(AND(DB1413&gt;=1,DB1413&lt;=30),"1-30",IF(AND(DB1413&gt;30,DB1413&lt;=70),"31-70",IF(AND(DB1413&gt;70,DB1413&lt;=100),"71-100",IF(DB1413&gt;100,"+100")))))</f>
        <v>1-30</v>
      </c>
      <c r="DD1413">
        <v>0</v>
      </c>
      <c r="DE1413">
        <v>1</v>
      </c>
      <c r="DF1413">
        <v>1</v>
      </c>
      <c r="DG1413">
        <v>1</v>
      </c>
      <c r="DH1413">
        <v>0</v>
      </c>
      <c r="DI1413">
        <f>SUM(DD1413:DH1413)</f>
        <v>3</v>
      </c>
      <c r="DJ1413" t="str">
        <f>IF(DI1413=1,INDEX($DD$7:$DG$7,MATCH(1,$DD1413:$DG1413,0)),"mixedProduct")</f>
        <v>mixedProduct</v>
      </c>
      <c r="DK1413">
        <f>IF(DD1413=1,DK$7,0)</f>
        <v>0</v>
      </c>
      <c r="DL1413" t="str">
        <f>IF(DE1413=1,DL$7,0)</f>
        <v>Energy</v>
      </c>
      <c r="DM1413" t="str">
        <f>IF(DF1413=1,DM$7,0)</f>
        <v>Pulp/Paper</v>
      </c>
      <c r="DN1413" t="str">
        <f>IF(DG1413=1,DN$7,0)</f>
        <v>Timber</v>
      </c>
      <c r="DO1413">
        <v>0</v>
      </c>
      <c r="DP1413">
        <v>0</v>
      </c>
      <c r="DQ1413">
        <v>0</v>
      </c>
      <c r="DR1413">
        <v>0</v>
      </c>
      <c r="DS1413">
        <v>0</v>
      </c>
      <c r="DT1413">
        <f>SUM(DO1413:DP1413)</f>
        <v>0</v>
      </c>
      <c r="DU1413" s="143" t="str">
        <f>IF(DO1413=1,"self-calculated DF",IF(DP1413=1,"external DF used","explicit C balance"))</f>
        <v>explicit C balance</v>
      </c>
      <c r="DV1413" s="143">
        <v>1</v>
      </c>
      <c r="DW1413" s="143">
        <v>1</v>
      </c>
      <c r="DX1413" s="143">
        <v>1</v>
      </c>
      <c r="DY1413" s="143">
        <v>1</v>
      </c>
      <c r="DZ1413">
        <v>0</v>
      </c>
      <c r="EA1413" s="143">
        <v>0</v>
      </c>
      <c r="EB1413" s="143">
        <v>0</v>
      </c>
      <c r="EC1413" s="143">
        <v>0</v>
      </c>
      <c r="ED1413" s="143">
        <v>0</v>
      </c>
      <c r="EE1413">
        <v>0</v>
      </c>
      <c r="EF1413">
        <v>1</v>
      </c>
      <c r="EG1413" s="143">
        <v>0</v>
      </c>
      <c r="EH1413">
        <v>1</v>
      </c>
      <c r="EI1413" s="2">
        <v>0</v>
      </c>
      <c r="EK1413" t="str">
        <f>IF(AND(AND(AND(OR($DX1413=1,$DW1413=1),OR($EC1413=1,$EA1413=1)),SUM($DV1413:$DZ1413,$EF1413)&gt;=3),SUM($EA1413:$EE1413)&gt;=2),"Whole sector","")</f>
        <v/>
      </c>
      <c r="EL1413" t="str">
        <f>IF(AND(AND(OR($DX1413=1,$DW1413=1),AND($EC1413=0,$EA1413=0)),SUM($DV1413:$DZ1413,$EF1413)&gt;=3),"Ecosystem approach","")</f>
        <v>Ecosystem approach</v>
      </c>
      <c r="EM1413" s="2" t="str">
        <f>IF(AND(AND(AND($DX1413=0,$DW1413=0),OR($EC1413=1,$EA1413=1)),SUM($EB1413:$EE1413)&gt;=2),"Technology approach","")</f>
        <v/>
      </c>
      <c r="EP1413" t="b">
        <f>IF(ISNUMBER(BU1413),IF(ABS(BU1413-[5]QC_indicators!$B$2)&gt;3*[5]QC_indicators!$C$2,"C ratio",IF(ISNUMBER(BY1413),IF(ABS(BY1413-[5]QC_indicators!$B$1)&gt;3*[5]QC_indicators!$C$1,"DF","no"))),IF(ISNUMBER(BY1413),IF(ABS(BY1413-[5]QC_indicators!$B$1)&gt;3*[5]QC_indicators!$C$1,"DF","no")))</f>
        <v>0</v>
      </c>
    </row>
    <row r="1414" spans="1:146" ht="15" customHeight="1">
      <c r="A1414" s="1" t="s">
        <v>2114</v>
      </c>
      <c r="B1414" t="s">
        <v>544</v>
      </c>
      <c r="C1414" t="s">
        <v>3928</v>
      </c>
      <c r="D1414" t="s">
        <v>3929</v>
      </c>
      <c r="E1414" s="312" t="s">
        <v>3930</v>
      </c>
      <c r="F1414" t="s">
        <v>3931</v>
      </c>
      <c r="G1414" t="s">
        <v>2115</v>
      </c>
      <c r="H1414" t="s">
        <v>254</v>
      </c>
      <c r="I1414">
        <v>2017</v>
      </c>
      <c r="J1414">
        <v>25</v>
      </c>
      <c r="K1414" t="s">
        <v>3932</v>
      </c>
      <c r="M1414" t="str">
        <f>LEFT($D1414,FIND(",",$D1414)-1)&amp;"_"&amp;I1414&amp;L1414</f>
        <v>Pilli_2017</v>
      </c>
      <c r="N1414" s="312" t="s">
        <v>4383</v>
      </c>
      <c r="O1414" s="171" t="s">
        <v>513</v>
      </c>
      <c r="P1414" t="s">
        <v>341</v>
      </c>
      <c r="Q1414" s="312" t="s">
        <v>389</v>
      </c>
      <c r="R1414" s="313"/>
      <c r="S1414" s="1" t="s">
        <v>3933</v>
      </c>
      <c r="T1414" t="s">
        <v>3934</v>
      </c>
      <c r="U1414" t="s">
        <v>3937</v>
      </c>
      <c r="V1414">
        <v>0</v>
      </c>
      <c r="W1414">
        <v>1</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s="141">
        <f>COUNTIF(V1414:AW1414,"&lt;&gt;0")</f>
        <v>1</v>
      </c>
      <c r="AY1414" s="141">
        <f>COUNTIF(V1414:AL1414,"&lt;&gt;0")</f>
        <v>1</v>
      </c>
      <c r="AZ1414">
        <f>COUNTIF(V1414:AC1414,"&lt;&gt;0")</f>
        <v>1</v>
      </c>
      <c r="BA1414">
        <f>COUNTIF(AD1414:AI1414,"&lt;&gt;0")</f>
        <v>0</v>
      </c>
      <c r="BB1414">
        <f>COUNTIF(AJ1414:AL1414,"&lt;&gt;0")</f>
        <v>0</v>
      </c>
      <c r="BC1414">
        <f>COUNTIF(AS1414:AW1414,"&lt;&gt;0")</f>
        <v>0</v>
      </c>
      <c r="BD1414">
        <f>COUNTIF(AM1414:AR1414,"&lt;&gt;0")</f>
        <v>0</v>
      </c>
      <c r="BE1414" t="str" cm="1">
        <f t="array" ref="BE1414">IF(AY1414=1,INDEX($V$7:$AL$7,MATCH(TRUE,INDEX($V1414:$AW1414&lt;&gt;0,),0)),IF(AY1414=0,INDEX($AM$7:$AW$7,MATCH(1,$AM1414:$AW1414,0)),IF(BF1414="Multiple strategies","mixed drivers",IF(BF1414="Supply chain","multiple supply","multiple silviculture"))))</f>
        <v>unspecified harvest increase</v>
      </c>
      <c r="BF1414" s="2" t="str" cm="1">
        <f t="array" ref="BF1414">IF(COUNTIF(AZ1414:BB1414,"&lt;&gt;0")=1,INDEX($V$4:$AW$4,MATCH(TRUE,INDEX($V1414:$AW1414&lt;&gt;0,),0)),IF(COUNTIF(AZ1414:BB1414,"&lt;&gt;0")=0,INDEX($AM$4:$AW$4,MATCH(1,$AM1414:$AW1414,0)),"Multiple strategies"))</f>
        <v>Silviculture for removals</v>
      </c>
      <c r="BN1414" s="158"/>
      <c r="BO1414" s="143"/>
      <c r="BP1414" t="s">
        <v>232</v>
      </c>
      <c r="BR1414" t="s">
        <v>3936</v>
      </c>
      <c r="BS1414">
        <v>126</v>
      </c>
      <c r="BT1414">
        <v>151</v>
      </c>
      <c r="BU1414" s="144"/>
      <c r="BV1414">
        <f>BT1414-BS1414</f>
        <v>25</v>
      </c>
      <c r="BY1414" t="str">
        <f>IFERROR(BX1414/BO1414,"")</f>
        <v/>
      </c>
      <c r="BZ1414">
        <v>0</v>
      </c>
      <c r="CA1414">
        <v>0</v>
      </c>
      <c r="CB1414">
        <v>0</v>
      </c>
      <c r="CC1414">
        <v>0</v>
      </c>
      <c r="CD1414">
        <v>0</v>
      </c>
      <c r="CE1414">
        <v>0</v>
      </c>
      <c r="CF1414">
        <v>0</v>
      </c>
      <c r="CG1414">
        <v>0</v>
      </c>
      <c r="CH1414">
        <v>0</v>
      </c>
      <c r="CI1414">
        <v>0</v>
      </c>
      <c r="CJ1414">
        <v>0</v>
      </c>
      <c r="CK1414">
        <v>0</v>
      </c>
      <c r="CL1414">
        <v>0</v>
      </c>
      <c r="CM1414">
        <v>0</v>
      </c>
      <c r="CN1414" t="str">
        <f>IF($BL1414&lt;$BK1414,"refNeedCorrection","refOK")</f>
        <v>refOK</v>
      </c>
      <c r="CO1414"/>
      <c r="CP1414"/>
      <c r="CQ1414"/>
      <c r="CR1414">
        <f>IF($CN1414="refOK",$BS1414,$BT1414)*IF($BP1414="Emissions positive",-1,1)</f>
        <v>126</v>
      </c>
      <c r="CS1414">
        <f>IF($CN1414="refOK",$BT1414,$BS1414)*IF($BP1414="Emissions positive",-1,1)</f>
        <v>151</v>
      </c>
      <c r="CT1414">
        <f>IF($CN1414="refNeedCorrection",-BX1414,BX1414)*IF($BP1414="Emissions positive",-1,1)</f>
        <v>0</v>
      </c>
      <c r="CU1414" t="str">
        <f>IFERROR(CT1414/CQ1414,"")</f>
        <v/>
      </c>
      <c r="CV1414" s="2">
        <f>IFERROR((CS1414-CR1414)/ABS(CR1414),"")</f>
        <v>0.1984126984126984</v>
      </c>
      <c r="CW1414" s="1" t="s">
        <v>1231</v>
      </c>
      <c r="CX1414" s="312" t="str">
        <f>IF(OR($CW1414="prd",$CW1414="std",$CW1414="cit"),"loc",IF(OR($CW1414="eur",$CW1414="reg",$CW1414="coy"),"reg",$CW1414))</f>
        <v>reg</v>
      </c>
      <c r="CY1414" s="312" t="s">
        <v>743</v>
      </c>
      <c r="CZ1414">
        <v>2012</v>
      </c>
      <c r="DA1414" s="143">
        <v>2030</v>
      </c>
      <c r="DB1414" s="143">
        <v>18</v>
      </c>
      <c r="DC1414" t="str">
        <f>IF(DB1414=0,"0",IF(AND(DB1414&gt;=1,DB1414&lt;=30),"1-30",IF(AND(DB1414&gt;30,DB1414&lt;=70),"31-70",IF(AND(DB1414&gt;70,DB1414&lt;=100),"71-100",IF(DB1414&gt;100,"+100")))))</f>
        <v>1-30</v>
      </c>
      <c r="DD1414">
        <v>0</v>
      </c>
      <c r="DE1414">
        <v>1</v>
      </c>
      <c r="DF1414">
        <v>1</v>
      </c>
      <c r="DG1414">
        <v>1</v>
      </c>
      <c r="DH1414">
        <v>0</v>
      </c>
      <c r="DI1414">
        <f>SUM(DD1414:DH1414)</f>
        <v>3</v>
      </c>
      <c r="DJ1414" t="str">
        <f>IF(DI1414=1,INDEX($DD$7:$DG$7,MATCH(1,$DD1414:$DG1414,0)),"mixedProduct")</f>
        <v>mixedProduct</v>
      </c>
      <c r="DK1414">
        <f>IF(DD1414=1,DK$7,0)</f>
        <v>0</v>
      </c>
      <c r="DL1414" t="str">
        <f>IF(DE1414=1,DL$7,0)</f>
        <v>Energy</v>
      </c>
      <c r="DM1414" t="str">
        <f>IF(DF1414=1,DM$7,0)</f>
        <v>Pulp/Paper</v>
      </c>
      <c r="DN1414" t="str">
        <f>IF(DG1414=1,DN$7,0)</f>
        <v>Timber</v>
      </c>
      <c r="DO1414">
        <v>0</v>
      </c>
      <c r="DP1414">
        <v>0</v>
      </c>
      <c r="DQ1414">
        <v>0</v>
      </c>
      <c r="DR1414">
        <v>0</v>
      </c>
      <c r="DS1414">
        <v>0</v>
      </c>
      <c r="DT1414">
        <f>SUM(DO1414:DP1414)</f>
        <v>0</v>
      </c>
      <c r="DU1414" s="143" t="str">
        <f>IF(DO1414=1,"self-calculated DF",IF(DP1414=1,"external DF used","explicit C balance"))</f>
        <v>explicit C balance</v>
      </c>
      <c r="DV1414" s="143">
        <v>1</v>
      </c>
      <c r="DW1414" s="143">
        <v>1</v>
      </c>
      <c r="DX1414" s="143">
        <v>1</v>
      </c>
      <c r="DY1414" s="143">
        <v>1</v>
      </c>
      <c r="DZ1414">
        <v>0</v>
      </c>
      <c r="EA1414" s="143">
        <v>0</v>
      </c>
      <c r="EB1414" s="143">
        <v>0</v>
      </c>
      <c r="EC1414" s="143">
        <v>0</v>
      </c>
      <c r="ED1414" s="143">
        <v>0</v>
      </c>
      <c r="EE1414">
        <v>0</v>
      </c>
      <c r="EF1414">
        <v>1</v>
      </c>
      <c r="EG1414" s="143">
        <v>0</v>
      </c>
      <c r="EH1414">
        <v>1</v>
      </c>
      <c r="EI1414" s="2">
        <v>0</v>
      </c>
      <c r="EK1414" t="str">
        <f>IF(AND(AND(AND(OR($DX1414=1,$DW1414=1),OR($EC1414=1,$EA1414=1)),SUM($DV1414:$DZ1414,$EF1414)&gt;=3),SUM($EA1414:$EE1414)&gt;=2),"Whole sector","")</f>
        <v/>
      </c>
      <c r="EL1414" t="str">
        <f>IF(AND(AND(OR($DX1414=1,$DW1414=1),AND($EC1414=0,$EA1414=0)),SUM($DV1414:$DZ1414,$EF1414)&gt;=3),"Ecosystem approach","")</f>
        <v>Ecosystem approach</v>
      </c>
      <c r="EM1414" s="2" t="str">
        <f>IF(AND(AND(AND($DX1414=0,$DW1414=0),OR($EC1414=1,$EA1414=1)),SUM($EB1414:$EE1414)&gt;=2),"Technology approach","")</f>
        <v/>
      </c>
      <c r="EP1414" t="b">
        <f>IF(ISNUMBER(BU1414),IF(ABS(BU1414-[5]QC_indicators!$B$2)&gt;3*[5]QC_indicators!$C$2,"C ratio",IF(ISNUMBER(BY1414),IF(ABS(BY1414-[5]QC_indicators!$B$1)&gt;3*[5]QC_indicators!$C$1,"DF","no"))),IF(ISNUMBER(BY1414),IF(ABS(BY1414-[5]QC_indicators!$B$1)&gt;3*[5]QC_indicators!$C$1,"DF","no")))</f>
        <v>0</v>
      </c>
    </row>
    <row r="1415" spans="1:146" ht="15" customHeight="1">
      <c r="A1415" s="1" t="s">
        <v>333</v>
      </c>
      <c r="B1415" t="s">
        <v>3938</v>
      </c>
      <c r="C1415" t="s">
        <v>3939</v>
      </c>
      <c r="D1415" t="s">
        <v>3940</v>
      </c>
      <c r="E1415" t="s">
        <v>3941</v>
      </c>
      <c r="F1415" t="s">
        <v>3942</v>
      </c>
      <c r="G1415" t="s">
        <v>339</v>
      </c>
      <c r="H1415" t="s">
        <v>254</v>
      </c>
      <c r="I1415">
        <v>2018</v>
      </c>
      <c r="J1415">
        <v>62</v>
      </c>
      <c r="K1415" t="s">
        <v>3943</v>
      </c>
      <c r="M1415" t="str">
        <f>LEFT($D1415,FIND(",",$D1415)-1)&amp;"_"&amp;I1415&amp;L1415</f>
        <v>Pittau_2018</v>
      </c>
      <c r="N1415" s="312" t="s">
        <v>4383</v>
      </c>
      <c r="O1415" s="171" t="s">
        <v>513</v>
      </c>
      <c r="P1415" t="s">
        <v>341</v>
      </c>
      <c r="Q1415" s="312" t="s">
        <v>389</v>
      </c>
      <c r="R1415" s="313"/>
      <c r="S1415" s="1" t="s">
        <v>3944</v>
      </c>
      <c r="T1415" t="s">
        <v>3945</v>
      </c>
      <c r="V1415">
        <v>0</v>
      </c>
      <c r="W1415">
        <v>1</v>
      </c>
      <c r="X1415">
        <v>0</v>
      </c>
      <c r="Y1415">
        <v>0</v>
      </c>
      <c r="Z1415">
        <v>0</v>
      </c>
      <c r="AA1415">
        <v>0</v>
      </c>
      <c r="AB1415">
        <v>0</v>
      </c>
      <c r="AC1415">
        <v>0</v>
      </c>
      <c r="AD1415">
        <v>0</v>
      </c>
      <c r="AE1415">
        <v>0</v>
      </c>
      <c r="AF1415">
        <v>1</v>
      </c>
      <c r="AG1415">
        <v>1</v>
      </c>
      <c r="AH1415">
        <v>1</v>
      </c>
      <c r="AI1415">
        <v>1</v>
      </c>
      <c r="AJ1415">
        <v>0</v>
      </c>
      <c r="AK1415">
        <v>0</v>
      </c>
      <c r="AL1415">
        <v>0</v>
      </c>
      <c r="AM1415">
        <v>0</v>
      </c>
      <c r="AN1415">
        <v>0</v>
      </c>
      <c r="AO1415">
        <v>0</v>
      </c>
      <c r="AP1415">
        <v>0</v>
      </c>
      <c r="AQ1415">
        <v>0</v>
      </c>
      <c r="AR1415">
        <v>0</v>
      </c>
      <c r="AS1415">
        <v>0</v>
      </c>
      <c r="AT1415">
        <v>0</v>
      </c>
      <c r="AU1415">
        <v>0</v>
      </c>
      <c r="AV1415">
        <v>0</v>
      </c>
      <c r="AW1415">
        <v>0</v>
      </c>
      <c r="AX1415" s="141">
        <f>COUNTIF(V1415:AW1415,"&lt;&gt;0")</f>
        <v>5</v>
      </c>
      <c r="AY1415" s="141">
        <f>COUNTIF(V1415:AL1415,"&lt;&gt;0")</f>
        <v>5</v>
      </c>
      <c r="AZ1415">
        <f>COUNTIF(V1415:AC1415,"&lt;&gt;0")</f>
        <v>1</v>
      </c>
      <c r="BA1415">
        <f>COUNTIF(AD1415:AI1415,"&lt;&gt;0")</f>
        <v>4</v>
      </c>
      <c r="BB1415">
        <f>COUNTIF(AJ1415:AL1415,"&lt;&gt;0")</f>
        <v>0</v>
      </c>
      <c r="BC1415">
        <f>COUNTIF(AS1415:AW1415,"&lt;&gt;0")</f>
        <v>0</v>
      </c>
      <c r="BD1415">
        <f>COUNTIF(AM1415:AR1415,"&lt;&gt;0")</f>
        <v>0</v>
      </c>
      <c r="BE1415" t="str" cm="1">
        <f t="array" ref="BE1415">IF(AY1415=1,INDEX($V$7:$AL$7,MATCH(TRUE,INDEX($V1415:$AW1415&lt;&gt;0,),0)),IF(AY1415=0,INDEX($AM$7:$AW$7,MATCH(1,$AM1415:$AW1415,0)),IF(BF1415="Multiple strategies","mixed drivers",IF(BF1415="Supply chain","multiple supply","multiple silviculture"))))</f>
        <v>mixed drivers</v>
      </c>
      <c r="BF1415" s="2" t="str" cm="1">
        <f t="array" ref="BF1415">IF(COUNTIF(AZ1415:BB1415,"&lt;&gt;0")=1,INDEX($V$4:$AW$4,MATCH(TRUE,INDEX($V1415:$AW1415&lt;&gt;0,),0)),IF(COUNTIF(AZ1415:BB1415,"&lt;&gt;0")=0,INDEX($AM$4:$AW$4,MATCH(1,$AM1415:$AW1415,0)),"Multiple strategies"))</f>
        <v>Multiple strategies</v>
      </c>
      <c r="BG1415" s="142"/>
      <c r="BJ1415" s="143"/>
      <c r="BL1415" s="143"/>
      <c r="BM1415" t="str">
        <f>IFERROR(BL1415/BK1415,"")</f>
        <v/>
      </c>
      <c r="BN1415" s="158"/>
      <c r="BO1415" s="143"/>
      <c r="BP1415" t="s">
        <v>395</v>
      </c>
      <c r="BR1415" t="s">
        <v>3946</v>
      </c>
      <c r="BS1415">
        <v>173.61053100000004</v>
      </c>
      <c r="BT1415">
        <v>-79.87</v>
      </c>
      <c r="BU1415" s="144"/>
      <c r="BV1415">
        <f>BT1415-BS1415</f>
        <v>-253.48053100000004</v>
      </c>
      <c r="BY1415" t="str">
        <f>IFERROR(BX1415/BO1415,"")</f>
        <v/>
      </c>
      <c r="BZ1415">
        <v>0</v>
      </c>
      <c r="CA1415">
        <v>1</v>
      </c>
      <c r="CB1415">
        <v>0</v>
      </c>
      <c r="CC1415">
        <v>0</v>
      </c>
      <c r="CD1415">
        <v>0</v>
      </c>
      <c r="CE1415">
        <v>0</v>
      </c>
      <c r="CF1415">
        <v>0</v>
      </c>
      <c r="CG1415">
        <v>0</v>
      </c>
      <c r="CH1415">
        <v>0</v>
      </c>
      <c r="CI1415">
        <v>0</v>
      </c>
      <c r="CJ1415">
        <v>0</v>
      </c>
      <c r="CK1415">
        <v>0</v>
      </c>
      <c r="CL1415">
        <v>0</v>
      </c>
      <c r="CM1415">
        <v>0</v>
      </c>
      <c r="CN1415" t="str">
        <f>IF($BL1415&lt;$BK1415,"refNeedCorrection","refOK")</f>
        <v>refOK</v>
      </c>
      <c r="CO1415"/>
      <c r="CP1415"/>
      <c r="CQ1415"/>
      <c r="CR1415">
        <f>IF($CN1415="refOK",$BS1415,$BT1415)*IF($BP1415="Emissions positive",-1,1)</f>
        <v>-173.61053100000004</v>
      </c>
      <c r="CS1415">
        <f>IF($CN1415="refOK",$BT1415,$BS1415)*IF($BP1415="Emissions positive",-1,1)</f>
        <v>79.87</v>
      </c>
      <c r="CT1415">
        <f>IF($CN1415="refNeedCorrection",-BX1415,BX1415)*IF($BP1415="Emissions positive",-1,1)</f>
        <v>0</v>
      </c>
      <c r="CU1415" t="str">
        <f>IFERROR(CT1415/CQ1415,"")</f>
        <v/>
      </c>
      <c r="CV1415" s="2">
        <f>IFERROR((CS1415-CR1415)/ABS(CR1415),"")</f>
        <v>1.4600527372386183</v>
      </c>
      <c r="CW1415" s="1" t="s">
        <v>974</v>
      </c>
      <c r="CX1415" s="312" t="str">
        <f>IF(OR($CW1415="prd",$CW1415="std",$CW1415="cit"),"loc",IF(OR($CW1415="eur",$CW1415="reg",$CW1415="coy"),"reg",$CW1415))</f>
        <v>loc</v>
      </c>
      <c r="CY1415" t="s">
        <v>639</v>
      </c>
      <c r="DA1415" s="143"/>
      <c r="DB1415" s="143">
        <v>200</v>
      </c>
      <c r="DC1415" t="str">
        <f>IF(DB1415=0,"0",IF(AND(DB1415&gt;=1,DB1415&lt;=30),"1-30",IF(AND(DB1415&gt;30,DB1415&lt;=70),"31-70",IF(AND(DB1415&gt;70,DB1415&lt;=100),"71-100",IF(DB1415&gt;100,"+100")))))</f>
        <v>+100</v>
      </c>
      <c r="DD1415">
        <v>0</v>
      </c>
      <c r="DE1415">
        <v>0</v>
      </c>
      <c r="DF1415">
        <v>0</v>
      </c>
      <c r="DG1415">
        <v>1</v>
      </c>
      <c r="DH1415">
        <v>0</v>
      </c>
      <c r="DI1415">
        <f>SUM(DD1415:DH1415)</f>
        <v>1</v>
      </c>
      <c r="DJ1415" t="str">
        <f>IF(DI1415=1,INDEX($DD$7:$DG$7,MATCH(1,$DD1415:$DG1415,0)),"mixedProduct")</f>
        <v>TimberInput</v>
      </c>
      <c r="DK1415">
        <f>IF(DD1415=1,DK$7,0)</f>
        <v>0</v>
      </c>
      <c r="DL1415">
        <f>IF(DE1415=1,DL$7,0)</f>
        <v>0</v>
      </c>
      <c r="DM1415">
        <f>IF(DF1415=1,DM$7,0)</f>
        <v>0</v>
      </c>
      <c r="DN1415" t="str">
        <f>IF(DG1415=1,DN$7,0)</f>
        <v>Timber</v>
      </c>
      <c r="DO1415">
        <v>1</v>
      </c>
      <c r="DP1415" s="143">
        <v>0</v>
      </c>
      <c r="DQ1415" s="143">
        <v>0</v>
      </c>
      <c r="DR1415">
        <v>0</v>
      </c>
      <c r="DS1415" s="143">
        <v>0</v>
      </c>
      <c r="DT1415">
        <f>SUM(DO1415:DP1415)</f>
        <v>1</v>
      </c>
      <c r="DU1415" s="143" t="str">
        <f>IF(DO1415=1,"self-calculated DF",IF(DP1415=1,"external DF used","explicit C balance"))</f>
        <v>self-calculated DF</v>
      </c>
      <c r="DV1415" s="143">
        <v>0</v>
      </c>
      <c r="DW1415" s="143">
        <v>0</v>
      </c>
      <c r="DX1415" s="143">
        <v>1</v>
      </c>
      <c r="DY1415" s="143">
        <v>1</v>
      </c>
      <c r="DZ1415">
        <v>1</v>
      </c>
      <c r="EA1415" s="143">
        <v>1</v>
      </c>
      <c r="EB1415" s="143">
        <v>1</v>
      </c>
      <c r="EC1415" s="143">
        <v>1</v>
      </c>
      <c r="ED1415" s="143">
        <v>1</v>
      </c>
      <c r="EE1415">
        <v>1</v>
      </c>
      <c r="EF1415">
        <v>1</v>
      </c>
      <c r="EG1415" s="143">
        <v>1</v>
      </c>
      <c r="EH1415">
        <v>1</v>
      </c>
      <c r="EI1415" s="2">
        <v>0</v>
      </c>
      <c r="EK1415" t="str">
        <f>IF(AND(AND(AND(OR($DX1415=1,$DW1415=1),OR($EC1415=1,$EA1415=1)),SUM($DV1415:$DZ1415,$EF1415)&gt;=3),SUM($EA1415:$EE1415)&gt;=2),"Whole sector","")</f>
        <v>Whole sector</v>
      </c>
      <c r="EL1415" t="str">
        <f>IF(AND(AND(OR($DX1415=1,$DW1415=1),AND($EC1415=0,$EA1415=0)),SUM($DV1415:$DZ1415,$EF1415)&gt;=3),"Ecosystem approach","")</f>
        <v/>
      </c>
      <c r="EM1415" s="2" t="str">
        <f>IF(AND(AND(AND($DX1415=0,$DW1415=0),OR($EC1415=1,$EA1415=1)),SUM($EB1415:$EE1415)&gt;=2),"Technology approach","")</f>
        <v/>
      </c>
      <c r="EP1415" t="b">
        <f>IF(ISNUMBER(BU1415),IF(ABS(BU1415-[5]QC_indicators!$B$2)&gt;3*[5]QC_indicators!$C$2,"C ratio",IF(ISNUMBER(BY1415),IF(ABS(BY1415-[5]QC_indicators!$B$1)&gt;3*[5]QC_indicators!$C$1,"DF","no"))),IF(ISNUMBER(BY1415),IF(ABS(BY1415-[5]QC_indicators!$B$1)&gt;3*[5]QC_indicators!$C$1,"DF","no")))</f>
        <v>0</v>
      </c>
    </row>
    <row r="1416" spans="1:146" ht="15" customHeight="1">
      <c r="A1416" s="1" t="s">
        <v>333</v>
      </c>
      <c r="B1416" t="s">
        <v>3938</v>
      </c>
      <c r="C1416" t="s">
        <v>3939</v>
      </c>
      <c r="D1416" t="s">
        <v>3940</v>
      </c>
      <c r="E1416" t="s">
        <v>3941</v>
      </c>
      <c r="F1416" t="s">
        <v>3942</v>
      </c>
      <c r="G1416" t="s">
        <v>339</v>
      </c>
      <c r="H1416" t="s">
        <v>254</v>
      </c>
      <c r="I1416">
        <v>2018</v>
      </c>
      <c r="J1416">
        <v>62</v>
      </c>
      <c r="K1416" t="s">
        <v>3943</v>
      </c>
      <c r="M1416" t="str">
        <f>LEFT($D1416,FIND(",",$D1416)-1)&amp;"_"&amp;I1416&amp;L1416</f>
        <v>Pittau_2018</v>
      </c>
      <c r="N1416" s="312" t="s">
        <v>4383</v>
      </c>
      <c r="O1416" s="171" t="s">
        <v>513</v>
      </c>
      <c r="P1416" t="s">
        <v>341</v>
      </c>
      <c r="Q1416" s="312" t="s">
        <v>389</v>
      </c>
      <c r="R1416" s="313"/>
      <c r="S1416" s="1" t="s">
        <v>3947</v>
      </c>
      <c r="T1416" t="s">
        <v>3945</v>
      </c>
      <c r="V1416">
        <v>0</v>
      </c>
      <c r="W1416">
        <v>1</v>
      </c>
      <c r="X1416">
        <v>0</v>
      </c>
      <c r="Y1416">
        <v>0</v>
      </c>
      <c r="Z1416">
        <v>0</v>
      </c>
      <c r="AA1416">
        <v>0</v>
      </c>
      <c r="AB1416">
        <v>0</v>
      </c>
      <c r="AC1416">
        <v>0</v>
      </c>
      <c r="AD1416">
        <v>0</v>
      </c>
      <c r="AE1416">
        <v>0</v>
      </c>
      <c r="AF1416">
        <v>1</v>
      </c>
      <c r="AG1416">
        <v>1</v>
      </c>
      <c r="AH1416">
        <v>1</v>
      </c>
      <c r="AI1416">
        <v>1</v>
      </c>
      <c r="AJ1416">
        <v>0</v>
      </c>
      <c r="AK1416">
        <v>0</v>
      </c>
      <c r="AL1416">
        <v>0</v>
      </c>
      <c r="AM1416">
        <v>0</v>
      </c>
      <c r="AN1416">
        <v>0</v>
      </c>
      <c r="AO1416">
        <v>0</v>
      </c>
      <c r="AP1416">
        <v>0</v>
      </c>
      <c r="AQ1416">
        <v>0</v>
      </c>
      <c r="AR1416">
        <v>0</v>
      </c>
      <c r="AS1416">
        <v>0</v>
      </c>
      <c r="AT1416">
        <v>0</v>
      </c>
      <c r="AU1416">
        <v>0</v>
      </c>
      <c r="AV1416">
        <v>0</v>
      </c>
      <c r="AW1416">
        <v>0</v>
      </c>
      <c r="AX1416" s="141">
        <f>COUNTIF(V1416:AW1416,"&lt;&gt;0")</f>
        <v>5</v>
      </c>
      <c r="AY1416" s="141">
        <f>COUNTIF(V1416:AL1416,"&lt;&gt;0")</f>
        <v>5</v>
      </c>
      <c r="AZ1416">
        <f>COUNTIF(V1416:AC1416,"&lt;&gt;0")</f>
        <v>1</v>
      </c>
      <c r="BA1416">
        <f>COUNTIF(AD1416:AI1416,"&lt;&gt;0")</f>
        <v>4</v>
      </c>
      <c r="BB1416">
        <f>COUNTIF(AJ1416:AL1416,"&lt;&gt;0")</f>
        <v>0</v>
      </c>
      <c r="BC1416">
        <f>COUNTIF(AS1416:AW1416,"&lt;&gt;0")</f>
        <v>0</v>
      </c>
      <c r="BD1416">
        <f>COUNTIF(AM1416:AR1416,"&lt;&gt;0")</f>
        <v>0</v>
      </c>
      <c r="BE1416" t="str" cm="1">
        <f t="array" ref="BE1416">IF(AY1416=1,INDEX($V$7:$AL$7,MATCH(TRUE,INDEX($V1416:$AW1416&lt;&gt;0,),0)),IF(AY1416=0,INDEX($AM$7:$AW$7,MATCH(1,$AM1416:$AW1416,0)),IF(BF1416="Multiple strategies","mixed drivers",IF(BF1416="Supply chain","multiple supply","multiple silviculture"))))</f>
        <v>mixed drivers</v>
      </c>
      <c r="BF1416" s="2" t="str" cm="1">
        <f t="array" ref="BF1416">IF(COUNTIF(AZ1416:BB1416,"&lt;&gt;0")=1,INDEX($V$4:$AW$4,MATCH(TRUE,INDEX($V1416:$AW1416&lt;&gt;0,),0)),IF(COUNTIF(AZ1416:BB1416,"&lt;&gt;0")=0,INDEX($AM$4:$AW$4,MATCH(1,$AM1416:$AW1416,0)),"Multiple strategies"))</f>
        <v>Multiple strategies</v>
      </c>
      <c r="BG1416" s="142"/>
      <c r="BJ1416" s="143"/>
      <c r="BL1416" s="143"/>
      <c r="BM1416" t="str">
        <f>IFERROR(BL1416/BK1416,"")</f>
        <v/>
      </c>
      <c r="BN1416" s="158"/>
      <c r="BO1416" s="143"/>
      <c r="BP1416" t="s">
        <v>395</v>
      </c>
      <c r="BR1416" t="s">
        <v>3946</v>
      </c>
      <c r="BS1416">
        <v>173.61053100000004</v>
      </c>
      <c r="BT1416">
        <v>-56.19</v>
      </c>
      <c r="BU1416" s="144"/>
      <c r="BV1416">
        <f>BT1416-BS1416</f>
        <v>-229.80053100000003</v>
      </c>
      <c r="BY1416" t="str">
        <f>IFERROR(BX1416/BO1416,"")</f>
        <v/>
      </c>
      <c r="BZ1416">
        <v>0</v>
      </c>
      <c r="CA1416">
        <v>1</v>
      </c>
      <c r="CB1416">
        <v>0</v>
      </c>
      <c r="CC1416">
        <v>0</v>
      </c>
      <c r="CD1416">
        <v>0</v>
      </c>
      <c r="CE1416">
        <v>0</v>
      </c>
      <c r="CF1416">
        <v>0</v>
      </c>
      <c r="CG1416">
        <v>0</v>
      </c>
      <c r="CH1416">
        <v>0</v>
      </c>
      <c r="CI1416">
        <v>0</v>
      </c>
      <c r="CJ1416">
        <v>0</v>
      </c>
      <c r="CK1416">
        <v>0</v>
      </c>
      <c r="CL1416">
        <v>0</v>
      </c>
      <c r="CM1416">
        <v>0</v>
      </c>
      <c r="CN1416" t="str">
        <f>IF($BL1416&lt;$BK1416,"refNeedCorrection","refOK")</f>
        <v>refOK</v>
      </c>
      <c r="CO1416"/>
      <c r="CP1416"/>
      <c r="CQ1416"/>
      <c r="CR1416">
        <f>IF($CN1416="refOK",$BS1416,$BT1416)*IF($BP1416="Emissions positive",-1,1)</f>
        <v>-173.61053100000004</v>
      </c>
      <c r="CS1416">
        <f>IF($CN1416="refOK",$BT1416,$BS1416)*IF($BP1416="Emissions positive",-1,1)</f>
        <v>56.19</v>
      </c>
      <c r="CT1416">
        <f>IF($CN1416="refNeedCorrection",-BX1416,BX1416)*IF($BP1416="Emissions positive",-1,1)</f>
        <v>0</v>
      </c>
      <c r="CU1416" t="str">
        <f>IFERROR(CT1416/CQ1416,"")</f>
        <v/>
      </c>
      <c r="CV1416" s="2">
        <f>IFERROR((CS1416-CR1416)/ABS(CR1416),"")</f>
        <v>1.323655481475372</v>
      </c>
      <c r="CW1416" s="1" t="s">
        <v>974</v>
      </c>
      <c r="CX1416" s="312" t="str">
        <f>IF(OR($CW1416="prd",$CW1416="std",$CW1416="cit"),"loc",IF(OR($CW1416="eur",$CW1416="reg",$CW1416="coy"),"reg",$CW1416))</f>
        <v>loc</v>
      </c>
      <c r="CY1416" t="s">
        <v>639</v>
      </c>
      <c r="DA1416" s="143"/>
      <c r="DB1416" s="143">
        <v>200</v>
      </c>
      <c r="DC1416" t="str">
        <f>IF(DB1416=0,"0",IF(AND(DB1416&gt;=1,DB1416&lt;=30),"1-30",IF(AND(DB1416&gt;30,DB1416&lt;=70),"31-70",IF(AND(DB1416&gt;70,DB1416&lt;=100),"71-100",IF(DB1416&gt;100,"+100")))))</f>
        <v>+100</v>
      </c>
      <c r="DD1416">
        <v>0</v>
      </c>
      <c r="DE1416">
        <v>0</v>
      </c>
      <c r="DF1416">
        <v>0</v>
      </c>
      <c r="DG1416">
        <v>1</v>
      </c>
      <c r="DH1416">
        <v>0</v>
      </c>
      <c r="DI1416">
        <f>SUM(DD1416:DH1416)</f>
        <v>1</v>
      </c>
      <c r="DJ1416" t="str">
        <f>IF(DI1416=1,INDEX($DD$7:$DG$7,MATCH(1,$DD1416:$DG1416,0)),"mixedProduct")</f>
        <v>TimberInput</v>
      </c>
      <c r="DK1416">
        <f>IF(DD1416=1,DK$7,0)</f>
        <v>0</v>
      </c>
      <c r="DL1416">
        <f>IF(DE1416=1,DL$7,0)</f>
        <v>0</v>
      </c>
      <c r="DM1416">
        <f>IF(DF1416=1,DM$7,0)</f>
        <v>0</v>
      </c>
      <c r="DN1416" t="str">
        <f>IF(DG1416=1,DN$7,0)</f>
        <v>Timber</v>
      </c>
      <c r="DO1416">
        <v>1</v>
      </c>
      <c r="DP1416" s="143">
        <v>0</v>
      </c>
      <c r="DQ1416" s="143">
        <v>0</v>
      </c>
      <c r="DR1416">
        <v>0</v>
      </c>
      <c r="DS1416" s="143">
        <v>0</v>
      </c>
      <c r="DT1416">
        <f>SUM(DO1416:DP1416)</f>
        <v>1</v>
      </c>
      <c r="DU1416" s="143" t="str">
        <f>IF(DO1416=1,"self-calculated DF",IF(DP1416=1,"external DF used","explicit C balance"))</f>
        <v>self-calculated DF</v>
      </c>
      <c r="DV1416" s="143">
        <v>0</v>
      </c>
      <c r="DW1416" s="143">
        <v>0</v>
      </c>
      <c r="DX1416" s="143">
        <v>1</v>
      </c>
      <c r="DY1416" s="143">
        <v>1</v>
      </c>
      <c r="DZ1416">
        <v>1</v>
      </c>
      <c r="EA1416" s="143">
        <v>1</v>
      </c>
      <c r="EB1416" s="143">
        <v>1</v>
      </c>
      <c r="EC1416" s="143">
        <v>1</v>
      </c>
      <c r="ED1416" s="143">
        <v>1</v>
      </c>
      <c r="EE1416">
        <v>1</v>
      </c>
      <c r="EF1416">
        <v>1</v>
      </c>
      <c r="EG1416" s="143">
        <v>1</v>
      </c>
      <c r="EH1416">
        <v>1</v>
      </c>
      <c r="EI1416" s="2">
        <v>0</v>
      </c>
      <c r="EK1416" t="str">
        <f>IF(AND(AND(AND(OR($DX1416=1,$DW1416=1),OR($EC1416=1,$EA1416=1)),SUM($DV1416:$DZ1416,$EF1416)&gt;=3),SUM($EA1416:$EE1416)&gt;=2),"Whole sector","")</f>
        <v>Whole sector</v>
      </c>
      <c r="EL1416" t="str">
        <f>IF(AND(AND(OR($DX1416=1,$DW1416=1),AND($EC1416=0,$EA1416=0)),SUM($DV1416:$DZ1416,$EF1416)&gt;=3),"Ecosystem approach","")</f>
        <v/>
      </c>
      <c r="EM1416" s="2" t="str">
        <f>IF(AND(AND(AND($DX1416=0,$DW1416=0),OR($EC1416=1,$EA1416=1)),SUM($EB1416:$EE1416)&gt;=2),"Technology approach","")</f>
        <v/>
      </c>
      <c r="EP1416" t="b">
        <f>IF(ISNUMBER(BU1416),IF(ABS(BU1416-[5]QC_indicators!$B$2)&gt;3*[5]QC_indicators!$C$2,"C ratio",IF(ISNUMBER(BY1416),IF(ABS(BY1416-[5]QC_indicators!$B$1)&gt;3*[5]QC_indicators!$C$1,"DF","no"))),IF(ISNUMBER(BY1416),IF(ABS(BY1416-[5]QC_indicators!$B$1)&gt;3*[5]QC_indicators!$C$1,"DF","no")))</f>
        <v>0</v>
      </c>
    </row>
    <row r="1417" spans="1:146" ht="15" customHeight="1">
      <c r="A1417" s="1" t="s">
        <v>333</v>
      </c>
      <c r="B1417" t="s">
        <v>3938</v>
      </c>
      <c r="C1417" t="s">
        <v>3939</v>
      </c>
      <c r="D1417" t="s">
        <v>3940</v>
      </c>
      <c r="E1417" t="s">
        <v>3941</v>
      </c>
      <c r="F1417" t="s">
        <v>3942</v>
      </c>
      <c r="G1417" t="s">
        <v>339</v>
      </c>
      <c r="H1417" t="s">
        <v>254</v>
      </c>
      <c r="I1417">
        <v>2018</v>
      </c>
      <c r="J1417">
        <v>62</v>
      </c>
      <c r="K1417" t="s">
        <v>3943</v>
      </c>
      <c r="M1417" t="str">
        <f>LEFT($D1417,FIND(",",$D1417)-1)&amp;"_"&amp;I1417&amp;L1417</f>
        <v>Pittau_2018</v>
      </c>
      <c r="N1417" s="312" t="s">
        <v>4383</v>
      </c>
      <c r="O1417" s="171" t="s">
        <v>513</v>
      </c>
      <c r="P1417" t="s">
        <v>341</v>
      </c>
      <c r="Q1417" s="312" t="s">
        <v>389</v>
      </c>
      <c r="R1417" s="313"/>
      <c r="S1417" s="1" t="s">
        <v>3948</v>
      </c>
      <c r="T1417" t="s">
        <v>3945</v>
      </c>
      <c r="V1417">
        <v>0</v>
      </c>
      <c r="W1417">
        <v>1</v>
      </c>
      <c r="X1417">
        <v>0</v>
      </c>
      <c r="Y1417">
        <v>0</v>
      </c>
      <c r="Z1417">
        <v>0</v>
      </c>
      <c r="AA1417">
        <v>0</v>
      </c>
      <c r="AB1417">
        <v>0</v>
      </c>
      <c r="AC1417">
        <v>0</v>
      </c>
      <c r="AD1417">
        <v>0</v>
      </c>
      <c r="AE1417">
        <v>0</v>
      </c>
      <c r="AF1417">
        <v>1</v>
      </c>
      <c r="AG1417">
        <v>1</v>
      </c>
      <c r="AH1417">
        <v>1</v>
      </c>
      <c r="AI1417">
        <v>1</v>
      </c>
      <c r="AJ1417">
        <v>0</v>
      </c>
      <c r="AK1417">
        <v>0</v>
      </c>
      <c r="AL1417">
        <v>0</v>
      </c>
      <c r="AM1417">
        <v>0</v>
      </c>
      <c r="AN1417">
        <v>0</v>
      </c>
      <c r="AO1417">
        <v>0</v>
      </c>
      <c r="AP1417">
        <v>0</v>
      </c>
      <c r="AQ1417">
        <v>0</v>
      </c>
      <c r="AR1417">
        <v>0</v>
      </c>
      <c r="AS1417">
        <v>0</v>
      </c>
      <c r="AT1417">
        <v>0</v>
      </c>
      <c r="AU1417">
        <v>0</v>
      </c>
      <c r="AV1417">
        <v>0</v>
      </c>
      <c r="AW1417">
        <v>0</v>
      </c>
      <c r="AX1417" s="141">
        <f>COUNTIF(V1417:AW1417,"&lt;&gt;0")</f>
        <v>5</v>
      </c>
      <c r="AY1417" s="141">
        <f>COUNTIF(V1417:AL1417,"&lt;&gt;0")</f>
        <v>5</v>
      </c>
      <c r="AZ1417">
        <f>COUNTIF(V1417:AC1417,"&lt;&gt;0")</f>
        <v>1</v>
      </c>
      <c r="BA1417">
        <f>COUNTIF(AD1417:AI1417,"&lt;&gt;0")</f>
        <v>4</v>
      </c>
      <c r="BB1417">
        <f>COUNTIF(AJ1417:AL1417,"&lt;&gt;0")</f>
        <v>0</v>
      </c>
      <c r="BC1417">
        <f>COUNTIF(AS1417:AW1417,"&lt;&gt;0")</f>
        <v>0</v>
      </c>
      <c r="BD1417">
        <f>COUNTIF(AM1417:AR1417,"&lt;&gt;0")</f>
        <v>0</v>
      </c>
      <c r="BE1417" t="str" cm="1">
        <f t="array" ref="BE1417">IF(AY1417=1,INDEX($V$7:$AL$7,MATCH(TRUE,INDEX($V1417:$AW1417&lt;&gt;0,),0)),IF(AY1417=0,INDEX($AM$7:$AW$7,MATCH(1,$AM1417:$AW1417,0)),IF(BF1417="Multiple strategies","mixed drivers",IF(BF1417="Supply chain","multiple supply","multiple silviculture"))))</f>
        <v>mixed drivers</v>
      </c>
      <c r="BF1417" s="2" t="str" cm="1">
        <f t="array" ref="BF1417">IF(COUNTIF(AZ1417:BB1417,"&lt;&gt;0")=1,INDEX($V$4:$AW$4,MATCH(TRUE,INDEX($V1417:$AW1417&lt;&gt;0,),0)),IF(COUNTIF(AZ1417:BB1417,"&lt;&gt;0")=0,INDEX($AM$4:$AW$4,MATCH(1,$AM1417:$AW1417,0)),"Multiple strategies"))</f>
        <v>Multiple strategies</v>
      </c>
      <c r="BG1417" s="142"/>
      <c r="BJ1417" s="143"/>
      <c r="BL1417" s="143"/>
      <c r="BM1417" t="str">
        <f>IFERROR(BL1417/BK1417,"")</f>
        <v/>
      </c>
      <c r="BN1417" s="158"/>
      <c r="BO1417" s="143"/>
      <c r="BP1417" t="s">
        <v>395</v>
      </c>
      <c r="BR1417" t="s">
        <v>3946</v>
      </c>
      <c r="BS1417">
        <v>173.61053100000004</v>
      </c>
      <c r="BT1417">
        <v>33.75</v>
      </c>
      <c r="BU1417" s="144"/>
      <c r="BV1417">
        <f>BT1417-BS1417</f>
        <v>-139.86053100000004</v>
      </c>
      <c r="BY1417" t="str">
        <f>IFERROR(BX1417/BO1417,"")</f>
        <v/>
      </c>
      <c r="BZ1417">
        <v>0</v>
      </c>
      <c r="CA1417">
        <v>1</v>
      </c>
      <c r="CB1417">
        <v>0</v>
      </c>
      <c r="CC1417">
        <v>0</v>
      </c>
      <c r="CD1417">
        <v>0</v>
      </c>
      <c r="CE1417">
        <v>0</v>
      </c>
      <c r="CF1417">
        <v>0</v>
      </c>
      <c r="CG1417">
        <v>0</v>
      </c>
      <c r="CH1417">
        <v>0</v>
      </c>
      <c r="CI1417">
        <v>0</v>
      </c>
      <c r="CJ1417">
        <v>0</v>
      </c>
      <c r="CK1417">
        <v>0</v>
      </c>
      <c r="CL1417">
        <v>0</v>
      </c>
      <c r="CM1417">
        <v>0</v>
      </c>
      <c r="CN1417" t="str">
        <f>IF($BL1417&lt;$BK1417,"refNeedCorrection","refOK")</f>
        <v>refOK</v>
      </c>
      <c r="CO1417"/>
      <c r="CP1417"/>
      <c r="CQ1417"/>
      <c r="CR1417">
        <f>IF($CN1417="refOK",$BS1417,$BT1417)*IF($BP1417="Emissions positive",-1,1)</f>
        <v>-173.61053100000004</v>
      </c>
      <c r="CS1417">
        <f>IF($CN1417="refOK",$BT1417,$BS1417)*IF($BP1417="Emissions positive",-1,1)</f>
        <v>-33.75</v>
      </c>
      <c r="CT1417">
        <f>IF($CN1417="refNeedCorrection",-BX1417,BX1417)*IF($BP1417="Emissions positive",-1,1)</f>
        <v>0</v>
      </c>
      <c r="CU1417" t="str">
        <f>IFERROR(CT1417/CQ1417,"")</f>
        <v/>
      </c>
      <c r="CV1417" s="2">
        <f>IFERROR((CS1417-CR1417)/ABS(CR1417),"")</f>
        <v>0.80559935042189357</v>
      </c>
      <c r="CW1417" s="1" t="s">
        <v>974</v>
      </c>
      <c r="CX1417" s="312" t="str">
        <f>IF(OR($CW1417="prd",$CW1417="std",$CW1417="cit"),"loc",IF(OR($CW1417="eur",$CW1417="reg",$CW1417="coy"),"reg",$CW1417))</f>
        <v>loc</v>
      </c>
      <c r="CY1417" t="s">
        <v>639</v>
      </c>
      <c r="DA1417" s="143"/>
      <c r="DB1417" s="143">
        <v>200</v>
      </c>
      <c r="DC1417" t="str">
        <f>IF(DB1417=0,"0",IF(AND(DB1417&gt;=1,DB1417&lt;=30),"1-30",IF(AND(DB1417&gt;30,DB1417&lt;=70),"31-70",IF(AND(DB1417&gt;70,DB1417&lt;=100),"71-100",IF(DB1417&gt;100,"+100")))))</f>
        <v>+100</v>
      </c>
      <c r="DD1417">
        <v>0</v>
      </c>
      <c r="DE1417">
        <v>0</v>
      </c>
      <c r="DF1417">
        <v>0</v>
      </c>
      <c r="DG1417">
        <v>1</v>
      </c>
      <c r="DH1417">
        <v>0</v>
      </c>
      <c r="DI1417">
        <f>SUM(DD1417:DH1417)</f>
        <v>1</v>
      </c>
      <c r="DJ1417" t="str">
        <f>IF(DI1417=1,INDEX($DD$7:$DG$7,MATCH(1,$DD1417:$DG1417,0)),"mixedProduct")</f>
        <v>TimberInput</v>
      </c>
      <c r="DK1417">
        <f>IF(DD1417=1,DK$7,0)</f>
        <v>0</v>
      </c>
      <c r="DL1417">
        <f>IF(DE1417=1,DL$7,0)</f>
        <v>0</v>
      </c>
      <c r="DM1417">
        <f>IF(DF1417=1,DM$7,0)</f>
        <v>0</v>
      </c>
      <c r="DN1417" t="str">
        <f>IF(DG1417=1,DN$7,0)</f>
        <v>Timber</v>
      </c>
      <c r="DO1417">
        <v>1</v>
      </c>
      <c r="DP1417" s="143">
        <v>0</v>
      </c>
      <c r="DQ1417" s="143">
        <v>0</v>
      </c>
      <c r="DR1417">
        <v>0</v>
      </c>
      <c r="DS1417" s="143">
        <v>0</v>
      </c>
      <c r="DT1417">
        <f>SUM(DO1417:DP1417)</f>
        <v>1</v>
      </c>
      <c r="DU1417" s="143" t="str">
        <f>IF(DO1417=1,"self-calculated DF",IF(DP1417=1,"external DF used","explicit C balance"))</f>
        <v>self-calculated DF</v>
      </c>
      <c r="DV1417" s="143">
        <v>0</v>
      </c>
      <c r="DW1417" s="143">
        <v>0</v>
      </c>
      <c r="DX1417" s="143">
        <v>1</v>
      </c>
      <c r="DY1417" s="143">
        <v>1</v>
      </c>
      <c r="DZ1417">
        <v>1</v>
      </c>
      <c r="EA1417" s="143">
        <v>1</v>
      </c>
      <c r="EB1417" s="143">
        <v>1</v>
      </c>
      <c r="EC1417" s="143">
        <v>1</v>
      </c>
      <c r="ED1417" s="143">
        <v>1</v>
      </c>
      <c r="EE1417">
        <v>1</v>
      </c>
      <c r="EF1417">
        <v>1</v>
      </c>
      <c r="EG1417" s="143">
        <v>1</v>
      </c>
      <c r="EH1417">
        <v>1</v>
      </c>
      <c r="EI1417" s="2">
        <v>0</v>
      </c>
      <c r="EK1417" t="str">
        <f>IF(AND(AND(AND(OR($DX1417=1,$DW1417=1),OR($EC1417=1,$EA1417=1)),SUM($DV1417:$DZ1417,$EF1417)&gt;=3),SUM($EA1417:$EE1417)&gt;=2),"Whole sector","")</f>
        <v>Whole sector</v>
      </c>
      <c r="EL1417" t="str">
        <f>IF(AND(AND(OR($DX1417=1,$DW1417=1),AND($EC1417=0,$EA1417=0)),SUM($DV1417:$DZ1417,$EF1417)&gt;=3),"Ecosystem approach","")</f>
        <v/>
      </c>
      <c r="EM1417" s="2" t="str">
        <f>IF(AND(AND(AND($DX1417=0,$DW1417=0),OR($EC1417=1,$EA1417=1)),SUM($EB1417:$EE1417)&gt;=2),"Technology approach","")</f>
        <v/>
      </c>
      <c r="EP1417" t="b">
        <f>IF(ISNUMBER(BU1417),IF(ABS(BU1417-[5]QC_indicators!$B$2)&gt;3*[5]QC_indicators!$C$2,"C ratio",IF(ISNUMBER(BY1417),IF(ABS(BY1417-[5]QC_indicators!$B$1)&gt;3*[5]QC_indicators!$C$1,"DF","no"))),IF(ISNUMBER(BY1417),IF(ABS(BY1417-[5]QC_indicators!$B$1)&gt;3*[5]QC_indicators!$C$1,"DF","no")))</f>
        <v>0</v>
      </c>
    </row>
    <row r="1418" spans="1:146" ht="15" customHeight="1">
      <c r="A1418" s="1" t="s">
        <v>333</v>
      </c>
      <c r="B1418" t="s">
        <v>3938</v>
      </c>
      <c r="C1418" t="s">
        <v>3939</v>
      </c>
      <c r="D1418" t="s">
        <v>3940</v>
      </c>
      <c r="E1418" t="s">
        <v>3941</v>
      </c>
      <c r="F1418" t="s">
        <v>3942</v>
      </c>
      <c r="G1418" t="s">
        <v>339</v>
      </c>
      <c r="H1418" t="s">
        <v>254</v>
      </c>
      <c r="I1418">
        <v>2018</v>
      </c>
      <c r="J1418">
        <v>62</v>
      </c>
      <c r="K1418" t="s">
        <v>3943</v>
      </c>
      <c r="M1418" t="str">
        <f>LEFT($D1418,FIND(",",$D1418)-1)&amp;"_"&amp;I1418&amp;L1418</f>
        <v>Pittau_2018</v>
      </c>
      <c r="N1418" s="312" t="s">
        <v>4383</v>
      </c>
      <c r="O1418" s="171" t="s">
        <v>513</v>
      </c>
      <c r="P1418" t="s">
        <v>341</v>
      </c>
      <c r="Q1418" s="312" t="s">
        <v>389</v>
      </c>
      <c r="R1418" s="313"/>
      <c r="S1418" s="1" t="s">
        <v>3949</v>
      </c>
      <c r="T1418" t="s">
        <v>3945</v>
      </c>
      <c r="V1418">
        <v>0</v>
      </c>
      <c r="W1418">
        <v>1</v>
      </c>
      <c r="X1418">
        <v>0</v>
      </c>
      <c r="Y1418">
        <v>0</v>
      </c>
      <c r="Z1418">
        <v>0</v>
      </c>
      <c r="AA1418">
        <v>0</v>
      </c>
      <c r="AB1418">
        <v>0</v>
      </c>
      <c r="AC1418">
        <v>0</v>
      </c>
      <c r="AD1418">
        <v>0</v>
      </c>
      <c r="AE1418">
        <v>0</v>
      </c>
      <c r="AF1418">
        <v>1</v>
      </c>
      <c r="AG1418">
        <v>1</v>
      </c>
      <c r="AH1418">
        <v>1</v>
      </c>
      <c r="AI1418">
        <v>1</v>
      </c>
      <c r="AJ1418">
        <v>0</v>
      </c>
      <c r="AK1418">
        <v>0</v>
      </c>
      <c r="AL1418">
        <v>0</v>
      </c>
      <c r="AM1418">
        <v>0</v>
      </c>
      <c r="AN1418">
        <v>0</v>
      </c>
      <c r="AO1418">
        <v>0</v>
      </c>
      <c r="AP1418">
        <v>0</v>
      </c>
      <c r="AQ1418">
        <v>0</v>
      </c>
      <c r="AR1418">
        <v>0</v>
      </c>
      <c r="AS1418">
        <v>0</v>
      </c>
      <c r="AT1418">
        <v>0</v>
      </c>
      <c r="AU1418">
        <v>0</v>
      </c>
      <c r="AV1418">
        <v>0</v>
      </c>
      <c r="AW1418">
        <v>0</v>
      </c>
      <c r="AX1418" s="141">
        <f>COUNTIF(V1418:AW1418,"&lt;&gt;0")</f>
        <v>5</v>
      </c>
      <c r="AY1418" s="141">
        <f>COUNTIF(V1418:AL1418,"&lt;&gt;0")</f>
        <v>5</v>
      </c>
      <c r="AZ1418">
        <f>COUNTIF(V1418:AC1418,"&lt;&gt;0")</f>
        <v>1</v>
      </c>
      <c r="BA1418">
        <f>COUNTIF(AD1418:AI1418,"&lt;&gt;0")</f>
        <v>4</v>
      </c>
      <c r="BB1418">
        <f>COUNTIF(AJ1418:AL1418,"&lt;&gt;0")</f>
        <v>0</v>
      </c>
      <c r="BC1418">
        <f>COUNTIF(AS1418:AW1418,"&lt;&gt;0")</f>
        <v>0</v>
      </c>
      <c r="BD1418">
        <f>COUNTIF(AM1418:AR1418,"&lt;&gt;0")</f>
        <v>0</v>
      </c>
      <c r="BE1418" t="str" cm="1">
        <f t="array" ref="BE1418">IF(AY1418=1,INDEX($V$7:$AL$7,MATCH(TRUE,INDEX($V1418:$AW1418&lt;&gt;0,),0)),IF(AY1418=0,INDEX($AM$7:$AW$7,MATCH(1,$AM1418:$AW1418,0)),IF(BF1418="Multiple strategies","mixed drivers",IF(BF1418="Supply chain","multiple supply","multiple silviculture"))))</f>
        <v>mixed drivers</v>
      </c>
      <c r="BF1418" s="2" t="str" cm="1">
        <f t="array" ref="BF1418">IF(COUNTIF(AZ1418:BB1418,"&lt;&gt;0")=1,INDEX($V$4:$AW$4,MATCH(TRUE,INDEX($V1418:$AW1418&lt;&gt;0,),0)),IF(COUNTIF(AZ1418:BB1418,"&lt;&gt;0")=0,INDEX($AM$4:$AW$4,MATCH(1,$AM1418:$AW1418,0)),"Multiple strategies"))</f>
        <v>Multiple strategies</v>
      </c>
      <c r="BG1418" s="142"/>
      <c r="BJ1418" s="143"/>
      <c r="BL1418" s="143"/>
      <c r="BM1418" t="str">
        <f>IFERROR(BL1418/BK1418,"")</f>
        <v/>
      </c>
      <c r="BN1418" s="158"/>
      <c r="BO1418" s="143"/>
      <c r="BP1418" t="s">
        <v>395</v>
      </c>
      <c r="BR1418" t="s">
        <v>3946</v>
      </c>
      <c r="BS1418">
        <v>173.61053100000004</v>
      </c>
      <c r="BT1418">
        <v>96.35</v>
      </c>
      <c r="BU1418" s="144"/>
      <c r="BV1418">
        <f>BT1418-BS1418</f>
        <v>-77.260531000000043</v>
      </c>
      <c r="BY1418" t="str">
        <f>IFERROR(BX1418/BO1418,"")</f>
        <v/>
      </c>
      <c r="BZ1418">
        <v>0</v>
      </c>
      <c r="CA1418">
        <v>1</v>
      </c>
      <c r="CB1418">
        <v>0</v>
      </c>
      <c r="CC1418">
        <v>0</v>
      </c>
      <c r="CD1418">
        <v>0</v>
      </c>
      <c r="CE1418">
        <v>0</v>
      </c>
      <c r="CF1418">
        <v>0</v>
      </c>
      <c r="CG1418">
        <v>0</v>
      </c>
      <c r="CH1418">
        <v>0</v>
      </c>
      <c r="CI1418">
        <v>0</v>
      </c>
      <c r="CJ1418">
        <v>0</v>
      </c>
      <c r="CK1418">
        <v>0</v>
      </c>
      <c r="CL1418">
        <v>0</v>
      </c>
      <c r="CM1418">
        <v>0</v>
      </c>
      <c r="CN1418" t="str">
        <f>IF($BL1418&lt;$BK1418,"refNeedCorrection","refOK")</f>
        <v>refOK</v>
      </c>
      <c r="CO1418"/>
      <c r="CP1418"/>
      <c r="CQ1418"/>
      <c r="CR1418">
        <f>IF($CN1418="refOK",$BS1418,$BT1418)*IF($BP1418="Emissions positive",-1,1)</f>
        <v>-173.61053100000004</v>
      </c>
      <c r="CS1418">
        <f>IF($CN1418="refOK",$BT1418,$BS1418)*IF($BP1418="Emissions positive",-1,1)</f>
        <v>-96.35</v>
      </c>
      <c r="CT1418">
        <f>IF($CN1418="refNeedCorrection",-BX1418,BX1418)*IF($BP1418="Emissions positive",-1,1)</f>
        <v>0</v>
      </c>
      <c r="CU1418" t="str">
        <f>IFERROR(CT1418/CQ1418,"")</f>
        <v/>
      </c>
      <c r="CV1418" s="2">
        <f>IFERROR((CS1418-CR1418)/ABS(CR1418),"")</f>
        <v>0.44502214557479824</v>
      </c>
      <c r="CW1418" s="1" t="s">
        <v>974</v>
      </c>
      <c r="CX1418" s="312" t="str">
        <f>IF(OR($CW1418="prd",$CW1418="std",$CW1418="cit"),"loc",IF(OR($CW1418="eur",$CW1418="reg",$CW1418="coy"),"reg",$CW1418))</f>
        <v>loc</v>
      </c>
      <c r="CY1418" t="s">
        <v>639</v>
      </c>
      <c r="DA1418" s="143"/>
      <c r="DB1418" s="143">
        <v>200</v>
      </c>
      <c r="DC1418" t="str">
        <f>IF(DB1418=0,"0",IF(AND(DB1418&gt;=1,DB1418&lt;=30),"1-30",IF(AND(DB1418&gt;30,DB1418&lt;=70),"31-70",IF(AND(DB1418&gt;70,DB1418&lt;=100),"71-100",IF(DB1418&gt;100,"+100")))))</f>
        <v>+100</v>
      </c>
      <c r="DD1418">
        <v>0</v>
      </c>
      <c r="DE1418">
        <v>0</v>
      </c>
      <c r="DF1418">
        <v>0</v>
      </c>
      <c r="DG1418">
        <v>1</v>
      </c>
      <c r="DH1418">
        <v>0</v>
      </c>
      <c r="DI1418">
        <f>SUM(DD1418:DH1418)</f>
        <v>1</v>
      </c>
      <c r="DJ1418" t="str">
        <f>IF(DI1418=1,INDEX($DD$7:$DG$7,MATCH(1,$DD1418:$DG1418,0)),"mixedProduct")</f>
        <v>TimberInput</v>
      </c>
      <c r="DK1418">
        <f>IF(DD1418=1,DK$7,0)</f>
        <v>0</v>
      </c>
      <c r="DL1418">
        <f>IF(DE1418=1,DL$7,0)</f>
        <v>0</v>
      </c>
      <c r="DM1418">
        <f>IF(DF1418=1,DM$7,0)</f>
        <v>0</v>
      </c>
      <c r="DN1418" t="str">
        <f>IF(DG1418=1,DN$7,0)</f>
        <v>Timber</v>
      </c>
      <c r="DO1418">
        <v>1</v>
      </c>
      <c r="DP1418" s="143">
        <v>0</v>
      </c>
      <c r="DQ1418" s="143">
        <v>0</v>
      </c>
      <c r="DR1418">
        <v>0</v>
      </c>
      <c r="DS1418" s="143">
        <v>0</v>
      </c>
      <c r="DT1418">
        <f>SUM(DO1418:DP1418)</f>
        <v>1</v>
      </c>
      <c r="DU1418" s="143" t="str">
        <f>IF(DO1418=1,"self-calculated DF",IF(DP1418=1,"external DF used","explicit C balance"))</f>
        <v>self-calculated DF</v>
      </c>
      <c r="DV1418" s="143">
        <v>0</v>
      </c>
      <c r="DW1418" s="143">
        <v>0</v>
      </c>
      <c r="DX1418" s="143">
        <v>1</v>
      </c>
      <c r="DY1418" s="143">
        <v>1</v>
      </c>
      <c r="DZ1418">
        <v>1</v>
      </c>
      <c r="EA1418" s="143">
        <v>1</v>
      </c>
      <c r="EB1418" s="143">
        <v>1</v>
      </c>
      <c r="EC1418" s="143">
        <v>1</v>
      </c>
      <c r="ED1418" s="143">
        <v>1</v>
      </c>
      <c r="EE1418">
        <v>1</v>
      </c>
      <c r="EF1418">
        <v>1</v>
      </c>
      <c r="EG1418" s="143">
        <v>1</v>
      </c>
      <c r="EH1418">
        <v>1</v>
      </c>
      <c r="EI1418" s="2">
        <v>0</v>
      </c>
      <c r="EK1418" t="str">
        <f>IF(AND(AND(AND(OR($DX1418=1,$DW1418=1),OR($EC1418=1,$EA1418=1)),SUM($DV1418:$DZ1418,$EF1418)&gt;=3),SUM($EA1418:$EE1418)&gt;=2),"Whole sector","")</f>
        <v>Whole sector</v>
      </c>
      <c r="EL1418" t="str">
        <f>IF(AND(AND(OR($DX1418=1,$DW1418=1),AND($EC1418=0,$EA1418=0)),SUM($DV1418:$DZ1418,$EF1418)&gt;=3),"Ecosystem approach","")</f>
        <v/>
      </c>
      <c r="EM1418" s="2" t="str">
        <f>IF(AND(AND(AND($DX1418=0,$DW1418=0),OR($EC1418=1,$EA1418=1)),SUM($EB1418:$EE1418)&gt;=2),"Technology approach","")</f>
        <v/>
      </c>
      <c r="EP1418" t="b">
        <f>IF(ISNUMBER(BU1418),IF(ABS(BU1418-[5]QC_indicators!$B$2)&gt;3*[5]QC_indicators!$C$2,"C ratio",IF(ISNUMBER(BY1418),IF(ABS(BY1418-[5]QC_indicators!$B$1)&gt;3*[5]QC_indicators!$C$1,"DF","no"))),IF(ISNUMBER(BY1418),IF(ABS(BY1418-[5]QC_indicators!$B$1)&gt;3*[5]QC_indicators!$C$1,"DF","no")))</f>
        <v>0</v>
      </c>
    </row>
    <row r="1419" spans="1:146" ht="15" customHeight="1">
      <c r="A1419" s="1" t="s">
        <v>333</v>
      </c>
      <c r="B1419" t="s">
        <v>3938</v>
      </c>
      <c r="C1419" t="s">
        <v>3939</v>
      </c>
      <c r="D1419" t="s">
        <v>3940</v>
      </c>
      <c r="E1419" t="s">
        <v>3941</v>
      </c>
      <c r="F1419" t="s">
        <v>3942</v>
      </c>
      <c r="G1419" t="s">
        <v>339</v>
      </c>
      <c r="H1419" t="s">
        <v>254</v>
      </c>
      <c r="I1419">
        <v>2018</v>
      </c>
      <c r="J1419">
        <v>62</v>
      </c>
      <c r="K1419" t="s">
        <v>3943</v>
      </c>
      <c r="M1419" t="str">
        <f>LEFT($D1419,FIND(",",$D1419)-1)&amp;"_"&amp;I1419&amp;L1419</f>
        <v>Pittau_2018</v>
      </c>
      <c r="N1419" s="312" t="s">
        <v>4383</v>
      </c>
      <c r="O1419" s="171" t="s">
        <v>513</v>
      </c>
      <c r="P1419" t="s">
        <v>341</v>
      </c>
      <c r="Q1419" s="312" t="s">
        <v>389</v>
      </c>
      <c r="R1419" s="313"/>
      <c r="S1419" s="1" t="s">
        <v>3950</v>
      </c>
      <c r="T1419" t="s">
        <v>3945</v>
      </c>
      <c r="V1419">
        <v>0</v>
      </c>
      <c r="W1419">
        <v>1</v>
      </c>
      <c r="X1419">
        <v>0</v>
      </c>
      <c r="Y1419">
        <v>0</v>
      </c>
      <c r="Z1419">
        <v>0</v>
      </c>
      <c r="AA1419">
        <v>0</v>
      </c>
      <c r="AB1419">
        <v>0</v>
      </c>
      <c r="AC1419">
        <v>0</v>
      </c>
      <c r="AD1419">
        <v>0</v>
      </c>
      <c r="AE1419">
        <v>0</v>
      </c>
      <c r="AF1419">
        <v>1</v>
      </c>
      <c r="AG1419">
        <v>1</v>
      </c>
      <c r="AH1419">
        <v>1</v>
      </c>
      <c r="AI1419">
        <v>1</v>
      </c>
      <c r="AJ1419">
        <v>0</v>
      </c>
      <c r="AK1419">
        <v>0</v>
      </c>
      <c r="AL1419">
        <v>0</v>
      </c>
      <c r="AM1419">
        <v>0</v>
      </c>
      <c r="AN1419">
        <v>0</v>
      </c>
      <c r="AO1419">
        <v>0</v>
      </c>
      <c r="AP1419">
        <v>0</v>
      </c>
      <c r="AQ1419">
        <v>0</v>
      </c>
      <c r="AR1419">
        <v>0</v>
      </c>
      <c r="AS1419">
        <v>0</v>
      </c>
      <c r="AT1419">
        <v>0</v>
      </c>
      <c r="AU1419">
        <v>0</v>
      </c>
      <c r="AV1419">
        <v>0</v>
      </c>
      <c r="AW1419">
        <v>0</v>
      </c>
      <c r="AX1419" s="141">
        <f>COUNTIF(V1419:AW1419,"&lt;&gt;0")</f>
        <v>5</v>
      </c>
      <c r="AY1419" s="141">
        <f>COUNTIF(V1419:AL1419,"&lt;&gt;0")</f>
        <v>5</v>
      </c>
      <c r="AZ1419">
        <f>COUNTIF(V1419:AC1419,"&lt;&gt;0")</f>
        <v>1</v>
      </c>
      <c r="BA1419">
        <f>COUNTIF(AD1419:AI1419,"&lt;&gt;0")</f>
        <v>4</v>
      </c>
      <c r="BB1419">
        <f>COUNTIF(AJ1419:AL1419,"&lt;&gt;0")</f>
        <v>0</v>
      </c>
      <c r="BC1419">
        <f>COUNTIF(AS1419:AW1419,"&lt;&gt;0")</f>
        <v>0</v>
      </c>
      <c r="BD1419">
        <f>COUNTIF(AM1419:AR1419,"&lt;&gt;0")</f>
        <v>0</v>
      </c>
      <c r="BE1419" t="str" cm="1">
        <f t="array" ref="BE1419">IF(AY1419=1,INDEX($V$7:$AL$7,MATCH(TRUE,INDEX($V1419:$AW1419&lt;&gt;0,),0)),IF(AY1419=0,INDEX($AM$7:$AW$7,MATCH(1,$AM1419:$AW1419,0)),IF(BF1419="Multiple strategies","mixed drivers",IF(BF1419="Supply chain","multiple supply","multiple silviculture"))))</f>
        <v>mixed drivers</v>
      </c>
      <c r="BF1419" s="2" t="str" cm="1">
        <f t="array" ref="BF1419">IF(COUNTIF(AZ1419:BB1419,"&lt;&gt;0")=1,INDEX($V$4:$AW$4,MATCH(TRUE,INDEX($V1419:$AW1419&lt;&gt;0,),0)),IF(COUNTIF(AZ1419:BB1419,"&lt;&gt;0")=0,INDEX($AM$4:$AW$4,MATCH(1,$AM1419:$AW1419,0)),"Multiple strategies"))</f>
        <v>Multiple strategies</v>
      </c>
      <c r="BG1419" s="142"/>
      <c r="BJ1419" s="143"/>
      <c r="BL1419" s="143"/>
      <c r="BN1419" s="158"/>
      <c r="BO1419" s="143"/>
      <c r="BP1419" t="s">
        <v>395</v>
      </c>
      <c r="BR1419" t="s">
        <v>3946</v>
      </c>
      <c r="BS1419">
        <v>173.61053100000004</v>
      </c>
      <c r="BT1419">
        <v>-108.71</v>
      </c>
      <c r="BU1419" s="144"/>
      <c r="BV1419">
        <f>BT1419-BS1419</f>
        <v>-282.32053100000002</v>
      </c>
      <c r="BY1419" t="str">
        <f>IFERROR(BX1419/BO1419,"")</f>
        <v/>
      </c>
      <c r="CA1419">
        <v>1</v>
      </c>
      <c r="CB1419">
        <v>0</v>
      </c>
      <c r="CC1419">
        <v>0</v>
      </c>
      <c r="CD1419">
        <v>0</v>
      </c>
      <c r="CE1419">
        <v>0</v>
      </c>
      <c r="CF1419">
        <v>0</v>
      </c>
      <c r="CG1419">
        <v>0</v>
      </c>
      <c r="CH1419">
        <v>0</v>
      </c>
      <c r="CI1419">
        <v>0</v>
      </c>
      <c r="CJ1419">
        <v>0</v>
      </c>
      <c r="CK1419">
        <v>0</v>
      </c>
      <c r="CL1419">
        <v>0</v>
      </c>
      <c r="CM1419">
        <v>0</v>
      </c>
      <c r="CN1419" t="str">
        <f>IF($BL1419&lt;$BK1419,"refNeedCorrection","refOK")</f>
        <v>refOK</v>
      </c>
      <c r="CO1419"/>
      <c r="CP1419"/>
      <c r="CQ1419"/>
      <c r="CR1419">
        <f>IF($CN1419="refOK",$BS1419,$BT1419)*IF($BP1419="Emissions positive",-1,1)</f>
        <v>-173.61053100000004</v>
      </c>
      <c r="CS1419">
        <f>IF($CN1419="refOK",$BT1419,$BS1419)*IF($BP1419="Emissions positive",-1,1)</f>
        <v>108.71</v>
      </c>
      <c r="CT1419">
        <f>IF($CN1419="refNeedCorrection",-BX1419,BX1419)*IF($BP1419="Emissions positive",-1,1)</f>
        <v>0</v>
      </c>
      <c r="CU1419" t="str">
        <f>IFERROR(CT1419/CQ1419,"")</f>
        <v/>
      </c>
      <c r="CV1419" s="2">
        <f>IFERROR((CS1419-CR1419)/ABS(CR1419),"")</f>
        <v>1.6261716923151392</v>
      </c>
      <c r="CW1419" s="1" t="s">
        <v>974</v>
      </c>
      <c r="CX1419" s="312" t="str">
        <f>IF(OR($CW1419="prd",$CW1419="std",$CW1419="cit"),"loc",IF(OR($CW1419="eur",$CW1419="reg",$CW1419="coy"),"reg",$CW1419))</f>
        <v>loc</v>
      </c>
      <c r="CY1419" t="s">
        <v>639</v>
      </c>
      <c r="DA1419" s="143"/>
      <c r="DB1419" s="143">
        <v>200</v>
      </c>
      <c r="DC1419" t="str">
        <f>IF(DB1419=0,"0",IF(AND(DB1419&gt;=1,DB1419&lt;=30),"1-30",IF(AND(DB1419&gt;30,DB1419&lt;=70),"31-70",IF(AND(DB1419&gt;70,DB1419&lt;=100),"71-100",IF(DB1419&gt;100,"+100")))))</f>
        <v>+100</v>
      </c>
      <c r="DD1419">
        <v>0</v>
      </c>
      <c r="DE1419">
        <v>0</v>
      </c>
      <c r="DF1419">
        <v>0</v>
      </c>
      <c r="DG1419">
        <v>1</v>
      </c>
      <c r="DH1419">
        <v>0</v>
      </c>
      <c r="DI1419">
        <f>SUM(DD1419:DH1419)</f>
        <v>1</v>
      </c>
      <c r="DJ1419" t="str">
        <f>IF(DI1419=1,INDEX($DD$7:$DG$7,MATCH(1,$DD1419:$DG1419,0)),"mixedProduct")</f>
        <v>TimberInput</v>
      </c>
      <c r="DK1419">
        <f>IF(DD1419=1,DK$7,0)</f>
        <v>0</v>
      </c>
      <c r="DL1419">
        <f>IF(DE1419=1,DL$7,0)</f>
        <v>0</v>
      </c>
      <c r="DM1419">
        <f>IF(DF1419=1,DM$7,0)</f>
        <v>0</v>
      </c>
      <c r="DN1419" t="str">
        <f>IF(DG1419=1,DN$7,0)</f>
        <v>Timber</v>
      </c>
      <c r="DO1419">
        <v>1</v>
      </c>
      <c r="DP1419" s="143">
        <v>0</v>
      </c>
      <c r="DQ1419" s="143">
        <v>0</v>
      </c>
      <c r="DR1419">
        <v>0</v>
      </c>
      <c r="DS1419" s="143">
        <v>0</v>
      </c>
      <c r="DT1419">
        <f>SUM(DO1419:DP1419)</f>
        <v>1</v>
      </c>
      <c r="DU1419" s="143" t="str">
        <f>IF(DO1419=1,"self-calculated DF",IF(DP1419=1,"external DF used","explicit C balance"))</f>
        <v>self-calculated DF</v>
      </c>
      <c r="DV1419" s="143">
        <v>0</v>
      </c>
      <c r="DW1419" s="143">
        <v>0</v>
      </c>
      <c r="DX1419" s="143">
        <v>1</v>
      </c>
      <c r="DY1419" s="143">
        <v>1</v>
      </c>
      <c r="DZ1419">
        <v>1</v>
      </c>
      <c r="EA1419" s="143">
        <v>1</v>
      </c>
      <c r="EB1419" s="143">
        <v>1</v>
      </c>
      <c r="EC1419" s="143">
        <v>1</v>
      </c>
      <c r="ED1419" s="143">
        <v>1</v>
      </c>
      <c r="EE1419">
        <v>1</v>
      </c>
      <c r="EF1419">
        <v>1</v>
      </c>
      <c r="EG1419" s="143">
        <v>1</v>
      </c>
      <c r="EH1419">
        <v>1</v>
      </c>
      <c r="EI1419" s="2">
        <v>0</v>
      </c>
      <c r="EK1419" t="str">
        <f>IF(AND(AND(AND(OR($DX1419=1,$DW1419=1),OR($EC1419=1,$EA1419=1)),SUM($DV1419:$DZ1419,$EF1419)&gt;=3),SUM($EA1419:$EE1419)&gt;=2),"Whole sector","")</f>
        <v>Whole sector</v>
      </c>
      <c r="EL1419" t="str">
        <f>IF(AND(AND(OR($DX1419=1,$DW1419=1),AND($EC1419=0,$EA1419=0)),SUM($DV1419:$DZ1419,$EF1419)&gt;=3),"Ecosystem approach","")</f>
        <v/>
      </c>
      <c r="EM1419" s="2" t="str">
        <f>IF(AND(AND(AND($DX1419=0,$DW1419=0),OR($EC1419=1,$EA1419=1)),SUM($EB1419:$EE1419)&gt;=2),"Technology approach","")</f>
        <v/>
      </c>
      <c r="EP1419" t="b">
        <f>IF(ISNUMBER(BU1419),IF(ABS(BU1419-[5]QC_indicators!$B$2)&gt;3*[5]QC_indicators!$C$2,"C ratio",IF(ISNUMBER(BY1419),IF(ABS(BY1419-[5]QC_indicators!$B$1)&gt;3*[5]QC_indicators!$C$1,"DF","no"))),IF(ISNUMBER(BY1419),IF(ABS(BY1419-[5]QC_indicators!$B$1)&gt;3*[5]QC_indicators!$C$1,"DF","no")))</f>
        <v>0</v>
      </c>
    </row>
    <row r="1420" spans="1:146" ht="15" customHeight="1">
      <c r="A1420" s="1" t="s">
        <v>333</v>
      </c>
      <c r="B1420" t="s">
        <v>3938</v>
      </c>
      <c r="C1420" t="s">
        <v>3939</v>
      </c>
      <c r="D1420" t="s">
        <v>3940</v>
      </c>
      <c r="E1420" t="s">
        <v>3941</v>
      </c>
      <c r="F1420" t="s">
        <v>3942</v>
      </c>
      <c r="G1420" t="s">
        <v>339</v>
      </c>
      <c r="H1420" t="s">
        <v>254</v>
      </c>
      <c r="I1420">
        <v>2018</v>
      </c>
      <c r="J1420">
        <v>62</v>
      </c>
      <c r="K1420" t="s">
        <v>3943</v>
      </c>
      <c r="M1420" t="str">
        <f>LEFT($D1420,FIND(",",$D1420)-1)&amp;"_"&amp;I1420&amp;L1420</f>
        <v>Pittau_2018</v>
      </c>
      <c r="N1420" s="312" t="s">
        <v>4383</v>
      </c>
      <c r="O1420" s="171" t="s">
        <v>513</v>
      </c>
      <c r="P1420" t="s">
        <v>341</v>
      </c>
      <c r="Q1420" s="312" t="s">
        <v>389</v>
      </c>
      <c r="R1420" s="313"/>
      <c r="S1420" s="1" t="s">
        <v>3951</v>
      </c>
      <c r="T1420" t="s">
        <v>3945</v>
      </c>
      <c r="V1420">
        <v>0</v>
      </c>
      <c r="W1420">
        <v>1</v>
      </c>
      <c r="X1420">
        <v>0</v>
      </c>
      <c r="Y1420">
        <v>0</v>
      </c>
      <c r="Z1420">
        <v>0</v>
      </c>
      <c r="AA1420">
        <v>0</v>
      </c>
      <c r="AB1420">
        <v>0</v>
      </c>
      <c r="AC1420">
        <v>0</v>
      </c>
      <c r="AD1420">
        <v>0</v>
      </c>
      <c r="AE1420">
        <v>0</v>
      </c>
      <c r="AF1420">
        <v>1</v>
      </c>
      <c r="AG1420">
        <v>1</v>
      </c>
      <c r="AH1420">
        <v>1</v>
      </c>
      <c r="AI1420">
        <v>1</v>
      </c>
      <c r="AJ1420">
        <v>0</v>
      </c>
      <c r="AK1420">
        <v>0</v>
      </c>
      <c r="AL1420">
        <v>0</v>
      </c>
      <c r="AM1420">
        <v>0</v>
      </c>
      <c r="AN1420">
        <v>0</v>
      </c>
      <c r="AO1420">
        <v>0</v>
      </c>
      <c r="AP1420">
        <v>0</v>
      </c>
      <c r="AQ1420">
        <v>0</v>
      </c>
      <c r="AR1420">
        <v>0</v>
      </c>
      <c r="AS1420">
        <v>0</v>
      </c>
      <c r="AT1420">
        <v>0</v>
      </c>
      <c r="AU1420">
        <v>0</v>
      </c>
      <c r="AV1420">
        <v>0</v>
      </c>
      <c r="AW1420">
        <v>0</v>
      </c>
      <c r="AX1420" s="141">
        <f>COUNTIF(V1420:AW1420,"&lt;&gt;0")</f>
        <v>5</v>
      </c>
      <c r="AY1420" s="141">
        <f>COUNTIF(V1420:AL1420,"&lt;&gt;0")</f>
        <v>5</v>
      </c>
      <c r="AZ1420">
        <f>COUNTIF(V1420:AC1420,"&lt;&gt;0")</f>
        <v>1</v>
      </c>
      <c r="BA1420">
        <f>COUNTIF(AD1420:AI1420,"&lt;&gt;0")</f>
        <v>4</v>
      </c>
      <c r="BB1420">
        <f>COUNTIF(AJ1420:AL1420,"&lt;&gt;0")</f>
        <v>0</v>
      </c>
      <c r="BC1420">
        <f>COUNTIF(AS1420:AW1420,"&lt;&gt;0")</f>
        <v>0</v>
      </c>
      <c r="BD1420">
        <f>COUNTIF(AM1420:AR1420,"&lt;&gt;0")</f>
        <v>0</v>
      </c>
      <c r="BE1420" t="str" cm="1">
        <f t="array" ref="BE1420">IF(AY1420=1,INDEX($V$7:$AL$7,MATCH(TRUE,INDEX($V1420:$AW1420&lt;&gt;0,),0)),IF(AY1420=0,INDEX($AM$7:$AW$7,MATCH(1,$AM1420:$AW1420,0)),IF(BF1420="Multiple strategies","mixed drivers",IF(BF1420="Supply chain","multiple supply","multiple silviculture"))))</f>
        <v>mixed drivers</v>
      </c>
      <c r="BF1420" s="2" t="str" cm="1">
        <f t="array" ref="BF1420">IF(COUNTIF(AZ1420:BB1420,"&lt;&gt;0")=1,INDEX($V$4:$AW$4,MATCH(TRUE,INDEX($V1420:$AW1420&lt;&gt;0,),0)),IF(COUNTIF(AZ1420:BB1420,"&lt;&gt;0")=0,INDEX($AM$4:$AW$4,MATCH(1,$AM1420:$AW1420,0)),"Multiple strategies"))</f>
        <v>Multiple strategies</v>
      </c>
      <c r="BG1420" s="142"/>
      <c r="BJ1420" s="143"/>
      <c r="BL1420" s="143"/>
      <c r="BN1420" s="158"/>
      <c r="BO1420" s="143"/>
      <c r="BP1420" t="s">
        <v>395</v>
      </c>
      <c r="BR1420" t="s">
        <v>3946</v>
      </c>
      <c r="BS1420">
        <v>173.61053100000004</v>
      </c>
      <c r="BT1420">
        <v>-96.38</v>
      </c>
      <c r="BU1420" s="144"/>
      <c r="BV1420">
        <f>BT1420-BS1420</f>
        <v>-269.99053100000003</v>
      </c>
      <c r="BY1420" t="str">
        <f>IFERROR(BX1420/BO1420,"")</f>
        <v/>
      </c>
      <c r="CA1420">
        <v>1</v>
      </c>
      <c r="CB1420">
        <v>0</v>
      </c>
      <c r="CC1420">
        <v>0</v>
      </c>
      <c r="CD1420">
        <v>0</v>
      </c>
      <c r="CE1420">
        <v>0</v>
      </c>
      <c r="CF1420">
        <v>0</v>
      </c>
      <c r="CG1420">
        <v>0</v>
      </c>
      <c r="CH1420">
        <v>0</v>
      </c>
      <c r="CI1420">
        <v>0</v>
      </c>
      <c r="CJ1420">
        <v>0</v>
      </c>
      <c r="CK1420">
        <v>0</v>
      </c>
      <c r="CL1420">
        <v>0</v>
      </c>
      <c r="CM1420">
        <v>0</v>
      </c>
      <c r="CN1420" t="str">
        <f>IF($BL1420&lt;$BK1420,"refNeedCorrection","refOK")</f>
        <v>refOK</v>
      </c>
      <c r="CO1420"/>
      <c r="CP1420"/>
      <c r="CQ1420"/>
      <c r="CR1420">
        <f>IF($CN1420="refOK",$BS1420,$BT1420)*IF($BP1420="Emissions positive",-1,1)</f>
        <v>-173.61053100000004</v>
      </c>
      <c r="CS1420">
        <f>IF($CN1420="refOK",$BT1420,$BS1420)*IF($BP1420="Emissions positive",-1,1)</f>
        <v>96.38</v>
      </c>
      <c r="CT1420">
        <f>IF($CN1420="refNeedCorrection",-BX1420,BX1420)*IF($BP1420="Emissions positive",-1,1)</f>
        <v>0</v>
      </c>
      <c r="CU1420" t="str">
        <f>IFERROR(CT1420/CQ1420,"")</f>
        <v/>
      </c>
      <c r="CV1420" s="2">
        <f>IFERROR((CS1420-CR1420)/ABS(CR1420),"")</f>
        <v>1.5551506550026044</v>
      </c>
      <c r="CW1420" s="1" t="s">
        <v>974</v>
      </c>
      <c r="CX1420" s="312" t="str">
        <f>IF(OR($CW1420="prd",$CW1420="std",$CW1420="cit"),"loc",IF(OR($CW1420="eur",$CW1420="reg",$CW1420="coy"),"reg",$CW1420))</f>
        <v>loc</v>
      </c>
      <c r="CY1420" t="s">
        <v>639</v>
      </c>
      <c r="DA1420" s="143"/>
      <c r="DB1420" s="143">
        <v>200</v>
      </c>
      <c r="DC1420" t="str">
        <f>IF(DB1420=0,"0",IF(AND(DB1420&gt;=1,DB1420&lt;=30),"1-30",IF(AND(DB1420&gt;30,DB1420&lt;=70),"31-70",IF(AND(DB1420&gt;70,DB1420&lt;=100),"71-100",IF(DB1420&gt;100,"+100")))))</f>
        <v>+100</v>
      </c>
      <c r="DD1420">
        <v>0</v>
      </c>
      <c r="DE1420">
        <v>0</v>
      </c>
      <c r="DF1420">
        <v>0</v>
      </c>
      <c r="DG1420">
        <v>1</v>
      </c>
      <c r="DH1420">
        <v>0</v>
      </c>
      <c r="DI1420">
        <f>SUM(DD1420:DH1420)</f>
        <v>1</v>
      </c>
      <c r="DJ1420" t="str">
        <f>IF(DI1420=1,INDEX($DD$7:$DG$7,MATCH(1,$DD1420:$DG1420,0)),"mixedProduct")</f>
        <v>TimberInput</v>
      </c>
      <c r="DK1420">
        <f>IF(DD1420=1,DK$7,0)</f>
        <v>0</v>
      </c>
      <c r="DL1420">
        <f>IF(DE1420=1,DL$7,0)</f>
        <v>0</v>
      </c>
      <c r="DM1420">
        <f>IF(DF1420=1,DM$7,0)</f>
        <v>0</v>
      </c>
      <c r="DN1420" t="str">
        <f>IF(DG1420=1,DN$7,0)</f>
        <v>Timber</v>
      </c>
      <c r="DO1420">
        <v>1</v>
      </c>
      <c r="DP1420" s="143">
        <v>0</v>
      </c>
      <c r="DQ1420" s="143">
        <v>0</v>
      </c>
      <c r="DR1420">
        <v>0</v>
      </c>
      <c r="DS1420" s="143">
        <v>0</v>
      </c>
      <c r="DT1420">
        <f>SUM(DO1420:DP1420)</f>
        <v>1</v>
      </c>
      <c r="DU1420" s="143" t="str">
        <f>IF(DO1420=1,"self-calculated DF",IF(DP1420=1,"external DF used","explicit C balance"))</f>
        <v>self-calculated DF</v>
      </c>
      <c r="DV1420" s="143">
        <v>0</v>
      </c>
      <c r="DW1420" s="143">
        <v>0</v>
      </c>
      <c r="DX1420" s="143">
        <v>1</v>
      </c>
      <c r="DY1420" s="143">
        <v>1</v>
      </c>
      <c r="DZ1420">
        <v>1</v>
      </c>
      <c r="EA1420" s="143">
        <v>1</v>
      </c>
      <c r="EB1420" s="143">
        <v>1</v>
      </c>
      <c r="EC1420" s="143">
        <v>1</v>
      </c>
      <c r="ED1420" s="143">
        <v>1</v>
      </c>
      <c r="EE1420">
        <v>1</v>
      </c>
      <c r="EF1420">
        <v>1</v>
      </c>
      <c r="EG1420" s="143">
        <v>1</v>
      </c>
      <c r="EH1420">
        <v>1</v>
      </c>
      <c r="EI1420" s="2">
        <v>0</v>
      </c>
      <c r="EK1420" t="str">
        <f>IF(AND(AND(AND(OR($DX1420=1,$DW1420=1),OR($EC1420=1,$EA1420=1)),SUM($DV1420:$DZ1420,$EF1420)&gt;=3),SUM($EA1420:$EE1420)&gt;=2),"Whole sector","")</f>
        <v>Whole sector</v>
      </c>
      <c r="EL1420" t="str">
        <f>IF(AND(AND(OR($DX1420=1,$DW1420=1),AND($EC1420=0,$EA1420=0)),SUM($DV1420:$DZ1420,$EF1420)&gt;=3),"Ecosystem approach","")</f>
        <v/>
      </c>
      <c r="EM1420" s="2" t="str">
        <f>IF(AND(AND(AND($DX1420=0,$DW1420=0),OR($EC1420=1,$EA1420=1)),SUM($EB1420:$EE1420)&gt;=2),"Technology approach","")</f>
        <v/>
      </c>
      <c r="EP1420" t="b">
        <f>IF(ISNUMBER(BU1420),IF(ABS(BU1420-[5]QC_indicators!$B$2)&gt;3*[5]QC_indicators!$C$2,"C ratio",IF(ISNUMBER(BY1420),IF(ABS(BY1420-[5]QC_indicators!$B$1)&gt;3*[5]QC_indicators!$C$1,"DF","no"))),IF(ISNUMBER(BY1420),IF(ABS(BY1420-[5]QC_indicators!$B$1)&gt;3*[5]QC_indicators!$C$1,"DF","no")))</f>
        <v>0</v>
      </c>
    </row>
    <row r="1421" spans="1:146" ht="15" customHeight="1">
      <c r="A1421" s="1" t="s">
        <v>333</v>
      </c>
      <c r="B1421" t="s">
        <v>3938</v>
      </c>
      <c r="C1421" t="s">
        <v>3939</v>
      </c>
      <c r="D1421" t="s">
        <v>3940</v>
      </c>
      <c r="E1421" t="s">
        <v>3941</v>
      </c>
      <c r="F1421" t="s">
        <v>3942</v>
      </c>
      <c r="G1421" t="s">
        <v>339</v>
      </c>
      <c r="H1421" t="s">
        <v>254</v>
      </c>
      <c r="I1421">
        <v>2018</v>
      </c>
      <c r="J1421">
        <v>62</v>
      </c>
      <c r="K1421" t="s">
        <v>3943</v>
      </c>
      <c r="M1421" t="str">
        <f>LEFT($D1421,FIND(",",$D1421)-1)&amp;"_"&amp;I1421&amp;L1421</f>
        <v>Pittau_2018</v>
      </c>
      <c r="N1421" s="312" t="s">
        <v>4383</v>
      </c>
      <c r="O1421" s="171" t="s">
        <v>513</v>
      </c>
      <c r="P1421" t="s">
        <v>341</v>
      </c>
      <c r="Q1421" s="312" t="s">
        <v>389</v>
      </c>
      <c r="R1421" s="313"/>
      <c r="S1421" s="1" t="s">
        <v>3952</v>
      </c>
      <c r="T1421" t="s">
        <v>3945</v>
      </c>
      <c r="V1421">
        <v>0</v>
      </c>
      <c r="W1421">
        <v>1</v>
      </c>
      <c r="X1421">
        <v>0</v>
      </c>
      <c r="Y1421">
        <v>0</v>
      </c>
      <c r="Z1421">
        <v>0</v>
      </c>
      <c r="AA1421">
        <v>0</v>
      </c>
      <c r="AB1421">
        <v>0</v>
      </c>
      <c r="AC1421">
        <v>0</v>
      </c>
      <c r="AD1421">
        <v>0</v>
      </c>
      <c r="AE1421">
        <v>0</v>
      </c>
      <c r="AF1421">
        <v>1</v>
      </c>
      <c r="AG1421">
        <v>1</v>
      </c>
      <c r="AH1421">
        <v>1</v>
      </c>
      <c r="AI1421">
        <v>1</v>
      </c>
      <c r="AJ1421">
        <v>0</v>
      </c>
      <c r="AK1421">
        <v>0</v>
      </c>
      <c r="AL1421">
        <v>0</v>
      </c>
      <c r="AM1421">
        <v>0</v>
      </c>
      <c r="AN1421">
        <v>0</v>
      </c>
      <c r="AO1421">
        <v>0</v>
      </c>
      <c r="AP1421">
        <v>0</v>
      </c>
      <c r="AQ1421">
        <v>0</v>
      </c>
      <c r="AR1421">
        <v>0</v>
      </c>
      <c r="AS1421">
        <v>0</v>
      </c>
      <c r="AT1421">
        <v>0</v>
      </c>
      <c r="AU1421">
        <v>0</v>
      </c>
      <c r="AV1421">
        <v>0</v>
      </c>
      <c r="AW1421">
        <v>0</v>
      </c>
      <c r="AX1421" s="141">
        <f>COUNTIF(V1421:AW1421,"&lt;&gt;0")</f>
        <v>5</v>
      </c>
      <c r="AY1421" s="141">
        <f>COUNTIF(V1421:AL1421,"&lt;&gt;0")</f>
        <v>5</v>
      </c>
      <c r="AZ1421">
        <f>COUNTIF(V1421:AC1421,"&lt;&gt;0")</f>
        <v>1</v>
      </c>
      <c r="BA1421">
        <f>COUNTIF(AD1421:AI1421,"&lt;&gt;0")</f>
        <v>4</v>
      </c>
      <c r="BB1421">
        <f>COUNTIF(AJ1421:AL1421,"&lt;&gt;0")</f>
        <v>0</v>
      </c>
      <c r="BC1421">
        <f>COUNTIF(AS1421:AW1421,"&lt;&gt;0")</f>
        <v>0</v>
      </c>
      <c r="BD1421">
        <f>COUNTIF(AM1421:AR1421,"&lt;&gt;0")</f>
        <v>0</v>
      </c>
      <c r="BE1421" t="str" cm="1">
        <f t="array" ref="BE1421">IF(AY1421=1,INDEX($V$7:$AL$7,MATCH(TRUE,INDEX($V1421:$AW1421&lt;&gt;0,),0)),IF(AY1421=0,INDEX($AM$7:$AW$7,MATCH(1,$AM1421:$AW1421,0)),IF(BF1421="Multiple strategies","mixed drivers",IF(BF1421="Supply chain","multiple supply","multiple silviculture"))))</f>
        <v>mixed drivers</v>
      </c>
      <c r="BF1421" s="2" t="str" cm="1">
        <f t="array" ref="BF1421">IF(COUNTIF(AZ1421:BB1421,"&lt;&gt;0")=1,INDEX($V$4:$AW$4,MATCH(TRUE,INDEX($V1421:$AW1421&lt;&gt;0,),0)),IF(COUNTIF(AZ1421:BB1421,"&lt;&gt;0")=0,INDEX($AM$4:$AW$4,MATCH(1,$AM1421:$AW1421,0)),"Multiple strategies"))</f>
        <v>Multiple strategies</v>
      </c>
      <c r="BG1421" s="142"/>
      <c r="BJ1421" s="143"/>
      <c r="BL1421" s="143"/>
      <c r="BN1421" s="158"/>
      <c r="BO1421" s="143"/>
      <c r="BP1421" t="s">
        <v>395</v>
      </c>
      <c r="BR1421" t="s">
        <v>3946</v>
      </c>
      <c r="BS1421">
        <v>173.61053100000004</v>
      </c>
      <c r="BT1421">
        <v>-83.96</v>
      </c>
      <c r="BU1421" s="144"/>
      <c r="BV1421">
        <f>BT1421-BS1421</f>
        <v>-257.57053100000002</v>
      </c>
      <c r="BY1421" t="str">
        <f>IFERROR(BX1421/BO1421,"")</f>
        <v/>
      </c>
      <c r="CA1421">
        <v>1</v>
      </c>
      <c r="CB1421">
        <v>0</v>
      </c>
      <c r="CC1421">
        <v>0</v>
      </c>
      <c r="CD1421">
        <v>0</v>
      </c>
      <c r="CE1421">
        <v>0</v>
      </c>
      <c r="CF1421">
        <v>0</v>
      </c>
      <c r="CG1421">
        <v>0</v>
      </c>
      <c r="CH1421">
        <v>0</v>
      </c>
      <c r="CI1421">
        <v>0</v>
      </c>
      <c r="CJ1421">
        <v>0</v>
      </c>
      <c r="CK1421">
        <v>0</v>
      </c>
      <c r="CL1421">
        <v>0</v>
      </c>
      <c r="CM1421">
        <v>0</v>
      </c>
      <c r="CN1421" t="str">
        <f>IF($BL1421&lt;$BK1421,"refNeedCorrection","refOK")</f>
        <v>refOK</v>
      </c>
      <c r="CO1421"/>
      <c r="CP1421"/>
      <c r="CQ1421"/>
      <c r="CR1421">
        <f>IF($CN1421="refOK",$BS1421,$BT1421)*IF($BP1421="Emissions positive",-1,1)</f>
        <v>-173.61053100000004</v>
      </c>
      <c r="CS1421">
        <f>IF($CN1421="refOK",$BT1421,$BS1421)*IF($BP1421="Emissions positive",-1,1)</f>
        <v>83.96</v>
      </c>
      <c r="CT1421">
        <f>IF($CN1421="refNeedCorrection",-BX1421,BX1421)*IF($BP1421="Emissions positive",-1,1)</f>
        <v>0</v>
      </c>
      <c r="CU1421" t="str">
        <f>IFERROR(CT1421/CQ1421,"")</f>
        <v/>
      </c>
      <c r="CV1421" s="2">
        <f>IFERROR((CS1421-CR1421)/ABS(CR1421),"")</f>
        <v>1.4836112159578612</v>
      </c>
      <c r="CW1421" s="1" t="s">
        <v>974</v>
      </c>
      <c r="CX1421" s="312" t="str">
        <f>IF(OR($CW1421="prd",$CW1421="std",$CW1421="cit"),"loc",IF(OR($CW1421="eur",$CW1421="reg",$CW1421="coy"),"reg",$CW1421))</f>
        <v>loc</v>
      </c>
      <c r="CY1421" t="s">
        <v>639</v>
      </c>
      <c r="DA1421" s="143"/>
      <c r="DB1421" s="143">
        <v>200</v>
      </c>
      <c r="DC1421" t="str">
        <f>IF(DB1421=0,"0",IF(AND(DB1421&gt;=1,DB1421&lt;=30),"1-30",IF(AND(DB1421&gt;30,DB1421&lt;=70),"31-70",IF(AND(DB1421&gt;70,DB1421&lt;=100),"71-100",IF(DB1421&gt;100,"+100")))))</f>
        <v>+100</v>
      </c>
      <c r="DD1421">
        <v>0</v>
      </c>
      <c r="DE1421">
        <v>0</v>
      </c>
      <c r="DF1421">
        <v>0</v>
      </c>
      <c r="DG1421">
        <v>1</v>
      </c>
      <c r="DH1421">
        <v>0</v>
      </c>
      <c r="DI1421">
        <f>SUM(DD1421:DH1421)</f>
        <v>1</v>
      </c>
      <c r="DJ1421" t="str">
        <f>IF(DI1421=1,INDEX($DD$7:$DG$7,MATCH(1,$DD1421:$DG1421,0)),"mixedProduct")</f>
        <v>TimberInput</v>
      </c>
      <c r="DK1421">
        <f>IF(DD1421=1,DK$7,0)</f>
        <v>0</v>
      </c>
      <c r="DL1421">
        <f>IF(DE1421=1,DL$7,0)</f>
        <v>0</v>
      </c>
      <c r="DM1421">
        <f>IF(DF1421=1,DM$7,0)</f>
        <v>0</v>
      </c>
      <c r="DN1421" t="str">
        <f>IF(DG1421=1,DN$7,0)</f>
        <v>Timber</v>
      </c>
      <c r="DO1421">
        <v>1</v>
      </c>
      <c r="DP1421" s="143">
        <v>0</v>
      </c>
      <c r="DQ1421" s="143">
        <v>0</v>
      </c>
      <c r="DR1421">
        <v>0</v>
      </c>
      <c r="DS1421" s="143">
        <v>0</v>
      </c>
      <c r="DT1421">
        <f>SUM(DO1421:DP1421)</f>
        <v>1</v>
      </c>
      <c r="DU1421" s="143" t="str">
        <f>IF(DO1421=1,"self-calculated DF",IF(DP1421=1,"external DF used","explicit C balance"))</f>
        <v>self-calculated DF</v>
      </c>
      <c r="DV1421" s="143">
        <v>0</v>
      </c>
      <c r="DW1421" s="143">
        <v>0</v>
      </c>
      <c r="DX1421" s="143">
        <v>1</v>
      </c>
      <c r="DY1421" s="143">
        <v>1</v>
      </c>
      <c r="DZ1421">
        <v>1</v>
      </c>
      <c r="EA1421" s="143">
        <v>1</v>
      </c>
      <c r="EB1421" s="143">
        <v>1</v>
      </c>
      <c r="EC1421" s="143">
        <v>1</v>
      </c>
      <c r="ED1421" s="143">
        <v>1</v>
      </c>
      <c r="EE1421">
        <v>1</v>
      </c>
      <c r="EF1421">
        <v>1</v>
      </c>
      <c r="EG1421" s="143">
        <v>1</v>
      </c>
      <c r="EH1421">
        <v>1</v>
      </c>
      <c r="EI1421" s="2">
        <v>0</v>
      </c>
      <c r="EK1421" t="str">
        <f>IF(AND(AND(AND(OR($DX1421=1,$DW1421=1),OR($EC1421=1,$EA1421=1)),SUM($DV1421:$DZ1421,$EF1421)&gt;=3),SUM($EA1421:$EE1421)&gt;=2),"Whole sector","")</f>
        <v>Whole sector</v>
      </c>
      <c r="EL1421" t="str">
        <f>IF(AND(AND(OR($DX1421=1,$DW1421=1),AND($EC1421=0,$EA1421=0)),SUM($DV1421:$DZ1421,$EF1421)&gt;=3),"Ecosystem approach","")</f>
        <v/>
      </c>
      <c r="EM1421" s="2" t="str">
        <f>IF(AND(AND(AND($DX1421=0,$DW1421=0),OR($EC1421=1,$EA1421=1)),SUM($EB1421:$EE1421)&gt;=2),"Technology approach","")</f>
        <v/>
      </c>
      <c r="EP1421" t="b">
        <f>IF(ISNUMBER(BU1421),IF(ABS(BU1421-[5]QC_indicators!$B$2)&gt;3*[5]QC_indicators!$C$2,"C ratio",IF(ISNUMBER(BY1421),IF(ABS(BY1421-[5]QC_indicators!$B$1)&gt;3*[5]QC_indicators!$C$1,"DF","no"))),IF(ISNUMBER(BY1421),IF(ABS(BY1421-[5]QC_indicators!$B$1)&gt;3*[5]QC_indicators!$C$1,"DF","no")))</f>
        <v>0</v>
      </c>
    </row>
    <row r="1422" spans="1:146" ht="15" customHeight="1">
      <c r="A1422" s="1" t="s">
        <v>333</v>
      </c>
      <c r="B1422" t="s">
        <v>3938</v>
      </c>
      <c r="C1422" t="s">
        <v>3939</v>
      </c>
      <c r="D1422" t="s">
        <v>3940</v>
      </c>
      <c r="E1422" t="s">
        <v>3941</v>
      </c>
      <c r="F1422" t="s">
        <v>3942</v>
      </c>
      <c r="G1422" t="s">
        <v>339</v>
      </c>
      <c r="H1422" t="s">
        <v>254</v>
      </c>
      <c r="I1422">
        <v>2018</v>
      </c>
      <c r="J1422">
        <v>62</v>
      </c>
      <c r="K1422" t="s">
        <v>3943</v>
      </c>
      <c r="M1422" t="str">
        <f>LEFT($D1422,FIND(",",$D1422)-1)&amp;"_"&amp;I1422&amp;L1422</f>
        <v>Pittau_2018</v>
      </c>
      <c r="N1422" s="312" t="s">
        <v>4383</v>
      </c>
      <c r="O1422" s="171" t="s">
        <v>513</v>
      </c>
      <c r="P1422" t="s">
        <v>341</v>
      </c>
      <c r="Q1422" s="312" t="s">
        <v>389</v>
      </c>
      <c r="R1422" s="313"/>
      <c r="S1422" s="1" t="s">
        <v>3953</v>
      </c>
      <c r="T1422" t="s">
        <v>3945</v>
      </c>
      <c r="V1422">
        <v>0</v>
      </c>
      <c r="W1422">
        <v>1</v>
      </c>
      <c r="X1422">
        <v>0</v>
      </c>
      <c r="Y1422">
        <v>0</v>
      </c>
      <c r="Z1422">
        <v>0</v>
      </c>
      <c r="AA1422">
        <v>0</v>
      </c>
      <c r="AB1422">
        <v>0</v>
      </c>
      <c r="AC1422">
        <v>0</v>
      </c>
      <c r="AD1422">
        <v>0</v>
      </c>
      <c r="AE1422">
        <v>0</v>
      </c>
      <c r="AF1422">
        <v>1</v>
      </c>
      <c r="AG1422">
        <v>1</v>
      </c>
      <c r="AH1422">
        <v>1</v>
      </c>
      <c r="AI1422">
        <v>1</v>
      </c>
      <c r="AJ1422">
        <v>0</v>
      </c>
      <c r="AK1422">
        <v>0</v>
      </c>
      <c r="AL1422">
        <v>0</v>
      </c>
      <c r="AM1422">
        <v>0</v>
      </c>
      <c r="AN1422">
        <v>0</v>
      </c>
      <c r="AO1422">
        <v>0</v>
      </c>
      <c r="AP1422">
        <v>0</v>
      </c>
      <c r="AQ1422">
        <v>0</v>
      </c>
      <c r="AR1422">
        <v>0</v>
      </c>
      <c r="AS1422">
        <v>0</v>
      </c>
      <c r="AT1422">
        <v>0</v>
      </c>
      <c r="AU1422">
        <v>0</v>
      </c>
      <c r="AV1422">
        <v>0</v>
      </c>
      <c r="AW1422">
        <v>0</v>
      </c>
      <c r="AX1422" s="141">
        <f>COUNTIF(V1422:AW1422,"&lt;&gt;0")</f>
        <v>5</v>
      </c>
      <c r="AY1422" s="141">
        <f>COUNTIF(V1422:AL1422,"&lt;&gt;0")</f>
        <v>5</v>
      </c>
      <c r="AZ1422">
        <f>COUNTIF(V1422:AC1422,"&lt;&gt;0")</f>
        <v>1</v>
      </c>
      <c r="BA1422">
        <f>COUNTIF(AD1422:AI1422,"&lt;&gt;0")</f>
        <v>4</v>
      </c>
      <c r="BB1422">
        <f>COUNTIF(AJ1422:AL1422,"&lt;&gt;0")</f>
        <v>0</v>
      </c>
      <c r="BC1422">
        <f>COUNTIF(AS1422:AW1422,"&lt;&gt;0")</f>
        <v>0</v>
      </c>
      <c r="BD1422">
        <f>COUNTIF(AM1422:AR1422,"&lt;&gt;0")</f>
        <v>0</v>
      </c>
      <c r="BE1422" t="str" cm="1">
        <f t="array" ref="BE1422">IF(AY1422=1,INDEX($V$7:$AL$7,MATCH(TRUE,INDEX($V1422:$AW1422&lt;&gt;0,),0)),IF(AY1422=0,INDEX($AM$7:$AW$7,MATCH(1,$AM1422:$AW1422,0)),IF(BF1422="Multiple strategies","mixed drivers",IF(BF1422="Supply chain","multiple supply","multiple silviculture"))))</f>
        <v>mixed drivers</v>
      </c>
      <c r="BF1422" s="2" t="str" cm="1">
        <f t="array" ref="BF1422">IF(COUNTIF(AZ1422:BB1422,"&lt;&gt;0")=1,INDEX($V$4:$AW$4,MATCH(TRUE,INDEX($V1422:$AW1422&lt;&gt;0,),0)),IF(COUNTIF(AZ1422:BB1422,"&lt;&gt;0")=0,INDEX($AM$4:$AW$4,MATCH(1,$AM1422:$AW1422,0)),"Multiple strategies"))</f>
        <v>Multiple strategies</v>
      </c>
      <c r="BG1422" s="142"/>
      <c r="BJ1422" s="143"/>
      <c r="BL1422" s="143"/>
      <c r="BN1422" s="158"/>
      <c r="BO1422" s="143"/>
      <c r="BP1422" t="s">
        <v>395</v>
      </c>
      <c r="BR1422" t="s">
        <v>3946</v>
      </c>
      <c r="BS1422">
        <v>173.61053100000004</v>
      </c>
      <c r="BT1422">
        <v>-73.069999999999993</v>
      </c>
      <c r="BU1422" s="144"/>
      <c r="BV1422">
        <f>BT1422-BS1422</f>
        <v>-246.68053100000003</v>
      </c>
      <c r="BY1422" t="str">
        <f>IFERROR(BX1422/BO1422,"")</f>
        <v/>
      </c>
      <c r="CA1422">
        <v>1</v>
      </c>
      <c r="CB1422">
        <v>0</v>
      </c>
      <c r="CC1422">
        <v>0</v>
      </c>
      <c r="CD1422">
        <v>0</v>
      </c>
      <c r="CE1422">
        <v>0</v>
      </c>
      <c r="CF1422">
        <v>0</v>
      </c>
      <c r="CG1422">
        <v>0</v>
      </c>
      <c r="CH1422">
        <v>0</v>
      </c>
      <c r="CI1422">
        <v>0</v>
      </c>
      <c r="CJ1422">
        <v>0</v>
      </c>
      <c r="CK1422">
        <v>0</v>
      </c>
      <c r="CL1422">
        <v>0</v>
      </c>
      <c r="CM1422">
        <v>0</v>
      </c>
      <c r="CN1422" t="str">
        <f>IF($BL1422&lt;$BK1422,"refNeedCorrection","refOK")</f>
        <v>refOK</v>
      </c>
      <c r="CO1422"/>
      <c r="CP1422"/>
      <c r="CQ1422"/>
      <c r="CR1422">
        <f>IF($CN1422="refOK",$BS1422,$BT1422)*IF($BP1422="Emissions positive",-1,1)</f>
        <v>-173.61053100000004</v>
      </c>
      <c r="CS1422">
        <f>IF($CN1422="refOK",$BT1422,$BS1422)*IF($BP1422="Emissions positive",-1,1)</f>
        <v>73.069999999999993</v>
      </c>
      <c r="CT1422">
        <f>IF($CN1422="refNeedCorrection",-BX1422,BX1422)*IF($BP1422="Emissions positive",-1,1)</f>
        <v>0</v>
      </c>
      <c r="CU1422" t="str">
        <f>IFERROR(CT1422/CQ1422,"")</f>
        <v/>
      </c>
      <c r="CV1422" s="2">
        <f>IFERROR((CS1422-CR1422)/ABS(CR1422),"")</f>
        <v>1.4208846063606591</v>
      </c>
      <c r="CW1422" s="1" t="s">
        <v>974</v>
      </c>
      <c r="CX1422" s="312" t="str">
        <f>IF(OR($CW1422="prd",$CW1422="std",$CW1422="cit"),"loc",IF(OR($CW1422="eur",$CW1422="reg",$CW1422="coy"),"reg",$CW1422))</f>
        <v>loc</v>
      </c>
      <c r="CY1422" t="s">
        <v>639</v>
      </c>
      <c r="DA1422" s="143"/>
      <c r="DB1422" s="143">
        <v>200</v>
      </c>
      <c r="DC1422" t="str">
        <f>IF(DB1422=0,"0",IF(AND(DB1422&gt;=1,DB1422&lt;=30),"1-30",IF(AND(DB1422&gt;30,DB1422&lt;=70),"31-70",IF(AND(DB1422&gt;70,DB1422&lt;=100),"71-100",IF(DB1422&gt;100,"+100")))))</f>
        <v>+100</v>
      </c>
      <c r="DD1422">
        <v>0</v>
      </c>
      <c r="DE1422">
        <v>0</v>
      </c>
      <c r="DF1422">
        <v>0</v>
      </c>
      <c r="DG1422">
        <v>1</v>
      </c>
      <c r="DH1422">
        <v>0</v>
      </c>
      <c r="DI1422">
        <f>SUM(DD1422:DH1422)</f>
        <v>1</v>
      </c>
      <c r="DJ1422" t="str">
        <f>IF(DI1422=1,INDEX($DD$7:$DG$7,MATCH(1,$DD1422:$DG1422,0)),"mixedProduct")</f>
        <v>TimberInput</v>
      </c>
      <c r="DK1422">
        <f>IF(DD1422=1,DK$7,0)</f>
        <v>0</v>
      </c>
      <c r="DL1422">
        <f>IF(DE1422=1,DL$7,0)</f>
        <v>0</v>
      </c>
      <c r="DM1422">
        <f>IF(DF1422=1,DM$7,0)</f>
        <v>0</v>
      </c>
      <c r="DN1422" t="str">
        <f>IF(DG1422=1,DN$7,0)</f>
        <v>Timber</v>
      </c>
      <c r="DO1422">
        <v>1</v>
      </c>
      <c r="DP1422" s="143">
        <v>0</v>
      </c>
      <c r="DQ1422" s="143">
        <v>0</v>
      </c>
      <c r="DR1422">
        <v>0</v>
      </c>
      <c r="DS1422" s="143">
        <v>0</v>
      </c>
      <c r="DT1422">
        <f>SUM(DO1422:DP1422)</f>
        <v>1</v>
      </c>
      <c r="DU1422" s="143" t="str">
        <f>IF(DO1422=1,"self-calculated DF",IF(DP1422=1,"external DF used","explicit C balance"))</f>
        <v>self-calculated DF</v>
      </c>
      <c r="DV1422" s="143">
        <v>0</v>
      </c>
      <c r="DW1422" s="143">
        <v>0</v>
      </c>
      <c r="DX1422" s="143">
        <v>1</v>
      </c>
      <c r="DY1422" s="143">
        <v>1</v>
      </c>
      <c r="DZ1422">
        <v>1</v>
      </c>
      <c r="EA1422" s="143">
        <v>1</v>
      </c>
      <c r="EB1422" s="143">
        <v>1</v>
      </c>
      <c r="EC1422" s="143">
        <v>1</v>
      </c>
      <c r="ED1422" s="143">
        <v>1</v>
      </c>
      <c r="EE1422">
        <v>1</v>
      </c>
      <c r="EF1422">
        <v>1</v>
      </c>
      <c r="EG1422" s="143">
        <v>1</v>
      </c>
      <c r="EH1422">
        <v>1</v>
      </c>
      <c r="EI1422" s="2">
        <v>0</v>
      </c>
      <c r="EK1422" t="str">
        <f>IF(AND(AND(AND(OR($DX1422=1,$DW1422=1),OR($EC1422=1,$EA1422=1)),SUM($DV1422:$DZ1422,$EF1422)&gt;=3),SUM($EA1422:$EE1422)&gt;=2),"Whole sector","")</f>
        <v>Whole sector</v>
      </c>
      <c r="EL1422" t="str">
        <f>IF(AND(AND(OR($DX1422=1,$DW1422=1),AND($EC1422=0,$EA1422=0)),SUM($DV1422:$DZ1422,$EF1422)&gt;=3),"Ecosystem approach","")</f>
        <v/>
      </c>
      <c r="EM1422" s="2" t="str">
        <f>IF(AND(AND(AND($DX1422=0,$DW1422=0),OR($EC1422=1,$EA1422=1)),SUM($EB1422:$EE1422)&gt;=2),"Technology approach","")</f>
        <v/>
      </c>
      <c r="EP1422" t="b">
        <f>IF(ISNUMBER(BU1422),IF(ABS(BU1422-[5]QC_indicators!$B$2)&gt;3*[5]QC_indicators!$C$2,"C ratio",IF(ISNUMBER(BY1422),IF(ABS(BY1422-[5]QC_indicators!$B$1)&gt;3*[5]QC_indicators!$C$1,"DF","no"))),IF(ISNUMBER(BY1422),IF(ABS(BY1422-[5]QC_indicators!$B$1)&gt;3*[5]QC_indicators!$C$1,"DF","no")))</f>
        <v>0</v>
      </c>
    </row>
    <row r="1423" spans="1:146" ht="15" customHeight="1">
      <c r="A1423" s="1" t="s">
        <v>333</v>
      </c>
      <c r="B1423" t="s">
        <v>3938</v>
      </c>
      <c r="C1423" t="s">
        <v>3939</v>
      </c>
      <c r="D1423" t="s">
        <v>3940</v>
      </c>
      <c r="E1423" t="s">
        <v>3941</v>
      </c>
      <c r="F1423" t="s">
        <v>3942</v>
      </c>
      <c r="G1423" t="s">
        <v>339</v>
      </c>
      <c r="H1423" t="s">
        <v>254</v>
      </c>
      <c r="I1423">
        <v>2018</v>
      </c>
      <c r="J1423">
        <v>62</v>
      </c>
      <c r="K1423" t="s">
        <v>3943</v>
      </c>
      <c r="M1423" t="str">
        <f>LEFT($D1423,FIND(",",$D1423)-1)&amp;"_"&amp;I1423&amp;L1423</f>
        <v>Pittau_2018</v>
      </c>
      <c r="N1423" s="312" t="s">
        <v>4383</v>
      </c>
      <c r="O1423" s="171" t="s">
        <v>513</v>
      </c>
      <c r="P1423" t="s">
        <v>341</v>
      </c>
      <c r="Q1423" s="312" t="s">
        <v>389</v>
      </c>
      <c r="R1423" s="313"/>
      <c r="S1423" s="1" t="s">
        <v>3954</v>
      </c>
      <c r="T1423" t="s">
        <v>3945</v>
      </c>
      <c r="V1423">
        <v>0</v>
      </c>
      <c r="W1423">
        <v>1</v>
      </c>
      <c r="X1423">
        <v>0</v>
      </c>
      <c r="Y1423">
        <v>0</v>
      </c>
      <c r="Z1423">
        <v>0</v>
      </c>
      <c r="AA1423">
        <v>0</v>
      </c>
      <c r="AB1423">
        <v>0</v>
      </c>
      <c r="AC1423">
        <v>0</v>
      </c>
      <c r="AD1423">
        <v>0</v>
      </c>
      <c r="AE1423">
        <v>0</v>
      </c>
      <c r="AF1423">
        <v>1</v>
      </c>
      <c r="AG1423">
        <v>1</v>
      </c>
      <c r="AH1423">
        <v>1</v>
      </c>
      <c r="AI1423">
        <v>1</v>
      </c>
      <c r="AJ1423">
        <v>0</v>
      </c>
      <c r="AK1423">
        <v>0</v>
      </c>
      <c r="AL1423">
        <v>0</v>
      </c>
      <c r="AM1423">
        <v>0</v>
      </c>
      <c r="AN1423">
        <v>0</v>
      </c>
      <c r="AO1423">
        <v>0</v>
      </c>
      <c r="AP1423">
        <v>0</v>
      </c>
      <c r="AQ1423">
        <v>0</v>
      </c>
      <c r="AR1423">
        <v>0</v>
      </c>
      <c r="AS1423">
        <v>0</v>
      </c>
      <c r="AT1423">
        <v>0</v>
      </c>
      <c r="AU1423">
        <v>0</v>
      </c>
      <c r="AV1423">
        <v>0</v>
      </c>
      <c r="AW1423">
        <v>0</v>
      </c>
      <c r="AX1423" s="141">
        <f>COUNTIF(V1423:AW1423,"&lt;&gt;0")</f>
        <v>5</v>
      </c>
      <c r="AY1423" s="141">
        <f>COUNTIF(V1423:AL1423,"&lt;&gt;0")</f>
        <v>5</v>
      </c>
      <c r="AZ1423">
        <f>COUNTIF(V1423:AC1423,"&lt;&gt;0")</f>
        <v>1</v>
      </c>
      <c r="BA1423">
        <f>COUNTIF(AD1423:AI1423,"&lt;&gt;0")</f>
        <v>4</v>
      </c>
      <c r="BB1423">
        <f>COUNTIF(AJ1423:AL1423,"&lt;&gt;0")</f>
        <v>0</v>
      </c>
      <c r="BC1423">
        <f>COUNTIF(AS1423:AW1423,"&lt;&gt;0")</f>
        <v>0</v>
      </c>
      <c r="BD1423">
        <f>COUNTIF(AM1423:AR1423,"&lt;&gt;0")</f>
        <v>0</v>
      </c>
      <c r="BE1423" t="str" cm="1">
        <f t="array" ref="BE1423">IF(AY1423=1,INDEX($V$7:$AL$7,MATCH(TRUE,INDEX($V1423:$AW1423&lt;&gt;0,),0)),IF(AY1423=0,INDEX($AM$7:$AW$7,MATCH(1,$AM1423:$AW1423,0)),IF(BF1423="Multiple strategies","mixed drivers",IF(BF1423="Supply chain","multiple supply","multiple silviculture"))))</f>
        <v>mixed drivers</v>
      </c>
      <c r="BF1423" s="2" t="str" cm="1">
        <f t="array" ref="BF1423">IF(COUNTIF(AZ1423:BB1423,"&lt;&gt;0")=1,INDEX($V$4:$AW$4,MATCH(TRUE,INDEX($V1423:$AW1423&lt;&gt;0,),0)),IF(COUNTIF(AZ1423:BB1423,"&lt;&gt;0")=0,INDEX($AM$4:$AW$4,MATCH(1,$AM1423:$AW1423,0)),"Multiple strategies"))</f>
        <v>Multiple strategies</v>
      </c>
      <c r="BG1423" s="142"/>
      <c r="BJ1423" s="143"/>
      <c r="BL1423" s="143"/>
      <c r="BN1423" s="158"/>
      <c r="BO1423" s="143"/>
      <c r="BP1423" t="s">
        <v>395</v>
      </c>
      <c r="BR1423" t="s">
        <v>3946</v>
      </c>
      <c r="BS1423">
        <v>173.61053100000004</v>
      </c>
      <c r="BT1423">
        <v>-1.91</v>
      </c>
      <c r="BU1423" s="144"/>
      <c r="BV1423">
        <f>BT1423-BS1423</f>
        <v>-175.52053100000003</v>
      </c>
      <c r="BY1423" t="str">
        <f>IFERROR(BX1423/BO1423,"")</f>
        <v/>
      </c>
      <c r="CA1423">
        <v>1</v>
      </c>
      <c r="CB1423">
        <v>0</v>
      </c>
      <c r="CC1423">
        <v>0</v>
      </c>
      <c r="CD1423">
        <v>0</v>
      </c>
      <c r="CE1423">
        <v>0</v>
      </c>
      <c r="CF1423">
        <v>0</v>
      </c>
      <c r="CG1423">
        <v>0</v>
      </c>
      <c r="CH1423">
        <v>0</v>
      </c>
      <c r="CI1423">
        <v>0</v>
      </c>
      <c r="CJ1423">
        <v>0</v>
      </c>
      <c r="CK1423">
        <v>0</v>
      </c>
      <c r="CL1423">
        <v>0</v>
      </c>
      <c r="CM1423">
        <v>0</v>
      </c>
      <c r="CN1423" t="str">
        <f>IF($BL1423&lt;$BK1423,"refNeedCorrection","refOK")</f>
        <v>refOK</v>
      </c>
      <c r="CO1423"/>
      <c r="CP1423"/>
      <c r="CQ1423"/>
      <c r="CR1423">
        <f>IF($CN1423="refOK",$BS1423,$BT1423)*IF($BP1423="Emissions positive",-1,1)</f>
        <v>-173.61053100000004</v>
      </c>
      <c r="CS1423">
        <f>IF($CN1423="refOK",$BT1423,$BS1423)*IF($BP1423="Emissions positive",-1,1)</f>
        <v>1.91</v>
      </c>
      <c r="CT1423">
        <f>IF($CN1423="refNeedCorrection",-BX1423,BX1423)*IF($BP1423="Emissions positive",-1,1)</f>
        <v>0</v>
      </c>
      <c r="CU1423" t="str">
        <f>IFERROR(CT1423/CQ1423,"")</f>
        <v/>
      </c>
      <c r="CV1423" s="2">
        <f>IFERROR((CS1423-CR1423)/ABS(CR1423),"")</f>
        <v>1.0110016367613091</v>
      </c>
      <c r="CW1423" s="1" t="s">
        <v>974</v>
      </c>
      <c r="CX1423" s="312" t="str">
        <f>IF(OR($CW1423="prd",$CW1423="std",$CW1423="cit"),"loc",IF(OR($CW1423="eur",$CW1423="reg",$CW1423="coy"),"reg",$CW1423))</f>
        <v>loc</v>
      </c>
      <c r="CY1423" t="s">
        <v>639</v>
      </c>
      <c r="DA1423" s="143"/>
      <c r="DB1423" s="143">
        <v>200</v>
      </c>
      <c r="DC1423" t="str">
        <f>IF(DB1423=0,"0",IF(AND(DB1423&gt;=1,DB1423&lt;=30),"1-30",IF(AND(DB1423&gt;30,DB1423&lt;=70),"31-70",IF(AND(DB1423&gt;70,DB1423&lt;=100),"71-100",IF(DB1423&gt;100,"+100")))))</f>
        <v>+100</v>
      </c>
      <c r="DD1423">
        <v>0</v>
      </c>
      <c r="DE1423">
        <v>0</v>
      </c>
      <c r="DF1423">
        <v>0</v>
      </c>
      <c r="DG1423">
        <v>1</v>
      </c>
      <c r="DH1423">
        <v>0</v>
      </c>
      <c r="DI1423">
        <f>SUM(DD1423:DH1423)</f>
        <v>1</v>
      </c>
      <c r="DJ1423" t="str">
        <f>IF(DI1423=1,INDEX($DD$7:$DG$7,MATCH(1,$DD1423:$DG1423,0)),"mixedProduct")</f>
        <v>TimberInput</v>
      </c>
      <c r="DK1423">
        <f>IF(DD1423=1,DK$7,0)</f>
        <v>0</v>
      </c>
      <c r="DL1423">
        <f>IF(DE1423=1,DL$7,0)</f>
        <v>0</v>
      </c>
      <c r="DM1423">
        <f>IF(DF1423=1,DM$7,0)</f>
        <v>0</v>
      </c>
      <c r="DN1423" t="str">
        <f>IF(DG1423=1,DN$7,0)</f>
        <v>Timber</v>
      </c>
      <c r="DO1423">
        <v>1</v>
      </c>
      <c r="DP1423" s="143">
        <v>0</v>
      </c>
      <c r="DQ1423" s="143">
        <v>0</v>
      </c>
      <c r="DR1423">
        <v>0</v>
      </c>
      <c r="DS1423" s="143">
        <v>0</v>
      </c>
      <c r="DT1423">
        <f>SUM(DO1423:DP1423)</f>
        <v>1</v>
      </c>
      <c r="DU1423" s="143" t="str">
        <f>IF(DO1423=1,"self-calculated DF",IF(DP1423=1,"external DF used","explicit C balance"))</f>
        <v>self-calculated DF</v>
      </c>
      <c r="DV1423" s="143">
        <v>0</v>
      </c>
      <c r="DW1423" s="143">
        <v>0</v>
      </c>
      <c r="DX1423" s="143">
        <v>1</v>
      </c>
      <c r="DY1423" s="143">
        <v>1</v>
      </c>
      <c r="DZ1423">
        <v>1</v>
      </c>
      <c r="EA1423" s="143">
        <v>1</v>
      </c>
      <c r="EB1423" s="143">
        <v>1</v>
      </c>
      <c r="EC1423" s="143">
        <v>1</v>
      </c>
      <c r="ED1423" s="143">
        <v>1</v>
      </c>
      <c r="EE1423">
        <v>1</v>
      </c>
      <c r="EF1423">
        <v>1</v>
      </c>
      <c r="EG1423" s="143">
        <v>1</v>
      </c>
      <c r="EH1423">
        <v>1</v>
      </c>
      <c r="EI1423" s="2">
        <v>0</v>
      </c>
      <c r="EK1423" t="str">
        <f>IF(AND(AND(AND(OR($DX1423=1,$DW1423=1),OR($EC1423=1,$EA1423=1)),SUM($DV1423:$DZ1423,$EF1423)&gt;=3),SUM($EA1423:$EE1423)&gt;=2),"Whole sector","")</f>
        <v>Whole sector</v>
      </c>
      <c r="EL1423" t="str">
        <f>IF(AND(AND(OR($DX1423=1,$DW1423=1),AND($EC1423=0,$EA1423=0)),SUM($DV1423:$DZ1423,$EF1423)&gt;=3),"Ecosystem approach","")</f>
        <v/>
      </c>
      <c r="EM1423" s="2" t="str">
        <f>IF(AND(AND(AND($DX1423=0,$DW1423=0),OR($EC1423=1,$EA1423=1)),SUM($EB1423:$EE1423)&gt;=2),"Technology approach","")</f>
        <v/>
      </c>
      <c r="EP1423" t="b">
        <f>IF(ISNUMBER(BU1423),IF(ABS(BU1423-[5]QC_indicators!$B$2)&gt;3*[5]QC_indicators!$C$2,"C ratio",IF(ISNUMBER(BY1423),IF(ABS(BY1423-[5]QC_indicators!$B$1)&gt;3*[5]QC_indicators!$C$1,"DF","no"))),IF(ISNUMBER(BY1423),IF(ABS(BY1423-[5]QC_indicators!$B$1)&gt;3*[5]QC_indicators!$C$1,"DF","no")))</f>
        <v>0</v>
      </c>
    </row>
    <row r="1424" spans="1:146" ht="15" customHeight="1">
      <c r="A1424" s="1" t="s">
        <v>333</v>
      </c>
      <c r="B1424" t="s">
        <v>3938</v>
      </c>
      <c r="C1424" t="s">
        <v>3939</v>
      </c>
      <c r="D1424" t="s">
        <v>3940</v>
      </c>
      <c r="E1424" t="s">
        <v>3941</v>
      </c>
      <c r="F1424" t="s">
        <v>3942</v>
      </c>
      <c r="G1424" t="s">
        <v>339</v>
      </c>
      <c r="H1424" t="s">
        <v>254</v>
      </c>
      <c r="I1424">
        <v>2018</v>
      </c>
      <c r="J1424">
        <v>62</v>
      </c>
      <c r="K1424" t="s">
        <v>3943</v>
      </c>
      <c r="M1424" t="str">
        <f>LEFT($D1424,FIND(",",$D1424)-1)&amp;"_"&amp;I1424&amp;L1424</f>
        <v>Pittau_2018</v>
      </c>
      <c r="N1424" s="312" t="s">
        <v>4383</v>
      </c>
      <c r="O1424" s="171" t="s">
        <v>513</v>
      </c>
      <c r="P1424" t="s">
        <v>341</v>
      </c>
      <c r="Q1424" s="312" t="s">
        <v>389</v>
      </c>
      <c r="R1424" s="313"/>
      <c r="S1424" s="1" t="s">
        <v>3955</v>
      </c>
      <c r="T1424" t="s">
        <v>3945</v>
      </c>
      <c r="V1424">
        <v>0</v>
      </c>
      <c r="W1424">
        <v>1</v>
      </c>
      <c r="X1424">
        <v>0</v>
      </c>
      <c r="Y1424">
        <v>0</v>
      </c>
      <c r="Z1424">
        <v>0</v>
      </c>
      <c r="AA1424">
        <v>0</v>
      </c>
      <c r="AB1424">
        <v>0</v>
      </c>
      <c r="AC1424">
        <v>0</v>
      </c>
      <c r="AD1424">
        <v>0</v>
      </c>
      <c r="AE1424">
        <v>0</v>
      </c>
      <c r="AF1424">
        <v>1</v>
      </c>
      <c r="AG1424">
        <v>1</v>
      </c>
      <c r="AH1424">
        <v>1</v>
      </c>
      <c r="AI1424">
        <v>1</v>
      </c>
      <c r="AJ1424">
        <v>0</v>
      </c>
      <c r="AK1424">
        <v>0</v>
      </c>
      <c r="AL1424">
        <v>0</v>
      </c>
      <c r="AM1424">
        <v>0</v>
      </c>
      <c r="AN1424">
        <v>0</v>
      </c>
      <c r="AO1424">
        <v>0</v>
      </c>
      <c r="AP1424">
        <v>0</v>
      </c>
      <c r="AQ1424">
        <v>0</v>
      </c>
      <c r="AR1424">
        <v>0</v>
      </c>
      <c r="AS1424">
        <v>0</v>
      </c>
      <c r="AT1424">
        <v>0</v>
      </c>
      <c r="AU1424">
        <v>0</v>
      </c>
      <c r="AV1424">
        <v>0</v>
      </c>
      <c r="AW1424">
        <v>0</v>
      </c>
      <c r="AX1424" s="141">
        <f>COUNTIF(V1424:AW1424,"&lt;&gt;0")</f>
        <v>5</v>
      </c>
      <c r="AY1424" s="141">
        <f>COUNTIF(V1424:AL1424,"&lt;&gt;0")</f>
        <v>5</v>
      </c>
      <c r="AZ1424">
        <f>COUNTIF(V1424:AC1424,"&lt;&gt;0")</f>
        <v>1</v>
      </c>
      <c r="BA1424">
        <f>COUNTIF(AD1424:AI1424,"&lt;&gt;0")</f>
        <v>4</v>
      </c>
      <c r="BB1424">
        <f>COUNTIF(AJ1424:AL1424,"&lt;&gt;0")</f>
        <v>0</v>
      </c>
      <c r="BC1424">
        <f>COUNTIF(AS1424:AW1424,"&lt;&gt;0")</f>
        <v>0</v>
      </c>
      <c r="BD1424">
        <f>COUNTIF(AM1424:AR1424,"&lt;&gt;0")</f>
        <v>0</v>
      </c>
      <c r="BE1424" t="str" cm="1">
        <f t="array" ref="BE1424">IF(AY1424=1,INDEX($V$7:$AL$7,MATCH(TRUE,INDEX($V1424:$AW1424&lt;&gt;0,),0)),IF(AY1424=0,INDEX($AM$7:$AW$7,MATCH(1,$AM1424:$AW1424,0)),IF(BF1424="Multiple strategies","mixed drivers",IF(BF1424="Supply chain","multiple supply","multiple silviculture"))))</f>
        <v>mixed drivers</v>
      </c>
      <c r="BF1424" s="2" t="str" cm="1">
        <f t="array" ref="BF1424">IF(COUNTIF(AZ1424:BB1424,"&lt;&gt;0")=1,INDEX($V$4:$AW$4,MATCH(TRUE,INDEX($V1424:$AW1424&lt;&gt;0,),0)),IF(COUNTIF(AZ1424:BB1424,"&lt;&gt;0")=0,INDEX($AM$4:$AW$4,MATCH(1,$AM1424:$AW1424,0)),"Multiple strategies"))</f>
        <v>Multiple strategies</v>
      </c>
      <c r="BG1424" s="142"/>
      <c r="BJ1424" s="143"/>
      <c r="BL1424" s="143"/>
      <c r="BN1424" s="158"/>
      <c r="BO1424" s="143"/>
      <c r="BP1424" t="s">
        <v>395</v>
      </c>
      <c r="BR1424" t="s">
        <v>3946</v>
      </c>
      <c r="BS1424">
        <v>173.61053100000004</v>
      </c>
      <c r="BT1424">
        <v>14.45</v>
      </c>
      <c r="BU1424" s="144"/>
      <c r="BV1424">
        <f>BT1424-BS1424</f>
        <v>-159.16053100000005</v>
      </c>
      <c r="BY1424" t="str">
        <f>IFERROR(BX1424/BO1424,"")</f>
        <v/>
      </c>
      <c r="CA1424">
        <v>1</v>
      </c>
      <c r="CB1424">
        <v>0</v>
      </c>
      <c r="CC1424">
        <v>0</v>
      </c>
      <c r="CD1424">
        <v>0</v>
      </c>
      <c r="CE1424">
        <v>0</v>
      </c>
      <c r="CF1424">
        <v>0</v>
      </c>
      <c r="CG1424">
        <v>0</v>
      </c>
      <c r="CH1424">
        <v>0</v>
      </c>
      <c r="CI1424">
        <v>0</v>
      </c>
      <c r="CJ1424">
        <v>0</v>
      </c>
      <c r="CK1424">
        <v>0</v>
      </c>
      <c r="CL1424">
        <v>0</v>
      </c>
      <c r="CM1424">
        <v>0</v>
      </c>
      <c r="CN1424" t="str">
        <f>IF($BL1424&lt;$BK1424,"refNeedCorrection","refOK")</f>
        <v>refOK</v>
      </c>
      <c r="CO1424"/>
      <c r="CP1424"/>
      <c r="CQ1424"/>
      <c r="CR1424">
        <f>IF($CN1424="refOK",$BS1424,$BT1424)*IF($BP1424="Emissions positive",-1,1)</f>
        <v>-173.61053100000004</v>
      </c>
      <c r="CS1424">
        <f>IF($CN1424="refOK",$BT1424,$BS1424)*IF($BP1424="Emissions positive",-1,1)</f>
        <v>-14.45</v>
      </c>
      <c r="CT1424">
        <f>IF($CN1424="refNeedCorrection",-BX1424,BX1424)*IF($BP1424="Emissions positive",-1,1)</f>
        <v>0</v>
      </c>
      <c r="CU1424" t="str">
        <f>IFERROR(CT1424/CQ1424,"")</f>
        <v/>
      </c>
      <c r="CV1424" s="2">
        <f>IFERROR((CS1424-CR1424)/ABS(CR1424),"")</f>
        <v>0.91676772188433675</v>
      </c>
      <c r="CW1424" s="1" t="s">
        <v>974</v>
      </c>
      <c r="CX1424" s="312" t="str">
        <f>IF(OR($CW1424="prd",$CW1424="std",$CW1424="cit"),"loc",IF(OR($CW1424="eur",$CW1424="reg",$CW1424="coy"),"reg",$CW1424))</f>
        <v>loc</v>
      </c>
      <c r="CY1424" t="s">
        <v>639</v>
      </c>
      <c r="DA1424" s="143"/>
      <c r="DB1424" s="143">
        <v>200</v>
      </c>
      <c r="DC1424" t="str">
        <f>IF(DB1424=0,"0",IF(AND(DB1424&gt;=1,DB1424&lt;=30),"1-30",IF(AND(DB1424&gt;30,DB1424&lt;=70),"31-70",IF(AND(DB1424&gt;70,DB1424&lt;=100),"71-100",IF(DB1424&gt;100,"+100")))))</f>
        <v>+100</v>
      </c>
      <c r="DD1424">
        <v>0</v>
      </c>
      <c r="DE1424">
        <v>0</v>
      </c>
      <c r="DF1424">
        <v>0</v>
      </c>
      <c r="DG1424">
        <v>1</v>
      </c>
      <c r="DH1424">
        <v>0</v>
      </c>
      <c r="DI1424">
        <f>SUM(DD1424:DH1424)</f>
        <v>1</v>
      </c>
      <c r="DJ1424" t="str">
        <f>IF(DI1424=1,INDEX($DD$7:$DG$7,MATCH(1,$DD1424:$DG1424,0)),"mixedProduct")</f>
        <v>TimberInput</v>
      </c>
      <c r="DK1424">
        <f>IF(DD1424=1,DK$7,0)</f>
        <v>0</v>
      </c>
      <c r="DL1424">
        <f>IF(DE1424=1,DL$7,0)</f>
        <v>0</v>
      </c>
      <c r="DM1424">
        <f>IF(DF1424=1,DM$7,0)</f>
        <v>0</v>
      </c>
      <c r="DN1424" t="str">
        <f>IF(DG1424=1,DN$7,0)</f>
        <v>Timber</v>
      </c>
      <c r="DO1424">
        <v>1</v>
      </c>
      <c r="DP1424" s="143">
        <v>0</v>
      </c>
      <c r="DQ1424" s="143">
        <v>0</v>
      </c>
      <c r="DR1424">
        <v>0</v>
      </c>
      <c r="DS1424" s="143">
        <v>0</v>
      </c>
      <c r="DT1424">
        <f>SUM(DO1424:DP1424)</f>
        <v>1</v>
      </c>
      <c r="DU1424" s="143" t="str">
        <f>IF(DO1424=1,"self-calculated DF",IF(DP1424=1,"external DF used","explicit C balance"))</f>
        <v>self-calculated DF</v>
      </c>
      <c r="DV1424" s="143">
        <v>0</v>
      </c>
      <c r="DW1424" s="143">
        <v>0</v>
      </c>
      <c r="DX1424" s="143">
        <v>1</v>
      </c>
      <c r="DY1424" s="143">
        <v>1</v>
      </c>
      <c r="DZ1424">
        <v>1</v>
      </c>
      <c r="EA1424" s="143">
        <v>1</v>
      </c>
      <c r="EB1424" s="143">
        <v>1</v>
      </c>
      <c r="EC1424" s="143">
        <v>1</v>
      </c>
      <c r="ED1424" s="143">
        <v>1</v>
      </c>
      <c r="EE1424">
        <v>1</v>
      </c>
      <c r="EF1424">
        <v>1</v>
      </c>
      <c r="EG1424" s="143">
        <v>1</v>
      </c>
      <c r="EH1424">
        <v>1</v>
      </c>
      <c r="EI1424" s="2">
        <v>0</v>
      </c>
      <c r="EK1424" t="str">
        <f>IF(AND(AND(AND(OR($DX1424=1,$DW1424=1),OR($EC1424=1,$EA1424=1)),SUM($DV1424:$DZ1424,$EF1424)&gt;=3),SUM($EA1424:$EE1424)&gt;=2),"Whole sector","")</f>
        <v>Whole sector</v>
      </c>
      <c r="EL1424" t="str">
        <f>IF(AND(AND(OR($DX1424=1,$DW1424=1),AND($EC1424=0,$EA1424=0)),SUM($DV1424:$DZ1424,$EF1424)&gt;=3),"Ecosystem approach","")</f>
        <v/>
      </c>
      <c r="EM1424" s="2" t="str">
        <f>IF(AND(AND(AND($DX1424=0,$DW1424=0),OR($EC1424=1,$EA1424=1)),SUM($EB1424:$EE1424)&gt;=2),"Technology approach","")</f>
        <v/>
      </c>
      <c r="EP1424" t="b">
        <f>IF(ISNUMBER(BU1424),IF(ABS(BU1424-[5]QC_indicators!$B$2)&gt;3*[5]QC_indicators!$C$2,"C ratio",IF(ISNUMBER(BY1424),IF(ABS(BY1424-[5]QC_indicators!$B$1)&gt;3*[5]QC_indicators!$C$1,"DF","no"))),IF(ISNUMBER(BY1424),IF(ABS(BY1424-[5]QC_indicators!$B$1)&gt;3*[5]QC_indicators!$C$1,"DF","no")))</f>
        <v>0</v>
      </c>
    </row>
    <row r="1425" spans="1:146" ht="15" customHeight="1">
      <c r="A1425" s="1" t="s">
        <v>333</v>
      </c>
      <c r="B1425" t="s">
        <v>3938</v>
      </c>
      <c r="C1425" t="s">
        <v>3939</v>
      </c>
      <c r="D1425" t="s">
        <v>3940</v>
      </c>
      <c r="E1425" t="s">
        <v>3941</v>
      </c>
      <c r="F1425" t="s">
        <v>3942</v>
      </c>
      <c r="G1425" t="s">
        <v>339</v>
      </c>
      <c r="H1425" t="s">
        <v>254</v>
      </c>
      <c r="I1425">
        <v>2018</v>
      </c>
      <c r="J1425">
        <v>62</v>
      </c>
      <c r="K1425" t="s">
        <v>3943</v>
      </c>
      <c r="M1425" t="str">
        <f>LEFT($D1425,FIND(",",$D1425)-1)&amp;"_"&amp;I1425&amp;L1425</f>
        <v>Pittau_2018</v>
      </c>
      <c r="N1425" s="312" t="s">
        <v>4383</v>
      </c>
      <c r="O1425" s="171" t="s">
        <v>513</v>
      </c>
      <c r="P1425" t="s">
        <v>341</v>
      </c>
      <c r="Q1425" s="312" t="s">
        <v>389</v>
      </c>
      <c r="R1425" s="313"/>
      <c r="S1425" s="1" t="s">
        <v>3956</v>
      </c>
      <c r="T1425" t="s">
        <v>3945</v>
      </c>
      <c r="V1425">
        <v>0</v>
      </c>
      <c r="W1425">
        <v>1</v>
      </c>
      <c r="X1425">
        <v>0</v>
      </c>
      <c r="Y1425">
        <v>0</v>
      </c>
      <c r="Z1425">
        <v>0</v>
      </c>
      <c r="AA1425">
        <v>0</v>
      </c>
      <c r="AB1425">
        <v>0</v>
      </c>
      <c r="AC1425">
        <v>0</v>
      </c>
      <c r="AD1425">
        <v>0</v>
      </c>
      <c r="AE1425">
        <v>0</v>
      </c>
      <c r="AF1425">
        <v>1</v>
      </c>
      <c r="AG1425">
        <v>1</v>
      </c>
      <c r="AH1425">
        <v>1</v>
      </c>
      <c r="AI1425">
        <v>1</v>
      </c>
      <c r="AJ1425">
        <v>0</v>
      </c>
      <c r="AK1425">
        <v>0</v>
      </c>
      <c r="AL1425">
        <v>0</v>
      </c>
      <c r="AM1425">
        <v>0</v>
      </c>
      <c r="AN1425">
        <v>0</v>
      </c>
      <c r="AO1425">
        <v>0</v>
      </c>
      <c r="AP1425">
        <v>0</v>
      </c>
      <c r="AQ1425">
        <v>0</v>
      </c>
      <c r="AR1425">
        <v>0</v>
      </c>
      <c r="AS1425">
        <v>0</v>
      </c>
      <c r="AT1425">
        <v>0</v>
      </c>
      <c r="AU1425">
        <v>0</v>
      </c>
      <c r="AV1425">
        <v>0</v>
      </c>
      <c r="AW1425">
        <v>0</v>
      </c>
      <c r="AX1425" s="141">
        <f>COUNTIF(V1425:AW1425,"&lt;&gt;0")</f>
        <v>5</v>
      </c>
      <c r="AY1425" s="141">
        <f>COUNTIF(V1425:AL1425,"&lt;&gt;0")</f>
        <v>5</v>
      </c>
      <c r="AZ1425">
        <f>COUNTIF(V1425:AC1425,"&lt;&gt;0")</f>
        <v>1</v>
      </c>
      <c r="BA1425">
        <f>COUNTIF(AD1425:AI1425,"&lt;&gt;0")</f>
        <v>4</v>
      </c>
      <c r="BB1425">
        <f>COUNTIF(AJ1425:AL1425,"&lt;&gt;0")</f>
        <v>0</v>
      </c>
      <c r="BC1425">
        <f>COUNTIF(AS1425:AW1425,"&lt;&gt;0")</f>
        <v>0</v>
      </c>
      <c r="BD1425">
        <f>COUNTIF(AM1425:AR1425,"&lt;&gt;0")</f>
        <v>0</v>
      </c>
      <c r="BE1425" t="str" cm="1">
        <f t="array" ref="BE1425">IF(AY1425=1,INDEX($V$7:$AL$7,MATCH(TRUE,INDEX($V1425:$AW1425&lt;&gt;0,),0)),IF(AY1425=0,INDEX($AM$7:$AW$7,MATCH(1,$AM1425:$AW1425,0)),IF(BF1425="Multiple strategies","mixed drivers",IF(BF1425="Supply chain","multiple supply","multiple silviculture"))))</f>
        <v>mixed drivers</v>
      </c>
      <c r="BF1425" s="2" t="str" cm="1">
        <f t="array" ref="BF1425">IF(COUNTIF(AZ1425:BB1425,"&lt;&gt;0")=1,INDEX($V$4:$AW$4,MATCH(TRUE,INDEX($V1425:$AW1425&lt;&gt;0,),0)),IF(COUNTIF(AZ1425:BB1425,"&lt;&gt;0")=0,INDEX($AM$4:$AW$4,MATCH(1,$AM1425:$AW1425,0)),"Multiple strategies"))</f>
        <v>Multiple strategies</v>
      </c>
      <c r="BP1425" t="s">
        <v>395</v>
      </c>
      <c r="BR1425" t="s">
        <v>3946</v>
      </c>
      <c r="BS1425">
        <v>173.61053100000004</v>
      </c>
      <c r="BT1425">
        <v>105.92</v>
      </c>
      <c r="BV1425">
        <f>BT1425-BS1425</f>
        <v>-67.690531000000036</v>
      </c>
      <c r="BY1425" t="str">
        <f>IFERROR(BX1425/BO1425,"")</f>
        <v/>
      </c>
      <c r="CA1425">
        <v>1</v>
      </c>
      <c r="CB1425">
        <v>0</v>
      </c>
      <c r="CC1425">
        <v>0</v>
      </c>
      <c r="CD1425">
        <v>0</v>
      </c>
      <c r="CE1425">
        <v>0</v>
      </c>
      <c r="CF1425">
        <v>0</v>
      </c>
      <c r="CG1425">
        <v>0</v>
      </c>
      <c r="CH1425">
        <v>0</v>
      </c>
      <c r="CI1425">
        <v>0</v>
      </c>
      <c r="CJ1425">
        <v>0</v>
      </c>
      <c r="CK1425">
        <v>0</v>
      </c>
      <c r="CL1425">
        <v>0</v>
      </c>
      <c r="CM1425">
        <v>0</v>
      </c>
      <c r="CN1425" t="str">
        <f>IF($BL1425&lt;$BK1425,"refNeedCorrection","refOK")</f>
        <v>refOK</v>
      </c>
      <c r="CO1425"/>
      <c r="CP1425"/>
      <c r="CQ1425"/>
      <c r="CR1425">
        <f>IF($CN1425="refOK",$BS1425,$BT1425)*IF($BP1425="Emissions positive",-1,1)</f>
        <v>-173.61053100000004</v>
      </c>
      <c r="CS1425">
        <f>IF($CN1425="refOK",$BT1425,$BS1425)*IF($BP1425="Emissions positive",-1,1)</f>
        <v>-105.92</v>
      </c>
      <c r="CT1425">
        <f>IF($CN1425="refNeedCorrection",-BX1425,BX1425)*IF($BP1425="Emissions positive",-1,1)</f>
        <v>0</v>
      </c>
      <c r="CU1425" t="str">
        <f>IFERROR(CT1425/CQ1425,"")</f>
        <v/>
      </c>
      <c r="CV1425" s="2">
        <f>IFERROR((CS1425-CR1425)/ABS(CR1425),"")</f>
        <v>0.38989876138331736</v>
      </c>
      <c r="CW1425" s="1" t="s">
        <v>974</v>
      </c>
      <c r="CX1425" s="312" t="str">
        <f>IF(OR($CW1425="prd",$CW1425="std",$CW1425="cit"),"loc",IF(OR($CW1425="eur",$CW1425="reg",$CW1425="coy"),"reg",$CW1425))</f>
        <v>loc</v>
      </c>
      <c r="CY1425" t="s">
        <v>639</v>
      </c>
      <c r="DA1425" s="143"/>
      <c r="DB1425" s="143">
        <v>200</v>
      </c>
      <c r="DC1425" t="str">
        <f>IF(DB1425=0,"0",IF(AND(DB1425&gt;=1,DB1425&lt;=30),"1-30",IF(AND(DB1425&gt;30,DB1425&lt;=70),"31-70",IF(AND(DB1425&gt;70,DB1425&lt;=100),"71-100",IF(DB1425&gt;100,"+100")))))</f>
        <v>+100</v>
      </c>
      <c r="DD1425">
        <v>0</v>
      </c>
      <c r="DE1425">
        <v>0</v>
      </c>
      <c r="DF1425">
        <v>0</v>
      </c>
      <c r="DG1425">
        <v>1</v>
      </c>
      <c r="DH1425">
        <v>0</v>
      </c>
      <c r="DI1425">
        <v>1</v>
      </c>
      <c r="DJ1425" t="str">
        <f>IF(DI1425=1,INDEX($DD$7:$DG$7,MATCH(1,$DD1425:$DG1425,0)),"mixedProduct")</f>
        <v>TimberInput</v>
      </c>
      <c r="DK1425">
        <f>IF(DD1425=1,DK$7,0)</f>
        <v>0</v>
      </c>
      <c r="DL1425">
        <f>IF(DE1425=1,DL$7,0)</f>
        <v>0</v>
      </c>
      <c r="DM1425">
        <f>IF(DF1425=1,DM$7,0)</f>
        <v>0</v>
      </c>
      <c r="DN1425" t="str">
        <f>IF(DG1425=1,DN$7,0)</f>
        <v>Timber</v>
      </c>
      <c r="DO1425">
        <v>1</v>
      </c>
      <c r="DP1425" s="143">
        <v>0</v>
      </c>
      <c r="DQ1425" s="143">
        <v>0</v>
      </c>
      <c r="DR1425">
        <v>0</v>
      </c>
      <c r="DS1425" s="143">
        <v>0</v>
      </c>
      <c r="DT1425">
        <f>SUM(DO1425:DP1425)</f>
        <v>1</v>
      </c>
      <c r="DU1425" s="143" t="s">
        <v>183</v>
      </c>
      <c r="DV1425" s="143">
        <v>0</v>
      </c>
      <c r="DW1425" s="143">
        <v>0</v>
      </c>
      <c r="DX1425" s="143">
        <v>1</v>
      </c>
      <c r="DY1425" s="143">
        <v>1</v>
      </c>
      <c r="DZ1425">
        <v>1</v>
      </c>
      <c r="EA1425" s="143">
        <v>1</v>
      </c>
      <c r="EB1425" s="143">
        <v>1</v>
      </c>
      <c r="EC1425" s="143">
        <v>1</v>
      </c>
      <c r="ED1425" s="143">
        <v>1</v>
      </c>
      <c r="EE1425">
        <v>1</v>
      </c>
      <c r="EF1425">
        <v>1</v>
      </c>
      <c r="EG1425" s="143">
        <v>1</v>
      </c>
      <c r="EH1425">
        <v>1</v>
      </c>
      <c r="EI1425" s="2">
        <v>0</v>
      </c>
      <c r="EK1425" t="str">
        <f>IF(AND(AND(AND(OR($DX1425=1,$DW1425=1),OR($EC1425=1,$EA1425=1)),SUM($DV1425:$DZ1425,$EF1425)&gt;=3),SUM($EA1425:$EE1425)&gt;=2),"Whole sector","")</f>
        <v>Whole sector</v>
      </c>
      <c r="EL1425" t="str">
        <f>IF(AND(AND(OR($DX1425=1,$DW1425=1),AND($EC1425=0,$EA1425=0)),SUM($DV1425:$DZ1425,$EF1425)&gt;=3),"Ecosystem approach","")</f>
        <v/>
      </c>
      <c r="EM1425" s="2" t="str">
        <f>IF(AND(AND(AND($DX1425=0,$DW1425=0),OR($EC1425=1,$EA1425=1)),SUM($EB1425:$EE1425)&gt;=2),"Technology approach","")</f>
        <v/>
      </c>
      <c r="EP1425" t="b">
        <f>IF(ISNUMBER(BU1425),IF(ABS(BU1425-[5]QC_indicators!$B$2)&gt;3*[5]QC_indicators!$C$2,"C ratio",IF(ISNUMBER(BY1425),IF(ABS(BY1425-[5]QC_indicators!$B$1)&gt;3*[5]QC_indicators!$C$1,"DF","no"))),IF(ISNUMBER(BY1425),IF(ABS(BY1425-[5]QC_indicators!$B$1)&gt;3*[5]QC_indicators!$C$1,"DF","no")))</f>
        <v>0</v>
      </c>
    </row>
    <row r="1426" spans="1:146" ht="15" customHeight="1">
      <c r="A1426" s="1" t="s">
        <v>333</v>
      </c>
      <c r="B1426" t="s">
        <v>3938</v>
      </c>
      <c r="C1426" t="s">
        <v>3939</v>
      </c>
      <c r="D1426" t="s">
        <v>3940</v>
      </c>
      <c r="E1426" t="s">
        <v>3941</v>
      </c>
      <c r="F1426" t="s">
        <v>3942</v>
      </c>
      <c r="G1426" t="s">
        <v>339</v>
      </c>
      <c r="H1426" t="s">
        <v>254</v>
      </c>
      <c r="I1426">
        <v>2018</v>
      </c>
      <c r="J1426">
        <v>62</v>
      </c>
      <c r="K1426" t="s">
        <v>3943</v>
      </c>
      <c r="M1426" t="str">
        <f>LEFT($D1426,FIND(",",$D1426)-1)&amp;"_"&amp;I1426&amp;L1426</f>
        <v>Pittau_2018</v>
      </c>
      <c r="N1426" s="312" t="s">
        <v>4383</v>
      </c>
      <c r="O1426" s="171" t="s">
        <v>513</v>
      </c>
      <c r="P1426" t="s">
        <v>341</v>
      </c>
      <c r="Q1426" s="312" t="s">
        <v>389</v>
      </c>
      <c r="R1426" s="313"/>
      <c r="S1426" s="1" t="s">
        <v>3957</v>
      </c>
      <c r="T1426" t="s">
        <v>3945</v>
      </c>
      <c r="V1426">
        <v>0</v>
      </c>
      <c r="W1426">
        <v>1</v>
      </c>
      <c r="X1426">
        <v>0</v>
      </c>
      <c r="Y1426">
        <v>0</v>
      </c>
      <c r="Z1426">
        <v>0</v>
      </c>
      <c r="AA1426">
        <v>0</v>
      </c>
      <c r="AB1426">
        <v>0</v>
      </c>
      <c r="AC1426">
        <v>0</v>
      </c>
      <c r="AD1426">
        <v>0</v>
      </c>
      <c r="AE1426">
        <v>0</v>
      </c>
      <c r="AF1426">
        <v>1</v>
      </c>
      <c r="AG1426">
        <v>1</v>
      </c>
      <c r="AH1426">
        <v>1</v>
      </c>
      <c r="AI1426">
        <v>1</v>
      </c>
      <c r="AJ1426">
        <v>0</v>
      </c>
      <c r="AK1426">
        <v>0</v>
      </c>
      <c r="AL1426">
        <v>0</v>
      </c>
      <c r="AM1426">
        <v>0</v>
      </c>
      <c r="AN1426">
        <v>0</v>
      </c>
      <c r="AO1426">
        <v>0</v>
      </c>
      <c r="AP1426">
        <v>0</v>
      </c>
      <c r="AQ1426">
        <v>0</v>
      </c>
      <c r="AR1426">
        <v>0</v>
      </c>
      <c r="AS1426">
        <v>0</v>
      </c>
      <c r="AT1426">
        <v>0</v>
      </c>
      <c r="AU1426">
        <v>0</v>
      </c>
      <c r="AV1426">
        <v>0</v>
      </c>
      <c r="AW1426">
        <v>0</v>
      </c>
      <c r="AX1426" s="141">
        <f>COUNTIF(V1426:AW1426,"&lt;&gt;0")</f>
        <v>5</v>
      </c>
      <c r="AY1426" s="141">
        <f>COUNTIF(V1426:AL1426,"&lt;&gt;0")</f>
        <v>5</v>
      </c>
      <c r="AZ1426">
        <f>COUNTIF(V1426:AC1426,"&lt;&gt;0")</f>
        <v>1</v>
      </c>
      <c r="BA1426">
        <f>COUNTIF(AD1426:AI1426,"&lt;&gt;0")</f>
        <v>4</v>
      </c>
      <c r="BB1426">
        <f>COUNTIF(AJ1426:AL1426,"&lt;&gt;0")</f>
        <v>0</v>
      </c>
      <c r="BC1426">
        <f>COUNTIF(AS1426:AW1426,"&lt;&gt;0")</f>
        <v>0</v>
      </c>
      <c r="BD1426">
        <f>COUNTIF(AM1426:AR1426,"&lt;&gt;0")</f>
        <v>0</v>
      </c>
      <c r="BE1426" t="str" cm="1">
        <f t="array" ref="BE1426">IF(AY1426=1,INDEX($V$7:$AL$7,MATCH(TRUE,INDEX($V1426:$AW1426&lt;&gt;0,),0)),IF(AY1426=0,INDEX($AM$7:$AW$7,MATCH(1,$AM1426:$AW1426,0)),IF(BF1426="Multiple strategies","mixed drivers",IF(BF1426="Supply chain","multiple supply","multiple silviculture"))))</f>
        <v>mixed drivers</v>
      </c>
      <c r="BF1426" s="2" t="str" cm="1">
        <f t="array" ref="BF1426">IF(COUNTIF(AZ1426:BB1426,"&lt;&gt;0")=1,INDEX($V$4:$AW$4,MATCH(TRUE,INDEX($V1426:$AW1426&lt;&gt;0,),0)),IF(COUNTIF(AZ1426:BB1426,"&lt;&gt;0")=0,INDEX($AM$4:$AW$4,MATCH(1,$AM1426:$AW1426,0)),"Multiple strategies"))</f>
        <v>Multiple strategies</v>
      </c>
      <c r="BP1426" t="s">
        <v>395</v>
      </c>
      <c r="BR1426" t="s">
        <v>3946</v>
      </c>
      <c r="BS1426">
        <v>173.61053100000004</v>
      </c>
      <c r="BT1426">
        <v>118.32</v>
      </c>
      <c r="BV1426">
        <f>BT1426-BS1426</f>
        <v>-55.290531000000044</v>
      </c>
      <c r="BY1426" t="str">
        <f>IFERROR(BX1426/BO1426,"")</f>
        <v/>
      </c>
      <c r="CA1426">
        <v>1</v>
      </c>
      <c r="CB1426">
        <v>0</v>
      </c>
      <c r="CC1426">
        <v>0</v>
      </c>
      <c r="CD1426">
        <v>0</v>
      </c>
      <c r="CE1426">
        <v>0</v>
      </c>
      <c r="CF1426">
        <v>0</v>
      </c>
      <c r="CG1426">
        <v>0</v>
      </c>
      <c r="CH1426">
        <v>0</v>
      </c>
      <c r="CI1426">
        <v>0</v>
      </c>
      <c r="CJ1426">
        <v>0</v>
      </c>
      <c r="CK1426">
        <v>0</v>
      </c>
      <c r="CL1426">
        <v>0</v>
      </c>
      <c r="CM1426">
        <v>0</v>
      </c>
      <c r="CN1426" t="str">
        <f>IF($BL1426&lt;$BK1426,"refNeedCorrection","refOK")</f>
        <v>refOK</v>
      </c>
      <c r="CO1426"/>
      <c r="CP1426"/>
      <c r="CQ1426"/>
      <c r="CR1426">
        <f>IF($CN1426="refOK",$BS1426,$BT1426)*IF($BP1426="Emissions positive",-1,1)</f>
        <v>-173.61053100000004</v>
      </c>
      <c r="CS1426">
        <f>IF($CN1426="refOK",$BT1426,$BS1426)*IF($BP1426="Emissions positive",-1,1)</f>
        <v>-118.32</v>
      </c>
      <c r="CT1426">
        <f>IF($CN1426="refNeedCorrection",-BX1426,BX1426)*IF($BP1426="Emissions positive",-1,1)</f>
        <v>0</v>
      </c>
      <c r="CU1426" t="str">
        <f>IFERROR(CT1426/CQ1426,"")</f>
        <v/>
      </c>
      <c r="CV1426" s="2">
        <f>IFERROR((CS1426-CR1426)/ABS(CR1426),"")</f>
        <v>0.3184745227235094</v>
      </c>
      <c r="CW1426" s="1" t="s">
        <v>974</v>
      </c>
      <c r="CX1426" s="312" t="str">
        <f>IF(OR($CW1426="prd",$CW1426="std",$CW1426="cit"),"loc",IF(OR($CW1426="eur",$CW1426="reg",$CW1426="coy"),"reg",$CW1426))</f>
        <v>loc</v>
      </c>
      <c r="CY1426" t="s">
        <v>639</v>
      </c>
      <c r="DA1426" s="143"/>
      <c r="DB1426" s="143">
        <v>200</v>
      </c>
      <c r="DC1426" t="str">
        <f>IF(DB1426=0,"0",IF(AND(DB1426&gt;=1,DB1426&lt;=30),"1-30",IF(AND(DB1426&gt;30,DB1426&lt;=70),"31-70",IF(AND(DB1426&gt;70,DB1426&lt;=100),"71-100",IF(DB1426&gt;100,"+100")))))</f>
        <v>+100</v>
      </c>
      <c r="DD1426">
        <v>0</v>
      </c>
      <c r="DE1426">
        <v>0</v>
      </c>
      <c r="DF1426">
        <v>0</v>
      </c>
      <c r="DG1426">
        <v>1</v>
      </c>
      <c r="DH1426">
        <v>0</v>
      </c>
      <c r="DI1426">
        <v>1</v>
      </c>
      <c r="DJ1426" t="str">
        <f>IF(DI1426=1,INDEX($DD$7:$DG$7,MATCH(1,$DD1426:$DG1426,0)),"mixedProduct")</f>
        <v>TimberInput</v>
      </c>
      <c r="DK1426">
        <f>IF(DD1426=1,DK$7,0)</f>
        <v>0</v>
      </c>
      <c r="DL1426">
        <f>IF(DE1426=1,DL$7,0)</f>
        <v>0</v>
      </c>
      <c r="DM1426">
        <f>IF(DF1426=1,DM$7,0)</f>
        <v>0</v>
      </c>
      <c r="DN1426" t="str">
        <f>IF(DG1426=1,DN$7,0)</f>
        <v>Timber</v>
      </c>
      <c r="DO1426">
        <v>1</v>
      </c>
      <c r="DP1426" s="143">
        <v>0</v>
      </c>
      <c r="DQ1426" s="143">
        <v>0</v>
      </c>
      <c r="DR1426">
        <v>0</v>
      </c>
      <c r="DS1426" s="143">
        <v>0</v>
      </c>
      <c r="DT1426">
        <f>SUM(DO1426:DP1426)</f>
        <v>1</v>
      </c>
      <c r="DU1426" s="143" t="s">
        <v>183</v>
      </c>
      <c r="DV1426" s="143">
        <v>0</v>
      </c>
      <c r="DW1426" s="143">
        <v>0</v>
      </c>
      <c r="DX1426" s="143">
        <v>1</v>
      </c>
      <c r="DY1426" s="143">
        <v>1</v>
      </c>
      <c r="DZ1426">
        <v>1</v>
      </c>
      <c r="EA1426" s="143">
        <v>1</v>
      </c>
      <c r="EB1426" s="143">
        <v>1</v>
      </c>
      <c r="EC1426" s="143">
        <v>1</v>
      </c>
      <c r="ED1426" s="143">
        <v>1</v>
      </c>
      <c r="EE1426">
        <v>1</v>
      </c>
      <c r="EF1426">
        <v>1</v>
      </c>
      <c r="EG1426" s="143">
        <v>1</v>
      </c>
      <c r="EH1426">
        <v>1</v>
      </c>
      <c r="EI1426" s="2">
        <v>0</v>
      </c>
      <c r="EK1426" t="str">
        <f>IF(AND(AND(AND(OR($DX1426=1,$DW1426=1),OR($EC1426=1,$EA1426=1)),SUM($DV1426:$DZ1426,$EF1426)&gt;=3),SUM($EA1426:$EE1426)&gt;=2),"Whole sector","")</f>
        <v>Whole sector</v>
      </c>
      <c r="EL1426" t="str">
        <f>IF(AND(AND(OR($DX1426=1,$DW1426=1),AND($EC1426=0,$EA1426=0)),SUM($DV1426:$DZ1426,$EF1426)&gt;=3),"Ecosystem approach","")</f>
        <v/>
      </c>
      <c r="EM1426" s="2" t="str">
        <f>IF(AND(AND(AND($DX1426=0,$DW1426=0),OR($EC1426=1,$EA1426=1)),SUM($EB1426:$EE1426)&gt;=2),"Technology approach","")</f>
        <v/>
      </c>
      <c r="EP1426" t="b">
        <f>IF(ISNUMBER(BU1426),IF(ABS(BU1426-[5]QC_indicators!$B$2)&gt;3*[5]QC_indicators!$C$2,"C ratio",IF(ISNUMBER(BY1426),IF(ABS(BY1426-[5]QC_indicators!$B$1)&gt;3*[5]QC_indicators!$C$1,"DF","no"))),IF(ISNUMBER(BY1426),IF(ABS(BY1426-[5]QC_indicators!$B$1)&gt;3*[5]QC_indicators!$C$1,"DF","no")))</f>
        <v>0</v>
      </c>
    </row>
    <row r="1427" spans="1:146" ht="15" customHeight="1">
      <c r="A1427" s="1" t="s">
        <v>333</v>
      </c>
      <c r="B1427" t="s">
        <v>3938</v>
      </c>
      <c r="C1427" t="s">
        <v>3939</v>
      </c>
      <c r="D1427" t="s">
        <v>3940</v>
      </c>
      <c r="E1427" t="s">
        <v>3941</v>
      </c>
      <c r="F1427" t="s">
        <v>3942</v>
      </c>
      <c r="G1427" t="s">
        <v>339</v>
      </c>
      <c r="H1427" t="s">
        <v>254</v>
      </c>
      <c r="I1427">
        <v>2018</v>
      </c>
      <c r="J1427">
        <v>62</v>
      </c>
      <c r="K1427" t="s">
        <v>3943</v>
      </c>
      <c r="M1427" t="str">
        <f>LEFT($D1427,FIND(",",$D1427)-1)&amp;"_"&amp;I1427&amp;L1427</f>
        <v>Pittau_2018</v>
      </c>
      <c r="N1427" s="312" t="s">
        <v>4383</v>
      </c>
      <c r="O1427" s="171" t="s">
        <v>513</v>
      </c>
      <c r="P1427" t="s">
        <v>341</v>
      </c>
      <c r="Q1427" s="312" t="s">
        <v>389</v>
      </c>
      <c r="R1427" s="313"/>
      <c r="S1427" s="1" t="s">
        <v>3958</v>
      </c>
      <c r="T1427" t="s">
        <v>3945</v>
      </c>
      <c r="V1427">
        <v>0</v>
      </c>
      <c r="W1427">
        <v>1</v>
      </c>
      <c r="X1427">
        <v>0</v>
      </c>
      <c r="Y1427">
        <v>0</v>
      </c>
      <c r="Z1427">
        <v>0</v>
      </c>
      <c r="AA1427">
        <v>0</v>
      </c>
      <c r="AB1427">
        <v>0</v>
      </c>
      <c r="AC1427">
        <v>0</v>
      </c>
      <c r="AD1427">
        <v>0</v>
      </c>
      <c r="AE1427">
        <v>0</v>
      </c>
      <c r="AF1427">
        <v>1</v>
      </c>
      <c r="AG1427">
        <v>1</v>
      </c>
      <c r="AH1427">
        <v>1</v>
      </c>
      <c r="AI1427">
        <v>1</v>
      </c>
      <c r="AJ1427">
        <v>0</v>
      </c>
      <c r="AK1427">
        <v>0</v>
      </c>
      <c r="AL1427">
        <v>0</v>
      </c>
      <c r="AM1427">
        <v>0</v>
      </c>
      <c r="AN1427">
        <v>0</v>
      </c>
      <c r="AO1427">
        <v>0</v>
      </c>
      <c r="AP1427">
        <v>0</v>
      </c>
      <c r="AQ1427">
        <v>0</v>
      </c>
      <c r="AR1427">
        <v>0</v>
      </c>
      <c r="AS1427">
        <v>0</v>
      </c>
      <c r="AT1427">
        <v>0</v>
      </c>
      <c r="AU1427">
        <v>0</v>
      </c>
      <c r="AV1427">
        <v>0</v>
      </c>
      <c r="AW1427">
        <v>0</v>
      </c>
      <c r="AX1427" s="141">
        <f>COUNTIF(V1427:AW1427,"&lt;&gt;0")</f>
        <v>5</v>
      </c>
      <c r="AY1427" s="141">
        <f>COUNTIF(V1427:AL1427,"&lt;&gt;0")</f>
        <v>5</v>
      </c>
      <c r="AZ1427">
        <f>COUNTIF(V1427:AC1427,"&lt;&gt;0")</f>
        <v>1</v>
      </c>
      <c r="BA1427">
        <f>COUNTIF(AD1427:AI1427,"&lt;&gt;0")</f>
        <v>4</v>
      </c>
      <c r="BB1427">
        <f>COUNTIF(AJ1427:AL1427,"&lt;&gt;0")</f>
        <v>0</v>
      </c>
      <c r="BC1427">
        <f>COUNTIF(AS1427:AW1427,"&lt;&gt;0")</f>
        <v>0</v>
      </c>
      <c r="BD1427">
        <f>COUNTIF(AM1427:AR1427,"&lt;&gt;0")</f>
        <v>0</v>
      </c>
      <c r="BE1427" t="str" cm="1">
        <f t="array" ref="BE1427">IF(AY1427=1,INDEX($V$7:$AL$7,MATCH(TRUE,INDEX($V1427:$AW1427&lt;&gt;0,),0)),IF(AY1427=0,INDEX($AM$7:$AW$7,MATCH(1,$AM1427:$AW1427,0)),IF(BF1427="Multiple strategies","mixed drivers",IF(BF1427="Supply chain","multiple supply","multiple silviculture"))))</f>
        <v>mixed drivers</v>
      </c>
      <c r="BF1427" s="2" t="str" cm="1">
        <f t="array" ref="BF1427">IF(COUNTIF(AZ1427:BB1427,"&lt;&gt;0")=1,INDEX($V$4:$AW$4,MATCH(TRUE,INDEX($V1427:$AW1427&lt;&gt;0,),0)),IF(COUNTIF(AZ1427:BB1427,"&lt;&gt;0")=0,INDEX($AM$4:$AW$4,MATCH(1,$AM1427:$AW1427,0)),"Multiple strategies"))</f>
        <v>Multiple strategies</v>
      </c>
      <c r="BP1427" t="s">
        <v>395</v>
      </c>
      <c r="BR1427" t="s">
        <v>3946</v>
      </c>
      <c r="BS1427">
        <v>173.61053100000004</v>
      </c>
      <c r="BT1427">
        <v>119.43</v>
      </c>
      <c r="BV1427">
        <f>BT1427-BS1427</f>
        <v>-54.18053100000003</v>
      </c>
      <c r="BY1427" t="str">
        <f>IFERROR(BX1427/BO1427,"")</f>
        <v/>
      </c>
      <c r="CA1427">
        <v>1</v>
      </c>
      <c r="CB1427">
        <v>0</v>
      </c>
      <c r="CC1427">
        <v>0</v>
      </c>
      <c r="CD1427">
        <v>0</v>
      </c>
      <c r="CE1427">
        <v>0</v>
      </c>
      <c r="CF1427">
        <v>0</v>
      </c>
      <c r="CG1427">
        <v>0</v>
      </c>
      <c r="CH1427">
        <v>0</v>
      </c>
      <c r="CI1427">
        <v>0</v>
      </c>
      <c r="CJ1427">
        <v>0</v>
      </c>
      <c r="CK1427">
        <v>0</v>
      </c>
      <c r="CL1427">
        <v>0</v>
      </c>
      <c r="CM1427">
        <v>0</v>
      </c>
      <c r="CN1427" t="str">
        <f>IF($BL1427&lt;$BK1427,"refNeedCorrection","refOK")</f>
        <v>refOK</v>
      </c>
      <c r="CO1427"/>
      <c r="CP1427"/>
      <c r="CQ1427"/>
      <c r="CR1427">
        <f>IF($CN1427="refOK",$BS1427,$BT1427)*IF($BP1427="Emissions positive",-1,1)</f>
        <v>-173.61053100000004</v>
      </c>
      <c r="CS1427">
        <f>IF($CN1427="refOK",$BT1427,$BS1427)*IF($BP1427="Emissions positive",-1,1)</f>
        <v>-119.43</v>
      </c>
      <c r="CT1427">
        <f>IF($CN1427="refNeedCorrection",-BX1427,BX1427)*IF($BP1427="Emissions positive",-1,1)</f>
        <v>0</v>
      </c>
      <c r="CU1427" t="str">
        <f>IFERROR(CT1427/CQ1427,"")</f>
        <v/>
      </c>
      <c r="CV1427" s="2">
        <f>IFERROR((CS1427-CR1427)/ABS(CR1427),"")</f>
        <v>0.31208090135960714</v>
      </c>
      <c r="CW1427" s="1" t="s">
        <v>974</v>
      </c>
      <c r="CX1427" s="312" t="str">
        <f>IF(OR($CW1427="prd",$CW1427="std",$CW1427="cit"),"loc",IF(OR($CW1427="eur",$CW1427="reg",$CW1427="coy"),"reg",$CW1427))</f>
        <v>loc</v>
      </c>
      <c r="CY1427" t="s">
        <v>639</v>
      </c>
      <c r="DA1427" s="143"/>
      <c r="DB1427" s="143">
        <v>200</v>
      </c>
      <c r="DC1427" t="str">
        <f>IF(DB1427=0,"0",IF(AND(DB1427&gt;=1,DB1427&lt;=30),"1-30",IF(AND(DB1427&gt;30,DB1427&lt;=70),"31-70",IF(AND(DB1427&gt;70,DB1427&lt;=100),"71-100",IF(DB1427&gt;100,"+100")))))</f>
        <v>+100</v>
      </c>
      <c r="DD1427">
        <v>0</v>
      </c>
      <c r="DE1427">
        <v>0</v>
      </c>
      <c r="DF1427">
        <v>0</v>
      </c>
      <c r="DG1427">
        <v>1</v>
      </c>
      <c r="DH1427">
        <v>0</v>
      </c>
      <c r="DI1427">
        <f>SUM(DD1427:DH1427)</f>
        <v>1</v>
      </c>
      <c r="DJ1427" t="str">
        <f>IF(DI1427=1,INDEX($DD$7:$DG$7,MATCH(1,$DD1427:$DG1427,0)),"mixedProduct")</f>
        <v>TimberInput</v>
      </c>
      <c r="DK1427">
        <f>IF(DD1427=1,DK$7,0)</f>
        <v>0</v>
      </c>
      <c r="DL1427">
        <f>IF(DE1427=1,DL$7,0)</f>
        <v>0</v>
      </c>
      <c r="DM1427">
        <f>IF(DF1427=1,DM$7,0)</f>
        <v>0</v>
      </c>
      <c r="DN1427" t="str">
        <f>IF(DG1427=1,DN$7,0)</f>
        <v>Timber</v>
      </c>
      <c r="DO1427">
        <v>1</v>
      </c>
      <c r="DP1427" s="143">
        <v>0</v>
      </c>
      <c r="DQ1427" s="143">
        <v>0</v>
      </c>
      <c r="DR1427">
        <v>0</v>
      </c>
      <c r="DS1427" s="143">
        <v>0</v>
      </c>
      <c r="DT1427">
        <f>SUM(DO1427:DP1427)</f>
        <v>1</v>
      </c>
      <c r="DU1427" s="143" t="str">
        <f>IF(DO1427=1,"self-calculated DF",IF(DP1427=1,"external DF used","explicit C balance"))</f>
        <v>self-calculated DF</v>
      </c>
      <c r="DV1427" s="143">
        <v>0</v>
      </c>
      <c r="DW1427" s="143">
        <v>0</v>
      </c>
      <c r="DX1427" s="143">
        <v>1</v>
      </c>
      <c r="DY1427" s="143">
        <v>1</v>
      </c>
      <c r="DZ1427">
        <v>1</v>
      </c>
      <c r="EA1427" s="143">
        <v>1</v>
      </c>
      <c r="EB1427" s="143">
        <v>1</v>
      </c>
      <c r="EC1427" s="143">
        <v>1</v>
      </c>
      <c r="ED1427" s="143">
        <v>1</v>
      </c>
      <c r="EE1427">
        <v>1</v>
      </c>
      <c r="EF1427">
        <v>1</v>
      </c>
      <c r="EG1427" s="143">
        <v>1</v>
      </c>
      <c r="EH1427">
        <v>1</v>
      </c>
      <c r="EI1427" s="2">
        <v>0</v>
      </c>
      <c r="EK1427" t="str">
        <f>IF(AND(AND(AND(OR($DX1427=1,$DW1427=1),OR($EC1427=1,$EA1427=1)),SUM($DV1427:$DZ1427,$EF1427)&gt;=3),SUM($EA1427:$EE1427)&gt;=2),"Whole sector","")</f>
        <v>Whole sector</v>
      </c>
      <c r="EL1427" t="str">
        <f>IF(AND(AND(OR($DX1427=1,$DW1427=1),AND($EC1427=0,$EA1427=0)),SUM($DV1427:$DZ1427,$EF1427)&gt;=3),"Ecosystem approach","")</f>
        <v/>
      </c>
      <c r="EM1427" s="2" t="str">
        <f>IF(AND(AND(AND($DX1427=0,$DW1427=0),OR($EC1427=1,$EA1427=1)),SUM($EB1427:$EE1427)&gt;=2),"Technology approach","")</f>
        <v/>
      </c>
      <c r="EP1427" t="b">
        <f>IF(ISNUMBER(BU1427),IF(ABS(BU1427-[5]QC_indicators!$B$2)&gt;3*[5]QC_indicators!$C$2,"C ratio",IF(ISNUMBER(BY1427),IF(ABS(BY1427-[5]QC_indicators!$B$1)&gt;3*[5]QC_indicators!$C$1,"DF","no"))),IF(ISNUMBER(BY1427),IF(ABS(BY1427-[5]QC_indicators!$B$1)&gt;3*[5]QC_indicators!$C$1,"DF","no")))</f>
        <v>0</v>
      </c>
    </row>
    <row r="1428" spans="1:146" ht="15" customHeight="1">
      <c r="A1428" s="1" t="s">
        <v>333</v>
      </c>
      <c r="B1428" t="s">
        <v>3938</v>
      </c>
      <c r="C1428" t="s">
        <v>3939</v>
      </c>
      <c r="D1428" t="s">
        <v>3940</v>
      </c>
      <c r="E1428" t="s">
        <v>3941</v>
      </c>
      <c r="F1428" t="s">
        <v>3942</v>
      </c>
      <c r="G1428" t="s">
        <v>339</v>
      </c>
      <c r="H1428" t="s">
        <v>254</v>
      </c>
      <c r="I1428">
        <v>2018</v>
      </c>
      <c r="J1428">
        <v>62</v>
      </c>
      <c r="K1428" t="s">
        <v>3943</v>
      </c>
      <c r="M1428" t="str">
        <f>LEFT($D1428,FIND(",",$D1428)-1)&amp;"_"&amp;I1428&amp;L1428</f>
        <v>Pittau_2018</v>
      </c>
      <c r="N1428" s="312" t="s">
        <v>4383</v>
      </c>
      <c r="O1428" s="171" t="s">
        <v>513</v>
      </c>
      <c r="P1428" t="s">
        <v>341</v>
      </c>
      <c r="Q1428" s="312" t="s">
        <v>389</v>
      </c>
      <c r="R1428" s="313"/>
      <c r="S1428" s="1" t="s">
        <v>3959</v>
      </c>
      <c r="T1428" t="s">
        <v>3945</v>
      </c>
      <c r="V1428">
        <v>0</v>
      </c>
      <c r="W1428">
        <v>1</v>
      </c>
      <c r="X1428">
        <v>0</v>
      </c>
      <c r="Y1428">
        <v>0</v>
      </c>
      <c r="Z1428">
        <v>0</v>
      </c>
      <c r="AA1428">
        <v>0</v>
      </c>
      <c r="AB1428">
        <v>0</v>
      </c>
      <c r="AC1428">
        <v>0</v>
      </c>
      <c r="AD1428">
        <v>0</v>
      </c>
      <c r="AE1428">
        <v>0</v>
      </c>
      <c r="AF1428">
        <v>1</v>
      </c>
      <c r="AG1428">
        <v>1</v>
      </c>
      <c r="AH1428">
        <v>1</v>
      </c>
      <c r="AI1428">
        <v>1</v>
      </c>
      <c r="AJ1428">
        <v>0</v>
      </c>
      <c r="AK1428">
        <v>0</v>
      </c>
      <c r="AL1428">
        <v>0</v>
      </c>
      <c r="AM1428">
        <v>0</v>
      </c>
      <c r="AN1428">
        <v>0</v>
      </c>
      <c r="AO1428">
        <v>0</v>
      </c>
      <c r="AP1428">
        <v>0</v>
      </c>
      <c r="AQ1428">
        <v>0</v>
      </c>
      <c r="AR1428">
        <v>0</v>
      </c>
      <c r="AS1428">
        <v>0</v>
      </c>
      <c r="AT1428">
        <v>0</v>
      </c>
      <c r="AU1428">
        <v>0</v>
      </c>
      <c r="AV1428">
        <v>0</v>
      </c>
      <c r="AW1428">
        <v>0</v>
      </c>
      <c r="AX1428" s="141">
        <f>COUNTIF(V1428:AW1428,"&lt;&gt;0")</f>
        <v>5</v>
      </c>
      <c r="AY1428" s="141">
        <f>COUNTIF(V1428:AL1428,"&lt;&gt;0")</f>
        <v>5</v>
      </c>
      <c r="AZ1428">
        <f>COUNTIF(V1428:AC1428,"&lt;&gt;0")</f>
        <v>1</v>
      </c>
      <c r="BA1428">
        <f>COUNTIF(AD1428:AI1428,"&lt;&gt;0")</f>
        <v>4</v>
      </c>
      <c r="BB1428">
        <f>COUNTIF(AJ1428:AL1428,"&lt;&gt;0")</f>
        <v>0</v>
      </c>
      <c r="BC1428">
        <f>COUNTIF(AS1428:AW1428,"&lt;&gt;0")</f>
        <v>0</v>
      </c>
      <c r="BD1428">
        <f>COUNTIF(AM1428:AR1428,"&lt;&gt;0")</f>
        <v>0</v>
      </c>
      <c r="BE1428" t="str" cm="1">
        <f t="array" ref="BE1428">IF(AY1428=1,INDEX($V$7:$AL$7,MATCH(TRUE,INDEX($V1428:$AW1428&lt;&gt;0,),0)),IF(AY1428=0,INDEX($AM$7:$AW$7,MATCH(1,$AM1428:$AW1428,0)),IF(BF1428="Multiple strategies","mixed drivers",IF(BF1428="Supply chain","multiple supply","multiple silviculture"))))</f>
        <v>mixed drivers</v>
      </c>
      <c r="BF1428" s="2" t="str" cm="1">
        <f t="array" ref="BF1428">IF(COUNTIF(AZ1428:BB1428,"&lt;&gt;0")=1,INDEX($V$4:$AW$4,MATCH(TRUE,INDEX($V1428:$AW1428&lt;&gt;0,),0)),IF(COUNTIF(AZ1428:BB1428,"&lt;&gt;0")=0,INDEX($AM$4:$AW$4,MATCH(1,$AM1428:$AW1428,0)),"Multiple strategies"))</f>
        <v>Multiple strategies</v>
      </c>
      <c r="BG1428" s="142"/>
      <c r="BJ1428" s="143"/>
      <c r="BL1428" s="143"/>
      <c r="BN1428" s="158"/>
      <c r="BO1428" s="143"/>
      <c r="BP1428" t="s">
        <v>395</v>
      </c>
      <c r="BR1428" t="s">
        <v>3946</v>
      </c>
      <c r="BS1428">
        <v>173.61053100000004</v>
      </c>
      <c r="BT1428">
        <v>121.37</v>
      </c>
      <c r="BU1428" s="144"/>
      <c r="BV1428">
        <f>BT1428-BS1428</f>
        <v>-52.240531000000033</v>
      </c>
      <c r="BY1428" t="str">
        <f>IFERROR(BX1428/BO1428,"")</f>
        <v/>
      </c>
      <c r="CA1428">
        <v>1</v>
      </c>
      <c r="CB1428">
        <v>0</v>
      </c>
      <c r="CC1428">
        <v>0</v>
      </c>
      <c r="CD1428">
        <v>0</v>
      </c>
      <c r="CE1428">
        <v>0</v>
      </c>
      <c r="CF1428">
        <v>0</v>
      </c>
      <c r="CG1428">
        <v>0</v>
      </c>
      <c r="CH1428">
        <v>0</v>
      </c>
      <c r="CI1428">
        <v>0</v>
      </c>
      <c r="CJ1428">
        <v>0</v>
      </c>
      <c r="CK1428">
        <v>0</v>
      </c>
      <c r="CL1428">
        <v>0</v>
      </c>
      <c r="CM1428">
        <v>0</v>
      </c>
      <c r="CN1428" t="str">
        <f>IF($BL1428&lt;$BK1428,"refNeedCorrection","refOK")</f>
        <v>refOK</v>
      </c>
      <c r="CO1428"/>
      <c r="CP1428"/>
      <c r="CQ1428"/>
      <c r="CR1428">
        <f>IF($CN1428="refOK",$BS1428,$BT1428)*IF($BP1428="Emissions positive",-1,1)</f>
        <v>-173.61053100000004</v>
      </c>
      <c r="CS1428">
        <f>IF($CN1428="refOK",$BT1428,$BS1428)*IF($BP1428="Emissions positive",-1,1)</f>
        <v>-121.37</v>
      </c>
      <c r="CT1428">
        <f>IF($CN1428="refNeedCorrection",-BX1428,BX1428)*IF($BP1428="Emissions positive",-1,1)</f>
        <v>0</v>
      </c>
      <c r="CU1428" t="str">
        <f>IFERROR(CT1428/CQ1428,"")</f>
        <v/>
      </c>
      <c r="CV1428" s="2">
        <f>IFERROR((CS1428-CR1428)/ABS(CR1428),"")</f>
        <v>0.30090646402089527</v>
      </c>
      <c r="CW1428" s="1" t="s">
        <v>974</v>
      </c>
      <c r="CX1428" s="312" t="str">
        <f>IF(OR($CW1428="prd",$CW1428="std",$CW1428="cit"),"loc",IF(OR($CW1428="eur",$CW1428="reg",$CW1428="coy"),"reg",$CW1428))</f>
        <v>loc</v>
      </c>
      <c r="CY1428" t="s">
        <v>639</v>
      </c>
      <c r="DA1428" s="143"/>
      <c r="DB1428" s="143">
        <v>200</v>
      </c>
      <c r="DC1428" t="str">
        <f>IF(DB1428=0,"0",IF(AND(DB1428&gt;=1,DB1428&lt;=30),"1-30",IF(AND(DB1428&gt;30,DB1428&lt;=70),"31-70",IF(AND(DB1428&gt;70,DB1428&lt;=100),"71-100",IF(DB1428&gt;100,"+100")))))</f>
        <v>+100</v>
      </c>
      <c r="DD1428">
        <v>0</v>
      </c>
      <c r="DE1428">
        <v>0</v>
      </c>
      <c r="DF1428">
        <v>0</v>
      </c>
      <c r="DG1428">
        <v>1</v>
      </c>
      <c r="DH1428">
        <v>0</v>
      </c>
      <c r="DI1428">
        <f>SUM(DD1428:DH1428)</f>
        <v>1</v>
      </c>
      <c r="DJ1428" t="str">
        <f>IF(DI1428=1,INDEX($DD$7:$DG$7,MATCH(1,$DD1428:$DG1428,0)),"mixedProduct")</f>
        <v>TimberInput</v>
      </c>
      <c r="DK1428">
        <f>IF(DD1428=1,DK$7,0)</f>
        <v>0</v>
      </c>
      <c r="DL1428">
        <f>IF(DE1428=1,DL$7,0)</f>
        <v>0</v>
      </c>
      <c r="DM1428">
        <f>IF(DF1428=1,DM$7,0)</f>
        <v>0</v>
      </c>
      <c r="DN1428" t="str">
        <f>IF(DG1428=1,DN$7,0)</f>
        <v>Timber</v>
      </c>
      <c r="DO1428">
        <v>1</v>
      </c>
      <c r="DP1428" s="143">
        <v>0</v>
      </c>
      <c r="DQ1428" s="143">
        <v>0</v>
      </c>
      <c r="DR1428">
        <v>0</v>
      </c>
      <c r="DS1428" s="143">
        <v>0</v>
      </c>
      <c r="DT1428">
        <f>SUM(DO1428:DP1428)</f>
        <v>1</v>
      </c>
      <c r="DU1428" s="143" t="str">
        <f>IF(DO1428=1,"self-calculated DF",IF(DP1428=1,"external DF used","explicit C balance"))</f>
        <v>self-calculated DF</v>
      </c>
      <c r="DV1428" s="143">
        <v>0</v>
      </c>
      <c r="DW1428" s="143">
        <v>0</v>
      </c>
      <c r="DX1428" s="143">
        <v>1</v>
      </c>
      <c r="DY1428" s="143">
        <v>1</v>
      </c>
      <c r="DZ1428">
        <v>1</v>
      </c>
      <c r="EA1428" s="143">
        <v>1</v>
      </c>
      <c r="EB1428" s="143">
        <v>1</v>
      </c>
      <c r="EC1428" s="143">
        <v>1</v>
      </c>
      <c r="ED1428" s="143">
        <v>1</v>
      </c>
      <c r="EE1428">
        <v>1</v>
      </c>
      <c r="EF1428">
        <v>1</v>
      </c>
      <c r="EG1428" s="143">
        <v>1</v>
      </c>
      <c r="EH1428">
        <v>1</v>
      </c>
      <c r="EI1428" s="2">
        <v>0</v>
      </c>
      <c r="EK1428" t="str">
        <f>IF(AND(AND(AND(OR($DX1428=1,$DW1428=1),OR($EC1428=1,$EA1428=1)),SUM($DV1428:$DZ1428,$EF1428)&gt;=3),SUM($EA1428:$EE1428)&gt;=2),"Whole sector","")</f>
        <v>Whole sector</v>
      </c>
      <c r="EL1428" t="str">
        <f>IF(AND(AND(OR($DX1428=1,$DW1428=1),AND($EC1428=0,$EA1428=0)),SUM($DV1428:$DZ1428,$EF1428)&gt;=3),"Ecosystem approach","")</f>
        <v/>
      </c>
      <c r="EM1428" s="2" t="str">
        <f>IF(AND(AND(AND($DX1428=0,$DW1428=0),OR($EC1428=1,$EA1428=1)),SUM($EB1428:$EE1428)&gt;=2),"Technology approach","")</f>
        <v/>
      </c>
      <c r="EP1428" t="b">
        <f>IF(ISNUMBER(BU1428),IF(ABS(BU1428-[5]QC_indicators!$B$2)&gt;3*[5]QC_indicators!$C$2,"C ratio",IF(ISNUMBER(BY1428),IF(ABS(BY1428-[5]QC_indicators!$B$1)&gt;3*[5]QC_indicators!$C$1,"DF","no"))),IF(ISNUMBER(BY1428),IF(ABS(BY1428-[5]QC_indicators!$B$1)&gt;3*[5]QC_indicators!$C$1,"DF","no")))</f>
        <v>0</v>
      </c>
    </row>
    <row r="1429" spans="1:146" ht="15" customHeight="1">
      <c r="A1429" s="1" t="s">
        <v>3960</v>
      </c>
      <c r="B1429" t="s">
        <v>544</v>
      </c>
      <c r="C1429" t="s">
        <v>544</v>
      </c>
      <c r="D1429" t="s">
        <v>3961</v>
      </c>
      <c r="E1429" t="s">
        <v>3962</v>
      </c>
      <c r="F1429" t="s">
        <v>3963</v>
      </c>
      <c r="G1429" t="s">
        <v>3964</v>
      </c>
      <c r="H1429" t="s">
        <v>3965</v>
      </c>
      <c r="I1429">
        <v>2019</v>
      </c>
      <c r="J1429">
        <v>4</v>
      </c>
      <c r="K1429" t="s">
        <v>3966</v>
      </c>
      <c r="M1429" t="str">
        <f>LEFT($D1429,FIND(",",$D1429)-1)&amp;"_"&amp;I1429&amp;L1429</f>
        <v>Pittau_2019</v>
      </c>
      <c r="N1429" s="312" t="s">
        <v>4383</v>
      </c>
      <c r="O1429" s="171" t="s">
        <v>513</v>
      </c>
      <c r="P1429" t="s">
        <v>341</v>
      </c>
      <c r="Q1429" s="312" t="s">
        <v>389</v>
      </c>
      <c r="R1429" s="313"/>
      <c r="S1429" s="1" t="s">
        <v>3967</v>
      </c>
      <c r="T1429" t="s">
        <v>665</v>
      </c>
      <c r="U1429" t="s">
        <v>3968</v>
      </c>
      <c r="V1429">
        <v>0</v>
      </c>
      <c r="W1429">
        <v>0</v>
      </c>
      <c r="X1429">
        <v>0</v>
      </c>
      <c r="Y1429">
        <v>0</v>
      </c>
      <c r="Z1429">
        <v>0</v>
      </c>
      <c r="AA1429">
        <v>0</v>
      </c>
      <c r="AB1429">
        <v>0</v>
      </c>
      <c r="AC1429">
        <v>0</v>
      </c>
      <c r="AD1429">
        <v>0</v>
      </c>
      <c r="AE1429">
        <v>0</v>
      </c>
      <c r="AF1429">
        <v>0</v>
      </c>
      <c r="AG1429">
        <v>0</v>
      </c>
      <c r="AH1429">
        <v>0</v>
      </c>
      <c r="AI1429">
        <v>0</v>
      </c>
      <c r="AJ1429">
        <v>0</v>
      </c>
      <c r="AK1429">
        <v>1</v>
      </c>
      <c r="AL1429">
        <v>0</v>
      </c>
      <c r="AM1429">
        <v>0</v>
      </c>
      <c r="AN1429">
        <v>0</v>
      </c>
      <c r="AO1429">
        <v>0</v>
      </c>
      <c r="AP1429">
        <v>0</v>
      </c>
      <c r="AQ1429">
        <v>0</v>
      </c>
      <c r="AR1429">
        <v>0</v>
      </c>
      <c r="AS1429">
        <v>0</v>
      </c>
      <c r="AT1429">
        <v>0</v>
      </c>
      <c r="AU1429">
        <v>0</v>
      </c>
      <c r="AV1429">
        <v>0</v>
      </c>
      <c r="AW1429">
        <v>0</v>
      </c>
      <c r="AX1429" s="141">
        <f>COUNTIF(V1429:AW1429,"&lt;&gt;0")</f>
        <v>1</v>
      </c>
      <c r="AY1429" s="141">
        <f>COUNTIF(V1429:AL1429,"&lt;&gt;0")</f>
        <v>1</v>
      </c>
      <c r="AZ1429">
        <f>COUNTIF(V1429:AC1429,"&lt;&gt;0")</f>
        <v>0</v>
      </c>
      <c r="BA1429">
        <f>COUNTIF(AD1429:AI1429,"&lt;&gt;0")</f>
        <v>0</v>
      </c>
      <c r="BB1429">
        <f>COUNTIF(AJ1429:AL1429,"&lt;&gt;0")</f>
        <v>1</v>
      </c>
      <c r="BC1429">
        <f>COUNTIF(AS1429:AW1429,"&lt;&gt;0")</f>
        <v>0</v>
      </c>
      <c r="BD1429">
        <f>COUNTIF(AM1429:AR1429,"&lt;&gt;0")</f>
        <v>0</v>
      </c>
      <c r="BE1429" t="str" cm="1">
        <f t="array" ref="BE1429">IF(AY1429=1,INDEX($V$7:$AL$7,MATCH(TRUE,INDEX($V1429:$AW1429&lt;&gt;0,),0)),IF(AY1429=0,INDEX($AM$7:$AW$7,MATCH(1,$AM1429:$AW1429,0)),IF(BF1429="Multiple strategies","mixed drivers",IF(BF1429="Supply chain","multiple supply","multiple silviculture"))))</f>
        <v>technologies/design switch</v>
      </c>
      <c r="BF1429" s="2" t="str" cm="1">
        <f t="array" ref="BF1429">IF(COUNTIF(AZ1429:BB1429,"&lt;&gt;0")=1,INDEX($V$4:$AW$4,MATCH(TRUE,INDEX($V1429:$AW1429&lt;&gt;0,),0)),IF(COUNTIF(AZ1429:BB1429,"&lt;&gt;0")=0,INDEX($AM$4:$AW$4,MATCH(1,$AM1429:$AW1429,0)),"Multiple strategies"))</f>
        <v>Technology</v>
      </c>
      <c r="BG1429" s="142"/>
      <c r="BJ1429" s="143"/>
      <c r="BL1429" s="143"/>
      <c r="BM1429" t="str">
        <f>IFERROR(BL1429/BK1429,"")</f>
        <v/>
      </c>
      <c r="BN1429" s="158"/>
      <c r="BO1429" s="143"/>
      <c r="BP1429" t="s">
        <v>395</v>
      </c>
      <c r="BR1429" t="s">
        <v>397</v>
      </c>
      <c r="BS1429">
        <v>34600</v>
      </c>
      <c r="BT1429">
        <v>22400</v>
      </c>
      <c r="BU1429" s="144"/>
      <c r="BV1429">
        <f>BT1429-BS1429</f>
        <v>-12200</v>
      </c>
      <c r="BY1429" t="str">
        <f>IFERROR(BX1429/BO1429,"")</f>
        <v/>
      </c>
      <c r="BZ1429">
        <v>1</v>
      </c>
      <c r="CA1429">
        <v>0</v>
      </c>
      <c r="CB1429">
        <v>0</v>
      </c>
      <c r="CC1429">
        <v>0</v>
      </c>
      <c r="CD1429">
        <v>0</v>
      </c>
      <c r="CE1429">
        <v>0</v>
      </c>
      <c r="CF1429">
        <v>1</v>
      </c>
      <c r="CG1429">
        <v>0</v>
      </c>
      <c r="CH1429">
        <v>0</v>
      </c>
      <c r="CI1429">
        <v>1</v>
      </c>
      <c r="CJ1429">
        <v>1</v>
      </c>
      <c r="CK1429">
        <v>0</v>
      </c>
      <c r="CL1429">
        <v>0</v>
      </c>
      <c r="CM1429">
        <v>0</v>
      </c>
      <c r="CN1429" t="str">
        <f>IF($BL1429&lt;$BK1429,"refNeedCorrection","refOK")</f>
        <v>refOK</v>
      </c>
      <c r="CO1429"/>
      <c r="CP1429"/>
      <c r="CQ1429"/>
      <c r="CR1429">
        <f>IF($CN1429="refOK",$BS1429,$BT1429)*IF($BP1429="Emissions positive",-1,1)</f>
        <v>-34600</v>
      </c>
      <c r="CS1429">
        <f>IF($CN1429="refOK",$BT1429,$BS1429)*IF($BP1429="Emissions positive",-1,1)</f>
        <v>-22400</v>
      </c>
      <c r="CT1429">
        <f>IF($CN1429="refNeedCorrection",-BX1429,BX1429)*IF($BP1429="Emissions positive",-1,1)</f>
        <v>0</v>
      </c>
      <c r="CU1429" t="str">
        <f>IFERROR(CT1429/CQ1429,"")</f>
        <v/>
      </c>
      <c r="CV1429" s="2">
        <f>IFERROR((CS1429-CR1429)/ABS(CR1429),"")</f>
        <v>0.35260115606936415</v>
      </c>
      <c r="CW1429" s="1" t="s">
        <v>263</v>
      </c>
      <c r="CX1429" s="312" t="str">
        <f>IF(OR($CW1429="prd",$CW1429="std",$CW1429="cit"),"loc",IF(OR($CW1429="eur",$CW1429="reg",$CW1429="coy"),"reg",$CW1429))</f>
        <v>loc</v>
      </c>
      <c r="CY1429" t="s">
        <v>732</v>
      </c>
      <c r="DA1429" s="143"/>
      <c r="DB1429">
        <v>0</v>
      </c>
      <c r="DC1429" t="str">
        <f>IF(DB1429=0,"0",IF(AND(DB1429&gt;=1,DB1429&lt;=30),"1-30",IF(AND(DB1429&gt;30,DB1429&lt;=70),"31-70",IF(AND(DB1429&gt;70,DB1429&lt;=100),"71-100",IF(DB1429&gt;100,"+100")))))</f>
        <v>0</v>
      </c>
      <c r="DD1429">
        <v>0</v>
      </c>
      <c r="DE1429">
        <v>0</v>
      </c>
      <c r="DF1429">
        <v>0</v>
      </c>
      <c r="DG1429">
        <v>1</v>
      </c>
      <c r="DH1429">
        <v>0</v>
      </c>
      <c r="DI1429">
        <f>SUM(DD1429:DH1429)</f>
        <v>1</v>
      </c>
      <c r="DJ1429" t="str">
        <f>IF(DI1429=1,INDEX($DD$7:$DG$7,MATCH(1,$DD1429:$DG1429,0)),"mixedProduct")</f>
        <v>TimberInput</v>
      </c>
      <c r="DK1429">
        <f>IF(DD1429=1,DK$7,0)</f>
        <v>0</v>
      </c>
      <c r="DL1429">
        <f>IF(DE1429=1,DL$7,0)</f>
        <v>0</v>
      </c>
      <c r="DM1429">
        <f>IF(DF1429=1,DM$7,0)</f>
        <v>0</v>
      </c>
      <c r="DN1429" t="str">
        <f>IF(DG1429=1,DN$7,0)</f>
        <v>Timber</v>
      </c>
      <c r="DO1429">
        <v>0</v>
      </c>
      <c r="DP1429" s="143">
        <v>1</v>
      </c>
      <c r="DQ1429" s="143" t="s">
        <v>3969</v>
      </c>
      <c r="DR1429" t="s">
        <v>3969</v>
      </c>
      <c r="DS1429" s="143" t="s">
        <v>3969</v>
      </c>
      <c r="DT1429">
        <f>SUM(DO1429:DP1429)</f>
        <v>1</v>
      </c>
      <c r="DU1429" s="143" t="str">
        <f>IF(DO1429=1,"self-calculated DF",IF(DP1429=1,"external DF used","explicit C balance"))</f>
        <v>external DF used</v>
      </c>
      <c r="DV1429" s="143">
        <v>0</v>
      </c>
      <c r="DW1429" s="143">
        <v>0</v>
      </c>
      <c r="DX1429" s="143">
        <v>0</v>
      </c>
      <c r="DY1429" s="143">
        <v>1</v>
      </c>
      <c r="DZ1429">
        <v>1</v>
      </c>
      <c r="EA1429" s="143">
        <v>0</v>
      </c>
      <c r="EB1429" s="143">
        <v>0</v>
      </c>
      <c r="EC1429" s="143">
        <v>1</v>
      </c>
      <c r="ED1429" s="143">
        <v>1</v>
      </c>
      <c r="EE1429">
        <v>1</v>
      </c>
      <c r="EF1429">
        <v>0</v>
      </c>
      <c r="EG1429" s="143">
        <v>0</v>
      </c>
      <c r="EH1429">
        <v>0</v>
      </c>
      <c r="EI1429" s="2">
        <v>0</v>
      </c>
      <c r="EK1429" t="str">
        <f>IF(AND(AND(AND(OR($DX1429=1,$DW1429=1),OR($EC1429=1,$EA1429=1)),SUM($DV1429:$DZ1429,$EF1429)&gt;=3),SUM($EA1429:$EE1429)&gt;=2),"Whole sector","")</f>
        <v/>
      </c>
      <c r="EL1429" t="str">
        <f>IF(AND(AND(OR($DX1429=1,$DW1429=1),AND($EC1429=0,$EA1429=0)),SUM($DV1429:$DZ1429,$EF1429)&gt;=3),"Ecosystem approach","")</f>
        <v/>
      </c>
      <c r="EM1429" s="2" t="str">
        <f>IF(AND(AND(AND($DX1429=0,$DW1429=0),OR($EC1429=1,$EA1429=1)),SUM($EB1429:$EE1429)&gt;=2),"Technology approach","")</f>
        <v>Technology approach</v>
      </c>
      <c r="EP1429" t="b">
        <f>IF(ISNUMBER(BU1429),IF(ABS(BU1429-[5]QC_indicators!$B$2)&gt;3*[5]QC_indicators!$C$2,"C ratio",IF(ISNUMBER(BY1429),IF(ABS(BY1429-[5]QC_indicators!$B$1)&gt;3*[5]QC_indicators!$C$1,"DF","no"))),IF(ISNUMBER(BY1429),IF(ABS(BY1429-[5]QC_indicators!$B$1)&gt;3*[5]QC_indicators!$C$1,"DF","no")))</f>
        <v>0</v>
      </c>
    </row>
    <row r="1430" spans="1:146" ht="15" customHeight="1">
      <c r="A1430" s="1" t="s">
        <v>1043</v>
      </c>
      <c r="B1430" t="s">
        <v>3970</v>
      </c>
      <c r="C1430" t="s">
        <v>3971</v>
      </c>
      <c r="D1430" t="s">
        <v>3972</v>
      </c>
      <c r="E1430" t="s">
        <v>3973</v>
      </c>
      <c r="F1430" t="s">
        <v>3974</v>
      </c>
      <c r="G1430" t="s">
        <v>3975</v>
      </c>
      <c r="H1430" t="s">
        <v>254</v>
      </c>
      <c r="I1430">
        <v>2020</v>
      </c>
      <c r="J1430">
        <v>2</v>
      </c>
      <c r="K1430" t="s">
        <v>3976</v>
      </c>
      <c r="M1430" t="str">
        <f>LEFT($D1430,FIND(",",$D1430)-1)&amp;"_"&amp;I1430&amp;L1430</f>
        <v>Pittau_2020</v>
      </c>
      <c r="N1430" s="312" t="s">
        <v>4383</v>
      </c>
      <c r="O1430" s="171" t="s">
        <v>513</v>
      </c>
      <c r="P1430" t="s">
        <v>341</v>
      </c>
      <c r="Q1430" s="312" t="s">
        <v>389</v>
      </c>
      <c r="R1430" s="313"/>
      <c r="S1430" s="1" t="s">
        <v>3977</v>
      </c>
      <c r="T1430" t="s">
        <v>3978</v>
      </c>
      <c r="U1430" t="s">
        <v>3979</v>
      </c>
      <c r="V1430">
        <v>0</v>
      </c>
      <c r="W1430">
        <v>0</v>
      </c>
      <c r="X1430">
        <v>0</v>
      </c>
      <c r="Y1430">
        <v>0</v>
      </c>
      <c r="Z1430">
        <v>0</v>
      </c>
      <c r="AA1430">
        <v>0</v>
      </c>
      <c r="AB1430">
        <v>0</v>
      </c>
      <c r="AC1430">
        <v>0</v>
      </c>
      <c r="AD1430">
        <v>0</v>
      </c>
      <c r="AE1430">
        <v>0</v>
      </c>
      <c r="AF1430">
        <v>0</v>
      </c>
      <c r="AG1430">
        <v>0</v>
      </c>
      <c r="AH1430">
        <v>1</v>
      </c>
      <c r="AI1430">
        <v>0</v>
      </c>
      <c r="AJ1430">
        <v>0</v>
      </c>
      <c r="AK1430">
        <v>1</v>
      </c>
      <c r="AL1430">
        <v>0</v>
      </c>
      <c r="AM1430">
        <v>0</v>
      </c>
      <c r="AN1430">
        <v>0</v>
      </c>
      <c r="AO1430">
        <v>0</v>
      </c>
      <c r="AP1430">
        <v>0</v>
      </c>
      <c r="AQ1430">
        <v>0</v>
      </c>
      <c r="AR1430">
        <v>0</v>
      </c>
      <c r="AS1430">
        <v>0</v>
      </c>
      <c r="AT1430">
        <v>0</v>
      </c>
      <c r="AU1430">
        <v>0</v>
      </c>
      <c r="AV1430">
        <v>0</v>
      </c>
      <c r="AW1430">
        <v>0</v>
      </c>
      <c r="AX1430" s="141">
        <f>COUNTIF(V1430:AW1430,"&lt;&gt;0")</f>
        <v>2</v>
      </c>
      <c r="AY1430" s="141">
        <f>COUNTIF(V1430:AL1430,"&lt;&gt;0")</f>
        <v>2</v>
      </c>
      <c r="AZ1430">
        <f>COUNTIF(V1430:AC1430,"&lt;&gt;0")</f>
        <v>0</v>
      </c>
      <c r="BA1430">
        <f>COUNTIF(AD1430:AI1430,"&lt;&gt;0")</f>
        <v>1</v>
      </c>
      <c r="BB1430">
        <f>COUNTIF(AJ1430:AL1430,"&lt;&gt;0")</f>
        <v>1</v>
      </c>
      <c r="BC1430">
        <f>COUNTIF(AS1430:AW1430,"&lt;&gt;0")</f>
        <v>0</v>
      </c>
      <c r="BD1430">
        <f>COUNTIF(AM1430:AR1430,"&lt;&gt;0")</f>
        <v>0</v>
      </c>
      <c r="BE1430" t="str" cm="1">
        <f t="array" ref="BE1430">IF(AY1430=1,INDEX($V$7:$AL$7,MATCH(TRUE,INDEX($V1430:$AW1430&lt;&gt;0,),0)),IF(AY1430=0,INDEX($AM$7:$AW$7,MATCH(1,$AM1430:$AW1430,0)),IF(BF1430="Multiple strategies","mixed drivers",IF(BF1430="Supply chain","multiple supply","multiple silviculture"))))</f>
        <v>mixed drivers</v>
      </c>
      <c r="BF1430" s="2" t="str" cm="1">
        <f t="array" ref="BF1430">IF(COUNTIF(AZ1430:BB1430,"&lt;&gt;0")=1,INDEX($V$4:$AW$4,MATCH(TRUE,INDEX($V1430:$AW1430&lt;&gt;0,),0)),IF(COUNTIF(AZ1430:BB1430,"&lt;&gt;0")=0,INDEX($AM$4:$AW$4,MATCH(1,$AM1430:$AW1430,0)),"Multiple strategies"))</f>
        <v>Multiple strategies</v>
      </c>
      <c r="BM1430" t="str">
        <f>IFERROR(BL1430/BK1430,"")</f>
        <v/>
      </c>
      <c r="BP1430" t="s">
        <v>395</v>
      </c>
      <c r="BR1430" t="s">
        <v>397</v>
      </c>
      <c r="BS1430">
        <v>519</v>
      </c>
      <c r="BT1430">
        <v>49.162011173184304</v>
      </c>
      <c r="BU1430" s="144"/>
      <c r="BV1430">
        <f>BT1430-BS1430</f>
        <v>-469.83798882681572</v>
      </c>
      <c r="BY1430" t="str">
        <f>IFERROR(BX1430/BO1430,"")</f>
        <v/>
      </c>
      <c r="BZ1430">
        <v>1</v>
      </c>
      <c r="CA1430">
        <v>0</v>
      </c>
      <c r="CB1430">
        <v>0</v>
      </c>
      <c r="CC1430">
        <v>0</v>
      </c>
      <c r="CD1430">
        <v>0</v>
      </c>
      <c r="CE1430">
        <v>0</v>
      </c>
      <c r="CF1430">
        <v>1</v>
      </c>
      <c r="CG1430">
        <v>0</v>
      </c>
      <c r="CH1430">
        <v>0</v>
      </c>
      <c r="CI1430">
        <v>0</v>
      </c>
      <c r="CJ1430">
        <v>1</v>
      </c>
      <c r="CK1430">
        <v>0</v>
      </c>
      <c r="CL1430">
        <v>0</v>
      </c>
      <c r="CM1430">
        <v>0</v>
      </c>
      <c r="CN1430" t="str">
        <f>IF($BL1430&lt;$BK1430,"refNeedCorrection","refOK")</f>
        <v>refOK</v>
      </c>
      <c r="CO1430"/>
      <c r="CP1430"/>
      <c r="CQ1430"/>
      <c r="CR1430">
        <f>IF($CN1430="refOK",$BS1430,$BT1430)*IF($BP1430="Emissions positive",-1,1)</f>
        <v>-519</v>
      </c>
      <c r="CS1430">
        <f>IF($CN1430="refOK",$BT1430,$BS1430)*IF($BP1430="Emissions positive",-1,1)</f>
        <v>-49.162011173184304</v>
      </c>
      <c r="CT1430">
        <f>IF($CN1430="refNeedCorrection",-BX1430,BX1430)*IF($BP1430="Emissions positive",-1,1)</f>
        <v>0</v>
      </c>
      <c r="CU1430" t="str">
        <f>IFERROR(CT1430/CQ1430,"")</f>
        <v/>
      </c>
      <c r="CV1430" s="2">
        <f>IFERROR((CS1430-CR1430)/ABS(CR1430),"")</f>
        <v>0.90527550833683179</v>
      </c>
      <c r="CW1430" s="1" t="s">
        <v>974</v>
      </c>
      <c r="CX1430" s="312" t="str">
        <f>IF(OR($CW1430="prd",$CW1430="std",$CW1430="cit"),"loc",IF(OR($CW1430="eur",$CW1430="reg",$CW1430="coy"),"reg",$CW1430))</f>
        <v>loc</v>
      </c>
      <c r="CY1430" t="s">
        <v>732</v>
      </c>
      <c r="DB1430">
        <v>0</v>
      </c>
      <c r="DC1430" t="str">
        <f>IF(DB1430=0,"0",IF(AND(DB1430&gt;=1,DB1430&lt;=30),"1-30",IF(AND(DB1430&gt;30,DB1430&lt;=70),"31-70",IF(AND(DB1430&gt;70,DB1430&lt;=100),"71-100",IF(DB1430&gt;100,"+100")))))</f>
        <v>0</v>
      </c>
      <c r="DD1430">
        <v>0</v>
      </c>
      <c r="DE1430">
        <v>0</v>
      </c>
      <c r="DF1430">
        <v>0</v>
      </c>
      <c r="DG1430">
        <v>1</v>
      </c>
      <c r="DH1430">
        <v>0</v>
      </c>
      <c r="DI1430">
        <f>SUM(DD1430:DH1430)</f>
        <v>1</v>
      </c>
      <c r="DJ1430" t="str">
        <f>IF(DI1430=1,INDEX($DD$7:$DG$7,MATCH(1,$DD1430:$DG1430,0)),"mixedProduct")</f>
        <v>TimberInput</v>
      </c>
      <c r="DK1430">
        <f>IF(DD1430=1,DK$7,0)</f>
        <v>0</v>
      </c>
      <c r="DL1430">
        <f>IF(DE1430=1,DL$7,0)</f>
        <v>0</v>
      </c>
      <c r="DM1430">
        <f>IF(DF1430=1,DM$7,0)</f>
        <v>0</v>
      </c>
      <c r="DN1430" t="str">
        <f>IF(DG1430=1,DN$7,0)</f>
        <v>Timber</v>
      </c>
      <c r="DO1430">
        <v>0</v>
      </c>
      <c r="DP1430" s="143">
        <v>1</v>
      </c>
      <c r="DQ1430" s="143" t="s">
        <v>3969</v>
      </c>
      <c r="DR1430" t="s">
        <v>3969</v>
      </c>
      <c r="DS1430" s="143" t="s">
        <v>3969</v>
      </c>
      <c r="DT1430">
        <f>SUM(DO1430:DP1430)</f>
        <v>1</v>
      </c>
      <c r="DU1430" s="143" t="str">
        <f>IF(DO1430=1,"self-calculated DF",IF(DP1430=1,"external DF used","explicit C balance"))</f>
        <v>external DF used</v>
      </c>
      <c r="DV1430">
        <v>0</v>
      </c>
      <c r="DW1430">
        <v>0</v>
      </c>
      <c r="DX1430">
        <v>0</v>
      </c>
      <c r="DY1430">
        <v>1</v>
      </c>
      <c r="DZ1430">
        <v>1</v>
      </c>
      <c r="EA1430" s="143">
        <v>1</v>
      </c>
      <c r="EB1430">
        <v>0</v>
      </c>
      <c r="EC1430">
        <v>1</v>
      </c>
      <c r="ED1430">
        <v>1</v>
      </c>
      <c r="EE1430">
        <v>1</v>
      </c>
      <c r="EF1430">
        <v>0</v>
      </c>
      <c r="EG1430">
        <v>0</v>
      </c>
      <c r="EH1430">
        <v>0</v>
      </c>
      <c r="EI1430" s="2">
        <v>0</v>
      </c>
      <c r="EK1430" t="str">
        <f>IF(AND(AND(AND(OR($DX1430=1,$DW1430=1),OR($EC1430=1,$EA1430=1)),SUM($DV1430:$DZ1430,$EF1430)&gt;=3),SUM($EA1430:$EE1430)&gt;=2),"Whole sector","")</f>
        <v/>
      </c>
      <c r="EL1430" t="str">
        <f>IF(AND(AND(OR($DX1430=1,$DW1430=1),AND($EC1430=0,$EA1430=0)),SUM($DV1430:$DZ1430,$EF1430)&gt;=3),"Ecosystem approach","")</f>
        <v/>
      </c>
      <c r="EM1430" s="2" t="str">
        <f>IF(AND(AND(AND($DX1430=0,$DW1430=0),OR($EC1430=1,$EA1430=1)),SUM($EB1430:$EE1430)&gt;=2),"Technology approach","")</f>
        <v>Technology approach</v>
      </c>
      <c r="EP1430" t="b">
        <f>IF(ISNUMBER(BU1430),IF(ABS(BU1430-[5]QC_indicators!$B$2)&gt;3*[5]QC_indicators!$C$2,"C ratio",IF(ISNUMBER(BY1430),IF(ABS(BY1430-[5]QC_indicators!$B$1)&gt;3*[5]QC_indicators!$C$1,"DF","no"))),IF(ISNUMBER(BY1430),IF(ABS(BY1430-[5]QC_indicators!$B$1)&gt;3*[5]QC_indicators!$C$1,"DF","no")))</f>
        <v>0</v>
      </c>
    </row>
    <row r="1431" spans="1:146" ht="15" customHeight="1">
      <c r="A1431" s="1" t="s">
        <v>1043</v>
      </c>
      <c r="B1431" t="s">
        <v>3970</v>
      </c>
      <c r="C1431" t="s">
        <v>3971</v>
      </c>
      <c r="D1431" t="s">
        <v>3972</v>
      </c>
      <c r="E1431" t="s">
        <v>3973</v>
      </c>
      <c r="F1431" t="s">
        <v>3974</v>
      </c>
      <c r="G1431" t="s">
        <v>3975</v>
      </c>
      <c r="H1431" t="s">
        <v>254</v>
      </c>
      <c r="I1431">
        <v>2020</v>
      </c>
      <c r="J1431">
        <v>2</v>
      </c>
      <c r="K1431" t="s">
        <v>3976</v>
      </c>
      <c r="M1431" t="str">
        <f>LEFT($D1431,FIND(",",$D1431)-1)&amp;"_"&amp;I1431&amp;L1431</f>
        <v>Pittau_2020</v>
      </c>
      <c r="N1431" s="312" t="s">
        <v>4383</v>
      </c>
      <c r="O1431" s="171" t="s">
        <v>513</v>
      </c>
      <c r="P1431" t="s">
        <v>341</v>
      </c>
      <c r="Q1431" s="312" t="s">
        <v>389</v>
      </c>
      <c r="R1431" s="313"/>
      <c r="S1431" s="1" t="s">
        <v>3980</v>
      </c>
      <c r="T1431" t="s">
        <v>3978</v>
      </c>
      <c r="U1431" t="s">
        <v>3981</v>
      </c>
      <c r="V1431">
        <v>0</v>
      </c>
      <c r="W1431">
        <v>0</v>
      </c>
      <c r="X1431">
        <v>0</v>
      </c>
      <c r="Y1431">
        <v>0</v>
      </c>
      <c r="Z1431">
        <v>0</v>
      </c>
      <c r="AA1431">
        <v>0</v>
      </c>
      <c r="AB1431">
        <v>0</v>
      </c>
      <c r="AC1431">
        <v>0</v>
      </c>
      <c r="AD1431">
        <v>0</v>
      </c>
      <c r="AE1431">
        <v>0</v>
      </c>
      <c r="AF1431">
        <v>0</v>
      </c>
      <c r="AG1431">
        <v>0</v>
      </c>
      <c r="AH1431">
        <v>1</v>
      </c>
      <c r="AI1431">
        <v>0</v>
      </c>
      <c r="AJ1431">
        <v>0</v>
      </c>
      <c r="AK1431">
        <v>1</v>
      </c>
      <c r="AL1431">
        <v>0</v>
      </c>
      <c r="AM1431">
        <v>0</v>
      </c>
      <c r="AN1431">
        <v>0</v>
      </c>
      <c r="AO1431">
        <v>0</v>
      </c>
      <c r="AP1431">
        <v>0</v>
      </c>
      <c r="AQ1431">
        <v>0</v>
      </c>
      <c r="AR1431">
        <v>0</v>
      </c>
      <c r="AS1431">
        <v>0</v>
      </c>
      <c r="AT1431">
        <v>0</v>
      </c>
      <c r="AU1431">
        <v>0</v>
      </c>
      <c r="AV1431">
        <v>0</v>
      </c>
      <c r="AW1431">
        <v>0</v>
      </c>
      <c r="AX1431" s="141">
        <f>COUNTIF(V1431:AW1431,"&lt;&gt;0")</f>
        <v>2</v>
      </c>
      <c r="AY1431" s="141">
        <f>COUNTIF(V1431:AL1431,"&lt;&gt;0")</f>
        <v>2</v>
      </c>
      <c r="AZ1431">
        <f>COUNTIF(V1431:AC1431,"&lt;&gt;0")</f>
        <v>0</v>
      </c>
      <c r="BA1431">
        <f>COUNTIF(AD1431:AI1431,"&lt;&gt;0")</f>
        <v>1</v>
      </c>
      <c r="BB1431">
        <f>COUNTIF(AJ1431:AL1431,"&lt;&gt;0")</f>
        <v>1</v>
      </c>
      <c r="BC1431">
        <f>COUNTIF(AS1431:AW1431,"&lt;&gt;0")</f>
        <v>0</v>
      </c>
      <c r="BD1431">
        <f>COUNTIF(AM1431:AR1431,"&lt;&gt;0")</f>
        <v>0</v>
      </c>
      <c r="BE1431" t="str" cm="1">
        <f t="array" ref="BE1431">IF(AY1431=1,INDEX($V$7:$AL$7,MATCH(TRUE,INDEX($V1431:$AW1431&lt;&gt;0,),0)),IF(AY1431=0,INDEX($AM$7:$AW$7,MATCH(1,$AM1431:$AW1431,0)),IF(BF1431="Multiple strategies","mixed drivers",IF(BF1431="Supply chain","multiple supply","multiple silviculture"))))</f>
        <v>mixed drivers</v>
      </c>
      <c r="BF1431" s="2" t="str" cm="1">
        <f t="array" ref="BF1431">IF(COUNTIF(AZ1431:BB1431,"&lt;&gt;0")=1,INDEX($V$4:$AW$4,MATCH(TRUE,INDEX($V1431:$AW1431&lt;&gt;0,),0)),IF(COUNTIF(AZ1431:BB1431,"&lt;&gt;0")=0,INDEX($AM$4:$AW$4,MATCH(1,$AM1431:$AW1431,0)),"Multiple strategies"))</f>
        <v>Multiple strategies</v>
      </c>
      <c r="BM1431" t="str">
        <f>IFERROR(BL1431/BK1431,"")</f>
        <v/>
      </c>
      <c r="BP1431" t="s">
        <v>395</v>
      </c>
      <c r="BR1431" t="s">
        <v>397</v>
      </c>
      <c r="BS1431">
        <v>519</v>
      </c>
      <c r="BT1431">
        <v>61.452513966480296</v>
      </c>
      <c r="BU1431" s="144"/>
      <c r="BV1431">
        <f>BT1431-BS1431</f>
        <v>-457.5474860335197</v>
      </c>
      <c r="BY1431" t="str">
        <f>IFERROR(BX1431/BO1431,"")</f>
        <v/>
      </c>
      <c r="BZ1431">
        <v>1</v>
      </c>
      <c r="CA1431">
        <v>0</v>
      </c>
      <c r="CB1431">
        <v>0</v>
      </c>
      <c r="CC1431">
        <v>0</v>
      </c>
      <c r="CD1431">
        <v>0</v>
      </c>
      <c r="CE1431">
        <v>0</v>
      </c>
      <c r="CF1431">
        <v>1</v>
      </c>
      <c r="CG1431">
        <v>0</v>
      </c>
      <c r="CH1431">
        <v>0</v>
      </c>
      <c r="CI1431">
        <v>0</v>
      </c>
      <c r="CJ1431">
        <v>1</v>
      </c>
      <c r="CK1431">
        <v>0</v>
      </c>
      <c r="CL1431">
        <v>0</v>
      </c>
      <c r="CM1431">
        <v>0</v>
      </c>
      <c r="CN1431" t="str">
        <f>IF($BL1431&lt;$BK1431,"refNeedCorrection","refOK")</f>
        <v>refOK</v>
      </c>
      <c r="CO1431"/>
      <c r="CP1431"/>
      <c r="CQ1431"/>
      <c r="CR1431">
        <f>IF($CN1431="refOK",$BS1431,$BT1431)*IF($BP1431="Emissions positive",-1,1)</f>
        <v>-519</v>
      </c>
      <c r="CS1431">
        <f>IF($CN1431="refOK",$BT1431,$BS1431)*IF($BP1431="Emissions positive",-1,1)</f>
        <v>-61.452513966480296</v>
      </c>
      <c r="CT1431">
        <f>IF($CN1431="refNeedCorrection",-BX1431,BX1431)*IF($BP1431="Emissions positive",-1,1)</f>
        <v>0</v>
      </c>
      <c r="CU1431" t="str">
        <f>IFERROR(CT1431/CQ1431,"")</f>
        <v/>
      </c>
      <c r="CV1431" s="2">
        <f>IFERROR((CS1431-CR1431)/ABS(CR1431),"")</f>
        <v>0.88159438542103985</v>
      </c>
      <c r="CW1431" s="1" t="s">
        <v>974</v>
      </c>
      <c r="CX1431" s="312" t="str">
        <f>IF(OR($CW1431="prd",$CW1431="std",$CW1431="cit"),"loc",IF(OR($CW1431="eur",$CW1431="reg",$CW1431="coy"),"reg",$CW1431))</f>
        <v>loc</v>
      </c>
      <c r="CY1431" t="s">
        <v>732</v>
      </c>
      <c r="DB1431">
        <v>0</v>
      </c>
      <c r="DC1431" t="str">
        <f>IF(DB1431=0,"0",IF(AND(DB1431&gt;=1,DB1431&lt;=30),"1-30",IF(AND(DB1431&gt;30,DB1431&lt;=70),"31-70",IF(AND(DB1431&gt;70,DB1431&lt;=100),"71-100",IF(DB1431&gt;100,"+100")))))</f>
        <v>0</v>
      </c>
      <c r="DD1431">
        <v>0</v>
      </c>
      <c r="DE1431">
        <v>0</v>
      </c>
      <c r="DF1431">
        <v>0</v>
      </c>
      <c r="DG1431">
        <v>1</v>
      </c>
      <c r="DH1431">
        <v>0</v>
      </c>
      <c r="DI1431">
        <f>SUM(DD1431:DH1431)</f>
        <v>1</v>
      </c>
      <c r="DJ1431" t="str">
        <f>IF(DI1431=1,INDEX($DD$7:$DG$7,MATCH(1,$DD1431:$DG1431,0)),"mixedProduct")</f>
        <v>TimberInput</v>
      </c>
      <c r="DK1431">
        <f>IF(DD1431=1,DK$7,0)</f>
        <v>0</v>
      </c>
      <c r="DL1431">
        <f>IF(DE1431=1,DL$7,0)</f>
        <v>0</v>
      </c>
      <c r="DM1431">
        <f>IF(DF1431=1,DM$7,0)</f>
        <v>0</v>
      </c>
      <c r="DN1431" t="str">
        <f>IF(DG1431=1,DN$7,0)</f>
        <v>Timber</v>
      </c>
      <c r="DO1431">
        <v>0</v>
      </c>
      <c r="DP1431" s="143">
        <v>1</v>
      </c>
      <c r="DQ1431" s="143" t="s">
        <v>3969</v>
      </c>
      <c r="DR1431" t="s">
        <v>3969</v>
      </c>
      <c r="DS1431" s="143" t="s">
        <v>3969</v>
      </c>
      <c r="DT1431">
        <f>SUM(DO1431:DP1431)</f>
        <v>1</v>
      </c>
      <c r="DU1431" s="143" t="str">
        <f>IF(DO1431=1,"self-calculated DF",IF(DP1431=1,"external DF used","explicit C balance"))</f>
        <v>external DF used</v>
      </c>
      <c r="DV1431">
        <v>0</v>
      </c>
      <c r="DW1431">
        <v>0</v>
      </c>
      <c r="DX1431">
        <v>0</v>
      </c>
      <c r="DY1431">
        <v>1</v>
      </c>
      <c r="DZ1431">
        <v>1</v>
      </c>
      <c r="EA1431" s="143">
        <v>1</v>
      </c>
      <c r="EB1431">
        <v>0</v>
      </c>
      <c r="EC1431">
        <v>1</v>
      </c>
      <c r="ED1431">
        <v>1</v>
      </c>
      <c r="EE1431">
        <v>1</v>
      </c>
      <c r="EF1431">
        <v>0</v>
      </c>
      <c r="EG1431">
        <v>0</v>
      </c>
      <c r="EH1431">
        <v>0</v>
      </c>
      <c r="EI1431" s="2">
        <v>0</v>
      </c>
      <c r="EK1431" t="str">
        <f>IF(AND(AND(AND(OR($DX1431=1,$DW1431=1),OR($EC1431=1,$EA1431=1)),SUM($DV1431:$DZ1431,$EF1431)&gt;=3),SUM($EA1431:$EE1431)&gt;=2),"Whole sector","")</f>
        <v/>
      </c>
      <c r="EL1431" t="str">
        <f>IF(AND(AND(OR($DX1431=1,$DW1431=1),AND($EC1431=0,$EA1431=0)),SUM($DV1431:$DZ1431,$EF1431)&gt;=3),"Ecosystem approach","")</f>
        <v/>
      </c>
      <c r="EM1431" s="2" t="str">
        <f>IF(AND(AND(AND($DX1431=0,$DW1431=0),OR($EC1431=1,$EA1431=1)),SUM($EB1431:$EE1431)&gt;=2),"Technology approach","")</f>
        <v>Technology approach</v>
      </c>
      <c r="EP1431" t="b">
        <f>IF(ISNUMBER(BU1431),IF(ABS(BU1431-[5]QC_indicators!$B$2)&gt;3*[5]QC_indicators!$C$2,"C ratio",IF(ISNUMBER(BY1431),IF(ABS(BY1431-[5]QC_indicators!$B$1)&gt;3*[5]QC_indicators!$C$1,"DF","no"))),IF(ISNUMBER(BY1431),IF(ABS(BY1431-[5]QC_indicators!$B$1)&gt;3*[5]QC_indicators!$C$1,"DF","no")))</f>
        <v>0</v>
      </c>
    </row>
    <row r="1432" spans="1:146" ht="15" customHeight="1">
      <c r="A1432" s="1" t="s">
        <v>1043</v>
      </c>
      <c r="B1432" t="s">
        <v>3970</v>
      </c>
      <c r="C1432" t="s">
        <v>3971</v>
      </c>
      <c r="D1432" t="s">
        <v>3972</v>
      </c>
      <c r="E1432" t="s">
        <v>3973</v>
      </c>
      <c r="F1432" t="s">
        <v>3974</v>
      </c>
      <c r="G1432" t="s">
        <v>3975</v>
      </c>
      <c r="H1432" t="s">
        <v>254</v>
      </c>
      <c r="I1432">
        <v>2020</v>
      </c>
      <c r="J1432">
        <v>2</v>
      </c>
      <c r="K1432" t="s">
        <v>3976</v>
      </c>
      <c r="M1432" t="str">
        <f>LEFT($D1432,FIND(",",$D1432)-1)&amp;"_"&amp;I1432&amp;L1432</f>
        <v>Pittau_2020</v>
      </c>
      <c r="N1432" s="312" t="s">
        <v>4383</v>
      </c>
      <c r="O1432" s="171" t="s">
        <v>513</v>
      </c>
      <c r="P1432" t="s">
        <v>341</v>
      </c>
      <c r="Q1432" s="312" t="s">
        <v>389</v>
      </c>
      <c r="R1432" s="313"/>
      <c r="S1432" s="1" t="s">
        <v>3982</v>
      </c>
      <c r="T1432" t="s">
        <v>3978</v>
      </c>
      <c r="U1432" t="s">
        <v>3983</v>
      </c>
      <c r="V1432">
        <v>0</v>
      </c>
      <c r="W1432">
        <v>0</v>
      </c>
      <c r="X1432">
        <v>0</v>
      </c>
      <c r="Y1432">
        <v>0</v>
      </c>
      <c r="Z1432">
        <v>0</v>
      </c>
      <c r="AA1432">
        <v>0</v>
      </c>
      <c r="AB1432">
        <v>0</v>
      </c>
      <c r="AC1432">
        <v>0</v>
      </c>
      <c r="AD1432">
        <v>0</v>
      </c>
      <c r="AE1432">
        <v>0</v>
      </c>
      <c r="AF1432">
        <v>0</v>
      </c>
      <c r="AG1432">
        <v>0</v>
      </c>
      <c r="AH1432">
        <v>1</v>
      </c>
      <c r="AI1432">
        <v>0</v>
      </c>
      <c r="AJ1432">
        <v>0</v>
      </c>
      <c r="AK1432">
        <v>1</v>
      </c>
      <c r="AL1432">
        <v>0</v>
      </c>
      <c r="AM1432">
        <v>0</v>
      </c>
      <c r="AN1432">
        <v>0</v>
      </c>
      <c r="AO1432">
        <v>0</v>
      </c>
      <c r="AP1432">
        <v>0</v>
      </c>
      <c r="AQ1432">
        <v>0</v>
      </c>
      <c r="AR1432">
        <v>0</v>
      </c>
      <c r="AS1432">
        <v>0</v>
      </c>
      <c r="AT1432">
        <v>0</v>
      </c>
      <c r="AU1432">
        <v>0</v>
      </c>
      <c r="AV1432">
        <v>0</v>
      </c>
      <c r="AW1432">
        <v>0</v>
      </c>
      <c r="AX1432" s="141">
        <f>COUNTIF(V1432:AW1432,"&lt;&gt;0")</f>
        <v>2</v>
      </c>
      <c r="AY1432" s="141">
        <f>COUNTIF(V1432:AL1432,"&lt;&gt;0")</f>
        <v>2</v>
      </c>
      <c r="AZ1432">
        <f>COUNTIF(V1432:AC1432,"&lt;&gt;0")</f>
        <v>0</v>
      </c>
      <c r="BA1432">
        <f>COUNTIF(AD1432:AI1432,"&lt;&gt;0")</f>
        <v>1</v>
      </c>
      <c r="BB1432">
        <f>COUNTIF(AJ1432:AL1432,"&lt;&gt;0")</f>
        <v>1</v>
      </c>
      <c r="BC1432">
        <f>COUNTIF(AS1432:AW1432,"&lt;&gt;0")</f>
        <v>0</v>
      </c>
      <c r="BD1432">
        <f>COUNTIF(AM1432:AR1432,"&lt;&gt;0")</f>
        <v>0</v>
      </c>
      <c r="BE1432" t="str" cm="1">
        <f t="array" ref="BE1432">IF(AY1432=1,INDEX($V$7:$AL$7,MATCH(TRUE,INDEX($V1432:$AW1432&lt;&gt;0,),0)),IF(AY1432=0,INDEX($AM$7:$AW$7,MATCH(1,$AM1432:$AW1432,0)),IF(BF1432="Multiple strategies","mixed drivers",IF(BF1432="Supply chain","multiple supply","multiple silviculture"))))</f>
        <v>mixed drivers</v>
      </c>
      <c r="BF1432" s="2" t="str" cm="1">
        <f t="array" ref="BF1432">IF(COUNTIF(AZ1432:BB1432,"&lt;&gt;0")=1,INDEX($V$4:$AW$4,MATCH(TRUE,INDEX($V1432:$AW1432&lt;&gt;0,),0)),IF(COUNTIF(AZ1432:BB1432,"&lt;&gt;0")=0,INDEX($AM$4:$AW$4,MATCH(1,$AM1432:$AW1432,0)),"Multiple strategies"))</f>
        <v>Multiple strategies</v>
      </c>
      <c r="BP1432" t="s">
        <v>395</v>
      </c>
      <c r="BR1432" t="s">
        <v>397</v>
      </c>
      <c r="BS1432">
        <v>519</v>
      </c>
      <c r="BT1432">
        <v>82.960893854747695</v>
      </c>
      <c r="BU1432" s="144"/>
      <c r="BV1432">
        <f>BT1432-BS1432</f>
        <v>-436.03910614525228</v>
      </c>
      <c r="BY1432" t="str">
        <f>IFERROR(BX1432/BO1432,"")</f>
        <v/>
      </c>
      <c r="BZ1432">
        <v>1</v>
      </c>
      <c r="CA1432">
        <v>0</v>
      </c>
      <c r="CB1432">
        <v>0</v>
      </c>
      <c r="CC1432">
        <v>0</v>
      </c>
      <c r="CD1432">
        <v>0</v>
      </c>
      <c r="CE1432">
        <v>0</v>
      </c>
      <c r="CF1432">
        <v>1</v>
      </c>
      <c r="CG1432">
        <v>0</v>
      </c>
      <c r="CH1432">
        <v>0</v>
      </c>
      <c r="CI1432">
        <v>0</v>
      </c>
      <c r="CJ1432">
        <v>1</v>
      </c>
      <c r="CK1432">
        <v>0</v>
      </c>
      <c r="CL1432">
        <v>0</v>
      </c>
      <c r="CM1432">
        <v>0</v>
      </c>
      <c r="CN1432" t="str">
        <f>IF($BL1432&lt;$BK1432,"refNeedCorrection","refOK")</f>
        <v>refOK</v>
      </c>
      <c r="CO1432"/>
      <c r="CP1432"/>
      <c r="CQ1432"/>
      <c r="CR1432">
        <f>IF($CN1432="refOK",$BS1432,$BT1432)*IF($BP1432="Emissions positive",-1,1)</f>
        <v>-519</v>
      </c>
      <c r="CS1432">
        <f>IF($CN1432="refOK",$BT1432,$BS1432)*IF($BP1432="Emissions positive",-1,1)</f>
        <v>-82.960893854747695</v>
      </c>
      <c r="CT1432">
        <f>IF($CN1432="refNeedCorrection",-BX1432,BX1432)*IF($BP1432="Emissions positive",-1,1)</f>
        <v>0</v>
      </c>
      <c r="CU1432" t="str">
        <f>IFERROR(CT1432/CQ1432,"")</f>
        <v/>
      </c>
      <c r="CV1432" s="2">
        <f>IFERROR((CS1432-CR1432)/ABS(CR1432),"")</f>
        <v>0.8401524203184052</v>
      </c>
      <c r="CW1432" s="1" t="s">
        <v>974</v>
      </c>
      <c r="CX1432" s="312" t="str">
        <f>IF(OR($CW1432="prd",$CW1432="std",$CW1432="cit"),"loc",IF(OR($CW1432="eur",$CW1432="reg",$CW1432="coy"),"reg",$CW1432))</f>
        <v>loc</v>
      </c>
      <c r="CY1432" t="s">
        <v>732</v>
      </c>
      <c r="DB1432">
        <v>0</v>
      </c>
      <c r="DC1432" t="str">
        <f>IF(DB1432=0,"0",IF(AND(DB1432&gt;=1,DB1432&lt;=30),"1-30",IF(AND(DB1432&gt;30,DB1432&lt;=70),"31-70",IF(AND(DB1432&gt;70,DB1432&lt;=100),"71-100",IF(DB1432&gt;100,"+100")))))</f>
        <v>0</v>
      </c>
      <c r="DD1432">
        <v>0</v>
      </c>
      <c r="DE1432">
        <v>0</v>
      </c>
      <c r="DF1432">
        <v>0</v>
      </c>
      <c r="DG1432">
        <v>1</v>
      </c>
      <c r="DH1432">
        <v>0</v>
      </c>
      <c r="DI1432">
        <f>SUM(DD1432:DH1432)</f>
        <v>1</v>
      </c>
      <c r="DJ1432" t="str">
        <f>IF(DI1432=1,INDEX($DD$7:$DG$7,MATCH(1,$DD1432:$DG1432,0)),"mixedProduct")</f>
        <v>TimberInput</v>
      </c>
      <c r="DK1432">
        <f>IF(DD1432=1,DK$7,0)</f>
        <v>0</v>
      </c>
      <c r="DL1432">
        <f>IF(DE1432=1,DL$7,0)</f>
        <v>0</v>
      </c>
      <c r="DM1432">
        <f>IF(DF1432=1,DM$7,0)</f>
        <v>0</v>
      </c>
      <c r="DN1432" t="str">
        <f>IF(DG1432=1,DN$7,0)</f>
        <v>Timber</v>
      </c>
      <c r="DO1432">
        <v>0</v>
      </c>
      <c r="DP1432" s="143">
        <v>1</v>
      </c>
      <c r="DQ1432" s="143" t="s">
        <v>3969</v>
      </c>
      <c r="DR1432" t="s">
        <v>3969</v>
      </c>
      <c r="DS1432" s="143" t="s">
        <v>3969</v>
      </c>
      <c r="DT1432">
        <f>SUM(DO1432:DP1432)</f>
        <v>1</v>
      </c>
      <c r="DU1432" s="143" t="str">
        <f>IF(DO1432=1,"self-calculated DF",IF(DP1432=1,"external DF used","explicit C balance"))</f>
        <v>external DF used</v>
      </c>
      <c r="DV1432">
        <v>0</v>
      </c>
      <c r="DW1432">
        <v>0</v>
      </c>
      <c r="DX1432">
        <v>0</v>
      </c>
      <c r="DY1432">
        <v>1</v>
      </c>
      <c r="DZ1432">
        <v>1</v>
      </c>
      <c r="EA1432" s="143">
        <v>1</v>
      </c>
      <c r="EB1432">
        <v>0</v>
      </c>
      <c r="EC1432">
        <v>1</v>
      </c>
      <c r="ED1432">
        <v>1</v>
      </c>
      <c r="EE1432">
        <v>1</v>
      </c>
      <c r="EF1432">
        <v>0</v>
      </c>
      <c r="EG1432">
        <v>0</v>
      </c>
      <c r="EH1432">
        <v>0</v>
      </c>
      <c r="EI1432" s="2">
        <v>0</v>
      </c>
      <c r="EK1432" t="str">
        <f>IF(AND(AND(AND(OR($DX1432=1,$DW1432=1),OR($EC1432=1,$EA1432=1)),SUM($DV1432:$DZ1432,$EF1432)&gt;=3),SUM($EA1432:$EE1432)&gt;=2),"Whole sector","")</f>
        <v/>
      </c>
      <c r="EL1432" t="str">
        <f>IF(AND(AND(OR($DX1432=1,$DW1432=1),AND($EC1432=0,$EA1432=0)),SUM($DV1432:$DZ1432,$EF1432)&gt;=3),"Ecosystem approach","")</f>
        <v/>
      </c>
      <c r="EM1432" s="2" t="str">
        <f>IF(AND(AND(AND($DX1432=0,$DW1432=0),OR($EC1432=1,$EA1432=1)),SUM($EB1432:$EE1432)&gt;=2),"Technology approach","")</f>
        <v>Technology approach</v>
      </c>
      <c r="EP1432" t="b">
        <f>IF(ISNUMBER(BU1432),IF(ABS(BU1432-[5]QC_indicators!$B$2)&gt;3*[5]QC_indicators!$C$2,"C ratio",IF(ISNUMBER(BY1432),IF(ABS(BY1432-[5]QC_indicators!$B$1)&gt;3*[5]QC_indicators!$C$1,"DF","no"))),IF(ISNUMBER(BY1432),IF(ABS(BY1432-[5]QC_indicators!$B$1)&gt;3*[5]QC_indicators!$C$1,"DF","no")))</f>
        <v>0</v>
      </c>
    </row>
    <row r="1433" spans="1:146" ht="15" customHeight="1">
      <c r="A1433" s="1" t="s">
        <v>1043</v>
      </c>
      <c r="B1433" t="s">
        <v>3970</v>
      </c>
      <c r="C1433" t="s">
        <v>3971</v>
      </c>
      <c r="D1433" t="s">
        <v>3972</v>
      </c>
      <c r="E1433" t="s">
        <v>3973</v>
      </c>
      <c r="F1433" t="s">
        <v>3974</v>
      </c>
      <c r="G1433" t="s">
        <v>3975</v>
      </c>
      <c r="H1433" t="s">
        <v>254</v>
      </c>
      <c r="I1433">
        <v>2020</v>
      </c>
      <c r="J1433">
        <v>2</v>
      </c>
      <c r="K1433" t="s">
        <v>3976</v>
      </c>
      <c r="M1433" t="str">
        <f>LEFT($D1433,FIND(",",$D1433)-1)&amp;"_"&amp;I1433&amp;L1433</f>
        <v>Pittau_2020</v>
      </c>
      <c r="N1433" s="312" t="s">
        <v>4383</v>
      </c>
      <c r="O1433" s="171" t="s">
        <v>513</v>
      </c>
      <c r="P1433" t="s">
        <v>341</v>
      </c>
      <c r="Q1433" s="312" t="s">
        <v>389</v>
      </c>
      <c r="R1433" s="313"/>
      <c r="S1433" s="1" t="s">
        <v>3984</v>
      </c>
      <c r="T1433" t="s">
        <v>3978</v>
      </c>
      <c r="U1433" t="s">
        <v>3985</v>
      </c>
      <c r="V1433">
        <v>0</v>
      </c>
      <c r="W1433">
        <v>0</v>
      </c>
      <c r="X1433">
        <v>0</v>
      </c>
      <c r="Y1433">
        <v>0</v>
      </c>
      <c r="Z1433">
        <v>0</v>
      </c>
      <c r="AA1433">
        <v>0</v>
      </c>
      <c r="AB1433">
        <v>0</v>
      </c>
      <c r="AC1433">
        <v>0</v>
      </c>
      <c r="AD1433">
        <v>0</v>
      </c>
      <c r="AE1433">
        <v>0</v>
      </c>
      <c r="AF1433">
        <v>0</v>
      </c>
      <c r="AG1433">
        <v>0</v>
      </c>
      <c r="AH1433">
        <v>1</v>
      </c>
      <c r="AI1433">
        <v>0</v>
      </c>
      <c r="AJ1433">
        <v>0</v>
      </c>
      <c r="AK1433">
        <v>1</v>
      </c>
      <c r="AL1433">
        <v>0</v>
      </c>
      <c r="AM1433">
        <v>0</v>
      </c>
      <c r="AN1433">
        <v>0</v>
      </c>
      <c r="AO1433">
        <v>0</v>
      </c>
      <c r="AP1433">
        <v>0</v>
      </c>
      <c r="AQ1433">
        <v>0</v>
      </c>
      <c r="AR1433">
        <v>0</v>
      </c>
      <c r="AS1433">
        <v>0</v>
      </c>
      <c r="AT1433">
        <v>0</v>
      </c>
      <c r="AU1433">
        <v>0</v>
      </c>
      <c r="AV1433">
        <v>0</v>
      </c>
      <c r="AW1433">
        <v>0</v>
      </c>
      <c r="AX1433" s="141">
        <f>COUNTIF(V1433:AW1433,"&lt;&gt;0")</f>
        <v>2</v>
      </c>
      <c r="AY1433" s="141">
        <f>COUNTIF(V1433:AL1433,"&lt;&gt;0")</f>
        <v>2</v>
      </c>
      <c r="AZ1433">
        <f>COUNTIF(V1433:AC1433,"&lt;&gt;0")</f>
        <v>0</v>
      </c>
      <c r="BA1433">
        <f>COUNTIF(AD1433:AI1433,"&lt;&gt;0")</f>
        <v>1</v>
      </c>
      <c r="BB1433">
        <f>COUNTIF(AJ1433:AL1433,"&lt;&gt;0")</f>
        <v>1</v>
      </c>
      <c r="BC1433">
        <f>COUNTIF(AS1433:AW1433,"&lt;&gt;0")</f>
        <v>0</v>
      </c>
      <c r="BD1433">
        <f>COUNTIF(AM1433:AR1433,"&lt;&gt;0")</f>
        <v>0</v>
      </c>
      <c r="BE1433" t="str" cm="1">
        <f t="array" ref="BE1433">IF(AY1433=1,INDEX($V$7:$AL$7,MATCH(TRUE,INDEX($V1433:$AW1433&lt;&gt;0,),0)),IF(AY1433=0,INDEX($AM$7:$AW$7,MATCH(1,$AM1433:$AW1433,0)),IF(BF1433="Multiple strategies","mixed drivers",IF(BF1433="Supply chain","multiple supply","multiple silviculture"))))</f>
        <v>mixed drivers</v>
      </c>
      <c r="BF1433" s="2" t="str" cm="1">
        <f t="array" ref="BF1433">IF(COUNTIF(AZ1433:BB1433,"&lt;&gt;0")=1,INDEX($V$4:$AW$4,MATCH(TRUE,INDEX($V1433:$AW1433&lt;&gt;0,),0)),IF(COUNTIF(AZ1433:BB1433,"&lt;&gt;0")=0,INDEX($AM$4:$AW$4,MATCH(1,$AM1433:$AW1433,0)),"Multiple strategies"))</f>
        <v>Multiple strategies</v>
      </c>
      <c r="BP1433" t="s">
        <v>395</v>
      </c>
      <c r="BR1433" t="s">
        <v>397</v>
      </c>
      <c r="BS1433">
        <v>519</v>
      </c>
      <c r="BT1433">
        <v>374.86033519553069</v>
      </c>
      <c r="BU1433" s="144"/>
      <c r="BV1433">
        <f>BT1433-BS1433</f>
        <v>-144.13966480446931</v>
      </c>
      <c r="BY1433" t="str">
        <f>IFERROR(BX1433/BO1433,"")</f>
        <v/>
      </c>
      <c r="BZ1433">
        <v>1</v>
      </c>
      <c r="CA1433">
        <v>0</v>
      </c>
      <c r="CB1433">
        <v>0</v>
      </c>
      <c r="CC1433">
        <v>0</v>
      </c>
      <c r="CD1433">
        <v>0</v>
      </c>
      <c r="CE1433">
        <v>0</v>
      </c>
      <c r="CF1433">
        <v>1</v>
      </c>
      <c r="CG1433">
        <v>0</v>
      </c>
      <c r="CH1433">
        <v>0</v>
      </c>
      <c r="CI1433">
        <v>0</v>
      </c>
      <c r="CJ1433">
        <v>1</v>
      </c>
      <c r="CK1433">
        <v>0</v>
      </c>
      <c r="CL1433">
        <v>0</v>
      </c>
      <c r="CM1433">
        <v>0</v>
      </c>
      <c r="CN1433" t="str">
        <f>IF($BL1433&lt;$BK1433,"refNeedCorrection","refOK")</f>
        <v>refOK</v>
      </c>
      <c r="CO1433"/>
      <c r="CP1433"/>
      <c r="CQ1433"/>
      <c r="CR1433">
        <f>IF($CN1433="refOK",$BS1433,$BT1433)*IF($BP1433="Emissions positive",-1,1)</f>
        <v>-519</v>
      </c>
      <c r="CS1433">
        <f>IF($CN1433="refOK",$BT1433,$BS1433)*IF($BP1433="Emissions positive",-1,1)</f>
        <v>-374.86033519553069</v>
      </c>
      <c r="CT1433">
        <f>IF($CN1433="refNeedCorrection",-BX1433,BX1433)*IF($BP1433="Emissions positive",-1,1)</f>
        <v>0</v>
      </c>
      <c r="CU1433" t="str">
        <f>IFERROR(CT1433/CQ1433,"")</f>
        <v/>
      </c>
      <c r="CV1433" s="2">
        <f>IFERROR((CS1433-CR1433)/ABS(CR1433),"")</f>
        <v>0.27772575106834163</v>
      </c>
      <c r="CW1433" s="1" t="s">
        <v>974</v>
      </c>
      <c r="CX1433" s="312" t="str">
        <f>IF(OR($CW1433="prd",$CW1433="std",$CW1433="cit"),"loc",IF(OR($CW1433="eur",$CW1433="reg",$CW1433="coy"),"reg",$CW1433))</f>
        <v>loc</v>
      </c>
      <c r="CY1433" t="s">
        <v>732</v>
      </c>
      <c r="DB1433">
        <v>0</v>
      </c>
      <c r="DC1433" t="str">
        <f>IF(DB1433=0,"0",IF(AND(DB1433&gt;=1,DB1433&lt;=30),"1-30",IF(AND(DB1433&gt;30,DB1433&lt;=70),"31-70",IF(AND(DB1433&gt;70,DB1433&lt;=100),"71-100",IF(DB1433&gt;100,"+100")))))</f>
        <v>0</v>
      </c>
      <c r="DD1433">
        <v>0</v>
      </c>
      <c r="DE1433">
        <v>0</v>
      </c>
      <c r="DF1433">
        <v>0</v>
      </c>
      <c r="DG1433">
        <v>1</v>
      </c>
      <c r="DH1433">
        <v>0</v>
      </c>
      <c r="DI1433">
        <f>SUM(DD1433:DH1433)</f>
        <v>1</v>
      </c>
      <c r="DJ1433" t="str">
        <f>IF(DI1433=1,INDEX($DD$7:$DG$7,MATCH(1,$DD1433:$DG1433,0)),"mixedProduct")</f>
        <v>TimberInput</v>
      </c>
      <c r="DK1433">
        <f>IF(DD1433=1,DK$7,0)</f>
        <v>0</v>
      </c>
      <c r="DL1433">
        <f>IF(DE1433=1,DL$7,0)</f>
        <v>0</v>
      </c>
      <c r="DM1433">
        <f>IF(DF1433=1,DM$7,0)</f>
        <v>0</v>
      </c>
      <c r="DN1433" t="str">
        <f>IF(DG1433=1,DN$7,0)</f>
        <v>Timber</v>
      </c>
      <c r="DO1433">
        <v>0</v>
      </c>
      <c r="DP1433" s="143">
        <v>1</v>
      </c>
      <c r="DQ1433" s="143" t="s">
        <v>3969</v>
      </c>
      <c r="DR1433" t="s">
        <v>3969</v>
      </c>
      <c r="DS1433" s="143" t="s">
        <v>3969</v>
      </c>
      <c r="DT1433">
        <f>SUM(DO1433:DP1433)</f>
        <v>1</v>
      </c>
      <c r="DU1433" s="143" t="str">
        <f>IF(DO1433=1,"self-calculated DF",IF(DP1433=1,"external DF used","explicit C balance"))</f>
        <v>external DF used</v>
      </c>
      <c r="DV1433">
        <v>0</v>
      </c>
      <c r="DW1433">
        <v>0</v>
      </c>
      <c r="DX1433">
        <v>0</v>
      </c>
      <c r="DY1433">
        <v>1</v>
      </c>
      <c r="DZ1433">
        <v>1</v>
      </c>
      <c r="EA1433" s="143">
        <v>1</v>
      </c>
      <c r="EB1433">
        <v>0</v>
      </c>
      <c r="EC1433">
        <v>1</v>
      </c>
      <c r="ED1433">
        <v>1</v>
      </c>
      <c r="EE1433">
        <v>1</v>
      </c>
      <c r="EF1433">
        <v>0</v>
      </c>
      <c r="EG1433">
        <v>0</v>
      </c>
      <c r="EH1433">
        <v>0</v>
      </c>
      <c r="EI1433" s="2">
        <v>0</v>
      </c>
      <c r="EK1433" t="str">
        <f>IF(AND(AND(AND(OR($DX1433=1,$DW1433=1),OR($EC1433=1,$EA1433=1)),SUM($DV1433:$DZ1433,$EF1433)&gt;=3),SUM($EA1433:$EE1433)&gt;=2),"Whole sector","")</f>
        <v/>
      </c>
      <c r="EL1433" t="str">
        <f>IF(AND(AND(OR($DX1433=1,$DW1433=1),AND($EC1433=0,$EA1433=0)),SUM($DV1433:$DZ1433,$EF1433)&gt;=3),"Ecosystem approach","")</f>
        <v/>
      </c>
      <c r="EM1433" s="2" t="str">
        <f>IF(AND(AND(AND($DX1433=0,$DW1433=0),OR($EC1433=1,$EA1433=1)),SUM($EB1433:$EE1433)&gt;=2),"Technology approach","")</f>
        <v>Technology approach</v>
      </c>
      <c r="EP1433" t="b">
        <f>IF(ISNUMBER(BU1433),IF(ABS(BU1433-[5]QC_indicators!$B$2)&gt;3*[5]QC_indicators!$C$2,"C ratio",IF(ISNUMBER(BY1433),IF(ABS(BY1433-[5]QC_indicators!$B$1)&gt;3*[5]QC_indicators!$C$1,"DF","no"))),IF(ISNUMBER(BY1433),IF(ABS(BY1433-[5]QC_indicators!$B$1)&gt;3*[5]QC_indicators!$C$1,"DF","no")))</f>
        <v>0</v>
      </c>
    </row>
    <row r="1434" spans="1:146" ht="15" customHeight="1">
      <c r="A1434" s="1" t="s">
        <v>1043</v>
      </c>
      <c r="B1434" t="s">
        <v>3970</v>
      </c>
      <c r="C1434" t="s">
        <v>3971</v>
      </c>
      <c r="D1434" t="s">
        <v>3972</v>
      </c>
      <c r="E1434" s="312" t="s">
        <v>3973</v>
      </c>
      <c r="F1434" t="s">
        <v>3974</v>
      </c>
      <c r="G1434" t="s">
        <v>3975</v>
      </c>
      <c r="H1434" t="s">
        <v>254</v>
      </c>
      <c r="I1434">
        <v>2020</v>
      </c>
      <c r="J1434">
        <v>2</v>
      </c>
      <c r="K1434" t="s">
        <v>3976</v>
      </c>
      <c r="M1434" t="str">
        <f>LEFT($D1434,FIND(",",$D1434)-1)&amp;"_"&amp;I1434&amp;L1434</f>
        <v>Pittau_2020</v>
      </c>
      <c r="N1434" s="312" t="s">
        <v>4383</v>
      </c>
      <c r="O1434" s="171" t="s">
        <v>513</v>
      </c>
      <c r="P1434" t="s">
        <v>341</v>
      </c>
      <c r="Q1434" s="312" t="s">
        <v>389</v>
      </c>
      <c r="R1434" s="313"/>
      <c r="S1434" s="1" t="s">
        <v>3986</v>
      </c>
      <c r="T1434" t="s">
        <v>3978</v>
      </c>
      <c r="U1434" t="s">
        <v>3987</v>
      </c>
      <c r="V1434">
        <v>0</v>
      </c>
      <c r="W1434">
        <v>0</v>
      </c>
      <c r="X1434">
        <v>0</v>
      </c>
      <c r="Y1434">
        <v>0</v>
      </c>
      <c r="Z1434">
        <v>0</v>
      </c>
      <c r="AA1434">
        <v>0</v>
      </c>
      <c r="AB1434">
        <v>0</v>
      </c>
      <c r="AC1434">
        <v>0</v>
      </c>
      <c r="AD1434">
        <v>0</v>
      </c>
      <c r="AE1434">
        <v>0</v>
      </c>
      <c r="AF1434">
        <v>0</v>
      </c>
      <c r="AG1434">
        <v>0</v>
      </c>
      <c r="AH1434">
        <v>1</v>
      </c>
      <c r="AI1434">
        <v>0</v>
      </c>
      <c r="AJ1434">
        <v>0</v>
      </c>
      <c r="AK1434">
        <v>1</v>
      </c>
      <c r="AL1434">
        <v>0</v>
      </c>
      <c r="AM1434">
        <v>0</v>
      </c>
      <c r="AN1434">
        <v>0</v>
      </c>
      <c r="AO1434">
        <v>0</v>
      </c>
      <c r="AP1434">
        <v>0</v>
      </c>
      <c r="AQ1434">
        <v>0</v>
      </c>
      <c r="AR1434">
        <v>0</v>
      </c>
      <c r="AS1434">
        <v>0</v>
      </c>
      <c r="AT1434">
        <v>0</v>
      </c>
      <c r="AU1434">
        <v>0</v>
      </c>
      <c r="AV1434">
        <v>0</v>
      </c>
      <c r="AW1434">
        <v>0</v>
      </c>
      <c r="AX1434" s="141">
        <f>COUNTIF(V1434:AW1434,"&lt;&gt;0")</f>
        <v>2</v>
      </c>
      <c r="AY1434" s="141">
        <f>COUNTIF(V1434:AL1434,"&lt;&gt;0")</f>
        <v>2</v>
      </c>
      <c r="AZ1434">
        <f>COUNTIF(V1434:AC1434,"&lt;&gt;0")</f>
        <v>0</v>
      </c>
      <c r="BA1434">
        <f>COUNTIF(AD1434:AI1434,"&lt;&gt;0")</f>
        <v>1</v>
      </c>
      <c r="BB1434">
        <f>COUNTIF(AJ1434:AL1434,"&lt;&gt;0")</f>
        <v>1</v>
      </c>
      <c r="BC1434">
        <f>COUNTIF(AS1434:AW1434,"&lt;&gt;0")</f>
        <v>0</v>
      </c>
      <c r="BD1434">
        <f>COUNTIF(AM1434:AR1434,"&lt;&gt;0")</f>
        <v>0</v>
      </c>
      <c r="BE1434" t="str" cm="1">
        <f t="array" ref="BE1434">IF(AY1434=1,INDEX($V$7:$AL$7,MATCH(TRUE,INDEX($V1434:$AW1434&lt;&gt;0,),0)),IF(AY1434=0,INDEX($AM$7:$AW$7,MATCH(1,$AM1434:$AW1434,0)),IF(BF1434="Multiple strategies","mixed drivers",IF(BF1434="Supply chain","multiple supply","multiple silviculture"))))</f>
        <v>mixed drivers</v>
      </c>
      <c r="BF1434" s="2" t="str" cm="1">
        <f t="array" ref="BF1434">IF(COUNTIF(AZ1434:BB1434,"&lt;&gt;0")=1,INDEX($V$4:$AW$4,MATCH(TRUE,INDEX($V1434:$AW1434&lt;&gt;0,),0)),IF(COUNTIF(AZ1434:BB1434,"&lt;&gt;0")=0,INDEX($AM$4:$AW$4,MATCH(1,$AM1434:$AW1434,0)),"Multiple strategies"))</f>
        <v>Multiple strategies</v>
      </c>
      <c r="BP1434" t="s">
        <v>395</v>
      </c>
      <c r="BR1434" t="s">
        <v>397</v>
      </c>
      <c r="BS1434">
        <v>519</v>
      </c>
      <c r="BT1434">
        <v>405.58659217877067</v>
      </c>
      <c r="BU1434" s="144"/>
      <c r="BV1434">
        <f>BT1434-BS1434</f>
        <v>-113.41340782122933</v>
      </c>
      <c r="BY1434" t="str">
        <f>IFERROR(BX1434/BO1434,"")</f>
        <v/>
      </c>
      <c r="BZ1434">
        <v>1</v>
      </c>
      <c r="CA1434">
        <v>0</v>
      </c>
      <c r="CB1434">
        <v>0</v>
      </c>
      <c r="CC1434">
        <v>0</v>
      </c>
      <c r="CD1434">
        <v>0</v>
      </c>
      <c r="CE1434">
        <v>0</v>
      </c>
      <c r="CF1434">
        <v>1</v>
      </c>
      <c r="CG1434">
        <v>0</v>
      </c>
      <c r="CH1434">
        <v>0</v>
      </c>
      <c r="CI1434">
        <v>0</v>
      </c>
      <c r="CJ1434">
        <v>1</v>
      </c>
      <c r="CK1434">
        <v>0</v>
      </c>
      <c r="CL1434">
        <v>0</v>
      </c>
      <c r="CM1434">
        <v>0</v>
      </c>
      <c r="CN1434" t="str">
        <f>IF($BL1434&lt;$BK1434,"refNeedCorrection","refOK")</f>
        <v>refOK</v>
      </c>
      <c r="CO1434"/>
      <c r="CP1434"/>
      <c r="CQ1434"/>
      <c r="CR1434">
        <f>IF($CN1434="refOK",$BS1434,$BT1434)*IF($BP1434="Emissions positive",-1,1)</f>
        <v>-519</v>
      </c>
      <c r="CS1434">
        <f>IF($CN1434="refOK",$BT1434,$BS1434)*IF($BP1434="Emissions positive",-1,1)</f>
        <v>-405.58659217877067</v>
      </c>
      <c r="CT1434">
        <f>IF($CN1434="refNeedCorrection",-BX1434,BX1434)*IF($BP1434="Emissions positive",-1,1)</f>
        <v>0</v>
      </c>
      <c r="CU1434" t="str">
        <f>IFERROR(CT1434/CQ1434,"")</f>
        <v/>
      </c>
      <c r="CV1434" s="2">
        <f>IFERROR((CS1434-CR1434)/ABS(CR1434),"")</f>
        <v>0.21852294377886189</v>
      </c>
      <c r="CW1434" s="1" t="s">
        <v>974</v>
      </c>
      <c r="CX1434" s="312" t="str">
        <f>IF(OR($CW1434="prd",$CW1434="std",$CW1434="cit"),"loc",IF(OR($CW1434="eur",$CW1434="reg",$CW1434="coy"),"reg",$CW1434))</f>
        <v>loc</v>
      </c>
      <c r="CY1434" t="s">
        <v>732</v>
      </c>
      <c r="DB1434">
        <v>0</v>
      </c>
      <c r="DC1434" t="str">
        <f>IF(DB1434=0,"0",IF(AND(DB1434&gt;=1,DB1434&lt;=30),"1-30",IF(AND(DB1434&gt;30,DB1434&lt;=70),"31-70",IF(AND(DB1434&gt;70,DB1434&lt;=100),"71-100",IF(DB1434&gt;100,"+100")))))</f>
        <v>0</v>
      </c>
      <c r="DD1434">
        <v>0</v>
      </c>
      <c r="DE1434">
        <v>0</v>
      </c>
      <c r="DF1434">
        <v>0</v>
      </c>
      <c r="DG1434">
        <v>1</v>
      </c>
      <c r="DH1434">
        <v>0</v>
      </c>
      <c r="DI1434">
        <f>SUM(DD1434:DH1434)</f>
        <v>1</v>
      </c>
      <c r="DJ1434" t="str">
        <f>IF(DI1434=1,INDEX($DD$7:$DG$7,MATCH(1,$DD1434:$DG1434,0)),"mixedProduct")</f>
        <v>TimberInput</v>
      </c>
      <c r="DK1434">
        <f>IF(DD1434=1,DK$7,0)</f>
        <v>0</v>
      </c>
      <c r="DL1434">
        <f>IF(DE1434=1,DL$7,0)</f>
        <v>0</v>
      </c>
      <c r="DM1434">
        <f>IF(DF1434=1,DM$7,0)</f>
        <v>0</v>
      </c>
      <c r="DN1434" t="str">
        <f>IF(DG1434=1,DN$7,0)</f>
        <v>Timber</v>
      </c>
      <c r="DO1434">
        <v>0</v>
      </c>
      <c r="DP1434" s="143">
        <v>1</v>
      </c>
      <c r="DQ1434" s="143" t="s">
        <v>3969</v>
      </c>
      <c r="DR1434" t="s">
        <v>3969</v>
      </c>
      <c r="DS1434" s="143" t="s">
        <v>3969</v>
      </c>
      <c r="DT1434">
        <f>SUM(DO1434:DP1434)</f>
        <v>1</v>
      </c>
      <c r="DU1434" s="143" t="str">
        <f>IF(DO1434=1,"self-calculated DF",IF(DP1434=1,"external DF used","explicit C balance"))</f>
        <v>external DF used</v>
      </c>
      <c r="DV1434">
        <v>0</v>
      </c>
      <c r="DW1434">
        <v>0</v>
      </c>
      <c r="DX1434">
        <v>0</v>
      </c>
      <c r="DY1434">
        <v>1</v>
      </c>
      <c r="DZ1434">
        <v>1</v>
      </c>
      <c r="EA1434" s="143">
        <v>1</v>
      </c>
      <c r="EB1434">
        <v>0</v>
      </c>
      <c r="EC1434">
        <v>1</v>
      </c>
      <c r="ED1434">
        <v>1</v>
      </c>
      <c r="EE1434">
        <v>1</v>
      </c>
      <c r="EF1434">
        <v>0</v>
      </c>
      <c r="EG1434">
        <v>0</v>
      </c>
      <c r="EH1434">
        <v>0</v>
      </c>
      <c r="EI1434" s="2">
        <v>0</v>
      </c>
      <c r="EK1434" t="str">
        <f>IF(AND(AND(AND(OR($DX1434=1,$DW1434=1),OR($EC1434=1,$EA1434=1)),SUM($DV1434:$DZ1434,$EF1434)&gt;=3),SUM($EA1434:$EE1434)&gt;=2),"Whole sector","")</f>
        <v/>
      </c>
      <c r="EL1434" t="str">
        <f>IF(AND(AND(OR($DX1434=1,$DW1434=1),AND($EC1434=0,$EA1434=0)),SUM($DV1434:$DZ1434,$EF1434)&gt;=3),"Ecosystem approach","")</f>
        <v/>
      </c>
      <c r="EM1434" s="2" t="str">
        <f>IF(AND(AND(AND($DX1434=0,$DW1434=0),OR($EC1434=1,$EA1434=1)),SUM($EB1434:$EE1434)&gt;=2),"Technology approach","")</f>
        <v>Technology approach</v>
      </c>
      <c r="EP1434" t="b">
        <f>IF(ISNUMBER(BU1434),IF(ABS(BU1434-[5]QC_indicators!$B$2)&gt;3*[5]QC_indicators!$C$2,"C ratio",IF(ISNUMBER(BY1434),IF(ABS(BY1434-[5]QC_indicators!$B$1)&gt;3*[5]QC_indicators!$C$1,"DF","no"))),IF(ISNUMBER(BY1434),IF(ABS(BY1434-[5]QC_indicators!$B$1)&gt;3*[5]QC_indicators!$C$1,"DF","no")))</f>
        <v>0</v>
      </c>
    </row>
    <row r="1435" spans="1:146" ht="15" customHeight="1">
      <c r="A1435" s="1" t="s">
        <v>1043</v>
      </c>
      <c r="B1435" t="s">
        <v>3970</v>
      </c>
      <c r="C1435" t="s">
        <v>3971</v>
      </c>
      <c r="D1435" t="s">
        <v>3972</v>
      </c>
      <c r="E1435" t="s">
        <v>3973</v>
      </c>
      <c r="F1435" t="s">
        <v>3974</v>
      </c>
      <c r="G1435" t="s">
        <v>3975</v>
      </c>
      <c r="H1435" t="s">
        <v>254</v>
      </c>
      <c r="I1435">
        <v>2020</v>
      </c>
      <c r="J1435">
        <v>2</v>
      </c>
      <c r="K1435" t="s">
        <v>3976</v>
      </c>
      <c r="M1435" t="str">
        <f>LEFT($D1435,FIND(",",$D1435)-1)&amp;"_"&amp;I1435&amp;L1435</f>
        <v>Pittau_2020</v>
      </c>
      <c r="N1435" s="312" t="s">
        <v>4383</v>
      </c>
      <c r="O1435" s="171" t="s">
        <v>513</v>
      </c>
      <c r="P1435" t="s">
        <v>341</v>
      </c>
      <c r="Q1435" s="312" t="s">
        <v>389</v>
      </c>
      <c r="R1435" s="313"/>
      <c r="S1435" s="1" t="s">
        <v>3988</v>
      </c>
      <c r="T1435" t="s">
        <v>3978</v>
      </c>
      <c r="U1435" t="s">
        <v>3989</v>
      </c>
      <c r="V1435">
        <v>0</v>
      </c>
      <c r="W1435">
        <v>0</v>
      </c>
      <c r="X1435">
        <v>0</v>
      </c>
      <c r="Y1435">
        <v>0</v>
      </c>
      <c r="Z1435">
        <v>0</v>
      </c>
      <c r="AA1435">
        <v>0</v>
      </c>
      <c r="AB1435">
        <v>0</v>
      </c>
      <c r="AC1435">
        <v>0</v>
      </c>
      <c r="AD1435">
        <v>0</v>
      </c>
      <c r="AE1435">
        <v>0</v>
      </c>
      <c r="AF1435">
        <v>0</v>
      </c>
      <c r="AG1435">
        <v>0</v>
      </c>
      <c r="AH1435">
        <v>1</v>
      </c>
      <c r="AI1435">
        <v>0</v>
      </c>
      <c r="AJ1435">
        <v>0</v>
      </c>
      <c r="AK1435">
        <v>1</v>
      </c>
      <c r="AL1435">
        <v>0</v>
      </c>
      <c r="AM1435">
        <v>0</v>
      </c>
      <c r="AN1435">
        <v>0</v>
      </c>
      <c r="AO1435">
        <v>0</v>
      </c>
      <c r="AP1435">
        <v>0</v>
      </c>
      <c r="AQ1435">
        <v>0</v>
      </c>
      <c r="AR1435">
        <v>0</v>
      </c>
      <c r="AS1435">
        <v>0</v>
      </c>
      <c r="AT1435">
        <v>0</v>
      </c>
      <c r="AU1435">
        <v>0</v>
      </c>
      <c r="AV1435">
        <v>0</v>
      </c>
      <c r="AW1435">
        <v>0</v>
      </c>
      <c r="AX1435" s="141">
        <f>COUNTIF(V1435:AW1435,"&lt;&gt;0")</f>
        <v>2</v>
      </c>
      <c r="AY1435" s="141">
        <f>COUNTIF(V1435:AL1435,"&lt;&gt;0")</f>
        <v>2</v>
      </c>
      <c r="AZ1435">
        <f>COUNTIF(V1435:AC1435,"&lt;&gt;0")</f>
        <v>0</v>
      </c>
      <c r="BA1435">
        <f>COUNTIF(AD1435:AI1435,"&lt;&gt;0")</f>
        <v>1</v>
      </c>
      <c r="BB1435">
        <f>COUNTIF(AJ1435:AL1435,"&lt;&gt;0")</f>
        <v>1</v>
      </c>
      <c r="BC1435">
        <f>COUNTIF(AS1435:AW1435,"&lt;&gt;0")</f>
        <v>0</v>
      </c>
      <c r="BD1435">
        <f>COUNTIF(AM1435:AR1435,"&lt;&gt;0")</f>
        <v>0</v>
      </c>
      <c r="BE1435" t="str" cm="1">
        <f t="array" ref="BE1435">IF(AY1435=1,INDEX($V$7:$AL$7,MATCH(TRUE,INDEX($V1435:$AW1435&lt;&gt;0,),0)),IF(AY1435=0,INDEX($AM$7:$AW$7,MATCH(1,$AM1435:$AW1435,0)),IF(BF1435="Multiple strategies","mixed drivers",IF(BF1435="Supply chain","multiple supply","multiple silviculture"))))</f>
        <v>mixed drivers</v>
      </c>
      <c r="BF1435" s="2" t="str" cm="1">
        <f t="array" ref="BF1435">IF(COUNTIF(AZ1435:BB1435,"&lt;&gt;0")=1,INDEX($V$4:$AW$4,MATCH(TRUE,INDEX($V1435:$AW1435&lt;&gt;0,),0)),IF(COUNTIF(AZ1435:BB1435,"&lt;&gt;0")=0,INDEX($AM$4:$AW$4,MATCH(1,$AM1435:$AW1435,0)),"Multiple strategies"))</f>
        <v>Multiple strategies</v>
      </c>
      <c r="BP1435" t="s">
        <v>395</v>
      </c>
      <c r="BR1435" t="s">
        <v>397</v>
      </c>
      <c r="BS1435">
        <v>519</v>
      </c>
      <c r="BT1435">
        <v>64.5251396648043</v>
      </c>
      <c r="BU1435" s="144"/>
      <c r="BV1435">
        <f>BT1435-BS1435</f>
        <v>-454.47486033519567</v>
      </c>
      <c r="BY1435" t="str">
        <f>IFERROR(BX1435/BO1435,"")</f>
        <v/>
      </c>
      <c r="BZ1435">
        <v>1</v>
      </c>
      <c r="CA1435">
        <v>0</v>
      </c>
      <c r="CB1435">
        <v>0</v>
      </c>
      <c r="CC1435">
        <v>0</v>
      </c>
      <c r="CD1435">
        <v>0</v>
      </c>
      <c r="CE1435">
        <v>0</v>
      </c>
      <c r="CF1435">
        <v>1</v>
      </c>
      <c r="CG1435">
        <v>0</v>
      </c>
      <c r="CH1435">
        <v>0</v>
      </c>
      <c r="CI1435">
        <v>0</v>
      </c>
      <c r="CJ1435">
        <v>1</v>
      </c>
      <c r="CK1435">
        <v>0</v>
      </c>
      <c r="CL1435">
        <v>0</v>
      </c>
      <c r="CM1435">
        <v>0</v>
      </c>
      <c r="CN1435" t="str">
        <f>IF($BL1435&lt;$BK1435,"refNeedCorrection","refOK")</f>
        <v>refOK</v>
      </c>
      <c r="CO1435"/>
      <c r="CP1435"/>
      <c r="CQ1435"/>
      <c r="CR1435">
        <f>IF($CN1435="refOK",$BS1435,$BT1435)*IF($BP1435="Emissions positive",-1,1)</f>
        <v>-519</v>
      </c>
      <c r="CS1435">
        <f>IF($CN1435="refOK",$BT1435,$BS1435)*IF($BP1435="Emissions positive",-1,1)</f>
        <v>-64.5251396648043</v>
      </c>
      <c r="CT1435">
        <f>IF($CN1435="refNeedCorrection",-BX1435,BX1435)*IF($BP1435="Emissions positive",-1,1)</f>
        <v>0</v>
      </c>
      <c r="CU1435" t="str">
        <f>IFERROR(CT1435/CQ1435,"")</f>
        <v/>
      </c>
      <c r="CV1435" s="2">
        <f>IFERROR((CS1435-CR1435)/ABS(CR1435),"")</f>
        <v>0.87567410469209184</v>
      </c>
      <c r="CW1435" s="1" t="s">
        <v>974</v>
      </c>
      <c r="CX1435" s="312" t="str">
        <f>IF(OR($CW1435="prd",$CW1435="std",$CW1435="cit"),"loc",IF(OR($CW1435="eur",$CW1435="reg",$CW1435="coy"),"reg",$CW1435))</f>
        <v>loc</v>
      </c>
      <c r="CY1435" t="s">
        <v>732</v>
      </c>
      <c r="DB1435">
        <v>0</v>
      </c>
      <c r="DC1435" t="str">
        <f>IF(DB1435=0,"0",IF(AND(DB1435&gt;=1,DB1435&lt;=30),"1-30",IF(AND(DB1435&gt;30,DB1435&lt;=70),"31-70",IF(AND(DB1435&gt;70,DB1435&lt;=100),"71-100",IF(DB1435&gt;100,"+100")))))</f>
        <v>0</v>
      </c>
      <c r="DD1435">
        <v>0</v>
      </c>
      <c r="DE1435">
        <v>0</v>
      </c>
      <c r="DF1435">
        <v>0</v>
      </c>
      <c r="DG1435">
        <v>1</v>
      </c>
      <c r="DH1435">
        <v>0</v>
      </c>
      <c r="DI1435">
        <f>SUM(DD1435:DH1435)</f>
        <v>1</v>
      </c>
      <c r="DJ1435" t="str">
        <f>IF(DI1435=1,INDEX($DD$7:$DG$7,MATCH(1,$DD1435:$DG1435,0)),"mixedProduct")</f>
        <v>TimberInput</v>
      </c>
      <c r="DK1435">
        <f>IF(DD1435=1,DK$7,0)</f>
        <v>0</v>
      </c>
      <c r="DL1435">
        <f>IF(DE1435=1,DL$7,0)</f>
        <v>0</v>
      </c>
      <c r="DM1435">
        <f>IF(DF1435=1,DM$7,0)</f>
        <v>0</v>
      </c>
      <c r="DN1435" t="str">
        <f>IF(DG1435=1,DN$7,0)</f>
        <v>Timber</v>
      </c>
      <c r="DO1435">
        <v>0</v>
      </c>
      <c r="DP1435" s="143">
        <v>1</v>
      </c>
      <c r="DQ1435" s="143" t="s">
        <v>3969</v>
      </c>
      <c r="DR1435" t="s">
        <v>3969</v>
      </c>
      <c r="DS1435" s="143" t="s">
        <v>3969</v>
      </c>
      <c r="DT1435">
        <f>SUM(DO1435:DP1435)</f>
        <v>1</v>
      </c>
      <c r="DU1435" s="143" t="str">
        <f>IF(DO1435=1,"self-calculated DF",IF(DP1435=1,"external DF used","explicit C balance"))</f>
        <v>external DF used</v>
      </c>
      <c r="DV1435">
        <v>0</v>
      </c>
      <c r="DW1435">
        <v>0</v>
      </c>
      <c r="DX1435">
        <v>0</v>
      </c>
      <c r="DY1435">
        <v>1</v>
      </c>
      <c r="DZ1435">
        <v>1</v>
      </c>
      <c r="EA1435" s="143">
        <v>1</v>
      </c>
      <c r="EB1435">
        <v>0</v>
      </c>
      <c r="EC1435">
        <v>1</v>
      </c>
      <c r="ED1435">
        <v>1</v>
      </c>
      <c r="EE1435">
        <v>1</v>
      </c>
      <c r="EF1435">
        <v>0</v>
      </c>
      <c r="EG1435">
        <v>0</v>
      </c>
      <c r="EH1435">
        <v>0</v>
      </c>
      <c r="EI1435" s="2">
        <v>0</v>
      </c>
      <c r="EK1435" t="str">
        <f>IF(AND(AND(AND(OR($DX1435=1,$DW1435=1),OR($EC1435=1,$EA1435=1)),SUM($DV1435:$DZ1435,$EF1435)&gt;=3),SUM($EA1435:$EE1435)&gt;=2),"Whole sector","")</f>
        <v/>
      </c>
      <c r="EL1435" t="str">
        <f>IF(AND(AND(OR($DX1435=1,$DW1435=1),AND($EC1435=0,$EA1435=0)),SUM($DV1435:$DZ1435,$EF1435)&gt;=3),"Ecosystem approach","")</f>
        <v/>
      </c>
      <c r="EM1435" s="2" t="str">
        <f>IF(AND(AND(AND($DX1435=0,$DW1435=0),OR($EC1435=1,$EA1435=1)),SUM($EB1435:$EE1435)&gt;=2),"Technology approach","")</f>
        <v>Technology approach</v>
      </c>
      <c r="EP1435" t="b">
        <f>IF(ISNUMBER(BU1435),IF(ABS(BU1435-[5]QC_indicators!$B$2)&gt;3*[5]QC_indicators!$C$2,"C ratio",IF(ISNUMBER(BY1435),IF(ABS(BY1435-[5]QC_indicators!$B$1)&gt;3*[5]QC_indicators!$C$1,"DF","no"))),IF(ISNUMBER(BY1435),IF(ABS(BY1435-[5]QC_indicators!$B$1)&gt;3*[5]QC_indicators!$C$1,"DF","no")))</f>
        <v>0</v>
      </c>
    </row>
    <row r="1436" spans="1:146" ht="15" customHeight="1">
      <c r="A1436" s="1" t="s">
        <v>1043</v>
      </c>
      <c r="B1436" t="s">
        <v>3970</v>
      </c>
      <c r="C1436" t="s">
        <v>3971</v>
      </c>
      <c r="D1436" t="s">
        <v>3972</v>
      </c>
      <c r="E1436" t="s">
        <v>3973</v>
      </c>
      <c r="F1436" t="s">
        <v>3974</v>
      </c>
      <c r="G1436" t="s">
        <v>3975</v>
      </c>
      <c r="H1436" t="s">
        <v>254</v>
      </c>
      <c r="I1436">
        <v>2020</v>
      </c>
      <c r="J1436">
        <v>2</v>
      </c>
      <c r="K1436" t="s">
        <v>3976</v>
      </c>
      <c r="M1436" t="str">
        <f>LEFT($D1436,FIND(",",$D1436)-1)&amp;"_"&amp;I1436&amp;L1436</f>
        <v>Pittau_2020</v>
      </c>
      <c r="N1436" s="312" t="s">
        <v>4383</v>
      </c>
      <c r="O1436" s="171" t="s">
        <v>513</v>
      </c>
      <c r="P1436" t="s">
        <v>341</v>
      </c>
      <c r="Q1436" s="312" t="s">
        <v>389</v>
      </c>
      <c r="R1436" s="313"/>
      <c r="S1436" s="1" t="s">
        <v>3990</v>
      </c>
      <c r="T1436" t="s">
        <v>3978</v>
      </c>
      <c r="U1436" t="s">
        <v>3991</v>
      </c>
      <c r="V1436">
        <v>0</v>
      </c>
      <c r="W1436">
        <v>0</v>
      </c>
      <c r="X1436">
        <v>0</v>
      </c>
      <c r="Y1436">
        <v>0</v>
      </c>
      <c r="Z1436">
        <v>0</v>
      </c>
      <c r="AA1436">
        <v>0</v>
      </c>
      <c r="AB1436">
        <v>0</v>
      </c>
      <c r="AC1436">
        <v>0</v>
      </c>
      <c r="AD1436">
        <v>0</v>
      </c>
      <c r="AE1436">
        <v>0</v>
      </c>
      <c r="AF1436">
        <v>0</v>
      </c>
      <c r="AG1436">
        <v>0</v>
      </c>
      <c r="AH1436">
        <v>1</v>
      </c>
      <c r="AI1436">
        <v>0</v>
      </c>
      <c r="AJ1436">
        <v>0</v>
      </c>
      <c r="AK1436">
        <v>1</v>
      </c>
      <c r="AL1436">
        <v>0</v>
      </c>
      <c r="AM1436">
        <v>0</v>
      </c>
      <c r="AN1436">
        <v>0</v>
      </c>
      <c r="AO1436">
        <v>0</v>
      </c>
      <c r="AP1436">
        <v>0</v>
      </c>
      <c r="AQ1436">
        <v>0</v>
      </c>
      <c r="AR1436">
        <v>0</v>
      </c>
      <c r="AS1436">
        <v>0</v>
      </c>
      <c r="AT1436">
        <v>0</v>
      </c>
      <c r="AU1436">
        <v>0</v>
      </c>
      <c r="AV1436">
        <v>0</v>
      </c>
      <c r="AW1436">
        <v>0</v>
      </c>
      <c r="AX1436" s="141">
        <f>COUNTIF(V1436:AW1436,"&lt;&gt;0")</f>
        <v>2</v>
      </c>
      <c r="AY1436" s="141">
        <f>COUNTIF(V1436:AL1436,"&lt;&gt;0")</f>
        <v>2</v>
      </c>
      <c r="AZ1436">
        <f>COUNTIF(V1436:AC1436,"&lt;&gt;0")</f>
        <v>0</v>
      </c>
      <c r="BA1436">
        <f>COUNTIF(AD1436:AI1436,"&lt;&gt;0")</f>
        <v>1</v>
      </c>
      <c r="BB1436">
        <f>COUNTIF(AJ1436:AL1436,"&lt;&gt;0")</f>
        <v>1</v>
      </c>
      <c r="BC1436">
        <f>COUNTIF(AS1436:AW1436,"&lt;&gt;0")</f>
        <v>0</v>
      </c>
      <c r="BD1436">
        <f>COUNTIF(AM1436:AR1436,"&lt;&gt;0")</f>
        <v>0</v>
      </c>
      <c r="BE1436" t="str" cm="1">
        <f t="array" ref="BE1436">IF(AY1436=1,INDEX($V$7:$AL$7,MATCH(TRUE,INDEX($V1436:$AW1436&lt;&gt;0,),0)),IF(AY1436=0,INDEX($AM$7:$AW$7,MATCH(1,$AM1436:$AW1436,0)),IF(BF1436="Multiple strategies","mixed drivers",IF(BF1436="Supply chain","multiple supply","multiple silviculture"))))</f>
        <v>mixed drivers</v>
      </c>
      <c r="BF1436" s="2" t="str" cm="1">
        <f t="array" ref="BF1436">IF(COUNTIF(AZ1436:BB1436,"&lt;&gt;0")=1,INDEX($V$4:$AW$4,MATCH(TRUE,INDEX($V1436:$AW1436&lt;&gt;0,),0)),IF(COUNTIF(AZ1436:BB1436,"&lt;&gt;0")=0,INDEX($AM$4:$AW$4,MATCH(1,$AM1436:$AW1436,0)),"Multiple strategies"))</f>
        <v>Multiple strategies</v>
      </c>
      <c r="BP1436" t="s">
        <v>395</v>
      </c>
      <c r="BR1436" t="s">
        <v>397</v>
      </c>
      <c r="BS1436">
        <v>519</v>
      </c>
      <c r="BT1436">
        <v>61.452513966480296</v>
      </c>
      <c r="BU1436" s="144"/>
      <c r="BV1436">
        <f>BT1436-BS1436</f>
        <v>-457.5474860335197</v>
      </c>
      <c r="BY1436" t="str">
        <f>IFERROR(BX1436/BO1436,"")</f>
        <v/>
      </c>
      <c r="BZ1436">
        <v>1</v>
      </c>
      <c r="CA1436">
        <v>0</v>
      </c>
      <c r="CB1436">
        <v>0</v>
      </c>
      <c r="CC1436">
        <v>0</v>
      </c>
      <c r="CD1436">
        <v>0</v>
      </c>
      <c r="CE1436">
        <v>0</v>
      </c>
      <c r="CF1436">
        <v>1</v>
      </c>
      <c r="CG1436">
        <v>0</v>
      </c>
      <c r="CH1436">
        <v>0</v>
      </c>
      <c r="CI1436">
        <v>0</v>
      </c>
      <c r="CJ1436">
        <v>1</v>
      </c>
      <c r="CK1436">
        <v>0</v>
      </c>
      <c r="CL1436">
        <v>0</v>
      </c>
      <c r="CM1436">
        <v>0</v>
      </c>
      <c r="CN1436" t="str">
        <f>IF($BL1436&lt;$BK1436,"refNeedCorrection","refOK")</f>
        <v>refOK</v>
      </c>
      <c r="CO1436"/>
      <c r="CP1436"/>
      <c r="CQ1436"/>
      <c r="CR1436">
        <f>IF($CN1436="refOK",$BS1436,$BT1436)*IF($BP1436="Emissions positive",-1,1)</f>
        <v>-519</v>
      </c>
      <c r="CS1436">
        <f>IF($CN1436="refOK",$BT1436,$BS1436)*IF($BP1436="Emissions positive",-1,1)</f>
        <v>-61.452513966480296</v>
      </c>
      <c r="CT1436">
        <f>IF($CN1436="refNeedCorrection",-BX1436,BX1436)*IF($BP1436="Emissions positive",-1,1)</f>
        <v>0</v>
      </c>
      <c r="CU1436" t="str">
        <f>IFERROR(CT1436/CQ1436,"")</f>
        <v/>
      </c>
      <c r="CV1436" s="2">
        <f>IFERROR((CS1436-CR1436)/ABS(CR1436),"")</f>
        <v>0.88159438542103985</v>
      </c>
      <c r="CW1436" s="1" t="s">
        <v>974</v>
      </c>
      <c r="CX1436" s="312" t="str">
        <f>IF(OR($CW1436="prd",$CW1436="std",$CW1436="cit"),"loc",IF(OR($CW1436="eur",$CW1436="reg",$CW1436="coy"),"reg",$CW1436))</f>
        <v>loc</v>
      </c>
      <c r="CY1436" t="s">
        <v>732</v>
      </c>
      <c r="DB1436">
        <v>0</v>
      </c>
      <c r="DC1436" t="str">
        <f>IF(DB1436=0,"0",IF(AND(DB1436&gt;=1,DB1436&lt;=30),"1-30",IF(AND(DB1436&gt;30,DB1436&lt;=70),"31-70",IF(AND(DB1436&gt;70,DB1436&lt;=100),"71-100",IF(DB1436&gt;100,"+100")))))</f>
        <v>0</v>
      </c>
      <c r="DD1436">
        <v>0</v>
      </c>
      <c r="DE1436">
        <v>0</v>
      </c>
      <c r="DF1436">
        <v>0</v>
      </c>
      <c r="DG1436">
        <v>1</v>
      </c>
      <c r="DH1436">
        <v>0</v>
      </c>
      <c r="DI1436">
        <f>SUM(DD1436:DH1436)</f>
        <v>1</v>
      </c>
      <c r="DJ1436" t="str">
        <f>IF(DI1436=1,INDEX($DD$7:$DG$7,MATCH(1,$DD1436:$DG1436,0)),"mixedProduct")</f>
        <v>TimberInput</v>
      </c>
      <c r="DK1436">
        <f>IF(DD1436=1,DK$7,0)</f>
        <v>0</v>
      </c>
      <c r="DL1436">
        <f>IF(DE1436=1,DL$7,0)</f>
        <v>0</v>
      </c>
      <c r="DM1436">
        <f>IF(DF1436=1,DM$7,0)</f>
        <v>0</v>
      </c>
      <c r="DN1436" t="str">
        <f>IF(DG1436=1,DN$7,0)</f>
        <v>Timber</v>
      </c>
      <c r="DO1436">
        <v>0</v>
      </c>
      <c r="DP1436" s="143">
        <v>1</v>
      </c>
      <c r="DQ1436" s="143" t="s">
        <v>3969</v>
      </c>
      <c r="DR1436" t="s">
        <v>3969</v>
      </c>
      <c r="DS1436" s="143" t="s">
        <v>3969</v>
      </c>
      <c r="DT1436">
        <f>SUM(DO1436:DP1436)</f>
        <v>1</v>
      </c>
      <c r="DU1436" s="143" t="str">
        <f>IF(DO1436=1,"self-calculated DF",IF(DP1436=1,"external DF used","explicit C balance"))</f>
        <v>external DF used</v>
      </c>
      <c r="DV1436">
        <v>0</v>
      </c>
      <c r="DW1436">
        <v>0</v>
      </c>
      <c r="DX1436">
        <v>0</v>
      </c>
      <c r="DY1436">
        <v>1</v>
      </c>
      <c r="DZ1436">
        <v>1</v>
      </c>
      <c r="EA1436" s="143">
        <v>1</v>
      </c>
      <c r="EB1436">
        <v>0</v>
      </c>
      <c r="EC1436">
        <v>1</v>
      </c>
      <c r="ED1436">
        <v>1</v>
      </c>
      <c r="EE1436">
        <v>1</v>
      </c>
      <c r="EF1436">
        <v>0</v>
      </c>
      <c r="EG1436">
        <v>0</v>
      </c>
      <c r="EH1436">
        <v>0</v>
      </c>
      <c r="EI1436" s="2">
        <v>0</v>
      </c>
      <c r="EK1436" t="str">
        <f>IF(AND(AND(AND(OR($DX1436=1,$DW1436=1),OR($EC1436=1,$EA1436=1)),SUM($DV1436:$DZ1436,$EF1436)&gt;=3),SUM($EA1436:$EE1436)&gt;=2),"Whole sector","")</f>
        <v/>
      </c>
      <c r="EL1436" t="str">
        <f>IF(AND(AND(OR($DX1436=1,$DW1436=1),AND($EC1436=0,$EA1436=0)),SUM($DV1436:$DZ1436,$EF1436)&gt;=3),"Ecosystem approach","")</f>
        <v/>
      </c>
      <c r="EM1436" s="2" t="str">
        <f>IF(AND(AND(AND($DX1436=0,$DW1436=0),OR($EC1436=1,$EA1436=1)),SUM($EB1436:$EE1436)&gt;=2),"Technology approach","")</f>
        <v>Technology approach</v>
      </c>
      <c r="EP1436" t="b">
        <f>IF(ISNUMBER(BU1436),IF(ABS(BU1436-[5]QC_indicators!$B$2)&gt;3*[5]QC_indicators!$C$2,"C ratio",IF(ISNUMBER(BY1436),IF(ABS(BY1436-[5]QC_indicators!$B$1)&gt;3*[5]QC_indicators!$C$1,"DF","no"))),IF(ISNUMBER(BY1436),IF(ABS(BY1436-[5]QC_indicators!$B$1)&gt;3*[5]QC_indicators!$C$1,"DF","no")))</f>
        <v>0</v>
      </c>
    </row>
    <row r="1437" spans="1:146" ht="15" customHeight="1">
      <c r="A1437" s="1" t="s">
        <v>1043</v>
      </c>
      <c r="B1437" t="s">
        <v>3970</v>
      </c>
      <c r="C1437" t="s">
        <v>3971</v>
      </c>
      <c r="D1437" t="s">
        <v>3972</v>
      </c>
      <c r="E1437" t="s">
        <v>3973</v>
      </c>
      <c r="F1437" t="s">
        <v>3974</v>
      </c>
      <c r="G1437" t="s">
        <v>3975</v>
      </c>
      <c r="H1437" t="s">
        <v>254</v>
      </c>
      <c r="I1437">
        <v>2020</v>
      </c>
      <c r="J1437">
        <v>2</v>
      </c>
      <c r="K1437" t="s">
        <v>3976</v>
      </c>
      <c r="M1437" t="str">
        <f>LEFT($D1437,FIND(",",$D1437)-1)&amp;"_"&amp;I1437&amp;L1437</f>
        <v>Pittau_2020</v>
      </c>
      <c r="N1437" s="312" t="s">
        <v>4383</v>
      </c>
      <c r="O1437" s="171" t="s">
        <v>513</v>
      </c>
      <c r="P1437" t="s">
        <v>341</v>
      </c>
      <c r="Q1437" s="312" t="s">
        <v>389</v>
      </c>
      <c r="R1437" s="313"/>
      <c r="S1437" s="1" t="s">
        <v>3992</v>
      </c>
      <c r="T1437" t="s">
        <v>3978</v>
      </c>
      <c r="U1437" t="s">
        <v>3993</v>
      </c>
      <c r="V1437">
        <v>0</v>
      </c>
      <c r="W1437">
        <v>0</v>
      </c>
      <c r="X1437">
        <v>0</v>
      </c>
      <c r="Y1437">
        <v>0</v>
      </c>
      <c r="Z1437">
        <v>0</v>
      </c>
      <c r="AA1437">
        <v>0</v>
      </c>
      <c r="AB1437">
        <v>0</v>
      </c>
      <c r="AC1437">
        <v>0</v>
      </c>
      <c r="AD1437">
        <v>0</v>
      </c>
      <c r="AE1437">
        <v>0</v>
      </c>
      <c r="AF1437">
        <v>0</v>
      </c>
      <c r="AG1437">
        <v>0</v>
      </c>
      <c r="AH1437">
        <v>1</v>
      </c>
      <c r="AI1437">
        <v>0</v>
      </c>
      <c r="AJ1437">
        <v>0</v>
      </c>
      <c r="AK1437">
        <v>1</v>
      </c>
      <c r="AL1437">
        <v>0</v>
      </c>
      <c r="AM1437">
        <v>0</v>
      </c>
      <c r="AN1437">
        <v>0</v>
      </c>
      <c r="AO1437">
        <v>0</v>
      </c>
      <c r="AP1437">
        <v>0</v>
      </c>
      <c r="AQ1437">
        <v>0</v>
      </c>
      <c r="AR1437">
        <v>0</v>
      </c>
      <c r="AS1437">
        <v>0</v>
      </c>
      <c r="AT1437">
        <v>0</v>
      </c>
      <c r="AU1437">
        <v>0</v>
      </c>
      <c r="AV1437">
        <v>0</v>
      </c>
      <c r="AW1437">
        <v>0</v>
      </c>
      <c r="AX1437" s="141">
        <f>COUNTIF(V1437:AW1437,"&lt;&gt;0")</f>
        <v>2</v>
      </c>
      <c r="AY1437" s="141">
        <f>COUNTIF(V1437:AL1437,"&lt;&gt;0")</f>
        <v>2</v>
      </c>
      <c r="AZ1437">
        <f>COUNTIF(V1437:AC1437,"&lt;&gt;0")</f>
        <v>0</v>
      </c>
      <c r="BA1437">
        <f>COUNTIF(AD1437:AI1437,"&lt;&gt;0")</f>
        <v>1</v>
      </c>
      <c r="BB1437">
        <f>COUNTIF(AJ1437:AL1437,"&lt;&gt;0")</f>
        <v>1</v>
      </c>
      <c r="BC1437">
        <f>COUNTIF(AS1437:AW1437,"&lt;&gt;0")</f>
        <v>0</v>
      </c>
      <c r="BD1437">
        <f>COUNTIF(AM1437:AR1437,"&lt;&gt;0")</f>
        <v>0</v>
      </c>
      <c r="BE1437" t="str" cm="1">
        <f t="array" ref="BE1437">IF(AY1437=1,INDEX($V$7:$AL$7,MATCH(TRUE,INDEX($V1437:$AW1437&lt;&gt;0,),0)),IF(AY1437=0,INDEX($AM$7:$AW$7,MATCH(1,$AM1437:$AW1437,0)),IF(BF1437="Multiple strategies","mixed drivers",IF(BF1437="Supply chain","multiple supply","multiple silviculture"))))</f>
        <v>mixed drivers</v>
      </c>
      <c r="BF1437" s="2" t="str" cm="1">
        <f t="array" ref="BF1437">IF(COUNTIF(AZ1437:BB1437,"&lt;&gt;0")=1,INDEX($V$4:$AW$4,MATCH(TRUE,INDEX($V1437:$AW1437&lt;&gt;0,),0)),IF(COUNTIF(AZ1437:BB1437,"&lt;&gt;0")=0,INDEX($AM$4:$AW$4,MATCH(1,$AM1437:$AW1437,0)),"Multiple strategies"))</f>
        <v>Multiple strategies</v>
      </c>
      <c r="BP1437" t="s">
        <v>395</v>
      </c>
      <c r="BR1437" t="s">
        <v>397</v>
      </c>
      <c r="BS1437">
        <v>519</v>
      </c>
      <c r="BT1437">
        <v>36.871508379888198</v>
      </c>
      <c r="BU1437" s="144"/>
      <c r="BV1437">
        <f>BT1437-BS1437</f>
        <v>-482.12849162011179</v>
      </c>
      <c r="BY1437" t="str">
        <f>IFERROR(BX1437/BO1437,"")</f>
        <v/>
      </c>
      <c r="BZ1437">
        <v>1</v>
      </c>
      <c r="CA1437">
        <v>0</v>
      </c>
      <c r="CB1437">
        <v>0</v>
      </c>
      <c r="CC1437">
        <v>0</v>
      </c>
      <c r="CD1437">
        <v>0</v>
      </c>
      <c r="CE1437">
        <v>0</v>
      </c>
      <c r="CF1437">
        <v>1</v>
      </c>
      <c r="CG1437">
        <v>0</v>
      </c>
      <c r="CH1437">
        <v>0</v>
      </c>
      <c r="CI1437">
        <v>0</v>
      </c>
      <c r="CJ1437">
        <v>1</v>
      </c>
      <c r="CK1437">
        <v>0</v>
      </c>
      <c r="CL1437">
        <v>0</v>
      </c>
      <c r="CM1437">
        <v>0</v>
      </c>
      <c r="CN1437" t="str">
        <f>IF($BL1437&lt;$BK1437,"refNeedCorrection","refOK")</f>
        <v>refOK</v>
      </c>
      <c r="CO1437"/>
      <c r="CP1437"/>
      <c r="CQ1437"/>
      <c r="CR1437">
        <f>IF($CN1437="refOK",$BS1437,$BT1437)*IF($BP1437="Emissions positive",-1,1)</f>
        <v>-519</v>
      </c>
      <c r="CS1437">
        <f>IF($CN1437="refOK",$BT1437,$BS1437)*IF($BP1437="Emissions positive",-1,1)</f>
        <v>-36.871508379888198</v>
      </c>
      <c r="CT1437">
        <f>IF($CN1437="refNeedCorrection",-BX1437,BX1437)*IF($BP1437="Emissions positive",-1,1)</f>
        <v>0</v>
      </c>
      <c r="CU1437" t="str">
        <f>IFERROR(CT1437/CQ1437,"")</f>
        <v/>
      </c>
      <c r="CV1437" s="2">
        <f>IFERROR((CS1437-CR1437)/ABS(CR1437),"")</f>
        <v>0.92895663125262384</v>
      </c>
      <c r="CW1437" s="1" t="s">
        <v>974</v>
      </c>
      <c r="CX1437" s="312" t="str">
        <f>IF(OR($CW1437="prd",$CW1437="std",$CW1437="cit"),"loc",IF(OR($CW1437="eur",$CW1437="reg",$CW1437="coy"),"reg",$CW1437))</f>
        <v>loc</v>
      </c>
      <c r="CY1437" t="s">
        <v>732</v>
      </c>
      <c r="DB1437">
        <v>0</v>
      </c>
      <c r="DC1437" t="str">
        <f>IF(DB1437=0,"0",IF(AND(DB1437&gt;=1,DB1437&lt;=30),"1-30",IF(AND(DB1437&gt;30,DB1437&lt;=70),"31-70",IF(AND(DB1437&gt;70,DB1437&lt;=100),"71-100",IF(DB1437&gt;100,"+100")))))</f>
        <v>0</v>
      </c>
      <c r="DD1437">
        <v>0</v>
      </c>
      <c r="DE1437">
        <v>0</v>
      </c>
      <c r="DF1437">
        <v>0</v>
      </c>
      <c r="DG1437">
        <v>1</v>
      </c>
      <c r="DH1437">
        <v>0</v>
      </c>
      <c r="DI1437">
        <f>SUM(DD1437:DH1437)</f>
        <v>1</v>
      </c>
      <c r="DJ1437" t="str">
        <f>IF(DI1437=1,INDEX($DD$7:$DG$7,MATCH(1,$DD1437:$DG1437,0)),"mixedProduct")</f>
        <v>TimberInput</v>
      </c>
      <c r="DK1437">
        <f>IF(DD1437=1,DK$7,0)</f>
        <v>0</v>
      </c>
      <c r="DL1437">
        <f>IF(DE1437=1,DL$7,0)</f>
        <v>0</v>
      </c>
      <c r="DM1437">
        <f>IF(DF1437=1,DM$7,0)</f>
        <v>0</v>
      </c>
      <c r="DN1437" t="str">
        <f>IF(DG1437=1,DN$7,0)</f>
        <v>Timber</v>
      </c>
      <c r="DO1437">
        <v>0</v>
      </c>
      <c r="DP1437" s="143">
        <v>1</v>
      </c>
      <c r="DQ1437" s="143" t="s">
        <v>3969</v>
      </c>
      <c r="DR1437" t="s">
        <v>3969</v>
      </c>
      <c r="DS1437" s="143" t="s">
        <v>3969</v>
      </c>
      <c r="DT1437">
        <f>SUM(DO1437:DP1437)</f>
        <v>1</v>
      </c>
      <c r="DU1437" s="143" t="str">
        <f>IF(DO1437=1,"self-calculated DF",IF(DP1437=1,"external DF used","explicit C balance"))</f>
        <v>external DF used</v>
      </c>
      <c r="DV1437">
        <v>0</v>
      </c>
      <c r="DW1437">
        <v>0</v>
      </c>
      <c r="DX1437">
        <v>0</v>
      </c>
      <c r="DY1437">
        <v>1</v>
      </c>
      <c r="DZ1437">
        <v>1</v>
      </c>
      <c r="EA1437" s="143">
        <v>1</v>
      </c>
      <c r="EB1437">
        <v>0</v>
      </c>
      <c r="EC1437">
        <v>1</v>
      </c>
      <c r="ED1437">
        <v>1</v>
      </c>
      <c r="EE1437">
        <v>1</v>
      </c>
      <c r="EF1437">
        <v>0</v>
      </c>
      <c r="EG1437">
        <v>0</v>
      </c>
      <c r="EH1437">
        <v>0</v>
      </c>
      <c r="EI1437" s="2">
        <v>0</v>
      </c>
      <c r="EK1437" t="str">
        <f>IF(AND(AND(AND(OR($DX1437=1,$DW1437=1),OR($EC1437=1,$EA1437=1)),SUM($DV1437:$DZ1437,$EF1437)&gt;=3),SUM($EA1437:$EE1437)&gt;=2),"Whole sector","")</f>
        <v/>
      </c>
      <c r="EL1437" t="str">
        <f>IF(AND(AND(OR($DX1437=1,$DW1437=1),AND($EC1437=0,$EA1437=0)),SUM($DV1437:$DZ1437,$EF1437)&gt;=3),"Ecosystem approach","")</f>
        <v/>
      </c>
      <c r="EM1437" s="2" t="str">
        <f>IF(AND(AND(AND($DX1437=0,$DW1437=0),OR($EC1437=1,$EA1437=1)),SUM($EB1437:$EE1437)&gt;=2),"Technology approach","")</f>
        <v>Technology approach</v>
      </c>
      <c r="EP1437" t="b">
        <f>IF(ISNUMBER(BU1437),IF(ABS(BU1437-[5]QC_indicators!$B$2)&gt;3*[5]QC_indicators!$C$2,"C ratio",IF(ISNUMBER(BY1437),IF(ABS(BY1437-[5]QC_indicators!$B$1)&gt;3*[5]QC_indicators!$C$1,"DF","no"))),IF(ISNUMBER(BY1437),IF(ABS(BY1437-[5]QC_indicators!$B$1)&gt;3*[5]QC_indicators!$C$1,"DF","no")))</f>
        <v>0</v>
      </c>
    </row>
    <row r="1438" spans="1:146" ht="15" customHeight="1">
      <c r="A1438" s="1" t="s">
        <v>1043</v>
      </c>
      <c r="B1438" t="s">
        <v>3970</v>
      </c>
      <c r="C1438" t="s">
        <v>3971</v>
      </c>
      <c r="D1438" t="s">
        <v>3972</v>
      </c>
      <c r="E1438" t="s">
        <v>3973</v>
      </c>
      <c r="F1438" t="s">
        <v>3974</v>
      </c>
      <c r="G1438" t="s">
        <v>3975</v>
      </c>
      <c r="H1438" t="s">
        <v>254</v>
      </c>
      <c r="I1438">
        <v>2020</v>
      </c>
      <c r="J1438">
        <v>2</v>
      </c>
      <c r="K1438" t="s">
        <v>3976</v>
      </c>
      <c r="M1438" t="str">
        <f>LEFT($D1438,FIND(",",$D1438)-1)&amp;"_"&amp;I1438&amp;L1438</f>
        <v>Pittau_2020</v>
      </c>
      <c r="N1438" s="312" t="s">
        <v>4383</v>
      </c>
      <c r="O1438" s="171" t="s">
        <v>513</v>
      </c>
      <c r="P1438" t="s">
        <v>341</v>
      </c>
      <c r="Q1438" s="312" t="s">
        <v>389</v>
      </c>
      <c r="R1438" s="313"/>
      <c r="S1438" s="1" t="s">
        <v>3994</v>
      </c>
      <c r="T1438" t="s">
        <v>3978</v>
      </c>
      <c r="U1438" t="s">
        <v>3995</v>
      </c>
      <c r="V1438">
        <v>0</v>
      </c>
      <c r="W1438">
        <v>0</v>
      </c>
      <c r="X1438">
        <v>0</v>
      </c>
      <c r="Y1438">
        <v>0</v>
      </c>
      <c r="Z1438">
        <v>0</v>
      </c>
      <c r="AA1438">
        <v>0</v>
      </c>
      <c r="AB1438">
        <v>0</v>
      </c>
      <c r="AC1438">
        <v>0</v>
      </c>
      <c r="AD1438">
        <v>0</v>
      </c>
      <c r="AE1438">
        <v>0</v>
      </c>
      <c r="AF1438">
        <v>0</v>
      </c>
      <c r="AG1438">
        <v>0</v>
      </c>
      <c r="AH1438">
        <v>1</v>
      </c>
      <c r="AI1438">
        <v>0</v>
      </c>
      <c r="AJ1438">
        <v>0</v>
      </c>
      <c r="AK1438">
        <v>1</v>
      </c>
      <c r="AL1438">
        <v>0</v>
      </c>
      <c r="AM1438">
        <v>0</v>
      </c>
      <c r="AN1438">
        <v>0</v>
      </c>
      <c r="AO1438">
        <v>0</v>
      </c>
      <c r="AP1438">
        <v>0</v>
      </c>
      <c r="AQ1438">
        <v>0</v>
      </c>
      <c r="AR1438">
        <v>0</v>
      </c>
      <c r="AS1438">
        <v>0</v>
      </c>
      <c r="AT1438">
        <v>0</v>
      </c>
      <c r="AU1438">
        <v>0</v>
      </c>
      <c r="AV1438">
        <v>0</v>
      </c>
      <c r="AW1438">
        <v>0</v>
      </c>
      <c r="AX1438" s="141">
        <f>COUNTIF(V1438:AW1438,"&lt;&gt;0")</f>
        <v>2</v>
      </c>
      <c r="AY1438" s="141">
        <f>COUNTIF(V1438:AL1438,"&lt;&gt;0")</f>
        <v>2</v>
      </c>
      <c r="AZ1438">
        <f>COUNTIF(V1438:AC1438,"&lt;&gt;0")</f>
        <v>0</v>
      </c>
      <c r="BA1438">
        <f>COUNTIF(AD1438:AI1438,"&lt;&gt;0")</f>
        <v>1</v>
      </c>
      <c r="BB1438">
        <f>COUNTIF(AJ1438:AL1438,"&lt;&gt;0")</f>
        <v>1</v>
      </c>
      <c r="BC1438">
        <f>COUNTIF(AS1438:AW1438,"&lt;&gt;0")</f>
        <v>0</v>
      </c>
      <c r="BD1438">
        <f>COUNTIF(AM1438:AR1438,"&lt;&gt;0")</f>
        <v>0</v>
      </c>
      <c r="BE1438" t="str" cm="1">
        <f t="array" ref="BE1438">IF(AY1438=1,INDEX($V$7:$AL$7,MATCH(TRUE,INDEX($V1438:$AW1438&lt;&gt;0,),0)),IF(AY1438=0,INDEX($AM$7:$AW$7,MATCH(1,$AM1438:$AW1438,0)),IF(BF1438="Multiple strategies","mixed drivers",IF(BF1438="Supply chain","multiple supply","multiple silviculture"))))</f>
        <v>mixed drivers</v>
      </c>
      <c r="BF1438" s="2" t="str" cm="1">
        <f t="array" ref="BF1438">IF(COUNTIF(AZ1438:BB1438,"&lt;&gt;0")=1,INDEX($V$4:$AW$4,MATCH(TRUE,INDEX($V1438:$AW1438&lt;&gt;0,),0)),IF(COUNTIF(AZ1438:BB1438,"&lt;&gt;0")=0,INDEX($AM$4:$AW$4,MATCH(1,$AM1438:$AW1438,0)),"Multiple strategies"))</f>
        <v>Multiple strategies</v>
      </c>
      <c r="BP1438" t="s">
        <v>395</v>
      </c>
      <c r="BR1438" t="s">
        <v>397</v>
      </c>
      <c r="BS1438">
        <v>519</v>
      </c>
      <c r="BT1438">
        <v>43.016759776536205</v>
      </c>
      <c r="BU1438" s="144"/>
      <c r="BV1438">
        <f>BT1438-BS1438</f>
        <v>-475.98324022346378</v>
      </c>
      <c r="BY1438" t="str">
        <f>IFERROR(BX1438/BO1438,"")</f>
        <v/>
      </c>
      <c r="BZ1438">
        <v>1</v>
      </c>
      <c r="CA1438">
        <v>0</v>
      </c>
      <c r="CB1438">
        <v>0</v>
      </c>
      <c r="CC1438">
        <v>0</v>
      </c>
      <c r="CD1438">
        <v>0</v>
      </c>
      <c r="CE1438">
        <v>0</v>
      </c>
      <c r="CF1438">
        <v>1</v>
      </c>
      <c r="CG1438">
        <v>0</v>
      </c>
      <c r="CH1438">
        <v>0</v>
      </c>
      <c r="CI1438">
        <v>0</v>
      </c>
      <c r="CJ1438">
        <v>1</v>
      </c>
      <c r="CK1438">
        <v>0</v>
      </c>
      <c r="CL1438">
        <v>0</v>
      </c>
      <c r="CM1438">
        <v>0</v>
      </c>
      <c r="CN1438" t="str">
        <f>IF($BL1438&lt;$BK1438,"refNeedCorrection","refOK")</f>
        <v>refOK</v>
      </c>
      <c r="CO1438"/>
      <c r="CP1438"/>
      <c r="CQ1438"/>
      <c r="CR1438">
        <f>IF($CN1438="refOK",$BS1438,$BT1438)*IF($BP1438="Emissions positive",-1,1)</f>
        <v>-519</v>
      </c>
      <c r="CS1438">
        <f>IF($CN1438="refOK",$BT1438,$BS1438)*IF($BP1438="Emissions positive",-1,1)</f>
        <v>-43.016759776536205</v>
      </c>
      <c r="CT1438">
        <f>IF($CN1438="refNeedCorrection",-BX1438,BX1438)*IF($BP1438="Emissions positive",-1,1)</f>
        <v>0</v>
      </c>
      <c r="CU1438" t="str">
        <f>IFERROR(CT1438/CQ1438,"")</f>
        <v/>
      </c>
      <c r="CV1438" s="2">
        <f>IFERROR((CS1438-CR1438)/ABS(CR1438),"")</f>
        <v>0.91711606979472793</v>
      </c>
      <c r="CW1438" s="1" t="s">
        <v>974</v>
      </c>
      <c r="CX1438" s="312" t="str">
        <f>IF(OR($CW1438="prd",$CW1438="std",$CW1438="cit"),"loc",IF(OR($CW1438="eur",$CW1438="reg",$CW1438="coy"),"reg",$CW1438))</f>
        <v>loc</v>
      </c>
      <c r="CY1438" t="s">
        <v>732</v>
      </c>
      <c r="DB1438">
        <v>0</v>
      </c>
      <c r="DC1438" t="str">
        <f>IF(DB1438=0,"0",IF(AND(DB1438&gt;=1,DB1438&lt;=30),"1-30",IF(AND(DB1438&gt;30,DB1438&lt;=70),"31-70",IF(AND(DB1438&gt;70,DB1438&lt;=100),"71-100",IF(DB1438&gt;100,"+100")))))</f>
        <v>0</v>
      </c>
      <c r="DD1438">
        <v>0</v>
      </c>
      <c r="DE1438">
        <v>0</v>
      </c>
      <c r="DF1438">
        <v>0</v>
      </c>
      <c r="DG1438">
        <v>1</v>
      </c>
      <c r="DH1438">
        <v>0</v>
      </c>
      <c r="DI1438">
        <f>SUM(DD1438:DH1438)</f>
        <v>1</v>
      </c>
      <c r="DJ1438" t="str">
        <f>IF(DI1438=1,INDEX($DD$7:$DG$7,MATCH(1,$DD1438:$DG1438,0)),"mixedProduct")</f>
        <v>TimberInput</v>
      </c>
      <c r="DK1438">
        <f>IF(DD1438=1,DK$7,0)</f>
        <v>0</v>
      </c>
      <c r="DL1438">
        <f>IF(DE1438=1,DL$7,0)</f>
        <v>0</v>
      </c>
      <c r="DM1438">
        <f>IF(DF1438=1,DM$7,0)</f>
        <v>0</v>
      </c>
      <c r="DN1438" t="str">
        <f>IF(DG1438=1,DN$7,0)</f>
        <v>Timber</v>
      </c>
      <c r="DO1438">
        <v>0</v>
      </c>
      <c r="DP1438" s="143">
        <v>1</v>
      </c>
      <c r="DQ1438" s="143" t="s">
        <v>3969</v>
      </c>
      <c r="DR1438" t="s">
        <v>3969</v>
      </c>
      <c r="DS1438" s="143" t="s">
        <v>3969</v>
      </c>
      <c r="DT1438">
        <f>SUM(DO1438:DP1438)</f>
        <v>1</v>
      </c>
      <c r="DU1438" s="143" t="str">
        <f>IF(DO1438=1,"self-calculated DF",IF(DP1438=1,"external DF used","explicit C balance"))</f>
        <v>external DF used</v>
      </c>
      <c r="DV1438">
        <v>0</v>
      </c>
      <c r="DW1438">
        <v>0</v>
      </c>
      <c r="DX1438">
        <v>0</v>
      </c>
      <c r="DY1438">
        <v>1</v>
      </c>
      <c r="DZ1438">
        <v>1</v>
      </c>
      <c r="EA1438" s="143">
        <v>1</v>
      </c>
      <c r="EB1438">
        <v>0</v>
      </c>
      <c r="EC1438">
        <v>1</v>
      </c>
      <c r="ED1438">
        <v>1</v>
      </c>
      <c r="EE1438">
        <v>1</v>
      </c>
      <c r="EF1438">
        <v>0</v>
      </c>
      <c r="EG1438">
        <v>0</v>
      </c>
      <c r="EH1438">
        <v>0</v>
      </c>
      <c r="EI1438" s="2">
        <v>0</v>
      </c>
      <c r="EK1438" t="str">
        <f>IF(AND(AND(AND(OR($DX1438=1,$DW1438=1),OR($EC1438=1,$EA1438=1)),SUM($DV1438:$DZ1438,$EF1438)&gt;=3),SUM($EA1438:$EE1438)&gt;=2),"Whole sector","")</f>
        <v/>
      </c>
      <c r="EL1438" t="str">
        <f>IF(AND(AND(OR($DX1438=1,$DW1438=1),AND($EC1438=0,$EA1438=0)),SUM($DV1438:$DZ1438,$EF1438)&gt;=3),"Ecosystem approach","")</f>
        <v/>
      </c>
      <c r="EM1438" s="2" t="str">
        <f>IF(AND(AND(AND($DX1438=0,$DW1438=0),OR($EC1438=1,$EA1438=1)),SUM($EB1438:$EE1438)&gt;=2),"Technology approach","")</f>
        <v>Technology approach</v>
      </c>
      <c r="EP1438" t="b">
        <f>IF(ISNUMBER(BU1438),IF(ABS(BU1438-[5]QC_indicators!$B$2)&gt;3*[5]QC_indicators!$C$2,"C ratio",IF(ISNUMBER(BY1438),IF(ABS(BY1438-[5]QC_indicators!$B$1)&gt;3*[5]QC_indicators!$C$1,"DF","no"))),IF(ISNUMBER(BY1438),IF(ABS(BY1438-[5]QC_indicators!$B$1)&gt;3*[5]QC_indicators!$C$1,"DF","no")))</f>
        <v>0</v>
      </c>
    </row>
    <row r="1439" spans="1:146" ht="15" customHeight="1">
      <c r="A1439" s="1" t="s">
        <v>3996</v>
      </c>
      <c r="B1439" t="s">
        <v>544</v>
      </c>
      <c r="C1439" t="s">
        <v>3997</v>
      </c>
      <c r="D1439" t="s">
        <v>3998</v>
      </c>
      <c r="E1439" t="s">
        <v>3999</v>
      </c>
      <c r="F1439" t="s">
        <v>4000</v>
      </c>
      <c r="G1439" t="s">
        <v>3964</v>
      </c>
      <c r="H1439" t="s">
        <v>3965</v>
      </c>
      <c r="I1439">
        <v>2016</v>
      </c>
      <c r="J1439">
        <v>1</v>
      </c>
      <c r="K1439" t="s">
        <v>4001</v>
      </c>
      <c r="M1439" t="str">
        <f>LEFT($D1439,FIND(",",$D1439)-1)&amp;"_"&amp;I1439&amp;L1439</f>
        <v>Plch_2016</v>
      </c>
      <c r="N1439" s="312" t="s">
        <v>4383</v>
      </c>
      <c r="O1439" s="171" t="s">
        <v>225</v>
      </c>
      <c r="P1439" t="s">
        <v>341</v>
      </c>
      <c r="Q1439" s="312" t="s">
        <v>389</v>
      </c>
      <c r="R1439" s="313"/>
      <c r="S1439" s="1" t="s">
        <v>4002</v>
      </c>
      <c r="T1439" t="s">
        <v>4003</v>
      </c>
      <c r="U1439" t="s">
        <v>4004</v>
      </c>
      <c r="V1439">
        <v>0</v>
      </c>
      <c r="W1439">
        <v>0</v>
      </c>
      <c r="X1439">
        <v>0</v>
      </c>
      <c r="Y1439">
        <v>0</v>
      </c>
      <c r="Z1439">
        <v>0</v>
      </c>
      <c r="AA1439">
        <v>0</v>
      </c>
      <c r="AB1439">
        <v>0</v>
      </c>
      <c r="AC1439">
        <v>0</v>
      </c>
      <c r="AD1439">
        <v>1</v>
      </c>
      <c r="AE1439">
        <v>0</v>
      </c>
      <c r="AF1439">
        <v>0</v>
      </c>
      <c r="AG1439">
        <v>0</v>
      </c>
      <c r="AH1439">
        <v>0</v>
      </c>
      <c r="AI1439">
        <v>0</v>
      </c>
      <c r="AJ1439">
        <v>1</v>
      </c>
      <c r="AK1439">
        <v>0</v>
      </c>
      <c r="AL1439">
        <v>0</v>
      </c>
      <c r="AM1439">
        <v>0</v>
      </c>
      <c r="AN1439">
        <v>0</v>
      </c>
      <c r="AO1439">
        <v>0</v>
      </c>
      <c r="AP1439">
        <v>0</v>
      </c>
      <c r="AQ1439">
        <v>0</v>
      </c>
      <c r="AR1439">
        <v>0</v>
      </c>
      <c r="AS1439">
        <v>0</v>
      </c>
      <c r="AT1439">
        <v>0</v>
      </c>
      <c r="AU1439">
        <v>1</v>
      </c>
      <c r="AV1439">
        <v>0</v>
      </c>
      <c r="AW1439">
        <v>0</v>
      </c>
      <c r="AX1439" s="141">
        <f>COUNTIF(V1439:AW1439,"&lt;&gt;0")</f>
        <v>3</v>
      </c>
      <c r="AY1439" s="141">
        <f>COUNTIF(V1439:AL1439,"&lt;&gt;0")</f>
        <v>2</v>
      </c>
      <c r="AZ1439">
        <f>COUNTIF(V1439:AC1439,"&lt;&gt;0")</f>
        <v>0</v>
      </c>
      <c r="BA1439">
        <f>COUNTIF(AD1439:AI1439,"&lt;&gt;0")</f>
        <v>1</v>
      </c>
      <c r="BB1439">
        <f>COUNTIF(AJ1439:AL1439,"&lt;&gt;0")</f>
        <v>1</v>
      </c>
      <c r="BC1439">
        <f>COUNTIF(AS1439:AW1439,"&lt;&gt;0")</f>
        <v>1</v>
      </c>
      <c r="BD1439">
        <f>COUNTIF(AM1439:AR1439,"&lt;&gt;0")</f>
        <v>0</v>
      </c>
      <c r="BE1439" t="str" cm="1">
        <f t="array" ref="BE1439">IF(AY1439=1,INDEX($V$7:$AL$7,MATCH(TRUE,INDEX($V1439:$AW1439&lt;&gt;0,),0)),IF(AY1439=0,INDEX($AM$7:$AW$7,MATCH(1,$AM1439:$AW1439,0)),IF(BF1439="Multiple strategies","mixed drivers",IF(BF1439="Supply chain","multiple supply","multiple silviculture"))))</f>
        <v>mixed drivers</v>
      </c>
      <c r="BF1439" s="2" t="str" cm="1">
        <f t="array" ref="BF1439">IF(COUNTIF(AZ1439:BB1439,"&lt;&gt;0")=1,INDEX($V$4:$AW$4,MATCH(TRUE,INDEX($V1439:$AW1439&lt;&gt;0,),0)),IF(COUNTIF(AZ1439:BB1439,"&lt;&gt;0")=0,INDEX($AM$4:$AW$4,MATCH(1,$AM1439:$AW1439,0)),"Multiple strategies"))</f>
        <v>Multiple strategies</v>
      </c>
      <c r="BM1439" t="str">
        <f>IFERROR(BL1439/BK1439,"")</f>
        <v/>
      </c>
      <c r="BP1439" t="s">
        <v>232</v>
      </c>
      <c r="BR1439" t="s">
        <v>4005</v>
      </c>
      <c r="BS1439">
        <v>16.100000000000001</v>
      </c>
      <c r="BT1439">
        <v>9.4</v>
      </c>
      <c r="BU1439" s="144"/>
      <c r="BV1439">
        <f>BS1439-BT1439</f>
        <v>6.7000000000000011</v>
      </c>
      <c r="BY1439" t="str">
        <f>IFERROR(BX1439/BO1439,"")</f>
        <v/>
      </c>
      <c r="BZ1439">
        <v>0</v>
      </c>
      <c r="CA1439">
        <v>0</v>
      </c>
      <c r="CB1439">
        <v>0</v>
      </c>
      <c r="CC1439">
        <v>0</v>
      </c>
      <c r="CD1439">
        <v>0</v>
      </c>
      <c r="CE1439">
        <v>0</v>
      </c>
      <c r="CF1439">
        <v>0</v>
      </c>
      <c r="CG1439">
        <v>0</v>
      </c>
      <c r="CH1439">
        <v>0</v>
      </c>
      <c r="CI1439">
        <v>0</v>
      </c>
      <c r="CJ1439">
        <v>0</v>
      </c>
      <c r="CK1439">
        <v>0</v>
      </c>
      <c r="CL1439">
        <v>0</v>
      </c>
      <c r="CM1439">
        <v>0</v>
      </c>
      <c r="CN1439" t="str">
        <f>IF($BL1439&lt;$BK1439,"refNeedCorrection","refOK")</f>
        <v>refOK</v>
      </c>
      <c r="CO1439"/>
      <c r="CP1439"/>
      <c r="CQ1439"/>
      <c r="CR1439">
        <f>IF($CN1439="refOK",$BS1439,$BT1439)*IF($BP1439="Emissions positive",-1,1)</f>
        <v>16.100000000000001</v>
      </c>
      <c r="CS1439">
        <f>IF($CN1439="refOK",$BT1439,$BS1439)*IF($BP1439="Emissions positive",-1,1)</f>
        <v>9.4</v>
      </c>
      <c r="CT1439">
        <f>IF($CN1439="refNeedCorrection",-BX1439,BX1439)*IF($BP1439="Emissions positive",-1,1)</f>
        <v>0</v>
      </c>
      <c r="CU1439" t="str">
        <f>IFERROR(CT1439/CQ1439,"")</f>
        <v/>
      </c>
      <c r="CV1439" s="2">
        <f>IFERROR((CS1439-CR1439)/ABS(CR1439),"")</f>
        <v>-0.41614906832298137</v>
      </c>
      <c r="CW1439" s="1" t="s">
        <v>4006</v>
      </c>
      <c r="CX1439" s="312" t="str">
        <f>IF(OR($CW1439="prd",$CW1439="std",$CW1439="cit"),"loc",IF(OR($CW1439="eur",$CW1439="reg",$CW1439="coy"),"reg",$CW1439))</f>
        <v>loc</v>
      </c>
      <c r="CY1439" t="s">
        <v>4007</v>
      </c>
      <c r="DB1439">
        <v>100</v>
      </c>
      <c r="DC1439" t="str">
        <f>IF(DB1439=0,"0",IF(AND(DB1439&gt;=1,DB1439&lt;=30),"1-30",IF(AND(DB1439&gt;30,DB1439&lt;=70),"31-70",IF(AND(DB1439&gt;70,DB1439&lt;=100),"71-100",IF(DB1439&gt;100,"+100")))))</f>
        <v>71-100</v>
      </c>
      <c r="DD1439">
        <v>1</v>
      </c>
      <c r="DE1439">
        <v>1</v>
      </c>
      <c r="DF1439">
        <v>1</v>
      </c>
      <c r="DG1439">
        <v>1</v>
      </c>
      <c r="DH1439">
        <v>0</v>
      </c>
      <c r="DI1439">
        <f>SUM(DD1439:DH1439)</f>
        <v>4</v>
      </c>
      <c r="DJ1439" t="str">
        <f>IF(DI1439=1,INDEX($DD$7:$DG$7,MATCH(1,$DD1439:$DG1439,0)),"mixedProduct")</f>
        <v>mixedProduct</v>
      </c>
      <c r="DK1439" t="str">
        <f>IF(DD1439=1,DK$7,0)</f>
        <v>Upstream</v>
      </c>
      <c r="DL1439" t="str">
        <f>IF(DE1439=1,DL$7,0)</f>
        <v>Energy</v>
      </c>
      <c r="DM1439" t="str">
        <f>IF(DF1439=1,DM$7,0)</f>
        <v>Pulp/Paper</v>
      </c>
      <c r="DN1439" t="str">
        <f>IF(DG1439=1,DN$7,0)</f>
        <v>Timber</v>
      </c>
      <c r="DO1439">
        <v>0</v>
      </c>
      <c r="DP1439" s="143">
        <v>0</v>
      </c>
      <c r="DQ1439" s="143">
        <v>0</v>
      </c>
      <c r="DR1439">
        <v>0</v>
      </c>
      <c r="DS1439" s="143">
        <v>0</v>
      </c>
      <c r="DT1439">
        <f>SUM(DO1439:DP1439)</f>
        <v>0</v>
      </c>
      <c r="DU1439" s="143" t="str">
        <f>IF(DO1439=1,"self-calculated DF",IF(DP1439=1,"external DF used","explicit C balance"))</f>
        <v>explicit C balance</v>
      </c>
      <c r="DV1439">
        <v>0</v>
      </c>
      <c r="DW1439">
        <v>0</v>
      </c>
      <c r="DX1439">
        <v>1</v>
      </c>
      <c r="DY1439">
        <v>0</v>
      </c>
      <c r="DZ1439">
        <v>0</v>
      </c>
      <c r="EA1439" s="143">
        <v>0</v>
      </c>
      <c r="EB1439">
        <v>1</v>
      </c>
      <c r="EC1439">
        <v>1</v>
      </c>
      <c r="ED1439">
        <v>0</v>
      </c>
      <c r="EE1439">
        <v>0</v>
      </c>
      <c r="EF1439">
        <v>1</v>
      </c>
      <c r="EG1439">
        <v>1</v>
      </c>
      <c r="EH1439">
        <v>0</v>
      </c>
      <c r="EI1439" s="2">
        <v>0</v>
      </c>
      <c r="EK1439" t="str">
        <f>IF(AND(AND(AND(OR($DX1439=1,$DW1439=1),OR($EC1439=1,$EA1439=1)),SUM($DV1439:$DZ1439,$EF1439)&gt;=3),SUM($EA1439:$EE1439)&gt;=2),"Whole sector","")</f>
        <v/>
      </c>
      <c r="EL1439" t="str">
        <f>IF(AND(AND(OR($DX1439=1,$DW1439=1),AND($EC1439=0,$EA1439=0)),SUM($DV1439:$DZ1439,$EF1439)&gt;=3),"Ecosystem approach","")</f>
        <v/>
      </c>
      <c r="EM1439" s="2" t="str">
        <f>IF(AND(AND(AND($DX1439=0,$DW1439=0),OR($EC1439=1,$EA1439=1)),SUM($EB1439:$EE1439)&gt;=2),"Technology approach","")</f>
        <v/>
      </c>
      <c r="EP1439" t="b">
        <f>IF(ISNUMBER(BU1439),IF(ABS(BU1439-[5]QC_indicators!$B$2)&gt;3*[5]QC_indicators!$C$2,"C ratio",IF(ISNUMBER(BY1439),IF(ABS(BY1439-[5]QC_indicators!$B$1)&gt;3*[5]QC_indicators!$C$1,"DF","no"))),IF(ISNUMBER(BY1439),IF(ABS(BY1439-[5]QC_indicators!$B$1)&gt;3*[5]QC_indicators!$C$1,"DF","no")))</f>
        <v>0</v>
      </c>
    </row>
    <row r="1440" spans="1:146" ht="15" customHeight="1">
      <c r="A1440" s="1" t="s">
        <v>333</v>
      </c>
      <c r="B1440" t="s">
        <v>4008</v>
      </c>
      <c r="C1440" t="s">
        <v>4009</v>
      </c>
      <c r="D1440" t="s">
        <v>4010</v>
      </c>
      <c r="E1440" t="s">
        <v>4011</v>
      </c>
      <c r="F1440" t="s">
        <v>4012</v>
      </c>
      <c r="G1440" t="s">
        <v>339</v>
      </c>
      <c r="H1440" t="s">
        <v>254</v>
      </c>
      <c r="I1440">
        <v>2017</v>
      </c>
      <c r="J1440">
        <v>8</v>
      </c>
      <c r="K1440" t="s">
        <v>4013</v>
      </c>
      <c r="M1440" t="str">
        <f>LEFT($D1440,FIND(",",$D1440)-1)&amp;"_"&amp;I1440&amp;L1440</f>
        <v>Pomponi_2017</v>
      </c>
      <c r="N1440" s="312" t="s">
        <v>4383</v>
      </c>
      <c r="O1440" s="171" t="s">
        <v>225</v>
      </c>
      <c r="P1440" t="s">
        <v>341</v>
      </c>
      <c r="Q1440" s="312" t="s">
        <v>389</v>
      </c>
      <c r="R1440" s="313"/>
      <c r="S1440" s="1" t="s">
        <v>4014</v>
      </c>
      <c r="T1440" t="s">
        <v>4015</v>
      </c>
      <c r="U1440" t="s">
        <v>4016</v>
      </c>
      <c r="V1440">
        <v>0</v>
      </c>
      <c r="W1440">
        <v>0</v>
      </c>
      <c r="X1440">
        <v>0</v>
      </c>
      <c r="Y1440">
        <v>0</v>
      </c>
      <c r="Z1440">
        <v>0</v>
      </c>
      <c r="AA1440">
        <v>0</v>
      </c>
      <c r="AB1440">
        <v>0</v>
      </c>
      <c r="AC1440">
        <v>0</v>
      </c>
      <c r="AD1440">
        <v>0</v>
      </c>
      <c r="AE1440">
        <v>0</v>
      </c>
      <c r="AF1440">
        <v>0</v>
      </c>
      <c r="AG1440">
        <v>0</v>
      </c>
      <c r="AH1440">
        <v>0</v>
      </c>
      <c r="AI1440">
        <v>0</v>
      </c>
      <c r="AJ1440">
        <v>0</v>
      </c>
      <c r="AK1440">
        <v>1</v>
      </c>
      <c r="AL1440">
        <v>0</v>
      </c>
      <c r="AM1440">
        <v>0</v>
      </c>
      <c r="AN1440">
        <v>0</v>
      </c>
      <c r="AO1440">
        <v>0</v>
      </c>
      <c r="AP1440">
        <v>0</v>
      </c>
      <c r="AQ1440">
        <v>0</v>
      </c>
      <c r="AR1440">
        <v>0</v>
      </c>
      <c r="AS1440">
        <v>0</v>
      </c>
      <c r="AT1440">
        <v>0</v>
      </c>
      <c r="AU1440">
        <v>0</v>
      </c>
      <c r="AV1440">
        <v>0</v>
      </c>
      <c r="AW1440">
        <v>0</v>
      </c>
      <c r="AX1440" s="141">
        <f>COUNTIF(V1440:AW1440,"&lt;&gt;0")</f>
        <v>1</v>
      </c>
      <c r="AY1440" s="141">
        <f>COUNTIF(V1440:AL1440,"&lt;&gt;0")</f>
        <v>1</v>
      </c>
      <c r="AZ1440">
        <f>COUNTIF(V1440:AC1440,"&lt;&gt;0")</f>
        <v>0</v>
      </c>
      <c r="BA1440">
        <f>COUNTIF(AD1440:AI1440,"&lt;&gt;0")</f>
        <v>0</v>
      </c>
      <c r="BB1440">
        <f>COUNTIF(AJ1440:AL1440,"&lt;&gt;0")</f>
        <v>1</v>
      </c>
      <c r="BC1440">
        <f>COUNTIF(AS1440:AW1440,"&lt;&gt;0")</f>
        <v>0</v>
      </c>
      <c r="BD1440">
        <f>COUNTIF(AM1440:AR1440,"&lt;&gt;0")</f>
        <v>0</v>
      </c>
      <c r="BE1440" t="str" cm="1">
        <f t="array" ref="BE1440">IF(AY1440=1,INDEX($V$7:$AL$7,MATCH(TRUE,INDEX($V1440:$AW1440&lt;&gt;0,),0)),IF(AY1440=0,INDEX($AM$7:$AW$7,MATCH(1,$AM1440:$AW1440,0)),IF(BF1440="Multiple strategies","mixed drivers",IF(BF1440="Supply chain","multiple supply","multiple silviculture"))))</f>
        <v>technologies/design switch</v>
      </c>
      <c r="BF1440" s="2" t="str" cm="1">
        <f t="array" ref="BF1440">IF(COUNTIF(AZ1440:BB1440,"&lt;&gt;0")=1,INDEX($V$4:$AW$4,MATCH(TRUE,INDEX($V1440:$AW1440&lt;&gt;0,),0)),IF(COUNTIF(AZ1440:BB1440,"&lt;&gt;0")=0,INDEX($AM$4:$AW$4,MATCH(1,$AM1440:$AW1440,0)),"Multiple strategies"))</f>
        <v>Technology</v>
      </c>
      <c r="BM1440" t="str">
        <f>IFERROR(BL1440/BK1440,"")</f>
        <v/>
      </c>
      <c r="BP1440" t="s">
        <v>232</v>
      </c>
      <c r="BR1440" t="s">
        <v>4017</v>
      </c>
      <c r="BS1440">
        <v>1100</v>
      </c>
      <c r="BT1440">
        <v>1284</v>
      </c>
      <c r="BU1440" s="144"/>
      <c r="BV1440">
        <f>BS1440-BT1440</f>
        <v>-184</v>
      </c>
      <c r="BY1440" t="str">
        <f>IFERROR(BX1440/BO1440,"")</f>
        <v/>
      </c>
      <c r="BZ1440">
        <v>0</v>
      </c>
      <c r="CA1440">
        <v>0</v>
      </c>
      <c r="CB1440">
        <v>0</v>
      </c>
      <c r="CC1440">
        <v>0</v>
      </c>
      <c r="CD1440">
        <v>0</v>
      </c>
      <c r="CE1440">
        <v>0</v>
      </c>
      <c r="CF1440">
        <v>0</v>
      </c>
      <c r="CG1440">
        <v>0</v>
      </c>
      <c r="CH1440">
        <v>0</v>
      </c>
      <c r="CI1440">
        <v>0</v>
      </c>
      <c r="CJ1440">
        <v>0</v>
      </c>
      <c r="CK1440">
        <v>0</v>
      </c>
      <c r="CL1440">
        <v>0</v>
      </c>
      <c r="CM1440">
        <v>0</v>
      </c>
      <c r="CN1440" t="str">
        <f>IF($BL1440&lt;$BK1440,"refNeedCorrection","refOK")</f>
        <v>refOK</v>
      </c>
      <c r="CO1440"/>
      <c r="CP1440"/>
      <c r="CQ1440"/>
      <c r="CR1440">
        <f>IF($CN1440="refOK",$BS1440,$BT1440)*IF($BP1440="Emissions positive",-1,1)</f>
        <v>1100</v>
      </c>
      <c r="CS1440">
        <f>IF($CN1440="refOK",$BT1440,$BS1440)*IF($BP1440="Emissions positive",-1,1)</f>
        <v>1284</v>
      </c>
      <c r="CT1440">
        <f>IF($CN1440="refNeedCorrection",-BX1440,BX1440)*IF($BP1440="Emissions positive",-1,1)</f>
        <v>0</v>
      </c>
      <c r="CU1440" t="str">
        <f>IFERROR(CT1440/CQ1440,"")</f>
        <v/>
      </c>
      <c r="CV1440" s="2">
        <f>IFERROR((CS1440-CR1440)/ABS(CR1440),"")</f>
        <v>0.16727272727272727</v>
      </c>
      <c r="CW1440" s="1" t="s">
        <v>974</v>
      </c>
      <c r="CX1440" s="312" t="str">
        <f>IF(OR($CW1440="prd",$CW1440="std",$CW1440="cit"),"loc",IF(OR($CW1440="eur",$CW1440="reg",$CW1440="coy"),"reg",$CW1440))</f>
        <v>loc</v>
      </c>
      <c r="CY1440" t="s">
        <v>3494</v>
      </c>
      <c r="DB1440">
        <v>25</v>
      </c>
      <c r="DC1440" t="str">
        <f>IF(DB1440=0,"0",IF(AND(DB1440&gt;=1,DB1440&lt;=30),"1-30",IF(AND(DB1440&gt;30,DB1440&lt;=70),"31-70",IF(AND(DB1440&gt;70,DB1440&lt;=100),"71-100",IF(DB1440&gt;100,"+100")))))</f>
        <v>1-30</v>
      </c>
      <c r="DD1440">
        <v>0</v>
      </c>
      <c r="DE1440">
        <v>0</v>
      </c>
      <c r="DF1440">
        <v>0</v>
      </c>
      <c r="DG1440">
        <v>1</v>
      </c>
      <c r="DH1440">
        <v>0</v>
      </c>
      <c r="DI1440">
        <f>SUM(DD1440:DH1440)</f>
        <v>1</v>
      </c>
      <c r="DJ1440" t="str">
        <f>IF(DI1440=1,INDEX($DD$7:$DG$7,MATCH(1,$DD1440:$DG1440,0)),"mixedProduct")</f>
        <v>TimberInput</v>
      </c>
      <c r="DK1440">
        <f>IF(DD1440=1,DK$7,0)</f>
        <v>0</v>
      </c>
      <c r="DL1440">
        <f>IF(DE1440=1,DL$7,0)</f>
        <v>0</v>
      </c>
      <c r="DM1440">
        <f>IF(DF1440=1,DM$7,0)</f>
        <v>0</v>
      </c>
      <c r="DN1440" t="str">
        <f>IF(DG1440=1,DN$7,0)</f>
        <v>Timber</v>
      </c>
      <c r="DO1440">
        <v>0</v>
      </c>
      <c r="DP1440">
        <v>1</v>
      </c>
      <c r="DQ1440" t="s">
        <v>4018</v>
      </c>
      <c r="DR1440" t="s">
        <v>4019</v>
      </c>
      <c r="DS1440" t="s">
        <v>4019</v>
      </c>
      <c r="DT1440">
        <f>SUM(DO1440:DP1440)</f>
        <v>1</v>
      </c>
      <c r="DU1440" s="143" t="str">
        <f>IF(DO1440=1,"self-calculated DF",IF(DP1440=1,"external DF used","explicit C balance"))</f>
        <v>external DF used</v>
      </c>
      <c r="DV1440">
        <v>0</v>
      </c>
      <c r="DW1440">
        <v>0</v>
      </c>
      <c r="DX1440">
        <v>0</v>
      </c>
      <c r="DY1440">
        <v>1</v>
      </c>
      <c r="DZ1440">
        <v>1</v>
      </c>
      <c r="EA1440">
        <v>0</v>
      </c>
      <c r="EB1440">
        <v>0</v>
      </c>
      <c r="EC1440">
        <v>1</v>
      </c>
      <c r="ED1440">
        <v>0</v>
      </c>
      <c r="EE1440">
        <v>1</v>
      </c>
      <c r="EF1440">
        <v>0</v>
      </c>
      <c r="EG1440">
        <v>1</v>
      </c>
      <c r="EH1440">
        <v>0</v>
      </c>
      <c r="EI1440" s="2">
        <v>0</v>
      </c>
      <c r="EK1440" t="str">
        <f>IF(AND(AND(AND(OR($DX1440=1,$DW1440=1),OR($EC1440=1,$EA1440=1)),SUM($DV1440:$DZ1440,$EF1440)&gt;=3),SUM($EA1440:$EE1440)&gt;=2),"Whole sector","")</f>
        <v/>
      </c>
      <c r="EL1440" t="str">
        <f>IF(AND(AND(OR($DX1440=1,$DW1440=1),AND($EC1440=0,$EA1440=0)),SUM($DV1440:$DZ1440,$EF1440)&gt;=3),"Ecosystem approach","")</f>
        <v/>
      </c>
      <c r="EM1440" s="2" t="str">
        <f>IF(AND(AND(AND($DX1440=0,$DW1440=0),OR($EC1440=1,$EA1440=1)),SUM($EB1440:$EE1440)&gt;=2),"Technology approach","")</f>
        <v>Technology approach</v>
      </c>
      <c r="EP1440" t="b">
        <f>IF(ISNUMBER(BU1440),IF(ABS(BU1440-[5]QC_indicators!$B$2)&gt;3*[5]QC_indicators!$C$2,"C ratio",IF(ISNUMBER(BY1440),IF(ABS(BY1440-[5]QC_indicators!$B$1)&gt;3*[5]QC_indicators!$C$1,"DF","no"))),IF(ISNUMBER(BY1440),IF(ABS(BY1440-[5]QC_indicators!$B$1)&gt;3*[5]QC_indicators!$C$1,"DF","no")))</f>
        <v>0</v>
      </c>
    </row>
    <row r="1441" spans="1:148" ht="15" customHeight="1">
      <c r="A1441" s="1" t="s">
        <v>333</v>
      </c>
      <c r="B1441" t="s">
        <v>4008</v>
      </c>
      <c r="C1441" t="s">
        <v>4009</v>
      </c>
      <c r="D1441" t="s">
        <v>4010</v>
      </c>
      <c r="E1441" t="s">
        <v>4011</v>
      </c>
      <c r="F1441" t="s">
        <v>4012</v>
      </c>
      <c r="G1441" t="s">
        <v>339</v>
      </c>
      <c r="H1441" t="s">
        <v>254</v>
      </c>
      <c r="I1441">
        <v>2017</v>
      </c>
      <c r="J1441">
        <v>8</v>
      </c>
      <c r="K1441" t="s">
        <v>4013</v>
      </c>
      <c r="M1441" t="str">
        <f>LEFT($D1441,FIND(",",$D1441)-1)&amp;"_"&amp;I1441&amp;L1441</f>
        <v>Pomponi_2017</v>
      </c>
      <c r="N1441" s="312" t="s">
        <v>4383</v>
      </c>
      <c r="O1441" s="171" t="s">
        <v>225</v>
      </c>
      <c r="P1441" t="s">
        <v>341</v>
      </c>
      <c r="Q1441" s="312" t="s">
        <v>389</v>
      </c>
      <c r="R1441" s="313"/>
      <c r="S1441" s="1" t="s">
        <v>4020</v>
      </c>
      <c r="T1441" t="s">
        <v>1044</v>
      </c>
      <c r="U1441" t="s">
        <v>4016</v>
      </c>
      <c r="V1441">
        <v>0</v>
      </c>
      <c r="W1441">
        <v>0</v>
      </c>
      <c r="X1441">
        <v>0</v>
      </c>
      <c r="Y1441">
        <v>0</v>
      </c>
      <c r="Z1441">
        <v>0</v>
      </c>
      <c r="AA1441">
        <v>0</v>
      </c>
      <c r="AB1441">
        <v>0</v>
      </c>
      <c r="AC1441">
        <v>0</v>
      </c>
      <c r="AD1441">
        <v>0</v>
      </c>
      <c r="AE1441">
        <v>0</v>
      </c>
      <c r="AF1441">
        <v>0</v>
      </c>
      <c r="AG1441">
        <v>0</v>
      </c>
      <c r="AH1441">
        <v>0</v>
      </c>
      <c r="AI1441">
        <v>0</v>
      </c>
      <c r="AJ1441">
        <v>0</v>
      </c>
      <c r="AK1441">
        <v>1</v>
      </c>
      <c r="AL1441">
        <v>0</v>
      </c>
      <c r="AM1441">
        <v>0</v>
      </c>
      <c r="AN1441">
        <v>0</v>
      </c>
      <c r="AO1441">
        <v>0</v>
      </c>
      <c r="AP1441">
        <v>0</v>
      </c>
      <c r="AQ1441">
        <v>0</v>
      </c>
      <c r="AR1441">
        <v>0</v>
      </c>
      <c r="AS1441">
        <v>0</v>
      </c>
      <c r="AT1441">
        <v>0</v>
      </c>
      <c r="AU1441">
        <v>0</v>
      </c>
      <c r="AV1441">
        <v>0</v>
      </c>
      <c r="AW1441">
        <v>0</v>
      </c>
      <c r="AX1441" s="141">
        <f>COUNTIF(V1441:AW1441,"&lt;&gt;0")</f>
        <v>1</v>
      </c>
      <c r="AY1441" s="141">
        <f>COUNTIF(V1441:AL1441,"&lt;&gt;0")</f>
        <v>1</v>
      </c>
      <c r="AZ1441">
        <f>COUNTIF(V1441:AC1441,"&lt;&gt;0")</f>
        <v>0</v>
      </c>
      <c r="BA1441">
        <f>COUNTIF(AD1441:AI1441,"&lt;&gt;0")</f>
        <v>0</v>
      </c>
      <c r="BB1441">
        <f>COUNTIF(AJ1441:AL1441,"&lt;&gt;0")</f>
        <v>1</v>
      </c>
      <c r="BC1441">
        <f>COUNTIF(AS1441:AW1441,"&lt;&gt;0")</f>
        <v>0</v>
      </c>
      <c r="BD1441">
        <f>COUNTIF(AM1441:AR1441,"&lt;&gt;0")</f>
        <v>0</v>
      </c>
      <c r="BE1441" t="str" cm="1">
        <f t="array" ref="BE1441">IF(AY1441=1,INDEX($V$7:$AL$7,MATCH(TRUE,INDEX($V1441:$AW1441&lt;&gt;0,),0)),IF(AY1441=0,INDEX($AM$7:$AW$7,MATCH(1,$AM1441:$AW1441,0)),IF(BF1441="Multiple strategies","mixed drivers",IF(BF1441="Supply chain","multiple supply","multiple silviculture"))))</f>
        <v>technologies/design switch</v>
      </c>
      <c r="BF1441" s="2" t="str" cm="1">
        <f t="array" ref="BF1441">IF(COUNTIF(AZ1441:BB1441,"&lt;&gt;0")=1,INDEX($V$4:$AW$4,MATCH(TRUE,INDEX($V1441:$AW1441&lt;&gt;0,),0)),IF(COUNTIF(AZ1441:BB1441,"&lt;&gt;0")=0,INDEX($AM$4:$AW$4,MATCH(1,$AM1441:$AW1441,0)),"Multiple strategies"))</f>
        <v>Technology</v>
      </c>
      <c r="BM1441" t="str">
        <f>IFERROR(BL1441/BK1441,"")</f>
        <v/>
      </c>
      <c r="BO1441" s="312"/>
      <c r="BP1441" t="s">
        <v>232</v>
      </c>
      <c r="BR1441" t="s">
        <v>4017</v>
      </c>
      <c r="BS1441">
        <v>1500</v>
      </c>
      <c r="BT1441">
        <v>1284</v>
      </c>
      <c r="BU1441" s="144"/>
      <c r="BV1441">
        <f>BS1441-BT1441</f>
        <v>216</v>
      </c>
      <c r="BY1441" t="str">
        <f>IFERROR(BX1441/BO1441,"")</f>
        <v/>
      </c>
      <c r="BZ1441">
        <v>0</v>
      </c>
      <c r="CA1441">
        <v>0</v>
      </c>
      <c r="CB1441">
        <v>0</v>
      </c>
      <c r="CC1441">
        <v>0</v>
      </c>
      <c r="CD1441">
        <v>0</v>
      </c>
      <c r="CE1441">
        <v>0</v>
      </c>
      <c r="CF1441">
        <v>0</v>
      </c>
      <c r="CG1441">
        <v>0</v>
      </c>
      <c r="CH1441">
        <v>0</v>
      </c>
      <c r="CI1441">
        <v>0</v>
      </c>
      <c r="CJ1441">
        <v>0</v>
      </c>
      <c r="CK1441">
        <v>0</v>
      </c>
      <c r="CL1441">
        <v>0</v>
      </c>
      <c r="CM1441">
        <v>0</v>
      </c>
      <c r="CN1441" t="str">
        <f>IF($BL1441&lt;$BK1441,"refNeedCorrection","refOK")</f>
        <v>refOK</v>
      </c>
      <c r="CO1441"/>
      <c r="CP1441"/>
      <c r="CQ1441"/>
      <c r="CR1441">
        <f>IF($CN1441="refOK",$BS1441,$BT1441)*IF($BP1441="Emissions positive",-1,1)</f>
        <v>1500</v>
      </c>
      <c r="CS1441">
        <f>IF($CN1441="refOK",$BT1441,$BS1441)*IF($BP1441="Emissions positive",-1,1)</f>
        <v>1284</v>
      </c>
      <c r="CT1441">
        <f>IF($CN1441="refNeedCorrection",-BX1441,BX1441)*IF($BP1441="Emissions positive",-1,1)</f>
        <v>0</v>
      </c>
      <c r="CU1441" t="str">
        <f>IFERROR(CT1441/CQ1441,"")</f>
        <v/>
      </c>
      <c r="CV1441" s="2">
        <f>IFERROR((CS1441-CR1441)/ABS(CR1441),"")</f>
        <v>-0.14399999999999999</v>
      </c>
      <c r="CW1441" s="1" t="s">
        <v>974</v>
      </c>
      <c r="CX1441" s="312" t="str">
        <f>IF(OR($CW1441="prd",$CW1441="std",$CW1441="cit"),"loc",IF(OR($CW1441="eur",$CW1441="reg",$CW1441="coy"),"reg",$CW1441))</f>
        <v>loc</v>
      </c>
      <c r="CY1441" t="s">
        <v>3494</v>
      </c>
      <c r="DB1441">
        <v>25</v>
      </c>
      <c r="DC1441" t="str">
        <f>IF(DB1441=0,"0",IF(AND(DB1441&gt;=1,DB1441&lt;=30),"1-30",IF(AND(DB1441&gt;30,DB1441&lt;=70),"31-70",IF(AND(DB1441&gt;70,DB1441&lt;=100),"71-100",IF(DB1441&gt;100,"+100")))))</f>
        <v>1-30</v>
      </c>
      <c r="DD1441">
        <v>0</v>
      </c>
      <c r="DE1441">
        <v>0</v>
      </c>
      <c r="DF1441">
        <v>0</v>
      </c>
      <c r="DG1441">
        <v>1</v>
      </c>
      <c r="DH1441">
        <v>0</v>
      </c>
      <c r="DI1441">
        <f>SUM(DD1441:DH1441)</f>
        <v>1</v>
      </c>
      <c r="DJ1441" t="str">
        <f>IF(DI1441=1,INDEX($DD$7:$DG$7,MATCH(1,$DD1441:$DG1441,0)),"mixedProduct")</f>
        <v>TimberInput</v>
      </c>
      <c r="DK1441">
        <f>IF(DD1441=1,DK$7,0)</f>
        <v>0</v>
      </c>
      <c r="DL1441">
        <f>IF(DE1441=1,DL$7,0)</f>
        <v>0</v>
      </c>
      <c r="DM1441">
        <f>IF(DF1441=1,DM$7,0)</f>
        <v>0</v>
      </c>
      <c r="DN1441" t="str">
        <f>IF(DG1441=1,DN$7,0)</f>
        <v>Timber</v>
      </c>
      <c r="DO1441">
        <v>0</v>
      </c>
      <c r="DP1441">
        <v>1</v>
      </c>
      <c r="DQ1441" t="s">
        <v>4018</v>
      </c>
      <c r="DR1441" t="s">
        <v>4019</v>
      </c>
      <c r="DS1441" t="s">
        <v>4019</v>
      </c>
      <c r="DT1441">
        <f>SUM(DO1441:DP1441)</f>
        <v>1</v>
      </c>
      <c r="DU1441" s="143" t="str">
        <f>IF(DO1441=1,"self-calculated DF",IF(DP1441=1,"external DF used","explicit C balance"))</f>
        <v>external DF used</v>
      </c>
      <c r="DV1441">
        <v>0</v>
      </c>
      <c r="DW1441">
        <v>0</v>
      </c>
      <c r="DX1441">
        <v>0</v>
      </c>
      <c r="DY1441">
        <v>1</v>
      </c>
      <c r="DZ1441">
        <v>1</v>
      </c>
      <c r="EA1441">
        <v>0</v>
      </c>
      <c r="EB1441">
        <v>0</v>
      </c>
      <c r="EC1441">
        <v>1</v>
      </c>
      <c r="ED1441">
        <v>0</v>
      </c>
      <c r="EE1441">
        <v>1</v>
      </c>
      <c r="EF1441">
        <v>0</v>
      </c>
      <c r="EG1441">
        <v>1</v>
      </c>
      <c r="EH1441">
        <v>0</v>
      </c>
      <c r="EI1441" s="2">
        <v>0</v>
      </c>
      <c r="EK1441" t="str">
        <f>IF(AND(AND(AND(OR($DX1441=1,$DW1441=1),OR($EC1441=1,$EA1441=1)),SUM($DV1441:$DZ1441,$EF1441)&gt;=3),SUM($EA1441:$EE1441)&gt;=2),"Whole sector","")</f>
        <v/>
      </c>
      <c r="EL1441" t="str">
        <f>IF(AND(AND(OR($DX1441=1,$DW1441=1),AND($EC1441=0,$EA1441=0)),SUM($DV1441:$DZ1441,$EF1441)&gt;=3),"Ecosystem approach","")</f>
        <v/>
      </c>
      <c r="EM1441" s="2" t="str">
        <f>IF(AND(AND(AND($DX1441=0,$DW1441=0),OR($EC1441=1,$EA1441=1)),SUM($EB1441:$EE1441)&gt;=2),"Technology approach","")</f>
        <v>Technology approach</v>
      </c>
      <c r="EP1441" t="b">
        <f>IF(ISNUMBER(BU1441),IF(ABS(BU1441-[5]QC_indicators!$B$2)&gt;3*[5]QC_indicators!$C$2,"C ratio",IF(ISNUMBER(BY1441),IF(ABS(BY1441-[5]QC_indicators!$B$1)&gt;3*[5]QC_indicators!$C$1,"DF","no"))),IF(ISNUMBER(BY1441),IF(ABS(BY1441-[5]QC_indicators!$B$1)&gt;3*[5]QC_indicators!$C$1,"DF","no")))</f>
        <v>0</v>
      </c>
    </row>
    <row r="1442" spans="1:148" ht="15" customHeight="1">
      <c r="A1442" s="1" t="s">
        <v>333</v>
      </c>
      <c r="B1442" t="s">
        <v>4008</v>
      </c>
      <c r="C1442" t="s">
        <v>4009</v>
      </c>
      <c r="D1442" t="s">
        <v>4010</v>
      </c>
      <c r="E1442" t="s">
        <v>4011</v>
      </c>
      <c r="F1442" t="s">
        <v>4012</v>
      </c>
      <c r="G1442" t="s">
        <v>339</v>
      </c>
      <c r="H1442" t="s">
        <v>254</v>
      </c>
      <c r="I1442">
        <v>2017</v>
      </c>
      <c r="J1442">
        <v>8</v>
      </c>
      <c r="K1442" t="s">
        <v>4013</v>
      </c>
      <c r="M1442" t="str">
        <f>LEFT($D1442,FIND(",",$D1442)-1)&amp;"_"&amp;I1442&amp;L1442</f>
        <v>Pomponi_2017</v>
      </c>
      <c r="N1442" s="312" t="s">
        <v>4383</v>
      </c>
      <c r="O1442" s="171" t="s">
        <v>225</v>
      </c>
      <c r="P1442" t="s">
        <v>341</v>
      </c>
      <c r="Q1442" s="312" t="s">
        <v>389</v>
      </c>
      <c r="R1442" s="313"/>
      <c r="S1442" s="1" t="s">
        <v>4014</v>
      </c>
      <c r="T1442" t="s">
        <v>4015</v>
      </c>
      <c r="U1442" t="s">
        <v>4021</v>
      </c>
      <c r="V1442">
        <v>0</v>
      </c>
      <c r="W1442">
        <v>0</v>
      </c>
      <c r="X1442">
        <v>0</v>
      </c>
      <c r="Y1442">
        <v>0</v>
      </c>
      <c r="Z1442">
        <v>0</v>
      </c>
      <c r="AA1442">
        <v>0</v>
      </c>
      <c r="AB1442">
        <v>0</v>
      </c>
      <c r="AC1442">
        <v>0</v>
      </c>
      <c r="AD1442">
        <v>0</v>
      </c>
      <c r="AE1442">
        <v>0</v>
      </c>
      <c r="AF1442">
        <v>0</v>
      </c>
      <c r="AG1442">
        <v>0</v>
      </c>
      <c r="AH1442">
        <v>0</v>
      </c>
      <c r="AI1442">
        <v>0</v>
      </c>
      <c r="AJ1442">
        <v>0</v>
      </c>
      <c r="AK1442">
        <v>1</v>
      </c>
      <c r="AL1442">
        <v>0</v>
      </c>
      <c r="AM1442">
        <v>0</v>
      </c>
      <c r="AN1442">
        <v>0</v>
      </c>
      <c r="AO1442">
        <v>0</v>
      </c>
      <c r="AP1442">
        <v>0</v>
      </c>
      <c r="AQ1442">
        <v>0</v>
      </c>
      <c r="AR1442">
        <v>0</v>
      </c>
      <c r="AS1442">
        <v>0</v>
      </c>
      <c r="AT1442">
        <v>0</v>
      </c>
      <c r="AU1442">
        <v>0</v>
      </c>
      <c r="AV1442">
        <v>0</v>
      </c>
      <c r="AW1442">
        <v>0</v>
      </c>
      <c r="AX1442" s="141">
        <f>COUNTIF(V1442:AW1442,"&lt;&gt;0")</f>
        <v>1</v>
      </c>
      <c r="AY1442" s="141">
        <f>COUNTIF(V1442:AL1442,"&lt;&gt;0")</f>
        <v>1</v>
      </c>
      <c r="AZ1442">
        <f>COUNTIF(V1442:AC1442,"&lt;&gt;0")</f>
        <v>0</v>
      </c>
      <c r="BA1442">
        <f>COUNTIF(AD1442:AI1442,"&lt;&gt;0")</f>
        <v>0</v>
      </c>
      <c r="BB1442">
        <f>COUNTIF(AJ1442:AL1442,"&lt;&gt;0")</f>
        <v>1</v>
      </c>
      <c r="BC1442">
        <f>COUNTIF(AS1442:AW1442,"&lt;&gt;0")</f>
        <v>0</v>
      </c>
      <c r="BD1442">
        <f>COUNTIF(AM1442:AR1442,"&lt;&gt;0")</f>
        <v>0</v>
      </c>
      <c r="BE1442" t="str" cm="1">
        <f t="array" ref="BE1442">IF(AY1442=1,INDEX($V$7:$AL$7,MATCH(TRUE,INDEX($V1442:$AW1442&lt;&gt;0,),0)),IF(AY1442=0,INDEX($AM$7:$AW$7,MATCH(1,$AM1442:$AW1442,0)),IF(BF1442="Multiple strategies","mixed drivers",IF(BF1442="Supply chain","multiple supply","multiple silviculture"))))</f>
        <v>technologies/design switch</v>
      </c>
      <c r="BF1442" s="2" t="str" cm="1">
        <f t="array" ref="BF1442">IF(COUNTIF(AZ1442:BB1442,"&lt;&gt;0")=1,INDEX($V$4:$AW$4,MATCH(TRUE,INDEX($V1442:$AW1442&lt;&gt;0,),0)),IF(COUNTIF(AZ1442:BB1442,"&lt;&gt;0")=0,INDEX($AM$4:$AW$4,MATCH(1,$AM1442:$AW1442,0)),"Multiple strategies"))</f>
        <v>Technology</v>
      </c>
      <c r="BP1442" t="s">
        <v>232</v>
      </c>
      <c r="BR1442" t="s">
        <v>4017</v>
      </c>
      <c r="BS1442">
        <v>1100</v>
      </c>
      <c r="BT1442">
        <v>1279</v>
      </c>
      <c r="BU1442" s="144"/>
      <c r="BV1442">
        <f>BS1442-BT1442</f>
        <v>-179</v>
      </c>
      <c r="BY1442" t="str">
        <f>IFERROR(BX1442/BO1442,"")</f>
        <v/>
      </c>
      <c r="BZ1442">
        <v>0</v>
      </c>
      <c r="CA1442">
        <v>0</v>
      </c>
      <c r="CB1442">
        <v>0</v>
      </c>
      <c r="CC1442">
        <v>0</v>
      </c>
      <c r="CD1442">
        <v>0</v>
      </c>
      <c r="CE1442">
        <v>0</v>
      </c>
      <c r="CF1442">
        <v>0</v>
      </c>
      <c r="CG1442">
        <v>0</v>
      </c>
      <c r="CH1442">
        <v>0</v>
      </c>
      <c r="CI1442">
        <v>0</v>
      </c>
      <c r="CJ1442">
        <v>0</v>
      </c>
      <c r="CK1442">
        <v>0</v>
      </c>
      <c r="CL1442">
        <v>0</v>
      </c>
      <c r="CM1442">
        <v>0</v>
      </c>
      <c r="CN1442" t="str">
        <f>IF($BL1442&lt;$BK1442,"refNeedCorrection","refOK")</f>
        <v>refOK</v>
      </c>
      <c r="CO1442"/>
      <c r="CP1442"/>
      <c r="CQ1442"/>
      <c r="CR1442">
        <f>IF($CN1442="refOK",$BS1442,$BT1442)*IF($BP1442="Emissions positive",-1,1)</f>
        <v>1100</v>
      </c>
      <c r="CS1442">
        <f>IF($CN1442="refOK",$BT1442,$BS1442)*IF($BP1442="Emissions positive",-1,1)</f>
        <v>1279</v>
      </c>
      <c r="CT1442">
        <f>IF($CN1442="refNeedCorrection",-BX1442,BX1442)*IF($BP1442="Emissions positive",-1,1)</f>
        <v>0</v>
      </c>
      <c r="CU1442" t="str">
        <f>IFERROR(CT1442/CQ1442,"")</f>
        <v/>
      </c>
      <c r="CV1442" s="2">
        <f>IFERROR((CS1442-CR1442)/ABS(CR1442),"")</f>
        <v>0.16272727272727272</v>
      </c>
      <c r="CW1442" s="1" t="s">
        <v>974</v>
      </c>
      <c r="CX1442" s="312" t="str">
        <f>IF(OR($CW1442="prd",$CW1442="std",$CW1442="cit"),"loc",IF(OR($CW1442="eur",$CW1442="reg",$CW1442="coy"),"reg",$CW1442))</f>
        <v>loc</v>
      </c>
      <c r="CY1442" t="s">
        <v>3494</v>
      </c>
      <c r="DB1442">
        <v>25</v>
      </c>
      <c r="DC1442" t="str">
        <f>IF(DB1442=0,"0",IF(AND(DB1442&gt;=1,DB1442&lt;=30),"1-30",IF(AND(DB1442&gt;30,DB1442&lt;=70),"31-70",IF(AND(DB1442&gt;70,DB1442&lt;=100),"71-100",IF(DB1442&gt;100,"+100")))))</f>
        <v>1-30</v>
      </c>
      <c r="DD1442">
        <v>0</v>
      </c>
      <c r="DE1442">
        <v>0</v>
      </c>
      <c r="DF1442">
        <v>0</v>
      </c>
      <c r="DG1442">
        <v>1</v>
      </c>
      <c r="DH1442">
        <v>0</v>
      </c>
      <c r="DI1442">
        <f>SUM(DD1442:DH1442)</f>
        <v>1</v>
      </c>
      <c r="DJ1442" t="str">
        <f>IF(DI1442=1,INDEX($DD$7:$DG$7,MATCH(1,$DD1442:$DG1442,0)),"mixedProduct")</f>
        <v>TimberInput</v>
      </c>
      <c r="DK1442">
        <f>IF(DD1442=1,DK$7,0)</f>
        <v>0</v>
      </c>
      <c r="DL1442">
        <f>IF(DE1442=1,DL$7,0)</f>
        <v>0</v>
      </c>
      <c r="DM1442">
        <f>IF(DF1442=1,DM$7,0)</f>
        <v>0</v>
      </c>
      <c r="DN1442" t="str">
        <f>IF(DG1442=1,DN$7,0)</f>
        <v>Timber</v>
      </c>
      <c r="DO1442">
        <v>0</v>
      </c>
      <c r="DP1442">
        <v>1</v>
      </c>
      <c r="DQ1442" t="s">
        <v>4018</v>
      </c>
      <c r="DR1442" t="s">
        <v>4019</v>
      </c>
      <c r="DS1442" t="s">
        <v>4019</v>
      </c>
      <c r="DT1442">
        <f>SUM(DO1442:DP1442)</f>
        <v>1</v>
      </c>
      <c r="DU1442" s="143" t="str">
        <f>IF(DO1442=1,"self-calculated DF",IF(DP1442=1,"external DF used","explicit C balance"))</f>
        <v>external DF used</v>
      </c>
      <c r="DV1442">
        <v>0</v>
      </c>
      <c r="DW1442">
        <v>0</v>
      </c>
      <c r="DX1442">
        <v>0</v>
      </c>
      <c r="DY1442">
        <v>1</v>
      </c>
      <c r="DZ1442">
        <v>1</v>
      </c>
      <c r="EA1442">
        <v>0</v>
      </c>
      <c r="EB1442">
        <v>0</v>
      </c>
      <c r="EC1442">
        <v>1</v>
      </c>
      <c r="ED1442">
        <v>0</v>
      </c>
      <c r="EE1442">
        <v>1</v>
      </c>
      <c r="EF1442">
        <v>0</v>
      </c>
      <c r="EG1442">
        <v>1</v>
      </c>
      <c r="EH1442">
        <v>0</v>
      </c>
      <c r="EI1442" s="2">
        <v>0</v>
      </c>
      <c r="EK1442" t="str">
        <f>IF(AND(AND(AND(OR($DX1442=1,$DW1442=1),OR($EC1442=1,$EA1442=1)),SUM($DV1442:$DZ1442,$EF1442)&gt;=3),SUM($EA1442:$EE1442)&gt;=2),"Whole sector","")</f>
        <v/>
      </c>
      <c r="EL1442" t="str">
        <f>IF(AND(AND(OR($DX1442=1,$DW1442=1),AND($EC1442=0,$EA1442=0)),SUM($DV1442:$DZ1442,$EF1442)&gt;=3),"Ecosystem approach","")</f>
        <v/>
      </c>
      <c r="EM1442" s="2" t="str">
        <f>IF(AND(AND(AND($DX1442=0,$DW1442=0),OR($EC1442=1,$EA1442=1)),SUM($EB1442:$EE1442)&gt;=2),"Technology approach","")</f>
        <v>Technology approach</v>
      </c>
      <c r="EP1442" t="b">
        <f>IF(ISNUMBER(BU1442),IF(ABS(BU1442-[5]QC_indicators!$B$2)&gt;3*[5]QC_indicators!$C$2,"C ratio",IF(ISNUMBER(BY1442),IF(ABS(BY1442-[5]QC_indicators!$B$1)&gt;3*[5]QC_indicators!$C$1,"DF","no"))),IF(ISNUMBER(BY1442),IF(ABS(BY1442-[5]QC_indicators!$B$1)&gt;3*[5]QC_indicators!$C$1,"DF","no")))</f>
        <v>0</v>
      </c>
    </row>
    <row r="1443" spans="1:148" ht="15" customHeight="1">
      <c r="A1443" s="1" t="s">
        <v>333</v>
      </c>
      <c r="B1443" t="s">
        <v>4008</v>
      </c>
      <c r="C1443" t="s">
        <v>4009</v>
      </c>
      <c r="D1443" t="s">
        <v>4010</v>
      </c>
      <c r="E1443" t="s">
        <v>4011</v>
      </c>
      <c r="F1443" t="s">
        <v>4012</v>
      </c>
      <c r="G1443" t="s">
        <v>339</v>
      </c>
      <c r="H1443" t="s">
        <v>254</v>
      </c>
      <c r="I1443">
        <v>2017</v>
      </c>
      <c r="J1443">
        <v>8</v>
      </c>
      <c r="K1443" t="s">
        <v>4013</v>
      </c>
      <c r="M1443" t="str">
        <f>LEFT($D1443,FIND(",",$D1443)-1)&amp;"_"&amp;I1443&amp;L1443</f>
        <v>Pomponi_2017</v>
      </c>
      <c r="N1443" s="312" t="s">
        <v>4383</v>
      </c>
      <c r="O1443" s="171" t="s">
        <v>225</v>
      </c>
      <c r="P1443" t="s">
        <v>341</v>
      </c>
      <c r="Q1443" s="312" t="s">
        <v>389</v>
      </c>
      <c r="R1443" s="313"/>
      <c r="S1443" s="1" t="s">
        <v>4020</v>
      </c>
      <c r="T1443" t="s">
        <v>1044</v>
      </c>
      <c r="U1443" t="s">
        <v>4021</v>
      </c>
      <c r="V1443">
        <v>0</v>
      </c>
      <c r="W1443">
        <v>0</v>
      </c>
      <c r="X1443">
        <v>0</v>
      </c>
      <c r="Y1443">
        <v>0</v>
      </c>
      <c r="Z1443">
        <v>0</v>
      </c>
      <c r="AA1443">
        <v>0</v>
      </c>
      <c r="AB1443">
        <v>0</v>
      </c>
      <c r="AC1443">
        <v>0</v>
      </c>
      <c r="AD1443">
        <v>0</v>
      </c>
      <c r="AE1443">
        <v>0</v>
      </c>
      <c r="AF1443">
        <v>0</v>
      </c>
      <c r="AG1443">
        <v>0</v>
      </c>
      <c r="AH1443">
        <v>0</v>
      </c>
      <c r="AI1443">
        <v>0</v>
      </c>
      <c r="AJ1443">
        <v>0</v>
      </c>
      <c r="AK1443">
        <v>1</v>
      </c>
      <c r="AL1443">
        <v>0</v>
      </c>
      <c r="AM1443">
        <v>0</v>
      </c>
      <c r="AN1443">
        <v>0</v>
      </c>
      <c r="AO1443">
        <v>0</v>
      </c>
      <c r="AP1443">
        <v>0</v>
      </c>
      <c r="AQ1443">
        <v>0</v>
      </c>
      <c r="AR1443">
        <v>0</v>
      </c>
      <c r="AS1443">
        <v>0</v>
      </c>
      <c r="AT1443">
        <v>0</v>
      </c>
      <c r="AU1443">
        <v>0</v>
      </c>
      <c r="AV1443">
        <v>0</v>
      </c>
      <c r="AW1443">
        <v>0</v>
      </c>
      <c r="AX1443" s="141">
        <f>COUNTIF(V1443:AW1443,"&lt;&gt;0")</f>
        <v>1</v>
      </c>
      <c r="AY1443" s="141">
        <f>COUNTIF(V1443:AL1443,"&lt;&gt;0")</f>
        <v>1</v>
      </c>
      <c r="AZ1443">
        <f>COUNTIF(V1443:AC1443,"&lt;&gt;0")</f>
        <v>0</v>
      </c>
      <c r="BA1443">
        <f>COUNTIF(AD1443:AI1443,"&lt;&gt;0")</f>
        <v>0</v>
      </c>
      <c r="BB1443">
        <f>COUNTIF(AJ1443:AL1443,"&lt;&gt;0")</f>
        <v>1</v>
      </c>
      <c r="BC1443">
        <f>COUNTIF(AS1443:AW1443,"&lt;&gt;0")</f>
        <v>0</v>
      </c>
      <c r="BD1443">
        <f>COUNTIF(AM1443:AR1443,"&lt;&gt;0")</f>
        <v>0</v>
      </c>
      <c r="BE1443" t="str" cm="1">
        <f t="array" ref="BE1443">IF(AY1443=1,INDEX($V$7:$AL$7,MATCH(TRUE,INDEX($V1443:$AW1443&lt;&gt;0,),0)),IF(AY1443=0,INDEX($AM$7:$AW$7,MATCH(1,$AM1443:$AW1443,0)),IF(BF1443="Multiple strategies","mixed drivers",IF(BF1443="Supply chain","multiple supply","multiple silviculture"))))</f>
        <v>technologies/design switch</v>
      </c>
      <c r="BF1443" s="2" t="str" cm="1">
        <f t="array" ref="BF1443">IF(COUNTIF(AZ1443:BB1443,"&lt;&gt;0")=1,INDEX($V$4:$AW$4,MATCH(TRUE,INDEX($V1443:$AW1443&lt;&gt;0,),0)),IF(COUNTIF(AZ1443:BB1443,"&lt;&gt;0")=0,INDEX($AM$4:$AW$4,MATCH(1,$AM1443:$AW1443,0)),"Multiple strategies"))</f>
        <v>Technology</v>
      </c>
      <c r="BO1443" s="312"/>
      <c r="BP1443" t="s">
        <v>232</v>
      </c>
      <c r="BR1443" t="s">
        <v>4017</v>
      </c>
      <c r="BS1443">
        <v>1500</v>
      </c>
      <c r="BT1443">
        <v>1279</v>
      </c>
      <c r="BU1443" s="144"/>
      <c r="BV1443">
        <f>BS1443-BT1443</f>
        <v>221</v>
      </c>
      <c r="BY1443" t="str">
        <f>IFERROR(BX1443/BO1443,"")</f>
        <v/>
      </c>
      <c r="BZ1443">
        <v>0</v>
      </c>
      <c r="CA1443">
        <v>0</v>
      </c>
      <c r="CB1443">
        <v>0</v>
      </c>
      <c r="CC1443">
        <v>0</v>
      </c>
      <c r="CD1443">
        <v>0</v>
      </c>
      <c r="CE1443">
        <v>0</v>
      </c>
      <c r="CF1443">
        <v>0</v>
      </c>
      <c r="CG1443">
        <v>0</v>
      </c>
      <c r="CH1443">
        <v>0</v>
      </c>
      <c r="CI1443">
        <v>0</v>
      </c>
      <c r="CJ1443">
        <v>0</v>
      </c>
      <c r="CK1443">
        <v>0</v>
      </c>
      <c r="CL1443">
        <v>0</v>
      </c>
      <c r="CM1443">
        <v>0</v>
      </c>
      <c r="CN1443" t="str">
        <f>IF($BL1443&lt;$BK1443,"refNeedCorrection","refOK")</f>
        <v>refOK</v>
      </c>
      <c r="CO1443"/>
      <c r="CP1443"/>
      <c r="CQ1443"/>
      <c r="CR1443">
        <f>IF($CN1443="refOK",$BS1443,$BT1443)*IF($BP1443="Emissions positive",-1,1)</f>
        <v>1500</v>
      </c>
      <c r="CS1443">
        <f>IF($CN1443="refOK",$BT1443,$BS1443)*IF($BP1443="Emissions positive",-1,1)</f>
        <v>1279</v>
      </c>
      <c r="CT1443">
        <f>IF($CN1443="refNeedCorrection",-BX1443,BX1443)*IF($BP1443="Emissions positive",-1,1)</f>
        <v>0</v>
      </c>
      <c r="CU1443" t="str">
        <f>IFERROR(CT1443/CQ1443,"")</f>
        <v/>
      </c>
      <c r="CV1443" s="2">
        <f>IFERROR((CS1443-CR1443)/ABS(CR1443),"")</f>
        <v>-0.14733333333333334</v>
      </c>
      <c r="CW1443" s="1" t="s">
        <v>974</v>
      </c>
      <c r="CX1443" s="312" t="str">
        <f>IF(OR($CW1443="prd",$CW1443="std",$CW1443="cit"),"loc",IF(OR($CW1443="eur",$CW1443="reg",$CW1443="coy"),"reg",$CW1443))</f>
        <v>loc</v>
      </c>
      <c r="CY1443" t="s">
        <v>3494</v>
      </c>
      <c r="DB1443">
        <v>25</v>
      </c>
      <c r="DC1443" t="str">
        <f>IF(DB1443=0,"0",IF(AND(DB1443&gt;=1,DB1443&lt;=30),"1-30",IF(AND(DB1443&gt;30,DB1443&lt;=70),"31-70",IF(AND(DB1443&gt;70,DB1443&lt;=100),"71-100",IF(DB1443&gt;100,"+100")))))</f>
        <v>1-30</v>
      </c>
      <c r="DD1443">
        <v>0</v>
      </c>
      <c r="DE1443">
        <v>0</v>
      </c>
      <c r="DF1443">
        <v>0</v>
      </c>
      <c r="DG1443">
        <v>1</v>
      </c>
      <c r="DH1443">
        <v>0</v>
      </c>
      <c r="DI1443">
        <f>SUM(DD1443:DH1443)</f>
        <v>1</v>
      </c>
      <c r="DJ1443" t="str">
        <f>IF(DI1443=1,INDEX($DD$7:$DG$7,MATCH(1,$DD1443:$DG1443,0)),"mixedProduct")</f>
        <v>TimberInput</v>
      </c>
      <c r="DK1443">
        <f>IF(DD1443=1,DK$7,0)</f>
        <v>0</v>
      </c>
      <c r="DL1443">
        <f>IF(DE1443=1,DL$7,0)</f>
        <v>0</v>
      </c>
      <c r="DM1443">
        <f>IF(DF1443=1,DM$7,0)</f>
        <v>0</v>
      </c>
      <c r="DN1443" t="str">
        <f>IF(DG1443=1,DN$7,0)</f>
        <v>Timber</v>
      </c>
      <c r="DO1443">
        <v>0</v>
      </c>
      <c r="DP1443">
        <v>1</v>
      </c>
      <c r="DQ1443" t="s">
        <v>4018</v>
      </c>
      <c r="DR1443" t="s">
        <v>4019</v>
      </c>
      <c r="DS1443" t="s">
        <v>4019</v>
      </c>
      <c r="DT1443">
        <f>SUM(DO1443:DP1443)</f>
        <v>1</v>
      </c>
      <c r="DU1443" s="143" t="str">
        <f>IF(DO1443=1,"self-calculated DF",IF(DP1443=1,"external DF used","explicit C balance"))</f>
        <v>external DF used</v>
      </c>
      <c r="DV1443">
        <v>0</v>
      </c>
      <c r="DW1443">
        <v>0</v>
      </c>
      <c r="DX1443">
        <v>0</v>
      </c>
      <c r="DY1443">
        <v>1</v>
      </c>
      <c r="DZ1443">
        <v>1</v>
      </c>
      <c r="EA1443">
        <v>0</v>
      </c>
      <c r="EB1443">
        <v>0</v>
      </c>
      <c r="EC1443">
        <v>1</v>
      </c>
      <c r="ED1443">
        <v>0</v>
      </c>
      <c r="EE1443">
        <v>1</v>
      </c>
      <c r="EF1443">
        <v>0</v>
      </c>
      <c r="EG1443">
        <v>1</v>
      </c>
      <c r="EH1443">
        <v>0</v>
      </c>
      <c r="EI1443" s="2">
        <v>0</v>
      </c>
      <c r="EK1443" t="str">
        <f>IF(AND(AND(AND(OR($DX1443=1,$DW1443=1),OR($EC1443=1,$EA1443=1)),SUM($DV1443:$DZ1443,$EF1443)&gt;=3),SUM($EA1443:$EE1443)&gt;=2),"Whole sector","")</f>
        <v/>
      </c>
      <c r="EL1443" t="str">
        <f>IF(AND(AND(OR($DX1443=1,$DW1443=1),AND($EC1443=0,$EA1443=0)),SUM($DV1443:$DZ1443,$EF1443)&gt;=3),"Ecosystem approach","")</f>
        <v/>
      </c>
      <c r="EM1443" s="2" t="str">
        <f>IF(AND(AND(AND($DX1443=0,$DW1443=0),OR($EC1443=1,$EA1443=1)),SUM($EB1443:$EE1443)&gt;=2),"Technology approach","")</f>
        <v>Technology approach</v>
      </c>
      <c r="EP1443" t="b">
        <f>IF(ISNUMBER(BU1443),IF(ABS(BU1443-[5]QC_indicators!$B$2)&gt;3*[5]QC_indicators!$C$2,"C ratio",IF(ISNUMBER(BY1443),IF(ABS(BY1443-[5]QC_indicators!$B$1)&gt;3*[5]QC_indicators!$C$1,"DF","no"))),IF(ISNUMBER(BY1443),IF(ABS(BY1443-[5]QC_indicators!$B$1)&gt;3*[5]QC_indicators!$C$1,"DF","no")))</f>
        <v>0</v>
      </c>
    </row>
    <row r="1444" spans="1:148" ht="15" customHeight="1">
      <c r="A1444" s="1" t="s">
        <v>333</v>
      </c>
      <c r="B1444" t="s">
        <v>4008</v>
      </c>
      <c r="C1444" t="s">
        <v>4009</v>
      </c>
      <c r="D1444" t="s">
        <v>4010</v>
      </c>
      <c r="E1444" t="s">
        <v>4011</v>
      </c>
      <c r="F1444" t="s">
        <v>4012</v>
      </c>
      <c r="G1444" t="s">
        <v>339</v>
      </c>
      <c r="H1444" t="s">
        <v>254</v>
      </c>
      <c r="I1444">
        <v>2017</v>
      </c>
      <c r="J1444">
        <v>8</v>
      </c>
      <c r="K1444" t="s">
        <v>4013</v>
      </c>
      <c r="M1444" t="str">
        <f>LEFT($D1444,FIND(",",$D1444)-1)&amp;"_"&amp;I1444&amp;L1444</f>
        <v>Pomponi_2017</v>
      </c>
      <c r="N1444" s="312" t="s">
        <v>4383</v>
      </c>
      <c r="O1444" s="171" t="s">
        <v>225</v>
      </c>
      <c r="P1444" t="s">
        <v>341</v>
      </c>
      <c r="Q1444" s="312" t="s">
        <v>389</v>
      </c>
      <c r="R1444" s="313"/>
      <c r="S1444" s="1" t="s">
        <v>4014</v>
      </c>
      <c r="T1444" t="s">
        <v>4015</v>
      </c>
      <c r="U1444" t="s">
        <v>4022</v>
      </c>
      <c r="V1444">
        <v>0</v>
      </c>
      <c r="W1444">
        <v>0</v>
      </c>
      <c r="X1444">
        <v>0</v>
      </c>
      <c r="Y1444">
        <v>0</v>
      </c>
      <c r="Z1444">
        <v>0</v>
      </c>
      <c r="AA1444">
        <v>0</v>
      </c>
      <c r="AB1444">
        <v>0</v>
      </c>
      <c r="AC1444">
        <v>0</v>
      </c>
      <c r="AD1444">
        <v>0</v>
      </c>
      <c r="AE1444">
        <v>0</v>
      </c>
      <c r="AF1444">
        <v>0</v>
      </c>
      <c r="AG1444">
        <v>0</v>
      </c>
      <c r="AH1444">
        <v>0</v>
      </c>
      <c r="AI1444">
        <v>0</v>
      </c>
      <c r="AJ1444">
        <v>0</v>
      </c>
      <c r="AK1444">
        <v>1</v>
      </c>
      <c r="AL1444">
        <v>0</v>
      </c>
      <c r="AM1444">
        <v>0</v>
      </c>
      <c r="AN1444">
        <v>0</v>
      </c>
      <c r="AO1444">
        <v>0</v>
      </c>
      <c r="AP1444">
        <v>0</v>
      </c>
      <c r="AQ1444">
        <v>0</v>
      </c>
      <c r="AR1444">
        <v>0</v>
      </c>
      <c r="AS1444">
        <v>0</v>
      </c>
      <c r="AT1444">
        <v>0</v>
      </c>
      <c r="AU1444">
        <v>0</v>
      </c>
      <c r="AV1444">
        <v>0</v>
      </c>
      <c r="AW1444">
        <v>0</v>
      </c>
      <c r="AX1444" s="141">
        <f>COUNTIF(V1444:AW1444,"&lt;&gt;0")</f>
        <v>1</v>
      </c>
      <c r="AY1444" s="141">
        <f>COUNTIF(V1444:AL1444,"&lt;&gt;0")</f>
        <v>1</v>
      </c>
      <c r="AZ1444">
        <f>COUNTIF(V1444:AC1444,"&lt;&gt;0")</f>
        <v>0</v>
      </c>
      <c r="BA1444">
        <f>COUNTIF(AD1444:AI1444,"&lt;&gt;0")</f>
        <v>0</v>
      </c>
      <c r="BB1444">
        <f>COUNTIF(AJ1444:AL1444,"&lt;&gt;0")</f>
        <v>1</v>
      </c>
      <c r="BC1444">
        <f>COUNTIF(AS1444:AW1444,"&lt;&gt;0")</f>
        <v>0</v>
      </c>
      <c r="BD1444">
        <f>COUNTIF(AM1444:AR1444,"&lt;&gt;0")</f>
        <v>0</v>
      </c>
      <c r="BE1444" t="str" cm="1">
        <f t="array" ref="BE1444">IF(AY1444=1,INDEX($V$7:$AL$7,MATCH(TRUE,INDEX($V1444:$AW1444&lt;&gt;0,),0)),IF(AY1444=0,INDEX($AM$7:$AW$7,MATCH(1,$AM1444:$AW1444,0)),IF(BF1444="Multiple strategies","mixed drivers",IF(BF1444="Supply chain","multiple supply","multiple silviculture"))))</f>
        <v>technologies/design switch</v>
      </c>
      <c r="BF1444" s="2" t="str" cm="1">
        <f t="array" ref="BF1444">IF(COUNTIF(AZ1444:BB1444,"&lt;&gt;0")=1,INDEX($V$4:$AW$4,MATCH(TRUE,INDEX($V1444:$AW1444&lt;&gt;0,),0)),IF(COUNTIF(AZ1444:BB1444,"&lt;&gt;0")=0,INDEX($AM$4:$AW$4,MATCH(1,$AM1444:$AW1444,0)),"Multiple strategies"))</f>
        <v>Technology</v>
      </c>
      <c r="BP1444" t="s">
        <v>232</v>
      </c>
      <c r="BR1444" t="s">
        <v>4017</v>
      </c>
      <c r="BS1444">
        <v>1100</v>
      </c>
      <c r="BT1444">
        <v>1285</v>
      </c>
      <c r="BU1444" s="144"/>
      <c r="BV1444">
        <f>BS1444-BT1444</f>
        <v>-185</v>
      </c>
      <c r="BY1444" t="str">
        <f>IFERROR(BX1444/BO1444,"")</f>
        <v/>
      </c>
      <c r="BZ1444">
        <v>0</v>
      </c>
      <c r="CA1444">
        <v>0</v>
      </c>
      <c r="CB1444">
        <v>0</v>
      </c>
      <c r="CC1444">
        <v>0</v>
      </c>
      <c r="CD1444">
        <v>0</v>
      </c>
      <c r="CE1444">
        <v>0</v>
      </c>
      <c r="CF1444">
        <v>0</v>
      </c>
      <c r="CG1444">
        <v>0</v>
      </c>
      <c r="CH1444">
        <v>0</v>
      </c>
      <c r="CI1444">
        <v>0</v>
      </c>
      <c r="CJ1444">
        <v>0</v>
      </c>
      <c r="CK1444">
        <v>0</v>
      </c>
      <c r="CL1444">
        <v>0</v>
      </c>
      <c r="CM1444">
        <v>0</v>
      </c>
      <c r="CN1444" t="str">
        <f>IF($BL1444&lt;$BK1444,"refNeedCorrection","refOK")</f>
        <v>refOK</v>
      </c>
      <c r="CO1444"/>
      <c r="CP1444"/>
      <c r="CQ1444"/>
      <c r="CR1444">
        <f>IF($CN1444="refOK",$BS1444,$BT1444)*IF($BP1444="Emissions positive",-1,1)</f>
        <v>1100</v>
      </c>
      <c r="CS1444">
        <f>IF($CN1444="refOK",$BT1444,$BS1444)*IF($BP1444="Emissions positive",-1,1)</f>
        <v>1285</v>
      </c>
      <c r="CT1444">
        <f>IF($CN1444="refNeedCorrection",-BX1444,BX1444)*IF($BP1444="Emissions positive",-1,1)</f>
        <v>0</v>
      </c>
      <c r="CU1444" t="str">
        <f>IFERROR(CT1444/CQ1444,"")</f>
        <v/>
      </c>
      <c r="CV1444" s="2">
        <f>IFERROR((CS1444-CR1444)/ABS(CR1444),"")</f>
        <v>0.16818181818181818</v>
      </c>
      <c r="CW1444" s="1" t="s">
        <v>974</v>
      </c>
      <c r="CX1444" s="312" t="str">
        <f>IF(OR($CW1444="prd",$CW1444="std",$CW1444="cit"),"loc",IF(OR($CW1444="eur",$CW1444="reg",$CW1444="coy"),"reg",$CW1444))</f>
        <v>loc</v>
      </c>
      <c r="CY1444" t="s">
        <v>3494</v>
      </c>
      <c r="DB1444">
        <v>25</v>
      </c>
      <c r="DC1444" t="str">
        <f>IF(DB1444=0,"0",IF(AND(DB1444&gt;=1,DB1444&lt;=30),"1-30",IF(AND(DB1444&gt;30,DB1444&lt;=70),"31-70",IF(AND(DB1444&gt;70,DB1444&lt;=100),"71-100",IF(DB1444&gt;100,"+100")))))</f>
        <v>1-30</v>
      </c>
      <c r="DD1444">
        <v>0</v>
      </c>
      <c r="DE1444">
        <v>0</v>
      </c>
      <c r="DF1444">
        <v>0</v>
      </c>
      <c r="DG1444">
        <v>1</v>
      </c>
      <c r="DH1444">
        <v>0</v>
      </c>
      <c r="DI1444">
        <f>SUM(DD1444:DH1444)</f>
        <v>1</v>
      </c>
      <c r="DJ1444" t="str">
        <f>IF(DI1444=1,INDEX($DD$7:$DG$7,MATCH(1,$DD1444:$DG1444,0)),"mixedProduct")</f>
        <v>TimberInput</v>
      </c>
      <c r="DK1444">
        <f>IF(DD1444=1,DK$7,0)</f>
        <v>0</v>
      </c>
      <c r="DL1444">
        <f>IF(DE1444=1,DL$7,0)</f>
        <v>0</v>
      </c>
      <c r="DM1444">
        <f>IF(DF1444=1,DM$7,0)</f>
        <v>0</v>
      </c>
      <c r="DN1444" t="str">
        <f>IF(DG1444=1,DN$7,0)</f>
        <v>Timber</v>
      </c>
      <c r="DO1444">
        <v>0</v>
      </c>
      <c r="DP1444">
        <v>1</v>
      </c>
      <c r="DQ1444" t="s">
        <v>4018</v>
      </c>
      <c r="DR1444" t="s">
        <v>4019</v>
      </c>
      <c r="DS1444" t="s">
        <v>4019</v>
      </c>
      <c r="DT1444">
        <f>SUM(DO1444:DP1444)</f>
        <v>1</v>
      </c>
      <c r="DU1444" s="143" t="str">
        <f>IF(DO1444=1,"self-calculated DF",IF(DP1444=1,"external DF used","explicit C balance"))</f>
        <v>external DF used</v>
      </c>
      <c r="DV1444">
        <v>0</v>
      </c>
      <c r="DW1444">
        <v>0</v>
      </c>
      <c r="DX1444">
        <v>0</v>
      </c>
      <c r="DY1444">
        <v>1</v>
      </c>
      <c r="DZ1444">
        <v>1</v>
      </c>
      <c r="EA1444">
        <v>0</v>
      </c>
      <c r="EB1444">
        <v>0</v>
      </c>
      <c r="EC1444">
        <v>1</v>
      </c>
      <c r="ED1444">
        <v>0</v>
      </c>
      <c r="EE1444">
        <v>1</v>
      </c>
      <c r="EF1444">
        <v>0</v>
      </c>
      <c r="EG1444">
        <v>1</v>
      </c>
      <c r="EH1444">
        <v>0</v>
      </c>
      <c r="EI1444" s="2">
        <v>0</v>
      </c>
      <c r="EK1444" t="str">
        <f>IF(AND(AND(AND(OR($DX1444=1,$DW1444=1),OR($EC1444=1,$EA1444=1)),SUM($DV1444:$DZ1444,$EF1444)&gt;=3),SUM($EA1444:$EE1444)&gt;=2),"Whole sector","")</f>
        <v/>
      </c>
      <c r="EL1444" t="str">
        <f>IF(AND(AND(OR($DX1444=1,$DW1444=1),AND($EC1444=0,$EA1444=0)),SUM($DV1444:$DZ1444,$EF1444)&gt;=3),"Ecosystem approach","")</f>
        <v/>
      </c>
      <c r="EM1444" s="2" t="str">
        <f>IF(AND(AND(AND($DX1444=0,$DW1444=0),OR($EC1444=1,$EA1444=1)),SUM($EB1444:$EE1444)&gt;=2),"Technology approach","")</f>
        <v>Technology approach</v>
      </c>
      <c r="EP1444" t="b">
        <f>IF(ISNUMBER(BU1444),IF(ABS(BU1444-[5]QC_indicators!$B$2)&gt;3*[5]QC_indicators!$C$2,"C ratio",IF(ISNUMBER(BY1444),IF(ABS(BY1444-[5]QC_indicators!$B$1)&gt;3*[5]QC_indicators!$C$1,"DF","no"))),IF(ISNUMBER(BY1444),IF(ABS(BY1444-[5]QC_indicators!$B$1)&gt;3*[5]QC_indicators!$C$1,"DF","no")))</f>
        <v>0</v>
      </c>
    </row>
    <row r="1445" spans="1:148" ht="15" customHeight="1">
      <c r="A1445" s="1" t="s">
        <v>333</v>
      </c>
      <c r="B1445" t="s">
        <v>4008</v>
      </c>
      <c r="C1445" t="s">
        <v>4009</v>
      </c>
      <c r="D1445" t="s">
        <v>4010</v>
      </c>
      <c r="E1445" t="s">
        <v>4011</v>
      </c>
      <c r="F1445" t="s">
        <v>4012</v>
      </c>
      <c r="G1445" t="s">
        <v>339</v>
      </c>
      <c r="H1445" t="s">
        <v>254</v>
      </c>
      <c r="I1445">
        <v>2017</v>
      </c>
      <c r="J1445">
        <v>8</v>
      </c>
      <c r="K1445" t="s">
        <v>4013</v>
      </c>
      <c r="M1445" t="str">
        <f>LEFT($D1445,FIND(",",$D1445)-1)&amp;"_"&amp;I1445&amp;L1445</f>
        <v>Pomponi_2017</v>
      </c>
      <c r="N1445" s="312" t="s">
        <v>4383</v>
      </c>
      <c r="O1445" s="171" t="s">
        <v>225</v>
      </c>
      <c r="P1445" t="s">
        <v>341</v>
      </c>
      <c r="Q1445" s="312" t="s">
        <v>389</v>
      </c>
      <c r="R1445" s="313"/>
      <c r="S1445" s="1" t="s">
        <v>4020</v>
      </c>
      <c r="T1445" t="s">
        <v>1044</v>
      </c>
      <c r="U1445" t="s">
        <v>4022</v>
      </c>
      <c r="V1445">
        <v>0</v>
      </c>
      <c r="W1445">
        <v>0</v>
      </c>
      <c r="X1445">
        <v>0</v>
      </c>
      <c r="Y1445">
        <v>0</v>
      </c>
      <c r="Z1445">
        <v>0</v>
      </c>
      <c r="AA1445">
        <v>0</v>
      </c>
      <c r="AB1445">
        <v>0</v>
      </c>
      <c r="AC1445">
        <v>0</v>
      </c>
      <c r="AD1445">
        <v>0</v>
      </c>
      <c r="AE1445">
        <v>0</v>
      </c>
      <c r="AF1445">
        <v>0</v>
      </c>
      <c r="AG1445">
        <v>0</v>
      </c>
      <c r="AH1445">
        <v>0</v>
      </c>
      <c r="AI1445">
        <v>0</v>
      </c>
      <c r="AJ1445">
        <v>0</v>
      </c>
      <c r="AK1445">
        <v>1</v>
      </c>
      <c r="AL1445">
        <v>0</v>
      </c>
      <c r="AM1445">
        <v>0</v>
      </c>
      <c r="AN1445">
        <v>0</v>
      </c>
      <c r="AO1445">
        <v>0</v>
      </c>
      <c r="AP1445">
        <v>0</v>
      </c>
      <c r="AQ1445">
        <v>0</v>
      </c>
      <c r="AR1445">
        <v>0</v>
      </c>
      <c r="AS1445">
        <v>0</v>
      </c>
      <c r="AT1445">
        <v>0</v>
      </c>
      <c r="AU1445">
        <v>0</v>
      </c>
      <c r="AV1445">
        <v>0</v>
      </c>
      <c r="AW1445">
        <v>0</v>
      </c>
      <c r="AX1445" s="141">
        <f>COUNTIF(V1445:AW1445,"&lt;&gt;0")</f>
        <v>1</v>
      </c>
      <c r="AY1445" s="141">
        <f>COUNTIF(V1445:AL1445,"&lt;&gt;0")</f>
        <v>1</v>
      </c>
      <c r="AZ1445">
        <f>COUNTIF(V1445:AC1445,"&lt;&gt;0")</f>
        <v>0</v>
      </c>
      <c r="BA1445">
        <f>COUNTIF(AD1445:AI1445,"&lt;&gt;0")</f>
        <v>0</v>
      </c>
      <c r="BB1445">
        <f>COUNTIF(AJ1445:AL1445,"&lt;&gt;0")</f>
        <v>1</v>
      </c>
      <c r="BC1445">
        <f>COUNTIF(AS1445:AW1445,"&lt;&gt;0")</f>
        <v>0</v>
      </c>
      <c r="BD1445">
        <f>COUNTIF(AM1445:AR1445,"&lt;&gt;0")</f>
        <v>0</v>
      </c>
      <c r="BE1445" t="str" cm="1">
        <f t="array" ref="BE1445">IF(AY1445=1,INDEX($V$7:$AL$7,MATCH(TRUE,INDEX($V1445:$AW1445&lt;&gt;0,),0)),IF(AY1445=0,INDEX($AM$7:$AW$7,MATCH(1,$AM1445:$AW1445,0)),IF(BF1445="Multiple strategies","mixed drivers",IF(BF1445="Supply chain","multiple supply","multiple silviculture"))))</f>
        <v>technologies/design switch</v>
      </c>
      <c r="BF1445" s="2" t="str" cm="1">
        <f t="array" ref="BF1445">IF(COUNTIF(AZ1445:BB1445,"&lt;&gt;0")=1,INDEX($V$4:$AW$4,MATCH(TRUE,INDEX($V1445:$AW1445&lt;&gt;0,),0)),IF(COUNTIF(AZ1445:BB1445,"&lt;&gt;0")=0,INDEX($AM$4:$AW$4,MATCH(1,$AM1445:$AW1445,0)),"Multiple strategies"))</f>
        <v>Technology</v>
      </c>
      <c r="BO1445" s="312"/>
      <c r="BP1445" t="s">
        <v>232</v>
      </c>
      <c r="BR1445" t="s">
        <v>4017</v>
      </c>
      <c r="BS1445">
        <v>1500</v>
      </c>
      <c r="BT1445">
        <v>1285</v>
      </c>
      <c r="BU1445" s="144"/>
      <c r="BV1445">
        <f>BS1445-BT1445</f>
        <v>215</v>
      </c>
      <c r="BY1445" t="str">
        <f>IFERROR(BX1445/BO1445,"")</f>
        <v/>
      </c>
      <c r="BZ1445">
        <v>0</v>
      </c>
      <c r="CA1445">
        <v>0</v>
      </c>
      <c r="CB1445">
        <v>0</v>
      </c>
      <c r="CC1445">
        <v>0</v>
      </c>
      <c r="CD1445">
        <v>0</v>
      </c>
      <c r="CE1445">
        <v>0</v>
      </c>
      <c r="CF1445">
        <v>0</v>
      </c>
      <c r="CG1445">
        <v>0</v>
      </c>
      <c r="CH1445">
        <v>0</v>
      </c>
      <c r="CI1445">
        <v>0</v>
      </c>
      <c r="CJ1445">
        <v>0</v>
      </c>
      <c r="CK1445">
        <v>0</v>
      </c>
      <c r="CL1445">
        <v>0</v>
      </c>
      <c r="CM1445">
        <v>0</v>
      </c>
      <c r="CN1445" t="str">
        <f>IF($BL1445&lt;$BK1445,"refNeedCorrection","refOK")</f>
        <v>refOK</v>
      </c>
      <c r="CO1445"/>
      <c r="CP1445"/>
      <c r="CQ1445"/>
      <c r="CR1445">
        <f>IF($CN1445="refOK",$BS1445,$BT1445)*IF($BP1445="Emissions positive",-1,1)</f>
        <v>1500</v>
      </c>
      <c r="CS1445">
        <f>IF($CN1445="refOK",$BT1445,$BS1445)*IF($BP1445="Emissions positive",-1,1)</f>
        <v>1285</v>
      </c>
      <c r="CT1445">
        <f>IF($CN1445="refNeedCorrection",-BX1445,BX1445)*IF($BP1445="Emissions positive",-1,1)</f>
        <v>0</v>
      </c>
      <c r="CU1445" t="str">
        <f>IFERROR(CT1445/CQ1445,"")</f>
        <v/>
      </c>
      <c r="CV1445" s="2">
        <f>IFERROR((CS1445-CR1445)/ABS(CR1445),"")</f>
        <v>-0.14333333333333334</v>
      </c>
      <c r="CW1445" s="1" t="s">
        <v>974</v>
      </c>
      <c r="CX1445" s="312" t="str">
        <f>IF(OR($CW1445="prd",$CW1445="std",$CW1445="cit"),"loc",IF(OR($CW1445="eur",$CW1445="reg",$CW1445="coy"),"reg",$CW1445))</f>
        <v>loc</v>
      </c>
      <c r="CY1445" t="s">
        <v>3494</v>
      </c>
      <c r="DB1445">
        <v>25</v>
      </c>
      <c r="DC1445" t="str">
        <f>IF(DB1445=0,"0",IF(AND(DB1445&gt;=1,DB1445&lt;=30),"1-30",IF(AND(DB1445&gt;30,DB1445&lt;=70),"31-70",IF(AND(DB1445&gt;70,DB1445&lt;=100),"71-100",IF(DB1445&gt;100,"+100")))))</f>
        <v>1-30</v>
      </c>
      <c r="DD1445">
        <v>0</v>
      </c>
      <c r="DE1445">
        <v>0</v>
      </c>
      <c r="DF1445">
        <v>0</v>
      </c>
      <c r="DG1445">
        <v>1</v>
      </c>
      <c r="DH1445">
        <v>0</v>
      </c>
      <c r="DI1445">
        <f>SUM(DD1445:DH1445)</f>
        <v>1</v>
      </c>
      <c r="DJ1445" t="str">
        <f>IF(DI1445=1,INDEX($DD$7:$DG$7,MATCH(1,$DD1445:$DG1445,0)),"mixedProduct")</f>
        <v>TimberInput</v>
      </c>
      <c r="DK1445">
        <f>IF(DD1445=1,DK$7,0)</f>
        <v>0</v>
      </c>
      <c r="DL1445">
        <f>IF(DE1445=1,DL$7,0)</f>
        <v>0</v>
      </c>
      <c r="DM1445">
        <f>IF(DF1445=1,DM$7,0)</f>
        <v>0</v>
      </c>
      <c r="DN1445" t="str">
        <f>IF(DG1445=1,DN$7,0)</f>
        <v>Timber</v>
      </c>
      <c r="DO1445">
        <v>0</v>
      </c>
      <c r="DP1445">
        <v>1</v>
      </c>
      <c r="DQ1445" t="s">
        <v>4018</v>
      </c>
      <c r="DR1445" t="s">
        <v>4019</v>
      </c>
      <c r="DS1445" t="s">
        <v>4019</v>
      </c>
      <c r="DT1445">
        <f>SUM(DO1445:DP1445)</f>
        <v>1</v>
      </c>
      <c r="DU1445" s="143" t="str">
        <f>IF(DO1445=1,"self-calculated DF",IF(DP1445=1,"external DF used","explicit C balance"))</f>
        <v>external DF used</v>
      </c>
      <c r="DV1445">
        <v>0</v>
      </c>
      <c r="DW1445">
        <v>0</v>
      </c>
      <c r="DX1445">
        <v>0</v>
      </c>
      <c r="DY1445">
        <v>1</v>
      </c>
      <c r="DZ1445">
        <v>1</v>
      </c>
      <c r="EA1445">
        <v>0</v>
      </c>
      <c r="EB1445">
        <v>0</v>
      </c>
      <c r="EC1445">
        <v>1</v>
      </c>
      <c r="ED1445">
        <v>0</v>
      </c>
      <c r="EE1445">
        <v>1</v>
      </c>
      <c r="EF1445">
        <v>0</v>
      </c>
      <c r="EG1445">
        <v>1</v>
      </c>
      <c r="EH1445">
        <v>0</v>
      </c>
      <c r="EI1445" s="2">
        <v>0</v>
      </c>
      <c r="EK1445" t="str">
        <f>IF(AND(AND(AND(OR($DX1445=1,$DW1445=1),OR($EC1445=1,$EA1445=1)),SUM($DV1445:$DZ1445,$EF1445)&gt;=3),SUM($EA1445:$EE1445)&gt;=2),"Whole sector","")</f>
        <v/>
      </c>
      <c r="EL1445" t="str">
        <f>IF(AND(AND(OR($DX1445=1,$DW1445=1),AND($EC1445=0,$EA1445=0)),SUM($DV1445:$DZ1445,$EF1445)&gt;=3),"Ecosystem approach","")</f>
        <v/>
      </c>
      <c r="EM1445" s="2" t="str">
        <f>IF(AND(AND(AND($DX1445=0,$DW1445=0),OR($EC1445=1,$EA1445=1)),SUM($EB1445:$EE1445)&gt;=2),"Technology approach","")</f>
        <v>Technology approach</v>
      </c>
      <c r="EP1445" t="b">
        <f>IF(ISNUMBER(BU1445),IF(ABS(BU1445-[5]QC_indicators!$B$2)&gt;3*[5]QC_indicators!$C$2,"C ratio",IF(ISNUMBER(BY1445),IF(ABS(BY1445-[5]QC_indicators!$B$1)&gt;3*[5]QC_indicators!$C$1,"DF","no"))),IF(ISNUMBER(BY1445),IF(ABS(BY1445-[5]QC_indicators!$B$1)&gt;3*[5]QC_indicators!$C$1,"DF","no")))</f>
        <v>0</v>
      </c>
    </row>
    <row r="1446" spans="1:148" ht="15" customHeight="1">
      <c r="A1446" s="1" t="s">
        <v>4023</v>
      </c>
      <c r="B1446" t="s">
        <v>4024</v>
      </c>
      <c r="C1446" t="s">
        <v>4025</v>
      </c>
      <c r="D1446" t="s">
        <v>4026</v>
      </c>
      <c r="E1446" t="s">
        <v>4027</v>
      </c>
      <c r="F1446" t="s">
        <v>4028</v>
      </c>
      <c r="G1446" t="s">
        <v>4029</v>
      </c>
      <c r="H1446" t="s">
        <v>254</v>
      </c>
      <c r="I1446">
        <v>2018</v>
      </c>
      <c r="J1446">
        <v>0</v>
      </c>
      <c r="K1446" s="295" t="s">
        <v>4030</v>
      </c>
      <c r="M1446" t="str">
        <f>LEFT($D1446,FIND(",",$D1446)-1)&amp;"_"&amp;I1446&amp;L1446</f>
        <v>Portugal_2018</v>
      </c>
      <c r="N1446" s="312" t="s">
        <v>4383</v>
      </c>
      <c r="O1446" s="145" t="s">
        <v>341</v>
      </c>
      <c r="Q1446" s="312" t="s">
        <v>256</v>
      </c>
      <c r="R1446" s="313"/>
      <c r="S1446" s="1" t="s">
        <v>4031</v>
      </c>
      <c r="T1446" t="s">
        <v>4032</v>
      </c>
      <c r="U1446" t="s">
        <v>4033</v>
      </c>
      <c r="V1446">
        <v>0</v>
      </c>
      <c r="W1446">
        <v>2</v>
      </c>
      <c r="X1446">
        <v>0</v>
      </c>
      <c r="Y1446">
        <v>0</v>
      </c>
      <c r="Z1446">
        <v>0</v>
      </c>
      <c r="AA1446">
        <v>0</v>
      </c>
      <c r="AB1446">
        <v>0</v>
      </c>
      <c r="AC1446">
        <v>0</v>
      </c>
      <c r="AD1446">
        <v>0</v>
      </c>
      <c r="AE1446">
        <v>0</v>
      </c>
      <c r="AF1446">
        <v>1</v>
      </c>
      <c r="AG1446">
        <v>0</v>
      </c>
      <c r="AH1446">
        <v>0</v>
      </c>
      <c r="AI1446">
        <v>0</v>
      </c>
      <c r="AJ1446">
        <v>0</v>
      </c>
      <c r="AK1446">
        <v>0</v>
      </c>
      <c r="AL1446">
        <v>0</v>
      </c>
      <c r="AM1446">
        <v>0</v>
      </c>
      <c r="AN1446">
        <v>0</v>
      </c>
      <c r="AO1446">
        <v>0</v>
      </c>
      <c r="AP1446">
        <v>0</v>
      </c>
      <c r="AQ1446">
        <v>0</v>
      </c>
      <c r="AR1446">
        <v>0</v>
      </c>
      <c r="AS1446">
        <v>2</v>
      </c>
      <c r="AT1446">
        <v>0</v>
      </c>
      <c r="AU1446">
        <v>0</v>
      </c>
      <c r="AV1446">
        <v>0</v>
      </c>
      <c r="AW1446">
        <v>0</v>
      </c>
      <c r="AX1446" s="141">
        <f>COUNTIF(V1446:AW1446,"&lt;&gt;0")</f>
        <v>3</v>
      </c>
      <c r="AY1446" s="141">
        <f>COUNTIF(V1446:AL1446,"&lt;&gt;0")</f>
        <v>2</v>
      </c>
      <c r="AZ1446">
        <f>COUNTIF(V1446:AC1446,"&lt;&gt;0")</f>
        <v>1</v>
      </c>
      <c r="BA1446">
        <f>COUNTIF(AD1446:AI1446,"&lt;&gt;0")</f>
        <v>1</v>
      </c>
      <c r="BB1446">
        <f>COUNTIF(AJ1446:AL1446,"&lt;&gt;0")</f>
        <v>0</v>
      </c>
      <c r="BC1446">
        <f>COUNTIF(AS1446:AW1446,"&lt;&gt;0")</f>
        <v>1</v>
      </c>
      <c r="BD1446">
        <f>COUNTIF(AM1446:AR1446,"&lt;&gt;0")</f>
        <v>0</v>
      </c>
      <c r="BE1446" t="str" cm="1">
        <f t="array" ref="BE1446">IF(AY1446=1,INDEX($V$7:$AL$7,MATCH(TRUE,INDEX($V1446:$AW1446&lt;&gt;0,),0)),IF(AY1446=0,INDEX($AM$7:$AW$7,MATCH(1,$AM1446:$AW1446,0)),IF(BF1446="Multiple strategies","mixed drivers",IF(BF1446="Supply chain","multiple supply","multiple silviculture"))))</f>
        <v>mixed drivers</v>
      </c>
      <c r="BF1446" s="2" t="str" cm="1">
        <f t="array" ref="BF1446">IF(COUNTIF(AZ1446:BB1446,"&lt;&gt;0")=1,INDEX($V$4:$AW$4,MATCH(TRUE,INDEX($V1446:$AW1446&lt;&gt;0,),0)),IF(COUNTIF(AZ1446:BB1446,"&lt;&gt;0")=0,INDEX($AM$4:$AW$4,MATCH(1,$AM1446:$AW1446,0)),"Multiple strategies"))</f>
        <v>Multiple strategies</v>
      </c>
      <c r="BG1446" s="1" t="s">
        <v>229</v>
      </c>
      <c r="BP1446" s="312" t="s">
        <v>232</v>
      </c>
      <c r="BQ1446" s="312"/>
      <c r="BR1446" t="s">
        <v>346</v>
      </c>
      <c r="BS1446">
        <v>-785.1</v>
      </c>
      <c r="BT1446">
        <v>-584</v>
      </c>
      <c r="BU1446" s="144">
        <v>0.74385428607820658</v>
      </c>
      <c r="BV1446">
        <v>201.10000000000002</v>
      </c>
      <c r="BX1446">
        <f>BV1446*10^3</f>
        <v>201100.00000000003</v>
      </c>
      <c r="BY1446" t="str">
        <f>IFERROR(BX1446/BO1446,"")</f>
        <v/>
      </c>
      <c r="BZ1446">
        <v>0</v>
      </c>
      <c r="CA1446">
        <v>0</v>
      </c>
      <c r="CB1446">
        <v>0</v>
      </c>
      <c r="CC1446">
        <v>0</v>
      </c>
      <c r="CD1446">
        <v>0</v>
      </c>
      <c r="CE1446">
        <v>0</v>
      </c>
      <c r="CF1446">
        <v>0</v>
      </c>
      <c r="CG1446">
        <v>0</v>
      </c>
      <c r="CH1446">
        <v>0</v>
      </c>
      <c r="CI1446">
        <v>0</v>
      </c>
      <c r="CJ1446">
        <v>0</v>
      </c>
      <c r="CK1446">
        <v>0</v>
      </c>
      <c r="CL1446">
        <v>0</v>
      </c>
      <c r="CM1446">
        <v>0</v>
      </c>
      <c r="CN1446" t="str">
        <f>IF($BL1446&lt;$BK1446,"refNeedCorrection","refOK")</f>
        <v>refOK</v>
      </c>
      <c r="CO1446">
        <f>IF($CN1446="refOK",$BK1446,$BL1446)</f>
        <v>0</v>
      </c>
      <c r="CP1446">
        <f>IF($CN1446="refOK",$BL1446,$BK1446)</f>
        <v>0</v>
      </c>
      <c r="CQ1446">
        <f>IF($CN1446="refOK",$BO1446,-$BO1446)</f>
        <v>0</v>
      </c>
      <c r="CR1446">
        <f>IF($CN1446="refOK",$BS1446,$BT1446)*IF($BP1446="Emissions positive",-1,1)</f>
        <v>-785.1</v>
      </c>
      <c r="CS1446">
        <f>IF($CN1446="refOK",$BT1446,$BS1446)*IF($BP1446="Emissions positive",-1,1)</f>
        <v>-584</v>
      </c>
      <c r="CT1446">
        <f>IF($CN1446="refNeedCorrection",-BX1446,BX1446)*IF($BP1446="Emissions positive",-1,1)</f>
        <v>201100.00000000003</v>
      </c>
      <c r="CU1446" t="str">
        <f>IFERROR(CT1446/CQ1446,"")</f>
        <v/>
      </c>
      <c r="CV1446" s="2">
        <f>IFERROR((CS1446-CR1446)/ABS(CR1446),"")</f>
        <v>0.25614571392179342</v>
      </c>
      <c r="CW1446" s="1" t="s">
        <v>347</v>
      </c>
      <c r="CX1446" s="312" t="str">
        <f>IF(OR($CW1446="prd",$CW1446="std",$CW1446="cit"),"loc",IF(OR($CW1446="eur",$CW1446="reg",$CW1446="coy"),"reg",$CW1446))</f>
        <v>loc</v>
      </c>
      <c r="CY1446" t="s">
        <v>428</v>
      </c>
      <c r="DB1446">
        <v>0</v>
      </c>
      <c r="DC1446" t="str">
        <f>IF(DB1446=0,"0",IF(AND(DB1446&gt;=1,DB1446&lt;=30),"1-30",IF(AND(DB1446&gt;30,DB1446&lt;=70),"31-70",IF(AND(DB1446&gt;70,DB1446&lt;=100),"71-100",IF(DB1446&gt;100,"+100")))))</f>
        <v>0</v>
      </c>
      <c r="DD1446">
        <v>0</v>
      </c>
      <c r="DE1446">
        <v>0</v>
      </c>
      <c r="DF1446">
        <v>0</v>
      </c>
      <c r="DG1446">
        <v>1</v>
      </c>
      <c r="DH1446">
        <v>1</v>
      </c>
      <c r="DI1446">
        <f>SUM(DD1446:DG1446)</f>
        <v>1</v>
      </c>
      <c r="DJ1446" t="str">
        <f>IF(DI1446=1,INDEX($DD$7:$DG$7,MATCH(1,$DD1446:$DG1446,0)),"mixedProduct")</f>
        <v>TimberInput</v>
      </c>
      <c r="DK1446">
        <f>IF(DD1446=1,DK$7,0)</f>
        <v>0</v>
      </c>
      <c r="DL1446">
        <f>IF(DE1446=1,DL$7,0)</f>
        <v>0</v>
      </c>
      <c r="DM1446">
        <f>IF(DF1446=1,DM$7,0)</f>
        <v>0</v>
      </c>
      <c r="DN1446" t="str">
        <f>IF(DG1446=1,DN$7,0)</f>
        <v>Timber</v>
      </c>
      <c r="DO1446">
        <v>1</v>
      </c>
      <c r="DP1446">
        <v>0</v>
      </c>
      <c r="DQ1446">
        <v>0</v>
      </c>
      <c r="DR1446">
        <v>0</v>
      </c>
      <c r="DS1446">
        <v>0</v>
      </c>
      <c r="DT1446">
        <f>SUM(DO1446:DP1446)</f>
        <v>1</v>
      </c>
      <c r="DU1446" s="143" t="str">
        <f>IF(DO1446=1,"self-calculated DF",IF(DP1446=1,"external DF used","explicit C balance"))</f>
        <v>self-calculated DF</v>
      </c>
      <c r="DV1446">
        <v>0</v>
      </c>
      <c r="DW1446">
        <v>0</v>
      </c>
      <c r="DX1446">
        <v>0</v>
      </c>
      <c r="DY1446">
        <v>1</v>
      </c>
      <c r="DZ1446">
        <v>0</v>
      </c>
      <c r="EA1446" s="143">
        <v>0</v>
      </c>
      <c r="EB1446">
        <v>1</v>
      </c>
      <c r="EC1446">
        <v>1</v>
      </c>
      <c r="ED1446">
        <v>1</v>
      </c>
      <c r="EE1446">
        <v>0</v>
      </c>
      <c r="EF1446">
        <v>0</v>
      </c>
      <c r="EG1446">
        <v>0</v>
      </c>
      <c r="EH1446">
        <v>0</v>
      </c>
      <c r="EI1446" s="2">
        <v>0</v>
      </c>
      <c r="EK1446" t="str">
        <f>IF(AND(AND(AND(OR($DX1446=1,$DW1446=1),OR($EC1446=1,$EA1446=1)),SUM($DV1446:$DZ1446,$EF1446)&gt;=3),SUM($EA1446:$EE1446)&gt;=2),"Whole sector","")</f>
        <v/>
      </c>
      <c r="EL1446" t="str">
        <f>IF(AND(AND(OR($DX1446=1,$DW1446=1),AND($EC1446=0,$EA1446=0)),SUM($DV1446:$DZ1446,$EF1446)&gt;=3),"Ecosystem approach","")</f>
        <v/>
      </c>
      <c r="EM1446" s="2" t="str">
        <f>IF(AND(AND(AND($DX1446=0,$DW1446=0),OR($EC1446=1,$EA1446=1)),SUM($EB1446:$EE1446)&gt;=2),"Technology approach","")</f>
        <v>Technology approach</v>
      </c>
      <c r="EN1446" t="s">
        <v>4034</v>
      </c>
      <c r="EP1446" t="b">
        <f>IF(ISNUMBER(BU1446),IF(ABS(BU1446-[5]QC_indicators!$B$2)&gt;3*[5]QC_indicators!$C$2,"C ratio",IF(ISNUMBER(BY1446),IF(ABS(BY1446-[5]QC_indicators!$B$1)&gt;3*[5]QC_indicators!$C$1,"DF","no"))),IF(ISNUMBER(BY1446),IF(ABS(BY1446-[5]QC_indicators!$B$1)&gt;3*[5]QC_indicators!$C$1,"DF","no")))</f>
        <v>0</v>
      </c>
      <c r="ER1446" s="314" t="s">
        <v>349</v>
      </c>
    </row>
    <row r="1447" spans="1:148" ht="15" customHeight="1">
      <c r="A1447" s="1" t="s">
        <v>214</v>
      </c>
      <c r="B1447" t="s">
        <v>4035</v>
      </c>
      <c r="C1447" t="s">
        <v>4036</v>
      </c>
      <c r="D1447" t="s">
        <v>4037</v>
      </c>
      <c r="E1447" t="s">
        <v>4038</v>
      </c>
      <c r="F1447" t="s">
        <v>4039</v>
      </c>
      <c r="G1447" t="s">
        <v>220</v>
      </c>
      <c r="H1447" t="s">
        <v>254</v>
      </c>
      <c r="I1447">
        <v>2009</v>
      </c>
      <c r="J1447">
        <v>63</v>
      </c>
      <c r="K1447" t="s">
        <v>4040</v>
      </c>
      <c r="M1447" t="str">
        <f>LEFT($D1447,FIND(",",$D1447)-1)&amp;"_"&amp;I1447&amp;L1447</f>
        <v>Profft_2009</v>
      </c>
      <c r="N1447" s="312" t="s">
        <v>4383</v>
      </c>
      <c r="O1447" s="171" t="s">
        <v>225</v>
      </c>
      <c r="P1447" t="s">
        <v>341</v>
      </c>
      <c r="Q1447" s="312" t="s">
        <v>389</v>
      </c>
      <c r="R1447" s="313"/>
      <c r="S1447" s="1" t="s">
        <v>4041</v>
      </c>
      <c r="T1447" t="s">
        <v>4042</v>
      </c>
      <c r="U1447" t="s">
        <v>4043</v>
      </c>
      <c r="V1447">
        <v>0</v>
      </c>
      <c r="W1447">
        <v>0</v>
      </c>
      <c r="X1447">
        <v>0</v>
      </c>
      <c r="Y1447">
        <v>1</v>
      </c>
      <c r="Z1447">
        <v>0</v>
      </c>
      <c r="AA1447">
        <v>0</v>
      </c>
      <c r="AB1447">
        <v>0</v>
      </c>
      <c r="AC1447">
        <v>0</v>
      </c>
      <c r="AD1447">
        <v>0</v>
      </c>
      <c r="AE1447">
        <v>0</v>
      </c>
      <c r="AF1447">
        <v>0</v>
      </c>
      <c r="AG1447">
        <v>0</v>
      </c>
      <c r="AH1447">
        <v>0</v>
      </c>
      <c r="AI1447">
        <v>1</v>
      </c>
      <c r="AJ1447">
        <v>0</v>
      </c>
      <c r="AK1447">
        <v>0</v>
      </c>
      <c r="AL1447">
        <v>0</v>
      </c>
      <c r="AM1447">
        <v>0</v>
      </c>
      <c r="AN1447">
        <v>0</v>
      </c>
      <c r="AO1447">
        <v>0</v>
      </c>
      <c r="AP1447">
        <v>0</v>
      </c>
      <c r="AQ1447">
        <v>0</v>
      </c>
      <c r="AR1447">
        <v>0</v>
      </c>
      <c r="AS1447">
        <v>0</v>
      </c>
      <c r="AT1447">
        <v>0</v>
      </c>
      <c r="AU1447">
        <v>0</v>
      </c>
      <c r="AV1447">
        <v>0</v>
      </c>
      <c r="AW1447">
        <v>0</v>
      </c>
      <c r="AX1447" s="141">
        <f>COUNTIF(V1447:AW1447,"&lt;&gt;0")</f>
        <v>2</v>
      </c>
      <c r="AY1447" s="141">
        <f>COUNTIF(V1447:AL1447,"&lt;&gt;0")</f>
        <v>2</v>
      </c>
      <c r="AZ1447">
        <f>COUNTIF(V1447:AC1447,"&lt;&gt;0")</f>
        <v>1</v>
      </c>
      <c r="BA1447">
        <f>COUNTIF(AD1447:AI1447,"&lt;&gt;0")</f>
        <v>1</v>
      </c>
      <c r="BB1447">
        <f>COUNTIF(AJ1447:AL1447,"&lt;&gt;0")</f>
        <v>0</v>
      </c>
      <c r="BC1447">
        <f>COUNTIF(AS1447:AW1447,"&lt;&gt;0")</f>
        <v>0</v>
      </c>
      <c r="BD1447">
        <f>COUNTIF(AM1447:AR1447,"&lt;&gt;0")</f>
        <v>0</v>
      </c>
      <c r="BE1447" t="str" cm="1">
        <f t="array" ref="BE1447">IF(AY1447=1,INDEX($V$7:$AL$7,MATCH(TRUE,INDEX($V1447:$AW1447&lt;&gt;0,),0)),IF(AY1447=0,INDEX($AM$7:$AW$7,MATCH(1,$AM1447:$AW1447,0)),IF(BF1447="Multiple strategies","mixed drivers",IF(BF1447="Supply chain","multiple supply","multiple silviculture"))))</f>
        <v>mixed drivers</v>
      </c>
      <c r="BF1447" s="2" t="str" cm="1">
        <f t="array" ref="BF1447">IF(COUNTIF(AZ1447:BB1447,"&lt;&gt;0")=1,INDEX($V$4:$AW$4,MATCH(TRUE,INDEX($V1447:$AW1447&lt;&gt;0,),0)),IF(COUNTIF(AZ1447:BB1447,"&lt;&gt;0")=0,INDEX($AM$4:$AW$4,MATCH(1,$AM1447:$AW1447,0)),"Multiple strategies"))</f>
        <v>Multiple strategies</v>
      </c>
      <c r="BM1447" t="str">
        <f>IFERROR(BL1447/BK1447,"")</f>
        <v/>
      </c>
      <c r="BP1447" t="s">
        <v>232</v>
      </c>
      <c r="BR1447" t="s">
        <v>4044</v>
      </c>
      <c r="BS1447">
        <v>0.6</v>
      </c>
      <c r="BT1447">
        <v>0.51</v>
      </c>
      <c r="BU1447" s="144"/>
      <c r="BV1447">
        <f>BS1447-BT1447</f>
        <v>8.9999999999999969E-2</v>
      </c>
      <c r="BY1447" t="str">
        <f>IFERROR(BX1447/BO1447,"")</f>
        <v/>
      </c>
      <c r="BZ1447">
        <v>0</v>
      </c>
      <c r="CA1447">
        <v>0</v>
      </c>
      <c r="CB1447">
        <v>0</v>
      </c>
      <c r="CC1447">
        <v>0</v>
      </c>
      <c r="CD1447">
        <v>0</v>
      </c>
      <c r="CE1447">
        <v>0</v>
      </c>
      <c r="CF1447">
        <v>0</v>
      </c>
      <c r="CG1447">
        <v>0</v>
      </c>
      <c r="CH1447">
        <v>0</v>
      </c>
      <c r="CI1447">
        <v>0</v>
      </c>
      <c r="CJ1447">
        <v>0</v>
      </c>
      <c r="CK1447">
        <v>0</v>
      </c>
      <c r="CL1447">
        <v>0</v>
      </c>
      <c r="CM1447">
        <v>0</v>
      </c>
      <c r="CN1447" t="str">
        <f>IF($BL1447&lt;$BK1447,"refNeedCorrection","refOK")</f>
        <v>refOK</v>
      </c>
      <c r="CO1447"/>
      <c r="CP1447"/>
      <c r="CQ1447"/>
      <c r="CR1447">
        <f>IF($CN1447="refOK",$BS1447,$BT1447)*IF($BP1447="Emissions positive",-1,1)</f>
        <v>0.6</v>
      </c>
      <c r="CS1447">
        <f>IF($CN1447="refOK",$BT1447,$BS1447)*IF($BP1447="Emissions positive",-1,1)</f>
        <v>0.51</v>
      </c>
      <c r="CT1447">
        <f>IF($CN1447="refNeedCorrection",-BX1447,BX1447)*IF($BP1447="Emissions positive",-1,1)</f>
        <v>0</v>
      </c>
      <c r="CU1447" t="str">
        <f>IFERROR(CT1447/CQ1447,"")</f>
        <v/>
      </c>
      <c r="CV1447" s="2">
        <f>IFERROR((CS1447-CR1447)/ABS(CR1447),"")</f>
        <v>-0.14999999999999997</v>
      </c>
      <c r="CW1447" s="1" t="s">
        <v>2036</v>
      </c>
      <c r="CX1447" s="312" t="str">
        <f>IF(OR($CW1447="prd",$CW1447="std",$CW1447="cit"),"loc",IF(OR($CW1447="eur",$CW1447="reg",$CW1447="coy"),"reg",$CW1447))</f>
        <v>reg</v>
      </c>
      <c r="CY1447" t="s">
        <v>1301</v>
      </c>
      <c r="CZ1447">
        <v>1999</v>
      </c>
      <c r="DA1447">
        <v>2009</v>
      </c>
      <c r="DB1447">
        <v>11</v>
      </c>
      <c r="DC1447" t="str">
        <f>IF(DB1447=0,"0",IF(AND(DB1447&gt;=1,DB1447&lt;=30),"1-30",IF(AND(DB1447&gt;30,DB1447&lt;=70),"31-70",IF(AND(DB1447&gt;70,DB1447&lt;=100),"71-100",IF(DB1447&gt;100,"+100")))))</f>
        <v>1-30</v>
      </c>
      <c r="DD1447">
        <v>0</v>
      </c>
      <c r="DE1447">
        <v>1</v>
      </c>
      <c r="DF1447">
        <v>1</v>
      </c>
      <c r="DG1447">
        <v>1</v>
      </c>
      <c r="DH1447">
        <v>0</v>
      </c>
      <c r="DI1447">
        <f>SUM(DD1447:DH1447)</f>
        <v>3</v>
      </c>
      <c r="DJ1447" t="str">
        <f>IF(DI1447=1,INDEX($DD$7:$DG$7,MATCH(1,$DD1447:$DG1447,0)),"mixedProduct")</f>
        <v>mixedProduct</v>
      </c>
      <c r="DK1447">
        <f>IF(DD1447=1,DK$7,0)</f>
        <v>0</v>
      </c>
      <c r="DL1447" t="str">
        <f>IF(DE1447=1,DL$7,0)</f>
        <v>Energy</v>
      </c>
      <c r="DM1447" t="str">
        <f>IF(DF1447=1,DM$7,0)</f>
        <v>Pulp/Paper</v>
      </c>
      <c r="DN1447" t="str">
        <f>IF(DG1447=1,DN$7,0)</f>
        <v>Timber</v>
      </c>
      <c r="DO1447">
        <v>0</v>
      </c>
      <c r="DP1447">
        <v>0</v>
      </c>
      <c r="DQ1447">
        <v>0</v>
      </c>
      <c r="DR1447">
        <v>0</v>
      </c>
      <c r="DS1447">
        <v>0</v>
      </c>
      <c r="DT1447">
        <f>SUM(DO1447:DP1447)</f>
        <v>0</v>
      </c>
      <c r="DU1447" s="143" t="str">
        <f>IF(DO1447=1,"self-calculated DF",IF(DP1447=1,"external DF used","explicit C balance"))</f>
        <v>explicit C balance</v>
      </c>
      <c r="DV1447">
        <v>0</v>
      </c>
      <c r="DW1447">
        <v>0</v>
      </c>
      <c r="DX1447">
        <v>0</v>
      </c>
      <c r="DY1447">
        <v>1</v>
      </c>
      <c r="DZ1447">
        <v>1</v>
      </c>
      <c r="EA1447">
        <v>0</v>
      </c>
      <c r="EB1447">
        <v>0</v>
      </c>
      <c r="EC1447">
        <v>0</v>
      </c>
      <c r="ED1447">
        <v>0</v>
      </c>
      <c r="EE1447">
        <v>0</v>
      </c>
      <c r="EF1447">
        <v>1</v>
      </c>
      <c r="EG1447">
        <v>0</v>
      </c>
      <c r="EH1447">
        <v>0</v>
      </c>
      <c r="EI1447" s="2">
        <v>0</v>
      </c>
      <c r="EK1447" t="str">
        <f>IF(AND(AND(AND(OR($DX1447=1,$DW1447=1),OR($EC1447=1,$EA1447=1)),SUM($DV1447:$DZ1447,$EF1447)&gt;=3),SUM($EA1447:$EE1447)&gt;=2),"Whole sector","")</f>
        <v/>
      </c>
      <c r="EL1447" t="str">
        <f>IF(AND(AND(OR($DX1447=1,$DW1447=1),AND($EC1447=0,$EA1447=0)),SUM($DV1447:$DZ1447,$EF1447)&gt;=3),"Ecosystem approach","")</f>
        <v/>
      </c>
      <c r="EM1447" s="2" t="str">
        <f>IF(AND(AND(AND($DX1447=0,$DW1447=0),OR($EC1447=1,$EA1447=1)),SUM($EB1447:$EE1447)&gt;=2),"Technology approach","")</f>
        <v/>
      </c>
      <c r="EP1447" t="b">
        <f>IF(ISNUMBER(BU1447),IF(ABS(BU1447-[5]QC_indicators!$B$2)&gt;3*[5]QC_indicators!$C$2,"C ratio",IF(ISNUMBER(BY1447),IF(ABS(BY1447-[5]QC_indicators!$B$1)&gt;3*[5]QC_indicators!$C$1,"DF","no"))),IF(ISNUMBER(BY1447),IF(ABS(BY1447-[5]QC_indicators!$B$1)&gt;3*[5]QC_indicators!$C$1,"DF","no")))</f>
        <v>0</v>
      </c>
    </row>
    <row r="1448" spans="1:148" ht="15" customHeight="1">
      <c r="A1448" s="1" t="s">
        <v>4045</v>
      </c>
      <c r="B1448" t="s">
        <v>4046</v>
      </c>
      <c r="C1448" t="s">
        <v>4047</v>
      </c>
      <c r="D1448" t="s">
        <v>4048</v>
      </c>
      <c r="E1448" t="s">
        <v>4049</v>
      </c>
      <c r="F1448" t="s">
        <v>4050</v>
      </c>
      <c r="G1448" t="s">
        <v>4051</v>
      </c>
      <c r="H1448" t="s">
        <v>254</v>
      </c>
      <c r="I1448">
        <v>2020</v>
      </c>
      <c r="J1448">
        <v>2</v>
      </c>
      <c r="K1448" t="s">
        <v>4052</v>
      </c>
      <c r="M1448" t="str">
        <f>LEFT($D1448,FIND(",",$D1448)-1)&amp;"_"&amp;I1448&amp;L1448</f>
        <v>Rempelos_2020</v>
      </c>
      <c r="N1448" s="312" t="s">
        <v>4383</v>
      </c>
      <c r="O1448" s="171" t="s">
        <v>341</v>
      </c>
      <c r="P1448" t="s">
        <v>225</v>
      </c>
      <c r="Q1448" s="312" t="s">
        <v>389</v>
      </c>
      <c r="R1448" s="313"/>
      <c r="S1448" s="1" t="s">
        <v>4053</v>
      </c>
      <c r="T1448" t="s">
        <v>4054</v>
      </c>
      <c r="U1448" t="s">
        <v>4055</v>
      </c>
      <c r="V1448">
        <v>0</v>
      </c>
      <c r="W1448">
        <v>0</v>
      </c>
      <c r="X1448">
        <v>0</v>
      </c>
      <c r="Y1448">
        <v>0</v>
      </c>
      <c r="Z1448">
        <v>0</v>
      </c>
      <c r="AA1448">
        <v>0</v>
      </c>
      <c r="AB1448">
        <v>0</v>
      </c>
      <c r="AC1448">
        <v>0</v>
      </c>
      <c r="AD1448">
        <v>0</v>
      </c>
      <c r="AE1448">
        <v>0</v>
      </c>
      <c r="AF1448">
        <v>0</v>
      </c>
      <c r="AG1448">
        <v>0</v>
      </c>
      <c r="AH1448">
        <v>0</v>
      </c>
      <c r="AI1448">
        <v>0</v>
      </c>
      <c r="AJ1448">
        <v>0</v>
      </c>
      <c r="AK1448">
        <v>1</v>
      </c>
      <c r="AL1448">
        <v>0</v>
      </c>
      <c r="AM1448">
        <v>0</v>
      </c>
      <c r="AN1448">
        <v>0</v>
      </c>
      <c r="AO1448">
        <v>0</v>
      </c>
      <c r="AP1448">
        <v>0</v>
      </c>
      <c r="AQ1448">
        <v>0</v>
      </c>
      <c r="AR1448">
        <v>0</v>
      </c>
      <c r="AS1448">
        <v>0</v>
      </c>
      <c r="AT1448">
        <v>0</v>
      </c>
      <c r="AU1448">
        <v>0</v>
      </c>
      <c r="AV1448">
        <v>0</v>
      </c>
      <c r="AW1448">
        <v>0</v>
      </c>
      <c r="AX1448" s="141">
        <f>COUNTIF(V1448:AW1448,"&lt;&gt;0")</f>
        <v>1</v>
      </c>
      <c r="AY1448" s="141">
        <f>COUNTIF(V1448:AL1448,"&lt;&gt;0")</f>
        <v>1</v>
      </c>
      <c r="AZ1448">
        <f>COUNTIF(V1448:AC1448,"&lt;&gt;0")</f>
        <v>0</v>
      </c>
      <c r="BA1448">
        <f>COUNTIF(AD1448:AI1448,"&lt;&gt;0")</f>
        <v>0</v>
      </c>
      <c r="BB1448">
        <f>COUNTIF(AJ1448:AL1448,"&lt;&gt;0")</f>
        <v>1</v>
      </c>
      <c r="BC1448">
        <f>COUNTIF(AS1448:AW1448,"&lt;&gt;0")</f>
        <v>0</v>
      </c>
      <c r="BD1448">
        <f>COUNTIF(AM1448:AR1448,"&lt;&gt;0")</f>
        <v>0</v>
      </c>
      <c r="BE1448" t="str" cm="1">
        <f t="array" ref="BE1448">IF(AY1448=1,INDEX($V$7:$AL$7,MATCH(TRUE,INDEX($V1448:$AW1448&lt;&gt;0,),0)),IF(AY1448=0,INDEX($AM$7:$AW$7,MATCH(1,$AM1448:$AW1448,0)),IF(BF1448="Multiple strategies","mixed drivers",IF(BF1448="Supply chain","multiple supply","multiple silviculture"))))</f>
        <v>technologies/design switch</v>
      </c>
      <c r="BF1448" s="2" t="str" cm="1">
        <f t="array" ref="BF1448">IF(COUNTIF(AZ1448:BB1448,"&lt;&gt;0")=1,INDEX($V$4:$AW$4,MATCH(TRUE,INDEX($V1448:$AW1448&lt;&gt;0,),0)),IF(COUNTIF(AZ1448:BB1448,"&lt;&gt;0")=0,INDEX($AM$4:$AW$4,MATCH(1,$AM1448:$AW1448,0)),"Multiple strategies"))</f>
        <v>Technology</v>
      </c>
      <c r="BM1448" t="str">
        <f>IFERROR(BL1448/BK1448,"")</f>
        <v/>
      </c>
      <c r="BP1448" t="s">
        <v>395</v>
      </c>
      <c r="BQ1448" t="s">
        <v>4056</v>
      </c>
      <c r="BR1448" t="s">
        <v>4057</v>
      </c>
      <c r="BS1448">
        <v>335.9</v>
      </c>
      <c r="BT1448">
        <v>226.4</v>
      </c>
      <c r="BU1448" s="144">
        <f>BT1448/BS1448</f>
        <v>0.674010122060137</v>
      </c>
      <c r="BV1448">
        <f>BT1448-BS1448</f>
        <v>-109.49999999999997</v>
      </c>
      <c r="BY1448" t="str">
        <f>IFERROR(BX1448/BO1448,"")</f>
        <v/>
      </c>
      <c r="BZ1448">
        <v>0</v>
      </c>
      <c r="CA1448">
        <v>0</v>
      </c>
      <c r="CB1448">
        <v>0</v>
      </c>
      <c r="CC1448">
        <v>0</v>
      </c>
      <c r="CD1448">
        <v>0</v>
      </c>
      <c r="CE1448">
        <v>0</v>
      </c>
      <c r="CF1448">
        <v>0</v>
      </c>
      <c r="CG1448">
        <v>0</v>
      </c>
      <c r="CH1448">
        <v>0</v>
      </c>
      <c r="CI1448">
        <v>0</v>
      </c>
      <c r="CJ1448">
        <v>0</v>
      </c>
      <c r="CK1448">
        <v>0</v>
      </c>
      <c r="CL1448">
        <v>0</v>
      </c>
      <c r="CM1448">
        <v>0</v>
      </c>
      <c r="CN1448" t="str">
        <f>IF($BL1448&lt;$BK1448,"refNeedCorrection","refOK")</f>
        <v>refOK</v>
      </c>
      <c r="CO1448"/>
      <c r="CP1448"/>
      <c r="CQ1448"/>
      <c r="CR1448">
        <f>IF($CN1448="refOK",$BS1448,$BT1448)*IF($BP1448="Emissions positive",-1,1)</f>
        <v>-335.9</v>
      </c>
      <c r="CS1448">
        <f>IF($CN1448="refOK",$BT1448,$BS1448)*IF($BP1448="Emissions positive",-1,1)</f>
        <v>-226.4</v>
      </c>
      <c r="CT1448">
        <f>IF($CN1448="refNeedCorrection",-BX1448,BX1448)*IF($BP1448="Emissions positive",-1,1)</f>
        <v>0</v>
      </c>
      <c r="CU1448" t="str">
        <f>IFERROR(CT1448/CQ1448,"")</f>
        <v/>
      </c>
      <c r="CV1448" s="2">
        <f>IFERROR((CS1448-CR1448)/ABS(CR1448),"")</f>
        <v>0.325989877939863</v>
      </c>
      <c r="CW1448" s="1" t="s">
        <v>263</v>
      </c>
      <c r="CX1448" s="312" t="str">
        <f>IF(OR($CW1448="prd",$CW1448="std",$CW1448="cit"),"loc",IF(OR($CW1448="eur",$CW1448="reg",$CW1448="coy"),"reg",$CW1448))</f>
        <v>loc</v>
      </c>
      <c r="CY1448" t="s">
        <v>3494</v>
      </c>
      <c r="DB1448">
        <v>60</v>
      </c>
      <c r="DC1448" t="str">
        <f>IF(DB1448=0,"0",IF(AND(DB1448&gt;=1,DB1448&lt;=30),"1-30",IF(AND(DB1448&gt;30,DB1448&lt;=70),"31-70",IF(AND(DB1448&gt;70,DB1448&lt;=100),"71-100",IF(DB1448&gt;100,"+100")))))</f>
        <v>31-70</v>
      </c>
      <c r="DD1448">
        <v>0</v>
      </c>
      <c r="DE1448">
        <v>0</v>
      </c>
      <c r="DF1448">
        <v>0</v>
      </c>
      <c r="DG1448">
        <v>1</v>
      </c>
      <c r="DH1448">
        <v>1</v>
      </c>
      <c r="DI1448">
        <f>SUM(DD1448:DG1448)</f>
        <v>1</v>
      </c>
      <c r="DJ1448" t="str">
        <f>IF(DI1448=1,INDEX($DD$7:$DG$7,MATCH(1,$DD1448:$DG1448,0)),"mixedProduct")</f>
        <v>TimberInput</v>
      </c>
      <c r="DK1448">
        <f>IF(DD1448=1,DK$7,0)</f>
        <v>0</v>
      </c>
      <c r="DL1448">
        <f>IF(DE1448=1,DL$7,0)</f>
        <v>0</v>
      </c>
      <c r="DM1448">
        <f>IF(DF1448=1,DM$7,0)</f>
        <v>0</v>
      </c>
      <c r="DN1448" t="str">
        <f>IF(DG1448=1,DN$7,0)</f>
        <v>Timber</v>
      </c>
      <c r="DO1448">
        <v>1</v>
      </c>
      <c r="DP1448">
        <v>0</v>
      </c>
      <c r="DQ1448">
        <v>0</v>
      </c>
      <c r="DR1448">
        <v>0</v>
      </c>
      <c r="DS1448">
        <v>0</v>
      </c>
      <c r="DT1448">
        <f>SUM(DO1448:DP1448)</f>
        <v>1</v>
      </c>
      <c r="DU1448" s="143" t="str">
        <f>IF(DO1448=1,"self-calculated DF",IF(DP1448=1,"external DF used","explicit C balance"))</f>
        <v>self-calculated DF</v>
      </c>
      <c r="DV1448">
        <v>0</v>
      </c>
      <c r="DW1448">
        <v>0</v>
      </c>
      <c r="DX1448">
        <v>0</v>
      </c>
      <c r="DY1448">
        <v>0</v>
      </c>
      <c r="DZ1448">
        <v>0</v>
      </c>
      <c r="EA1448" s="143">
        <v>0</v>
      </c>
      <c r="EB1448">
        <v>0</v>
      </c>
      <c r="EC1448">
        <v>1</v>
      </c>
      <c r="ED1448">
        <v>1</v>
      </c>
      <c r="EE1448">
        <v>1</v>
      </c>
      <c r="EF1448">
        <v>0</v>
      </c>
      <c r="EG1448">
        <v>0</v>
      </c>
      <c r="EH1448">
        <v>0</v>
      </c>
      <c r="EI1448" s="2">
        <v>0</v>
      </c>
      <c r="EK1448" t="str">
        <f>IF(AND(AND(AND(OR($DX1448=1,$DW1448=1),OR($EC1448=1,$EA1448=1)),SUM($DV1448:$DZ1448,$EF1448)&gt;=3),SUM($EA1448:$EE1448)&gt;=2),"Whole sector","")</f>
        <v/>
      </c>
      <c r="EL1448" t="str">
        <f>IF(AND(AND(OR($DX1448=1,$DW1448=1),AND($EC1448=0,$EA1448=0)),SUM($DV1448:$DZ1448,$EF1448)&gt;=3),"Ecosystem approach","")</f>
        <v/>
      </c>
      <c r="EM1448" s="2" t="str">
        <f>IF(AND(AND(AND($DX1448=0,$DW1448=0),OR($EC1448=1,$EA1448=1)),SUM($EB1448:$EE1448)&gt;=2),"Technology approach","")</f>
        <v>Technology approach</v>
      </c>
      <c r="EP1448" t="b">
        <f>IF(ISNUMBER(BU1448),IF(ABS(BU1448-[5]QC_indicators!$B$2)&gt;3*[5]QC_indicators!$C$2,"C ratio",IF(ISNUMBER(BY1448),IF(ABS(BY1448-[5]QC_indicators!$B$1)&gt;3*[5]QC_indicators!$C$1,"DF","no"))),IF(ISNUMBER(BY1448),IF(ABS(BY1448-[5]QC_indicators!$B$1)&gt;3*[5]QC_indicators!$C$1,"DF","no")))</f>
        <v>0</v>
      </c>
    </row>
    <row r="1449" spans="1:148" ht="15" customHeight="1">
      <c r="A1449" s="1" t="s">
        <v>4045</v>
      </c>
      <c r="B1449" t="s">
        <v>4046</v>
      </c>
      <c r="C1449" t="s">
        <v>4047</v>
      </c>
      <c r="D1449" t="s">
        <v>4048</v>
      </c>
      <c r="E1449" t="s">
        <v>4049</v>
      </c>
      <c r="F1449" t="s">
        <v>4050</v>
      </c>
      <c r="G1449" t="s">
        <v>4051</v>
      </c>
      <c r="H1449" t="s">
        <v>254</v>
      </c>
      <c r="I1449">
        <v>2020</v>
      </c>
      <c r="J1449">
        <v>2</v>
      </c>
      <c r="K1449" t="s">
        <v>4052</v>
      </c>
      <c r="M1449" t="str">
        <f>LEFT($D1449,FIND(",",$D1449)-1)&amp;"_"&amp;I1449&amp;L1449</f>
        <v>Rempelos_2020</v>
      </c>
      <c r="N1449" s="312" t="s">
        <v>4383</v>
      </c>
      <c r="O1449" s="171" t="s">
        <v>341</v>
      </c>
      <c r="P1449" t="s">
        <v>225</v>
      </c>
      <c r="Q1449" s="312" t="s">
        <v>389</v>
      </c>
      <c r="R1449" s="313"/>
      <c r="S1449" s="1" t="s">
        <v>4058</v>
      </c>
      <c r="T1449" t="s">
        <v>4054</v>
      </c>
      <c r="U1449" t="s">
        <v>4055</v>
      </c>
      <c r="V1449">
        <v>0</v>
      </c>
      <c r="W1449">
        <v>0</v>
      </c>
      <c r="X1449">
        <v>0</v>
      </c>
      <c r="Y1449">
        <v>0</v>
      </c>
      <c r="Z1449">
        <v>0</v>
      </c>
      <c r="AA1449">
        <v>0</v>
      </c>
      <c r="AB1449">
        <v>0</v>
      </c>
      <c r="AC1449">
        <v>0</v>
      </c>
      <c r="AD1449">
        <v>0</v>
      </c>
      <c r="AE1449">
        <v>0</v>
      </c>
      <c r="AF1449">
        <v>0</v>
      </c>
      <c r="AG1449">
        <v>0</v>
      </c>
      <c r="AH1449">
        <v>0</v>
      </c>
      <c r="AI1449">
        <v>0</v>
      </c>
      <c r="AJ1449">
        <v>0</v>
      </c>
      <c r="AK1449">
        <v>1</v>
      </c>
      <c r="AL1449">
        <v>0</v>
      </c>
      <c r="AM1449">
        <v>0</v>
      </c>
      <c r="AN1449">
        <v>0</v>
      </c>
      <c r="AO1449">
        <v>0</v>
      </c>
      <c r="AP1449">
        <v>0</v>
      </c>
      <c r="AQ1449">
        <v>0</v>
      </c>
      <c r="AR1449">
        <v>0</v>
      </c>
      <c r="AS1449">
        <v>0</v>
      </c>
      <c r="AT1449">
        <v>0</v>
      </c>
      <c r="AU1449">
        <v>0</v>
      </c>
      <c r="AV1449">
        <v>0</v>
      </c>
      <c r="AW1449">
        <v>0</v>
      </c>
      <c r="AX1449" s="141">
        <f>COUNTIF(V1449:AW1449,"&lt;&gt;0")</f>
        <v>1</v>
      </c>
      <c r="AY1449" s="141">
        <f>COUNTIF(V1449:AL1449,"&lt;&gt;0")</f>
        <v>1</v>
      </c>
      <c r="AZ1449">
        <f>COUNTIF(V1449:AC1449,"&lt;&gt;0")</f>
        <v>0</v>
      </c>
      <c r="BA1449">
        <f>COUNTIF(AD1449:AI1449,"&lt;&gt;0")</f>
        <v>0</v>
      </c>
      <c r="BB1449">
        <f>COUNTIF(AJ1449:AL1449,"&lt;&gt;0")</f>
        <v>1</v>
      </c>
      <c r="BC1449">
        <f>COUNTIF(AS1449:AW1449,"&lt;&gt;0")</f>
        <v>0</v>
      </c>
      <c r="BD1449">
        <f>COUNTIF(AM1449:AR1449,"&lt;&gt;0")</f>
        <v>0</v>
      </c>
      <c r="BE1449" t="str" cm="1">
        <f t="array" ref="BE1449">IF(AY1449=1,INDEX($V$7:$AL$7,MATCH(TRUE,INDEX($V1449:$AW1449&lt;&gt;0,),0)),IF(AY1449=0,INDEX($AM$7:$AW$7,MATCH(1,$AM1449:$AW1449,0)),IF(BF1449="Multiple strategies","mixed drivers",IF(BF1449="Supply chain","multiple supply","multiple silviculture"))))</f>
        <v>technologies/design switch</v>
      </c>
      <c r="BF1449" s="2" t="str" cm="1">
        <f t="array" ref="BF1449">IF(COUNTIF(AZ1449:BB1449,"&lt;&gt;0")=1,INDEX($V$4:$AW$4,MATCH(TRUE,INDEX($V1449:$AW1449&lt;&gt;0,),0)),IF(COUNTIF(AZ1449:BB1449,"&lt;&gt;0")=0,INDEX($AM$4:$AW$4,MATCH(1,$AM1449:$AW1449,0)),"Multiple strategies"))</f>
        <v>Technology</v>
      </c>
      <c r="BM1449" t="str">
        <f>IFERROR(BL1449/BK1449,"")</f>
        <v/>
      </c>
      <c r="BP1449" t="s">
        <v>395</v>
      </c>
      <c r="BQ1449" t="s">
        <v>4056</v>
      </c>
      <c r="BR1449" t="s">
        <v>4057</v>
      </c>
      <c r="BS1449">
        <v>671.9</v>
      </c>
      <c r="BT1449">
        <v>490.9</v>
      </c>
      <c r="BU1449" s="144">
        <f>BT1449/BS1449</f>
        <v>0.73061467480279807</v>
      </c>
      <c r="BV1449">
        <f>BT1449-BS1449</f>
        <v>-181</v>
      </c>
      <c r="BY1449" t="str">
        <f>IFERROR(BX1449/BO1449,"")</f>
        <v/>
      </c>
      <c r="BZ1449">
        <v>0</v>
      </c>
      <c r="CA1449">
        <v>0</v>
      </c>
      <c r="CB1449">
        <v>0</v>
      </c>
      <c r="CC1449">
        <v>0</v>
      </c>
      <c r="CD1449">
        <v>0</v>
      </c>
      <c r="CE1449">
        <v>0</v>
      </c>
      <c r="CF1449">
        <v>0</v>
      </c>
      <c r="CG1449">
        <v>0</v>
      </c>
      <c r="CH1449">
        <v>0</v>
      </c>
      <c r="CI1449">
        <v>0</v>
      </c>
      <c r="CJ1449">
        <v>0</v>
      </c>
      <c r="CK1449">
        <v>0</v>
      </c>
      <c r="CL1449">
        <v>0</v>
      </c>
      <c r="CM1449">
        <v>0</v>
      </c>
      <c r="CN1449" t="str">
        <f>IF($BL1449&lt;$BK1449,"refNeedCorrection","refOK")</f>
        <v>refOK</v>
      </c>
      <c r="CO1449"/>
      <c r="CP1449"/>
      <c r="CQ1449"/>
      <c r="CR1449">
        <f>IF($CN1449="refOK",$BS1449,$BT1449)*IF($BP1449="Emissions positive",-1,1)</f>
        <v>-671.9</v>
      </c>
      <c r="CS1449">
        <f>IF($CN1449="refOK",$BT1449,$BS1449)*IF($BP1449="Emissions positive",-1,1)</f>
        <v>-490.9</v>
      </c>
      <c r="CT1449">
        <f>IF($CN1449="refNeedCorrection",-BX1449,BX1449)*IF($BP1449="Emissions positive",-1,1)</f>
        <v>0</v>
      </c>
      <c r="CU1449" t="str">
        <f>IFERROR(CT1449/CQ1449,"")</f>
        <v/>
      </c>
      <c r="CV1449" s="2">
        <f>IFERROR((CS1449-CR1449)/ABS(CR1449),"")</f>
        <v>0.26938532519720199</v>
      </c>
      <c r="CW1449" s="1" t="s">
        <v>263</v>
      </c>
      <c r="CX1449" s="312" t="str">
        <f>IF(OR($CW1449="prd",$CW1449="std",$CW1449="cit"),"loc",IF(OR($CW1449="eur",$CW1449="reg",$CW1449="coy"),"reg",$CW1449))</f>
        <v>loc</v>
      </c>
      <c r="CY1449" t="s">
        <v>3494</v>
      </c>
      <c r="DB1449">
        <v>60</v>
      </c>
      <c r="DC1449" t="str">
        <f>IF(DB1449=0,"0",IF(AND(DB1449&gt;=1,DB1449&lt;=30),"1-30",IF(AND(DB1449&gt;30,DB1449&lt;=70),"31-70",IF(AND(DB1449&gt;70,DB1449&lt;=100),"71-100",IF(DB1449&gt;100,"+100")))))</f>
        <v>31-70</v>
      </c>
      <c r="DD1449">
        <v>0</v>
      </c>
      <c r="DE1449">
        <v>0</v>
      </c>
      <c r="DF1449">
        <v>0</v>
      </c>
      <c r="DG1449">
        <v>1</v>
      </c>
      <c r="DH1449">
        <v>1</v>
      </c>
      <c r="DI1449">
        <f>SUM(DD1449:DG1449)</f>
        <v>1</v>
      </c>
      <c r="DJ1449" t="str">
        <f>IF(DI1449=1,INDEX($DD$7:$DG$7,MATCH(1,$DD1449:$DG1449,0)),"mixedProduct")</f>
        <v>TimberInput</v>
      </c>
      <c r="DK1449">
        <f>IF(DD1449=1,DK$7,0)</f>
        <v>0</v>
      </c>
      <c r="DL1449">
        <f>IF(DE1449=1,DL$7,0)</f>
        <v>0</v>
      </c>
      <c r="DM1449">
        <f>IF(DF1449=1,DM$7,0)</f>
        <v>0</v>
      </c>
      <c r="DN1449" t="str">
        <f>IF(DG1449=1,DN$7,0)</f>
        <v>Timber</v>
      </c>
      <c r="DO1449">
        <v>1</v>
      </c>
      <c r="DP1449">
        <v>0</v>
      </c>
      <c r="DQ1449">
        <v>0</v>
      </c>
      <c r="DR1449">
        <v>0</v>
      </c>
      <c r="DS1449">
        <v>0</v>
      </c>
      <c r="DT1449">
        <f>SUM(DO1449:DP1449)</f>
        <v>1</v>
      </c>
      <c r="DU1449" s="143" t="str">
        <f>IF(DO1449=1,"self-calculated DF",IF(DP1449=1,"external DF used","explicit C balance"))</f>
        <v>self-calculated DF</v>
      </c>
      <c r="DV1449">
        <v>0</v>
      </c>
      <c r="DW1449">
        <v>0</v>
      </c>
      <c r="DX1449">
        <v>0</v>
      </c>
      <c r="DY1449">
        <v>0</v>
      </c>
      <c r="DZ1449">
        <v>0</v>
      </c>
      <c r="EA1449" s="143">
        <v>0</v>
      </c>
      <c r="EB1449">
        <v>0</v>
      </c>
      <c r="EC1449">
        <v>1</v>
      </c>
      <c r="ED1449">
        <v>1</v>
      </c>
      <c r="EE1449">
        <v>1</v>
      </c>
      <c r="EF1449">
        <v>0</v>
      </c>
      <c r="EG1449">
        <v>0</v>
      </c>
      <c r="EH1449">
        <v>0</v>
      </c>
      <c r="EI1449" s="2">
        <v>0</v>
      </c>
      <c r="EK1449" t="str">
        <f>IF(AND(AND(AND(OR($DX1449=1,$DW1449=1),OR($EC1449=1,$EA1449=1)),SUM($DV1449:$DZ1449,$EF1449)&gt;=3),SUM($EA1449:$EE1449)&gt;=2),"Whole sector","")</f>
        <v/>
      </c>
      <c r="EL1449" t="str">
        <f>IF(AND(AND(OR($DX1449=1,$DW1449=1),AND($EC1449=0,$EA1449=0)),SUM($DV1449:$DZ1449,$EF1449)&gt;=3),"Ecosystem approach","")</f>
        <v/>
      </c>
      <c r="EM1449" s="2" t="str">
        <f>IF(AND(AND(AND($DX1449=0,$DW1449=0),OR($EC1449=1,$EA1449=1)),SUM($EB1449:$EE1449)&gt;=2),"Technology approach","")</f>
        <v>Technology approach</v>
      </c>
      <c r="EP1449" t="b">
        <f>IF(ISNUMBER(BU1449),IF(ABS(BU1449-[5]QC_indicators!$B$2)&gt;3*[5]QC_indicators!$C$2,"C ratio",IF(ISNUMBER(BY1449),IF(ABS(BY1449-[5]QC_indicators!$B$1)&gt;3*[5]QC_indicators!$C$1,"DF","no"))),IF(ISNUMBER(BY1449),IF(ABS(BY1449-[5]QC_indicators!$B$1)&gt;3*[5]QC_indicators!$C$1,"DF","no")))</f>
        <v>0</v>
      </c>
    </row>
    <row r="1450" spans="1:148" ht="15" customHeight="1">
      <c r="A1450" s="1" t="s">
        <v>4045</v>
      </c>
      <c r="B1450" t="s">
        <v>4046</v>
      </c>
      <c r="C1450" t="s">
        <v>4047</v>
      </c>
      <c r="D1450" t="s">
        <v>4048</v>
      </c>
      <c r="E1450" t="s">
        <v>4049</v>
      </c>
      <c r="F1450" t="s">
        <v>4050</v>
      </c>
      <c r="G1450" t="s">
        <v>4051</v>
      </c>
      <c r="H1450" t="s">
        <v>254</v>
      </c>
      <c r="I1450">
        <v>2020</v>
      </c>
      <c r="J1450">
        <v>2</v>
      </c>
      <c r="K1450" t="s">
        <v>4052</v>
      </c>
      <c r="M1450" t="str">
        <f>LEFT($D1450,FIND(",",$D1450)-1)&amp;"_"&amp;I1450&amp;L1450</f>
        <v>Rempelos_2020</v>
      </c>
      <c r="N1450" s="312" t="s">
        <v>4383</v>
      </c>
      <c r="O1450" s="171" t="s">
        <v>341</v>
      </c>
      <c r="P1450" t="s">
        <v>225</v>
      </c>
      <c r="Q1450" s="312" t="s">
        <v>389</v>
      </c>
      <c r="R1450" s="313"/>
      <c r="S1450" s="1" t="s">
        <v>4053</v>
      </c>
      <c r="T1450" t="s">
        <v>258</v>
      </c>
      <c r="U1450" t="s">
        <v>4055</v>
      </c>
      <c r="V1450">
        <v>0</v>
      </c>
      <c r="W1450">
        <v>0</v>
      </c>
      <c r="X1450">
        <v>0</v>
      </c>
      <c r="Y1450">
        <v>0</v>
      </c>
      <c r="Z1450">
        <v>0</v>
      </c>
      <c r="AA1450">
        <v>0</v>
      </c>
      <c r="AB1450">
        <v>0</v>
      </c>
      <c r="AC1450">
        <v>0</v>
      </c>
      <c r="AD1450">
        <v>0</v>
      </c>
      <c r="AE1450">
        <v>0</v>
      </c>
      <c r="AF1450">
        <v>0</v>
      </c>
      <c r="AG1450">
        <v>0</v>
      </c>
      <c r="AH1450">
        <v>0</v>
      </c>
      <c r="AI1450">
        <v>0</v>
      </c>
      <c r="AJ1450">
        <v>0</v>
      </c>
      <c r="AK1450">
        <v>1</v>
      </c>
      <c r="AL1450">
        <v>0</v>
      </c>
      <c r="AM1450">
        <v>0</v>
      </c>
      <c r="AN1450">
        <v>0</v>
      </c>
      <c r="AO1450">
        <v>0</v>
      </c>
      <c r="AP1450">
        <v>0</v>
      </c>
      <c r="AQ1450">
        <v>0</v>
      </c>
      <c r="AR1450">
        <v>0</v>
      </c>
      <c r="AS1450">
        <v>0</v>
      </c>
      <c r="AT1450">
        <v>0</v>
      </c>
      <c r="AU1450">
        <v>0</v>
      </c>
      <c r="AV1450">
        <v>0</v>
      </c>
      <c r="AW1450">
        <v>0</v>
      </c>
      <c r="AX1450" s="141">
        <f>COUNTIF(V1450:AW1450,"&lt;&gt;0")</f>
        <v>1</v>
      </c>
      <c r="AY1450" s="141">
        <f>COUNTIF(V1450:AL1450,"&lt;&gt;0")</f>
        <v>1</v>
      </c>
      <c r="AZ1450">
        <f>COUNTIF(V1450:AC1450,"&lt;&gt;0")</f>
        <v>0</v>
      </c>
      <c r="BA1450">
        <f>COUNTIF(AD1450:AI1450,"&lt;&gt;0")</f>
        <v>0</v>
      </c>
      <c r="BB1450">
        <f>COUNTIF(AJ1450:AL1450,"&lt;&gt;0")</f>
        <v>1</v>
      </c>
      <c r="BC1450">
        <f>COUNTIF(AS1450:AW1450,"&lt;&gt;0")</f>
        <v>0</v>
      </c>
      <c r="BD1450">
        <f>COUNTIF(AM1450:AR1450,"&lt;&gt;0")</f>
        <v>0</v>
      </c>
      <c r="BE1450" t="str" cm="1">
        <f t="array" ref="BE1450">IF(AY1450=1,INDEX($V$7:$AL$7,MATCH(TRUE,INDEX($V1450:$AW1450&lt;&gt;0,),0)),IF(AY1450=0,INDEX($AM$7:$AW$7,MATCH(1,$AM1450:$AW1450,0)),IF(BF1450="Multiple strategies","mixed drivers",IF(BF1450="Supply chain","multiple supply","multiple silviculture"))))</f>
        <v>technologies/design switch</v>
      </c>
      <c r="BF1450" s="2" t="str" cm="1">
        <f t="array" ref="BF1450">IF(COUNTIF(AZ1450:BB1450,"&lt;&gt;0")=1,INDEX($V$4:$AW$4,MATCH(TRUE,INDEX($V1450:$AW1450&lt;&gt;0,),0)),IF(COUNTIF(AZ1450:BB1450,"&lt;&gt;0")=0,INDEX($AM$4:$AW$4,MATCH(1,$AM1450:$AW1450,0)),"Multiple strategies"))</f>
        <v>Technology</v>
      </c>
      <c r="BM1450" t="str">
        <f>IFERROR(BL1450/BK1450,"")</f>
        <v/>
      </c>
      <c r="BP1450" t="s">
        <v>395</v>
      </c>
      <c r="BQ1450" t="s">
        <v>4056</v>
      </c>
      <c r="BR1450" t="s">
        <v>4057</v>
      </c>
      <c r="BS1450">
        <v>239.6</v>
      </c>
      <c r="BT1450">
        <v>226.4</v>
      </c>
      <c r="BU1450" s="144">
        <f>BT1450/BS1450</f>
        <v>0.94490818030050083</v>
      </c>
      <c r="BV1450">
        <f>BT1450-BS1450</f>
        <v>-13.199999999999989</v>
      </c>
      <c r="BY1450" t="str">
        <f>IFERROR(BX1450/BO1450,"")</f>
        <v/>
      </c>
      <c r="BZ1450">
        <v>0</v>
      </c>
      <c r="CA1450">
        <v>0</v>
      </c>
      <c r="CB1450">
        <v>0</v>
      </c>
      <c r="CC1450">
        <v>0</v>
      </c>
      <c r="CD1450">
        <v>0</v>
      </c>
      <c r="CE1450">
        <v>0</v>
      </c>
      <c r="CF1450">
        <v>0</v>
      </c>
      <c r="CG1450">
        <v>0</v>
      </c>
      <c r="CH1450">
        <v>0</v>
      </c>
      <c r="CI1450">
        <v>0</v>
      </c>
      <c r="CJ1450">
        <v>0</v>
      </c>
      <c r="CK1450">
        <v>0</v>
      </c>
      <c r="CL1450">
        <v>0</v>
      </c>
      <c r="CM1450">
        <v>0</v>
      </c>
      <c r="CN1450" t="str">
        <f>IF($BL1450&lt;$BK1450,"refNeedCorrection","refOK")</f>
        <v>refOK</v>
      </c>
      <c r="CO1450"/>
      <c r="CP1450"/>
      <c r="CQ1450"/>
      <c r="CR1450">
        <f>IF($CN1450="refOK",$BS1450,$BT1450)*IF($BP1450="Emissions positive",-1,1)</f>
        <v>-239.6</v>
      </c>
      <c r="CS1450">
        <f>IF($CN1450="refOK",$BT1450,$BS1450)*IF($BP1450="Emissions positive",-1,1)</f>
        <v>-226.4</v>
      </c>
      <c r="CT1450">
        <f>IF($CN1450="refNeedCorrection",-BX1450,BX1450)*IF($BP1450="Emissions positive",-1,1)</f>
        <v>0</v>
      </c>
      <c r="CU1450" t="str">
        <f>IFERROR(CT1450/CQ1450,"")</f>
        <v/>
      </c>
      <c r="CV1450" s="2">
        <f>IFERROR((CS1450-CR1450)/ABS(CR1450),"")</f>
        <v>5.5091819699499119E-2</v>
      </c>
      <c r="CW1450" s="1" t="s">
        <v>263</v>
      </c>
      <c r="CX1450" s="312" t="str">
        <f>IF(OR($CW1450="prd",$CW1450="std",$CW1450="cit"),"loc",IF(OR($CW1450="eur",$CW1450="reg",$CW1450="coy"),"reg",$CW1450))</f>
        <v>loc</v>
      </c>
      <c r="CY1450" t="s">
        <v>3494</v>
      </c>
      <c r="DB1450">
        <v>60</v>
      </c>
      <c r="DC1450" t="str">
        <f>IF(DB1450=0,"0",IF(AND(DB1450&gt;=1,DB1450&lt;=30),"1-30",IF(AND(DB1450&gt;30,DB1450&lt;=70),"31-70",IF(AND(DB1450&gt;70,DB1450&lt;=100),"71-100",IF(DB1450&gt;100,"+100")))))</f>
        <v>31-70</v>
      </c>
      <c r="DD1450">
        <v>0</v>
      </c>
      <c r="DE1450">
        <v>0</v>
      </c>
      <c r="DF1450">
        <v>0</v>
      </c>
      <c r="DG1450">
        <v>1</v>
      </c>
      <c r="DH1450">
        <v>1</v>
      </c>
      <c r="DI1450">
        <f>SUM(DD1450:DG1450)</f>
        <v>1</v>
      </c>
      <c r="DJ1450" t="str">
        <f>IF(DI1450=1,INDEX($DD$7:$DG$7,MATCH(1,$DD1450:$DG1450,0)),"mixedProduct")</f>
        <v>TimberInput</v>
      </c>
      <c r="DK1450">
        <f>IF(DD1450=1,DK$7,0)</f>
        <v>0</v>
      </c>
      <c r="DL1450">
        <f>IF(DE1450=1,DL$7,0)</f>
        <v>0</v>
      </c>
      <c r="DM1450">
        <f>IF(DF1450=1,DM$7,0)</f>
        <v>0</v>
      </c>
      <c r="DN1450" t="str">
        <f>IF(DG1450=1,DN$7,0)</f>
        <v>Timber</v>
      </c>
      <c r="DO1450">
        <v>1</v>
      </c>
      <c r="DP1450">
        <v>0</v>
      </c>
      <c r="DQ1450">
        <v>0</v>
      </c>
      <c r="DR1450">
        <v>0</v>
      </c>
      <c r="DS1450">
        <v>0</v>
      </c>
      <c r="DT1450">
        <f>SUM(DO1450:DP1450)</f>
        <v>1</v>
      </c>
      <c r="DU1450" s="143" t="str">
        <f>IF(DO1450=1,"self-calculated DF",IF(DP1450=1,"external DF used","explicit C balance"))</f>
        <v>self-calculated DF</v>
      </c>
      <c r="DV1450">
        <v>0</v>
      </c>
      <c r="DW1450">
        <v>0</v>
      </c>
      <c r="DX1450">
        <v>0</v>
      </c>
      <c r="DY1450">
        <v>0</v>
      </c>
      <c r="DZ1450">
        <v>0</v>
      </c>
      <c r="EA1450" s="143">
        <v>0</v>
      </c>
      <c r="EB1450">
        <v>0</v>
      </c>
      <c r="EC1450">
        <v>1</v>
      </c>
      <c r="ED1450">
        <v>1</v>
      </c>
      <c r="EE1450">
        <v>1</v>
      </c>
      <c r="EF1450">
        <v>0</v>
      </c>
      <c r="EG1450">
        <v>0</v>
      </c>
      <c r="EH1450">
        <v>0</v>
      </c>
      <c r="EI1450" s="2">
        <v>0</v>
      </c>
      <c r="EK1450" t="str">
        <f>IF(AND(AND(AND(OR($DX1450=1,$DW1450=1),OR($EC1450=1,$EA1450=1)),SUM($DV1450:$DZ1450,$EF1450)&gt;=3),SUM($EA1450:$EE1450)&gt;=2),"Whole sector","")</f>
        <v/>
      </c>
      <c r="EL1450" t="str">
        <f>IF(AND(AND(OR($DX1450=1,$DW1450=1),AND($EC1450=0,$EA1450=0)),SUM($DV1450:$DZ1450,$EF1450)&gt;=3),"Ecosystem approach","")</f>
        <v/>
      </c>
      <c r="EM1450" s="2" t="str">
        <f>IF(AND(AND(AND($DX1450=0,$DW1450=0),OR($EC1450=1,$EA1450=1)),SUM($EB1450:$EE1450)&gt;=2),"Technology approach","")</f>
        <v>Technology approach</v>
      </c>
      <c r="EP1450" t="b">
        <f>IF(ISNUMBER(BU1450),IF(ABS(BU1450-[5]QC_indicators!$B$2)&gt;3*[5]QC_indicators!$C$2,"C ratio",IF(ISNUMBER(BY1450),IF(ABS(BY1450-[5]QC_indicators!$B$1)&gt;3*[5]QC_indicators!$C$1,"DF","no"))),IF(ISNUMBER(BY1450),IF(ABS(BY1450-[5]QC_indicators!$B$1)&gt;3*[5]QC_indicators!$C$1,"DF","no")))</f>
        <v>0</v>
      </c>
    </row>
    <row r="1451" spans="1:148" ht="15" customHeight="1">
      <c r="A1451" s="1" t="s">
        <v>4045</v>
      </c>
      <c r="B1451" t="s">
        <v>4046</v>
      </c>
      <c r="C1451" t="s">
        <v>4047</v>
      </c>
      <c r="D1451" t="s">
        <v>4048</v>
      </c>
      <c r="E1451" t="s">
        <v>4049</v>
      </c>
      <c r="F1451" t="s">
        <v>4050</v>
      </c>
      <c r="G1451" t="s">
        <v>4051</v>
      </c>
      <c r="H1451" t="s">
        <v>254</v>
      </c>
      <c r="I1451">
        <v>2020</v>
      </c>
      <c r="J1451">
        <v>2</v>
      </c>
      <c r="K1451" t="s">
        <v>4052</v>
      </c>
      <c r="M1451" t="str">
        <f>LEFT($D1451,FIND(",",$D1451)-1)&amp;"_"&amp;I1451&amp;L1451</f>
        <v>Rempelos_2020</v>
      </c>
      <c r="N1451" s="312" t="s">
        <v>4383</v>
      </c>
      <c r="O1451" s="171" t="s">
        <v>341</v>
      </c>
      <c r="P1451" t="s">
        <v>225</v>
      </c>
      <c r="Q1451" s="312" t="s">
        <v>389</v>
      </c>
      <c r="R1451" s="313"/>
      <c r="S1451" s="1" t="s">
        <v>4058</v>
      </c>
      <c r="T1451" t="s">
        <v>258</v>
      </c>
      <c r="U1451" t="s">
        <v>4055</v>
      </c>
      <c r="V1451">
        <v>0</v>
      </c>
      <c r="W1451">
        <v>0</v>
      </c>
      <c r="X1451">
        <v>0</v>
      </c>
      <c r="Y1451">
        <v>0</v>
      </c>
      <c r="Z1451">
        <v>0</v>
      </c>
      <c r="AA1451">
        <v>0</v>
      </c>
      <c r="AB1451">
        <v>0</v>
      </c>
      <c r="AC1451">
        <v>0</v>
      </c>
      <c r="AD1451">
        <v>0</v>
      </c>
      <c r="AE1451">
        <v>0</v>
      </c>
      <c r="AF1451">
        <v>0</v>
      </c>
      <c r="AG1451">
        <v>0</v>
      </c>
      <c r="AH1451">
        <v>0</v>
      </c>
      <c r="AI1451">
        <v>0</v>
      </c>
      <c r="AJ1451">
        <v>0</v>
      </c>
      <c r="AK1451">
        <v>1</v>
      </c>
      <c r="AL1451">
        <v>0</v>
      </c>
      <c r="AM1451">
        <v>0</v>
      </c>
      <c r="AN1451">
        <v>0</v>
      </c>
      <c r="AO1451">
        <v>0</v>
      </c>
      <c r="AP1451">
        <v>0</v>
      </c>
      <c r="AQ1451">
        <v>0</v>
      </c>
      <c r="AR1451">
        <v>0</v>
      </c>
      <c r="AS1451">
        <v>0</v>
      </c>
      <c r="AT1451">
        <v>0</v>
      </c>
      <c r="AU1451">
        <v>0</v>
      </c>
      <c r="AV1451">
        <v>0</v>
      </c>
      <c r="AW1451">
        <v>0</v>
      </c>
      <c r="AX1451" s="141">
        <f>COUNTIF(V1451:AW1451,"&lt;&gt;0")</f>
        <v>1</v>
      </c>
      <c r="AY1451" s="141">
        <f>COUNTIF(V1451:AL1451,"&lt;&gt;0")</f>
        <v>1</v>
      </c>
      <c r="AZ1451">
        <f>COUNTIF(V1451:AC1451,"&lt;&gt;0")</f>
        <v>0</v>
      </c>
      <c r="BA1451">
        <f>COUNTIF(AD1451:AI1451,"&lt;&gt;0")</f>
        <v>0</v>
      </c>
      <c r="BB1451">
        <f>COUNTIF(AJ1451:AL1451,"&lt;&gt;0")</f>
        <v>1</v>
      </c>
      <c r="BC1451">
        <f>COUNTIF(AS1451:AW1451,"&lt;&gt;0")</f>
        <v>0</v>
      </c>
      <c r="BD1451">
        <f>COUNTIF(AM1451:AR1451,"&lt;&gt;0")</f>
        <v>0</v>
      </c>
      <c r="BE1451" t="str" cm="1">
        <f t="array" ref="BE1451">IF(AY1451=1,INDEX($V$7:$AL$7,MATCH(TRUE,INDEX($V1451:$AW1451&lt;&gt;0,),0)),IF(AY1451=0,INDEX($AM$7:$AW$7,MATCH(1,$AM1451:$AW1451,0)),IF(BF1451="Multiple strategies","mixed drivers",IF(BF1451="Supply chain","multiple supply","multiple silviculture"))))</f>
        <v>technologies/design switch</v>
      </c>
      <c r="BF1451" s="2" t="str" cm="1">
        <f t="array" ref="BF1451">IF(COUNTIF(AZ1451:BB1451,"&lt;&gt;0")=1,INDEX($V$4:$AW$4,MATCH(TRUE,INDEX($V1451:$AW1451&lt;&gt;0,),0)),IF(COUNTIF(AZ1451:BB1451,"&lt;&gt;0")=0,INDEX($AM$4:$AW$4,MATCH(1,$AM1451:$AW1451,0)),"Multiple strategies"))</f>
        <v>Technology</v>
      </c>
      <c r="BM1451" t="str">
        <f>IFERROR(BL1451/BK1451,"")</f>
        <v/>
      </c>
      <c r="BP1451" t="s">
        <v>395</v>
      </c>
      <c r="BQ1451" t="s">
        <v>4056</v>
      </c>
      <c r="BR1451" t="s">
        <v>4057</v>
      </c>
      <c r="BS1451">
        <v>362.1</v>
      </c>
      <c r="BT1451">
        <v>490.9</v>
      </c>
      <c r="BU1451" s="144">
        <f>BT1451/BS1451</f>
        <v>1.3557028445180888</v>
      </c>
      <c r="BV1451">
        <f>BT1451-BS1451</f>
        <v>128.79999999999995</v>
      </c>
      <c r="BY1451" t="str">
        <f>IFERROR(BX1451/BO1451,"")</f>
        <v/>
      </c>
      <c r="BZ1451">
        <v>0</v>
      </c>
      <c r="CA1451">
        <v>0</v>
      </c>
      <c r="CB1451">
        <v>0</v>
      </c>
      <c r="CC1451">
        <v>0</v>
      </c>
      <c r="CD1451">
        <v>0</v>
      </c>
      <c r="CE1451">
        <v>0</v>
      </c>
      <c r="CF1451">
        <v>0</v>
      </c>
      <c r="CG1451">
        <v>0</v>
      </c>
      <c r="CH1451">
        <v>0</v>
      </c>
      <c r="CI1451">
        <v>0</v>
      </c>
      <c r="CJ1451">
        <v>0</v>
      </c>
      <c r="CK1451">
        <v>0</v>
      </c>
      <c r="CL1451">
        <v>0</v>
      </c>
      <c r="CM1451">
        <v>0</v>
      </c>
      <c r="CN1451" t="str">
        <f>IF($BL1451&lt;$BK1451,"refNeedCorrection","refOK")</f>
        <v>refOK</v>
      </c>
      <c r="CO1451"/>
      <c r="CP1451"/>
      <c r="CQ1451"/>
      <c r="CR1451">
        <f>IF($CN1451="refOK",$BS1451,$BT1451)*IF($BP1451="Emissions positive",-1,1)</f>
        <v>-362.1</v>
      </c>
      <c r="CS1451">
        <f>IF($CN1451="refOK",$BT1451,$BS1451)*IF($BP1451="Emissions positive",-1,1)</f>
        <v>-490.9</v>
      </c>
      <c r="CT1451">
        <f>IF($CN1451="refNeedCorrection",-BX1451,BX1451)*IF($BP1451="Emissions positive",-1,1)</f>
        <v>0</v>
      </c>
      <c r="CU1451" t="str">
        <f>IFERROR(CT1451/CQ1451,"")</f>
        <v/>
      </c>
      <c r="CV1451" s="2">
        <f>IFERROR((CS1451-CR1451)/ABS(CR1451),"")</f>
        <v>-0.35570284451808876</v>
      </c>
      <c r="CW1451" s="1" t="s">
        <v>263</v>
      </c>
      <c r="CX1451" s="312" t="str">
        <f>IF(OR($CW1451="prd",$CW1451="std",$CW1451="cit"),"loc",IF(OR($CW1451="eur",$CW1451="reg",$CW1451="coy"),"reg",$CW1451))</f>
        <v>loc</v>
      </c>
      <c r="CY1451" t="s">
        <v>3494</v>
      </c>
      <c r="DB1451">
        <v>60</v>
      </c>
      <c r="DC1451" t="str">
        <f>IF(DB1451=0,"0",IF(AND(DB1451&gt;=1,DB1451&lt;=30),"1-30",IF(AND(DB1451&gt;30,DB1451&lt;=70),"31-70",IF(AND(DB1451&gt;70,DB1451&lt;=100),"71-100",IF(DB1451&gt;100,"+100")))))</f>
        <v>31-70</v>
      </c>
      <c r="DD1451">
        <v>0</v>
      </c>
      <c r="DE1451">
        <v>0</v>
      </c>
      <c r="DF1451">
        <v>0</v>
      </c>
      <c r="DG1451">
        <v>1</v>
      </c>
      <c r="DH1451">
        <v>1</v>
      </c>
      <c r="DI1451">
        <f>SUM(DD1451:DG1451)</f>
        <v>1</v>
      </c>
      <c r="DJ1451" t="str">
        <f>IF(DI1451=1,INDEX($DD$7:$DG$7,MATCH(1,$DD1451:$DG1451,0)),"mixedProduct")</f>
        <v>TimberInput</v>
      </c>
      <c r="DK1451">
        <f>IF(DD1451=1,DK$7,0)</f>
        <v>0</v>
      </c>
      <c r="DL1451">
        <f>IF(DE1451=1,DL$7,0)</f>
        <v>0</v>
      </c>
      <c r="DM1451">
        <f>IF(DF1451=1,DM$7,0)</f>
        <v>0</v>
      </c>
      <c r="DN1451" t="str">
        <f>IF(DG1451=1,DN$7,0)</f>
        <v>Timber</v>
      </c>
      <c r="DO1451">
        <v>1</v>
      </c>
      <c r="DP1451">
        <v>0</v>
      </c>
      <c r="DQ1451">
        <v>0</v>
      </c>
      <c r="DR1451">
        <v>0</v>
      </c>
      <c r="DS1451">
        <v>0</v>
      </c>
      <c r="DT1451">
        <f>SUM(DO1451:DP1451)</f>
        <v>1</v>
      </c>
      <c r="DU1451" s="143" t="str">
        <f>IF(DO1451=1,"self-calculated DF",IF(DP1451=1,"external DF used","explicit C balance"))</f>
        <v>self-calculated DF</v>
      </c>
      <c r="DV1451">
        <v>0</v>
      </c>
      <c r="DW1451">
        <v>0</v>
      </c>
      <c r="DX1451">
        <v>0</v>
      </c>
      <c r="DY1451">
        <v>0</v>
      </c>
      <c r="DZ1451">
        <v>0</v>
      </c>
      <c r="EA1451" s="143">
        <v>0</v>
      </c>
      <c r="EB1451">
        <v>0</v>
      </c>
      <c r="EC1451">
        <v>1</v>
      </c>
      <c r="ED1451">
        <v>1</v>
      </c>
      <c r="EE1451">
        <v>1</v>
      </c>
      <c r="EF1451">
        <v>0</v>
      </c>
      <c r="EG1451">
        <v>0</v>
      </c>
      <c r="EH1451">
        <v>0</v>
      </c>
      <c r="EI1451" s="2">
        <v>0</v>
      </c>
      <c r="EK1451" t="str">
        <f>IF(AND(AND(AND(OR($DX1451=1,$DW1451=1),OR($EC1451=1,$EA1451=1)),SUM($DV1451:$DZ1451,$EF1451)&gt;=3),SUM($EA1451:$EE1451)&gt;=2),"Whole sector","")</f>
        <v/>
      </c>
      <c r="EL1451" t="str">
        <f>IF(AND(AND(OR($DX1451=1,$DW1451=1),AND($EC1451=0,$EA1451=0)),SUM($DV1451:$DZ1451,$EF1451)&gt;=3),"Ecosystem approach","")</f>
        <v/>
      </c>
      <c r="EM1451" s="2" t="str">
        <f>IF(AND(AND(AND($DX1451=0,$DW1451=0),OR($EC1451=1,$EA1451=1)),SUM($EB1451:$EE1451)&gt;=2),"Technology approach","")</f>
        <v>Technology approach</v>
      </c>
      <c r="EP1451" t="b">
        <f>IF(ISNUMBER(BU1451),IF(ABS(BU1451-[5]QC_indicators!$B$2)&gt;3*[5]QC_indicators!$C$2,"C ratio",IF(ISNUMBER(BY1451),IF(ABS(BY1451-[5]QC_indicators!$B$1)&gt;3*[5]QC_indicators!$C$1,"DF","no"))),IF(ISNUMBER(BY1451),IF(ABS(BY1451-[5]QC_indicators!$B$1)&gt;3*[5]QC_indicators!$C$1,"DF","no")))</f>
        <v>0</v>
      </c>
    </row>
    <row r="1452" spans="1:148" ht="15" customHeight="1">
      <c r="A1452" s="1" t="s">
        <v>4045</v>
      </c>
      <c r="B1452" t="s">
        <v>4046</v>
      </c>
      <c r="C1452" t="s">
        <v>4047</v>
      </c>
      <c r="D1452" t="s">
        <v>4048</v>
      </c>
      <c r="E1452" t="s">
        <v>4049</v>
      </c>
      <c r="F1452" t="s">
        <v>4050</v>
      </c>
      <c r="G1452" t="s">
        <v>4051</v>
      </c>
      <c r="H1452" t="s">
        <v>254</v>
      </c>
      <c r="I1452">
        <v>2020</v>
      </c>
      <c r="J1452">
        <v>2</v>
      </c>
      <c r="K1452" t="s">
        <v>4052</v>
      </c>
      <c r="M1452" t="str">
        <f>LEFT($D1452,FIND(",",$D1452)-1)&amp;"_"&amp;I1452&amp;L1452</f>
        <v>Rempelos_2020</v>
      </c>
      <c r="N1452" s="312" t="s">
        <v>4383</v>
      </c>
      <c r="O1452" s="171" t="s">
        <v>341</v>
      </c>
      <c r="P1452" t="s">
        <v>225</v>
      </c>
      <c r="Q1452" s="312" t="s">
        <v>389</v>
      </c>
      <c r="R1452" s="313"/>
      <c r="S1452" s="1" t="s">
        <v>4053</v>
      </c>
      <c r="T1452" t="s">
        <v>795</v>
      </c>
      <c r="U1452" t="s">
        <v>4059</v>
      </c>
      <c r="V1452">
        <v>0</v>
      </c>
      <c r="W1452">
        <v>0</v>
      </c>
      <c r="X1452">
        <v>0</v>
      </c>
      <c r="Y1452">
        <v>0</v>
      </c>
      <c r="Z1452">
        <v>0</v>
      </c>
      <c r="AA1452">
        <v>0</v>
      </c>
      <c r="AB1452">
        <v>0</v>
      </c>
      <c r="AC1452">
        <v>0</v>
      </c>
      <c r="AD1452">
        <v>0</v>
      </c>
      <c r="AE1452">
        <v>0</v>
      </c>
      <c r="AF1452">
        <v>0</v>
      </c>
      <c r="AG1452">
        <v>0</v>
      </c>
      <c r="AH1452">
        <v>0</v>
      </c>
      <c r="AI1452">
        <v>0</v>
      </c>
      <c r="AJ1452">
        <v>0</v>
      </c>
      <c r="AK1452">
        <v>1</v>
      </c>
      <c r="AL1452">
        <v>0</v>
      </c>
      <c r="AM1452">
        <v>0</v>
      </c>
      <c r="AN1452">
        <v>0</v>
      </c>
      <c r="AO1452">
        <v>0</v>
      </c>
      <c r="AP1452">
        <v>0</v>
      </c>
      <c r="AQ1452">
        <v>0</v>
      </c>
      <c r="AR1452">
        <v>0</v>
      </c>
      <c r="AS1452">
        <v>0</v>
      </c>
      <c r="AT1452">
        <v>0</v>
      </c>
      <c r="AU1452">
        <v>0</v>
      </c>
      <c r="AV1452">
        <v>0</v>
      </c>
      <c r="AW1452">
        <v>0</v>
      </c>
      <c r="AX1452" s="141">
        <f>COUNTIF(V1452:AW1452,"&lt;&gt;0")</f>
        <v>1</v>
      </c>
      <c r="AY1452" s="141">
        <f>COUNTIF(V1452:AL1452,"&lt;&gt;0")</f>
        <v>1</v>
      </c>
      <c r="AZ1452">
        <f>COUNTIF(V1452:AC1452,"&lt;&gt;0")</f>
        <v>0</v>
      </c>
      <c r="BA1452">
        <f>COUNTIF(AD1452:AI1452,"&lt;&gt;0")</f>
        <v>0</v>
      </c>
      <c r="BB1452">
        <f>COUNTIF(AJ1452:AL1452,"&lt;&gt;0")</f>
        <v>1</v>
      </c>
      <c r="BC1452">
        <f>COUNTIF(AS1452:AW1452,"&lt;&gt;0")</f>
        <v>0</v>
      </c>
      <c r="BD1452">
        <f>COUNTIF(AM1452:AR1452,"&lt;&gt;0")</f>
        <v>0</v>
      </c>
      <c r="BE1452" t="str" cm="1">
        <f t="array" ref="BE1452">IF(AY1452=1,INDEX($V$7:$AL$7,MATCH(TRUE,INDEX($V1452:$AW1452&lt;&gt;0,),0)),IF(AY1452=0,INDEX($AM$7:$AW$7,MATCH(1,$AM1452:$AW1452,0)),IF(BF1452="Multiple strategies","mixed drivers",IF(BF1452="Supply chain","multiple supply","multiple silviculture"))))</f>
        <v>technologies/design switch</v>
      </c>
      <c r="BF1452" s="2" t="str" cm="1">
        <f t="array" ref="BF1452">IF(COUNTIF(AZ1452:BB1452,"&lt;&gt;0")=1,INDEX($V$4:$AW$4,MATCH(TRUE,INDEX($V1452:$AW1452&lt;&gt;0,),0)),IF(COUNTIF(AZ1452:BB1452,"&lt;&gt;0")=0,INDEX($AM$4:$AW$4,MATCH(1,$AM1452:$AW1452,0)),"Multiple strategies"))</f>
        <v>Technology</v>
      </c>
      <c r="BM1452" t="str">
        <f>IFERROR(BL1452/BK1452,"")</f>
        <v/>
      </c>
      <c r="BP1452" t="s">
        <v>395</v>
      </c>
      <c r="BQ1452" t="s">
        <v>4056</v>
      </c>
      <c r="BR1452" t="s">
        <v>4057</v>
      </c>
      <c r="BS1452">
        <v>335.9</v>
      </c>
      <c r="BT1452">
        <v>143</v>
      </c>
      <c r="BU1452" s="144">
        <f>BT1452/BS1452</f>
        <v>0.42572194105388511</v>
      </c>
      <c r="BV1452">
        <f>BT1452-BS1452</f>
        <v>-192.89999999999998</v>
      </c>
      <c r="BY1452" t="str">
        <f>IFERROR(BX1452/BO1452,"")</f>
        <v/>
      </c>
      <c r="BZ1452">
        <v>0</v>
      </c>
      <c r="CA1452">
        <v>0</v>
      </c>
      <c r="CB1452">
        <v>0</v>
      </c>
      <c r="CC1452">
        <v>0</v>
      </c>
      <c r="CD1452">
        <v>0</v>
      </c>
      <c r="CE1452">
        <v>0</v>
      </c>
      <c r="CF1452">
        <v>0</v>
      </c>
      <c r="CG1452">
        <v>0</v>
      </c>
      <c r="CH1452">
        <v>0</v>
      </c>
      <c r="CI1452">
        <v>0</v>
      </c>
      <c r="CJ1452">
        <v>0</v>
      </c>
      <c r="CK1452">
        <v>0</v>
      </c>
      <c r="CL1452">
        <v>0</v>
      </c>
      <c r="CM1452">
        <v>0</v>
      </c>
      <c r="CN1452" t="str">
        <f>IF($BL1452&lt;$BK1452,"refNeedCorrection","refOK")</f>
        <v>refOK</v>
      </c>
      <c r="CO1452"/>
      <c r="CP1452"/>
      <c r="CQ1452"/>
      <c r="CR1452">
        <f>IF($CN1452="refOK",$BS1452,$BT1452)*IF($BP1452="Emissions positive",-1,1)</f>
        <v>-335.9</v>
      </c>
      <c r="CS1452">
        <f>IF($CN1452="refOK",$BT1452,$BS1452)*IF($BP1452="Emissions positive",-1,1)</f>
        <v>-143</v>
      </c>
      <c r="CT1452">
        <f>IF($CN1452="refNeedCorrection",-BX1452,BX1452)*IF($BP1452="Emissions positive",-1,1)</f>
        <v>0</v>
      </c>
      <c r="CU1452" t="str">
        <f>IFERROR(CT1452/CQ1452,"")</f>
        <v/>
      </c>
      <c r="CV1452" s="2">
        <f>IFERROR((CS1452-CR1452)/ABS(CR1452),"")</f>
        <v>0.57427805894611483</v>
      </c>
      <c r="CW1452" s="1" t="s">
        <v>263</v>
      </c>
      <c r="CX1452" s="312" t="str">
        <f>IF(OR($CW1452="prd",$CW1452="std",$CW1452="cit"),"loc",IF(OR($CW1452="eur",$CW1452="reg",$CW1452="coy"),"reg",$CW1452))</f>
        <v>loc</v>
      </c>
      <c r="CY1452" t="s">
        <v>3494</v>
      </c>
      <c r="DB1452">
        <v>60</v>
      </c>
      <c r="DC1452" t="str">
        <f>IF(DB1452=0,"0",IF(AND(DB1452&gt;=1,DB1452&lt;=30),"1-30",IF(AND(DB1452&gt;30,DB1452&lt;=70),"31-70",IF(AND(DB1452&gt;70,DB1452&lt;=100),"71-100",IF(DB1452&gt;100,"+100")))))</f>
        <v>31-70</v>
      </c>
      <c r="DD1452">
        <v>0</v>
      </c>
      <c r="DE1452">
        <v>0</v>
      </c>
      <c r="DF1452">
        <v>0</v>
      </c>
      <c r="DG1452">
        <v>1</v>
      </c>
      <c r="DH1452">
        <v>1</v>
      </c>
      <c r="DI1452">
        <f>SUM(DD1452:DG1452)</f>
        <v>1</v>
      </c>
      <c r="DJ1452" t="str">
        <f>IF(DI1452=1,INDEX($DD$7:$DG$7,MATCH(1,$DD1452:$DG1452,0)),"mixedProduct")</f>
        <v>TimberInput</v>
      </c>
      <c r="DK1452">
        <f>IF(DD1452=1,DK$7,0)</f>
        <v>0</v>
      </c>
      <c r="DL1452">
        <f>IF(DE1452=1,DL$7,0)</f>
        <v>0</v>
      </c>
      <c r="DM1452">
        <f>IF(DF1452=1,DM$7,0)</f>
        <v>0</v>
      </c>
      <c r="DN1452" t="str">
        <f>IF(DG1452=1,DN$7,0)</f>
        <v>Timber</v>
      </c>
      <c r="DO1452">
        <v>1</v>
      </c>
      <c r="DP1452">
        <v>0</v>
      </c>
      <c r="DQ1452">
        <v>0</v>
      </c>
      <c r="DR1452">
        <v>0</v>
      </c>
      <c r="DS1452">
        <v>0</v>
      </c>
      <c r="DT1452">
        <f>SUM(DO1452:DP1452)</f>
        <v>1</v>
      </c>
      <c r="DU1452" s="143" t="str">
        <f>IF(DO1452=1,"self-calculated DF",IF(DP1452=1,"external DF used","explicit C balance"))</f>
        <v>self-calculated DF</v>
      </c>
      <c r="DV1452">
        <v>0</v>
      </c>
      <c r="DW1452">
        <v>0</v>
      </c>
      <c r="DX1452">
        <v>0</v>
      </c>
      <c r="DY1452">
        <v>0</v>
      </c>
      <c r="DZ1452">
        <v>0</v>
      </c>
      <c r="EA1452" s="143">
        <v>0</v>
      </c>
      <c r="EB1452">
        <v>0</v>
      </c>
      <c r="EC1452">
        <v>1</v>
      </c>
      <c r="ED1452">
        <v>1</v>
      </c>
      <c r="EE1452">
        <v>1</v>
      </c>
      <c r="EF1452">
        <v>0</v>
      </c>
      <c r="EG1452">
        <v>0</v>
      </c>
      <c r="EH1452">
        <v>0</v>
      </c>
      <c r="EI1452" s="2">
        <v>0</v>
      </c>
      <c r="EK1452" t="str">
        <f>IF(AND(AND(AND(OR($DX1452=1,$DW1452=1),OR($EC1452=1,$EA1452=1)),SUM($DV1452:$DZ1452,$EF1452)&gt;=3),SUM($EA1452:$EE1452)&gt;=2),"Whole sector","")</f>
        <v/>
      </c>
      <c r="EL1452" t="str">
        <f>IF(AND(AND(OR($DX1452=1,$DW1452=1),AND($EC1452=0,$EA1452=0)),SUM($DV1452:$DZ1452,$EF1452)&gt;=3),"Ecosystem approach","")</f>
        <v/>
      </c>
      <c r="EM1452" s="2" t="str">
        <f>IF(AND(AND(AND($DX1452=0,$DW1452=0),OR($EC1452=1,$EA1452=1)),SUM($EB1452:$EE1452)&gt;=2),"Technology approach","")</f>
        <v>Technology approach</v>
      </c>
      <c r="EP1452" t="b">
        <f>IF(ISNUMBER(BU1452),IF(ABS(BU1452-[5]QC_indicators!$B$2)&gt;3*[5]QC_indicators!$C$2,"C ratio",IF(ISNUMBER(BY1452),IF(ABS(BY1452-[5]QC_indicators!$B$1)&gt;3*[5]QC_indicators!$C$1,"DF","no"))),IF(ISNUMBER(BY1452),IF(ABS(BY1452-[5]QC_indicators!$B$1)&gt;3*[5]QC_indicators!$C$1,"DF","no")))</f>
        <v>0</v>
      </c>
    </row>
    <row r="1453" spans="1:148" ht="15" customHeight="1">
      <c r="A1453" s="1" t="s">
        <v>4045</v>
      </c>
      <c r="B1453" t="s">
        <v>4046</v>
      </c>
      <c r="C1453" t="s">
        <v>4047</v>
      </c>
      <c r="D1453" t="s">
        <v>4048</v>
      </c>
      <c r="E1453" t="s">
        <v>4049</v>
      </c>
      <c r="F1453" t="s">
        <v>4050</v>
      </c>
      <c r="G1453" t="s">
        <v>4051</v>
      </c>
      <c r="H1453" t="s">
        <v>254</v>
      </c>
      <c r="I1453">
        <v>2020</v>
      </c>
      <c r="J1453">
        <v>2</v>
      </c>
      <c r="K1453" t="s">
        <v>4052</v>
      </c>
      <c r="M1453" t="str">
        <f>LEFT($D1453,FIND(",",$D1453)-1)&amp;"_"&amp;I1453&amp;L1453</f>
        <v>Rempelos_2020</v>
      </c>
      <c r="N1453" s="312" t="s">
        <v>4383</v>
      </c>
      <c r="O1453" s="171" t="s">
        <v>341</v>
      </c>
      <c r="P1453" t="s">
        <v>225</v>
      </c>
      <c r="Q1453" s="312" t="s">
        <v>389</v>
      </c>
      <c r="R1453" s="313"/>
      <c r="S1453" s="1" t="s">
        <v>4053</v>
      </c>
      <c r="T1453" t="s">
        <v>258</v>
      </c>
      <c r="U1453" t="s">
        <v>4059</v>
      </c>
      <c r="V1453">
        <v>0</v>
      </c>
      <c r="W1453">
        <v>0</v>
      </c>
      <c r="X1453">
        <v>0</v>
      </c>
      <c r="Y1453">
        <v>0</v>
      </c>
      <c r="Z1453">
        <v>0</v>
      </c>
      <c r="AA1453">
        <v>0</v>
      </c>
      <c r="AB1453">
        <v>0</v>
      </c>
      <c r="AC1453">
        <v>0</v>
      </c>
      <c r="AD1453">
        <v>0</v>
      </c>
      <c r="AE1453">
        <v>0</v>
      </c>
      <c r="AF1453">
        <v>0</v>
      </c>
      <c r="AG1453">
        <v>0</v>
      </c>
      <c r="AH1453">
        <v>0</v>
      </c>
      <c r="AI1453">
        <v>0</v>
      </c>
      <c r="AJ1453">
        <v>0</v>
      </c>
      <c r="AK1453">
        <v>1</v>
      </c>
      <c r="AL1453">
        <v>0</v>
      </c>
      <c r="AM1453">
        <v>0</v>
      </c>
      <c r="AN1453">
        <v>0</v>
      </c>
      <c r="AO1453">
        <v>0</v>
      </c>
      <c r="AP1453">
        <v>0</v>
      </c>
      <c r="AQ1453">
        <v>0</v>
      </c>
      <c r="AR1453">
        <v>0</v>
      </c>
      <c r="AS1453">
        <v>0</v>
      </c>
      <c r="AT1453">
        <v>0</v>
      </c>
      <c r="AU1453">
        <v>0</v>
      </c>
      <c r="AV1453">
        <v>0</v>
      </c>
      <c r="AW1453">
        <v>0</v>
      </c>
      <c r="AX1453" s="141">
        <f>COUNTIF(V1453:AW1453,"&lt;&gt;0")</f>
        <v>1</v>
      </c>
      <c r="AY1453" s="141">
        <f>COUNTIF(V1453:AL1453,"&lt;&gt;0")</f>
        <v>1</v>
      </c>
      <c r="AZ1453">
        <f>COUNTIF(V1453:AC1453,"&lt;&gt;0")</f>
        <v>0</v>
      </c>
      <c r="BA1453">
        <f>COUNTIF(AD1453:AI1453,"&lt;&gt;0")</f>
        <v>0</v>
      </c>
      <c r="BB1453">
        <f>COUNTIF(AJ1453:AL1453,"&lt;&gt;0")</f>
        <v>1</v>
      </c>
      <c r="BC1453">
        <f>COUNTIF(AS1453:AW1453,"&lt;&gt;0")</f>
        <v>0</v>
      </c>
      <c r="BD1453">
        <f>COUNTIF(AM1453:AR1453,"&lt;&gt;0")</f>
        <v>0</v>
      </c>
      <c r="BE1453" t="str" cm="1">
        <f t="array" ref="BE1453">IF(AY1453=1,INDEX($V$7:$AL$7,MATCH(TRUE,INDEX($V1453:$AW1453&lt;&gt;0,),0)),IF(AY1453=0,INDEX($AM$7:$AW$7,MATCH(1,$AM1453:$AW1453,0)),IF(BF1453="Multiple strategies","mixed drivers",IF(BF1453="Supply chain","multiple supply","multiple silviculture"))))</f>
        <v>technologies/design switch</v>
      </c>
      <c r="BF1453" s="2" t="str" cm="1">
        <f t="array" ref="BF1453">IF(COUNTIF(AZ1453:BB1453,"&lt;&gt;0")=1,INDEX($V$4:$AW$4,MATCH(TRUE,INDEX($V1453:$AW1453&lt;&gt;0,),0)),IF(COUNTIF(AZ1453:BB1453,"&lt;&gt;0")=0,INDEX($AM$4:$AW$4,MATCH(1,$AM1453:$AW1453,0)),"Multiple strategies"))</f>
        <v>Technology</v>
      </c>
      <c r="BM1453" t="str">
        <f>IFERROR(BL1453/BK1453,"")</f>
        <v/>
      </c>
      <c r="BP1453" t="s">
        <v>395</v>
      </c>
      <c r="BQ1453" t="s">
        <v>4056</v>
      </c>
      <c r="BR1453" t="s">
        <v>4057</v>
      </c>
      <c r="BS1453">
        <v>239.6</v>
      </c>
      <c r="BT1453">
        <v>143</v>
      </c>
      <c r="BU1453" s="144">
        <f>BT1453/BS1453</f>
        <v>0.59682804674457435</v>
      </c>
      <c r="BV1453">
        <f>BT1453-BS1453</f>
        <v>-96.6</v>
      </c>
      <c r="BY1453" t="str">
        <f>IFERROR(BX1453/BO1453,"")</f>
        <v/>
      </c>
      <c r="BZ1453">
        <v>0</v>
      </c>
      <c r="CA1453">
        <v>0</v>
      </c>
      <c r="CB1453">
        <v>0</v>
      </c>
      <c r="CC1453">
        <v>0</v>
      </c>
      <c r="CD1453">
        <v>0</v>
      </c>
      <c r="CE1453">
        <v>0</v>
      </c>
      <c r="CF1453">
        <v>0</v>
      </c>
      <c r="CG1453">
        <v>0</v>
      </c>
      <c r="CH1453">
        <v>0</v>
      </c>
      <c r="CI1453">
        <v>0</v>
      </c>
      <c r="CJ1453">
        <v>0</v>
      </c>
      <c r="CK1453">
        <v>0</v>
      </c>
      <c r="CL1453">
        <v>0</v>
      </c>
      <c r="CM1453">
        <v>0</v>
      </c>
      <c r="CN1453" t="str">
        <f>IF($BL1453&lt;$BK1453,"refNeedCorrection","refOK")</f>
        <v>refOK</v>
      </c>
      <c r="CO1453"/>
      <c r="CP1453"/>
      <c r="CQ1453"/>
      <c r="CR1453">
        <f>IF($CN1453="refOK",$BS1453,$BT1453)*IF($BP1453="Emissions positive",-1,1)</f>
        <v>-239.6</v>
      </c>
      <c r="CS1453">
        <f>IF($CN1453="refOK",$BT1453,$BS1453)*IF($BP1453="Emissions positive",-1,1)</f>
        <v>-143</v>
      </c>
      <c r="CT1453">
        <f>IF($CN1453="refNeedCorrection",-BX1453,BX1453)*IF($BP1453="Emissions positive",-1,1)</f>
        <v>0</v>
      </c>
      <c r="CU1453" t="str">
        <f>IFERROR(CT1453/CQ1453,"")</f>
        <v/>
      </c>
      <c r="CV1453" s="2">
        <f>IFERROR((CS1453-CR1453)/ABS(CR1453),"")</f>
        <v>0.40317195325542571</v>
      </c>
      <c r="CW1453" s="1" t="s">
        <v>263</v>
      </c>
      <c r="CX1453" s="312" t="str">
        <f>IF(OR($CW1453="prd",$CW1453="std",$CW1453="cit"),"loc",IF(OR($CW1453="eur",$CW1453="reg",$CW1453="coy"),"reg",$CW1453))</f>
        <v>loc</v>
      </c>
      <c r="CY1453" t="s">
        <v>3494</v>
      </c>
      <c r="DB1453">
        <v>60</v>
      </c>
      <c r="DC1453" t="str">
        <f>IF(DB1453=0,"0",IF(AND(DB1453&gt;=1,DB1453&lt;=30),"1-30",IF(AND(DB1453&gt;30,DB1453&lt;=70),"31-70",IF(AND(DB1453&gt;70,DB1453&lt;=100),"71-100",IF(DB1453&gt;100,"+100")))))</f>
        <v>31-70</v>
      </c>
      <c r="DD1453">
        <v>0</v>
      </c>
      <c r="DE1453">
        <v>0</v>
      </c>
      <c r="DF1453">
        <v>0</v>
      </c>
      <c r="DG1453">
        <v>1</v>
      </c>
      <c r="DH1453">
        <v>1</v>
      </c>
      <c r="DI1453">
        <f>SUM(DD1453:DG1453)</f>
        <v>1</v>
      </c>
      <c r="DJ1453" t="str">
        <f>IF(DI1453=1,INDEX($DD$7:$DG$7,MATCH(1,$DD1453:$DG1453,0)),"mixedProduct")</f>
        <v>TimberInput</v>
      </c>
      <c r="DK1453">
        <f>IF(DD1453=1,DK$7,0)</f>
        <v>0</v>
      </c>
      <c r="DL1453">
        <f>IF(DE1453=1,DL$7,0)</f>
        <v>0</v>
      </c>
      <c r="DM1453">
        <f>IF(DF1453=1,DM$7,0)</f>
        <v>0</v>
      </c>
      <c r="DN1453" t="str">
        <f>IF(DG1453=1,DN$7,0)</f>
        <v>Timber</v>
      </c>
      <c r="DO1453">
        <v>1</v>
      </c>
      <c r="DP1453">
        <v>0</v>
      </c>
      <c r="DQ1453">
        <v>0</v>
      </c>
      <c r="DR1453">
        <v>0</v>
      </c>
      <c r="DS1453">
        <v>0</v>
      </c>
      <c r="DT1453">
        <f>SUM(DO1453:DP1453)</f>
        <v>1</v>
      </c>
      <c r="DU1453" s="143" t="str">
        <f>IF(DO1453=1,"self-calculated DF",IF(DP1453=1,"external DF used","explicit C balance"))</f>
        <v>self-calculated DF</v>
      </c>
      <c r="DV1453">
        <v>0</v>
      </c>
      <c r="DW1453">
        <v>0</v>
      </c>
      <c r="DX1453">
        <v>0</v>
      </c>
      <c r="DY1453">
        <v>0</v>
      </c>
      <c r="DZ1453">
        <v>0</v>
      </c>
      <c r="EA1453" s="143">
        <v>0</v>
      </c>
      <c r="EB1453">
        <v>0</v>
      </c>
      <c r="EC1453">
        <v>1</v>
      </c>
      <c r="ED1453">
        <v>1</v>
      </c>
      <c r="EE1453">
        <v>1</v>
      </c>
      <c r="EF1453">
        <v>0</v>
      </c>
      <c r="EG1453">
        <v>0</v>
      </c>
      <c r="EH1453">
        <v>0</v>
      </c>
      <c r="EI1453" s="2">
        <v>0</v>
      </c>
      <c r="EK1453" t="str">
        <f>IF(AND(AND(AND(OR($DX1453=1,$DW1453=1),OR($EC1453=1,$EA1453=1)),SUM($DV1453:$DZ1453,$EF1453)&gt;=3),SUM($EA1453:$EE1453)&gt;=2),"Whole sector","")</f>
        <v/>
      </c>
      <c r="EL1453" t="str">
        <f>IF(AND(AND(OR($DX1453=1,$DW1453=1),AND($EC1453=0,$EA1453=0)),SUM($DV1453:$DZ1453,$EF1453)&gt;=3),"Ecosystem approach","")</f>
        <v/>
      </c>
      <c r="EM1453" s="2" t="str">
        <f>IF(AND(AND(AND($DX1453=0,$DW1453=0),OR($EC1453=1,$EA1453=1)),SUM($EB1453:$EE1453)&gt;=2),"Technology approach","")</f>
        <v>Technology approach</v>
      </c>
      <c r="EP1453" t="b">
        <f>IF(ISNUMBER(BU1453),IF(ABS(BU1453-[5]QC_indicators!$B$2)&gt;3*[5]QC_indicators!$C$2,"C ratio",IF(ISNUMBER(BY1453),IF(ABS(BY1453-[5]QC_indicators!$B$1)&gt;3*[5]QC_indicators!$C$1,"DF","no"))),IF(ISNUMBER(BY1453),IF(ABS(BY1453-[5]QC_indicators!$B$1)&gt;3*[5]QC_indicators!$C$1,"DF","no")))</f>
        <v>0</v>
      </c>
    </row>
    <row r="1454" spans="1:148" ht="15" customHeight="1">
      <c r="A1454" s="1" t="s">
        <v>4045</v>
      </c>
      <c r="B1454" t="s">
        <v>4046</v>
      </c>
      <c r="C1454" t="s">
        <v>4047</v>
      </c>
      <c r="D1454" t="s">
        <v>4048</v>
      </c>
      <c r="E1454" t="s">
        <v>4049</v>
      </c>
      <c r="F1454" t="s">
        <v>4050</v>
      </c>
      <c r="G1454" t="s">
        <v>4051</v>
      </c>
      <c r="H1454" t="s">
        <v>254</v>
      </c>
      <c r="I1454">
        <v>2020</v>
      </c>
      <c r="J1454">
        <v>2</v>
      </c>
      <c r="K1454" t="s">
        <v>4052</v>
      </c>
      <c r="M1454" t="str">
        <f>LEFT($D1454,FIND(",",$D1454)-1)&amp;"_"&amp;I1454&amp;L1454</f>
        <v>Rempelos_2020</v>
      </c>
      <c r="N1454" s="312" t="s">
        <v>4383</v>
      </c>
      <c r="O1454" s="171" t="s">
        <v>341</v>
      </c>
      <c r="P1454" t="s">
        <v>225</v>
      </c>
      <c r="Q1454" s="312" t="s">
        <v>389</v>
      </c>
      <c r="R1454" s="313"/>
      <c r="S1454" s="1" t="s">
        <v>4058</v>
      </c>
      <c r="T1454" t="s">
        <v>795</v>
      </c>
      <c r="U1454" t="s">
        <v>4059</v>
      </c>
      <c r="V1454">
        <v>0</v>
      </c>
      <c r="W1454">
        <v>0</v>
      </c>
      <c r="X1454">
        <v>0</v>
      </c>
      <c r="Y1454">
        <v>0</v>
      </c>
      <c r="Z1454">
        <v>0</v>
      </c>
      <c r="AA1454">
        <v>0</v>
      </c>
      <c r="AB1454">
        <v>0</v>
      </c>
      <c r="AC1454">
        <v>0</v>
      </c>
      <c r="AD1454">
        <v>0</v>
      </c>
      <c r="AE1454">
        <v>0</v>
      </c>
      <c r="AF1454">
        <v>0</v>
      </c>
      <c r="AG1454">
        <v>0</v>
      </c>
      <c r="AH1454">
        <v>0</v>
      </c>
      <c r="AI1454">
        <v>0</v>
      </c>
      <c r="AJ1454">
        <v>0</v>
      </c>
      <c r="AK1454">
        <v>1</v>
      </c>
      <c r="AL1454">
        <v>0</v>
      </c>
      <c r="AM1454">
        <v>0</v>
      </c>
      <c r="AN1454">
        <v>0</v>
      </c>
      <c r="AO1454">
        <v>0</v>
      </c>
      <c r="AP1454">
        <v>0</v>
      </c>
      <c r="AQ1454">
        <v>0</v>
      </c>
      <c r="AR1454">
        <v>0</v>
      </c>
      <c r="AS1454">
        <v>0</v>
      </c>
      <c r="AT1454">
        <v>0</v>
      </c>
      <c r="AU1454">
        <v>0</v>
      </c>
      <c r="AV1454">
        <v>0</v>
      </c>
      <c r="AW1454">
        <v>0</v>
      </c>
      <c r="AX1454" s="141">
        <f>COUNTIF(V1454:AW1454,"&lt;&gt;0")</f>
        <v>1</v>
      </c>
      <c r="AY1454" s="141">
        <f>COUNTIF(V1454:AL1454,"&lt;&gt;0")</f>
        <v>1</v>
      </c>
      <c r="AZ1454">
        <f>COUNTIF(V1454:AC1454,"&lt;&gt;0")</f>
        <v>0</v>
      </c>
      <c r="BA1454">
        <f>COUNTIF(AD1454:AI1454,"&lt;&gt;0")</f>
        <v>0</v>
      </c>
      <c r="BB1454">
        <f>COUNTIF(AJ1454:AL1454,"&lt;&gt;0")</f>
        <v>1</v>
      </c>
      <c r="BC1454">
        <f>COUNTIF(AS1454:AW1454,"&lt;&gt;0")</f>
        <v>0</v>
      </c>
      <c r="BD1454">
        <f>COUNTIF(AM1454:AR1454,"&lt;&gt;0")</f>
        <v>0</v>
      </c>
      <c r="BE1454" t="str" cm="1">
        <f t="array" ref="BE1454">IF(AY1454=1,INDEX($V$7:$AL$7,MATCH(TRUE,INDEX($V1454:$AW1454&lt;&gt;0,),0)),IF(AY1454=0,INDEX($AM$7:$AW$7,MATCH(1,$AM1454:$AW1454,0)),IF(BF1454="Multiple strategies","mixed drivers",IF(BF1454="Supply chain","multiple supply","multiple silviculture"))))</f>
        <v>technologies/design switch</v>
      </c>
      <c r="BF1454" s="2" t="str" cm="1">
        <f t="array" ref="BF1454">IF(COUNTIF(AZ1454:BB1454,"&lt;&gt;0")=1,INDEX($V$4:$AW$4,MATCH(TRUE,INDEX($V1454:$AW1454&lt;&gt;0,),0)),IF(COUNTIF(AZ1454:BB1454,"&lt;&gt;0")=0,INDEX($AM$4:$AW$4,MATCH(1,$AM1454:$AW1454,0)),"Multiple strategies"))</f>
        <v>Technology</v>
      </c>
      <c r="BM1454" t="str">
        <f>IFERROR(BL1454/BK1454,"")</f>
        <v/>
      </c>
      <c r="BP1454" t="s">
        <v>395</v>
      </c>
      <c r="BQ1454" t="s">
        <v>4056</v>
      </c>
      <c r="BR1454" t="s">
        <v>4057</v>
      </c>
      <c r="BS1454">
        <v>671.9</v>
      </c>
      <c r="BT1454">
        <v>582.1</v>
      </c>
      <c r="BU1454" s="144">
        <f>BT1454/BS1454</f>
        <v>0.86634915910105681</v>
      </c>
      <c r="BV1454">
        <f>BT1454-BS1454</f>
        <v>-89.799999999999955</v>
      </c>
      <c r="BY1454" t="str">
        <f>IFERROR(BX1454/BO1454,"")</f>
        <v/>
      </c>
      <c r="BZ1454">
        <v>0</v>
      </c>
      <c r="CA1454">
        <v>0</v>
      </c>
      <c r="CB1454">
        <v>0</v>
      </c>
      <c r="CC1454">
        <v>0</v>
      </c>
      <c r="CD1454">
        <v>0</v>
      </c>
      <c r="CE1454">
        <v>0</v>
      </c>
      <c r="CF1454">
        <v>0</v>
      </c>
      <c r="CG1454">
        <v>0</v>
      </c>
      <c r="CH1454">
        <v>0</v>
      </c>
      <c r="CI1454">
        <v>0</v>
      </c>
      <c r="CJ1454">
        <v>0</v>
      </c>
      <c r="CK1454">
        <v>0</v>
      </c>
      <c r="CL1454">
        <v>0</v>
      </c>
      <c r="CM1454">
        <v>0</v>
      </c>
      <c r="CN1454" t="str">
        <f>IF($BL1454&lt;$BK1454,"refNeedCorrection","refOK")</f>
        <v>refOK</v>
      </c>
      <c r="CO1454"/>
      <c r="CP1454"/>
      <c r="CQ1454"/>
      <c r="CR1454">
        <f>IF($CN1454="refOK",$BS1454,$BT1454)*IF($BP1454="Emissions positive",-1,1)</f>
        <v>-671.9</v>
      </c>
      <c r="CS1454">
        <f>IF($CN1454="refOK",$BT1454,$BS1454)*IF($BP1454="Emissions positive",-1,1)</f>
        <v>-582.1</v>
      </c>
      <c r="CT1454">
        <f>IF($CN1454="refNeedCorrection",-BX1454,BX1454)*IF($BP1454="Emissions positive",-1,1)</f>
        <v>0</v>
      </c>
      <c r="CU1454" t="str">
        <f>IFERROR(CT1454/CQ1454,"")</f>
        <v/>
      </c>
      <c r="CV1454" s="2">
        <f>IFERROR((CS1454-CR1454)/ABS(CR1454),"")</f>
        <v>0.13365084089894322</v>
      </c>
      <c r="CW1454" s="1" t="s">
        <v>263</v>
      </c>
      <c r="CX1454" s="312" t="str">
        <f>IF(OR($CW1454="prd",$CW1454="std",$CW1454="cit"),"loc",IF(OR($CW1454="eur",$CW1454="reg",$CW1454="coy"),"reg",$CW1454))</f>
        <v>loc</v>
      </c>
      <c r="CY1454" t="s">
        <v>3494</v>
      </c>
      <c r="DB1454">
        <v>60</v>
      </c>
      <c r="DC1454" t="str">
        <f>IF(DB1454=0,"0",IF(AND(DB1454&gt;=1,DB1454&lt;=30),"1-30",IF(AND(DB1454&gt;30,DB1454&lt;=70),"31-70",IF(AND(DB1454&gt;70,DB1454&lt;=100),"71-100",IF(DB1454&gt;100,"+100")))))</f>
        <v>31-70</v>
      </c>
      <c r="DD1454">
        <v>0</v>
      </c>
      <c r="DE1454">
        <v>0</v>
      </c>
      <c r="DF1454">
        <v>0</v>
      </c>
      <c r="DG1454">
        <v>1</v>
      </c>
      <c r="DH1454">
        <v>1</v>
      </c>
      <c r="DI1454">
        <f>SUM(DD1454:DG1454)</f>
        <v>1</v>
      </c>
      <c r="DJ1454" t="str">
        <f>IF(DI1454=1,INDEX($DD$7:$DG$7,MATCH(1,$DD1454:$DG1454,0)),"mixedProduct")</f>
        <v>TimberInput</v>
      </c>
      <c r="DK1454">
        <f>IF(DD1454=1,DK$7,0)</f>
        <v>0</v>
      </c>
      <c r="DL1454">
        <f>IF(DE1454=1,DL$7,0)</f>
        <v>0</v>
      </c>
      <c r="DM1454">
        <f>IF(DF1454=1,DM$7,0)</f>
        <v>0</v>
      </c>
      <c r="DN1454" t="str">
        <f>IF(DG1454=1,DN$7,0)</f>
        <v>Timber</v>
      </c>
      <c r="DO1454">
        <v>1</v>
      </c>
      <c r="DP1454">
        <v>0</v>
      </c>
      <c r="DQ1454">
        <v>0</v>
      </c>
      <c r="DR1454">
        <v>0</v>
      </c>
      <c r="DS1454">
        <v>0</v>
      </c>
      <c r="DT1454">
        <f>SUM(DO1454:DP1454)</f>
        <v>1</v>
      </c>
      <c r="DU1454" s="143" t="str">
        <f>IF(DO1454=1,"self-calculated DF",IF(DP1454=1,"external DF used","explicit C balance"))</f>
        <v>self-calculated DF</v>
      </c>
      <c r="DV1454">
        <v>0</v>
      </c>
      <c r="DW1454">
        <v>0</v>
      </c>
      <c r="DX1454">
        <v>0</v>
      </c>
      <c r="DY1454">
        <v>0</v>
      </c>
      <c r="DZ1454">
        <v>0</v>
      </c>
      <c r="EA1454" s="143">
        <v>0</v>
      </c>
      <c r="EB1454">
        <v>0</v>
      </c>
      <c r="EC1454">
        <v>1</v>
      </c>
      <c r="ED1454">
        <v>1</v>
      </c>
      <c r="EE1454">
        <v>1</v>
      </c>
      <c r="EF1454">
        <v>0</v>
      </c>
      <c r="EG1454">
        <v>0</v>
      </c>
      <c r="EH1454">
        <v>0</v>
      </c>
      <c r="EI1454" s="2">
        <v>0</v>
      </c>
      <c r="EK1454" t="str">
        <f>IF(AND(AND(AND(OR($DX1454=1,$DW1454=1),OR($EC1454=1,$EA1454=1)),SUM($DV1454:$DZ1454,$EF1454)&gt;=3),SUM($EA1454:$EE1454)&gt;=2),"Whole sector","")</f>
        <v/>
      </c>
      <c r="EL1454" t="str">
        <f>IF(AND(AND(OR($DX1454=1,$DW1454=1),AND($EC1454=0,$EA1454=0)),SUM($DV1454:$DZ1454,$EF1454)&gt;=3),"Ecosystem approach","")</f>
        <v/>
      </c>
      <c r="EM1454" s="2" t="str">
        <f>IF(AND(AND(AND($DX1454=0,$DW1454=0),OR($EC1454=1,$EA1454=1)),SUM($EB1454:$EE1454)&gt;=2),"Technology approach","")</f>
        <v>Technology approach</v>
      </c>
      <c r="EP1454" t="b">
        <f>IF(ISNUMBER(BU1454),IF(ABS(BU1454-[5]QC_indicators!$B$2)&gt;3*[5]QC_indicators!$C$2,"C ratio",IF(ISNUMBER(BY1454),IF(ABS(BY1454-[5]QC_indicators!$B$1)&gt;3*[5]QC_indicators!$C$1,"DF","no"))),IF(ISNUMBER(BY1454),IF(ABS(BY1454-[5]QC_indicators!$B$1)&gt;3*[5]QC_indicators!$C$1,"DF","no")))</f>
        <v>0</v>
      </c>
    </row>
    <row r="1455" spans="1:148" ht="15" customHeight="1">
      <c r="A1455" s="1" t="s">
        <v>4045</v>
      </c>
      <c r="B1455" t="s">
        <v>4046</v>
      </c>
      <c r="C1455" t="s">
        <v>4047</v>
      </c>
      <c r="D1455" t="s">
        <v>4048</v>
      </c>
      <c r="E1455" t="s">
        <v>4049</v>
      </c>
      <c r="F1455" t="s">
        <v>4050</v>
      </c>
      <c r="G1455" t="s">
        <v>4051</v>
      </c>
      <c r="H1455" t="s">
        <v>254</v>
      </c>
      <c r="I1455">
        <v>2020</v>
      </c>
      <c r="J1455">
        <v>2</v>
      </c>
      <c r="K1455" t="s">
        <v>4052</v>
      </c>
      <c r="M1455" t="str">
        <f>LEFT($D1455,FIND(",",$D1455)-1)&amp;"_"&amp;I1455&amp;L1455</f>
        <v>Rempelos_2020</v>
      </c>
      <c r="N1455" s="312" t="s">
        <v>4383</v>
      </c>
      <c r="O1455" s="171" t="s">
        <v>341</v>
      </c>
      <c r="P1455" t="s">
        <v>225</v>
      </c>
      <c r="Q1455" s="312" t="s">
        <v>389</v>
      </c>
      <c r="R1455" s="313"/>
      <c r="S1455" s="1" t="s">
        <v>4058</v>
      </c>
      <c r="T1455" t="s">
        <v>258</v>
      </c>
      <c r="U1455" t="s">
        <v>4059</v>
      </c>
      <c r="V1455">
        <v>0</v>
      </c>
      <c r="W1455">
        <v>0</v>
      </c>
      <c r="X1455">
        <v>0</v>
      </c>
      <c r="Y1455">
        <v>0</v>
      </c>
      <c r="Z1455">
        <v>0</v>
      </c>
      <c r="AA1455">
        <v>0</v>
      </c>
      <c r="AB1455">
        <v>0</v>
      </c>
      <c r="AC1455">
        <v>0</v>
      </c>
      <c r="AD1455">
        <v>0</v>
      </c>
      <c r="AE1455">
        <v>0</v>
      </c>
      <c r="AF1455">
        <v>0</v>
      </c>
      <c r="AG1455">
        <v>0</v>
      </c>
      <c r="AH1455">
        <v>0</v>
      </c>
      <c r="AI1455">
        <v>0</v>
      </c>
      <c r="AJ1455">
        <v>0</v>
      </c>
      <c r="AK1455">
        <v>1</v>
      </c>
      <c r="AL1455">
        <v>0</v>
      </c>
      <c r="AM1455">
        <v>0</v>
      </c>
      <c r="AN1455">
        <v>0</v>
      </c>
      <c r="AO1455">
        <v>0</v>
      </c>
      <c r="AP1455">
        <v>0</v>
      </c>
      <c r="AQ1455">
        <v>0</v>
      </c>
      <c r="AR1455">
        <v>0</v>
      </c>
      <c r="AS1455">
        <v>0</v>
      </c>
      <c r="AT1455">
        <v>0</v>
      </c>
      <c r="AU1455">
        <v>0</v>
      </c>
      <c r="AV1455">
        <v>0</v>
      </c>
      <c r="AW1455">
        <v>0</v>
      </c>
      <c r="AX1455" s="141">
        <f>COUNTIF(V1455:AW1455,"&lt;&gt;0")</f>
        <v>1</v>
      </c>
      <c r="AY1455" s="141">
        <f>COUNTIF(V1455:AL1455,"&lt;&gt;0")</f>
        <v>1</v>
      </c>
      <c r="AZ1455">
        <f>COUNTIF(V1455:AC1455,"&lt;&gt;0")</f>
        <v>0</v>
      </c>
      <c r="BA1455">
        <f>COUNTIF(AD1455:AI1455,"&lt;&gt;0")</f>
        <v>0</v>
      </c>
      <c r="BB1455">
        <f>COUNTIF(AJ1455:AL1455,"&lt;&gt;0")</f>
        <v>1</v>
      </c>
      <c r="BC1455">
        <f>COUNTIF(AS1455:AW1455,"&lt;&gt;0")</f>
        <v>0</v>
      </c>
      <c r="BD1455">
        <f>COUNTIF(AM1455:AR1455,"&lt;&gt;0")</f>
        <v>0</v>
      </c>
      <c r="BE1455" t="str" cm="1">
        <f t="array" ref="BE1455">IF(AY1455=1,INDEX($V$7:$AL$7,MATCH(TRUE,INDEX($V1455:$AW1455&lt;&gt;0,),0)),IF(AY1455=0,INDEX($AM$7:$AW$7,MATCH(1,$AM1455:$AW1455,0)),IF(BF1455="Multiple strategies","mixed drivers",IF(BF1455="Supply chain","multiple supply","multiple silviculture"))))</f>
        <v>technologies/design switch</v>
      </c>
      <c r="BF1455" s="2" t="str" cm="1">
        <f t="array" ref="BF1455">IF(COUNTIF(AZ1455:BB1455,"&lt;&gt;0")=1,INDEX($V$4:$AW$4,MATCH(TRUE,INDEX($V1455:$AW1455&lt;&gt;0,),0)),IF(COUNTIF(AZ1455:BB1455,"&lt;&gt;0")=0,INDEX($AM$4:$AW$4,MATCH(1,$AM1455:$AW1455,0)),"Multiple strategies"))</f>
        <v>Technology</v>
      </c>
      <c r="BM1455" t="str">
        <f>IFERROR(BL1455/BK1455,"")</f>
        <v/>
      </c>
      <c r="BP1455" t="s">
        <v>395</v>
      </c>
      <c r="BQ1455" t="s">
        <v>4056</v>
      </c>
      <c r="BR1455" t="s">
        <v>4057</v>
      </c>
      <c r="BS1455">
        <v>362.1</v>
      </c>
      <c r="BT1455">
        <v>582.1</v>
      </c>
      <c r="BU1455" s="144">
        <f>BT1455/BS1455</f>
        <v>1.6075669704501518</v>
      </c>
      <c r="BV1455">
        <f>BT1455-BS1455</f>
        <v>220</v>
      </c>
      <c r="BY1455" t="str">
        <f>IFERROR(BX1455/BO1455,"")</f>
        <v/>
      </c>
      <c r="BZ1455">
        <v>0</v>
      </c>
      <c r="CA1455">
        <v>0</v>
      </c>
      <c r="CB1455">
        <v>0</v>
      </c>
      <c r="CC1455">
        <v>0</v>
      </c>
      <c r="CD1455">
        <v>0</v>
      </c>
      <c r="CE1455">
        <v>0</v>
      </c>
      <c r="CF1455">
        <v>0</v>
      </c>
      <c r="CG1455">
        <v>0</v>
      </c>
      <c r="CH1455">
        <v>0</v>
      </c>
      <c r="CI1455">
        <v>0</v>
      </c>
      <c r="CJ1455">
        <v>0</v>
      </c>
      <c r="CK1455">
        <v>0</v>
      </c>
      <c r="CL1455">
        <v>0</v>
      </c>
      <c r="CM1455">
        <v>0</v>
      </c>
      <c r="CN1455" t="str">
        <f>IF($BL1455&lt;$BK1455,"refNeedCorrection","refOK")</f>
        <v>refOK</v>
      </c>
      <c r="CO1455"/>
      <c r="CP1455"/>
      <c r="CQ1455"/>
      <c r="CR1455">
        <f>IF($CN1455="refOK",$BS1455,$BT1455)*IF($BP1455="Emissions positive",-1,1)</f>
        <v>-362.1</v>
      </c>
      <c r="CS1455">
        <f>IF($CN1455="refOK",$BT1455,$BS1455)*IF($BP1455="Emissions positive",-1,1)</f>
        <v>-582.1</v>
      </c>
      <c r="CT1455">
        <f>IF($CN1455="refNeedCorrection",-BX1455,BX1455)*IF($BP1455="Emissions positive",-1,1)</f>
        <v>0</v>
      </c>
      <c r="CU1455" t="str">
        <f>IFERROR(CT1455/CQ1455,"")</f>
        <v/>
      </c>
      <c r="CV1455" s="2">
        <f>IFERROR((CS1455-CR1455)/ABS(CR1455),"")</f>
        <v>-0.60756697045015184</v>
      </c>
      <c r="CW1455" s="1" t="s">
        <v>263</v>
      </c>
      <c r="CX1455" s="312" t="str">
        <f>IF(OR($CW1455="prd",$CW1455="std",$CW1455="cit"),"loc",IF(OR($CW1455="eur",$CW1455="reg",$CW1455="coy"),"reg",$CW1455))</f>
        <v>loc</v>
      </c>
      <c r="CY1455" t="s">
        <v>3494</v>
      </c>
      <c r="DB1455">
        <v>60</v>
      </c>
      <c r="DC1455" t="str">
        <f>IF(DB1455=0,"0",IF(AND(DB1455&gt;=1,DB1455&lt;=30),"1-30",IF(AND(DB1455&gt;30,DB1455&lt;=70),"31-70",IF(AND(DB1455&gt;70,DB1455&lt;=100),"71-100",IF(DB1455&gt;100,"+100")))))</f>
        <v>31-70</v>
      </c>
      <c r="DD1455">
        <v>0</v>
      </c>
      <c r="DE1455">
        <v>0</v>
      </c>
      <c r="DF1455">
        <v>0</v>
      </c>
      <c r="DG1455">
        <v>1</v>
      </c>
      <c r="DH1455">
        <v>1</v>
      </c>
      <c r="DI1455">
        <f>SUM(DD1455:DG1455)</f>
        <v>1</v>
      </c>
      <c r="DJ1455" t="str">
        <f>IF(DI1455=1,INDEX($DD$7:$DG$7,MATCH(1,$DD1455:$DG1455,0)),"mixedProduct")</f>
        <v>TimberInput</v>
      </c>
      <c r="DK1455">
        <f>IF(DD1455=1,DK$7,0)</f>
        <v>0</v>
      </c>
      <c r="DL1455">
        <f>IF(DE1455=1,DL$7,0)</f>
        <v>0</v>
      </c>
      <c r="DM1455">
        <f>IF(DF1455=1,DM$7,0)</f>
        <v>0</v>
      </c>
      <c r="DN1455" t="str">
        <f>IF(DG1455=1,DN$7,0)</f>
        <v>Timber</v>
      </c>
      <c r="DO1455">
        <v>1</v>
      </c>
      <c r="DP1455">
        <v>0</v>
      </c>
      <c r="DQ1455">
        <v>0</v>
      </c>
      <c r="DR1455">
        <v>0</v>
      </c>
      <c r="DS1455">
        <v>0</v>
      </c>
      <c r="DT1455">
        <f>SUM(DO1455:DP1455)</f>
        <v>1</v>
      </c>
      <c r="DU1455" s="143" t="str">
        <f>IF(DO1455=1,"self-calculated DF",IF(DP1455=1,"external DF used","explicit C balance"))</f>
        <v>self-calculated DF</v>
      </c>
      <c r="DV1455">
        <v>0</v>
      </c>
      <c r="DW1455">
        <v>0</v>
      </c>
      <c r="DX1455">
        <v>0</v>
      </c>
      <c r="DY1455">
        <v>0</v>
      </c>
      <c r="DZ1455">
        <v>0</v>
      </c>
      <c r="EA1455" s="143">
        <v>0</v>
      </c>
      <c r="EB1455">
        <v>0</v>
      </c>
      <c r="EC1455">
        <v>1</v>
      </c>
      <c r="ED1455">
        <v>1</v>
      </c>
      <c r="EE1455">
        <v>1</v>
      </c>
      <c r="EF1455">
        <v>0</v>
      </c>
      <c r="EG1455">
        <v>0</v>
      </c>
      <c r="EH1455">
        <v>0</v>
      </c>
      <c r="EI1455" s="2">
        <v>0</v>
      </c>
      <c r="EK1455" t="str">
        <f>IF(AND(AND(AND(OR($DX1455=1,$DW1455=1),OR($EC1455=1,$EA1455=1)),SUM($DV1455:$DZ1455,$EF1455)&gt;=3),SUM($EA1455:$EE1455)&gt;=2),"Whole sector","")</f>
        <v/>
      </c>
      <c r="EL1455" t="str">
        <f>IF(AND(AND(OR($DX1455=1,$DW1455=1),AND($EC1455=0,$EA1455=0)),SUM($DV1455:$DZ1455,$EF1455)&gt;=3),"Ecosystem approach","")</f>
        <v/>
      </c>
      <c r="EM1455" s="2" t="str">
        <f>IF(AND(AND(AND($DX1455=0,$DW1455=0),OR($EC1455=1,$EA1455=1)),SUM($EB1455:$EE1455)&gt;=2),"Technology approach","")</f>
        <v>Technology approach</v>
      </c>
      <c r="EP1455" t="b">
        <f>IF(ISNUMBER(BU1455),IF(ABS(BU1455-[5]QC_indicators!$B$2)&gt;3*[5]QC_indicators!$C$2,"C ratio",IF(ISNUMBER(BY1455),IF(ABS(BY1455-[5]QC_indicators!$B$1)&gt;3*[5]QC_indicators!$C$1,"DF","no"))),IF(ISNUMBER(BY1455),IF(ABS(BY1455-[5]QC_indicators!$B$1)&gt;3*[5]QC_indicators!$C$1,"DF","no")))</f>
        <v>0</v>
      </c>
    </row>
    <row r="1456" spans="1:148" ht="15" customHeight="1">
      <c r="D1456" t="s">
        <v>4060</v>
      </c>
      <c r="E1456" t="s">
        <v>4061</v>
      </c>
      <c r="G1456" t="s">
        <v>829</v>
      </c>
      <c r="I1456">
        <v>2012</v>
      </c>
      <c r="K1456" t="s">
        <v>4062</v>
      </c>
      <c r="M1456" t="str">
        <f>LEFT($D1456,FIND(",",$D1456)-1)&amp;"_"&amp;I1456&amp;L1456</f>
        <v>Repo_2012</v>
      </c>
      <c r="N1456" s="312" t="s">
        <v>4383</v>
      </c>
      <c r="O1456" s="145" t="s">
        <v>225</v>
      </c>
      <c r="Q1456" s="312" t="s">
        <v>256</v>
      </c>
      <c r="R1456" s="313"/>
      <c r="S1456" s="1" t="s">
        <v>2229</v>
      </c>
      <c r="T1456" t="s">
        <v>4063</v>
      </c>
      <c r="U1456" t="s">
        <v>4064</v>
      </c>
      <c r="V1456" s="143">
        <v>0</v>
      </c>
      <c r="W1456" s="143">
        <v>0</v>
      </c>
      <c r="X1456" s="143">
        <v>0</v>
      </c>
      <c r="Y1456" s="143">
        <v>1</v>
      </c>
      <c r="Z1456" s="143">
        <v>0</v>
      </c>
      <c r="AA1456" s="143">
        <v>0</v>
      </c>
      <c r="AB1456" s="143">
        <v>0</v>
      </c>
      <c r="AC1456" s="143">
        <v>0</v>
      </c>
      <c r="AD1456" s="143">
        <v>0</v>
      </c>
      <c r="AE1456" s="143">
        <v>0</v>
      </c>
      <c r="AF1456" s="143">
        <v>0</v>
      </c>
      <c r="AG1456" s="143">
        <v>0</v>
      </c>
      <c r="AH1456" s="143">
        <v>0</v>
      </c>
      <c r="AI1456" s="143">
        <v>0</v>
      </c>
      <c r="AJ1456" s="143">
        <v>0</v>
      </c>
      <c r="AK1456" s="143">
        <v>0</v>
      </c>
      <c r="AL1456" s="143">
        <v>0</v>
      </c>
      <c r="AM1456" s="143">
        <v>0</v>
      </c>
      <c r="AN1456" s="143">
        <v>0</v>
      </c>
      <c r="AO1456" s="143">
        <v>0</v>
      </c>
      <c r="AP1456" s="143">
        <v>0</v>
      </c>
      <c r="AQ1456" s="143">
        <v>0</v>
      </c>
      <c r="AR1456" s="143">
        <v>0</v>
      </c>
      <c r="AS1456" s="143">
        <v>0</v>
      </c>
      <c r="AT1456" s="143">
        <v>0</v>
      </c>
      <c r="AU1456" s="143">
        <v>0</v>
      </c>
      <c r="AV1456" s="143">
        <v>0</v>
      </c>
      <c r="AW1456" s="143">
        <v>0</v>
      </c>
      <c r="AX1456" s="141">
        <f>COUNTIF(V1456:AW1456,"&lt;&gt;0")</f>
        <v>1</v>
      </c>
      <c r="AY1456" s="141">
        <f>COUNTIF(V1456:AL1456,"&lt;&gt;0")</f>
        <v>1</v>
      </c>
      <c r="AZ1456">
        <f>COUNTIF(V1456:AC1456,"&lt;&gt;0")</f>
        <v>1</v>
      </c>
      <c r="BA1456">
        <f>COUNTIF(AD1456:AI1456,"&lt;&gt;0")</f>
        <v>0</v>
      </c>
      <c r="BB1456">
        <f>COUNTIF(AJ1456:AL1456,"&lt;&gt;0")</f>
        <v>0</v>
      </c>
      <c r="BC1456">
        <f>COUNTIF(AS1456:AW1456,"&lt;&gt;0")</f>
        <v>0</v>
      </c>
      <c r="BD1456">
        <f>COUNTIF(AM1456:AR1456,"&lt;&gt;0")</f>
        <v>0</v>
      </c>
      <c r="BE1456" t="str" cm="1">
        <f t="array" ref="BE1456">IF(AY1456=1,INDEX($V$7:$AL$7,MATCH(TRUE,INDEX($V1456:$AW1456&lt;&gt;0,),0)),IF(AY1456=0,INDEX($AM$7:$AW$7,MATCH(1,$AM1456:$AW1456,0)),IF(BF1456="Multiple strategies","mixed drivers",IF(BF1456="Supply chain","multiple supply","multiple silviculture"))))</f>
        <v xml:space="preserve">cutting intensity </v>
      </c>
      <c r="BF1456" s="2" t="str" cm="1">
        <f t="array" ref="BF1456">IF(COUNTIF(AZ1456:BB1456,"&lt;&gt;0")=1,INDEX($V$4:$AW$4,MATCH(TRUE,INDEX($V1456:$AW1456&lt;&gt;0,),0)),IF(COUNTIF(AZ1456:BB1456,"&lt;&gt;0")=0,INDEX($AM$4:$AW$4,MATCH(1,$AM1456:$AW1456,0)),"Multiple strategies"))</f>
        <v>Silviculture for removals</v>
      </c>
      <c r="BP1456" s="312" t="s">
        <v>232</v>
      </c>
      <c r="BQ1456" s="312"/>
      <c r="BR1456" t="s">
        <v>4065</v>
      </c>
      <c r="BS1456">
        <v>-46.669542900000003</v>
      </c>
      <c r="BT1456" s="141">
        <v>-25.616516900000001</v>
      </c>
      <c r="BU1456" s="144">
        <v>0.54889153199741325</v>
      </c>
      <c r="BV1456">
        <v>21.053026000000003</v>
      </c>
      <c r="BX1456">
        <f>BV1456/10^6</f>
        <v>2.1053026000000001E-5</v>
      </c>
      <c r="BY1456" t="str">
        <f>IFERROR(BX1456/BO1456,"")</f>
        <v/>
      </c>
      <c r="BZ1456" s="143">
        <v>0</v>
      </c>
      <c r="CA1456" s="143">
        <v>1</v>
      </c>
      <c r="CB1456" s="143">
        <v>0</v>
      </c>
      <c r="CC1456" s="143">
        <v>1</v>
      </c>
      <c r="CD1456" s="143">
        <v>0</v>
      </c>
      <c r="CE1456" s="143">
        <v>0</v>
      </c>
      <c r="CF1456" s="143">
        <v>0</v>
      </c>
      <c r="CG1456" s="143">
        <v>0</v>
      </c>
      <c r="CH1456" s="143">
        <v>0</v>
      </c>
      <c r="CI1456" s="143">
        <v>0</v>
      </c>
      <c r="CJ1456" s="143">
        <v>0</v>
      </c>
      <c r="CK1456" s="143">
        <v>0</v>
      </c>
      <c r="CL1456" s="143">
        <v>0</v>
      </c>
      <c r="CM1456" s="143">
        <v>0</v>
      </c>
      <c r="CN1456" t="str">
        <f>IF(BL1456&lt;BK1456,"refNeedCorrection","refOK")</f>
        <v>refOK</v>
      </c>
      <c r="CO1456"/>
      <c r="CP1456"/>
      <c r="CQ1456"/>
      <c r="CR1456">
        <f>IF($CN1456="refOK",$BS1456,$BT1456)*IF($BP1456="Emissions positive",-1,1)</f>
        <v>-46.669542900000003</v>
      </c>
      <c r="CS1456">
        <f>IF($CN1456="refOK",$BT1456,$BS1456)*IF($BP1456="Emissions positive",-1,1)</f>
        <v>-25.616516900000001</v>
      </c>
      <c r="CT1456">
        <f>IF($CN1456="refNeedCorrection",-BX1456,BX1456)*IF($BP1456="Emissions positive",-1,1)</f>
        <v>2.1053026000000001E-5</v>
      </c>
      <c r="CU1456" t="str">
        <f>IFERROR(CT1456/CQ1456,"")</f>
        <v/>
      </c>
      <c r="CV1456" s="2">
        <f>IFERROR((CS1456-CR1456)/ABS(CR1456),"")</f>
        <v>0.4511084680025868</v>
      </c>
      <c r="CW1456" s="1" t="s">
        <v>1203</v>
      </c>
      <c r="CX1456" s="312" t="str">
        <f>IF(OR($CW1456="prd",$CW1456="std",$CW1456="cit"),"loc",IF(OR($CW1456="eur",$CW1456="reg",$CW1456="coy"),"reg",$CW1456))</f>
        <v>reg</v>
      </c>
      <c r="CY1456" t="s">
        <v>235</v>
      </c>
      <c r="CZ1456">
        <v>2010</v>
      </c>
      <c r="DA1456">
        <v>2110</v>
      </c>
      <c r="DB1456" s="143">
        <f>DA1456-CZ1456</f>
        <v>100</v>
      </c>
      <c r="DC1456" t="str">
        <f>IF(DB1456=0,"0",IF(AND(DB1456&gt;=1,DB1456&lt;=30),"1-30",IF(AND(DB1456&gt;30,DB1456&lt;=70),"31-70",IF(AND(DB1456&gt;70,DB1456&lt;=100),"71-100",IF(DB1456&gt;100,"+100")))))</f>
        <v>71-100</v>
      </c>
      <c r="DD1456">
        <v>1</v>
      </c>
      <c r="DE1456">
        <v>1</v>
      </c>
      <c r="DF1456">
        <v>0</v>
      </c>
      <c r="DG1456">
        <v>0</v>
      </c>
      <c r="DI1456">
        <f>SUM(DD1456:DG1456)</f>
        <v>2</v>
      </c>
      <c r="DJ1456" t="str">
        <f>IF(DI1456=1,INDEX($DD$7:$DG$7,MATCH(1,$DD1456:$DG1456,0)),"mixedProduct")</f>
        <v>mixedProduct</v>
      </c>
      <c r="DK1456" t="str">
        <f>IF(DD1456=1,DK$7,0)</f>
        <v>Upstream</v>
      </c>
      <c r="DL1456" t="str">
        <f>IF(DE1456=1,DL$7,0)</f>
        <v>Energy</v>
      </c>
      <c r="DM1456">
        <f>IF(DF1456=1,DM$7,0)</f>
        <v>0</v>
      </c>
      <c r="DN1456">
        <f>IF(DG1456=1,DN$7,0)</f>
        <v>0</v>
      </c>
      <c r="DO1456">
        <v>0</v>
      </c>
      <c r="DP1456" s="143">
        <v>0</v>
      </c>
      <c r="DQ1456" t="s">
        <v>2230</v>
      </c>
      <c r="DR1456">
        <v>0</v>
      </c>
      <c r="DS1456">
        <v>0</v>
      </c>
      <c r="DT1456">
        <f>SUM(DO1456:DP1456)</f>
        <v>0</v>
      </c>
      <c r="DU1456" s="143" t="str">
        <f>IF(DO1456=1,"self-calculated DF",IF(DP1456=1,"external DF used","explicit C balance"))</f>
        <v>explicit C balance</v>
      </c>
      <c r="DV1456" s="143">
        <v>1</v>
      </c>
      <c r="DW1456" s="143">
        <v>1</v>
      </c>
      <c r="DX1456" s="143">
        <v>1</v>
      </c>
      <c r="DY1456" s="143">
        <v>0</v>
      </c>
      <c r="DZ1456" s="143">
        <v>1</v>
      </c>
      <c r="EA1456" s="143">
        <v>0</v>
      </c>
      <c r="EB1456" s="143">
        <v>1</v>
      </c>
      <c r="EC1456" s="143">
        <v>1</v>
      </c>
      <c r="ED1456" s="143">
        <v>0</v>
      </c>
      <c r="EE1456" s="143">
        <v>0</v>
      </c>
      <c r="EF1456" s="143">
        <v>1</v>
      </c>
      <c r="EG1456" s="143">
        <v>0</v>
      </c>
      <c r="EH1456" s="143">
        <v>0</v>
      </c>
      <c r="EI1456" s="196">
        <v>0</v>
      </c>
      <c r="EK1456" t="str">
        <f>IF(AND(AND(AND(OR($DX1456=1,$DW1456=1),OR($EC1456=1,$EA1456=1)),SUM($DV1456:$DZ1456,$EF1456)&gt;=3),SUM($EA1456:$EE1456)&gt;=2),"Whole sector","")</f>
        <v>Whole sector</v>
      </c>
      <c r="EL1456" t="str">
        <f>IF(AND(AND(OR($DX1456=1,$DW1456=1),AND($EC1456=0,$EA1456=0)),SUM($DV1456:$DZ1456,$EF1456)&gt;=3),"Ecosystem approach","")</f>
        <v/>
      </c>
      <c r="EM1456" s="2" t="str">
        <f>IF(AND(AND(AND($DX1456=0,$DW1456=0),OR($EC1456=1,$EA1456=1)),SUM($EB1456:$EE1456)&gt;=2),"Technology approach","")</f>
        <v/>
      </c>
      <c r="EP1456" t="b">
        <f>IF(ISNUMBER(BU1456),IF(ABS(BU1456-[5]QC_indicators!$B$2)&gt;3*[5]QC_indicators!$C$2,"C ratio",IF(ISNUMBER(BY1456),IF(ABS(BY1456-[5]QC_indicators!$B$1)&gt;3*[5]QC_indicators!$C$1,"DF","no"))),IF(ISNUMBER(BY1456),IF(ABS(BY1456-[5]QC_indicators!$B$1)&gt;3*[5]QC_indicators!$C$1,"DF","no")))</f>
        <v>0</v>
      </c>
      <c r="ER1456" s="314" t="s">
        <v>349</v>
      </c>
    </row>
    <row r="1457" spans="1:148" ht="15" customHeight="1">
      <c r="D1457" t="s">
        <v>4060</v>
      </c>
      <c r="E1457" t="s">
        <v>4061</v>
      </c>
      <c r="G1457" t="s">
        <v>829</v>
      </c>
      <c r="I1457">
        <v>2012</v>
      </c>
      <c r="K1457" t="s">
        <v>4062</v>
      </c>
      <c r="M1457" t="str">
        <f>LEFT($D1457,FIND(",",$D1457)-1)&amp;"_"&amp;I1457&amp;L1457</f>
        <v>Repo_2012</v>
      </c>
      <c r="N1457" s="312" t="s">
        <v>4383</v>
      </c>
      <c r="O1457" s="145" t="s">
        <v>225</v>
      </c>
      <c r="Q1457" s="312" t="s">
        <v>256</v>
      </c>
      <c r="R1457" s="313"/>
      <c r="S1457" s="1" t="s">
        <v>2229</v>
      </c>
      <c r="T1457" t="s">
        <v>4063</v>
      </c>
      <c r="U1457" t="s">
        <v>4064</v>
      </c>
      <c r="V1457" s="143">
        <v>0</v>
      </c>
      <c r="W1457" s="143">
        <v>0</v>
      </c>
      <c r="X1457" s="143">
        <v>0</v>
      </c>
      <c r="Y1457" s="143">
        <v>1</v>
      </c>
      <c r="Z1457" s="143">
        <v>0</v>
      </c>
      <c r="AA1457" s="143">
        <v>0</v>
      </c>
      <c r="AB1457" s="143">
        <v>0</v>
      </c>
      <c r="AC1457" s="143">
        <v>0</v>
      </c>
      <c r="AD1457" s="143">
        <v>0</v>
      </c>
      <c r="AE1457" s="143">
        <v>0</v>
      </c>
      <c r="AF1457" s="143">
        <v>0</v>
      </c>
      <c r="AG1457" s="143">
        <v>0</v>
      </c>
      <c r="AH1457" s="143">
        <v>0</v>
      </c>
      <c r="AI1457" s="143">
        <v>0</v>
      </c>
      <c r="AJ1457" s="143">
        <v>0</v>
      </c>
      <c r="AK1457" s="143">
        <v>0</v>
      </c>
      <c r="AL1457" s="143">
        <v>0</v>
      </c>
      <c r="AM1457" s="143">
        <v>0</v>
      </c>
      <c r="AN1457" s="143">
        <v>0</v>
      </c>
      <c r="AO1457" s="143">
        <v>0</v>
      </c>
      <c r="AP1457" s="143">
        <v>0</v>
      </c>
      <c r="AQ1457" s="143">
        <v>0</v>
      </c>
      <c r="AR1457" s="143">
        <v>0</v>
      </c>
      <c r="AS1457" s="143">
        <v>0</v>
      </c>
      <c r="AT1457" s="143">
        <v>0</v>
      </c>
      <c r="AU1457" s="143">
        <v>0</v>
      </c>
      <c r="AV1457" s="143">
        <v>0</v>
      </c>
      <c r="AW1457" s="143">
        <v>0</v>
      </c>
      <c r="AX1457" s="141">
        <f>COUNTIF(V1457:AW1457,"&lt;&gt;0")</f>
        <v>1</v>
      </c>
      <c r="AY1457" s="141">
        <f>COUNTIF(V1457:AL1457,"&lt;&gt;0")</f>
        <v>1</v>
      </c>
      <c r="AZ1457">
        <f>COUNTIF(V1457:AC1457,"&lt;&gt;0")</f>
        <v>1</v>
      </c>
      <c r="BA1457">
        <f>COUNTIF(AD1457:AI1457,"&lt;&gt;0")</f>
        <v>0</v>
      </c>
      <c r="BB1457">
        <f>COUNTIF(AJ1457:AL1457,"&lt;&gt;0")</f>
        <v>0</v>
      </c>
      <c r="BC1457">
        <f>COUNTIF(AS1457:AW1457,"&lt;&gt;0")</f>
        <v>0</v>
      </c>
      <c r="BD1457">
        <f>COUNTIF(AM1457:AR1457,"&lt;&gt;0")</f>
        <v>0</v>
      </c>
      <c r="BE1457" t="str" cm="1">
        <f t="array" ref="BE1457">IF(AY1457=1,INDEX($V$7:$AL$7,MATCH(TRUE,INDEX($V1457:$AW1457&lt;&gt;0,),0)),IF(AY1457=0,INDEX($AM$7:$AW$7,MATCH(1,$AM1457:$AW1457,0)),IF(BF1457="Multiple strategies","mixed drivers",IF(BF1457="Supply chain","multiple supply","multiple silviculture"))))</f>
        <v xml:space="preserve">cutting intensity </v>
      </c>
      <c r="BF1457" s="2" t="str" cm="1">
        <f t="array" ref="BF1457">IF(COUNTIF(AZ1457:BB1457,"&lt;&gt;0")=1,INDEX($V$4:$AW$4,MATCH(TRUE,INDEX($V1457:$AW1457&lt;&gt;0,),0)),IF(COUNTIF(AZ1457:BB1457,"&lt;&gt;0")=0,INDEX($AM$4:$AW$4,MATCH(1,$AM1457:$AW1457,0)),"Multiple strategies"))</f>
        <v>Silviculture for removals</v>
      </c>
      <c r="BP1457" s="312" t="s">
        <v>232</v>
      </c>
      <c r="BQ1457" s="312"/>
      <c r="BR1457" t="s">
        <v>4065</v>
      </c>
      <c r="BS1457" s="141">
        <v>-81.193580800000007</v>
      </c>
      <c r="BT1457" s="141">
        <v>-52.1209816</v>
      </c>
      <c r="BU1457" s="144">
        <v>0.6419347574826999</v>
      </c>
      <c r="BV1457">
        <v>29.072599200000006</v>
      </c>
      <c r="BX1457">
        <f>BV1457/10^6</f>
        <v>2.9072599200000007E-5</v>
      </c>
      <c r="BY1457" t="str">
        <f>IFERROR(BX1457/BO1457,"")</f>
        <v/>
      </c>
      <c r="BZ1457" s="143">
        <v>0</v>
      </c>
      <c r="CA1457" s="143">
        <v>1</v>
      </c>
      <c r="CB1457" s="143">
        <v>0</v>
      </c>
      <c r="CC1457" s="143">
        <v>1</v>
      </c>
      <c r="CD1457" s="143">
        <v>0</v>
      </c>
      <c r="CE1457" s="143">
        <v>0</v>
      </c>
      <c r="CF1457" s="143">
        <v>0</v>
      </c>
      <c r="CG1457" s="143">
        <v>0</v>
      </c>
      <c r="CH1457" s="143">
        <v>0</v>
      </c>
      <c r="CI1457" s="143">
        <v>0</v>
      </c>
      <c r="CJ1457" s="143">
        <v>0</v>
      </c>
      <c r="CK1457" s="143">
        <v>0</v>
      </c>
      <c r="CL1457" s="143">
        <v>0</v>
      </c>
      <c r="CM1457" s="143">
        <v>0</v>
      </c>
      <c r="CN1457" t="str">
        <f>IF(BL1457&lt;BK1457,"refNeedCorrection","refOK")</f>
        <v>refOK</v>
      </c>
      <c r="CO1457"/>
      <c r="CP1457"/>
      <c r="CQ1457"/>
      <c r="CR1457">
        <f>IF($CN1457="refOK",$BS1457,$BT1457)*IF($BP1457="Emissions positive",-1,1)</f>
        <v>-81.193580800000007</v>
      </c>
      <c r="CS1457">
        <f>IF($CN1457="refOK",$BT1457,$BS1457)*IF($BP1457="Emissions positive",-1,1)</f>
        <v>-52.1209816</v>
      </c>
      <c r="CT1457">
        <f>IF($CN1457="refNeedCorrection",-BX1457,BX1457)*IF($BP1457="Emissions positive",-1,1)</f>
        <v>2.9072599200000007E-5</v>
      </c>
      <c r="CU1457" t="str">
        <f>IFERROR(CT1457/CQ1457,"")</f>
        <v/>
      </c>
      <c r="CV1457" s="2">
        <f>IFERROR((CS1457-CR1457)/ABS(CR1457),"")</f>
        <v>0.35806524251730015</v>
      </c>
      <c r="CW1457" s="1" t="s">
        <v>1203</v>
      </c>
      <c r="CX1457" s="312" t="str">
        <f>IF(OR($CW1457="prd",$CW1457="std",$CW1457="cit"),"loc",IF(OR($CW1457="eur",$CW1457="reg",$CW1457="coy"),"reg",$CW1457))</f>
        <v>reg</v>
      </c>
      <c r="CY1457" t="s">
        <v>235</v>
      </c>
      <c r="CZ1457">
        <v>2010</v>
      </c>
      <c r="DA1457">
        <v>2030</v>
      </c>
      <c r="DB1457" s="143">
        <f>DA1457-CZ1457</f>
        <v>20</v>
      </c>
      <c r="DC1457" t="str">
        <f>IF(DB1457=0,"0",IF(AND(DB1457&gt;=1,DB1457&lt;=30),"1-30",IF(AND(DB1457&gt;30,DB1457&lt;=70),"31-70",IF(AND(DB1457&gt;70,DB1457&lt;=100),"71-100",IF(DB1457&gt;100,"+100")))))</f>
        <v>1-30</v>
      </c>
      <c r="DD1457">
        <v>1</v>
      </c>
      <c r="DE1457">
        <v>1</v>
      </c>
      <c r="DF1457">
        <v>0</v>
      </c>
      <c r="DG1457">
        <v>0</v>
      </c>
      <c r="DI1457">
        <f>SUM(DD1457:DG1457)</f>
        <v>2</v>
      </c>
      <c r="DJ1457" t="str">
        <f>IF(DI1457=1,INDEX($DD$7:$DG$7,MATCH(1,$DD1457:$DG1457,0)),"mixedProduct")</f>
        <v>mixedProduct</v>
      </c>
      <c r="DK1457" t="str">
        <f>IF(DD1457=1,DK$7,0)</f>
        <v>Upstream</v>
      </c>
      <c r="DL1457" t="str">
        <f>IF(DE1457=1,DL$7,0)</f>
        <v>Energy</v>
      </c>
      <c r="DM1457">
        <f>IF(DF1457=1,DM$7,0)</f>
        <v>0</v>
      </c>
      <c r="DN1457">
        <f>IF(DG1457=1,DN$7,0)</f>
        <v>0</v>
      </c>
      <c r="DO1457">
        <v>0</v>
      </c>
      <c r="DP1457" s="143">
        <v>0</v>
      </c>
      <c r="DQ1457" t="s">
        <v>2230</v>
      </c>
      <c r="DR1457">
        <v>0</v>
      </c>
      <c r="DS1457">
        <v>0</v>
      </c>
      <c r="DT1457">
        <f>SUM(DO1457:DP1457)</f>
        <v>0</v>
      </c>
      <c r="DU1457" s="143" t="str">
        <f>IF(DO1457=1,"self-calculated DF",IF(DP1457=1,"external DF used","explicit C balance"))</f>
        <v>explicit C balance</v>
      </c>
      <c r="DV1457" s="143">
        <v>1</v>
      </c>
      <c r="DW1457" s="143">
        <v>1</v>
      </c>
      <c r="DX1457" s="143">
        <v>1</v>
      </c>
      <c r="DY1457" s="143">
        <v>0</v>
      </c>
      <c r="DZ1457" s="143">
        <v>1</v>
      </c>
      <c r="EA1457" s="143">
        <v>0</v>
      </c>
      <c r="EB1457" s="143">
        <v>1</v>
      </c>
      <c r="EC1457" s="143">
        <v>1</v>
      </c>
      <c r="ED1457" s="143">
        <v>0</v>
      </c>
      <c r="EE1457" s="143">
        <v>0</v>
      </c>
      <c r="EF1457" s="143">
        <v>1</v>
      </c>
      <c r="EG1457" s="143">
        <v>0</v>
      </c>
      <c r="EH1457" s="143">
        <v>0</v>
      </c>
      <c r="EI1457" s="196">
        <v>0</v>
      </c>
      <c r="EK1457" t="str">
        <f>IF(AND(AND(AND(OR($DX1457=1,$DW1457=1),OR($EC1457=1,$EA1457=1)),SUM($DV1457:$DZ1457,$EF1457)&gt;=3),SUM($EA1457:$EE1457)&gt;=2),"Whole sector","")</f>
        <v>Whole sector</v>
      </c>
      <c r="EL1457" t="str">
        <f>IF(AND(AND(OR($DX1457=1,$DW1457=1),AND($EC1457=0,$EA1457=0)),SUM($DV1457:$DZ1457,$EF1457)&gt;=3),"Ecosystem approach","")</f>
        <v/>
      </c>
      <c r="EM1457" s="2" t="str">
        <f>IF(AND(AND(AND($DX1457=0,$DW1457=0),OR($EC1457=1,$EA1457=1)),SUM($EB1457:$EE1457)&gt;=2),"Technology approach","")</f>
        <v/>
      </c>
      <c r="EP1457" t="b">
        <f>IF(ISNUMBER(BU1457),IF(ABS(BU1457-[5]QC_indicators!$B$2)&gt;3*[5]QC_indicators!$C$2,"C ratio",IF(ISNUMBER(BY1457),IF(ABS(BY1457-[5]QC_indicators!$B$1)&gt;3*[5]QC_indicators!$C$1,"DF","no"))),IF(ISNUMBER(BY1457),IF(ABS(BY1457-[5]QC_indicators!$B$1)&gt;3*[5]QC_indicators!$C$1,"DF","no")))</f>
        <v>0</v>
      </c>
      <c r="ER1457" s="314" t="s">
        <v>349</v>
      </c>
    </row>
    <row r="1458" spans="1:148" ht="15" customHeight="1">
      <c r="D1458" t="s">
        <v>4060</v>
      </c>
      <c r="E1458" t="s">
        <v>4061</v>
      </c>
      <c r="G1458" t="s">
        <v>829</v>
      </c>
      <c r="I1458">
        <v>2012</v>
      </c>
      <c r="K1458" t="s">
        <v>4062</v>
      </c>
      <c r="M1458" t="str">
        <f>LEFT($D1458,FIND(",",$D1458)-1)&amp;"_"&amp;I1458&amp;L1458</f>
        <v>Repo_2012</v>
      </c>
      <c r="N1458" s="312" t="s">
        <v>4383</v>
      </c>
      <c r="O1458" s="145" t="s">
        <v>225</v>
      </c>
      <c r="Q1458" s="312" t="s">
        <v>256</v>
      </c>
      <c r="R1458" s="313"/>
      <c r="S1458" s="1" t="s">
        <v>2229</v>
      </c>
      <c r="T1458" t="s">
        <v>4063</v>
      </c>
      <c r="U1458" t="s">
        <v>4066</v>
      </c>
      <c r="V1458" s="143">
        <v>0</v>
      </c>
      <c r="W1458" s="143">
        <v>0</v>
      </c>
      <c r="X1458" s="143">
        <v>0</v>
      </c>
      <c r="Y1458" s="143">
        <v>1</v>
      </c>
      <c r="Z1458" s="143">
        <v>0</v>
      </c>
      <c r="AA1458" s="143">
        <v>0</v>
      </c>
      <c r="AB1458" s="143">
        <v>0</v>
      </c>
      <c r="AC1458" s="143">
        <v>0</v>
      </c>
      <c r="AD1458" s="143">
        <v>0</v>
      </c>
      <c r="AE1458" s="143">
        <v>0</v>
      </c>
      <c r="AF1458" s="143">
        <v>0</v>
      </c>
      <c r="AG1458" s="143">
        <v>0</v>
      </c>
      <c r="AH1458" s="143">
        <v>0</v>
      </c>
      <c r="AI1458" s="143">
        <v>0</v>
      </c>
      <c r="AJ1458" s="143">
        <v>0</v>
      </c>
      <c r="AK1458" s="143">
        <v>0</v>
      </c>
      <c r="AL1458" s="143">
        <v>0</v>
      </c>
      <c r="AM1458" s="143">
        <v>0</v>
      </c>
      <c r="AN1458" s="143">
        <v>0</v>
      </c>
      <c r="AO1458" s="143">
        <v>0</v>
      </c>
      <c r="AP1458" s="143">
        <v>0</v>
      </c>
      <c r="AQ1458" s="143">
        <v>0</v>
      </c>
      <c r="AR1458" s="143">
        <v>0</v>
      </c>
      <c r="AS1458" s="143">
        <v>0</v>
      </c>
      <c r="AT1458" s="143">
        <v>0</v>
      </c>
      <c r="AU1458" s="143">
        <v>0</v>
      </c>
      <c r="AV1458" s="143">
        <v>0</v>
      </c>
      <c r="AW1458" s="143">
        <v>0</v>
      </c>
      <c r="AX1458" s="141">
        <f>COUNTIF(V1458:AW1458,"&lt;&gt;0")</f>
        <v>1</v>
      </c>
      <c r="AY1458" s="141">
        <f>COUNTIF(V1458:AL1458,"&lt;&gt;0")</f>
        <v>1</v>
      </c>
      <c r="AZ1458">
        <f>COUNTIF(V1458:AC1458,"&lt;&gt;0")</f>
        <v>1</v>
      </c>
      <c r="BA1458">
        <f>COUNTIF(AD1458:AI1458,"&lt;&gt;0")</f>
        <v>0</v>
      </c>
      <c r="BB1458">
        <f>COUNTIF(AJ1458:AL1458,"&lt;&gt;0")</f>
        <v>0</v>
      </c>
      <c r="BC1458">
        <f>COUNTIF(AS1458:AW1458,"&lt;&gt;0")</f>
        <v>0</v>
      </c>
      <c r="BD1458">
        <f>COUNTIF(AM1458:AR1458,"&lt;&gt;0")</f>
        <v>0</v>
      </c>
      <c r="BE1458" t="str" cm="1">
        <f t="array" ref="BE1458">IF(AY1458=1,INDEX($V$7:$AL$7,MATCH(TRUE,INDEX($V1458:$AW1458&lt;&gt;0,),0)),IF(AY1458=0,INDEX($AM$7:$AW$7,MATCH(1,$AM1458:$AW1458,0)),IF(BF1458="Multiple strategies","mixed drivers",IF(BF1458="Supply chain","multiple supply","multiple silviculture"))))</f>
        <v xml:space="preserve">cutting intensity </v>
      </c>
      <c r="BF1458" s="2" t="str" cm="1">
        <f t="array" ref="BF1458">IF(COUNTIF(AZ1458:BB1458,"&lt;&gt;0")=1,INDEX($V$4:$AW$4,MATCH(TRUE,INDEX($V1458:$AW1458&lt;&gt;0,),0)),IF(COUNTIF(AZ1458:BB1458,"&lt;&gt;0")=0,INDEX($AM$4:$AW$4,MATCH(1,$AM1458:$AW1458,0)),"Multiple strategies"))</f>
        <v>Silviculture for removals</v>
      </c>
      <c r="BP1458" s="312" t="s">
        <v>232</v>
      </c>
      <c r="BQ1458" s="312"/>
      <c r="BR1458" t="s">
        <v>4065</v>
      </c>
      <c r="BS1458" s="141">
        <v>-81.193580800000007</v>
      </c>
      <c r="BT1458" s="141">
        <v>-91.619616399999998</v>
      </c>
      <c r="BU1458" s="144">
        <v>1.1284096045188832</v>
      </c>
      <c r="BV1458">
        <v>-10.426035599999992</v>
      </c>
      <c r="BX1458">
        <f>BV1458/10^6</f>
        <v>-1.0426035599999992E-5</v>
      </c>
      <c r="BY1458" t="str">
        <f>IFERROR(BX1458/BO1458,"")</f>
        <v/>
      </c>
      <c r="BZ1458" s="143">
        <v>0</v>
      </c>
      <c r="CA1458" s="143">
        <v>1</v>
      </c>
      <c r="CB1458" s="143">
        <v>0</v>
      </c>
      <c r="CC1458" s="143">
        <v>1</v>
      </c>
      <c r="CD1458" s="143">
        <v>0</v>
      </c>
      <c r="CE1458" s="143">
        <v>0</v>
      </c>
      <c r="CF1458" s="143">
        <v>0</v>
      </c>
      <c r="CG1458" s="143">
        <v>0</v>
      </c>
      <c r="CH1458" s="143">
        <v>0</v>
      </c>
      <c r="CI1458" s="143">
        <v>0</v>
      </c>
      <c r="CJ1458" s="143">
        <v>0</v>
      </c>
      <c r="CK1458" s="143">
        <v>0</v>
      </c>
      <c r="CL1458" s="143">
        <v>0</v>
      </c>
      <c r="CM1458" s="143">
        <v>0</v>
      </c>
      <c r="CN1458" t="str">
        <f>IF(BL1458&lt;BK1458,"refNeedCorrection","refOK")</f>
        <v>refOK</v>
      </c>
      <c r="CO1458"/>
      <c r="CP1458"/>
      <c r="CQ1458"/>
      <c r="CR1458">
        <f>IF($CN1458="refOK",$BS1458,$BT1458)*IF($BP1458="Emissions positive",-1,1)</f>
        <v>-81.193580800000007</v>
      </c>
      <c r="CS1458">
        <f>IF($CN1458="refOK",$BT1458,$BS1458)*IF($BP1458="Emissions positive",-1,1)</f>
        <v>-91.619616399999998</v>
      </c>
      <c r="CT1458">
        <f>IF($CN1458="refNeedCorrection",-BX1458,BX1458)*IF($BP1458="Emissions positive",-1,1)</f>
        <v>-1.0426035599999992E-5</v>
      </c>
      <c r="CU1458" t="str">
        <f>IFERROR(CT1458/CQ1458,"")</f>
        <v/>
      </c>
      <c r="CV1458" s="2">
        <f>IFERROR((CS1458-CR1458)/ABS(CR1458),"")</f>
        <v>-0.12840960451888322</v>
      </c>
      <c r="CW1458" s="1" t="s">
        <v>1203</v>
      </c>
      <c r="CX1458" s="312" t="str">
        <f>IF(OR($CW1458="prd",$CW1458="std",$CW1458="cit"),"loc",IF(OR($CW1458="eur",$CW1458="reg",$CW1458="coy"),"reg",$CW1458))</f>
        <v>reg</v>
      </c>
      <c r="CY1458" t="s">
        <v>235</v>
      </c>
      <c r="CZ1458">
        <v>2010</v>
      </c>
      <c r="DA1458">
        <v>2030</v>
      </c>
      <c r="DB1458" s="143">
        <f>DA1458-CZ1458</f>
        <v>20</v>
      </c>
      <c r="DC1458" t="str">
        <f>IF(DB1458=0,"0",IF(AND(DB1458&gt;=1,DB1458&lt;=30),"1-30",IF(AND(DB1458&gt;30,DB1458&lt;=70),"31-70",IF(AND(DB1458&gt;70,DB1458&lt;=100),"71-100",IF(DB1458&gt;100,"+100")))))</f>
        <v>1-30</v>
      </c>
      <c r="DD1458">
        <v>1</v>
      </c>
      <c r="DE1458">
        <v>1</v>
      </c>
      <c r="DF1458">
        <v>0</v>
      </c>
      <c r="DG1458">
        <v>0</v>
      </c>
      <c r="DI1458">
        <f>SUM(DD1458:DG1458)</f>
        <v>2</v>
      </c>
      <c r="DJ1458" t="str">
        <f>IF(DI1458=1,INDEX($DD$7:$DG$7,MATCH(1,$DD1458:$DG1458,0)),"mixedProduct")</f>
        <v>mixedProduct</v>
      </c>
      <c r="DK1458" t="str">
        <f>IF(DD1458=1,DK$7,0)</f>
        <v>Upstream</v>
      </c>
      <c r="DL1458" t="str">
        <f>IF(DE1458=1,DL$7,0)</f>
        <v>Energy</v>
      </c>
      <c r="DM1458">
        <f>IF(DF1458=1,DM$7,0)</f>
        <v>0</v>
      </c>
      <c r="DN1458">
        <f>IF(DG1458=1,DN$7,0)</f>
        <v>0</v>
      </c>
      <c r="DO1458">
        <v>0</v>
      </c>
      <c r="DP1458" s="143">
        <v>0</v>
      </c>
      <c r="DQ1458" t="s">
        <v>2230</v>
      </c>
      <c r="DR1458">
        <v>0</v>
      </c>
      <c r="DS1458">
        <v>0</v>
      </c>
      <c r="DT1458">
        <f>SUM(DO1458:DP1458)</f>
        <v>0</v>
      </c>
      <c r="DU1458" s="143" t="str">
        <f>IF(DO1458=1,"self-calculated DF",IF(DP1458=1,"external DF used","explicit C balance"))</f>
        <v>explicit C balance</v>
      </c>
      <c r="DV1458" s="143">
        <v>1</v>
      </c>
      <c r="DW1458" s="143">
        <v>1</v>
      </c>
      <c r="DX1458" s="143">
        <v>1</v>
      </c>
      <c r="DY1458" s="143">
        <v>0</v>
      </c>
      <c r="DZ1458" s="143">
        <v>1</v>
      </c>
      <c r="EA1458" s="143">
        <v>0</v>
      </c>
      <c r="EB1458" s="143">
        <v>1</v>
      </c>
      <c r="EC1458" s="143">
        <v>1</v>
      </c>
      <c r="ED1458" s="143">
        <v>0</v>
      </c>
      <c r="EE1458" s="143">
        <v>0</v>
      </c>
      <c r="EF1458" s="143">
        <v>1</v>
      </c>
      <c r="EG1458" s="143">
        <v>0</v>
      </c>
      <c r="EH1458" s="143">
        <v>0</v>
      </c>
      <c r="EI1458" s="196">
        <v>0</v>
      </c>
      <c r="EK1458" t="str">
        <f>IF(AND(AND(AND(OR($DX1458=1,$DW1458=1),OR($EC1458=1,$EA1458=1)),SUM($DV1458:$DZ1458,$EF1458)&gt;=3),SUM($EA1458:$EE1458)&gt;=2),"Whole sector","")</f>
        <v>Whole sector</v>
      </c>
      <c r="EL1458" t="str">
        <f>IF(AND(AND(OR($DX1458=1,$DW1458=1),AND($EC1458=0,$EA1458=0)),SUM($DV1458:$DZ1458,$EF1458)&gt;=3),"Ecosystem approach","")</f>
        <v/>
      </c>
      <c r="EM1458" s="2" t="str">
        <f>IF(AND(AND(AND($DX1458=0,$DW1458=0),OR($EC1458=1,$EA1458=1)),SUM($EB1458:$EE1458)&gt;=2),"Technology approach","")</f>
        <v/>
      </c>
      <c r="EP1458" t="b">
        <f>IF(ISNUMBER(BU1458),IF(ABS(BU1458-[5]QC_indicators!$B$2)&gt;3*[5]QC_indicators!$C$2,"C ratio",IF(ISNUMBER(BY1458),IF(ABS(BY1458-[5]QC_indicators!$B$1)&gt;3*[5]QC_indicators!$C$1,"DF","no"))),IF(ISNUMBER(BY1458),IF(ABS(BY1458-[5]QC_indicators!$B$1)&gt;3*[5]QC_indicators!$C$1,"DF","no")))</f>
        <v>0</v>
      </c>
      <c r="ER1458" s="314" t="s">
        <v>349</v>
      </c>
    </row>
    <row r="1459" spans="1:148" ht="15" customHeight="1">
      <c r="D1459" t="s">
        <v>4060</v>
      </c>
      <c r="E1459" t="s">
        <v>4061</v>
      </c>
      <c r="G1459" t="s">
        <v>829</v>
      </c>
      <c r="I1459">
        <v>2012</v>
      </c>
      <c r="K1459" t="s">
        <v>4062</v>
      </c>
      <c r="M1459" t="str">
        <f>LEFT($D1459,FIND(",",$D1459)-1)&amp;"_"&amp;I1459&amp;L1459</f>
        <v>Repo_2012</v>
      </c>
      <c r="N1459" s="312" t="s">
        <v>4383</v>
      </c>
      <c r="O1459" s="145" t="s">
        <v>225</v>
      </c>
      <c r="Q1459" s="312" t="s">
        <v>256</v>
      </c>
      <c r="R1459" s="313"/>
      <c r="S1459" s="1" t="s">
        <v>2229</v>
      </c>
      <c r="T1459" t="s">
        <v>4063</v>
      </c>
      <c r="U1459" t="s">
        <v>4066</v>
      </c>
      <c r="V1459" s="143">
        <v>0</v>
      </c>
      <c r="W1459" s="143">
        <v>0</v>
      </c>
      <c r="X1459" s="143">
        <v>0</v>
      </c>
      <c r="Y1459" s="143">
        <v>1</v>
      </c>
      <c r="Z1459" s="143">
        <v>0</v>
      </c>
      <c r="AA1459" s="143">
        <v>0</v>
      </c>
      <c r="AB1459" s="143">
        <v>0</v>
      </c>
      <c r="AC1459" s="143">
        <v>0</v>
      </c>
      <c r="AD1459" s="143">
        <v>0</v>
      </c>
      <c r="AE1459" s="143">
        <v>0</v>
      </c>
      <c r="AF1459" s="143">
        <v>0</v>
      </c>
      <c r="AG1459" s="143">
        <v>0</v>
      </c>
      <c r="AH1459" s="143">
        <v>0</v>
      </c>
      <c r="AI1459" s="143">
        <v>0</v>
      </c>
      <c r="AJ1459" s="143">
        <v>0</v>
      </c>
      <c r="AK1459" s="143">
        <v>0</v>
      </c>
      <c r="AL1459" s="143">
        <v>0</v>
      </c>
      <c r="AM1459" s="143">
        <v>0</v>
      </c>
      <c r="AN1459" s="143">
        <v>0</v>
      </c>
      <c r="AO1459" s="143">
        <v>0</v>
      </c>
      <c r="AP1459" s="143">
        <v>0</v>
      </c>
      <c r="AQ1459" s="143">
        <v>0</v>
      </c>
      <c r="AR1459" s="143">
        <v>0</v>
      </c>
      <c r="AS1459" s="143">
        <v>0</v>
      </c>
      <c r="AT1459" s="143">
        <v>0</v>
      </c>
      <c r="AU1459" s="143">
        <v>0</v>
      </c>
      <c r="AV1459" s="143">
        <v>0</v>
      </c>
      <c r="AW1459" s="143">
        <v>0</v>
      </c>
      <c r="AX1459" s="141">
        <f>COUNTIF(V1459:AW1459,"&lt;&gt;0")</f>
        <v>1</v>
      </c>
      <c r="AY1459" s="141">
        <f>COUNTIF(V1459:AL1459,"&lt;&gt;0")</f>
        <v>1</v>
      </c>
      <c r="AZ1459">
        <f>COUNTIF(V1459:AC1459,"&lt;&gt;0")</f>
        <v>1</v>
      </c>
      <c r="BA1459">
        <f>COUNTIF(AD1459:AI1459,"&lt;&gt;0")</f>
        <v>0</v>
      </c>
      <c r="BB1459">
        <f>COUNTIF(AJ1459:AL1459,"&lt;&gt;0")</f>
        <v>0</v>
      </c>
      <c r="BC1459">
        <f>COUNTIF(AS1459:AW1459,"&lt;&gt;0")</f>
        <v>0</v>
      </c>
      <c r="BD1459">
        <f>COUNTIF(AM1459:AR1459,"&lt;&gt;0")</f>
        <v>0</v>
      </c>
      <c r="BE1459" t="str" cm="1">
        <f t="array" ref="BE1459">IF(AY1459=1,INDEX($V$7:$AL$7,MATCH(TRUE,INDEX($V1459:$AW1459&lt;&gt;0,),0)),IF(AY1459=0,INDEX($AM$7:$AW$7,MATCH(1,$AM1459:$AW1459,0)),IF(BF1459="Multiple strategies","mixed drivers",IF(BF1459="Supply chain","multiple supply","multiple silviculture"))))</f>
        <v xml:space="preserve">cutting intensity </v>
      </c>
      <c r="BF1459" s="2" t="str" cm="1">
        <f t="array" ref="BF1459">IF(COUNTIF(AZ1459:BB1459,"&lt;&gt;0")=1,INDEX($V$4:$AW$4,MATCH(TRUE,INDEX($V1459:$AW1459&lt;&gt;0,),0)),IF(COUNTIF(AZ1459:BB1459,"&lt;&gt;0")=0,INDEX($AM$4:$AW$4,MATCH(1,$AM1459:$AW1459,0)),"Multiple strategies"))</f>
        <v>Silviculture for removals</v>
      </c>
      <c r="BP1459" s="312" t="s">
        <v>232</v>
      </c>
      <c r="BQ1459" s="312"/>
      <c r="BR1459" t="s">
        <v>4065</v>
      </c>
      <c r="BS1459">
        <v>-46.669542900000003</v>
      </c>
      <c r="BT1459" s="141">
        <v>-59.701633200000003</v>
      </c>
      <c r="BU1459" s="144">
        <v>1.2792418671835759</v>
      </c>
      <c r="BV1459">
        <v>-13.0320903</v>
      </c>
      <c r="BX1459">
        <f>BV1459/10^6</f>
        <v>-1.3032090300000001E-5</v>
      </c>
      <c r="BY1459" t="str">
        <f>IFERROR(BX1459/BO1459,"")</f>
        <v/>
      </c>
      <c r="BZ1459" s="143">
        <v>0</v>
      </c>
      <c r="CA1459" s="143">
        <v>1</v>
      </c>
      <c r="CB1459" s="143">
        <v>0</v>
      </c>
      <c r="CC1459" s="143">
        <v>1</v>
      </c>
      <c r="CD1459" s="143">
        <v>0</v>
      </c>
      <c r="CE1459" s="143">
        <v>0</v>
      </c>
      <c r="CF1459" s="143">
        <v>0</v>
      </c>
      <c r="CG1459" s="143">
        <v>0</v>
      </c>
      <c r="CH1459" s="143">
        <v>0</v>
      </c>
      <c r="CI1459" s="143">
        <v>0</v>
      </c>
      <c r="CJ1459" s="143">
        <v>0</v>
      </c>
      <c r="CK1459" s="143">
        <v>0</v>
      </c>
      <c r="CL1459" s="143">
        <v>0</v>
      </c>
      <c r="CM1459" s="143">
        <v>0</v>
      </c>
      <c r="CN1459" t="str">
        <f>IF(BL1459&lt;BK1459,"refNeedCorrection","refOK")</f>
        <v>refOK</v>
      </c>
      <c r="CO1459"/>
      <c r="CP1459"/>
      <c r="CQ1459"/>
      <c r="CR1459">
        <f>IF($CN1459="refOK",$BS1459,$BT1459)*IF($BP1459="Emissions positive",-1,1)</f>
        <v>-46.669542900000003</v>
      </c>
      <c r="CS1459">
        <f>IF($CN1459="refOK",$BT1459,$BS1459)*IF($BP1459="Emissions positive",-1,1)</f>
        <v>-59.701633200000003</v>
      </c>
      <c r="CT1459">
        <f>IF($CN1459="refNeedCorrection",-BX1459,BX1459)*IF($BP1459="Emissions positive",-1,1)</f>
        <v>-1.3032090300000001E-5</v>
      </c>
      <c r="CU1459" t="str">
        <f>IFERROR(CT1459/CQ1459,"")</f>
        <v/>
      </c>
      <c r="CV1459" s="2">
        <f>IFERROR((CS1459-CR1459)/ABS(CR1459),"")</f>
        <v>-0.27924186718357591</v>
      </c>
      <c r="CW1459" s="1" t="s">
        <v>1203</v>
      </c>
      <c r="CX1459" s="312" t="str">
        <f>IF(OR($CW1459="prd",$CW1459="std",$CW1459="cit"),"loc",IF(OR($CW1459="eur",$CW1459="reg",$CW1459="coy"),"reg",$CW1459))</f>
        <v>reg</v>
      </c>
      <c r="CY1459" t="s">
        <v>235</v>
      </c>
      <c r="CZ1459">
        <v>2010</v>
      </c>
      <c r="DA1459">
        <v>2110</v>
      </c>
      <c r="DB1459" s="143">
        <f>DA1459-CZ1459</f>
        <v>100</v>
      </c>
      <c r="DC1459" t="str">
        <f>IF(DB1459=0,"0",IF(AND(DB1459&gt;=1,DB1459&lt;=30),"1-30",IF(AND(DB1459&gt;30,DB1459&lt;=70),"31-70",IF(AND(DB1459&gt;70,DB1459&lt;=100),"71-100",IF(DB1459&gt;100,"+100")))))</f>
        <v>71-100</v>
      </c>
      <c r="DD1459">
        <v>1</v>
      </c>
      <c r="DE1459">
        <v>1</v>
      </c>
      <c r="DF1459">
        <v>0</v>
      </c>
      <c r="DG1459">
        <v>0</v>
      </c>
      <c r="DI1459">
        <f>SUM(DD1459:DG1459)</f>
        <v>2</v>
      </c>
      <c r="DJ1459" t="str">
        <f>IF(DI1459=1,INDEX($DD$7:$DG$7,MATCH(1,$DD1459:$DG1459,0)),"mixedProduct")</f>
        <v>mixedProduct</v>
      </c>
      <c r="DK1459" t="str">
        <f>IF(DD1459=1,DK$7,0)</f>
        <v>Upstream</v>
      </c>
      <c r="DL1459" t="str">
        <f>IF(DE1459=1,DL$7,0)</f>
        <v>Energy</v>
      </c>
      <c r="DM1459">
        <f>IF(DF1459=1,DM$7,0)</f>
        <v>0</v>
      </c>
      <c r="DN1459">
        <f>IF(DG1459=1,DN$7,0)</f>
        <v>0</v>
      </c>
      <c r="DO1459">
        <v>0</v>
      </c>
      <c r="DP1459" s="143">
        <v>0</v>
      </c>
      <c r="DQ1459" t="s">
        <v>2230</v>
      </c>
      <c r="DR1459">
        <v>0</v>
      </c>
      <c r="DS1459">
        <v>0</v>
      </c>
      <c r="DT1459">
        <f>SUM(DO1459:DP1459)</f>
        <v>0</v>
      </c>
      <c r="DU1459" s="143" t="str">
        <f>IF(DO1459=1,"self-calculated DF",IF(DP1459=1,"external DF used","explicit C balance"))</f>
        <v>explicit C balance</v>
      </c>
      <c r="DV1459" s="143">
        <v>1</v>
      </c>
      <c r="DW1459" s="143">
        <v>1</v>
      </c>
      <c r="DX1459" s="143">
        <v>1</v>
      </c>
      <c r="DY1459" s="143">
        <v>0</v>
      </c>
      <c r="DZ1459" s="143">
        <v>1</v>
      </c>
      <c r="EA1459" s="143">
        <v>0</v>
      </c>
      <c r="EB1459" s="143">
        <v>1</v>
      </c>
      <c r="EC1459" s="143">
        <v>1</v>
      </c>
      <c r="ED1459" s="143">
        <v>0</v>
      </c>
      <c r="EE1459" s="143">
        <v>0</v>
      </c>
      <c r="EF1459" s="143">
        <v>1</v>
      </c>
      <c r="EG1459" s="143">
        <v>0</v>
      </c>
      <c r="EH1459" s="143">
        <v>0</v>
      </c>
      <c r="EI1459" s="196">
        <v>0</v>
      </c>
      <c r="EK1459" t="str">
        <f>IF(AND(AND(AND(OR($DX1459=1,$DW1459=1),OR($EC1459=1,$EA1459=1)),SUM($DV1459:$DZ1459,$EF1459)&gt;=3),SUM($EA1459:$EE1459)&gt;=2),"Whole sector","")</f>
        <v>Whole sector</v>
      </c>
      <c r="EL1459" t="str">
        <f>IF(AND(AND(OR($DX1459=1,$DW1459=1),AND($EC1459=0,$EA1459=0)),SUM($DV1459:$DZ1459,$EF1459)&gt;=3),"Ecosystem approach","")</f>
        <v/>
      </c>
      <c r="EM1459" s="2" t="str">
        <f>IF(AND(AND(AND($DX1459=0,$DW1459=0),OR($EC1459=1,$EA1459=1)),SUM($EB1459:$EE1459)&gt;=2),"Technology approach","")</f>
        <v/>
      </c>
      <c r="EP1459" t="b">
        <f>IF(ISNUMBER(BU1459),IF(ABS(BU1459-[5]QC_indicators!$B$2)&gt;3*[5]QC_indicators!$C$2,"C ratio",IF(ISNUMBER(BY1459),IF(ABS(BY1459-[5]QC_indicators!$B$1)&gt;3*[5]QC_indicators!$C$1,"DF","no"))),IF(ISNUMBER(BY1459),IF(ABS(BY1459-[5]QC_indicators!$B$1)&gt;3*[5]QC_indicators!$C$1,"DF","no")))</f>
        <v>0</v>
      </c>
      <c r="ER1459" s="314" t="s">
        <v>349</v>
      </c>
    </row>
    <row r="1460" spans="1:148" ht="15" customHeight="1">
      <c r="D1460" t="s">
        <v>4060</v>
      </c>
      <c r="E1460" t="s">
        <v>4061</v>
      </c>
      <c r="G1460" t="s">
        <v>829</v>
      </c>
      <c r="I1460">
        <v>2012</v>
      </c>
      <c r="K1460" t="s">
        <v>4062</v>
      </c>
      <c r="M1460" t="str">
        <f>LEFT($D1460,FIND(",",$D1460)-1)&amp;"_"&amp;I1460&amp;L1460</f>
        <v>Repo_2012</v>
      </c>
      <c r="N1460" s="312" t="s">
        <v>4383</v>
      </c>
      <c r="O1460" s="145" t="s">
        <v>225</v>
      </c>
      <c r="Q1460" s="312" t="s">
        <v>256</v>
      </c>
      <c r="R1460" s="313"/>
      <c r="S1460" s="1" t="s">
        <v>4067</v>
      </c>
      <c r="T1460" t="s">
        <v>4063</v>
      </c>
      <c r="U1460" t="s">
        <v>4064</v>
      </c>
      <c r="V1460" s="143">
        <v>0</v>
      </c>
      <c r="W1460" s="143">
        <v>0</v>
      </c>
      <c r="X1460" s="143">
        <v>0</v>
      </c>
      <c r="Y1460" s="143">
        <v>0</v>
      </c>
      <c r="Z1460" s="143">
        <v>0</v>
      </c>
      <c r="AA1460" s="143">
        <v>0</v>
      </c>
      <c r="AB1460" s="143">
        <v>0</v>
      </c>
      <c r="AC1460" s="143">
        <v>0</v>
      </c>
      <c r="AD1460" s="143">
        <v>0</v>
      </c>
      <c r="AE1460" s="143">
        <v>0</v>
      </c>
      <c r="AF1460" s="143">
        <v>0</v>
      </c>
      <c r="AG1460" s="143">
        <v>0</v>
      </c>
      <c r="AH1460" s="143">
        <v>0</v>
      </c>
      <c r="AI1460" s="143">
        <v>0</v>
      </c>
      <c r="AJ1460" s="143">
        <v>1</v>
      </c>
      <c r="AK1460" s="143">
        <v>0</v>
      </c>
      <c r="AL1460" s="143">
        <v>0</v>
      </c>
      <c r="AM1460" s="143">
        <v>0</v>
      </c>
      <c r="AN1460" s="143">
        <v>0</v>
      </c>
      <c r="AO1460" s="143">
        <v>0</v>
      </c>
      <c r="AP1460" s="143">
        <v>0</v>
      </c>
      <c r="AQ1460" s="143">
        <v>0</v>
      </c>
      <c r="AR1460" s="143">
        <v>0</v>
      </c>
      <c r="AS1460" s="143">
        <v>0</v>
      </c>
      <c r="AT1460" s="143">
        <v>0</v>
      </c>
      <c r="AU1460" s="143">
        <v>0</v>
      </c>
      <c r="AV1460" s="143">
        <v>0</v>
      </c>
      <c r="AW1460" s="143">
        <v>0</v>
      </c>
      <c r="AX1460" s="141">
        <f>COUNTIF(V1460:AW1460,"&lt;&gt;0")</f>
        <v>1</v>
      </c>
      <c r="AY1460" s="141">
        <f>COUNTIF(V1460:AL1460,"&lt;&gt;0")</f>
        <v>1</v>
      </c>
      <c r="AZ1460">
        <f>COUNTIF(V1460:AC1460,"&lt;&gt;0")</f>
        <v>0</v>
      </c>
      <c r="BA1460">
        <f>COUNTIF(AD1460:AI1460,"&lt;&gt;0")</f>
        <v>0</v>
      </c>
      <c r="BB1460">
        <f>COUNTIF(AJ1460:AL1460,"&lt;&gt;0")</f>
        <v>1</v>
      </c>
      <c r="BC1460">
        <f>COUNTIF(AS1460:AW1460,"&lt;&gt;0")</f>
        <v>0</v>
      </c>
      <c r="BD1460">
        <f>COUNTIF(AM1460:AR1460,"&lt;&gt;0")</f>
        <v>0</v>
      </c>
      <c r="BE1460" t="str" cm="1">
        <f t="array" ref="BE1460">IF(AY1460=1,INDEX($V$7:$AL$7,MATCH(TRUE,INDEX($V1460:$AW1460&lt;&gt;0,),0)),IF(AY1460=0,INDEX($AM$7:$AW$7,MATCH(1,$AM1460:$AW1460,0)),IF(BF1460="Multiple strategies","mixed drivers",IF(BF1460="Supply chain","multiple supply","multiple silviculture"))))</f>
        <v>efficiency improvement</v>
      </c>
      <c r="BF1460" s="2" t="str" cm="1">
        <f t="array" ref="BF1460">IF(COUNTIF(AZ1460:BB1460,"&lt;&gt;0")=1,INDEX($V$4:$AW$4,MATCH(TRUE,INDEX($V1460:$AW1460&lt;&gt;0,),0)),IF(COUNTIF(AZ1460:BB1460,"&lt;&gt;0")=0,INDEX($AM$4:$AW$4,MATCH(1,$AM1460:$AW1460,0)),"Multiple strategies"))</f>
        <v>Technology</v>
      </c>
      <c r="BP1460" s="312" t="s">
        <v>232</v>
      </c>
      <c r="BQ1460" s="312"/>
      <c r="BR1460" t="s">
        <v>4065</v>
      </c>
      <c r="BS1460" s="141">
        <v>-110</v>
      </c>
      <c r="BT1460" s="141">
        <v>-56.411650799999997</v>
      </c>
      <c r="BU1460" s="144">
        <v>0.51283318909090903</v>
      </c>
      <c r="BV1460">
        <v>53.588349200000003</v>
      </c>
      <c r="BX1460">
        <f>BV1460/10^6</f>
        <v>5.35883492E-5</v>
      </c>
      <c r="BY1460" t="str">
        <f>IFERROR(BX1460/BO1460,"")</f>
        <v/>
      </c>
      <c r="BZ1460" s="143">
        <v>0</v>
      </c>
      <c r="CA1460" s="143">
        <v>1</v>
      </c>
      <c r="CB1460" s="143">
        <v>0</v>
      </c>
      <c r="CC1460" s="143">
        <v>1</v>
      </c>
      <c r="CD1460" s="143">
        <v>0</v>
      </c>
      <c r="CE1460" s="143">
        <v>0</v>
      </c>
      <c r="CF1460" s="143">
        <v>0</v>
      </c>
      <c r="CG1460" s="143">
        <v>0</v>
      </c>
      <c r="CH1460" s="143">
        <v>0</v>
      </c>
      <c r="CI1460" s="143">
        <v>0</v>
      </c>
      <c r="CJ1460" s="143">
        <v>0</v>
      </c>
      <c r="CK1460" s="143">
        <v>0</v>
      </c>
      <c r="CL1460" s="143">
        <v>0</v>
      </c>
      <c r="CM1460" s="143">
        <v>0</v>
      </c>
      <c r="CN1460" t="str">
        <f>IF(BL1460&lt;BK1460,"refNeedCorrection","refOK")</f>
        <v>refOK</v>
      </c>
      <c r="CO1460"/>
      <c r="CP1460"/>
      <c r="CQ1460"/>
      <c r="CR1460">
        <f>IF($CN1460="refOK",$BS1460,$BT1460)*IF($BP1460="Emissions positive",-1,1)</f>
        <v>-110</v>
      </c>
      <c r="CS1460">
        <f>IF($CN1460="refOK",$BT1460,$BS1460)*IF($BP1460="Emissions positive",-1,1)</f>
        <v>-56.411650799999997</v>
      </c>
      <c r="CT1460">
        <f>IF($CN1460="refNeedCorrection",-BX1460,BX1460)*IF($BP1460="Emissions positive",-1,1)</f>
        <v>5.35883492E-5</v>
      </c>
      <c r="CU1460" t="str">
        <f>IFERROR(CT1460/CQ1460,"")</f>
        <v/>
      </c>
      <c r="CV1460" s="2">
        <f>IFERROR((CS1460-CR1460)/ABS(CR1460),"")</f>
        <v>0.48716681090909092</v>
      </c>
      <c r="CW1460" s="1" t="s">
        <v>1203</v>
      </c>
      <c r="CX1460" s="312" t="str">
        <f>IF(OR($CW1460="prd",$CW1460="std",$CW1460="cit"),"loc",IF(OR($CW1460="eur",$CW1460="reg",$CW1460="coy"),"reg",$CW1460))</f>
        <v>reg</v>
      </c>
      <c r="CY1460" t="s">
        <v>235</v>
      </c>
      <c r="CZ1460">
        <v>2010</v>
      </c>
      <c r="DA1460">
        <v>2070</v>
      </c>
      <c r="DB1460" s="143">
        <f>DA1460-CZ1460</f>
        <v>60</v>
      </c>
      <c r="DC1460" t="str">
        <f>IF(DB1460=0,"0",IF(AND(DB1460&gt;=1,DB1460&lt;=30),"1-30",IF(AND(DB1460&gt;30,DB1460&lt;=70),"31-70",IF(AND(DB1460&gt;70,DB1460&lt;=100),"71-100",IF(DB1460&gt;100,"+100")))))</f>
        <v>31-70</v>
      </c>
      <c r="DD1460">
        <v>1</v>
      </c>
      <c r="DE1460">
        <v>1</v>
      </c>
      <c r="DF1460">
        <v>0</v>
      </c>
      <c r="DG1460">
        <v>0</v>
      </c>
      <c r="DI1460">
        <f>SUM(DD1460:DG1460)</f>
        <v>2</v>
      </c>
      <c r="DJ1460" t="str">
        <f>IF(DI1460=1,INDEX($DD$7:$DG$7,MATCH(1,$DD1460:$DG1460,0)),"mixedProduct")</f>
        <v>mixedProduct</v>
      </c>
      <c r="DK1460" t="str">
        <f>IF(DD1460=1,DK$7,0)</f>
        <v>Upstream</v>
      </c>
      <c r="DL1460" t="str">
        <f>IF(DE1460=1,DL$7,0)</f>
        <v>Energy</v>
      </c>
      <c r="DM1460">
        <f>IF(DF1460=1,DM$7,0)</f>
        <v>0</v>
      </c>
      <c r="DN1460">
        <f>IF(DG1460=1,DN$7,0)</f>
        <v>0</v>
      </c>
      <c r="DO1460">
        <v>0</v>
      </c>
      <c r="DP1460" s="143">
        <v>0</v>
      </c>
      <c r="DQ1460" t="s">
        <v>2230</v>
      </c>
      <c r="DR1460">
        <v>0</v>
      </c>
      <c r="DS1460">
        <v>0</v>
      </c>
      <c r="DT1460">
        <f>SUM(DO1460:DP1460)</f>
        <v>0</v>
      </c>
      <c r="DU1460" s="143" t="str">
        <f>IF(DO1460=1,"self-calculated DF",IF(DP1460=1,"external DF used","explicit C balance"))</f>
        <v>explicit C balance</v>
      </c>
      <c r="DV1460" s="143">
        <v>1</v>
      </c>
      <c r="DW1460" s="143">
        <v>1</v>
      </c>
      <c r="DX1460" s="143">
        <v>1</v>
      </c>
      <c r="DY1460" s="143">
        <v>0</v>
      </c>
      <c r="DZ1460" s="143">
        <v>1</v>
      </c>
      <c r="EA1460" s="143">
        <v>0</v>
      </c>
      <c r="EB1460" s="143">
        <v>1</v>
      </c>
      <c r="EC1460" s="143">
        <v>1</v>
      </c>
      <c r="ED1460" s="143">
        <v>0</v>
      </c>
      <c r="EE1460" s="143">
        <v>0</v>
      </c>
      <c r="EF1460" s="143">
        <v>1</v>
      </c>
      <c r="EG1460" s="143">
        <v>0</v>
      </c>
      <c r="EH1460" s="143">
        <v>0</v>
      </c>
      <c r="EI1460" s="196">
        <v>0</v>
      </c>
      <c r="EK1460" t="str">
        <f>IF(AND(AND(AND(OR($DX1460=1,$DW1460=1),OR($EC1460=1,$EA1460=1)),SUM($DV1460:$DZ1460,$EF1460)&gt;=3),SUM($EA1460:$EE1460)&gt;=2),"Whole sector","")</f>
        <v>Whole sector</v>
      </c>
      <c r="EL1460" t="str">
        <f>IF(AND(AND(OR($DX1460=1,$DW1460=1),AND($EC1460=0,$EA1460=0)),SUM($DV1460:$DZ1460,$EF1460)&gt;=3),"Ecosystem approach","")</f>
        <v/>
      </c>
      <c r="EM1460" s="2" t="str">
        <f>IF(AND(AND(AND($DX1460=0,$DW1460=0),OR($EC1460=1,$EA1460=1)),SUM($EB1460:$EE1460)&gt;=2),"Technology approach","")</f>
        <v/>
      </c>
      <c r="EP1460" t="b">
        <f>IF(ISNUMBER(BU1460),IF(ABS(BU1460-[5]QC_indicators!$B$2)&gt;3*[5]QC_indicators!$C$2,"C ratio",IF(ISNUMBER(BY1460),IF(ABS(BY1460-[5]QC_indicators!$B$1)&gt;3*[5]QC_indicators!$C$1,"DF","no"))),IF(ISNUMBER(BY1460),IF(ABS(BY1460-[5]QC_indicators!$B$1)&gt;3*[5]QC_indicators!$C$1,"DF","no")))</f>
        <v>0</v>
      </c>
      <c r="ER1460" s="314" t="s">
        <v>349</v>
      </c>
    </row>
    <row r="1461" spans="1:148" ht="15" customHeight="1">
      <c r="D1461" t="s">
        <v>4060</v>
      </c>
      <c r="E1461" t="s">
        <v>4061</v>
      </c>
      <c r="G1461" t="s">
        <v>829</v>
      </c>
      <c r="I1461">
        <v>2012</v>
      </c>
      <c r="K1461" t="s">
        <v>4062</v>
      </c>
      <c r="M1461" t="str">
        <f>LEFT($D1461,FIND(",",$D1461)-1)&amp;"_"&amp;I1461&amp;L1461</f>
        <v>Repo_2012</v>
      </c>
      <c r="N1461" s="312" t="s">
        <v>4383</v>
      </c>
      <c r="O1461" s="145" t="s">
        <v>225</v>
      </c>
      <c r="Q1461" s="312" t="s">
        <v>256</v>
      </c>
      <c r="R1461" s="313"/>
      <c r="S1461" s="1" t="s">
        <v>4067</v>
      </c>
      <c r="T1461" t="s">
        <v>4063</v>
      </c>
      <c r="U1461" t="s">
        <v>4064</v>
      </c>
      <c r="V1461" s="143">
        <v>0</v>
      </c>
      <c r="W1461" s="143">
        <v>0</v>
      </c>
      <c r="X1461" s="143">
        <v>0</v>
      </c>
      <c r="Y1461" s="143">
        <v>0</v>
      </c>
      <c r="Z1461" s="143">
        <v>0</v>
      </c>
      <c r="AA1461" s="143">
        <v>0</v>
      </c>
      <c r="AB1461" s="143">
        <v>0</v>
      </c>
      <c r="AC1461" s="143">
        <v>0</v>
      </c>
      <c r="AD1461" s="143">
        <v>0</v>
      </c>
      <c r="AE1461" s="143">
        <v>0</v>
      </c>
      <c r="AF1461" s="143">
        <v>0</v>
      </c>
      <c r="AG1461" s="143">
        <v>0</v>
      </c>
      <c r="AH1461" s="143">
        <v>0</v>
      </c>
      <c r="AI1461" s="143">
        <v>0</v>
      </c>
      <c r="AJ1461" s="143">
        <v>1</v>
      </c>
      <c r="AK1461" s="143">
        <v>0</v>
      </c>
      <c r="AL1461" s="143">
        <v>0</v>
      </c>
      <c r="AM1461" s="143">
        <v>0</v>
      </c>
      <c r="AN1461" s="143">
        <v>0</v>
      </c>
      <c r="AO1461" s="143">
        <v>0</v>
      </c>
      <c r="AP1461" s="143">
        <v>0</v>
      </c>
      <c r="AQ1461" s="143">
        <v>0</v>
      </c>
      <c r="AR1461" s="143">
        <v>0</v>
      </c>
      <c r="AS1461" s="143">
        <v>0</v>
      </c>
      <c r="AT1461" s="143">
        <v>0</v>
      </c>
      <c r="AU1461" s="143">
        <v>0</v>
      </c>
      <c r="AV1461" s="143">
        <v>0</v>
      </c>
      <c r="AW1461" s="143">
        <v>0</v>
      </c>
      <c r="AX1461" s="141">
        <f>COUNTIF(V1461:AW1461,"&lt;&gt;0")</f>
        <v>1</v>
      </c>
      <c r="AY1461" s="141">
        <f>COUNTIF(V1461:AL1461,"&lt;&gt;0")</f>
        <v>1</v>
      </c>
      <c r="AZ1461">
        <f>COUNTIF(V1461:AC1461,"&lt;&gt;0")</f>
        <v>0</v>
      </c>
      <c r="BA1461">
        <f>COUNTIF(AD1461:AI1461,"&lt;&gt;0")</f>
        <v>0</v>
      </c>
      <c r="BB1461">
        <f>COUNTIF(AJ1461:AL1461,"&lt;&gt;0")</f>
        <v>1</v>
      </c>
      <c r="BC1461">
        <f>COUNTIF(AS1461:AW1461,"&lt;&gt;0")</f>
        <v>0</v>
      </c>
      <c r="BD1461">
        <f>COUNTIF(AM1461:AR1461,"&lt;&gt;0")</f>
        <v>0</v>
      </c>
      <c r="BE1461" t="str" cm="1">
        <f t="array" ref="BE1461">IF(AY1461=1,INDEX($V$7:$AL$7,MATCH(TRUE,INDEX($V1461:$AW1461&lt;&gt;0,),0)),IF(AY1461=0,INDEX($AM$7:$AW$7,MATCH(1,$AM1461:$AW1461,0)),IF(BF1461="Multiple strategies","mixed drivers",IF(BF1461="Supply chain","multiple supply","multiple silviculture"))))</f>
        <v>efficiency improvement</v>
      </c>
      <c r="BF1461" s="2" t="str" cm="1">
        <f t="array" ref="BF1461">IF(COUNTIF(AZ1461:BB1461,"&lt;&gt;0")=1,INDEX($V$4:$AW$4,MATCH(TRUE,INDEX($V1461:$AW1461&lt;&gt;0,),0)),IF(COUNTIF(AZ1461:BB1461,"&lt;&gt;0")=0,INDEX($AM$4:$AW$4,MATCH(1,$AM1461:$AW1461,0)),"Multiple strategies"))</f>
        <v>Technology</v>
      </c>
      <c r="BP1461" s="312" t="s">
        <v>232</v>
      </c>
      <c r="BQ1461" s="312"/>
      <c r="BR1461" t="s">
        <v>4065</v>
      </c>
      <c r="BS1461" s="141">
        <v>-110</v>
      </c>
      <c r="BT1461" s="141">
        <v>-81.193580800000007</v>
      </c>
      <c r="BU1461" s="144">
        <v>0.73812346181818189</v>
      </c>
      <c r="BV1461">
        <v>28.806419199999993</v>
      </c>
      <c r="BX1461">
        <f>BV1461/10^6</f>
        <v>2.8806419199999994E-5</v>
      </c>
      <c r="BY1461" t="str">
        <f>IFERROR(BX1461/BO1461,"")</f>
        <v/>
      </c>
      <c r="BZ1461" s="143">
        <v>0</v>
      </c>
      <c r="CA1461" s="143">
        <v>1</v>
      </c>
      <c r="CB1461" s="143">
        <v>0</v>
      </c>
      <c r="CC1461" s="143">
        <v>1</v>
      </c>
      <c r="CD1461" s="143">
        <v>0</v>
      </c>
      <c r="CE1461" s="143">
        <v>0</v>
      </c>
      <c r="CF1461" s="143">
        <v>0</v>
      </c>
      <c r="CG1461" s="143">
        <v>0</v>
      </c>
      <c r="CH1461" s="143">
        <v>0</v>
      </c>
      <c r="CI1461" s="143">
        <v>0</v>
      </c>
      <c r="CJ1461" s="143">
        <v>0</v>
      </c>
      <c r="CK1461" s="143">
        <v>0</v>
      </c>
      <c r="CL1461" s="143">
        <v>0</v>
      </c>
      <c r="CM1461" s="143">
        <v>0</v>
      </c>
      <c r="CN1461" t="str">
        <f>IF(BL1461&lt;BK1461,"refNeedCorrection","refOK")</f>
        <v>refOK</v>
      </c>
      <c r="CO1461"/>
      <c r="CP1461"/>
      <c r="CQ1461"/>
      <c r="CR1461">
        <f>IF($CN1461="refOK",$BS1461,$BT1461)*IF($BP1461="Emissions positive",-1,1)</f>
        <v>-110</v>
      </c>
      <c r="CS1461">
        <f>IF($CN1461="refOK",$BT1461,$BS1461)*IF($BP1461="Emissions positive",-1,1)</f>
        <v>-81.193580800000007</v>
      </c>
      <c r="CT1461">
        <f>IF($CN1461="refNeedCorrection",-BX1461,BX1461)*IF($BP1461="Emissions positive",-1,1)</f>
        <v>2.8806419199999994E-5</v>
      </c>
      <c r="CU1461" t="str">
        <f>IFERROR(CT1461/CQ1461,"")</f>
        <v/>
      </c>
      <c r="CV1461" s="2">
        <f>IFERROR((CS1461-CR1461)/ABS(CR1461),"")</f>
        <v>0.26187653818181811</v>
      </c>
      <c r="CW1461" s="1" t="s">
        <v>1203</v>
      </c>
      <c r="CX1461" s="312" t="str">
        <f>IF(OR($CW1461="prd",$CW1461="std",$CW1461="cit"),"loc",IF(OR($CW1461="eur",$CW1461="reg",$CW1461="coy"),"reg",$CW1461))</f>
        <v>reg</v>
      </c>
      <c r="CY1461" t="s">
        <v>235</v>
      </c>
      <c r="CZ1461">
        <v>2010</v>
      </c>
      <c r="DA1461">
        <v>2030</v>
      </c>
      <c r="DB1461" s="143">
        <f>DA1461-CZ1461</f>
        <v>20</v>
      </c>
      <c r="DC1461" t="str">
        <f>IF(DB1461=0,"0",IF(AND(DB1461&gt;=1,DB1461&lt;=30),"1-30",IF(AND(DB1461&gt;30,DB1461&lt;=70),"31-70",IF(AND(DB1461&gt;70,DB1461&lt;=100),"71-100",IF(DB1461&gt;100,"+100")))))</f>
        <v>1-30</v>
      </c>
      <c r="DD1461">
        <v>1</v>
      </c>
      <c r="DE1461">
        <v>1</v>
      </c>
      <c r="DF1461">
        <v>0</v>
      </c>
      <c r="DG1461">
        <v>0</v>
      </c>
      <c r="DI1461">
        <f>SUM(DD1461:DG1461)</f>
        <v>2</v>
      </c>
      <c r="DJ1461" t="str">
        <f>IF(DI1461=1,INDEX($DD$7:$DG$7,MATCH(1,$DD1461:$DG1461,0)),"mixedProduct")</f>
        <v>mixedProduct</v>
      </c>
      <c r="DK1461" t="str">
        <f>IF(DD1461=1,DK$7,0)</f>
        <v>Upstream</v>
      </c>
      <c r="DL1461" t="str">
        <f>IF(DE1461=1,DL$7,0)</f>
        <v>Energy</v>
      </c>
      <c r="DM1461">
        <f>IF(DF1461=1,DM$7,0)</f>
        <v>0</v>
      </c>
      <c r="DN1461">
        <f>IF(DG1461=1,DN$7,0)</f>
        <v>0</v>
      </c>
      <c r="DO1461">
        <v>0</v>
      </c>
      <c r="DP1461" s="143">
        <v>0</v>
      </c>
      <c r="DQ1461" t="s">
        <v>2230</v>
      </c>
      <c r="DR1461">
        <v>0</v>
      </c>
      <c r="DS1461">
        <v>0</v>
      </c>
      <c r="DT1461">
        <f>SUM(DO1461:DP1461)</f>
        <v>0</v>
      </c>
      <c r="DU1461" s="143" t="str">
        <f>IF(DO1461=1,"self-calculated DF",IF(DP1461=1,"external DF used","explicit C balance"))</f>
        <v>explicit C balance</v>
      </c>
      <c r="DV1461" s="143">
        <v>1</v>
      </c>
      <c r="DW1461" s="143">
        <v>1</v>
      </c>
      <c r="DX1461" s="143">
        <v>1</v>
      </c>
      <c r="DY1461" s="143">
        <v>0</v>
      </c>
      <c r="DZ1461" s="143">
        <v>1</v>
      </c>
      <c r="EA1461" s="143">
        <v>0</v>
      </c>
      <c r="EB1461" s="143">
        <v>1</v>
      </c>
      <c r="EC1461" s="143">
        <v>1</v>
      </c>
      <c r="ED1461" s="143">
        <v>0</v>
      </c>
      <c r="EE1461" s="143">
        <v>0</v>
      </c>
      <c r="EF1461" s="143">
        <v>1</v>
      </c>
      <c r="EG1461" s="143">
        <v>0</v>
      </c>
      <c r="EH1461" s="143">
        <v>0</v>
      </c>
      <c r="EI1461" s="196">
        <v>0</v>
      </c>
      <c r="EK1461" t="str">
        <f>IF(AND(AND(AND(OR($DX1461=1,$DW1461=1),OR($EC1461=1,$EA1461=1)),SUM($DV1461:$DZ1461,$EF1461)&gt;=3),SUM($EA1461:$EE1461)&gt;=2),"Whole sector","")</f>
        <v>Whole sector</v>
      </c>
      <c r="EL1461" t="str">
        <f>IF(AND(AND(OR($DX1461=1,$DW1461=1),AND($EC1461=0,$EA1461=0)),SUM($DV1461:$DZ1461,$EF1461)&gt;=3),"Ecosystem approach","")</f>
        <v/>
      </c>
      <c r="EM1461" s="2" t="str">
        <f>IF(AND(AND(AND($DX1461=0,$DW1461=0),OR($EC1461=1,$EA1461=1)),SUM($EB1461:$EE1461)&gt;=2),"Technology approach","")</f>
        <v/>
      </c>
      <c r="EP1461" t="b">
        <f>IF(ISNUMBER(BU1461),IF(ABS(BU1461-[5]QC_indicators!$B$2)&gt;3*[5]QC_indicators!$C$2,"C ratio",IF(ISNUMBER(BY1461),IF(ABS(BY1461-[5]QC_indicators!$B$1)&gt;3*[5]QC_indicators!$C$1,"DF","no"))),IF(ISNUMBER(BY1461),IF(ABS(BY1461-[5]QC_indicators!$B$1)&gt;3*[5]QC_indicators!$C$1,"DF","no")))</f>
        <v>0</v>
      </c>
      <c r="ER1461" s="314" t="s">
        <v>349</v>
      </c>
    </row>
    <row r="1462" spans="1:148" ht="15" customHeight="1">
      <c r="D1462" t="s">
        <v>4060</v>
      </c>
      <c r="E1462" t="s">
        <v>4061</v>
      </c>
      <c r="G1462" t="s">
        <v>829</v>
      </c>
      <c r="I1462">
        <v>2012</v>
      </c>
      <c r="K1462" t="s">
        <v>4062</v>
      </c>
      <c r="M1462" t="str">
        <f>LEFT($D1462,FIND(",",$D1462)-1)&amp;"_"&amp;I1462&amp;L1462</f>
        <v>Repo_2012</v>
      </c>
      <c r="N1462" s="312" t="s">
        <v>4383</v>
      </c>
      <c r="O1462" s="145" t="s">
        <v>225</v>
      </c>
      <c r="Q1462" s="312" t="s">
        <v>256</v>
      </c>
      <c r="R1462" s="313"/>
      <c r="S1462" s="1" t="s">
        <v>4067</v>
      </c>
      <c r="T1462" t="s">
        <v>4063</v>
      </c>
      <c r="U1462" t="s">
        <v>4064</v>
      </c>
      <c r="V1462" s="143">
        <v>0</v>
      </c>
      <c r="W1462" s="143">
        <v>0</v>
      </c>
      <c r="X1462" s="143">
        <v>0</v>
      </c>
      <c r="Y1462" s="143">
        <v>0</v>
      </c>
      <c r="Z1462" s="143">
        <v>0</v>
      </c>
      <c r="AA1462" s="143">
        <v>0</v>
      </c>
      <c r="AB1462" s="143">
        <v>0</v>
      </c>
      <c r="AC1462" s="143">
        <v>0</v>
      </c>
      <c r="AD1462" s="143">
        <v>0</v>
      </c>
      <c r="AE1462" s="143">
        <v>0</v>
      </c>
      <c r="AF1462" s="143">
        <v>0</v>
      </c>
      <c r="AG1462" s="143">
        <v>0</v>
      </c>
      <c r="AH1462" s="143">
        <v>0</v>
      </c>
      <c r="AI1462" s="143">
        <v>0</v>
      </c>
      <c r="AJ1462" s="143">
        <v>1</v>
      </c>
      <c r="AK1462" s="143">
        <v>0</v>
      </c>
      <c r="AL1462" s="143">
        <v>0</v>
      </c>
      <c r="AM1462" s="143">
        <v>0</v>
      </c>
      <c r="AN1462" s="143">
        <v>0</v>
      </c>
      <c r="AO1462" s="143">
        <v>0</v>
      </c>
      <c r="AP1462" s="143">
        <v>0</v>
      </c>
      <c r="AQ1462" s="143">
        <v>0</v>
      </c>
      <c r="AR1462" s="143">
        <v>0</v>
      </c>
      <c r="AS1462" s="143">
        <v>0</v>
      </c>
      <c r="AT1462" s="143">
        <v>0</v>
      </c>
      <c r="AU1462" s="143">
        <v>0</v>
      </c>
      <c r="AV1462" s="143">
        <v>0</v>
      </c>
      <c r="AW1462" s="143">
        <v>0</v>
      </c>
      <c r="AX1462" s="141">
        <f>COUNTIF(V1462:AW1462,"&lt;&gt;0")</f>
        <v>1</v>
      </c>
      <c r="AY1462" s="141">
        <f>COUNTIF(V1462:AL1462,"&lt;&gt;0")</f>
        <v>1</v>
      </c>
      <c r="AZ1462">
        <f>COUNTIF(V1462:AC1462,"&lt;&gt;0")</f>
        <v>0</v>
      </c>
      <c r="BA1462">
        <f>COUNTIF(AD1462:AI1462,"&lt;&gt;0")</f>
        <v>0</v>
      </c>
      <c r="BB1462">
        <f>COUNTIF(AJ1462:AL1462,"&lt;&gt;0")</f>
        <v>1</v>
      </c>
      <c r="BC1462">
        <f>COUNTIF(AS1462:AW1462,"&lt;&gt;0")</f>
        <v>0</v>
      </c>
      <c r="BD1462">
        <f>COUNTIF(AM1462:AR1462,"&lt;&gt;0")</f>
        <v>0</v>
      </c>
      <c r="BE1462" t="str" cm="1">
        <f t="array" ref="BE1462">IF(AY1462=1,INDEX($V$7:$AL$7,MATCH(TRUE,INDEX($V1462:$AW1462&lt;&gt;0,),0)),IF(AY1462=0,INDEX($AM$7:$AW$7,MATCH(1,$AM1462:$AW1462,0)),IF(BF1462="Multiple strategies","mixed drivers",IF(BF1462="Supply chain","multiple supply","multiple silviculture"))))</f>
        <v>efficiency improvement</v>
      </c>
      <c r="BF1462" s="2" t="str" cm="1">
        <f t="array" ref="BF1462">IF(COUNTIF(AZ1462:BB1462,"&lt;&gt;0")=1,INDEX($V$4:$AW$4,MATCH(TRUE,INDEX($V1462:$AW1462&lt;&gt;0,),0)),IF(COUNTIF(AZ1462:BB1462,"&lt;&gt;0")=0,INDEX($AM$4:$AW$4,MATCH(1,$AM1462:$AW1462,0)),"Multiple strategies"))</f>
        <v>Technology</v>
      </c>
      <c r="BP1462" s="312" t="s">
        <v>232</v>
      </c>
      <c r="BQ1462" s="312"/>
      <c r="BR1462" t="s">
        <v>4065</v>
      </c>
      <c r="BS1462" s="141">
        <v>-110</v>
      </c>
      <c r="BT1462" s="141">
        <v>-107.01820499999999</v>
      </c>
      <c r="BU1462" s="144">
        <v>0.9728927727272727</v>
      </c>
      <c r="BV1462">
        <v>2.9817950000000053</v>
      </c>
      <c r="BX1462">
        <f>BV1462/10^6</f>
        <v>2.9817950000000051E-6</v>
      </c>
      <c r="BY1462" t="str">
        <f>IFERROR(BX1462/BO1462,"")</f>
        <v/>
      </c>
      <c r="BZ1462" s="143">
        <v>0</v>
      </c>
      <c r="CA1462" s="143">
        <v>1</v>
      </c>
      <c r="CB1462" s="143">
        <v>0</v>
      </c>
      <c r="CC1462" s="143">
        <v>1</v>
      </c>
      <c r="CD1462" s="143">
        <v>0</v>
      </c>
      <c r="CE1462" s="143">
        <v>0</v>
      </c>
      <c r="CF1462" s="143">
        <v>0</v>
      </c>
      <c r="CG1462" s="143">
        <v>0</v>
      </c>
      <c r="CH1462" s="143">
        <v>0</v>
      </c>
      <c r="CI1462" s="143">
        <v>0</v>
      </c>
      <c r="CJ1462" s="143">
        <v>0</v>
      </c>
      <c r="CK1462" s="143">
        <v>0</v>
      </c>
      <c r="CL1462" s="143">
        <v>0</v>
      </c>
      <c r="CM1462" s="143">
        <v>0</v>
      </c>
      <c r="CN1462" t="str">
        <f>IF(BL1462&lt;BK1462,"refNeedCorrection","refOK")</f>
        <v>refOK</v>
      </c>
      <c r="CO1462"/>
      <c r="CP1462"/>
      <c r="CQ1462"/>
      <c r="CR1462">
        <f>IF($CN1462="refOK",$BS1462,$BT1462)*IF($BP1462="Emissions positive",-1,1)</f>
        <v>-110</v>
      </c>
      <c r="CS1462">
        <f>IF($CN1462="refOK",$BT1462,$BS1462)*IF($BP1462="Emissions positive",-1,1)</f>
        <v>-107.01820499999999</v>
      </c>
      <c r="CT1462">
        <f>IF($CN1462="refNeedCorrection",-BX1462,BX1462)*IF($BP1462="Emissions positive",-1,1)</f>
        <v>2.9817950000000051E-6</v>
      </c>
      <c r="CU1462" t="str">
        <f>IFERROR(CT1462/CQ1462,"")</f>
        <v/>
      </c>
      <c r="CV1462" s="2">
        <f>IFERROR((CS1462-CR1462)/ABS(CR1462),"")</f>
        <v>2.7107227272727321E-2</v>
      </c>
      <c r="CW1462" s="1" t="s">
        <v>1203</v>
      </c>
      <c r="CX1462" s="312" t="str">
        <f>IF(OR($CW1462="prd",$CW1462="std",$CW1462="cit"),"loc",IF(OR($CW1462="eur",$CW1462="reg",$CW1462="coy"),"reg",$CW1462))</f>
        <v>reg</v>
      </c>
      <c r="CY1462" t="s">
        <v>235</v>
      </c>
      <c r="CZ1462">
        <v>2010</v>
      </c>
      <c r="DA1462">
        <v>2010</v>
      </c>
      <c r="DB1462" s="143">
        <f>DA1462-CZ1462</f>
        <v>0</v>
      </c>
      <c r="DC1462" t="str">
        <f>IF(DB1462=0,"0",IF(AND(DB1462&gt;=1,DB1462&lt;=30),"1-30",IF(AND(DB1462&gt;30,DB1462&lt;=70),"31-70",IF(AND(DB1462&gt;70,DB1462&lt;=100),"71-100",IF(DB1462&gt;100,"+100")))))</f>
        <v>0</v>
      </c>
      <c r="DD1462">
        <v>1</v>
      </c>
      <c r="DE1462">
        <v>1</v>
      </c>
      <c r="DF1462">
        <v>0</v>
      </c>
      <c r="DG1462">
        <v>0</v>
      </c>
      <c r="DI1462">
        <f>SUM(DD1462:DG1462)</f>
        <v>2</v>
      </c>
      <c r="DJ1462" t="str">
        <f>IF(DI1462=1,INDEX($DD$7:$DG$7,MATCH(1,$DD1462:$DG1462,0)),"mixedProduct")</f>
        <v>mixedProduct</v>
      </c>
      <c r="DK1462" t="str">
        <f>IF(DD1462=1,DK$7,0)</f>
        <v>Upstream</v>
      </c>
      <c r="DL1462" t="str">
        <f>IF(DE1462=1,DL$7,0)</f>
        <v>Energy</v>
      </c>
      <c r="DM1462">
        <f>IF(DF1462=1,DM$7,0)</f>
        <v>0</v>
      </c>
      <c r="DN1462">
        <f>IF(DG1462=1,DN$7,0)</f>
        <v>0</v>
      </c>
      <c r="DO1462">
        <v>0</v>
      </c>
      <c r="DP1462" s="143">
        <v>0</v>
      </c>
      <c r="DQ1462" t="s">
        <v>2230</v>
      </c>
      <c r="DR1462">
        <v>0</v>
      </c>
      <c r="DS1462">
        <v>0</v>
      </c>
      <c r="DT1462">
        <f>SUM(DO1462:DP1462)</f>
        <v>0</v>
      </c>
      <c r="DU1462" s="143" t="str">
        <f>IF(DO1462=1,"self-calculated DF",IF(DP1462=1,"external DF used","explicit C balance"))</f>
        <v>explicit C balance</v>
      </c>
      <c r="DV1462" s="143">
        <v>1</v>
      </c>
      <c r="DW1462" s="143">
        <v>1</v>
      </c>
      <c r="DX1462" s="143">
        <v>1</v>
      </c>
      <c r="DY1462" s="143">
        <v>0</v>
      </c>
      <c r="DZ1462" s="143">
        <v>1</v>
      </c>
      <c r="EA1462" s="143">
        <v>0</v>
      </c>
      <c r="EB1462" s="143">
        <v>1</v>
      </c>
      <c r="EC1462" s="143">
        <v>1</v>
      </c>
      <c r="ED1462" s="143">
        <v>0</v>
      </c>
      <c r="EE1462" s="143">
        <v>0</v>
      </c>
      <c r="EF1462" s="143">
        <v>1</v>
      </c>
      <c r="EG1462" s="143">
        <v>0</v>
      </c>
      <c r="EH1462" s="143">
        <v>0</v>
      </c>
      <c r="EI1462" s="196">
        <v>0</v>
      </c>
      <c r="EK1462" t="str">
        <f>IF(AND(AND(AND(OR($DX1462=1,$DW1462=1),OR($EC1462=1,$EA1462=1)),SUM($DV1462:$DZ1462,$EF1462)&gt;=3),SUM($EA1462:$EE1462)&gt;=2),"Whole sector","")</f>
        <v>Whole sector</v>
      </c>
      <c r="EL1462" t="str">
        <f>IF(AND(AND(OR($DX1462=1,$DW1462=1),AND($EC1462=0,$EA1462=0)),SUM($DV1462:$DZ1462,$EF1462)&gt;=3),"Ecosystem approach","")</f>
        <v/>
      </c>
      <c r="EM1462" s="2" t="str">
        <f>IF(AND(AND(AND($DX1462=0,$DW1462=0),OR($EC1462=1,$EA1462=1)),SUM($EB1462:$EE1462)&gt;=2),"Technology approach","")</f>
        <v/>
      </c>
      <c r="EP1462" t="b">
        <f>IF(ISNUMBER(BU1462),IF(ABS(BU1462-[5]QC_indicators!$B$2)&gt;3*[5]QC_indicators!$C$2,"C ratio",IF(ISNUMBER(BY1462),IF(ABS(BY1462-[5]QC_indicators!$B$1)&gt;3*[5]QC_indicators!$C$1,"DF","no"))),IF(ISNUMBER(BY1462),IF(ABS(BY1462-[5]QC_indicators!$B$1)&gt;3*[5]QC_indicators!$C$1,"DF","no")))</f>
        <v>0</v>
      </c>
      <c r="ER1462" s="314" t="s">
        <v>349</v>
      </c>
    </row>
    <row r="1463" spans="1:148" ht="15" customHeight="1">
      <c r="D1463" t="s">
        <v>4060</v>
      </c>
      <c r="E1463" t="s">
        <v>4061</v>
      </c>
      <c r="G1463" t="s">
        <v>829</v>
      </c>
      <c r="I1463">
        <v>2012</v>
      </c>
      <c r="K1463" t="s">
        <v>4062</v>
      </c>
      <c r="M1463" t="str">
        <f>LEFT($D1463,FIND(",",$D1463)-1)&amp;"_"&amp;I1463&amp;L1463</f>
        <v>Repo_2012</v>
      </c>
      <c r="N1463" s="312" t="s">
        <v>4383</v>
      </c>
      <c r="O1463" s="145" t="s">
        <v>225</v>
      </c>
      <c r="Q1463" s="312" t="s">
        <v>256</v>
      </c>
      <c r="R1463" s="313"/>
      <c r="S1463" s="1" t="s">
        <v>514</v>
      </c>
      <c r="T1463" t="s">
        <v>4063</v>
      </c>
      <c r="U1463" t="s">
        <v>4064</v>
      </c>
      <c r="V1463" s="143">
        <v>0</v>
      </c>
      <c r="W1463" s="143">
        <v>0</v>
      </c>
      <c r="X1463" s="143">
        <v>0</v>
      </c>
      <c r="Y1463" s="143">
        <v>0</v>
      </c>
      <c r="Z1463" s="143">
        <v>0</v>
      </c>
      <c r="AA1463" s="143">
        <v>0</v>
      </c>
      <c r="AB1463" s="143">
        <v>0</v>
      </c>
      <c r="AC1463" s="143">
        <v>0</v>
      </c>
      <c r="AD1463" s="143">
        <v>0</v>
      </c>
      <c r="AE1463" s="143">
        <v>0</v>
      </c>
      <c r="AF1463" s="143">
        <v>0</v>
      </c>
      <c r="AG1463" s="143">
        <v>0</v>
      </c>
      <c r="AH1463" s="143">
        <v>0</v>
      </c>
      <c r="AI1463" s="143">
        <v>0</v>
      </c>
      <c r="AJ1463" s="143">
        <v>1</v>
      </c>
      <c r="AK1463" s="143">
        <v>0</v>
      </c>
      <c r="AL1463" s="143">
        <v>0</v>
      </c>
      <c r="AM1463" s="143">
        <v>0</v>
      </c>
      <c r="AN1463" s="143">
        <v>0</v>
      </c>
      <c r="AO1463" s="143">
        <v>0</v>
      </c>
      <c r="AP1463" s="143">
        <v>0</v>
      </c>
      <c r="AQ1463" s="143">
        <v>0</v>
      </c>
      <c r="AR1463" s="143">
        <v>0</v>
      </c>
      <c r="AS1463" s="143">
        <v>0</v>
      </c>
      <c r="AT1463" s="143">
        <v>0</v>
      </c>
      <c r="AU1463" s="143">
        <v>0</v>
      </c>
      <c r="AV1463" s="143">
        <v>0</v>
      </c>
      <c r="AW1463" s="143">
        <v>0</v>
      </c>
      <c r="AX1463" s="141">
        <f>COUNTIF(V1463:AW1463,"&lt;&gt;0")</f>
        <v>1</v>
      </c>
      <c r="AY1463" s="141">
        <f>COUNTIF(V1463:AL1463,"&lt;&gt;0")</f>
        <v>1</v>
      </c>
      <c r="AZ1463">
        <f>COUNTIF(V1463:AC1463,"&lt;&gt;0")</f>
        <v>0</v>
      </c>
      <c r="BA1463">
        <f>COUNTIF(AD1463:AI1463,"&lt;&gt;0")</f>
        <v>0</v>
      </c>
      <c r="BB1463">
        <f>COUNTIF(AJ1463:AL1463,"&lt;&gt;0")</f>
        <v>1</v>
      </c>
      <c r="BC1463">
        <f>COUNTIF(AS1463:AW1463,"&lt;&gt;0")</f>
        <v>0</v>
      </c>
      <c r="BD1463">
        <f>COUNTIF(AM1463:AR1463,"&lt;&gt;0")</f>
        <v>0</v>
      </c>
      <c r="BE1463" t="str" cm="1">
        <f t="array" ref="BE1463">IF(AY1463=1,INDEX($V$7:$AL$7,MATCH(TRUE,INDEX($V1463:$AW1463&lt;&gt;0,),0)),IF(AY1463=0,INDEX($AM$7:$AW$7,MATCH(1,$AM1463:$AW1463,0)),IF(BF1463="Multiple strategies","mixed drivers",IF(BF1463="Supply chain","multiple supply","multiple silviculture"))))</f>
        <v>efficiency improvement</v>
      </c>
      <c r="BF1463" s="2" t="str" cm="1">
        <f t="array" ref="BF1463">IF(COUNTIF(AZ1463:BB1463,"&lt;&gt;0")=1,INDEX($V$4:$AW$4,MATCH(TRUE,INDEX($V1463:$AW1463&lt;&gt;0,),0)),IF(COUNTIF(AZ1463:BB1463,"&lt;&gt;0")=0,INDEX($AM$4:$AW$4,MATCH(1,$AM1463:$AW1463,0)),"Multiple strategies"))</f>
        <v>Technology</v>
      </c>
      <c r="BP1463" s="312" t="s">
        <v>232</v>
      </c>
      <c r="BQ1463" s="312"/>
      <c r="BR1463" t="s">
        <v>4065</v>
      </c>
      <c r="BS1463" s="141">
        <v>-72.973052800000005</v>
      </c>
      <c r="BT1463" s="141">
        <v>-81.193580800000007</v>
      </c>
      <c r="BU1463" s="144">
        <v>1.1126515567675415</v>
      </c>
      <c r="BV1463">
        <v>-8.2205280000000016</v>
      </c>
      <c r="BX1463">
        <f>BV1463/10^6</f>
        <v>-8.2205280000000019E-6</v>
      </c>
      <c r="BY1463" t="str">
        <f>IFERROR(BX1463/BO1463,"")</f>
        <v/>
      </c>
      <c r="BZ1463" s="143">
        <v>0</v>
      </c>
      <c r="CA1463" s="143">
        <v>1</v>
      </c>
      <c r="CB1463" s="143">
        <v>0</v>
      </c>
      <c r="CC1463" s="143">
        <v>1</v>
      </c>
      <c r="CD1463" s="143">
        <v>0</v>
      </c>
      <c r="CE1463" s="143">
        <v>0</v>
      </c>
      <c r="CF1463" s="143">
        <v>0</v>
      </c>
      <c r="CG1463" s="143">
        <v>0</v>
      </c>
      <c r="CH1463" s="143">
        <v>0</v>
      </c>
      <c r="CI1463" s="143">
        <v>0</v>
      </c>
      <c r="CJ1463" s="143">
        <v>0</v>
      </c>
      <c r="CK1463" s="143">
        <v>0</v>
      </c>
      <c r="CL1463" s="143">
        <v>0</v>
      </c>
      <c r="CM1463" s="143">
        <v>0</v>
      </c>
      <c r="CN1463" t="str">
        <f>IF(BL1463&lt;BK1463,"refNeedCorrection","refOK")</f>
        <v>refOK</v>
      </c>
      <c r="CO1463"/>
      <c r="CP1463"/>
      <c r="CQ1463"/>
      <c r="CR1463">
        <f>IF($CN1463="refOK",$BS1463,$BT1463)*IF($BP1463="Emissions positive",-1,1)</f>
        <v>-72.973052800000005</v>
      </c>
      <c r="CS1463">
        <f>IF($CN1463="refOK",$BT1463,$BS1463)*IF($BP1463="Emissions positive",-1,1)</f>
        <v>-81.193580800000007</v>
      </c>
      <c r="CT1463">
        <f>IF($CN1463="refNeedCorrection",-BX1463,BX1463)*IF($BP1463="Emissions positive",-1,1)</f>
        <v>-8.2205280000000019E-6</v>
      </c>
      <c r="CU1463" t="str">
        <f>IFERROR(CT1463/CQ1463,"")</f>
        <v/>
      </c>
      <c r="CV1463" s="2">
        <f>IFERROR((CS1463-CR1463)/ABS(CR1463),"")</f>
        <v>-0.11265155676754147</v>
      </c>
      <c r="CW1463" s="1" t="s">
        <v>1203</v>
      </c>
      <c r="CX1463" s="312" t="str">
        <f>IF(OR($CW1463="prd",$CW1463="std",$CW1463="cit"),"loc",IF(OR($CW1463="eur",$CW1463="reg",$CW1463="coy"),"reg",$CW1463))</f>
        <v>reg</v>
      </c>
      <c r="CY1463" t="s">
        <v>235</v>
      </c>
      <c r="CZ1463">
        <v>2010</v>
      </c>
      <c r="DA1463">
        <v>2030</v>
      </c>
      <c r="DB1463" s="143">
        <f>DA1463-CZ1463</f>
        <v>20</v>
      </c>
      <c r="DC1463" t="str">
        <f>IF(DB1463=0,"0",IF(AND(DB1463&gt;=1,DB1463&lt;=30),"1-30",IF(AND(DB1463&gt;30,DB1463&lt;=70),"31-70",IF(AND(DB1463&gt;70,DB1463&lt;=100),"71-100",IF(DB1463&gt;100,"+100")))))</f>
        <v>1-30</v>
      </c>
      <c r="DD1463">
        <v>1</v>
      </c>
      <c r="DE1463">
        <v>1</v>
      </c>
      <c r="DF1463">
        <v>0</v>
      </c>
      <c r="DG1463">
        <v>0</v>
      </c>
      <c r="DI1463">
        <f>SUM(DD1463:DG1463)</f>
        <v>2</v>
      </c>
      <c r="DJ1463" t="str">
        <f>IF(DI1463=1,INDEX($DD$7:$DG$7,MATCH(1,$DD1463:$DG1463,0)),"mixedProduct")</f>
        <v>mixedProduct</v>
      </c>
      <c r="DK1463" t="str">
        <f>IF(DD1463=1,DK$7,0)</f>
        <v>Upstream</v>
      </c>
      <c r="DL1463" t="str">
        <f>IF(DE1463=1,DL$7,0)</f>
        <v>Energy</v>
      </c>
      <c r="DM1463">
        <f>IF(DF1463=1,DM$7,0)</f>
        <v>0</v>
      </c>
      <c r="DN1463">
        <f>IF(DG1463=1,DN$7,0)</f>
        <v>0</v>
      </c>
      <c r="DO1463">
        <v>0</v>
      </c>
      <c r="DP1463" s="143">
        <v>0</v>
      </c>
      <c r="DQ1463" t="s">
        <v>2230</v>
      </c>
      <c r="DR1463">
        <v>0</v>
      </c>
      <c r="DS1463">
        <v>0</v>
      </c>
      <c r="DT1463">
        <f>SUM(DO1463:DP1463)</f>
        <v>0</v>
      </c>
      <c r="DU1463" s="143" t="str">
        <f>IF(DO1463=1,"self-calculated DF",IF(DP1463=1,"external DF used","explicit C balance"))</f>
        <v>explicit C balance</v>
      </c>
      <c r="DV1463" s="143">
        <v>1</v>
      </c>
      <c r="DW1463" s="143">
        <v>1</v>
      </c>
      <c r="DX1463" s="143">
        <v>1</v>
      </c>
      <c r="DY1463" s="143">
        <v>0</v>
      </c>
      <c r="DZ1463" s="143">
        <v>1</v>
      </c>
      <c r="EA1463" s="143">
        <v>0</v>
      </c>
      <c r="EB1463" s="143">
        <v>1</v>
      </c>
      <c r="EC1463" s="143">
        <v>1</v>
      </c>
      <c r="ED1463" s="143">
        <v>0</v>
      </c>
      <c r="EE1463" s="143">
        <v>0</v>
      </c>
      <c r="EF1463" s="143">
        <v>1</v>
      </c>
      <c r="EG1463" s="143">
        <v>0</v>
      </c>
      <c r="EH1463" s="143">
        <v>0</v>
      </c>
      <c r="EI1463" s="196">
        <v>0</v>
      </c>
      <c r="EK1463" t="str">
        <f>IF(AND(AND(AND(OR($DX1463=1,$DW1463=1),OR($EC1463=1,$EA1463=1)),SUM($DV1463:$DZ1463,$EF1463)&gt;=3),SUM($EA1463:$EE1463)&gt;=2),"Whole sector","")</f>
        <v>Whole sector</v>
      </c>
      <c r="EL1463" t="str">
        <f>IF(AND(AND(OR($DX1463=1,$DW1463=1),AND($EC1463=0,$EA1463=0)),SUM($DV1463:$DZ1463,$EF1463)&gt;=3),"Ecosystem approach","")</f>
        <v/>
      </c>
      <c r="EM1463" s="2" t="str">
        <f>IF(AND(AND(AND($DX1463=0,$DW1463=0),OR($EC1463=1,$EA1463=1)),SUM($EB1463:$EE1463)&gt;=2),"Technology approach","")</f>
        <v/>
      </c>
      <c r="EP1463" t="b">
        <f>IF(ISNUMBER(BU1463),IF(ABS(BU1463-[5]QC_indicators!$B$2)&gt;3*[5]QC_indicators!$C$2,"C ratio",IF(ISNUMBER(BY1463),IF(ABS(BY1463-[5]QC_indicators!$B$1)&gt;3*[5]QC_indicators!$C$1,"DF","no"))),IF(ISNUMBER(BY1463),IF(ABS(BY1463-[5]QC_indicators!$B$1)&gt;3*[5]QC_indicators!$C$1,"DF","no")))</f>
        <v>0</v>
      </c>
      <c r="ER1463" s="314" t="s">
        <v>349</v>
      </c>
    </row>
    <row r="1464" spans="1:148" ht="15" customHeight="1">
      <c r="D1464" t="s">
        <v>4060</v>
      </c>
      <c r="E1464" t="s">
        <v>4061</v>
      </c>
      <c r="G1464" t="s">
        <v>829</v>
      </c>
      <c r="I1464">
        <v>2012</v>
      </c>
      <c r="K1464" t="s">
        <v>4062</v>
      </c>
      <c r="M1464" t="str">
        <f>LEFT($D1464,FIND(",",$D1464)-1)&amp;"_"&amp;I1464&amp;L1464</f>
        <v>Repo_2012</v>
      </c>
      <c r="N1464" s="312" t="s">
        <v>4383</v>
      </c>
      <c r="O1464" s="145" t="s">
        <v>225</v>
      </c>
      <c r="Q1464" s="312" t="s">
        <v>256</v>
      </c>
      <c r="R1464" s="313"/>
      <c r="S1464" s="1" t="s">
        <v>4067</v>
      </c>
      <c r="T1464" t="s">
        <v>4063</v>
      </c>
      <c r="U1464" t="s">
        <v>4066</v>
      </c>
      <c r="V1464" s="143">
        <v>0</v>
      </c>
      <c r="W1464" s="143">
        <v>0</v>
      </c>
      <c r="X1464" s="143">
        <v>0</v>
      </c>
      <c r="Y1464" s="143">
        <v>0</v>
      </c>
      <c r="Z1464" s="143">
        <v>0</v>
      </c>
      <c r="AA1464" s="143">
        <v>0</v>
      </c>
      <c r="AB1464" s="143">
        <v>0</v>
      </c>
      <c r="AC1464" s="143">
        <v>0</v>
      </c>
      <c r="AD1464" s="143">
        <v>0</v>
      </c>
      <c r="AE1464" s="143">
        <v>0</v>
      </c>
      <c r="AF1464" s="143">
        <v>0</v>
      </c>
      <c r="AG1464" s="143">
        <v>0</v>
      </c>
      <c r="AH1464" s="143">
        <v>0</v>
      </c>
      <c r="AI1464" s="143">
        <v>0</v>
      </c>
      <c r="AJ1464" s="143">
        <v>1</v>
      </c>
      <c r="AK1464" s="143">
        <v>0</v>
      </c>
      <c r="AL1464" s="143">
        <v>0</v>
      </c>
      <c r="AM1464" s="143">
        <v>0</v>
      </c>
      <c r="AN1464" s="143">
        <v>0</v>
      </c>
      <c r="AO1464" s="143">
        <v>0</v>
      </c>
      <c r="AP1464" s="143">
        <v>0</v>
      </c>
      <c r="AQ1464" s="143">
        <v>0</v>
      </c>
      <c r="AR1464" s="143">
        <v>0</v>
      </c>
      <c r="AS1464" s="143">
        <v>0</v>
      </c>
      <c r="AT1464" s="143">
        <v>0</v>
      </c>
      <c r="AU1464" s="143">
        <v>0</v>
      </c>
      <c r="AV1464" s="143">
        <v>0</v>
      </c>
      <c r="AW1464" s="143">
        <v>0</v>
      </c>
      <c r="AX1464" s="141">
        <f>COUNTIF(V1464:AW1464,"&lt;&gt;0")</f>
        <v>1</v>
      </c>
      <c r="AY1464" s="141">
        <f>COUNTIF(V1464:AL1464,"&lt;&gt;0")</f>
        <v>1</v>
      </c>
      <c r="AZ1464">
        <f>COUNTIF(V1464:AC1464,"&lt;&gt;0")</f>
        <v>0</v>
      </c>
      <c r="BA1464">
        <f>COUNTIF(AD1464:AI1464,"&lt;&gt;0")</f>
        <v>0</v>
      </c>
      <c r="BB1464">
        <f>COUNTIF(AJ1464:AL1464,"&lt;&gt;0")</f>
        <v>1</v>
      </c>
      <c r="BC1464">
        <f>COUNTIF(AS1464:AW1464,"&lt;&gt;0")</f>
        <v>0</v>
      </c>
      <c r="BD1464">
        <f>COUNTIF(AM1464:AR1464,"&lt;&gt;0")</f>
        <v>0</v>
      </c>
      <c r="BE1464" t="str" cm="1">
        <f t="array" ref="BE1464">IF(AY1464=1,INDEX($V$7:$AL$7,MATCH(TRUE,INDEX($V1464:$AW1464&lt;&gt;0,),0)),IF(AY1464=0,INDEX($AM$7:$AW$7,MATCH(1,$AM1464:$AW1464,0)),IF(BF1464="Multiple strategies","mixed drivers",IF(BF1464="Supply chain","multiple supply","multiple silviculture"))))</f>
        <v>efficiency improvement</v>
      </c>
      <c r="BF1464" s="2" t="str" cm="1">
        <f t="array" ref="BF1464">IF(COUNTIF(AZ1464:BB1464,"&lt;&gt;0")=1,INDEX($V$4:$AW$4,MATCH(TRUE,INDEX($V1464:$AW1464&lt;&gt;0,),0)),IF(COUNTIF(AZ1464:BB1464,"&lt;&gt;0")=0,INDEX($AM$4:$AW$4,MATCH(1,$AM1464:$AW1464,0)),"Multiple strategies"))</f>
        <v>Technology</v>
      </c>
      <c r="BP1464" s="312" t="s">
        <v>232</v>
      </c>
      <c r="BQ1464" s="312"/>
      <c r="BR1464" t="s">
        <v>4065</v>
      </c>
      <c r="BS1464" s="141">
        <v>-78</v>
      </c>
      <c r="BT1464" s="141">
        <v>-56.411650799999997</v>
      </c>
      <c r="BU1464" s="144">
        <v>0.72322629230769231</v>
      </c>
      <c r="BV1464">
        <v>21.588349200000003</v>
      </c>
      <c r="BX1464">
        <f>BV1464/10^6</f>
        <v>2.1588349200000002E-5</v>
      </c>
      <c r="BY1464" t="str">
        <f>IFERROR(BX1464/BO1464,"")</f>
        <v/>
      </c>
      <c r="BZ1464" s="143">
        <v>0</v>
      </c>
      <c r="CA1464" s="143">
        <v>1</v>
      </c>
      <c r="CB1464" s="143">
        <v>0</v>
      </c>
      <c r="CC1464" s="143">
        <v>1</v>
      </c>
      <c r="CD1464" s="143">
        <v>0</v>
      </c>
      <c r="CE1464" s="143">
        <v>0</v>
      </c>
      <c r="CF1464" s="143">
        <v>0</v>
      </c>
      <c r="CG1464" s="143">
        <v>0</v>
      </c>
      <c r="CH1464" s="143">
        <v>0</v>
      </c>
      <c r="CI1464" s="143">
        <v>0</v>
      </c>
      <c r="CJ1464" s="143">
        <v>0</v>
      </c>
      <c r="CK1464" s="143">
        <v>0</v>
      </c>
      <c r="CL1464" s="143">
        <v>0</v>
      </c>
      <c r="CM1464" s="143">
        <v>0</v>
      </c>
      <c r="CN1464" t="str">
        <f>IF(BL1464&lt;BK1464,"refNeedCorrection","refOK")</f>
        <v>refOK</v>
      </c>
      <c r="CO1464"/>
      <c r="CP1464"/>
      <c r="CQ1464"/>
      <c r="CR1464">
        <f>IF($CN1464="refOK",$BS1464,$BT1464)*IF($BP1464="Emissions positive",-1,1)</f>
        <v>-78</v>
      </c>
      <c r="CS1464">
        <f>IF($CN1464="refOK",$BT1464,$BS1464)*IF($BP1464="Emissions positive",-1,1)</f>
        <v>-56.411650799999997</v>
      </c>
      <c r="CT1464">
        <f>IF($CN1464="refNeedCorrection",-BX1464,BX1464)*IF($BP1464="Emissions positive",-1,1)</f>
        <v>2.1588349200000002E-5</v>
      </c>
      <c r="CU1464" t="str">
        <f>IFERROR(CT1464/CQ1464,"")</f>
        <v/>
      </c>
      <c r="CV1464" s="2">
        <f>IFERROR((CS1464-CR1464)/ABS(CR1464),"")</f>
        <v>0.27677370769230775</v>
      </c>
      <c r="CW1464" s="1" t="s">
        <v>1203</v>
      </c>
      <c r="CX1464" s="312" t="str">
        <f>IF(OR($CW1464="prd",$CW1464="std",$CW1464="cit"),"loc",IF(OR($CW1464="eur",$CW1464="reg",$CW1464="coy"),"reg",$CW1464))</f>
        <v>reg</v>
      </c>
      <c r="CY1464" t="s">
        <v>235</v>
      </c>
      <c r="CZ1464">
        <v>2010</v>
      </c>
      <c r="DA1464">
        <v>2070</v>
      </c>
      <c r="DB1464" s="143">
        <f>DA1464-CZ1464</f>
        <v>60</v>
      </c>
      <c r="DC1464" t="str">
        <f>IF(DB1464=0,"0",IF(AND(DB1464&gt;=1,DB1464&lt;=30),"1-30",IF(AND(DB1464&gt;30,DB1464&lt;=70),"31-70",IF(AND(DB1464&gt;70,DB1464&lt;=100),"71-100",IF(DB1464&gt;100,"+100")))))</f>
        <v>31-70</v>
      </c>
      <c r="DD1464">
        <v>1</v>
      </c>
      <c r="DE1464">
        <v>1</v>
      </c>
      <c r="DF1464">
        <v>0</v>
      </c>
      <c r="DG1464">
        <v>0</v>
      </c>
      <c r="DI1464">
        <f>SUM(DD1464:DG1464)</f>
        <v>2</v>
      </c>
      <c r="DJ1464" t="str">
        <f>IF(DI1464=1,INDEX($DD$7:$DG$7,MATCH(1,$DD1464:$DG1464,0)),"mixedProduct")</f>
        <v>mixedProduct</v>
      </c>
      <c r="DK1464" t="str">
        <f>IF(DD1464=1,DK$7,0)</f>
        <v>Upstream</v>
      </c>
      <c r="DL1464" t="str">
        <f>IF(DE1464=1,DL$7,0)</f>
        <v>Energy</v>
      </c>
      <c r="DM1464">
        <f>IF(DF1464=1,DM$7,0)</f>
        <v>0</v>
      </c>
      <c r="DN1464">
        <f>IF(DG1464=1,DN$7,0)</f>
        <v>0</v>
      </c>
      <c r="DO1464">
        <v>0</v>
      </c>
      <c r="DP1464" s="143">
        <v>0</v>
      </c>
      <c r="DQ1464" t="s">
        <v>2230</v>
      </c>
      <c r="DR1464">
        <v>0</v>
      </c>
      <c r="DS1464">
        <v>0</v>
      </c>
      <c r="DT1464">
        <f>SUM(DO1464:DP1464)</f>
        <v>0</v>
      </c>
      <c r="DU1464" s="143" t="str">
        <f>IF(DO1464=1,"self-calculated DF",IF(DP1464=1,"external DF used","explicit C balance"))</f>
        <v>explicit C balance</v>
      </c>
      <c r="DV1464" s="143">
        <v>1</v>
      </c>
      <c r="DW1464" s="143">
        <v>1</v>
      </c>
      <c r="DX1464" s="143">
        <v>1</v>
      </c>
      <c r="DY1464" s="143">
        <v>0</v>
      </c>
      <c r="DZ1464" s="143">
        <v>1</v>
      </c>
      <c r="EA1464" s="143">
        <v>0</v>
      </c>
      <c r="EB1464" s="143">
        <v>1</v>
      </c>
      <c r="EC1464" s="143">
        <v>1</v>
      </c>
      <c r="ED1464" s="143">
        <v>0</v>
      </c>
      <c r="EE1464" s="143">
        <v>0</v>
      </c>
      <c r="EF1464" s="143">
        <v>1</v>
      </c>
      <c r="EG1464" s="143">
        <v>0</v>
      </c>
      <c r="EH1464" s="143">
        <v>0</v>
      </c>
      <c r="EI1464" s="196">
        <v>0</v>
      </c>
      <c r="EK1464" t="str">
        <f>IF(AND(AND(AND(OR($DX1464=1,$DW1464=1),OR($EC1464=1,$EA1464=1)),SUM($DV1464:$DZ1464,$EF1464)&gt;=3),SUM($EA1464:$EE1464)&gt;=2),"Whole sector","")</f>
        <v>Whole sector</v>
      </c>
      <c r="EL1464" t="str">
        <f>IF(AND(AND(OR($DX1464=1,$DW1464=1),AND($EC1464=0,$EA1464=0)),SUM($DV1464:$DZ1464,$EF1464)&gt;=3),"Ecosystem approach","")</f>
        <v/>
      </c>
      <c r="EM1464" s="2" t="str">
        <f>IF(AND(AND(AND($DX1464=0,$DW1464=0),OR($EC1464=1,$EA1464=1)),SUM($EB1464:$EE1464)&gt;=2),"Technology approach","")</f>
        <v/>
      </c>
      <c r="EP1464" t="b">
        <f>IF(ISNUMBER(BU1464),IF(ABS(BU1464-[5]QC_indicators!$B$2)&gt;3*[5]QC_indicators!$C$2,"C ratio",IF(ISNUMBER(BY1464),IF(ABS(BY1464-[5]QC_indicators!$B$1)&gt;3*[5]QC_indicators!$C$1,"DF","no"))),IF(ISNUMBER(BY1464),IF(ABS(BY1464-[5]QC_indicators!$B$1)&gt;3*[5]QC_indicators!$C$1,"DF","no")))</f>
        <v>0</v>
      </c>
      <c r="ER1464" s="314" t="s">
        <v>349</v>
      </c>
    </row>
    <row r="1465" spans="1:148" ht="15" customHeight="1">
      <c r="D1465" t="s">
        <v>4060</v>
      </c>
      <c r="E1465" t="s">
        <v>4061</v>
      </c>
      <c r="G1465" t="s">
        <v>829</v>
      </c>
      <c r="I1465">
        <v>2012</v>
      </c>
      <c r="K1465" t="s">
        <v>4062</v>
      </c>
      <c r="M1465" t="str">
        <f>LEFT($D1465,FIND(",",$D1465)-1)&amp;"_"&amp;I1465&amp;L1465</f>
        <v>Repo_2012</v>
      </c>
      <c r="N1465" s="312" t="s">
        <v>4383</v>
      </c>
      <c r="O1465" s="145" t="s">
        <v>225</v>
      </c>
      <c r="Q1465" s="312" t="s">
        <v>256</v>
      </c>
      <c r="R1465" s="313"/>
      <c r="S1465" s="1" t="s">
        <v>4067</v>
      </c>
      <c r="T1465" t="s">
        <v>4063</v>
      </c>
      <c r="U1465" t="s">
        <v>4066</v>
      </c>
      <c r="V1465" s="143">
        <v>0</v>
      </c>
      <c r="W1465" s="143">
        <v>0</v>
      </c>
      <c r="X1465" s="143">
        <v>0</v>
      </c>
      <c r="Y1465" s="143">
        <v>0</v>
      </c>
      <c r="Z1465" s="143">
        <v>0</v>
      </c>
      <c r="AA1465" s="143">
        <v>0</v>
      </c>
      <c r="AB1465" s="143">
        <v>0</v>
      </c>
      <c r="AC1465" s="143">
        <v>0</v>
      </c>
      <c r="AD1465" s="143">
        <v>0</v>
      </c>
      <c r="AE1465" s="143">
        <v>0</v>
      </c>
      <c r="AF1465" s="143">
        <v>0</v>
      </c>
      <c r="AG1465" s="143">
        <v>0</v>
      </c>
      <c r="AH1465" s="143">
        <v>0</v>
      </c>
      <c r="AI1465" s="143">
        <v>0</v>
      </c>
      <c r="AJ1465" s="143">
        <v>1</v>
      </c>
      <c r="AK1465" s="143">
        <v>0</v>
      </c>
      <c r="AL1465" s="143">
        <v>0</v>
      </c>
      <c r="AM1465" s="143">
        <v>0</v>
      </c>
      <c r="AN1465" s="143">
        <v>0</v>
      </c>
      <c r="AO1465" s="143">
        <v>0</v>
      </c>
      <c r="AP1465" s="143">
        <v>0</v>
      </c>
      <c r="AQ1465" s="143">
        <v>0</v>
      </c>
      <c r="AR1465" s="143">
        <v>0</v>
      </c>
      <c r="AS1465" s="143">
        <v>0</v>
      </c>
      <c r="AT1465" s="143">
        <v>0</v>
      </c>
      <c r="AU1465" s="143">
        <v>0</v>
      </c>
      <c r="AV1465" s="143">
        <v>0</v>
      </c>
      <c r="AW1465" s="143">
        <v>0</v>
      </c>
      <c r="AX1465" s="141">
        <f>COUNTIF(V1465:AW1465,"&lt;&gt;0")</f>
        <v>1</v>
      </c>
      <c r="AY1465" s="141">
        <f>COUNTIF(V1465:AL1465,"&lt;&gt;0")</f>
        <v>1</v>
      </c>
      <c r="AZ1465">
        <f>COUNTIF(V1465:AC1465,"&lt;&gt;0")</f>
        <v>0</v>
      </c>
      <c r="BA1465">
        <f>COUNTIF(AD1465:AI1465,"&lt;&gt;0")</f>
        <v>0</v>
      </c>
      <c r="BB1465">
        <f>COUNTIF(AJ1465:AL1465,"&lt;&gt;0")</f>
        <v>1</v>
      </c>
      <c r="BC1465">
        <f>COUNTIF(AS1465:AW1465,"&lt;&gt;0")</f>
        <v>0</v>
      </c>
      <c r="BD1465">
        <f>COUNTIF(AM1465:AR1465,"&lt;&gt;0")</f>
        <v>0</v>
      </c>
      <c r="BE1465" t="str" cm="1">
        <f t="array" ref="BE1465">IF(AY1465=1,INDEX($V$7:$AL$7,MATCH(TRUE,INDEX($V1465:$AW1465&lt;&gt;0,),0)),IF(AY1465=0,INDEX($AM$7:$AW$7,MATCH(1,$AM1465:$AW1465,0)),IF(BF1465="Multiple strategies","mixed drivers",IF(BF1465="Supply chain","multiple supply","multiple silviculture"))))</f>
        <v>efficiency improvement</v>
      </c>
      <c r="BF1465" s="2" t="str" cm="1">
        <f t="array" ref="BF1465">IF(COUNTIF(AZ1465:BB1465,"&lt;&gt;0")=1,INDEX($V$4:$AW$4,MATCH(TRUE,INDEX($V1465:$AW1465&lt;&gt;0,),0)),IF(COUNTIF(AZ1465:BB1465,"&lt;&gt;0")=0,INDEX($AM$4:$AW$4,MATCH(1,$AM1465:$AW1465,0)),"Multiple strategies"))</f>
        <v>Technology</v>
      </c>
      <c r="BP1465" s="312" t="s">
        <v>232</v>
      </c>
      <c r="BQ1465" s="312"/>
      <c r="BR1465" t="s">
        <v>4065</v>
      </c>
      <c r="BS1465" s="141">
        <v>-78</v>
      </c>
      <c r="BT1465" s="141">
        <v>-81.193580800000007</v>
      </c>
      <c r="BU1465" s="144">
        <v>1.0409433435897437</v>
      </c>
      <c r="BV1465">
        <v>-3.1935808000000065</v>
      </c>
      <c r="BX1465">
        <f>BV1465/10^6</f>
        <v>-3.1935808000000064E-6</v>
      </c>
      <c r="BY1465" t="str">
        <f>IFERROR(BX1465/BO1465,"")</f>
        <v/>
      </c>
      <c r="BZ1465" s="143">
        <v>0</v>
      </c>
      <c r="CA1465" s="143">
        <v>1</v>
      </c>
      <c r="CB1465" s="143">
        <v>0</v>
      </c>
      <c r="CC1465" s="143">
        <v>1</v>
      </c>
      <c r="CD1465" s="143">
        <v>0</v>
      </c>
      <c r="CE1465" s="143">
        <v>0</v>
      </c>
      <c r="CF1465" s="143">
        <v>0</v>
      </c>
      <c r="CG1465" s="143">
        <v>0</v>
      </c>
      <c r="CH1465" s="143">
        <v>0</v>
      </c>
      <c r="CI1465" s="143">
        <v>0</v>
      </c>
      <c r="CJ1465" s="143">
        <v>0</v>
      </c>
      <c r="CK1465" s="143">
        <v>0</v>
      </c>
      <c r="CL1465" s="143">
        <v>0</v>
      </c>
      <c r="CM1465" s="143">
        <v>0</v>
      </c>
      <c r="CN1465" t="str">
        <f>IF(BL1465&lt;BK1465,"refNeedCorrection","refOK")</f>
        <v>refOK</v>
      </c>
      <c r="CO1465"/>
      <c r="CP1465"/>
      <c r="CQ1465"/>
      <c r="CR1465">
        <f>IF($CN1465="refOK",$BS1465,$BT1465)*IF($BP1465="Emissions positive",-1,1)</f>
        <v>-78</v>
      </c>
      <c r="CS1465">
        <f>IF($CN1465="refOK",$BT1465,$BS1465)*IF($BP1465="Emissions positive",-1,1)</f>
        <v>-81.193580800000007</v>
      </c>
      <c r="CT1465">
        <f>IF($CN1465="refNeedCorrection",-BX1465,BX1465)*IF($BP1465="Emissions positive",-1,1)</f>
        <v>-3.1935808000000064E-6</v>
      </c>
      <c r="CU1465" t="str">
        <f>IFERROR(CT1465/CQ1465,"")</f>
        <v/>
      </c>
      <c r="CV1465" s="2">
        <f>IFERROR((CS1465-CR1465)/ABS(CR1465),"")</f>
        <v>-4.0943343589743671E-2</v>
      </c>
      <c r="CW1465" s="1" t="s">
        <v>1203</v>
      </c>
      <c r="CX1465" s="312" t="str">
        <f>IF(OR($CW1465="prd",$CW1465="std",$CW1465="cit"),"loc",IF(OR($CW1465="eur",$CW1465="reg",$CW1465="coy"),"reg",$CW1465))</f>
        <v>reg</v>
      </c>
      <c r="CY1465" t="s">
        <v>235</v>
      </c>
      <c r="CZ1465">
        <v>2010</v>
      </c>
      <c r="DA1465">
        <v>2030</v>
      </c>
      <c r="DB1465" s="143">
        <f>DA1465-CZ1465</f>
        <v>20</v>
      </c>
      <c r="DC1465" t="str">
        <f>IF(DB1465=0,"0",IF(AND(DB1465&gt;=1,DB1465&lt;=30),"1-30",IF(AND(DB1465&gt;30,DB1465&lt;=70),"31-70",IF(AND(DB1465&gt;70,DB1465&lt;=100),"71-100",IF(DB1465&gt;100,"+100")))))</f>
        <v>1-30</v>
      </c>
      <c r="DD1465">
        <v>1</v>
      </c>
      <c r="DE1465">
        <v>1</v>
      </c>
      <c r="DF1465">
        <v>0</v>
      </c>
      <c r="DG1465">
        <v>0</v>
      </c>
      <c r="DI1465">
        <f>SUM(DD1465:DG1465)</f>
        <v>2</v>
      </c>
      <c r="DJ1465" t="str">
        <f>IF(DI1465=1,INDEX($DD$7:$DG$7,MATCH(1,$DD1465:$DG1465,0)),"mixedProduct")</f>
        <v>mixedProduct</v>
      </c>
      <c r="DK1465" t="str">
        <f>IF(DD1465=1,DK$7,0)</f>
        <v>Upstream</v>
      </c>
      <c r="DL1465" t="str">
        <f>IF(DE1465=1,DL$7,0)</f>
        <v>Energy</v>
      </c>
      <c r="DM1465">
        <f>IF(DF1465=1,DM$7,0)</f>
        <v>0</v>
      </c>
      <c r="DN1465">
        <f>IF(DG1465=1,DN$7,0)</f>
        <v>0</v>
      </c>
      <c r="DO1465">
        <v>0</v>
      </c>
      <c r="DP1465" s="143">
        <v>0</v>
      </c>
      <c r="DQ1465" t="s">
        <v>2230</v>
      </c>
      <c r="DR1465">
        <v>0</v>
      </c>
      <c r="DS1465">
        <v>0</v>
      </c>
      <c r="DT1465">
        <f>SUM(DO1465:DP1465)</f>
        <v>0</v>
      </c>
      <c r="DU1465" s="143" t="str">
        <f>IF(DO1465=1,"self-calculated DF",IF(DP1465=1,"external DF used","explicit C balance"))</f>
        <v>explicit C balance</v>
      </c>
      <c r="DV1465" s="143">
        <v>1</v>
      </c>
      <c r="DW1465" s="143">
        <v>1</v>
      </c>
      <c r="DX1465" s="143">
        <v>1</v>
      </c>
      <c r="DY1465" s="143">
        <v>0</v>
      </c>
      <c r="DZ1465" s="143">
        <v>1</v>
      </c>
      <c r="EA1465" s="143">
        <v>0</v>
      </c>
      <c r="EB1465" s="143">
        <v>1</v>
      </c>
      <c r="EC1465" s="143">
        <v>1</v>
      </c>
      <c r="ED1465" s="143">
        <v>0</v>
      </c>
      <c r="EE1465" s="143">
        <v>0</v>
      </c>
      <c r="EF1465" s="143">
        <v>1</v>
      </c>
      <c r="EG1465" s="143">
        <v>0</v>
      </c>
      <c r="EH1465" s="143">
        <v>0</v>
      </c>
      <c r="EI1465" s="196">
        <v>0</v>
      </c>
      <c r="EK1465" t="str">
        <f>IF(AND(AND(AND(OR($DX1465=1,$DW1465=1),OR($EC1465=1,$EA1465=1)),SUM($DV1465:$DZ1465,$EF1465)&gt;=3),SUM($EA1465:$EE1465)&gt;=2),"Whole sector","")</f>
        <v>Whole sector</v>
      </c>
      <c r="EL1465" t="str">
        <f>IF(AND(AND(OR($DX1465=1,$DW1465=1),AND($EC1465=0,$EA1465=0)),SUM($DV1465:$DZ1465,$EF1465)&gt;=3),"Ecosystem approach","")</f>
        <v/>
      </c>
      <c r="EM1465" s="2" t="str">
        <f>IF(AND(AND(AND($DX1465=0,$DW1465=0),OR($EC1465=1,$EA1465=1)),SUM($EB1465:$EE1465)&gt;=2),"Technology approach","")</f>
        <v/>
      </c>
      <c r="EP1465" t="b">
        <f>IF(ISNUMBER(BU1465),IF(ABS(BU1465-[5]QC_indicators!$B$2)&gt;3*[5]QC_indicators!$C$2,"C ratio",IF(ISNUMBER(BY1465),IF(ABS(BY1465-[5]QC_indicators!$B$1)&gt;3*[5]QC_indicators!$C$1,"DF","no"))),IF(ISNUMBER(BY1465),IF(ABS(BY1465-[5]QC_indicators!$B$1)&gt;3*[5]QC_indicators!$C$1,"DF","no")))</f>
        <v>0</v>
      </c>
      <c r="ER1465" s="314" t="s">
        <v>349</v>
      </c>
    </row>
    <row r="1466" spans="1:148" ht="15" customHeight="1">
      <c r="D1466" t="s">
        <v>4060</v>
      </c>
      <c r="E1466" t="s">
        <v>4061</v>
      </c>
      <c r="G1466" t="s">
        <v>829</v>
      </c>
      <c r="I1466">
        <v>2012</v>
      </c>
      <c r="K1466" t="s">
        <v>4062</v>
      </c>
      <c r="M1466" t="str">
        <f>LEFT($D1466,FIND(",",$D1466)-1)&amp;"_"&amp;I1466&amp;L1466</f>
        <v>Repo_2012</v>
      </c>
      <c r="N1466" s="312" t="s">
        <v>4383</v>
      </c>
      <c r="O1466" s="145" t="s">
        <v>225</v>
      </c>
      <c r="Q1466" s="312" t="s">
        <v>256</v>
      </c>
      <c r="R1466" s="313"/>
      <c r="S1466" s="1" t="s">
        <v>514</v>
      </c>
      <c r="T1466" t="s">
        <v>4063</v>
      </c>
      <c r="U1466" t="s">
        <v>4066</v>
      </c>
      <c r="V1466" s="143">
        <v>0</v>
      </c>
      <c r="W1466" s="143">
        <v>0</v>
      </c>
      <c r="X1466" s="143">
        <v>0</v>
      </c>
      <c r="Y1466" s="143">
        <v>0</v>
      </c>
      <c r="Z1466" s="143">
        <v>0</v>
      </c>
      <c r="AA1466" s="143">
        <v>0</v>
      </c>
      <c r="AB1466" s="143">
        <v>0</v>
      </c>
      <c r="AC1466" s="143">
        <v>0</v>
      </c>
      <c r="AD1466" s="143">
        <v>0</v>
      </c>
      <c r="AE1466" s="143">
        <v>0</v>
      </c>
      <c r="AF1466" s="143">
        <v>0</v>
      </c>
      <c r="AG1466" s="143">
        <v>0</v>
      </c>
      <c r="AH1466" s="143">
        <v>0</v>
      </c>
      <c r="AI1466" s="143">
        <v>0</v>
      </c>
      <c r="AJ1466" s="143">
        <v>1</v>
      </c>
      <c r="AK1466" s="143">
        <v>0</v>
      </c>
      <c r="AL1466" s="143">
        <v>0</v>
      </c>
      <c r="AM1466" s="143">
        <v>0</v>
      </c>
      <c r="AN1466" s="143">
        <v>0</v>
      </c>
      <c r="AO1466" s="143">
        <v>0</v>
      </c>
      <c r="AP1466" s="143">
        <v>0</v>
      </c>
      <c r="AQ1466" s="143">
        <v>0</v>
      </c>
      <c r="AR1466" s="143">
        <v>0</v>
      </c>
      <c r="AS1466" s="143">
        <v>0</v>
      </c>
      <c r="AT1466" s="143">
        <v>0</v>
      </c>
      <c r="AU1466" s="143">
        <v>0</v>
      </c>
      <c r="AV1466" s="143">
        <v>0</v>
      </c>
      <c r="AW1466" s="143">
        <v>0</v>
      </c>
      <c r="AX1466" s="141">
        <f>COUNTIF(V1466:AW1466,"&lt;&gt;0")</f>
        <v>1</v>
      </c>
      <c r="AY1466" s="141">
        <f>COUNTIF(V1466:AL1466,"&lt;&gt;0")</f>
        <v>1</v>
      </c>
      <c r="AZ1466">
        <f>COUNTIF(V1466:AC1466,"&lt;&gt;0")</f>
        <v>0</v>
      </c>
      <c r="BA1466">
        <f>COUNTIF(AD1466:AI1466,"&lt;&gt;0")</f>
        <v>0</v>
      </c>
      <c r="BB1466">
        <f>COUNTIF(AJ1466:AL1466,"&lt;&gt;0")</f>
        <v>1</v>
      </c>
      <c r="BC1466">
        <f>COUNTIF(AS1466:AW1466,"&lt;&gt;0")</f>
        <v>0</v>
      </c>
      <c r="BD1466">
        <f>COUNTIF(AM1466:AR1466,"&lt;&gt;0")</f>
        <v>0</v>
      </c>
      <c r="BE1466" t="str" cm="1">
        <f t="array" ref="BE1466">IF(AY1466=1,INDEX($V$7:$AL$7,MATCH(TRUE,INDEX($V1466:$AW1466&lt;&gt;0,),0)),IF(AY1466=0,INDEX($AM$7:$AW$7,MATCH(1,$AM1466:$AW1466,0)),IF(BF1466="Multiple strategies","mixed drivers",IF(BF1466="Supply chain","multiple supply","multiple silviculture"))))</f>
        <v>efficiency improvement</v>
      </c>
      <c r="BF1466" s="2" t="str" cm="1">
        <f t="array" ref="BF1466">IF(COUNTIF(AZ1466:BB1466,"&lt;&gt;0")=1,INDEX($V$4:$AW$4,MATCH(TRUE,INDEX($V1466:$AW1466&lt;&gt;0,),0)),IF(COUNTIF(AZ1466:BB1466,"&lt;&gt;0")=0,INDEX($AM$4:$AW$4,MATCH(1,$AM1466:$AW1466,0)),"Multiple strategies"))</f>
        <v>Technology</v>
      </c>
      <c r="BP1466" s="312" t="s">
        <v>232</v>
      </c>
      <c r="BQ1466" s="312"/>
      <c r="BR1466" t="s">
        <v>4065</v>
      </c>
      <c r="BS1466" s="141">
        <v>-40.2526127</v>
      </c>
      <c r="BT1466" s="141">
        <v>-46.669542900000003</v>
      </c>
      <c r="BU1466" s="144">
        <v>1.1594164892556156</v>
      </c>
      <c r="BV1466">
        <v>-6.416930200000003</v>
      </c>
      <c r="BX1466">
        <f>BV1466/10^6</f>
        <v>-6.4169302000000032E-6</v>
      </c>
      <c r="BY1466" t="str">
        <f>IFERROR(BX1466/BO1466,"")</f>
        <v/>
      </c>
      <c r="BZ1466" s="143">
        <v>0</v>
      </c>
      <c r="CA1466" s="143">
        <v>1</v>
      </c>
      <c r="CB1466" s="143">
        <v>0</v>
      </c>
      <c r="CC1466" s="143">
        <v>1</v>
      </c>
      <c r="CD1466" s="143">
        <v>0</v>
      </c>
      <c r="CE1466" s="143">
        <v>0</v>
      </c>
      <c r="CF1466" s="143">
        <v>0</v>
      </c>
      <c r="CG1466" s="143">
        <v>0</v>
      </c>
      <c r="CH1466" s="143">
        <v>0</v>
      </c>
      <c r="CI1466" s="143">
        <v>0</v>
      </c>
      <c r="CJ1466" s="143">
        <v>0</v>
      </c>
      <c r="CK1466" s="143">
        <v>0</v>
      </c>
      <c r="CL1466" s="143">
        <v>0</v>
      </c>
      <c r="CM1466" s="143">
        <v>0</v>
      </c>
      <c r="CN1466" t="str">
        <f>IF(BL1466&lt;BK1466,"refNeedCorrection","refOK")</f>
        <v>refOK</v>
      </c>
      <c r="CO1466"/>
      <c r="CP1466"/>
      <c r="CQ1466"/>
      <c r="CR1466">
        <f>IF($CN1466="refOK",$BS1466,$BT1466)*IF($BP1466="Emissions positive",-1,1)</f>
        <v>-40.2526127</v>
      </c>
      <c r="CS1466">
        <f>IF($CN1466="refOK",$BT1466,$BS1466)*IF($BP1466="Emissions positive",-1,1)</f>
        <v>-46.669542900000003</v>
      </c>
      <c r="CT1466">
        <f>IF($CN1466="refNeedCorrection",-BX1466,BX1466)*IF($BP1466="Emissions positive",-1,1)</f>
        <v>-6.4169302000000032E-6</v>
      </c>
      <c r="CU1466" t="str">
        <f>IFERROR(CT1466/CQ1466,"")</f>
        <v/>
      </c>
      <c r="CV1466" s="2">
        <f>IFERROR((CS1466-CR1466)/ABS(CR1466),"")</f>
        <v>-0.15941648925561552</v>
      </c>
      <c r="CW1466" s="1" t="s">
        <v>1203</v>
      </c>
      <c r="CX1466" s="312" t="str">
        <f>IF(OR($CW1466="prd",$CW1466="std",$CW1466="cit"),"loc",IF(OR($CW1466="eur",$CW1466="reg",$CW1466="coy"),"reg",$CW1466))</f>
        <v>reg</v>
      </c>
      <c r="CY1466" t="s">
        <v>235</v>
      </c>
      <c r="CZ1466">
        <v>2010</v>
      </c>
      <c r="DA1466">
        <v>2030</v>
      </c>
      <c r="DB1466" s="143">
        <f>DA1466-CZ1466</f>
        <v>20</v>
      </c>
      <c r="DC1466" t="str">
        <f>IF(DB1466=0,"0",IF(AND(DB1466&gt;=1,DB1466&lt;=30),"1-30",IF(AND(DB1466&gt;30,DB1466&lt;=70),"31-70",IF(AND(DB1466&gt;70,DB1466&lt;=100),"71-100",IF(DB1466&gt;100,"+100")))))</f>
        <v>1-30</v>
      </c>
      <c r="DD1466">
        <v>1</v>
      </c>
      <c r="DE1466">
        <v>1</v>
      </c>
      <c r="DF1466">
        <v>0</v>
      </c>
      <c r="DG1466">
        <v>0</v>
      </c>
      <c r="DI1466">
        <f>SUM(DD1466:DG1466)</f>
        <v>2</v>
      </c>
      <c r="DJ1466" t="str">
        <f>IF(DI1466=1,INDEX($DD$7:$DG$7,MATCH(1,$DD1466:$DG1466,0)),"mixedProduct")</f>
        <v>mixedProduct</v>
      </c>
      <c r="DK1466" t="str">
        <f>IF(DD1466=1,DK$7,0)</f>
        <v>Upstream</v>
      </c>
      <c r="DL1466" t="str">
        <f>IF(DE1466=1,DL$7,0)</f>
        <v>Energy</v>
      </c>
      <c r="DM1466">
        <f>IF(DF1466=1,DM$7,0)</f>
        <v>0</v>
      </c>
      <c r="DN1466">
        <f>IF(DG1466=1,DN$7,0)</f>
        <v>0</v>
      </c>
      <c r="DO1466">
        <v>0</v>
      </c>
      <c r="DP1466" s="143">
        <v>0</v>
      </c>
      <c r="DQ1466" t="s">
        <v>2230</v>
      </c>
      <c r="DR1466">
        <v>0</v>
      </c>
      <c r="DS1466">
        <v>0</v>
      </c>
      <c r="DT1466">
        <f>SUM(DO1466:DP1466)</f>
        <v>0</v>
      </c>
      <c r="DU1466" s="143" t="str">
        <f>IF(DO1466=1,"self-calculated DF",IF(DP1466=1,"external DF used","explicit C balance"))</f>
        <v>explicit C balance</v>
      </c>
      <c r="DV1466" s="143">
        <v>1</v>
      </c>
      <c r="DW1466" s="143">
        <v>1</v>
      </c>
      <c r="DX1466" s="143">
        <v>1</v>
      </c>
      <c r="DY1466" s="143">
        <v>0</v>
      </c>
      <c r="DZ1466" s="143">
        <v>1</v>
      </c>
      <c r="EA1466" s="143">
        <v>0</v>
      </c>
      <c r="EB1466" s="143">
        <v>1</v>
      </c>
      <c r="EC1466" s="143">
        <v>1</v>
      </c>
      <c r="ED1466" s="143">
        <v>0</v>
      </c>
      <c r="EE1466" s="143">
        <v>0</v>
      </c>
      <c r="EF1466" s="143">
        <v>1</v>
      </c>
      <c r="EG1466" s="143">
        <v>0</v>
      </c>
      <c r="EH1466" s="143">
        <v>0</v>
      </c>
      <c r="EI1466" s="196">
        <v>0</v>
      </c>
      <c r="EK1466" t="str">
        <f>IF(AND(AND(AND(OR($DX1466=1,$DW1466=1),OR($EC1466=1,$EA1466=1)),SUM($DV1466:$DZ1466,$EF1466)&gt;=3),SUM($EA1466:$EE1466)&gt;=2),"Whole sector","")</f>
        <v>Whole sector</v>
      </c>
      <c r="EL1466" t="str">
        <f>IF(AND(AND(OR($DX1466=1,$DW1466=1),AND($EC1466=0,$EA1466=0)),SUM($DV1466:$DZ1466,$EF1466)&gt;=3),"Ecosystem approach","")</f>
        <v/>
      </c>
      <c r="EM1466" s="2" t="str">
        <f>IF(AND(AND(AND($DX1466=0,$DW1466=0),OR($EC1466=1,$EA1466=1)),SUM($EB1466:$EE1466)&gt;=2),"Technology approach","")</f>
        <v/>
      </c>
      <c r="EP1466" t="b">
        <f>IF(ISNUMBER(BU1466),IF(ABS(BU1466-[5]QC_indicators!$B$2)&gt;3*[5]QC_indicators!$C$2,"C ratio",IF(ISNUMBER(BY1466),IF(ABS(BY1466-[5]QC_indicators!$B$1)&gt;3*[5]QC_indicators!$C$1,"DF","no"))),IF(ISNUMBER(BY1466),IF(ABS(BY1466-[5]QC_indicators!$B$1)&gt;3*[5]QC_indicators!$C$1,"DF","no")))</f>
        <v>0</v>
      </c>
      <c r="ER1466" s="314" t="s">
        <v>349</v>
      </c>
    </row>
    <row r="1467" spans="1:148" ht="15" customHeight="1">
      <c r="D1467" t="s">
        <v>4060</v>
      </c>
      <c r="E1467" t="s">
        <v>4061</v>
      </c>
      <c r="G1467" t="s">
        <v>829</v>
      </c>
      <c r="I1467">
        <v>2012</v>
      </c>
      <c r="K1467" t="s">
        <v>4062</v>
      </c>
      <c r="M1467" t="str">
        <f>LEFT($D1467,FIND(",",$D1467)-1)&amp;"_"&amp;I1467&amp;L1467</f>
        <v>Repo_2012</v>
      </c>
      <c r="N1467" s="312" t="s">
        <v>4383</v>
      </c>
      <c r="O1467" s="145" t="s">
        <v>225</v>
      </c>
      <c r="Q1467" s="312" t="s">
        <v>256</v>
      </c>
      <c r="R1467" s="313"/>
      <c r="S1467" s="1" t="s">
        <v>4067</v>
      </c>
      <c r="T1467" t="s">
        <v>4063</v>
      </c>
      <c r="U1467" t="s">
        <v>4066</v>
      </c>
      <c r="V1467" s="143">
        <v>0</v>
      </c>
      <c r="W1467" s="143">
        <v>0</v>
      </c>
      <c r="X1467" s="143">
        <v>0</v>
      </c>
      <c r="Y1467" s="143">
        <v>0</v>
      </c>
      <c r="Z1467" s="143">
        <v>0</v>
      </c>
      <c r="AA1467" s="143">
        <v>0</v>
      </c>
      <c r="AB1467" s="143">
        <v>0</v>
      </c>
      <c r="AC1467" s="143">
        <v>0</v>
      </c>
      <c r="AD1467" s="143">
        <v>0</v>
      </c>
      <c r="AE1467" s="143">
        <v>0</v>
      </c>
      <c r="AF1467" s="143">
        <v>0</v>
      </c>
      <c r="AG1467" s="143">
        <v>0</v>
      </c>
      <c r="AH1467" s="143">
        <v>0</v>
      </c>
      <c r="AI1467" s="143">
        <v>0</v>
      </c>
      <c r="AJ1467" s="143">
        <v>1</v>
      </c>
      <c r="AK1467" s="143">
        <v>0</v>
      </c>
      <c r="AL1467" s="143">
        <v>0</v>
      </c>
      <c r="AM1467" s="143">
        <v>0</v>
      </c>
      <c r="AN1467" s="143">
        <v>0</v>
      </c>
      <c r="AO1467" s="143">
        <v>0</v>
      </c>
      <c r="AP1467" s="143">
        <v>0</v>
      </c>
      <c r="AQ1467" s="143">
        <v>0</v>
      </c>
      <c r="AR1467" s="143">
        <v>0</v>
      </c>
      <c r="AS1467" s="143">
        <v>0</v>
      </c>
      <c r="AT1467" s="143">
        <v>0</v>
      </c>
      <c r="AU1467" s="143">
        <v>0</v>
      </c>
      <c r="AV1467" s="143">
        <v>0</v>
      </c>
      <c r="AW1467" s="143">
        <v>0</v>
      </c>
      <c r="AX1467" s="141">
        <f>COUNTIF(V1467:AW1467,"&lt;&gt;0")</f>
        <v>1</v>
      </c>
      <c r="AY1467" s="141">
        <f>COUNTIF(V1467:AL1467,"&lt;&gt;0")</f>
        <v>1</v>
      </c>
      <c r="AZ1467">
        <f>COUNTIF(V1467:AC1467,"&lt;&gt;0")</f>
        <v>0</v>
      </c>
      <c r="BA1467">
        <f>COUNTIF(AD1467:AI1467,"&lt;&gt;0")</f>
        <v>0</v>
      </c>
      <c r="BB1467">
        <f>COUNTIF(AJ1467:AL1467,"&lt;&gt;0")</f>
        <v>1</v>
      </c>
      <c r="BC1467">
        <f>COUNTIF(AS1467:AW1467,"&lt;&gt;0")</f>
        <v>0</v>
      </c>
      <c r="BD1467">
        <f>COUNTIF(AM1467:AR1467,"&lt;&gt;0")</f>
        <v>0</v>
      </c>
      <c r="BE1467" t="str" cm="1">
        <f t="array" ref="BE1467">IF(AY1467=1,INDEX($V$7:$AL$7,MATCH(TRUE,INDEX($V1467:$AW1467&lt;&gt;0,),0)),IF(AY1467=0,INDEX($AM$7:$AW$7,MATCH(1,$AM1467:$AW1467,0)),IF(BF1467="Multiple strategies","mixed drivers",IF(BF1467="Supply chain","multiple supply","multiple silviculture"))))</f>
        <v>efficiency improvement</v>
      </c>
      <c r="BF1467" s="2" t="str" cm="1">
        <f t="array" ref="BF1467">IF(COUNTIF(AZ1467:BB1467,"&lt;&gt;0")=1,INDEX($V$4:$AW$4,MATCH(TRUE,INDEX($V1467:$AW1467&lt;&gt;0,),0)),IF(COUNTIF(AZ1467:BB1467,"&lt;&gt;0")=0,INDEX($AM$4:$AW$4,MATCH(1,$AM1467:$AW1467,0)),"Multiple strategies"))</f>
        <v>Technology</v>
      </c>
      <c r="BP1467" s="312" t="s">
        <v>232</v>
      </c>
      <c r="BQ1467" s="312"/>
      <c r="BR1467" t="s">
        <v>4065</v>
      </c>
      <c r="BS1467" s="141">
        <v>-78</v>
      </c>
      <c r="BT1467" s="141">
        <v>-107.01820499999999</v>
      </c>
      <c r="BU1467" s="144">
        <v>1.3720282692307693</v>
      </c>
      <c r="BV1467">
        <v>-29.018204999999995</v>
      </c>
      <c r="BX1467">
        <f>BV1467/10^6</f>
        <v>-2.9018204999999996E-5</v>
      </c>
      <c r="BY1467" t="str">
        <f>IFERROR(BX1467/BO1467,"")</f>
        <v/>
      </c>
      <c r="BZ1467" s="143">
        <v>0</v>
      </c>
      <c r="CA1467" s="143">
        <v>1</v>
      </c>
      <c r="CB1467" s="143">
        <v>0</v>
      </c>
      <c r="CC1467" s="143">
        <v>1</v>
      </c>
      <c r="CD1467" s="143">
        <v>0</v>
      </c>
      <c r="CE1467" s="143">
        <v>0</v>
      </c>
      <c r="CF1467" s="143">
        <v>0</v>
      </c>
      <c r="CG1467" s="143">
        <v>0</v>
      </c>
      <c r="CH1467" s="143">
        <v>0</v>
      </c>
      <c r="CI1467" s="143">
        <v>0</v>
      </c>
      <c r="CJ1467" s="143">
        <v>0</v>
      </c>
      <c r="CK1467" s="143">
        <v>0</v>
      </c>
      <c r="CL1467" s="143">
        <v>0</v>
      </c>
      <c r="CM1467" s="143">
        <v>0</v>
      </c>
      <c r="CN1467" t="str">
        <f>IF(BL1467&lt;BK1467,"refNeedCorrection","refOK")</f>
        <v>refOK</v>
      </c>
      <c r="CO1467"/>
      <c r="CP1467"/>
      <c r="CQ1467"/>
      <c r="CR1467">
        <f>IF($CN1467="refOK",$BS1467,$BT1467)*IF($BP1467="Emissions positive",-1,1)</f>
        <v>-78</v>
      </c>
      <c r="CS1467">
        <f>IF($CN1467="refOK",$BT1467,$BS1467)*IF($BP1467="Emissions positive",-1,1)</f>
        <v>-107.01820499999999</v>
      </c>
      <c r="CT1467">
        <f>IF($CN1467="refNeedCorrection",-BX1467,BX1467)*IF($BP1467="Emissions positive",-1,1)</f>
        <v>-2.9018204999999996E-5</v>
      </c>
      <c r="CU1467" t="str">
        <f>IFERROR(CT1467/CQ1467,"")</f>
        <v/>
      </c>
      <c r="CV1467" s="2">
        <f>IFERROR((CS1467-CR1467)/ABS(CR1467),"")</f>
        <v>-0.37202826923076915</v>
      </c>
      <c r="CW1467" s="1" t="s">
        <v>1203</v>
      </c>
      <c r="CX1467" s="312" t="str">
        <f>IF(OR($CW1467="prd",$CW1467="std",$CW1467="cit"),"loc",IF(OR($CW1467="eur",$CW1467="reg",$CW1467="coy"),"reg",$CW1467))</f>
        <v>reg</v>
      </c>
      <c r="CY1467" t="s">
        <v>235</v>
      </c>
      <c r="CZ1467">
        <v>2010</v>
      </c>
      <c r="DA1467">
        <v>2010</v>
      </c>
      <c r="DB1467" s="143">
        <v>0</v>
      </c>
      <c r="DC1467" t="str">
        <f>IF(DB1467=0,"0",IF(AND(DB1467&gt;=1,DB1467&lt;=30),"1-30",IF(AND(DB1467&gt;30,DB1467&lt;=70),"31-70",IF(AND(DB1467&gt;70,DB1467&lt;=100),"71-100",IF(DB1467&gt;100,"+100")))))</f>
        <v>0</v>
      </c>
      <c r="DD1467">
        <v>1</v>
      </c>
      <c r="DE1467">
        <v>1</v>
      </c>
      <c r="DF1467">
        <v>0</v>
      </c>
      <c r="DG1467">
        <v>0</v>
      </c>
      <c r="DI1467">
        <f>SUM(DD1467:DG1467)</f>
        <v>2</v>
      </c>
      <c r="DJ1467" t="str">
        <f>IF(DI1467=1,INDEX($DD$7:$DG$7,MATCH(1,$DD1467:$DG1467,0)),"mixedProduct")</f>
        <v>mixedProduct</v>
      </c>
      <c r="DK1467" t="str">
        <f>IF(DD1467=1,DK$7,0)</f>
        <v>Upstream</v>
      </c>
      <c r="DL1467" t="str">
        <f>IF(DE1467=1,DL$7,0)</f>
        <v>Energy</v>
      </c>
      <c r="DM1467">
        <f>IF(DF1467=1,DM$7,0)</f>
        <v>0</v>
      </c>
      <c r="DN1467">
        <f>IF(DG1467=1,DN$7,0)</f>
        <v>0</v>
      </c>
      <c r="DO1467">
        <v>0</v>
      </c>
      <c r="DP1467" s="143">
        <v>0</v>
      </c>
      <c r="DQ1467" t="s">
        <v>2230</v>
      </c>
      <c r="DR1467">
        <v>0</v>
      </c>
      <c r="DS1467">
        <v>0</v>
      </c>
      <c r="DT1467">
        <f>SUM(DO1467:DP1467)</f>
        <v>0</v>
      </c>
      <c r="DU1467" s="143" t="str">
        <f>IF(DO1467=1,"self-calculated DF",IF(DP1467=1,"external DF used","explicit C balance"))</f>
        <v>explicit C balance</v>
      </c>
      <c r="DV1467" s="143">
        <v>1</v>
      </c>
      <c r="DW1467" s="143">
        <v>1</v>
      </c>
      <c r="DX1467" s="143">
        <v>1</v>
      </c>
      <c r="DY1467" s="143">
        <v>0</v>
      </c>
      <c r="DZ1467" s="143">
        <v>1</v>
      </c>
      <c r="EA1467" s="143">
        <v>0</v>
      </c>
      <c r="EB1467" s="143">
        <v>1</v>
      </c>
      <c r="EC1467" s="143">
        <v>1</v>
      </c>
      <c r="ED1467" s="143">
        <v>0</v>
      </c>
      <c r="EE1467" s="143">
        <v>0</v>
      </c>
      <c r="EF1467" s="143">
        <v>1</v>
      </c>
      <c r="EG1467" s="143">
        <v>0</v>
      </c>
      <c r="EH1467" s="143">
        <v>0</v>
      </c>
      <c r="EI1467" s="196">
        <v>0</v>
      </c>
      <c r="EK1467" t="str">
        <f>IF(AND(AND(AND(OR($DX1467=1,$DW1467=1),OR($EC1467=1,$EA1467=1)),SUM($DV1467:$DZ1467,$EF1467)&gt;=3),SUM($EA1467:$EE1467)&gt;=2),"Whole sector","")</f>
        <v>Whole sector</v>
      </c>
      <c r="EL1467" t="str">
        <f>IF(AND(AND(OR($DX1467=1,$DW1467=1),AND($EC1467=0,$EA1467=0)),SUM($DV1467:$DZ1467,$EF1467)&gt;=3),"Ecosystem approach","")</f>
        <v/>
      </c>
      <c r="EM1467" s="2" t="str">
        <f>IF(AND(AND(AND($DX1467=0,$DW1467=0),OR($EC1467=1,$EA1467=1)),SUM($EB1467:$EE1467)&gt;=2),"Technology approach","")</f>
        <v/>
      </c>
      <c r="EP1467" t="b">
        <f>IF(ISNUMBER(BU1467),IF(ABS(BU1467-[5]QC_indicators!$B$2)&gt;3*[5]QC_indicators!$C$2,"C ratio",IF(ISNUMBER(BY1467),IF(ABS(BY1467-[5]QC_indicators!$B$1)&gt;3*[5]QC_indicators!$C$1,"DF","no"))),IF(ISNUMBER(BY1467),IF(ABS(BY1467-[5]QC_indicators!$B$1)&gt;3*[5]QC_indicators!$C$1,"DF","no")))</f>
        <v>0</v>
      </c>
      <c r="ER1467" s="314" t="s">
        <v>349</v>
      </c>
    </row>
    <row r="1468" spans="1:148" ht="15" customHeight="1">
      <c r="A1468" s="1" t="s">
        <v>4068</v>
      </c>
      <c r="B1468" t="s">
        <v>4069</v>
      </c>
      <c r="C1468" t="s">
        <v>4070</v>
      </c>
      <c r="D1468" t="s">
        <v>4071</v>
      </c>
      <c r="E1468" t="s">
        <v>4072</v>
      </c>
      <c r="F1468" t="s">
        <v>4073</v>
      </c>
      <c r="G1468" t="s">
        <v>4074</v>
      </c>
      <c r="H1468" t="s">
        <v>254</v>
      </c>
      <c r="I1468">
        <v>2021</v>
      </c>
      <c r="J1468">
        <v>0</v>
      </c>
      <c r="K1468" t="s">
        <v>4075</v>
      </c>
      <c r="M1468" t="str">
        <f>LEFT($D1468,FIND(",",$D1468)-1)&amp;"_"&amp;I1468&amp;L1468</f>
        <v>Robertson_2021</v>
      </c>
      <c r="N1468" s="312" t="s">
        <v>4383</v>
      </c>
      <c r="O1468" s="145" t="s">
        <v>341</v>
      </c>
      <c r="Q1468" s="312" t="s">
        <v>256</v>
      </c>
      <c r="R1468" s="313"/>
      <c r="S1468" s="1" t="s">
        <v>4076</v>
      </c>
      <c r="T1468" t="s">
        <v>1111</v>
      </c>
      <c r="U1468" s="312" t="s">
        <v>4077</v>
      </c>
      <c r="V1468">
        <v>1</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2</v>
      </c>
      <c r="AX1468" s="141">
        <f>COUNTIF(V1468:AW1468,"&lt;&gt;0")</f>
        <v>2</v>
      </c>
      <c r="AY1468" s="141">
        <f>COUNTIF(V1468:AL1468,"&lt;&gt;0")</f>
        <v>1</v>
      </c>
      <c r="AZ1468">
        <f>COUNTIF(V1468:AC1468,"&lt;&gt;0")</f>
        <v>1</v>
      </c>
      <c r="BA1468">
        <f>COUNTIF(AD1468:AI1468,"&lt;&gt;0")</f>
        <v>0</v>
      </c>
      <c r="BB1468">
        <f>COUNTIF(AJ1468:AL1468,"&lt;&gt;0")</f>
        <v>0</v>
      </c>
      <c r="BC1468">
        <f>COUNTIF(AS1468:AW1468,"&lt;&gt;0")</f>
        <v>1</v>
      </c>
      <c r="BD1468">
        <f>COUNTIF(AM1468:AR1468,"&lt;&gt;0")</f>
        <v>0</v>
      </c>
      <c r="BE1468" t="str" cm="1">
        <f t="array" ref="BE1468">IF(AY1468=1,INDEX($V$7:$AL$7,MATCH(TRUE,INDEX($V1468:$AW1468&lt;&gt;0,),0)),IF(AY1468=0,INDEX($AM$7:$AW$7,MATCH(1,$AM1468:$AW1468,0)),IF(BF1468="Multiple strategies","mixed drivers",IF(BF1468="Supply chain","multiple supply","multiple silviculture"))))</f>
        <v>area subject to harvest</v>
      </c>
      <c r="BF1468" s="2" t="str" cm="1">
        <f t="array" ref="BF1468">IF(COUNTIF(AZ1468:BB1468,"&lt;&gt;0")=1,INDEX($V$4:$AW$4,MATCH(TRUE,INDEX($V1468:$AW1468&lt;&gt;0,),0)),IF(COUNTIF(AZ1468:BB1468,"&lt;&gt;0")=0,INDEX($AM$4:$AW$4,MATCH(1,$AM1468:$AW1468,0)),"Multiple strategies"))</f>
        <v>Silviculture for removals</v>
      </c>
      <c r="BP1468" t="s">
        <v>232</v>
      </c>
      <c r="BR1468" t="s">
        <v>1140</v>
      </c>
      <c r="BS1468">
        <v>0</v>
      </c>
      <c r="BT1468">
        <v>0.04</v>
      </c>
      <c r="BU1468" s="144" t="str">
        <f>IFERROR(BT1468/BS1468,"")</f>
        <v/>
      </c>
      <c r="BV1468">
        <f>BT1468-BS1468</f>
        <v>0.04</v>
      </c>
      <c r="BX1468">
        <f>BV1468*10^6</f>
        <v>40000</v>
      </c>
      <c r="BY1468" t="str">
        <f>IFERROR(BX1468/BO1468,"")</f>
        <v/>
      </c>
      <c r="BZ1468">
        <v>0</v>
      </c>
      <c r="CA1468">
        <v>0</v>
      </c>
      <c r="CB1468">
        <v>0</v>
      </c>
      <c r="CC1468">
        <v>0</v>
      </c>
      <c r="CD1468">
        <v>0</v>
      </c>
      <c r="CE1468">
        <v>0</v>
      </c>
      <c r="CF1468">
        <v>0</v>
      </c>
      <c r="CG1468">
        <v>0</v>
      </c>
      <c r="CH1468">
        <v>0</v>
      </c>
      <c r="CI1468">
        <v>0</v>
      </c>
      <c r="CJ1468">
        <v>0</v>
      </c>
      <c r="CK1468">
        <v>0</v>
      </c>
      <c r="CL1468">
        <v>0</v>
      </c>
      <c r="CM1468">
        <v>0</v>
      </c>
      <c r="CN1468" t="str">
        <f>IF(BL1468&lt;BK1468,"refNeedCorrection","refOK")</f>
        <v>refOK</v>
      </c>
      <c r="CO1468"/>
      <c r="CP1468"/>
      <c r="CQ1468"/>
      <c r="CR1468">
        <f>IF($CN1468="refOK",$BS1468,$BT1468)*IF($BP1468="Emissions positive",-1,1)</f>
        <v>0</v>
      </c>
      <c r="CS1468">
        <f>IF($CN1468="refOK",$BT1468,$BS1468)*IF($BP1468="Emissions positive",-1,1)</f>
        <v>0.04</v>
      </c>
      <c r="CT1468">
        <f>IF($CN1468="refNeedCorrection",-BX1468,BX1468)*IF($BP1468="Emissions positive",-1,1)</f>
        <v>40000</v>
      </c>
      <c r="CU1468" t="str">
        <f>IFERROR(CT1468/CQ1468,"")</f>
        <v/>
      </c>
      <c r="CV1468" s="2" t="str">
        <f>IFERROR((CS1468-CR1468)/ABS(CR1468),"")</f>
        <v/>
      </c>
      <c r="CW1468" s="1" t="s">
        <v>1199</v>
      </c>
      <c r="CX1468" s="312" t="str">
        <f>IF(OR($CW1468="prd",$CW1468="std",$CW1468="cit"),"loc",IF(OR($CW1468="eur",$CW1468="reg",$CW1468="coy"),"reg",$CW1468))</f>
        <v>reg</v>
      </c>
      <c r="CY1468" t="s">
        <v>428</v>
      </c>
      <c r="CZ1468">
        <v>2020</v>
      </c>
      <c r="DA1468">
        <v>2050</v>
      </c>
      <c r="DB1468">
        <v>31</v>
      </c>
      <c r="DC1468" t="str">
        <f>IF(DB1468=0,"0",IF(AND(DB1468&gt;=1,DB1468&lt;=30),"1-30",IF(AND(DB1468&gt;30,DB1468&lt;=70),"31-70",IF(AND(DB1468&gt;70,DB1468&lt;=100),"71-100",IF(DB1468&gt;100,"+100")))))</f>
        <v>31-70</v>
      </c>
      <c r="DD1468">
        <v>0</v>
      </c>
      <c r="DE1468">
        <v>1</v>
      </c>
      <c r="DF1468">
        <v>1</v>
      </c>
      <c r="DG1468">
        <v>1</v>
      </c>
      <c r="DI1468">
        <f>SUM(DD1468:DG1468)</f>
        <v>3</v>
      </c>
      <c r="DJ1468" t="str">
        <f>IF(DI1468=1,INDEX($DD$7:$DG$7,MATCH(1,$DD1468:$DG1468,0)),"mixedProduct")</f>
        <v>mixedProduct</v>
      </c>
      <c r="DK1468">
        <f>IF(DD1468=1,DK$7,0)</f>
        <v>0</v>
      </c>
      <c r="DL1468" t="str">
        <f>IF(DE1468=1,DL$7,0)</f>
        <v>Energy</v>
      </c>
      <c r="DM1468" t="str">
        <f>IF(DF1468=1,DM$7,0)</f>
        <v>Pulp/Paper</v>
      </c>
      <c r="DN1468" t="str">
        <f>IF(DG1468=1,DN$7,0)</f>
        <v>Timber</v>
      </c>
      <c r="DO1468">
        <v>0</v>
      </c>
      <c r="DP1468">
        <v>0</v>
      </c>
      <c r="DQ1468">
        <v>0</v>
      </c>
      <c r="DR1468">
        <v>0</v>
      </c>
      <c r="DS1468">
        <v>0</v>
      </c>
      <c r="DT1468">
        <f>SUM(DO1468:DP1468)</f>
        <v>0</v>
      </c>
      <c r="DU1468" s="143" t="str">
        <f>IF(DO1468=1,"self-calculated DF",IF(DP1468=1,"external DF used","explicit C balance"))</f>
        <v>explicit C balance</v>
      </c>
      <c r="DV1468">
        <v>1</v>
      </c>
      <c r="DW1468">
        <v>1</v>
      </c>
      <c r="DX1468">
        <v>1</v>
      </c>
      <c r="DY1468">
        <v>1</v>
      </c>
      <c r="DZ1468">
        <v>0</v>
      </c>
      <c r="EA1468" s="143">
        <v>0</v>
      </c>
      <c r="EB1468">
        <v>1</v>
      </c>
      <c r="EC1468">
        <v>0</v>
      </c>
      <c r="ED1468">
        <v>0</v>
      </c>
      <c r="EE1468">
        <v>0</v>
      </c>
      <c r="EF1468">
        <v>1</v>
      </c>
      <c r="EG1468">
        <v>0</v>
      </c>
      <c r="EH1468">
        <v>0</v>
      </c>
      <c r="EI1468" s="2">
        <v>0</v>
      </c>
      <c r="EK1468" t="str">
        <f>IF(AND(AND(AND(OR($DX1468=1,$DW1468=1),OR($EC1468=1,$EA1468=1)),SUM($DV1468:$DZ1468,$EF1468)&gt;=3),SUM($EA1468:$EE1468)&gt;=2),"Whole sector","")</f>
        <v/>
      </c>
      <c r="EL1468" t="str">
        <f>IF(AND(AND(OR($DX1468=1,$DW1468=1),AND($EC1468=0,$EA1468=0)),SUM($DV1468:$DZ1468,$EF1468)&gt;=3),"Ecosystem approach","")</f>
        <v>Ecosystem approach</v>
      </c>
      <c r="EM1468" s="2" t="str">
        <f>IF(AND(AND(AND($DX1468=0,$DW1468=0),OR($EC1468=1,$EA1468=1)),SUM($EB1468:$EE1468)&gt;=2),"Technology approach","")</f>
        <v/>
      </c>
      <c r="EP1468" t="b">
        <f>IF(ISNUMBER(BU1468),IF(ABS(BU1468-[5]QC_indicators!$B$2)&gt;3*[5]QC_indicators!$C$2,"C ratio",IF(ISNUMBER(BY1468),IF(ABS(BY1468-[5]QC_indicators!$B$1)&gt;3*[5]QC_indicators!$C$1,"DF","no"))),IF(ISNUMBER(BY1468),IF(ABS(BY1468-[5]QC_indicators!$B$1)&gt;3*[5]QC_indicators!$C$1,"DF","no")))</f>
        <v>0</v>
      </c>
    </row>
    <row r="1469" spans="1:148" ht="15" customHeight="1">
      <c r="A1469" s="1" t="s">
        <v>4068</v>
      </c>
      <c r="B1469" t="s">
        <v>4069</v>
      </c>
      <c r="C1469" t="s">
        <v>4070</v>
      </c>
      <c r="D1469" t="s">
        <v>4071</v>
      </c>
      <c r="E1469" t="s">
        <v>4072</v>
      </c>
      <c r="F1469" t="s">
        <v>4073</v>
      </c>
      <c r="G1469" t="s">
        <v>4074</v>
      </c>
      <c r="H1469" t="s">
        <v>254</v>
      </c>
      <c r="I1469">
        <v>2021</v>
      </c>
      <c r="J1469">
        <v>0</v>
      </c>
      <c r="K1469" t="s">
        <v>4075</v>
      </c>
      <c r="M1469" t="str">
        <f>LEFT($D1469,FIND(",",$D1469)-1)&amp;"_"&amp;I1469&amp;L1469</f>
        <v>Robertson_2021</v>
      </c>
      <c r="N1469" s="312" t="s">
        <v>4383</v>
      </c>
      <c r="O1469" s="145" t="s">
        <v>341</v>
      </c>
      <c r="Q1469" s="312" t="s">
        <v>256</v>
      </c>
      <c r="R1469" s="313"/>
      <c r="S1469" s="1" t="s">
        <v>4078</v>
      </c>
      <c r="T1469" t="s">
        <v>1111</v>
      </c>
      <c r="U1469" s="312" t="s">
        <v>4077</v>
      </c>
      <c r="V1469">
        <v>1</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2</v>
      </c>
      <c r="AX1469" s="141">
        <f>COUNTIF(V1469:AW1469,"&lt;&gt;0")</f>
        <v>2</v>
      </c>
      <c r="AY1469" s="141">
        <f>COUNTIF(V1469:AL1469,"&lt;&gt;0")</f>
        <v>1</v>
      </c>
      <c r="AZ1469">
        <f>COUNTIF(V1469:AC1469,"&lt;&gt;0")</f>
        <v>1</v>
      </c>
      <c r="BA1469">
        <f>COUNTIF(AD1469:AI1469,"&lt;&gt;0")</f>
        <v>0</v>
      </c>
      <c r="BB1469">
        <f>COUNTIF(AJ1469:AL1469,"&lt;&gt;0")</f>
        <v>0</v>
      </c>
      <c r="BC1469">
        <f>COUNTIF(AS1469:AW1469,"&lt;&gt;0")</f>
        <v>1</v>
      </c>
      <c r="BD1469">
        <f>COUNTIF(AM1469:AR1469,"&lt;&gt;0")</f>
        <v>0</v>
      </c>
      <c r="BE1469" t="str" cm="1">
        <f t="array" ref="BE1469">IF(AY1469=1,INDEX($V$7:$AL$7,MATCH(TRUE,INDEX($V1469:$AW1469&lt;&gt;0,),0)),IF(AY1469=0,INDEX($AM$7:$AW$7,MATCH(1,$AM1469:$AW1469,0)),IF(BF1469="Multiple strategies","mixed drivers",IF(BF1469="Supply chain","multiple supply","multiple silviculture"))))</f>
        <v>area subject to harvest</v>
      </c>
      <c r="BF1469" s="2" t="str" cm="1">
        <f t="array" ref="BF1469">IF(COUNTIF(AZ1469:BB1469,"&lt;&gt;0")=1,INDEX($V$4:$AW$4,MATCH(TRUE,INDEX($V1469:$AW1469&lt;&gt;0,),0)),IF(COUNTIF(AZ1469:BB1469,"&lt;&gt;0")=0,INDEX($AM$4:$AW$4,MATCH(1,$AM1469:$AW1469,0)),"Multiple strategies"))</f>
        <v>Silviculture for removals</v>
      </c>
      <c r="BP1469" t="s">
        <v>232</v>
      </c>
      <c r="BR1469" t="s">
        <v>1140</v>
      </c>
      <c r="BS1469">
        <v>0</v>
      </c>
      <c r="BT1469">
        <v>0.13</v>
      </c>
      <c r="BU1469" s="144" t="str">
        <f>IFERROR(BT1469/BS1469,"")</f>
        <v/>
      </c>
      <c r="BV1469">
        <f>BT1469-BS1469</f>
        <v>0.13</v>
      </c>
      <c r="BX1469">
        <f>BV1469*10^6</f>
        <v>130000</v>
      </c>
      <c r="BY1469" t="str">
        <f>IFERROR(BX1469/BO1469,"")</f>
        <v/>
      </c>
      <c r="BZ1469">
        <v>0</v>
      </c>
      <c r="CA1469">
        <v>0</v>
      </c>
      <c r="CB1469">
        <v>0</v>
      </c>
      <c r="CC1469">
        <v>0</v>
      </c>
      <c r="CD1469">
        <v>0</v>
      </c>
      <c r="CE1469">
        <v>0</v>
      </c>
      <c r="CF1469">
        <v>0</v>
      </c>
      <c r="CG1469">
        <v>0</v>
      </c>
      <c r="CH1469">
        <v>0</v>
      </c>
      <c r="CI1469">
        <v>0</v>
      </c>
      <c r="CJ1469">
        <v>0</v>
      </c>
      <c r="CK1469">
        <v>0</v>
      </c>
      <c r="CL1469">
        <v>0</v>
      </c>
      <c r="CM1469">
        <v>0</v>
      </c>
      <c r="CN1469" t="str">
        <f>IF(BL1469&lt;BK1469,"refNeedCorrection","refOK")</f>
        <v>refOK</v>
      </c>
      <c r="CO1469"/>
      <c r="CP1469"/>
      <c r="CQ1469"/>
      <c r="CR1469">
        <f>IF($CN1469="refOK",$BS1469,$BT1469)*IF($BP1469="Emissions positive",-1,1)</f>
        <v>0</v>
      </c>
      <c r="CS1469">
        <f>IF($CN1469="refOK",$BT1469,$BS1469)*IF($BP1469="Emissions positive",-1,1)</f>
        <v>0.13</v>
      </c>
      <c r="CT1469">
        <f>IF($CN1469="refNeedCorrection",-BX1469,BX1469)*IF($BP1469="Emissions positive",-1,1)</f>
        <v>130000</v>
      </c>
      <c r="CU1469" t="str">
        <f>IFERROR(CT1469/CQ1469,"")</f>
        <v/>
      </c>
      <c r="CV1469" s="2" t="str">
        <f>IFERROR((CS1469-CR1469)/ABS(CR1469),"")</f>
        <v/>
      </c>
      <c r="CW1469" s="1" t="s">
        <v>1199</v>
      </c>
      <c r="CX1469" s="312" t="str">
        <f>IF(OR($CW1469="prd",$CW1469="std",$CW1469="cit"),"loc",IF(OR($CW1469="eur",$CW1469="reg",$CW1469="coy"),"reg",$CW1469))</f>
        <v>reg</v>
      </c>
      <c r="CY1469" t="s">
        <v>428</v>
      </c>
      <c r="CZ1469">
        <v>2020</v>
      </c>
      <c r="DA1469">
        <v>2050</v>
      </c>
      <c r="DB1469">
        <v>31</v>
      </c>
      <c r="DC1469" t="str">
        <f>IF(DB1469=0,"0",IF(AND(DB1469&gt;=1,DB1469&lt;=30),"1-30",IF(AND(DB1469&gt;30,DB1469&lt;=70),"31-70",IF(AND(DB1469&gt;70,DB1469&lt;=100),"71-100",IF(DB1469&gt;100,"+100")))))</f>
        <v>31-70</v>
      </c>
      <c r="DD1469">
        <v>0</v>
      </c>
      <c r="DE1469">
        <v>1</v>
      </c>
      <c r="DF1469">
        <v>1</v>
      </c>
      <c r="DG1469">
        <v>1</v>
      </c>
      <c r="DI1469">
        <f>SUM(DD1469:DG1469)</f>
        <v>3</v>
      </c>
      <c r="DJ1469" t="str">
        <f>IF(DI1469=1,INDEX($DD$7:$DG$7,MATCH(1,$DD1469:$DG1469,0)),"mixedProduct")</f>
        <v>mixedProduct</v>
      </c>
      <c r="DK1469">
        <f>IF(DD1469=1,DK$7,0)</f>
        <v>0</v>
      </c>
      <c r="DL1469" t="str">
        <f>IF(DE1469=1,DL$7,0)</f>
        <v>Energy</v>
      </c>
      <c r="DM1469" t="str">
        <f>IF(DF1469=1,DM$7,0)</f>
        <v>Pulp/Paper</v>
      </c>
      <c r="DN1469" t="str">
        <f>IF(DG1469=1,DN$7,0)</f>
        <v>Timber</v>
      </c>
      <c r="DO1469">
        <v>0</v>
      </c>
      <c r="DP1469">
        <v>0</v>
      </c>
      <c r="DQ1469">
        <v>0</v>
      </c>
      <c r="DR1469">
        <v>0</v>
      </c>
      <c r="DS1469">
        <v>0</v>
      </c>
      <c r="DT1469">
        <f>SUM(DO1469:DP1469)</f>
        <v>0</v>
      </c>
      <c r="DU1469" s="143" t="str">
        <f>IF(DO1469=1,"self-calculated DF",IF(DP1469=1,"external DF used","explicit C balance"))</f>
        <v>explicit C balance</v>
      </c>
      <c r="DV1469">
        <v>1</v>
      </c>
      <c r="DW1469">
        <v>1</v>
      </c>
      <c r="DX1469">
        <v>1</v>
      </c>
      <c r="DY1469">
        <v>1</v>
      </c>
      <c r="DZ1469">
        <v>0</v>
      </c>
      <c r="EA1469" s="143">
        <v>0</v>
      </c>
      <c r="EB1469">
        <v>1</v>
      </c>
      <c r="EC1469">
        <v>0</v>
      </c>
      <c r="ED1469">
        <v>0</v>
      </c>
      <c r="EE1469">
        <v>0</v>
      </c>
      <c r="EF1469">
        <v>1</v>
      </c>
      <c r="EG1469">
        <v>0</v>
      </c>
      <c r="EH1469">
        <v>0</v>
      </c>
      <c r="EI1469" s="2">
        <v>0</v>
      </c>
      <c r="EK1469" t="str">
        <f>IF(AND(AND(AND(OR($DX1469=1,$DW1469=1),OR($EC1469=1,$EA1469=1)),SUM($DV1469:$DZ1469,$EF1469)&gt;=3),SUM($EA1469:$EE1469)&gt;=2),"Whole sector","")</f>
        <v/>
      </c>
      <c r="EL1469" t="str">
        <f>IF(AND(AND(OR($DX1469=1,$DW1469=1),AND($EC1469=0,$EA1469=0)),SUM($DV1469:$DZ1469,$EF1469)&gt;=3),"Ecosystem approach","")</f>
        <v>Ecosystem approach</v>
      </c>
      <c r="EM1469" s="2" t="str">
        <f>IF(AND(AND(AND($DX1469=0,$DW1469=0),OR($EC1469=1,$EA1469=1)),SUM($EB1469:$EE1469)&gt;=2),"Technology approach","")</f>
        <v/>
      </c>
      <c r="EP1469" t="b">
        <f>IF(ISNUMBER(BU1469),IF(ABS(BU1469-[5]QC_indicators!$B$2)&gt;3*[5]QC_indicators!$C$2,"C ratio",IF(ISNUMBER(BY1469),IF(ABS(BY1469-[5]QC_indicators!$B$1)&gt;3*[5]QC_indicators!$C$1,"DF","no"))),IF(ISNUMBER(BY1469),IF(ABS(BY1469-[5]QC_indicators!$B$1)&gt;3*[5]QC_indicators!$C$1,"DF","no")))</f>
        <v>0</v>
      </c>
    </row>
    <row r="1470" spans="1:148" ht="15" customHeight="1">
      <c r="A1470" s="1" t="s">
        <v>4068</v>
      </c>
      <c r="B1470" t="s">
        <v>4069</v>
      </c>
      <c r="C1470" t="s">
        <v>4070</v>
      </c>
      <c r="D1470" t="s">
        <v>4071</v>
      </c>
      <c r="E1470" t="s">
        <v>4072</v>
      </c>
      <c r="F1470" t="s">
        <v>4073</v>
      </c>
      <c r="G1470" t="s">
        <v>4074</v>
      </c>
      <c r="H1470" t="s">
        <v>254</v>
      </c>
      <c r="I1470">
        <v>2021</v>
      </c>
      <c r="J1470">
        <v>0</v>
      </c>
      <c r="K1470" t="s">
        <v>4075</v>
      </c>
      <c r="M1470" t="str">
        <f>LEFT($D1470,FIND(",",$D1470)-1)&amp;"_"&amp;I1470&amp;L1470</f>
        <v>Robertson_2021</v>
      </c>
      <c r="N1470" s="312" t="s">
        <v>4383</v>
      </c>
      <c r="O1470" s="145" t="s">
        <v>341</v>
      </c>
      <c r="Q1470" s="312" t="s">
        <v>256</v>
      </c>
      <c r="R1470" s="313"/>
      <c r="S1470" s="1" t="s">
        <v>4079</v>
      </c>
      <c r="T1470" t="s">
        <v>1111</v>
      </c>
      <c r="U1470" s="312" t="s">
        <v>4077</v>
      </c>
      <c r="V1470">
        <v>1</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2</v>
      </c>
      <c r="AX1470" s="141">
        <f>COUNTIF(V1470:AW1470,"&lt;&gt;0")</f>
        <v>2</v>
      </c>
      <c r="AY1470" s="141">
        <f>COUNTIF(V1470:AL1470,"&lt;&gt;0")</f>
        <v>1</v>
      </c>
      <c r="AZ1470">
        <f>COUNTIF(V1470:AC1470,"&lt;&gt;0")</f>
        <v>1</v>
      </c>
      <c r="BA1470">
        <f>COUNTIF(AD1470:AI1470,"&lt;&gt;0")</f>
        <v>0</v>
      </c>
      <c r="BB1470">
        <f>COUNTIF(AJ1470:AL1470,"&lt;&gt;0")</f>
        <v>0</v>
      </c>
      <c r="BC1470">
        <f>COUNTIF(AS1470:AW1470,"&lt;&gt;0")</f>
        <v>1</v>
      </c>
      <c r="BD1470">
        <f>COUNTIF(AM1470:AR1470,"&lt;&gt;0")</f>
        <v>0</v>
      </c>
      <c r="BE1470" t="str" cm="1">
        <f t="array" ref="BE1470">IF(AY1470=1,INDEX($V$7:$AL$7,MATCH(TRUE,INDEX($V1470:$AW1470&lt;&gt;0,),0)),IF(AY1470=0,INDEX($AM$7:$AW$7,MATCH(1,$AM1470:$AW1470,0)),IF(BF1470="Multiple strategies","mixed drivers",IF(BF1470="Supply chain","multiple supply","multiple silviculture"))))</f>
        <v>area subject to harvest</v>
      </c>
      <c r="BF1470" s="2" t="str" cm="1">
        <f t="array" ref="BF1470">IF(COUNTIF(AZ1470:BB1470,"&lt;&gt;0")=1,INDEX($V$4:$AW$4,MATCH(TRUE,INDEX($V1470:$AW1470&lt;&gt;0,),0)),IF(COUNTIF(AZ1470:BB1470,"&lt;&gt;0")=0,INDEX($AM$4:$AW$4,MATCH(1,$AM1470:$AW1470,0)),"Multiple strategies"))</f>
        <v>Silviculture for removals</v>
      </c>
      <c r="BP1470" t="s">
        <v>232</v>
      </c>
      <c r="BR1470" t="s">
        <v>1140</v>
      </c>
      <c r="BS1470">
        <v>0</v>
      </c>
      <c r="BT1470">
        <v>0.4</v>
      </c>
      <c r="BU1470" s="144" t="str">
        <f>IFERROR(BT1470/BS1470,"")</f>
        <v/>
      </c>
      <c r="BV1470">
        <f>BT1470-BS1470</f>
        <v>0.4</v>
      </c>
      <c r="BX1470">
        <f>BV1470*10^6</f>
        <v>400000</v>
      </c>
      <c r="BY1470" t="str">
        <f>IFERROR(BX1470/BO1470,"")</f>
        <v/>
      </c>
      <c r="BZ1470">
        <v>0</v>
      </c>
      <c r="CA1470">
        <v>0</v>
      </c>
      <c r="CB1470">
        <v>0</v>
      </c>
      <c r="CC1470">
        <v>0</v>
      </c>
      <c r="CD1470">
        <v>0</v>
      </c>
      <c r="CE1470">
        <v>0</v>
      </c>
      <c r="CF1470">
        <v>0</v>
      </c>
      <c r="CG1470">
        <v>0</v>
      </c>
      <c r="CH1470">
        <v>0</v>
      </c>
      <c r="CI1470">
        <v>0</v>
      </c>
      <c r="CJ1470">
        <v>0</v>
      </c>
      <c r="CK1470">
        <v>0</v>
      </c>
      <c r="CL1470">
        <v>0</v>
      </c>
      <c r="CM1470">
        <v>0</v>
      </c>
      <c r="CN1470" t="str">
        <f>IF(BL1470&lt;BK1470,"refNeedCorrection","refOK")</f>
        <v>refOK</v>
      </c>
      <c r="CO1470"/>
      <c r="CP1470"/>
      <c r="CQ1470"/>
      <c r="CR1470">
        <f>IF($CN1470="refOK",$BS1470,$BT1470)*IF($BP1470="Emissions positive",-1,1)</f>
        <v>0</v>
      </c>
      <c r="CS1470">
        <f>IF($CN1470="refOK",$BT1470,$BS1470)*IF($BP1470="Emissions positive",-1,1)</f>
        <v>0.4</v>
      </c>
      <c r="CT1470">
        <f>IF($CN1470="refNeedCorrection",-BX1470,BX1470)*IF($BP1470="Emissions positive",-1,1)</f>
        <v>400000</v>
      </c>
      <c r="CU1470" t="str">
        <f>IFERROR(CT1470/CQ1470,"")</f>
        <v/>
      </c>
      <c r="CV1470" s="2" t="str">
        <f>IFERROR((CS1470-CR1470)/ABS(CR1470),"")</f>
        <v/>
      </c>
      <c r="CW1470" s="1" t="s">
        <v>1199</v>
      </c>
      <c r="CX1470" s="312" t="str">
        <f>IF(OR($CW1470="prd",$CW1470="std",$CW1470="cit"),"loc",IF(OR($CW1470="eur",$CW1470="reg",$CW1470="coy"),"reg",$CW1470))</f>
        <v>reg</v>
      </c>
      <c r="CY1470" t="s">
        <v>428</v>
      </c>
      <c r="CZ1470">
        <v>2020</v>
      </c>
      <c r="DA1470">
        <v>2050</v>
      </c>
      <c r="DB1470">
        <v>31</v>
      </c>
      <c r="DC1470" t="str">
        <f>IF(DB1470=0,"0",IF(AND(DB1470&gt;=1,DB1470&lt;=30),"1-30",IF(AND(DB1470&gt;30,DB1470&lt;=70),"31-70",IF(AND(DB1470&gt;70,DB1470&lt;=100),"71-100",IF(DB1470&gt;100,"+100")))))</f>
        <v>31-70</v>
      </c>
      <c r="DD1470">
        <v>0</v>
      </c>
      <c r="DE1470">
        <v>1</v>
      </c>
      <c r="DF1470">
        <v>1</v>
      </c>
      <c r="DG1470">
        <v>1</v>
      </c>
      <c r="DI1470">
        <f>SUM(DD1470:DG1470)</f>
        <v>3</v>
      </c>
      <c r="DJ1470" t="str">
        <f>IF(DI1470=1,INDEX($DD$7:$DG$7,MATCH(1,$DD1470:$DG1470,0)),"mixedProduct")</f>
        <v>mixedProduct</v>
      </c>
      <c r="DK1470">
        <f>IF(DD1470=1,DK$7,0)</f>
        <v>0</v>
      </c>
      <c r="DL1470" t="str">
        <f>IF(DE1470=1,DL$7,0)</f>
        <v>Energy</v>
      </c>
      <c r="DM1470" t="str">
        <f>IF(DF1470=1,DM$7,0)</f>
        <v>Pulp/Paper</v>
      </c>
      <c r="DN1470" t="str">
        <f>IF(DG1470=1,DN$7,0)</f>
        <v>Timber</v>
      </c>
      <c r="DO1470">
        <v>0</v>
      </c>
      <c r="DP1470">
        <v>0</v>
      </c>
      <c r="DQ1470">
        <v>0</v>
      </c>
      <c r="DR1470">
        <v>0</v>
      </c>
      <c r="DS1470">
        <v>0</v>
      </c>
      <c r="DT1470">
        <f>SUM(DO1470:DP1470)</f>
        <v>0</v>
      </c>
      <c r="DU1470" s="143" t="str">
        <f>IF(DO1470=1,"self-calculated DF",IF(DP1470=1,"external DF used","explicit C balance"))</f>
        <v>explicit C balance</v>
      </c>
      <c r="DV1470">
        <v>1</v>
      </c>
      <c r="DW1470">
        <v>1</v>
      </c>
      <c r="DX1470">
        <v>1</v>
      </c>
      <c r="DY1470">
        <v>1</v>
      </c>
      <c r="DZ1470">
        <v>0</v>
      </c>
      <c r="EA1470" s="143">
        <v>0</v>
      </c>
      <c r="EB1470">
        <v>1</v>
      </c>
      <c r="EC1470">
        <v>0</v>
      </c>
      <c r="ED1470">
        <v>0</v>
      </c>
      <c r="EE1470">
        <v>0</v>
      </c>
      <c r="EF1470">
        <v>1</v>
      </c>
      <c r="EG1470">
        <v>0</v>
      </c>
      <c r="EH1470">
        <v>0</v>
      </c>
      <c r="EI1470" s="2">
        <v>0</v>
      </c>
      <c r="EK1470" t="str">
        <f>IF(AND(AND(AND(OR($DX1470=1,$DW1470=1),OR($EC1470=1,$EA1470=1)),SUM($DV1470:$DZ1470,$EF1470)&gt;=3),SUM($EA1470:$EE1470)&gt;=2),"Whole sector","")</f>
        <v/>
      </c>
      <c r="EL1470" t="str">
        <f>IF(AND(AND(OR($DX1470=1,$DW1470=1),AND($EC1470=0,$EA1470=0)),SUM($DV1470:$DZ1470,$EF1470)&gt;=3),"Ecosystem approach","")</f>
        <v>Ecosystem approach</v>
      </c>
      <c r="EM1470" s="2" t="str">
        <f>IF(AND(AND(AND($DX1470=0,$DW1470=0),OR($EC1470=1,$EA1470=1)),SUM($EB1470:$EE1470)&gt;=2),"Technology approach","")</f>
        <v/>
      </c>
      <c r="EP1470" t="b">
        <f>IF(ISNUMBER(BU1470),IF(ABS(BU1470-[5]QC_indicators!$B$2)&gt;3*[5]QC_indicators!$C$2,"C ratio",IF(ISNUMBER(BY1470),IF(ABS(BY1470-[5]QC_indicators!$B$1)&gt;3*[5]QC_indicators!$C$1,"DF","no"))),IF(ISNUMBER(BY1470),IF(ABS(BY1470-[5]QC_indicators!$B$1)&gt;3*[5]QC_indicators!$C$1,"DF","no")))</f>
        <v>0</v>
      </c>
    </row>
    <row r="1471" spans="1:148" ht="15" customHeight="1">
      <c r="A1471" s="1" t="s">
        <v>4068</v>
      </c>
      <c r="B1471" t="s">
        <v>4069</v>
      </c>
      <c r="C1471" t="s">
        <v>4070</v>
      </c>
      <c r="D1471" t="s">
        <v>4071</v>
      </c>
      <c r="E1471" t="s">
        <v>4072</v>
      </c>
      <c r="F1471" t="s">
        <v>4073</v>
      </c>
      <c r="G1471" t="s">
        <v>4074</v>
      </c>
      <c r="H1471" t="s">
        <v>254</v>
      </c>
      <c r="I1471">
        <v>2021</v>
      </c>
      <c r="J1471">
        <v>0</v>
      </c>
      <c r="K1471" t="s">
        <v>4075</v>
      </c>
      <c r="M1471" t="str">
        <f>LEFT($D1471,FIND(",",$D1471)-1)&amp;"_"&amp;I1471&amp;L1471</f>
        <v>Robertson_2021</v>
      </c>
      <c r="N1471" s="312" t="s">
        <v>4383</v>
      </c>
      <c r="O1471" s="145" t="s">
        <v>341</v>
      </c>
      <c r="Q1471" s="312" t="s">
        <v>256</v>
      </c>
      <c r="R1471" s="313"/>
      <c r="S1471" s="1" t="s">
        <v>4080</v>
      </c>
      <c r="T1471" t="s">
        <v>1111</v>
      </c>
      <c r="U1471" t="e">
        <f>#REF!</f>
        <v>#REF!</v>
      </c>
      <c r="V1471">
        <v>1</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2</v>
      </c>
      <c r="AX1471" s="141">
        <f>COUNTIF(V1471:AW1471,"&lt;&gt;0")</f>
        <v>2</v>
      </c>
      <c r="AY1471" s="141">
        <f>COUNTIF(V1471:AL1471,"&lt;&gt;0")</f>
        <v>1</v>
      </c>
      <c r="AZ1471">
        <f>COUNTIF(V1471:AC1471,"&lt;&gt;0")</f>
        <v>1</v>
      </c>
      <c r="BA1471">
        <f>COUNTIF(AD1471:AI1471,"&lt;&gt;0")</f>
        <v>0</v>
      </c>
      <c r="BB1471">
        <f>COUNTIF(AJ1471:AL1471,"&lt;&gt;0")</f>
        <v>0</v>
      </c>
      <c r="BC1471">
        <f>COUNTIF(AS1471:AW1471,"&lt;&gt;0")</f>
        <v>1</v>
      </c>
      <c r="BD1471">
        <f>COUNTIF(AM1471:AR1471,"&lt;&gt;0")</f>
        <v>0</v>
      </c>
      <c r="BE1471" t="str" cm="1">
        <f t="array" ref="BE1471">IF(AY1471=1,INDEX($V$7:$AL$7,MATCH(TRUE,INDEX($V1471:$AW1471&lt;&gt;0,),0)),IF(AY1471=0,INDEX($AM$7:$AW$7,MATCH(1,$AM1471:$AW1471,0)),IF(BF1471="Multiple strategies","mixed drivers",IF(BF1471="Supply chain","multiple supply","multiple silviculture"))))</f>
        <v>area subject to harvest</v>
      </c>
      <c r="BF1471" s="2" t="str" cm="1">
        <f t="array" ref="BF1471">IF(COUNTIF(AZ1471:BB1471,"&lt;&gt;0")=1,INDEX($V$4:$AW$4,MATCH(TRUE,INDEX($V1471:$AW1471&lt;&gt;0,),0)),IF(COUNTIF(AZ1471:BB1471,"&lt;&gt;0")=0,INDEX($AM$4:$AW$4,MATCH(1,$AM1471:$AW1471,0)),"Multiple strategies"))</f>
        <v>Silviculture for removals</v>
      </c>
      <c r="BP1471" t="s">
        <v>232</v>
      </c>
      <c r="BR1471" t="s">
        <v>1140</v>
      </c>
      <c r="BS1471">
        <v>0</v>
      </c>
      <c r="BT1471">
        <v>0.12</v>
      </c>
      <c r="BU1471" s="144" t="str">
        <f>IFERROR(BT1471/BS1471,"")</f>
        <v/>
      </c>
      <c r="BV1471">
        <f>BT1471-BS1471</f>
        <v>0.12</v>
      </c>
      <c r="BX1471">
        <f>BV1471*10^6</f>
        <v>120000</v>
      </c>
      <c r="BY1471" t="str">
        <f>IFERROR(BX1471/BO1471,"")</f>
        <v/>
      </c>
      <c r="BZ1471">
        <v>0</v>
      </c>
      <c r="CA1471">
        <v>0</v>
      </c>
      <c r="CB1471">
        <v>0</v>
      </c>
      <c r="CC1471">
        <v>0</v>
      </c>
      <c r="CD1471">
        <v>0</v>
      </c>
      <c r="CE1471">
        <v>0</v>
      </c>
      <c r="CF1471">
        <v>0</v>
      </c>
      <c r="CG1471">
        <v>0</v>
      </c>
      <c r="CH1471">
        <v>0</v>
      </c>
      <c r="CI1471">
        <v>0</v>
      </c>
      <c r="CJ1471">
        <v>0</v>
      </c>
      <c r="CK1471">
        <v>0</v>
      </c>
      <c r="CL1471">
        <v>0</v>
      </c>
      <c r="CM1471">
        <v>0</v>
      </c>
      <c r="CN1471" t="str">
        <f>IF(BL1471&lt;BK1471,"refNeedCorrection","refOK")</f>
        <v>refOK</v>
      </c>
      <c r="CO1471"/>
      <c r="CP1471"/>
      <c r="CQ1471"/>
      <c r="CR1471">
        <f>IF($CN1471="refOK",$BS1471,$BT1471)*IF($BP1471="Emissions positive",-1,1)</f>
        <v>0</v>
      </c>
      <c r="CS1471">
        <f>IF($CN1471="refOK",$BT1471,$BS1471)*IF($BP1471="Emissions positive",-1,1)</f>
        <v>0.12</v>
      </c>
      <c r="CT1471">
        <f>IF($CN1471="refNeedCorrection",-BX1471,BX1471)*IF($BP1471="Emissions positive",-1,1)</f>
        <v>120000</v>
      </c>
      <c r="CU1471" t="str">
        <f>IFERROR(CT1471/CQ1471,"")</f>
        <v/>
      </c>
      <c r="CV1471" s="2" t="str">
        <f>IFERROR((CS1471-CR1471)/ABS(CR1471),"")</f>
        <v/>
      </c>
      <c r="CW1471" s="1" t="s">
        <v>1199</v>
      </c>
      <c r="CX1471" s="312" t="str">
        <f>IF(OR($CW1471="prd",$CW1471="std",$CW1471="cit"),"loc",IF(OR($CW1471="eur",$CW1471="reg",$CW1471="coy"),"reg",$CW1471))</f>
        <v>reg</v>
      </c>
      <c r="CY1471" t="s">
        <v>428</v>
      </c>
      <c r="CZ1471">
        <v>2020</v>
      </c>
      <c r="DA1471">
        <v>2050</v>
      </c>
      <c r="DB1471">
        <v>31</v>
      </c>
      <c r="DC1471" t="str">
        <f>IF(DB1471=0,"0",IF(AND(DB1471&gt;=1,DB1471&lt;=30),"1-30",IF(AND(DB1471&gt;30,DB1471&lt;=70),"31-70",IF(AND(DB1471&gt;70,DB1471&lt;=100),"71-100",IF(DB1471&gt;100,"+100")))))</f>
        <v>31-70</v>
      </c>
      <c r="DD1471">
        <v>0</v>
      </c>
      <c r="DE1471">
        <v>1</v>
      </c>
      <c r="DF1471">
        <v>1</v>
      </c>
      <c r="DG1471">
        <v>1</v>
      </c>
      <c r="DI1471">
        <f>SUM(DD1471:DG1471)</f>
        <v>3</v>
      </c>
      <c r="DJ1471" t="str">
        <f>IF(DI1471=1,INDEX($DD$7:$DG$7,MATCH(1,$DD1471:$DG1471,0)),"mixedProduct")</f>
        <v>mixedProduct</v>
      </c>
      <c r="DK1471">
        <f>IF(DD1471=1,DK$7,0)</f>
        <v>0</v>
      </c>
      <c r="DL1471" t="str">
        <f>IF(DE1471=1,DL$7,0)</f>
        <v>Energy</v>
      </c>
      <c r="DM1471" t="str">
        <f>IF(DF1471=1,DM$7,0)</f>
        <v>Pulp/Paper</v>
      </c>
      <c r="DN1471" t="str">
        <f>IF(DG1471=1,DN$7,0)</f>
        <v>Timber</v>
      </c>
      <c r="DO1471">
        <v>0</v>
      </c>
      <c r="DP1471">
        <v>0</v>
      </c>
      <c r="DQ1471">
        <v>0</v>
      </c>
      <c r="DR1471">
        <v>0</v>
      </c>
      <c r="DS1471">
        <v>0</v>
      </c>
      <c r="DT1471">
        <f>SUM(DO1471:DP1471)</f>
        <v>0</v>
      </c>
      <c r="DU1471" s="143" t="str">
        <f>IF(DO1471=1,"self-calculated DF",IF(DP1471=1,"external DF used","explicit C balance"))</f>
        <v>explicit C balance</v>
      </c>
      <c r="DV1471">
        <v>1</v>
      </c>
      <c r="DW1471">
        <v>1</v>
      </c>
      <c r="DX1471">
        <v>1</v>
      </c>
      <c r="DY1471">
        <v>1</v>
      </c>
      <c r="DZ1471">
        <v>0</v>
      </c>
      <c r="EA1471" s="143">
        <v>0</v>
      </c>
      <c r="EB1471">
        <v>1</v>
      </c>
      <c r="EC1471">
        <v>0</v>
      </c>
      <c r="ED1471">
        <v>0</v>
      </c>
      <c r="EE1471">
        <v>0</v>
      </c>
      <c r="EF1471">
        <v>1</v>
      </c>
      <c r="EG1471">
        <v>0</v>
      </c>
      <c r="EH1471">
        <v>0</v>
      </c>
      <c r="EI1471" s="2">
        <v>0</v>
      </c>
      <c r="EK1471" t="str">
        <f>IF(AND(AND(AND(OR($DX1471=1,$DW1471=1),OR($EC1471=1,$EA1471=1)),SUM($DV1471:$DZ1471,$EF1471)&gt;=3),SUM($EA1471:$EE1471)&gt;=2),"Whole sector","")</f>
        <v/>
      </c>
      <c r="EL1471" t="str">
        <f>IF(AND(AND(OR($DX1471=1,$DW1471=1),AND($EC1471=0,$EA1471=0)),SUM($DV1471:$DZ1471,$EF1471)&gt;=3),"Ecosystem approach","")</f>
        <v>Ecosystem approach</v>
      </c>
      <c r="EM1471" s="2" t="str">
        <f>IF(AND(AND(AND($DX1471=0,$DW1471=0),OR($EC1471=1,$EA1471=1)),SUM($EB1471:$EE1471)&gt;=2),"Technology approach","")</f>
        <v/>
      </c>
      <c r="EP1471" t="b">
        <f>IF(ISNUMBER(BU1471),IF(ABS(BU1471-[5]QC_indicators!$B$2)&gt;3*[5]QC_indicators!$C$2,"C ratio",IF(ISNUMBER(BY1471),IF(ABS(BY1471-[5]QC_indicators!$B$1)&gt;3*[5]QC_indicators!$C$1,"DF","no"))),IF(ISNUMBER(BY1471),IF(ABS(BY1471-[5]QC_indicators!$B$1)&gt;3*[5]QC_indicators!$C$1,"DF","no")))</f>
        <v>0</v>
      </c>
    </row>
    <row r="1472" spans="1:148" ht="15" customHeight="1">
      <c r="A1472" s="1" t="s">
        <v>4068</v>
      </c>
      <c r="B1472" t="s">
        <v>4069</v>
      </c>
      <c r="C1472" t="s">
        <v>4070</v>
      </c>
      <c r="D1472" t="s">
        <v>4071</v>
      </c>
      <c r="E1472" t="s">
        <v>4072</v>
      </c>
      <c r="F1472" t="s">
        <v>4073</v>
      </c>
      <c r="G1472" t="s">
        <v>4074</v>
      </c>
      <c r="H1472" t="s">
        <v>254</v>
      </c>
      <c r="I1472">
        <v>2021</v>
      </c>
      <c r="J1472">
        <v>0</v>
      </c>
      <c r="K1472" t="s">
        <v>4075</v>
      </c>
      <c r="M1472" t="str">
        <f>LEFT($D1472,FIND(",",$D1472)-1)&amp;"_"&amp;I1472&amp;L1472</f>
        <v>Robertson_2021</v>
      </c>
      <c r="N1472" s="312" t="s">
        <v>4383</v>
      </c>
      <c r="O1472" s="145" t="s">
        <v>341</v>
      </c>
      <c r="Q1472" s="312" t="s">
        <v>256</v>
      </c>
      <c r="R1472" s="313"/>
      <c r="S1472" s="1" t="s">
        <v>4081</v>
      </c>
      <c r="T1472" t="s">
        <v>1111</v>
      </c>
      <c r="U1472" t="e">
        <f>#REF!</f>
        <v>#REF!</v>
      </c>
      <c r="V1472">
        <v>1</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2</v>
      </c>
      <c r="AX1472" s="141">
        <f>COUNTIF(V1472:AW1472,"&lt;&gt;0")</f>
        <v>2</v>
      </c>
      <c r="AY1472" s="141">
        <f>COUNTIF(V1472:AL1472,"&lt;&gt;0")</f>
        <v>1</v>
      </c>
      <c r="AZ1472">
        <f>COUNTIF(V1472:AC1472,"&lt;&gt;0")</f>
        <v>1</v>
      </c>
      <c r="BA1472">
        <f>COUNTIF(AD1472:AI1472,"&lt;&gt;0")</f>
        <v>0</v>
      </c>
      <c r="BB1472">
        <f>COUNTIF(AJ1472:AL1472,"&lt;&gt;0")</f>
        <v>0</v>
      </c>
      <c r="BC1472">
        <f>COUNTIF(AS1472:AW1472,"&lt;&gt;0")</f>
        <v>1</v>
      </c>
      <c r="BD1472">
        <f>COUNTIF(AM1472:AR1472,"&lt;&gt;0")</f>
        <v>0</v>
      </c>
      <c r="BE1472" t="str" cm="1">
        <f t="array" ref="BE1472">IF(AY1472=1,INDEX($V$7:$AL$7,MATCH(TRUE,INDEX($V1472:$AW1472&lt;&gt;0,),0)),IF(AY1472=0,INDEX($AM$7:$AW$7,MATCH(1,$AM1472:$AW1472,0)),IF(BF1472="Multiple strategies","mixed drivers",IF(BF1472="Supply chain","multiple supply","multiple silviculture"))))</f>
        <v>area subject to harvest</v>
      </c>
      <c r="BF1472" s="2" t="str" cm="1">
        <f t="array" ref="BF1472">IF(COUNTIF(AZ1472:BB1472,"&lt;&gt;0")=1,INDEX($V$4:$AW$4,MATCH(TRUE,INDEX($V1472:$AW1472&lt;&gt;0,),0)),IF(COUNTIF(AZ1472:BB1472,"&lt;&gt;0")=0,INDEX($AM$4:$AW$4,MATCH(1,$AM1472:$AW1472,0)),"Multiple strategies"))</f>
        <v>Silviculture for removals</v>
      </c>
      <c r="BP1472" t="s">
        <v>232</v>
      </c>
      <c r="BR1472" t="s">
        <v>1140</v>
      </c>
      <c r="BS1472">
        <v>0</v>
      </c>
      <c r="BT1472">
        <v>0.57999999999999996</v>
      </c>
      <c r="BU1472" s="144" t="str">
        <f>IFERROR(BT1472/BS1472,"")</f>
        <v/>
      </c>
      <c r="BV1472">
        <f>BT1472-BS1472</f>
        <v>0.57999999999999996</v>
      </c>
      <c r="BX1472">
        <f>BV1472*10^6</f>
        <v>580000</v>
      </c>
      <c r="BY1472" t="str">
        <f>IFERROR(BX1472/BO1472,"")</f>
        <v/>
      </c>
      <c r="BZ1472">
        <v>0</v>
      </c>
      <c r="CA1472">
        <v>0</v>
      </c>
      <c r="CB1472">
        <v>0</v>
      </c>
      <c r="CC1472">
        <v>0</v>
      </c>
      <c r="CD1472">
        <v>0</v>
      </c>
      <c r="CE1472">
        <v>0</v>
      </c>
      <c r="CF1472">
        <v>0</v>
      </c>
      <c r="CG1472">
        <v>0</v>
      </c>
      <c r="CH1472">
        <v>0</v>
      </c>
      <c r="CI1472">
        <v>0</v>
      </c>
      <c r="CJ1472">
        <v>0</v>
      </c>
      <c r="CK1472">
        <v>0</v>
      </c>
      <c r="CL1472">
        <v>0</v>
      </c>
      <c r="CM1472">
        <v>0</v>
      </c>
      <c r="CN1472" t="str">
        <f>IF(BL1472&lt;BK1472,"refNeedCorrection","refOK")</f>
        <v>refOK</v>
      </c>
      <c r="CO1472"/>
      <c r="CP1472"/>
      <c r="CQ1472"/>
      <c r="CR1472">
        <f>IF($CN1472="refOK",$BS1472,$BT1472)*IF($BP1472="Emissions positive",-1,1)</f>
        <v>0</v>
      </c>
      <c r="CS1472">
        <f>IF($CN1472="refOK",$BT1472,$BS1472)*IF($BP1472="Emissions positive",-1,1)</f>
        <v>0.57999999999999996</v>
      </c>
      <c r="CT1472">
        <f>IF($CN1472="refNeedCorrection",-BX1472,BX1472)*IF($BP1472="Emissions positive",-1,1)</f>
        <v>580000</v>
      </c>
      <c r="CU1472" t="str">
        <f>IFERROR(CT1472/CQ1472,"")</f>
        <v/>
      </c>
      <c r="CV1472" s="2" t="str">
        <f>IFERROR((CS1472-CR1472)/ABS(CR1472),"")</f>
        <v/>
      </c>
      <c r="CW1472" s="1" t="s">
        <v>1199</v>
      </c>
      <c r="CX1472" s="312" t="str">
        <f>IF(OR($CW1472="prd",$CW1472="std",$CW1472="cit"),"loc",IF(OR($CW1472="eur",$CW1472="reg",$CW1472="coy"),"reg",$CW1472))</f>
        <v>reg</v>
      </c>
      <c r="CY1472" t="s">
        <v>428</v>
      </c>
      <c r="CZ1472">
        <v>2020</v>
      </c>
      <c r="DA1472">
        <v>2050</v>
      </c>
      <c r="DB1472">
        <v>31</v>
      </c>
      <c r="DC1472" t="str">
        <f>IF(DB1472=0,"0",IF(AND(DB1472&gt;=1,DB1472&lt;=30),"1-30",IF(AND(DB1472&gt;30,DB1472&lt;=70),"31-70",IF(AND(DB1472&gt;70,DB1472&lt;=100),"71-100",IF(DB1472&gt;100,"+100")))))</f>
        <v>31-70</v>
      </c>
      <c r="DD1472">
        <v>0</v>
      </c>
      <c r="DE1472">
        <v>1</v>
      </c>
      <c r="DF1472">
        <v>1</v>
      </c>
      <c r="DG1472">
        <v>1</v>
      </c>
      <c r="DI1472">
        <f>SUM(DD1472:DG1472)</f>
        <v>3</v>
      </c>
      <c r="DJ1472" t="str">
        <f>IF(DI1472=1,INDEX($DD$7:$DG$7,MATCH(1,$DD1472:$DG1472,0)),"mixedProduct")</f>
        <v>mixedProduct</v>
      </c>
      <c r="DK1472">
        <f>IF(DD1472=1,DK$7,0)</f>
        <v>0</v>
      </c>
      <c r="DL1472" t="str">
        <f>IF(DE1472=1,DL$7,0)</f>
        <v>Energy</v>
      </c>
      <c r="DM1472" t="str">
        <f>IF(DF1472=1,DM$7,0)</f>
        <v>Pulp/Paper</v>
      </c>
      <c r="DN1472" t="str">
        <f>IF(DG1472=1,DN$7,0)</f>
        <v>Timber</v>
      </c>
      <c r="DO1472">
        <v>0</v>
      </c>
      <c r="DP1472">
        <v>0</v>
      </c>
      <c r="DQ1472">
        <v>0</v>
      </c>
      <c r="DR1472">
        <v>0</v>
      </c>
      <c r="DS1472">
        <v>0</v>
      </c>
      <c r="DT1472">
        <f>SUM(DO1472:DP1472)</f>
        <v>0</v>
      </c>
      <c r="DU1472" s="143" t="str">
        <f>IF(DO1472=1,"self-calculated DF",IF(DP1472=1,"external DF used","explicit C balance"))</f>
        <v>explicit C balance</v>
      </c>
      <c r="DV1472">
        <v>1</v>
      </c>
      <c r="DW1472">
        <v>1</v>
      </c>
      <c r="DX1472">
        <v>1</v>
      </c>
      <c r="DY1472">
        <v>1</v>
      </c>
      <c r="DZ1472">
        <v>0</v>
      </c>
      <c r="EA1472" s="143">
        <v>0</v>
      </c>
      <c r="EB1472">
        <v>1</v>
      </c>
      <c r="EC1472">
        <v>0</v>
      </c>
      <c r="ED1472">
        <v>0</v>
      </c>
      <c r="EE1472">
        <v>0</v>
      </c>
      <c r="EF1472">
        <v>1</v>
      </c>
      <c r="EG1472">
        <v>0</v>
      </c>
      <c r="EH1472">
        <v>0</v>
      </c>
      <c r="EI1472" s="2">
        <v>0</v>
      </c>
      <c r="EK1472" t="str">
        <f>IF(AND(AND(AND(OR($DX1472=1,$DW1472=1),OR($EC1472=1,$EA1472=1)),SUM($DV1472:$DZ1472,$EF1472)&gt;=3),SUM($EA1472:$EE1472)&gt;=2),"Whole sector","")</f>
        <v/>
      </c>
      <c r="EL1472" t="str">
        <f>IF(AND(AND(OR($DX1472=1,$DW1472=1),AND($EC1472=0,$EA1472=0)),SUM($DV1472:$DZ1472,$EF1472)&gt;=3),"Ecosystem approach","")</f>
        <v>Ecosystem approach</v>
      </c>
      <c r="EM1472" s="2" t="str">
        <f>IF(AND(AND(AND($DX1472=0,$DW1472=0),OR($EC1472=1,$EA1472=1)),SUM($EB1472:$EE1472)&gt;=2),"Technology approach","")</f>
        <v/>
      </c>
      <c r="EP1472" t="b">
        <f>IF(ISNUMBER(BU1472),IF(ABS(BU1472-[5]QC_indicators!$B$2)&gt;3*[5]QC_indicators!$C$2,"C ratio",IF(ISNUMBER(BY1472),IF(ABS(BY1472-[5]QC_indicators!$B$1)&gt;3*[5]QC_indicators!$C$1,"DF","no"))),IF(ISNUMBER(BY1472),IF(ABS(BY1472-[5]QC_indicators!$B$1)&gt;3*[5]QC_indicators!$C$1,"DF","no")))</f>
        <v>0</v>
      </c>
    </row>
    <row r="1473" spans="1:148" ht="15" customHeight="1">
      <c r="A1473" s="1" t="s">
        <v>4068</v>
      </c>
      <c r="B1473" t="s">
        <v>4069</v>
      </c>
      <c r="C1473" t="s">
        <v>4070</v>
      </c>
      <c r="D1473" t="s">
        <v>4071</v>
      </c>
      <c r="E1473" t="s">
        <v>4072</v>
      </c>
      <c r="F1473" t="s">
        <v>4073</v>
      </c>
      <c r="G1473" t="s">
        <v>4074</v>
      </c>
      <c r="H1473" t="s">
        <v>254</v>
      </c>
      <c r="I1473">
        <v>2021</v>
      </c>
      <c r="J1473">
        <v>0</v>
      </c>
      <c r="K1473" t="s">
        <v>4075</v>
      </c>
      <c r="M1473" t="str">
        <f>LEFT($D1473,FIND(",",$D1473)-1)&amp;"_"&amp;I1473&amp;L1473</f>
        <v>Robertson_2021</v>
      </c>
      <c r="N1473" s="312" t="s">
        <v>4383</v>
      </c>
      <c r="O1473" s="145" t="s">
        <v>341</v>
      </c>
      <c r="Q1473" s="312" t="s">
        <v>256</v>
      </c>
      <c r="R1473" s="313"/>
      <c r="S1473" s="1" t="s">
        <v>4082</v>
      </c>
      <c r="T1473" t="s">
        <v>1111</v>
      </c>
      <c r="U1473" t="e">
        <f>#REF!</f>
        <v>#REF!</v>
      </c>
      <c r="V1473">
        <v>1</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2</v>
      </c>
      <c r="AX1473" s="141">
        <f>COUNTIF(V1473:AW1473,"&lt;&gt;0")</f>
        <v>2</v>
      </c>
      <c r="AY1473" s="141">
        <f>COUNTIF(V1473:AL1473,"&lt;&gt;0")</f>
        <v>1</v>
      </c>
      <c r="AZ1473">
        <f>COUNTIF(V1473:AC1473,"&lt;&gt;0")</f>
        <v>1</v>
      </c>
      <c r="BA1473">
        <f>COUNTIF(AD1473:AI1473,"&lt;&gt;0")</f>
        <v>0</v>
      </c>
      <c r="BB1473">
        <f>COUNTIF(AJ1473:AL1473,"&lt;&gt;0")</f>
        <v>0</v>
      </c>
      <c r="BC1473">
        <f>COUNTIF(AS1473:AW1473,"&lt;&gt;0")</f>
        <v>1</v>
      </c>
      <c r="BD1473">
        <f>COUNTIF(AM1473:AR1473,"&lt;&gt;0")</f>
        <v>0</v>
      </c>
      <c r="BE1473" t="str" cm="1">
        <f t="array" ref="BE1473">IF(AY1473=1,INDEX($V$7:$AL$7,MATCH(TRUE,INDEX($V1473:$AW1473&lt;&gt;0,),0)),IF(AY1473=0,INDEX($AM$7:$AW$7,MATCH(1,$AM1473:$AW1473,0)),IF(BF1473="Multiple strategies","mixed drivers",IF(BF1473="Supply chain","multiple supply","multiple silviculture"))))</f>
        <v>area subject to harvest</v>
      </c>
      <c r="BF1473" s="2" t="str" cm="1">
        <f t="array" ref="BF1473">IF(COUNTIF(AZ1473:BB1473,"&lt;&gt;0")=1,INDEX($V$4:$AW$4,MATCH(TRUE,INDEX($V1473:$AW1473&lt;&gt;0,),0)),IF(COUNTIF(AZ1473:BB1473,"&lt;&gt;0")=0,INDEX($AM$4:$AW$4,MATCH(1,$AM1473:$AW1473,0)),"Multiple strategies"))</f>
        <v>Silviculture for removals</v>
      </c>
      <c r="BP1473" t="s">
        <v>232</v>
      </c>
      <c r="BR1473" t="s">
        <v>1140</v>
      </c>
      <c r="BS1473">
        <v>0</v>
      </c>
      <c r="BT1473">
        <v>1.1599999999999999</v>
      </c>
      <c r="BU1473" s="144" t="str">
        <f>IFERROR(BT1473/BS1473,"")</f>
        <v/>
      </c>
      <c r="BV1473">
        <f>BT1473-BS1473</f>
        <v>1.1599999999999999</v>
      </c>
      <c r="BX1473">
        <f>BV1473*10^6</f>
        <v>1160000</v>
      </c>
      <c r="BY1473" t="str">
        <f>IFERROR(BX1473/BO1473,"")</f>
        <v/>
      </c>
      <c r="BZ1473">
        <v>0</v>
      </c>
      <c r="CA1473">
        <v>0</v>
      </c>
      <c r="CB1473">
        <v>0</v>
      </c>
      <c r="CC1473">
        <v>0</v>
      </c>
      <c r="CD1473">
        <v>0</v>
      </c>
      <c r="CE1473">
        <v>0</v>
      </c>
      <c r="CF1473">
        <v>0</v>
      </c>
      <c r="CG1473">
        <v>0</v>
      </c>
      <c r="CH1473">
        <v>0</v>
      </c>
      <c r="CI1473">
        <v>0</v>
      </c>
      <c r="CJ1473">
        <v>0</v>
      </c>
      <c r="CK1473">
        <v>0</v>
      </c>
      <c r="CL1473">
        <v>0</v>
      </c>
      <c r="CM1473">
        <v>0</v>
      </c>
      <c r="CN1473" t="str">
        <f>IF(BL1473&lt;BK1473,"refNeedCorrection","refOK")</f>
        <v>refOK</v>
      </c>
      <c r="CO1473"/>
      <c r="CP1473"/>
      <c r="CQ1473"/>
      <c r="CR1473">
        <f>IF($CN1473="refOK",$BS1473,$BT1473)*IF($BP1473="Emissions positive",-1,1)</f>
        <v>0</v>
      </c>
      <c r="CS1473">
        <f>IF($CN1473="refOK",$BT1473,$BS1473)*IF($BP1473="Emissions positive",-1,1)</f>
        <v>1.1599999999999999</v>
      </c>
      <c r="CT1473">
        <f>IF($CN1473="refNeedCorrection",-BX1473,BX1473)*IF($BP1473="Emissions positive",-1,1)</f>
        <v>1160000</v>
      </c>
      <c r="CU1473" t="str">
        <f>IFERROR(CT1473/CQ1473,"")</f>
        <v/>
      </c>
      <c r="CV1473" s="2" t="str">
        <f>IFERROR((CS1473-CR1473)/ABS(CR1473),"")</f>
        <v/>
      </c>
      <c r="CW1473" s="1" t="s">
        <v>1199</v>
      </c>
      <c r="CX1473" s="312" t="str">
        <f>IF(OR($CW1473="prd",$CW1473="std",$CW1473="cit"),"loc",IF(OR($CW1473="eur",$CW1473="reg",$CW1473="coy"),"reg",$CW1473))</f>
        <v>reg</v>
      </c>
      <c r="CY1473" t="s">
        <v>428</v>
      </c>
      <c r="CZ1473">
        <v>2020</v>
      </c>
      <c r="DA1473">
        <v>2050</v>
      </c>
      <c r="DB1473">
        <v>31</v>
      </c>
      <c r="DC1473" t="str">
        <f>IF(DB1473=0,"0",IF(AND(DB1473&gt;=1,DB1473&lt;=30),"1-30",IF(AND(DB1473&gt;30,DB1473&lt;=70),"31-70",IF(AND(DB1473&gt;70,DB1473&lt;=100),"71-100",IF(DB1473&gt;100,"+100")))))</f>
        <v>31-70</v>
      </c>
      <c r="DD1473">
        <v>0</v>
      </c>
      <c r="DE1473">
        <v>1</v>
      </c>
      <c r="DF1473">
        <v>1</v>
      </c>
      <c r="DG1473">
        <v>1</v>
      </c>
      <c r="DI1473">
        <f>SUM(DD1473:DG1473)</f>
        <v>3</v>
      </c>
      <c r="DJ1473" t="str">
        <f>IF(DI1473=1,INDEX($DD$7:$DG$7,MATCH(1,$DD1473:$DG1473,0)),"mixedProduct")</f>
        <v>mixedProduct</v>
      </c>
      <c r="DK1473">
        <f>IF(DD1473=1,DK$7,0)</f>
        <v>0</v>
      </c>
      <c r="DL1473" t="str">
        <f>IF(DE1473=1,DL$7,0)</f>
        <v>Energy</v>
      </c>
      <c r="DM1473" t="str">
        <f>IF(DF1473=1,DM$7,0)</f>
        <v>Pulp/Paper</v>
      </c>
      <c r="DN1473" t="str">
        <f>IF(DG1473=1,DN$7,0)</f>
        <v>Timber</v>
      </c>
      <c r="DO1473">
        <v>0</v>
      </c>
      <c r="DP1473">
        <v>0</v>
      </c>
      <c r="DQ1473">
        <v>0</v>
      </c>
      <c r="DR1473">
        <v>0</v>
      </c>
      <c r="DS1473">
        <v>0</v>
      </c>
      <c r="DT1473">
        <f>SUM(DO1473:DP1473)</f>
        <v>0</v>
      </c>
      <c r="DU1473" s="143" t="str">
        <f>IF(DO1473=1,"self-calculated DF",IF(DP1473=1,"external DF used","explicit C balance"))</f>
        <v>explicit C balance</v>
      </c>
      <c r="DV1473">
        <v>1</v>
      </c>
      <c r="DW1473">
        <v>1</v>
      </c>
      <c r="DX1473">
        <v>1</v>
      </c>
      <c r="DY1473">
        <v>1</v>
      </c>
      <c r="DZ1473">
        <v>0</v>
      </c>
      <c r="EA1473" s="143">
        <v>0</v>
      </c>
      <c r="EB1473">
        <v>1</v>
      </c>
      <c r="EC1473">
        <v>0</v>
      </c>
      <c r="ED1473">
        <v>0</v>
      </c>
      <c r="EE1473">
        <v>0</v>
      </c>
      <c r="EF1473">
        <v>1</v>
      </c>
      <c r="EG1473">
        <v>0</v>
      </c>
      <c r="EH1473">
        <v>0</v>
      </c>
      <c r="EI1473" s="2">
        <v>0</v>
      </c>
      <c r="EK1473" t="str">
        <f>IF(AND(AND(AND(OR($DX1473=1,$DW1473=1),OR($EC1473=1,$EA1473=1)),SUM($DV1473:$DZ1473,$EF1473)&gt;=3),SUM($EA1473:$EE1473)&gt;=2),"Whole sector","")</f>
        <v/>
      </c>
      <c r="EL1473" t="str">
        <f>IF(AND(AND(OR($DX1473=1,$DW1473=1),AND($EC1473=0,$EA1473=0)),SUM($DV1473:$DZ1473,$EF1473)&gt;=3),"Ecosystem approach","")</f>
        <v>Ecosystem approach</v>
      </c>
      <c r="EM1473" s="2" t="str">
        <f>IF(AND(AND(AND($DX1473=0,$DW1473=0),OR($EC1473=1,$EA1473=1)),SUM($EB1473:$EE1473)&gt;=2),"Technology approach","")</f>
        <v/>
      </c>
      <c r="EP1473" t="b">
        <f>IF(ISNUMBER(BU1473),IF(ABS(BU1473-[5]QC_indicators!$B$2)&gt;3*[5]QC_indicators!$C$2,"C ratio",IF(ISNUMBER(BY1473),IF(ABS(BY1473-[5]QC_indicators!$B$1)&gt;3*[5]QC_indicators!$C$1,"DF","no"))),IF(ISNUMBER(BY1473),IF(ABS(BY1473-[5]QC_indicators!$B$1)&gt;3*[5]QC_indicators!$C$1,"DF","no")))</f>
        <v>0</v>
      </c>
    </row>
    <row r="1474" spans="1:148" ht="15" customHeight="1">
      <c r="A1474" s="1" t="s">
        <v>4068</v>
      </c>
      <c r="B1474" t="s">
        <v>4069</v>
      </c>
      <c r="C1474" t="s">
        <v>4070</v>
      </c>
      <c r="D1474" t="s">
        <v>4071</v>
      </c>
      <c r="E1474" t="s">
        <v>4072</v>
      </c>
      <c r="F1474" t="s">
        <v>4073</v>
      </c>
      <c r="G1474" t="s">
        <v>4074</v>
      </c>
      <c r="H1474" t="s">
        <v>254</v>
      </c>
      <c r="I1474">
        <v>2021</v>
      </c>
      <c r="J1474">
        <v>0</v>
      </c>
      <c r="K1474" t="s">
        <v>4075</v>
      </c>
      <c r="M1474" t="str">
        <f>LEFT($D1474,FIND(",",$D1474)-1)&amp;"_"&amp;I1474&amp;L1474</f>
        <v>Robertson_2021</v>
      </c>
      <c r="N1474" s="312" t="s">
        <v>4383</v>
      </c>
      <c r="O1474" s="145" t="s">
        <v>341</v>
      </c>
      <c r="Q1474" s="312" t="s">
        <v>256</v>
      </c>
      <c r="R1474" s="313"/>
      <c r="S1474" s="1" t="s">
        <v>4083</v>
      </c>
      <c r="T1474" t="s">
        <v>1111</v>
      </c>
      <c r="U1474" t="e">
        <f>#REF!</f>
        <v>#REF!</v>
      </c>
      <c r="V1474">
        <v>0</v>
      </c>
      <c r="W1474">
        <v>0</v>
      </c>
      <c r="X1474">
        <v>0</v>
      </c>
      <c r="Y1474">
        <v>0</v>
      </c>
      <c r="Z1474">
        <v>0</v>
      </c>
      <c r="AA1474">
        <v>1</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s="141">
        <f>COUNTIF(V1474:AW1474,"&lt;&gt;0")</f>
        <v>1</v>
      </c>
      <c r="AY1474" s="141">
        <f>COUNTIF(V1474:AL1474,"&lt;&gt;0")</f>
        <v>1</v>
      </c>
      <c r="AZ1474">
        <f>COUNTIF(V1474:AC1474,"&lt;&gt;0")</f>
        <v>1</v>
      </c>
      <c r="BA1474">
        <f>COUNTIF(AD1474:AI1474,"&lt;&gt;0")</f>
        <v>0</v>
      </c>
      <c r="BB1474">
        <f>COUNTIF(AJ1474:AL1474,"&lt;&gt;0")</f>
        <v>0</v>
      </c>
      <c r="BC1474">
        <f>COUNTIF(AS1474:AW1474,"&lt;&gt;0")</f>
        <v>0</v>
      </c>
      <c r="BD1474">
        <f>COUNTIF(AM1474:AR1474,"&lt;&gt;0")</f>
        <v>0</v>
      </c>
      <c r="BE1474" t="str" cm="1">
        <f t="array" ref="BE1474">IF(AY1474=1,INDEX($V$7:$AL$7,MATCH(TRUE,INDEX($V1474:$AW1474&lt;&gt;0,),0)),IF(AY1474=0,INDEX($AM$7:$AW$7,MATCH(1,$AM1474:$AW1474,0)),IF(BF1474="Multiple strategies","mixed drivers",IF(BF1474="Supply chain","multiple supply","multiple silviculture"))))</f>
        <v>plantation density</v>
      </c>
      <c r="BF1474" s="2" t="str" cm="1">
        <f t="array" ref="BF1474">IF(COUNTIF(AZ1474:BB1474,"&lt;&gt;0")=1,INDEX($V$4:$AW$4,MATCH(TRUE,INDEX($V1474:$AW1474&lt;&gt;0,),0)),IF(COUNTIF(AZ1474:BB1474,"&lt;&gt;0")=0,INDEX($AM$4:$AW$4,MATCH(1,$AM1474:$AW1474,0)),"Multiple strategies"))</f>
        <v>Silviculture for productivity</v>
      </c>
      <c r="BP1474" t="s">
        <v>232</v>
      </c>
      <c r="BR1474" t="s">
        <v>1140</v>
      </c>
      <c r="BS1474">
        <v>0</v>
      </c>
      <c r="BT1474">
        <v>0.03</v>
      </c>
      <c r="BU1474" s="144" t="str">
        <f>IFERROR(BT1474/BS1474,"")</f>
        <v/>
      </c>
      <c r="BV1474">
        <f>BT1474-BS1474</f>
        <v>0.03</v>
      </c>
      <c r="BX1474">
        <f>BV1474*10^6</f>
        <v>30000</v>
      </c>
      <c r="BY1474" t="str">
        <f>IFERROR(BX1474/BO1474,"")</f>
        <v/>
      </c>
      <c r="BZ1474">
        <v>0</v>
      </c>
      <c r="CA1474">
        <v>0</v>
      </c>
      <c r="CB1474">
        <v>0</v>
      </c>
      <c r="CC1474">
        <v>0</v>
      </c>
      <c r="CD1474">
        <v>0</v>
      </c>
      <c r="CE1474">
        <v>0</v>
      </c>
      <c r="CF1474">
        <v>0</v>
      </c>
      <c r="CG1474">
        <v>0</v>
      </c>
      <c r="CH1474">
        <v>0</v>
      </c>
      <c r="CI1474">
        <v>0</v>
      </c>
      <c r="CJ1474">
        <v>0</v>
      </c>
      <c r="CK1474">
        <v>0</v>
      </c>
      <c r="CL1474">
        <v>0</v>
      </c>
      <c r="CM1474">
        <v>0</v>
      </c>
      <c r="CN1474" t="str">
        <f>IF(BL1474&lt;BK1474,"refNeedCorrection","refOK")</f>
        <v>refOK</v>
      </c>
      <c r="CO1474"/>
      <c r="CP1474"/>
      <c r="CQ1474"/>
      <c r="CR1474">
        <f>IF($CN1474="refOK",$BS1474,$BT1474)*IF($BP1474="Emissions positive",-1,1)</f>
        <v>0</v>
      </c>
      <c r="CS1474">
        <f>IF($CN1474="refOK",$BT1474,$BS1474)*IF($BP1474="Emissions positive",-1,1)</f>
        <v>0.03</v>
      </c>
      <c r="CT1474">
        <f>IF($CN1474="refNeedCorrection",-BX1474,BX1474)*IF($BP1474="Emissions positive",-1,1)</f>
        <v>30000</v>
      </c>
      <c r="CU1474" t="str">
        <f>IFERROR(CT1474/CQ1474,"")</f>
        <v/>
      </c>
      <c r="CV1474" s="2" t="str">
        <f>IFERROR((CS1474-CR1474)/ABS(CR1474),"")</f>
        <v/>
      </c>
      <c r="CW1474" s="1" t="s">
        <v>1199</v>
      </c>
      <c r="CX1474" s="312" t="str">
        <f>IF(OR($CW1474="prd",$CW1474="std",$CW1474="cit"),"loc",IF(OR($CW1474="eur",$CW1474="reg",$CW1474="coy"),"reg",$CW1474))</f>
        <v>reg</v>
      </c>
      <c r="CY1474" t="s">
        <v>428</v>
      </c>
      <c r="CZ1474">
        <v>2020</v>
      </c>
      <c r="DA1474">
        <v>2050</v>
      </c>
      <c r="DB1474">
        <v>31</v>
      </c>
      <c r="DC1474" t="str">
        <f>IF(DB1474=0,"0",IF(AND(DB1474&gt;=1,DB1474&lt;=30),"1-30",IF(AND(DB1474&gt;30,DB1474&lt;=70),"31-70",IF(AND(DB1474&gt;70,DB1474&lt;=100),"71-100",IF(DB1474&gt;100,"+100")))))</f>
        <v>31-70</v>
      </c>
      <c r="DD1474">
        <v>0</v>
      </c>
      <c r="DE1474">
        <v>1</v>
      </c>
      <c r="DF1474">
        <v>1</v>
      </c>
      <c r="DG1474">
        <v>1</v>
      </c>
      <c r="DI1474">
        <f>SUM(DD1474:DG1474)</f>
        <v>3</v>
      </c>
      <c r="DJ1474" t="str">
        <f>IF(DI1474=1,INDEX($DD$7:$DG$7,MATCH(1,$DD1474:$DG1474,0)),"mixedProduct")</f>
        <v>mixedProduct</v>
      </c>
      <c r="DK1474">
        <f>IF(DD1474=1,DK$7,0)</f>
        <v>0</v>
      </c>
      <c r="DL1474" t="str">
        <f>IF(DE1474=1,DL$7,0)</f>
        <v>Energy</v>
      </c>
      <c r="DM1474" t="str">
        <f>IF(DF1474=1,DM$7,0)</f>
        <v>Pulp/Paper</v>
      </c>
      <c r="DN1474" t="str">
        <f>IF(DG1474=1,DN$7,0)</f>
        <v>Timber</v>
      </c>
      <c r="DO1474">
        <v>0</v>
      </c>
      <c r="DP1474">
        <v>0</v>
      </c>
      <c r="DQ1474">
        <v>0</v>
      </c>
      <c r="DR1474">
        <v>0</v>
      </c>
      <c r="DS1474">
        <v>0</v>
      </c>
      <c r="DT1474">
        <f>SUM(DO1474:DP1474)</f>
        <v>0</v>
      </c>
      <c r="DU1474" s="143" t="str">
        <f>IF(DO1474=1,"self-calculated DF",IF(DP1474=1,"external DF used","explicit C balance"))</f>
        <v>explicit C balance</v>
      </c>
      <c r="DV1474">
        <v>1</v>
      </c>
      <c r="DW1474">
        <v>1</v>
      </c>
      <c r="DX1474">
        <v>1</v>
      </c>
      <c r="DY1474">
        <v>1</v>
      </c>
      <c r="DZ1474">
        <v>0</v>
      </c>
      <c r="EA1474" s="143">
        <v>0</v>
      </c>
      <c r="EB1474">
        <v>1</v>
      </c>
      <c r="EC1474">
        <v>0</v>
      </c>
      <c r="ED1474">
        <v>0</v>
      </c>
      <c r="EE1474">
        <v>0</v>
      </c>
      <c r="EF1474">
        <v>1</v>
      </c>
      <c r="EG1474">
        <v>0</v>
      </c>
      <c r="EH1474">
        <v>0</v>
      </c>
      <c r="EI1474" s="2">
        <v>0</v>
      </c>
      <c r="EK1474" t="str">
        <f>IF(AND(AND(AND(OR($DX1474=1,$DW1474=1),OR($EC1474=1,$EA1474=1)),SUM($DV1474:$DZ1474,$EF1474)&gt;=3),SUM($EA1474:$EE1474)&gt;=2),"Whole sector","")</f>
        <v/>
      </c>
      <c r="EL1474" t="str">
        <f>IF(AND(AND(OR($DX1474=1,$DW1474=1),AND($EC1474=0,$EA1474=0)),SUM($DV1474:$DZ1474,$EF1474)&gt;=3),"Ecosystem approach","")</f>
        <v>Ecosystem approach</v>
      </c>
      <c r="EM1474" s="2" t="str">
        <f>IF(AND(AND(AND($DX1474=0,$DW1474=0),OR($EC1474=1,$EA1474=1)),SUM($EB1474:$EE1474)&gt;=2),"Technology approach","")</f>
        <v/>
      </c>
      <c r="EP1474" t="b">
        <f>IF(ISNUMBER(BU1474),IF(ABS(BU1474-[5]QC_indicators!$B$2)&gt;3*[5]QC_indicators!$C$2,"C ratio",IF(ISNUMBER(BY1474),IF(ABS(BY1474-[5]QC_indicators!$B$1)&gt;3*[5]QC_indicators!$C$1,"DF","no"))),IF(ISNUMBER(BY1474),IF(ABS(BY1474-[5]QC_indicators!$B$1)&gt;3*[5]QC_indicators!$C$1,"DF","no")))</f>
        <v>0</v>
      </c>
    </row>
    <row r="1475" spans="1:148" ht="15" customHeight="1">
      <c r="A1475" s="1" t="s">
        <v>4068</v>
      </c>
      <c r="B1475" t="s">
        <v>4069</v>
      </c>
      <c r="C1475" t="s">
        <v>4070</v>
      </c>
      <c r="D1475" t="s">
        <v>4071</v>
      </c>
      <c r="E1475" t="s">
        <v>4072</v>
      </c>
      <c r="F1475" t="s">
        <v>4073</v>
      </c>
      <c r="G1475" t="s">
        <v>4074</v>
      </c>
      <c r="H1475" t="s">
        <v>254</v>
      </c>
      <c r="I1475">
        <v>2021</v>
      </c>
      <c r="J1475">
        <v>0</v>
      </c>
      <c r="K1475" t="s">
        <v>4075</v>
      </c>
      <c r="M1475" t="str">
        <f>LEFT($D1475,FIND(",",$D1475)-1)&amp;"_"&amp;I1475&amp;L1475</f>
        <v>Robertson_2021</v>
      </c>
      <c r="N1475" s="312" t="s">
        <v>4383</v>
      </c>
      <c r="O1475" s="145" t="s">
        <v>341</v>
      </c>
      <c r="Q1475" s="312" t="s">
        <v>256</v>
      </c>
      <c r="R1475" s="313"/>
      <c r="S1475" s="1" t="s">
        <v>4084</v>
      </c>
      <c r="T1475" t="s">
        <v>1111</v>
      </c>
      <c r="U1475" t="e">
        <f>#REF!</f>
        <v>#REF!</v>
      </c>
      <c r="V1475">
        <v>0</v>
      </c>
      <c r="W1475">
        <v>0</v>
      </c>
      <c r="X1475">
        <v>0</v>
      </c>
      <c r="Y1475">
        <v>0</v>
      </c>
      <c r="Z1475">
        <v>0</v>
      </c>
      <c r="AA1475">
        <v>1</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s="141">
        <f>COUNTIF(V1475:AW1475,"&lt;&gt;0")</f>
        <v>1</v>
      </c>
      <c r="AY1475" s="141">
        <f>COUNTIF(V1475:AL1475,"&lt;&gt;0")</f>
        <v>1</v>
      </c>
      <c r="AZ1475">
        <f>COUNTIF(V1475:AC1475,"&lt;&gt;0")</f>
        <v>1</v>
      </c>
      <c r="BA1475">
        <f>COUNTIF(AD1475:AI1475,"&lt;&gt;0")</f>
        <v>0</v>
      </c>
      <c r="BB1475">
        <f>COUNTIF(AJ1475:AL1475,"&lt;&gt;0")</f>
        <v>0</v>
      </c>
      <c r="BC1475">
        <f>COUNTIF(AS1475:AW1475,"&lt;&gt;0")</f>
        <v>0</v>
      </c>
      <c r="BD1475">
        <f>COUNTIF(AM1475:AR1475,"&lt;&gt;0")</f>
        <v>0</v>
      </c>
      <c r="BE1475" t="str" cm="1">
        <f t="array" ref="BE1475">IF(AY1475=1,INDEX($V$7:$AL$7,MATCH(TRUE,INDEX($V1475:$AW1475&lt;&gt;0,),0)),IF(AY1475=0,INDEX($AM$7:$AW$7,MATCH(1,$AM1475:$AW1475,0)),IF(BF1475="Multiple strategies","mixed drivers",IF(BF1475="Supply chain","multiple supply","multiple silviculture"))))</f>
        <v>plantation density</v>
      </c>
      <c r="BF1475" s="2" t="str" cm="1">
        <f t="array" ref="BF1475">IF(COUNTIF(AZ1475:BB1475,"&lt;&gt;0")=1,INDEX($V$4:$AW$4,MATCH(TRUE,INDEX($V1475:$AW1475&lt;&gt;0,),0)),IF(COUNTIF(AZ1475:BB1475,"&lt;&gt;0")=0,INDEX($AM$4:$AW$4,MATCH(1,$AM1475:$AW1475,0)),"Multiple strategies"))</f>
        <v>Silviculture for productivity</v>
      </c>
      <c r="BP1475" t="s">
        <v>232</v>
      </c>
      <c r="BR1475" t="s">
        <v>1140</v>
      </c>
      <c r="BS1475">
        <v>0</v>
      </c>
      <c r="BT1475">
        <v>0.06</v>
      </c>
      <c r="BU1475" s="144" t="str">
        <f>IFERROR(BT1475/BS1475,"")</f>
        <v/>
      </c>
      <c r="BV1475">
        <f>BT1475-BS1475</f>
        <v>0.06</v>
      </c>
      <c r="BX1475">
        <f>BV1475*10^6</f>
        <v>60000</v>
      </c>
      <c r="BY1475" t="str">
        <f>IFERROR(BX1475/BO1475,"")</f>
        <v/>
      </c>
      <c r="BZ1475">
        <v>0</v>
      </c>
      <c r="CA1475">
        <v>0</v>
      </c>
      <c r="CB1475">
        <v>0</v>
      </c>
      <c r="CC1475">
        <v>0</v>
      </c>
      <c r="CD1475">
        <v>0</v>
      </c>
      <c r="CE1475">
        <v>0</v>
      </c>
      <c r="CF1475">
        <v>0</v>
      </c>
      <c r="CG1475">
        <v>0</v>
      </c>
      <c r="CH1475">
        <v>0</v>
      </c>
      <c r="CI1475">
        <v>0</v>
      </c>
      <c r="CJ1475">
        <v>0</v>
      </c>
      <c r="CK1475">
        <v>0</v>
      </c>
      <c r="CL1475">
        <v>0</v>
      </c>
      <c r="CM1475">
        <v>0</v>
      </c>
      <c r="CN1475" t="str">
        <f>IF(BL1475&lt;BK1475,"refNeedCorrection","refOK")</f>
        <v>refOK</v>
      </c>
      <c r="CO1475"/>
      <c r="CP1475"/>
      <c r="CQ1475"/>
      <c r="CR1475">
        <f>IF($CN1475="refOK",$BS1475,$BT1475)*IF($BP1475="Emissions positive",-1,1)</f>
        <v>0</v>
      </c>
      <c r="CS1475">
        <f>IF($CN1475="refOK",$BT1475,$BS1475)*IF($BP1475="Emissions positive",-1,1)</f>
        <v>0.06</v>
      </c>
      <c r="CT1475">
        <f>IF($CN1475="refNeedCorrection",-BX1475,BX1475)*IF($BP1475="Emissions positive",-1,1)</f>
        <v>60000</v>
      </c>
      <c r="CU1475" t="str">
        <f>IFERROR(CT1475/CQ1475,"")</f>
        <v/>
      </c>
      <c r="CV1475" s="2" t="str">
        <f>IFERROR((CS1475-CR1475)/ABS(CR1475),"")</f>
        <v/>
      </c>
      <c r="CW1475" s="1" t="s">
        <v>1199</v>
      </c>
      <c r="CX1475" s="312" t="str">
        <f>IF(OR($CW1475="prd",$CW1475="std",$CW1475="cit"),"loc",IF(OR($CW1475="eur",$CW1475="reg",$CW1475="coy"),"reg",$CW1475))</f>
        <v>reg</v>
      </c>
      <c r="CY1475" t="s">
        <v>428</v>
      </c>
      <c r="CZ1475">
        <v>2020</v>
      </c>
      <c r="DA1475">
        <v>2050</v>
      </c>
      <c r="DB1475">
        <v>31</v>
      </c>
      <c r="DC1475" t="str">
        <f>IF(DB1475=0,"0",IF(AND(DB1475&gt;=1,DB1475&lt;=30),"1-30",IF(AND(DB1475&gt;30,DB1475&lt;=70),"31-70",IF(AND(DB1475&gt;70,DB1475&lt;=100),"71-100",IF(DB1475&gt;100,"+100")))))</f>
        <v>31-70</v>
      </c>
      <c r="DD1475">
        <v>0</v>
      </c>
      <c r="DE1475">
        <v>1</v>
      </c>
      <c r="DF1475">
        <v>1</v>
      </c>
      <c r="DG1475">
        <v>1</v>
      </c>
      <c r="DI1475">
        <f>SUM(DD1475:DG1475)</f>
        <v>3</v>
      </c>
      <c r="DJ1475" t="str">
        <f>IF(DI1475=1,INDEX($DD$7:$DG$7,MATCH(1,$DD1475:$DG1475,0)),"mixedProduct")</f>
        <v>mixedProduct</v>
      </c>
      <c r="DK1475">
        <f>IF(DD1475=1,DK$7,0)</f>
        <v>0</v>
      </c>
      <c r="DL1475" t="str">
        <f>IF(DE1475=1,DL$7,0)</f>
        <v>Energy</v>
      </c>
      <c r="DM1475" t="str">
        <f>IF(DF1475=1,DM$7,0)</f>
        <v>Pulp/Paper</v>
      </c>
      <c r="DN1475" t="str">
        <f>IF(DG1475=1,DN$7,0)</f>
        <v>Timber</v>
      </c>
      <c r="DO1475">
        <v>0</v>
      </c>
      <c r="DP1475">
        <v>0</v>
      </c>
      <c r="DQ1475">
        <v>0</v>
      </c>
      <c r="DR1475">
        <v>0</v>
      </c>
      <c r="DS1475">
        <v>0</v>
      </c>
      <c r="DT1475">
        <f>SUM(DO1475:DP1475)</f>
        <v>0</v>
      </c>
      <c r="DU1475" s="143" t="str">
        <f>IF(DO1475=1,"self-calculated DF",IF(DP1475=1,"external DF used","explicit C balance"))</f>
        <v>explicit C balance</v>
      </c>
      <c r="DV1475">
        <v>1</v>
      </c>
      <c r="DW1475">
        <v>1</v>
      </c>
      <c r="DX1475">
        <v>1</v>
      </c>
      <c r="DY1475">
        <v>1</v>
      </c>
      <c r="DZ1475">
        <v>0</v>
      </c>
      <c r="EA1475" s="143">
        <v>0</v>
      </c>
      <c r="EB1475">
        <v>1</v>
      </c>
      <c r="EC1475">
        <v>0</v>
      </c>
      <c r="ED1475">
        <v>0</v>
      </c>
      <c r="EE1475">
        <v>0</v>
      </c>
      <c r="EF1475">
        <v>1</v>
      </c>
      <c r="EG1475">
        <v>0</v>
      </c>
      <c r="EH1475">
        <v>0</v>
      </c>
      <c r="EI1475" s="2">
        <v>0</v>
      </c>
      <c r="EK1475" t="str">
        <f>IF(AND(AND(AND(OR($DX1475=1,$DW1475=1),OR($EC1475=1,$EA1475=1)),SUM($DV1475:$DZ1475,$EF1475)&gt;=3),SUM($EA1475:$EE1475)&gt;=2),"Whole sector","")</f>
        <v/>
      </c>
      <c r="EL1475" t="str">
        <f>IF(AND(AND(OR($DX1475=1,$DW1475=1),AND($EC1475=0,$EA1475=0)),SUM($DV1475:$DZ1475,$EF1475)&gt;=3),"Ecosystem approach","")</f>
        <v>Ecosystem approach</v>
      </c>
      <c r="EM1475" s="2" t="str">
        <f>IF(AND(AND(AND($DX1475=0,$DW1475=0),OR($EC1475=1,$EA1475=1)),SUM($EB1475:$EE1475)&gt;=2),"Technology approach","")</f>
        <v/>
      </c>
      <c r="EP1475" t="b">
        <f>IF(ISNUMBER(BU1475),IF(ABS(BU1475-[5]QC_indicators!$B$2)&gt;3*[5]QC_indicators!$C$2,"C ratio",IF(ISNUMBER(BY1475),IF(ABS(BY1475-[5]QC_indicators!$B$1)&gt;3*[5]QC_indicators!$C$1,"DF","no"))),IF(ISNUMBER(BY1475),IF(ABS(BY1475-[5]QC_indicators!$B$1)&gt;3*[5]QC_indicators!$C$1,"DF","no")))</f>
        <v>0</v>
      </c>
    </row>
    <row r="1476" spans="1:148" ht="15" customHeight="1">
      <c r="A1476" s="1" t="s">
        <v>4068</v>
      </c>
      <c r="B1476" t="s">
        <v>4069</v>
      </c>
      <c r="C1476" t="s">
        <v>4070</v>
      </c>
      <c r="D1476" t="s">
        <v>4071</v>
      </c>
      <c r="E1476" t="s">
        <v>4072</v>
      </c>
      <c r="F1476" t="s">
        <v>4073</v>
      </c>
      <c r="G1476" t="s">
        <v>4074</v>
      </c>
      <c r="H1476" t="s">
        <v>254</v>
      </c>
      <c r="I1476">
        <v>2021</v>
      </c>
      <c r="J1476">
        <v>0</v>
      </c>
      <c r="K1476" t="s">
        <v>4075</v>
      </c>
      <c r="M1476" t="str">
        <f>LEFT($D1476,FIND(",",$D1476)-1)&amp;"_"&amp;I1476&amp;L1476</f>
        <v>Robertson_2021</v>
      </c>
      <c r="N1476" s="312" t="s">
        <v>4383</v>
      </c>
      <c r="O1476" s="145" t="s">
        <v>341</v>
      </c>
      <c r="Q1476" s="312" t="s">
        <v>256</v>
      </c>
      <c r="R1476" s="313"/>
      <c r="S1476" s="1" t="s">
        <v>4085</v>
      </c>
      <c r="T1476" t="s">
        <v>1111</v>
      </c>
      <c r="U1476" t="e">
        <f>#REF!</f>
        <v>#REF!</v>
      </c>
      <c r="V1476">
        <v>0</v>
      </c>
      <c r="W1476">
        <v>0</v>
      </c>
      <c r="X1476">
        <v>0</v>
      </c>
      <c r="Y1476">
        <v>0</v>
      </c>
      <c r="Z1476">
        <v>0</v>
      </c>
      <c r="AA1476">
        <v>1</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s="141">
        <f>COUNTIF(V1476:AW1476,"&lt;&gt;0")</f>
        <v>1</v>
      </c>
      <c r="AY1476" s="141">
        <f>COUNTIF(V1476:AL1476,"&lt;&gt;0")</f>
        <v>1</v>
      </c>
      <c r="AZ1476">
        <f>COUNTIF(V1476:AC1476,"&lt;&gt;0")</f>
        <v>1</v>
      </c>
      <c r="BA1476">
        <f>COUNTIF(AD1476:AI1476,"&lt;&gt;0")</f>
        <v>0</v>
      </c>
      <c r="BB1476">
        <f>COUNTIF(AJ1476:AL1476,"&lt;&gt;0")</f>
        <v>0</v>
      </c>
      <c r="BC1476">
        <f>COUNTIF(AS1476:AW1476,"&lt;&gt;0")</f>
        <v>0</v>
      </c>
      <c r="BD1476">
        <f>COUNTIF(AM1476:AR1476,"&lt;&gt;0")</f>
        <v>0</v>
      </c>
      <c r="BE1476" t="str" cm="1">
        <f t="array" ref="BE1476">IF(AY1476=1,INDEX($V$7:$AL$7,MATCH(TRUE,INDEX($V1476:$AW1476&lt;&gt;0,),0)),IF(AY1476=0,INDEX($AM$7:$AW$7,MATCH(1,$AM1476:$AW1476,0)),IF(BF1476="Multiple strategies","mixed drivers",IF(BF1476="Supply chain","multiple supply","multiple silviculture"))))</f>
        <v>plantation density</v>
      </c>
      <c r="BF1476" s="2" t="str" cm="1">
        <f t="array" ref="BF1476">IF(COUNTIF(AZ1476:BB1476,"&lt;&gt;0")=1,INDEX($V$4:$AW$4,MATCH(TRUE,INDEX($V1476:$AW1476&lt;&gt;0,),0)),IF(COUNTIF(AZ1476:BB1476,"&lt;&gt;0")=0,INDEX($AM$4:$AW$4,MATCH(1,$AM1476:$AW1476,0)),"Multiple strategies"))</f>
        <v>Silviculture for productivity</v>
      </c>
      <c r="BP1476" t="s">
        <v>232</v>
      </c>
      <c r="BR1476" t="s">
        <v>1140</v>
      </c>
      <c r="BS1476">
        <v>0</v>
      </c>
      <c r="BT1476">
        <v>0.11</v>
      </c>
      <c r="BU1476" s="144" t="str">
        <f>IFERROR(BT1476/BS1476,"")</f>
        <v/>
      </c>
      <c r="BV1476">
        <f>BT1476-BS1476</f>
        <v>0.11</v>
      </c>
      <c r="BX1476">
        <f>BV1476*10^6</f>
        <v>110000</v>
      </c>
      <c r="BY1476" t="str">
        <f>IFERROR(BX1476/BO1476,"")</f>
        <v/>
      </c>
      <c r="BZ1476">
        <v>0</v>
      </c>
      <c r="CA1476">
        <v>0</v>
      </c>
      <c r="CB1476">
        <v>0</v>
      </c>
      <c r="CC1476">
        <v>0</v>
      </c>
      <c r="CD1476">
        <v>0</v>
      </c>
      <c r="CE1476">
        <v>0</v>
      </c>
      <c r="CF1476">
        <v>0</v>
      </c>
      <c r="CG1476">
        <v>0</v>
      </c>
      <c r="CH1476">
        <v>0</v>
      </c>
      <c r="CI1476">
        <v>0</v>
      </c>
      <c r="CJ1476">
        <v>0</v>
      </c>
      <c r="CK1476">
        <v>0</v>
      </c>
      <c r="CL1476">
        <v>0</v>
      </c>
      <c r="CM1476">
        <v>0</v>
      </c>
      <c r="CN1476" t="str">
        <f>IF(BL1476&lt;BK1476,"refNeedCorrection","refOK")</f>
        <v>refOK</v>
      </c>
      <c r="CO1476"/>
      <c r="CP1476"/>
      <c r="CQ1476"/>
      <c r="CR1476">
        <f>IF($CN1476="refOK",$BS1476,$BT1476)*IF($BP1476="Emissions positive",-1,1)</f>
        <v>0</v>
      </c>
      <c r="CS1476">
        <f>IF($CN1476="refOK",$BT1476,$BS1476)*IF($BP1476="Emissions positive",-1,1)</f>
        <v>0.11</v>
      </c>
      <c r="CT1476">
        <f>IF($CN1476="refNeedCorrection",-BX1476,BX1476)*IF($BP1476="Emissions positive",-1,1)</f>
        <v>110000</v>
      </c>
      <c r="CU1476" t="str">
        <f>IFERROR(CT1476/CQ1476,"")</f>
        <v/>
      </c>
      <c r="CV1476" s="2" t="str">
        <f>IFERROR((CS1476-CR1476)/ABS(CR1476),"")</f>
        <v/>
      </c>
      <c r="CW1476" s="1" t="s">
        <v>1199</v>
      </c>
      <c r="CX1476" s="312" t="str">
        <f>IF(OR($CW1476="prd",$CW1476="std",$CW1476="cit"),"loc",IF(OR($CW1476="eur",$CW1476="reg",$CW1476="coy"),"reg",$CW1476))</f>
        <v>reg</v>
      </c>
      <c r="CY1476" t="s">
        <v>428</v>
      </c>
      <c r="CZ1476">
        <v>2020</v>
      </c>
      <c r="DA1476">
        <v>2050</v>
      </c>
      <c r="DB1476">
        <v>31</v>
      </c>
      <c r="DC1476" t="str">
        <f>IF(DB1476=0,"0",IF(AND(DB1476&gt;=1,DB1476&lt;=30),"1-30",IF(AND(DB1476&gt;30,DB1476&lt;=70),"31-70",IF(AND(DB1476&gt;70,DB1476&lt;=100),"71-100",IF(DB1476&gt;100,"+100")))))</f>
        <v>31-70</v>
      </c>
      <c r="DD1476">
        <v>0</v>
      </c>
      <c r="DE1476">
        <v>1</v>
      </c>
      <c r="DF1476">
        <v>1</v>
      </c>
      <c r="DG1476">
        <v>1</v>
      </c>
      <c r="DI1476">
        <f>SUM(DD1476:DG1476)</f>
        <v>3</v>
      </c>
      <c r="DJ1476" t="str">
        <f>IF(DI1476=1,INDEX($DD$7:$DG$7,MATCH(1,$DD1476:$DG1476,0)),"mixedProduct")</f>
        <v>mixedProduct</v>
      </c>
      <c r="DK1476">
        <f>IF(DD1476=1,DK$7,0)</f>
        <v>0</v>
      </c>
      <c r="DL1476" t="str">
        <f>IF(DE1476=1,DL$7,0)</f>
        <v>Energy</v>
      </c>
      <c r="DM1476" t="str">
        <f>IF(DF1476=1,DM$7,0)</f>
        <v>Pulp/Paper</v>
      </c>
      <c r="DN1476" t="str">
        <f>IF(DG1476=1,DN$7,0)</f>
        <v>Timber</v>
      </c>
      <c r="DO1476">
        <v>0</v>
      </c>
      <c r="DP1476">
        <v>0</v>
      </c>
      <c r="DQ1476">
        <v>0</v>
      </c>
      <c r="DR1476">
        <v>0</v>
      </c>
      <c r="DS1476">
        <v>0</v>
      </c>
      <c r="DT1476">
        <f>SUM(DO1476:DP1476)</f>
        <v>0</v>
      </c>
      <c r="DU1476" s="143" t="str">
        <f>IF(DO1476=1,"self-calculated DF",IF(DP1476=1,"external DF used","explicit C balance"))</f>
        <v>explicit C balance</v>
      </c>
      <c r="DV1476">
        <v>1</v>
      </c>
      <c r="DW1476">
        <v>1</v>
      </c>
      <c r="DX1476">
        <v>1</v>
      </c>
      <c r="DY1476">
        <v>1</v>
      </c>
      <c r="DZ1476">
        <v>0</v>
      </c>
      <c r="EA1476" s="143">
        <v>0</v>
      </c>
      <c r="EB1476">
        <v>1</v>
      </c>
      <c r="EC1476">
        <v>0</v>
      </c>
      <c r="ED1476">
        <v>0</v>
      </c>
      <c r="EE1476">
        <v>0</v>
      </c>
      <c r="EF1476">
        <v>1</v>
      </c>
      <c r="EG1476">
        <v>0</v>
      </c>
      <c r="EH1476">
        <v>0</v>
      </c>
      <c r="EI1476" s="2">
        <v>0</v>
      </c>
      <c r="EK1476" t="str">
        <f>IF(AND(AND(AND(OR($DX1476=1,$DW1476=1),OR($EC1476=1,$EA1476=1)),SUM($DV1476:$DZ1476,$EF1476)&gt;=3),SUM($EA1476:$EE1476)&gt;=2),"Whole sector","")</f>
        <v/>
      </c>
      <c r="EL1476" t="str">
        <f>IF(AND(AND(OR($DX1476=1,$DW1476=1),AND($EC1476=0,$EA1476=0)),SUM($DV1476:$DZ1476,$EF1476)&gt;=3),"Ecosystem approach","")</f>
        <v>Ecosystem approach</v>
      </c>
      <c r="EM1476" s="2" t="str">
        <f>IF(AND(AND(AND($DX1476=0,$DW1476=0),OR($EC1476=1,$EA1476=1)),SUM($EB1476:$EE1476)&gt;=2),"Technology approach","")</f>
        <v/>
      </c>
      <c r="EP1476" t="b">
        <f>IF(ISNUMBER(BU1476),IF(ABS(BU1476-[5]QC_indicators!$B$2)&gt;3*[5]QC_indicators!$C$2,"C ratio",IF(ISNUMBER(BY1476),IF(ABS(BY1476-[5]QC_indicators!$B$1)&gt;3*[5]QC_indicators!$C$1,"DF","no"))),IF(ISNUMBER(BY1476),IF(ABS(BY1476-[5]QC_indicators!$B$1)&gt;3*[5]QC_indicators!$C$1,"DF","no")))</f>
        <v>0</v>
      </c>
    </row>
    <row r="1477" spans="1:148" ht="15" customHeight="1">
      <c r="A1477" s="1" t="s">
        <v>4068</v>
      </c>
      <c r="B1477" t="s">
        <v>4069</v>
      </c>
      <c r="C1477" t="s">
        <v>4070</v>
      </c>
      <c r="D1477" t="s">
        <v>4071</v>
      </c>
      <c r="E1477" t="s">
        <v>4072</v>
      </c>
      <c r="F1477" t="s">
        <v>4073</v>
      </c>
      <c r="G1477" t="s">
        <v>4074</v>
      </c>
      <c r="H1477" t="s">
        <v>254</v>
      </c>
      <c r="I1477">
        <v>2021</v>
      </c>
      <c r="J1477">
        <v>0</v>
      </c>
      <c r="K1477" t="s">
        <v>4075</v>
      </c>
      <c r="M1477" t="str">
        <f>LEFT($D1477,FIND(",",$D1477)-1)&amp;"_"&amp;I1477&amp;L1477</f>
        <v>Robertson_2021</v>
      </c>
      <c r="N1477" s="312" t="s">
        <v>4383</v>
      </c>
      <c r="O1477" s="145" t="s">
        <v>341</v>
      </c>
      <c r="Q1477" s="312" t="s">
        <v>256</v>
      </c>
      <c r="R1477" s="313"/>
      <c r="S1477" s="1" t="s">
        <v>4086</v>
      </c>
      <c r="T1477" t="s">
        <v>1111</v>
      </c>
      <c r="U1477" t="e">
        <f>#REF!</f>
        <v>#REF!</v>
      </c>
      <c r="V1477">
        <v>0</v>
      </c>
      <c r="W1477">
        <v>0</v>
      </c>
      <c r="X1477">
        <v>1</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s="141">
        <f>COUNTIF(V1477:AW1477,"&lt;&gt;0")</f>
        <v>1</v>
      </c>
      <c r="AY1477" s="141">
        <f>COUNTIF(V1477:AL1477,"&lt;&gt;0")</f>
        <v>1</v>
      </c>
      <c r="AZ1477">
        <f>COUNTIF(V1477:AC1477,"&lt;&gt;0")</f>
        <v>1</v>
      </c>
      <c r="BA1477">
        <f>COUNTIF(AD1477:AI1477,"&lt;&gt;0")</f>
        <v>0</v>
      </c>
      <c r="BB1477">
        <f>COUNTIF(AJ1477:AL1477,"&lt;&gt;0")</f>
        <v>0</v>
      </c>
      <c r="BC1477">
        <f>COUNTIF(AS1477:AW1477,"&lt;&gt;0")</f>
        <v>0</v>
      </c>
      <c r="BD1477">
        <f>COUNTIF(AM1477:AR1477,"&lt;&gt;0")</f>
        <v>0</v>
      </c>
      <c r="BE1477" t="str" cm="1">
        <f t="array" ref="BE1477">IF(AY1477=1,INDEX($V$7:$AL$7,MATCH(TRUE,INDEX($V1477:$AW1477&lt;&gt;0,),0)),IF(AY1477=0,INDEX($AM$7:$AW$7,MATCH(1,$AM1477:$AW1477,0)),IF(BF1477="Multiple strategies","mixed drivers",IF(BF1477="Supply chain","multiple supply","multiple silviculture"))))</f>
        <v>rotation length</v>
      </c>
      <c r="BF1477" s="2" t="str" cm="1">
        <f t="array" ref="BF1477">IF(COUNTIF(AZ1477:BB1477,"&lt;&gt;0")=1,INDEX($V$4:$AW$4,MATCH(TRUE,INDEX($V1477:$AW1477&lt;&gt;0,),0)),IF(COUNTIF(AZ1477:BB1477,"&lt;&gt;0")=0,INDEX($AM$4:$AW$4,MATCH(1,$AM1477:$AW1477,0)),"Multiple strategies"))</f>
        <v>Silviculture for removals</v>
      </c>
      <c r="BP1477" t="s">
        <v>232</v>
      </c>
      <c r="BR1477" t="s">
        <v>1140</v>
      </c>
      <c r="BS1477">
        <v>0</v>
      </c>
      <c r="BT1477">
        <v>3.46</v>
      </c>
      <c r="BU1477" s="144" t="str">
        <f>IFERROR(BT1477/BS1477,"")</f>
        <v/>
      </c>
      <c r="BV1477">
        <f>BT1477-BS1477</f>
        <v>3.46</v>
      </c>
      <c r="BX1477">
        <f>BV1477*10^6</f>
        <v>3460000</v>
      </c>
      <c r="BY1477" t="str">
        <f>IFERROR(BX1477/BO1477,"")</f>
        <v/>
      </c>
      <c r="BZ1477">
        <v>0</v>
      </c>
      <c r="CA1477">
        <v>0</v>
      </c>
      <c r="CB1477">
        <v>0</v>
      </c>
      <c r="CC1477">
        <v>0</v>
      </c>
      <c r="CD1477">
        <v>0</v>
      </c>
      <c r="CE1477">
        <v>0</v>
      </c>
      <c r="CF1477">
        <v>0</v>
      </c>
      <c r="CG1477">
        <v>0</v>
      </c>
      <c r="CH1477">
        <v>0</v>
      </c>
      <c r="CI1477">
        <v>0</v>
      </c>
      <c r="CJ1477">
        <v>0</v>
      </c>
      <c r="CK1477">
        <v>0</v>
      </c>
      <c r="CL1477">
        <v>0</v>
      </c>
      <c r="CM1477">
        <v>0</v>
      </c>
      <c r="CN1477" t="str">
        <f>IF(BL1477&lt;BK1477,"refNeedCorrection","refOK")</f>
        <v>refOK</v>
      </c>
      <c r="CO1477"/>
      <c r="CP1477"/>
      <c r="CQ1477"/>
      <c r="CR1477">
        <f>IF($CN1477="refOK",$BS1477,$BT1477)*IF($BP1477="Emissions positive",-1,1)</f>
        <v>0</v>
      </c>
      <c r="CS1477">
        <f>IF($CN1477="refOK",$BT1477,$BS1477)*IF($BP1477="Emissions positive",-1,1)</f>
        <v>3.46</v>
      </c>
      <c r="CT1477">
        <f>IF($CN1477="refNeedCorrection",-BX1477,BX1477)*IF($BP1477="Emissions positive",-1,1)</f>
        <v>3460000</v>
      </c>
      <c r="CU1477" t="str">
        <f>IFERROR(CT1477/CQ1477,"")</f>
        <v/>
      </c>
      <c r="CV1477" s="2" t="str">
        <f>IFERROR((CS1477-CR1477)/ABS(CR1477),"")</f>
        <v/>
      </c>
      <c r="CW1477" s="1" t="s">
        <v>1199</v>
      </c>
      <c r="CX1477" s="312" t="str">
        <f>IF(OR($CW1477="prd",$CW1477="std",$CW1477="cit"),"loc",IF(OR($CW1477="eur",$CW1477="reg",$CW1477="coy"),"reg",$CW1477))</f>
        <v>reg</v>
      </c>
      <c r="CY1477" t="s">
        <v>428</v>
      </c>
      <c r="CZ1477">
        <v>2020</v>
      </c>
      <c r="DA1477">
        <v>2050</v>
      </c>
      <c r="DB1477">
        <v>31</v>
      </c>
      <c r="DC1477" t="str">
        <f>IF(DB1477=0,"0",IF(AND(DB1477&gt;=1,DB1477&lt;=30),"1-30",IF(AND(DB1477&gt;30,DB1477&lt;=70),"31-70",IF(AND(DB1477&gt;70,DB1477&lt;=100),"71-100",IF(DB1477&gt;100,"+100")))))</f>
        <v>31-70</v>
      </c>
      <c r="DD1477">
        <v>0</v>
      </c>
      <c r="DE1477">
        <v>1</v>
      </c>
      <c r="DF1477">
        <v>1</v>
      </c>
      <c r="DG1477">
        <v>1</v>
      </c>
      <c r="DI1477">
        <f>SUM(DD1477:DG1477)</f>
        <v>3</v>
      </c>
      <c r="DJ1477" t="str">
        <f>IF(DI1477=1,INDEX($DD$7:$DG$7,MATCH(1,$DD1477:$DG1477,0)),"mixedProduct")</f>
        <v>mixedProduct</v>
      </c>
      <c r="DK1477">
        <f>IF(DD1477=1,DK$7,0)</f>
        <v>0</v>
      </c>
      <c r="DL1477" t="str">
        <f>IF(DE1477=1,DL$7,0)</f>
        <v>Energy</v>
      </c>
      <c r="DM1477" t="str">
        <f>IF(DF1477=1,DM$7,0)</f>
        <v>Pulp/Paper</v>
      </c>
      <c r="DN1477" t="str">
        <f>IF(DG1477=1,DN$7,0)</f>
        <v>Timber</v>
      </c>
      <c r="DO1477">
        <v>0</v>
      </c>
      <c r="DP1477">
        <v>0</v>
      </c>
      <c r="DQ1477">
        <v>0</v>
      </c>
      <c r="DR1477">
        <v>0</v>
      </c>
      <c r="DS1477">
        <v>0</v>
      </c>
      <c r="DT1477">
        <f>SUM(DO1477:DP1477)</f>
        <v>0</v>
      </c>
      <c r="DU1477" s="143" t="str">
        <f>IF(DO1477=1,"self-calculated DF",IF(DP1477=1,"external DF used","explicit C balance"))</f>
        <v>explicit C balance</v>
      </c>
      <c r="DV1477">
        <v>1</v>
      </c>
      <c r="DW1477">
        <v>1</v>
      </c>
      <c r="DX1477">
        <v>1</v>
      </c>
      <c r="DY1477">
        <v>1</v>
      </c>
      <c r="DZ1477">
        <v>0</v>
      </c>
      <c r="EA1477" s="143">
        <v>0</v>
      </c>
      <c r="EB1477">
        <v>1</v>
      </c>
      <c r="EC1477">
        <v>0</v>
      </c>
      <c r="ED1477">
        <v>0</v>
      </c>
      <c r="EE1477">
        <v>0</v>
      </c>
      <c r="EF1477">
        <v>1</v>
      </c>
      <c r="EG1477">
        <v>0</v>
      </c>
      <c r="EH1477">
        <v>0</v>
      </c>
      <c r="EI1477" s="2">
        <v>0</v>
      </c>
      <c r="EK1477" t="str">
        <f>IF(AND(AND(AND(OR($DX1477=1,$DW1477=1),OR($EC1477=1,$EA1477=1)),SUM($DV1477:$DZ1477,$EF1477)&gt;=3),SUM($EA1477:$EE1477)&gt;=2),"Whole sector","")</f>
        <v/>
      </c>
      <c r="EL1477" t="str">
        <f>IF(AND(AND(OR($DX1477=1,$DW1477=1),AND($EC1477=0,$EA1477=0)),SUM($DV1477:$DZ1477,$EF1477)&gt;=3),"Ecosystem approach","")</f>
        <v>Ecosystem approach</v>
      </c>
      <c r="EM1477" s="2" t="str">
        <f>IF(AND(AND(AND($DX1477=0,$DW1477=0),OR($EC1477=1,$EA1477=1)),SUM($EB1477:$EE1477)&gt;=2),"Technology approach","")</f>
        <v/>
      </c>
      <c r="EP1477" t="b">
        <f>IF(ISNUMBER(BU1477),IF(ABS(BU1477-[5]QC_indicators!$B$2)&gt;3*[5]QC_indicators!$C$2,"C ratio",IF(ISNUMBER(BY1477),IF(ABS(BY1477-[5]QC_indicators!$B$1)&gt;3*[5]QC_indicators!$C$1,"DF","no"))),IF(ISNUMBER(BY1477),IF(ABS(BY1477-[5]QC_indicators!$B$1)&gt;3*[5]QC_indicators!$C$1,"DF","no")))</f>
        <v>0</v>
      </c>
    </row>
    <row r="1478" spans="1:148" ht="15" customHeight="1">
      <c r="A1478" s="1" t="s">
        <v>4068</v>
      </c>
      <c r="B1478" t="s">
        <v>4069</v>
      </c>
      <c r="C1478" t="s">
        <v>4070</v>
      </c>
      <c r="D1478" t="s">
        <v>4071</v>
      </c>
      <c r="E1478" t="s">
        <v>4072</v>
      </c>
      <c r="F1478" t="s">
        <v>4073</v>
      </c>
      <c r="G1478" t="s">
        <v>4074</v>
      </c>
      <c r="H1478" t="s">
        <v>254</v>
      </c>
      <c r="I1478">
        <v>2021</v>
      </c>
      <c r="J1478">
        <v>0</v>
      </c>
      <c r="K1478" t="s">
        <v>4075</v>
      </c>
      <c r="M1478" t="str">
        <f>LEFT($D1478,FIND(",",$D1478)-1)&amp;"_"&amp;I1478&amp;L1478</f>
        <v>Robertson_2021</v>
      </c>
      <c r="N1478" s="312" t="s">
        <v>4383</v>
      </c>
      <c r="O1478" s="145" t="s">
        <v>341</v>
      </c>
      <c r="Q1478" s="312" t="s">
        <v>256</v>
      </c>
      <c r="R1478" s="313"/>
      <c r="S1478" s="1" t="s">
        <v>4087</v>
      </c>
      <c r="T1478" t="s">
        <v>1111</v>
      </c>
      <c r="U1478" t="e">
        <f>#REF!</f>
        <v>#REF!</v>
      </c>
      <c r="V1478">
        <v>0</v>
      </c>
      <c r="W1478">
        <v>0</v>
      </c>
      <c r="X1478">
        <v>1</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s="141">
        <f>COUNTIF(V1478:AW1478,"&lt;&gt;0")</f>
        <v>1</v>
      </c>
      <c r="AY1478" s="141">
        <f>COUNTIF(V1478:AL1478,"&lt;&gt;0")</f>
        <v>1</v>
      </c>
      <c r="AZ1478">
        <f>COUNTIF(V1478:AC1478,"&lt;&gt;0")</f>
        <v>1</v>
      </c>
      <c r="BA1478">
        <f>COUNTIF(AD1478:AI1478,"&lt;&gt;0")</f>
        <v>0</v>
      </c>
      <c r="BB1478">
        <f>COUNTIF(AJ1478:AL1478,"&lt;&gt;0")</f>
        <v>0</v>
      </c>
      <c r="BC1478">
        <f>COUNTIF(AS1478:AW1478,"&lt;&gt;0")</f>
        <v>0</v>
      </c>
      <c r="BD1478">
        <f>COUNTIF(AM1478:AR1478,"&lt;&gt;0")</f>
        <v>0</v>
      </c>
      <c r="BE1478" t="str" cm="1">
        <f t="array" ref="BE1478">IF(AY1478=1,INDEX($V$7:$AL$7,MATCH(TRUE,INDEX($V1478:$AW1478&lt;&gt;0,),0)),IF(AY1478=0,INDEX($AM$7:$AW$7,MATCH(1,$AM1478:$AW1478,0)),IF(BF1478="Multiple strategies","mixed drivers",IF(BF1478="Supply chain","multiple supply","multiple silviculture"))))</f>
        <v>rotation length</v>
      </c>
      <c r="BF1478" s="2" t="str" cm="1">
        <f t="array" ref="BF1478">IF(COUNTIF(AZ1478:BB1478,"&lt;&gt;0")=1,INDEX($V$4:$AW$4,MATCH(TRUE,INDEX($V1478:$AW1478&lt;&gt;0,),0)),IF(COUNTIF(AZ1478:BB1478,"&lt;&gt;0")=0,INDEX($AM$4:$AW$4,MATCH(1,$AM1478:$AW1478,0)),"Multiple strategies"))</f>
        <v>Silviculture for removals</v>
      </c>
      <c r="BP1478" t="s">
        <v>232</v>
      </c>
      <c r="BR1478" t="s">
        <v>1140</v>
      </c>
      <c r="BS1478">
        <v>0</v>
      </c>
      <c r="BT1478">
        <v>4.0199999999999996</v>
      </c>
      <c r="BU1478" s="144" t="str">
        <f>IFERROR(BT1478/BS1478,"")</f>
        <v/>
      </c>
      <c r="BV1478">
        <f>BT1478-BS1478</f>
        <v>4.0199999999999996</v>
      </c>
      <c r="BX1478">
        <f>BV1478*10^6</f>
        <v>4019999.9999999995</v>
      </c>
      <c r="BY1478" t="str">
        <f>IFERROR(BX1478/BO1478,"")</f>
        <v/>
      </c>
      <c r="BZ1478">
        <v>0</v>
      </c>
      <c r="CA1478">
        <v>0</v>
      </c>
      <c r="CB1478">
        <v>0</v>
      </c>
      <c r="CC1478">
        <v>0</v>
      </c>
      <c r="CD1478">
        <v>0</v>
      </c>
      <c r="CE1478">
        <v>0</v>
      </c>
      <c r="CF1478">
        <v>0</v>
      </c>
      <c r="CG1478">
        <v>0</v>
      </c>
      <c r="CH1478">
        <v>0</v>
      </c>
      <c r="CI1478">
        <v>0</v>
      </c>
      <c r="CJ1478">
        <v>0</v>
      </c>
      <c r="CK1478">
        <v>0</v>
      </c>
      <c r="CL1478">
        <v>0</v>
      </c>
      <c r="CM1478">
        <v>0</v>
      </c>
      <c r="CN1478" t="str">
        <f>IF(BL1478&lt;BK1478,"refNeedCorrection","refOK")</f>
        <v>refOK</v>
      </c>
      <c r="CO1478"/>
      <c r="CP1478"/>
      <c r="CQ1478"/>
      <c r="CR1478">
        <f>IF($CN1478="refOK",$BS1478,$BT1478)*IF($BP1478="Emissions positive",-1,1)</f>
        <v>0</v>
      </c>
      <c r="CS1478">
        <f>IF($CN1478="refOK",$BT1478,$BS1478)*IF($BP1478="Emissions positive",-1,1)</f>
        <v>4.0199999999999996</v>
      </c>
      <c r="CT1478">
        <f>IF($CN1478="refNeedCorrection",-BX1478,BX1478)*IF($BP1478="Emissions positive",-1,1)</f>
        <v>4019999.9999999995</v>
      </c>
      <c r="CU1478" t="str">
        <f>IFERROR(CT1478/CQ1478,"")</f>
        <v/>
      </c>
      <c r="CV1478" s="2" t="str">
        <f>IFERROR((CS1478-CR1478)/ABS(CR1478),"")</f>
        <v/>
      </c>
      <c r="CW1478" s="1" t="s">
        <v>1199</v>
      </c>
      <c r="CX1478" s="312" t="str">
        <f>IF(OR($CW1478="prd",$CW1478="std",$CW1478="cit"),"loc",IF(OR($CW1478="eur",$CW1478="reg",$CW1478="coy"),"reg",$CW1478))</f>
        <v>reg</v>
      </c>
      <c r="CY1478" t="s">
        <v>428</v>
      </c>
      <c r="CZ1478">
        <v>2020</v>
      </c>
      <c r="DA1478">
        <v>2050</v>
      </c>
      <c r="DB1478">
        <v>31</v>
      </c>
      <c r="DC1478" t="str">
        <f>IF(DB1478=0,"0",IF(AND(DB1478&gt;=1,DB1478&lt;=30),"1-30",IF(AND(DB1478&gt;30,DB1478&lt;=70),"31-70",IF(AND(DB1478&gt;70,DB1478&lt;=100),"71-100",IF(DB1478&gt;100,"+100")))))</f>
        <v>31-70</v>
      </c>
      <c r="DD1478">
        <v>0</v>
      </c>
      <c r="DE1478">
        <v>1</v>
      </c>
      <c r="DF1478">
        <v>1</v>
      </c>
      <c r="DG1478">
        <v>1</v>
      </c>
      <c r="DI1478">
        <f>SUM(DD1478:DG1478)</f>
        <v>3</v>
      </c>
      <c r="DJ1478" t="str">
        <f>IF(DI1478=1,INDEX($DD$7:$DG$7,MATCH(1,$DD1478:$DG1478,0)),"mixedProduct")</f>
        <v>mixedProduct</v>
      </c>
      <c r="DK1478">
        <f>IF(DD1478=1,DK$7,0)</f>
        <v>0</v>
      </c>
      <c r="DL1478" t="str">
        <f>IF(DE1478=1,DL$7,0)</f>
        <v>Energy</v>
      </c>
      <c r="DM1478" t="str">
        <f>IF(DF1478=1,DM$7,0)</f>
        <v>Pulp/Paper</v>
      </c>
      <c r="DN1478" t="str">
        <f>IF(DG1478=1,DN$7,0)</f>
        <v>Timber</v>
      </c>
      <c r="DO1478">
        <v>0</v>
      </c>
      <c r="DP1478">
        <v>0</v>
      </c>
      <c r="DQ1478">
        <v>0</v>
      </c>
      <c r="DR1478">
        <v>0</v>
      </c>
      <c r="DS1478">
        <v>0</v>
      </c>
      <c r="DT1478">
        <f>SUM(DO1478:DP1478)</f>
        <v>0</v>
      </c>
      <c r="DU1478" s="143" t="str">
        <f>IF(DO1478=1,"self-calculated DF",IF(DP1478=1,"external DF used","explicit C balance"))</f>
        <v>explicit C balance</v>
      </c>
      <c r="DV1478">
        <v>1</v>
      </c>
      <c r="DW1478">
        <v>1</v>
      </c>
      <c r="DX1478">
        <v>1</v>
      </c>
      <c r="DY1478">
        <v>1</v>
      </c>
      <c r="DZ1478">
        <v>0</v>
      </c>
      <c r="EA1478" s="143">
        <v>0</v>
      </c>
      <c r="EB1478">
        <v>1</v>
      </c>
      <c r="EC1478">
        <v>0</v>
      </c>
      <c r="ED1478">
        <v>0</v>
      </c>
      <c r="EE1478">
        <v>0</v>
      </c>
      <c r="EF1478">
        <v>1</v>
      </c>
      <c r="EG1478">
        <v>0</v>
      </c>
      <c r="EH1478">
        <v>0</v>
      </c>
      <c r="EI1478" s="2">
        <v>0</v>
      </c>
      <c r="EK1478" t="str">
        <f>IF(AND(AND(AND(OR($DX1478=1,$DW1478=1),OR($EC1478=1,$EA1478=1)),SUM($DV1478:$DZ1478,$EF1478)&gt;=3),SUM($EA1478:$EE1478)&gt;=2),"Whole sector","")</f>
        <v/>
      </c>
      <c r="EL1478" t="str">
        <f>IF(AND(AND(OR($DX1478=1,$DW1478=1),AND($EC1478=0,$EA1478=0)),SUM($DV1478:$DZ1478,$EF1478)&gt;=3),"Ecosystem approach","")</f>
        <v>Ecosystem approach</v>
      </c>
      <c r="EM1478" s="2" t="str">
        <f>IF(AND(AND(AND($DX1478=0,$DW1478=0),OR($EC1478=1,$EA1478=1)),SUM($EB1478:$EE1478)&gt;=2),"Technology approach","")</f>
        <v/>
      </c>
      <c r="EP1478" t="b">
        <f>IF(ISNUMBER(BU1478),IF(ABS(BU1478-[5]QC_indicators!$B$2)&gt;3*[5]QC_indicators!$C$2,"C ratio",IF(ISNUMBER(BY1478),IF(ABS(BY1478-[5]QC_indicators!$B$1)&gt;3*[5]QC_indicators!$C$1,"DF","no"))),IF(ISNUMBER(BY1478),IF(ABS(BY1478-[5]QC_indicators!$B$1)&gt;3*[5]QC_indicators!$C$1,"DF","no")))</f>
        <v>0</v>
      </c>
    </row>
    <row r="1479" spans="1:148" ht="15" customHeight="1">
      <c r="A1479" s="1" t="s">
        <v>4068</v>
      </c>
      <c r="B1479" t="s">
        <v>4069</v>
      </c>
      <c r="C1479" t="s">
        <v>4070</v>
      </c>
      <c r="D1479" t="s">
        <v>4071</v>
      </c>
      <c r="E1479" t="s">
        <v>4072</v>
      </c>
      <c r="F1479" t="s">
        <v>4073</v>
      </c>
      <c r="G1479" t="s">
        <v>4074</v>
      </c>
      <c r="H1479" t="s">
        <v>254</v>
      </c>
      <c r="I1479">
        <v>2021</v>
      </c>
      <c r="J1479">
        <v>0</v>
      </c>
      <c r="K1479" t="s">
        <v>4075</v>
      </c>
      <c r="M1479" t="str">
        <f>LEFT($D1479,FIND(",",$D1479)-1)&amp;"_"&amp;I1479&amp;L1479</f>
        <v>Robertson_2021</v>
      </c>
      <c r="N1479" s="312" t="s">
        <v>4383</v>
      </c>
      <c r="O1479" s="145" t="s">
        <v>341</v>
      </c>
      <c r="Q1479" s="312" t="s">
        <v>256</v>
      </c>
      <c r="R1479" s="313"/>
      <c r="S1479" s="1" t="s">
        <v>4088</v>
      </c>
      <c r="T1479" t="s">
        <v>1111</v>
      </c>
      <c r="U1479" t="e">
        <f>#REF!</f>
        <v>#REF!</v>
      </c>
      <c r="V1479">
        <v>0</v>
      </c>
      <c r="W1479">
        <v>0</v>
      </c>
      <c r="X1479">
        <v>1</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s="141">
        <f>COUNTIF(V1479:AW1479,"&lt;&gt;0")</f>
        <v>1</v>
      </c>
      <c r="AY1479" s="141">
        <f>COUNTIF(V1479:AL1479,"&lt;&gt;0")</f>
        <v>1</v>
      </c>
      <c r="AZ1479">
        <f>COUNTIF(V1479:AC1479,"&lt;&gt;0")</f>
        <v>1</v>
      </c>
      <c r="BA1479">
        <f>COUNTIF(AD1479:AI1479,"&lt;&gt;0")</f>
        <v>0</v>
      </c>
      <c r="BB1479">
        <f>COUNTIF(AJ1479:AL1479,"&lt;&gt;0")</f>
        <v>0</v>
      </c>
      <c r="BC1479">
        <f>COUNTIF(AS1479:AW1479,"&lt;&gt;0")</f>
        <v>0</v>
      </c>
      <c r="BD1479">
        <f>COUNTIF(AM1479:AR1479,"&lt;&gt;0")</f>
        <v>0</v>
      </c>
      <c r="BE1479" t="str" cm="1">
        <f t="array" ref="BE1479">IF(AY1479=1,INDEX($V$7:$AL$7,MATCH(TRUE,INDEX($V1479:$AW1479&lt;&gt;0,),0)),IF(AY1479=0,INDEX($AM$7:$AW$7,MATCH(1,$AM1479:$AW1479,0)),IF(BF1479="Multiple strategies","mixed drivers",IF(BF1479="Supply chain","multiple supply","multiple silviculture"))))</f>
        <v>rotation length</v>
      </c>
      <c r="BF1479" s="2" t="str" cm="1">
        <f t="array" ref="BF1479">IF(COUNTIF(AZ1479:BB1479,"&lt;&gt;0")=1,INDEX($V$4:$AW$4,MATCH(TRUE,INDEX($V1479:$AW1479&lt;&gt;0,),0)),IF(COUNTIF(AZ1479:BB1479,"&lt;&gt;0")=0,INDEX($AM$4:$AW$4,MATCH(1,$AM1479:$AW1479,0)),"Multiple strategies"))</f>
        <v>Silviculture for removals</v>
      </c>
      <c r="BP1479" t="s">
        <v>232</v>
      </c>
      <c r="BR1479" t="s">
        <v>1140</v>
      </c>
      <c r="BS1479">
        <v>0</v>
      </c>
      <c r="BT1479">
        <v>5.63</v>
      </c>
      <c r="BU1479" s="144" t="str">
        <f>IFERROR(BT1479/BS1479,"")</f>
        <v/>
      </c>
      <c r="BV1479">
        <f>BT1479-BS1479</f>
        <v>5.63</v>
      </c>
      <c r="BX1479">
        <f>BV1479*10^6</f>
        <v>5630000</v>
      </c>
      <c r="BY1479" t="str">
        <f>IFERROR(BX1479/BO1479,"")</f>
        <v/>
      </c>
      <c r="BZ1479">
        <v>0</v>
      </c>
      <c r="CA1479">
        <v>0</v>
      </c>
      <c r="CB1479">
        <v>0</v>
      </c>
      <c r="CC1479">
        <v>0</v>
      </c>
      <c r="CD1479">
        <v>0</v>
      </c>
      <c r="CE1479">
        <v>0</v>
      </c>
      <c r="CF1479">
        <v>0</v>
      </c>
      <c r="CG1479">
        <v>0</v>
      </c>
      <c r="CH1479">
        <v>0</v>
      </c>
      <c r="CI1479">
        <v>0</v>
      </c>
      <c r="CJ1479">
        <v>0</v>
      </c>
      <c r="CK1479">
        <v>0</v>
      </c>
      <c r="CL1479">
        <v>0</v>
      </c>
      <c r="CM1479">
        <v>0</v>
      </c>
      <c r="CN1479" t="str">
        <f>IF(BL1479&lt;BK1479,"refNeedCorrection","refOK")</f>
        <v>refOK</v>
      </c>
      <c r="CO1479"/>
      <c r="CP1479"/>
      <c r="CQ1479"/>
      <c r="CR1479">
        <f>IF($CN1479="refOK",$BS1479,$BT1479)*IF($BP1479="Emissions positive",-1,1)</f>
        <v>0</v>
      </c>
      <c r="CS1479">
        <f>IF($CN1479="refOK",$BT1479,$BS1479)*IF($BP1479="Emissions positive",-1,1)</f>
        <v>5.63</v>
      </c>
      <c r="CT1479">
        <f>IF($CN1479="refNeedCorrection",-BX1479,BX1479)*IF($BP1479="Emissions positive",-1,1)</f>
        <v>5630000</v>
      </c>
      <c r="CU1479" t="str">
        <f>IFERROR(CT1479/CQ1479,"")</f>
        <v/>
      </c>
      <c r="CV1479" s="2" t="str">
        <f>IFERROR((CS1479-CR1479)/ABS(CR1479),"")</f>
        <v/>
      </c>
      <c r="CW1479" s="1" t="s">
        <v>1199</v>
      </c>
      <c r="CX1479" s="312" t="str">
        <f>IF(OR($CW1479="prd",$CW1479="std",$CW1479="cit"),"loc",IF(OR($CW1479="eur",$CW1479="reg",$CW1479="coy"),"reg",$CW1479))</f>
        <v>reg</v>
      </c>
      <c r="CY1479" t="s">
        <v>428</v>
      </c>
      <c r="CZ1479">
        <v>2020</v>
      </c>
      <c r="DA1479">
        <v>2050</v>
      </c>
      <c r="DB1479">
        <v>31</v>
      </c>
      <c r="DC1479" t="str">
        <f>IF(DB1479=0,"0",IF(AND(DB1479&gt;=1,DB1479&lt;=30),"1-30",IF(AND(DB1479&gt;30,DB1479&lt;=70),"31-70",IF(AND(DB1479&gt;70,DB1479&lt;=100),"71-100",IF(DB1479&gt;100,"+100")))))</f>
        <v>31-70</v>
      </c>
      <c r="DD1479">
        <v>0</v>
      </c>
      <c r="DE1479">
        <v>1</v>
      </c>
      <c r="DF1479">
        <v>1</v>
      </c>
      <c r="DG1479">
        <v>1</v>
      </c>
      <c r="DI1479">
        <f>SUM(DD1479:DG1479)</f>
        <v>3</v>
      </c>
      <c r="DJ1479" t="str">
        <f>IF(DI1479=1,INDEX($DD$7:$DG$7,MATCH(1,$DD1479:$DG1479,0)),"mixedProduct")</f>
        <v>mixedProduct</v>
      </c>
      <c r="DK1479">
        <f>IF(DD1479=1,DK$7,0)</f>
        <v>0</v>
      </c>
      <c r="DL1479" t="str">
        <f>IF(DE1479=1,DL$7,0)</f>
        <v>Energy</v>
      </c>
      <c r="DM1479" t="str">
        <f>IF(DF1479=1,DM$7,0)</f>
        <v>Pulp/Paper</v>
      </c>
      <c r="DN1479" t="str">
        <f>IF(DG1479=1,DN$7,0)</f>
        <v>Timber</v>
      </c>
      <c r="DO1479">
        <v>0</v>
      </c>
      <c r="DP1479">
        <v>0</v>
      </c>
      <c r="DQ1479">
        <v>0</v>
      </c>
      <c r="DR1479">
        <v>0</v>
      </c>
      <c r="DS1479">
        <v>0</v>
      </c>
      <c r="DT1479">
        <f>SUM(DO1479:DP1479)</f>
        <v>0</v>
      </c>
      <c r="DU1479" s="143" t="str">
        <f>IF(DO1479=1,"self-calculated DF",IF(DP1479=1,"external DF used","explicit C balance"))</f>
        <v>explicit C balance</v>
      </c>
      <c r="DV1479">
        <v>1</v>
      </c>
      <c r="DW1479">
        <v>1</v>
      </c>
      <c r="DX1479">
        <v>1</v>
      </c>
      <c r="DY1479">
        <v>1</v>
      </c>
      <c r="DZ1479">
        <v>0</v>
      </c>
      <c r="EA1479" s="143">
        <v>0</v>
      </c>
      <c r="EB1479">
        <v>1</v>
      </c>
      <c r="EC1479">
        <v>0</v>
      </c>
      <c r="ED1479">
        <v>0</v>
      </c>
      <c r="EE1479">
        <v>0</v>
      </c>
      <c r="EF1479">
        <v>1</v>
      </c>
      <c r="EG1479">
        <v>0</v>
      </c>
      <c r="EH1479">
        <v>0</v>
      </c>
      <c r="EI1479" s="2">
        <v>0</v>
      </c>
      <c r="EK1479" t="str">
        <f>IF(AND(AND(AND(OR($DX1479=1,$DW1479=1),OR($EC1479=1,$EA1479=1)),SUM($DV1479:$DZ1479,$EF1479)&gt;=3),SUM($EA1479:$EE1479)&gt;=2),"Whole sector","")</f>
        <v/>
      </c>
      <c r="EL1479" t="str">
        <f>IF(AND(AND(OR($DX1479=1,$DW1479=1),AND($EC1479=0,$EA1479=0)),SUM($DV1479:$DZ1479,$EF1479)&gt;=3),"Ecosystem approach","")</f>
        <v>Ecosystem approach</v>
      </c>
      <c r="EM1479" s="2" t="str">
        <f>IF(AND(AND(AND($DX1479=0,$DW1479=0),OR($EC1479=1,$EA1479=1)),SUM($EB1479:$EE1479)&gt;=2),"Technology approach","")</f>
        <v/>
      </c>
      <c r="EP1479" t="b">
        <f>IF(ISNUMBER(BU1479),IF(ABS(BU1479-[5]QC_indicators!$B$2)&gt;3*[5]QC_indicators!$C$2,"C ratio",IF(ISNUMBER(BY1479),IF(ABS(BY1479-[5]QC_indicators!$B$1)&gt;3*[5]QC_indicators!$C$1,"DF","no"))),IF(ISNUMBER(BY1479),IF(ABS(BY1479-[5]QC_indicators!$B$1)&gt;3*[5]QC_indicators!$C$1,"DF","no")))</f>
        <v>0</v>
      </c>
    </row>
    <row r="1480" spans="1:148" ht="15" customHeight="1">
      <c r="A1480" s="1" t="s">
        <v>1102</v>
      </c>
      <c r="B1480" t="s">
        <v>4089</v>
      </c>
      <c r="C1480" t="s">
        <v>4090</v>
      </c>
      <c r="D1480" t="s">
        <v>4091</v>
      </c>
      <c r="E1480" t="s">
        <v>4092</v>
      </c>
      <c r="F1480" t="s">
        <v>4093</v>
      </c>
      <c r="G1480" t="s">
        <v>1108</v>
      </c>
      <c r="H1480" t="s">
        <v>254</v>
      </c>
      <c r="I1480">
        <v>2011</v>
      </c>
      <c r="J1480">
        <v>57</v>
      </c>
      <c r="K1480" t="s">
        <v>4094</v>
      </c>
      <c r="M1480" t="str">
        <f>LEFT($D1480,FIND(",",$D1480)-1)&amp;"_"&amp;I1480&amp;L1480</f>
        <v>Routa_2011</v>
      </c>
      <c r="N1480" s="312" t="s">
        <v>4383</v>
      </c>
      <c r="O1480" s="145" t="s">
        <v>341</v>
      </c>
      <c r="Q1480" s="312" t="s">
        <v>256</v>
      </c>
      <c r="R1480" s="313"/>
      <c r="S1480" s="1" t="s">
        <v>4095</v>
      </c>
      <c r="T1480" t="s">
        <v>1111</v>
      </c>
      <c r="U1480" t="e">
        <f>#REF!</f>
        <v>#REF!</v>
      </c>
      <c r="V1480">
        <v>0</v>
      </c>
      <c r="W1480">
        <v>0</v>
      </c>
      <c r="X1480">
        <v>0</v>
      </c>
      <c r="Y1480">
        <v>0</v>
      </c>
      <c r="Z1480">
        <v>0</v>
      </c>
      <c r="AA1480">
        <v>2</v>
      </c>
      <c r="AB1480">
        <v>1</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s="141">
        <f>COUNTIF(V1480:AW1480,"&lt;&gt;0")</f>
        <v>2</v>
      </c>
      <c r="AY1480" s="141">
        <f>COUNTIF(V1480:AL1480,"&lt;&gt;0")</f>
        <v>2</v>
      </c>
      <c r="AZ1480">
        <f>COUNTIF(V1480:AC1480,"&lt;&gt;0")</f>
        <v>2</v>
      </c>
      <c r="BA1480">
        <f>COUNTIF(AD1480:AI1480,"&lt;&gt;0")</f>
        <v>0</v>
      </c>
      <c r="BB1480">
        <f>COUNTIF(AJ1480:AL1480,"&lt;&gt;0")</f>
        <v>0</v>
      </c>
      <c r="BC1480">
        <f>COUNTIF(AS1480:AW1480,"&lt;&gt;0")</f>
        <v>0</v>
      </c>
      <c r="BD1480">
        <f>COUNTIF(AM1480:AR1480,"&lt;&gt;0")</f>
        <v>0</v>
      </c>
      <c r="BE1480" t="str" cm="1">
        <f t="array" ref="BE1480">IF(AY1480=1,INDEX($V$7:$AL$7,MATCH(TRUE,INDEX($V1480:$AW1480&lt;&gt;0,),0)),IF(AY1480=0,INDEX($AM$7:$AW$7,MATCH(1,$AM1480:$AW1480,0)),IF(BF1480="Multiple strategies","mixed drivers",IF(BF1480="Supply chain","multiple supply","multiple silviculture"))))</f>
        <v>multiple silviculture</v>
      </c>
      <c r="BF1480" s="2" t="str" cm="1">
        <f t="array" ref="BF1480">IF(COUNTIF(AZ1480:BB1480,"&lt;&gt;0")=1,INDEX($V$4:$AW$4,MATCH(TRUE,INDEX($V1480:$AW1480&lt;&gt;0,),0)),IF(COUNTIF(AZ1480:BB1480,"&lt;&gt;0")=0,INDEX($AM$4:$AW$4,MATCH(1,$AM1480:$AW1480,0)),"Multiple strategies"))</f>
        <v>Silviculture for productivity</v>
      </c>
      <c r="BP1480" s="312" t="s">
        <v>232</v>
      </c>
      <c r="BQ1480" s="312"/>
      <c r="BR1480" t="s">
        <v>2170</v>
      </c>
      <c r="BS1480">
        <v>-150</v>
      </c>
      <c r="BT1480">
        <v>-74</v>
      </c>
      <c r="BU1480" s="144">
        <v>0.49333333333333335</v>
      </c>
      <c r="BV1480">
        <v>76</v>
      </c>
      <c r="BX1480">
        <f>BV1480*10^3</f>
        <v>76000</v>
      </c>
      <c r="BY1480" t="str">
        <f>IFERROR(BX1480/BO1480,"")</f>
        <v/>
      </c>
      <c r="BZ1480">
        <v>0</v>
      </c>
      <c r="CA1480">
        <v>0</v>
      </c>
      <c r="CB1480">
        <v>0</v>
      </c>
      <c r="CC1480">
        <v>1</v>
      </c>
      <c r="CD1480">
        <v>0</v>
      </c>
      <c r="CE1480">
        <v>0</v>
      </c>
      <c r="CF1480">
        <v>0</v>
      </c>
      <c r="CG1480">
        <v>0</v>
      </c>
      <c r="CH1480">
        <v>0</v>
      </c>
      <c r="CI1480">
        <v>0</v>
      </c>
      <c r="CJ1480">
        <v>0</v>
      </c>
      <c r="CK1480">
        <v>0</v>
      </c>
      <c r="CL1480">
        <v>0</v>
      </c>
      <c r="CM1480">
        <v>0</v>
      </c>
      <c r="CN1480" t="str">
        <f>IF(BL1480&lt;BK1480,"refNeedCorrection","refOK")</f>
        <v>refOK</v>
      </c>
      <c r="CO1480"/>
      <c r="CP1480"/>
      <c r="CQ1480"/>
      <c r="CR1480">
        <f>IF($CN1480="refOK",$BS1480,$BT1480)*IF($BP1480="Emissions positive",-1,1)</f>
        <v>-150</v>
      </c>
      <c r="CS1480">
        <f>IF($CN1480="refOK",$BT1480,$BS1480)*IF($BP1480="Emissions positive",-1,1)</f>
        <v>-74</v>
      </c>
      <c r="CT1480">
        <f>IF($CN1480="refNeedCorrection",-BX1480,BX1480)*IF($BP1480="Emissions positive",-1,1)</f>
        <v>76000</v>
      </c>
      <c r="CU1480" t="str">
        <f>IFERROR(CT1480/CQ1480,"")</f>
        <v/>
      </c>
      <c r="CV1480" s="2">
        <f>IFERROR((CS1480-CR1480)/ABS(CR1480),"")</f>
        <v>0.50666666666666671</v>
      </c>
      <c r="CW1480" s="1" t="s">
        <v>1199</v>
      </c>
      <c r="CX1480" s="312" t="str">
        <f>IF(OR($CW1480="prd",$CW1480="std",$CW1480="cit"),"loc",IF(OR($CW1480="eur",$CW1480="reg",$CW1480="coy"),"reg",$CW1480))</f>
        <v>reg</v>
      </c>
      <c r="CY1480" t="s">
        <v>235</v>
      </c>
      <c r="CZ1480">
        <v>2011</v>
      </c>
      <c r="DA1480">
        <v>2090</v>
      </c>
      <c r="DB1480">
        <v>80</v>
      </c>
      <c r="DC1480" t="str">
        <f>IF(DB1480=0,"0",IF(AND(DB1480&gt;=1,DB1480&lt;=30),"1-30",IF(AND(DB1480&gt;30,DB1480&lt;=70),"31-70",IF(AND(DB1480&gt;70,DB1480&lt;=100),"71-100",IF(DB1480&gt;100,"+100")))))</f>
        <v>71-100</v>
      </c>
      <c r="DD1480">
        <v>0</v>
      </c>
      <c r="DE1480">
        <v>1</v>
      </c>
      <c r="DF1480">
        <v>1</v>
      </c>
      <c r="DG1480">
        <v>1</v>
      </c>
      <c r="DI1480">
        <f>SUM(DD1480:DG1480)</f>
        <v>3</v>
      </c>
      <c r="DJ1480" t="str">
        <f>IF(DI1480=1,INDEX($DD$7:$DG$7,MATCH(1,$DD1480:$DG1480,0)),"mixedProduct")</f>
        <v>mixedProduct</v>
      </c>
      <c r="DK1480">
        <f>IF(DD1480=1,DK$7,0)</f>
        <v>0</v>
      </c>
      <c r="DL1480" t="str">
        <f>IF(DE1480=1,DL$7,0)</f>
        <v>Energy</v>
      </c>
      <c r="DM1480" t="str">
        <f>IF(DF1480=1,DM$7,0)</f>
        <v>Pulp/Paper</v>
      </c>
      <c r="DN1480" t="str">
        <f>IF(DG1480=1,DN$7,0)</f>
        <v>Timber</v>
      </c>
      <c r="DO1480">
        <v>1</v>
      </c>
      <c r="DP1480">
        <v>0</v>
      </c>
      <c r="DQ1480">
        <v>0</v>
      </c>
      <c r="DR1480">
        <v>0</v>
      </c>
      <c r="DS1480">
        <v>0</v>
      </c>
      <c r="DT1480">
        <f>SUM(DO1480:DP1480)</f>
        <v>1</v>
      </c>
      <c r="DU1480" s="143" t="str">
        <f>IF(DO1480=1,"self-calculated DF",IF(DP1480=1,"external DF used","explicit C balance"))</f>
        <v>self-calculated DF</v>
      </c>
      <c r="DV1480">
        <v>1</v>
      </c>
      <c r="DW1480">
        <v>1</v>
      </c>
      <c r="DX1480">
        <v>1</v>
      </c>
      <c r="DY1480">
        <v>0</v>
      </c>
      <c r="DZ1480">
        <v>0</v>
      </c>
      <c r="EA1480" s="143">
        <v>0</v>
      </c>
      <c r="EB1480">
        <v>1</v>
      </c>
      <c r="EC1480">
        <v>1</v>
      </c>
      <c r="ED1480">
        <v>0</v>
      </c>
      <c r="EE1480">
        <v>1</v>
      </c>
      <c r="EF1480">
        <v>1</v>
      </c>
      <c r="EG1480">
        <v>1</v>
      </c>
      <c r="EH1480">
        <v>0</v>
      </c>
      <c r="EI1480" s="2">
        <v>0</v>
      </c>
      <c r="EK1480" t="str">
        <f>IF(AND(AND(AND(OR($DX1480=1,$DW1480=1),OR($EC1480=1,$EA1480=1)),SUM($DV1480:$DZ1480,$EF1480)&gt;=3),SUM($EA1480:$EE1480)&gt;=2),"Whole sector","")</f>
        <v>Whole sector</v>
      </c>
      <c r="EL1480" t="str">
        <f>IF(AND(AND(OR($DX1480=1,$DW1480=1),AND($EC1480=0,$EA1480=0)),SUM($DV1480:$DZ1480,$EF1480)&gt;=3),"Ecosystem approach","")</f>
        <v/>
      </c>
      <c r="EM1480" s="2" t="str">
        <f>IF(AND(AND(AND($DX1480=0,$DW1480=0),OR($EC1480=1,$EA1480=1)),SUM($EB1480:$EE1480)&gt;=2),"Technology approach","")</f>
        <v/>
      </c>
      <c r="EP1480" t="b">
        <f>IF(ISNUMBER(BU1480),IF(ABS(BU1480-[5]QC_indicators!$B$2)&gt;3*[5]QC_indicators!$C$2,"C ratio",IF(ISNUMBER(BY1480),IF(ABS(BY1480-[5]QC_indicators!$B$1)&gt;3*[5]QC_indicators!$C$1,"DF","no"))),IF(ISNUMBER(BY1480),IF(ABS(BY1480-[5]QC_indicators!$B$1)&gt;3*[5]QC_indicators!$C$1,"DF","no")))</f>
        <v>0</v>
      </c>
      <c r="ER1480" s="314" t="s">
        <v>349</v>
      </c>
    </row>
    <row r="1481" spans="1:148" ht="15" customHeight="1">
      <c r="A1481" s="1" t="s">
        <v>1102</v>
      </c>
      <c r="B1481" t="s">
        <v>4089</v>
      </c>
      <c r="C1481" t="s">
        <v>4090</v>
      </c>
      <c r="D1481" t="s">
        <v>4091</v>
      </c>
      <c r="E1481" t="s">
        <v>4092</v>
      </c>
      <c r="F1481" t="s">
        <v>4093</v>
      </c>
      <c r="G1481" t="s">
        <v>1108</v>
      </c>
      <c r="H1481" t="s">
        <v>254</v>
      </c>
      <c r="I1481">
        <v>2011</v>
      </c>
      <c r="J1481">
        <v>57</v>
      </c>
      <c r="K1481" t="s">
        <v>4094</v>
      </c>
      <c r="M1481" t="str">
        <f>LEFT($D1481,FIND(",",$D1481)-1)&amp;"_"&amp;I1481&amp;L1481</f>
        <v>Routa_2011</v>
      </c>
      <c r="N1481" s="312" t="s">
        <v>4383</v>
      </c>
      <c r="O1481" s="145" t="s">
        <v>341</v>
      </c>
      <c r="Q1481" s="312" t="s">
        <v>256</v>
      </c>
      <c r="R1481" s="313"/>
      <c r="S1481" s="1" t="s">
        <v>4096</v>
      </c>
      <c r="T1481" t="s">
        <v>1111</v>
      </c>
      <c r="U1481" t="e">
        <f>#REF!</f>
        <v>#REF!</v>
      </c>
      <c r="V1481">
        <v>0</v>
      </c>
      <c r="W1481">
        <v>0</v>
      </c>
      <c r="X1481">
        <v>0</v>
      </c>
      <c r="Y1481">
        <v>0</v>
      </c>
      <c r="Z1481">
        <v>0</v>
      </c>
      <c r="AA1481">
        <v>2</v>
      </c>
      <c r="AB1481">
        <v>1</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s="141">
        <f>COUNTIF(V1481:AW1481,"&lt;&gt;0")</f>
        <v>2</v>
      </c>
      <c r="AY1481" s="141">
        <f>COUNTIF(V1481:AL1481,"&lt;&gt;0")</f>
        <v>2</v>
      </c>
      <c r="AZ1481">
        <f>COUNTIF(V1481:AC1481,"&lt;&gt;0")</f>
        <v>2</v>
      </c>
      <c r="BA1481">
        <f>COUNTIF(AD1481:AI1481,"&lt;&gt;0")</f>
        <v>0</v>
      </c>
      <c r="BB1481">
        <f>COUNTIF(AJ1481:AL1481,"&lt;&gt;0")</f>
        <v>0</v>
      </c>
      <c r="BC1481">
        <f>COUNTIF(AS1481:AW1481,"&lt;&gt;0")</f>
        <v>0</v>
      </c>
      <c r="BD1481">
        <f>COUNTIF(AM1481:AR1481,"&lt;&gt;0")</f>
        <v>0</v>
      </c>
      <c r="BE1481" t="str" cm="1">
        <f t="array" ref="BE1481">IF(AY1481=1,INDEX($V$7:$AL$7,MATCH(TRUE,INDEX($V1481:$AW1481&lt;&gt;0,),0)),IF(AY1481=0,INDEX($AM$7:$AW$7,MATCH(1,$AM1481:$AW1481,0)),IF(BF1481="Multiple strategies","mixed drivers",IF(BF1481="Supply chain","multiple supply","multiple silviculture"))))</f>
        <v>multiple silviculture</v>
      </c>
      <c r="BF1481" s="2" t="str" cm="1">
        <f t="array" ref="BF1481">IF(COUNTIF(AZ1481:BB1481,"&lt;&gt;0")=1,INDEX($V$4:$AW$4,MATCH(TRUE,INDEX($V1481:$AW1481&lt;&gt;0,),0)),IF(COUNTIF(AZ1481:BB1481,"&lt;&gt;0")=0,INDEX($AM$4:$AW$4,MATCH(1,$AM1481:$AW1481,0)),"Multiple strategies"))</f>
        <v>Silviculture for productivity</v>
      </c>
      <c r="BP1481" s="312" t="s">
        <v>232</v>
      </c>
      <c r="BQ1481" s="312"/>
      <c r="BR1481" t="s">
        <v>2170</v>
      </c>
      <c r="BS1481">
        <v>-150</v>
      </c>
      <c r="BT1481">
        <v>-76</v>
      </c>
      <c r="BU1481" s="144">
        <v>0.50666666666666671</v>
      </c>
      <c r="BV1481">
        <v>74</v>
      </c>
      <c r="BX1481">
        <f>BV1481*10^3</f>
        <v>74000</v>
      </c>
      <c r="BY1481" t="str">
        <f>IFERROR(BX1481/BO1481,"")</f>
        <v/>
      </c>
      <c r="BZ1481">
        <v>0</v>
      </c>
      <c r="CA1481">
        <v>0</v>
      </c>
      <c r="CB1481">
        <v>0</v>
      </c>
      <c r="CC1481">
        <v>1</v>
      </c>
      <c r="CD1481">
        <v>0</v>
      </c>
      <c r="CE1481">
        <v>0</v>
      </c>
      <c r="CF1481">
        <v>0</v>
      </c>
      <c r="CG1481">
        <v>0</v>
      </c>
      <c r="CH1481">
        <v>0</v>
      </c>
      <c r="CI1481">
        <v>0</v>
      </c>
      <c r="CJ1481">
        <v>0</v>
      </c>
      <c r="CK1481">
        <v>0</v>
      </c>
      <c r="CL1481">
        <v>0</v>
      </c>
      <c r="CM1481">
        <v>0</v>
      </c>
      <c r="CN1481" t="str">
        <f>IF(BL1481&lt;BK1481,"refNeedCorrection","refOK")</f>
        <v>refOK</v>
      </c>
      <c r="CO1481"/>
      <c r="CP1481"/>
      <c r="CQ1481"/>
      <c r="CR1481">
        <f>IF($CN1481="refOK",$BS1481,$BT1481)*IF($BP1481="Emissions positive",-1,1)</f>
        <v>-150</v>
      </c>
      <c r="CS1481">
        <f>IF($CN1481="refOK",$BT1481,$BS1481)*IF($BP1481="Emissions positive",-1,1)</f>
        <v>-76</v>
      </c>
      <c r="CT1481">
        <f>IF($CN1481="refNeedCorrection",-BX1481,BX1481)*IF($BP1481="Emissions positive",-1,1)</f>
        <v>74000</v>
      </c>
      <c r="CU1481" t="str">
        <f>IFERROR(CT1481/CQ1481,"")</f>
        <v/>
      </c>
      <c r="CV1481" s="2">
        <f>IFERROR((CS1481-CR1481)/ABS(CR1481),"")</f>
        <v>0.49333333333333335</v>
      </c>
      <c r="CW1481" s="1" t="s">
        <v>1199</v>
      </c>
      <c r="CX1481" s="312" t="str">
        <f>IF(OR($CW1481="prd",$CW1481="std",$CW1481="cit"),"loc",IF(OR($CW1481="eur",$CW1481="reg",$CW1481="coy"),"reg",$CW1481))</f>
        <v>reg</v>
      </c>
      <c r="CY1481" t="s">
        <v>235</v>
      </c>
      <c r="CZ1481">
        <v>2011</v>
      </c>
      <c r="DA1481">
        <v>2090</v>
      </c>
      <c r="DB1481">
        <v>80</v>
      </c>
      <c r="DC1481" t="str">
        <f>IF(DB1481=0,"0",IF(AND(DB1481&gt;=1,DB1481&lt;=30),"1-30",IF(AND(DB1481&gt;30,DB1481&lt;=70),"31-70",IF(AND(DB1481&gt;70,DB1481&lt;=100),"71-100",IF(DB1481&gt;100,"+100")))))</f>
        <v>71-100</v>
      </c>
      <c r="DD1481">
        <v>0</v>
      </c>
      <c r="DE1481">
        <v>1</v>
      </c>
      <c r="DF1481">
        <v>1</v>
      </c>
      <c r="DG1481">
        <v>1</v>
      </c>
      <c r="DI1481">
        <f>SUM(DD1481:DG1481)</f>
        <v>3</v>
      </c>
      <c r="DJ1481" t="str">
        <f>IF(DI1481=1,INDEX($DD$7:$DG$7,MATCH(1,$DD1481:$DG1481,0)),"mixedProduct")</f>
        <v>mixedProduct</v>
      </c>
      <c r="DK1481">
        <f>IF(DD1481=1,DK$7,0)</f>
        <v>0</v>
      </c>
      <c r="DL1481" t="str">
        <f>IF(DE1481=1,DL$7,0)</f>
        <v>Energy</v>
      </c>
      <c r="DM1481" t="str">
        <f>IF(DF1481=1,DM$7,0)</f>
        <v>Pulp/Paper</v>
      </c>
      <c r="DN1481" t="str">
        <f>IF(DG1481=1,DN$7,0)</f>
        <v>Timber</v>
      </c>
      <c r="DO1481">
        <v>1</v>
      </c>
      <c r="DP1481">
        <v>0</v>
      </c>
      <c r="DQ1481">
        <v>0</v>
      </c>
      <c r="DR1481">
        <v>0</v>
      </c>
      <c r="DS1481">
        <v>0</v>
      </c>
      <c r="DT1481">
        <f>SUM(DO1481:DP1481)</f>
        <v>1</v>
      </c>
      <c r="DU1481" s="143" t="str">
        <f>IF(DO1481=1,"self-calculated DF",IF(DP1481=1,"external DF used","explicit C balance"))</f>
        <v>self-calculated DF</v>
      </c>
      <c r="DV1481">
        <v>1</v>
      </c>
      <c r="DW1481">
        <v>1</v>
      </c>
      <c r="DX1481">
        <v>1</v>
      </c>
      <c r="DY1481">
        <v>0</v>
      </c>
      <c r="DZ1481">
        <v>0</v>
      </c>
      <c r="EA1481" s="143">
        <v>0</v>
      </c>
      <c r="EB1481">
        <v>1</v>
      </c>
      <c r="EC1481">
        <v>1</v>
      </c>
      <c r="ED1481">
        <v>0</v>
      </c>
      <c r="EE1481">
        <v>1</v>
      </c>
      <c r="EF1481">
        <v>1</v>
      </c>
      <c r="EG1481">
        <v>1</v>
      </c>
      <c r="EH1481">
        <v>0</v>
      </c>
      <c r="EI1481" s="2">
        <v>0</v>
      </c>
      <c r="EK1481" t="str">
        <f>IF(AND(AND(AND(OR($DX1481=1,$DW1481=1),OR($EC1481=1,$EA1481=1)),SUM($DV1481:$DZ1481,$EF1481)&gt;=3),SUM($EA1481:$EE1481)&gt;=2),"Whole sector","")</f>
        <v>Whole sector</v>
      </c>
      <c r="EL1481" t="str">
        <f>IF(AND(AND(OR($DX1481=1,$DW1481=1),AND($EC1481=0,$EA1481=0)),SUM($DV1481:$DZ1481,$EF1481)&gt;=3),"Ecosystem approach","")</f>
        <v/>
      </c>
      <c r="EM1481" s="2" t="str">
        <f>IF(AND(AND(AND($DX1481=0,$DW1481=0),OR($EC1481=1,$EA1481=1)),SUM($EB1481:$EE1481)&gt;=2),"Technology approach","")</f>
        <v/>
      </c>
      <c r="EP1481" t="b">
        <f>IF(ISNUMBER(BU1481),IF(ABS(BU1481-[5]QC_indicators!$B$2)&gt;3*[5]QC_indicators!$C$2,"C ratio",IF(ISNUMBER(BY1481),IF(ABS(BY1481-[5]QC_indicators!$B$1)&gt;3*[5]QC_indicators!$C$1,"DF","no"))),IF(ISNUMBER(BY1481),IF(ABS(BY1481-[5]QC_indicators!$B$1)&gt;3*[5]QC_indicators!$C$1,"DF","no")))</f>
        <v>0</v>
      </c>
      <c r="ER1481" s="314" t="s">
        <v>349</v>
      </c>
    </row>
    <row r="1482" spans="1:148" ht="15" customHeight="1">
      <c r="A1482" s="1" t="s">
        <v>1102</v>
      </c>
      <c r="B1482" t="s">
        <v>4089</v>
      </c>
      <c r="C1482" t="s">
        <v>4090</v>
      </c>
      <c r="D1482" t="s">
        <v>4091</v>
      </c>
      <c r="E1482" t="s">
        <v>4092</v>
      </c>
      <c r="F1482" t="s">
        <v>4093</v>
      </c>
      <c r="G1482" t="s">
        <v>1108</v>
      </c>
      <c r="H1482" t="s">
        <v>254</v>
      </c>
      <c r="I1482">
        <v>2011</v>
      </c>
      <c r="J1482">
        <v>57</v>
      </c>
      <c r="K1482" t="s">
        <v>4094</v>
      </c>
      <c r="M1482" t="str">
        <f>LEFT($D1482,FIND(",",$D1482)-1)&amp;"_"&amp;I1482&amp;L1482</f>
        <v>Routa_2011</v>
      </c>
      <c r="N1482" s="312" t="s">
        <v>4383</v>
      </c>
      <c r="O1482" s="145" t="s">
        <v>341</v>
      </c>
      <c r="Q1482" s="312" t="s">
        <v>256</v>
      </c>
      <c r="R1482" s="313"/>
      <c r="S1482" s="1" t="s">
        <v>4097</v>
      </c>
      <c r="T1482" t="s">
        <v>1111</v>
      </c>
      <c r="U1482" t="e">
        <f>#REF!</f>
        <v>#REF!</v>
      </c>
      <c r="V1482">
        <v>0</v>
      </c>
      <c r="W1482">
        <v>0</v>
      </c>
      <c r="X1482">
        <v>0</v>
      </c>
      <c r="Y1482">
        <v>0</v>
      </c>
      <c r="Z1482">
        <v>0</v>
      </c>
      <c r="AA1482">
        <v>2</v>
      </c>
      <c r="AB1482">
        <v>1</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s="141">
        <f>COUNTIF(V1482:AW1482,"&lt;&gt;0")</f>
        <v>2</v>
      </c>
      <c r="AY1482" s="141">
        <f>COUNTIF(V1482:AL1482,"&lt;&gt;0")</f>
        <v>2</v>
      </c>
      <c r="AZ1482">
        <f>COUNTIF(V1482:AC1482,"&lt;&gt;0")</f>
        <v>2</v>
      </c>
      <c r="BA1482">
        <f>COUNTIF(AD1482:AI1482,"&lt;&gt;0")</f>
        <v>0</v>
      </c>
      <c r="BB1482">
        <f>COUNTIF(AJ1482:AL1482,"&lt;&gt;0")</f>
        <v>0</v>
      </c>
      <c r="BC1482">
        <f>COUNTIF(AS1482:AW1482,"&lt;&gt;0")</f>
        <v>0</v>
      </c>
      <c r="BD1482">
        <f>COUNTIF(AM1482:AR1482,"&lt;&gt;0")</f>
        <v>0</v>
      </c>
      <c r="BE1482" t="str" cm="1">
        <f t="array" ref="BE1482">IF(AY1482=1,INDEX($V$7:$AL$7,MATCH(TRUE,INDEX($V1482:$AW1482&lt;&gt;0,),0)),IF(AY1482=0,INDEX($AM$7:$AW$7,MATCH(1,$AM1482:$AW1482,0)),IF(BF1482="Multiple strategies","mixed drivers",IF(BF1482="Supply chain","multiple supply","multiple silviculture"))))</f>
        <v>multiple silviculture</v>
      </c>
      <c r="BF1482" s="2" t="str" cm="1">
        <f t="array" ref="BF1482">IF(COUNTIF(AZ1482:BB1482,"&lt;&gt;0")=1,INDEX($V$4:$AW$4,MATCH(TRUE,INDEX($V1482:$AW1482&lt;&gt;0,),0)),IF(COUNTIF(AZ1482:BB1482,"&lt;&gt;0")=0,INDEX($AM$4:$AW$4,MATCH(1,$AM1482:$AW1482,0)),"Multiple strategies"))</f>
        <v>Silviculture for productivity</v>
      </c>
      <c r="BP1482" s="312" t="s">
        <v>232</v>
      </c>
      <c r="BQ1482" s="312"/>
      <c r="BR1482" t="s">
        <v>2170</v>
      </c>
      <c r="BS1482">
        <v>-150</v>
      </c>
      <c r="BT1482">
        <v>-82</v>
      </c>
      <c r="BU1482" s="144">
        <v>0.54666666666666663</v>
      </c>
      <c r="BV1482">
        <v>68</v>
      </c>
      <c r="BX1482">
        <f>BV1482*10^3</f>
        <v>68000</v>
      </c>
      <c r="BY1482" t="str">
        <f>IFERROR(BX1482/BO1482,"")</f>
        <v/>
      </c>
      <c r="BZ1482">
        <v>0</v>
      </c>
      <c r="CA1482">
        <v>0</v>
      </c>
      <c r="CB1482">
        <v>0</v>
      </c>
      <c r="CC1482">
        <v>1</v>
      </c>
      <c r="CD1482">
        <v>0</v>
      </c>
      <c r="CE1482">
        <v>0</v>
      </c>
      <c r="CF1482">
        <v>0</v>
      </c>
      <c r="CG1482">
        <v>0</v>
      </c>
      <c r="CH1482">
        <v>0</v>
      </c>
      <c r="CI1482">
        <v>0</v>
      </c>
      <c r="CJ1482">
        <v>0</v>
      </c>
      <c r="CK1482">
        <v>0</v>
      </c>
      <c r="CL1482">
        <v>0</v>
      </c>
      <c r="CM1482">
        <v>0</v>
      </c>
      <c r="CN1482" t="str">
        <f>IF(BL1482&lt;BK1482,"refNeedCorrection","refOK")</f>
        <v>refOK</v>
      </c>
      <c r="CO1482"/>
      <c r="CP1482"/>
      <c r="CQ1482"/>
      <c r="CR1482">
        <f>IF($CN1482="refOK",$BS1482,$BT1482)*IF($BP1482="Emissions positive",-1,1)</f>
        <v>-150</v>
      </c>
      <c r="CS1482">
        <f>IF($CN1482="refOK",$BT1482,$BS1482)*IF($BP1482="Emissions positive",-1,1)</f>
        <v>-82</v>
      </c>
      <c r="CT1482">
        <f>IF($CN1482="refNeedCorrection",-BX1482,BX1482)*IF($BP1482="Emissions positive",-1,1)</f>
        <v>68000</v>
      </c>
      <c r="CU1482" t="str">
        <f>IFERROR(CT1482/CQ1482,"")</f>
        <v/>
      </c>
      <c r="CV1482" s="2">
        <f>IFERROR((CS1482-CR1482)/ABS(CR1482),"")</f>
        <v>0.45333333333333331</v>
      </c>
      <c r="CW1482" s="1" t="s">
        <v>1199</v>
      </c>
      <c r="CX1482" s="312" t="str">
        <f>IF(OR($CW1482="prd",$CW1482="std",$CW1482="cit"),"loc",IF(OR($CW1482="eur",$CW1482="reg",$CW1482="coy"),"reg",$CW1482))</f>
        <v>reg</v>
      </c>
      <c r="CY1482" t="s">
        <v>235</v>
      </c>
      <c r="CZ1482">
        <v>2011</v>
      </c>
      <c r="DA1482">
        <v>2090</v>
      </c>
      <c r="DB1482">
        <v>80</v>
      </c>
      <c r="DC1482" t="str">
        <f>IF(DB1482=0,"0",IF(AND(DB1482&gt;=1,DB1482&lt;=30),"1-30",IF(AND(DB1482&gt;30,DB1482&lt;=70),"31-70",IF(AND(DB1482&gt;70,DB1482&lt;=100),"71-100",IF(DB1482&gt;100,"+100")))))</f>
        <v>71-100</v>
      </c>
      <c r="DD1482">
        <v>0</v>
      </c>
      <c r="DE1482">
        <v>1</v>
      </c>
      <c r="DF1482">
        <v>1</v>
      </c>
      <c r="DG1482">
        <v>1</v>
      </c>
      <c r="DI1482">
        <f>SUM(DD1482:DG1482)</f>
        <v>3</v>
      </c>
      <c r="DJ1482" t="str">
        <f>IF(DI1482=1,INDEX($DD$7:$DG$7,MATCH(1,$DD1482:$DG1482,0)),"mixedProduct")</f>
        <v>mixedProduct</v>
      </c>
      <c r="DK1482">
        <f>IF(DD1482=1,DK$7,0)</f>
        <v>0</v>
      </c>
      <c r="DL1482" t="str">
        <f>IF(DE1482=1,DL$7,0)</f>
        <v>Energy</v>
      </c>
      <c r="DM1482" t="str">
        <f>IF(DF1482=1,DM$7,0)</f>
        <v>Pulp/Paper</v>
      </c>
      <c r="DN1482" t="str">
        <f>IF(DG1482=1,DN$7,0)</f>
        <v>Timber</v>
      </c>
      <c r="DO1482">
        <v>1</v>
      </c>
      <c r="DP1482">
        <v>0</v>
      </c>
      <c r="DQ1482">
        <v>0</v>
      </c>
      <c r="DR1482">
        <v>0</v>
      </c>
      <c r="DS1482">
        <v>0</v>
      </c>
      <c r="DT1482">
        <f>SUM(DO1482:DP1482)</f>
        <v>1</v>
      </c>
      <c r="DU1482" s="143" t="str">
        <f>IF(DO1482=1,"self-calculated DF",IF(DP1482=1,"external DF used","explicit C balance"))</f>
        <v>self-calculated DF</v>
      </c>
      <c r="DV1482">
        <v>1</v>
      </c>
      <c r="DW1482">
        <v>1</v>
      </c>
      <c r="DX1482">
        <v>1</v>
      </c>
      <c r="DY1482">
        <v>0</v>
      </c>
      <c r="DZ1482">
        <v>0</v>
      </c>
      <c r="EA1482" s="143">
        <v>0</v>
      </c>
      <c r="EB1482">
        <v>1</v>
      </c>
      <c r="EC1482">
        <v>1</v>
      </c>
      <c r="ED1482">
        <v>0</v>
      </c>
      <c r="EE1482">
        <v>1</v>
      </c>
      <c r="EF1482">
        <v>1</v>
      </c>
      <c r="EG1482">
        <v>1</v>
      </c>
      <c r="EH1482">
        <v>0</v>
      </c>
      <c r="EI1482" s="2">
        <v>0</v>
      </c>
      <c r="EK1482" t="str">
        <f>IF(AND(AND(AND(OR($DX1482=1,$DW1482=1),OR($EC1482=1,$EA1482=1)),SUM($DV1482:$DZ1482,$EF1482)&gt;=3),SUM($EA1482:$EE1482)&gt;=2),"Whole sector","")</f>
        <v>Whole sector</v>
      </c>
      <c r="EL1482" t="str">
        <f>IF(AND(AND(OR($DX1482=1,$DW1482=1),AND($EC1482=0,$EA1482=0)),SUM($DV1482:$DZ1482,$EF1482)&gt;=3),"Ecosystem approach","")</f>
        <v/>
      </c>
      <c r="EM1482" s="2" t="str">
        <f>IF(AND(AND(AND($DX1482=0,$DW1482=0),OR($EC1482=1,$EA1482=1)),SUM($EB1482:$EE1482)&gt;=2),"Technology approach","")</f>
        <v/>
      </c>
      <c r="EP1482" t="b">
        <f>IF(ISNUMBER(BU1482),IF(ABS(BU1482-[5]QC_indicators!$B$2)&gt;3*[5]QC_indicators!$C$2,"C ratio",IF(ISNUMBER(BY1482),IF(ABS(BY1482-[5]QC_indicators!$B$1)&gt;3*[5]QC_indicators!$C$1,"DF","no"))),IF(ISNUMBER(BY1482),IF(ABS(BY1482-[5]QC_indicators!$B$1)&gt;3*[5]QC_indicators!$C$1,"DF","no")))</f>
        <v>0</v>
      </c>
      <c r="ER1482" s="314" t="s">
        <v>349</v>
      </c>
    </row>
    <row r="1483" spans="1:148" ht="15" customHeight="1">
      <c r="A1483" s="1" t="s">
        <v>1102</v>
      </c>
      <c r="B1483" t="s">
        <v>4089</v>
      </c>
      <c r="C1483" t="s">
        <v>4090</v>
      </c>
      <c r="D1483" t="s">
        <v>4091</v>
      </c>
      <c r="E1483" t="s">
        <v>4092</v>
      </c>
      <c r="F1483" t="s">
        <v>4093</v>
      </c>
      <c r="G1483" t="s">
        <v>1108</v>
      </c>
      <c r="H1483" t="s">
        <v>254</v>
      </c>
      <c r="I1483">
        <v>2011</v>
      </c>
      <c r="J1483">
        <v>57</v>
      </c>
      <c r="K1483" t="s">
        <v>4094</v>
      </c>
      <c r="M1483" t="str">
        <f>LEFT($D1483,FIND(",",$D1483)-1)&amp;"_"&amp;I1483&amp;L1483</f>
        <v>Routa_2011</v>
      </c>
      <c r="N1483" s="312" t="s">
        <v>4383</v>
      </c>
      <c r="O1483" s="145" t="s">
        <v>341</v>
      </c>
      <c r="Q1483" s="312" t="s">
        <v>256</v>
      </c>
      <c r="R1483" s="313"/>
      <c r="S1483" s="1" t="s">
        <v>4098</v>
      </c>
      <c r="T1483" t="s">
        <v>1111</v>
      </c>
      <c r="U1483" t="e">
        <f>#REF!</f>
        <v>#REF!</v>
      </c>
      <c r="V1483">
        <v>0</v>
      </c>
      <c r="W1483">
        <v>0</v>
      </c>
      <c r="X1483">
        <v>0</v>
      </c>
      <c r="Y1483">
        <v>0</v>
      </c>
      <c r="Z1483">
        <v>0</v>
      </c>
      <c r="AA1483">
        <v>2</v>
      </c>
      <c r="AB1483">
        <v>1</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s="141">
        <f>COUNTIF(V1483:AW1483,"&lt;&gt;0")</f>
        <v>2</v>
      </c>
      <c r="AY1483" s="141">
        <f>COUNTIF(V1483:AL1483,"&lt;&gt;0")</f>
        <v>2</v>
      </c>
      <c r="AZ1483">
        <f>COUNTIF(V1483:AC1483,"&lt;&gt;0")</f>
        <v>2</v>
      </c>
      <c r="BA1483">
        <f>COUNTIF(AD1483:AI1483,"&lt;&gt;0")</f>
        <v>0</v>
      </c>
      <c r="BB1483">
        <f>COUNTIF(AJ1483:AL1483,"&lt;&gt;0")</f>
        <v>0</v>
      </c>
      <c r="BC1483">
        <f>COUNTIF(AS1483:AW1483,"&lt;&gt;0")</f>
        <v>0</v>
      </c>
      <c r="BD1483">
        <f>COUNTIF(AM1483:AR1483,"&lt;&gt;0")</f>
        <v>0</v>
      </c>
      <c r="BE1483" t="str" cm="1">
        <f t="array" ref="BE1483">IF(AY1483=1,INDEX($V$7:$AL$7,MATCH(TRUE,INDEX($V1483:$AW1483&lt;&gt;0,),0)),IF(AY1483=0,INDEX($AM$7:$AW$7,MATCH(1,$AM1483:$AW1483,0)),IF(BF1483="Multiple strategies","mixed drivers",IF(BF1483="Supply chain","multiple supply","multiple silviculture"))))</f>
        <v>multiple silviculture</v>
      </c>
      <c r="BF1483" s="2" t="str" cm="1">
        <f t="array" ref="BF1483">IF(COUNTIF(AZ1483:BB1483,"&lt;&gt;0")=1,INDEX($V$4:$AW$4,MATCH(TRUE,INDEX($V1483:$AW1483&lt;&gt;0,),0)),IF(COUNTIF(AZ1483:BB1483,"&lt;&gt;0")=0,INDEX($AM$4:$AW$4,MATCH(1,$AM1483:$AW1483,0)),"Multiple strategies"))</f>
        <v>Silviculture for productivity</v>
      </c>
      <c r="BP1483" s="312" t="s">
        <v>232</v>
      </c>
      <c r="BQ1483" s="312"/>
      <c r="BR1483" t="s">
        <v>2170</v>
      </c>
      <c r="BS1483">
        <v>-150</v>
      </c>
      <c r="BT1483">
        <v>-85</v>
      </c>
      <c r="BU1483" s="144">
        <v>0.56666666666666665</v>
      </c>
      <c r="BV1483">
        <v>65</v>
      </c>
      <c r="BX1483">
        <f>BV1483*10^3</f>
        <v>65000</v>
      </c>
      <c r="BY1483" t="str">
        <f>IFERROR(BX1483/BO1483,"")</f>
        <v/>
      </c>
      <c r="BZ1483">
        <v>0</v>
      </c>
      <c r="CA1483">
        <v>0</v>
      </c>
      <c r="CB1483">
        <v>0</v>
      </c>
      <c r="CC1483">
        <v>1</v>
      </c>
      <c r="CD1483">
        <v>0</v>
      </c>
      <c r="CE1483">
        <v>0</v>
      </c>
      <c r="CF1483">
        <v>0</v>
      </c>
      <c r="CG1483">
        <v>0</v>
      </c>
      <c r="CH1483">
        <v>0</v>
      </c>
      <c r="CI1483">
        <v>0</v>
      </c>
      <c r="CJ1483">
        <v>0</v>
      </c>
      <c r="CK1483">
        <v>0</v>
      </c>
      <c r="CL1483">
        <v>0</v>
      </c>
      <c r="CM1483">
        <v>0</v>
      </c>
      <c r="CN1483" t="str">
        <f>IF(BL1483&lt;BK1483,"refNeedCorrection","refOK")</f>
        <v>refOK</v>
      </c>
      <c r="CO1483"/>
      <c r="CP1483"/>
      <c r="CQ1483"/>
      <c r="CR1483">
        <f>IF($CN1483="refOK",$BS1483,$BT1483)*IF($BP1483="Emissions positive",-1,1)</f>
        <v>-150</v>
      </c>
      <c r="CS1483">
        <f>IF($CN1483="refOK",$BT1483,$BS1483)*IF($BP1483="Emissions positive",-1,1)</f>
        <v>-85</v>
      </c>
      <c r="CT1483">
        <f>IF($CN1483="refNeedCorrection",-BX1483,BX1483)*IF($BP1483="Emissions positive",-1,1)</f>
        <v>65000</v>
      </c>
      <c r="CU1483" t="str">
        <f>IFERROR(CT1483/CQ1483,"")</f>
        <v/>
      </c>
      <c r="CV1483" s="2">
        <f>IFERROR((CS1483-CR1483)/ABS(CR1483),"")</f>
        <v>0.43333333333333335</v>
      </c>
      <c r="CW1483" s="1" t="s">
        <v>1199</v>
      </c>
      <c r="CX1483" s="312" t="str">
        <f>IF(OR($CW1483="prd",$CW1483="std",$CW1483="cit"),"loc",IF(OR($CW1483="eur",$CW1483="reg",$CW1483="coy"),"reg",$CW1483))</f>
        <v>reg</v>
      </c>
      <c r="CY1483" t="s">
        <v>235</v>
      </c>
      <c r="CZ1483">
        <v>2011</v>
      </c>
      <c r="DA1483">
        <v>2090</v>
      </c>
      <c r="DB1483">
        <v>80</v>
      </c>
      <c r="DC1483" t="str">
        <f>IF(DB1483=0,"0",IF(AND(DB1483&gt;=1,DB1483&lt;=30),"1-30",IF(AND(DB1483&gt;30,DB1483&lt;=70),"31-70",IF(AND(DB1483&gt;70,DB1483&lt;=100),"71-100",IF(DB1483&gt;100,"+100")))))</f>
        <v>71-100</v>
      </c>
      <c r="DD1483">
        <v>0</v>
      </c>
      <c r="DE1483">
        <v>1</v>
      </c>
      <c r="DF1483">
        <v>1</v>
      </c>
      <c r="DG1483">
        <v>1</v>
      </c>
      <c r="DI1483">
        <f>SUM(DD1483:DG1483)</f>
        <v>3</v>
      </c>
      <c r="DJ1483" t="str">
        <f>IF(DI1483=1,INDEX($DD$7:$DG$7,MATCH(1,$DD1483:$DG1483,0)),"mixedProduct")</f>
        <v>mixedProduct</v>
      </c>
      <c r="DK1483">
        <f>IF(DD1483=1,DK$7,0)</f>
        <v>0</v>
      </c>
      <c r="DL1483" t="str">
        <f>IF(DE1483=1,DL$7,0)</f>
        <v>Energy</v>
      </c>
      <c r="DM1483" t="str">
        <f>IF(DF1483=1,DM$7,0)</f>
        <v>Pulp/Paper</v>
      </c>
      <c r="DN1483" t="str">
        <f>IF(DG1483=1,DN$7,0)</f>
        <v>Timber</v>
      </c>
      <c r="DO1483">
        <v>1</v>
      </c>
      <c r="DP1483">
        <v>0</v>
      </c>
      <c r="DQ1483">
        <v>0</v>
      </c>
      <c r="DR1483">
        <v>0</v>
      </c>
      <c r="DS1483">
        <v>0</v>
      </c>
      <c r="DT1483">
        <f>SUM(DO1483:DP1483)</f>
        <v>1</v>
      </c>
      <c r="DU1483" s="143" t="str">
        <f>IF(DO1483=1,"self-calculated DF",IF(DP1483=1,"external DF used","explicit C balance"))</f>
        <v>self-calculated DF</v>
      </c>
      <c r="DV1483">
        <v>1</v>
      </c>
      <c r="DW1483">
        <v>1</v>
      </c>
      <c r="DX1483">
        <v>1</v>
      </c>
      <c r="DY1483">
        <v>0</v>
      </c>
      <c r="DZ1483">
        <v>0</v>
      </c>
      <c r="EA1483" s="143">
        <v>0</v>
      </c>
      <c r="EB1483">
        <v>1</v>
      </c>
      <c r="EC1483">
        <v>1</v>
      </c>
      <c r="ED1483">
        <v>0</v>
      </c>
      <c r="EE1483">
        <v>1</v>
      </c>
      <c r="EF1483">
        <v>1</v>
      </c>
      <c r="EG1483">
        <v>1</v>
      </c>
      <c r="EH1483">
        <v>0</v>
      </c>
      <c r="EI1483" s="2">
        <v>0</v>
      </c>
      <c r="EK1483" t="str">
        <f>IF(AND(AND(AND(OR($DX1483=1,$DW1483=1),OR($EC1483=1,$EA1483=1)),SUM($DV1483:$DZ1483,$EF1483)&gt;=3),SUM($EA1483:$EE1483)&gt;=2),"Whole sector","")</f>
        <v>Whole sector</v>
      </c>
      <c r="EL1483" t="str">
        <f>IF(AND(AND(OR($DX1483=1,$DW1483=1),AND($EC1483=0,$EA1483=0)),SUM($DV1483:$DZ1483,$EF1483)&gt;=3),"Ecosystem approach","")</f>
        <v/>
      </c>
      <c r="EM1483" s="2" t="str">
        <f>IF(AND(AND(AND($DX1483=0,$DW1483=0),OR($EC1483=1,$EA1483=1)),SUM($EB1483:$EE1483)&gt;=2),"Technology approach","")</f>
        <v/>
      </c>
      <c r="EP1483" t="b">
        <f>IF(ISNUMBER(BU1483),IF(ABS(BU1483-[5]QC_indicators!$B$2)&gt;3*[5]QC_indicators!$C$2,"C ratio",IF(ISNUMBER(BY1483),IF(ABS(BY1483-[5]QC_indicators!$B$1)&gt;3*[5]QC_indicators!$C$1,"DF","no"))),IF(ISNUMBER(BY1483),IF(ABS(BY1483-[5]QC_indicators!$B$1)&gt;3*[5]QC_indicators!$C$1,"DF","no")))</f>
        <v>0</v>
      </c>
      <c r="ER1483" s="314" t="s">
        <v>349</v>
      </c>
    </row>
    <row r="1484" spans="1:148" ht="14" customHeight="1">
      <c r="A1484" s="1" t="s">
        <v>1102</v>
      </c>
      <c r="B1484" t="s">
        <v>4089</v>
      </c>
      <c r="C1484" t="s">
        <v>4090</v>
      </c>
      <c r="D1484" t="s">
        <v>4091</v>
      </c>
      <c r="E1484" t="s">
        <v>4092</v>
      </c>
      <c r="F1484" t="s">
        <v>4093</v>
      </c>
      <c r="G1484" t="s">
        <v>1108</v>
      </c>
      <c r="H1484" t="s">
        <v>254</v>
      </c>
      <c r="I1484">
        <v>2011</v>
      </c>
      <c r="J1484">
        <v>57</v>
      </c>
      <c r="K1484" t="s">
        <v>4094</v>
      </c>
      <c r="M1484" t="str">
        <f>LEFT($D1484,FIND(",",$D1484)-1)&amp;"_"&amp;I1484&amp;L1484</f>
        <v>Routa_2011</v>
      </c>
      <c r="N1484" s="312" t="s">
        <v>4383</v>
      </c>
      <c r="O1484" s="145" t="s">
        <v>341</v>
      </c>
      <c r="Q1484" s="312" t="s">
        <v>256</v>
      </c>
      <c r="R1484" s="313"/>
      <c r="S1484" s="1" t="s">
        <v>4099</v>
      </c>
      <c r="T1484" t="s">
        <v>1111</v>
      </c>
      <c r="U1484" t="e">
        <f>#REF!</f>
        <v>#REF!</v>
      </c>
      <c r="V1484">
        <v>0</v>
      </c>
      <c r="W1484">
        <v>0</v>
      </c>
      <c r="X1484">
        <v>0</v>
      </c>
      <c r="Y1484">
        <v>0</v>
      </c>
      <c r="Z1484">
        <v>0</v>
      </c>
      <c r="AA1484">
        <v>2</v>
      </c>
      <c r="AB1484">
        <v>1</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s="141">
        <f>COUNTIF(V1484:AW1484,"&lt;&gt;0")</f>
        <v>2</v>
      </c>
      <c r="AY1484" s="141">
        <f>COUNTIF(V1484:AL1484,"&lt;&gt;0")</f>
        <v>2</v>
      </c>
      <c r="AZ1484">
        <f>COUNTIF(V1484:AC1484,"&lt;&gt;0")</f>
        <v>2</v>
      </c>
      <c r="BA1484">
        <f>COUNTIF(AD1484:AI1484,"&lt;&gt;0")</f>
        <v>0</v>
      </c>
      <c r="BB1484">
        <f>COUNTIF(AJ1484:AL1484,"&lt;&gt;0")</f>
        <v>0</v>
      </c>
      <c r="BC1484">
        <f>COUNTIF(AS1484:AW1484,"&lt;&gt;0")</f>
        <v>0</v>
      </c>
      <c r="BD1484">
        <f>COUNTIF(AM1484:AR1484,"&lt;&gt;0")</f>
        <v>0</v>
      </c>
      <c r="BE1484" t="str" cm="1">
        <f t="array" ref="BE1484">IF(AY1484=1,INDEX($V$7:$AL$7,MATCH(TRUE,INDEX($V1484:$AW1484&lt;&gt;0,),0)),IF(AY1484=0,INDEX($AM$7:$AW$7,MATCH(1,$AM1484:$AW1484,0)),IF(BF1484="Multiple strategies","mixed drivers",IF(BF1484="Supply chain","multiple supply","multiple silviculture"))))</f>
        <v>multiple silviculture</v>
      </c>
      <c r="BF1484" s="2" t="str" cm="1">
        <f t="array" ref="BF1484">IF(COUNTIF(AZ1484:BB1484,"&lt;&gt;0")=1,INDEX($V$4:$AW$4,MATCH(TRUE,INDEX($V1484:$AW1484&lt;&gt;0,),0)),IF(COUNTIF(AZ1484:BB1484,"&lt;&gt;0")=0,INDEX($AM$4:$AW$4,MATCH(1,$AM1484:$AW1484,0)),"Multiple strategies"))</f>
        <v>Silviculture for productivity</v>
      </c>
      <c r="BP1484" s="312" t="s">
        <v>232</v>
      </c>
      <c r="BQ1484" s="312"/>
      <c r="BR1484" t="s">
        <v>2170</v>
      </c>
      <c r="BS1484">
        <v>-150</v>
      </c>
      <c r="BT1484">
        <v>-87</v>
      </c>
      <c r="BU1484" s="144">
        <v>0.57999999999999996</v>
      </c>
      <c r="BV1484">
        <v>63</v>
      </c>
      <c r="BX1484">
        <f>BV1484*10^3</f>
        <v>63000</v>
      </c>
      <c r="BY1484" t="str">
        <f>IFERROR(BX1484/BO1484,"")</f>
        <v/>
      </c>
      <c r="BZ1484">
        <v>0</v>
      </c>
      <c r="CA1484">
        <v>0</v>
      </c>
      <c r="CB1484">
        <v>0</v>
      </c>
      <c r="CC1484">
        <v>1</v>
      </c>
      <c r="CD1484">
        <v>0</v>
      </c>
      <c r="CE1484">
        <v>0</v>
      </c>
      <c r="CF1484">
        <v>0</v>
      </c>
      <c r="CG1484">
        <v>0</v>
      </c>
      <c r="CH1484">
        <v>0</v>
      </c>
      <c r="CI1484">
        <v>0</v>
      </c>
      <c r="CJ1484">
        <v>0</v>
      </c>
      <c r="CK1484">
        <v>0</v>
      </c>
      <c r="CL1484">
        <v>0</v>
      </c>
      <c r="CM1484">
        <v>0</v>
      </c>
      <c r="CN1484" t="str">
        <f>IF(BL1484&lt;BK1484,"refNeedCorrection","refOK")</f>
        <v>refOK</v>
      </c>
      <c r="CO1484"/>
      <c r="CP1484"/>
      <c r="CQ1484"/>
      <c r="CR1484">
        <f>IF($CN1484="refOK",$BS1484,$BT1484)*IF($BP1484="Emissions positive",-1,1)</f>
        <v>-150</v>
      </c>
      <c r="CS1484">
        <f>IF($CN1484="refOK",$BT1484,$BS1484)*IF($BP1484="Emissions positive",-1,1)</f>
        <v>-87</v>
      </c>
      <c r="CT1484">
        <f>IF($CN1484="refNeedCorrection",-BX1484,BX1484)*IF($BP1484="Emissions positive",-1,1)</f>
        <v>63000</v>
      </c>
      <c r="CU1484" t="str">
        <f>IFERROR(CT1484/CQ1484,"")</f>
        <v/>
      </c>
      <c r="CV1484" s="2">
        <f>IFERROR((CS1484-CR1484)/ABS(CR1484),"")</f>
        <v>0.42</v>
      </c>
      <c r="CW1484" s="1" t="s">
        <v>1199</v>
      </c>
      <c r="CX1484" s="312" t="str">
        <f>IF(OR($CW1484="prd",$CW1484="std",$CW1484="cit"),"loc",IF(OR($CW1484="eur",$CW1484="reg",$CW1484="coy"),"reg",$CW1484))</f>
        <v>reg</v>
      </c>
      <c r="CY1484" t="s">
        <v>235</v>
      </c>
      <c r="CZ1484">
        <v>2011</v>
      </c>
      <c r="DA1484">
        <v>2090</v>
      </c>
      <c r="DB1484">
        <v>80</v>
      </c>
      <c r="DC1484" t="str">
        <f>IF(DB1484=0,"0",IF(AND(DB1484&gt;=1,DB1484&lt;=30),"1-30",IF(AND(DB1484&gt;30,DB1484&lt;=70),"31-70",IF(AND(DB1484&gt;70,DB1484&lt;=100),"71-100",IF(DB1484&gt;100,"+100")))))</f>
        <v>71-100</v>
      </c>
      <c r="DD1484">
        <v>0</v>
      </c>
      <c r="DE1484">
        <v>1</v>
      </c>
      <c r="DF1484">
        <v>1</v>
      </c>
      <c r="DG1484">
        <v>1</v>
      </c>
      <c r="DI1484">
        <f>SUM(DD1484:DG1484)</f>
        <v>3</v>
      </c>
      <c r="DJ1484" t="str">
        <f>IF(DI1484=1,INDEX($DD$7:$DG$7,MATCH(1,$DD1484:$DG1484,0)),"mixedProduct")</f>
        <v>mixedProduct</v>
      </c>
      <c r="DK1484">
        <f>IF(DD1484=1,DK$7,0)</f>
        <v>0</v>
      </c>
      <c r="DL1484" t="str">
        <f>IF(DE1484=1,DL$7,0)</f>
        <v>Energy</v>
      </c>
      <c r="DM1484" t="str">
        <f>IF(DF1484=1,DM$7,0)</f>
        <v>Pulp/Paper</v>
      </c>
      <c r="DN1484" t="str">
        <f>IF(DG1484=1,DN$7,0)</f>
        <v>Timber</v>
      </c>
      <c r="DO1484">
        <v>1</v>
      </c>
      <c r="DP1484">
        <v>0</v>
      </c>
      <c r="DQ1484">
        <v>0</v>
      </c>
      <c r="DR1484">
        <v>0</v>
      </c>
      <c r="DS1484">
        <v>0</v>
      </c>
      <c r="DT1484">
        <f>SUM(DO1484:DP1484)</f>
        <v>1</v>
      </c>
      <c r="DU1484" s="143" t="str">
        <f>IF(DO1484=1,"self-calculated DF",IF(DP1484=1,"external DF used","explicit C balance"))</f>
        <v>self-calculated DF</v>
      </c>
      <c r="DV1484">
        <v>1</v>
      </c>
      <c r="DW1484">
        <v>1</v>
      </c>
      <c r="DX1484">
        <v>1</v>
      </c>
      <c r="DY1484">
        <v>0</v>
      </c>
      <c r="DZ1484">
        <v>0</v>
      </c>
      <c r="EA1484" s="143">
        <v>0</v>
      </c>
      <c r="EB1484">
        <v>1</v>
      </c>
      <c r="EC1484">
        <v>1</v>
      </c>
      <c r="ED1484">
        <v>0</v>
      </c>
      <c r="EE1484">
        <v>1</v>
      </c>
      <c r="EF1484">
        <v>1</v>
      </c>
      <c r="EG1484">
        <v>1</v>
      </c>
      <c r="EH1484">
        <v>0</v>
      </c>
      <c r="EI1484" s="2">
        <v>0</v>
      </c>
      <c r="EK1484" t="str">
        <f>IF(AND(AND(AND(OR($DX1484=1,$DW1484=1),OR($EC1484=1,$EA1484=1)),SUM($DV1484:$DZ1484,$EF1484)&gt;=3),SUM($EA1484:$EE1484)&gt;=2),"Whole sector","")</f>
        <v>Whole sector</v>
      </c>
      <c r="EL1484" t="str">
        <f>IF(AND(AND(OR($DX1484=1,$DW1484=1),AND($EC1484=0,$EA1484=0)),SUM($DV1484:$DZ1484,$EF1484)&gt;=3),"Ecosystem approach","")</f>
        <v/>
      </c>
      <c r="EM1484" s="2" t="str">
        <f>IF(AND(AND(AND($DX1484=0,$DW1484=0),OR($EC1484=1,$EA1484=1)),SUM($EB1484:$EE1484)&gt;=2),"Technology approach","")</f>
        <v/>
      </c>
      <c r="EP1484" t="b">
        <f>IF(ISNUMBER(BU1484),IF(ABS(BU1484-[5]QC_indicators!$B$2)&gt;3*[5]QC_indicators!$C$2,"C ratio",IF(ISNUMBER(BY1484),IF(ABS(BY1484-[5]QC_indicators!$B$1)&gt;3*[5]QC_indicators!$C$1,"DF","no"))),IF(ISNUMBER(BY1484),IF(ABS(BY1484-[5]QC_indicators!$B$1)&gt;3*[5]QC_indicators!$C$1,"DF","no")))</f>
        <v>0</v>
      </c>
      <c r="ER1484" s="314" t="s">
        <v>349</v>
      </c>
    </row>
    <row r="1485" spans="1:148" ht="14" customHeight="1">
      <c r="A1485" s="1" t="s">
        <v>1102</v>
      </c>
      <c r="B1485" t="s">
        <v>4089</v>
      </c>
      <c r="C1485" t="s">
        <v>4090</v>
      </c>
      <c r="D1485" t="s">
        <v>4091</v>
      </c>
      <c r="E1485" t="s">
        <v>4092</v>
      </c>
      <c r="F1485" t="s">
        <v>4093</v>
      </c>
      <c r="G1485" t="s">
        <v>1108</v>
      </c>
      <c r="H1485" t="s">
        <v>254</v>
      </c>
      <c r="I1485">
        <v>2011</v>
      </c>
      <c r="J1485">
        <v>57</v>
      </c>
      <c r="K1485" t="s">
        <v>4094</v>
      </c>
      <c r="M1485" t="str">
        <f>LEFT($D1485,FIND(",",$D1485)-1)&amp;"_"&amp;I1485&amp;L1485</f>
        <v>Routa_2011</v>
      </c>
      <c r="N1485" s="312" t="s">
        <v>4383</v>
      </c>
      <c r="O1485" s="145" t="s">
        <v>341</v>
      </c>
      <c r="Q1485" s="312" t="s">
        <v>256</v>
      </c>
      <c r="R1485" s="313"/>
      <c r="S1485" s="1" t="s">
        <v>4100</v>
      </c>
      <c r="T1485" t="s">
        <v>1111</v>
      </c>
      <c r="U1485" t="e">
        <f>#REF!</f>
        <v>#REF!</v>
      </c>
      <c r="V1485">
        <v>0</v>
      </c>
      <c r="W1485">
        <v>0</v>
      </c>
      <c r="X1485">
        <v>0</v>
      </c>
      <c r="Y1485">
        <v>0</v>
      </c>
      <c r="Z1485">
        <v>0</v>
      </c>
      <c r="AA1485">
        <v>2</v>
      </c>
      <c r="AB1485">
        <v>1</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s="141">
        <f>COUNTIF(V1485:AW1485,"&lt;&gt;0")</f>
        <v>2</v>
      </c>
      <c r="AY1485" s="141">
        <f>COUNTIF(V1485:AL1485,"&lt;&gt;0")</f>
        <v>2</v>
      </c>
      <c r="AZ1485">
        <f>COUNTIF(V1485:AC1485,"&lt;&gt;0")</f>
        <v>2</v>
      </c>
      <c r="BA1485">
        <f>COUNTIF(AD1485:AI1485,"&lt;&gt;0")</f>
        <v>0</v>
      </c>
      <c r="BB1485">
        <f>COUNTIF(AJ1485:AL1485,"&lt;&gt;0")</f>
        <v>0</v>
      </c>
      <c r="BC1485">
        <f>COUNTIF(AS1485:AW1485,"&lt;&gt;0")</f>
        <v>0</v>
      </c>
      <c r="BD1485">
        <f>COUNTIF(AM1485:AR1485,"&lt;&gt;0")</f>
        <v>0</v>
      </c>
      <c r="BE1485" t="str" cm="1">
        <f t="array" ref="BE1485">IF(AY1485=1,INDEX($V$7:$AL$7,MATCH(TRUE,INDEX($V1485:$AW1485&lt;&gt;0,),0)),IF(AY1485=0,INDEX($AM$7:$AW$7,MATCH(1,$AM1485:$AW1485,0)),IF(BF1485="Multiple strategies","mixed drivers",IF(BF1485="Supply chain","multiple supply","multiple silviculture"))))</f>
        <v>multiple silviculture</v>
      </c>
      <c r="BF1485" s="2" t="str" cm="1">
        <f t="array" ref="BF1485">IF(COUNTIF(AZ1485:BB1485,"&lt;&gt;0")=1,INDEX($V$4:$AW$4,MATCH(TRUE,INDEX($V1485:$AW1485&lt;&gt;0,),0)),IF(COUNTIF(AZ1485:BB1485,"&lt;&gt;0")=0,INDEX($AM$4:$AW$4,MATCH(1,$AM1485:$AW1485,0)),"Multiple strategies"))</f>
        <v>Silviculture for productivity</v>
      </c>
      <c r="BP1485" s="312" t="s">
        <v>232</v>
      </c>
      <c r="BQ1485" s="312"/>
      <c r="BR1485" t="s">
        <v>2170</v>
      </c>
      <c r="BS1485">
        <v>-150</v>
      </c>
      <c r="BT1485">
        <v>-87</v>
      </c>
      <c r="BU1485" s="144">
        <v>0.57999999999999996</v>
      </c>
      <c r="BV1485">
        <v>63</v>
      </c>
      <c r="BX1485">
        <f>BV1485*10^3</f>
        <v>63000</v>
      </c>
      <c r="BY1485" t="str">
        <f>IFERROR(BX1485/BO1485,"")</f>
        <v/>
      </c>
      <c r="BZ1485">
        <v>0</v>
      </c>
      <c r="CA1485">
        <v>0</v>
      </c>
      <c r="CB1485">
        <v>0</v>
      </c>
      <c r="CC1485">
        <v>1</v>
      </c>
      <c r="CD1485">
        <v>0</v>
      </c>
      <c r="CE1485">
        <v>0</v>
      </c>
      <c r="CF1485">
        <v>0</v>
      </c>
      <c r="CG1485">
        <v>0</v>
      </c>
      <c r="CH1485">
        <v>0</v>
      </c>
      <c r="CI1485">
        <v>0</v>
      </c>
      <c r="CJ1485">
        <v>0</v>
      </c>
      <c r="CK1485">
        <v>0</v>
      </c>
      <c r="CL1485">
        <v>0</v>
      </c>
      <c r="CM1485">
        <v>0</v>
      </c>
      <c r="CN1485" t="str">
        <f>IF(BL1485&lt;BK1485,"refNeedCorrection","refOK")</f>
        <v>refOK</v>
      </c>
      <c r="CO1485"/>
      <c r="CP1485"/>
      <c r="CQ1485"/>
      <c r="CR1485">
        <f>IF($CN1485="refOK",$BS1485,$BT1485)*IF($BP1485="Emissions positive",-1,1)</f>
        <v>-150</v>
      </c>
      <c r="CS1485">
        <f>IF($CN1485="refOK",$BT1485,$BS1485)*IF($BP1485="Emissions positive",-1,1)</f>
        <v>-87</v>
      </c>
      <c r="CT1485">
        <f>IF($CN1485="refNeedCorrection",-BX1485,BX1485)*IF($BP1485="Emissions positive",-1,1)</f>
        <v>63000</v>
      </c>
      <c r="CU1485" t="str">
        <f>IFERROR(CT1485/CQ1485,"")</f>
        <v/>
      </c>
      <c r="CV1485" s="2">
        <f>IFERROR((CS1485-CR1485)/ABS(CR1485),"")</f>
        <v>0.42</v>
      </c>
      <c r="CW1485" s="1" t="s">
        <v>1199</v>
      </c>
      <c r="CX1485" s="312" t="str">
        <f>IF(OR($CW1485="prd",$CW1485="std",$CW1485="cit"),"loc",IF(OR($CW1485="eur",$CW1485="reg",$CW1485="coy"),"reg",$CW1485))</f>
        <v>reg</v>
      </c>
      <c r="CY1485" t="s">
        <v>235</v>
      </c>
      <c r="CZ1485">
        <v>2011</v>
      </c>
      <c r="DA1485">
        <v>2090</v>
      </c>
      <c r="DB1485">
        <v>80</v>
      </c>
      <c r="DC1485" t="str">
        <f>IF(DB1485=0,"0",IF(AND(DB1485&gt;=1,DB1485&lt;=30),"1-30",IF(AND(DB1485&gt;30,DB1485&lt;=70),"31-70",IF(AND(DB1485&gt;70,DB1485&lt;=100),"71-100",IF(DB1485&gt;100,"+100")))))</f>
        <v>71-100</v>
      </c>
      <c r="DD1485">
        <v>0</v>
      </c>
      <c r="DE1485">
        <v>1</v>
      </c>
      <c r="DF1485">
        <v>1</v>
      </c>
      <c r="DG1485">
        <v>1</v>
      </c>
      <c r="DI1485">
        <f>SUM(DD1485:DG1485)</f>
        <v>3</v>
      </c>
      <c r="DJ1485" t="str">
        <f>IF(DI1485=1,INDEX($DD$7:$DG$7,MATCH(1,$DD1485:$DG1485,0)),"mixedProduct")</f>
        <v>mixedProduct</v>
      </c>
      <c r="DK1485">
        <f>IF(DD1485=1,DK$7,0)</f>
        <v>0</v>
      </c>
      <c r="DL1485" t="str">
        <f>IF(DE1485=1,DL$7,0)</f>
        <v>Energy</v>
      </c>
      <c r="DM1485" t="str">
        <f>IF(DF1485=1,DM$7,0)</f>
        <v>Pulp/Paper</v>
      </c>
      <c r="DN1485" t="str">
        <f>IF(DG1485=1,DN$7,0)</f>
        <v>Timber</v>
      </c>
      <c r="DO1485">
        <v>1</v>
      </c>
      <c r="DP1485">
        <v>0</v>
      </c>
      <c r="DQ1485">
        <v>0</v>
      </c>
      <c r="DR1485">
        <v>0</v>
      </c>
      <c r="DS1485">
        <v>0</v>
      </c>
      <c r="DT1485">
        <f>SUM(DO1485:DP1485)</f>
        <v>1</v>
      </c>
      <c r="DU1485" s="143" t="str">
        <f>IF(DO1485=1,"self-calculated DF",IF(DP1485=1,"external DF used","explicit C balance"))</f>
        <v>self-calculated DF</v>
      </c>
      <c r="DV1485">
        <v>1</v>
      </c>
      <c r="DW1485">
        <v>1</v>
      </c>
      <c r="DX1485">
        <v>1</v>
      </c>
      <c r="DY1485">
        <v>0</v>
      </c>
      <c r="DZ1485">
        <v>0</v>
      </c>
      <c r="EA1485" s="143">
        <v>0</v>
      </c>
      <c r="EB1485">
        <v>1</v>
      </c>
      <c r="EC1485">
        <v>1</v>
      </c>
      <c r="ED1485">
        <v>0</v>
      </c>
      <c r="EE1485">
        <v>1</v>
      </c>
      <c r="EF1485">
        <v>1</v>
      </c>
      <c r="EG1485">
        <v>1</v>
      </c>
      <c r="EH1485">
        <v>0</v>
      </c>
      <c r="EI1485" s="2">
        <v>0</v>
      </c>
      <c r="EK1485" t="str">
        <f>IF(AND(AND(AND(OR($DX1485=1,$DW1485=1),OR($EC1485=1,$EA1485=1)),SUM($DV1485:$DZ1485,$EF1485)&gt;=3),SUM($EA1485:$EE1485)&gt;=2),"Whole sector","")</f>
        <v>Whole sector</v>
      </c>
      <c r="EL1485" t="str">
        <f>IF(AND(AND(OR($DX1485=1,$DW1485=1),AND($EC1485=0,$EA1485=0)),SUM($DV1485:$DZ1485,$EF1485)&gt;=3),"Ecosystem approach","")</f>
        <v/>
      </c>
      <c r="EM1485" s="2" t="str">
        <f>IF(AND(AND(AND($DX1485=0,$DW1485=0),OR($EC1485=1,$EA1485=1)),SUM($EB1485:$EE1485)&gt;=2),"Technology approach","")</f>
        <v/>
      </c>
      <c r="EP1485" t="b">
        <f>IF(ISNUMBER(BU1485),IF(ABS(BU1485-[5]QC_indicators!$B$2)&gt;3*[5]QC_indicators!$C$2,"C ratio",IF(ISNUMBER(BY1485),IF(ABS(BY1485-[5]QC_indicators!$B$1)&gt;3*[5]QC_indicators!$C$1,"DF","no"))),IF(ISNUMBER(BY1485),IF(ABS(BY1485-[5]QC_indicators!$B$1)&gt;3*[5]QC_indicators!$C$1,"DF","no")))</f>
        <v>0</v>
      </c>
      <c r="ER1485" s="314" t="s">
        <v>349</v>
      </c>
    </row>
    <row r="1486" spans="1:148" ht="18" customHeight="1">
      <c r="A1486" s="1" t="s">
        <v>1102</v>
      </c>
      <c r="B1486" t="s">
        <v>4089</v>
      </c>
      <c r="C1486" t="s">
        <v>4090</v>
      </c>
      <c r="D1486" t="s">
        <v>4091</v>
      </c>
      <c r="E1486" t="s">
        <v>4092</v>
      </c>
      <c r="F1486" t="s">
        <v>4093</v>
      </c>
      <c r="G1486" t="s">
        <v>1108</v>
      </c>
      <c r="H1486" t="s">
        <v>254</v>
      </c>
      <c r="I1486">
        <v>2011</v>
      </c>
      <c r="J1486">
        <v>57</v>
      </c>
      <c r="K1486" t="s">
        <v>4094</v>
      </c>
      <c r="M1486" t="str">
        <f>LEFT($D1486,FIND(",",$D1486)-1)&amp;"_"&amp;I1486&amp;L1486</f>
        <v>Routa_2011</v>
      </c>
      <c r="N1486" s="312" t="s">
        <v>4383</v>
      </c>
      <c r="O1486" s="145" t="s">
        <v>341</v>
      </c>
      <c r="Q1486" s="312" t="s">
        <v>256</v>
      </c>
      <c r="R1486" s="313"/>
      <c r="S1486" s="1" t="s">
        <v>4101</v>
      </c>
      <c r="T1486" t="s">
        <v>1111</v>
      </c>
      <c r="U1486" t="e">
        <f>#REF!</f>
        <v>#REF!</v>
      </c>
      <c r="V1486">
        <v>0</v>
      </c>
      <c r="W1486">
        <v>0</v>
      </c>
      <c r="X1486">
        <v>0</v>
      </c>
      <c r="Y1486">
        <v>0</v>
      </c>
      <c r="Z1486">
        <v>0</v>
      </c>
      <c r="AA1486">
        <v>2</v>
      </c>
      <c r="AB1486">
        <v>1</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s="141">
        <f>COUNTIF(V1486:AW1486,"&lt;&gt;0")</f>
        <v>2</v>
      </c>
      <c r="AY1486" s="141">
        <f>COUNTIF(V1486:AL1486,"&lt;&gt;0")</f>
        <v>2</v>
      </c>
      <c r="AZ1486">
        <f>COUNTIF(V1486:AC1486,"&lt;&gt;0")</f>
        <v>2</v>
      </c>
      <c r="BA1486">
        <f>COUNTIF(AD1486:AI1486,"&lt;&gt;0")</f>
        <v>0</v>
      </c>
      <c r="BB1486">
        <f>COUNTIF(AJ1486:AL1486,"&lt;&gt;0")</f>
        <v>0</v>
      </c>
      <c r="BC1486">
        <f>COUNTIF(AS1486:AW1486,"&lt;&gt;0")</f>
        <v>0</v>
      </c>
      <c r="BD1486">
        <f>COUNTIF(AM1486:AR1486,"&lt;&gt;0")</f>
        <v>0</v>
      </c>
      <c r="BE1486" t="str" cm="1">
        <f t="array" ref="BE1486">IF(AY1486=1,INDEX($V$7:$AL$7,MATCH(TRUE,INDEX($V1486:$AW1486&lt;&gt;0,),0)),IF(AY1486=0,INDEX($AM$7:$AW$7,MATCH(1,$AM1486:$AW1486,0)),IF(BF1486="Multiple strategies","mixed drivers",IF(BF1486="Supply chain","multiple supply","multiple silviculture"))))</f>
        <v>multiple silviculture</v>
      </c>
      <c r="BF1486" s="2" t="str" cm="1">
        <f t="array" ref="BF1486">IF(COUNTIF(AZ1486:BB1486,"&lt;&gt;0")=1,INDEX($V$4:$AW$4,MATCH(TRUE,INDEX($V1486:$AW1486&lt;&gt;0,),0)),IF(COUNTIF(AZ1486:BB1486,"&lt;&gt;0")=0,INDEX($AM$4:$AW$4,MATCH(1,$AM1486:$AW1486,0)),"Multiple strategies"))</f>
        <v>Silviculture for productivity</v>
      </c>
      <c r="BP1486" s="312" t="s">
        <v>232</v>
      </c>
      <c r="BQ1486" s="312"/>
      <c r="BR1486" t="s">
        <v>2170</v>
      </c>
      <c r="BS1486">
        <v>-150</v>
      </c>
      <c r="BT1486">
        <v>-88</v>
      </c>
      <c r="BU1486" s="144">
        <v>0.58666666666666667</v>
      </c>
      <c r="BV1486">
        <v>62</v>
      </c>
      <c r="BX1486">
        <f>BV1486*10^3</f>
        <v>62000</v>
      </c>
      <c r="BY1486" t="str">
        <f>IFERROR(BX1486/BO1486,"")</f>
        <v/>
      </c>
      <c r="BZ1486">
        <v>0</v>
      </c>
      <c r="CA1486">
        <v>0</v>
      </c>
      <c r="CB1486">
        <v>0</v>
      </c>
      <c r="CC1486">
        <v>1</v>
      </c>
      <c r="CD1486">
        <v>0</v>
      </c>
      <c r="CE1486">
        <v>0</v>
      </c>
      <c r="CF1486">
        <v>0</v>
      </c>
      <c r="CG1486">
        <v>0</v>
      </c>
      <c r="CH1486">
        <v>0</v>
      </c>
      <c r="CI1486">
        <v>0</v>
      </c>
      <c r="CJ1486">
        <v>0</v>
      </c>
      <c r="CK1486">
        <v>0</v>
      </c>
      <c r="CL1486">
        <v>0</v>
      </c>
      <c r="CM1486">
        <v>0</v>
      </c>
      <c r="CN1486" t="str">
        <f>IF(BL1486&lt;BK1486,"refNeedCorrection","refOK")</f>
        <v>refOK</v>
      </c>
      <c r="CO1486"/>
      <c r="CP1486"/>
      <c r="CQ1486"/>
      <c r="CR1486">
        <f>IF($CN1486="refOK",$BS1486,$BT1486)*IF($BP1486="Emissions positive",-1,1)</f>
        <v>-150</v>
      </c>
      <c r="CS1486">
        <f>IF($CN1486="refOK",$BT1486,$BS1486)*IF($BP1486="Emissions positive",-1,1)</f>
        <v>-88</v>
      </c>
      <c r="CT1486">
        <f>IF($CN1486="refNeedCorrection",-BX1486,BX1486)*IF($BP1486="Emissions positive",-1,1)</f>
        <v>62000</v>
      </c>
      <c r="CU1486" t="str">
        <f>IFERROR(CT1486/CQ1486,"")</f>
        <v/>
      </c>
      <c r="CV1486" s="2">
        <f>IFERROR((CS1486-CR1486)/ABS(CR1486),"")</f>
        <v>0.41333333333333333</v>
      </c>
      <c r="CW1486" s="1" t="s">
        <v>1199</v>
      </c>
      <c r="CX1486" s="312" t="str">
        <f>IF(OR($CW1486="prd",$CW1486="std",$CW1486="cit"),"loc",IF(OR($CW1486="eur",$CW1486="reg",$CW1486="coy"),"reg",$CW1486))</f>
        <v>reg</v>
      </c>
      <c r="CY1486" t="s">
        <v>235</v>
      </c>
      <c r="CZ1486">
        <v>2011</v>
      </c>
      <c r="DA1486">
        <v>2090</v>
      </c>
      <c r="DB1486">
        <v>80</v>
      </c>
      <c r="DC1486" t="str">
        <f>IF(DB1486=0,"0",IF(AND(DB1486&gt;=1,DB1486&lt;=30),"1-30",IF(AND(DB1486&gt;30,DB1486&lt;=70),"31-70",IF(AND(DB1486&gt;70,DB1486&lt;=100),"71-100",IF(DB1486&gt;100,"+100")))))</f>
        <v>71-100</v>
      </c>
      <c r="DD1486">
        <v>0</v>
      </c>
      <c r="DE1486">
        <v>1</v>
      </c>
      <c r="DF1486">
        <v>1</v>
      </c>
      <c r="DG1486">
        <v>1</v>
      </c>
      <c r="DI1486">
        <f>SUM(DD1486:DG1486)</f>
        <v>3</v>
      </c>
      <c r="DJ1486" t="str">
        <f>IF(DI1486=1,INDEX($DD$7:$DG$7,MATCH(1,$DD1486:$DG1486,0)),"mixedProduct")</f>
        <v>mixedProduct</v>
      </c>
      <c r="DK1486">
        <f>IF(DD1486=1,DK$7,0)</f>
        <v>0</v>
      </c>
      <c r="DL1486" t="str">
        <f>IF(DE1486=1,DL$7,0)</f>
        <v>Energy</v>
      </c>
      <c r="DM1486" t="str">
        <f>IF(DF1486=1,DM$7,0)</f>
        <v>Pulp/Paper</v>
      </c>
      <c r="DN1486" t="str">
        <f>IF(DG1486=1,DN$7,0)</f>
        <v>Timber</v>
      </c>
      <c r="DO1486">
        <v>1</v>
      </c>
      <c r="DP1486">
        <v>0</v>
      </c>
      <c r="DQ1486">
        <v>0</v>
      </c>
      <c r="DR1486">
        <v>0</v>
      </c>
      <c r="DS1486">
        <v>0</v>
      </c>
      <c r="DT1486">
        <f>SUM(DO1486:DP1486)</f>
        <v>1</v>
      </c>
      <c r="DU1486" s="143" t="str">
        <f>IF(DO1486=1,"self-calculated DF",IF(DP1486=1,"external DF used","explicit C balance"))</f>
        <v>self-calculated DF</v>
      </c>
      <c r="DV1486">
        <v>1</v>
      </c>
      <c r="DW1486">
        <v>1</v>
      </c>
      <c r="DX1486">
        <v>1</v>
      </c>
      <c r="DY1486">
        <v>0</v>
      </c>
      <c r="DZ1486">
        <v>0</v>
      </c>
      <c r="EA1486" s="143">
        <v>0</v>
      </c>
      <c r="EB1486">
        <v>1</v>
      </c>
      <c r="EC1486">
        <v>1</v>
      </c>
      <c r="ED1486">
        <v>0</v>
      </c>
      <c r="EE1486">
        <v>1</v>
      </c>
      <c r="EF1486">
        <v>1</v>
      </c>
      <c r="EG1486">
        <v>1</v>
      </c>
      <c r="EH1486">
        <v>0</v>
      </c>
      <c r="EI1486" s="2">
        <v>0</v>
      </c>
      <c r="EK1486" t="str">
        <f>IF(AND(AND(AND(OR($DX1486=1,$DW1486=1),OR($EC1486=1,$EA1486=1)),SUM($DV1486:$DZ1486,$EF1486)&gt;=3),SUM($EA1486:$EE1486)&gt;=2),"Whole sector","")</f>
        <v>Whole sector</v>
      </c>
      <c r="EL1486" t="str">
        <f>IF(AND(AND(OR($DX1486=1,$DW1486=1),AND($EC1486=0,$EA1486=0)),SUM($DV1486:$DZ1486,$EF1486)&gt;=3),"Ecosystem approach","")</f>
        <v/>
      </c>
      <c r="EM1486" s="2" t="str">
        <f>IF(AND(AND(AND($DX1486=0,$DW1486=0),OR($EC1486=1,$EA1486=1)),SUM($EB1486:$EE1486)&gt;=2),"Technology approach","")</f>
        <v/>
      </c>
      <c r="EP1486" t="b">
        <f>IF(ISNUMBER(BU1486),IF(ABS(BU1486-[5]QC_indicators!$B$2)&gt;3*[5]QC_indicators!$C$2,"C ratio",IF(ISNUMBER(BY1486),IF(ABS(BY1486-[5]QC_indicators!$B$1)&gt;3*[5]QC_indicators!$C$1,"DF","no"))),IF(ISNUMBER(BY1486),IF(ABS(BY1486-[5]QC_indicators!$B$1)&gt;3*[5]QC_indicators!$C$1,"DF","no")))</f>
        <v>0</v>
      </c>
      <c r="ER1486" s="314" t="s">
        <v>349</v>
      </c>
    </row>
    <row r="1487" spans="1:148" ht="18" customHeight="1">
      <c r="A1487" s="1" t="s">
        <v>1102</v>
      </c>
      <c r="B1487" t="s">
        <v>4089</v>
      </c>
      <c r="C1487" t="s">
        <v>4090</v>
      </c>
      <c r="D1487" t="s">
        <v>4091</v>
      </c>
      <c r="E1487" t="s">
        <v>4092</v>
      </c>
      <c r="F1487" t="s">
        <v>4093</v>
      </c>
      <c r="G1487" t="s">
        <v>1108</v>
      </c>
      <c r="H1487" t="s">
        <v>254</v>
      </c>
      <c r="I1487">
        <v>2011</v>
      </c>
      <c r="J1487">
        <v>57</v>
      </c>
      <c r="K1487" t="s">
        <v>4094</v>
      </c>
      <c r="M1487" t="str">
        <f>LEFT($D1487,FIND(",",$D1487)-1)&amp;"_"&amp;I1487&amp;L1487</f>
        <v>Routa_2011</v>
      </c>
      <c r="N1487" s="312" t="s">
        <v>4383</v>
      </c>
      <c r="O1487" s="145" t="s">
        <v>341</v>
      </c>
      <c r="Q1487" s="312" t="s">
        <v>256</v>
      </c>
      <c r="R1487" s="313"/>
      <c r="S1487" s="1" t="s">
        <v>4102</v>
      </c>
      <c r="T1487" t="s">
        <v>1111</v>
      </c>
      <c r="U1487" t="e">
        <f>#REF!</f>
        <v>#REF!</v>
      </c>
      <c r="V1487">
        <v>0</v>
      </c>
      <c r="W1487">
        <v>0</v>
      </c>
      <c r="X1487">
        <v>0</v>
      </c>
      <c r="Y1487">
        <v>0</v>
      </c>
      <c r="Z1487">
        <v>0</v>
      </c>
      <c r="AA1487">
        <v>2</v>
      </c>
      <c r="AB1487">
        <v>1</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s="141">
        <f>COUNTIF(V1487:AW1487,"&lt;&gt;0")</f>
        <v>2</v>
      </c>
      <c r="AY1487" s="141">
        <f>COUNTIF(V1487:AL1487,"&lt;&gt;0")</f>
        <v>2</v>
      </c>
      <c r="AZ1487">
        <f>COUNTIF(V1487:AC1487,"&lt;&gt;0")</f>
        <v>2</v>
      </c>
      <c r="BA1487">
        <f>COUNTIF(AD1487:AI1487,"&lt;&gt;0")</f>
        <v>0</v>
      </c>
      <c r="BB1487">
        <f>COUNTIF(AJ1487:AL1487,"&lt;&gt;0")</f>
        <v>0</v>
      </c>
      <c r="BC1487">
        <f>COUNTIF(AS1487:AW1487,"&lt;&gt;0")</f>
        <v>0</v>
      </c>
      <c r="BD1487">
        <f>COUNTIF(AM1487:AR1487,"&lt;&gt;0")</f>
        <v>0</v>
      </c>
      <c r="BE1487" t="str" cm="1">
        <f t="array" ref="BE1487">IF(AY1487=1,INDEX($V$7:$AL$7,MATCH(TRUE,INDEX($V1487:$AW1487&lt;&gt;0,),0)),IF(AY1487=0,INDEX($AM$7:$AW$7,MATCH(1,$AM1487:$AW1487,0)),IF(BF1487="Multiple strategies","mixed drivers",IF(BF1487="Supply chain","multiple supply","multiple silviculture"))))</f>
        <v>multiple silviculture</v>
      </c>
      <c r="BF1487" s="2" t="str" cm="1">
        <f t="array" ref="BF1487">IF(COUNTIF(AZ1487:BB1487,"&lt;&gt;0")=1,INDEX($V$4:$AW$4,MATCH(TRUE,INDEX($V1487:$AW1487&lt;&gt;0,),0)),IF(COUNTIF(AZ1487:BB1487,"&lt;&gt;0")=0,INDEX($AM$4:$AW$4,MATCH(1,$AM1487:$AW1487,0)),"Multiple strategies"))</f>
        <v>Silviculture for productivity</v>
      </c>
      <c r="BP1487" s="312" t="s">
        <v>232</v>
      </c>
      <c r="BQ1487" s="312"/>
      <c r="BR1487" t="s">
        <v>2170</v>
      </c>
      <c r="BS1487">
        <v>-150</v>
      </c>
      <c r="BT1487">
        <v>-88</v>
      </c>
      <c r="BU1487" s="144">
        <v>0.58666666666666667</v>
      </c>
      <c r="BV1487">
        <v>62</v>
      </c>
      <c r="BX1487">
        <f>BV1487*10^3</f>
        <v>62000</v>
      </c>
      <c r="BY1487" t="str">
        <f>IFERROR(BX1487/BO1487,"")</f>
        <v/>
      </c>
      <c r="BZ1487">
        <v>0</v>
      </c>
      <c r="CA1487">
        <v>0</v>
      </c>
      <c r="CB1487">
        <v>0</v>
      </c>
      <c r="CC1487">
        <v>1</v>
      </c>
      <c r="CD1487">
        <v>0</v>
      </c>
      <c r="CE1487">
        <v>0</v>
      </c>
      <c r="CF1487">
        <v>0</v>
      </c>
      <c r="CG1487">
        <v>0</v>
      </c>
      <c r="CH1487">
        <v>0</v>
      </c>
      <c r="CI1487">
        <v>0</v>
      </c>
      <c r="CJ1487">
        <v>0</v>
      </c>
      <c r="CK1487">
        <v>0</v>
      </c>
      <c r="CL1487">
        <v>0</v>
      </c>
      <c r="CM1487">
        <v>0</v>
      </c>
      <c r="CN1487" t="str">
        <f>IF(BL1487&lt;BK1487,"refNeedCorrection","refOK")</f>
        <v>refOK</v>
      </c>
      <c r="CO1487"/>
      <c r="CP1487"/>
      <c r="CQ1487"/>
      <c r="CR1487">
        <f>IF($CN1487="refOK",$BS1487,$BT1487)*IF($BP1487="Emissions positive",-1,1)</f>
        <v>-150</v>
      </c>
      <c r="CS1487">
        <f>IF($CN1487="refOK",$BT1487,$BS1487)*IF($BP1487="Emissions positive",-1,1)</f>
        <v>-88</v>
      </c>
      <c r="CT1487">
        <f>IF($CN1487="refNeedCorrection",-BX1487,BX1487)*IF($BP1487="Emissions positive",-1,1)</f>
        <v>62000</v>
      </c>
      <c r="CU1487" t="str">
        <f>IFERROR(CT1487/CQ1487,"")</f>
        <v/>
      </c>
      <c r="CV1487" s="2">
        <f>IFERROR((CS1487-CR1487)/ABS(CR1487),"")</f>
        <v>0.41333333333333333</v>
      </c>
      <c r="CW1487" s="1" t="s">
        <v>1199</v>
      </c>
      <c r="CX1487" s="312" t="str">
        <f>IF(OR($CW1487="prd",$CW1487="std",$CW1487="cit"),"loc",IF(OR($CW1487="eur",$CW1487="reg",$CW1487="coy"),"reg",$CW1487))</f>
        <v>reg</v>
      </c>
      <c r="CY1487" t="s">
        <v>235</v>
      </c>
      <c r="CZ1487">
        <v>2011</v>
      </c>
      <c r="DA1487">
        <v>2090</v>
      </c>
      <c r="DB1487">
        <v>80</v>
      </c>
      <c r="DC1487" t="str">
        <f>IF(DB1487=0,"0",IF(AND(DB1487&gt;=1,DB1487&lt;=30),"1-30",IF(AND(DB1487&gt;30,DB1487&lt;=70),"31-70",IF(AND(DB1487&gt;70,DB1487&lt;=100),"71-100",IF(DB1487&gt;100,"+100")))))</f>
        <v>71-100</v>
      </c>
      <c r="DD1487">
        <v>0</v>
      </c>
      <c r="DE1487">
        <v>1</v>
      </c>
      <c r="DF1487">
        <v>1</v>
      </c>
      <c r="DG1487">
        <v>1</v>
      </c>
      <c r="DI1487">
        <f>SUM(DD1487:DG1487)</f>
        <v>3</v>
      </c>
      <c r="DJ1487" t="str">
        <f>IF(DI1487=1,INDEX($DD$7:$DG$7,MATCH(1,$DD1487:$DG1487,0)),"mixedProduct")</f>
        <v>mixedProduct</v>
      </c>
      <c r="DK1487">
        <f>IF(DD1487=1,DK$7,0)</f>
        <v>0</v>
      </c>
      <c r="DL1487" t="str">
        <f>IF(DE1487=1,DL$7,0)</f>
        <v>Energy</v>
      </c>
      <c r="DM1487" t="str">
        <f>IF(DF1487=1,DM$7,0)</f>
        <v>Pulp/Paper</v>
      </c>
      <c r="DN1487" t="str">
        <f>IF(DG1487=1,DN$7,0)</f>
        <v>Timber</v>
      </c>
      <c r="DO1487">
        <v>1</v>
      </c>
      <c r="DP1487">
        <v>0</v>
      </c>
      <c r="DQ1487">
        <v>0</v>
      </c>
      <c r="DR1487">
        <v>0</v>
      </c>
      <c r="DS1487">
        <v>0</v>
      </c>
      <c r="DT1487">
        <f>SUM(DO1487:DP1487)</f>
        <v>1</v>
      </c>
      <c r="DU1487" s="143" t="str">
        <f>IF(DO1487=1,"self-calculated DF",IF(DP1487=1,"external DF used","explicit C balance"))</f>
        <v>self-calculated DF</v>
      </c>
      <c r="DV1487">
        <v>1</v>
      </c>
      <c r="DW1487">
        <v>1</v>
      </c>
      <c r="DX1487">
        <v>1</v>
      </c>
      <c r="DY1487">
        <v>0</v>
      </c>
      <c r="DZ1487">
        <v>0</v>
      </c>
      <c r="EA1487" s="143">
        <v>0</v>
      </c>
      <c r="EB1487">
        <v>1</v>
      </c>
      <c r="EC1487">
        <v>1</v>
      </c>
      <c r="ED1487">
        <v>0</v>
      </c>
      <c r="EE1487">
        <v>1</v>
      </c>
      <c r="EF1487">
        <v>1</v>
      </c>
      <c r="EG1487">
        <v>1</v>
      </c>
      <c r="EH1487">
        <v>0</v>
      </c>
      <c r="EI1487" s="2">
        <v>0</v>
      </c>
      <c r="EK1487" t="str">
        <f>IF(AND(AND(AND(OR($DX1487=1,$DW1487=1),OR($EC1487=1,$EA1487=1)),SUM($DV1487:$DZ1487,$EF1487)&gt;=3),SUM($EA1487:$EE1487)&gt;=2),"Whole sector","")</f>
        <v>Whole sector</v>
      </c>
      <c r="EL1487" t="str">
        <f>IF(AND(AND(OR($DX1487=1,$DW1487=1),AND($EC1487=0,$EA1487=0)),SUM($DV1487:$DZ1487,$EF1487)&gt;=3),"Ecosystem approach","")</f>
        <v/>
      </c>
      <c r="EM1487" s="2" t="str">
        <f>IF(AND(AND(AND($DX1487=0,$DW1487=0),OR($EC1487=1,$EA1487=1)),SUM($EB1487:$EE1487)&gt;=2),"Technology approach","")</f>
        <v/>
      </c>
      <c r="EP1487" t="b">
        <f>IF(ISNUMBER(BU1487),IF(ABS(BU1487-[5]QC_indicators!$B$2)&gt;3*[5]QC_indicators!$C$2,"C ratio",IF(ISNUMBER(BY1487),IF(ABS(BY1487-[5]QC_indicators!$B$1)&gt;3*[5]QC_indicators!$C$1,"DF","no"))),IF(ISNUMBER(BY1487),IF(ABS(BY1487-[5]QC_indicators!$B$1)&gt;3*[5]QC_indicators!$C$1,"DF","no")))</f>
        <v>0</v>
      </c>
      <c r="ER1487" s="314" t="s">
        <v>349</v>
      </c>
    </row>
    <row r="1488" spans="1:148" ht="18" customHeight="1">
      <c r="A1488" s="1" t="s">
        <v>1102</v>
      </c>
      <c r="B1488" t="s">
        <v>4089</v>
      </c>
      <c r="C1488" t="s">
        <v>4090</v>
      </c>
      <c r="D1488" t="s">
        <v>4091</v>
      </c>
      <c r="E1488" t="s">
        <v>4092</v>
      </c>
      <c r="F1488" t="s">
        <v>4093</v>
      </c>
      <c r="G1488" t="s">
        <v>1108</v>
      </c>
      <c r="H1488" t="s">
        <v>254</v>
      </c>
      <c r="I1488">
        <v>2011</v>
      </c>
      <c r="J1488">
        <v>57</v>
      </c>
      <c r="K1488" t="s">
        <v>4094</v>
      </c>
      <c r="M1488" t="str">
        <f>LEFT($D1488,FIND(",",$D1488)-1)&amp;"_"&amp;I1488&amp;L1488</f>
        <v>Routa_2011</v>
      </c>
      <c r="N1488" s="312" t="s">
        <v>4383</v>
      </c>
      <c r="O1488" s="145" t="s">
        <v>341</v>
      </c>
      <c r="Q1488" s="312" t="s">
        <v>256</v>
      </c>
      <c r="R1488" s="313"/>
      <c r="S1488" s="1" t="s">
        <v>4103</v>
      </c>
      <c r="T1488" t="s">
        <v>1111</v>
      </c>
      <c r="U1488" t="e">
        <f>#REF!</f>
        <v>#REF!</v>
      </c>
      <c r="V1488">
        <v>0</v>
      </c>
      <c r="W1488">
        <v>0</v>
      </c>
      <c r="X1488">
        <v>0</v>
      </c>
      <c r="Y1488">
        <v>0</v>
      </c>
      <c r="Z1488">
        <v>0</v>
      </c>
      <c r="AA1488">
        <v>2</v>
      </c>
      <c r="AB1488">
        <v>1</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s="141">
        <f>COUNTIF(V1488:AW1488,"&lt;&gt;0")</f>
        <v>2</v>
      </c>
      <c r="AY1488" s="141">
        <f>COUNTIF(V1488:AL1488,"&lt;&gt;0")</f>
        <v>2</v>
      </c>
      <c r="AZ1488">
        <f>COUNTIF(V1488:AC1488,"&lt;&gt;0")</f>
        <v>2</v>
      </c>
      <c r="BA1488">
        <f>COUNTIF(AD1488:AI1488,"&lt;&gt;0")</f>
        <v>0</v>
      </c>
      <c r="BB1488">
        <f>COUNTIF(AJ1488:AL1488,"&lt;&gt;0")</f>
        <v>0</v>
      </c>
      <c r="BC1488">
        <f>COUNTIF(AS1488:AW1488,"&lt;&gt;0")</f>
        <v>0</v>
      </c>
      <c r="BD1488">
        <f>COUNTIF(AM1488:AR1488,"&lt;&gt;0")</f>
        <v>0</v>
      </c>
      <c r="BE1488" t="str" cm="1">
        <f t="array" ref="BE1488">IF(AY1488=1,INDEX($V$7:$AL$7,MATCH(TRUE,INDEX($V1488:$AW1488&lt;&gt;0,),0)),IF(AY1488=0,INDEX($AM$7:$AW$7,MATCH(1,$AM1488:$AW1488,0)),IF(BF1488="Multiple strategies","mixed drivers",IF(BF1488="Supply chain","multiple supply","multiple silviculture"))))</f>
        <v>multiple silviculture</v>
      </c>
      <c r="BF1488" s="2" t="str" cm="1">
        <f t="array" ref="BF1488">IF(COUNTIF(AZ1488:BB1488,"&lt;&gt;0")=1,INDEX($V$4:$AW$4,MATCH(TRUE,INDEX($V1488:$AW1488&lt;&gt;0,),0)),IF(COUNTIF(AZ1488:BB1488,"&lt;&gt;0")=0,INDEX($AM$4:$AW$4,MATCH(1,$AM1488:$AW1488,0)),"Multiple strategies"))</f>
        <v>Silviculture for productivity</v>
      </c>
      <c r="BP1488" s="312" t="s">
        <v>232</v>
      </c>
      <c r="BQ1488" s="312"/>
      <c r="BR1488" t="s">
        <v>2170</v>
      </c>
      <c r="BS1488">
        <v>-200</v>
      </c>
      <c r="BT1488">
        <v>-120</v>
      </c>
      <c r="BU1488" s="144">
        <v>0.6</v>
      </c>
      <c r="BV1488">
        <v>80</v>
      </c>
      <c r="BX1488">
        <f>BV1488*10^3</f>
        <v>80000</v>
      </c>
      <c r="BY1488" t="str">
        <f>IFERROR(BX1488/BO1488,"")</f>
        <v/>
      </c>
      <c r="BZ1488">
        <v>0</v>
      </c>
      <c r="CA1488">
        <v>0</v>
      </c>
      <c r="CB1488">
        <v>0</v>
      </c>
      <c r="CC1488">
        <v>1</v>
      </c>
      <c r="CD1488">
        <v>0</v>
      </c>
      <c r="CE1488">
        <v>0</v>
      </c>
      <c r="CF1488">
        <v>0</v>
      </c>
      <c r="CG1488">
        <v>0</v>
      </c>
      <c r="CH1488">
        <v>0</v>
      </c>
      <c r="CI1488">
        <v>0</v>
      </c>
      <c r="CJ1488">
        <v>0</v>
      </c>
      <c r="CK1488">
        <v>0</v>
      </c>
      <c r="CL1488">
        <v>0</v>
      </c>
      <c r="CM1488">
        <v>0</v>
      </c>
      <c r="CN1488" t="str">
        <f>IF(BL1488&lt;BK1488,"refNeedCorrection","refOK")</f>
        <v>refOK</v>
      </c>
      <c r="CO1488"/>
      <c r="CP1488"/>
      <c r="CQ1488"/>
      <c r="CR1488">
        <f>IF($CN1488="refOK",$BS1488,$BT1488)*IF($BP1488="Emissions positive",-1,1)</f>
        <v>-200</v>
      </c>
      <c r="CS1488">
        <f>IF($CN1488="refOK",$BT1488,$BS1488)*IF($BP1488="Emissions positive",-1,1)</f>
        <v>-120</v>
      </c>
      <c r="CT1488">
        <f>IF($CN1488="refNeedCorrection",-BX1488,BX1488)*IF($BP1488="Emissions positive",-1,1)</f>
        <v>80000</v>
      </c>
      <c r="CU1488" t="str">
        <f>IFERROR(CT1488/CQ1488,"")</f>
        <v/>
      </c>
      <c r="CV1488" s="2">
        <f>IFERROR((CS1488-CR1488)/ABS(CR1488),"")</f>
        <v>0.4</v>
      </c>
      <c r="CW1488" s="1" t="s">
        <v>1199</v>
      </c>
      <c r="CX1488" s="312" t="str">
        <f>IF(OR($CW1488="prd",$CW1488="std",$CW1488="cit"),"loc",IF(OR($CW1488="eur",$CW1488="reg",$CW1488="coy"),"reg",$CW1488))</f>
        <v>reg</v>
      </c>
      <c r="CY1488" t="s">
        <v>235</v>
      </c>
      <c r="CZ1488">
        <v>2011</v>
      </c>
      <c r="DA1488">
        <v>2090</v>
      </c>
      <c r="DB1488">
        <v>80</v>
      </c>
      <c r="DC1488" t="str">
        <f>IF(DB1488=0,"0",IF(AND(DB1488&gt;=1,DB1488&lt;=30),"1-30",IF(AND(DB1488&gt;30,DB1488&lt;=70),"31-70",IF(AND(DB1488&gt;70,DB1488&lt;=100),"71-100",IF(DB1488&gt;100,"+100")))))</f>
        <v>71-100</v>
      </c>
      <c r="DD1488">
        <v>0</v>
      </c>
      <c r="DE1488">
        <v>1</v>
      </c>
      <c r="DF1488">
        <v>1</v>
      </c>
      <c r="DG1488">
        <v>1</v>
      </c>
      <c r="DI1488">
        <f>SUM(DD1488:DG1488)</f>
        <v>3</v>
      </c>
      <c r="DJ1488" t="str">
        <f>IF(DI1488=1,INDEX($DD$7:$DG$7,MATCH(1,$DD1488:$DG1488,0)),"mixedProduct")</f>
        <v>mixedProduct</v>
      </c>
      <c r="DK1488">
        <f>IF(DD1488=1,DK$7,0)</f>
        <v>0</v>
      </c>
      <c r="DL1488" t="str">
        <f>IF(DE1488=1,DL$7,0)</f>
        <v>Energy</v>
      </c>
      <c r="DM1488" t="str">
        <f>IF(DF1488=1,DM$7,0)</f>
        <v>Pulp/Paper</v>
      </c>
      <c r="DN1488" t="str">
        <f>IF(DG1488=1,DN$7,0)</f>
        <v>Timber</v>
      </c>
      <c r="DO1488">
        <v>1</v>
      </c>
      <c r="DP1488">
        <v>0</v>
      </c>
      <c r="DQ1488">
        <v>0</v>
      </c>
      <c r="DR1488">
        <v>0</v>
      </c>
      <c r="DS1488">
        <v>0</v>
      </c>
      <c r="DT1488">
        <f>SUM(DO1488:DP1488)</f>
        <v>1</v>
      </c>
      <c r="DU1488" s="143" t="str">
        <f>IF(DO1488=1,"self-calculated DF",IF(DP1488=1,"external DF used","explicit C balance"))</f>
        <v>self-calculated DF</v>
      </c>
      <c r="DV1488">
        <v>1</v>
      </c>
      <c r="DW1488">
        <v>1</v>
      </c>
      <c r="DX1488">
        <v>1</v>
      </c>
      <c r="DY1488">
        <v>0</v>
      </c>
      <c r="DZ1488">
        <v>0</v>
      </c>
      <c r="EA1488" s="143">
        <v>0</v>
      </c>
      <c r="EB1488">
        <v>1</v>
      </c>
      <c r="EC1488">
        <v>1</v>
      </c>
      <c r="ED1488">
        <v>0</v>
      </c>
      <c r="EE1488">
        <v>1</v>
      </c>
      <c r="EF1488">
        <v>1</v>
      </c>
      <c r="EG1488">
        <v>1</v>
      </c>
      <c r="EH1488">
        <v>0</v>
      </c>
      <c r="EI1488" s="2">
        <v>0</v>
      </c>
      <c r="EK1488" t="str">
        <f>IF(AND(AND(AND(OR($DX1488=1,$DW1488=1),OR($EC1488=1,$EA1488=1)),SUM($DV1488:$DZ1488,$EF1488)&gt;=3),SUM($EA1488:$EE1488)&gt;=2),"Whole sector","")</f>
        <v>Whole sector</v>
      </c>
      <c r="EL1488" t="str">
        <f>IF(AND(AND(OR($DX1488=1,$DW1488=1),AND($EC1488=0,$EA1488=0)),SUM($DV1488:$DZ1488,$EF1488)&gt;=3),"Ecosystem approach","")</f>
        <v/>
      </c>
      <c r="EM1488" s="2" t="str">
        <f>IF(AND(AND(AND($DX1488=0,$DW1488=0),OR($EC1488=1,$EA1488=1)),SUM($EB1488:$EE1488)&gt;=2),"Technology approach","")</f>
        <v/>
      </c>
      <c r="EP1488" t="b">
        <f>IF(ISNUMBER(BU1488),IF(ABS(BU1488-[5]QC_indicators!$B$2)&gt;3*[5]QC_indicators!$C$2,"C ratio",IF(ISNUMBER(BY1488),IF(ABS(BY1488-[5]QC_indicators!$B$1)&gt;3*[5]QC_indicators!$C$1,"DF","no"))),IF(ISNUMBER(BY1488),IF(ABS(BY1488-[5]QC_indicators!$B$1)&gt;3*[5]QC_indicators!$C$1,"DF","no")))</f>
        <v>0</v>
      </c>
      <c r="ER1488" s="314" t="s">
        <v>349</v>
      </c>
    </row>
    <row r="1489" spans="1:148" ht="18" customHeight="1">
      <c r="A1489" s="1" t="s">
        <v>1102</v>
      </c>
      <c r="B1489" t="s">
        <v>4089</v>
      </c>
      <c r="C1489" t="s">
        <v>4090</v>
      </c>
      <c r="D1489" t="s">
        <v>4091</v>
      </c>
      <c r="E1489" t="s">
        <v>4092</v>
      </c>
      <c r="F1489" t="s">
        <v>4093</v>
      </c>
      <c r="G1489" t="s">
        <v>1108</v>
      </c>
      <c r="H1489" t="s">
        <v>254</v>
      </c>
      <c r="I1489">
        <v>2011</v>
      </c>
      <c r="J1489">
        <v>57</v>
      </c>
      <c r="K1489" t="s">
        <v>4094</v>
      </c>
      <c r="M1489" t="str">
        <f>LEFT($D1489,FIND(",",$D1489)-1)&amp;"_"&amp;I1489&amp;L1489</f>
        <v>Routa_2011</v>
      </c>
      <c r="N1489" s="312" t="s">
        <v>4383</v>
      </c>
      <c r="O1489" s="145" t="s">
        <v>341</v>
      </c>
      <c r="Q1489" s="312" t="s">
        <v>256</v>
      </c>
      <c r="R1489" s="313"/>
      <c r="S1489" s="1" t="s">
        <v>4104</v>
      </c>
      <c r="T1489" t="s">
        <v>1111</v>
      </c>
      <c r="U1489" t="e">
        <f>#REF!</f>
        <v>#REF!</v>
      </c>
      <c r="V1489">
        <v>0</v>
      </c>
      <c r="W1489">
        <v>0</v>
      </c>
      <c r="X1489">
        <v>0</v>
      </c>
      <c r="Y1489">
        <v>0</v>
      </c>
      <c r="Z1489">
        <v>0</v>
      </c>
      <c r="AA1489">
        <v>2</v>
      </c>
      <c r="AB1489">
        <v>1</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s="141">
        <f>COUNTIF(V1489:AW1489,"&lt;&gt;0")</f>
        <v>2</v>
      </c>
      <c r="AY1489" s="141">
        <f>COUNTIF(V1489:AL1489,"&lt;&gt;0")</f>
        <v>2</v>
      </c>
      <c r="AZ1489">
        <f>COUNTIF(V1489:AC1489,"&lt;&gt;0")</f>
        <v>2</v>
      </c>
      <c r="BA1489">
        <f>COUNTIF(AD1489:AI1489,"&lt;&gt;0")</f>
        <v>0</v>
      </c>
      <c r="BB1489">
        <f>COUNTIF(AJ1489:AL1489,"&lt;&gt;0")</f>
        <v>0</v>
      </c>
      <c r="BC1489">
        <f>COUNTIF(AS1489:AW1489,"&lt;&gt;0")</f>
        <v>0</v>
      </c>
      <c r="BD1489">
        <f>COUNTIF(AM1489:AR1489,"&lt;&gt;0")</f>
        <v>0</v>
      </c>
      <c r="BE1489" t="str" cm="1">
        <f t="array" ref="BE1489">IF(AY1489=1,INDEX($V$7:$AL$7,MATCH(TRUE,INDEX($V1489:$AW1489&lt;&gt;0,),0)),IF(AY1489=0,INDEX($AM$7:$AW$7,MATCH(1,$AM1489:$AW1489,0)),IF(BF1489="Multiple strategies","mixed drivers",IF(BF1489="Supply chain","multiple supply","multiple silviculture"))))</f>
        <v>multiple silviculture</v>
      </c>
      <c r="BF1489" s="2" t="str" cm="1">
        <f t="array" ref="BF1489">IF(COUNTIF(AZ1489:BB1489,"&lt;&gt;0")=1,INDEX($V$4:$AW$4,MATCH(TRUE,INDEX($V1489:$AW1489&lt;&gt;0,),0)),IF(COUNTIF(AZ1489:BB1489,"&lt;&gt;0")=0,INDEX($AM$4:$AW$4,MATCH(1,$AM1489:$AW1489,0)),"Multiple strategies"))</f>
        <v>Silviculture for productivity</v>
      </c>
      <c r="BP1489" s="312" t="s">
        <v>232</v>
      </c>
      <c r="BQ1489" s="312"/>
      <c r="BR1489" t="s">
        <v>2170</v>
      </c>
      <c r="BS1489">
        <v>-200</v>
      </c>
      <c r="BT1489">
        <v>-120</v>
      </c>
      <c r="BU1489" s="144">
        <v>0.6</v>
      </c>
      <c r="BV1489">
        <v>80</v>
      </c>
      <c r="BX1489">
        <f>BV1489*10^3</f>
        <v>80000</v>
      </c>
      <c r="BY1489" t="str">
        <f>IFERROR(BX1489/BO1489,"")</f>
        <v/>
      </c>
      <c r="BZ1489">
        <v>0</v>
      </c>
      <c r="CA1489">
        <v>0</v>
      </c>
      <c r="CB1489">
        <v>0</v>
      </c>
      <c r="CC1489">
        <v>1</v>
      </c>
      <c r="CD1489">
        <v>0</v>
      </c>
      <c r="CE1489">
        <v>0</v>
      </c>
      <c r="CF1489">
        <v>0</v>
      </c>
      <c r="CG1489">
        <v>0</v>
      </c>
      <c r="CH1489">
        <v>0</v>
      </c>
      <c r="CI1489">
        <v>0</v>
      </c>
      <c r="CJ1489">
        <v>0</v>
      </c>
      <c r="CK1489">
        <v>0</v>
      </c>
      <c r="CL1489">
        <v>0</v>
      </c>
      <c r="CM1489">
        <v>0</v>
      </c>
      <c r="CN1489" t="str">
        <f>IF(BL1489&lt;BK1489,"refNeedCorrection","refOK")</f>
        <v>refOK</v>
      </c>
      <c r="CO1489"/>
      <c r="CP1489"/>
      <c r="CQ1489"/>
      <c r="CR1489">
        <f>IF($CN1489="refOK",$BS1489,$BT1489)*IF($BP1489="Emissions positive",-1,1)</f>
        <v>-200</v>
      </c>
      <c r="CS1489">
        <f>IF($CN1489="refOK",$BT1489,$BS1489)*IF($BP1489="Emissions positive",-1,1)</f>
        <v>-120</v>
      </c>
      <c r="CT1489">
        <f>IF($CN1489="refNeedCorrection",-BX1489,BX1489)*IF($BP1489="Emissions positive",-1,1)</f>
        <v>80000</v>
      </c>
      <c r="CU1489" t="str">
        <f>IFERROR(CT1489/CQ1489,"")</f>
        <v/>
      </c>
      <c r="CV1489" s="2">
        <f>IFERROR((CS1489-CR1489)/ABS(CR1489),"")</f>
        <v>0.4</v>
      </c>
      <c r="CW1489" s="1" t="s">
        <v>1199</v>
      </c>
      <c r="CX1489" s="312" t="str">
        <f>IF(OR($CW1489="prd",$CW1489="std",$CW1489="cit"),"loc",IF(OR($CW1489="eur",$CW1489="reg",$CW1489="coy"),"reg",$CW1489))</f>
        <v>reg</v>
      </c>
      <c r="CY1489" t="s">
        <v>235</v>
      </c>
      <c r="CZ1489">
        <v>2011</v>
      </c>
      <c r="DA1489">
        <v>2090</v>
      </c>
      <c r="DB1489">
        <v>80</v>
      </c>
      <c r="DC1489" t="str">
        <f>IF(DB1489=0,"0",IF(AND(DB1489&gt;=1,DB1489&lt;=30),"1-30",IF(AND(DB1489&gt;30,DB1489&lt;=70),"31-70",IF(AND(DB1489&gt;70,DB1489&lt;=100),"71-100",IF(DB1489&gt;100,"+100")))))</f>
        <v>71-100</v>
      </c>
      <c r="DD1489">
        <v>0</v>
      </c>
      <c r="DE1489">
        <v>1</v>
      </c>
      <c r="DF1489">
        <v>1</v>
      </c>
      <c r="DG1489">
        <v>1</v>
      </c>
      <c r="DI1489">
        <f>SUM(DD1489:DG1489)</f>
        <v>3</v>
      </c>
      <c r="DJ1489" t="str">
        <f>IF(DI1489=1,INDEX($DD$7:$DG$7,MATCH(1,$DD1489:$DG1489,0)),"mixedProduct")</f>
        <v>mixedProduct</v>
      </c>
      <c r="DK1489">
        <f>IF(DD1489=1,DK$7,0)</f>
        <v>0</v>
      </c>
      <c r="DL1489" t="str">
        <f>IF(DE1489=1,DL$7,0)</f>
        <v>Energy</v>
      </c>
      <c r="DM1489" t="str">
        <f>IF(DF1489=1,DM$7,0)</f>
        <v>Pulp/Paper</v>
      </c>
      <c r="DN1489" t="str">
        <f>IF(DG1489=1,DN$7,0)</f>
        <v>Timber</v>
      </c>
      <c r="DO1489">
        <v>1</v>
      </c>
      <c r="DP1489">
        <v>0</v>
      </c>
      <c r="DQ1489">
        <v>0</v>
      </c>
      <c r="DR1489">
        <v>0</v>
      </c>
      <c r="DS1489">
        <v>0</v>
      </c>
      <c r="DT1489">
        <f>SUM(DO1489:DP1489)</f>
        <v>1</v>
      </c>
      <c r="DU1489" s="143" t="str">
        <f>IF(DO1489=1,"self-calculated DF",IF(DP1489=1,"external DF used","explicit C balance"))</f>
        <v>self-calculated DF</v>
      </c>
      <c r="DV1489">
        <v>1</v>
      </c>
      <c r="DW1489">
        <v>1</v>
      </c>
      <c r="DX1489">
        <v>1</v>
      </c>
      <c r="DY1489">
        <v>0</v>
      </c>
      <c r="DZ1489">
        <v>0</v>
      </c>
      <c r="EA1489" s="143">
        <v>0</v>
      </c>
      <c r="EB1489">
        <v>1</v>
      </c>
      <c r="EC1489">
        <v>1</v>
      </c>
      <c r="ED1489">
        <v>0</v>
      </c>
      <c r="EE1489">
        <v>1</v>
      </c>
      <c r="EF1489">
        <v>1</v>
      </c>
      <c r="EG1489">
        <v>1</v>
      </c>
      <c r="EH1489">
        <v>0</v>
      </c>
      <c r="EI1489" s="2">
        <v>0</v>
      </c>
      <c r="EK1489" t="str">
        <f>IF(AND(AND(AND(OR($DX1489=1,$DW1489=1),OR($EC1489=1,$EA1489=1)),SUM($DV1489:$DZ1489,$EF1489)&gt;=3),SUM($EA1489:$EE1489)&gt;=2),"Whole sector","")</f>
        <v>Whole sector</v>
      </c>
      <c r="EL1489" t="str">
        <f>IF(AND(AND(OR($DX1489=1,$DW1489=1),AND($EC1489=0,$EA1489=0)),SUM($DV1489:$DZ1489,$EF1489)&gt;=3),"Ecosystem approach","")</f>
        <v/>
      </c>
      <c r="EM1489" s="2" t="str">
        <f>IF(AND(AND(AND($DX1489=0,$DW1489=0),OR($EC1489=1,$EA1489=1)),SUM($EB1489:$EE1489)&gt;=2),"Technology approach","")</f>
        <v/>
      </c>
      <c r="EP1489" t="b">
        <f>IF(ISNUMBER(BU1489),IF(ABS(BU1489-[5]QC_indicators!$B$2)&gt;3*[5]QC_indicators!$C$2,"C ratio",IF(ISNUMBER(BY1489),IF(ABS(BY1489-[5]QC_indicators!$B$1)&gt;3*[5]QC_indicators!$C$1,"DF","no"))),IF(ISNUMBER(BY1489),IF(ABS(BY1489-[5]QC_indicators!$B$1)&gt;3*[5]QC_indicators!$C$1,"DF","no")))</f>
        <v>0</v>
      </c>
      <c r="ER1489" s="314" t="s">
        <v>349</v>
      </c>
    </row>
    <row r="1490" spans="1:148" ht="15" customHeight="1">
      <c r="A1490" s="1" t="s">
        <v>1102</v>
      </c>
      <c r="B1490" t="s">
        <v>4089</v>
      </c>
      <c r="C1490" t="s">
        <v>4090</v>
      </c>
      <c r="D1490" t="s">
        <v>4091</v>
      </c>
      <c r="E1490" t="s">
        <v>4092</v>
      </c>
      <c r="F1490" t="s">
        <v>4093</v>
      </c>
      <c r="G1490" t="s">
        <v>1108</v>
      </c>
      <c r="H1490" t="s">
        <v>254</v>
      </c>
      <c r="I1490">
        <v>2011</v>
      </c>
      <c r="J1490">
        <v>57</v>
      </c>
      <c r="K1490" t="s">
        <v>4094</v>
      </c>
      <c r="M1490" t="str">
        <f>LEFT($D1490,FIND(",",$D1490)-1)&amp;"_"&amp;I1490&amp;L1490</f>
        <v>Routa_2011</v>
      </c>
      <c r="N1490" s="312" t="s">
        <v>4383</v>
      </c>
      <c r="O1490" s="145" t="s">
        <v>341</v>
      </c>
      <c r="Q1490" s="312" t="s">
        <v>256</v>
      </c>
      <c r="R1490" s="313"/>
      <c r="S1490" s="1" t="s">
        <v>4105</v>
      </c>
      <c r="T1490" t="s">
        <v>1111</v>
      </c>
      <c r="U1490" t="e">
        <f>#REF!</f>
        <v>#REF!</v>
      </c>
      <c r="V1490">
        <v>0</v>
      </c>
      <c r="W1490">
        <v>0</v>
      </c>
      <c r="X1490">
        <v>0</v>
      </c>
      <c r="Y1490">
        <v>0</v>
      </c>
      <c r="Z1490">
        <v>0</v>
      </c>
      <c r="AA1490">
        <v>2</v>
      </c>
      <c r="AB1490">
        <v>1</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s="141">
        <f>COUNTIF(V1490:AW1490,"&lt;&gt;0")</f>
        <v>2</v>
      </c>
      <c r="AY1490" s="141">
        <f>COUNTIF(V1490:AL1490,"&lt;&gt;0")</f>
        <v>2</v>
      </c>
      <c r="AZ1490">
        <f>COUNTIF(V1490:AC1490,"&lt;&gt;0")</f>
        <v>2</v>
      </c>
      <c r="BA1490">
        <f>COUNTIF(AD1490:AI1490,"&lt;&gt;0")</f>
        <v>0</v>
      </c>
      <c r="BB1490">
        <f>COUNTIF(AJ1490:AL1490,"&lt;&gt;0")</f>
        <v>0</v>
      </c>
      <c r="BC1490">
        <f>COUNTIF(AS1490:AW1490,"&lt;&gt;0")</f>
        <v>0</v>
      </c>
      <c r="BD1490">
        <f>COUNTIF(AM1490:AR1490,"&lt;&gt;0")</f>
        <v>0</v>
      </c>
      <c r="BE1490" t="str" cm="1">
        <f t="array" ref="BE1490">IF(AY1490=1,INDEX($V$7:$AL$7,MATCH(TRUE,INDEX($V1490:$AW1490&lt;&gt;0,),0)),IF(AY1490=0,INDEX($AM$7:$AW$7,MATCH(1,$AM1490:$AW1490,0)),IF(BF1490="Multiple strategies","mixed drivers",IF(BF1490="Supply chain","multiple supply","multiple silviculture"))))</f>
        <v>multiple silviculture</v>
      </c>
      <c r="BF1490" s="2" t="str" cm="1">
        <f t="array" ref="BF1490">IF(COUNTIF(AZ1490:BB1490,"&lt;&gt;0")=1,INDEX($V$4:$AW$4,MATCH(TRUE,INDEX($V1490:$AW1490&lt;&gt;0,),0)),IF(COUNTIF(AZ1490:BB1490,"&lt;&gt;0")=0,INDEX($AM$4:$AW$4,MATCH(1,$AM1490:$AW1490,0)),"Multiple strategies"))</f>
        <v>Silviculture for productivity</v>
      </c>
      <c r="BP1490" s="312" t="s">
        <v>232</v>
      </c>
      <c r="BQ1490" s="312"/>
      <c r="BR1490" t="s">
        <v>2170</v>
      </c>
      <c r="BS1490">
        <v>-200</v>
      </c>
      <c r="BT1490">
        <v>-121</v>
      </c>
      <c r="BU1490" s="144">
        <v>0.60499999999999998</v>
      </c>
      <c r="BV1490">
        <v>79</v>
      </c>
      <c r="BX1490">
        <f>BV1490*10^3</f>
        <v>79000</v>
      </c>
      <c r="BY1490" t="str">
        <f>IFERROR(BX1490/BO1490,"")</f>
        <v/>
      </c>
      <c r="BZ1490">
        <v>0</v>
      </c>
      <c r="CA1490">
        <v>0</v>
      </c>
      <c r="CB1490">
        <v>0</v>
      </c>
      <c r="CC1490">
        <v>1</v>
      </c>
      <c r="CD1490">
        <v>0</v>
      </c>
      <c r="CE1490">
        <v>0</v>
      </c>
      <c r="CF1490">
        <v>0</v>
      </c>
      <c r="CG1490">
        <v>0</v>
      </c>
      <c r="CH1490">
        <v>0</v>
      </c>
      <c r="CI1490">
        <v>0</v>
      </c>
      <c r="CJ1490">
        <v>0</v>
      </c>
      <c r="CK1490">
        <v>0</v>
      </c>
      <c r="CL1490">
        <v>0</v>
      </c>
      <c r="CM1490">
        <v>0</v>
      </c>
      <c r="CN1490" t="str">
        <f>IF(BL1490&lt;BK1490,"refNeedCorrection","refOK")</f>
        <v>refOK</v>
      </c>
      <c r="CO1490"/>
      <c r="CP1490"/>
      <c r="CQ1490"/>
      <c r="CR1490">
        <f>IF($CN1490="refOK",$BS1490,$BT1490)*IF($BP1490="Emissions positive",-1,1)</f>
        <v>-200</v>
      </c>
      <c r="CS1490">
        <f>IF($CN1490="refOK",$BT1490,$BS1490)*IF($BP1490="Emissions positive",-1,1)</f>
        <v>-121</v>
      </c>
      <c r="CT1490">
        <f>IF($CN1490="refNeedCorrection",-BX1490,BX1490)*IF($BP1490="Emissions positive",-1,1)</f>
        <v>79000</v>
      </c>
      <c r="CU1490" t="str">
        <f>IFERROR(CT1490/CQ1490,"")</f>
        <v/>
      </c>
      <c r="CV1490" s="2">
        <f>IFERROR((CS1490-CR1490)/ABS(CR1490),"")</f>
        <v>0.39500000000000002</v>
      </c>
      <c r="CW1490" s="1" t="s">
        <v>1199</v>
      </c>
      <c r="CX1490" s="312" t="str">
        <f>IF(OR($CW1490="prd",$CW1490="std",$CW1490="cit"),"loc",IF(OR($CW1490="eur",$CW1490="reg",$CW1490="coy"),"reg",$CW1490))</f>
        <v>reg</v>
      </c>
      <c r="CY1490" t="s">
        <v>235</v>
      </c>
      <c r="CZ1490">
        <v>2011</v>
      </c>
      <c r="DA1490">
        <v>2090</v>
      </c>
      <c r="DB1490">
        <v>80</v>
      </c>
      <c r="DC1490" t="str">
        <f>IF(DB1490=0,"0",IF(AND(DB1490&gt;=1,DB1490&lt;=30),"1-30",IF(AND(DB1490&gt;30,DB1490&lt;=70),"31-70",IF(AND(DB1490&gt;70,DB1490&lt;=100),"71-100",IF(DB1490&gt;100,"+100")))))</f>
        <v>71-100</v>
      </c>
      <c r="DD1490">
        <v>0</v>
      </c>
      <c r="DE1490">
        <v>1</v>
      </c>
      <c r="DF1490">
        <v>1</v>
      </c>
      <c r="DG1490">
        <v>1</v>
      </c>
      <c r="DI1490">
        <f>SUM(DD1490:DG1490)</f>
        <v>3</v>
      </c>
      <c r="DJ1490" t="str">
        <f>IF(DI1490=1,INDEX($DD$7:$DG$7,MATCH(1,$DD1490:$DG1490,0)),"mixedProduct")</f>
        <v>mixedProduct</v>
      </c>
      <c r="DK1490">
        <f>IF(DD1490=1,DK$7,0)</f>
        <v>0</v>
      </c>
      <c r="DL1490" t="str">
        <f>IF(DE1490=1,DL$7,0)</f>
        <v>Energy</v>
      </c>
      <c r="DM1490" t="str">
        <f>IF(DF1490=1,DM$7,0)</f>
        <v>Pulp/Paper</v>
      </c>
      <c r="DN1490" t="str">
        <f>IF(DG1490=1,DN$7,0)</f>
        <v>Timber</v>
      </c>
      <c r="DO1490">
        <v>1</v>
      </c>
      <c r="DP1490">
        <v>0</v>
      </c>
      <c r="DQ1490">
        <v>0</v>
      </c>
      <c r="DR1490">
        <v>0</v>
      </c>
      <c r="DS1490">
        <v>0</v>
      </c>
      <c r="DT1490">
        <f>SUM(DO1490:DP1490)</f>
        <v>1</v>
      </c>
      <c r="DU1490" s="143" t="str">
        <f>IF(DO1490=1,"self-calculated DF",IF(DP1490=1,"external DF used","explicit C balance"))</f>
        <v>self-calculated DF</v>
      </c>
      <c r="DV1490">
        <v>1</v>
      </c>
      <c r="DW1490">
        <v>1</v>
      </c>
      <c r="DX1490">
        <v>1</v>
      </c>
      <c r="DY1490">
        <v>0</v>
      </c>
      <c r="DZ1490">
        <v>0</v>
      </c>
      <c r="EA1490" s="143">
        <v>0</v>
      </c>
      <c r="EB1490">
        <v>1</v>
      </c>
      <c r="EC1490">
        <v>1</v>
      </c>
      <c r="ED1490">
        <v>0</v>
      </c>
      <c r="EE1490">
        <v>1</v>
      </c>
      <c r="EF1490">
        <v>1</v>
      </c>
      <c r="EG1490">
        <v>1</v>
      </c>
      <c r="EH1490">
        <v>0</v>
      </c>
      <c r="EI1490" s="2">
        <v>0</v>
      </c>
      <c r="EK1490" t="str">
        <f>IF(AND(AND(AND(OR($DX1490=1,$DW1490=1),OR($EC1490=1,$EA1490=1)),SUM($DV1490:$DZ1490,$EF1490)&gt;=3),SUM($EA1490:$EE1490)&gt;=2),"Whole sector","")</f>
        <v>Whole sector</v>
      </c>
      <c r="EL1490" t="str">
        <f>IF(AND(AND(OR($DX1490=1,$DW1490=1),AND($EC1490=0,$EA1490=0)),SUM($DV1490:$DZ1490,$EF1490)&gt;=3),"Ecosystem approach","")</f>
        <v/>
      </c>
      <c r="EM1490" s="2" t="str">
        <f>IF(AND(AND(AND($DX1490=0,$DW1490=0),OR($EC1490=1,$EA1490=1)),SUM($EB1490:$EE1490)&gt;=2),"Technology approach","")</f>
        <v/>
      </c>
      <c r="EP1490" t="b">
        <f>IF(ISNUMBER(BU1490),IF(ABS(BU1490-[5]QC_indicators!$B$2)&gt;3*[5]QC_indicators!$C$2,"C ratio",IF(ISNUMBER(BY1490),IF(ABS(BY1490-[5]QC_indicators!$B$1)&gt;3*[5]QC_indicators!$C$1,"DF","no"))),IF(ISNUMBER(BY1490),IF(ABS(BY1490-[5]QC_indicators!$B$1)&gt;3*[5]QC_indicators!$C$1,"DF","no")))</f>
        <v>0</v>
      </c>
      <c r="ER1490" s="314" t="s">
        <v>349</v>
      </c>
    </row>
    <row r="1491" spans="1:148" ht="15" customHeight="1">
      <c r="A1491" s="1" t="s">
        <v>1102</v>
      </c>
      <c r="B1491" t="s">
        <v>4089</v>
      </c>
      <c r="C1491" t="s">
        <v>4090</v>
      </c>
      <c r="D1491" t="s">
        <v>4091</v>
      </c>
      <c r="E1491" t="s">
        <v>4092</v>
      </c>
      <c r="F1491" t="s">
        <v>4093</v>
      </c>
      <c r="G1491" t="s">
        <v>1108</v>
      </c>
      <c r="H1491" t="s">
        <v>254</v>
      </c>
      <c r="I1491">
        <v>2011</v>
      </c>
      <c r="J1491">
        <v>57</v>
      </c>
      <c r="K1491" t="s">
        <v>4094</v>
      </c>
      <c r="M1491" t="str">
        <f>LEFT($D1491,FIND(",",$D1491)-1)&amp;"_"&amp;I1491&amp;L1491</f>
        <v>Routa_2011</v>
      </c>
      <c r="N1491" s="312" t="s">
        <v>4383</v>
      </c>
      <c r="O1491" s="145" t="s">
        <v>341</v>
      </c>
      <c r="Q1491" s="312" t="s">
        <v>256</v>
      </c>
      <c r="R1491" s="313"/>
      <c r="S1491" s="1" t="s">
        <v>4106</v>
      </c>
      <c r="T1491" t="s">
        <v>1111</v>
      </c>
      <c r="U1491" t="e">
        <f>#REF!</f>
        <v>#REF!</v>
      </c>
      <c r="V1491">
        <v>0</v>
      </c>
      <c r="W1491">
        <v>0</v>
      </c>
      <c r="X1491">
        <v>0</v>
      </c>
      <c r="Y1491">
        <v>0</v>
      </c>
      <c r="Z1491">
        <v>0</v>
      </c>
      <c r="AA1491">
        <v>2</v>
      </c>
      <c r="AB1491">
        <v>1</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s="141">
        <f>COUNTIF(V1491:AW1491,"&lt;&gt;0")</f>
        <v>2</v>
      </c>
      <c r="AY1491" s="141">
        <f>COUNTIF(V1491:AL1491,"&lt;&gt;0")</f>
        <v>2</v>
      </c>
      <c r="AZ1491">
        <f>COUNTIF(V1491:AC1491,"&lt;&gt;0")</f>
        <v>2</v>
      </c>
      <c r="BA1491">
        <f>COUNTIF(AD1491:AI1491,"&lt;&gt;0")</f>
        <v>0</v>
      </c>
      <c r="BB1491">
        <f>COUNTIF(AJ1491:AL1491,"&lt;&gt;0")</f>
        <v>0</v>
      </c>
      <c r="BC1491">
        <f>COUNTIF(AS1491:AW1491,"&lt;&gt;0")</f>
        <v>0</v>
      </c>
      <c r="BD1491">
        <f>COUNTIF(AM1491:AR1491,"&lt;&gt;0")</f>
        <v>0</v>
      </c>
      <c r="BE1491" t="str" cm="1">
        <f t="array" ref="BE1491">IF(AY1491=1,INDEX($V$7:$AL$7,MATCH(TRUE,INDEX($V1491:$AW1491&lt;&gt;0,),0)),IF(AY1491=0,INDEX($AM$7:$AW$7,MATCH(1,$AM1491:$AW1491,0)),IF(BF1491="Multiple strategies","mixed drivers",IF(BF1491="Supply chain","multiple supply","multiple silviculture"))))</f>
        <v>multiple silviculture</v>
      </c>
      <c r="BF1491" s="2" t="str" cm="1">
        <f t="array" ref="BF1491">IF(COUNTIF(AZ1491:BB1491,"&lt;&gt;0")=1,INDEX($V$4:$AW$4,MATCH(TRUE,INDEX($V1491:$AW1491&lt;&gt;0,),0)),IF(COUNTIF(AZ1491:BB1491,"&lt;&gt;0")=0,INDEX($AM$4:$AW$4,MATCH(1,$AM1491:$AW1491,0)),"Multiple strategies"))</f>
        <v>Silviculture for productivity</v>
      </c>
      <c r="BP1491" s="312" t="s">
        <v>232</v>
      </c>
      <c r="BQ1491" s="312"/>
      <c r="BR1491" t="s">
        <v>2170</v>
      </c>
      <c r="BS1491">
        <v>-200</v>
      </c>
      <c r="BT1491">
        <v>-124</v>
      </c>
      <c r="BU1491" s="144">
        <v>0.62</v>
      </c>
      <c r="BV1491">
        <v>76</v>
      </c>
      <c r="BX1491">
        <f>BV1491*10^3</f>
        <v>76000</v>
      </c>
      <c r="BY1491" t="str">
        <f>IFERROR(BX1491/BO1491,"")</f>
        <v/>
      </c>
      <c r="BZ1491">
        <v>0</v>
      </c>
      <c r="CA1491">
        <v>0</v>
      </c>
      <c r="CB1491">
        <v>0</v>
      </c>
      <c r="CC1491">
        <v>1</v>
      </c>
      <c r="CD1491">
        <v>0</v>
      </c>
      <c r="CE1491">
        <v>0</v>
      </c>
      <c r="CF1491">
        <v>0</v>
      </c>
      <c r="CG1491">
        <v>0</v>
      </c>
      <c r="CH1491">
        <v>0</v>
      </c>
      <c r="CI1491">
        <v>0</v>
      </c>
      <c r="CJ1491">
        <v>0</v>
      </c>
      <c r="CK1491">
        <v>0</v>
      </c>
      <c r="CL1491">
        <v>0</v>
      </c>
      <c r="CM1491">
        <v>0</v>
      </c>
      <c r="CN1491" t="str">
        <f>IF(BL1491&lt;BK1491,"refNeedCorrection","refOK")</f>
        <v>refOK</v>
      </c>
      <c r="CO1491"/>
      <c r="CP1491"/>
      <c r="CQ1491"/>
      <c r="CR1491">
        <f>IF($CN1491="refOK",$BS1491,$BT1491)*IF($BP1491="Emissions positive",-1,1)</f>
        <v>-200</v>
      </c>
      <c r="CS1491">
        <f>IF($CN1491="refOK",$BT1491,$BS1491)*IF($BP1491="Emissions positive",-1,1)</f>
        <v>-124</v>
      </c>
      <c r="CT1491">
        <f>IF($CN1491="refNeedCorrection",-BX1491,BX1491)*IF($BP1491="Emissions positive",-1,1)</f>
        <v>76000</v>
      </c>
      <c r="CU1491" t="str">
        <f>IFERROR(CT1491/CQ1491,"")</f>
        <v/>
      </c>
      <c r="CV1491" s="2">
        <f>IFERROR((CS1491-CR1491)/ABS(CR1491),"")</f>
        <v>0.38</v>
      </c>
      <c r="CW1491" s="1" t="s">
        <v>1199</v>
      </c>
      <c r="CX1491" s="312" t="str">
        <f>IF(OR($CW1491="prd",$CW1491="std",$CW1491="cit"),"loc",IF(OR($CW1491="eur",$CW1491="reg",$CW1491="coy"),"reg",$CW1491))</f>
        <v>reg</v>
      </c>
      <c r="CY1491" t="s">
        <v>235</v>
      </c>
      <c r="CZ1491">
        <v>2011</v>
      </c>
      <c r="DA1491">
        <v>2090</v>
      </c>
      <c r="DB1491">
        <v>80</v>
      </c>
      <c r="DC1491" t="str">
        <f>IF(DB1491=0,"0",IF(AND(DB1491&gt;=1,DB1491&lt;=30),"1-30",IF(AND(DB1491&gt;30,DB1491&lt;=70),"31-70",IF(AND(DB1491&gt;70,DB1491&lt;=100),"71-100",IF(DB1491&gt;100,"+100")))))</f>
        <v>71-100</v>
      </c>
      <c r="DD1491">
        <v>0</v>
      </c>
      <c r="DE1491">
        <v>1</v>
      </c>
      <c r="DF1491">
        <v>1</v>
      </c>
      <c r="DG1491">
        <v>1</v>
      </c>
      <c r="DI1491">
        <f>SUM(DD1491:DG1491)</f>
        <v>3</v>
      </c>
      <c r="DJ1491" t="str">
        <f>IF(DI1491=1,INDEX($DD$7:$DG$7,MATCH(1,$DD1491:$DG1491,0)),"mixedProduct")</f>
        <v>mixedProduct</v>
      </c>
      <c r="DK1491">
        <f>IF(DD1491=1,DK$7,0)</f>
        <v>0</v>
      </c>
      <c r="DL1491" t="str">
        <f>IF(DE1491=1,DL$7,0)</f>
        <v>Energy</v>
      </c>
      <c r="DM1491" t="str">
        <f>IF(DF1491=1,DM$7,0)</f>
        <v>Pulp/Paper</v>
      </c>
      <c r="DN1491" t="str">
        <f>IF(DG1491=1,DN$7,0)</f>
        <v>Timber</v>
      </c>
      <c r="DO1491">
        <v>1</v>
      </c>
      <c r="DP1491">
        <v>0</v>
      </c>
      <c r="DQ1491">
        <v>0</v>
      </c>
      <c r="DR1491">
        <v>0</v>
      </c>
      <c r="DS1491">
        <v>0</v>
      </c>
      <c r="DT1491">
        <f>SUM(DO1491:DP1491)</f>
        <v>1</v>
      </c>
      <c r="DU1491" s="143" t="str">
        <f>IF(DO1491=1,"self-calculated DF",IF(DP1491=1,"external DF used","explicit C balance"))</f>
        <v>self-calculated DF</v>
      </c>
      <c r="DV1491">
        <v>1</v>
      </c>
      <c r="DW1491">
        <v>1</v>
      </c>
      <c r="DX1491">
        <v>1</v>
      </c>
      <c r="DY1491">
        <v>0</v>
      </c>
      <c r="DZ1491">
        <v>0</v>
      </c>
      <c r="EA1491" s="143">
        <v>0</v>
      </c>
      <c r="EB1491">
        <v>1</v>
      </c>
      <c r="EC1491">
        <v>1</v>
      </c>
      <c r="ED1491">
        <v>0</v>
      </c>
      <c r="EE1491">
        <v>1</v>
      </c>
      <c r="EF1491">
        <v>1</v>
      </c>
      <c r="EG1491">
        <v>1</v>
      </c>
      <c r="EH1491">
        <v>0</v>
      </c>
      <c r="EI1491" s="2">
        <v>0</v>
      </c>
      <c r="EK1491" t="str">
        <f>IF(AND(AND(AND(OR($DX1491=1,$DW1491=1),OR($EC1491=1,$EA1491=1)),SUM($DV1491:$DZ1491,$EF1491)&gt;=3),SUM($EA1491:$EE1491)&gt;=2),"Whole sector","")</f>
        <v>Whole sector</v>
      </c>
      <c r="EL1491" t="str">
        <f>IF(AND(AND(OR($DX1491=1,$DW1491=1),AND($EC1491=0,$EA1491=0)),SUM($DV1491:$DZ1491,$EF1491)&gt;=3),"Ecosystem approach","")</f>
        <v/>
      </c>
      <c r="EM1491" s="2" t="str">
        <f>IF(AND(AND(AND($DX1491=0,$DW1491=0),OR($EC1491=1,$EA1491=1)),SUM($EB1491:$EE1491)&gt;=2),"Technology approach","")</f>
        <v/>
      </c>
      <c r="EP1491" t="b">
        <f>IF(ISNUMBER(BU1491),IF(ABS(BU1491-[5]QC_indicators!$B$2)&gt;3*[5]QC_indicators!$C$2,"C ratio",IF(ISNUMBER(BY1491),IF(ABS(BY1491-[5]QC_indicators!$B$1)&gt;3*[5]QC_indicators!$C$1,"DF","no"))),IF(ISNUMBER(BY1491),IF(ABS(BY1491-[5]QC_indicators!$B$1)&gt;3*[5]QC_indicators!$C$1,"DF","no")))</f>
        <v>0</v>
      </c>
      <c r="ER1491" s="314" t="s">
        <v>349</v>
      </c>
    </row>
    <row r="1492" spans="1:148" ht="15" customHeight="1">
      <c r="A1492" s="1" t="s">
        <v>1102</v>
      </c>
      <c r="B1492" t="s">
        <v>4089</v>
      </c>
      <c r="C1492" t="s">
        <v>4090</v>
      </c>
      <c r="D1492" t="s">
        <v>4091</v>
      </c>
      <c r="E1492" t="s">
        <v>4092</v>
      </c>
      <c r="F1492" t="s">
        <v>4093</v>
      </c>
      <c r="G1492" t="s">
        <v>1108</v>
      </c>
      <c r="H1492" t="s">
        <v>254</v>
      </c>
      <c r="I1492">
        <v>2011</v>
      </c>
      <c r="J1492">
        <v>57</v>
      </c>
      <c r="K1492" t="s">
        <v>4094</v>
      </c>
      <c r="M1492" t="str">
        <f>LEFT($D1492,FIND(",",$D1492)-1)&amp;"_"&amp;I1492&amp;L1492</f>
        <v>Routa_2011</v>
      </c>
      <c r="N1492" s="312" t="s">
        <v>4383</v>
      </c>
      <c r="O1492" s="145" t="s">
        <v>341</v>
      </c>
      <c r="Q1492" s="312" t="s">
        <v>256</v>
      </c>
      <c r="R1492" s="313"/>
      <c r="S1492" s="1" t="s">
        <v>4107</v>
      </c>
      <c r="T1492" t="s">
        <v>1111</v>
      </c>
      <c r="U1492" t="e">
        <f>#REF!</f>
        <v>#REF!</v>
      </c>
      <c r="V1492">
        <v>0</v>
      </c>
      <c r="W1492">
        <v>0</v>
      </c>
      <c r="X1492">
        <v>0</v>
      </c>
      <c r="Y1492">
        <v>0</v>
      </c>
      <c r="Z1492">
        <v>0</v>
      </c>
      <c r="AA1492">
        <v>2</v>
      </c>
      <c r="AB1492">
        <v>1</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s="141">
        <f>COUNTIF(V1492:AW1492,"&lt;&gt;0")</f>
        <v>2</v>
      </c>
      <c r="AY1492" s="141">
        <f>COUNTIF(V1492:AL1492,"&lt;&gt;0")</f>
        <v>2</v>
      </c>
      <c r="AZ1492">
        <f>COUNTIF(V1492:AC1492,"&lt;&gt;0")</f>
        <v>2</v>
      </c>
      <c r="BA1492">
        <f>COUNTIF(AD1492:AI1492,"&lt;&gt;0")</f>
        <v>0</v>
      </c>
      <c r="BB1492">
        <f>COUNTIF(AJ1492:AL1492,"&lt;&gt;0")</f>
        <v>0</v>
      </c>
      <c r="BC1492">
        <f>COUNTIF(AS1492:AW1492,"&lt;&gt;0")</f>
        <v>0</v>
      </c>
      <c r="BD1492">
        <f>COUNTIF(AM1492:AR1492,"&lt;&gt;0")</f>
        <v>0</v>
      </c>
      <c r="BE1492" t="str" cm="1">
        <f t="array" ref="BE1492">IF(AY1492=1,INDEX($V$7:$AL$7,MATCH(TRUE,INDEX($V1492:$AW1492&lt;&gt;0,),0)),IF(AY1492=0,INDEX($AM$7:$AW$7,MATCH(1,$AM1492:$AW1492,0)),IF(BF1492="Multiple strategies","mixed drivers",IF(BF1492="Supply chain","multiple supply","multiple silviculture"))))</f>
        <v>multiple silviculture</v>
      </c>
      <c r="BF1492" s="2" t="str" cm="1">
        <f t="array" ref="BF1492">IF(COUNTIF(AZ1492:BB1492,"&lt;&gt;0")=1,INDEX($V$4:$AW$4,MATCH(TRUE,INDEX($V1492:$AW1492&lt;&gt;0,),0)),IF(COUNTIF(AZ1492:BB1492,"&lt;&gt;0")=0,INDEX($AM$4:$AW$4,MATCH(1,$AM1492:$AW1492,0)),"Multiple strategies"))</f>
        <v>Silviculture for productivity</v>
      </c>
      <c r="BP1492" s="312" t="s">
        <v>232</v>
      </c>
      <c r="BQ1492" s="312"/>
      <c r="BR1492" t="s">
        <v>2170</v>
      </c>
      <c r="BS1492">
        <v>-200</v>
      </c>
      <c r="BT1492">
        <v>-126</v>
      </c>
      <c r="BU1492" s="144">
        <v>0.63</v>
      </c>
      <c r="BV1492">
        <v>74</v>
      </c>
      <c r="BX1492">
        <f>BV1492*10^3</f>
        <v>74000</v>
      </c>
      <c r="BY1492" t="str">
        <f>IFERROR(BX1492/BO1492,"")</f>
        <v/>
      </c>
      <c r="BZ1492">
        <v>0</v>
      </c>
      <c r="CA1492">
        <v>0</v>
      </c>
      <c r="CB1492">
        <v>0</v>
      </c>
      <c r="CC1492">
        <v>1</v>
      </c>
      <c r="CD1492">
        <v>0</v>
      </c>
      <c r="CE1492">
        <v>0</v>
      </c>
      <c r="CF1492">
        <v>0</v>
      </c>
      <c r="CG1492">
        <v>0</v>
      </c>
      <c r="CH1492">
        <v>0</v>
      </c>
      <c r="CI1492">
        <v>0</v>
      </c>
      <c r="CJ1492">
        <v>0</v>
      </c>
      <c r="CK1492">
        <v>0</v>
      </c>
      <c r="CL1492">
        <v>0</v>
      </c>
      <c r="CM1492">
        <v>0</v>
      </c>
      <c r="CN1492" t="str">
        <f>IF(BL1492&lt;BK1492,"refNeedCorrection","refOK")</f>
        <v>refOK</v>
      </c>
      <c r="CO1492"/>
      <c r="CP1492"/>
      <c r="CQ1492"/>
      <c r="CR1492">
        <f>IF($CN1492="refOK",$BS1492,$BT1492)*IF($BP1492="Emissions positive",-1,1)</f>
        <v>-200</v>
      </c>
      <c r="CS1492">
        <f>IF($CN1492="refOK",$BT1492,$BS1492)*IF($BP1492="Emissions positive",-1,1)</f>
        <v>-126</v>
      </c>
      <c r="CT1492">
        <f>IF($CN1492="refNeedCorrection",-BX1492,BX1492)*IF($BP1492="Emissions positive",-1,1)</f>
        <v>74000</v>
      </c>
      <c r="CU1492" t="str">
        <f>IFERROR(CT1492/CQ1492,"")</f>
        <v/>
      </c>
      <c r="CV1492" s="2">
        <f>IFERROR((CS1492-CR1492)/ABS(CR1492),"")</f>
        <v>0.37</v>
      </c>
      <c r="CW1492" s="1" t="s">
        <v>1199</v>
      </c>
      <c r="CX1492" s="312" t="str">
        <f>IF(OR($CW1492="prd",$CW1492="std",$CW1492="cit"),"loc",IF(OR($CW1492="eur",$CW1492="reg",$CW1492="coy"),"reg",$CW1492))</f>
        <v>reg</v>
      </c>
      <c r="CY1492" t="s">
        <v>235</v>
      </c>
      <c r="CZ1492">
        <v>2011</v>
      </c>
      <c r="DA1492">
        <v>2090</v>
      </c>
      <c r="DB1492">
        <v>80</v>
      </c>
      <c r="DC1492" t="str">
        <f>IF(DB1492=0,"0",IF(AND(DB1492&gt;=1,DB1492&lt;=30),"1-30",IF(AND(DB1492&gt;30,DB1492&lt;=70),"31-70",IF(AND(DB1492&gt;70,DB1492&lt;=100),"71-100",IF(DB1492&gt;100,"+100")))))</f>
        <v>71-100</v>
      </c>
      <c r="DD1492">
        <v>0</v>
      </c>
      <c r="DE1492">
        <v>1</v>
      </c>
      <c r="DF1492">
        <v>1</v>
      </c>
      <c r="DG1492">
        <v>1</v>
      </c>
      <c r="DI1492">
        <f>SUM(DD1492:DG1492)</f>
        <v>3</v>
      </c>
      <c r="DJ1492" t="str">
        <f>IF(DI1492=1,INDEX($DD$7:$DG$7,MATCH(1,$DD1492:$DG1492,0)),"mixedProduct")</f>
        <v>mixedProduct</v>
      </c>
      <c r="DK1492">
        <f>IF(DD1492=1,DK$7,0)</f>
        <v>0</v>
      </c>
      <c r="DL1492" t="str">
        <f>IF(DE1492=1,DL$7,0)</f>
        <v>Energy</v>
      </c>
      <c r="DM1492" t="str">
        <f>IF(DF1492=1,DM$7,0)</f>
        <v>Pulp/Paper</v>
      </c>
      <c r="DN1492" t="str">
        <f>IF(DG1492=1,DN$7,0)</f>
        <v>Timber</v>
      </c>
      <c r="DO1492">
        <v>1</v>
      </c>
      <c r="DP1492">
        <v>0</v>
      </c>
      <c r="DQ1492">
        <v>0</v>
      </c>
      <c r="DR1492">
        <v>0</v>
      </c>
      <c r="DS1492">
        <v>0</v>
      </c>
      <c r="DT1492">
        <f>SUM(DO1492:DP1492)</f>
        <v>1</v>
      </c>
      <c r="DU1492" s="143" t="str">
        <f>IF(DO1492=1,"self-calculated DF",IF(DP1492=1,"external DF used","explicit C balance"))</f>
        <v>self-calculated DF</v>
      </c>
      <c r="DV1492">
        <v>1</v>
      </c>
      <c r="DW1492">
        <v>1</v>
      </c>
      <c r="DX1492">
        <v>1</v>
      </c>
      <c r="DY1492">
        <v>0</v>
      </c>
      <c r="DZ1492">
        <v>0</v>
      </c>
      <c r="EA1492" s="143">
        <v>0</v>
      </c>
      <c r="EB1492">
        <v>1</v>
      </c>
      <c r="EC1492">
        <v>1</v>
      </c>
      <c r="ED1492">
        <v>0</v>
      </c>
      <c r="EE1492">
        <v>1</v>
      </c>
      <c r="EF1492">
        <v>1</v>
      </c>
      <c r="EG1492">
        <v>1</v>
      </c>
      <c r="EH1492">
        <v>0</v>
      </c>
      <c r="EI1492" s="2">
        <v>0</v>
      </c>
      <c r="EK1492" t="str">
        <f>IF(AND(AND(AND(OR($DX1492=1,$DW1492=1),OR($EC1492=1,$EA1492=1)),SUM($DV1492:$DZ1492,$EF1492)&gt;=3),SUM($EA1492:$EE1492)&gt;=2),"Whole sector","")</f>
        <v>Whole sector</v>
      </c>
      <c r="EL1492" t="str">
        <f>IF(AND(AND(OR($DX1492=1,$DW1492=1),AND($EC1492=0,$EA1492=0)),SUM($DV1492:$DZ1492,$EF1492)&gt;=3),"Ecosystem approach","")</f>
        <v/>
      </c>
      <c r="EM1492" s="2" t="str">
        <f>IF(AND(AND(AND($DX1492=0,$DW1492=0),OR($EC1492=1,$EA1492=1)),SUM($EB1492:$EE1492)&gt;=2),"Technology approach","")</f>
        <v/>
      </c>
      <c r="EP1492" t="b">
        <f>IF(ISNUMBER(BU1492),IF(ABS(BU1492-[5]QC_indicators!$B$2)&gt;3*[5]QC_indicators!$C$2,"C ratio",IF(ISNUMBER(BY1492),IF(ABS(BY1492-[5]QC_indicators!$B$1)&gt;3*[5]QC_indicators!$C$1,"DF","no"))),IF(ISNUMBER(BY1492),IF(ABS(BY1492-[5]QC_indicators!$B$1)&gt;3*[5]QC_indicators!$C$1,"DF","no")))</f>
        <v>0</v>
      </c>
      <c r="ER1492" s="314" t="s">
        <v>349</v>
      </c>
    </row>
    <row r="1493" spans="1:148" ht="18" customHeight="1">
      <c r="A1493" s="1" t="s">
        <v>1102</v>
      </c>
      <c r="B1493" t="s">
        <v>4089</v>
      </c>
      <c r="C1493" t="s">
        <v>4090</v>
      </c>
      <c r="D1493" t="s">
        <v>4091</v>
      </c>
      <c r="E1493" t="s">
        <v>4092</v>
      </c>
      <c r="F1493" t="s">
        <v>4093</v>
      </c>
      <c r="G1493" t="s">
        <v>1108</v>
      </c>
      <c r="H1493" t="s">
        <v>254</v>
      </c>
      <c r="I1493">
        <v>2011</v>
      </c>
      <c r="J1493">
        <v>57</v>
      </c>
      <c r="K1493" t="s">
        <v>4094</v>
      </c>
      <c r="M1493" t="str">
        <f>LEFT($D1493,FIND(",",$D1493)-1)&amp;"_"&amp;I1493&amp;L1493</f>
        <v>Routa_2011</v>
      </c>
      <c r="N1493" s="312" t="s">
        <v>4383</v>
      </c>
      <c r="O1493" s="145" t="s">
        <v>341</v>
      </c>
      <c r="Q1493" s="312" t="s">
        <v>256</v>
      </c>
      <c r="R1493" s="313"/>
      <c r="S1493" s="1" t="s">
        <v>4108</v>
      </c>
      <c r="T1493" t="s">
        <v>1111</v>
      </c>
      <c r="U1493" t="e">
        <f>#REF!</f>
        <v>#REF!</v>
      </c>
      <c r="V1493">
        <v>0</v>
      </c>
      <c r="W1493">
        <v>0</v>
      </c>
      <c r="X1493">
        <v>0</v>
      </c>
      <c r="Y1493">
        <v>0</v>
      </c>
      <c r="Z1493">
        <v>0</v>
      </c>
      <c r="AA1493">
        <v>2</v>
      </c>
      <c r="AB1493">
        <v>1</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s="141">
        <f>COUNTIF(V1493:AW1493,"&lt;&gt;0")</f>
        <v>2</v>
      </c>
      <c r="AY1493" s="141">
        <f>COUNTIF(V1493:AL1493,"&lt;&gt;0")</f>
        <v>2</v>
      </c>
      <c r="AZ1493">
        <f>COUNTIF(V1493:AC1493,"&lt;&gt;0")</f>
        <v>2</v>
      </c>
      <c r="BA1493">
        <f>COUNTIF(AD1493:AI1493,"&lt;&gt;0")</f>
        <v>0</v>
      </c>
      <c r="BB1493">
        <f>COUNTIF(AJ1493:AL1493,"&lt;&gt;0")</f>
        <v>0</v>
      </c>
      <c r="BC1493">
        <f>COUNTIF(AS1493:AW1493,"&lt;&gt;0")</f>
        <v>0</v>
      </c>
      <c r="BD1493">
        <f>COUNTIF(AM1493:AR1493,"&lt;&gt;0")</f>
        <v>0</v>
      </c>
      <c r="BE1493" t="str" cm="1">
        <f t="array" ref="BE1493">IF(AY1493=1,INDEX($V$7:$AL$7,MATCH(TRUE,INDEX($V1493:$AW1493&lt;&gt;0,),0)),IF(AY1493=0,INDEX($AM$7:$AW$7,MATCH(1,$AM1493:$AW1493,0)),IF(BF1493="Multiple strategies","mixed drivers",IF(BF1493="Supply chain","multiple supply","multiple silviculture"))))</f>
        <v>multiple silviculture</v>
      </c>
      <c r="BF1493" s="2" t="str" cm="1">
        <f t="array" ref="BF1493">IF(COUNTIF(AZ1493:BB1493,"&lt;&gt;0")=1,INDEX($V$4:$AW$4,MATCH(TRUE,INDEX($V1493:$AW1493&lt;&gt;0,),0)),IF(COUNTIF(AZ1493:BB1493,"&lt;&gt;0")=0,INDEX($AM$4:$AW$4,MATCH(1,$AM1493:$AW1493,0)),"Multiple strategies"))</f>
        <v>Silviculture for productivity</v>
      </c>
      <c r="BP1493" s="312" t="s">
        <v>232</v>
      </c>
      <c r="BQ1493" s="312"/>
      <c r="BR1493" t="s">
        <v>2170</v>
      </c>
      <c r="BS1493">
        <v>-150</v>
      </c>
      <c r="BT1493">
        <v>-100</v>
      </c>
      <c r="BU1493" s="144">
        <v>0.66666666666666663</v>
      </c>
      <c r="BV1493">
        <v>50</v>
      </c>
      <c r="BX1493">
        <f>BV1493*10^3</f>
        <v>50000</v>
      </c>
      <c r="BY1493" t="str">
        <f>IFERROR(BX1493/BO1493,"")</f>
        <v/>
      </c>
      <c r="BZ1493">
        <v>0</v>
      </c>
      <c r="CA1493">
        <v>0</v>
      </c>
      <c r="CB1493">
        <v>0</v>
      </c>
      <c r="CC1493">
        <v>1</v>
      </c>
      <c r="CD1493">
        <v>0</v>
      </c>
      <c r="CE1493">
        <v>0</v>
      </c>
      <c r="CF1493">
        <v>0</v>
      </c>
      <c r="CG1493">
        <v>0</v>
      </c>
      <c r="CH1493">
        <v>0</v>
      </c>
      <c r="CI1493">
        <v>0</v>
      </c>
      <c r="CJ1493">
        <v>0</v>
      </c>
      <c r="CK1493">
        <v>0</v>
      </c>
      <c r="CL1493">
        <v>0</v>
      </c>
      <c r="CM1493">
        <v>0</v>
      </c>
      <c r="CN1493" t="str">
        <f>IF(BL1493&lt;BK1493,"refNeedCorrection","refOK")</f>
        <v>refOK</v>
      </c>
      <c r="CO1493"/>
      <c r="CP1493"/>
      <c r="CQ1493"/>
      <c r="CR1493">
        <f>IF($CN1493="refOK",$BS1493,$BT1493)*IF($BP1493="Emissions positive",-1,1)</f>
        <v>-150</v>
      </c>
      <c r="CS1493">
        <f>IF($CN1493="refOK",$BT1493,$BS1493)*IF($BP1493="Emissions positive",-1,1)</f>
        <v>-100</v>
      </c>
      <c r="CT1493">
        <f>IF($CN1493="refNeedCorrection",-BX1493,BX1493)*IF($BP1493="Emissions positive",-1,1)</f>
        <v>50000</v>
      </c>
      <c r="CU1493" t="str">
        <f>IFERROR(CT1493/CQ1493,"")</f>
        <v/>
      </c>
      <c r="CV1493" s="2">
        <f>IFERROR((CS1493-CR1493)/ABS(CR1493),"")</f>
        <v>0.33333333333333331</v>
      </c>
      <c r="CW1493" s="1" t="s">
        <v>1199</v>
      </c>
      <c r="CX1493" s="312" t="str">
        <f>IF(OR($CW1493="prd",$CW1493="std",$CW1493="cit"),"loc",IF(OR($CW1493="eur",$CW1493="reg",$CW1493="coy"),"reg",$CW1493))</f>
        <v>reg</v>
      </c>
      <c r="CY1493" t="s">
        <v>235</v>
      </c>
      <c r="CZ1493">
        <v>2011</v>
      </c>
      <c r="DA1493">
        <v>2090</v>
      </c>
      <c r="DB1493">
        <v>80</v>
      </c>
      <c r="DC1493" t="str">
        <f>IF(DB1493=0,"0",IF(AND(DB1493&gt;=1,DB1493&lt;=30),"1-30",IF(AND(DB1493&gt;30,DB1493&lt;=70),"31-70",IF(AND(DB1493&gt;70,DB1493&lt;=100),"71-100",IF(DB1493&gt;100,"+100")))))</f>
        <v>71-100</v>
      </c>
      <c r="DD1493">
        <v>0</v>
      </c>
      <c r="DE1493">
        <v>1</v>
      </c>
      <c r="DF1493">
        <v>1</v>
      </c>
      <c r="DG1493">
        <v>1</v>
      </c>
      <c r="DI1493">
        <f>SUM(DD1493:DG1493)</f>
        <v>3</v>
      </c>
      <c r="DJ1493" t="str">
        <f>IF(DI1493=1,INDEX($DD$7:$DG$7,MATCH(1,$DD1493:$DG1493,0)),"mixedProduct")</f>
        <v>mixedProduct</v>
      </c>
      <c r="DK1493">
        <f>IF(DD1493=1,DK$7,0)</f>
        <v>0</v>
      </c>
      <c r="DL1493" t="str">
        <f>IF(DE1493=1,DL$7,0)</f>
        <v>Energy</v>
      </c>
      <c r="DM1493" t="str">
        <f>IF(DF1493=1,DM$7,0)</f>
        <v>Pulp/Paper</v>
      </c>
      <c r="DN1493" t="str">
        <f>IF(DG1493=1,DN$7,0)</f>
        <v>Timber</v>
      </c>
      <c r="DO1493">
        <v>1</v>
      </c>
      <c r="DP1493">
        <v>0</v>
      </c>
      <c r="DQ1493">
        <v>0</v>
      </c>
      <c r="DR1493">
        <v>0</v>
      </c>
      <c r="DS1493">
        <v>0</v>
      </c>
      <c r="DT1493">
        <f>SUM(DO1493:DP1493)</f>
        <v>1</v>
      </c>
      <c r="DU1493" s="143" t="str">
        <f>IF(DO1493=1,"self-calculated DF",IF(DP1493=1,"external DF used","explicit C balance"))</f>
        <v>self-calculated DF</v>
      </c>
      <c r="DV1493">
        <v>1</v>
      </c>
      <c r="DW1493">
        <v>1</v>
      </c>
      <c r="DX1493">
        <v>1</v>
      </c>
      <c r="DY1493">
        <v>0</v>
      </c>
      <c r="DZ1493">
        <v>0</v>
      </c>
      <c r="EA1493" s="143">
        <v>0</v>
      </c>
      <c r="EB1493">
        <v>1</v>
      </c>
      <c r="EC1493">
        <v>1</v>
      </c>
      <c r="ED1493">
        <v>0</v>
      </c>
      <c r="EE1493">
        <v>1</v>
      </c>
      <c r="EF1493">
        <v>1</v>
      </c>
      <c r="EG1493">
        <v>1</v>
      </c>
      <c r="EH1493">
        <v>0</v>
      </c>
      <c r="EI1493" s="2">
        <v>0</v>
      </c>
      <c r="EK1493" t="str">
        <f>IF(AND(AND(AND(OR($DX1493=1,$DW1493=1),OR($EC1493=1,$EA1493=1)),SUM($DV1493:$DZ1493,$EF1493)&gt;=3),SUM($EA1493:$EE1493)&gt;=2),"Whole sector","")</f>
        <v>Whole sector</v>
      </c>
      <c r="EL1493" t="str">
        <f>IF(AND(AND(OR($DX1493=1,$DW1493=1),AND($EC1493=0,$EA1493=0)),SUM($DV1493:$DZ1493,$EF1493)&gt;=3),"Ecosystem approach","")</f>
        <v/>
      </c>
      <c r="EM1493" s="2" t="str">
        <f>IF(AND(AND(AND($DX1493=0,$DW1493=0),OR($EC1493=1,$EA1493=1)),SUM($EB1493:$EE1493)&gt;=2),"Technology approach","")</f>
        <v/>
      </c>
      <c r="EP1493" t="b">
        <f>IF(ISNUMBER(BU1493),IF(ABS(BU1493-[5]QC_indicators!$B$2)&gt;3*[5]QC_indicators!$C$2,"C ratio",IF(ISNUMBER(BY1493),IF(ABS(BY1493-[5]QC_indicators!$B$1)&gt;3*[5]QC_indicators!$C$1,"DF","no"))),IF(ISNUMBER(BY1493),IF(ABS(BY1493-[5]QC_indicators!$B$1)&gt;3*[5]QC_indicators!$C$1,"DF","no")))</f>
        <v>0</v>
      </c>
      <c r="ER1493" s="314" t="s">
        <v>349</v>
      </c>
    </row>
    <row r="1494" spans="1:148" ht="18" customHeight="1">
      <c r="A1494" s="1" t="s">
        <v>1102</v>
      </c>
      <c r="B1494" t="s">
        <v>4089</v>
      </c>
      <c r="C1494" t="s">
        <v>4090</v>
      </c>
      <c r="D1494" t="s">
        <v>4091</v>
      </c>
      <c r="E1494" t="s">
        <v>4092</v>
      </c>
      <c r="F1494" t="s">
        <v>4093</v>
      </c>
      <c r="G1494" t="s">
        <v>1108</v>
      </c>
      <c r="H1494" t="s">
        <v>254</v>
      </c>
      <c r="I1494">
        <v>2011</v>
      </c>
      <c r="J1494">
        <v>57</v>
      </c>
      <c r="K1494" t="s">
        <v>4094</v>
      </c>
      <c r="M1494" t="str">
        <f>LEFT($D1494,FIND(",",$D1494)-1)&amp;"_"&amp;I1494&amp;L1494</f>
        <v>Routa_2011</v>
      </c>
      <c r="N1494" s="312" t="s">
        <v>4383</v>
      </c>
      <c r="O1494" s="145" t="s">
        <v>341</v>
      </c>
      <c r="Q1494" s="312" t="s">
        <v>256</v>
      </c>
      <c r="R1494" s="313"/>
      <c r="S1494" s="1" t="s">
        <v>4109</v>
      </c>
      <c r="T1494" t="s">
        <v>1111</v>
      </c>
      <c r="U1494" t="e">
        <f>#REF!</f>
        <v>#REF!</v>
      </c>
      <c r="V1494">
        <v>0</v>
      </c>
      <c r="W1494">
        <v>0</v>
      </c>
      <c r="X1494">
        <v>0</v>
      </c>
      <c r="Y1494">
        <v>0</v>
      </c>
      <c r="Z1494">
        <v>0</v>
      </c>
      <c r="AA1494">
        <v>2</v>
      </c>
      <c r="AB1494">
        <v>1</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0</v>
      </c>
      <c r="AV1494">
        <v>0</v>
      </c>
      <c r="AW1494">
        <v>0</v>
      </c>
      <c r="AX1494" s="141">
        <f>COUNTIF(V1494:AW1494,"&lt;&gt;0")</f>
        <v>2</v>
      </c>
      <c r="AY1494" s="141">
        <f>COUNTIF(V1494:AL1494,"&lt;&gt;0")</f>
        <v>2</v>
      </c>
      <c r="AZ1494">
        <f>COUNTIF(V1494:AC1494,"&lt;&gt;0")</f>
        <v>2</v>
      </c>
      <c r="BA1494">
        <f>COUNTIF(AD1494:AI1494,"&lt;&gt;0")</f>
        <v>0</v>
      </c>
      <c r="BB1494">
        <f>COUNTIF(AJ1494:AL1494,"&lt;&gt;0")</f>
        <v>0</v>
      </c>
      <c r="BC1494">
        <f>COUNTIF(AS1494:AW1494,"&lt;&gt;0")</f>
        <v>0</v>
      </c>
      <c r="BD1494">
        <f>COUNTIF(AM1494:AR1494,"&lt;&gt;0")</f>
        <v>0</v>
      </c>
      <c r="BE1494" t="str" cm="1">
        <f t="array" ref="BE1494">IF(AY1494=1,INDEX($V$7:$AL$7,MATCH(TRUE,INDEX($V1494:$AW1494&lt;&gt;0,),0)),IF(AY1494=0,INDEX($AM$7:$AW$7,MATCH(1,$AM1494:$AW1494,0)),IF(BF1494="Multiple strategies","mixed drivers",IF(BF1494="Supply chain","multiple supply","multiple silviculture"))))</f>
        <v>multiple silviculture</v>
      </c>
      <c r="BF1494" s="2" t="str" cm="1">
        <f t="array" ref="BF1494">IF(COUNTIF(AZ1494:BB1494,"&lt;&gt;0")=1,INDEX($V$4:$AW$4,MATCH(TRUE,INDEX($V1494:$AW1494&lt;&gt;0,),0)),IF(COUNTIF(AZ1494:BB1494,"&lt;&gt;0")=0,INDEX($AM$4:$AW$4,MATCH(1,$AM1494:$AW1494,0)),"Multiple strategies"))</f>
        <v>Silviculture for productivity</v>
      </c>
      <c r="BP1494" s="312" t="s">
        <v>232</v>
      </c>
      <c r="BQ1494" s="312"/>
      <c r="BR1494" t="s">
        <v>2170</v>
      </c>
      <c r="BS1494">
        <v>-200</v>
      </c>
      <c r="BT1494">
        <v>-135</v>
      </c>
      <c r="BU1494" s="144">
        <v>0.67500000000000004</v>
      </c>
      <c r="BV1494">
        <v>65</v>
      </c>
      <c r="BX1494">
        <f>BV1494*10^3</f>
        <v>65000</v>
      </c>
      <c r="BY1494" t="str">
        <f>IFERROR(BX1494/BO1494,"")</f>
        <v/>
      </c>
      <c r="BZ1494">
        <v>0</v>
      </c>
      <c r="CA1494">
        <v>0</v>
      </c>
      <c r="CB1494">
        <v>0</v>
      </c>
      <c r="CC1494">
        <v>1</v>
      </c>
      <c r="CD1494">
        <v>0</v>
      </c>
      <c r="CE1494">
        <v>0</v>
      </c>
      <c r="CF1494">
        <v>0</v>
      </c>
      <c r="CG1494">
        <v>0</v>
      </c>
      <c r="CH1494">
        <v>0</v>
      </c>
      <c r="CI1494">
        <v>0</v>
      </c>
      <c r="CJ1494">
        <v>0</v>
      </c>
      <c r="CK1494">
        <v>0</v>
      </c>
      <c r="CL1494">
        <v>0</v>
      </c>
      <c r="CM1494">
        <v>0</v>
      </c>
      <c r="CN1494" t="str">
        <f>IF(BL1494&lt;BK1494,"refNeedCorrection","refOK")</f>
        <v>refOK</v>
      </c>
      <c r="CO1494"/>
      <c r="CP1494"/>
      <c r="CQ1494"/>
      <c r="CR1494">
        <f>IF($CN1494="refOK",$BS1494,$BT1494)*IF($BP1494="Emissions positive",-1,1)</f>
        <v>-200</v>
      </c>
      <c r="CS1494">
        <f>IF($CN1494="refOK",$BT1494,$BS1494)*IF($BP1494="Emissions positive",-1,1)</f>
        <v>-135</v>
      </c>
      <c r="CT1494">
        <f>IF($CN1494="refNeedCorrection",-BX1494,BX1494)*IF($BP1494="Emissions positive",-1,1)</f>
        <v>65000</v>
      </c>
      <c r="CU1494" t="str">
        <f>IFERROR(CT1494/CQ1494,"")</f>
        <v/>
      </c>
      <c r="CV1494" s="2">
        <f>IFERROR((CS1494-CR1494)/ABS(CR1494),"")</f>
        <v>0.32500000000000001</v>
      </c>
      <c r="CW1494" s="1" t="s">
        <v>1199</v>
      </c>
      <c r="CX1494" s="312" t="str">
        <f>IF(OR($CW1494="prd",$CW1494="std",$CW1494="cit"),"loc",IF(OR($CW1494="eur",$CW1494="reg",$CW1494="coy"),"reg",$CW1494))</f>
        <v>reg</v>
      </c>
      <c r="CY1494" t="s">
        <v>235</v>
      </c>
      <c r="CZ1494">
        <v>2011</v>
      </c>
      <c r="DA1494">
        <v>2090</v>
      </c>
      <c r="DB1494">
        <v>80</v>
      </c>
      <c r="DC1494" t="str">
        <f>IF(DB1494=0,"0",IF(AND(DB1494&gt;=1,DB1494&lt;=30),"1-30",IF(AND(DB1494&gt;30,DB1494&lt;=70),"31-70",IF(AND(DB1494&gt;70,DB1494&lt;=100),"71-100",IF(DB1494&gt;100,"+100")))))</f>
        <v>71-100</v>
      </c>
      <c r="DD1494">
        <v>0</v>
      </c>
      <c r="DE1494">
        <v>1</v>
      </c>
      <c r="DF1494">
        <v>1</v>
      </c>
      <c r="DG1494">
        <v>1</v>
      </c>
      <c r="DI1494">
        <f>SUM(DD1494:DG1494)</f>
        <v>3</v>
      </c>
      <c r="DJ1494" t="str">
        <f>IF(DI1494=1,INDEX($DD$7:$DG$7,MATCH(1,$DD1494:$DG1494,0)),"mixedProduct")</f>
        <v>mixedProduct</v>
      </c>
      <c r="DK1494">
        <f>IF(DD1494=1,DK$7,0)</f>
        <v>0</v>
      </c>
      <c r="DL1494" t="str">
        <f>IF(DE1494=1,DL$7,0)</f>
        <v>Energy</v>
      </c>
      <c r="DM1494" t="str">
        <f>IF(DF1494=1,DM$7,0)</f>
        <v>Pulp/Paper</v>
      </c>
      <c r="DN1494" t="str">
        <f>IF(DG1494=1,DN$7,0)</f>
        <v>Timber</v>
      </c>
      <c r="DO1494">
        <v>1</v>
      </c>
      <c r="DP1494">
        <v>0</v>
      </c>
      <c r="DQ1494">
        <v>0</v>
      </c>
      <c r="DR1494">
        <v>0</v>
      </c>
      <c r="DS1494">
        <v>0</v>
      </c>
      <c r="DT1494">
        <f>SUM(DO1494:DP1494)</f>
        <v>1</v>
      </c>
      <c r="DU1494" s="143" t="str">
        <f>IF(DO1494=1,"self-calculated DF",IF(DP1494=1,"external DF used","explicit C balance"))</f>
        <v>self-calculated DF</v>
      </c>
      <c r="DV1494">
        <v>1</v>
      </c>
      <c r="DW1494">
        <v>1</v>
      </c>
      <c r="DX1494">
        <v>1</v>
      </c>
      <c r="DY1494">
        <v>0</v>
      </c>
      <c r="DZ1494">
        <v>0</v>
      </c>
      <c r="EA1494" s="143">
        <v>0</v>
      </c>
      <c r="EB1494">
        <v>1</v>
      </c>
      <c r="EC1494">
        <v>1</v>
      </c>
      <c r="ED1494">
        <v>0</v>
      </c>
      <c r="EE1494">
        <v>1</v>
      </c>
      <c r="EF1494">
        <v>1</v>
      </c>
      <c r="EG1494">
        <v>1</v>
      </c>
      <c r="EH1494">
        <v>0</v>
      </c>
      <c r="EI1494" s="2">
        <v>0</v>
      </c>
      <c r="EK1494" t="str">
        <f>IF(AND(AND(AND(OR($DX1494=1,$DW1494=1),OR($EC1494=1,$EA1494=1)),SUM($DV1494:$DZ1494,$EF1494)&gt;=3),SUM($EA1494:$EE1494)&gt;=2),"Whole sector","")</f>
        <v>Whole sector</v>
      </c>
      <c r="EL1494" t="str">
        <f>IF(AND(AND(OR($DX1494=1,$DW1494=1),AND($EC1494=0,$EA1494=0)),SUM($DV1494:$DZ1494,$EF1494)&gt;=3),"Ecosystem approach","")</f>
        <v/>
      </c>
      <c r="EM1494" s="2" t="str">
        <f>IF(AND(AND(AND($DX1494=0,$DW1494=0),OR($EC1494=1,$EA1494=1)),SUM($EB1494:$EE1494)&gt;=2),"Technology approach","")</f>
        <v/>
      </c>
      <c r="EP1494" t="b">
        <f>IF(ISNUMBER(BU1494),IF(ABS(BU1494-[5]QC_indicators!$B$2)&gt;3*[5]QC_indicators!$C$2,"C ratio",IF(ISNUMBER(BY1494),IF(ABS(BY1494-[5]QC_indicators!$B$1)&gt;3*[5]QC_indicators!$C$1,"DF","no"))),IF(ISNUMBER(BY1494),IF(ABS(BY1494-[5]QC_indicators!$B$1)&gt;3*[5]QC_indicators!$C$1,"DF","no")))</f>
        <v>0</v>
      </c>
      <c r="ER1494" s="314" t="s">
        <v>349</v>
      </c>
    </row>
    <row r="1495" spans="1:148" ht="18" customHeight="1">
      <c r="A1495" s="1" t="s">
        <v>1102</v>
      </c>
      <c r="B1495" t="s">
        <v>4089</v>
      </c>
      <c r="C1495" t="s">
        <v>4090</v>
      </c>
      <c r="D1495" t="s">
        <v>4091</v>
      </c>
      <c r="E1495" t="s">
        <v>4092</v>
      </c>
      <c r="F1495" t="s">
        <v>4093</v>
      </c>
      <c r="G1495" t="s">
        <v>1108</v>
      </c>
      <c r="H1495" t="s">
        <v>254</v>
      </c>
      <c r="I1495">
        <v>2011</v>
      </c>
      <c r="J1495">
        <v>57</v>
      </c>
      <c r="K1495" t="s">
        <v>4094</v>
      </c>
      <c r="M1495" t="str">
        <f>LEFT($D1495,FIND(",",$D1495)-1)&amp;"_"&amp;I1495&amp;L1495</f>
        <v>Routa_2011</v>
      </c>
      <c r="N1495" s="312" t="s">
        <v>4383</v>
      </c>
      <c r="O1495" s="145" t="s">
        <v>341</v>
      </c>
      <c r="Q1495" s="312" t="s">
        <v>256</v>
      </c>
      <c r="R1495" s="313"/>
      <c r="S1495" s="1" t="s">
        <v>4110</v>
      </c>
      <c r="T1495" t="s">
        <v>1111</v>
      </c>
      <c r="U1495" t="e">
        <f>#REF!</f>
        <v>#REF!</v>
      </c>
      <c r="V1495">
        <v>0</v>
      </c>
      <c r="W1495">
        <v>0</v>
      </c>
      <c r="X1495">
        <v>0</v>
      </c>
      <c r="Y1495">
        <v>0</v>
      </c>
      <c r="Z1495">
        <v>0</v>
      </c>
      <c r="AA1495">
        <v>2</v>
      </c>
      <c r="AB1495">
        <v>1</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s="141">
        <f>COUNTIF(V1495:AW1495,"&lt;&gt;0")</f>
        <v>2</v>
      </c>
      <c r="AY1495" s="141">
        <f>COUNTIF(V1495:AL1495,"&lt;&gt;0")</f>
        <v>2</v>
      </c>
      <c r="AZ1495">
        <f>COUNTIF(V1495:AC1495,"&lt;&gt;0")</f>
        <v>2</v>
      </c>
      <c r="BA1495">
        <f>COUNTIF(AD1495:AI1495,"&lt;&gt;0")</f>
        <v>0</v>
      </c>
      <c r="BB1495">
        <f>COUNTIF(AJ1495:AL1495,"&lt;&gt;0")</f>
        <v>0</v>
      </c>
      <c r="BC1495">
        <f>COUNTIF(AS1495:AW1495,"&lt;&gt;0")</f>
        <v>0</v>
      </c>
      <c r="BD1495">
        <f>COUNTIF(AM1495:AR1495,"&lt;&gt;0")</f>
        <v>0</v>
      </c>
      <c r="BE1495" t="str" cm="1">
        <f t="array" ref="BE1495">IF(AY1495=1,INDEX($V$7:$AL$7,MATCH(TRUE,INDEX($V1495:$AW1495&lt;&gt;0,),0)),IF(AY1495=0,INDEX($AM$7:$AW$7,MATCH(1,$AM1495:$AW1495,0)),IF(BF1495="Multiple strategies","mixed drivers",IF(BF1495="Supply chain","multiple supply","multiple silviculture"))))</f>
        <v>multiple silviculture</v>
      </c>
      <c r="BF1495" s="2" t="str" cm="1">
        <f t="array" ref="BF1495">IF(COUNTIF(AZ1495:BB1495,"&lt;&gt;0")=1,INDEX($V$4:$AW$4,MATCH(TRUE,INDEX($V1495:$AW1495&lt;&gt;0,),0)),IF(COUNTIF(AZ1495:BB1495,"&lt;&gt;0")=0,INDEX($AM$4:$AW$4,MATCH(1,$AM1495:$AW1495,0)),"Multiple strategies"))</f>
        <v>Silviculture for productivity</v>
      </c>
      <c r="BP1495" s="312" t="s">
        <v>232</v>
      </c>
      <c r="BQ1495" s="312"/>
      <c r="BR1495" t="s">
        <v>2170</v>
      </c>
      <c r="BS1495">
        <v>-200</v>
      </c>
      <c r="BT1495">
        <v>-137</v>
      </c>
      <c r="BU1495" s="144">
        <v>0.68500000000000005</v>
      </c>
      <c r="BV1495">
        <v>63</v>
      </c>
      <c r="BX1495">
        <f>BV1495*10^3</f>
        <v>63000</v>
      </c>
      <c r="BY1495" t="str">
        <f>IFERROR(BX1495/BO1495,"")</f>
        <v/>
      </c>
      <c r="BZ1495">
        <v>0</v>
      </c>
      <c r="CA1495">
        <v>0</v>
      </c>
      <c r="CB1495">
        <v>0</v>
      </c>
      <c r="CC1495">
        <v>1</v>
      </c>
      <c r="CD1495">
        <v>0</v>
      </c>
      <c r="CE1495">
        <v>0</v>
      </c>
      <c r="CF1495">
        <v>0</v>
      </c>
      <c r="CG1495">
        <v>0</v>
      </c>
      <c r="CH1495">
        <v>0</v>
      </c>
      <c r="CI1495">
        <v>0</v>
      </c>
      <c r="CJ1495">
        <v>0</v>
      </c>
      <c r="CK1495">
        <v>0</v>
      </c>
      <c r="CL1495">
        <v>0</v>
      </c>
      <c r="CM1495">
        <v>0</v>
      </c>
      <c r="CN1495" t="str">
        <f>IF(BL1495&lt;BK1495,"refNeedCorrection","refOK")</f>
        <v>refOK</v>
      </c>
      <c r="CO1495"/>
      <c r="CP1495"/>
      <c r="CQ1495"/>
      <c r="CR1495">
        <f>IF($CN1495="refOK",$BS1495,$BT1495)*IF($BP1495="Emissions positive",-1,1)</f>
        <v>-200</v>
      </c>
      <c r="CS1495">
        <f>IF($CN1495="refOK",$BT1495,$BS1495)*IF($BP1495="Emissions positive",-1,1)</f>
        <v>-137</v>
      </c>
      <c r="CT1495">
        <f>IF($CN1495="refNeedCorrection",-BX1495,BX1495)*IF($BP1495="Emissions positive",-1,1)</f>
        <v>63000</v>
      </c>
      <c r="CU1495" t="str">
        <f>IFERROR(CT1495/CQ1495,"")</f>
        <v/>
      </c>
      <c r="CV1495" s="2">
        <f>IFERROR((CS1495-CR1495)/ABS(CR1495),"")</f>
        <v>0.315</v>
      </c>
      <c r="CW1495" s="1" t="s">
        <v>1199</v>
      </c>
      <c r="CX1495" s="312" t="str">
        <f>IF(OR($CW1495="prd",$CW1495="std",$CW1495="cit"),"loc",IF(OR($CW1495="eur",$CW1495="reg",$CW1495="coy"),"reg",$CW1495))</f>
        <v>reg</v>
      </c>
      <c r="CY1495" t="s">
        <v>235</v>
      </c>
      <c r="CZ1495">
        <v>2011</v>
      </c>
      <c r="DA1495">
        <v>2090</v>
      </c>
      <c r="DB1495">
        <v>80</v>
      </c>
      <c r="DC1495" t="str">
        <f>IF(DB1495=0,"0",IF(AND(DB1495&gt;=1,DB1495&lt;=30),"1-30",IF(AND(DB1495&gt;30,DB1495&lt;=70),"31-70",IF(AND(DB1495&gt;70,DB1495&lt;=100),"71-100",IF(DB1495&gt;100,"+100")))))</f>
        <v>71-100</v>
      </c>
      <c r="DD1495">
        <v>0</v>
      </c>
      <c r="DE1495">
        <v>1</v>
      </c>
      <c r="DF1495">
        <v>1</v>
      </c>
      <c r="DG1495">
        <v>1</v>
      </c>
      <c r="DI1495">
        <f>SUM(DD1495:DG1495)</f>
        <v>3</v>
      </c>
      <c r="DJ1495" t="str">
        <f>IF(DI1495=1,INDEX($DD$7:$DG$7,MATCH(1,$DD1495:$DG1495,0)),"mixedProduct")</f>
        <v>mixedProduct</v>
      </c>
      <c r="DK1495">
        <f>IF(DD1495=1,DK$7,0)</f>
        <v>0</v>
      </c>
      <c r="DL1495" t="str">
        <f>IF(DE1495=1,DL$7,0)</f>
        <v>Energy</v>
      </c>
      <c r="DM1495" t="str">
        <f>IF(DF1495=1,DM$7,0)</f>
        <v>Pulp/Paper</v>
      </c>
      <c r="DN1495" t="str">
        <f>IF(DG1495=1,DN$7,0)</f>
        <v>Timber</v>
      </c>
      <c r="DO1495">
        <v>1</v>
      </c>
      <c r="DP1495">
        <v>0</v>
      </c>
      <c r="DQ1495">
        <v>0</v>
      </c>
      <c r="DR1495">
        <v>0</v>
      </c>
      <c r="DS1495">
        <v>0</v>
      </c>
      <c r="DT1495">
        <f>SUM(DO1495:DP1495)</f>
        <v>1</v>
      </c>
      <c r="DU1495" s="143" t="str">
        <f>IF(DO1495=1,"self-calculated DF",IF(DP1495=1,"external DF used","explicit C balance"))</f>
        <v>self-calculated DF</v>
      </c>
      <c r="DV1495">
        <v>1</v>
      </c>
      <c r="DW1495">
        <v>1</v>
      </c>
      <c r="DX1495">
        <v>1</v>
      </c>
      <c r="DY1495">
        <v>0</v>
      </c>
      <c r="DZ1495">
        <v>0</v>
      </c>
      <c r="EA1495" s="143">
        <v>0</v>
      </c>
      <c r="EB1495">
        <v>1</v>
      </c>
      <c r="EC1495">
        <v>1</v>
      </c>
      <c r="ED1495">
        <v>0</v>
      </c>
      <c r="EE1495">
        <v>1</v>
      </c>
      <c r="EF1495">
        <v>1</v>
      </c>
      <c r="EG1495">
        <v>1</v>
      </c>
      <c r="EH1495">
        <v>0</v>
      </c>
      <c r="EI1495" s="2">
        <v>0</v>
      </c>
      <c r="EK1495" t="str">
        <f>IF(AND(AND(AND(OR($DX1495=1,$DW1495=1),OR($EC1495=1,$EA1495=1)),SUM($DV1495:$DZ1495,$EF1495)&gt;=3),SUM($EA1495:$EE1495)&gt;=2),"Whole sector","")</f>
        <v>Whole sector</v>
      </c>
      <c r="EL1495" t="str">
        <f>IF(AND(AND(OR($DX1495=1,$DW1495=1),AND($EC1495=0,$EA1495=0)),SUM($DV1495:$DZ1495,$EF1495)&gt;=3),"Ecosystem approach","")</f>
        <v/>
      </c>
      <c r="EM1495" s="2" t="str">
        <f>IF(AND(AND(AND($DX1495=0,$DW1495=0),OR($EC1495=1,$EA1495=1)),SUM($EB1495:$EE1495)&gt;=2),"Technology approach","")</f>
        <v/>
      </c>
      <c r="EP1495" t="b">
        <f>IF(ISNUMBER(BU1495),IF(ABS(BU1495-[5]QC_indicators!$B$2)&gt;3*[5]QC_indicators!$C$2,"C ratio",IF(ISNUMBER(BY1495),IF(ABS(BY1495-[5]QC_indicators!$B$1)&gt;3*[5]QC_indicators!$C$1,"DF","no"))),IF(ISNUMBER(BY1495),IF(ABS(BY1495-[5]QC_indicators!$B$1)&gt;3*[5]QC_indicators!$C$1,"DF","no")))</f>
        <v>0</v>
      </c>
      <c r="ER1495" s="314" t="s">
        <v>349</v>
      </c>
    </row>
    <row r="1496" spans="1:148" ht="18" customHeight="1">
      <c r="A1496" s="1" t="s">
        <v>1102</v>
      </c>
      <c r="B1496" t="s">
        <v>4089</v>
      </c>
      <c r="C1496" t="s">
        <v>4090</v>
      </c>
      <c r="D1496" t="s">
        <v>4091</v>
      </c>
      <c r="E1496" t="s">
        <v>4092</v>
      </c>
      <c r="F1496" t="s">
        <v>4093</v>
      </c>
      <c r="G1496" t="s">
        <v>1108</v>
      </c>
      <c r="H1496" t="s">
        <v>254</v>
      </c>
      <c r="I1496">
        <v>2011</v>
      </c>
      <c r="J1496">
        <v>57</v>
      </c>
      <c r="K1496" t="s">
        <v>4094</v>
      </c>
      <c r="M1496" t="str">
        <f>LEFT($D1496,FIND(",",$D1496)-1)&amp;"_"&amp;I1496&amp;L1496</f>
        <v>Routa_2011</v>
      </c>
      <c r="N1496" s="312" t="s">
        <v>4383</v>
      </c>
      <c r="O1496" s="145" t="s">
        <v>341</v>
      </c>
      <c r="Q1496" s="312" t="s">
        <v>256</v>
      </c>
      <c r="R1496" s="313"/>
      <c r="S1496" s="1" t="s">
        <v>4111</v>
      </c>
      <c r="T1496" t="s">
        <v>1111</v>
      </c>
      <c r="U1496" t="e">
        <f>#REF!</f>
        <v>#REF!</v>
      </c>
      <c r="V1496">
        <v>0</v>
      </c>
      <c r="W1496">
        <v>0</v>
      </c>
      <c r="X1496">
        <v>0</v>
      </c>
      <c r="Y1496">
        <v>0</v>
      </c>
      <c r="Z1496">
        <v>0</v>
      </c>
      <c r="AA1496">
        <v>2</v>
      </c>
      <c r="AB1496">
        <v>1</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s="141">
        <f>COUNTIF(V1496:AW1496,"&lt;&gt;0")</f>
        <v>2</v>
      </c>
      <c r="AY1496" s="141">
        <f>COUNTIF(V1496:AL1496,"&lt;&gt;0")</f>
        <v>2</v>
      </c>
      <c r="AZ1496">
        <f>COUNTIF(V1496:AC1496,"&lt;&gt;0")</f>
        <v>2</v>
      </c>
      <c r="BA1496">
        <f>COUNTIF(AD1496:AI1496,"&lt;&gt;0")</f>
        <v>0</v>
      </c>
      <c r="BB1496">
        <f>COUNTIF(AJ1496:AL1496,"&lt;&gt;0")</f>
        <v>0</v>
      </c>
      <c r="BC1496">
        <f>COUNTIF(AS1496:AW1496,"&lt;&gt;0")</f>
        <v>0</v>
      </c>
      <c r="BD1496">
        <f>COUNTIF(AM1496:AR1496,"&lt;&gt;0")</f>
        <v>0</v>
      </c>
      <c r="BE1496" t="str" cm="1">
        <f t="array" ref="BE1496">IF(AY1496=1,INDEX($V$7:$AL$7,MATCH(TRUE,INDEX($V1496:$AW1496&lt;&gt;0,),0)),IF(AY1496=0,INDEX($AM$7:$AW$7,MATCH(1,$AM1496:$AW1496,0)),IF(BF1496="Multiple strategies","mixed drivers",IF(BF1496="Supply chain","multiple supply","multiple silviculture"))))</f>
        <v>multiple silviculture</v>
      </c>
      <c r="BF1496" s="2" t="str" cm="1">
        <f t="array" ref="BF1496">IF(COUNTIF(AZ1496:BB1496,"&lt;&gt;0")=1,INDEX($V$4:$AW$4,MATCH(TRUE,INDEX($V1496:$AW1496&lt;&gt;0,),0)),IF(COUNTIF(AZ1496:BB1496,"&lt;&gt;0")=0,INDEX($AM$4:$AW$4,MATCH(1,$AM1496:$AW1496,0)),"Multiple strategies"))</f>
        <v>Silviculture for productivity</v>
      </c>
      <c r="BP1496" s="312" t="s">
        <v>232</v>
      </c>
      <c r="BQ1496" s="312"/>
      <c r="BR1496" t="s">
        <v>2170</v>
      </c>
      <c r="BS1496">
        <v>-150</v>
      </c>
      <c r="BT1496">
        <v>-108</v>
      </c>
      <c r="BU1496" s="144">
        <v>0.72</v>
      </c>
      <c r="BV1496">
        <v>42</v>
      </c>
      <c r="BX1496">
        <f>BV1496*10^3</f>
        <v>42000</v>
      </c>
      <c r="BY1496" t="str">
        <f>IFERROR(BX1496/BO1496,"")</f>
        <v/>
      </c>
      <c r="BZ1496">
        <v>0</v>
      </c>
      <c r="CA1496">
        <v>0</v>
      </c>
      <c r="CB1496">
        <v>0</v>
      </c>
      <c r="CC1496">
        <v>1</v>
      </c>
      <c r="CD1496">
        <v>0</v>
      </c>
      <c r="CE1496">
        <v>0</v>
      </c>
      <c r="CF1496">
        <v>0</v>
      </c>
      <c r="CG1496">
        <v>0</v>
      </c>
      <c r="CH1496">
        <v>0</v>
      </c>
      <c r="CI1496">
        <v>0</v>
      </c>
      <c r="CJ1496">
        <v>0</v>
      </c>
      <c r="CK1496">
        <v>0</v>
      </c>
      <c r="CL1496">
        <v>0</v>
      </c>
      <c r="CM1496">
        <v>0</v>
      </c>
      <c r="CN1496" t="str">
        <f>IF(BL1496&lt;BK1496,"refNeedCorrection","refOK")</f>
        <v>refOK</v>
      </c>
      <c r="CO1496"/>
      <c r="CP1496"/>
      <c r="CQ1496"/>
      <c r="CR1496">
        <f>IF($CN1496="refOK",$BS1496,$BT1496)*IF($BP1496="Emissions positive",-1,1)</f>
        <v>-150</v>
      </c>
      <c r="CS1496">
        <f>IF($CN1496="refOK",$BT1496,$BS1496)*IF($BP1496="Emissions positive",-1,1)</f>
        <v>-108</v>
      </c>
      <c r="CT1496">
        <f>IF($CN1496="refNeedCorrection",-BX1496,BX1496)*IF($BP1496="Emissions positive",-1,1)</f>
        <v>42000</v>
      </c>
      <c r="CU1496" t="str">
        <f>IFERROR(CT1496/CQ1496,"")</f>
        <v/>
      </c>
      <c r="CV1496" s="2">
        <f>IFERROR((CS1496-CR1496)/ABS(CR1496),"")</f>
        <v>0.28000000000000003</v>
      </c>
      <c r="CW1496" s="1" t="s">
        <v>1199</v>
      </c>
      <c r="CX1496" s="312" t="str">
        <f>IF(OR($CW1496="prd",$CW1496="std",$CW1496="cit"),"loc",IF(OR($CW1496="eur",$CW1496="reg",$CW1496="coy"),"reg",$CW1496))</f>
        <v>reg</v>
      </c>
      <c r="CY1496" t="s">
        <v>235</v>
      </c>
      <c r="CZ1496">
        <v>2011</v>
      </c>
      <c r="DA1496">
        <v>2090</v>
      </c>
      <c r="DB1496">
        <v>80</v>
      </c>
      <c r="DC1496" t="str">
        <f>IF(DB1496=0,"0",IF(AND(DB1496&gt;=1,DB1496&lt;=30),"1-30",IF(AND(DB1496&gt;30,DB1496&lt;=70),"31-70",IF(AND(DB1496&gt;70,DB1496&lt;=100),"71-100",IF(DB1496&gt;100,"+100")))))</f>
        <v>71-100</v>
      </c>
      <c r="DD1496">
        <v>0</v>
      </c>
      <c r="DE1496">
        <v>1</v>
      </c>
      <c r="DF1496">
        <v>1</v>
      </c>
      <c r="DG1496">
        <v>1</v>
      </c>
      <c r="DI1496">
        <f>SUM(DD1496:DG1496)</f>
        <v>3</v>
      </c>
      <c r="DJ1496" t="str">
        <f>IF(DI1496=1,INDEX($DD$7:$DG$7,MATCH(1,$DD1496:$DG1496,0)),"mixedProduct")</f>
        <v>mixedProduct</v>
      </c>
      <c r="DK1496">
        <f>IF(DD1496=1,DK$7,0)</f>
        <v>0</v>
      </c>
      <c r="DL1496" t="str">
        <f>IF(DE1496=1,DL$7,0)</f>
        <v>Energy</v>
      </c>
      <c r="DM1496" t="str">
        <f>IF(DF1496=1,DM$7,0)</f>
        <v>Pulp/Paper</v>
      </c>
      <c r="DN1496" t="str">
        <f>IF(DG1496=1,DN$7,0)</f>
        <v>Timber</v>
      </c>
      <c r="DO1496">
        <v>1</v>
      </c>
      <c r="DP1496">
        <v>0</v>
      </c>
      <c r="DQ1496">
        <v>0</v>
      </c>
      <c r="DR1496">
        <v>0</v>
      </c>
      <c r="DS1496">
        <v>0</v>
      </c>
      <c r="DT1496">
        <f>SUM(DO1496:DP1496)</f>
        <v>1</v>
      </c>
      <c r="DU1496" s="143" t="str">
        <f>IF(DO1496=1,"self-calculated DF",IF(DP1496=1,"external DF used","explicit C balance"))</f>
        <v>self-calculated DF</v>
      </c>
      <c r="DV1496">
        <v>1</v>
      </c>
      <c r="DW1496">
        <v>1</v>
      </c>
      <c r="DX1496">
        <v>1</v>
      </c>
      <c r="DY1496">
        <v>0</v>
      </c>
      <c r="DZ1496">
        <v>0</v>
      </c>
      <c r="EA1496" s="143">
        <v>0</v>
      </c>
      <c r="EB1496">
        <v>1</v>
      </c>
      <c r="EC1496">
        <v>1</v>
      </c>
      <c r="ED1496">
        <v>0</v>
      </c>
      <c r="EE1496">
        <v>1</v>
      </c>
      <c r="EF1496">
        <v>1</v>
      </c>
      <c r="EG1496">
        <v>1</v>
      </c>
      <c r="EH1496">
        <v>0</v>
      </c>
      <c r="EI1496" s="2">
        <v>0</v>
      </c>
      <c r="EK1496" t="str">
        <f>IF(AND(AND(AND(OR($DX1496=1,$DW1496=1),OR($EC1496=1,$EA1496=1)),SUM($DV1496:$DZ1496,$EF1496)&gt;=3),SUM($EA1496:$EE1496)&gt;=2),"Whole sector","")</f>
        <v>Whole sector</v>
      </c>
      <c r="EL1496" t="str">
        <f>IF(AND(AND(OR($DX1496=1,$DW1496=1),AND($EC1496=0,$EA1496=0)),SUM($DV1496:$DZ1496,$EF1496)&gt;=3),"Ecosystem approach","")</f>
        <v/>
      </c>
      <c r="EM1496" s="2" t="str">
        <f>IF(AND(AND(AND($DX1496=0,$DW1496=0),OR($EC1496=1,$EA1496=1)),SUM($EB1496:$EE1496)&gt;=2),"Technology approach","")</f>
        <v/>
      </c>
      <c r="EP1496" t="b">
        <f>IF(ISNUMBER(BU1496),IF(ABS(BU1496-[5]QC_indicators!$B$2)&gt;3*[5]QC_indicators!$C$2,"C ratio",IF(ISNUMBER(BY1496),IF(ABS(BY1496-[5]QC_indicators!$B$1)&gt;3*[5]QC_indicators!$C$1,"DF","no"))),IF(ISNUMBER(BY1496),IF(ABS(BY1496-[5]QC_indicators!$B$1)&gt;3*[5]QC_indicators!$C$1,"DF","no")))</f>
        <v>0</v>
      </c>
      <c r="ER1496" s="314" t="s">
        <v>349</v>
      </c>
    </row>
    <row r="1497" spans="1:148" ht="18" customHeight="1">
      <c r="A1497" s="1" t="s">
        <v>1102</v>
      </c>
      <c r="B1497" t="s">
        <v>4089</v>
      </c>
      <c r="C1497" t="s">
        <v>4090</v>
      </c>
      <c r="D1497" t="s">
        <v>4091</v>
      </c>
      <c r="E1497" t="s">
        <v>4092</v>
      </c>
      <c r="F1497" t="s">
        <v>4093</v>
      </c>
      <c r="G1497" t="s">
        <v>1108</v>
      </c>
      <c r="H1497" t="s">
        <v>254</v>
      </c>
      <c r="I1497">
        <v>2011</v>
      </c>
      <c r="J1497">
        <v>57</v>
      </c>
      <c r="K1497" t="s">
        <v>4094</v>
      </c>
      <c r="M1497" t="str">
        <f>LEFT($D1497,FIND(",",$D1497)-1)&amp;"_"&amp;I1497&amp;L1497</f>
        <v>Routa_2011</v>
      </c>
      <c r="N1497" s="312" t="s">
        <v>4383</v>
      </c>
      <c r="O1497" s="145" t="s">
        <v>341</v>
      </c>
      <c r="Q1497" s="312" t="s">
        <v>256</v>
      </c>
      <c r="R1497" s="313"/>
      <c r="S1497" s="1" t="s">
        <v>4112</v>
      </c>
      <c r="T1497" t="s">
        <v>1111</v>
      </c>
      <c r="U1497" t="e">
        <f>#REF!</f>
        <v>#REF!</v>
      </c>
      <c r="V1497">
        <v>0</v>
      </c>
      <c r="W1497">
        <v>0</v>
      </c>
      <c r="X1497">
        <v>0</v>
      </c>
      <c r="Y1497">
        <v>0</v>
      </c>
      <c r="Z1497">
        <v>0</v>
      </c>
      <c r="AA1497">
        <v>2</v>
      </c>
      <c r="AB1497">
        <v>1</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s="141">
        <f>COUNTIF(V1497:AW1497,"&lt;&gt;0")</f>
        <v>2</v>
      </c>
      <c r="AY1497" s="141">
        <f>COUNTIF(V1497:AL1497,"&lt;&gt;0")</f>
        <v>2</v>
      </c>
      <c r="AZ1497">
        <f>COUNTIF(V1497:AC1497,"&lt;&gt;0")</f>
        <v>2</v>
      </c>
      <c r="BA1497">
        <f>COUNTIF(AD1497:AI1497,"&lt;&gt;0")</f>
        <v>0</v>
      </c>
      <c r="BB1497">
        <f>COUNTIF(AJ1497:AL1497,"&lt;&gt;0")</f>
        <v>0</v>
      </c>
      <c r="BC1497">
        <f>COUNTIF(AS1497:AW1497,"&lt;&gt;0")</f>
        <v>0</v>
      </c>
      <c r="BD1497">
        <f>COUNTIF(AM1497:AR1497,"&lt;&gt;0")</f>
        <v>0</v>
      </c>
      <c r="BE1497" t="str" cm="1">
        <f t="array" ref="BE1497">IF(AY1497=1,INDEX($V$7:$AL$7,MATCH(TRUE,INDEX($V1497:$AW1497&lt;&gt;0,),0)),IF(AY1497=0,INDEX($AM$7:$AW$7,MATCH(1,$AM1497:$AW1497,0)),IF(BF1497="Multiple strategies","mixed drivers",IF(BF1497="Supply chain","multiple supply","multiple silviculture"))))</f>
        <v>multiple silviculture</v>
      </c>
      <c r="BF1497" s="2" t="str" cm="1">
        <f t="array" ref="BF1497">IF(COUNTIF(AZ1497:BB1497,"&lt;&gt;0")=1,INDEX($V$4:$AW$4,MATCH(TRUE,INDEX($V1497:$AW1497&lt;&gt;0,),0)),IF(COUNTIF(AZ1497:BB1497,"&lt;&gt;0")=0,INDEX($AM$4:$AW$4,MATCH(1,$AM1497:$AW1497,0)),"Multiple strategies"))</f>
        <v>Silviculture for productivity</v>
      </c>
      <c r="BP1497" s="312" t="s">
        <v>232</v>
      </c>
      <c r="BQ1497" s="312"/>
      <c r="BR1497" t="s">
        <v>2170</v>
      </c>
      <c r="BS1497">
        <v>-150</v>
      </c>
      <c r="BT1497">
        <v>-109</v>
      </c>
      <c r="BU1497" s="144">
        <v>0.72666666666666668</v>
      </c>
      <c r="BV1497">
        <v>41</v>
      </c>
      <c r="BX1497">
        <f>BV1497*10^3</f>
        <v>41000</v>
      </c>
      <c r="BY1497" t="str">
        <f>IFERROR(BX1497/BO1497,"")</f>
        <v/>
      </c>
      <c r="BZ1497">
        <v>0</v>
      </c>
      <c r="CA1497">
        <v>0</v>
      </c>
      <c r="CB1497">
        <v>0</v>
      </c>
      <c r="CC1497">
        <v>1</v>
      </c>
      <c r="CD1497">
        <v>0</v>
      </c>
      <c r="CE1497">
        <v>0</v>
      </c>
      <c r="CF1497">
        <v>0</v>
      </c>
      <c r="CG1497">
        <v>0</v>
      </c>
      <c r="CH1497">
        <v>0</v>
      </c>
      <c r="CI1497">
        <v>0</v>
      </c>
      <c r="CJ1497">
        <v>0</v>
      </c>
      <c r="CK1497">
        <v>0</v>
      </c>
      <c r="CL1497">
        <v>0</v>
      </c>
      <c r="CM1497">
        <v>0</v>
      </c>
      <c r="CN1497" t="str">
        <f>IF(BL1497&lt;BK1497,"refNeedCorrection","refOK")</f>
        <v>refOK</v>
      </c>
      <c r="CO1497"/>
      <c r="CP1497"/>
      <c r="CQ1497"/>
      <c r="CR1497">
        <f>IF($CN1497="refOK",$BS1497,$BT1497)*IF($BP1497="Emissions positive",-1,1)</f>
        <v>-150</v>
      </c>
      <c r="CS1497">
        <f>IF($CN1497="refOK",$BT1497,$BS1497)*IF($BP1497="Emissions positive",-1,1)</f>
        <v>-109</v>
      </c>
      <c r="CT1497">
        <f>IF($CN1497="refNeedCorrection",-BX1497,BX1497)*IF($BP1497="Emissions positive",-1,1)</f>
        <v>41000</v>
      </c>
      <c r="CU1497" t="str">
        <f>IFERROR(CT1497/CQ1497,"")</f>
        <v/>
      </c>
      <c r="CV1497" s="2">
        <f>IFERROR((CS1497-CR1497)/ABS(CR1497),"")</f>
        <v>0.27333333333333332</v>
      </c>
      <c r="CW1497" s="1" t="s">
        <v>1199</v>
      </c>
      <c r="CX1497" s="312" t="str">
        <f>IF(OR($CW1497="prd",$CW1497="std",$CW1497="cit"),"loc",IF(OR($CW1497="eur",$CW1497="reg",$CW1497="coy"),"reg",$CW1497))</f>
        <v>reg</v>
      </c>
      <c r="CY1497" t="s">
        <v>235</v>
      </c>
      <c r="CZ1497">
        <v>2011</v>
      </c>
      <c r="DA1497">
        <v>2090</v>
      </c>
      <c r="DB1497">
        <v>80</v>
      </c>
      <c r="DC1497" t="str">
        <f>IF(DB1497=0,"0",IF(AND(DB1497&gt;=1,DB1497&lt;=30),"1-30",IF(AND(DB1497&gt;30,DB1497&lt;=70),"31-70",IF(AND(DB1497&gt;70,DB1497&lt;=100),"71-100",IF(DB1497&gt;100,"+100")))))</f>
        <v>71-100</v>
      </c>
      <c r="DD1497">
        <v>0</v>
      </c>
      <c r="DE1497">
        <v>1</v>
      </c>
      <c r="DF1497">
        <v>1</v>
      </c>
      <c r="DG1497">
        <v>1</v>
      </c>
      <c r="DI1497">
        <f>SUM(DD1497:DG1497)</f>
        <v>3</v>
      </c>
      <c r="DJ1497" t="str">
        <f>IF(DI1497=1,INDEX($DD$7:$DG$7,MATCH(1,$DD1497:$DG1497,0)),"mixedProduct")</f>
        <v>mixedProduct</v>
      </c>
      <c r="DK1497">
        <f>IF(DD1497=1,DK$7,0)</f>
        <v>0</v>
      </c>
      <c r="DL1497" t="str">
        <f>IF(DE1497=1,DL$7,0)</f>
        <v>Energy</v>
      </c>
      <c r="DM1497" t="str">
        <f>IF(DF1497=1,DM$7,0)</f>
        <v>Pulp/Paper</v>
      </c>
      <c r="DN1497" t="str">
        <f>IF(DG1497=1,DN$7,0)</f>
        <v>Timber</v>
      </c>
      <c r="DO1497">
        <v>1</v>
      </c>
      <c r="DP1497">
        <v>0</v>
      </c>
      <c r="DQ1497">
        <v>0</v>
      </c>
      <c r="DR1497">
        <v>0</v>
      </c>
      <c r="DS1497">
        <v>0</v>
      </c>
      <c r="DT1497">
        <f>SUM(DO1497:DP1497)</f>
        <v>1</v>
      </c>
      <c r="DU1497" s="143" t="str">
        <f>IF(DO1497=1,"self-calculated DF",IF(DP1497=1,"external DF used","explicit C balance"))</f>
        <v>self-calculated DF</v>
      </c>
      <c r="DV1497">
        <v>1</v>
      </c>
      <c r="DW1497">
        <v>1</v>
      </c>
      <c r="DX1497">
        <v>1</v>
      </c>
      <c r="DY1497">
        <v>0</v>
      </c>
      <c r="DZ1497">
        <v>0</v>
      </c>
      <c r="EA1497" s="143">
        <v>0</v>
      </c>
      <c r="EB1497">
        <v>1</v>
      </c>
      <c r="EC1497">
        <v>1</v>
      </c>
      <c r="ED1497">
        <v>0</v>
      </c>
      <c r="EE1497">
        <v>1</v>
      </c>
      <c r="EF1497">
        <v>1</v>
      </c>
      <c r="EG1497">
        <v>1</v>
      </c>
      <c r="EH1497">
        <v>0</v>
      </c>
      <c r="EI1497" s="2">
        <v>0</v>
      </c>
      <c r="EK1497" t="str">
        <f>IF(AND(AND(AND(OR($DX1497=1,$DW1497=1),OR($EC1497=1,$EA1497=1)),SUM($DV1497:$DZ1497,$EF1497)&gt;=3),SUM($EA1497:$EE1497)&gt;=2),"Whole sector","")</f>
        <v>Whole sector</v>
      </c>
      <c r="EL1497" t="str">
        <f>IF(AND(AND(OR($DX1497=1,$DW1497=1),AND($EC1497=0,$EA1497=0)),SUM($DV1497:$DZ1497,$EF1497)&gt;=3),"Ecosystem approach","")</f>
        <v/>
      </c>
      <c r="EM1497" s="2" t="str">
        <f>IF(AND(AND(AND($DX1497=0,$DW1497=0),OR($EC1497=1,$EA1497=1)),SUM($EB1497:$EE1497)&gt;=2),"Technology approach","")</f>
        <v/>
      </c>
      <c r="EP1497" t="b">
        <f>IF(ISNUMBER(BU1497),IF(ABS(BU1497-[5]QC_indicators!$B$2)&gt;3*[5]QC_indicators!$C$2,"C ratio",IF(ISNUMBER(BY1497),IF(ABS(BY1497-[5]QC_indicators!$B$1)&gt;3*[5]QC_indicators!$C$1,"DF","no"))),IF(ISNUMBER(BY1497),IF(ABS(BY1497-[5]QC_indicators!$B$1)&gt;3*[5]QC_indicators!$C$1,"DF","no")))</f>
        <v>0</v>
      </c>
      <c r="ER1497" s="314" t="s">
        <v>349</v>
      </c>
    </row>
    <row r="1498" spans="1:148" ht="18" customHeight="1">
      <c r="A1498" s="1" t="s">
        <v>1102</v>
      </c>
      <c r="B1498" t="s">
        <v>4089</v>
      </c>
      <c r="C1498" t="s">
        <v>4090</v>
      </c>
      <c r="D1498" t="s">
        <v>4091</v>
      </c>
      <c r="E1498" t="s">
        <v>4092</v>
      </c>
      <c r="F1498" t="s">
        <v>4093</v>
      </c>
      <c r="G1498" t="s">
        <v>1108</v>
      </c>
      <c r="H1498" t="s">
        <v>254</v>
      </c>
      <c r="I1498">
        <v>2011</v>
      </c>
      <c r="J1498">
        <v>57</v>
      </c>
      <c r="K1498" t="s">
        <v>4094</v>
      </c>
      <c r="M1498" t="str">
        <f>LEFT($D1498,FIND(",",$D1498)-1)&amp;"_"&amp;I1498&amp;L1498</f>
        <v>Routa_2011</v>
      </c>
      <c r="N1498" s="312" t="s">
        <v>4383</v>
      </c>
      <c r="O1498" s="145" t="s">
        <v>341</v>
      </c>
      <c r="Q1498" s="312" t="s">
        <v>256</v>
      </c>
      <c r="R1498" s="313"/>
      <c r="S1498" s="1" t="s">
        <v>4113</v>
      </c>
      <c r="T1498" t="s">
        <v>1111</v>
      </c>
      <c r="U1498" t="e">
        <f>#REF!</f>
        <v>#REF!</v>
      </c>
      <c r="V1498">
        <v>0</v>
      </c>
      <c r="W1498">
        <v>0</v>
      </c>
      <c r="X1498">
        <v>0</v>
      </c>
      <c r="Y1498">
        <v>0</v>
      </c>
      <c r="Z1498">
        <v>0</v>
      </c>
      <c r="AA1498">
        <v>2</v>
      </c>
      <c r="AB1498">
        <v>1</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s="141">
        <f>COUNTIF(V1498:AW1498,"&lt;&gt;0")</f>
        <v>2</v>
      </c>
      <c r="AY1498" s="141">
        <f>COUNTIF(V1498:AL1498,"&lt;&gt;0")</f>
        <v>2</v>
      </c>
      <c r="AZ1498">
        <f>COUNTIF(V1498:AC1498,"&lt;&gt;0")</f>
        <v>2</v>
      </c>
      <c r="BA1498">
        <f>COUNTIF(AD1498:AI1498,"&lt;&gt;0")</f>
        <v>0</v>
      </c>
      <c r="BB1498">
        <f>COUNTIF(AJ1498:AL1498,"&lt;&gt;0")</f>
        <v>0</v>
      </c>
      <c r="BC1498">
        <f>COUNTIF(AS1498:AW1498,"&lt;&gt;0")</f>
        <v>0</v>
      </c>
      <c r="BD1498">
        <f>COUNTIF(AM1498:AR1498,"&lt;&gt;0")</f>
        <v>0</v>
      </c>
      <c r="BE1498" t="str" cm="1">
        <f t="array" ref="BE1498">IF(AY1498=1,INDEX($V$7:$AL$7,MATCH(TRUE,INDEX($V1498:$AW1498&lt;&gt;0,),0)),IF(AY1498=0,INDEX($AM$7:$AW$7,MATCH(1,$AM1498:$AW1498,0)),IF(BF1498="Multiple strategies","mixed drivers",IF(BF1498="Supply chain","multiple supply","multiple silviculture"))))</f>
        <v>multiple silviculture</v>
      </c>
      <c r="BF1498" s="2" t="str" cm="1">
        <f t="array" ref="BF1498">IF(COUNTIF(AZ1498:BB1498,"&lt;&gt;0")=1,INDEX($V$4:$AW$4,MATCH(TRUE,INDEX($V1498:$AW1498&lt;&gt;0,),0)),IF(COUNTIF(AZ1498:BB1498,"&lt;&gt;0")=0,INDEX($AM$4:$AW$4,MATCH(1,$AM1498:$AW1498,0)),"Multiple strategies"))</f>
        <v>Silviculture for productivity</v>
      </c>
      <c r="BP1498" s="312" t="s">
        <v>232</v>
      </c>
      <c r="BQ1498" s="312"/>
      <c r="BR1498" t="s">
        <v>2170</v>
      </c>
      <c r="BS1498">
        <v>-150</v>
      </c>
      <c r="BT1498">
        <v>-110</v>
      </c>
      <c r="BU1498" s="144">
        <v>0.73333333333333328</v>
      </c>
      <c r="BV1498">
        <v>40</v>
      </c>
      <c r="BX1498">
        <f>BV1498*10^3</f>
        <v>40000</v>
      </c>
      <c r="BY1498" t="str">
        <f>IFERROR(BX1498/BO1498,"")</f>
        <v/>
      </c>
      <c r="BZ1498">
        <v>0</v>
      </c>
      <c r="CA1498">
        <v>0</v>
      </c>
      <c r="CB1498">
        <v>0</v>
      </c>
      <c r="CC1498">
        <v>1</v>
      </c>
      <c r="CD1498">
        <v>0</v>
      </c>
      <c r="CE1498">
        <v>0</v>
      </c>
      <c r="CF1498">
        <v>0</v>
      </c>
      <c r="CG1498">
        <v>0</v>
      </c>
      <c r="CH1498">
        <v>0</v>
      </c>
      <c r="CI1498">
        <v>0</v>
      </c>
      <c r="CJ1498">
        <v>0</v>
      </c>
      <c r="CK1498">
        <v>0</v>
      </c>
      <c r="CL1498">
        <v>0</v>
      </c>
      <c r="CM1498">
        <v>0</v>
      </c>
      <c r="CN1498" t="str">
        <f>IF(BL1498&lt;BK1498,"refNeedCorrection","refOK")</f>
        <v>refOK</v>
      </c>
      <c r="CO1498"/>
      <c r="CP1498"/>
      <c r="CQ1498"/>
      <c r="CR1498">
        <f>IF($CN1498="refOK",$BS1498,$BT1498)*IF($BP1498="Emissions positive",-1,1)</f>
        <v>-150</v>
      </c>
      <c r="CS1498">
        <f>IF($CN1498="refOK",$BT1498,$BS1498)*IF($BP1498="Emissions positive",-1,1)</f>
        <v>-110</v>
      </c>
      <c r="CT1498">
        <f>IF($CN1498="refNeedCorrection",-BX1498,BX1498)*IF($BP1498="Emissions positive",-1,1)</f>
        <v>40000</v>
      </c>
      <c r="CU1498" t="str">
        <f>IFERROR(CT1498/CQ1498,"")</f>
        <v/>
      </c>
      <c r="CV1498" s="2">
        <f>IFERROR((CS1498-CR1498)/ABS(CR1498),"")</f>
        <v>0.26666666666666666</v>
      </c>
      <c r="CW1498" s="1" t="s">
        <v>1199</v>
      </c>
      <c r="CX1498" s="312" t="str">
        <f>IF(OR($CW1498="prd",$CW1498="std",$CW1498="cit"),"loc",IF(OR($CW1498="eur",$CW1498="reg",$CW1498="coy"),"reg",$CW1498))</f>
        <v>reg</v>
      </c>
      <c r="CY1498" t="s">
        <v>235</v>
      </c>
      <c r="CZ1498">
        <v>2011</v>
      </c>
      <c r="DA1498">
        <v>2090</v>
      </c>
      <c r="DB1498">
        <v>80</v>
      </c>
      <c r="DC1498" t="str">
        <f>IF(DB1498=0,"0",IF(AND(DB1498&gt;=1,DB1498&lt;=30),"1-30",IF(AND(DB1498&gt;30,DB1498&lt;=70),"31-70",IF(AND(DB1498&gt;70,DB1498&lt;=100),"71-100",IF(DB1498&gt;100,"+100")))))</f>
        <v>71-100</v>
      </c>
      <c r="DD1498">
        <v>0</v>
      </c>
      <c r="DE1498">
        <v>1</v>
      </c>
      <c r="DF1498">
        <v>1</v>
      </c>
      <c r="DG1498">
        <v>1</v>
      </c>
      <c r="DI1498">
        <f>SUM(DD1498:DG1498)</f>
        <v>3</v>
      </c>
      <c r="DJ1498" t="str">
        <f>IF(DI1498=1,INDEX($DD$7:$DG$7,MATCH(1,$DD1498:$DG1498,0)),"mixedProduct")</f>
        <v>mixedProduct</v>
      </c>
      <c r="DK1498">
        <f>IF(DD1498=1,DK$7,0)</f>
        <v>0</v>
      </c>
      <c r="DL1498" t="str">
        <f>IF(DE1498=1,DL$7,0)</f>
        <v>Energy</v>
      </c>
      <c r="DM1498" t="str">
        <f>IF(DF1498=1,DM$7,0)</f>
        <v>Pulp/Paper</v>
      </c>
      <c r="DN1498" t="str">
        <f>IF(DG1498=1,DN$7,0)</f>
        <v>Timber</v>
      </c>
      <c r="DO1498">
        <v>1</v>
      </c>
      <c r="DP1498">
        <v>0</v>
      </c>
      <c r="DQ1498">
        <v>0</v>
      </c>
      <c r="DR1498">
        <v>0</v>
      </c>
      <c r="DS1498">
        <v>0</v>
      </c>
      <c r="DT1498">
        <f>SUM(DO1498:DP1498)</f>
        <v>1</v>
      </c>
      <c r="DU1498" s="143" t="str">
        <f>IF(DO1498=1,"self-calculated DF",IF(DP1498=1,"external DF used","explicit C balance"))</f>
        <v>self-calculated DF</v>
      </c>
      <c r="DV1498">
        <v>1</v>
      </c>
      <c r="DW1498">
        <v>1</v>
      </c>
      <c r="DX1498">
        <v>1</v>
      </c>
      <c r="DY1498">
        <v>0</v>
      </c>
      <c r="DZ1498">
        <v>0</v>
      </c>
      <c r="EA1498" s="143">
        <v>0</v>
      </c>
      <c r="EB1498">
        <v>1</v>
      </c>
      <c r="EC1498">
        <v>1</v>
      </c>
      <c r="ED1498">
        <v>0</v>
      </c>
      <c r="EE1498">
        <v>1</v>
      </c>
      <c r="EF1498">
        <v>1</v>
      </c>
      <c r="EG1498">
        <v>1</v>
      </c>
      <c r="EH1498">
        <v>0</v>
      </c>
      <c r="EI1498" s="2">
        <v>0</v>
      </c>
      <c r="EK1498" t="str">
        <f>IF(AND(AND(AND(OR($DX1498=1,$DW1498=1),OR($EC1498=1,$EA1498=1)),SUM($DV1498:$DZ1498,$EF1498)&gt;=3),SUM($EA1498:$EE1498)&gt;=2),"Whole sector","")</f>
        <v>Whole sector</v>
      </c>
      <c r="EL1498" t="str">
        <f>IF(AND(AND(OR($DX1498=1,$DW1498=1),AND($EC1498=0,$EA1498=0)),SUM($DV1498:$DZ1498,$EF1498)&gt;=3),"Ecosystem approach","")</f>
        <v/>
      </c>
      <c r="EM1498" s="2" t="str">
        <f>IF(AND(AND(AND($DX1498=0,$DW1498=0),OR($EC1498=1,$EA1498=1)),SUM($EB1498:$EE1498)&gt;=2),"Technology approach","")</f>
        <v/>
      </c>
      <c r="EP1498" t="b">
        <f>IF(ISNUMBER(BU1498),IF(ABS(BU1498-[5]QC_indicators!$B$2)&gt;3*[5]QC_indicators!$C$2,"C ratio",IF(ISNUMBER(BY1498),IF(ABS(BY1498-[5]QC_indicators!$B$1)&gt;3*[5]QC_indicators!$C$1,"DF","no"))),IF(ISNUMBER(BY1498),IF(ABS(BY1498-[5]QC_indicators!$B$1)&gt;3*[5]QC_indicators!$C$1,"DF","no")))</f>
        <v>0</v>
      </c>
      <c r="ER1498" s="314" t="s">
        <v>349</v>
      </c>
    </row>
    <row r="1499" spans="1:148" ht="18" customHeight="1">
      <c r="A1499" s="1" t="s">
        <v>1102</v>
      </c>
      <c r="B1499" t="s">
        <v>4089</v>
      </c>
      <c r="C1499" t="s">
        <v>4090</v>
      </c>
      <c r="D1499" t="s">
        <v>4091</v>
      </c>
      <c r="E1499" t="s">
        <v>4092</v>
      </c>
      <c r="F1499" t="s">
        <v>4093</v>
      </c>
      <c r="G1499" t="s">
        <v>1108</v>
      </c>
      <c r="H1499" t="s">
        <v>254</v>
      </c>
      <c r="I1499">
        <v>2011</v>
      </c>
      <c r="J1499">
        <v>57</v>
      </c>
      <c r="K1499" t="s">
        <v>4094</v>
      </c>
      <c r="M1499" t="str">
        <f>LEFT($D1499,FIND(",",$D1499)-1)&amp;"_"&amp;I1499&amp;L1499</f>
        <v>Routa_2011</v>
      </c>
      <c r="N1499" s="312" t="s">
        <v>4383</v>
      </c>
      <c r="O1499" s="145" t="s">
        <v>341</v>
      </c>
      <c r="Q1499" s="312" t="s">
        <v>256</v>
      </c>
      <c r="R1499" s="313"/>
      <c r="S1499" s="1" t="s">
        <v>4114</v>
      </c>
      <c r="T1499" t="s">
        <v>1111</v>
      </c>
      <c r="U1499" t="e">
        <f>#REF!</f>
        <v>#REF!</v>
      </c>
      <c r="V1499">
        <v>0</v>
      </c>
      <c r="W1499">
        <v>0</v>
      </c>
      <c r="X1499">
        <v>0</v>
      </c>
      <c r="Y1499">
        <v>0</v>
      </c>
      <c r="Z1499">
        <v>0</v>
      </c>
      <c r="AA1499">
        <v>2</v>
      </c>
      <c r="AB1499">
        <v>1</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s="141">
        <f>COUNTIF(V1499:AW1499,"&lt;&gt;0")</f>
        <v>2</v>
      </c>
      <c r="AY1499" s="141">
        <f>COUNTIF(V1499:AL1499,"&lt;&gt;0")</f>
        <v>2</v>
      </c>
      <c r="AZ1499">
        <f>COUNTIF(V1499:AC1499,"&lt;&gt;0")</f>
        <v>2</v>
      </c>
      <c r="BA1499">
        <f>COUNTIF(AD1499:AI1499,"&lt;&gt;0")</f>
        <v>0</v>
      </c>
      <c r="BB1499">
        <f>COUNTIF(AJ1499:AL1499,"&lt;&gt;0")</f>
        <v>0</v>
      </c>
      <c r="BC1499">
        <f>COUNTIF(AS1499:AW1499,"&lt;&gt;0")</f>
        <v>0</v>
      </c>
      <c r="BD1499">
        <f>COUNTIF(AM1499:AR1499,"&lt;&gt;0")</f>
        <v>0</v>
      </c>
      <c r="BE1499" t="str" cm="1">
        <f t="array" ref="BE1499">IF(AY1499=1,INDEX($V$7:$AL$7,MATCH(TRUE,INDEX($V1499:$AW1499&lt;&gt;0,),0)),IF(AY1499=0,INDEX($AM$7:$AW$7,MATCH(1,$AM1499:$AW1499,0)),IF(BF1499="Multiple strategies","mixed drivers",IF(BF1499="Supply chain","multiple supply","multiple silviculture"))))</f>
        <v>multiple silviculture</v>
      </c>
      <c r="BF1499" s="2" t="str" cm="1">
        <f t="array" ref="BF1499">IF(COUNTIF(AZ1499:BB1499,"&lt;&gt;0")=1,INDEX($V$4:$AW$4,MATCH(TRUE,INDEX($V1499:$AW1499&lt;&gt;0,),0)),IF(COUNTIF(AZ1499:BB1499,"&lt;&gt;0")=0,INDEX($AM$4:$AW$4,MATCH(1,$AM1499:$AW1499,0)),"Multiple strategies"))</f>
        <v>Silviculture for productivity</v>
      </c>
      <c r="BP1499" s="312" t="s">
        <v>232</v>
      </c>
      <c r="BQ1499" s="312"/>
      <c r="BR1499" t="s">
        <v>2170</v>
      </c>
      <c r="BS1499">
        <v>-150</v>
      </c>
      <c r="BT1499">
        <v>-110</v>
      </c>
      <c r="BU1499" s="144">
        <v>0.73333333333333328</v>
      </c>
      <c r="BV1499">
        <v>40</v>
      </c>
      <c r="BX1499">
        <f>BV1499*10^3</f>
        <v>40000</v>
      </c>
      <c r="BY1499" t="str">
        <f>IFERROR(BX1499/BO1499,"")</f>
        <v/>
      </c>
      <c r="BZ1499">
        <v>0</v>
      </c>
      <c r="CA1499">
        <v>0</v>
      </c>
      <c r="CB1499">
        <v>0</v>
      </c>
      <c r="CC1499">
        <v>1</v>
      </c>
      <c r="CD1499">
        <v>0</v>
      </c>
      <c r="CE1499">
        <v>0</v>
      </c>
      <c r="CF1499">
        <v>0</v>
      </c>
      <c r="CG1499">
        <v>0</v>
      </c>
      <c r="CH1499">
        <v>0</v>
      </c>
      <c r="CI1499">
        <v>0</v>
      </c>
      <c r="CJ1499">
        <v>0</v>
      </c>
      <c r="CK1499">
        <v>0</v>
      </c>
      <c r="CL1499">
        <v>0</v>
      </c>
      <c r="CM1499">
        <v>0</v>
      </c>
      <c r="CN1499" t="str">
        <f>IF(BL1499&lt;BK1499,"refNeedCorrection","refOK")</f>
        <v>refOK</v>
      </c>
      <c r="CO1499"/>
      <c r="CP1499"/>
      <c r="CQ1499"/>
      <c r="CR1499">
        <f>IF($CN1499="refOK",$BS1499,$BT1499)*IF($BP1499="Emissions positive",-1,1)</f>
        <v>-150</v>
      </c>
      <c r="CS1499">
        <f>IF($CN1499="refOK",$BT1499,$BS1499)*IF($BP1499="Emissions positive",-1,1)</f>
        <v>-110</v>
      </c>
      <c r="CT1499">
        <f>IF($CN1499="refNeedCorrection",-BX1499,BX1499)*IF($BP1499="Emissions positive",-1,1)</f>
        <v>40000</v>
      </c>
      <c r="CU1499" t="str">
        <f>IFERROR(CT1499/CQ1499,"")</f>
        <v/>
      </c>
      <c r="CV1499" s="2">
        <f>IFERROR((CS1499-CR1499)/ABS(CR1499),"")</f>
        <v>0.26666666666666666</v>
      </c>
      <c r="CW1499" s="1" t="s">
        <v>1199</v>
      </c>
      <c r="CX1499" s="312" t="str">
        <f>IF(OR($CW1499="prd",$CW1499="std",$CW1499="cit"),"loc",IF(OR($CW1499="eur",$CW1499="reg",$CW1499="coy"),"reg",$CW1499))</f>
        <v>reg</v>
      </c>
      <c r="CY1499" t="s">
        <v>235</v>
      </c>
      <c r="CZ1499">
        <v>2011</v>
      </c>
      <c r="DA1499">
        <v>2090</v>
      </c>
      <c r="DB1499">
        <v>80</v>
      </c>
      <c r="DC1499" t="str">
        <f>IF(DB1499=0,"0",IF(AND(DB1499&gt;=1,DB1499&lt;=30),"1-30",IF(AND(DB1499&gt;30,DB1499&lt;=70),"31-70",IF(AND(DB1499&gt;70,DB1499&lt;=100),"71-100",IF(DB1499&gt;100,"+100")))))</f>
        <v>71-100</v>
      </c>
      <c r="DD1499">
        <v>0</v>
      </c>
      <c r="DE1499">
        <v>1</v>
      </c>
      <c r="DF1499">
        <v>1</v>
      </c>
      <c r="DG1499">
        <v>1</v>
      </c>
      <c r="DI1499">
        <f>SUM(DD1499:DG1499)</f>
        <v>3</v>
      </c>
      <c r="DJ1499" t="str">
        <f>IF(DI1499=1,INDEX($DD$7:$DG$7,MATCH(1,$DD1499:$DG1499,0)),"mixedProduct")</f>
        <v>mixedProduct</v>
      </c>
      <c r="DK1499">
        <f>IF(DD1499=1,DK$7,0)</f>
        <v>0</v>
      </c>
      <c r="DL1499" t="str">
        <f>IF(DE1499=1,DL$7,0)</f>
        <v>Energy</v>
      </c>
      <c r="DM1499" t="str">
        <f>IF(DF1499=1,DM$7,0)</f>
        <v>Pulp/Paper</v>
      </c>
      <c r="DN1499" t="str">
        <f>IF(DG1499=1,DN$7,0)</f>
        <v>Timber</v>
      </c>
      <c r="DO1499">
        <v>1</v>
      </c>
      <c r="DP1499">
        <v>0</v>
      </c>
      <c r="DQ1499">
        <v>0</v>
      </c>
      <c r="DR1499">
        <v>0</v>
      </c>
      <c r="DS1499">
        <v>0</v>
      </c>
      <c r="DT1499">
        <f>SUM(DO1499:DP1499)</f>
        <v>1</v>
      </c>
      <c r="DU1499" s="143" t="str">
        <f>IF(DO1499=1,"self-calculated DF",IF(DP1499=1,"external DF used","explicit C balance"))</f>
        <v>self-calculated DF</v>
      </c>
      <c r="DV1499">
        <v>1</v>
      </c>
      <c r="DW1499">
        <v>1</v>
      </c>
      <c r="DX1499">
        <v>1</v>
      </c>
      <c r="DY1499">
        <v>0</v>
      </c>
      <c r="DZ1499">
        <v>0</v>
      </c>
      <c r="EA1499" s="143">
        <v>0</v>
      </c>
      <c r="EB1499">
        <v>1</v>
      </c>
      <c r="EC1499">
        <v>1</v>
      </c>
      <c r="ED1499">
        <v>0</v>
      </c>
      <c r="EE1499">
        <v>1</v>
      </c>
      <c r="EF1499">
        <v>1</v>
      </c>
      <c r="EG1499">
        <v>1</v>
      </c>
      <c r="EH1499">
        <v>0</v>
      </c>
      <c r="EI1499" s="2">
        <v>0</v>
      </c>
      <c r="EK1499" t="str">
        <f>IF(AND(AND(AND(OR($DX1499=1,$DW1499=1),OR($EC1499=1,$EA1499=1)),SUM($DV1499:$DZ1499,$EF1499)&gt;=3),SUM($EA1499:$EE1499)&gt;=2),"Whole sector","")</f>
        <v>Whole sector</v>
      </c>
      <c r="EL1499" t="str">
        <f>IF(AND(AND(OR($DX1499=1,$DW1499=1),AND($EC1499=0,$EA1499=0)),SUM($DV1499:$DZ1499,$EF1499)&gt;=3),"Ecosystem approach","")</f>
        <v/>
      </c>
      <c r="EM1499" s="2" t="str">
        <f>IF(AND(AND(AND($DX1499=0,$DW1499=0),OR($EC1499=1,$EA1499=1)),SUM($EB1499:$EE1499)&gt;=2),"Technology approach","")</f>
        <v/>
      </c>
      <c r="EP1499" t="b">
        <f>IF(ISNUMBER(BU1499),IF(ABS(BU1499-[5]QC_indicators!$B$2)&gt;3*[5]QC_indicators!$C$2,"C ratio",IF(ISNUMBER(BY1499),IF(ABS(BY1499-[5]QC_indicators!$B$1)&gt;3*[5]QC_indicators!$C$1,"DF","no"))),IF(ISNUMBER(BY1499),IF(ABS(BY1499-[5]QC_indicators!$B$1)&gt;3*[5]QC_indicators!$C$1,"DF","no")))</f>
        <v>0</v>
      </c>
      <c r="ER1499" s="314" t="s">
        <v>349</v>
      </c>
    </row>
    <row r="1500" spans="1:148" ht="18" customHeight="1">
      <c r="A1500" s="1" t="s">
        <v>1102</v>
      </c>
      <c r="B1500" t="s">
        <v>4089</v>
      </c>
      <c r="C1500" t="s">
        <v>4090</v>
      </c>
      <c r="D1500" t="s">
        <v>4091</v>
      </c>
      <c r="E1500" t="s">
        <v>4092</v>
      </c>
      <c r="F1500" t="s">
        <v>4093</v>
      </c>
      <c r="G1500" t="s">
        <v>1108</v>
      </c>
      <c r="H1500" t="s">
        <v>254</v>
      </c>
      <c r="I1500">
        <v>2011</v>
      </c>
      <c r="J1500">
        <v>57</v>
      </c>
      <c r="K1500" t="s">
        <v>4094</v>
      </c>
      <c r="M1500" t="str">
        <f>LEFT($D1500,FIND(",",$D1500)-1)&amp;"_"&amp;I1500&amp;L1500</f>
        <v>Routa_2011</v>
      </c>
      <c r="N1500" s="312" t="s">
        <v>4383</v>
      </c>
      <c r="O1500" s="145" t="s">
        <v>341</v>
      </c>
      <c r="Q1500" s="312" t="s">
        <v>256</v>
      </c>
      <c r="R1500" s="313"/>
      <c r="S1500" s="1" t="s">
        <v>4115</v>
      </c>
      <c r="T1500" t="s">
        <v>1111</v>
      </c>
      <c r="U1500" t="e">
        <f>#REF!</f>
        <v>#REF!</v>
      </c>
      <c r="V1500">
        <v>0</v>
      </c>
      <c r="W1500">
        <v>0</v>
      </c>
      <c r="X1500">
        <v>0</v>
      </c>
      <c r="Y1500">
        <v>0</v>
      </c>
      <c r="Z1500">
        <v>0</v>
      </c>
      <c r="AA1500">
        <v>2</v>
      </c>
      <c r="AB1500">
        <v>1</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0</v>
      </c>
      <c r="AU1500">
        <v>0</v>
      </c>
      <c r="AV1500">
        <v>0</v>
      </c>
      <c r="AW1500">
        <v>0</v>
      </c>
      <c r="AX1500" s="141">
        <f>COUNTIF(V1500:AW1500,"&lt;&gt;0")</f>
        <v>2</v>
      </c>
      <c r="AY1500" s="141">
        <f>COUNTIF(V1500:AL1500,"&lt;&gt;0")</f>
        <v>2</v>
      </c>
      <c r="AZ1500">
        <f>COUNTIF(V1500:AC1500,"&lt;&gt;0")</f>
        <v>2</v>
      </c>
      <c r="BA1500">
        <f>COUNTIF(AD1500:AI1500,"&lt;&gt;0")</f>
        <v>0</v>
      </c>
      <c r="BB1500">
        <f>COUNTIF(AJ1500:AL1500,"&lt;&gt;0")</f>
        <v>0</v>
      </c>
      <c r="BC1500">
        <f>COUNTIF(AS1500:AW1500,"&lt;&gt;0")</f>
        <v>0</v>
      </c>
      <c r="BD1500">
        <f>COUNTIF(AM1500:AR1500,"&lt;&gt;0")</f>
        <v>0</v>
      </c>
      <c r="BE1500" t="str" cm="1">
        <f t="array" ref="BE1500">IF(AY1500=1,INDEX($V$7:$AL$7,MATCH(TRUE,INDEX($V1500:$AW1500&lt;&gt;0,),0)),IF(AY1500=0,INDEX($AM$7:$AW$7,MATCH(1,$AM1500:$AW1500,0)),IF(BF1500="Multiple strategies","mixed drivers",IF(BF1500="Supply chain","multiple supply","multiple silviculture"))))</f>
        <v>multiple silviculture</v>
      </c>
      <c r="BF1500" s="2" t="str" cm="1">
        <f t="array" ref="BF1500">IF(COUNTIF(AZ1500:BB1500,"&lt;&gt;0")=1,INDEX($V$4:$AW$4,MATCH(TRUE,INDEX($V1500:$AW1500&lt;&gt;0,),0)),IF(COUNTIF(AZ1500:BB1500,"&lt;&gt;0")=0,INDEX($AM$4:$AW$4,MATCH(1,$AM1500:$AW1500,0)),"Multiple strategies"))</f>
        <v>Silviculture for productivity</v>
      </c>
      <c r="BP1500" s="312" t="s">
        <v>232</v>
      </c>
      <c r="BQ1500" s="312"/>
      <c r="BR1500" t="s">
        <v>2170</v>
      </c>
      <c r="BS1500">
        <v>-150</v>
      </c>
      <c r="BT1500">
        <v>-112</v>
      </c>
      <c r="BU1500" s="144">
        <v>0.7466666666666667</v>
      </c>
      <c r="BV1500">
        <v>38</v>
      </c>
      <c r="BX1500">
        <f>BV1500*10^3</f>
        <v>38000</v>
      </c>
      <c r="BY1500" t="str">
        <f>IFERROR(BX1500/BO1500,"")</f>
        <v/>
      </c>
      <c r="BZ1500">
        <v>0</v>
      </c>
      <c r="CA1500">
        <v>0</v>
      </c>
      <c r="CB1500">
        <v>0</v>
      </c>
      <c r="CC1500">
        <v>1</v>
      </c>
      <c r="CD1500">
        <v>0</v>
      </c>
      <c r="CE1500">
        <v>0</v>
      </c>
      <c r="CF1500">
        <v>0</v>
      </c>
      <c r="CG1500">
        <v>0</v>
      </c>
      <c r="CH1500">
        <v>0</v>
      </c>
      <c r="CI1500">
        <v>0</v>
      </c>
      <c r="CJ1500">
        <v>0</v>
      </c>
      <c r="CK1500">
        <v>0</v>
      </c>
      <c r="CL1500">
        <v>0</v>
      </c>
      <c r="CM1500">
        <v>0</v>
      </c>
      <c r="CN1500" t="str">
        <f>IF(BL1500&lt;BK1500,"refNeedCorrection","refOK")</f>
        <v>refOK</v>
      </c>
      <c r="CO1500"/>
      <c r="CP1500"/>
      <c r="CQ1500"/>
      <c r="CR1500">
        <f>IF($CN1500="refOK",$BS1500,$BT1500)*IF($BP1500="Emissions positive",-1,1)</f>
        <v>-150</v>
      </c>
      <c r="CS1500">
        <f>IF($CN1500="refOK",$BT1500,$BS1500)*IF($BP1500="Emissions positive",-1,1)</f>
        <v>-112</v>
      </c>
      <c r="CT1500">
        <f>IF($CN1500="refNeedCorrection",-BX1500,BX1500)*IF($BP1500="Emissions positive",-1,1)</f>
        <v>38000</v>
      </c>
      <c r="CU1500" t="str">
        <f>IFERROR(CT1500/CQ1500,"")</f>
        <v/>
      </c>
      <c r="CV1500" s="2">
        <f>IFERROR((CS1500-CR1500)/ABS(CR1500),"")</f>
        <v>0.25333333333333335</v>
      </c>
      <c r="CW1500" s="1" t="s">
        <v>1199</v>
      </c>
      <c r="CX1500" s="312" t="str">
        <f>IF(OR($CW1500="prd",$CW1500="std",$CW1500="cit"),"loc",IF(OR($CW1500="eur",$CW1500="reg",$CW1500="coy"),"reg",$CW1500))</f>
        <v>reg</v>
      </c>
      <c r="CY1500" t="s">
        <v>235</v>
      </c>
      <c r="CZ1500">
        <v>2011</v>
      </c>
      <c r="DA1500">
        <v>2090</v>
      </c>
      <c r="DB1500">
        <v>80</v>
      </c>
      <c r="DC1500" t="str">
        <f>IF(DB1500=0,"0",IF(AND(DB1500&gt;=1,DB1500&lt;=30),"1-30",IF(AND(DB1500&gt;30,DB1500&lt;=70),"31-70",IF(AND(DB1500&gt;70,DB1500&lt;=100),"71-100",IF(DB1500&gt;100,"+100")))))</f>
        <v>71-100</v>
      </c>
      <c r="DD1500">
        <v>0</v>
      </c>
      <c r="DE1500">
        <v>1</v>
      </c>
      <c r="DF1500">
        <v>1</v>
      </c>
      <c r="DG1500">
        <v>1</v>
      </c>
      <c r="DI1500">
        <f>SUM(DD1500:DG1500)</f>
        <v>3</v>
      </c>
      <c r="DJ1500" t="str">
        <f>IF(DI1500=1,INDEX($DD$7:$DG$7,MATCH(1,$DD1500:$DG1500,0)),"mixedProduct")</f>
        <v>mixedProduct</v>
      </c>
      <c r="DK1500">
        <f>IF(DD1500=1,DK$7,0)</f>
        <v>0</v>
      </c>
      <c r="DL1500" t="str">
        <f>IF(DE1500=1,DL$7,0)</f>
        <v>Energy</v>
      </c>
      <c r="DM1500" t="str">
        <f>IF(DF1500=1,DM$7,0)</f>
        <v>Pulp/Paper</v>
      </c>
      <c r="DN1500" t="str">
        <f>IF(DG1500=1,DN$7,0)</f>
        <v>Timber</v>
      </c>
      <c r="DO1500">
        <v>1</v>
      </c>
      <c r="DP1500">
        <v>0</v>
      </c>
      <c r="DQ1500">
        <v>0</v>
      </c>
      <c r="DR1500">
        <v>0</v>
      </c>
      <c r="DS1500">
        <v>0</v>
      </c>
      <c r="DT1500">
        <f>SUM(DO1500:DP1500)</f>
        <v>1</v>
      </c>
      <c r="DU1500" s="143" t="str">
        <f>IF(DO1500=1,"self-calculated DF",IF(DP1500=1,"external DF used","explicit C balance"))</f>
        <v>self-calculated DF</v>
      </c>
      <c r="DV1500">
        <v>1</v>
      </c>
      <c r="DW1500">
        <v>1</v>
      </c>
      <c r="DX1500">
        <v>1</v>
      </c>
      <c r="DY1500">
        <v>0</v>
      </c>
      <c r="DZ1500">
        <v>0</v>
      </c>
      <c r="EA1500" s="143">
        <v>0</v>
      </c>
      <c r="EB1500">
        <v>1</v>
      </c>
      <c r="EC1500">
        <v>1</v>
      </c>
      <c r="ED1500">
        <v>0</v>
      </c>
      <c r="EE1500">
        <v>1</v>
      </c>
      <c r="EF1500">
        <v>1</v>
      </c>
      <c r="EG1500">
        <v>1</v>
      </c>
      <c r="EH1500">
        <v>0</v>
      </c>
      <c r="EI1500" s="2">
        <v>0</v>
      </c>
      <c r="EK1500" t="str">
        <f>IF(AND(AND(AND(OR($DX1500=1,$DW1500=1),OR($EC1500=1,$EA1500=1)),SUM($DV1500:$DZ1500,$EF1500)&gt;=3),SUM($EA1500:$EE1500)&gt;=2),"Whole sector","")</f>
        <v>Whole sector</v>
      </c>
      <c r="EL1500" t="str">
        <f>IF(AND(AND(OR($DX1500=1,$DW1500=1),AND($EC1500=0,$EA1500=0)),SUM($DV1500:$DZ1500,$EF1500)&gt;=3),"Ecosystem approach","")</f>
        <v/>
      </c>
      <c r="EM1500" s="2" t="str">
        <f>IF(AND(AND(AND($DX1500=0,$DW1500=0),OR($EC1500=1,$EA1500=1)),SUM($EB1500:$EE1500)&gt;=2),"Technology approach","")</f>
        <v/>
      </c>
      <c r="EP1500" t="b">
        <f>IF(ISNUMBER(BU1500),IF(ABS(BU1500-[5]QC_indicators!$B$2)&gt;3*[5]QC_indicators!$C$2,"C ratio",IF(ISNUMBER(BY1500),IF(ABS(BY1500-[5]QC_indicators!$B$1)&gt;3*[5]QC_indicators!$C$1,"DF","no"))),IF(ISNUMBER(BY1500),IF(ABS(BY1500-[5]QC_indicators!$B$1)&gt;3*[5]QC_indicators!$C$1,"DF","no")))</f>
        <v>0</v>
      </c>
      <c r="ER1500" s="314" t="s">
        <v>349</v>
      </c>
    </row>
    <row r="1501" spans="1:148" ht="18" customHeight="1">
      <c r="A1501" s="1" t="s">
        <v>1102</v>
      </c>
      <c r="B1501" t="s">
        <v>4089</v>
      </c>
      <c r="C1501" t="s">
        <v>4090</v>
      </c>
      <c r="D1501" t="s">
        <v>4091</v>
      </c>
      <c r="E1501" t="s">
        <v>4092</v>
      </c>
      <c r="F1501" t="s">
        <v>4093</v>
      </c>
      <c r="G1501" t="s">
        <v>1108</v>
      </c>
      <c r="H1501" t="s">
        <v>254</v>
      </c>
      <c r="I1501">
        <v>2011</v>
      </c>
      <c r="J1501">
        <v>57</v>
      </c>
      <c r="K1501" t="s">
        <v>4094</v>
      </c>
      <c r="M1501" t="str">
        <f>LEFT($D1501,FIND(",",$D1501)-1)&amp;"_"&amp;I1501&amp;L1501</f>
        <v>Routa_2011</v>
      </c>
      <c r="N1501" s="312" t="s">
        <v>4383</v>
      </c>
      <c r="O1501" s="145" t="s">
        <v>341</v>
      </c>
      <c r="Q1501" s="312" t="s">
        <v>256</v>
      </c>
      <c r="R1501" s="313"/>
      <c r="S1501" s="1" t="s">
        <v>4116</v>
      </c>
      <c r="T1501" t="s">
        <v>1111</v>
      </c>
      <c r="U1501" t="e">
        <f>#REF!</f>
        <v>#REF!</v>
      </c>
      <c r="V1501">
        <v>0</v>
      </c>
      <c r="W1501">
        <v>0</v>
      </c>
      <c r="X1501">
        <v>0</v>
      </c>
      <c r="Y1501">
        <v>0</v>
      </c>
      <c r="Z1501">
        <v>0</v>
      </c>
      <c r="AA1501">
        <v>2</v>
      </c>
      <c r="AB1501">
        <v>1</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s="141">
        <f>COUNTIF(V1501:AW1501,"&lt;&gt;0")</f>
        <v>2</v>
      </c>
      <c r="AY1501" s="141">
        <f>COUNTIF(V1501:AL1501,"&lt;&gt;0")</f>
        <v>2</v>
      </c>
      <c r="AZ1501">
        <f>COUNTIF(V1501:AC1501,"&lt;&gt;0")</f>
        <v>2</v>
      </c>
      <c r="BA1501">
        <f>COUNTIF(AD1501:AI1501,"&lt;&gt;0")</f>
        <v>0</v>
      </c>
      <c r="BB1501">
        <f>COUNTIF(AJ1501:AL1501,"&lt;&gt;0")</f>
        <v>0</v>
      </c>
      <c r="BC1501">
        <f>COUNTIF(AS1501:AW1501,"&lt;&gt;0")</f>
        <v>0</v>
      </c>
      <c r="BD1501">
        <f>COUNTIF(AM1501:AR1501,"&lt;&gt;0")</f>
        <v>0</v>
      </c>
      <c r="BE1501" t="str" cm="1">
        <f t="array" ref="BE1501">IF(AY1501=1,INDEX($V$7:$AL$7,MATCH(TRUE,INDEX($V1501:$AW1501&lt;&gt;0,),0)),IF(AY1501=0,INDEX($AM$7:$AW$7,MATCH(1,$AM1501:$AW1501,0)),IF(BF1501="Multiple strategies","mixed drivers",IF(BF1501="Supply chain","multiple supply","multiple silviculture"))))</f>
        <v>multiple silviculture</v>
      </c>
      <c r="BF1501" s="2" t="str" cm="1">
        <f t="array" ref="BF1501">IF(COUNTIF(AZ1501:BB1501,"&lt;&gt;0")=1,INDEX($V$4:$AW$4,MATCH(TRUE,INDEX($V1501:$AW1501&lt;&gt;0,),0)),IF(COUNTIF(AZ1501:BB1501,"&lt;&gt;0")=0,INDEX($AM$4:$AW$4,MATCH(1,$AM1501:$AW1501,0)),"Multiple strategies"))</f>
        <v>Silviculture for productivity</v>
      </c>
      <c r="BP1501" s="312" t="s">
        <v>232</v>
      </c>
      <c r="BQ1501" s="312"/>
      <c r="BR1501" t="s">
        <v>2170</v>
      </c>
      <c r="BS1501">
        <v>-150</v>
      </c>
      <c r="BT1501">
        <v>-112</v>
      </c>
      <c r="BU1501" s="144">
        <v>0.7466666666666667</v>
      </c>
      <c r="BV1501">
        <v>38</v>
      </c>
      <c r="BX1501">
        <f>BV1501*10^3</f>
        <v>38000</v>
      </c>
      <c r="BY1501" t="str">
        <f>IFERROR(BX1501/BO1501,"")</f>
        <v/>
      </c>
      <c r="BZ1501">
        <v>0</v>
      </c>
      <c r="CA1501">
        <v>0</v>
      </c>
      <c r="CB1501">
        <v>0</v>
      </c>
      <c r="CC1501">
        <v>1</v>
      </c>
      <c r="CD1501">
        <v>0</v>
      </c>
      <c r="CE1501">
        <v>0</v>
      </c>
      <c r="CF1501">
        <v>0</v>
      </c>
      <c r="CG1501">
        <v>0</v>
      </c>
      <c r="CH1501">
        <v>0</v>
      </c>
      <c r="CI1501">
        <v>0</v>
      </c>
      <c r="CJ1501">
        <v>0</v>
      </c>
      <c r="CK1501">
        <v>0</v>
      </c>
      <c r="CL1501">
        <v>0</v>
      </c>
      <c r="CM1501">
        <v>0</v>
      </c>
      <c r="CN1501" t="str">
        <f>IF(BL1501&lt;BK1501,"refNeedCorrection","refOK")</f>
        <v>refOK</v>
      </c>
      <c r="CO1501"/>
      <c r="CP1501"/>
      <c r="CQ1501"/>
      <c r="CR1501">
        <f>IF($CN1501="refOK",$BS1501,$BT1501)*IF($BP1501="Emissions positive",-1,1)</f>
        <v>-150</v>
      </c>
      <c r="CS1501">
        <f>IF($CN1501="refOK",$BT1501,$BS1501)*IF($BP1501="Emissions positive",-1,1)</f>
        <v>-112</v>
      </c>
      <c r="CT1501">
        <f>IF($CN1501="refNeedCorrection",-BX1501,BX1501)*IF($BP1501="Emissions positive",-1,1)</f>
        <v>38000</v>
      </c>
      <c r="CU1501" t="str">
        <f>IFERROR(CT1501/CQ1501,"")</f>
        <v/>
      </c>
      <c r="CV1501" s="2">
        <f>IFERROR((CS1501-CR1501)/ABS(CR1501),"")</f>
        <v>0.25333333333333335</v>
      </c>
      <c r="CW1501" s="1" t="s">
        <v>1199</v>
      </c>
      <c r="CX1501" s="312" t="str">
        <f>IF(OR($CW1501="prd",$CW1501="std",$CW1501="cit"),"loc",IF(OR($CW1501="eur",$CW1501="reg",$CW1501="coy"),"reg",$CW1501))</f>
        <v>reg</v>
      </c>
      <c r="CY1501" t="s">
        <v>235</v>
      </c>
      <c r="CZ1501">
        <v>2011</v>
      </c>
      <c r="DA1501">
        <v>2090</v>
      </c>
      <c r="DB1501">
        <v>80</v>
      </c>
      <c r="DC1501" t="str">
        <f>IF(DB1501=0,"0",IF(AND(DB1501&gt;=1,DB1501&lt;=30),"1-30",IF(AND(DB1501&gt;30,DB1501&lt;=70),"31-70",IF(AND(DB1501&gt;70,DB1501&lt;=100),"71-100",IF(DB1501&gt;100,"+100")))))</f>
        <v>71-100</v>
      </c>
      <c r="DD1501">
        <v>0</v>
      </c>
      <c r="DE1501">
        <v>1</v>
      </c>
      <c r="DF1501">
        <v>1</v>
      </c>
      <c r="DG1501">
        <v>1</v>
      </c>
      <c r="DI1501">
        <f>SUM(DD1501:DG1501)</f>
        <v>3</v>
      </c>
      <c r="DJ1501" t="str">
        <f>IF(DI1501=1,INDEX($DD$7:$DG$7,MATCH(1,$DD1501:$DG1501,0)),"mixedProduct")</f>
        <v>mixedProduct</v>
      </c>
      <c r="DK1501">
        <f>IF(DD1501=1,DK$7,0)</f>
        <v>0</v>
      </c>
      <c r="DL1501" t="str">
        <f>IF(DE1501=1,DL$7,0)</f>
        <v>Energy</v>
      </c>
      <c r="DM1501" t="str">
        <f>IF(DF1501=1,DM$7,0)</f>
        <v>Pulp/Paper</v>
      </c>
      <c r="DN1501" t="str">
        <f>IF(DG1501=1,DN$7,0)</f>
        <v>Timber</v>
      </c>
      <c r="DO1501">
        <v>1</v>
      </c>
      <c r="DP1501">
        <v>0</v>
      </c>
      <c r="DQ1501">
        <v>0</v>
      </c>
      <c r="DR1501">
        <v>0</v>
      </c>
      <c r="DS1501">
        <v>0</v>
      </c>
      <c r="DT1501">
        <f>SUM(DO1501:DP1501)</f>
        <v>1</v>
      </c>
      <c r="DU1501" s="143" t="str">
        <f>IF(DO1501=1,"self-calculated DF",IF(DP1501=1,"external DF used","explicit C balance"))</f>
        <v>self-calculated DF</v>
      </c>
      <c r="DV1501">
        <v>1</v>
      </c>
      <c r="DW1501">
        <v>1</v>
      </c>
      <c r="DX1501">
        <v>1</v>
      </c>
      <c r="DY1501">
        <v>0</v>
      </c>
      <c r="DZ1501">
        <v>0</v>
      </c>
      <c r="EA1501" s="143">
        <v>0</v>
      </c>
      <c r="EB1501">
        <v>1</v>
      </c>
      <c r="EC1501">
        <v>1</v>
      </c>
      <c r="ED1501">
        <v>0</v>
      </c>
      <c r="EE1501">
        <v>1</v>
      </c>
      <c r="EF1501">
        <v>1</v>
      </c>
      <c r="EG1501">
        <v>1</v>
      </c>
      <c r="EH1501">
        <v>0</v>
      </c>
      <c r="EI1501" s="2">
        <v>0</v>
      </c>
      <c r="EK1501" t="str">
        <f>IF(AND(AND(AND(OR($DX1501=1,$DW1501=1),OR($EC1501=1,$EA1501=1)),SUM($DV1501:$DZ1501,$EF1501)&gt;=3),SUM($EA1501:$EE1501)&gt;=2),"Whole sector","")</f>
        <v>Whole sector</v>
      </c>
      <c r="EL1501" t="str">
        <f>IF(AND(AND(OR($DX1501=1,$DW1501=1),AND($EC1501=0,$EA1501=0)),SUM($DV1501:$DZ1501,$EF1501)&gt;=3),"Ecosystem approach","")</f>
        <v/>
      </c>
      <c r="EM1501" s="2" t="str">
        <f>IF(AND(AND(AND($DX1501=0,$DW1501=0),OR($EC1501=1,$EA1501=1)),SUM($EB1501:$EE1501)&gt;=2),"Technology approach","")</f>
        <v/>
      </c>
      <c r="EP1501" t="b">
        <f>IF(ISNUMBER(BU1501),IF(ABS(BU1501-[5]QC_indicators!$B$2)&gt;3*[5]QC_indicators!$C$2,"C ratio",IF(ISNUMBER(BY1501),IF(ABS(BY1501-[5]QC_indicators!$B$1)&gt;3*[5]QC_indicators!$C$1,"DF","no"))),IF(ISNUMBER(BY1501),IF(ABS(BY1501-[5]QC_indicators!$B$1)&gt;3*[5]QC_indicators!$C$1,"DF","no")))</f>
        <v>0</v>
      </c>
      <c r="ER1501" s="314" t="s">
        <v>349</v>
      </c>
    </row>
    <row r="1502" spans="1:148" ht="18" customHeight="1">
      <c r="A1502" s="1" t="s">
        <v>1102</v>
      </c>
      <c r="B1502" t="s">
        <v>4089</v>
      </c>
      <c r="C1502" t="s">
        <v>4090</v>
      </c>
      <c r="D1502" t="s">
        <v>4091</v>
      </c>
      <c r="E1502" t="s">
        <v>4092</v>
      </c>
      <c r="F1502" t="s">
        <v>4093</v>
      </c>
      <c r="G1502" t="s">
        <v>1108</v>
      </c>
      <c r="H1502" t="s">
        <v>254</v>
      </c>
      <c r="I1502">
        <v>2011</v>
      </c>
      <c r="J1502">
        <v>57</v>
      </c>
      <c r="K1502" t="s">
        <v>4094</v>
      </c>
      <c r="M1502" t="str">
        <f>LEFT($D1502,FIND(",",$D1502)-1)&amp;"_"&amp;I1502&amp;L1502</f>
        <v>Routa_2011</v>
      </c>
      <c r="N1502" s="312" t="s">
        <v>4383</v>
      </c>
      <c r="O1502" s="145" t="s">
        <v>341</v>
      </c>
      <c r="Q1502" s="312" t="s">
        <v>256</v>
      </c>
      <c r="R1502" s="313"/>
      <c r="S1502" s="1" t="s">
        <v>4117</v>
      </c>
      <c r="T1502" t="s">
        <v>1111</v>
      </c>
      <c r="U1502" t="e">
        <f>#REF!</f>
        <v>#REF!</v>
      </c>
      <c r="V1502">
        <v>0</v>
      </c>
      <c r="W1502">
        <v>0</v>
      </c>
      <c r="X1502">
        <v>0</v>
      </c>
      <c r="Y1502">
        <v>0</v>
      </c>
      <c r="Z1502">
        <v>0</v>
      </c>
      <c r="AA1502">
        <v>2</v>
      </c>
      <c r="AB1502">
        <v>1</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s="141">
        <f>COUNTIF(V1502:AW1502,"&lt;&gt;0")</f>
        <v>2</v>
      </c>
      <c r="AY1502" s="141">
        <f>COUNTIF(V1502:AL1502,"&lt;&gt;0")</f>
        <v>2</v>
      </c>
      <c r="AZ1502">
        <f>COUNTIF(V1502:AC1502,"&lt;&gt;0")</f>
        <v>2</v>
      </c>
      <c r="BA1502">
        <f>COUNTIF(AD1502:AI1502,"&lt;&gt;0")</f>
        <v>0</v>
      </c>
      <c r="BB1502">
        <f>COUNTIF(AJ1502:AL1502,"&lt;&gt;0")</f>
        <v>0</v>
      </c>
      <c r="BC1502">
        <f>COUNTIF(AS1502:AW1502,"&lt;&gt;0")</f>
        <v>0</v>
      </c>
      <c r="BD1502">
        <f>COUNTIF(AM1502:AR1502,"&lt;&gt;0")</f>
        <v>0</v>
      </c>
      <c r="BE1502" t="str" cm="1">
        <f t="array" ref="BE1502">IF(AY1502=1,INDEX($V$7:$AL$7,MATCH(TRUE,INDEX($V1502:$AW1502&lt;&gt;0,),0)),IF(AY1502=0,INDEX($AM$7:$AW$7,MATCH(1,$AM1502:$AW1502,0)),IF(BF1502="Multiple strategies","mixed drivers",IF(BF1502="Supply chain","multiple supply","multiple silviculture"))))</f>
        <v>multiple silviculture</v>
      </c>
      <c r="BF1502" s="2" t="str" cm="1">
        <f t="array" ref="BF1502">IF(COUNTIF(AZ1502:BB1502,"&lt;&gt;0")=1,INDEX($V$4:$AW$4,MATCH(TRUE,INDEX($V1502:$AW1502&lt;&gt;0,),0)),IF(COUNTIF(AZ1502:BB1502,"&lt;&gt;0")=0,INDEX($AM$4:$AW$4,MATCH(1,$AM1502:$AW1502,0)),"Multiple strategies"))</f>
        <v>Silviculture for productivity</v>
      </c>
      <c r="BP1502" s="312" t="s">
        <v>232</v>
      </c>
      <c r="BQ1502" s="312"/>
      <c r="BR1502" t="s">
        <v>2170</v>
      </c>
      <c r="BS1502">
        <v>-200</v>
      </c>
      <c r="BT1502">
        <v>-152</v>
      </c>
      <c r="BU1502" s="144">
        <v>0.76</v>
      </c>
      <c r="BV1502">
        <v>48</v>
      </c>
      <c r="BX1502">
        <f>BV1502*10^3</f>
        <v>48000</v>
      </c>
      <c r="BY1502" t="str">
        <f>IFERROR(BX1502/BO1502,"")</f>
        <v/>
      </c>
      <c r="BZ1502">
        <v>0</v>
      </c>
      <c r="CA1502">
        <v>0</v>
      </c>
      <c r="CB1502">
        <v>0</v>
      </c>
      <c r="CC1502">
        <v>1</v>
      </c>
      <c r="CD1502">
        <v>0</v>
      </c>
      <c r="CE1502">
        <v>0</v>
      </c>
      <c r="CF1502">
        <v>0</v>
      </c>
      <c r="CG1502">
        <v>0</v>
      </c>
      <c r="CH1502">
        <v>0</v>
      </c>
      <c r="CI1502">
        <v>0</v>
      </c>
      <c r="CJ1502">
        <v>0</v>
      </c>
      <c r="CK1502">
        <v>0</v>
      </c>
      <c r="CL1502">
        <v>0</v>
      </c>
      <c r="CM1502">
        <v>0</v>
      </c>
      <c r="CN1502" t="str">
        <f>IF(BL1502&lt;BK1502,"refNeedCorrection","refOK")</f>
        <v>refOK</v>
      </c>
      <c r="CO1502"/>
      <c r="CP1502"/>
      <c r="CQ1502"/>
      <c r="CR1502">
        <f>IF($CN1502="refOK",$BS1502,$BT1502)*IF($BP1502="Emissions positive",-1,1)</f>
        <v>-200</v>
      </c>
      <c r="CS1502">
        <f>IF($CN1502="refOK",$BT1502,$BS1502)*IF($BP1502="Emissions positive",-1,1)</f>
        <v>-152</v>
      </c>
      <c r="CT1502">
        <f>IF($CN1502="refNeedCorrection",-BX1502,BX1502)*IF($BP1502="Emissions positive",-1,1)</f>
        <v>48000</v>
      </c>
      <c r="CU1502" t="str">
        <f>IFERROR(CT1502/CQ1502,"")</f>
        <v/>
      </c>
      <c r="CV1502" s="2">
        <f>IFERROR((CS1502-CR1502)/ABS(CR1502),"")</f>
        <v>0.24</v>
      </c>
      <c r="CW1502" s="1" t="s">
        <v>1199</v>
      </c>
      <c r="CX1502" s="312" t="str">
        <f>IF(OR($CW1502="prd",$CW1502="std",$CW1502="cit"),"loc",IF(OR($CW1502="eur",$CW1502="reg",$CW1502="coy"),"reg",$CW1502))</f>
        <v>reg</v>
      </c>
      <c r="CY1502" t="s">
        <v>235</v>
      </c>
      <c r="CZ1502">
        <v>2011</v>
      </c>
      <c r="DA1502">
        <v>2090</v>
      </c>
      <c r="DB1502">
        <v>80</v>
      </c>
      <c r="DC1502" t="str">
        <f>IF(DB1502=0,"0",IF(AND(DB1502&gt;=1,DB1502&lt;=30),"1-30",IF(AND(DB1502&gt;30,DB1502&lt;=70),"31-70",IF(AND(DB1502&gt;70,DB1502&lt;=100),"71-100",IF(DB1502&gt;100,"+100")))))</f>
        <v>71-100</v>
      </c>
      <c r="DD1502">
        <v>0</v>
      </c>
      <c r="DE1502">
        <v>1</v>
      </c>
      <c r="DF1502">
        <v>1</v>
      </c>
      <c r="DG1502">
        <v>1</v>
      </c>
      <c r="DI1502">
        <f>SUM(DD1502:DG1502)</f>
        <v>3</v>
      </c>
      <c r="DJ1502" t="str">
        <f>IF(DI1502=1,INDEX($DD$7:$DG$7,MATCH(1,$DD1502:$DG1502,0)),"mixedProduct")</f>
        <v>mixedProduct</v>
      </c>
      <c r="DK1502">
        <f>IF(DD1502=1,DK$7,0)</f>
        <v>0</v>
      </c>
      <c r="DL1502" t="str">
        <f>IF(DE1502=1,DL$7,0)</f>
        <v>Energy</v>
      </c>
      <c r="DM1502" t="str">
        <f>IF(DF1502=1,DM$7,0)</f>
        <v>Pulp/Paper</v>
      </c>
      <c r="DN1502" t="str">
        <f>IF(DG1502=1,DN$7,0)</f>
        <v>Timber</v>
      </c>
      <c r="DO1502">
        <v>1</v>
      </c>
      <c r="DP1502">
        <v>0</v>
      </c>
      <c r="DQ1502">
        <v>0</v>
      </c>
      <c r="DR1502">
        <v>0</v>
      </c>
      <c r="DS1502">
        <v>0</v>
      </c>
      <c r="DT1502">
        <f>SUM(DO1502:DP1502)</f>
        <v>1</v>
      </c>
      <c r="DU1502" s="143" t="str">
        <f>IF(DO1502=1,"self-calculated DF",IF(DP1502=1,"external DF used","explicit C balance"))</f>
        <v>self-calculated DF</v>
      </c>
      <c r="DV1502">
        <v>1</v>
      </c>
      <c r="DW1502">
        <v>1</v>
      </c>
      <c r="DX1502">
        <v>1</v>
      </c>
      <c r="DY1502">
        <v>0</v>
      </c>
      <c r="DZ1502">
        <v>0</v>
      </c>
      <c r="EA1502" s="143">
        <v>0</v>
      </c>
      <c r="EB1502">
        <v>1</v>
      </c>
      <c r="EC1502">
        <v>1</v>
      </c>
      <c r="ED1502">
        <v>0</v>
      </c>
      <c r="EE1502">
        <v>1</v>
      </c>
      <c r="EF1502">
        <v>1</v>
      </c>
      <c r="EG1502">
        <v>1</v>
      </c>
      <c r="EH1502">
        <v>0</v>
      </c>
      <c r="EI1502" s="2">
        <v>0</v>
      </c>
      <c r="EK1502" t="str">
        <f>IF(AND(AND(AND(OR($DX1502=1,$DW1502=1),OR($EC1502=1,$EA1502=1)),SUM($DV1502:$DZ1502,$EF1502)&gt;=3),SUM($EA1502:$EE1502)&gt;=2),"Whole sector","")</f>
        <v>Whole sector</v>
      </c>
      <c r="EL1502" t="str">
        <f>IF(AND(AND(OR($DX1502=1,$DW1502=1),AND($EC1502=0,$EA1502=0)),SUM($DV1502:$DZ1502,$EF1502)&gt;=3),"Ecosystem approach","")</f>
        <v/>
      </c>
      <c r="EM1502" s="2" t="str">
        <f>IF(AND(AND(AND($DX1502=0,$DW1502=0),OR($EC1502=1,$EA1502=1)),SUM($EB1502:$EE1502)&gt;=2),"Technology approach","")</f>
        <v/>
      </c>
      <c r="EP1502" t="b">
        <f>IF(ISNUMBER(BU1502),IF(ABS(BU1502-[5]QC_indicators!$B$2)&gt;3*[5]QC_indicators!$C$2,"C ratio",IF(ISNUMBER(BY1502),IF(ABS(BY1502-[5]QC_indicators!$B$1)&gt;3*[5]QC_indicators!$C$1,"DF","no"))),IF(ISNUMBER(BY1502),IF(ABS(BY1502-[5]QC_indicators!$B$1)&gt;3*[5]QC_indicators!$C$1,"DF","no")))</f>
        <v>0</v>
      </c>
      <c r="ER1502" s="314" t="s">
        <v>349</v>
      </c>
    </row>
    <row r="1503" spans="1:148" ht="18" customHeight="1">
      <c r="A1503" s="1" t="s">
        <v>1102</v>
      </c>
      <c r="B1503" t="s">
        <v>4089</v>
      </c>
      <c r="C1503" t="s">
        <v>4090</v>
      </c>
      <c r="D1503" t="s">
        <v>4091</v>
      </c>
      <c r="E1503" t="s">
        <v>4092</v>
      </c>
      <c r="F1503" t="s">
        <v>4093</v>
      </c>
      <c r="G1503" t="s">
        <v>1108</v>
      </c>
      <c r="H1503" t="s">
        <v>254</v>
      </c>
      <c r="I1503">
        <v>2011</v>
      </c>
      <c r="J1503">
        <v>57</v>
      </c>
      <c r="K1503" t="s">
        <v>4094</v>
      </c>
      <c r="M1503" t="str">
        <f>LEFT($D1503,FIND(",",$D1503)-1)&amp;"_"&amp;I1503&amp;L1503</f>
        <v>Routa_2011</v>
      </c>
      <c r="N1503" s="312" t="s">
        <v>4383</v>
      </c>
      <c r="O1503" s="145" t="s">
        <v>341</v>
      </c>
      <c r="Q1503" s="312" t="s">
        <v>256</v>
      </c>
      <c r="R1503" s="313"/>
      <c r="S1503" s="1" t="s">
        <v>4118</v>
      </c>
      <c r="T1503" t="s">
        <v>1111</v>
      </c>
      <c r="U1503" t="e">
        <f>#REF!</f>
        <v>#REF!</v>
      </c>
      <c r="V1503">
        <v>0</v>
      </c>
      <c r="W1503">
        <v>0</v>
      </c>
      <c r="X1503">
        <v>0</v>
      </c>
      <c r="Y1503">
        <v>0</v>
      </c>
      <c r="Z1503">
        <v>0</v>
      </c>
      <c r="AA1503">
        <v>2</v>
      </c>
      <c r="AB1503">
        <v>1</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s="141">
        <f>COUNTIF(V1503:AW1503,"&lt;&gt;0")</f>
        <v>2</v>
      </c>
      <c r="AY1503" s="141">
        <f>COUNTIF(V1503:AL1503,"&lt;&gt;0")</f>
        <v>2</v>
      </c>
      <c r="AZ1503">
        <f>COUNTIF(V1503:AC1503,"&lt;&gt;0")</f>
        <v>2</v>
      </c>
      <c r="BA1503">
        <f>COUNTIF(AD1503:AI1503,"&lt;&gt;0")</f>
        <v>0</v>
      </c>
      <c r="BB1503">
        <f>COUNTIF(AJ1503:AL1503,"&lt;&gt;0")</f>
        <v>0</v>
      </c>
      <c r="BC1503">
        <f>COUNTIF(AS1503:AW1503,"&lt;&gt;0")</f>
        <v>0</v>
      </c>
      <c r="BD1503">
        <f>COUNTIF(AM1503:AR1503,"&lt;&gt;0")</f>
        <v>0</v>
      </c>
      <c r="BE1503" t="str" cm="1">
        <f t="array" ref="BE1503">IF(AY1503=1,INDEX($V$7:$AL$7,MATCH(TRUE,INDEX($V1503:$AW1503&lt;&gt;0,),0)),IF(AY1503=0,INDEX($AM$7:$AW$7,MATCH(1,$AM1503:$AW1503,0)),IF(BF1503="Multiple strategies","mixed drivers",IF(BF1503="Supply chain","multiple supply","multiple silviculture"))))</f>
        <v>multiple silviculture</v>
      </c>
      <c r="BF1503" s="2" t="str" cm="1">
        <f t="array" ref="BF1503">IF(COUNTIF(AZ1503:BB1503,"&lt;&gt;0")=1,INDEX($V$4:$AW$4,MATCH(TRUE,INDEX($V1503:$AW1503&lt;&gt;0,),0)),IF(COUNTIF(AZ1503:BB1503,"&lt;&gt;0")=0,INDEX($AM$4:$AW$4,MATCH(1,$AM1503:$AW1503,0)),"Multiple strategies"))</f>
        <v>Silviculture for productivity</v>
      </c>
      <c r="BP1503" s="312" t="s">
        <v>232</v>
      </c>
      <c r="BQ1503" s="312"/>
      <c r="BR1503" t="s">
        <v>2170</v>
      </c>
      <c r="BS1503">
        <v>-200</v>
      </c>
      <c r="BT1503">
        <v>-155</v>
      </c>
      <c r="BU1503" s="144">
        <v>0.77500000000000002</v>
      </c>
      <c r="BV1503">
        <v>45</v>
      </c>
      <c r="BX1503">
        <f>BV1503*10^3</f>
        <v>45000</v>
      </c>
      <c r="BY1503" t="str">
        <f>IFERROR(BX1503/BO1503,"")</f>
        <v/>
      </c>
      <c r="BZ1503">
        <v>0</v>
      </c>
      <c r="CA1503">
        <v>0</v>
      </c>
      <c r="CB1503">
        <v>0</v>
      </c>
      <c r="CC1503">
        <v>1</v>
      </c>
      <c r="CD1503">
        <v>0</v>
      </c>
      <c r="CE1503">
        <v>0</v>
      </c>
      <c r="CF1503">
        <v>0</v>
      </c>
      <c r="CG1503">
        <v>0</v>
      </c>
      <c r="CH1503">
        <v>0</v>
      </c>
      <c r="CI1503">
        <v>0</v>
      </c>
      <c r="CJ1503">
        <v>0</v>
      </c>
      <c r="CK1503">
        <v>0</v>
      </c>
      <c r="CL1503">
        <v>0</v>
      </c>
      <c r="CM1503">
        <v>0</v>
      </c>
      <c r="CN1503" t="str">
        <f>IF(BL1503&lt;BK1503,"refNeedCorrection","refOK")</f>
        <v>refOK</v>
      </c>
      <c r="CO1503"/>
      <c r="CP1503"/>
      <c r="CQ1503"/>
      <c r="CR1503">
        <f>IF($CN1503="refOK",$BS1503,$BT1503)*IF($BP1503="Emissions positive",-1,1)</f>
        <v>-200</v>
      </c>
      <c r="CS1503">
        <f>IF($CN1503="refOK",$BT1503,$BS1503)*IF($BP1503="Emissions positive",-1,1)</f>
        <v>-155</v>
      </c>
      <c r="CT1503">
        <f>IF($CN1503="refNeedCorrection",-BX1503,BX1503)*IF($BP1503="Emissions positive",-1,1)</f>
        <v>45000</v>
      </c>
      <c r="CU1503" t="str">
        <f>IFERROR(CT1503/CQ1503,"")</f>
        <v/>
      </c>
      <c r="CV1503" s="2">
        <f>IFERROR((CS1503-CR1503)/ABS(CR1503),"")</f>
        <v>0.22500000000000001</v>
      </c>
      <c r="CW1503" s="1" t="s">
        <v>1199</v>
      </c>
      <c r="CX1503" s="312" t="str">
        <f>IF(OR($CW1503="prd",$CW1503="std",$CW1503="cit"),"loc",IF(OR($CW1503="eur",$CW1503="reg",$CW1503="coy"),"reg",$CW1503))</f>
        <v>reg</v>
      </c>
      <c r="CY1503" t="s">
        <v>235</v>
      </c>
      <c r="CZ1503">
        <v>2011</v>
      </c>
      <c r="DA1503">
        <v>2090</v>
      </c>
      <c r="DB1503">
        <v>80</v>
      </c>
      <c r="DC1503" t="str">
        <f>IF(DB1503=0,"0",IF(AND(DB1503&gt;=1,DB1503&lt;=30),"1-30",IF(AND(DB1503&gt;30,DB1503&lt;=70),"31-70",IF(AND(DB1503&gt;70,DB1503&lt;=100),"71-100",IF(DB1503&gt;100,"+100")))))</f>
        <v>71-100</v>
      </c>
      <c r="DD1503">
        <v>0</v>
      </c>
      <c r="DE1503">
        <v>1</v>
      </c>
      <c r="DF1503">
        <v>1</v>
      </c>
      <c r="DG1503">
        <v>1</v>
      </c>
      <c r="DI1503">
        <f>SUM(DD1503:DG1503)</f>
        <v>3</v>
      </c>
      <c r="DJ1503" t="str">
        <f>IF(DI1503=1,INDEX($DD$7:$DG$7,MATCH(1,$DD1503:$DG1503,0)),"mixedProduct")</f>
        <v>mixedProduct</v>
      </c>
      <c r="DK1503">
        <f>IF(DD1503=1,DK$7,0)</f>
        <v>0</v>
      </c>
      <c r="DL1503" t="str">
        <f>IF(DE1503=1,DL$7,0)</f>
        <v>Energy</v>
      </c>
      <c r="DM1503" t="str">
        <f>IF(DF1503=1,DM$7,0)</f>
        <v>Pulp/Paper</v>
      </c>
      <c r="DN1503" t="str">
        <f>IF(DG1503=1,DN$7,0)</f>
        <v>Timber</v>
      </c>
      <c r="DO1503">
        <v>1</v>
      </c>
      <c r="DP1503">
        <v>0</v>
      </c>
      <c r="DQ1503">
        <v>0</v>
      </c>
      <c r="DR1503">
        <v>0</v>
      </c>
      <c r="DS1503">
        <v>0</v>
      </c>
      <c r="DT1503">
        <f>SUM(DO1503:DP1503)</f>
        <v>1</v>
      </c>
      <c r="DU1503" s="143" t="str">
        <f>IF(DO1503=1,"self-calculated DF",IF(DP1503=1,"external DF used","explicit C balance"))</f>
        <v>self-calculated DF</v>
      </c>
      <c r="DV1503">
        <v>1</v>
      </c>
      <c r="DW1503">
        <v>1</v>
      </c>
      <c r="DX1503">
        <v>1</v>
      </c>
      <c r="DY1503">
        <v>0</v>
      </c>
      <c r="DZ1503">
        <v>0</v>
      </c>
      <c r="EA1503" s="143">
        <v>0</v>
      </c>
      <c r="EB1503">
        <v>1</v>
      </c>
      <c r="EC1503">
        <v>1</v>
      </c>
      <c r="ED1503">
        <v>0</v>
      </c>
      <c r="EE1503">
        <v>1</v>
      </c>
      <c r="EF1503">
        <v>1</v>
      </c>
      <c r="EG1503">
        <v>1</v>
      </c>
      <c r="EH1503">
        <v>0</v>
      </c>
      <c r="EI1503" s="2">
        <v>0</v>
      </c>
      <c r="EK1503" t="str">
        <f>IF(AND(AND(AND(OR($DX1503=1,$DW1503=1),OR($EC1503=1,$EA1503=1)),SUM($DV1503:$DZ1503,$EF1503)&gt;=3),SUM($EA1503:$EE1503)&gt;=2),"Whole sector","")</f>
        <v>Whole sector</v>
      </c>
      <c r="EL1503" t="str">
        <f>IF(AND(AND(OR($DX1503=1,$DW1503=1),AND($EC1503=0,$EA1503=0)),SUM($DV1503:$DZ1503,$EF1503)&gt;=3),"Ecosystem approach","")</f>
        <v/>
      </c>
      <c r="EM1503" s="2" t="str">
        <f>IF(AND(AND(AND($DX1503=0,$DW1503=0),OR($EC1503=1,$EA1503=1)),SUM($EB1503:$EE1503)&gt;=2),"Technology approach","")</f>
        <v/>
      </c>
      <c r="EP1503" t="b">
        <f>IF(ISNUMBER(BU1503),IF(ABS(BU1503-[5]QC_indicators!$B$2)&gt;3*[5]QC_indicators!$C$2,"C ratio",IF(ISNUMBER(BY1503),IF(ABS(BY1503-[5]QC_indicators!$B$1)&gt;3*[5]QC_indicators!$C$1,"DF","no"))),IF(ISNUMBER(BY1503),IF(ABS(BY1503-[5]QC_indicators!$B$1)&gt;3*[5]QC_indicators!$C$1,"DF","no")))</f>
        <v>0</v>
      </c>
      <c r="ER1503" s="314" t="s">
        <v>349</v>
      </c>
    </row>
    <row r="1504" spans="1:148" ht="18" customHeight="1">
      <c r="A1504" s="1" t="s">
        <v>1102</v>
      </c>
      <c r="B1504" t="s">
        <v>4089</v>
      </c>
      <c r="C1504" t="s">
        <v>4090</v>
      </c>
      <c r="D1504" t="s">
        <v>4091</v>
      </c>
      <c r="E1504" t="s">
        <v>4092</v>
      </c>
      <c r="F1504" t="s">
        <v>4093</v>
      </c>
      <c r="G1504" t="s">
        <v>1108</v>
      </c>
      <c r="H1504" t="s">
        <v>254</v>
      </c>
      <c r="I1504">
        <v>2011</v>
      </c>
      <c r="J1504">
        <v>57</v>
      </c>
      <c r="K1504" t="s">
        <v>4094</v>
      </c>
      <c r="M1504" t="str">
        <f>LEFT($D1504,FIND(",",$D1504)-1)&amp;"_"&amp;I1504&amp;L1504</f>
        <v>Routa_2011</v>
      </c>
      <c r="N1504" s="312" t="s">
        <v>4383</v>
      </c>
      <c r="O1504" s="145" t="s">
        <v>341</v>
      </c>
      <c r="Q1504" s="312" t="s">
        <v>256</v>
      </c>
      <c r="R1504" s="313"/>
      <c r="S1504" s="1" t="s">
        <v>4119</v>
      </c>
      <c r="T1504" t="s">
        <v>1111</v>
      </c>
      <c r="U1504" t="e">
        <f>#REF!</f>
        <v>#REF!</v>
      </c>
      <c r="V1504">
        <v>0</v>
      </c>
      <c r="W1504">
        <v>0</v>
      </c>
      <c r="X1504">
        <v>0</v>
      </c>
      <c r="Y1504">
        <v>0</v>
      </c>
      <c r="Z1504">
        <v>0</v>
      </c>
      <c r="AA1504">
        <v>2</v>
      </c>
      <c r="AB1504">
        <v>1</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s="141">
        <f>COUNTIF(V1504:AW1504,"&lt;&gt;0")</f>
        <v>2</v>
      </c>
      <c r="AY1504" s="141">
        <f>COUNTIF(V1504:AL1504,"&lt;&gt;0")</f>
        <v>2</v>
      </c>
      <c r="AZ1504">
        <f>COUNTIF(V1504:AC1504,"&lt;&gt;0")</f>
        <v>2</v>
      </c>
      <c r="BA1504">
        <f>COUNTIF(AD1504:AI1504,"&lt;&gt;0")</f>
        <v>0</v>
      </c>
      <c r="BB1504">
        <f>COUNTIF(AJ1504:AL1504,"&lt;&gt;0")</f>
        <v>0</v>
      </c>
      <c r="BC1504">
        <f>COUNTIF(AS1504:AW1504,"&lt;&gt;0")</f>
        <v>0</v>
      </c>
      <c r="BD1504">
        <f>COUNTIF(AM1504:AR1504,"&lt;&gt;0")</f>
        <v>0</v>
      </c>
      <c r="BE1504" t="str" cm="1">
        <f t="array" ref="BE1504">IF(AY1504=1,INDEX($V$7:$AL$7,MATCH(TRUE,INDEX($V1504:$AW1504&lt;&gt;0,),0)),IF(AY1504=0,INDEX($AM$7:$AW$7,MATCH(1,$AM1504:$AW1504,0)),IF(BF1504="Multiple strategies","mixed drivers",IF(BF1504="Supply chain","multiple supply","multiple silviculture"))))</f>
        <v>multiple silviculture</v>
      </c>
      <c r="BF1504" s="2" t="str" cm="1">
        <f t="array" ref="BF1504">IF(COUNTIF(AZ1504:BB1504,"&lt;&gt;0")=1,INDEX($V$4:$AW$4,MATCH(TRUE,INDEX($V1504:$AW1504&lt;&gt;0,),0)),IF(COUNTIF(AZ1504:BB1504,"&lt;&gt;0")=0,INDEX($AM$4:$AW$4,MATCH(1,$AM1504:$AW1504,0)),"Multiple strategies"))</f>
        <v>Silviculture for productivity</v>
      </c>
      <c r="BP1504" s="312" t="s">
        <v>232</v>
      </c>
      <c r="BQ1504" s="312"/>
      <c r="BR1504" t="s">
        <v>2170</v>
      </c>
      <c r="BS1504">
        <v>-150</v>
      </c>
      <c r="BT1504">
        <v>-117</v>
      </c>
      <c r="BU1504" s="144">
        <v>0.78</v>
      </c>
      <c r="BV1504">
        <v>33</v>
      </c>
      <c r="BX1504">
        <f>BV1504*10^3</f>
        <v>33000</v>
      </c>
      <c r="BY1504" t="str">
        <f>IFERROR(BX1504/BO1504,"")</f>
        <v/>
      </c>
      <c r="BZ1504">
        <v>0</v>
      </c>
      <c r="CA1504">
        <v>0</v>
      </c>
      <c r="CB1504">
        <v>0</v>
      </c>
      <c r="CC1504">
        <v>1</v>
      </c>
      <c r="CD1504">
        <v>0</v>
      </c>
      <c r="CE1504">
        <v>0</v>
      </c>
      <c r="CF1504">
        <v>0</v>
      </c>
      <c r="CG1504">
        <v>0</v>
      </c>
      <c r="CH1504">
        <v>0</v>
      </c>
      <c r="CI1504">
        <v>0</v>
      </c>
      <c r="CJ1504">
        <v>0</v>
      </c>
      <c r="CK1504">
        <v>0</v>
      </c>
      <c r="CL1504">
        <v>0</v>
      </c>
      <c r="CM1504">
        <v>0</v>
      </c>
      <c r="CN1504" t="str">
        <f>IF(BL1504&lt;BK1504,"refNeedCorrection","refOK")</f>
        <v>refOK</v>
      </c>
      <c r="CO1504"/>
      <c r="CP1504"/>
      <c r="CQ1504"/>
      <c r="CR1504">
        <f>IF($CN1504="refOK",$BS1504,$BT1504)*IF($BP1504="Emissions positive",-1,1)</f>
        <v>-150</v>
      </c>
      <c r="CS1504">
        <f>IF($CN1504="refOK",$BT1504,$BS1504)*IF($BP1504="Emissions positive",-1,1)</f>
        <v>-117</v>
      </c>
      <c r="CT1504">
        <f>IF($CN1504="refNeedCorrection",-BX1504,BX1504)*IF($BP1504="Emissions positive",-1,1)</f>
        <v>33000</v>
      </c>
      <c r="CU1504" t="str">
        <f>IFERROR(CT1504/CQ1504,"")</f>
        <v/>
      </c>
      <c r="CV1504" s="2">
        <f>IFERROR((CS1504-CR1504)/ABS(CR1504),"")</f>
        <v>0.22</v>
      </c>
      <c r="CW1504" s="1" t="s">
        <v>1199</v>
      </c>
      <c r="CX1504" s="312" t="str">
        <f>IF(OR($CW1504="prd",$CW1504="std",$CW1504="cit"),"loc",IF(OR($CW1504="eur",$CW1504="reg",$CW1504="coy"),"reg",$CW1504))</f>
        <v>reg</v>
      </c>
      <c r="CY1504" t="s">
        <v>235</v>
      </c>
      <c r="CZ1504">
        <v>2011</v>
      </c>
      <c r="DA1504">
        <v>2090</v>
      </c>
      <c r="DB1504">
        <v>80</v>
      </c>
      <c r="DC1504" t="str">
        <f>IF(DB1504=0,"0",IF(AND(DB1504&gt;=1,DB1504&lt;=30),"1-30",IF(AND(DB1504&gt;30,DB1504&lt;=70),"31-70",IF(AND(DB1504&gt;70,DB1504&lt;=100),"71-100",IF(DB1504&gt;100,"+100")))))</f>
        <v>71-100</v>
      </c>
      <c r="DD1504">
        <v>0</v>
      </c>
      <c r="DE1504">
        <v>1</v>
      </c>
      <c r="DF1504">
        <v>1</v>
      </c>
      <c r="DG1504">
        <v>1</v>
      </c>
      <c r="DI1504">
        <f>SUM(DD1504:DG1504)</f>
        <v>3</v>
      </c>
      <c r="DJ1504" t="str">
        <f>IF(DI1504=1,INDEX($DD$7:$DG$7,MATCH(1,$DD1504:$DG1504,0)),"mixedProduct")</f>
        <v>mixedProduct</v>
      </c>
      <c r="DK1504">
        <f>IF(DD1504=1,DK$7,0)</f>
        <v>0</v>
      </c>
      <c r="DL1504" t="str">
        <f>IF(DE1504=1,DL$7,0)</f>
        <v>Energy</v>
      </c>
      <c r="DM1504" t="str">
        <f>IF(DF1504=1,DM$7,0)</f>
        <v>Pulp/Paper</v>
      </c>
      <c r="DN1504" t="str">
        <f>IF(DG1504=1,DN$7,0)</f>
        <v>Timber</v>
      </c>
      <c r="DO1504">
        <v>1</v>
      </c>
      <c r="DP1504">
        <v>0</v>
      </c>
      <c r="DQ1504">
        <v>0</v>
      </c>
      <c r="DR1504">
        <v>0</v>
      </c>
      <c r="DS1504">
        <v>0</v>
      </c>
      <c r="DT1504">
        <f>SUM(DO1504:DP1504)</f>
        <v>1</v>
      </c>
      <c r="DU1504" s="143" t="str">
        <f>IF(DO1504=1,"self-calculated DF",IF(DP1504=1,"external DF used","explicit C balance"))</f>
        <v>self-calculated DF</v>
      </c>
      <c r="DV1504">
        <v>1</v>
      </c>
      <c r="DW1504">
        <v>1</v>
      </c>
      <c r="DX1504">
        <v>1</v>
      </c>
      <c r="DY1504">
        <v>0</v>
      </c>
      <c r="DZ1504">
        <v>0</v>
      </c>
      <c r="EA1504" s="143">
        <v>0</v>
      </c>
      <c r="EB1504">
        <v>1</v>
      </c>
      <c r="EC1504">
        <v>1</v>
      </c>
      <c r="ED1504">
        <v>0</v>
      </c>
      <c r="EE1504">
        <v>1</v>
      </c>
      <c r="EF1504">
        <v>1</v>
      </c>
      <c r="EG1504">
        <v>1</v>
      </c>
      <c r="EH1504">
        <v>0</v>
      </c>
      <c r="EI1504" s="2">
        <v>0</v>
      </c>
      <c r="EK1504" t="str">
        <f>IF(AND(AND(AND(OR($DX1504=1,$DW1504=1),OR($EC1504=1,$EA1504=1)),SUM($DV1504:$DZ1504,$EF1504)&gt;=3),SUM($EA1504:$EE1504)&gt;=2),"Whole sector","")</f>
        <v>Whole sector</v>
      </c>
      <c r="EL1504" t="str">
        <f>IF(AND(AND(OR($DX1504=1,$DW1504=1),AND($EC1504=0,$EA1504=0)),SUM($DV1504:$DZ1504,$EF1504)&gt;=3),"Ecosystem approach","")</f>
        <v/>
      </c>
      <c r="EM1504" s="2" t="str">
        <f>IF(AND(AND(AND($DX1504=0,$DW1504=0),OR($EC1504=1,$EA1504=1)),SUM($EB1504:$EE1504)&gt;=2),"Technology approach","")</f>
        <v/>
      </c>
      <c r="EP1504" t="b">
        <f>IF(ISNUMBER(BU1504),IF(ABS(BU1504-[5]QC_indicators!$B$2)&gt;3*[5]QC_indicators!$C$2,"C ratio",IF(ISNUMBER(BY1504),IF(ABS(BY1504-[5]QC_indicators!$B$1)&gt;3*[5]QC_indicators!$C$1,"DF","no"))),IF(ISNUMBER(BY1504),IF(ABS(BY1504-[5]QC_indicators!$B$1)&gt;3*[5]QC_indicators!$C$1,"DF","no")))</f>
        <v>0</v>
      </c>
      <c r="ER1504" s="314" t="s">
        <v>349</v>
      </c>
    </row>
    <row r="1505" spans="1:148" ht="18" customHeight="1">
      <c r="A1505" s="1" t="s">
        <v>1102</v>
      </c>
      <c r="B1505" t="s">
        <v>4089</v>
      </c>
      <c r="C1505" t="s">
        <v>4090</v>
      </c>
      <c r="D1505" t="s">
        <v>4091</v>
      </c>
      <c r="E1505" t="s">
        <v>4092</v>
      </c>
      <c r="F1505" t="s">
        <v>4093</v>
      </c>
      <c r="G1505" t="s">
        <v>1108</v>
      </c>
      <c r="H1505" t="s">
        <v>254</v>
      </c>
      <c r="I1505">
        <v>2011</v>
      </c>
      <c r="J1505">
        <v>57</v>
      </c>
      <c r="K1505" t="s">
        <v>4094</v>
      </c>
      <c r="M1505" t="str">
        <f>LEFT($D1505,FIND(",",$D1505)-1)&amp;"_"&amp;I1505&amp;L1505</f>
        <v>Routa_2011</v>
      </c>
      <c r="N1505" s="312" t="s">
        <v>4383</v>
      </c>
      <c r="O1505" s="145" t="s">
        <v>341</v>
      </c>
      <c r="Q1505" s="312" t="s">
        <v>256</v>
      </c>
      <c r="R1505" s="313"/>
      <c r="S1505" s="1" t="s">
        <v>4120</v>
      </c>
      <c r="T1505" t="s">
        <v>1111</v>
      </c>
      <c r="U1505" t="e">
        <f>#REF!</f>
        <v>#REF!</v>
      </c>
      <c r="V1505">
        <v>0</v>
      </c>
      <c r="W1505">
        <v>0</v>
      </c>
      <c r="X1505">
        <v>0</v>
      </c>
      <c r="Y1505">
        <v>0</v>
      </c>
      <c r="Z1505">
        <v>0</v>
      </c>
      <c r="AA1505">
        <v>2</v>
      </c>
      <c r="AB1505">
        <v>1</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s="141">
        <f>COUNTIF(V1505:AW1505,"&lt;&gt;0")</f>
        <v>2</v>
      </c>
      <c r="AY1505" s="141">
        <f>COUNTIF(V1505:AL1505,"&lt;&gt;0")</f>
        <v>2</v>
      </c>
      <c r="AZ1505">
        <f>COUNTIF(V1505:AC1505,"&lt;&gt;0")</f>
        <v>2</v>
      </c>
      <c r="BA1505">
        <f>COUNTIF(AD1505:AI1505,"&lt;&gt;0")</f>
        <v>0</v>
      </c>
      <c r="BB1505">
        <f>COUNTIF(AJ1505:AL1505,"&lt;&gt;0")</f>
        <v>0</v>
      </c>
      <c r="BC1505">
        <f>COUNTIF(AS1505:AW1505,"&lt;&gt;0")</f>
        <v>0</v>
      </c>
      <c r="BD1505">
        <f>COUNTIF(AM1505:AR1505,"&lt;&gt;0")</f>
        <v>0</v>
      </c>
      <c r="BE1505" t="str" cm="1">
        <f t="array" ref="BE1505">IF(AY1505=1,INDEX($V$7:$AL$7,MATCH(TRUE,INDEX($V1505:$AW1505&lt;&gt;0,),0)),IF(AY1505=0,INDEX($AM$7:$AW$7,MATCH(1,$AM1505:$AW1505,0)),IF(BF1505="Multiple strategies","mixed drivers",IF(BF1505="Supply chain","multiple supply","multiple silviculture"))))</f>
        <v>multiple silviculture</v>
      </c>
      <c r="BF1505" s="2" t="str" cm="1">
        <f t="array" ref="BF1505">IF(COUNTIF(AZ1505:BB1505,"&lt;&gt;0")=1,INDEX($V$4:$AW$4,MATCH(TRUE,INDEX($V1505:$AW1505&lt;&gt;0,),0)),IF(COUNTIF(AZ1505:BB1505,"&lt;&gt;0")=0,INDEX($AM$4:$AW$4,MATCH(1,$AM1505:$AW1505,0)),"Multiple strategies"))</f>
        <v>Silviculture for productivity</v>
      </c>
      <c r="BP1505" s="312" t="s">
        <v>232</v>
      </c>
      <c r="BQ1505" s="312"/>
      <c r="BR1505" t="s">
        <v>2170</v>
      </c>
      <c r="BS1505">
        <v>-200</v>
      </c>
      <c r="BT1505">
        <v>-174</v>
      </c>
      <c r="BU1505" s="144">
        <v>0.87</v>
      </c>
      <c r="BV1505">
        <v>26</v>
      </c>
      <c r="BX1505">
        <f>BV1505*10^3</f>
        <v>26000</v>
      </c>
      <c r="BY1505" t="str">
        <f>IFERROR(BX1505/BO1505,"")</f>
        <v/>
      </c>
      <c r="BZ1505">
        <v>0</v>
      </c>
      <c r="CA1505">
        <v>0</v>
      </c>
      <c r="CB1505">
        <v>0</v>
      </c>
      <c r="CC1505">
        <v>1</v>
      </c>
      <c r="CD1505">
        <v>0</v>
      </c>
      <c r="CE1505">
        <v>0</v>
      </c>
      <c r="CF1505">
        <v>0</v>
      </c>
      <c r="CG1505">
        <v>0</v>
      </c>
      <c r="CH1505">
        <v>0</v>
      </c>
      <c r="CI1505">
        <v>0</v>
      </c>
      <c r="CJ1505">
        <v>0</v>
      </c>
      <c r="CK1505">
        <v>0</v>
      </c>
      <c r="CL1505">
        <v>0</v>
      </c>
      <c r="CM1505">
        <v>0</v>
      </c>
      <c r="CN1505" t="str">
        <f>IF(BL1505&lt;BK1505,"refNeedCorrection","refOK")</f>
        <v>refOK</v>
      </c>
      <c r="CO1505"/>
      <c r="CP1505"/>
      <c r="CQ1505"/>
      <c r="CR1505">
        <f>IF($CN1505="refOK",$BS1505,$BT1505)*IF($BP1505="Emissions positive",-1,1)</f>
        <v>-200</v>
      </c>
      <c r="CS1505">
        <f>IF($CN1505="refOK",$BT1505,$BS1505)*IF($BP1505="Emissions positive",-1,1)</f>
        <v>-174</v>
      </c>
      <c r="CT1505">
        <f>IF($CN1505="refNeedCorrection",-BX1505,BX1505)*IF($BP1505="Emissions positive",-1,1)</f>
        <v>26000</v>
      </c>
      <c r="CU1505" t="str">
        <f>IFERROR(CT1505/CQ1505,"")</f>
        <v/>
      </c>
      <c r="CV1505" s="2">
        <f>IFERROR((CS1505-CR1505)/ABS(CR1505),"")</f>
        <v>0.13</v>
      </c>
      <c r="CW1505" s="1" t="s">
        <v>1199</v>
      </c>
      <c r="CX1505" s="312" t="str">
        <f>IF(OR($CW1505="prd",$CW1505="std",$CW1505="cit"),"loc",IF(OR($CW1505="eur",$CW1505="reg",$CW1505="coy"),"reg",$CW1505))</f>
        <v>reg</v>
      </c>
      <c r="CY1505" t="s">
        <v>235</v>
      </c>
      <c r="CZ1505">
        <v>2011</v>
      </c>
      <c r="DA1505">
        <v>2090</v>
      </c>
      <c r="DB1505">
        <v>80</v>
      </c>
      <c r="DC1505" t="str">
        <f>IF(DB1505=0,"0",IF(AND(DB1505&gt;=1,DB1505&lt;=30),"1-30",IF(AND(DB1505&gt;30,DB1505&lt;=70),"31-70",IF(AND(DB1505&gt;70,DB1505&lt;=100),"71-100",IF(DB1505&gt;100,"+100")))))</f>
        <v>71-100</v>
      </c>
      <c r="DD1505">
        <v>0</v>
      </c>
      <c r="DE1505">
        <v>1</v>
      </c>
      <c r="DF1505">
        <v>1</v>
      </c>
      <c r="DG1505">
        <v>1</v>
      </c>
      <c r="DI1505">
        <f>SUM(DD1505:DG1505)</f>
        <v>3</v>
      </c>
      <c r="DJ1505" t="str">
        <f>IF(DI1505=1,INDEX($DD$7:$DG$7,MATCH(1,$DD1505:$DG1505,0)),"mixedProduct")</f>
        <v>mixedProduct</v>
      </c>
      <c r="DK1505">
        <f>IF(DD1505=1,DK$7,0)</f>
        <v>0</v>
      </c>
      <c r="DL1505" t="str">
        <f>IF(DE1505=1,DL$7,0)</f>
        <v>Energy</v>
      </c>
      <c r="DM1505" t="str">
        <f>IF(DF1505=1,DM$7,0)</f>
        <v>Pulp/Paper</v>
      </c>
      <c r="DN1505" t="str">
        <f>IF(DG1505=1,DN$7,0)</f>
        <v>Timber</v>
      </c>
      <c r="DO1505">
        <v>1</v>
      </c>
      <c r="DP1505">
        <v>0</v>
      </c>
      <c r="DQ1505">
        <v>0</v>
      </c>
      <c r="DR1505">
        <v>0</v>
      </c>
      <c r="DS1505">
        <v>0</v>
      </c>
      <c r="DT1505">
        <f>SUM(DO1505:DP1505)</f>
        <v>1</v>
      </c>
      <c r="DU1505" s="143" t="str">
        <f>IF(DO1505=1,"self-calculated DF",IF(DP1505=1,"external DF used","explicit C balance"))</f>
        <v>self-calculated DF</v>
      </c>
      <c r="DV1505">
        <v>1</v>
      </c>
      <c r="DW1505">
        <v>1</v>
      </c>
      <c r="DX1505">
        <v>1</v>
      </c>
      <c r="DY1505">
        <v>0</v>
      </c>
      <c r="DZ1505">
        <v>0</v>
      </c>
      <c r="EA1505" s="143">
        <v>0</v>
      </c>
      <c r="EB1505">
        <v>1</v>
      </c>
      <c r="EC1505">
        <v>1</v>
      </c>
      <c r="ED1505">
        <v>0</v>
      </c>
      <c r="EE1505">
        <v>1</v>
      </c>
      <c r="EF1505">
        <v>1</v>
      </c>
      <c r="EG1505">
        <v>1</v>
      </c>
      <c r="EH1505">
        <v>0</v>
      </c>
      <c r="EI1505" s="2">
        <v>0</v>
      </c>
      <c r="EK1505" t="str">
        <f>IF(AND(AND(AND(OR($DX1505=1,$DW1505=1),OR($EC1505=1,$EA1505=1)),SUM($DV1505:$DZ1505,$EF1505)&gt;=3),SUM($EA1505:$EE1505)&gt;=2),"Whole sector","")</f>
        <v>Whole sector</v>
      </c>
      <c r="EL1505" t="str">
        <f>IF(AND(AND(OR($DX1505=1,$DW1505=1),AND($EC1505=0,$EA1505=0)),SUM($DV1505:$DZ1505,$EF1505)&gt;=3),"Ecosystem approach","")</f>
        <v/>
      </c>
      <c r="EM1505" s="2" t="str">
        <f>IF(AND(AND(AND($DX1505=0,$DW1505=0),OR($EC1505=1,$EA1505=1)),SUM($EB1505:$EE1505)&gt;=2),"Technology approach","")</f>
        <v/>
      </c>
      <c r="EP1505" t="b">
        <f>IF(ISNUMBER(BU1505),IF(ABS(BU1505-[5]QC_indicators!$B$2)&gt;3*[5]QC_indicators!$C$2,"C ratio",IF(ISNUMBER(BY1505),IF(ABS(BY1505-[5]QC_indicators!$B$1)&gt;3*[5]QC_indicators!$C$1,"DF","no"))),IF(ISNUMBER(BY1505),IF(ABS(BY1505-[5]QC_indicators!$B$1)&gt;3*[5]QC_indicators!$C$1,"DF","no")))</f>
        <v>0</v>
      </c>
      <c r="ER1505" s="314" t="s">
        <v>349</v>
      </c>
    </row>
    <row r="1506" spans="1:148" ht="18" customHeight="1">
      <c r="A1506" s="1" t="s">
        <v>1102</v>
      </c>
      <c r="B1506" t="s">
        <v>4089</v>
      </c>
      <c r="C1506" t="s">
        <v>4090</v>
      </c>
      <c r="D1506" t="s">
        <v>4091</v>
      </c>
      <c r="E1506" t="s">
        <v>4092</v>
      </c>
      <c r="F1506" t="s">
        <v>4093</v>
      </c>
      <c r="G1506" t="s">
        <v>1108</v>
      </c>
      <c r="H1506" t="s">
        <v>254</v>
      </c>
      <c r="I1506">
        <v>2011</v>
      </c>
      <c r="J1506">
        <v>57</v>
      </c>
      <c r="K1506" t="s">
        <v>4094</v>
      </c>
      <c r="M1506" t="str">
        <f>LEFT($D1506,FIND(",",$D1506)-1)&amp;"_"&amp;I1506&amp;L1506</f>
        <v>Routa_2011</v>
      </c>
      <c r="N1506" s="312" t="s">
        <v>4383</v>
      </c>
      <c r="O1506" s="145" t="s">
        <v>341</v>
      </c>
      <c r="Q1506" s="312" t="s">
        <v>256</v>
      </c>
      <c r="R1506" s="313"/>
      <c r="S1506" s="1" t="s">
        <v>4121</v>
      </c>
      <c r="T1506" t="s">
        <v>1111</v>
      </c>
      <c r="U1506" t="e">
        <f>#REF!</f>
        <v>#REF!</v>
      </c>
      <c r="V1506">
        <v>0</v>
      </c>
      <c r="W1506">
        <v>0</v>
      </c>
      <c r="X1506">
        <v>0</v>
      </c>
      <c r="Y1506">
        <v>0</v>
      </c>
      <c r="Z1506">
        <v>0</v>
      </c>
      <c r="AA1506">
        <v>2</v>
      </c>
      <c r="AB1506">
        <v>1</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s="141">
        <f>COUNTIF(V1506:AW1506,"&lt;&gt;0")</f>
        <v>2</v>
      </c>
      <c r="AY1506" s="141">
        <f>COUNTIF(V1506:AL1506,"&lt;&gt;0")</f>
        <v>2</v>
      </c>
      <c r="AZ1506">
        <f>COUNTIF(V1506:AC1506,"&lt;&gt;0")</f>
        <v>2</v>
      </c>
      <c r="BA1506">
        <f>COUNTIF(AD1506:AI1506,"&lt;&gt;0")</f>
        <v>0</v>
      </c>
      <c r="BB1506">
        <f>COUNTIF(AJ1506:AL1506,"&lt;&gt;0")</f>
        <v>0</v>
      </c>
      <c r="BC1506">
        <f>COUNTIF(AS1506:AW1506,"&lt;&gt;0")</f>
        <v>0</v>
      </c>
      <c r="BD1506">
        <f>COUNTIF(AM1506:AR1506,"&lt;&gt;0")</f>
        <v>0</v>
      </c>
      <c r="BE1506" t="str" cm="1">
        <f t="array" ref="BE1506">IF(AY1506=1,INDEX($V$7:$AL$7,MATCH(TRUE,INDEX($V1506:$AW1506&lt;&gt;0,),0)),IF(AY1506=0,INDEX($AM$7:$AW$7,MATCH(1,$AM1506:$AW1506,0)),IF(BF1506="Multiple strategies","mixed drivers",IF(BF1506="Supply chain","multiple supply","multiple silviculture"))))</f>
        <v>multiple silviculture</v>
      </c>
      <c r="BF1506" s="2" t="str" cm="1">
        <f t="array" ref="BF1506">IF(COUNTIF(AZ1506:BB1506,"&lt;&gt;0")=1,INDEX($V$4:$AW$4,MATCH(TRUE,INDEX($V1506:$AW1506&lt;&gt;0,),0)),IF(COUNTIF(AZ1506:BB1506,"&lt;&gt;0")=0,INDEX($AM$4:$AW$4,MATCH(1,$AM1506:$AW1506,0)),"Multiple strategies"))</f>
        <v>Silviculture for productivity</v>
      </c>
      <c r="BP1506" s="312" t="s">
        <v>232</v>
      </c>
      <c r="BQ1506" s="312"/>
      <c r="BR1506" t="s">
        <v>2170</v>
      </c>
      <c r="BS1506">
        <v>-200</v>
      </c>
      <c r="BT1506">
        <v>-175</v>
      </c>
      <c r="BU1506" s="144">
        <v>0.875</v>
      </c>
      <c r="BV1506">
        <v>25</v>
      </c>
      <c r="BX1506">
        <f>BV1506*10^3</f>
        <v>25000</v>
      </c>
      <c r="BY1506" t="str">
        <f>IFERROR(BX1506/BO1506,"")</f>
        <v/>
      </c>
      <c r="BZ1506">
        <v>0</v>
      </c>
      <c r="CA1506">
        <v>0</v>
      </c>
      <c r="CB1506">
        <v>0</v>
      </c>
      <c r="CC1506">
        <v>1</v>
      </c>
      <c r="CD1506">
        <v>0</v>
      </c>
      <c r="CE1506">
        <v>0</v>
      </c>
      <c r="CF1506">
        <v>0</v>
      </c>
      <c r="CG1506">
        <v>0</v>
      </c>
      <c r="CH1506">
        <v>0</v>
      </c>
      <c r="CI1506">
        <v>0</v>
      </c>
      <c r="CJ1506">
        <v>0</v>
      </c>
      <c r="CK1506">
        <v>0</v>
      </c>
      <c r="CL1506">
        <v>0</v>
      </c>
      <c r="CM1506">
        <v>0</v>
      </c>
      <c r="CN1506" t="str">
        <f>IF(BL1506&lt;BK1506,"refNeedCorrection","refOK")</f>
        <v>refOK</v>
      </c>
      <c r="CO1506"/>
      <c r="CP1506"/>
      <c r="CQ1506"/>
      <c r="CR1506">
        <f>IF($CN1506="refOK",$BS1506,$BT1506)*IF($BP1506="Emissions positive",-1,1)</f>
        <v>-200</v>
      </c>
      <c r="CS1506">
        <f>IF($CN1506="refOK",$BT1506,$BS1506)*IF($BP1506="Emissions positive",-1,1)</f>
        <v>-175</v>
      </c>
      <c r="CT1506">
        <f>IF($CN1506="refNeedCorrection",-BX1506,BX1506)*IF($BP1506="Emissions positive",-1,1)</f>
        <v>25000</v>
      </c>
      <c r="CU1506" t="str">
        <f>IFERROR(CT1506/CQ1506,"")</f>
        <v/>
      </c>
      <c r="CV1506" s="2">
        <f>IFERROR((CS1506-CR1506)/ABS(CR1506),"")</f>
        <v>0.125</v>
      </c>
      <c r="CW1506" s="1" t="s">
        <v>1199</v>
      </c>
      <c r="CX1506" s="312" t="str">
        <f>IF(OR($CW1506="prd",$CW1506="std",$CW1506="cit"),"loc",IF(OR($CW1506="eur",$CW1506="reg",$CW1506="coy"),"reg",$CW1506))</f>
        <v>reg</v>
      </c>
      <c r="CY1506" t="s">
        <v>235</v>
      </c>
      <c r="CZ1506">
        <v>2011</v>
      </c>
      <c r="DA1506">
        <v>2090</v>
      </c>
      <c r="DB1506">
        <v>80</v>
      </c>
      <c r="DC1506" t="str">
        <f>IF(DB1506=0,"0",IF(AND(DB1506&gt;=1,DB1506&lt;=30),"1-30",IF(AND(DB1506&gt;30,DB1506&lt;=70),"31-70",IF(AND(DB1506&gt;70,DB1506&lt;=100),"71-100",IF(DB1506&gt;100,"+100")))))</f>
        <v>71-100</v>
      </c>
      <c r="DD1506">
        <v>0</v>
      </c>
      <c r="DE1506">
        <v>1</v>
      </c>
      <c r="DF1506">
        <v>1</v>
      </c>
      <c r="DG1506">
        <v>1</v>
      </c>
      <c r="DI1506">
        <f>SUM(DD1506:DG1506)</f>
        <v>3</v>
      </c>
      <c r="DJ1506" t="str">
        <f>IF(DI1506=1,INDEX($DD$7:$DG$7,MATCH(1,$DD1506:$DG1506,0)),"mixedProduct")</f>
        <v>mixedProduct</v>
      </c>
      <c r="DK1506">
        <f>IF(DD1506=1,DK$7,0)</f>
        <v>0</v>
      </c>
      <c r="DL1506" t="str">
        <f>IF(DE1506=1,DL$7,0)</f>
        <v>Energy</v>
      </c>
      <c r="DM1506" t="str">
        <f>IF(DF1506=1,DM$7,0)</f>
        <v>Pulp/Paper</v>
      </c>
      <c r="DN1506" t="str">
        <f>IF(DG1506=1,DN$7,0)</f>
        <v>Timber</v>
      </c>
      <c r="DO1506">
        <v>1</v>
      </c>
      <c r="DP1506">
        <v>0</v>
      </c>
      <c r="DQ1506">
        <v>0</v>
      </c>
      <c r="DR1506">
        <v>0</v>
      </c>
      <c r="DS1506">
        <v>0</v>
      </c>
      <c r="DT1506">
        <f>SUM(DO1506:DP1506)</f>
        <v>1</v>
      </c>
      <c r="DU1506" s="143" t="str">
        <f>IF(DO1506=1,"self-calculated DF",IF(DP1506=1,"external DF used","explicit C balance"))</f>
        <v>self-calculated DF</v>
      </c>
      <c r="DV1506">
        <v>1</v>
      </c>
      <c r="DW1506">
        <v>1</v>
      </c>
      <c r="DX1506">
        <v>1</v>
      </c>
      <c r="DY1506">
        <v>0</v>
      </c>
      <c r="DZ1506">
        <v>0</v>
      </c>
      <c r="EA1506" s="143">
        <v>0</v>
      </c>
      <c r="EB1506">
        <v>1</v>
      </c>
      <c r="EC1506">
        <v>1</v>
      </c>
      <c r="ED1506">
        <v>0</v>
      </c>
      <c r="EE1506">
        <v>1</v>
      </c>
      <c r="EF1506">
        <v>1</v>
      </c>
      <c r="EG1506">
        <v>1</v>
      </c>
      <c r="EH1506">
        <v>0</v>
      </c>
      <c r="EI1506" s="2">
        <v>0</v>
      </c>
      <c r="EK1506" t="str">
        <f>IF(AND(AND(AND(OR($DX1506=1,$DW1506=1),OR($EC1506=1,$EA1506=1)),SUM($DV1506:$DZ1506,$EF1506)&gt;=3),SUM($EA1506:$EE1506)&gt;=2),"Whole sector","")</f>
        <v>Whole sector</v>
      </c>
      <c r="EL1506" t="str">
        <f>IF(AND(AND(OR($DX1506=1,$DW1506=1),AND($EC1506=0,$EA1506=0)),SUM($DV1506:$DZ1506,$EF1506)&gt;=3),"Ecosystem approach","")</f>
        <v/>
      </c>
      <c r="EM1506" s="2" t="str">
        <f>IF(AND(AND(AND($DX1506=0,$DW1506=0),OR($EC1506=1,$EA1506=1)),SUM($EB1506:$EE1506)&gt;=2),"Technology approach","")</f>
        <v/>
      </c>
      <c r="EP1506" t="b">
        <f>IF(ISNUMBER(BU1506),IF(ABS(BU1506-[5]QC_indicators!$B$2)&gt;3*[5]QC_indicators!$C$2,"C ratio",IF(ISNUMBER(BY1506),IF(ABS(BY1506-[5]QC_indicators!$B$1)&gt;3*[5]QC_indicators!$C$1,"DF","no"))),IF(ISNUMBER(BY1506),IF(ABS(BY1506-[5]QC_indicators!$B$1)&gt;3*[5]QC_indicators!$C$1,"DF","no")))</f>
        <v>0</v>
      </c>
      <c r="ER1506" s="314" t="s">
        <v>349</v>
      </c>
    </row>
    <row r="1507" spans="1:148" ht="18" customHeight="1">
      <c r="A1507" s="1" t="s">
        <v>1102</v>
      </c>
      <c r="B1507" t="s">
        <v>4089</v>
      </c>
      <c r="C1507" t="s">
        <v>4090</v>
      </c>
      <c r="D1507" t="s">
        <v>4091</v>
      </c>
      <c r="E1507" t="s">
        <v>4092</v>
      </c>
      <c r="F1507" t="s">
        <v>4093</v>
      </c>
      <c r="G1507" t="s">
        <v>1108</v>
      </c>
      <c r="H1507" t="s">
        <v>254</v>
      </c>
      <c r="I1507">
        <v>2011</v>
      </c>
      <c r="J1507">
        <v>57</v>
      </c>
      <c r="K1507" t="s">
        <v>4094</v>
      </c>
      <c r="M1507" t="str">
        <f>LEFT($D1507,FIND(",",$D1507)-1)&amp;"_"&amp;I1507&amp;L1507</f>
        <v>Routa_2011</v>
      </c>
      <c r="N1507" s="312" t="s">
        <v>4383</v>
      </c>
      <c r="O1507" s="145" t="s">
        <v>341</v>
      </c>
      <c r="Q1507" s="312" t="s">
        <v>256</v>
      </c>
      <c r="R1507" s="313"/>
      <c r="S1507" s="1" t="s">
        <v>4122</v>
      </c>
      <c r="T1507" t="s">
        <v>1111</v>
      </c>
      <c r="U1507" t="e">
        <f>#REF!</f>
        <v>#REF!</v>
      </c>
      <c r="V1507">
        <v>0</v>
      </c>
      <c r="W1507">
        <v>0</v>
      </c>
      <c r="X1507">
        <v>0</v>
      </c>
      <c r="Y1507">
        <v>0</v>
      </c>
      <c r="Z1507">
        <v>0</v>
      </c>
      <c r="AA1507">
        <v>2</v>
      </c>
      <c r="AB1507">
        <v>1</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s="141">
        <f>COUNTIF(V1507:AW1507,"&lt;&gt;0")</f>
        <v>2</v>
      </c>
      <c r="AY1507" s="141">
        <f>COUNTIF(V1507:AL1507,"&lt;&gt;0")</f>
        <v>2</v>
      </c>
      <c r="AZ1507">
        <f>COUNTIF(V1507:AC1507,"&lt;&gt;0")</f>
        <v>2</v>
      </c>
      <c r="BA1507">
        <f>COUNTIF(AD1507:AI1507,"&lt;&gt;0")</f>
        <v>0</v>
      </c>
      <c r="BB1507">
        <f>COUNTIF(AJ1507:AL1507,"&lt;&gt;0")</f>
        <v>0</v>
      </c>
      <c r="BC1507">
        <f>COUNTIF(AS1507:AW1507,"&lt;&gt;0")</f>
        <v>0</v>
      </c>
      <c r="BD1507">
        <f>COUNTIF(AM1507:AR1507,"&lt;&gt;0")</f>
        <v>0</v>
      </c>
      <c r="BE1507" t="str" cm="1">
        <f t="array" ref="BE1507">IF(AY1507=1,INDEX($V$7:$AL$7,MATCH(TRUE,INDEX($V1507:$AW1507&lt;&gt;0,),0)),IF(AY1507=0,INDEX($AM$7:$AW$7,MATCH(1,$AM1507:$AW1507,0)),IF(BF1507="Multiple strategies","mixed drivers",IF(BF1507="Supply chain","multiple supply","multiple silviculture"))))</f>
        <v>multiple silviculture</v>
      </c>
      <c r="BF1507" s="2" t="str" cm="1">
        <f t="array" ref="BF1507">IF(COUNTIF(AZ1507:BB1507,"&lt;&gt;0")=1,INDEX($V$4:$AW$4,MATCH(TRUE,INDEX($V1507:$AW1507&lt;&gt;0,),0)),IF(COUNTIF(AZ1507:BB1507,"&lt;&gt;0")=0,INDEX($AM$4:$AW$4,MATCH(1,$AM1507:$AW1507,0)),"Multiple strategies"))</f>
        <v>Silviculture for productivity</v>
      </c>
      <c r="BP1507" s="312" t="s">
        <v>232</v>
      </c>
      <c r="BQ1507" s="312"/>
      <c r="BR1507" t="s">
        <v>2170</v>
      </c>
      <c r="BS1507">
        <v>-200</v>
      </c>
      <c r="BT1507">
        <v>-178</v>
      </c>
      <c r="BU1507" s="144">
        <v>0.89</v>
      </c>
      <c r="BV1507">
        <v>22</v>
      </c>
      <c r="BX1507">
        <f>BV1507*10^3</f>
        <v>22000</v>
      </c>
      <c r="BY1507" t="str">
        <f>IFERROR(BX1507/BO1507,"")</f>
        <v/>
      </c>
      <c r="BZ1507">
        <v>0</v>
      </c>
      <c r="CA1507">
        <v>0</v>
      </c>
      <c r="CB1507">
        <v>0</v>
      </c>
      <c r="CC1507">
        <v>1</v>
      </c>
      <c r="CD1507">
        <v>0</v>
      </c>
      <c r="CE1507">
        <v>0</v>
      </c>
      <c r="CF1507">
        <v>0</v>
      </c>
      <c r="CG1507">
        <v>0</v>
      </c>
      <c r="CH1507">
        <v>0</v>
      </c>
      <c r="CI1507">
        <v>0</v>
      </c>
      <c r="CJ1507">
        <v>0</v>
      </c>
      <c r="CK1507">
        <v>0</v>
      </c>
      <c r="CL1507">
        <v>0</v>
      </c>
      <c r="CM1507">
        <v>0</v>
      </c>
      <c r="CN1507" t="str">
        <f>IF(BL1507&lt;BK1507,"refNeedCorrection","refOK")</f>
        <v>refOK</v>
      </c>
      <c r="CO1507"/>
      <c r="CP1507"/>
      <c r="CQ1507"/>
      <c r="CR1507">
        <f>IF($CN1507="refOK",$BS1507,$BT1507)*IF($BP1507="Emissions positive",-1,1)</f>
        <v>-200</v>
      </c>
      <c r="CS1507">
        <f>IF($CN1507="refOK",$BT1507,$BS1507)*IF($BP1507="Emissions positive",-1,1)</f>
        <v>-178</v>
      </c>
      <c r="CT1507">
        <f>IF($CN1507="refNeedCorrection",-BX1507,BX1507)*IF($BP1507="Emissions positive",-1,1)</f>
        <v>22000</v>
      </c>
      <c r="CU1507" t="str">
        <f>IFERROR(CT1507/CQ1507,"")</f>
        <v/>
      </c>
      <c r="CV1507" s="2">
        <f>IFERROR((CS1507-CR1507)/ABS(CR1507),"")</f>
        <v>0.11</v>
      </c>
      <c r="CW1507" s="1" t="s">
        <v>1199</v>
      </c>
      <c r="CX1507" s="312" t="str">
        <f>IF(OR($CW1507="prd",$CW1507="std",$CW1507="cit"),"loc",IF(OR($CW1507="eur",$CW1507="reg",$CW1507="coy"),"reg",$CW1507))</f>
        <v>reg</v>
      </c>
      <c r="CY1507" t="s">
        <v>235</v>
      </c>
      <c r="CZ1507">
        <v>2011</v>
      </c>
      <c r="DA1507">
        <v>2090</v>
      </c>
      <c r="DB1507">
        <v>80</v>
      </c>
      <c r="DC1507" t="str">
        <f>IF(DB1507=0,"0",IF(AND(DB1507&gt;=1,DB1507&lt;=30),"1-30",IF(AND(DB1507&gt;30,DB1507&lt;=70),"31-70",IF(AND(DB1507&gt;70,DB1507&lt;=100),"71-100",IF(DB1507&gt;100,"+100")))))</f>
        <v>71-100</v>
      </c>
      <c r="DD1507">
        <v>0</v>
      </c>
      <c r="DE1507">
        <v>1</v>
      </c>
      <c r="DF1507">
        <v>1</v>
      </c>
      <c r="DG1507">
        <v>1</v>
      </c>
      <c r="DI1507">
        <f>SUM(DD1507:DG1507)</f>
        <v>3</v>
      </c>
      <c r="DJ1507" t="str">
        <f>IF(DI1507=1,INDEX($DD$7:$DG$7,MATCH(1,$DD1507:$DG1507,0)),"mixedProduct")</f>
        <v>mixedProduct</v>
      </c>
      <c r="DK1507">
        <f>IF(DD1507=1,DK$7,0)</f>
        <v>0</v>
      </c>
      <c r="DL1507" t="str">
        <f>IF(DE1507=1,DL$7,0)</f>
        <v>Energy</v>
      </c>
      <c r="DM1507" t="str">
        <f>IF(DF1507=1,DM$7,0)</f>
        <v>Pulp/Paper</v>
      </c>
      <c r="DN1507" t="str">
        <f>IF(DG1507=1,DN$7,0)</f>
        <v>Timber</v>
      </c>
      <c r="DO1507">
        <v>1</v>
      </c>
      <c r="DP1507">
        <v>0</v>
      </c>
      <c r="DQ1507">
        <v>0</v>
      </c>
      <c r="DR1507">
        <v>0</v>
      </c>
      <c r="DS1507">
        <v>0</v>
      </c>
      <c r="DT1507">
        <f>SUM(DO1507:DP1507)</f>
        <v>1</v>
      </c>
      <c r="DU1507" s="143" t="str">
        <f>IF(DO1507=1,"self-calculated DF",IF(DP1507=1,"external DF used","explicit C balance"))</f>
        <v>self-calculated DF</v>
      </c>
      <c r="DV1507">
        <v>1</v>
      </c>
      <c r="DW1507">
        <v>1</v>
      </c>
      <c r="DX1507">
        <v>1</v>
      </c>
      <c r="DY1507">
        <v>0</v>
      </c>
      <c r="DZ1507">
        <v>0</v>
      </c>
      <c r="EA1507" s="143">
        <v>0</v>
      </c>
      <c r="EB1507">
        <v>1</v>
      </c>
      <c r="EC1507">
        <v>1</v>
      </c>
      <c r="ED1507">
        <v>0</v>
      </c>
      <c r="EE1507">
        <v>1</v>
      </c>
      <c r="EF1507">
        <v>1</v>
      </c>
      <c r="EG1507">
        <v>1</v>
      </c>
      <c r="EH1507">
        <v>0</v>
      </c>
      <c r="EI1507" s="2">
        <v>0</v>
      </c>
      <c r="EK1507" t="str">
        <f>IF(AND(AND(AND(OR($DX1507=1,$DW1507=1),OR($EC1507=1,$EA1507=1)),SUM($DV1507:$DZ1507,$EF1507)&gt;=3),SUM($EA1507:$EE1507)&gt;=2),"Whole sector","")</f>
        <v>Whole sector</v>
      </c>
      <c r="EL1507" t="str">
        <f>IF(AND(AND(OR($DX1507=1,$DW1507=1),AND($EC1507=0,$EA1507=0)),SUM($DV1507:$DZ1507,$EF1507)&gt;=3),"Ecosystem approach","")</f>
        <v/>
      </c>
      <c r="EM1507" s="2" t="str">
        <f>IF(AND(AND(AND($DX1507=0,$DW1507=0),OR($EC1507=1,$EA1507=1)),SUM($EB1507:$EE1507)&gt;=2),"Technology approach","")</f>
        <v/>
      </c>
      <c r="EP1507" t="b">
        <f>IF(ISNUMBER(BU1507),IF(ABS(BU1507-[5]QC_indicators!$B$2)&gt;3*[5]QC_indicators!$C$2,"C ratio",IF(ISNUMBER(BY1507),IF(ABS(BY1507-[5]QC_indicators!$B$1)&gt;3*[5]QC_indicators!$C$1,"DF","no"))),IF(ISNUMBER(BY1507),IF(ABS(BY1507-[5]QC_indicators!$B$1)&gt;3*[5]QC_indicators!$C$1,"DF","no")))</f>
        <v>0</v>
      </c>
      <c r="ER1507" s="314" t="s">
        <v>349</v>
      </c>
    </row>
    <row r="1508" spans="1:148" ht="18" customHeight="1">
      <c r="A1508" s="1" t="s">
        <v>1102</v>
      </c>
      <c r="B1508" t="s">
        <v>4089</v>
      </c>
      <c r="C1508" t="s">
        <v>4090</v>
      </c>
      <c r="D1508" t="s">
        <v>4091</v>
      </c>
      <c r="E1508" t="s">
        <v>4092</v>
      </c>
      <c r="F1508" t="s">
        <v>4093</v>
      </c>
      <c r="G1508" t="s">
        <v>1108</v>
      </c>
      <c r="H1508" t="s">
        <v>254</v>
      </c>
      <c r="I1508">
        <v>2011</v>
      </c>
      <c r="J1508">
        <v>57</v>
      </c>
      <c r="K1508" t="s">
        <v>4094</v>
      </c>
      <c r="M1508" t="str">
        <f>LEFT($D1508,FIND(",",$D1508)-1)&amp;"_"&amp;I1508&amp;L1508</f>
        <v>Routa_2011</v>
      </c>
      <c r="N1508" s="312" t="s">
        <v>4383</v>
      </c>
      <c r="O1508" s="145" t="s">
        <v>341</v>
      </c>
      <c r="Q1508" s="312" t="s">
        <v>256</v>
      </c>
      <c r="R1508" s="313"/>
      <c r="S1508" s="1" t="s">
        <v>4123</v>
      </c>
      <c r="T1508" t="s">
        <v>1111</v>
      </c>
      <c r="U1508" t="e">
        <f>#REF!</f>
        <v>#REF!</v>
      </c>
      <c r="V1508">
        <v>0</v>
      </c>
      <c r="W1508">
        <v>0</v>
      </c>
      <c r="X1508">
        <v>0</v>
      </c>
      <c r="Y1508">
        <v>0</v>
      </c>
      <c r="Z1508">
        <v>0</v>
      </c>
      <c r="AA1508">
        <v>2</v>
      </c>
      <c r="AB1508">
        <v>1</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s="141">
        <f>COUNTIF(V1508:AW1508,"&lt;&gt;0")</f>
        <v>2</v>
      </c>
      <c r="AY1508" s="141">
        <f>COUNTIF(V1508:AL1508,"&lt;&gt;0")</f>
        <v>2</v>
      </c>
      <c r="AZ1508">
        <f>COUNTIF(V1508:AC1508,"&lt;&gt;0")</f>
        <v>2</v>
      </c>
      <c r="BA1508">
        <f>COUNTIF(AD1508:AI1508,"&lt;&gt;0")</f>
        <v>0</v>
      </c>
      <c r="BB1508">
        <f>COUNTIF(AJ1508:AL1508,"&lt;&gt;0")</f>
        <v>0</v>
      </c>
      <c r="BC1508">
        <f>COUNTIF(AS1508:AW1508,"&lt;&gt;0")</f>
        <v>0</v>
      </c>
      <c r="BD1508">
        <f>COUNTIF(AM1508:AR1508,"&lt;&gt;0")</f>
        <v>0</v>
      </c>
      <c r="BE1508" t="str" cm="1">
        <f t="array" ref="BE1508">IF(AY1508=1,INDEX($V$7:$AL$7,MATCH(TRUE,INDEX($V1508:$AW1508&lt;&gt;0,),0)),IF(AY1508=0,INDEX($AM$7:$AW$7,MATCH(1,$AM1508:$AW1508,0)),IF(BF1508="Multiple strategies","mixed drivers",IF(BF1508="Supply chain","multiple supply","multiple silviculture"))))</f>
        <v>multiple silviculture</v>
      </c>
      <c r="BF1508" s="2" t="str" cm="1">
        <f t="array" ref="BF1508">IF(COUNTIF(AZ1508:BB1508,"&lt;&gt;0")=1,INDEX($V$4:$AW$4,MATCH(TRUE,INDEX($V1508:$AW1508&lt;&gt;0,),0)),IF(COUNTIF(AZ1508:BB1508,"&lt;&gt;0")=0,INDEX($AM$4:$AW$4,MATCH(1,$AM1508:$AW1508,0)),"Multiple strategies"))</f>
        <v>Silviculture for productivity</v>
      </c>
      <c r="BP1508" s="312" t="s">
        <v>232</v>
      </c>
      <c r="BQ1508" s="312"/>
      <c r="BR1508" t="s">
        <v>2170</v>
      </c>
      <c r="BS1508">
        <v>-200</v>
      </c>
      <c r="BT1508">
        <v>-186</v>
      </c>
      <c r="BU1508" s="144">
        <v>0.93</v>
      </c>
      <c r="BV1508">
        <v>14</v>
      </c>
      <c r="BX1508">
        <f>BV1508*10^3</f>
        <v>14000</v>
      </c>
      <c r="BY1508" t="str">
        <f>IFERROR(BX1508/BO1508,"")</f>
        <v/>
      </c>
      <c r="BZ1508">
        <v>0</v>
      </c>
      <c r="CA1508">
        <v>0</v>
      </c>
      <c r="CB1508">
        <v>0</v>
      </c>
      <c r="CC1508">
        <v>1</v>
      </c>
      <c r="CD1508">
        <v>0</v>
      </c>
      <c r="CE1508">
        <v>0</v>
      </c>
      <c r="CF1508">
        <v>0</v>
      </c>
      <c r="CG1508">
        <v>0</v>
      </c>
      <c r="CH1508">
        <v>0</v>
      </c>
      <c r="CI1508">
        <v>0</v>
      </c>
      <c r="CJ1508">
        <v>0</v>
      </c>
      <c r="CK1508">
        <v>0</v>
      </c>
      <c r="CL1508">
        <v>0</v>
      </c>
      <c r="CM1508">
        <v>0</v>
      </c>
      <c r="CN1508" t="str">
        <f>IF(BL1508&lt;BK1508,"refNeedCorrection","refOK")</f>
        <v>refOK</v>
      </c>
      <c r="CO1508"/>
      <c r="CP1508"/>
      <c r="CQ1508"/>
      <c r="CR1508">
        <f>IF($CN1508="refOK",$BS1508,$BT1508)*IF($BP1508="Emissions positive",-1,1)</f>
        <v>-200</v>
      </c>
      <c r="CS1508">
        <f>IF($CN1508="refOK",$BT1508,$BS1508)*IF($BP1508="Emissions positive",-1,1)</f>
        <v>-186</v>
      </c>
      <c r="CT1508">
        <f>IF($CN1508="refNeedCorrection",-BX1508,BX1508)*IF($BP1508="Emissions positive",-1,1)</f>
        <v>14000</v>
      </c>
      <c r="CU1508" t="str">
        <f>IFERROR(CT1508/CQ1508,"")</f>
        <v/>
      </c>
      <c r="CV1508" s="2">
        <f>IFERROR((CS1508-CR1508)/ABS(CR1508),"")</f>
        <v>7.0000000000000007E-2</v>
      </c>
      <c r="CW1508" s="1" t="s">
        <v>1199</v>
      </c>
      <c r="CX1508" s="312" t="str">
        <f>IF(OR($CW1508="prd",$CW1508="std",$CW1508="cit"),"loc",IF(OR($CW1508="eur",$CW1508="reg",$CW1508="coy"),"reg",$CW1508))</f>
        <v>reg</v>
      </c>
      <c r="CY1508" t="s">
        <v>235</v>
      </c>
      <c r="CZ1508">
        <v>2011</v>
      </c>
      <c r="DA1508">
        <v>2090</v>
      </c>
      <c r="DB1508">
        <v>80</v>
      </c>
      <c r="DC1508" t="str">
        <f>IF(DB1508=0,"0",IF(AND(DB1508&gt;=1,DB1508&lt;=30),"1-30",IF(AND(DB1508&gt;30,DB1508&lt;=70),"31-70",IF(AND(DB1508&gt;70,DB1508&lt;=100),"71-100",IF(DB1508&gt;100,"+100")))))</f>
        <v>71-100</v>
      </c>
      <c r="DD1508">
        <v>0</v>
      </c>
      <c r="DE1508">
        <v>1</v>
      </c>
      <c r="DF1508">
        <v>1</v>
      </c>
      <c r="DG1508">
        <v>1</v>
      </c>
      <c r="DI1508">
        <f>SUM(DD1508:DG1508)</f>
        <v>3</v>
      </c>
      <c r="DJ1508" t="str">
        <f>IF(DI1508=1,INDEX($DD$7:$DG$7,MATCH(1,$DD1508:$DG1508,0)),"mixedProduct")</f>
        <v>mixedProduct</v>
      </c>
      <c r="DK1508">
        <f>IF(DD1508=1,DK$7,0)</f>
        <v>0</v>
      </c>
      <c r="DL1508" t="str">
        <f>IF(DE1508=1,DL$7,0)</f>
        <v>Energy</v>
      </c>
      <c r="DM1508" t="str">
        <f>IF(DF1508=1,DM$7,0)</f>
        <v>Pulp/Paper</v>
      </c>
      <c r="DN1508" t="str">
        <f>IF(DG1508=1,DN$7,0)</f>
        <v>Timber</v>
      </c>
      <c r="DO1508">
        <v>1</v>
      </c>
      <c r="DP1508">
        <v>0</v>
      </c>
      <c r="DQ1508">
        <v>0</v>
      </c>
      <c r="DR1508">
        <v>0</v>
      </c>
      <c r="DS1508">
        <v>0</v>
      </c>
      <c r="DT1508">
        <f>SUM(DO1508:DP1508)</f>
        <v>1</v>
      </c>
      <c r="DU1508" s="143" t="str">
        <f>IF(DO1508=1,"self-calculated DF",IF(DP1508=1,"external DF used","explicit C balance"))</f>
        <v>self-calculated DF</v>
      </c>
      <c r="DV1508">
        <v>1</v>
      </c>
      <c r="DW1508">
        <v>1</v>
      </c>
      <c r="DX1508">
        <v>1</v>
      </c>
      <c r="DY1508">
        <v>0</v>
      </c>
      <c r="DZ1508">
        <v>0</v>
      </c>
      <c r="EA1508" s="143">
        <v>0</v>
      </c>
      <c r="EB1508">
        <v>1</v>
      </c>
      <c r="EC1508">
        <v>1</v>
      </c>
      <c r="ED1508">
        <v>0</v>
      </c>
      <c r="EE1508">
        <v>1</v>
      </c>
      <c r="EF1508">
        <v>1</v>
      </c>
      <c r="EG1508">
        <v>1</v>
      </c>
      <c r="EH1508">
        <v>0</v>
      </c>
      <c r="EI1508" s="2">
        <v>0</v>
      </c>
      <c r="EK1508" t="str">
        <f>IF(AND(AND(AND(OR($DX1508=1,$DW1508=1),OR($EC1508=1,$EA1508=1)),SUM($DV1508:$DZ1508,$EF1508)&gt;=3),SUM($EA1508:$EE1508)&gt;=2),"Whole sector","")</f>
        <v>Whole sector</v>
      </c>
      <c r="EL1508" t="str">
        <f>IF(AND(AND(OR($DX1508=1,$DW1508=1),AND($EC1508=0,$EA1508=0)),SUM($DV1508:$DZ1508,$EF1508)&gt;=3),"Ecosystem approach","")</f>
        <v/>
      </c>
      <c r="EM1508" s="2" t="str">
        <f>IF(AND(AND(AND($DX1508=0,$DW1508=0),OR($EC1508=1,$EA1508=1)),SUM($EB1508:$EE1508)&gt;=2),"Technology approach","")</f>
        <v/>
      </c>
      <c r="EP1508" t="b">
        <f>IF(ISNUMBER(BU1508),IF(ABS(BU1508-[5]QC_indicators!$B$2)&gt;3*[5]QC_indicators!$C$2,"C ratio",IF(ISNUMBER(BY1508),IF(ABS(BY1508-[5]QC_indicators!$B$1)&gt;3*[5]QC_indicators!$C$1,"DF","no"))),IF(ISNUMBER(BY1508),IF(ABS(BY1508-[5]QC_indicators!$B$1)&gt;3*[5]QC_indicators!$C$1,"DF","no")))</f>
        <v>0</v>
      </c>
      <c r="ER1508" s="314" t="s">
        <v>349</v>
      </c>
    </row>
    <row r="1509" spans="1:148" ht="18" customHeight="1">
      <c r="A1509" s="1" t="s">
        <v>1102</v>
      </c>
      <c r="B1509" t="s">
        <v>4089</v>
      </c>
      <c r="C1509" t="s">
        <v>4090</v>
      </c>
      <c r="D1509" t="s">
        <v>4091</v>
      </c>
      <c r="E1509" t="s">
        <v>4092</v>
      </c>
      <c r="F1509" t="s">
        <v>4093</v>
      </c>
      <c r="G1509" t="s">
        <v>1108</v>
      </c>
      <c r="H1509" t="s">
        <v>254</v>
      </c>
      <c r="I1509">
        <v>2011</v>
      </c>
      <c r="J1509">
        <v>57</v>
      </c>
      <c r="K1509" t="s">
        <v>4094</v>
      </c>
      <c r="M1509" t="str">
        <f>LEFT($D1509,FIND(",",$D1509)-1)&amp;"_"&amp;I1509&amp;L1509</f>
        <v>Routa_2011</v>
      </c>
      <c r="N1509" s="312" t="s">
        <v>4383</v>
      </c>
      <c r="O1509" s="145" t="s">
        <v>341</v>
      </c>
      <c r="Q1509" s="312" t="s">
        <v>256</v>
      </c>
      <c r="R1509" s="313"/>
      <c r="S1509" s="1" t="s">
        <v>4124</v>
      </c>
      <c r="T1509" t="s">
        <v>1111</v>
      </c>
      <c r="U1509" t="e">
        <f>#REF!</f>
        <v>#REF!</v>
      </c>
      <c r="V1509">
        <v>0</v>
      </c>
      <c r="W1509">
        <v>0</v>
      </c>
      <c r="X1509">
        <v>0</v>
      </c>
      <c r="Y1509">
        <v>0</v>
      </c>
      <c r="Z1509">
        <v>0</v>
      </c>
      <c r="AA1509">
        <v>2</v>
      </c>
      <c r="AB1509">
        <v>1</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s="141">
        <f>COUNTIF(V1509:AW1509,"&lt;&gt;0")</f>
        <v>2</v>
      </c>
      <c r="AY1509" s="141">
        <f>COUNTIF(V1509:AL1509,"&lt;&gt;0")</f>
        <v>2</v>
      </c>
      <c r="AZ1509">
        <f>COUNTIF(V1509:AC1509,"&lt;&gt;0")</f>
        <v>2</v>
      </c>
      <c r="BA1509">
        <f>COUNTIF(AD1509:AI1509,"&lt;&gt;0")</f>
        <v>0</v>
      </c>
      <c r="BB1509">
        <f>COUNTIF(AJ1509:AL1509,"&lt;&gt;0")</f>
        <v>0</v>
      </c>
      <c r="BC1509">
        <f>COUNTIF(AS1509:AW1509,"&lt;&gt;0")</f>
        <v>0</v>
      </c>
      <c r="BD1509">
        <f>COUNTIF(AM1509:AR1509,"&lt;&gt;0")</f>
        <v>0</v>
      </c>
      <c r="BE1509" t="str" cm="1">
        <f t="array" ref="BE1509">IF(AY1509=1,INDEX($V$7:$AL$7,MATCH(TRUE,INDEX($V1509:$AW1509&lt;&gt;0,),0)),IF(AY1509=0,INDEX($AM$7:$AW$7,MATCH(1,$AM1509:$AW1509,0)),IF(BF1509="Multiple strategies","mixed drivers",IF(BF1509="Supply chain","multiple supply","multiple silviculture"))))</f>
        <v>multiple silviculture</v>
      </c>
      <c r="BF1509" s="2" t="str" cm="1">
        <f t="array" ref="BF1509">IF(COUNTIF(AZ1509:BB1509,"&lt;&gt;0")=1,INDEX($V$4:$AW$4,MATCH(TRUE,INDEX($V1509:$AW1509&lt;&gt;0,),0)),IF(COUNTIF(AZ1509:BB1509,"&lt;&gt;0")=0,INDEX($AM$4:$AW$4,MATCH(1,$AM1509:$AW1509,0)),"Multiple strategies"))</f>
        <v>Silviculture for productivity</v>
      </c>
      <c r="BP1509" s="312" t="s">
        <v>232</v>
      </c>
      <c r="BQ1509" s="312"/>
      <c r="BR1509" t="s">
        <v>2170</v>
      </c>
      <c r="BS1509">
        <v>-200</v>
      </c>
      <c r="BT1509">
        <v>-187</v>
      </c>
      <c r="BU1509" s="144">
        <v>0.93500000000000005</v>
      </c>
      <c r="BV1509">
        <v>13</v>
      </c>
      <c r="BX1509">
        <f>BV1509*10^3</f>
        <v>13000</v>
      </c>
      <c r="BY1509" t="str">
        <f>IFERROR(BX1509/BO1509,"")</f>
        <v/>
      </c>
      <c r="BZ1509">
        <v>0</v>
      </c>
      <c r="CA1509">
        <v>0</v>
      </c>
      <c r="CB1509">
        <v>0</v>
      </c>
      <c r="CC1509">
        <v>1</v>
      </c>
      <c r="CD1509">
        <v>0</v>
      </c>
      <c r="CE1509">
        <v>0</v>
      </c>
      <c r="CF1509">
        <v>0</v>
      </c>
      <c r="CG1509">
        <v>0</v>
      </c>
      <c r="CH1509">
        <v>0</v>
      </c>
      <c r="CI1509">
        <v>0</v>
      </c>
      <c r="CJ1509">
        <v>0</v>
      </c>
      <c r="CK1509">
        <v>0</v>
      </c>
      <c r="CL1509">
        <v>0</v>
      </c>
      <c r="CM1509">
        <v>0</v>
      </c>
      <c r="CN1509" t="str">
        <f>IF(BL1509&lt;BK1509,"refNeedCorrection","refOK")</f>
        <v>refOK</v>
      </c>
      <c r="CO1509"/>
      <c r="CP1509"/>
      <c r="CQ1509"/>
      <c r="CR1509">
        <f>IF($CN1509="refOK",$BS1509,$BT1509)*IF($BP1509="Emissions positive",-1,1)</f>
        <v>-200</v>
      </c>
      <c r="CS1509">
        <f>IF($CN1509="refOK",$BT1509,$BS1509)*IF($BP1509="Emissions positive",-1,1)</f>
        <v>-187</v>
      </c>
      <c r="CT1509">
        <f>IF($CN1509="refNeedCorrection",-BX1509,BX1509)*IF($BP1509="Emissions positive",-1,1)</f>
        <v>13000</v>
      </c>
      <c r="CU1509" t="str">
        <f>IFERROR(CT1509/CQ1509,"")</f>
        <v/>
      </c>
      <c r="CV1509" s="2">
        <f>IFERROR((CS1509-CR1509)/ABS(CR1509),"")</f>
        <v>6.5000000000000002E-2</v>
      </c>
      <c r="CW1509" s="1" t="s">
        <v>1199</v>
      </c>
      <c r="CX1509" s="312" t="str">
        <f>IF(OR($CW1509="prd",$CW1509="std",$CW1509="cit"),"loc",IF(OR($CW1509="eur",$CW1509="reg",$CW1509="coy"),"reg",$CW1509))</f>
        <v>reg</v>
      </c>
      <c r="CY1509" t="s">
        <v>235</v>
      </c>
      <c r="CZ1509">
        <v>2011</v>
      </c>
      <c r="DA1509">
        <v>2090</v>
      </c>
      <c r="DB1509">
        <v>80</v>
      </c>
      <c r="DC1509" t="str">
        <f>IF(DB1509=0,"0",IF(AND(DB1509&gt;=1,DB1509&lt;=30),"1-30",IF(AND(DB1509&gt;30,DB1509&lt;=70),"31-70",IF(AND(DB1509&gt;70,DB1509&lt;=100),"71-100",IF(DB1509&gt;100,"+100")))))</f>
        <v>71-100</v>
      </c>
      <c r="DD1509">
        <v>0</v>
      </c>
      <c r="DE1509">
        <v>1</v>
      </c>
      <c r="DF1509">
        <v>1</v>
      </c>
      <c r="DG1509">
        <v>1</v>
      </c>
      <c r="DI1509">
        <f>SUM(DD1509:DG1509)</f>
        <v>3</v>
      </c>
      <c r="DJ1509" t="str">
        <f>IF(DI1509=1,INDEX($DD$7:$DG$7,MATCH(1,$DD1509:$DG1509,0)),"mixedProduct")</f>
        <v>mixedProduct</v>
      </c>
      <c r="DK1509">
        <f>IF(DD1509=1,DK$7,0)</f>
        <v>0</v>
      </c>
      <c r="DL1509" t="str">
        <f>IF(DE1509=1,DL$7,0)</f>
        <v>Energy</v>
      </c>
      <c r="DM1509" t="str">
        <f>IF(DF1509=1,DM$7,0)</f>
        <v>Pulp/Paper</v>
      </c>
      <c r="DN1509" t="str">
        <f>IF(DG1509=1,DN$7,0)</f>
        <v>Timber</v>
      </c>
      <c r="DO1509">
        <v>1</v>
      </c>
      <c r="DP1509">
        <v>0</v>
      </c>
      <c r="DQ1509">
        <v>0</v>
      </c>
      <c r="DR1509">
        <v>0</v>
      </c>
      <c r="DS1509">
        <v>0</v>
      </c>
      <c r="DT1509">
        <f>SUM(DO1509:DP1509)</f>
        <v>1</v>
      </c>
      <c r="DU1509" s="143" t="str">
        <f>IF(DO1509=1,"self-calculated DF",IF(DP1509=1,"external DF used","explicit C balance"))</f>
        <v>self-calculated DF</v>
      </c>
      <c r="DV1509">
        <v>1</v>
      </c>
      <c r="DW1509">
        <v>1</v>
      </c>
      <c r="DX1509">
        <v>1</v>
      </c>
      <c r="DY1509">
        <v>0</v>
      </c>
      <c r="DZ1509">
        <v>0</v>
      </c>
      <c r="EA1509" s="143">
        <v>0</v>
      </c>
      <c r="EB1509">
        <v>1</v>
      </c>
      <c r="EC1509">
        <v>1</v>
      </c>
      <c r="ED1509">
        <v>0</v>
      </c>
      <c r="EE1509">
        <v>1</v>
      </c>
      <c r="EF1509">
        <v>1</v>
      </c>
      <c r="EG1509">
        <v>1</v>
      </c>
      <c r="EH1509">
        <v>0</v>
      </c>
      <c r="EI1509" s="2">
        <v>0</v>
      </c>
      <c r="EK1509" t="str">
        <f>IF(AND(AND(AND(OR($DX1509=1,$DW1509=1),OR($EC1509=1,$EA1509=1)),SUM($DV1509:$DZ1509,$EF1509)&gt;=3),SUM($EA1509:$EE1509)&gt;=2),"Whole sector","")</f>
        <v>Whole sector</v>
      </c>
      <c r="EL1509" t="str">
        <f>IF(AND(AND(OR($DX1509=1,$DW1509=1),AND($EC1509=0,$EA1509=0)),SUM($DV1509:$DZ1509,$EF1509)&gt;=3),"Ecosystem approach","")</f>
        <v/>
      </c>
      <c r="EM1509" s="2" t="str">
        <f>IF(AND(AND(AND($DX1509=0,$DW1509=0),OR($EC1509=1,$EA1509=1)),SUM($EB1509:$EE1509)&gt;=2),"Technology approach","")</f>
        <v/>
      </c>
      <c r="EP1509" t="b">
        <f>IF(ISNUMBER(BU1509),IF(ABS(BU1509-[5]QC_indicators!$B$2)&gt;3*[5]QC_indicators!$C$2,"C ratio",IF(ISNUMBER(BY1509),IF(ABS(BY1509-[5]QC_indicators!$B$1)&gt;3*[5]QC_indicators!$C$1,"DF","no"))),IF(ISNUMBER(BY1509),IF(ABS(BY1509-[5]QC_indicators!$B$1)&gt;3*[5]QC_indicators!$C$1,"DF","no")))</f>
        <v>0</v>
      </c>
      <c r="ER1509" s="314" t="s">
        <v>349</v>
      </c>
    </row>
    <row r="1510" spans="1:148" ht="18" customHeight="1">
      <c r="A1510" s="1" t="s">
        <v>1102</v>
      </c>
      <c r="B1510" t="s">
        <v>4089</v>
      </c>
      <c r="C1510" t="s">
        <v>4090</v>
      </c>
      <c r="D1510" t="s">
        <v>4091</v>
      </c>
      <c r="E1510" t="s">
        <v>4092</v>
      </c>
      <c r="F1510" t="s">
        <v>4093</v>
      </c>
      <c r="G1510" t="s">
        <v>1108</v>
      </c>
      <c r="H1510" t="s">
        <v>254</v>
      </c>
      <c r="I1510">
        <v>2011</v>
      </c>
      <c r="J1510">
        <v>57</v>
      </c>
      <c r="K1510" t="s">
        <v>4094</v>
      </c>
      <c r="M1510" t="str">
        <f>LEFT($D1510,FIND(",",$D1510)-1)&amp;"_"&amp;I1510&amp;L1510</f>
        <v>Routa_2011</v>
      </c>
      <c r="N1510" s="312" t="s">
        <v>4383</v>
      </c>
      <c r="O1510" s="145" t="s">
        <v>341</v>
      </c>
      <c r="Q1510" s="312" t="s">
        <v>256</v>
      </c>
      <c r="R1510" s="313"/>
      <c r="S1510" s="1" t="s">
        <v>4125</v>
      </c>
      <c r="T1510" t="s">
        <v>1111</v>
      </c>
      <c r="U1510" t="e">
        <f>#REF!</f>
        <v>#REF!</v>
      </c>
      <c r="V1510">
        <v>0</v>
      </c>
      <c r="W1510">
        <v>0</v>
      </c>
      <c r="X1510">
        <v>0</v>
      </c>
      <c r="Y1510">
        <v>0</v>
      </c>
      <c r="Z1510">
        <v>0</v>
      </c>
      <c r="AA1510">
        <v>2</v>
      </c>
      <c r="AB1510">
        <v>1</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s="141">
        <f>COUNTIF(V1510:AW1510,"&lt;&gt;0")</f>
        <v>2</v>
      </c>
      <c r="AY1510" s="141">
        <f>COUNTIF(V1510:AL1510,"&lt;&gt;0")</f>
        <v>2</v>
      </c>
      <c r="AZ1510">
        <f>COUNTIF(V1510:AC1510,"&lt;&gt;0")</f>
        <v>2</v>
      </c>
      <c r="BA1510">
        <f>COUNTIF(AD1510:AI1510,"&lt;&gt;0")</f>
        <v>0</v>
      </c>
      <c r="BB1510">
        <f>COUNTIF(AJ1510:AL1510,"&lt;&gt;0")</f>
        <v>0</v>
      </c>
      <c r="BC1510">
        <f>COUNTIF(AS1510:AW1510,"&lt;&gt;0")</f>
        <v>0</v>
      </c>
      <c r="BD1510">
        <f>COUNTIF(AM1510:AR1510,"&lt;&gt;0")</f>
        <v>0</v>
      </c>
      <c r="BE1510" t="str" cm="1">
        <f t="array" ref="BE1510">IF(AY1510=1,INDEX($V$7:$AL$7,MATCH(TRUE,INDEX($V1510:$AW1510&lt;&gt;0,),0)),IF(AY1510=0,INDEX($AM$7:$AW$7,MATCH(1,$AM1510:$AW1510,0)),IF(BF1510="Multiple strategies","mixed drivers",IF(BF1510="Supply chain","multiple supply","multiple silviculture"))))</f>
        <v>multiple silviculture</v>
      </c>
      <c r="BF1510" s="2" t="str" cm="1">
        <f t="array" ref="BF1510">IF(COUNTIF(AZ1510:BB1510,"&lt;&gt;0")=1,INDEX($V$4:$AW$4,MATCH(TRUE,INDEX($V1510:$AW1510&lt;&gt;0,),0)),IF(COUNTIF(AZ1510:BB1510,"&lt;&gt;0")=0,INDEX($AM$4:$AW$4,MATCH(1,$AM1510:$AW1510,0)),"Multiple strategies"))</f>
        <v>Silviculture for productivity</v>
      </c>
      <c r="BP1510" s="312" t="s">
        <v>232</v>
      </c>
      <c r="BQ1510" s="312"/>
      <c r="BR1510" t="s">
        <v>2170</v>
      </c>
      <c r="BS1510">
        <v>-200</v>
      </c>
      <c r="BT1510">
        <v>-188</v>
      </c>
      <c r="BU1510" s="144">
        <v>0.94</v>
      </c>
      <c r="BV1510">
        <v>12</v>
      </c>
      <c r="BX1510">
        <f>BV1510*10^3</f>
        <v>12000</v>
      </c>
      <c r="BY1510" t="str">
        <f>IFERROR(BX1510/BO1510,"")</f>
        <v/>
      </c>
      <c r="BZ1510">
        <v>0</v>
      </c>
      <c r="CA1510">
        <v>0</v>
      </c>
      <c r="CB1510">
        <v>0</v>
      </c>
      <c r="CC1510">
        <v>1</v>
      </c>
      <c r="CD1510">
        <v>0</v>
      </c>
      <c r="CE1510">
        <v>0</v>
      </c>
      <c r="CF1510">
        <v>0</v>
      </c>
      <c r="CG1510">
        <v>0</v>
      </c>
      <c r="CH1510">
        <v>0</v>
      </c>
      <c r="CI1510">
        <v>0</v>
      </c>
      <c r="CJ1510">
        <v>0</v>
      </c>
      <c r="CK1510">
        <v>0</v>
      </c>
      <c r="CL1510">
        <v>0</v>
      </c>
      <c r="CM1510">
        <v>0</v>
      </c>
      <c r="CN1510" t="str">
        <f>IF(BL1510&lt;BK1510,"refNeedCorrection","refOK")</f>
        <v>refOK</v>
      </c>
      <c r="CO1510"/>
      <c r="CP1510"/>
      <c r="CQ1510"/>
      <c r="CR1510">
        <f>IF($CN1510="refOK",$BS1510,$BT1510)*IF($BP1510="Emissions positive",-1,1)</f>
        <v>-200</v>
      </c>
      <c r="CS1510">
        <f>IF($CN1510="refOK",$BT1510,$BS1510)*IF($BP1510="Emissions positive",-1,1)</f>
        <v>-188</v>
      </c>
      <c r="CT1510">
        <f>IF($CN1510="refNeedCorrection",-BX1510,BX1510)*IF($BP1510="Emissions positive",-1,1)</f>
        <v>12000</v>
      </c>
      <c r="CU1510" t="str">
        <f>IFERROR(CT1510/CQ1510,"")</f>
        <v/>
      </c>
      <c r="CV1510" s="2">
        <f>IFERROR((CS1510-CR1510)/ABS(CR1510),"")</f>
        <v>0.06</v>
      </c>
      <c r="CW1510" s="1" t="s">
        <v>1199</v>
      </c>
      <c r="CX1510" s="312" t="str">
        <f>IF(OR($CW1510="prd",$CW1510="std",$CW1510="cit"),"loc",IF(OR($CW1510="eur",$CW1510="reg",$CW1510="coy"),"reg",$CW1510))</f>
        <v>reg</v>
      </c>
      <c r="CY1510" t="s">
        <v>235</v>
      </c>
      <c r="CZ1510">
        <v>2011</v>
      </c>
      <c r="DA1510">
        <v>2090</v>
      </c>
      <c r="DB1510">
        <v>80</v>
      </c>
      <c r="DC1510" t="str">
        <f>IF(DB1510=0,"0",IF(AND(DB1510&gt;=1,DB1510&lt;=30),"1-30",IF(AND(DB1510&gt;30,DB1510&lt;=70),"31-70",IF(AND(DB1510&gt;70,DB1510&lt;=100),"71-100",IF(DB1510&gt;100,"+100")))))</f>
        <v>71-100</v>
      </c>
      <c r="DD1510">
        <v>0</v>
      </c>
      <c r="DE1510">
        <v>1</v>
      </c>
      <c r="DF1510">
        <v>1</v>
      </c>
      <c r="DG1510">
        <v>1</v>
      </c>
      <c r="DI1510">
        <f>SUM(DD1510:DG1510)</f>
        <v>3</v>
      </c>
      <c r="DJ1510" t="str">
        <f>IF(DI1510=1,INDEX($DD$7:$DG$7,MATCH(1,$DD1510:$DG1510,0)),"mixedProduct")</f>
        <v>mixedProduct</v>
      </c>
      <c r="DK1510">
        <f>IF(DD1510=1,DK$7,0)</f>
        <v>0</v>
      </c>
      <c r="DL1510" t="str">
        <f>IF(DE1510=1,DL$7,0)</f>
        <v>Energy</v>
      </c>
      <c r="DM1510" t="str">
        <f>IF(DF1510=1,DM$7,0)</f>
        <v>Pulp/Paper</v>
      </c>
      <c r="DN1510" t="str">
        <f>IF(DG1510=1,DN$7,0)</f>
        <v>Timber</v>
      </c>
      <c r="DO1510">
        <v>1</v>
      </c>
      <c r="DP1510">
        <v>0</v>
      </c>
      <c r="DQ1510">
        <v>0</v>
      </c>
      <c r="DR1510">
        <v>0</v>
      </c>
      <c r="DS1510">
        <v>0</v>
      </c>
      <c r="DT1510">
        <f>SUM(DO1510:DP1510)</f>
        <v>1</v>
      </c>
      <c r="DU1510" s="143" t="str">
        <f>IF(DO1510=1,"self-calculated DF",IF(DP1510=1,"external DF used","explicit C balance"))</f>
        <v>self-calculated DF</v>
      </c>
      <c r="DV1510">
        <v>1</v>
      </c>
      <c r="DW1510">
        <v>1</v>
      </c>
      <c r="DX1510">
        <v>1</v>
      </c>
      <c r="DY1510">
        <v>0</v>
      </c>
      <c r="DZ1510">
        <v>0</v>
      </c>
      <c r="EA1510" s="143">
        <v>0</v>
      </c>
      <c r="EB1510">
        <v>1</v>
      </c>
      <c r="EC1510">
        <v>1</v>
      </c>
      <c r="ED1510">
        <v>0</v>
      </c>
      <c r="EE1510">
        <v>1</v>
      </c>
      <c r="EF1510">
        <v>1</v>
      </c>
      <c r="EG1510">
        <v>1</v>
      </c>
      <c r="EH1510">
        <v>0</v>
      </c>
      <c r="EI1510" s="2">
        <v>0</v>
      </c>
      <c r="EK1510" t="str">
        <f>IF(AND(AND(AND(OR($DX1510=1,$DW1510=1),OR($EC1510=1,$EA1510=1)),SUM($DV1510:$DZ1510,$EF1510)&gt;=3),SUM($EA1510:$EE1510)&gt;=2),"Whole sector","")</f>
        <v>Whole sector</v>
      </c>
      <c r="EL1510" t="str">
        <f>IF(AND(AND(OR($DX1510=1,$DW1510=1),AND($EC1510=0,$EA1510=0)),SUM($DV1510:$DZ1510,$EF1510)&gt;=3),"Ecosystem approach","")</f>
        <v/>
      </c>
      <c r="EM1510" s="2" t="str">
        <f>IF(AND(AND(AND($DX1510=0,$DW1510=0),OR($EC1510=1,$EA1510=1)),SUM($EB1510:$EE1510)&gt;=2),"Technology approach","")</f>
        <v/>
      </c>
      <c r="EP1510" t="b">
        <f>IF(ISNUMBER(BU1510),IF(ABS(BU1510-[5]QC_indicators!$B$2)&gt;3*[5]QC_indicators!$C$2,"C ratio",IF(ISNUMBER(BY1510),IF(ABS(BY1510-[5]QC_indicators!$B$1)&gt;3*[5]QC_indicators!$C$1,"DF","no"))),IF(ISNUMBER(BY1510),IF(ABS(BY1510-[5]QC_indicators!$B$1)&gt;3*[5]QC_indicators!$C$1,"DF","no")))</f>
        <v>0</v>
      </c>
      <c r="ER1510" s="314" t="s">
        <v>349</v>
      </c>
    </row>
    <row r="1511" spans="1:148" ht="18" customHeight="1">
      <c r="A1511" s="1" t="s">
        <v>1102</v>
      </c>
      <c r="B1511" t="s">
        <v>4089</v>
      </c>
      <c r="C1511" t="s">
        <v>4090</v>
      </c>
      <c r="D1511" t="s">
        <v>4091</v>
      </c>
      <c r="E1511" t="s">
        <v>4092</v>
      </c>
      <c r="F1511" t="s">
        <v>4093</v>
      </c>
      <c r="G1511" t="s">
        <v>1108</v>
      </c>
      <c r="H1511" t="s">
        <v>254</v>
      </c>
      <c r="I1511">
        <v>2011</v>
      </c>
      <c r="J1511">
        <v>57</v>
      </c>
      <c r="K1511" t="s">
        <v>4094</v>
      </c>
      <c r="M1511" t="str">
        <f>LEFT($D1511,FIND(",",$D1511)-1)&amp;"_"&amp;I1511&amp;L1511</f>
        <v>Routa_2011</v>
      </c>
      <c r="N1511" s="312" t="s">
        <v>4383</v>
      </c>
      <c r="O1511" s="145" t="s">
        <v>341</v>
      </c>
      <c r="Q1511" s="312" t="s">
        <v>256</v>
      </c>
      <c r="R1511" s="313"/>
      <c r="S1511" s="1" t="s">
        <v>4126</v>
      </c>
      <c r="T1511" t="s">
        <v>1111</v>
      </c>
      <c r="U1511" t="e">
        <f>#REF!</f>
        <v>#REF!</v>
      </c>
      <c r="V1511">
        <v>0</v>
      </c>
      <c r="W1511">
        <v>0</v>
      </c>
      <c r="X1511">
        <v>0</v>
      </c>
      <c r="Y1511">
        <v>0</v>
      </c>
      <c r="Z1511">
        <v>0</v>
      </c>
      <c r="AA1511">
        <v>2</v>
      </c>
      <c r="AB1511">
        <v>1</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s="141">
        <f>COUNTIF(V1511:AW1511,"&lt;&gt;0")</f>
        <v>2</v>
      </c>
      <c r="AY1511" s="141">
        <f>COUNTIF(V1511:AL1511,"&lt;&gt;0")</f>
        <v>2</v>
      </c>
      <c r="AZ1511">
        <f>COUNTIF(V1511:AC1511,"&lt;&gt;0")</f>
        <v>2</v>
      </c>
      <c r="BA1511">
        <f>COUNTIF(AD1511:AI1511,"&lt;&gt;0")</f>
        <v>0</v>
      </c>
      <c r="BB1511">
        <f>COUNTIF(AJ1511:AL1511,"&lt;&gt;0")</f>
        <v>0</v>
      </c>
      <c r="BC1511">
        <f>COUNTIF(AS1511:AW1511,"&lt;&gt;0")</f>
        <v>0</v>
      </c>
      <c r="BD1511">
        <f>COUNTIF(AM1511:AR1511,"&lt;&gt;0")</f>
        <v>0</v>
      </c>
      <c r="BE1511" t="str" cm="1">
        <f t="array" ref="BE1511">IF(AY1511=1,INDEX($V$7:$AL$7,MATCH(TRUE,INDEX($V1511:$AW1511&lt;&gt;0,),0)),IF(AY1511=0,INDEX($AM$7:$AW$7,MATCH(1,$AM1511:$AW1511,0)),IF(BF1511="Multiple strategies","mixed drivers",IF(BF1511="Supply chain","multiple supply","multiple silviculture"))))</f>
        <v>multiple silviculture</v>
      </c>
      <c r="BF1511" s="2" t="str" cm="1">
        <f t="array" ref="BF1511">IF(COUNTIF(AZ1511:BB1511,"&lt;&gt;0")=1,INDEX($V$4:$AW$4,MATCH(TRUE,INDEX($V1511:$AW1511&lt;&gt;0,),0)),IF(COUNTIF(AZ1511:BB1511,"&lt;&gt;0")=0,INDEX($AM$4:$AW$4,MATCH(1,$AM1511:$AW1511,0)),"Multiple strategies"))</f>
        <v>Silviculture for productivity</v>
      </c>
      <c r="BP1511" s="312" t="s">
        <v>232</v>
      </c>
      <c r="BQ1511" s="312"/>
      <c r="BR1511" t="s">
        <v>2170</v>
      </c>
      <c r="BS1511">
        <v>-200</v>
      </c>
      <c r="BT1511">
        <v>-195</v>
      </c>
      <c r="BU1511" s="144">
        <v>0.97499999999999998</v>
      </c>
      <c r="BV1511">
        <v>5</v>
      </c>
      <c r="BX1511">
        <f>BV1511*10^3</f>
        <v>5000</v>
      </c>
      <c r="BY1511" t="str">
        <f>IFERROR(BX1511/BO1511,"")</f>
        <v/>
      </c>
      <c r="BZ1511">
        <v>0</v>
      </c>
      <c r="CA1511">
        <v>0</v>
      </c>
      <c r="CB1511">
        <v>0</v>
      </c>
      <c r="CC1511">
        <v>1</v>
      </c>
      <c r="CD1511">
        <v>0</v>
      </c>
      <c r="CE1511">
        <v>0</v>
      </c>
      <c r="CF1511">
        <v>0</v>
      </c>
      <c r="CG1511">
        <v>0</v>
      </c>
      <c r="CH1511">
        <v>0</v>
      </c>
      <c r="CI1511">
        <v>0</v>
      </c>
      <c r="CJ1511">
        <v>0</v>
      </c>
      <c r="CK1511">
        <v>0</v>
      </c>
      <c r="CL1511">
        <v>0</v>
      </c>
      <c r="CM1511">
        <v>0</v>
      </c>
      <c r="CN1511" t="str">
        <f>IF(BL1511&lt;BK1511,"refNeedCorrection","refOK")</f>
        <v>refOK</v>
      </c>
      <c r="CO1511"/>
      <c r="CP1511"/>
      <c r="CQ1511"/>
      <c r="CR1511">
        <f>IF($CN1511="refOK",$BS1511,$BT1511)*IF($BP1511="Emissions positive",-1,1)</f>
        <v>-200</v>
      </c>
      <c r="CS1511">
        <f>IF($CN1511="refOK",$BT1511,$BS1511)*IF($BP1511="Emissions positive",-1,1)</f>
        <v>-195</v>
      </c>
      <c r="CT1511">
        <f>IF($CN1511="refNeedCorrection",-BX1511,BX1511)*IF($BP1511="Emissions positive",-1,1)</f>
        <v>5000</v>
      </c>
      <c r="CU1511" t="str">
        <f>IFERROR(CT1511/CQ1511,"")</f>
        <v/>
      </c>
      <c r="CV1511" s="2">
        <f>IFERROR((CS1511-CR1511)/ABS(CR1511),"")</f>
        <v>2.5000000000000001E-2</v>
      </c>
      <c r="CW1511" s="1" t="s">
        <v>1199</v>
      </c>
      <c r="CX1511" s="312" t="str">
        <f>IF(OR($CW1511="prd",$CW1511="std",$CW1511="cit"),"loc",IF(OR($CW1511="eur",$CW1511="reg",$CW1511="coy"),"reg",$CW1511))</f>
        <v>reg</v>
      </c>
      <c r="CY1511" t="s">
        <v>235</v>
      </c>
      <c r="CZ1511">
        <v>2011</v>
      </c>
      <c r="DA1511">
        <v>2090</v>
      </c>
      <c r="DB1511">
        <v>80</v>
      </c>
      <c r="DC1511" t="str">
        <f>IF(DB1511=0,"0",IF(AND(DB1511&gt;=1,DB1511&lt;=30),"1-30",IF(AND(DB1511&gt;30,DB1511&lt;=70),"31-70",IF(AND(DB1511&gt;70,DB1511&lt;=100),"71-100",IF(DB1511&gt;100,"+100")))))</f>
        <v>71-100</v>
      </c>
      <c r="DD1511">
        <v>0</v>
      </c>
      <c r="DE1511">
        <v>1</v>
      </c>
      <c r="DF1511">
        <v>1</v>
      </c>
      <c r="DG1511">
        <v>1</v>
      </c>
      <c r="DI1511">
        <f>SUM(DD1511:DG1511)</f>
        <v>3</v>
      </c>
      <c r="DJ1511" t="str">
        <f>IF(DI1511=1,INDEX($DD$7:$DG$7,MATCH(1,$DD1511:$DG1511,0)),"mixedProduct")</f>
        <v>mixedProduct</v>
      </c>
      <c r="DK1511">
        <f>IF(DD1511=1,DK$7,0)</f>
        <v>0</v>
      </c>
      <c r="DL1511" t="str">
        <f>IF(DE1511=1,DL$7,0)</f>
        <v>Energy</v>
      </c>
      <c r="DM1511" t="str">
        <f>IF(DF1511=1,DM$7,0)</f>
        <v>Pulp/Paper</v>
      </c>
      <c r="DN1511" t="str">
        <f>IF(DG1511=1,DN$7,0)</f>
        <v>Timber</v>
      </c>
      <c r="DO1511">
        <v>1</v>
      </c>
      <c r="DP1511">
        <v>0</v>
      </c>
      <c r="DQ1511">
        <v>0</v>
      </c>
      <c r="DR1511">
        <v>0</v>
      </c>
      <c r="DS1511">
        <v>0</v>
      </c>
      <c r="DT1511">
        <f>SUM(DO1511:DP1511)</f>
        <v>1</v>
      </c>
      <c r="DU1511" s="143" t="str">
        <f>IF(DO1511=1,"self-calculated DF",IF(DP1511=1,"external DF used","explicit C balance"))</f>
        <v>self-calculated DF</v>
      </c>
      <c r="DV1511">
        <v>1</v>
      </c>
      <c r="DW1511">
        <v>1</v>
      </c>
      <c r="DX1511">
        <v>1</v>
      </c>
      <c r="DY1511">
        <v>0</v>
      </c>
      <c r="DZ1511">
        <v>0</v>
      </c>
      <c r="EA1511" s="143">
        <v>0</v>
      </c>
      <c r="EB1511">
        <v>1</v>
      </c>
      <c r="EC1511">
        <v>1</v>
      </c>
      <c r="ED1511">
        <v>0</v>
      </c>
      <c r="EE1511">
        <v>1</v>
      </c>
      <c r="EF1511">
        <v>1</v>
      </c>
      <c r="EG1511">
        <v>1</v>
      </c>
      <c r="EH1511">
        <v>0</v>
      </c>
      <c r="EI1511" s="2">
        <v>0</v>
      </c>
      <c r="EK1511" t="str">
        <f>IF(AND(AND(AND(OR($DX1511=1,$DW1511=1),OR($EC1511=1,$EA1511=1)),SUM($DV1511:$DZ1511,$EF1511)&gt;=3),SUM($EA1511:$EE1511)&gt;=2),"Whole sector","")</f>
        <v>Whole sector</v>
      </c>
      <c r="EL1511" t="str">
        <f>IF(AND(AND(OR($DX1511=1,$DW1511=1),AND($EC1511=0,$EA1511=0)),SUM($DV1511:$DZ1511,$EF1511)&gt;=3),"Ecosystem approach","")</f>
        <v/>
      </c>
      <c r="EM1511" s="2" t="str">
        <f>IF(AND(AND(AND($DX1511=0,$DW1511=0),OR($EC1511=1,$EA1511=1)),SUM($EB1511:$EE1511)&gt;=2),"Technology approach","")</f>
        <v/>
      </c>
      <c r="EP1511" t="b">
        <f>IF(ISNUMBER(BU1511),IF(ABS(BU1511-[5]QC_indicators!$B$2)&gt;3*[5]QC_indicators!$C$2,"C ratio",IF(ISNUMBER(BY1511),IF(ABS(BY1511-[5]QC_indicators!$B$1)&gt;3*[5]QC_indicators!$C$1,"DF","no"))),IF(ISNUMBER(BY1511),IF(ABS(BY1511-[5]QC_indicators!$B$1)&gt;3*[5]QC_indicators!$C$1,"DF","no")))</f>
        <v>0</v>
      </c>
      <c r="ER1511" s="314" t="s">
        <v>349</v>
      </c>
    </row>
    <row r="1512" spans="1:148" ht="18" customHeight="1">
      <c r="A1512" s="1" t="s">
        <v>4127</v>
      </c>
      <c r="B1512" t="s">
        <v>4128</v>
      </c>
      <c r="C1512" t="s">
        <v>4129</v>
      </c>
      <c r="D1512" t="s">
        <v>4130</v>
      </c>
      <c r="E1512" t="s">
        <v>4131</v>
      </c>
      <c r="F1512" t="s">
        <v>4132</v>
      </c>
      <c r="G1512" t="s">
        <v>4133</v>
      </c>
      <c r="H1512" t="s">
        <v>254</v>
      </c>
      <c r="I1512">
        <v>2014</v>
      </c>
      <c r="J1512">
        <v>4</v>
      </c>
      <c r="K1512" t="s">
        <v>4134</v>
      </c>
      <c r="M1512" t="str">
        <f>LEFT($D1512,FIND(",",$D1512)-1)&amp;"_"&amp;I1512&amp;L1512</f>
        <v>Saah_2014</v>
      </c>
      <c r="N1512" s="312" t="s">
        <v>4383</v>
      </c>
      <c r="O1512" s="145" t="s">
        <v>341</v>
      </c>
      <c r="Q1512" s="312" t="s">
        <v>256</v>
      </c>
      <c r="R1512" s="313"/>
      <c r="S1512" s="1" t="s">
        <v>4135</v>
      </c>
      <c r="T1512" t="s">
        <v>1111</v>
      </c>
      <c r="U1512" t="e">
        <f>#REF!</f>
        <v>#REF!</v>
      </c>
      <c r="V1512">
        <v>2</v>
      </c>
      <c r="W1512">
        <v>1</v>
      </c>
      <c r="X1512">
        <v>0</v>
      </c>
      <c r="Y1512">
        <v>2</v>
      </c>
      <c r="Z1512">
        <v>0</v>
      </c>
      <c r="AA1512">
        <v>0</v>
      </c>
      <c r="AB1512">
        <v>0</v>
      </c>
      <c r="AC1512">
        <v>0</v>
      </c>
      <c r="AD1512">
        <v>0</v>
      </c>
      <c r="AE1512">
        <v>0</v>
      </c>
      <c r="AF1512">
        <v>2</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s="141">
        <f>COUNTIF(V1512:AW1512,"&lt;&gt;0")</f>
        <v>4</v>
      </c>
      <c r="AY1512" s="141">
        <f>COUNTIF(V1512:AL1512,"&lt;&gt;0")</f>
        <v>4</v>
      </c>
      <c r="AZ1512">
        <f>COUNTIF(V1512:AC1512,"&lt;&gt;0")</f>
        <v>3</v>
      </c>
      <c r="BA1512">
        <f>COUNTIF(AD1512:AI1512,"&lt;&gt;0")</f>
        <v>1</v>
      </c>
      <c r="BB1512">
        <f>COUNTIF(AJ1512:AL1512,"&lt;&gt;0")</f>
        <v>0</v>
      </c>
      <c r="BC1512">
        <f>COUNTIF(AS1512:AW1512,"&lt;&gt;0")</f>
        <v>0</v>
      </c>
      <c r="BD1512">
        <f>COUNTIF(AM1512:AR1512,"&lt;&gt;0")</f>
        <v>0</v>
      </c>
      <c r="BE1512" t="str" cm="1">
        <f t="array" ref="BE1512">IF(AY1512=1,INDEX($V$7:$AL$7,MATCH(TRUE,INDEX($V1512:$AW1512&lt;&gt;0,),0)),IF(AY1512=0,INDEX($AM$7:$AW$7,MATCH(1,$AM1512:$AW1512,0)),IF(BF1512="Multiple strategies","mixed drivers",IF(BF1512="Supply chain","multiple supply","multiple silviculture"))))</f>
        <v>mixed drivers</v>
      </c>
      <c r="BF1512" s="2" t="str" cm="1">
        <f t="array" ref="BF1512">IF(COUNTIF(AZ1512:BB1512,"&lt;&gt;0")=1,INDEX($V$4:$AW$4,MATCH(TRUE,INDEX($V1512:$AW1512&lt;&gt;0,),0)),IF(COUNTIF(AZ1512:BB1512,"&lt;&gt;0")=0,INDEX($AM$4:$AW$4,MATCH(1,$AM1512:$AW1512,0)),"Multiple strategies"))</f>
        <v>Multiple strategies</v>
      </c>
      <c r="BP1512" s="312" t="s">
        <v>232</v>
      </c>
      <c r="BQ1512" s="312"/>
      <c r="BR1512" s="312" t="s">
        <v>4136</v>
      </c>
      <c r="BS1512">
        <v>-56406</v>
      </c>
      <c r="BT1512">
        <v>-6204.66</v>
      </c>
      <c r="BU1512" s="144">
        <v>0.11</v>
      </c>
      <c r="BV1512">
        <v>50201.34</v>
      </c>
      <c r="BX1512">
        <f>BV1512</f>
        <v>50201.34</v>
      </c>
      <c r="BY1512" t="str">
        <f>IFERROR(BX1512/BO1512,"")</f>
        <v/>
      </c>
      <c r="BZ1512">
        <v>0</v>
      </c>
      <c r="CA1512">
        <v>1</v>
      </c>
      <c r="CB1512">
        <v>0</v>
      </c>
      <c r="CC1512">
        <v>1</v>
      </c>
      <c r="CD1512">
        <v>0</v>
      </c>
      <c r="CE1512">
        <v>0</v>
      </c>
      <c r="CF1512">
        <v>0</v>
      </c>
      <c r="CG1512">
        <v>0</v>
      </c>
      <c r="CH1512">
        <v>0</v>
      </c>
      <c r="CI1512">
        <v>0</v>
      </c>
      <c r="CJ1512">
        <v>0</v>
      </c>
      <c r="CK1512">
        <v>0</v>
      </c>
      <c r="CL1512">
        <v>1</v>
      </c>
      <c r="CM1512">
        <v>0</v>
      </c>
      <c r="CN1512" t="str">
        <f>IF(BL1512&lt;BK1512,"refNeedCorrection","refOK")</f>
        <v>refOK</v>
      </c>
      <c r="CO1512"/>
      <c r="CP1512"/>
      <c r="CQ1512"/>
      <c r="CR1512">
        <f>IF($CN1512="refOK",$BS1512,$BT1512)*IF($BP1512="Emissions positive",-1,1)</f>
        <v>-56406</v>
      </c>
      <c r="CS1512">
        <f>IF($CN1512="refOK",$BT1512,$BS1512)*IF($BP1512="Emissions positive",-1,1)</f>
        <v>-6204.66</v>
      </c>
      <c r="CT1512">
        <f>IF($CN1512="refNeedCorrection",-BX1512,BX1512)*IF($BP1512="Emissions positive",-1,1)</f>
        <v>50201.34</v>
      </c>
      <c r="CU1512" t="str">
        <f>IFERROR(CT1512/CQ1512,"")</f>
        <v/>
      </c>
      <c r="CV1512" s="2">
        <f>IFERROR((CS1512-CR1512)/ABS(CR1512),"")</f>
        <v>0.8899999999999999</v>
      </c>
      <c r="CW1512" s="1" t="s">
        <v>1199</v>
      </c>
      <c r="CX1512" s="312" t="str">
        <f>IF(OR($CW1512="prd",$CW1512="std",$CW1512="cit"),"loc",IF(OR($CW1512="eur",$CW1512="reg",$CW1512="coy"),"reg",$CW1512))</f>
        <v>reg</v>
      </c>
      <c r="CY1512" t="s">
        <v>428</v>
      </c>
      <c r="DB1512">
        <v>0</v>
      </c>
      <c r="DC1512" t="str">
        <f>IF(DB1512=0,"0",IF(AND(DB1512&gt;=1,DB1512&lt;=30),"1-30",IF(AND(DB1512&gt;30,DB1512&lt;=70),"31-70",IF(AND(DB1512&gt;70,DB1512&lt;=100),"71-100",IF(DB1512&gt;100,"+100")))))</f>
        <v>0</v>
      </c>
      <c r="DD1512">
        <v>0</v>
      </c>
      <c r="DE1512">
        <v>1</v>
      </c>
      <c r="DF1512">
        <v>0</v>
      </c>
      <c r="DG1512">
        <v>0</v>
      </c>
      <c r="DI1512">
        <f>SUM(DD1512:DG1512)</f>
        <v>1</v>
      </c>
      <c r="DJ1512" t="str">
        <f>IF(DI1512=1,INDEX($DD$7:$DG$7,MATCH(1,$DD1512:$DG1512,0)),"mixedProduct")</f>
        <v>EnergyInput</v>
      </c>
      <c r="DK1512">
        <f>IF(DD1512=1,DK$7,0)</f>
        <v>0</v>
      </c>
      <c r="DL1512" t="str">
        <f>IF(DE1512=1,DL$7,0)</f>
        <v>Energy</v>
      </c>
      <c r="DM1512">
        <f>IF(DF1512=1,DM$7,0)</f>
        <v>0</v>
      </c>
      <c r="DN1512">
        <f>IF(DG1512=1,DN$7,0)</f>
        <v>0</v>
      </c>
      <c r="DO1512">
        <v>1</v>
      </c>
      <c r="DP1512">
        <v>0</v>
      </c>
      <c r="DQ1512">
        <v>0</v>
      </c>
      <c r="DR1512">
        <v>0</v>
      </c>
      <c r="DS1512">
        <v>0</v>
      </c>
      <c r="DT1512">
        <f>SUM(DO1512:DP1512)</f>
        <v>1</v>
      </c>
      <c r="DU1512" s="143" t="str">
        <f>IF(DO1512=1,"self-calculated DF",IF(DP1512=1,"external DF used","explicit C balance"))</f>
        <v>self-calculated DF</v>
      </c>
      <c r="DV1512">
        <v>0</v>
      </c>
      <c r="DW1512">
        <v>0</v>
      </c>
      <c r="DX1512">
        <v>0</v>
      </c>
      <c r="DY1512">
        <v>0</v>
      </c>
      <c r="DZ1512">
        <v>0</v>
      </c>
      <c r="EA1512" s="143">
        <v>0</v>
      </c>
      <c r="EB1512">
        <v>1</v>
      </c>
      <c r="EC1512">
        <v>1</v>
      </c>
      <c r="ED1512">
        <v>0</v>
      </c>
      <c r="EE1512">
        <v>1</v>
      </c>
      <c r="EF1512">
        <v>0</v>
      </c>
      <c r="EG1512">
        <v>0</v>
      </c>
      <c r="EH1512">
        <v>0</v>
      </c>
      <c r="EI1512" s="2">
        <v>0</v>
      </c>
      <c r="EK1512" t="str">
        <f>IF(AND(AND(AND(OR($DX1512=1,$DW1512=1),OR($EC1512=1,$EA1512=1)),SUM($DV1512:$DZ1512,$EF1512)&gt;=3),SUM($EA1512:$EE1512)&gt;=2),"Whole sector","")</f>
        <v/>
      </c>
      <c r="EL1512" t="str">
        <f>IF(AND(AND(OR($DX1512=1,$DW1512=1),AND($EC1512=0,$EA1512=0)),SUM($DV1512:$DZ1512,$EF1512)&gt;=3),"Ecosystem approach","")</f>
        <v/>
      </c>
      <c r="EM1512" s="2" t="str">
        <f>IF(AND(AND(AND($DX1512=0,$DW1512=0),OR($EC1512=1,$EA1512=1)),SUM($EB1512:$EE1512)&gt;=2),"Technology approach","")</f>
        <v>Technology approach</v>
      </c>
      <c r="EP1512" t="b">
        <f>IF(ISNUMBER(BU1512),IF(ABS(BU1512-[5]QC_indicators!$B$2)&gt;3*[5]QC_indicators!$C$2,"C ratio",IF(ISNUMBER(BY1512),IF(ABS(BY1512-[5]QC_indicators!$B$1)&gt;3*[5]QC_indicators!$C$1,"DF","no"))),IF(ISNUMBER(BY1512),IF(ABS(BY1512-[5]QC_indicators!$B$1)&gt;3*[5]QC_indicators!$C$1,"DF","no")))</f>
        <v>0</v>
      </c>
      <c r="ER1512" s="314" t="s">
        <v>349</v>
      </c>
    </row>
    <row r="1513" spans="1:148" ht="18" customHeight="1">
      <c r="A1513" s="1" t="s">
        <v>4127</v>
      </c>
      <c r="B1513" t="s">
        <v>4128</v>
      </c>
      <c r="C1513" t="s">
        <v>4129</v>
      </c>
      <c r="D1513" t="s">
        <v>4130</v>
      </c>
      <c r="E1513" t="s">
        <v>4131</v>
      </c>
      <c r="F1513" t="s">
        <v>4132</v>
      </c>
      <c r="G1513" t="s">
        <v>4133</v>
      </c>
      <c r="H1513" t="s">
        <v>254</v>
      </c>
      <c r="I1513">
        <v>2014</v>
      </c>
      <c r="J1513">
        <v>4</v>
      </c>
      <c r="K1513" t="s">
        <v>4134</v>
      </c>
      <c r="M1513" t="str">
        <f>LEFT($D1513,FIND(",",$D1513)-1)&amp;"_"&amp;I1513&amp;L1513</f>
        <v>Saah_2014</v>
      </c>
      <c r="N1513" s="312" t="s">
        <v>4383</v>
      </c>
      <c r="O1513" s="145" t="s">
        <v>341</v>
      </c>
      <c r="Q1513" s="312" t="s">
        <v>256</v>
      </c>
      <c r="R1513" s="313"/>
      <c r="S1513" s="1" t="s">
        <v>4137</v>
      </c>
      <c r="T1513" t="s">
        <v>1111</v>
      </c>
      <c r="U1513" t="e">
        <f>#REF!</f>
        <v>#REF!</v>
      </c>
      <c r="V1513">
        <v>2</v>
      </c>
      <c r="W1513">
        <v>1</v>
      </c>
      <c r="X1513">
        <v>0</v>
      </c>
      <c r="Y1513">
        <v>2</v>
      </c>
      <c r="Z1513">
        <v>0</v>
      </c>
      <c r="AA1513">
        <v>0</v>
      </c>
      <c r="AB1513">
        <v>0</v>
      </c>
      <c r="AC1513">
        <v>0</v>
      </c>
      <c r="AD1513">
        <v>0</v>
      </c>
      <c r="AE1513">
        <v>0</v>
      </c>
      <c r="AF1513">
        <v>2</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s="141">
        <f>COUNTIF(V1513:AW1513,"&lt;&gt;0")</f>
        <v>4</v>
      </c>
      <c r="AY1513" s="141">
        <f>COUNTIF(V1513:AL1513,"&lt;&gt;0")</f>
        <v>4</v>
      </c>
      <c r="AZ1513">
        <f>COUNTIF(V1513:AC1513,"&lt;&gt;0")</f>
        <v>3</v>
      </c>
      <c r="BA1513">
        <f>COUNTIF(AD1513:AI1513,"&lt;&gt;0")</f>
        <v>1</v>
      </c>
      <c r="BB1513">
        <f>COUNTIF(AJ1513:AL1513,"&lt;&gt;0")</f>
        <v>0</v>
      </c>
      <c r="BC1513">
        <f>COUNTIF(AS1513:AW1513,"&lt;&gt;0")</f>
        <v>0</v>
      </c>
      <c r="BD1513">
        <f>COUNTIF(AM1513:AR1513,"&lt;&gt;0")</f>
        <v>0</v>
      </c>
      <c r="BE1513" t="str" cm="1">
        <f t="array" ref="BE1513">IF(AY1513=1,INDEX($V$7:$AL$7,MATCH(TRUE,INDEX($V1513:$AW1513&lt;&gt;0,),0)),IF(AY1513=0,INDEX($AM$7:$AW$7,MATCH(1,$AM1513:$AW1513,0)),IF(BF1513="Multiple strategies","mixed drivers",IF(BF1513="Supply chain","multiple supply","multiple silviculture"))))</f>
        <v>mixed drivers</v>
      </c>
      <c r="BF1513" s="2" t="str" cm="1">
        <f t="array" ref="BF1513">IF(COUNTIF(AZ1513:BB1513,"&lt;&gt;0")=1,INDEX($V$4:$AW$4,MATCH(TRUE,INDEX($V1513:$AW1513&lt;&gt;0,),0)),IF(COUNTIF(AZ1513:BB1513,"&lt;&gt;0")=0,INDEX($AM$4:$AW$4,MATCH(1,$AM1513:$AW1513,0)),"Multiple strategies"))</f>
        <v>Multiple strategies</v>
      </c>
      <c r="BP1513" s="312" t="s">
        <v>232</v>
      </c>
      <c r="BQ1513" s="312"/>
      <c r="BR1513" s="312" t="s">
        <v>4136</v>
      </c>
      <c r="BS1513">
        <v>-56406</v>
      </c>
      <c r="BT1513">
        <v>-11845.26</v>
      </c>
      <c r="BU1513" s="144">
        <v>0.21</v>
      </c>
      <c r="BV1513">
        <v>44560.74</v>
      </c>
      <c r="BX1513">
        <f>BV1513</f>
        <v>44560.74</v>
      </c>
      <c r="BY1513" t="str">
        <f>IFERROR(BX1513/BO1513,"")</f>
        <v/>
      </c>
      <c r="BZ1513">
        <v>0</v>
      </c>
      <c r="CA1513">
        <v>1</v>
      </c>
      <c r="CB1513">
        <v>0</v>
      </c>
      <c r="CC1513">
        <v>1</v>
      </c>
      <c r="CD1513">
        <v>0</v>
      </c>
      <c r="CE1513">
        <v>0</v>
      </c>
      <c r="CF1513">
        <v>0</v>
      </c>
      <c r="CG1513">
        <v>0</v>
      </c>
      <c r="CH1513">
        <v>0</v>
      </c>
      <c r="CI1513">
        <v>0</v>
      </c>
      <c r="CJ1513">
        <v>0</v>
      </c>
      <c r="CK1513">
        <v>0</v>
      </c>
      <c r="CL1513">
        <v>1</v>
      </c>
      <c r="CM1513">
        <v>0</v>
      </c>
      <c r="CN1513" t="str">
        <f>IF(BL1513&lt;BK1513,"refNeedCorrection","refOK")</f>
        <v>refOK</v>
      </c>
      <c r="CO1513"/>
      <c r="CP1513"/>
      <c r="CQ1513"/>
      <c r="CR1513">
        <f>IF($CN1513="refOK",$BS1513,$BT1513)*IF($BP1513="Emissions positive",-1,1)</f>
        <v>-56406</v>
      </c>
      <c r="CS1513">
        <f>IF($CN1513="refOK",$BT1513,$BS1513)*IF($BP1513="Emissions positive",-1,1)</f>
        <v>-11845.26</v>
      </c>
      <c r="CT1513">
        <f>IF($CN1513="refNeedCorrection",-BX1513,BX1513)*IF($BP1513="Emissions positive",-1,1)</f>
        <v>44560.74</v>
      </c>
      <c r="CU1513" t="str">
        <f>IFERROR(CT1513/CQ1513,"")</f>
        <v/>
      </c>
      <c r="CV1513" s="2">
        <f>IFERROR((CS1513-CR1513)/ABS(CR1513),"")</f>
        <v>0.78999999999999992</v>
      </c>
      <c r="CW1513" s="1" t="s">
        <v>1199</v>
      </c>
      <c r="CX1513" s="312" t="str">
        <f>IF(OR($CW1513="prd",$CW1513="std",$CW1513="cit"),"loc",IF(OR($CW1513="eur",$CW1513="reg",$CW1513="coy"),"reg",$CW1513))</f>
        <v>reg</v>
      </c>
      <c r="CY1513" t="s">
        <v>428</v>
      </c>
      <c r="DB1513">
        <v>0</v>
      </c>
      <c r="DC1513" t="str">
        <f>IF(DB1513=0,"0",IF(AND(DB1513&gt;=1,DB1513&lt;=30),"1-30",IF(AND(DB1513&gt;30,DB1513&lt;=70),"31-70",IF(AND(DB1513&gt;70,DB1513&lt;=100),"71-100",IF(DB1513&gt;100,"+100")))))</f>
        <v>0</v>
      </c>
      <c r="DD1513">
        <v>0</v>
      </c>
      <c r="DE1513">
        <v>1</v>
      </c>
      <c r="DF1513">
        <v>0</v>
      </c>
      <c r="DG1513">
        <v>0</v>
      </c>
      <c r="DI1513">
        <f>SUM(DD1513:DG1513)</f>
        <v>1</v>
      </c>
      <c r="DJ1513" t="str">
        <f>IF(DI1513=1,INDEX($DD$7:$DG$7,MATCH(1,$DD1513:$DG1513,0)),"mixedProduct")</f>
        <v>EnergyInput</v>
      </c>
      <c r="DK1513">
        <f>IF(DD1513=1,DK$7,0)</f>
        <v>0</v>
      </c>
      <c r="DL1513" t="str">
        <f>IF(DE1513=1,DL$7,0)</f>
        <v>Energy</v>
      </c>
      <c r="DM1513">
        <f>IF(DF1513=1,DM$7,0)</f>
        <v>0</v>
      </c>
      <c r="DN1513">
        <f>IF(DG1513=1,DN$7,0)</f>
        <v>0</v>
      </c>
      <c r="DO1513">
        <v>1</v>
      </c>
      <c r="DP1513">
        <v>0</v>
      </c>
      <c r="DQ1513">
        <v>0</v>
      </c>
      <c r="DR1513">
        <v>0</v>
      </c>
      <c r="DS1513">
        <v>0</v>
      </c>
      <c r="DT1513">
        <f>SUM(DO1513:DP1513)</f>
        <v>1</v>
      </c>
      <c r="DU1513" s="143" t="str">
        <f>IF(DO1513=1,"self-calculated DF",IF(DP1513=1,"external DF used","explicit C balance"))</f>
        <v>self-calculated DF</v>
      </c>
      <c r="DV1513">
        <v>0</v>
      </c>
      <c r="DW1513">
        <v>0</v>
      </c>
      <c r="DX1513">
        <v>0</v>
      </c>
      <c r="DY1513">
        <v>0</v>
      </c>
      <c r="DZ1513">
        <v>0</v>
      </c>
      <c r="EA1513" s="143">
        <v>0</v>
      </c>
      <c r="EB1513">
        <v>1</v>
      </c>
      <c r="EC1513">
        <v>1</v>
      </c>
      <c r="ED1513">
        <v>0</v>
      </c>
      <c r="EE1513">
        <v>1</v>
      </c>
      <c r="EF1513">
        <v>0</v>
      </c>
      <c r="EG1513">
        <v>0</v>
      </c>
      <c r="EH1513">
        <v>0</v>
      </c>
      <c r="EI1513" s="2">
        <v>0</v>
      </c>
      <c r="EK1513" t="str">
        <f>IF(AND(AND(AND(OR($DX1513=1,$DW1513=1),OR($EC1513=1,$EA1513=1)),SUM($DV1513:$DZ1513,$EF1513)&gt;=3),SUM($EA1513:$EE1513)&gt;=2),"Whole sector","")</f>
        <v/>
      </c>
      <c r="EL1513" t="str">
        <f>IF(AND(AND(OR($DX1513=1,$DW1513=1),AND($EC1513=0,$EA1513=0)),SUM($DV1513:$DZ1513,$EF1513)&gt;=3),"Ecosystem approach","")</f>
        <v/>
      </c>
      <c r="EM1513" s="2" t="str">
        <f>IF(AND(AND(AND($DX1513=0,$DW1513=0),OR($EC1513=1,$EA1513=1)),SUM($EB1513:$EE1513)&gt;=2),"Technology approach","")</f>
        <v>Technology approach</v>
      </c>
      <c r="EP1513" t="b">
        <f>IF(ISNUMBER(BU1513),IF(ABS(BU1513-[5]QC_indicators!$B$2)&gt;3*[5]QC_indicators!$C$2,"C ratio",IF(ISNUMBER(BY1513),IF(ABS(BY1513-[5]QC_indicators!$B$1)&gt;3*[5]QC_indicators!$C$1,"DF","no"))),IF(ISNUMBER(BY1513),IF(ABS(BY1513-[5]QC_indicators!$B$1)&gt;3*[5]QC_indicators!$C$1,"DF","no")))</f>
        <v>0</v>
      </c>
      <c r="ER1513" s="314" t="s">
        <v>349</v>
      </c>
    </row>
    <row r="1514" spans="1:148" ht="18" customHeight="1">
      <c r="A1514" s="1" t="s">
        <v>4127</v>
      </c>
      <c r="B1514" t="s">
        <v>4128</v>
      </c>
      <c r="C1514" t="s">
        <v>4129</v>
      </c>
      <c r="D1514" t="s">
        <v>4130</v>
      </c>
      <c r="E1514" t="s">
        <v>4131</v>
      </c>
      <c r="F1514" t="s">
        <v>4132</v>
      </c>
      <c r="G1514" t="s">
        <v>4133</v>
      </c>
      <c r="H1514" t="s">
        <v>254</v>
      </c>
      <c r="I1514">
        <v>2014</v>
      </c>
      <c r="J1514">
        <v>4</v>
      </c>
      <c r="K1514" t="s">
        <v>4134</v>
      </c>
      <c r="M1514" t="str">
        <f>LEFT($D1514,FIND(",",$D1514)-1)&amp;"_"&amp;I1514&amp;L1514</f>
        <v>Saah_2014</v>
      </c>
      <c r="N1514" s="312" t="s">
        <v>4383</v>
      </c>
      <c r="O1514" s="145" t="s">
        <v>341</v>
      </c>
      <c r="Q1514" s="312" t="s">
        <v>256</v>
      </c>
      <c r="R1514" s="313"/>
      <c r="S1514" s="1" t="s">
        <v>4138</v>
      </c>
      <c r="T1514" t="s">
        <v>1111</v>
      </c>
      <c r="U1514" t="e">
        <f>#REF!</f>
        <v>#REF!</v>
      </c>
      <c r="V1514">
        <v>2</v>
      </c>
      <c r="W1514">
        <v>1</v>
      </c>
      <c r="X1514">
        <v>0</v>
      </c>
      <c r="Y1514">
        <v>2</v>
      </c>
      <c r="Z1514">
        <v>0</v>
      </c>
      <c r="AA1514">
        <v>0</v>
      </c>
      <c r="AB1514">
        <v>0</v>
      </c>
      <c r="AC1514">
        <v>0</v>
      </c>
      <c r="AD1514">
        <v>0</v>
      </c>
      <c r="AE1514">
        <v>0</v>
      </c>
      <c r="AF1514">
        <v>2</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s="141">
        <f>COUNTIF(V1514:AW1514,"&lt;&gt;0")</f>
        <v>4</v>
      </c>
      <c r="AY1514" s="141">
        <f>COUNTIF(V1514:AL1514,"&lt;&gt;0")</f>
        <v>4</v>
      </c>
      <c r="AZ1514">
        <f>COUNTIF(V1514:AC1514,"&lt;&gt;0")</f>
        <v>3</v>
      </c>
      <c r="BA1514">
        <f>COUNTIF(AD1514:AI1514,"&lt;&gt;0")</f>
        <v>1</v>
      </c>
      <c r="BB1514">
        <f>COUNTIF(AJ1514:AL1514,"&lt;&gt;0")</f>
        <v>0</v>
      </c>
      <c r="BC1514">
        <f>COUNTIF(AS1514:AW1514,"&lt;&gt;0")</f>
        <v>0</v>
      </c>
      <c r="BD1514">
        <f>COUNTIF(AM1514:AR1514,"&lt;&gt;0")</f>
        <v>0</v>
      </c>
      <c r="BE1514" t="str" cm="1">
        <f t="array" ref="BE1514">IF(AY1514=1,INDEX($V$7:$AL$7,MATCH(TRUE,INDEX($V1514:$AW1514&lt;&gt;0,),0)),IF(AY1514=0,INDEX($AM$7:$AW$7,MATCH(1,$AM1514:$AW1514,0)),IF(BF1514="Multiple strategies","mixed drivers",IF(BF1514="Supply chain","multiple supply","multiple silviculture"))))</f>
        <v>mixed drivers</v>
      </c>
      <c r="BF1514" s="2" t="str" cm="1">
        <f t="array" ref="BF1514">IF(COUNTIF(AZ1514:BB1514,"&lt;&gt;0")=1,INDEX($V$4:$AW$4,MATCH(TRUE,INDEX($V1514:$AW1514&lt;&gt;0,),0)),IF(COUNTIF(AZ1514:BB1514,"&lt;&gt;0")=0,INDEX($AM$4:$AW$4,MATCH(1,$AM1514:$AW1514,0)),"Multiple strategies"))</f>
        <v>Multiple strategies</v>
      </c>
      <c r="BP1514" s="312" t="s">
        <v>232</v>
      </c>
      <c r="BQ1514" s="312"/>
      <c r="BR1514" s="312" t="s">
        <v>4136</v>
      </c>
      <c r="BS1514">
        <v>-56406</v>
      </c>
      <c r="BT1514">
        <v>-12409.32</v>
      </c>
      <c r="BU1514" s="144">
        <v>0.22</v>
      </c>
      <c r="BV1514">
        <v>43996.68</v>
      </c>
      <c r="BX1514">
        <f>BV1514</f>
        <v>43996.68</v>
      </c>
      <c r="BY1514" t="str">
        <f>IFERROR(BX1514/BO1514,"")</f>
        <v/>
      </c>
      <c r="BZ1514">
        <v>0</v>
      </c>
      <c r="CA1514">
        <v>1</v>
      </c>
      <c r="CB1514">
        <v>0</v>
      </c>
      <c r="CC1514">
        <v>1</v>
      </c>
      <c r="CD1514">
        <v>0</v>
      </c>
      <c r="CE1514">
        <v>0</v>
      </c>
      <c r="CF1514">
        <v>0</v>
      </c>
      <c r="CG1514">
        <v>0</v>
      </c>
      <c r="CH1514">
        <v>0</v>
      </c>
      <c r="CI1514">
        <v>0</v>
      </c>
      <c r="CJ1514">
        <v>0</v>
      </c>
      <c r="CK1514">
        <v>0</v>
      </c>
      <c r="CL1514">
        <v>1</v>
      </c>
      <c r="CM1514">
        <v>0</v>
      </c>
      <c r="CN1514" t="str">
        <f>IF(BL1514&lt;BK1514,"refNeedCorrection","refOK")</f>
        <v>refOK</v>
      </c>
      <c r="CO1514"/>
      <c r="CP1514"/>
      <c r="CQ1514"/>
      <c r="CR1514">
        <f>IF($CN1514="refOK",$BS1514,$BT1514)*IF($BP1514="Emissions positive",-1,1)</f>
        <v>-56406</v>
      </c>
      <c r="CS1514">
        <f>IF($CN1514="refOK",$BT1514,$BS1514)*IF($BP1514="Emissions positive",-1,1)</f>
        <v>-12409.32</v>
      </c>
      <c r="CT1514">
        <f>IF($CN1514="refNeedCorrection",-BX1514,BX1514)*IF($BP1514="Emissions positive",-1,1)</f>
        <v>43996.68</v>
      </c>
      <c r="CU1514" t="str">
        <f>IFERROR(CT1514/CQ1514,"")</f>
        <v/>
      </c>
      <c r="CV1514" s="2">
        <f>IFERROR((CS1514-CR1514)/ABS(CR1514),"")</f>
        <v>0.78</v>
      </c>
      <c r="CW1514" s="1" t="s">
        <v>1199</v>
      </c>
      <c r="CX1514" s="312" t="str">
        <f>IF(OR($CW1514="prd",$CW1514="std",$CW1514="cit"),"loc",IF(OR($CW1514="eur",$CW1514="reg",$CW1514="coy"),"reg",$CW1514))</f>
        <v>reg</v>
      </c>
      <c r="CY1514" t="s">
        <v>428</v>
      </c>
      <c r="DB1514">
        <v>0</v>
      </c>
      <c r="DC1514" t="str">
        <f>IF(DB1514=0,"0",IF(AND(DB1514&gt;=1,DB1514&lt;=30),"1-30",IF(AND(DB1514&gt;30,DB1514&lt;=70),"31-70",IF(AND(DB1514&gt;70,DB1514&lt;=100),"71-100",IF(DB1514&gt;100,"+100")))))</f>
        <v>0</v>
      </c>
      <c r="DD1514">
        <v>0</v>
      </c>
      <c r="DE1514">
        <v>1</v>
      </c>
      <c r="DF1514">
        <v>0</v>
      </c>
      <c r="DG1514">
        <v>0</v>
      </c>
      <c r="DI1514">
        <f>SUM(DD1514:DG1514)</f>
        <v>1</v>
      </c>
      <c r="DJ1514" t="str">
        <f>IF(DI1514=1,INDEX($DD$7:$DG$7,MATCH(1,$DD1514:$DG1514,0)),"mixedProduct")</f>
        <v>EnergyInput</v>
      </c>
      <c r="DK1514">
        <f>IF(DD1514=1,DK$7,0)</f>
        <v>0</v>
      </c>
      <c r="DL1514" t="str">
        <f>IF(DE1514=1,DL$7,0)</f>
        <v>Energy</v>
      </c>
      <c r="DM1514">
        <f>IF(DF1514=1,DM$7,0)</f>
        <v>0</v>
      </c>
      <c r="DN1514">
        <f>IF(DG1514=1,DN$7,0)</f>
        <v>0</v>
      </c>
      <c r="DO1514">
        <v>1</v>
      </c>
      <c r="DP1514">
        <v>0</v>
      </c>
      <c r="DQ1514">
        <v>0</v>
      </c>
      <c r="DR1514">
        <v>0</v>
      </c>
      <c r="DS1514">
        <v>0</v>
      </c>
      <c r="DT1514">
        <f>SUM(DO1514:DP1514)</f>
        <v>1</v>
      </c>
      <c r="DU1514" s="143" t="str">
        <f>IF(DO1514=1,"self-calculated DF",IF(DP1514=1,"external DF used","explicit C balance"))</f>
        <v>self-calculated DF</v>
      </c>
      <c r="DV1514">
        <v>0</v>
      </c>
      <c r="DW1514">
        <v>0</v>
      </c>
      <c r="DX1514">
        <v>0</v>
      </c>
      <c r="DY1514">
        <v>0</v>
      </c>
      <c r="DZ1514">
        <v>0</v>
      </c>
      <c r="EA1514" s="143">
        <v>0</v>
      </c>
      <c r="EB1514">
        <v>1</v>
      </c>
      <c r="EC1514">
        <v>1</v>
      </c>
      <c r="ED1514">
        <v>0</v>
      </c>
      <c r="EE1514">
        <v>1</v>
      </c>
      <c r="EF1514">
        <v>0</v>
      </c>
      <c r="EG1514">
        <v>0</v>
      </c>
      <c r="EH1514">
        <v>0</v>
      </c>
      <c r="EI1514" s="2">
        <v>0</v>
      </c>
      <c r="EK1514" t="str">
        <f>IF(AND(AND(AND(OR($DX1514=1,$DW1514=1),OR($EC1514=1,$EA1514=1)),SUM($DV1514:$DZ1514,$EF1514)&gt;=3),SUM($EA1514:$EE1514)&gt;=2),"Whole sector","")</f>
        <v/>
      </c>
      <c r="EL1514" t="str">
        <f>IF(AND(AND(OR($DX1514=1,$DW1514=1),AND($EC1514=0,$EA1514=0)),SUM($DV1514:$DZ1514,$EF1514)&gt;=3),"Ecosystem approach","")</f>
        <v/>
      </c>
      <c r="EM1514" s="2" t="str">
        <f>IF(AND(AND(AND($DX1514=0,$DW1514=0),OR($EC1514=1,$EA1514=1)),SUM($EB1514:$EE1514)&gt;=2),"Technology approach","")</f>
        <v>Technology approach</v>
      </c>
      <c r="EP1514" t="b">
        <f>IF(ISNUMBER(BU1514),IF(ABS(BU1514-[5]QC_indicators!$B$2)&gt;3*[5]QC_indicators!$C$2,"C ratio",IF(ISNUMBER(BY1514),IF(ABS(BY1514-[5]QC_indicators!$B$1)&gt;3*[5]QC_indicators!$C$1,"DF","no"))),IF(ISNUMBER(BY1514),IF(ABS(BY1514-[5]QC_indicators!$B$1)&gt;3*[5]QC_indicators!$C$1,"DF","no")))</f>
        <v>0</v>
      </c>
      <c r="ER1514" s="314" t="s">
        <v>349</v>
      </c>
    </row>
    <row r="1515" spans="1:148" ht="18" customHeight="1">
      <c r="A1515" s="1" t="s">
        <v>4127</v>
      </c>
      <c r="B1515" t="s">
        <v>4128</v>
      </c>
      <c r="C1515" t="s">
        <v>4129</v>
      </c>
      <c r="D1515" t="s">
        <v>4130</v>
      </c>
      <c r="E1515" t="s">
        <v>4131</v>
      </c>
      <c r="F1515" t="s">
        <v>4132</v>
      </c>
      <c r="G1515" t="s">
        <v>4133</v>
      </c>
      <c r="H1515" t="s">
        <v>254</v>
      </c>
      <c r="I1515">
        <v>2014</v>
      </c>
      <c r="J1515">
        <v>4</v>
      </c>
      <c r="K1515" t="s">
        <v>4134</v>
      </c>
      <c r="M1515" t="str">
        <f>LEFT($D1515,FIND(",",$D1515)-1)&amp;"_"&amp;I1515&amp;L1515</f>
        <v>Saah_2014</v>
      </c>
      <c r="N1515" s="312" t="s">
        <v>4383</v>
      </c>
      <c r="O1515" s="145" t="s">
        <v>341</v>
      </c>
      <c r="Q1515" s="312" t="s">
        <v>256</v>
      </c>
      <c r="R1515" s="313"/>
      <c r="S1515" s="1" t="s">
        <v>4139</v>
      </c>
      <c r="T1515" t="s">
        <v>1111</v>
      </c>
      <c r="U1515" t="e">
        <f>#REF!</f>
        <v>#REF!</v>
      </c>
      <c r="V1515">
        <v>2</v>
      </c>
      <c r="W1515">
        <v>1</v>
      </c>
      <c r="X1515">
        <v>0</v>
      </c>
      <c r="Y1515">
        <v>2</v>
      </c>
      <c r="Z1515">
        <v>0</v>
      </c>
      <c r="AA1515">
        <v>0</v>
      </c>
      <c r="AB1515">
        <v>0</v>
      </c>
      <c r="AC1515">
        <v>0</v>
      </c>
      <c r="AD1515">
        <v>0</v>
      </c>
      <c r="AE1515">
        <v>0</v>
      </c>
      <c r="AF1515">
        <v>2</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s="141">
        <f>COUNTIF(V1515:AW1515,"&lt;&gt;0")</f>
        <v>4</v>
      </c>
      <c r="AY1515" s="141">
        <f>COUNTIF(V1515:AL1515,"&lt;&gt;0")</f>
        <v>4</v>
      </c>
      <c r="AZ1515">
        <f>COUNTIF(V1515:AC1515,"&lt;&gt;0")</f>
        <v>3</v>
      </c>
      <c r="BA1515">
        <f>COUNTIF(AD1515:AI1515,"&lt;&gt;0")</f>
        <v>1</v>
      </c>
      <c r="BB1515">
        <f>COUNTIF(AJ1515:AL1515,"&lt;&gt;0")</f>
        <v>0</v>
      </c>
      <c r="BC1515">
        <f>COUNTIF(AS1515:AW1515,"&lt;&gt;0")</f>
        <v>0</v>
      </c>
      <c r="BD1515">
        <f>COUNTIF(AM1515:AR1515,"&lt;&gt;0")</f>
        <v>0</v>
      </c>
      <c r="BE1515" t="str" cm="1">
        <f t="array" ref="BE1515">IF(AY1515=1,INDEX($V$7:$AL$7,MATCH(TRUE,INDEX($V1515:$AW1515&lt;&gt;0,),0)),IF(AY1515=0,INDEX($AM$7:$AW$7,MATCH(1,$AM1515:$AW1515,0)),IF(BF1515="Multiple strategies","mixed drivers",IF(BF1515="Supply chain","multiple supply","multiple silviculture"))))</f>
        <v>mixed drivers</v>
      </c>
      <c r="BF1515" s="2" t="str" cm="1">
        <f t="array" ref="BF1515">IF(COUNTIF(AZ1515:BB1515,"&lt;&gt;0")=1,INDEX($V$4:$AW$4,MATCH(TRUE,INDEX($V1515:$AW1515&lt;&gt;0,),0)),IF(COUNTIF(AZ1515:BB1515,"&lt;&gt;0")=0,INDEX($AM$4:$AW$4,MATCH(1,$AM1515:$AW1515,0)),"Multiple strategies"))</f>
        <v>Multiple strategies</v>
      </c>
      <c r="BP1515" s="312" t="s">
        <v>232</v>
      </c>
      <c r="BQ1515" s="312"/>
      <c r="BR1515" s="312" t="s">
        <v>4136</v>
      </c>
      <c r="BS1515">
        <v>-56406</v>
      </c>
      <c r="BT1515">
        <v>-14665.560000000001</v>
      </c>
      <c r="BU1515" s="144">
        <v>0.26</v>
      </c>
      <c r="BV1515">
        <v>41740.44</v>
      </c>
      <c r="BX1515">
        <f>BV1515</f>
        <v>41740.44</v>
      </c>
      <c r="BY1515" t="str">
        <f>IFERROR(BX1515/BO1515,"")</f>
        <v/>
      </c>
      <c r="BZ1515">
        <v>0</v>
      </c>
      <c r="CA1515">
        <v>1</v>
      </c>
      <c r="CB1515">
        <v>0</v>
      </c>
      <c r="CC1515">
        <v>1</v>
      </c>
      <c r="CD1515">
        <v>0</v>
      </c>
      <c r="CE1515">
        <v>0</v>
      </c>
      <c r="CF1515">
        <v>0</v>
      </c>
      <c r="CG1515">
        <v>0</v>
      </c>
      <c r="CH1515">
        <v>0</v>
      </c>
      <c r="CI1515">
        <v>0</v>
      </c>
      <c r="CJ1515">
        <v>0</v>
      </c>
      <c r="CK1515">
        <v>0</v>
      </c>
      <c r="CL1515">
        <v>1</v>
      </c>
      <c r="CM1515">
        <v>0</v>
      </c>
      <c r="CN1515" t="str">
        <f>IF(BL1515&lt;BK1515,"refNeedCorrection","refOK")</f>
        <v>refOK</v>
      </c>
      <c r="CO1515"/>
      <c r="CP1515"/>
      <c r="CQ1515"/>
      <c r="CR1515">
        <f>IF($CN1515="refOK",$BS1515,$BT1515)*IF($BP1515="Emissions positive",-1,1)</f>
        <v>-56406</v>
      </c>
      <c r="CS1515">
        <f>IF($CN1515="refOK",$BT1515,$BS1515)*IF($BP1515="Emissions positive",-1,1)</f>
        <v>-14665.560000000001</v>
      </c>
      <c r="CT1515">
        <f>IF($CN1515="refNeedCorrection",-BX1515,BX1515)*IF($BP1515="Emissions positive",-1,1)</f>
        <v>41740.44</v>
      </c>
      <c r="CU1515" t="str">
        <f>IFERROR(CT1515/CQ1515,"")</f>
        <v/>
      </c>
      <c r="CV1515" s="2">
        <f>IFERROR((CS1515-CR1515)/ABS(CR1515),"")</f>
        <v>0.74</v>
      </c>
      <c r="CW1515" s="1" t="s">
        <v>1199</v>
      </c>
      <c r="CX1515" s="312" t="str">
        <f>IF(OR($CW1515="prd",$CW1515="std",$CW1515="cit"),"loc",IF(OR($CW1515="eur",$CW1515="reg",$CW1515="coy"),"reg",$CW1515))</f>
        <v>reg</v>
      </c>
      <c r="CY1515" t="s">
        <v>428</v>
      </c>
      <c r="DB1515">
        <v>0</v>
      </c>
      <c r="DC1515" t="str">
        <f>IF(DB1515=0,"0",IF(AND(DB1515&gt;=1,DB1515&lt;=30),"1-30",IF(AND(DB1515&gt;30,DB1515&lt;=70),"31-70",IF(AND(DB1515&gt;70,DB1515&lt;=100),"71-100",IF(DB1515&gt;100,"+100")))))</f>
        <v>0</v>
      </c>
      <c r="DD1515">
        <v>0</v>
      </c>
      <c r="DE1515">
        <v>1</v>
      </c>
      <c r="DF1515">
        <v>0</v>
      </c>
      <c r="DG1515">
        <v>0</v>
      </c>
      <c r="DI1515">
        <f>SUM(DD1515:DG1515)</f>
        <v>1</v>
      </c>
      <c r="DJ1515" t="str">
        <f>IF(DI1515=1,INDEX($DD$7:$DG$7,MATCH(1,$DD1515:$DG1515,0)),"mixedProduct")</f>
        <v>EnergyInput</v>
      </c>
      <c r="DK1515">
        <f>IF(DD1515=1,DK$7,0)</f>
        <v>0</v>
      </c>
      <c r="DL1515" t="str">
        <f>IF(DE1515=1,DL$7,0)</f>
        <v>Energy</v>
      </c>
      <c r="DM1515">
        <f>IF(DF1515=1,DM$7,0)</f>
        <v>0</v>
      </c>
      <c r="DN1515">
        <f>IF(DG1515=1,DN$7,0)</f>
        <v>0</v>
      </c>
      <c r="DO1515">
        <v>1</v>
      </c>
      <c r="DP1515">
        <v>0</v>
      </c>
      <c r="DQ1515">
        <v>0</v>
      </c>
      <c r="DR1515">
        <v>0</v>
      </c>
      <c r="DS1515">
        <v>0</v>
      </c>
      <c r="DT1515">
        <f>SUM(DO1515:DP1515)</f>
        <v>1</v>
      </c>
      <c r="DU1515" s="143" t="str">
        <f>IF(DO1515=1,"self-calculated DF",IF(DP1515=1,"external DF used","explicit C balance"))</f>
        <v>self-calculated DF</v>
      </c>
      <c r="DV1515">
        <v>0</v>
      </c>
      <c r="DW1515">
        <v>0</v>
      </c>
      <c r="DX1515">
        <v>0</v>
      </c>
      <c r="DY1515">
        <v>0</v>
      </c>
      <c r="DZ1515">
        <v>0</v>
      </c>
      <c r="EA1515" s="143">
        <v>0</v>
      </c>
      <c r="EB1515">
        <v>1</v>
      </c>
      <c r="EC1515">
        <v>1</v>
      </c>
      <c r="ED1515">
        <v>0</v>
      </c>
      <c r="EE1515">
        <v>1</v>
      </c>
      <c r="EF1515">
        <v>0</v>
      </c>
      <c r="EG1515">
        <v>0</v>
      </c>
      <c r="EH1515">
        <v>0</v>
      </c>
      <c r="EI1515" s="2">
        <v>0</v>
      </c>
      <c r="EK1515" t="str">
        <f>IF(AND(AND(AND(OR($DX1515=1,$DW1515=1),OR($EC1515=1,$EA1515=1)),SUM($DV1515:$DZ1515,$EF1515)&gt;=3),SUM($EA1515:$EE1515)&gt;=2),"Whole sector","")</f>
        <v/>
      </c>
      <c r="EL1515" t="str">
        <f>IF(AND(AND(OR($DX1515=1,$DW1515=1),AND($EC1515=0,$EA1515=0)),SUM($DV1515:$DZ1515,$EF1515)&gt;=3),"Ecosystem approach","")</f>
        <v/>
      </c>
      <c r="EM1515" s="2" t="str">
        <f>IF(AND(AND(AND($DX1515=0,$DW1515=0),OR($EC1515=1,$EA1515=1)),SUM($EB1515:$EE1515)&gt;=2),"Technology approach","")</f>
        <v>Technology approach</v>
      </c>
      <c r="EP1515" t="b">
        <f>IF(ISNUMBER(BU1515),IF(ABS(BU1515-[5]QC_indicators!$B$2)&gt;3*[5]QC_indicators!$C$2,"C ratio",IF(ISNUMBER(BY1515),IF(ABS(BY1515-[5]QC_indicators!$B$1)&gt;3*[5]QC_indicators!$C$1,"DF","no"))),IF(ISNUMBER(BY1515),IF(ABS(BY1515-[5]QC_indicators!$B$1)&gt;3*[5]QC_indicators!$C$1,"DF","no")))</f>
        <v>0</v>
      </c>
      <c r="ER1515" s="314" t="s">
        <v>349</v>
      </c>
    </row>
    <row r="1516" spans="1:148" ht="18" customHeight="1">
      <c r="A1516" s="1" t="s">
        <v>4127</v>
      </c>
      <c r="B1516" t="s">
        <v>4128</v>
      </c>
      <c r="C1516" t="s">
        <v>4129</v>
      </c>
      <c r="D1516" t="s">
        <v>4130</v>
      </c>
      <c r="E1516" t="s">
        <v>4131</v>
      </c>
      <c r="F1516" t="s">
        <v>4132</v>
      </c>
      <c r="G1516" t="s">
        <v>4133</v>
      </c>
      <c r="H1516" t="s">
        <v>254</v>
      </c>
      <c r="I1516">
        <v>2014</v>
      </c>
      <c r="J1516">
        <v>4</v>
      </c>
      <c r="K1516" t="s">
        <v>4134</v>
      </c>
      <c r="M1516" t="str">
        <f>LEFT($D1516,FIND(",",$D1516)-1)&amp;"_"&amp;I1516&amp;L1516</f>
        <v>Saah_2014</v>
      </c>
      <c r="N1516" s="312" t="s">
        <v>4383</v>
      </c>
      <c r="O1516" s="145" t="s">
        <v>341</v>
      </c>
      <c r="Q1516" s="312" t="s">
        <v>256</v>
      </c>
      <c r="R1516" s="313"/>
      <c r="S1516" s="1" t="s">
        <v>4140</v>
      </c>
      <c r="T1516" t="s">
        <v>1111</v>
      </c>
      <c r="U1516" t="e">
        <f>#REF!</f>
        <v>#REF!</v>
      </c>
      <c r="V1516">
        <v>2</v>
      </c>
      <c r="W1516">
        <v>1</v>
      </c>
      <c r="X1516">
        <v>0</v>
      </c>
      <c r="Y1516">
        <v>2</v>
      </c>
      <c r="Z1516">
        <v>0</v>
      </c>
      <c r="AA1516">
        <v>0</v>
      </c>
      <c r="AB1516">
        <v>0</v>
      </c>
      <c r="AC1516">
        <v>0</v>
      </c>
      <c r="AD1516">
        <v>0</v>
      </c>
      <c r="AE1516">
        <v>0</v>
      </c>
      <c r="AF1516">
        <v>2</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s="141">
        <f>COUNTIF(V1516:AW1516,"&lt;&gt;0")</f>
        <v>4</v>
      </c>
      <c r="AY1516" s="141">
        <f>COUNTIF(V1516:AL1516,"&lt;&gt;0")</f>
        <v>4</v>
      </c>
      <c r="AZ1516">
        <f>COUNTIF(V1516:AC1516,"&lt;&gt;0")</f>
        <v>3</v>
      </c>
      <c r="BA1516">
        <f>COUNTIF(AD1516:AI1516,"&lt;&gt;0")</f>
        <v>1</v>
      </c>
      <c r="BB1516">
        <f>COUNTIF(AJ1516:AL1516,"&lt;&gt;0")</f>
        <v>0</v>
      </c>
      <c r="BC1516">
        <f>COUNTIF(AS1516:AW1516,"&lt;&gt;0")</f>
        <v>0</v>
      </c>
      <c r="BD1516">
        <f>COUNTIF(AM1516:AR1516,"&lt;&gt;0")</f>
        <v>0</v>
      </c>
      <c r="BE1516" t="str" cm="1">
        <f t="array" ref="BE1516">IF(AY1516=1,INDEX($V$7:$AL$7,MATCH(TRUE,INDEX($V1516:$AW1516&lt;&gt;0,),0)),IF(AY1516=0,INDEX($AM$7:$AW$7,MATCH(1,$AM1516:$AW1516,0)),IF(BF1516="Multiple strategies","mixed drivers",IF(BF1516="Supply chain","multiple supply","multiple silviculture"))))</f>
        <v>mixed drivers</v>
      </c>
      <c r="BF1516" s="2" t="str" cm="1">
        <f t="array" ref="BF1516">IF(COUNTIF(AZ1516:BB1516,"&lt;&gt;0")=1,INDEX($V$4:$AW$4,MATCH(TRUE,INDEX($V1516:$AW1516&lt;&gt;0,),0)),IF(COUNTIF(AZ1516:BB1516,"&lt;&gt;0")=0,INDEX($AM$4:$AW$4,MATCH(1,$AM1516:$AW1516,0)),"Multiple strategies"))</f>
        <v>Multiple strategies</v>
      </c>
      <c r="BP1516" s="312" t="s">
        <v>232</v>
      </c>
      <c r="BQ1516" s="312"/>
      <c r="BR1516" s="312" t="s">
        <v>4136</v>
      </c>
      <c r="BS1516">
        <v>-56406</v>
      </c>
      <c r="BT1516">
        <v>-15229.62</v>
      </c>
      <c r="BU1516" s="144">
        <v>0.27</v>
      </c>
      <c r="BV1516">
        <v>41176.379999999997</v>
      </c>
      <c r="BX1516">
        <f>BV1516</f>
        <v>41176.379999999997</v>
      </c>
      <c r="BY1516" t="str">
        <f>IFERROR(BX1516/BO1516,"")</f>
        <v/>
      </c>
      <c r="BZ1516">
        <v>0</v>
      </c>
      <c r="CA1516">
        <v>1</v>
      </c>
      <c r="CB1516">
        <v>0</v>
      </c>
      <c r="CC1516">
        <v>1</v>
      </c>
      <c r="CD1516">
        <v>0</v>
      </c>
      <c r="CE1516">
        <v>0</v>
      </c>
      <c r="CF1516">
        <v>0</v>
      </c>
      <c r="CG1516">
        <v>0</v>
      </c>
      <c r="CH1516">
        <v>0</v>
      </c>
      <c r="CI1516">
        <v>0</v>
      </c>
      <c r="CJ1516">
        <v>0</v>
      </c>
      <c r="CK1516">
        <v>0</v>
      </c>
      <c r="CL1516">
        <v>1</v>
      </c>
      <c r="CM1516">
        <v>0</v>
      </c>
      <c r="CN1516" t="str">
        <f>IF(BL1516&lt;BK1516,"refNeedCorrection","refOK")</f>
        <v>refOK</v>
      </c>
      <c r="CO1516"/>
      <c r="CP1516"/>
      <c r="CQ1516"/>
      <c r="CR1516">
        <f>IF($CN1516="refOK",$BS1516,$BT1516)*IF($BP1516="Emissions positive",-1,1)</f>
        <v>-56406</v>
      </c>
      <c r="CS1516">
        <f>IF($CN1516="refOK",$BT1516,$BS1516)*IF($BP1516="Emissions positive",-1,1)</f>
        <v>-15229.62</v>
      </c>
      <c r="CT1516">
        <f>IF($CN1516="refNeedCorrection",-BX1516,BX1516)*IF($BP1516="Emissions positive",-1,1)</f>
        <v>41176.379999999997</v>
      </c>
      <c r="CU1516" t="str">
        <f>IFERROR(CT1516/CQ1516,"")</f>
        <v/>
      </c>
      <c r="CV1516" s="2">
        <f>IFERROR((CS1516-CR1516)/ABS(CR1516),"")</f>
        <v>0.73</v>
      </c>
      <c r="CW1516" s="1" t="s">
        <v>1199</v>
      </c>
      <c r="CX1516" s="312" t="str">
        <f>IF(OR($CW1516="prd",$CW1516="std",$CW1516="cit"),"loc",IF(OR($CW1516="eur",$CW1516="reg",$CW1516="coy"),"reg",$CW1516))</f>
        <v>reg</v>
      </c>
      <c r="CY1516" t="s">
        <v>428</v>
      </c>
      <c r="DB1516">
        <v>0</v>
      </c>
      <c r="DC1516" t="str">
        <f>IF(DB1516=0,"0",IF(AND(DB1516&gt;=1,DB1516&lt;=30),"1-30",IF(AND(DB1516&gt;30,DB1516&lt;=70),"31-70",IF(AND(DB1516&gt;70,DB1516&lt;=100),"71-100",IF(DB1516&gt;100,"+100")))))</f>
        <v>0</v>
      </c>
      <c r="DD1516">
        <v>0</v>
      </c>
      <c r="DE1516">
        <v>1</v>
      </c>
      <c r="DF1516">
        <v>0</v>
      </c>
      <c r="DG1516">
        <v>0</v>
      </c>
      <c r="DI1516">
        <f>SUM(DD1516:DG1516)</f>
        <v>1</v>
      </c>
      <c r="DJ1516" t="str">
        <f>IF(DI1516=1,INDEX($DD$7:$DG$7,MATCH(1,$DD1516:$DG1516,0)),"mixedProduct")</f>
        <v>EnergyInput</v>
      </c>
      <c r="DK1516">
        <f>IF(DD1516=1,DK$7,0)</f>
        <v>0</v>
      </c>
      <c r="DL1516" t="str">
        <f>IF(DE1516=1,DL$7,0)</f>
        <v>Energy</v>
      </c>
      <c r="DM1516">
        <f>IF(DF1516=1,DM$7,0)</f>
        <v>0</v>
      </c>
      <c r="DN1516">
        <f>IF(DG1516=1,DN$7,0)</f>
        <v>0</v>
      </c>
      <c r="DO1516">
        <v>1</v>
      </c>
      <c r="DP1516">
        <v>0</v>
      </c>
      <c r="DQ1516">
        <v>0</v>
      </c>
      <c r="DR1516">
        <v>0</v>
      </c>
      <c r="DS1516">
        <v>0</v>
      </c>
      <c r="DT1516">
        <f>SUM(DO1516:DP1516)</f>
        <v>1</v>
      </c>
      <c r="DU1516" s="143" t="str">
        <f>IF(DO1516=1,"self-calculated DF",IF(DP1516=1,"external DF used","explicit C balance"))</f>
        <v>self-calculated DF</v>
      </c>
      <c r="DV1516">
        <v>0</v>
      </c>
      <c r="DW1516">
        <v>0</v>
      </c>
      <c r="DX1516">
        <v>0</v>
      </c>
      <c r="DY1516">
        <v>0</v>
      </c>
      <c r="DZ1516">
        <v>0</v>
      </c>
      <c r="EA1516" s="143">
        <v>0</v>
      </c>
      <c r="EB1516">
        <v>1</v>
      </c>
      <c r="EC1516">
        <v>1</v>
      </c>
      <c r="ED1516">
        <v>0</v>
      </c>
      <c r="EE1516">
        <v>1</v>
      </c>
      <c r="EF1516">
        <v>0</v>
      </c>
      <c r="EG1516">
        <v>0</v>
      </c>
      <c r="EH1516">
        <v>0</v>
      </c>
      <c r="EI1516" s="2">
        <v>0</v>
      </c>
      <c r="EK1516" t="str">
        <f>IF(AND(AND(AND(OR($DX1516=1,$DW1516=1),OR($EC1516=1,$EA1516=1)),SUM($DV1516:$DZ1516,$EF1516)&gt;=3),SUM($EA1516:$EE1516)&gt;=2),"Whole sector","")</f>
        <v/>
      </c>
      <c r="EL1516" t="str">
        <f>IF(AND(AND(OR($DX1516=1,$DW1516=1),AND($EC1516=0,$EA1516=0)),SUM($DV1516:$DZ1516,$EF1516)&gt;=3),"Ecosystem approach","")</f>
        <v/>
      </c>
      <c r="EM1516" s="2" t="str">
        <f>IF(AND(AND(AND($DX1516=0,$DW1516=0),OR($EC1516=1,$EA1516=1)),SUM($EB1516:$EE1516)&gt;=2),"Technology approach","")</f>
        <v>Technology approach</v>
      </c>
      <c r="EP1516" t="b">
        <f>IF(ISNUMBER(BU1516),IF(ABS(BU1516-[5]QC_indicators!$B$2)&gt;3*[5]QC_indicators!$C$2,"C ratio",IF(ISNUMBER(BY1516),IF(ABS(BY1516-[5]QC_indicators!$B$1)&gt;3*[5]QC_indicators!$C$1,"DF","no"))),IF(ISNUMBER(BY1516),IF(ABS(BY1516-[5]QC_indicators!$B$1)&gt;3*[5]QC_indicators!$C$1,"DF","no")))</f>
        <v>0</v>
      </c>
      <c r="ER1516" s="314" t="s">
        <v>349</v>
      </c>
    </row>
    <row r="1517" spans="1:148">
      <c r="A1517" s="1" t="s">
        <v>4127</v>
      </c>
      <c r="B1517" t="s">
        <v>4128</v>
      </c>
      <c r="C1517" t="s">
        <v>4129</v>
      </c>
      <c r="D1517" t="s">
        <v>4130</v>
      </c>
      <c r="E1517" t="s">
        <v>4131</v>
      </c>
      <c r="F1517" t="s">
        <v>4132</v>
      </c>
      <c r="G1517" t="s">
        <v>4133</v>
      </c>
      <c r="H1517" t="s">
        <v>254</v>
      </c>
      <c r="I1517">
        <v>2014</v>
      </c>
      <c r="J1517">
        <v>4</v>
      </c>
      <c r="K1517" t="s">
        <v>4134</v>
      </c>
      <c r="M1517" t="str">
        <f>LEFT($D1517,FIND(",",$D1517)-1)&amp;"_"&amp;I1517&amp;L1517</f>
        <v>Saah_2014</v>
      </c>
      <c r="N1517" s="312" t="s">
        <v>4383</v>
      </c>
      <c r="O1517" s="145" t="s">
        <v>341</v>
      </c>
      <c r="Q1517" s="312" t="s">
        <v>256</v>
      </c>
      <c r="R1517" s="313"/>
      <c r="S1517" s="1" t="s">
        <v>4141</v>
      </c>
      <c r="T1517" t="s">
        <v>1111</v>
      </c>
      <c r="U1517" t="e">
        <f>#REF!</f>
        <v>#REF!</v>
      </c>
      <c r="V1517">
        <v>2</v>
      </c>
      <c r="W1517">
        <v>1</v>
      </c>
      <c r="X1517">
        <v>0</v>
      </c>
      <c r="Y1517">
        <v>2</v>
      </c>
      <c r="Z1517">
        <v>0</v>
      </c>
      <c r="AA1517">
        <v>0</v>
      </c>
      <c r="AB1517">
        <v>0</v>
      </c>
      <c r="AC1517">
        <v>0</v>
      </c>
      <c r="AD1517">
        <v>0</v>
      </c>
      <c r="AE1517">
        <v>0</v>
      </c>
      <c r="AF1517">
        <v>2</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s="141">
        <f>COUNTIF(V1517:AW1517,"&lt;&gt;0")</f>
        <v>4</v>
      </c>
      <c r="AY1517" s="141">
        <f>COUNTIF(V1517:AL1517,"&lt;&gt;0")</f>
        <v>4</v>
      </c>
      <c r="AZ1517">
        <f>COUNTIF(V1517:AC1517,"&lt;&gt;0")</f>
        <v>3</v>
      </c>
      <c r="BA1517">
        <f>COUNTIF(AD1517:AI1517,"&lt;&gt;0")</f>
        <v>1</v>
      </c>
      <c r="BB1517">
        <f>COUNTIF(AJ1517:AL1517,"&lt;&gt;0")</f>
        <v>0</v>
      </c>
      <c r="BC1517">
        <f>COUNTIF(AS1517:AW1517,"&lt;&gt;0")</f>
        <v>0</v>
      </c>
      <c r="BD1517">
        <f>COUNTIF(AM1517:AR1517,"&lt;&gt;0")</f>
        <v>0</v>
      </c>
      <c r="BE1517" t="str" cm="1">
        <f t="array" ref="BE1517">IF(AY1517=1,INDEX($V$7:$AL$7,MATCH(TRUE,INDEX($V1517:$AW1517&lt;&gt;0,),0)),IF(AY1517=0,INDEX($AM$7:$AW$7,MATCH(1,$AM1517:$AW1517,0)),IF(BF1517="Multiple strategies","mixed drivers",IF(BF1517="Supply chain","multiple supply","multiple silviculture"))))</f>
        <v>mixed drivers</v>
      </c>
      <c r="BF1517" s="2" t="str" cm="1">
        <f t="array" ref="BF1517">IF(COUNTIF(AZ1517:BB1517,"&lt;&gt;0")=1,INDEX($V$4:$AW$4,MATCH(TRUE,INDEX($V1517:$AW1517&lt;&gt;0,),0)),IF(COUNTIF(AZ1517:BB1517,"&lt;&gt;0")=0,INDEX($AM$4:$AW$4,MATCH(1,$AM1517:$AW1517,0)),"Multiple strategies"))</f>
        <v>Multiple strategies</v>
      </c>
      <c r="BP1517" s="312" t="s">
        <v>232</v>
      </c>
      <c r="BQ1517" s="312"/>
      <c r="BR1517" s="312" t="s">
        <v>4136</v>
      </c>
      <c r="BS1517">
        <v>-56406</v>
      </c>
      <c r="BT1517">
        <v>-18049.920000000002</v>
      </c>
      <c r="BU1517" s="144">
        <v>0.32</v>
      </c>
      <c r="BV1517">
        <v>38356.080000000002</v>
      </c>
      <c r="BX1517">
        <f>BV1517</f>
        <v>38356.080000000002</v>
      </c>
      <c r="BY1517" t="str">
        <f>IFERROR(BX1517/BO1517,"")</f>
        <v/>
      </c>
      <c r="BZ1517">
        <v>0</v>
      </c>
      <c r="CA1517">
        <v>1</v>
      </c>
      <c r="CB1517">
        <v>0</v>
      </c>
      <c r="CC1517">
        <v>1</v>
      </c>
      <c r="CD1517">
        <v>0</v>
      </c>
      <c r="CE1517">
        <v>0</v>
      </c>
      <c r="CF1517">
        <v>0</v>
      </c>
      <c r="CG1517">
        <v>0</v>
      </c>
      <c r="CH1517">
        <v>0</v>
      </c>
      <c r="CI1517">
        <v>0</v>
      </c>
      <c r="CJ1517">
        <v>0</v>
      </c>
      <c r="CK1517">
        <v>0</v>
      </c>
      <c r="CL1517">
        <v>1</v>
      </c>
      <c r="CM1517">
        <v>0</v>
      </c>
      <c r="CN1517" t="str">
        <f>IF(BL1517&lt;BK1517,"refNeedCorrection","refOK")</f>
        <v>refOK</v>
      </c>
      <c r="CO1517"/>
      <c r="CP1517"/>
      <c r="CQ1517"/>
      <c r="CR1517">
        <f>IF($CN1517="refOK",$BS1517,$BT1517)*IF($BP1517="Emissions positive",-1,1)</f>
        <v>-56406</v>
      </c>
      <c r="CS1517">
        <f>IF($CN1517="refOK",$BT1517,$BS1517)*IF($BP1517="Emissions positive",-1,1)</f>
        <v>-18049.920000000002</v>
      </c>
      <c r="CT1517">
        <f>IF($CN1517="refNeedCorrection",-BX1517,BX1517)*IF($BP1517="Emissions positive",-1,1)</f>
        <v>38356.080000000002</v>
      </c>
      <c r="CU1517" t="str">
        <f>IFERROR(CT1517/CQ1517,"")</f>
        <v/>
      </c>
      <c r="CV1517" s="2">
        <f>IFERROR((CS1517-CR1517)/ABS(CR1517),"")</f>
        <v>0.68</v>
      </c>
      <c r="CW1517" s="1" t="s">
        <v>1199</v>
      </c>
      <c r="CX1517" s="312" t="str">
        <f>IF(OR($CW1517="prd",$CW1517="std",$CW1517="cit"),"loc",IF(OR($CW1517="eur",$CW1517="reg",$CW1517="coy"),"reg",$CW1517))</f>
        <v>reg</v>
      </c>
      <c r="CY1517" t="s">
        <v>428</v>
      </c>
      <c r="DB1517">
        <v>0</v>
      </c>
      <c r="DC1517" t="str">
        <f>IF(DB1517=0,"0",IF(AND(DB1517&gt;=1,DB1517&lt;=30),"1-30",IF(AND(DB1517&gt;30,DB1517&lt;=70),"31-70",IF(AND(DB1517&gt;70,DB1517&lt;=100),"71-100",IF(DB1517&gt;100,"+100")))))</f>
        <v>0</v>
      </c>
      <c r="DD1517">
        <v>0</v>
      </c>
      <c r="DE1517">
        <v>1</v>
      </c>
      <c r="DF1517">
        <v>0</v>
      </c>
      <c r="DG1517">
        <v>0</v>
      </c>
      <c r="DI1517">
        <f>SUM(DD1517:DG1517)</f>
        <v>1</v>
      </c>
      <c r="DJ1517" t="str">
        <f>IF(DI1517=1,INDEX($DD$7:$DG$7,MATCH(1,$DD1517:$DG1517,0)),"mixedProduct")</f>
        <v>EnergyInput</v>
      </c>
      <c r="DK1517">
        <f>IF(DD1517=1,DK$7,0)</f>
        <v>0</v>
      </c>
      <c r="DL1517" t="str">
        <f>IF(DE1517=1,DL$7,0)</f>
        <v>Energy</v>
      </c>
      <c r="DM1517">
        <f>IF(DF1517=1,DM$7,0)</f>
        <v>0</v>
      </c>
      <c r="DN1517">
        <f>IF(DG1517=1,DN$7,0)</f>
        <v>0</v>
      </c>
      <c r="DO1517">
        <v>1</v>
      </c>
      <c r="DP1517">
        <v>0</v>
      </c>
      <c r="DQ1517">
        <v>0</v>
      </c>
      <c r="DR1517">
        <v>0</v>
      </c>
      <c r="DS1517">
        <v>0</v>
      </c>
      <c r="DT1517">
        <f>SUM(DO1517:DP1517)</f>
        <v>1</v>
      </c>
      <c r="DU1517" s="143" t="str">
        <f>IF(DO1517=1,"self-calculated DF",IF(DP1517=1,"external DF used","explicit C balance"))</f>
        <v>self-calculated DF</v>
      </c>
      <c r="DV1517">
        <v>0</v>
      </c>
      <c r="DW1517">
        <v>0</v>
      </c>
      <c r="DX1517">
        <v>0</v>
      </c>
      <c r="DY1517">
        <v>0</v>
      </c>
      <c r="DZ1517">
        <v>0</v>
      </c>
      <c r="EA1517" s="143">
        <v>0</v>
      </c>
      <c r="EB1517">
        <v>1</v>
      </c>
      <c r="EC1517">
        <v>1</v>
      </c>
      <c r="ED1517">
        <v>0</v>
      </c>
      <c r="EE1517">
        <v>1</v>
      </c>
      <c r="EF1517">
        <v>0</v>
      </c>
      <c r="EG1517">
        <v>0</v>
      </c>
      <c r="EH1517">
        <v>0</v>
      </c>
      <c r="EI1517" s="2">
        <v>0</v>
      </c>
      <c r="EK1517" t="str">
        <f>IF(AND(AND(AND(OR($DX1517=1,$DW1517=1),OR($EC1517=1,$EA1517=1)),SUM($DV1517:$DZ1517,$EF1517)&gt;=3),SUM($EA1517:$EE1517)&gt;=2),"Whole sector","")</f>
        <v/>
      </c>
      <c r="EL1517" t="str">
        <f>IF(AND(AND(OR($DX1517=1,$DW1517=1),AND($EC1517=0,$EA1517=0)),SUM($DV1517:$DZ1517,$EF1517)&gt;=3),"Ecosystem approach","")</f>
        <v/>
      </c>
      <c r="EM1517" s="2" t="str">
        <f>IF(AND(AND(AND($DX1517=0,$DW1517=0),OR($EC1517=1,$EA1517=1)),SUM($EB1517:$EE1517)&gt;=2),"Technology approach","")</f>
        <v>Technology approach</v>
      </c>
      <c r="EP1517" t="b">
        <f>IF(ISNUMBER(BU1517),IF(ABS(BU1517-[5]QC_indicators!$B$2)&gt;3*[5]QC_indicators!$C$2,"C ratio",IF(ISNUMBER(BY1517),IF(ABS(BY1517-[5]QC_indicators!$B$1)&gt;3*[5]QC_indicators!$C$1,"DF","no"))),IF(ISNUMBER(BY1517),IF(ABS(BY1517-[5]QC_indicators!$B$1)&gt;3*[5]QC_indicators!$C$1,"DF","no")))</f>
        <v>0</v>
      </c>
      <c r="ER1517" s="314" t="s">
        <v>349</v>
      </c>
    </row>
    <row r="1518" spans="1:148">
      <c r="A1518" s="1" t="s">
        <v>4127</v>
      </c>
      <c r="B1518" t="s">
        <v>4128</v>
      </c>
      <c r="C1518" t="s">
        <v>4129</v>
      </c>
      <c r="D1518" t="s">
        <v>4130</v>
      </c>
      <c r="E1518" t="s">
        <v>4131</v>
      </c>
      <c r="F1518" t="s">
        <v>4132</v>
      </c>
      <c r="G1518" t="s">
        <v>4133</v>
      </c>
      <c r="H1518" t="s">
        <v>254</v>
      </c>
      <c r="I1518">
        <v>2014</v>
      </c>
      <c r="J1518">
        <v>4</v>
      </c>
      <c r="K1518" t="s">
        <v>4134</v>
      </c>
      <c r="M1518" t="str">
        <f>LEFT($D1518,FIND(",",$D1518)-1)&amp;"_"&amp;I1518&amp;L1518</f>
        <v>Saah_2014</v>
      </c>
      <c r="N1518" s="312" t="s">
        <v>4383</v>
      </c>
      <c r="O1518" s="145" t="s">
        <v>341</v>
      </c>
      <c r="Q1518" s="312" t="s">
        <v>256</v>
      </c>
      <c r="R1518" s="313"/>
      <c r="S1518" s="1" t="s">
        <v>4142</v>
      </c>
      <c r="T1518" t="s">
        <v>1111</v>
      </c>
      <c r="U1518" t="e">
        <f>#REF!</f>
        <v>#REF!</v>
      </c>
      <c r="V1518">
        <v>2</v>
      </c>
      <c r="W1518">
        <v>1</v>
      </c>
      <c r="X1518">
        <v>0</v>
      </c>
      <c r="Y1518">
        <v>2</v>
      </c>
      <c r="Z1518">
        <v>0</v>
      </c>
      <c r="AA1518">
        <v>0</v>
      </c>
      <c r="AB1518">
        <v>0</v>
      </c>
      <c r="AC1518">
        <v>0</v>
      </c>
      <c r="AD1518">
        <v>0</v>
      </c>
      <c r="AE1518">
        <v>0</v>
      </c>
      <c r="AF1518">
        <v>2</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s="141">
        <f>COUNTIF(V1518:AW1518,"&lt;&gt;0")</f>
        <v>4</v>
      </c>
      <c r="AY1518" s="141">
        <f>COUNTIF(V1518:AL1518,"&lt;&gt;0")</f>
        <v>4</v>
      </c>
      <c r="AZ1518">
        <f>COUNTIF(V1518:AC1518,"&lt;&gt;0")</f>
        <v>3</v>
      </c>
      <c r="BA1518">
        <f>COUNTIF(AD1518:AI1518,"&lt;&gt;0")</f>
        <v>1</v>
      </c>
      <c r="BB1518">
        <f>COUNTIF(AJ1518:AL1518,"&lt;&gt;0")</f>
        <v>0</v>
      </c>
      <c r="BC1518">
        <f>COUNTIF(AS1518:AW1518,"&lt;&gt;0")</f>
        <v>0</v>
      </c>
      <c r="BD1518">
        <f>COUNTIF(AM1518:AR1518,"&lt;&gt;0")</f>
        <v>0</v>
      </c>
      <c r="BE1518" t="str" cm="1">
        <f t="array" ref="BE1518">IF(AY1518=1,INDEX($V$7:$AL$7,MATCH(TRUE,INDEX($V1518:$AW1518&lt;&gt;0,),0)),IF(AY1518=0,INDEX($AM$7:$AW$7,MATCH(1,$AM1518:$AW1518,0)),IF(BF1518="Multiple strategies","mixed drivers",IF(BF1518="Supply chain","multiple supply","multiple silviculture"))))</f>
        <v>mixed drivers</v>
      </c>
      <c r="BF1518" s="2" t="str" cm="1">
        <f t="array" ref="BF1518">IF(COUNTIF(AZ1518:BB1518,"&lt;&gt;0")=1,INDEX($V$4:$AW$4,MATCH(TRUE,INDEX($V1518:$AW1518&lt;&gt;0,),0)),IF(COUNTIF(AZ1518:BB1518,"&lt;&gt;0")=0,INDEX($AM$4:$AW$4,MATCH(1,$AM1518:$AW1518,0)),"Multiple strategies"))</f>
        <v>Multiple strategies</v>
      </c>
      <c r="BP1518" s="312" t="s">
        <v>232</v>
      </c>
      <c r="BQ1518" s="312"/>
      <c r="BR1518" s="312" t="s">
        <v>4136</v>
      </c>
      <c r="BS1518">
        <v>-56406</v>
      </c>
      <c r="BT1518">
        <v>-18049.920000000002</v>
      </c>
      <c r="BU1518" s="144">
        <v>0.32</v>
      </c>
      <c r="BV1518">
        <v>38356.080000000002</v>
      </c>
      <c r="BX1518">
        <f>BV1518</f>
        <v>38356.080000000002</v>
      </c>
      <c r="BY1518" t="str">
        <f>IFERROR(BX1518/BO1518,"")</f>
        <v/>
      </c>
      <c r="BZ1518">
        <v>0</v>
      </c>
      <c r="CA1518">
        <v>1</v>
      </c>
      <c r="CB1518">
        <v>0</v>
      </c>
      <c r="CC1518">
        <v>1</v>
      </c>
      <c r="CD1518">
        <v>0</v>
      </c>
      <c r="CE1518">
        <v>0</v>
      </c>
      <c r="CF1518">
        <v>0</v>
      </c>
      <c r="CG1518">
        <v>0</v>
      </c>
      <c r="CH1518">
        <v>0</v>
      </c>
      <c r="CI1518">
        <v>0</v>
      </c>
      <c r="CJ1518">
        <v>0</v>
      </c>
      <c r="CK1518">
        <v>0</v>
      </c>
      <c r="CL1518">
        <v>1</v>
      </c>
      <c r="CM1518">
        <v>0</v>
      </c>
      <c r="CN1518" t="str">
        <f>IF(BL1518&lt;BK1518,"refNeedCorrection","refOK")</f>
        <v>refOK</v>
      </c>
      <c r="CO1518"/>
      <c r="CP1518"/>
      <c r="CQ1518"/>
      <c r="CR1518">
        <f>IF($CN1518="refOK",$BS1518,$BT1518)*IF($BP1518="Emissions positive",-1,1)</f>
        <v>-56406</v>
      </c>
      <c r="CS1518">
        <f>IF($CN1518="refOK",$BT1518,$BS1518)*IF($BP1518="Emissions positive",-1,1)</f>
        <v>-18049.920000000002</v>
      </c>
      <c r="CT1518">
        <f>IF($CN1518="refNeedCorrection",-BX1518,BX1518)*IF($BP1518="Emissions positive",-1,1)</f>
        <v>38356.080000000002</v>
      </c>
      <c r="CU1518" t="str">
        <f>IFERROR(CT1518/CQ1518,"")</f>
        <v/>
      </c>
      <c r="CV1518" s="2">
        <f>IFERROR((CS1518-CR1518)/ABS(CR1518),"")</f>
        <v>0.68</v>
      </c>
      <c r="CW1518" s="1" t="s">
        <v>1199</v>
      </c>
      <c r="CX1518" s="312" t="str">
        <f>IF(OR($CW1518="prd",$CW1518="std",$CW1518="cit"),"loc",IF(OR($CW1518="eur",$CW1518="reg",$CW1518="coy"),"reg",$CW1518))</f>
        <v>reg</v>
      </c>
      <c r="CY1518" t="s">
        <v>428</v>
      </c>
      <c r="DB1518">
        <v>0</v>
      </c>
      <c r="DC1518" t="str">
        <f>IF(DB1518=0,"0",IF(AND(DB1518&gt;=1,DB1518&lt;=30),"1-30",IF(AND(DB1518&gt;30,DB1518&lt;=70),"31-70",IF(AND(DB1518&gt;70,DB1518&lt;=100),"71-100",IF(DB1518&gt;100,"+100")))))</f>
        <v>0</v>
      </c>
      <c r="DD1518">
        <v>0</v>
      </c>
      <c r="DE1518">
        <v>1</v>
      </c>
      <c r="DF1518">
        <v>0</v>
      </c>
      <c r="DG1518">
        <v>0</v>
      </c>
      <c r="DI1518">
        <f>SUM(DD1518:DG1518)</f>
        <v>1</v>
      </c>
      <c r="DJ1518" t="str">
        <f>IF(DI1518=1,INDEX($DD$7:$DG$7,MATCH(1,$DD1518:$DG1518,0)),"mixedProduct")</f>
        <v>EnergyInput</v>
      </c>
      <c r="DK1518">
        <f>IF(DD1518=1,DK$7,0)</f>
        <v>0</v>
      </c>
      <c r="DL1518" t="str">
        <f>IF(DE1518=1,DL$7,0)</f>
        <v>Energy</v>
      </c>
      <c r="DM1518">
        <f>IF(DF1518=1,DM$7,0)</f>
        <v>0</v>
      </c>
      <c r="DN1518">
        <f>IF(DG1518=1,DN$7,0)</f>
        <v>0</v>
      </c>
      <c r="DO1518">
        <v>1</v>
      </c>
      <c r="DP1518">
        <v>0</v>
      </c>
      <c r="DQ1518">
        <v>0</v>
      </c>
      <c r="DR1518">
        <v>0</v>
      </c>
      <c r="DS1518">
        <v>0</v>
      </c>
      <c r="DT1518">
        <f>SUM(DO1518:DP1518)</f>
        <v>1</v>
      </c>
      <c r="DU1518" s="143" t="str">
        <f>IF(DO1518=1,"self-calculated DF",IF(DP1518=1,"external DF used","explicit C balance"))</f>
        <v>self-calculated DF</v>
      </c>
      <c r="DV1518">
        <v>0</v>
      </c>
      <c r="DW1518">
        <v>0</v>
      </c>
      <c r="DX1518">
        <v>0</v>
      </c>
      <c r="DY1518">
        <v>0</v>
      </c>
      <c r="DZ1518">
        <v>0</v>
      </c>
      <c r="EA1518" s="143">
        <v>0</v>
      </c>
      <c r="EB1518">
        <v>1</v>
      </c>
      <c r="EC1518">
        <v>1</v>
      </c>
      <c r="ED1518">
        <v>0</v>
      </c>
      <c r="EE1518">
        <v>1</v>
      </c>
      <c r="EF1518">
        <v>0</v>
      </c>
      <c r="EG1518">
        <v>0</v>
      </c>
      <c r="EH1518">
        <v>0</v>
      </c>
      <c r="EI1518" s="2">
        <v>0</v>
      </c>
      <c r="EK1518" t="str">
        <f>IF(AND(AND(AND(OR($DX1518=1,$DW1518=1),OR($EC1518=1,$EA1518=1)),SUM($DV1518:$DZ1518,$EF1518)&gt;=3),SUM($EA1518:$EE1518)&gt;=2),"Whole sector","")</f>
        <v/>
      </c>
      <c r="EL1518" t="str">
        <f>IF(AND(AND(OR($DX1518=1,$DW1518=1),AND($EC1518=0,$EA1518=0)),SUM($DV1518:$DZ1518,$EF1518)&gt;=3),"Ecosystem approach","")</f>
        <v/>
      </c>
      <c r="EM1518" s="2" t="str">
        <f>IF(AND(AND(AND($DX1518=0,$DW1518=0),OR($EC1518=1,$EA1518=1)),SUM($EB1518:$EE1518)&gt;=2),"Technology approach","")</f>
        <v>Technology approach</v>
      </c>
      <c r="EP1518" t="b">
        <f>IF(ISNUMBER(BU1518),IF(ABS(BU1518-[5]QC_indicators!$B$2)&gt;3*[5]QC_indicators!$C$2,"C ratio",IF(ISNUMBER(BY1518),IF(ABS(BY1518-[5]QC_indicators!$B$1)&gt;3*[5]QC_indicators!$C$1,"DF","no"))),IF(ISNUMBER(BY1518),IF(ABS(BY1518-[5]QC_indicators!$B$1)&gt;3*[5]QC_indicators!$C$1,"DF","no")))</f>
        <v>0</v>
      </c>
      <c r="ER1518" s="314" t="s">
        <v>349</v>
      </c>
    </row>
    <row r="1519" spans="1:148">
      <c r="A1519" s="1" t="s">
        <v>4127</v>
      </c>
      <c r="B1519" t="s">
        <v>4128</v>
      </c>
      <c r="C1519" t="s">
        <v>4129</v>
      </c>
      <c r="D1519" t="s">
        <v>4130</v>
      </c>
      <c r="E1519" t="s">
        <v>4131</v>
      </c>
      <c r="F1519" t="s">
        <v>4132</v>
      </c>
      <c r="G1519" t="s">
        <v>4133</v>
      </c>
      <c r="H1519" t="s">
        <v>254</v>
      </c>
      <c r="I1519">
        <v>2014</v>
      </c>
      <c r="J1519">
        <v>4</v>
      </c>
      <c r="K1519" t="s">
        <v>4134</v>
      </c>
      <c r="M1519" t="str">
        <f>LEFT($D1519,FIND(",",$D1519)-1)&amp;"_"&amp;I1519&amp;L1519</f>
        <v>Saah_2014</v>
      </c>
      <c r="N1519" s="312" t="s">
        <v>4383</v>
      </c>
      <c r="O1519" s="145" t="s">
        <v>341</v>
      </c>
      <c r="Q1519" s="312" t="s">
        <v>256</v>
      </c>
      <c r="R1519" s="313"/>
      <c r="S1519" s="1" t="s">
        <v>4143</v>
      </c>
      <c r="T1519" t="s">
        <v>1111</v>
      </c>
      <c r="U1519" t="e">
        <f>#REF!</f>
        <v>#REF!</v>
      </c>
      <c r="V1519">
        <v>2</v>
      </c>
      <c r="W1519">
        <v>1</v>
      </c>
      <c r="X1519">
        <v>0</v>
      </c>
      <c r="Y1519">
        <v>2</v>
      </c>
      <c r="Z1519">
        <v>0</v>
      </c>
      <c r="AA1519">
        <v>0</v>
      </c>
      <c r="AB1519">
        <v>0</v>
      </c>
      <c r="AC1519">
        <v>0</v>
      </c>
      <c r="AD1519">
        <v>0</v>
      </c>
      <c r="AE1519">
        <v>0</v>
      </c>
      <c r="AF1519">
        <v>2</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s="141">
        <f>COUNTIF(V1519:AW1519,"&lt;&gt;0")</f>
        <v>4</v>
      </c>
      <c r="AY1519" s="141">
        <f>COUNTIF(V1519:AL1519,"&lt;&gt;0")</f>
        <v>4</v>
      </c>
      <c r="AZ1519">
        <f>COUNTIF(V1519:AC1519,"&lt;&gt;0")</f>
        <v>3</v>
      </c>
      <c r="BA1519">
        <f>COUNTIF(AD1519:AI1519,"&lt;&gt;0")</f>
        <v>1</v>
      </c>
      <c r="BB1519">
        <f>COUNTIF(AJ1519:AL1519,"&lt;&gt;0")</f>
        <v>0</v>
      </c>
      <c r="BC1519">
        <f>COUNTIF(AS1519:AW1519,"&lt;&gt;0")</f>
        <v>0</v>
      </c>
      <c r="BD1519">
        <f>COUNTIF(AM1519:AR1519,"&lt;&gt;0")</f>
        <v>0</v>
      </c>
      <c r="BE1519" t="str" cm="1">
        <f t="array" ref="BE1519">IF(AY1519=1,INDEX($V$7:$AL$7,MATCH(TRUE,INDEX($V1519:$AW1519&lt;&gt;0,),0)),IF(AY1519=0,INDEX($AM$7:$AW$7,MATCH(1,$AM1519:$AW1519,0)),IF(BF1519="Multiple strategies","mixed drivers",IF(BF1519="Supply chain","multiple supply","multiple silviculture"))))</f>
        <v>mixed drivers</v>
      </c>
      <c r="BF1519" s="2" t="str" cm="1">
        <f t="array" ref="BF1519">IF(COUNTIF(AZ1519:BB1519,"&lt;&gt;0")=1,INDEX($V$4:$AW$4,MATCH(TRUE,INDEX($V1519:$AW1519&lt;&gt;0,),0)),IF(COUNTIF(AZ1519:BB1519,"&lt;&gt;0")=0,INDEX($AM$4:$AW$4,MATCH(1,$AM1519:$AW1519,0)),"Multiple strategies"))</f>
        <v>Multiple strategies</v>
      </c>
      <c r="BP1519" s="312" t="s">
        <v>232</v>
      </c>
      <c r="BQ1519" s="312"/>
      <c r="BR1519" s="312" t="s">
        <v>4136</v>
      </c>
      <c r="BS1519">
        <v>-56406</v>
      </c>
      <c r="BT1519">
        <v>-18613.98</v>
      </c>
      <c r="BU1519" s="144">
        <v>0.33</v>
      </c>
      <c r="BV1519">
        <v>37792.020000000004</v>
      </c>
      <c r="BX1519">
        <f>BV1519</f>
        <v>37792.020000000004</v>
      </c>
      <c r="BY1519" t="str">
        <f>IFERROR(BX1519/BO1519,"")</f>
        <v/>
      </c>
      <c r="BZ1519">
        <v>0</v>
      </c>
      <c r="CA1519">
        <v>1</v>
      </c>
      <c r="CB1519">
        <v>0</v>
      </c>
      <c r="CC1519">
        <v>1</v>
      </c>
      <c r="CD1519">
        <v>0</v>
      </c>
      <c r="CE1519">
        <v>0</v>
      </c>
      <c r="CF1519">
        <v>0</v>
      </c>
      <c r="CG1519">
        <v>0</v>
      </c>
      <c r="CH1519">
        <v>0</v>
      </c>
      <c r="CI1519">
        <v>0</v>
      </c>
      <c r="CJ1519">
        <v>0</v>
      </c>
      <c r="CK1519">
        <v>0</v>
      </c>
      <c r="CL1519">
        <v>1</v>
      </c>
      <c r="CM1519">
        <v>0</v>
      </c>
      <c r="CN1519" t="str">
        <f>IF(BL1519&lt;BK1519,"refNeedCorrection","refOK")</f>
        <v>refOK</v>
      </c>
      <c r="CO1519"/>
      <c r="CP1519"/>
      <c r="CQ1519"/>
      <c r="CR1519">
        <f>IF($CN1519="refOK",$BS1519,$BT1519)*IF($BP1519="Emissions positive",-1,1)</f>
        <v>-56406</v>
      </c>
      <c r="CS1519">
        <f>IF($CN1519="refOK",$BT1519,$BS1519)*IF($BP1519="Emissions positive",-1,1)</f>
        <v>-18613.98</v>
      </c>
      <c r="CT1519">
        <f>IF($CN1519="refNeedCorrection",-BX1519,BX1519)*IF($BP1519="Emissions positive",-1,1)</f>
        <v>37792.020000000004</v>
      </c>
      <c r="CU1519" t="str">
        <f>IFERROR(CT1519/CQ1519,"")</f>
        <v/>
      </c>
      <c r="CV1519" s="2">
        <f>IFERROR((CS1519-CR1519)/ABS(CR1519),"")</f>
        <v>0.67</v>
      </c>
      <c r="CW1519" s="1" t="s">
        <v>1199</v>
      </c>
      <c r="CX1519" s="312" t="str">
        <f>IF(OR($CW1519="prd",$CW1519="std",$CW1519="cit"),"loc",IF(OR($CW1519="eur",$CW1519="reg",$CW1519="coy"),"reg",$CW1519))</f>
        <v>reg</v>
      </c>
      <c r="CY1519" t="s">
        <v>428</v>
      </c>
      <c r="DB1519">
        <v>0</v>
      </c>
      <c r="DC1519" t="str">
        <f>IF(DB1519=0,"0",IF(AND(DB1519&gt;=1,DB1519&lt;=30),"1-30",IF(AND(DB1519&gt;30,DB1519&lt;=70),"31-70",IF(AND(DB1519&gt;70,DB1519&lt;=100),"71-100",IF(DB1519&gt;100,"+100")))))</f>
        <v>0</v>
      </c>
      <c r="DD1519">
        <v>0</v>
      </c>
      <c r="DE1519">
        <v>1</v>
      </c>
      <c r="DF1519">
        <v>0</v>
      </c>
      <c r="DG1519">
        <v>0</v>
      </c>
      <c r="DI1519">
        <f>SUM(DD1519:DG1519)</f>
        <v>1</v>
      </c>
      <c r="DJ1519" t="str">
        <f>IF(DI1519=1,INDEX($DD$7:$DG$7,MATCH(1,$DD1519:$DG1519,0)),"mixedProduct")</f>
        <v>EnergyInput</v>
      </c>
      <c r="DK1519">
        <f>IF(DD1519=1,DK$7,0)</f>
        <v>0</v>
      </c>
      <c r="DL1519" t="str">
        <f>IF(DE1519=1,DL$7,0)</f>
        <v>Energy</v>
      </c>
      <c r="DM1519">
        <f>IF(DF1519=1,DM$7,0)</f>
        <v>0</v>
      </c>
      <c r="DN1519">
        <f>IF(DG1519=1,DN$7,0)</f>
        <v>0</v>
      </c>
      <c r="DO1519">
        <v>1</v>
      </c>
      <c r="DP1519">
        <v>0</v>
      </c>
      <c r="DQ1519">
        <v>0</v>
      </c>
      <c r="DR1519">
        <v>0</v>
      </c>
      <c r="DS1519">
        <v>0</v>
      </c>
      <c r="DT1519">
        <f>SUM(DO1519:DP1519)</f>
        <v>1</v>
      </c>
      <c r="DU1519" s="143" t="str">
        <f>IF(DO1519=1,"self-calculated DF",IF(DP1519=1,"external DF used","explicit C balance"))</f>
        <v>self-calculated DF</v>
      </c>
      <c r="DV1519">
        <v>0</v>
      </c>
      <c r="DW1519">
        <v>0</v>
      </c>
      <c r="DX1519">
        <v>0</v>
      </c>
      <c r="DY1519">
        <v>0</v>
      </c>
      <c r="DZ1519">
        <v>0</v>
      </c>
      <c r="EA1519" s="143">
        <v>0</v>
      </c>
      <c r="EB1519">
        <v>1</v>
      </c>
      <c r="EC1519">
        <v>1</v>
      </c>
      <c r="ED1519">
        <v>0</v>
      </c>
      <c r="EE1519">
        <v>1</v>
      </c>
      <c r="EF1519">
        <v>0</v>
      </c>
      <c r="EG1519">
        <v>0</v>
      </c>
      <c r="EH1519">
        <v>0</v>
      </c>
      <c r="EI1519" s="2">
        <v>0</v>
      </c>
      <c r="EK1519" t="str">
        <f>IF(AND(AND(AND(OR($DX1519=1,$DW1519=1),OR($EC1519=1,$EA1519=1)),SUM($DV1519:$DZ1519,$EF1519)&gt;=3),SUM($EA1519:$EE1519)&gt;=2),"Whole sector","")</f>
        <v/>
      </c>
      <c r="EL1519" t="str">
        <f>IF(AND(AND(OR($DX1519=1,$DW1519=1),AND($EC1519=0,$EA1519=0)),SUM($DV1519:$DZ1519,$EF1519)&gt;=3),"Ecosystem approach","")</f>
        <v/>
      </c>
      <c r="EM1519" s="2" t="str">
        <f>IF(AND(AND(AND($DX1519=0,$DW1519=0),OR($EC1519=1,$EA1519=1)),SUM($EB1519:$EE1519)&gt;=2),"Technology approach","")</f>
        <v>Technology approach</v>
      </c>
      <c r="EP1519" t="b">
        <f>IF(ISNUMBER(BU1519),IF(ABS(BU1519-[5]QC_indicators!$B$2)&gt;3*[5]QC_indicators!$C$2,"C ratio",IF(ISNUMBER(BY1519),IF(ABS(BY1519-[5]QC_indicators!$B$1)&gt;3*[5]QC_indicators!$C$1,"DF","no"))),IF(ISNUMBER(BY1519),IF(ABS(BY1519-[5]QC_indicators!$B$1)&gt;3*[5]QC_indicators!$C$1,"DF","no")))</f>
        <v>0</v>
      </c>
      <c r="ER1519" s="314" t="s">
        <v>349</v>
      </c>
    </row>
    <row r="1520" spans="1:148">
      <c r="A1520" s="1" t="s">
        <v>4127</v>
      </c>
      <c r="B1520" t="s">
        <v>4128</v>
      </c>
      <c r="C1520" t="s">
        <v>4129</v>
      </c>
      <c r="D1520" t="s">
        <v>4130</v>
      </c>
      <c r="E1520" t="s">
        <v>4131</v>
      </c>
      <c r="F1520" t="s">
        <v>4132</v>
      </c>
      <c r="G1520" t="s">
        <v>4133</v>
      </c>
      <c r="H1520" t="s">
        <v>254</v>
      </c>
      <c r="I1520">
        <v>2014</v>
      </c>
      <c r="J1520">
        <v>4</v>
      </c>
      <c r="K1520" t="s">
        <v>4134</v>
      </c>
      <c r="M1520" t="str">
        <f>LEFT($D1520,FIND(",",$D1520)-1)&amp;"_"&amp;I1520&amp;L1520</f>
        <v>Saah_2014</v>
      </c>
      <c r="N1520" s="312" t="s">
        <v>4383</v>
      </c>
      <c r="O1520" s="145" t="s">
        <v>341</v>
      </c>
      <c r="Q1520" s="312" t="s">
        <v>256</v>
      </c>
      <c r="R1520" s="313"/>
      <c r="S1520" s="1" t="s">
        <v>4144</v>
      </c>
      <c r="T1520" t="s">
        <v>1111</v>
      </c>
      <c r="U1520" t="e">
        <f>#REF!</f>
        <v>#REF!</v>
      </c>
      <c r="V1520">
        <v>2</v>
      </c>
      <c r="W1520">
        <v>1</v>
      </c>
      <c r="X1520">
        <v>0</v>
      </c>
      <c r="Y1520">
        <v>2</v>
      </c>
      <c r="Z1520">
        <v>0</v>
      </c>
      <c r="AA1520">
        <v>0</v>
      </c>
      <c r="AB1520">
        <v>0</v>
      </c>
      <c r="AC1520">
        <v>0</v>
      </c>
      <c r="AD1520">
        <v>0</v>
      </c>
      <c r="AE1520">
        <v>0</v>
      </c>
      <c r="AF1520">
        <v>2</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s="141">
        <f>COUNTIF(V1520:AW1520,"&lt;&gt;0")</f>
        <v>4</v>
      </c>
      <c r="AY1520" s="141">
        <f>COUNTIF(V1520:AL1520,"&lt;&gt;0")</f>
        <v>4</v>
      </c>
      <c r="AZ1520">
        <f>COUNTIF(V1520:AC1520,"&lt;&gt;0")</f>
        <v>3</v>
      </c>
      <c r="BA1520">
        <f>COUNTIF(AD1520:AI1520,"&lt;&gt;0")</f>
        <v>1</v>
      </c>
      <c r="BB1520">
        <f>COUNTIF(AJ1520:AL1520,"&lt;&gt;0")</f>
        <v>0</v>
      </c>
      <c r="BC1520">
        <f>COUNTIF(AS1520:AW1520,"&lt;&gt;0")</f>
        <v>0</v>
      </c>
      <c r="BD1520">
        <f>COUNTIF(AM1520:AR1520,"&lt;&gt;0")</f>
        <v>0</v>
      </c>
      <c r="BE1520" t="str" cm="1">
        <f t="array" ref="BE1520">IF(AY1520=1,INDEX($V$7:$AL$7,MATCH(TRUE,INDEX($V1520:$AW1520&lt;&gt;0,),0)),IF(AY1520=0,INDEX($AM$7:$AW$7,MATCH(1,$AM1520:$AW1520,0)),IF(BF1520="Multiple strategies","mixed drivers",IF(BF1520="Supply chain","multiple supply","multiple silviculture"))))</f>
        <v>mixed drivers</v>
      </c>
      <c r="BF1520" s="2" t="str" cm="1">
        <f t="array" ref="BF1520">IF(COUNTIF(AZ1520:BB1520,"&lt;&gt;0")=1,INDEX($V$4:$AW$4,MATCH(TRUE,INDEX($V1520:$AW1520&lt;&gt;0,),0)),IF(COUNTIF(AZ1520:BB1520,"&lt;&gt;0")=0,INDEX($AM$4:$AW$4,MATCH(1,$AM1520:$AW1520,0)),"Multiple strategies"))</f>
        <v>Multiple strategies</v>
      </c>
      <c r="BP1520" s="312" t="s">
        <v>232</v>
      </c>
      <c r="BQ1520" s="312"/>
      <c r="BR1520" s="312" t="s">
        <v>4136</v>
      </c>
      <c r="BS1520">
        <v>-56406</v>
      </c>
      <c r="BT1520">
        <v>-19178.04</v>
      </c>
      <c r="BU1520" s="144">
        <v>0.34</v>
      </c>
      <c r="BV1520">
        <v>37227.96</v>
      </c>
      <c r="BX1520">
        <f>BV1520</f>
        <v>37227.96</v>
      </c>
      <c r="BY1520" t="str">
        <f>IFERROR(BX1520/BO1520,"")</f>
        <v/>
      </c>
      <c r="BZ1520">
        <v>0</v>
      </c>
      <c r="CA1520">
        <v>1</v>
      </c>
      <c r="CB1520">
        <v>0</v>
      </c>
      <c r="CC1520">
        <v>1</v>
      </c>
      <c r="CD1520">
        <v>0</v>
      </c>
      <c r="CE1520">
        <v>0</v>
      </c>
      <c r="CF1520">
        <v>0</v>
      </c>
      <c r="CG1520">
        <v>0</v>
      </c>
      <c r="CH1520">
        <v>0</v>
      </c>
      <c r="CI1520">
        <v>0</v>
      </c>
      <c r="CJ1520">
        <v>0</v>
      </c>
      <c r="CK1520">
        <v>0</v>
      </c>
      <c r="CL1520">
        <v>1</v>
      </c>
      <c r="CM1520">
        <v>0</v>
      </c>
      <c r="CN1520" t="str">
        <f>IF(BL1520&lt;BK1520,"refNeedCorrection","refOK")</f>
        <v>refOK</v>
      </c>
      <c r="CO1520"/>
      <c r="CP1520"/>
      <c r="CQ1520"/>
      <c r="CR1520">
        <f>IF($CN1520="refOK",$BS1520,$BT1520)*IF($BP1520="Emissions positive",-1,1)</f>
        <v>-56406</v>
      </c>
      <c r="CS1520">
        <f>IF($CN1520="refOK",$BT1520,$BS1520)*IF($BP1520="Emissions positive",-1,1)</f>
        <v>-19178.04</v>
      </c>
      <c r="CT1520">
        <f>IF($CN1520="refNeedCorrection",-BX1520,BX1520)*IF($BP1520="Emissions positive",-1,1)</f>
        <v>37227.96</v>
      </c>
      <c r="CU1520" t="str">
        <f>IFERROR(CT1520/CQ1520,"")</f>
        <v/>
      </c>
      <c r="CV1520" s="2">
        <f>IFERROR((CS1520-CR1520)/ABS(CR1520),"")</f>
        <v>0.66</v>
      </c>
      <c r="CW1520" s="1" t="s">
        <v>1199</v>
      </c>
      <c r="CX1520" s="312" t="str">
        <f>IF(OR($CW1520="prd",$CW1520="std",$CW1520="cit"),"loc",IF(OR($CW1520="eur",$CW1520="reg",$CW1520="coy"),"reg",$CW1520))</f>
        <v>reg</v>
      </c>
      <c r="CY1520" t="s">
        <v>428</v>
      </c>
      <c r="DB1520">
        <v>0</v>
      </c>
      <c r="DC1520" t="str">
        <f>IF(DB1520=0,"0",IF(AND(DB1520&gt;=1,DB1520&lt;=30),"1-30",IF(AND(DB1520&gt;30,DB1520&lt;=70),"31-70",IF(AND(DB1520&gt;70,DB1520&lt;=100),"71-100",IF(DB1520&gt;100,"+100")))))</f>
        <v>0</v>
      </c>
      <c r="DD1520">
        <v>0</v>
      </c>
      <c r="DE1520">
        <v>1</v>
      </c>
      <c r="DF1520">
        <v>0</v>
      </c>
      <c r="DG1520">
        <v>0</v>
      </c>
      <c r="DI1520">
        <f>SUM(DD1520:DG1520)</f>
        <v>1</v>
      </c>
      <c r="DJ1520" t="str">
        <f>IF(DI1520=1,INDEX($DD$7:$DG$7,MATCH(1,$DD1520:$DG1520,0)),"mixedProduct")</f>
        <v>EnergyInput</v>
      </c>
      <c r="DK1520">
        <f>IF(DD1520=1,DK$7,0)</f>
        <v>0</v>
      </c>
      <c r="DL1520" t="str">
        <f>IF(DE1520=1,DL$7,0)</f>
        <v>Energy</v>
      </c>
      <c r="DM1520">
        <f>IF(DF1520=1,DM$7,0)</f>
        <v>0</v>
      </c>
      <c r="DN1520">
        <f>IF(DG1520=1,DN$7,0)</f>
        <v>0</v>
      </c>
      <c r="DO1520">
        <v>1</v>
      </c>
      <c r="DP1520">
        <v>0</v>
      </c>
      <c r="DQ1520">
        <v>0</v>
      </c>
      <c r="DR1520">
        <v>0</v>
      </c>
      <c r="DS1520">
        <v>0</v>
      </c>
      <c r="DT1520">
        <f>SUM(DO1520:DP1520)</f>
        <v>1</v>
      </c>
      <c r="DU1520" s="143" t="str">
        <f>IF(DO1520=1,"self-calculated DF",IF(DP1520=1,"external DF used","explicit C balance"))</f>
        <v>self-calculated DF</v>
      </c>
      <c r="DV1520">
        <v>0</v>
      </c>
      <c r="DW1520">
        <v>0</v>
      </c>
      <c r="DX1520">
        <v>0</v>
      </c>
      <c r="DY1520">
        <v>0</v>
      </c>
      <c r="DZ1520">
        <v>0</v>
      </c>
      <c r="EA1520" s="143">
        <v>0</v>
      </c>
      <c r="EB1520">
        <v>1</v>
      </c>
      <c r="EC1520">
        <v>1</v>
      </c>
      <c r="ED1520">
        <v>0</v>
      </c>
      <c r="EE1520">
        <v>1</v>
      </c>
      <c r="EF1520">
        <v>0</v>
      </c>
      <c r="EG1520">
        <v>0</v>
      </c>
      <c r="EH1520">
        <v>0</v>
      </c>
      <c r="EI1520" s="2">
        <v>0</v>
      </c>
      <c r="EK1520" t="str">
        <f>IF(AND(AND(AND(OR($DX1520=1,$DW1520=1),OR($EC1520=1,$EA1520=1)),SUM($DV1520:$DZ1520,$EF1520)&gt;=3),SUM($EA1520:$EE1520)&gt;=2),"Whole sector","")</f>
        <v/>
      </c>
      <c r="EL1520" t="str">
        <f>IF(AND(AND(OR($DX1520=1,$DW1520=1),AND($EC1520=0,$EA1520=0)),SUM($DV1520:$DZ1520,$EF1520)&gt;=3),"Ecosystem approach","")</f>
        <v/>
      </c>
      <c r="EM1520" s="2" t="str">
        <f>IF(AND(AND(AND($DX1520=0,$DW1520=0),OR($EC1520=1,$EA1520=1)),SUM($EB1520:$EE1520)&gt;=2),"Technology approach","")</f>
        <v>Technology approach</v>
      </c>
      <c r="EP1520" t="b">
        <f>IF(ISNUMBER(BU1520),IF(ABS(BU1520-[5]QC_indicators!$B$2)&gt;3*[5]QC_indicators!$C$2,"C ratio",IF(ISNUMBER(BY1520),IF(ABS(BY1520-[5]QC_indicators!$B$1)&gt;3*[5]QC_indicators!$C$1,"DF","no"))),IF(ISNUMBER(BY1520),IF(ABS(BY1520-[5]QC_indicators!$B$1)&gt;3*[5]QC_indicators!$C$1,"DF","no")))</f>
        <v>0</v>
      </c>
      <c r="ER1520" s="314" t="s">
        <v>349</v>
      </c>
    </row>
    <row r="1521" spans="1:148">
      <c r="A1521" s="1" t="s">
        <v>4145</v>
      </c>
      <c r="B1521" t="s">
        <v>4146</v>
      </c>
      <c r="C1521" t="s">
        <v>4147</v>
      </c>
      <c r="D1521" t="s">
        <v>4148</v>
      </c>
      <c r="E1521" t="s">
        <v>4149</v>
      </c>
      <c r="F1521" t="s">
        <v>4150</v>
      </c>
      <c r="G1521" t="s">
        <v>4151</v>
      </c>
      <c r="H1521" t="s">
        <v>254</v>
      </c>
      <c r="I1521">
        <v>2009</v>
      </c>
      <c r="J1521">
        <v>68</v>
      </c>
      <c r="K1521" t="s">
        <v>4152</v>
      </c>
      <c r="M1521" t="str">
        <f>LEFT($D1521,FIND(",",$D1521)-1)&amp;"_"&amp;I1521&amp;L1521</f>
        <v>Sathre_2009</v>
      </c>
      <c r="N1521" s="312" t="s">
        <v>4383</v>
      </c>
      <c r="O1521" s="145" t="s">
        <v>341</v>
      </c>
      <c r="Q1521" s="312" t="s">
        <v>256</v>
      </c>
      <c r="R1521" s="313"/>
      <c r="S1521" s="1" t="s">
        <v>4153</v>
      </c>
      <c r="T1521" t="s">
        <v>665</v>
      </c>
      <c r="U1521" t="e">
        <f>#REF!</f>
        <v>#REF!</v>
      </c>
      <c r="V1521">
        <v>0</v>
      </c>
      <c r="W1521">
        <v>0</v>
      </c>
      <c r="X1521">
        <v>0</v>
      </c>
      <c r="Y1521">
        <v>0</v>
      </c>
      <c r="Z1521">
        <v>0</v>
      </c>
      <c r="AA1521">
        <v>0</v>
      </c>
      <c r="AB1521">
        <v>0</v>
      </c>
      <c r="AC1521">
        <v>0</v>
      </c>
      <c r="AD1521">
        <v>0</v>
      </c>
      <c r="AE1521">
        <v>0</v>
      </c>
      <c r="AF1521">
        <v>1</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s="141">
        <f>COUNTIF(V1521:AW1521,"&lt;&gt;0")</f>
        <v>1</v>
      </c>
      <c r="AY1521" s="141">
        <f>COUNTIF(V1521:AL1521,"&lt;&gt;0")</f>
        <v>1</v>
      </c>
      <c r="AZ1521">
        <f>COUNTIF(V1521:AC1521,"&lt;&gt;0")</f>
        <v>0</v>
      </c>
      <c r="BA1521">
        <f>COUNTIF(AD1521:AI1521,"&lt;&gt;0")</f>
        <v>1</v>
      </c>
      <c r="BB1521">
        <f>COUNTIF(AJ1521:AL1521,"&lt;&gt;0")</f>
        <v>0</v>
      </c>
      <c r="BC1521">
        <f>COUNTIF(AS1521:AW1521,"&lt;&gt;0")</f>
        <v>0</v>
      </c>
      <c r="BD1521">
        <f>COUNTIF(AM1521:AR1521,"&lt;&gt;0")</f>
        <v>0</v>
      </c>
      <c r="BE1521" t="str" cm="1">
        <f t="array" ref="BE1521">IF(AY1521=1,INDEX($V$7:$AL$7,MATCH(TRUE,INDEX($V1521:$AW1521&lt;&gt;0,),0)),IF(AY1521=0,INDEX($AM$7:$AW$7,MATCH(1,$AM1521:$AW1521,0)),IF(BF1521="Multiple strategies","mixed drivers",IF(BF1521="Supply chain","multiple supply","multiple silviculture"))))</f>
        <v>supply chain organization</v>
      </c>
      <c r="BF1521" s="2" t="str" cm="1">
        <f t="array" ref="BF1521">IF(COUNTIF(AZ1521:BB1521,"&lt;&gt;0")=1,INDEX($V$4:$AW$4,MATCH(TRUE,INDEX($V1521:$AW1521&lt;&gt;0,),0)),IF(COUNTIF(AZ1521:BB1521,"&lt;&gt;0")=0,INDEX($AM$4:$AW$4,MATCH(1,$AM1521:$AW1521,0)),"Multiple strategies"))</f>
        <v>Supply chain</v>
      </c>
      <c r="BP1521" s="312" t="s">
        <v>232</v>
      </c>
      <c r="BQ1521" s="312"/>
      <c r="BR1521" t="s">
        <v>938</v>
      </c>
      <c r="BS1521">
        <v>-76</v>
      </c>
      <c r="BT1521">
        <v>-42</v>
      </c>
      <c r="BU1521" s="144">
        <v>0.55263157894736847</v>
      </c>
      <c r="BV1521">
        <v>34</v>
      </c>
      <c r="BX1521">
        <f>BV1521*C_to_CO2</f>
        <v>124.78</v>
      </c>
      <c r="BY1521" t="str">
        <f>IFERROR(BX1521/BO1521,"")</f>
        <v/>
      </c>
      <c r="BZ1521">
        <v>0</v>
      </c>
      <c r="CA1521">
        <v>0</v>
      </c>
      <c r="CB1521">
        <v>0</v>
      </c>
      <c r="CC1521">
        <v>0</v>
      </c>
      <c r="CD1521">
        <v>0</v>
      </c>
      <c r="CE1521">
        <v>0</v>
      </c>
      <c r="CF1521">
        <v>0</v>
      </c>
      <c r="CG1521">
        <v>0</v>
      </c>
      <c r="CH1521">
        <v>0</v>
      </c>
      <c r="CI1521">
        <v>0</v>
      </c>
      <c r="CJ1521">
        <v>0</v>
      </c>
      <c r="CK1521">
        <v>0</v>
      </c>
      <c r="CL1521">
        <v>0</v>
      </c>
      <c r="CM1521">
        <v>0</v>
      </c>
      <c r="CN1521" t="str">
        <f>IF(BL1521&lt;BK1521,"refNeedCorrection","refOK")</f>
        <v>refOK</v>
      </c>
      <c r="CO1521"/>
      <c r="CP1521"/>
      <c r="CQ1521"/>
      <c r="CR1521">
        <f>IF($CN1521="refOK",$BS1521,$BT1521)*IF($BP1521="Emissions positive",-1,1)</f>
        <v>-76</v>
      </c>
      <c r="CS1521">
        <f>IF($CN1521="refOK",$BT1521,$BS1521)*IF($BP1521="Emissions positive",-1,1)</f>
        <v>-42</v>
      </c>
      <c r="CT1521">
        <f>IF($CN1521="refNeedCorrection",-BX1521,BX1521)*IF($BP1521="Emissions positive",-1,1)</f>
        <v>124.78</v>
      </c>
      <c r="CU1521" t="str">
        <f>IFERROR(CT1521/CQ1521,"")</f>
        <v/>
      </c>
      <c r="CV1521" s="2">
        <f>IFERROR((CS1521-CR1521)/ABS(CR1521),"")</f>
        <v>0.44736842105263158</v>
      </c>
      <c r="CW1521" s="1" t="s">
        <v>263</v>
      </c>
      <c r="CX1521" s="312" t="str">
        <f>IF(OR($CW1521="prd",$CW1521="std",$CW1521="cit"),"loc",IF(OR($CW1521="eur",$CW1521="reg",$CW1521="coy"),"reg",$CW1521))</f>
        <v>loc</v>
      </c>
      <c r="CY1521" t="s">
        <v>444</v>
      </c>
      <c r="DB1521">
        <v>0</v>
      </c>
      <c r="DC1521" t="str">
        <f>IF(DB1521=0,"0",IF(AND(DB1521&gt;=1,DB1521&lt;=30),"1-30",IF(AND(DB1521&gt;30,DB1521&lt;=70),"31-70",IF(AND(DB1521&gt;70,DB1521&lt;=100),"71-100",IF(DB1521&gt;100,"+100")))))</f>
        <v>0</v>
      </c>
      <c r="DD1521">
        <v>0</v>
      </c>
      <c r="DE1521">
        <v>0</v>
      </c>
      <c r="DF1521">
        <v>0</v>
      </c>
      <c r="DG1521">
        <v>1</v>
      </c>
      <c r="DI1521">
        <f>SUM(DD1521:DG1521)</f>
        <v>1</v>
      </c>
      <c r="DJ1521" t="str">
        <f>IF(DI1521=1,INDEX($DD$7:$DG$7,MATCH(1,$DD1521:$DG1521,0)),"mixedProduct")</f>
        <v>TimberInput</v>
      </c>
      <c r="DK1521">
        <f>IF(DD1521=1,DK$7,0)</f>
        <v>0</v>
      </c>
      <c r="DL1521">
        <f>IF(DE1521=1,DL$7,0)</f>
        <v>0</v>
      </c>
      <c r="DM1521">
        <f>IF(DF1521=1,DM$7,0)</f>
        <v>0</v>
      </c>
      <c r="DN1521" t="str">
        <f>IF(DG1521=1,DN$7,0)</f>
        <v>Timber</v>
      </c>
      <c r="DO1521">
        <v>1</v>
      </c>
      <c r="DP1521">
        <v>0</v>
      </c>
      <c r="DQ1521">
        <v>0</v>
      </c>
      <c r="DR1521">
        <v>0</v>
      </c>
      <c r="DS1521">
        <v>0</v>
      </c>
      <c r="DT1521">
        <f>SUM(DO1521:DP1521)</f>
        <v>1</v>
      </c>
      <c r="DU1521" s="143" t="str">
        <f>IF(DO1521=1,"self-calculated DF",IF(DP1521=1,"external DF used","explicit C balance"))</f>
        <v>self-calculated DF</v>
      </c>
      <c r="DV1521">
        <v>0</v>
      </c>
      <c r="DW1521">
        <v>0</v>
      </c>
      <c r="DX1521">
        <v>0</v>
      </c>
      <c r="DY1521">
        <v>1</v>
      </c>
      <c r="DZ1521">
        <v>0</v>
      </c>
      <c r="EA1521" s="143">
        <v>0</v>
      </c>
      <c r="EB1521">
        <v>1</v>
      </c>
      <c r="EC1521">
        <v>1</v>
      </c>
      <c r="ED1521">
        <v>0</v>
      </c>
      <c r="EE1521">
        <v>0</v>
      </c>
      <c r="EF1521">
        <v>0</v>
      </c>
      <c r="EG1521">
        <v>0</v>
      </c>
      <c r="EH1521">
        <v>0</v>
      </c>
      <c r="EI1521" s="2">
        <v>0</v>
      </c>
      <c r="EK1521" t="str">
        <f>IF(AND(AND(AND(OR($DX1521=1,$DW1521=1),OR($EC1521=1,$EA1521=1)),SUM($DV1521:$DZ1521,$EF1521)&gt;=3),SUM($EA1521:$EE1521)&gt;=2),"Whole sector","")</f>
        <v/>
      </c>
      <c r="EL1521" t="str">
        <f>IF(AND(AND(OR($DX1521=1,$DW1521=1),AND($EC1521=0,$EA1521=0)),SUM($DV1521:$DZ1521,$EF1521)&gt;=3),"Ecosystem approach","")</f>
        <v/>
      </c>
      <c r="EM1521" s="2" t="str">
        <f>IF(AND(AND(AND($DX1521=0,$DW1521=0),OR($EC1521=1,$EA1521=1)),SUM($EB1521:$EE1521)&gt;=2),"Technology approach","")</f>
        <v>Technology approach</v>
      </c>
      <c r="EP1521" t="b">
        <f>IF(ISNUMBER(BU1521),IF(ABS(BU1521-[5]QC_indicators!$B$2)&gt;3*[5]QC_indicators!$C$2,"C ratio",IF(ISNUMBER(BY1521),IF(ABS(BY1521-[5]QC_indicators!$B$1)&gt;3*[5]QC_indicators!$C$1,"DF","no"))),IF(ISNUMBER(BY1521),IF(ABS(BY1521-[5]QC_indicators!$B$1)&gt;3*[5]QC_indicators!$C$1,"DF","no")))</f>
        <v>0</v>
      </c>
      <c r="ER1521" s="314" t="s">
        <v>349</v>
      </c>
    </row>
    <row r="1522" spans="1:148">
      <c r="A1522" s="1" t="s">
        <v>1138</v>
      </c>
      <c r="B1522" t="s">
        <v>4154</v>
      </c>
      <c r="C1522" t="s">
        <v>4155</v>
      </c>
      <c r="D1522" t="s">
        <v>4156</v>
      </c>
      <c r="E1522" t="s">
        <v>4157</v>
      </c>
      <c r="F1522" t="s">
        <v>4158</v>
      </c>
      <c r="G1522" t="s">
        <v>1139</v>
      </c>
      <c r="H1522" t="s">
        <v>254</v>
      </c>
      <c r="I1522">
        <v>2019</v>
      </c>
      <c r="J1522">
        <v>6</v>
      </c>
      <c r="K1522" t="s">
        <v>4159</v>
      </c>
      <c r="M1522" t="str">
        <f>LEFT($D1522,FIND(",",$D1522)-1)&amp;"_"&amp;I1522&amp;L1522</f>
        <v>She_2019</v>
      </c>
      <c r="N1522" s="312" t="s">
        <v>4383</v>
      </c>
      <c r="O1522" s="145" t="s">
        <v>341</v>
      </c>
      <c r="Q1522" s="312" t="s">
        <v>256</v>
      </c>
      <c r="R1522" s="313"/>
      <c r="S1522" s="1" t="s">
        <v>4160</v>
      </c>
      <c r="T1522" t="s">
        <v>4161</v>
      </c>
      <c r="U1522" t="e">
        <f>#REF!</f>
        <v>#REF!</v>
      </c>
      <c r="V1522">
        <v>2</v>
      </c>
      <c r="W1522">
        <v>1</v>
      </c>
      <c r="X1522">
        <v>0</v>
      </c>
      <c r="Y1522">
        <v>0</v>
      </c>
      <c r="Z1522">
        <v>0</v>
      </c>
      <c r="AA1522">
        <v>0</v>
      </c>
      <c r="AB1522">
        <v>0</v>
      </c>
      <c r="AC1522">
        <v>0</v>
      </c>
      <c r="AD1522">
        <v>0</v>
      </c>
      <c r="AE1522">
        <v>0</v>
      </c>
      <c r="AF1522">
        <v>2</v>
      </c>
      <c r="AG1522">
        <v>0</v>
      </c>
      <c r="AH1522">
        <v>0</v>
      </c>
      <c r="AI1522">
        <v>0</v>
      </c>
      <c r="AJ1522">
        <v>2</v>
      </c>
      <c r="AK1522">
        <v>0</v>
      </c>
      <c r="AL1522">
        <v>0</v>
      </c>
      <c r="AM1522">
        <v>0</v>
      </c>
      <c r="AN1522">
        <v>0</v>
      </c>
      <c r="AO1522">
        <v>0</v>
      </c>
      <c r="AP1522">
        <v>0</v>
      </c>
      <c r="AQ1522">
        <v>0</v>
      </c>
      <c r="AR1522">
        <v>0</v>
      </c>
      <c r="AS1522">
        <v>0</v>
      </c>
      <c r="AT1522">
        <v>0</v>
      </c>
      <c r="AU1522">
        <v>0</v>
      </c>
      <c r="AV1522">
        <v>0</v>
      </c>
      <c r="AW1522">
        <v>0</v>
      </c>
      <c r="AX1522" s="141">
        <f>COUNTIF(V1522:AW1522,"&lt;&gt;0")</f>
        <v>4</v>
      </c>
      <c r="AY1522" s="141">
        <f>COUNTIF(V1522:AL1522,"&lt;&gt;0")</f>
        <v>4</v>
      </c>
      <c r="AZ1522">
        <f>COUNTIF(V1522:AC1522,"&lt;&gt;0")</f>
        <v>2</v>
      </c>
      <c r="BA1522">
        <f>COUNTIF(AD1522:AI1522,"&lt;&gt;0")</f>
        <v>1</v>
      </c>
      <c r="BB1522">
        <f>COUNTIF(AJ1522:AL1522,"&lt;&gt;0")</f>
        <v>1</v>
      </c>
      <c r="BC1522">
        <f>COUNTIF(AS1522:AW1522,"&lt;&gt;0")</f>
        <v>0</v>
      </c>
      <c r="BD1522">
        <f>COUNTIF(AM1522:AR1522,"&lt;&gt;0")</f>
        <v>0</v>
      </c>
      <c r="BE1522" t="str" cm="1">
        <f t="array" ref="BE1522">IF(AY1522=1,INDEX($V$7:$AL$7,MATCH(TRUE,INDEX($V1522:$AW1522&lt;&gt;0,),0)),IF(AY1522=0,INDEX($AM$7:$AW$7,MATCH(1,$AM1522:$AW1522,0)),IF(BF1522="Multiple strategies","mixed drivers",IF(BF1522="Supply chain","multiple supply","multiple silviculture"))))</f>
        <v>mixed drivers</v>
      </c>
      <c r="BF1522" s="2" t="str" cm="1">
        <f t="array" ref="BF1522">IF(COUNTIF(AZ1522:BB1522,"&lt;&gt;0")=1,INDEX($V$4:$AW$4,MATCH(TRUE,INDEX($V1522:$AW1522&lt;&gt;0,),0)),IF(COUNTIF(AZ1522:BB1522,"&lt;&gt;0")=0,INDEX($AM$4:$AW$4,MATCH(1,$AM1522:$AW1522,0)),"Multiple strategies"))</f>
        <v>Multiple strategies</v>
      </c>
      <c r="BP1522" t="s">
        <v>232</v>
      </c>
      <c r="BR1522" t="s">
        <v>1140</v>
      </c>
      <c r="BS1522">
        <v>73.36</v>
      </c>
      <c r="BT1522">
        <v>266.5</v>
      </c>
      <c r="BU1522" s="144">
        <f>IFERROR(BT1522/BS1522,"")</f>
        <v>3.6327699018538713</v>
      </c>
      <c r="BV1522">
        <f>BT1522-BS1522</f>
        <v>193.14</v>
      </c>
      <c r="BX1522">
        <f>BV1522*10^6</f>
        <v>193140000</v>
      </c>
      <c r="BY1522" t="str">
        <f>IFERROR(BX1522/BO1522,"")</f>
        <v/>
      </c>
      <c r="BZ1522">
        <v>0</v>
      </c>
      <c r="CA1522">
        <v>0</v>
      </c>
      <c r="CB1522">
        <v>0</v>
      </c>
      <c r="CC1522">
        <v>0</v>
      </c>
      <c r="CD1522">
        <v>0</v>
      </c>
      <c r="CE1522">
        <v>0</v>
      </c>
      <c r="CF1522">
        <v>0</v>
      </c>
      <c r="CG1522">
        <v>0</v>
      </c>
      <c r="CH1522">
        <v>0</v>
      </c>
      <c r="CI1522">
        <v>0</v>
      </c>
      <c r="CJ1522">
        <v>0</v>
      </c>
      <c r="CK1522">
        <v>0</v>
      </c>
      <c r="CL1522">
        <v>0</v>
      </c>
      <c r="CM1522">
        <v>0</v>
      </c>
      <c r="CN1522" t="str">
        <f>IF(BL1522&lt;BK1522,"refNeedCorrection","refOK")</f>
        <v>refOK</v>
      </c>
      <c r="CO1522"/>
      <c r="CP1522"/>
      <c r="CQ1522"/>
      <c r="CR1522">
        <f>IF($CN1522="refOK",$BS1522,$BT1522)*IF($BP1522="Emissions positive",-1,1)</f>
        <v>73.36</v>
      </c>
      <c r="CS1522">
        <f>IF($CN1522="refOK",$BT1522,$BS1522)*IF($BP1522="Emissions positive",-1,1)</f>
        <v>266.5</v>
      </c>
      <c r="CT1522">
        <f>IF($CN1522="refNeedCorrection",-BX1522,BX1522)*IF($BP1522="Emissions positive",-1,1)</f>
        <v>193140000</v>
      </c>
      <c r="CU1522" t="str">
        <f>IFERROR(CT1522/CQ1522,"")</f>
        <v/>
      </c>
      <c r="CV1522" s="2">
        <f>IFERROR((CS1522-CR1522)/ABS(CR1522),"")</f>
        <v>2.6327699018538713</v>
      </c>
      <c r="CW1522" s="1" t="s">
        <v>234</v>
      </c>
      <c r="CX1522" s="312" t="str">
        <f>IF(OR($CW1522="prd",$CW1522="std",$CW1522="cit"),"loc",IF(OR($CW1522="eur",$CW1522="reg",$CW1522="coy"),"reg",$CW1522))</f>
        <v>loc</v>
      </c>
      <c r="CY1522" t="s">
        <v>428</v>
      </c>
      <c r="CZ1522">
        <v>2008</v>
      </c>
      <c r="DB1522">
        <v>0</v>
      </c>
      <c r="DC1522" t="str">
        <f>IF(DB1522=0,"0",IF(AND(DB1522&gt;=1,DB1522&lt;=30),"1-30",IF(AND(DB1522&gt;30,DB1522&lt;=70),"31-70",IF(AND(DB1522&gt;70,DB1522&lt;=100),"71-100",IF(DB1522&gt;100,"+100")))))</f>
        <v>0</v>
      </c>
      <c r="DD1522">
        <v>0</v>
      </c>
      <c r="DE1522">
        <v>1</v>
      </c>
      <c r="DF1522">
        <v>0</v>
      </c>
      <c r="DG1522">
        <v>1</v>
      </c>
      <c r="DI1522">
        <f>SUM(DD1522:DG1522)</f>
        <v>2</v>
      </c>
      <c r="DJ1522" t="str">
        <f>IF(DI1522=1,INDEX($DD$7:$DG$7,MATCH(1,$DD1522:$DG1522,0)),"mixedProduct")</f>
        <v>mixedProduct</v>
      </c>
      <c r="DK1522">
        <f>IF(DD1522=1,DK$7,0)</f>
        <v>0</v>
      </c>
      <c r="DL1522" t="str">
        <f>IF(DE1522=1,DL$7,0)</f>
        <v>Energy</v>
      </c>
      <c r="DM1522">
        <f>IF(DF1522=1,DM$7,0)</f>
        <v>0</v>
      </c>
      <c r="DN1522" t="str">
        <f>IF(DG1522=1,DN$7,0)</f>
        <v>Timber</v>
      </c>
      <c r="DO1522">
        <v>0</v>
      </c>
      <c r="DP1522">
        <v>1</v>
      </c>
      <c r="DQ1522" s="295" t="s">
        <v>4162</v>
      </c>
      <c r="DR1522">
        <v>0</v>
      </c>
      <c r="DS1522" t="s">
        <v>4163</v>
      </c>
      <c r="DT1522">
        <f>SUM(DO1522:DP1522)</f>
        <v>1</v>
      </c>
      <c r="DU1522" s="143" t="str">
        <f>IF(DO1522=1,"self-calculated DF",IF(DP1522=1,"external DF used","explicit C balance"))</f>
        <v>external DF used</v>
      </c>
      <c r="DV1522">
        <v>0</v>
      </c>
      <c r="DW1522">
        <v>1</v>
      </c>
      <c r="DX1522">
        <v>0</v>
      </c>
      <c r="DY1522">
        <v>1</v>
      </c>
      <c r="DZ1522">
        <v>0</v>
      </c>
      <c r="EA1522" s="143">
        <v>0</v>
      </c>
      <c r="EB1522">
        <v>1</v>
      </c>
      <c r="EC1522">
        <v>1</v>
      </c>
      <c r="ED1522">
        <v>0</v>
      </c>
      <c r="EE1522">
        <v>0</v>
      </c>
      <c r="EF1522">
        <v>1</v>
      </c>
      <c r="EG1522">
        <v>1</v>
      </c>
      <c r="EH1522">
        <v>1</v>
      </c>
      <c r="EI1522" s="2">
        <v>0</v>
      </c>
      <c r="EK1522" t="str">
        <f>IF(AND(AND(AND(OR($DX1522=1,$DW1522=1),OR($EC1522=1,$EA1522=1)),SUM($DV1522:$DZ1522,$EF1522)&gt;=3),SUM($EA1522:$EE1522)&gt;=2),"Whole sector","")</f>
        <v>Whole sector</v>
      </c>
      <c r="EL1522" t="str">
        <f>IF(AND(AND(OR($DX1522=1,$DW1522=1),AND($EC1522=0,$EA1522=0)),SUM($DV1522:$DZ1522,$EF1522)&gt;=3),"Ecosystem approach","")</f>
        <v/>
      </c>
      <c r="EM1522" s="2" t="str">
        <f>IF(AND(AND(AND($DX1522=0,$DW1522=0),OR($EC1522=1,$EA1522=1)),SUM($EB1522:$EE1522)&gt;=2),"Technology approach","")</f>
        <v/>
      </c>
      <c r="EP1522" t="b">
        <f>IF(ISNUMBER(BU1522),IF(ABS(BU1522-[5]QC_indicators!$B$2)&gt;3*[5]QC_indicators!$C$2,"C ratio",IF(ISNUMBER(BY1522),IF(ABS(BY1522-[5]QC_indicators!$B$1)&gt;3*[5]QC_indicators!$C$1,"DF","no"))),IF(ISNUMBER(BY1522),IF(ABS(BY1522-[5]QC_indicators!$B$1)&gt;3*[5]QC_indicators!$C$1,"DF","no")))</f>
        <v>0</v>
      </c>
    </row>
    <row r="1523" spans="1:148">
      <c r="A1523" s="1" t="s">
        <v>1138</v>
      </c>
      <c r="B1523" t="s">
        <v>4154</v>
      </c>
      <c r="C1523" t="s">
        <v>4155</v>
      </c>
      <c r="D1523" t="s">
        <v>4156</v>
      </c>
      <c r="E1523" t="s">
        <v>4157</v>
      </c>
      <c r="F1523" t="s">
        <v>4158</v>
      </c>
      <c r="G1523" t="s">
        <v>1139</v>
      </c>
      <c r="H1523" t="s">
        <v>254</v>
      </c>
      <c r="I1523">
        <v>2019</v>
      </c>
      <c r="J1523">
        <v>6</v>
      </c>
      <c r="K1523" t="s">
        <v>4159</v>
      </c>
      <c r="M1523" t="str">
        <f>LEFT($D1523,FIND(",",$D1523)-1)&amp;"_"&amp;I1523&amp;L1523</f>
        <v>She_2019</v>
      </c>
      <c r="N1523" s="312" t="s">
        <v>4383</v>
      </c>
      <c r="O1523" s="145" t="s">
        <v>341</v>
      </c>
      <c r="Q1523" s="312" t="s">
        <v>256</v>
      </c>
      <c r="R1523" s="313"/>
      <c r="S1523" s="1" t="s">
        <v>4164</v>
      </c>
      <c r="T1523" t="s">
        <v>4161</v>
      </c>
      <c r="U1523" t="e">
        <f>#REF!</f>
        <v>#REF!</v>
      </c>
      <c r="V1523">
        <v>2</v>
      </c>
      <c r="W1523">
        <v>1</v>
      </c>
      <c r="X1523">
        <v>0</v>
      </c>
      <c r="Y1523">
        <v>0</v>
      </c>
      <c r="Z1523">
        <v>0</v>
      </c>
      <c r="AA1523">
        <v>0</v>
      </c>
      <c r="AB1523">
        <v>0</v>
      </c>
      <c r="AC1523">
        <v>0</v>
      </c>
      <c r="AD1523">
        <v>0</v>
      </c>
      <c r="AE1523">
        <v>0</v>
      </c>
      <c r="AF1523">
        <v>2</v>
      </c>
      <c r="AG1523">
        <v>0</v>
      </c>
      <c r="AH1523">
        <v>0</v>
      </c>
      <c r="AI1523">
        <v>0</v>
      </c>
      <c r="AJ1523">
        <v>2</v>
      </c>
      <c r="AK1523">
        <v>0</v>
      </c>
      <c r="AL1523">
        <v>0</v>
      </c>
      <c r="AM1523">
        <v>0</v>
      </c>
      <c r="AN1523">
        <v>0</v>
      </c>
      <c r="AO1523">
        <v>0</v>
      </c>
      <c r="AP1523">
        <v>0</v>
      </c>
      <c r="AQ1523">
        <v>0</v>
      </c>
      <c r="AR1523">
        <v>0</v>
      </c>
      <c r="AS1523">
        <v>0</v>
      </c>
      <c r="AT1523">
        <v>0</v>
      </c>
      <c r="AU1523">
        <v>0</v>
      </c>
      <c r="AV1523">
        <v>0</v>
      </c>
      <c r="AW1523">
        <v>0</v>
      </c>
      <c r="AX1523" s="141">
        <f>COUNTIF(V1523:AW1523,"&lt;&gt;0")</f>
        <v>4</v>
      </c>
      <c r="AY1523" s="141">
        <f>COUNTIF(V1523:AL1523,"&lt;&gt;0")</f>
        <v>4</v>
      </c>
      <c r="AZ1523">
        <f>COUNTIF(V1523:AC1523,"&lt;&gt;0")</f>
        <v>2</v>
      </c>
      <c r="BA1523">
        <f>COUNTIF(AD1523:AI1523,"&lt;&gt;0")</f>
        <v>1</v>
      </c>
      <c r="BB1523">
        <f>COUNTIF(AJ1523:AL1523,"&lt;&gt;0")</f>
        <v>1</v>
      </c>
      <c r="BC1523">
        <f>COUNTIF(AS1523:AW1523,"&lt;&gt;0")</f>
        <v>0</v>
      </c>
      <c r="BD1523">
        <f>COUNTIF(AM1523:AR1523,"&lt;&gt;0")</f>
        <v>0</v>
      </c>
      <c r="BE1523" t="str" cm="1">
        <f t="array" ref="BE1523">IF(AY1523=1,INDEX($V$7:$AL$7,MATCH(TRUE,INDEX($V1523:$AW1523&lt;&gt;0,),0)),IF(AY1523=0,INDEX($AM$7:$AW$7,MATCH(1,$AM1523:$AW1523,0)),IF(BF1523="Multiple strategies","mixed drivers",IF(BF1523="Supply chain","multiple supply","multiple silviculture"))))</f>
        <v>mixed drivers</v>
      </c>
      <c r="BF1523" s="2" t="str" cm="1">
        <f t="array" ref="BF1523">IF(COUNTIF(AZ1523:BB1523,"&lt;&gt;0")=1,INDEX($V$4:$AW$4,MATCH(TRUE,INDEX($V1523:$AW1523&lt;&gt;0,),0)),IF(COUNTIF(AZ1523:BB1523,"&lt;&gt;0")=0,INDEX($AM$4:$AW$4,MATCH(1,$AM1523:$AW1523,0)),"Multiple strategies"))</f>
        <v>Multiple strategies</v>
      </c>
      <c r="BP1523" t="s">
        <v>232</v>
      </c>
      <c r="BR1523" t="s">
        <v>1140</v>
      </c>
      <c r="BS1523">
        <v>73.36</v>
      </c>
      <c r="BT1523">
        <v>224.76</v>
      </c>
      <c r="BU1523" s="144">
        <f>IFERROR(BT1523/BS1523,"")</f>
        <v>3.0637949836423117</v>
      </c>
      <c r="BV1523">
        <f>BT1523-BS1523</f>
        <v>151.39999999999998</v>
      </c>
      <c r="BX1523">
        <f>BV1523*10^6</f>
        <v>151399999.99999997</v>
      </c>
      <c r="BY1523" t="str">
        <f>IFERROR(BX1523/BO1523,"")</f>
        <v/>
      </c>
      <c r="BZ1523">
        <v>0</v>
      </c>
      <c r="CA1523">
        <v>0</v>
      </c>
      <c r="CB1523">
        <v>0</v>
      </c>
      <c r="CC1523">
        <v>0</v>
      </c>
      <c r="CD1523">
        <v>0</v>
      </c>
      <c r="CE1523">
        <v>0</v>
      </c>
      <c r="CF1523">
        <v>0</v>
      </c>
      <c r="CG1523">
        <v>0</v>
      </c>
      <c r="CH1523">
        <v>0</v>
      </c>
      <c r="CI1523">
        <v>0</v>
      </c>
      <c r="CJ1523">
        <v>0</v>
      </c>
      <c r="CK1523">
        <v>0</v>
      </c>
      <c r="CL1523">
        <v>0</v>
      </c>
      <c r="CM1523">
        <v>0</v>
      </c>
      <c r="CN1523" t="str">
        <f>IF(BL1523&lt;BK1523,"refNeedCorrection","refOK")</f>
        <v>refOK</v>
      </c>
      <c r="CO1523"/>
      <c r="CP1523"/>
      <c r="CQ1523"/>
      <c r="CR1523">
        <f>IF($CN1523="refOK",$BS1523,$BT1523)*IF($BP1523="Emissions positive",-1,1)</f>
        <v>73.36</v>
      </c>
      <c r="CS1523">
        <f>IF($CN1523="refOK",$BT1523,$BS1523)*IF($BP1523="Emissions positive",-1,1)</f>
        <v>224.76</v>
      </c>
      <c r="CT1523">
        <f>IF($CN1523="refNeedCorrection",-BX1523,BX1523)*IF($BP1523="Emissions positive",-1,1)</f>
        <v>151399999.99999997</v>
      </c>
      <c r="CU1523" t="str">
        <f>IFERROR(CT1523/CQ1523,"")</f>
        <v/>
      </c>
      <c r="CV1523" s="2">
        <f>IFERROR((CS1523-CR1523)/ABS(CR1523),"")</f>
        <v>2.0637949836423117</v>
      </c>
      <c r="CW1523" s="1" t="s">
        <v>234</v>
      </c>
      <c r="CX1523" s="312" t="str">
        <f>IF(OR($CW1523="prd",$CW1523="std",$CW1523="cit"),"loc",IF(OR($CW1523="eur",$CW1523="reg",$CW1523="coy"),"reg",$CW1523))</f>
        <v>loc</v>
      </c>
      <c r="CY1523" t="s">
        <v>428</v>
      </c>
      <c r="CZ1523">
        <v>2008</v>
      </c>
      <c r="DB1523">
        <v>0</v>
      </c>
      <c r="DC1523" t="str">
        <f>IF(DB1523=0,"0",IF(AND(DB1523&gt;=1,DB1523&lt;=30),"1-30",IF(AND(DB1523&gt;30,DB1523&lt;=70),"31-70",IF(AND(DB1523&gt;70,DB1523&lt;=100),"71-100",IF(DB1523&gt;100,"+100")))))</f>
        <v>0</v>
      </c>
      <c r="DD1523">
        <v>0</v>
      </c>
      <c r="DE1523">
        <v>1</v>
      </c>
      <c r="DF1523">
        <v>0</v>
      </c>
      <c r="DG1523">
        <v>1</v>
      </c>
      <c r="DI1523">
        <f>SUM(DD1523:DG1523)</f>
        <v>2</v>
      </c>
      <c r="DJ1523" t="str">
        <f>IF(DI1523=1,INDEX($DD$7:$DG$7,MATCH(1,$DD1523:$DG1523,0)),"mixedProduct")</f>
        <v>mixedProduct</v>
      </c>
      <c r="DK1523">
        <f>IF(DD1523=1,DK$7,0)</f>
        <v>0</v>
      </c>
      <c r="DL1523" t="str">
        <f>IF(DE1523=1,DL$7,0)</f>
        <v>Energy</v>
      </c>
      <c r="DM1523">
        <f>IF(DF1523=1,DM$7,0)</f>
        <v>0</v>
      </c>
      <c r="DN1523" t="str">
        <f>IF(DG1523=1,DN$7,0)</f>
        <v>Timber</v>
      </c>
      <c r="DO1523">
        <v>0</v>
      </c>
      <c r="DP1523">
        <v>1</v>
      </c>
      <c r="DQ1523" s="295" t="s">
        <v>4162</v>
      </c>
      <c r="DR1523">
        <v>0</v>
      </c>
      <c r="DS1523" t="s">
        <v>4163</v>
      </c>
      <c r="DT1523">
        <f>SUM(DO1523:DP1523)</f>
        <v>1</v>
      </c>
      <c r="DU1523" s="143" t="str">
        <f>IF(DO1523=1,"self-calculated DF",IF(DP1523=1,"external DF used","explicit C balance"))</f>
        <v>external DF used</v>
      </c>
      <c r="DV1523">
        <v>0</v>
      </c>
      <c r="DW1523">
        <v>1</v>
      </c>
      <c r="DX1523">
        <v>0</v>
      </c>
      <c r="DY1523">
        <v>1</v>
      </c>
      <c r="DZ1523">
        <v>0</v>
      </c>
      <c r="EA1523" s="143">
        <v>0</v>
      </c>
      <c r="EB1523">
        <v>1</v>
      </c>
      <c r="EC1523">
        <v>1</v>
      </c>
      <c r="ED1523">
        <v>0</v>
      </c>
      <c r="EE1523">
        <v>0</v>
      </c>
      <c r="EF1523">
        <v>1</v>
      </c>
      <c r="EG1523">
        <v>1</v>
      </c>
      <c r="EH1523">
        <v>1</v>
      </c>
      <c r="EI1523" s="2">
        <v>0</v>
      </c>
      <c r="EK1523" t="str">
        <f>IF(AND(AND(AND(OR($DX1523=1,$DW1523=1),OR($EC1523=1,$EA1523=1)),SUM($DV1523:$DZ1523,$EF1523)&gt;=3),SUM($EA1523:$EE1523)&gt;=2),"Whole sector","")</f>
        <v>Whole sector</v>
      </c>
      <c r="EL1523" t="str">
        <f>IF(AND(AND(OR($DX1523=1,$DW1523=1),AND($EC1523=0,$EA1523=0)),SUM($DV1523:$DZ1523,$EF1523)&gt;=3),"Ecosystem approach","")</f>
        <v/>
      </c>
      <c r="EM1523" s="2" t="str">
        <f>IF(AND(AND(AND($DX1523=0,$DW1523=0),OR($EC1523=1,$EA1523=1)),SUM($EB1523:$EE1523)&gt;=2),"Technology approach","")</f>
        <v/>
      </c>
      <c r="EP1523" t="b">
        <f>IF(ISNUMBER(BU1523),IF(ABS(BU1523-[5]QC_indicators!$B$2)&gt;3*[5]QC_indicators!$C$2,"C ratio",IF(ISNUMBER(BY1523),IF(ABS(BY1523-[5]QC_indicators!$B$1)&gt;3*[5]QC_indicators!$C$1,"DF","no"))),IF(ISNUMBER(BY1523),IF(ABS(BY1523-[5]QC_indicators!$B$1)&gt;3*[5]QC_indicators!$C$1,"DF","no")))</f>
        <v>0</v>
      </c>
    </row>
    <row r="1524" spans="1:148">
      <c r="A1524" s="1" t="s">
        <v>1138</v>
      </c>
      <c r="B1524" t="s">
        <v>4154</v>
      </c>
      <c r="C1524" t="s">
        <v>4155</v>
      </c>
      <c r="D1524" t="s">
        <v>4156</v>
      </c>
      <c r="E1524" t="s">
        <v>4157</v>
      </c>
      <c r="F1524" t="s">
        <v>4158</v>
      </c>
      <c r="G1524" t="s">
        <v>1139</v>
      </c>
      <c r="H1524" t="s">
        <v>254</v>
      </c>
      <c r="I1524">
        <v>2019</v>
      </c>
      <c r="J1524">
        <v>6</v>
      </c>
      <c r="K1524" t="s">
        <v>4159</v>
      </c>
      <c r="M1524" t="str">
        <f>LEFT($D1524,FIND(",",$D1524)-1)&amp;"_"&amp;I1524&amp;L1524</f>
        <v>She_2019</v>
      </c>
      <c r="N1524" s="312" t="s">
        <v>4383</v>
      </c>
      <c r="O1524" s="145" t="s">
        <v>341</v>
      </c>
      <c r="Q1524" s="312" t="s">
        <v>256</v>
      </c>
      <c r="R1524" s="313"/>
      <c r="S1524" s="1" t="s">
        <v>4165</v>
      </c>
      <c r="T1524" t="s">
        <v>4161</v>
      </c>
      <c r="U1524" t="e">
        <f>#REF!</f>
        <v>#REF!</v>
      </c>
      <c r="V1524">
        <v>2</v>
      </c>
      <c r="W1524">
        <v>1</v>
      </c>
      <c r="X1524">
        <v>0</v>
      </c>
      <c r="Y1524">
        <v>0</v>
      </c>
      <c r="Z1524">
        <v>0</v>
      </c>
      <c r="AA1524">
        <v>0</v>
      </c>
      <c r="AB1524">
        <v>0</v>
      </c>
      <c r="AC1524">
        <v>0</v>
      </c>
      <c r="AD1524">
        <v>0</v>
      </c>
      <c r="AE1524">
        <v>0</v>
      </c>
      <c r="AF1524">
        <v>2</v>
      </c>
      <c r="AG1524">
        <v>0</v>
      </c>
      <c r="AH1524">
        <v>0</v>
      </c>
      <c r="AI1524">
        <v>0</v>
      </c>
      <c r="AJ1524">
        <v>2</v>
      </c>
      <c r="AK1524">
        <v>0</v>
      </c>
      <c r="AL1524">
        <v>0</v>
      </c>
      <c r="AM1524">
        <v>0</v>
      </c>
      <c r="AN1524">
        <v>0</v>
      </c>
      <c r="AO1524">
        <v>0</v>
      </c>
      <c r="AP1524">
        <v>0</v>
      </c>
      <c r="AQ1524">
        <v>0</v>
      </c>
      <c r="AR1524">
        <v>0</v>
      </c>
      <c r="AS1524">
        <v>0</v>
      </c>
      <c r="AT1524">
        <v>0</v>
      </c>
      <c r="AU1524">
        <v>0</v>
      </c>
      <c r="AV1524">
        <v>0</v>
      </c>
      <c r="AW1524">
        <v>0</v>
      </c>
      <c r="AX1524" s="141">
        <f>COUNTIF(V1524:AW1524,"&lt;&gt;0")</f>
        <v>4</v>
      </c>
      <c r="AY1524" s="141">
        <f>COUNTIF(V1524:AL1524,"&lt;&gt;0")</f>
        <v>4</v>
      </c>
      <c r="AZ1524">
        <f>COUNTIF(V1524:AC1524,"&lt;&gt;0")</f>
        <v>2</v>
      </c>
      <c r="BA1524">
        <f>COUNTIF(AD1524:AI1524,"&lt;&gt;0")</f>
        <v>1</v>
      </c>
      <c r="BB1524">
        <f>COUNTIF(AJ1524:AL1524,"&lt;&gt;0")</f>
        <v>1</v>
      </c>
      <c r="BC1524">
        <f>COUNTIF(AS1524:AW1524,"&lt;&gt;0")</f>
        <v>0</v>
      </c>
      <c r="BD1524">
        <f>COUNTIF(AM1524:AR1524,"&lt;&gt;0")</f>
        <v>0</v>
      </c>
      <c r="BE1524" t="str" cm="1">
        <f t="array" ref="BE1524">IF(AY1524=1,INDEX($V$7:$AL$7,MATCH(TRUE,INDEX($V1524:$AW1524&lt;&gt;0,),0)),IF(AY1524=0,INDEX($AM$7:$AW$7,MATCH(1,$AM1524:$AW1524,0)),IF(BF1524="Multiple strategies","mixed drivers",IF(BF1524="Supply chain","multiple supply","multiple silviculture"))))</f>
        <v>mixed drivers</v>
      </c>
      <c r="BF1524" s="2" t="str" cm="1">
        <f t="array" ref="BF1524">IF(COUNTIF(AZ1524:BB1524,"&lt;&gt;0")=1,INDEX($V$4:$AW$4,MATCH(TRUE,INDEX($V1524:$AW1524&lt;&gt;0,),0)),IF(COUNTIF(AZ1524:BB1524,"&lt;&gt;0")=0,INDEX($AM$4:$AW$4,MATCH(1,$AM1524:$AW1524,0)),"Multiple strategies"))</f>
        <v>Multiple strategies</v>
      </c>
      <c r="BP1524" t="s">
        <v>232</v>
      </c>
      <c r="BR1524" t="s">
        <v>1140</v>
      </c>
      <c r="BS1524">
        <v>73.36</v>
      </c>
      <c r="BT1524">
        <v>224.76</v>
      </c>
      <c r="BU1524" s="144">
        <f>IFERROR(BT1524/BS1524,"")</f>
        <v>3.0637949836423117</v>
      </c>
      <c r="BV1524">
        <f>BT1524-BS1524</f>
        <v>151.39999999999998</v>
      </c>
      <c r="BX1524">
        <f>BV1524*10^6</f>
        <v>151399999.99999997</v>
      </c>
      <c r="BY1524" t="str">
        <f>IFERROR(BX1524/BO1524,"")</f>
        <v/>
      </c>
      <c r="BZ1524">
        <v>0</v>
      </c>
      <c r="CA1524">
        <v>0</v>
      </c>
      <c r="CB1524">
        <v>0</v>
      </c>
      <c r="CC1524">
        <v>0</v>
      </c>
      <c r="CD1524">
        <v>0</v>
      </c>
      <c r="CE1524">
        <v>0</v>
      </c>
      <c r="CF1524">
        <v>0</v>
      </c>
      <c r="CG1524">
        <v>0</v>
      </c>
      <c r="CH1524">
        <v>0</v>
      </c>
      <c r="CI1524">
        <v>0</v>
      </c>
      <c r="CJ1524">
        <v>0</v>
      </c>
      <c r="CK1524">
        <v>0</v>
      </c>
      <c r="CL1524">
        <v>0</v>
      </c>
      <c r="CM1524">
        <v>0</v>
      </c>
      <c r="CN1524" t="str">
        <f>IF(BL1524&lt;BK1524,"refNeedCorrection","refOK")</f>
        <v>refOK</v>
      </c>
      <c r="CO1524"/>
      <c r="CP1524"/>
      <c r="CQ1524"/>
      <c r="CR1524">
        <f>IF($CN1524="refOK",$BS1524,$BT1524)*IF($BP1524="Emissions positive",-1,1)</f>
        <v>73.36</v>
      </c>
      <c r="CS1524">
        <f>IF($CN1524="refOK",$BT1524,$BS1524)*IF($BP1524="Emissions positive",-1,1)</f>
        <v>224.76</v>
      </c>
      <c r="CT1524">
        <f>IF($CN1524="refNeedCorrection",-BX1524,BX1524)*IF($BP1524="Emissions positive",-1,1)</f>
        <v>151399999.99999997</v>
      </c>
      <c r="CU1524" t="str">
        <f>IFERROR(CT1524/CQ1524,"")</f>
        <v/>
      </c>
      <c r="CV1524" s="2">
        <f>IFERROR((CS1524-CR1524)/ABS(CR1524),"")</f>
        <v>2.0637949836423117</v>
      </c>
      <c r="CW1524" s="1" t="s">
        <v>234</v>
      </c>
      <c r="CX1524" s="312" t="str">
        <f>IF(OR($CW1524="prd",$CW1524="std",$CW1524="cit"),"loc",IF(OR($CW1524="eur",$CW1524="reg",$CW1524="coy"),"reg",$CW1524))</f>
        <v>loc</v>
      </c>
      <c r="CY1524" t="s">
        <v>428</v>
      </c>
      <c r="CZ1524">
        <v>2008</v>
      </c>
      <c r="DB1524">
        <v>0</v>
      </c>
      <c r="DC1524" t="str">
        <f>IF(DB1524=0,"0",IF(AND(DB1524&gt;=1,DB1524&lt;=30),"1-30",IF(AND(DB1524&gt;30,DB1524&lt;=70),"31-70",IF(AND(DB1524&gt;70,DB1524&lt;=100),"71-100",IF(DB1524&gt;100,"+100")))))</f>
        <v>0</v>
      </c>
      <c r="DD1524">
        <v>0</v>
      </c>
      <c r="DE1524">
        <v>1</v>
      </c>
      <c r="DF1524">
        <v>0</v>
      </c>
      <c r="DG1524">
        <v>1</v>
      </c>
      <c r="DI1524">
        <f>SUM(DD1524:DG1524)</f>
        <v>2</v>
      </c>
      <c r="DJ1524" t="str">
        <f>IF(DI1524=1,INDEX($DD$7:$DG$7,MATCH(1,$DD1524:$DG1524,0)),"mixedProduct")</f>
        <v>mixedProduct</v>
      </c>
      <c r="DK1524">
        <f>IF(DD1524=1,DK$7,0)</f>
        <v>0</v>
      </c>
      <c r="DL1524" t="str">
        <f>IF(DE1524=1,DL$7,0)</f>
        <v>Energy</v>
      </c>
      <c r="DM1524">
        <f>IF(DF1524=1,DM$7,0)</f>
        <v>0</v>
      </c>
      <c r="DN1524" t="str">
        <f>IF(DG1524=1,DN$7,0)</f>
        <v>Timber</v>
      </c>
      <c r="DO1524">
        <v>0</v>
      </c>
      <c r="DP1524">
        <v>1</v>
      </c>
      <c r="DQ1524" s="295" t="s">
        <v>4162</v>
      </c>
      <c r="DR1524">
        <v>0</v>
      </c>
      <c r="DS1524" t="s">
        <v>4163</v>
      </c>
      <c r="DT1524">
        <f>SUM(DO1524:DP1524)</f>
        <v>1</v>
      </c>
      <c r="DU1524" s="143" t="str">
        <f>IF(DO1524=1,"self-calculated DF",IF(DP1524=1,"external DF used","explicit C balance"))</f>
        <v>external DF used</v>
      </c>
      <c r="DV1524">
        <v>0</v>
      </c>
      <c r="DW1524">
        <v>1</v>
      </c>
      <c r="DX1524">
        <v>0</v>
      </c>
      <c r="DY1524">
        <v>1</v>
      </c>
      <c r="DZ1524">
        <v>0</v>
      </c>
      <c r="EA1524" s="143">
        <v>0</v>
      </c>
      <c r="EB1524">
        <v>1</v>
      </c>
      <c r="EC1524">
        <v>1</v>
      </c>
      <c r="ED1524">
        <v>0</v>
      </c>
      <c r="EE1524">
        <v>0</v>
      </c>
      <c r="EF1524">
        <v>1</v>
      </c>
      <c r="EG1524">
        <v>1</v>
      </c>
      <c r="EH1524">
        <v>1</v>
      </c>
      <c r="EI1524" s="2">
        <v>0</v>
      </c>
      <c r="EK1524" t="str">
        <f>IF(AND(AND(AND(OR($DX1524=1,$DW1524=1),OR($EC1524=1,$EA1524=1)),SUM($DV1524:$DZ1524,$EF1524)&gt;=3),SUM($EA1524:$EE1524)&gt;=2),"Whole sector","")</f>
        <v>Whole sector</v>
      </c>
      <c r="EL1524" t="str">
        <f>IF(AND(AND(OR($DX1524=1,$DW1524=1),AND($EC1524=0,$EA1524=0)),SUM($DV1524:$DZ1524,$EF1524)&gt;=3),"Ecosystem approach","")</f>
        <v/>
      </c>
      <c r="EM1524" s="2" t="str">
        <f>IF(AND(AND(AND($DX1524=0,$DW1524=0),OR($EC1524=1,$EA1524=1)),SUM($EB1524:$EE1524)&gt;=2),"Technology approach","")</f>
        <v/>
      </c>
      <c r="EP1524" t="b">
        <f>IF(ISNUMBER(BU1524),IF(ABS(BU1524-[5]QC_indicators!$B$2)&gt;3*[5]QC_indicators!$C$2,"C ratio",IF(ISNUMBER(BY1524),IF(ABS(BY1524-[5]QC_indicators!$B$1)&gt;3*[5]QC_indicators!$C$1,"DF","no"))),IF(ISNUMBER(BY1524),IF(ABS(BY1524-[5]QC_indicators!$B$1)&gt;3*[5]QC_indicators!$C$1,"DF","no")))</f>
        <v>0</v>
      </c>
      <c r="ER1524" t="s">
        <v>4166</v>
      </c>
    </row>
    <row r="1525" spans="1:148">
      <c r="A1525" s="1" t="s">
        <v>1138</v>
      </c>
      <c r="B1525" t="s">
        <v>4154</v>
      </c>
      <c r="C1525" t="s">
        <v>4155</v>
      </c>
      <c r="D1525" t="s">
        <v>4156</v>
      </c>
      <c r="E1525" t="s">
        <v>4157</v>
      </c>
      <c r="F1525" t="s">
        <v>4158</v>
      </c>
      <c r="G1525" t="s">
        <v>1139</v>
      </c>
      <c r="H1525" t="s">
        <v>254</v>
      </c>
      <c r="I1525">
        <v>2019</v>
      </c>
      <c r="J1525">
        <v>6</v>
      </c>
      <c r="K1525" t="s">
        <v>4159</v>
      </c>
      <c r="M1525" t="str">
        <f>LEFT($D1525,FIND(",",$D1525)-1)&amp;"_"&amp;I1525&amp;L1525</f>
        <v>She_2019</v>
      </c>
      <c r="N1525" s="312" t="s">
        <v>4383</v>
      </c>
      <c r="O1525" s="145" t="s">
        <v>341</v>
      </c>
      <c r="Q1525" s="312" t="s">
        <v>256</v>
      </c>
      <c r="R1525" s="313"/>
      <c r="S1525" s="1" t="s">
        <v>4167</v>
      </c>
      <c r="T1525" t="s">
        <v>4161</v>
      </c>
      <c r="U1525" t="e">
        <f>#REF!</f>
        <v>#REF!</v>
      </c>
      <c r="V1525">
        <v>2</v>
      </c>
      <c r="W1525">
        <v>1</v>
      </c>
      <c r="X1525">
        <v>0</v>
      </c>
      <c r="Y1525">
        <v>0</v>
      </c>
      <c r="Z1525">
        <v>0</v>
      </c>
      <c r="AA1525">
        <v>0</v>
      </c>
      <c r="AB1525">
        <v>0</v>
      </c>
      <c r="AC1525">
        <v>0</v>
      </c>
      <c r="AD1525">
        <v>0</v>
      </c>
      <c r="AE1525">
        <v>0</v>
      </c>
      <c r="AF1525">
        <v>2</v>
      </c>
      <c r="AG1525">
        <v>0</v>
      </c>
      <c r="AH1525">
        <v>0</v>
      </c>
      <c r="AI1525">
        <v>0</v>
      </c>
      <c r="AJ1525">
        <v>2</v>
      </c>
      <c r="AK1525">
        <v>0</v>
      </c>
      <c r="AL1525">
        <v>0</v>
      </c>
      <c r="AM1525">
        <v>0</v>
      </c>
      <c r="AN1525">
        <v>0</v>
      </c>
      <c r="AO1525">
        <v>0</v>
      </c>
      <c r="AP1525">
        <v>0</v>
      </c>
      <c r="AQ1525">
        <v>0</v>
      </c>
      <c r="AR1525">
        <v>0</v>
      </c>
      <c r="AS1525">
        <v>0</v>
      </c>
      <c r="AT1525">
        <v>0</v>
      </c>
      <c r="AU1525">
        <v>0</v>
      </c>
      <c r="AV1525">
        <v>0</v>
      </c>
      <c r="AW1525">
        <v>0</v>
      </c>
      <c r="AX1525" s="141">
        <f>COUNTIF(V1525:AW1525,"&lt;&gt;0")</f>
        <v>4</v>
      </c>
      <c r="AY1525" s="141">
        <f>COUNTIF(V1525:AL1525,"&lt;&gt;0")</f>
        <v>4</v>
      </c>
      <c r="AZ1525">
        <f>COUNTIF(V1525:AC1525,"&lt;&gt;0")</f>
        <v>2</v>
      </c>
      <c r="BA1525">
        <f>COUNTIF(AD1525:AI1525,"&lt;&gt;0")</f>
        <v>1</v>
      </c>
      <c r="BB1525">
        <f>COUNTIF(AJ1525:AL1525,"&lt;&gt;0")</f>
        <v>1</v>
      </c>
      <c r="BC1525">
        <f>COUNTIF(AS1525:AW1525,"&lt;&gt;0")</f>
        <v>0</v>
      </c>
      <c r="BD1525">
        <f>COUNTIF(AM1525:AR1525,"&lt;&gt;0")</f>
        <v>0</v>
      </c>
      <c r="BE1525" t="str" cm="1">
        <f t="array" ref="BE1525">IF(AY1525=1,INDEX($V$7:$AL$7,MATCH(TRUE,INDEX($V1525:$AW1525&lt;&gt;0,),0)),IF(AY1525=0,INDEX($AM$7:$AW$7,MATCH(1,$AM1525:$AW1525,0)),IF(BF1525="Multiple strategies","mixed drivers",IF(BF1525="Supply chain","multiple supply","multiple silviculture"))))</f>
        <v>mixed drivers</v>
      </c>
      <c r="BF1525" s="2" t="str" cm="1">
        <f t="array" ref="BF1525">IF(COUNTIF(AZ1525:BB1525,"&lt;&gt;0")=1,INDEX($V$4:$AW$4,MATCH(TRUE,INDEX($V1525:$AW1525&lt;&gt;0,),0)),IF(COUNTIF(AZ1525:BB1525,"&lt;&gt;0")=0,INDEX($AM$4:$AW$4,MATCH(1,$AM1525:$AW1525,0)),"Multiple strategies"))</f>
        <v>Multiple strategies</v>
      </c>
      <c r="BP1525" t="s">
        <v>232</v>
      </c>
      <c r="BR1525" t="s">
        <v>1140</v>
      </c>
      <c r="BS1525">
        <v>73.36</v>
      </c>
      <c r="BT1525">
        <v>110.42</v>
      </c>
      <c r="BU1525" s="144">
        <f>IFERROR(BT1525/BS1525,"")</f>
        <v>1.5051799345692476</v>
      </c>
      <c r="BV1525">
        <f>BT1525-BS1525</f>
        <v>37.06</v>
      </c>
      <c r="BX1525">
        <f>BV1525*10^6</f>
        <v>37060000</v>
      </c>
      <c r="BY1525" t="str">
        <f>IFERROR(BX1525/BO1525,"")</f>
        <v/>
      </c>
      <c r="BZ1525">
        <v>0</v>
      </c>
      <c r="CA1525">
        <v>0</v>
      </c>
      <c r="CB1525">
        <v>0</v>
      </c>
      <c r="CC1525">
        <v>0</v>
      </c>
      <c r="CD1525">
        <v>0</v>
      </c>
      <c r="CE1525">
        <v>0</v>
      </c>
      <c r="CF1525">
        <v>0</v>
      </c>
      <c r="CG1525">
        <v>0</v>
      </c>
      <c r="CH1525">
        <v>0</v>
      </c>
      <c r="CI1525">
        <v>0</v>
      </c>
      <c r="CJ1525">
        <v>0</v>
      </c>
      <c r="CK1525">
        <v>0</v>
      </c>
      <c r="CL1525">
        <v>0</v>
      </c>
      <c r="CM1525">
        <v>0</v>
      </c>
      <c r="CN1525" t="str">
        <f>IF(BL1525&lt;BK1525,"refNeedCorrection","refOK")</f>
        <v>refOK</v>
      </c>
      <c r="CO1525"/>
      <c r="CP1525"/>
      <c r="CQ1525"/>
      <c r="CR1525">
        <f>IF($CN1525="refOK",$BS1525,$BT1525)*IF($BP1525="Emissions positive",-1,1)</f>
        <v>73.36</v>
      </c>
      <c r="CS1525">
        <f>IF($CN1525="refOK",$BT1525,$BS1525)*IF($BP1525="Emissions positive",-1,1)</f>
        <v>110.42</v>
      </c>
      <c r="CT1525">
        <f>IF($CN1525="refNeedCorrection",-BX1525,BX1525)*IF($BP1525="Emissions positive",-1,1)</f>
        <v>37060000</v>
      </c>
      <c r="CU1525" t="str">
        <f>IFERROR(CT1525/CQ1525,"")</f>
        <v/>
      </c>
      <c r="CV1525" s="2">
        <f>IFERROR((CS1525-CR1525)/ABS(CR1525),"")</f>
        <v>0.50517993456924759</v>
      </c>
      <c r="CW1525" s="1" t="s">
        <v>234</v>
      </c>
      <c r="CX1525" s="312" t="str">
        <f>IF(OR($CW1525="prd",$CW1525="std",$CW1525="cit"),"loc",IF(OR($CW1525="eur",$CW1525="reg",$CW1525="coy"),"reg",$CW1525))</f>
        <v>loc</v>
      </c>
      <c r="CY1525" t="s">
        <v>428</v>
      </c>
      <c r="CZ1525">
        <v>2008</v>
      </c>
      <c r="DB1525">
        <v>0</v>
      </c>
      <c r="DC1525" t="str">
        <f>IF(DB1525=0,"0",IF(AND(DB1525&gt;=1,DB1525&lt;=30),"1-30",IF(AND(DB1525&gt;30,DB1525&lt;=70),"31-70",IF(AND(DB1525&gt;70,DB1525&lt;=100),"71-100",IF(DB1525&gt;100,"+100")))))</f>
        <v>0</v>
      </c>
      <c r="DD1525">
        <v>0</v>
      </c>
      <c r="DE1525">
        <v>1</v>
      </c>
      <c r="DF1525">
        <v>0</v>
      </c>
      <c r="DG1525">
        <v>1</v>
      </c>
      <c r="DI1525">
        <f>SUM(DD1525:DG1525)</f>
        <v>2</v>
      </c>
      <c r="DJ1525" t="str">
        <f>IF(DI1525=1,INDEX($DD$7:$DG$7,MATCH(1,$DD1525:$DG1525,0)),"mixedProduct")</f>
        <v>mixedProduct</v>
      </c>
      <c r="DK1525">
        <f>IF(DD1525=1,DK$7,0)</f>
        <v>0</v>
      </c>
      <c r="DL1525" t="str">
        <f>IF(DE1525=1,DL$7,0)</f>
        <v>Energy</v>
      </c>
      <c r="DM1525">
        <f>IF(DF1525=1,DM$7,0)</f>
        <v>0</v>
      </c>
      <c r="DN1525" t="str">
        <f>IF(DG1525=1,DN$7,0)</f>
        <v>Timber</v>
      </c>
      <c r="DO1525">
        <v>0</v>
      </c>
      <c r="DP1525">
        <v>1</v>
      </c>
      <c r="DQ1525" s="295" t="s">
        <v>4162</v>
      </c>
      <c r="DR1525">
        <v>0</v>
      </c>
      <c r="DS1525" t="s">
        <v>4163</v>
      </c>
      <c r="DT1525">
        <f>SUM(DO1525:DP1525)</f>
        <v>1</v>
      </c>
      <c r="DU1525" s="143" t="str">
        <f>IF(DO1525=1,"self-calculated DF",IF(DP1525=1,"external DF used","explicit C balance"))</f>
        <v>external DF used</v>
      </c>
      <c r="DV1525">
        <v>0</v>
      </c>
      <c r="DW1525">
        <v>1</v>
      </c>
      <c r="DX1525">
        <v>0</v>
      </c>
      <c r="DY1525">
        <v>1</v>
      </c>
      <c r="DZ1525">
        <v>0</v>
      </c>
      <c r="EA1525" s="143">
        <v>0</v>
      </c>
      <c r="EB1525">
        <v>1</v>
      </c>
      <c r="EC1525">
        <v>1</v>
      </c>
      <c r="ED1525">
        <v>0</v>
      </c>
      <c r="EE1525">
        <v>0</v>
      </c>
      <c r="EF1525">
        <v>1</v>
      </c>
      <c r="EG1525">
        <v>1</v>
      </c>
      <c r="EH1525">
        <v>1</v>
      </c>
      <c r="EI1525" s="2">
        <v>0</v>
      </c>
      <c r="EK1525" t="str">
        <f>IF(AND(AND(AND(OR($DX1525=1,$DW1525=1),OR($EC1525=1,$EA1525=1)),SUM($DV1525:$DZ1525,$EF1525)&gt;=3),SUM($EA1525:$EE1525)&gt;=2),"Whole sector","")</f>
        <v>Whole sector</v>
      </c>
      <c r="EL1525" t="str">
        <f>IF(AND(AND(OR($DX1525=1,$DW1525=1),AND($EC1525=0,$EA1525=0)),SUM($DV1525:$DZ1525,$EF1525)&gt;=3),"Ecosystem approach","")</f>
        <v/>
      </c>
      <c r="EM1525" s="2" t="str">
        <f>IF(AND(AND(AND($DX1525=0,$DW1525=0),OR($EC1525=1,$EA1525=1)),SUM($EB1525:$EE1525)&gt;=2),"Technology approach","")</f>
        <v/>
      </c>
      <c r="EP1525" t="b">
        <f>IF(ISNUMBER(BU1525),IF(ABS(BU1525-[5]QC_indicators!$B$2)&gt;3*[5]QC_indicators!$C$2,"C ratio",IF(ISNUMBER(BY1525),IF(ABS(BY1525-[5]QC_indicators!$B$1)&gt;3*[5]QC_indicators!$C$1,"DF","no"))),IF(ISNUMBER(BY1525),IF(ABS(BY1525-[5]QC_indicators!$B$1)&gt;3*[5]QC_indicators!$C$1,"DF","no")))</f>
        <v>0</v>
      </c>
    </row>
    <row r="1526" spans="1:148">
      <c r="A1526" s="1" t="s">
        <v>1138</v>
      </c>
      <c r="B1526" t="s">
        <v>4154</v>
      </c>
      <c r="C1526" t="s">
        <v>4155</v>
      </c>
      <c r="D1526" t="s">
        <v>4156</v>
      </c>
      <c r="E1526" t="s">
        <v>4157</v>
      </c>
      <c r="F1526" t="s">
        <v>4158</v>
      </c>
      <c r="G1526" t="s">
        <v>1139</v>
      </c>
      <c r="H1526" t="s">
        <v>254</v>
      </c>
      <c r="I1526">
        <v>2019</v>
      </c>
      <c r="J1526">
        <v>6</v>
      </c>
      <c r="K1526" t="s">
        <v>4159</v>
      </c>
      <c r="M1526" t="str">
        <f>LEFT($D1526,FIND(",",$D1526)-1)&amp;"_"&amp;I1526&amp;L1526</f>
        <v>She_2019</v>
      </c>
      <c r="N1526" s="312" t="s">
        <v>4383</v>
      </c>
      <c r="O1526" s="145" t="s">
        <v>341</v>
      </c>
      <c r="Q1526" s="312" t="s">
        <v>256</v>
      </c>
      <c r="R1526" s="313"/>
      <c r="S1526" s="1" t="s">
        <v>4168</v>
      </c>
      <c r="T1526" t="s">
        <v>4161</v>
      </c>
      <c r="U1526" t="e">
        <f>#REF!</f>
        <v>#REF!</v>
      </c>
      <c r="V1526">
        <v>2</v>
      </c>
      <c r="W1526">
        <v>1</v>
      </c>
      <c r="X1526">
        <v>0</v>
      </c>
      <c r="Y1526">
        <v>0</v>
      </c>
      <c r="Z1526">
        <v>0</v>
      </c>
      <c r="AA1526">
        <v>0</v>
      </c>
      <c r="AB1526">
        <v>0</v>
      </c>
      <c r="AC1526">
        <v>0</v>
      </c>
      <c r="AD1526">
        <v>0</v>
      </c>
      <c r="AE1526">
        <v>0</v>
      </c>
      <c r="AF1526">
        <v>2</v>
      </c>
      <c r="AG1526">
        <v>0</v>
      </c>
      <c r="AH1526">
        <v>0</v>
      </c>
      <c r="AI1526">
        <v>0</v>
      </c>
      <c r="AJ1526">
        <v>2</v>
      </c>
      <c r="AK1526">
        <v>0</v>
      </c>
      <c r="AL1526">
        <v>0</v>
      </c>
      <c r="AM1526">
        <v>0</v>
      </c>
      <c r="AN1526">
        <v>0</v>
      </c>
      <c r="AO1526">
        <v>0</v>
      </c>
      <c r="AP1526">
        <v>0</v>
      </c>
      <c r="AQ1526">
        <v>0</v>
      </c>
      <c r="AR1526">
        <v>0</v>
      </c>
      <c r="AS1526">
        <v>0</v>
      </c>
      <c r="AT1526">
        <v>0</v>
      </c>
      <c r="AU1526">
        <v>0</v>
      </c>
      <c r="AV1526">
        <v>0</v>
      </c>
      <c r="AW1526">
        <v>0</v>
      </c>
      <c r="AX1526" s="141">
        <f>COUNTIF(V1526:AW1526,"&lt;&gt;0")</f>
        <v>4</v>
      </c>
      <c r="AY1526" s="141">
        <f>COUNTIF(V1526:AL1526,"&lt;&gt;0")</f>
        <v>4</v>
      </c>
      <c r="AZ1526">
        <f>COUNTIF(V1526:AC1526,"&lt;&gt;0")</f>
        <v>2</v>
      </c>
      <c r="BA1526">
        <f>COUNTIF(AD1526:AI1526,"&lt;&gt;0")</f>
        <v>1</v>
      </c>
      <c r="BB1526">
        <f>COUNTIF(AJ1526:AL1526,"&lt;&gt;0")</f>
        <v>1</v>
      </c>
      <c r="BC1526">
        <f>COUNTIF(AS1526:AW1526,"&lt;&gt;0")</f>
        <v>0</v>
      </c>
      <c r="BD1526">
        <f>COUNTIF(AM1526:AR1526,"&lt;&gt;0")</f>
        <v>0</v>
      </c>
      <c r="BE1526" t="str" cm="1">
        <f t="array" ref="BE1526">IF(AY1526=1,INDEX($V$7:$AL$7,MATCH(TRUE,INDEX($V1526:$AW1526&lt;&gt;0,),0)),IF(AY1526=0,INDEX($AM$7:$AW$7,MATCH(1,$AM1526:$AW1526,0)),IF(BF1526="Multiple strategies","mixed drivers",IF(BF1526="Supply chain","multiple supply","multiple silviculture"))))</f>
        <v>mixed drivers</v>
      </c>
      <c r="BF1526" s="2" t="str" cm="1">
        <f t="array" ref="BF1526">IF(COUNTIF(AZ1526:BB1526,"&lt;&gt;0")=1,INDEX($V$4:$AW$4,MATCH(TRUE,INDEX($V1526:$AW1526&lt;&gt;0,),0)),IF(COUNTIF(AZ1526:BB1526,"&lt;&gt;0")=0,INDEX($AM$4:$AW$4,MATCH(1,$AM1526:$AW1526,0)),"Multiple strategies"))</f>
        <v>Multiple strategies</v>
      </c>
      <c r="BP1526" t="s">
        <v>232</v>
      </c>
      <c r="BR1526" t="s">
        <v>1140</v>
      </c>
      <c r="BS1526">
        <v>73.36</v>
      </c>
      <c r="BT1526">
        <v>75.069999999999993</v>
      </c>
      <c r="BU1526" s="144">
        <f>IFERROR(BT1526/BS1526,"")</f>
        <v>1.0233097055616138</v>
      </c>
      <c r="BV1526">
        <f>BT1526-BS1526</f>
        <v>1.7099999999999937</v>
      </c>
      <c r="BX1526">
        <f>BV1526*10^6</f>
        <v>1709999.9999999937</v>
      </c>
      <c r="BY1526" t="str">
        <f>IFERROR(BX1526/BO1526,"")</f>
        <v/>
      </c>
      <c r="BZ1526">
        <v>0</v>
      </c>
      <c r="CA1526">
        <v>0</v>
      </c>
      <c r="CB1526">
        <v>0</v>
      </c>
      <c r="CC1526">
        <v>0</v>
      </c>
      <c r="CD1526">
        <v>0</v>
      </c>
      <c r="CE1526">
        <v>0</v>
      </c>
      <c r="CF1526">
        <v>0</v>
      </c>
      <c r="CG1526">
        <v>0</v>
      </c>
      <c r="CH1526">
        <v>0</v>
      </c>
      <c r="CI1526">
        <v>0</v>
      </c>
      <c r="CJ1526">
        <v>0</v>
      </c>
      <c r="CK1526">
        <v>0</v>
      </c>
      <c r="CL1526">
        <v>0</v>
      </c>
      <c r="CM1526">
        <v>0</v>
      </c>
      <c r="CN1526" t="str">
        <f>IF(BL1526&lt;BK1526,"refNeedCorrection","refOK")</f>
        <v>refOK</v>
      </c>
      <c r="CO1526"/>
      <c r="CP1526"/>
      <c r="CQ1526"/>
      <c r="CR1526">
        <f>IF($CN1526="refOK",$BS1526,$BT1526)*IF($BP1526="Emissions positive",-1,1)</f>
        <v>73.36</v>
      </c>
      <c r="CS1526">
        <f>IF($CN1526="refOK",$BT1526,$BS1526)*IF($BP1526="Emissions positive",-1,1)</f>
        <v>75.069999999999993</v>
      </c>
      <c r="CT1526">
        <f>IF($CN1526="refNeedCorrection",-BX1526,BX1526)*IF($BP1526="Emissions positive",-1,1)</f>
        <v>1709999.9999999937</v>
      </c>
      <c r="CU1526" t="str">
        <f>IFERROR(CT1526/CQ1526,"")</f>
        <v/>
      </c>
      <c r="CV1526" s="2">
        <f>IFERROR((CS1526-CR1526)/ABS(CR1526),"")</f>
        <v>2.3309705561613873E-2</v>
      </c>
      <c r="CW1526" s="1" t="s">
        <v>234</v>
      </c>
      <c r="CX1526" s="312" t="str">
        <f>IF(OR($CW1526="prd",$CW1526="std",$CW1526="cit"),"loc",IF(OR($CW1526="eur",$CW1526="reg",$CW1526="coy"),"reg",$CW1526))</f>
        <v>loc</v>
      </c>
      <c r="CY1526" t="s">
        <v>428</v>
      </c>
      <c r="CZ1526">
        <v>2008</v>
      </c>
      <c r="DB1526">
        <v>0</v>
      </c>
      <c r="DC1526" t="str">
        <f>IF(DB1526=0,"0",IF(AND(DB1526&gt;=1,DB1526&lt;=30),"1-30",IF(AND(DB1526&gt;30,DB1526&lt;=70),"31-70",IF(AND(DB1526&gt;70,DB1526&lt;=100),"71-100",IF(DB1526&gt;100,"+100")))))</f>
        <v>0</v>
      </c>
      <c r="DD1526">
        <v>0</v>
      </c>
      <c r="DE1526">
        <v>1</v>
      </c>
      <c r="DF1526">
        <v>0</v>
      </c>
      <c r="DG1526">
        <v>1</v>
      </c>
      <c r="DI1526">
        <f>SUM(DD1526:DG1526)</f>
        <v>2</v>
      </c>
      <c r="DJ1526" t="str">
        <f>IF(DI1526=1,INDEX($DD$7:$DG$7,MATCH(1,$DD1526:$DG1526,0)),"mixedProduct")</f>
        <v>mixedProduct</v>
      </c>
      <c r="DK1526">
        <f>IF(DD1526=1,DK$7,0)</f>
        <v>0</v>
      </c>
      <c r="DL1526" t="str">
        <f>IF(DE1526=1,DL$7,0)</f>
        <v>Energy</v>
      </c>
      <c r="DM1526">
        <f>IF(DF1526=1,DM$7,0)</f>
        <v>0</v>
      </c>
      <c r="DN1526" t="str">
        <f>IF(DG1526=1,DN$7,0)</f>
        <v>Timber</v>
      </c>
      <c r="DO1526">
        <v>0</v>
      </c>
      <c r="DP1526">
        <v>1</v>
      </c>
      <c r="DQ1526" s="295" t="s">
        <v>4162</v>
      </c>
      <c r="DR1526">
        <v>0</v>
      </c>
      <c r="DS1526" t="s">
        <v>4163</v>
      </c>
      <c r="DT1526">
        <f>SUM(DO1526:DP1526)</f>
        <v>1</v>
      </c>
      <c r="DU1526" s="143" t="str">
        <f>IF(DO1526=1,"self-calculated DF",IF(DP1526=1,"external DF used","explicit C balance"))</f>
        <v>external DF used</v>
      </c>
      <c r="DV1526">
        <v>0</v>
      </c>
      <c r="DW1526">
        <v>1</v>
      </c>
      <c r="DX1526">
        <v>0</v>
      </c>
      <c r="DY1526">
        <v>1</v>
      </c>
      <c r="DZ1526">
        <v>0</v>
      </c>
      <c r="EA1526" s="143">
        <v>0</v>
      </c>
      <c r="EB1526">
        <v>1</v>
      </c>
      <c r="EC1526">
        <v>1</v>
      </c>
      <c r="ED1526">
        <v>0</v>
      </c>
      <c r="EE1526">
        <v>0</v>
      </c>
      <c r="EF1526">
        <v>1</v>
      </c>
      <c r="EG1526">
        <v>1</v>
      </c>
      <c r="EH1526">
        <v>1</v>
      </c>
      <c r="EI1526" s="2">
        <v>0</v>
      </c>
      <c r="EK1526" t="str">
        <f>IF(AND(AND(AND(OR($DX1526=1,$DW1526=1),OR($EC1526=1,$EA1526=1)),SUM($DV1526:$DZ1526,$EF1526)&gt;=3),SUM($EA1526:$EE1526)&gt;=2),"Whole sector","")</f>
        <v>Whole sector</v>
      </c>
      <c r="EL1526" t="str">
        <f>IF(AND(AND(OR($DX1526=1,$DW1526=1),AND($EC1526=0,$EA1526=0)),SUM($DV1526:$DZ1526,$EF1526)&gt;=3),"Ecosystem approach","")</f>
        <v/>
      </c>
      <c r="EM1526" s="2" t="str">
        <f>IF(AND(AND(AND($DX1526=0,$DW1526=0),OR($EC1526=1,$EA1526=1)),SUM($EB1526:$EE1526)&gt;=2),"Technology approach","")</f>
        <v/>
      </c>
      <c r="EN1526" t="s">
        <v>4169</v>
      </c>
      <c r="EP1526" t="b">
        <f>IF(ISNUMBER(BU1526),IF(ABS(BU1526-[5]QC_indicators!$B$2)&gt;3*[5]QC_indicators!$C$2,"C ratio",IF(ISNUMBER(BY1526),IF(ABS(BY1526-[5]QC_indicators!$B$1)&gt;3*[5]QC_indicators!$C$1,"DF","no"))),IF(ISNUMBER(BY1526),IF(ABS(BY1526-[5]QC_indicators!$B$1)&gt;3*[5]QC_indicators!$C$1,"DF","no")))</f>
        <v>0</v>
      </c>
    </row>
    <row r="1527" spans="1:148">
      <c r="D1527" t="s">
        <v>4170</v>
      </c>
      <c r="E1527" t="s">
        <v>4171</v>
      </c>
      <c r="G1527" t="s">
        <v>3564</v>
      </c>
      <c r="I1527">
        <v>2018</v>
      </c>
      <c r="K1527" t="s">
        <v>4172</v>
      </c>
      <c r="M1527" t="str">
        <f>LEFT($D1527,FIND(",",$D1527)-1)&amp;"_"&amp;I1527&amp;L1527</f>
        <v>Smyth_2018</v>
      </c>
      <c r="N1527" s="312" t="s">
        <v>4383</v>
      </c>
      <c r="O1527" s="145" t="s">
        <v>225</v>
      </c>
      <c r="Q1527" s="312" t="s">
        <v>256</v>
      </c>
      <c r="R1527" s="313"/>
      <c r="S1527" s="1" t="s">
        <v>2296</v>
      </c>
      <c r="V1527" s="143">
        <v>1</v>
      </c>
      <c r="W1527" s="143">
        <v>0</v>
      </c>
      <c r="X1527" s="143">
        <v>0</v>
      </c>
      <c r="Y1527" s="143">
        <v>0</v>
      </c>
      <c r="Z1527" s="143">
        <v>0</v>
      </c>
      <c r="AA1527" s="143">
        <v>0</v>
      </c>
      <c r="AB1527" s="143">
        <v>0</v>
      </c>
      <c r="AC1527" s="143">
        <v>0</v>
      </c>
      <c r="AD1527" s="143">
        <v>0</v>
      </c>
      <c r="AE1527" s="143">
        <v>0</v>
      </c>
      <c r="AF1527" s="143">
        <v>0</v>
      </c>
      <c r="AG1527" s="143">
        <v>0</v>
      </c>
      <c r="AH1527" s="143">
        <v>0</v>
      </c>
      <c r="AI1527" s="143">
        <v>0</v>
      </c>
      <c r="AJ1527" s="143">
        <v>0</v>
      </c>
      <c r="AK1527" s="143">
        <v>0</v>
      </c>
      <c r="AL1527" s="143">
        <v>0</v>
      </c>
      <c r="AM1527" s="143">
        <v>0</v>
      </c>
      <c r="AN1527" s="143">
        <v>0</v>
      </c>
      <c r="AO1527" s="143">
        <v>0</v>
      </c>
      <c r="AP1527" s="143">
        <v>0</v>
      </c>
      <c r="AQ1527" s="143">
        <v>0</v>
      </c>
      <c r="AR1527" s="143">
        <v>0</v>
      </c>
      <c r="AS1527" s="143">
        <v>0</v>
      </c>
      <c r="AT1527" s="143">
        <v>0</v>
      </c>
      <c r="AU1527" s="143">
        <v>0</v>
      </c>
      <c r="AV1527" s="143">
        <v>0</v>
      </c>
      <c r="AW1527" s="143">
        <v>0</v>
      </c>
      <c r="AX1527" s="141">
        <f>COUNTIF(V1527:AW1527,"&lt;&gt;0")</f>
        <v>1</v>
      </c>
      <c r="AY1527" s="141">
        <f>COUNTIF(V1527:AL1527,"&lt;&gt;0")</f>
        <v>1</v>
      </c>
      <c r="AZ1527">
        <f>COUNTIF(V1527:AC1527,"&lt;&gt;0")</f>
        <v>1</v>
      </c>
      <c r="BA1527">
        <f>COUNTIF(AD1527:AI1527,"&lt;&gt;0")</f>
        <v>0</v>
      </c>
      <c r="BB1527">
        <f>COUNTIF(AJ1527:AL1527,"&lt;&gt;0")</f>
        <v>0</v>
      </c>
      <c r="BC1527">
        <f>COUNTIF(AS1527:AW1527,"&lt;&gt;0")</f>
        <v>0</v>
      </c>
      <c r="BD1527">
        <f>COUNTIF(AM1527:AR1527,"&lt;&gt;0")</f>
        <v>0</v>
      </c>
      <c r="BE1527" t="str" cm="1">
        <f t="array" ref="BE1527">IF(AY1527=1,INDEX($V$7:$AL$7,MATCH(TRUE,INDEX($V1527:$AW1527&lt;&gt;0,),0)),IF(AY1527=0,INDEX($AM$7:$AW$7,MATCH(1,$AM1527:$AW1527,0)),IF(BF1527="Multiple strategies","mixed drivers",IF(BF1527="Supply chain","multiple supply","multiple silviculture"))))</f>
        <v>area subject to harvest</v>
      </c>
      <c r="BF1527" s="2" t="str" cm="1">
        <f t="array" ref="BF1527">IF(COUNTIF(AZ1527:BB1527,"&lt;&gt;0")=1,INDEX($V$4:$AW$4,MATCH(TRUE,INDEX($V1527:$AW1527&lt;&gt;0,),0)),IF(COUNTIF(AZ1527:BB1527,"&lt;&gt;0")=0,INDEX($AM$4:$AW$4,MATCH(1,$AM1527:$AW1527,0)),"Multiple strategies"))</f>
        <v>Silviculture for removals</v>
      </c>
      <c r="BG1527" s="1" t="s">
        <v>321</v>
      </c>
      <c r="BP1527" s="312" t="s">
        <v>232</v>
      </c>
      <c r="BQ1527" s="312"/>
      <c r="BR1527" t="s">
        <v>4173</v>
      </c>
      <c r="BU1527" s="144"/>
      <c r="BV1527">
        <v>42</v>
      </c>
      <c r="BY1527" t="str">
        <f>IFERROR(BX1527/BO1527,"")</f>
        <v/>
      </c>
      <c r="BZ1527" s="143">
        <v>0</v>
      </c>
      <c r="CA1527" s="143">
        <v>0</v>
      </c>
      <c r="CB1527" s="143">
        <v>0</v>
      </c>
      <c r="CC1527" s="143">
        <v>0</v>
      </c>
      <c r="CD1527" s="143">
        <v>0</v>
      </c>
      <c r="CE1527" s="143">
        <v>0</v>
      </c>
      <c r="CF1527" s="143">
        <v>0</v>
      </c>
      <c r="CG1527" s="143">
        <v>0</v>
      </c>
      <c r="CH1527" s="143">
        <v>0</v>
      </c>
      <c r="CI1527" s="143">
        <v>0</v>
      </c>
      <c r="CJ1527" s="143">
        <v>0</v>
      </c>
      <c r="CK1527" s="143">
        <v>0</v>
      </c>
      <c r="CL1527" s="143">
        <v>0</v>
      </c>
      <c r="CM1527" s="143">
        <v>0</v>
      </c>
      <c r="CN1527" t="str">
        <f>IF(BL1527&lt;BK1527,"refNeedCorrection","refOK")</f>
        <v>refOK</v>
      </c>
      <c r="CO1527"/>
      <c r="CP1527"/>
      <c r="CQ1527"/>
      <c r="CR1527"/>
      <c r="CS1527"/>
      <c r="CT1527">
        <f>IF($CN1527="refNeedCorrection",-BX1527,BX1527)*IF($BP1527="Emissions positive",-1,1)</f>
        <v>0</v>
      </c>
      <c r="CU1527" t="str">
        <f>IFERROR(CT1527/CQ1527,"")</f>
        <v/>
      </c>
      <c r="CV1527" s="2" t="str">
        <f>IFERROR((CS1527-CR1527)/ABS(CR1527),"")</f>
        <v/>
      </c>
      <c r="CW1527" s="1" t="s">
        <v>1199</v>
      </c>
      <c r="CX1527" s="312" t="str">
        <f>IF(OR($CW1527="prd",$CW1527="std",$CW1527="cit"),"loc",IF(OR($CW1527="eur",$CW1527="reg",$CW1527="coy"),"reg",$CW1527))</f>
        <v>reg</v>
      </c>
      <c r="CY1527" t="s">
        <v>540</v>
      </c>
      <c r="CZ1527">
        <v>2018</v>
      </c>
      <c r="DA1527">
        <v>2050</v>
      </c>
      <c r="DB1527">
        <f>DA1527-CZ1527</f>
        <v>32</v>
      </c>
      <c r="DC1527" t="str">
        <f>IF(DB1527=0,"0",IF(AND(DB1527&gt;=1,DB1527&lt;=30),"1-30",IF(AND(DB1527&gt;30,DB1527&lt;=70),"31-70",IF(AND(DB1527&gt;70,DB1527&lt;=100),"71-100",IF(DB1527&gt;100,"+100")))))</f>
        <v>31-70</v>
      </c>
      <c r="DD1527">
        <v>1</v>
      </c>
      <c r="DE1527">
        <v>1</v>
      </c>
      <c r="DF1527">
        <v>1</v>
      </c>
      <c r="DG1527">
        <v>1</v>
      </c>
      <c r="DI1527">
        <f>SUM(DD1527:DG1527)</f>
        <v>4</v>
      </c>
      <c r="DJ1527" t="str">
        <f>IF(DI1527=1,INDEX($DD$7:$DG$7,MATCH(1,$DD1527:$DG1527,0)),"mixedProduct")</f>
        <v>mixedProduct</v>
      </c>
      <c r="DK1527" t="str">
        <f>IF(DD1527=1,DK$7,0)</f>
        <v>Upstream</v>
      </c>
      <c r="DL1527" t="str">
        <f>IF(DE1527=1,DL$7,0)</f>
        <v>Energy</v>
      </c>
      <c r="DM1527" t="str">
        <f>IF(DF1527=1,DM$7,0)</f>
        <v>Pulp/Paper</v>
      </c>
      <c r="DN1527" t="str">
        <f>IF(DG1527=1,DN$7,0)</f>
        <v>Timber</v>
      </c>
      <c r="DO1527">
        <v>1</v>
      </c>
      <c r="DP1527" s="143">
        <v>0</v>
      </c>
      <c r="DQ1527">
        <v>0</v>
      </c>
      <c r="DR1527">
        <v>0</v>
      </c>
      <c r="DS1527">
        <v>0</v>
      </c>
      <c r="DT1527">
        <f>SUM(DO1527:DP1527)</f>
        <v>1</v>
      </c>
      <c r="DU1527" s="143" t="str">
        <f>IF(DO1527=1,"self-calculated DF",IF(DP1527=1,"external DF used","explicit C balance"))</f>
        <v>self-calculated DF</v>
      </c>
      <c r="DV1527" s="143">
        <v>1</v>
      </c>
      <c r="DW1527" s="143">
        <v>1</v>
      </c>
      <c r="DX1527" s="143">
        <v>1</v>
      </c>
      <c r="DY1527" s="143">
        <v>1</v>
      </c>
      <c r="DZ1527" s="143">
        <v>1</v>
      </c>
      <c r="EA1527" s="143">
        <v>1</v>
      </c>
      <c r="EB1527" s="143">
        <v>0</v>
      </c>
      <c r="EC1527" s="143">
        <v>0</v>
      </c>
      <c r="ED1527" s="143">
        <v>0</v>
      </c>
      <c r="EE1527" s="143">
        <v>0</v>
      </c>
      <c r="EF1527" s="143">
        <v>0</v>
      </c>
      <c r="EG1527" s="143">
        <v>0</v>
      </c>
      <c r="EH1527" s="143">
        <v>0</v>
      </c>
      <c r="EI1527" s="196">
        <v>0</v>
      </c>
      <c r="EK1527" t="str">
        <f>IF(AND(AND(AND(OR($DX1527=1,$DW1527=1),OR($EC1527=1,$EA1527=1)),SUM($DV1527:$DZ1527,$EF1527)&gt;=3),SUM($EA1527:$EE1527)&gt;=2),"Whole sector","")</f>
        <v/>
      </c>
      <c r="EL1527" t="str">
        <f>IF(AND(AND(OR($DX1527=1,$DW1527=1),AND($EC1527=0,$EA1527=0)),SUM($DV1527:$DZ1527,$EF1527)&gt;=3),"Ecosystem approach","")</f>
        <v/>
      </c>
      <c r="EM1527" s="2" t="str">
        <f>IF(AND(AND(AND($DX1527=0,$DW1527=0),OR($EC1527=1,$EA1527=1)),SUM($EB1527:$EE1527)&gt;=2),"Technology approach","")</f>
        <v/>
      </c>
      <c r="EP1527" t="b">
        <f>IF(ISNUMBER(BU1527),IF(ABS(BU1527-[5]QC_indicators!$B$2)&gt;3*[5]QC_indicators!$C$2,"C ratio",IF(ISNUMBER(BY1527),IF(ABS(BY1527-[5]QC_indicators!$B$1)&gt;3*[5]QC_indicators!$C$1,"DF","no"))),IF(ISNUMBER(BY1527),IF(ABS(BY1527-[5]QC_indicators!$B$1)&gt;3*[5]QC_indicators!$C$1,"DF","no")))</f>
        <v>0</v>
      </c>
      <c r="ER1527" s="314" t="s">
        <v>349</v>
      </c>
    </row>
    <row r="1528" spans="1:148">
      <c r="D1528" t="s">
        <v>4170</v>
      </c>
      <c r="E1528" t="s">
        <v>4171</v>
      </c>
      <c r="G1528" t="s">
        <v>3564</v>
      </c>
      <c r="I1528">
        <v>2018</v>
      </c>
      <c r="K1528" t="s">
        <v>4172</v>
      </c>
      <c r="M1528" t="str">
        <f>LEFT($D1528,FIND(",",$D1528)-1)&amp;"_"&amp;I1528&amp;L1528</f>
        <v>Smyth_2018</v>
      </c>
      <c r="N1528" s="312" t="s">
        <v>4383</v>
      </c>
      <c r="O1528" s="145" t="s">
        <v>225</v>
      </c>
      <c r="Q1528" s="312" t="s">
        <v>256</v>
      </c>
      <c r="R1528" s="313"/>
      <c r="S1528" s="1" t="s">
        <v>2296</v>
      </c>
      <c r="V1528" s="143">
        <v>1</v>
      </c>
      <c r="W1528" s="143">
        <v>0</v>
      </c>
      <c r="X1528" s="143">
        <v>0</v>
      </c>
      <c r="Y1528" s="143">
        <v>0</v>
      </c>
      <c r="Z1528" s="143">
        <v>0</v>
      </c>
      <c r="AA1528" s="143">
        <v>0</v>
      </c>
      <c r="AB1528" s="143">
        <v>0</v>
      </c>
      <c r="AC1528" s="143">
        <v>0</v>
      </c>
      <c r="AD1528" s="143">
        <v>0</v>
      </c>
      <c r="AE1528" s="143">
        <v>0</v>
      </c>
      <c r="AF1528" s="143">
        <v>0</v>
      </c>
      <c r="AG1528" s="143">
        <v>0</v>
      </c>
      <c r="AH1528" s="143">
        <v>0</v>
      </c>
      <c r="AI1528" s="143">
        <v>0</v>
      </c>
      <c r="AJ1528" s="143">
        <v>0</v>
      </c>
      <c r="AK1528" s="143">
        <v>0</v>
      </c>
      <c r="AL1528" s="143">
        <v>0</v>
      </c>
      <c r="AM1528" s="143">
        <v>0</v>
      </c>
      <c r="AN1528" s="143">
        <v>0</v>
      </c>
      <c r="AO1528" s="143">
        <v>0</v>
      </c>
      <c r="AP1528" s="143">
        <v>0</v>
      </c>
      <c r="AQ1528" s="143">
        <v>0</v>
      </c>
      <c r="AR1528" s="143">
        <v>0</v>
      </c>
      <c r="AS1528" s="143">
        <v>0</v>
      </c>
      <c r="AT1528" s="143">
        <v>0</v>
      </c>
      <c r="AU1528" s="143">
        <v>0</v>
      </c>
      <c r="AV1528" s="143">
        <v>0</v>
      </c>
      <c r="AW1528" s="143">
        <v>0</v>
      </c>
      <c r="AX1528" s="141">
        <f>COUNTIF(V1528:AW1528,"&lt;&gt;0")</f>
        <v>1</v>
      </c>
      <c r="AY1528" s="141">
        <f>COUNTIF(V1528:AL1528,"&lt;&gt;0")</f>
        <v>1</v>
      </c>
      <c r="AZ1528">
        <f>COUNTIF(V1528:AC1528,"&lt;&gt;0")</f>
        <v>1</v>
      </c>
      <c r="BA1528">
        <f>COUNTIF(AD1528:AI1528,"&lt;&gt;0")</f>
        <v>0</v>
      </c>
      <c r="BB1528">
        <f>COUNTIF(AJ1528:AL1528,"&lt;&gt;0")</f>
        <v>0</v>
      </c>
      <c r="BC1528">
        <f>COUNTIF(AS1528:AW1528,"&lt;&gt;0")</f>
        <v>0</v>
      </c>
      <c r="BD1528">
        <f>COUNTIF(AM1528:AR1528,"&lt;&gt;0")</f>
        <v>0</v>
      </c>
      <c r="BE1528" t="str" cm="1">
        <f t="array" ref="BE1528">IF(AY1528=1,INDEX($V$7:$AL$7,MATCH(TRUE,INDEX($V1528:$AW1528&lt;&gt;0,),0)),IF(AY1528=0,INDEX($AM$7:$AW$7,MATCH(1,$AM1528:$AW1528,0)),IF(BF1528="Multiple strategies","mixed drivers",IF(BF1528="Supply chain","multiple supply","multiple silviculture"))))</f>
        <v>area subject to harvest</v>
      </c>
      <c r="BF1528" s="2" t="str" cm="1">
        <f t="array" ref="BF1528">IF(COUNTIF(AZ1528:BB1528,"&lt;&gt;0")=1,INDEX($V$4:$AW$4,MATCH(TRUE,INDEX($V1528:$AW1528&lt;&gt;0,),0)),IF(COUNTIF(AZ1528:BB1528,"&lt;&gt;0")=0,INDEX($AM$4:$AW$4,MATCH(1,$AM1528:$AW1528,0)),"Multiple strategies"))</f>
        <v>Silviculture for removals</v>
      </c>
      <c r="BG1528" s="1" t="s">
        <v>321</v>
      </c>
      <c r="BP1528" s="312" t="s">
        <v>232</v>
      </c>
      <c r="BQ1528" s="312"/>
      <c r="BR1528" t="s">
        <v>4173</v>
      </c>
      <c r="BU1528" s="144"/>
      <c r="BV1528">
        <v>5</v>
      </c>
      <c r="BY1528" t="str">
        <f>IFERROR(BX1528/BO1528,"")</f>
        <v/>
      </c>
      <c r="BZ1528" s="143">
        <v>0</v>
      </c>
      <c r="CA1528" s="143">
        <v>0</v>
      </c>
      <c r="CB1528" s="143">
        <v>0</v>
      </c>
      <c r="CC1528" s="143">
        <v>0</v>
      </c>
      <c r="CD1528" s="143">
        <v>0</v>
      </c>
      <c r="CE1528" s="143">
        <v>0</v>
      </c>
      <c r="CF1528" s="143">
        <v>0</v>
      </c>
      <c r="CG1528" s="143">
        <v>0</v>
      </c>
      <c r="CH1528" s="143">
        <v>0</v>
      </c>
      <c r="CI1528" s="143">
        <v>0</v>
      </c>
      <c r="CJ1528" s="143">
        <v>0</v>
      </c>
      <c r="CK1528" s="143">
        <v>0</v>
      </c>
      <c r="CL1528" s="143">
        <v>0</v>
      </c>
      <c r="CM1528" s="143">
        <v>0</v>
      </c>
      <c r="CN1528" t="str">
        <f>IF(BL1528&lt;BK1528,"refNeedCorrection","refOK")</f>
        <v>refOK</v>
      </c>
      <c r="CO1528"/>
      <c r="CP1528"/>
      <c r="CQ1528"/>
      <c r="CR1528"/>
      <c r="CS1528"/>
      <c r="CT1528">
        <f>IF($CN1528="refNeedCorrection",-BX1528,BX1528)*IF($BP1528="Emissions positive",-1,1)</f>
        <v>0</v>
      </c>
      <c r="CU1528" t="str">
        <f>IFERROR(CT1528/CQ1528,"")</f>
        <v/>
      </c>
      <c r="CV1528" s="2" t="str">
        <f>IFERROR((CS1528-CR1528)/ABS(CR1528),"")</f>
        <v/>
      </c>
      <c r="CW1528" s="1" t="s">
        <v>1199</v>
      </c>
      <c r="CX1528" s="312" t="str">
        <f>IF(OR($CW1528="prd",$CW1528="std",$CW1528="cit"),"loc",IF(OR($CW1528="eur",$CW1528="reg",$CW1528="coy"),"reg",$CW1528))</f>
        <v>reg</v>
      </c>
      <c r="CY1528" t="s">
        <v>540</v>
      </c>
      <c r="CZ1528">
        <v>2018</v>
      </c>
      <c r="DA1528">
        <v>2050</v>
      </c>
      <c r="DB1528">
        <f>DA1528-CZ1528</f>
        <v>32</v>
      </c>
      <c r="DC1528" t="str">
        <f>IF(DB1528=0,"0",IF(AND(DB1528&gt;=1,DB1528&lt;=30),"1-30",IF(AND(DB1528&gt;30,DB1528&lt;=70),"31-70",IF(AND(DB1528&gt;70,DB1528&lt;=100),"71-100",IF(DB1528&gt;100,"+100")))))</f>
        <v>31-70</v>
      </c>
      <c r="DD1528">
        <v>1</v>
      </c>
      <c r="DE1528">
        <v>1</v>
      </c>
      <c r="DF1528">
        <v>1</v>
      </c>
      <c r="DG1528">
        <v>1</v>
      </c>
      <c r="DI1528">
        <f>SUM(DD1528:DG1528)</f>
        <v>4</v>
      </c>
      <c r="DJ1528" t="str">
        <f>IF(DI1528=1,INDEX($DD$7:$DG$7,MATCH(1,$DD1528:$DG1528,0)),"mixedProduct")</f>
        <v>mixedProduct</v>
      </c>
      <c r="DK1528" t="str">
        <f>IF(DD1528=1,DK$7,0)</f>
        <v>Upstream</v>
      </c>
      <c r="DL1528" t="str">
        <f>IF(DE1528=1,DL$7,0)</f>
        <v>Energy</v>
      </c>
      <c r="DM1528" t="str">
        <f>IF(DF1528=1,DM$7,0)</f>
        <v>Pulp/Paper</v>
      </c>
      <c r="DN1528" t="str">
        <f>IF(DG1528=1,DN$7,0)</f>
        <v>Timber</v>
      </c>
      <c r="DO1528">
        <v>1</v>
      </c>
      <c r="DP1528" s="143">
        <v>0</v>
      </c>
      <c r="DQ1528">
        <v>0</v>
      </c>
      <c r="DR1528">
        <v>0</v>
      </c>
      <c r="DS1528">
        <v>0</v>
      </c>
      <c r="DT1528">
        <f>SUM(DO1528:DP1528)</f>
        <v>1</v>
      </c>
      <c r="DU1528" s="143" t="str">
        <f>IF(DO1528=1,"self-calculated DF",IF(DP1528=1,"external DF used","explicit C balance"))</f>
        <v>self-calculated DF</v>
      </c>
      <c r="DV1528" s="143">
        <v>1</v>
      </c>
      <c r="DW1528" s="143">
        <v>1</v>
      </c>
      <c r="DX1528" s="143">
        <v>1</v>
      </c>
      <c r="DY1528" s="143">
        <v>1</v>
      </c>
      <c r="DZ1528" s="143">
        <v>1</v>
      </c>
      <c r="EA1528" s="143">
        <v>1</v>
      </c>
      <c r="EB1528" s="143">
        <v>0</v>
      </c>
      <c r="EC1528" s="143">
        <v>0</v>
      </c>
      <c r="ED1528" s="143">
        <v>0</v>
      </c>
      <c r="EE1528" s="143">
        <v>0</v>
      </c>
      <c r="EF1528" s="143">
        <v>0</v>
      </c>
      <c r="EG1528" s="143">
        <v>0</v>
      </c>
      <c r="EH1528" s="143">
        <v>0</v>
      </c>
      <c r="EI1528" s="196">
        <v>0</v>
      </c>
      <c r="EK1528" t="str">
        <f>IF(AND(AND(AND(OR($DX1528=1,$DW1528=1),OR($EC1528=1,$EA1528=1)),SUM($DV1528:$DZ1528,$EF1528)&gt;=3),SUM($EA1528:$EE1528)&gt;=2),"Whole sector","")</f>
        <v/>
      </c>
      <c r="EL1528" t="str">
        <f>IF(AND(AND(OR($DX1528=1,$DW1528=1),AND($EC1528=0,$EA1528=0)),SUM($DV1528:$DZ1528,$EF1528)&gt;=3),"Ecosystem approach","")</f>
        <v/>
      </c>
      <c r="EM1528" s="2" t="str">
        <f>IF(AND(AND(AND($DX1528=0,$DW1528=0),OR($EC1528=1,$EA1528=1)),SUM($EB1528:$EE1528)&gt;=2),"Technology approach","")</f>
        <v/>
      </c>
      <c r="EP1528" t="b">
        <f>IF(ISNUMBER(BU1528),IF(ABS(BU1528-[5]QC_indicators!$B$2)&gt;3*[5]QC_indicators!$C$2,"C ratio",IF(ISNUMBER(BY1528),IF(ABS(BY1528-[5]QC_indicators!$B$1)&gt;3*[5]QC_indicators!$C$1,"DF","no"))),IF(ISNUMBER(BY1528),IF(ABS(BY1528-[5]QC_indicators!$B$1)&gt;3*[5]QC_indicators!$C$1,"DF","no")))</f>
        <v>0</v>
      </c>
      <c r="ER1528" s="314" t="s">
        <v>349</v>
      </c>
    </row>
    <row r="1529" spans="1:148">
      <c r="D1529" t="s">
        <v>4170</v>
      </c>
      <c r="E1529" t="s">
        <v>4171</v>
      </c>
      <c r="G1529" t="s">
        <v>3564</v>
      </c>
      <c r="I1529">
        <v>2018</v>
      </c>
      <c r="K1529" t="s">
        <v>4172</v>
      </c>
      <c r="M1529" t="str">
        <f>LEFT($D1529,FIND(",",$D1529)-1)&amp;"_"&amp;I1529&amp;L1529</f>
        <v>Smyth_2018</v>
      </c>
      <c r="N1529" s="312" t="s">
        <v>4383</v>
      </c>
      <c r="O1529" s="145" t="s">
        <v>225</v>
      </c>
      <c r="Q1529" s="312" t="s">
        <v>256</v>
      </c>
      <c r="R1529" s="313"/>
      <c r="S1529" s="1" t="s">
        <v>4174</v>
      </c>
      <c r="V1529" s="143">
        <v>0</v>
      </c>
      <c r="W1529" s="143">
        <v>0</v>
      </c>
      <c r="X1529" s="143">
        <v>0</v>
      </c>
      <c r="Y1529" s="143">
        <v>1</v>
      </c>
      <c r="Z1529" s="143">
        <v>0</v>
      </c>
      <c r="AA1529" s="143">
        <v>0</v>
      </c>
      <c r="AB1529" s="143">
        <v>0</v>
      </c>
      <c r="AC1529" s="143">
        <v>0</v>
      </c>
      <c r="AD1529" s="143">
        <v>0</v>
      </c>
      <c r="AE1529" s="143">
        <v>0</v>
      </c>
      <c r="AF1529" s="143">
        <v>0</v>
      </c>
      <c r="AG1529" s="143">
        <v>0</v>
      </c>
      <c r="AH1529" s="143">
        <v>0</v>
      </c>
      <c r="AI1529" s="143">
        <v>0</v>
      </c>
      <c r="AJ1529" s="143">
        <v>0</v>
      </c>
      <c r="AK1529" s="143">
        <v>0</v>
      </c>
      <c r="AL1529" s="143">
        <v>0</v>
      </c>
      <c r="AM1529" s="143">
        <v>0</v>
      </c>
      <c r="AN1529" s="143">
        <v>0</v>
      </c>
      <c r="AO1529" s="143">
        <v>0</v>
      </c>
      <c r="AP1529" s="143">
        <v>0</v>
      </c>
      <c r="AQ1529" s="143">
        <v>0</v>
      </c>
      <c r="AR1529" s="143">
        <v>0</v>
      </c>
      <c r="AS1529" s="143">
        <v>0</v>
      </c>
      <c r="AT1529" s="143">
        <v>0</v>
      </c>
      <c r="AU1529" s="143">
        <v>0</v>
      </c>
      <c r="AV1529" s="143">
        <v>0</v>
      </c>
      <c r="AW1529" s="143">
        <v>0</v>
      </c>
      <c r="AX1529" s="141">
        <f>COUNTIF(V1529:AW1529,"&lt;&gt;0")</f>
        <v>1</v>
      </c>
      <c r="AY1529" s="141">
        <f>COUNTIF(V1529:AL1529,"&lt;&gt;0")</f>
        <v>1</v>
      </c>
      <c r="AZ1529">
        <f>COUNTIF(V1529:AC1529,"&lt;&gt;0")</f>
        <v>1</v>
      </c>
      <c r="BA1529">
        <f>COUNTIF(AD1529:AI1529,"&lt;&gt;0")</f>
        <v>0</v>
      </c>
      <c r="BB1529">
        <f>COUNTIF(AJ1529:AL1529,"&lt;&gt;0")</f>
        <v>0</v>
      </c>
      <c r="BC1529">
        <f>COUNTIF(AS1529:AW1529,"&lt;&gt;0")</f>
        <v>0</v>
      </c>
      <c r="BD1529">
        <f>COUNTIF(AM1529:AR1529,"&lt;&gt;0")</f>
        <v>0</v>
      </c>
      <c r="BE1529" t="str" cm="1">
        <f t="array" ref="BE1529">IF(AY1529=1,INDEX($V$7:$AL$7,MATCH(TRUE,INDEX($V1529:$AW1529&lt;&gt;0,),0)),IF(AY1529=0,INDEX($AM$7:$AW$7,MATCH(1,$AM1529:$AW1529,0)),IF(BF1529="Multiple strategies","mixed drivers",IF(BF1529="Supply chain","multiple supply","multiple silviculture"))))</f>
        <v xml:space="preserve">cutting intensity </v>
      </c>
      <c r="BF1529" s="2" t="str" cm="1">
        <f t="array" ref="BF1529">IF(COUNTIF(AZ1529:BB1529,"&lt;&gt;0")=1,INDEX($V$4:$AW$4,MATCH(TRUE,INDEX($V1529:$AW1529&lt;&gt;0,),0)),IF(COUNTIF(AZ1529:BB1529,"&lt;&gt;0")=0,INDEX($AM$4:$AW$4,MATCH(1,$AM1529:$AW1529,0)),"Multiple strategies"))</f>
        <v>Silviculture for removals</v>
      </c>
      <c r="BG1529" s="1" t="s">
        <v>321</v>
      </c>
      <c r="BP1529" s="312" t="s">
        <v>232</v>
      </c>
      <c r="BQ1529" s="312"/>
      <c r="BR1529" t="s">
        <v>4173</v>
      </c>
      <c r="BU1529" s="144"/>
      <c r="BV1529">
        <v>114</v>
      </c>
      <c r="BY1529" t="str">
        <f>IFERROR(BX1529/BO1529,"")</f>
        <v/>
      </c>
      <c r="BZ1529" s="143">
        <v>0</v>
      </c>
      <c r="CA1529" s="143">
        <v>0</v>
      </c>
      <c r="CB1529" s="143">
        <v>0</v>
      </c>
      <c r="CC1529" s="143">
        <v>0</v>
      </c>
      <c r="CD1529" s="143">
        <v>0</v>
      </c>
      <c r="CE1529" s="143">
        <v>0</v>
      </c>
      <c r="CF1529" s="143">
        <v>0</v>
      </c>
      <c r="CG1529" s="143">
        <v>0</v>
      </c>
      <c r="CH1529" s="143">
        <v>0</v>
      </c>
      <c r="CI1529" s="143">
        <v>0</v>
      </c>
      <c r="CJ1529" s="143">
        <v>0</v>
      </c>
      <c r="CK1529" s="143">
        <v>0</v>
      </c>
      <c r="CL1529" s="143">
        <v>0</v>
      </c>
      <c r="CM1529" s="143">
        <v>0</v>
      </c>
      <c r="CN1529" t="str">
        <f>IF(BL1529&lt;BK1529,"refNeedCorrection","refOK")</f>
        <v>refOK</v>
      </c>
      <c r="CO1529"/>
      <c r="CP1529"/>
      <c r="CQ1529"/>
      <c r="CR1529"/>
      <c r="CS1529"/>
      <c r="CT1529">
        <f>IF($CN1529="refNeedCorrection",-BX1529,BX1529)*IF($BP1529="Emissions positive",-1,1)</f>
        <v>0</v>
      </c>
      <c r="CU1529" t="str">
        <f>IFERROR(CT1529/CQ1529,"")</f>
        <v/>
      </c>
      <c r="CV1529" s="2" t="str">
        <f>IFERROR((CS1529-CR1529)/ABS(CR1529),"")</f>
        <v/>
      </c>
      <c r="CW1529" s="1" t="s">
        <v>1199</v>
      </c>
      <c r="CX1529" s="312" t="str">
        <f>IF(OR($CW1529="prd",$CW1529="std",$CW1529="cit"),"loc",IF(OR($CW1529="eur",$CW1529="reg",$CW1529="coy"),"reg",$CW1529))</f>
        <v>reg</v>
      </c>
      <c r="CY1529" t="s">
        <v>540</v>
      </c>
      <c r="CZ1529">
        <v>2018</v>
      </c>
      <c r="DA1529">
        <v>2050</v>
      </c>
      <c r="DB1529">
        <f>DA1529-CZ1529</f>
        <v>32</v>
      </c>
      <c r="DC1529" t="str">
        <f>IF(DB1529=0,"0",IF(AND(DB1529&gt;=1,DB1529&lt;=30),"1-30",IF(AND(DB1529&gt;30,DB1529&lt;=70),"31-70",IF(AND(DB1529&gt;70,DB1529&lt;=100),"71-100",IF(DB1529&gt;100,"+100")))))</f>
        <v>31-70</v>
      </c>
      <c r="DD1529">
        <v>1</v>
      </c>
      <c r="DE1529">
        <v>1</v>
      </c>
      <c r="DF1529">
        <v>1</v>
      </c>
      <c r="DG1529">
        <v>1</v>
      </c>
      <c r="DI1529">
        <f>SUM(DD1529:DG1529)</f>
        <v>4</v>
      </c>
      <c r="DJ1529" t="str">
        <f>IF(DI1529=1,INDEX($DD$7:$DG$7,MATCH(1,$DD1529:$DG1529,0)),"mixedProduct")</f>
        <v>mixedProduct</v>
      </c>
      <c r="DK1529" t="str">
        <f>IF(DD1529=1,DK$7,0)</f>
        <v>Upstream</v>
      </c>
      <c r="DL1529" t="str">
        <f>IF(DE1529=1,DL$7,0)</f>
        <v>Energy</v>
      </c>
      <c r="DM1529" t="str">
        <f>IF(DF1529=1,DM$7,0)</f>
        <v>Pulp/Paper</v>
      </c>
      <c r="DN1529" t="str">
        <f>IF(DG1529=1,DN$7,0)</f>
        <v>Timber</v>
      </c>
      <c r="DO1529">
        <v>1</v>
      </c>
      <c r="DP1529" s="143">
        <v>0</v>
      </c>
      <c r="DQ1529">
        <v>0</v>
      </c>
      <c r="DR1529">
        <v>0</v>
      </c>
      <c r="DS1529">
        <v>0</v>
      </c>
      <c r="DT1529">
        <f>SUM(DO1529:DP1529)</f>
        <v>1</v>
      </c>
      <c r="DU1529" s="143" t="str">
        <f>IF(DO1529=1,"self-calculated DF",IF(DP1529=1,"external DF used","explicit C balance"))</f>
        <v>self-calculated DF</v>
      </c>
      <c r="DV1529" s="143">
        <v>1</v>
      </c>
      <c r="DW1529" s="143">
        <v>1</v>
      </c>
      <c r="DX1529" s="143">
        <v>1</v>
      </c>
      <c r="DY1529" s="143">
        <v>1</v>
      </c>
      <c r="DZ1529" s="143">
        <v>1</v>
      </c>
      <c r="EA1529" s="143">
        <v>1</v>
      </c>
      <c r="EB1529" s="143">
        <v>0</v>
      </c>
      <c r="EC1529" s="143">
        <v>0</v>
      </c>
      <c r="ED1529" s="143">
        <v>0</v>
      </c>
      <c r="EE1529" s="143">
        <v>0</v>
      </c>
      <c r="EF1529" s="143">
        <v>0</v>
      </c>
      <c r="EG1529" s="143">
        <v>0</v>
      </c>
      <c r="EH1529" s="143">
        <v>0</v>
      </c>
      <c r="EI1529" s="196">
        <v>0</v>
      </c>
      <c r="EK1529" t="str">
        <f>IF(AND(AND(AND(OR($DX1529=1,$DW1529=1),OR($EC1529=1,$EA1529=1)),SUM($DV1529:$DZ1529,$EF1529)&gt;=3),SUM($EA1529:$EE1529)&gt;=2),"Whole sector","")</f>
        <v/>
      </c>
      <c r="EL1529" t="str">
        <f>IF(AND(AND(OR($DX1529=1,$DW1529=1),AND($EC1529=0,$EA1529=0)),SUM($DV1529:$DZ1529,$EF1529)&gt;=3),"Ecosystem approach","")</f>
        <v/>
      </c>
      <c r="EM1529" s="2" t="str">
        <f>IF(AND(AND(AND($DX1529=0,$DW1529=0),OR($EC1529=1,$EA1529=1)),SUM($EB1529:$EE1529)&gt;=2),"Technology approach","")</f>
        <v/>
      </c>
      <c r="EP1529" t="b">
        <f>IF(ISNUMBER(BU1529),IF(ABS(BU1529-[5]QC_indicators!$B$2)&gt;3*[5]QC_indicators!$C$2,"C ratio",IF(ISNUMBER(BY1529),IF(ABS(BY1529-[5]QC_indicators!$B$1)&gt;3*[5]QC_indicators!$C$1,"DF","no"))),IF(ISNUMBER(BY1529),IF(ABS(BY1529-[5]QC_indicators!$B$1)&gt;3*[5]QC_indicators!$C$1,"DF","no")))</f>
        <v>0</v>
      </c>
      <c r="ER1529" s="314" t="s">
        <v>349</v>
      </c>
    </row>
    <row r="1530" spans="1:148" ht="15" customHeight="1">
      <c r="D1530" t="s">
        <v>4170</v>
      </c>
      <c r="E1530" t="s">
        <v>4171</v>
      </c>
      <c r="G1530" t="s">
        <v>3564</v>
      </c>
      <c r="I1530">
        <v>2018</v>
      </c>
      <c r="K1530" t="s">
        <v>4172</v>
      </c>
      <c r="M1530" t="str">
        <f>LEFT($D1530,FIND(",",$D1530)-1)&amp;"_"&amp;I1530&amp;L1530</f>
        <v>Smyth_2018</v>
      </c>
      <c r="N1530" s="312" t="s">
        <v>4383</v>
      </c>
      <c r="O1530" s="145" t="s">
        <v>225</v>
      </c>
      <c r="Q1530" s="312" t="s">
        <v>256</v>
      </c>
      <c r="R1530" s="313"/>
      <c r="S1530" s="1" t="s">
        <v>4174</v>
      </c>
      <c r="V1530" s="143">
        <v>0</v>
      </c>
      <c r="W1530" s="143">
        <v>0</v>
      </c>
      <c r="X1530" s="143">
        <v>0</v>
      </c>
      <c r="Y1530" s="143">
        <v>1</v>
      </c>
      <c r="Z1530" s="143">
        <v>0</v>
      </c>
      <c r="AA1530" s="143">
        <v>0</v>
      </c>
      <c r="AB1530" s="143">
        <v>0</v>
      </c>
      <c r="AC1530" s="143">
        <v>0</v>
      </c>
      <c r="AD1530" s="143">
        <v>0</v>
      </c>
      <c r="AE1530" s="143">
        <v>0</v>
      </c>
      <c r="AF1530" s="143">
        <v>0</v>
      </c>
      <c r="AG1530" s="143">
        <v>0</v>
      </c>
      <c r="AH1530" s="143">
        <v>0</v>
      </c>
      <c r="AI1530" s="143">
        <v>0</v>
      </c>
      <c r="AJ1530" s="143">
        <v>0</v>
      </c>
      <c r="AK1530" s="143">
        <v>0</v>
      </c>
      <c r="AL1530" s="143">
        <v>0</v>
      </c>
      <c r="AM1530" s="143">
        <v>0</v>
      </c>
      <c r="AN1530" s="143">
        <v>0</v>
      </c>
      <c r="AO1530" s="143">
        <v>0</v>
      </c>
      <c r="AP1530" s="143">
        <v>0</v>
      </c>
      <c r="AQ1530" s="143">
        <v>0</v>
      </c>
      <c r="AR1530" s="143">
        <v>0</v>
      </c>
      <c r="AS1530" s="143">
        <v>0</v>
      </c>
      <c r="AT1530" s="143">
        <v>0</v>
      </c>
      <c r="AU1530" s="143">
        <v>0</v>
      </c>
      <c r="AV1530" s="143">
        <v>0</v>
      </c>
      <c r="AW1530" s="143">
        <v>0</v>
      </c>
      <c r="AX1530" s="141">
        <f>COUNTIF(V1530:AW1530,"&lt;&gt;0")</f>
        <v>1</v>
      </c>
      <c r="AY1530" s="141">
        <f>COUNTIF(V1530:AL1530,"&lt;&gt;0")</f>
        <v>1</v>
      </c>
      <c r="AZ1530">
        <f>COUNTIF(V1530:AC1530,"&lt;&gt;0")</f>
        <v>1</v>
      </c>
      <c r="BA1530">
        <f>COUNTIF(AD1530:AI1530,"&lt;&gt;0")</f>
        <v>0</v>
      </c>
      <c r="BB1530">
        <f>COUNTIF(AJ1530:AL1530,"&lt;&gt;0")</f>
        <v>0</v>
      </c>
      <c r="BC1530">
        <f>COUNTIF(AS1530:AW1530,"&lt;&gt;0")</f>
        <v>0</v>
      </c>
      <c r="BD1530">
        <f>COUNTIF(AM1530:AR1530,"&lt;&gt;0")</f>
        <v>0</v>
      </c>
      <c r="BE1530" t="str" cm="1">
        <f t="array" ref="BE1530">IF(AY1530=1,INDEX($V$7:$AL$7,MATCH(TRUE,INDEX($V1530:$AW1530&lt;&gt;0,),0)),IF(AY1530=0,INDEX($AM$7:$AW$7,MATCH(1,$AM1530:$AW1530,0)),IF(BF1530="Multiple strategies","mixed drivers",IF(BF1530="Supply chain","multiple supply","multiple silviculture"))))</f>
        <v xml:space="preserve">cutting intensity </v>
      </c>
      <c r="BF1530" s="2" t="str" cm="1">
        <f t="array" ref="BF1530">IF(COUNTIF(AZ1530:BB1530,"&lt;&gt;0")=1,INDEX($V$4:$AW$4,MATCH(TRUE,INDEX($V1530:$AW1530&lt;&gt;0,),0)),IF(COUNTIF(AZ1530:BB1530,"&lt;&gt;0")=0,INDEX($AM$4:$AW$4,MATCH(1,$AM1530:$AW1530,0)),"Multiple strategies"))</f>
        <v>Silviculture for removals</v>
      </c>
      <c r="BG1530" s="1" t="s">
        <v>321</v>
      </c>
      <c r="BP1530" s="312" t="s">
        <v>232</v>
      </c>
      <c r="BQ1530" s="312"/>
      <c r="BR1530" t="s">
        <v>4173</v>
      </c>
      <c r="BU1530" s="144"/>
      <c r="BV1530">
        <v>35</v>
      </c>
      <c r="BY1530" t="str">
        <f>IFERROR(BX1530/BO1530,"")</f>
        <v/>
      </c>
      <c r="BZ1530" s="143">
        <v>0</v>
      </c>
      <c r="CA1530" s="143">
        <v>0</v>
      </c>
      <c r="CB1530" s="143">
        <v>0</v>
      </c>
      <c r="CC1530" s="143">
        <v>0</v>
      </c>
      <c r="CD1530" s="143">
        <v>0</v>
      </c>
      <c r="CE1530" s="143">
        <v>0</v>
      </c>
      <c r="CF1530" s="143">
        <v>0</v>
      </c>
      <c r="CG1530" s="143">
        <v>0</v>
      </c>
      <c r="CH1530" s="143">
        <v>0</v>
      </c>
      <c r="CI1530" s="143">
        <v>0</v>
      </c>
      <c r="CJ1530" s="143">
        <v>0</v>
      </c>
      <c r="CK1530" s="143">
        <v>0</v>
      </c>
      <c r="CL1530" s="143">
        <v>0</v>
      </c>
      <c r="CM1530" s="143">
        <v>0</v>
      </c>
      <c r="CN1530" t="str">
        <f>IF(BL1530&lt;BK1530,"refNeedCorrection","refOK")</f>
        <v>refOK</v>
      </c>
      <c r="CO1530"/>
      <c r="CP1530"/>
      <c r="CQ1530"/>
      <c r="CR1530"/>
      <c r="CS1530"/>
      <c r="CT1530">
        <f>IF($CN1530="refNeedCorrection",-BX1530,BX1530)*IF($BP1530="Emissions positive",-1,1)</f>
        <v>0</v>
      </c>
      <c r="CU1530" t="str">
        <f>IFERROR(CT1530/CQ1530,"")</f>
        <v/>
      </c>
      <c r="CV1530" s="2" t="str">
        <f>IFERROR((CS1530-CR1530)/ABS(CR1530),"")</f>
        <v/>
      </c>
      <c r="CW1530" s="1" t="s">
        <v>1199</v>
      </c>
      <c r="CX1530" s="312" t="str">
        <f>IF(OR($CW1530="prd",$CW1530="std",$CW1530="cit"),"loc",IF(OR($CW1530="eur",$CW1530="reg",$CW1530="coy"),"reg",$CW1530))</f>
        <v>reg</v>
      </c>
      <c r="CY1530" t="s">
        <v>540</v>
      </c>
      <c r="CZ1530">
        <v>2018</v>
      </c>
      <c r="DA1530">
        <v>2050</v>
      </c>
      <c r="DB1530">
        <f>DA1530-CZ1530</f>
        <v>32</v>
      </c>
      <c r="DC1530" t="str">
        <f>IF(DB1530=0,"0",IF(AND(DB1530&gt;=1,DB1530&lt;=30),"1-30",IF(AND(DB1530&gt;30,DB1530&lt;=70),"31-70",IF(AND(DB1530&gt;70,DB1530&lt;=100),"71-100",IF(DB1530&gt;100,"+100")))))</f>
        <v>31-70</v>
      </c>
      <c r="DD1530">
        <v>1</v>
      </c>
      <c r="DE1530">
        <v>1</v>
      </c>
      <c r="DF1530">
        <v>1</v>
      </c>
      <c r="DG1530">
        <v>1</v>
      </c>
      <c r="DI1530">
        <f>SUM(DD1530:DG1530)</f>
        <v>4</v>
      </c>
      <c r="DJ1530" t="str">
        <f>IF(DI1530=1,INDEX($DD$7:$DG$7,MATCH(1,$DD1530:$DG1530,0)),"mixedProduct")</f>
        <v>mixedProduct</v>
      </c>
      <c r="DK1530" t="str">
        <f>IF(DD1530=1,DK$7,0)</f>
        <v>Upstream</v>
      </c>
      <c r="DL1530" t="str">
        <f>IF(DE1530=1,DL$7,0)</f>
        <v>Energy</v>
      </c>
      <c r="DM1530" t="str">
        <f>IF(DF1530=1,DM$7,0)</f>
        <v>Pulp/Paper</v>
      </c>
      <c r="DN1530" t="str">
        <f>IF(DG1530=1,DN$7,0)</f>
        <v>Timber</v>
      </c>
      <c r="DO1530">
        <v>1</v>
      </c>
      <c r="DP1530" s="143">
        <v>0</v>
      </c>
      <c r="DQ1530">
        <v>0</v>
      </c>
      <c r="DR1530">
        <v>0</v>
      </c>
      <c r="DS1530">
        <v>0</v>
      </c>
      <c r="DT1530">
        <f>SUM(DO1530:DP1530)</f>
        <v>1</v>
      </c>
      <c r="DU1530" s="143" t="str">
        <f>IF(DO1530=1,"self-calculated DF",IF(DP1530=1,"external DF used","explicit C balance"))</f>
        <v>self-calculated DF</v>
      </c>
      <c r="DV1530" s="143">
        <v>1</v>
      </c>
      <c r="DW1530" s="143">
        <v>1</v>
      </c>
      <c r="DX1530" s="143">
        <v>1</v>
      </c>
      <c r="DY1530" s="143">
        <v>1</v>
      </c>
      <c r="DZ1530" s="143">
        <v>1</v>
      </c>
      <c r="EA1530" s="143">
        <v>1</v>
      </c>
      <c r="EB1530" s="143">
        <v>0</v>
      </c>
      <c r="EC1530" s="143">
        <v>0</v>
      </c>
      <c r="ED1530" s="143">
        <v>0</v>
      </c>
      <c r="EE1530" s="143">
        <v>0</v>
      </c>
      <c r="EF1530" s="143">
        <v>0</v>
      </c>
      <c r="EG1530" s="143">
        <v>0</v>
      </c>
      <c r="EH1530" s="143">
        <v>0</v>
      </c>
      <c r="EI1530" s="196">
        <v>0</v>
      </c>
      <c r="EK1530" t="str">
        <f>IF(AND(AND(AND(OR($DX1530=1,$DW1530=1),OR($EC1530=1,$EA1530=1)),SUM($DV1530:$DZ1530,$EF1530)&gt;=3),SUM($EA1530:$EE1530)&gt;=2),"Whole sector","")</f>
        <v/>
      </c>
      <c r="EL1530" t="str">
        <f>IF(AND(AND(OR($DX1530=1,$DW1530=1),AND($EC1530=0,$EA1530=0)),SUM($DV1530:$DZ1530,$EF1530)&gt;=3),"Ecosystem approach","")</f>
        <v/>
      </c>
      <c r="EM1530" s="2" t="str">
        <f>IF(AND(AND(AND($DX1530=0,$DW1530=0),OR($EC1530=1,$EA1530=1)),SUM($EB1530:$EE1530)&gt;=2),"Technology approach","")</f>
        <v/>
      </c>
      <c r="EP1530" t="b">
        <f>IF(ISNUMBER(BU1530),IF(ABS(BU1530-[5]QC_indicators!$B$2)&gt;3*[5]QC_indicators!$C$2,"C ratio",IF(ISNUMBER(BY1530),IF(ABS(BY1530-[5]QC_indicators!$B$1)&gt;3*[5]QC_indicators!$C$1,"DF","no"))),IF(ISNUMBER(BY1530),IF(ABS(BY1530-[5]QC_indicators!$B$1)&gt;3*[5]QC_indicators!$C$1,"DF","no")))</f>
        <v>0</v>
      </c>
      <c r="ER1530" s="314" t="s">
        <v>349</v>
      </c>
    </row>
    <row r="1531" spans="1:148" ht="15" customHeight="1">
      <c r="D1531" t="s">
        <v>4170</v>
      </c>
      <c r="E1531" t="s">
        <v>4171</v>
      </c>
      <c r="G1531" t="s">
        <v>3564</v>
      </c>
      <c r="I1531">
        <v>2018</v>
      </c>
      <c r="K1531" t="s">
        <v>4172</v>
      </c>
      <c r="M1531" t="str">
        <f>LEFT($D1531,FIND(",",$D1531)-1)&amp;"_"&amp;I1531&amp;L1531</f>
        <v>Smyth_2018</v>
      </c>
      <c r="N1531" s="312" t="s">
        <v>4383</v>
      </c>
      <c r="O1531" s="145" t="s">
        <v>225</v>
      </c>
      <c r="Q1531" s="312" t="s">
        <v>256</v>
      </c>
      <c r="R1531" s="313"/>
      <c r="S1531" s="1" t="s">
        <v>4175</v>
      </c>
      <c r="V1531" s="143">
        <v>0</v>
      </c>
      <c r="W1531" s="143">
        <v>0</v>
      </c>
      <c r="X1531" s="143">
        <v>0</v>
      </c>
      <c r="Y1531" s="143">
        <v>1</v>
      </c>
      <c r="Z1531" s="143">
        <v>0</v>
      </c>
      <c r="AA1531" s="143">
        <v>0</v>
      </c>
      <c r="AB1531" s="143">
        <v>0</v>
      </c>
      <c r="AC1531" s="143">
        <v>0</v>
      </c>
      <c r="AD1531" s="143">
        <v>0</v>
      </c>
      <c r="AE1531" s="143">
        <v>0</v>
      </c>
      <c r="AF1531" s="143">
        <v>0</v>
      </c>
      <c r="AG1531" s="143">
        <v>0</v>
      </c>
      <c r="AH1531" s="143">
        <v>0</v>
      </c>
      <c r="AI1531" s="143">
        <v>0</v>
      </c>
      <c r="AJ1531" s="143">
        <v>0</v>
      </c>
      <c r="AK1531" s="143">
        <v>0</v>
      </c>
      <c r="AL1531" s="143">
        <v>0</v>
      </c>
      <c r="AM1531" s="143">
        <v>0</v>
      </c>
      <c r="AN1531" s="143">
        <v>0</v>
      </c>
      <c r="AO1531" s="143">
        <v>0</v>
      </c>
      <c r="AP1531" s="143">
        <v>0</v>
      </c>
      <c r="AQ1531" s="143">
        <v>0</v>
      </c>
      <c r="AR1531" s="143">
        <v>0</v>
      </c>
      <c r="AS1531" s="143">
        <v>0</v>
      </c>
      <c r="AT1531" s="143">
        <v>0</v>
      </c>
      <c r="AU1531" s="143">
        <v>0</v>
      </c>
      <c r="AV1531" s="143">
        <v>0</v>
      </c>
      <c r="AW1531" s="143">
        <v>0</v>
      </c>
      <c r="AX1531" s="141">
        <f>COUNTIF(V1531:AW1531,"&lt;&gt;0")</f>
        <v>1</v>
      </c>
      <c r="AY1531" s="141">
        <f>COUNTIF(V1531:AL1531,"&lt;&gt;0")</f>
        <v>1</v>
      </c>
      <c r="AZ1531">
        <f>COUNTIF(V1531:AC1531,"&lt;&gt;0")</f>
        <v>1</v>
      </c>
      <c r="BA1531">
        <f>COUNTIF(AD1531:AI1531,"&lt;&gt;0")</f>
        <v>0</v>
      </c>
      <c r="BB1531">
        <f>COUNTIF(AJ1531:AL1531,"&lt;&gt;0")</f>
        <v>0</v>
      </c>
      <c r="BC1531">
        <f>COUNTIF(AS1531:AW1531,"&lt;&gt;0")</f>
        <v>0</v>
      </c>
      <c r="BD1531">
        <f>COUNTIF(AM1531:AR1531,"&lt;&gt;0")</f>
        <v>0</v>
      </c>
      <c r="BE1531" t="str" cm="1">
        <f t="array" ref="BE1531">IF(AY1531=1,INDEX($V$7:$AL$7,MATCH(TRUE,INDEX($V1531:$AW1531&lt;&gt;0,),0)),IF(AY1531=0,INDEX($AM$7:$AW$7,MATCH(1,$AM1531:$AW1531,0)),IF(BF1531="Multiple strategies","mixed drivers",IF(BF1531="Supply chain","multiple supply","multiple silviculture"))))</f>
        <v xml:space="preserve">cutting intensity </v>
      </c>
      <c r="BF1531" s="2" t="str" cm="1">
        <f t="array" ref="BF1531">IF(COUNTIF(AZ1531:BB1531,"&lt;&gt;0")=1,INDEX($V$4:$AW$4,MATCH(TRUE,INDEX($V1531:$AW1531&lt;&gt;0,),0)),IF(COUNTIF(AZ1531:BB1531,"&lt;&gt;0")=0,INDEX($AM$4:$AW$4,MATCH(1,$AM1531:$AW1531,0)),"Multiple strategies"))</f>
        <v>Silviculture for removals</v>
      </c>
      <c r="BG1531" s="1" t="s">
        <v>321</v>
      </c>
      <c r="BP1531" s="312" t="s">
        <v>232</v>
      </c>
      <c r="BQ1531" s="312"/>
      <c r="BR1531" t="s">
        <v>4173</v>
      </c>
      <c r="BU1531" s="144"/>
      <c r="BV1531">
        <v>7</v>
      </c>
      <c r="BY1531" t="str">
        <f>IFERROR(BX1531/BO1531,"")</f>
        <v/>
      </c>
      <c r="BZ1531" s="143">
        <v>0</v>
      </c>
      <c r="CA1531" s="143">
        <v>0</v>
      </c>
      <c r="CB1531" s="143">
        <v>0</v>
      </c>
      <c r="CC1531" s="143">
        <v>0</v>
      </c>
      <c r="CD1531" s="143">
        <v>0</v>
      </c>
      <c r="CE1531" s="143">
        <v>0</v>
      </c>
      <c r="CF1531" s="143">
        <v>0</v>
      </c>
      <c r="CG1531" s="143">
        <v>0</v>
      </c>
      <c r="CH1531" s="143">
        <v>0</v>
      </c>
      <c r="CI1531" s="143">
        <v>0</v>
      </c>
      <c r="CJ1531" s="143">
        <v>0</v>
      </c>
      <c r="CK1531" s="143">
        <v>0</v>
      </c>
      <c r="CL1531" s="143">
        <v>0</v>
      </c>
      <c r="CM1531" s="143">
        <v>0</v>
      </c>
      <c r="CN1531" t="str">
        <f>IF(BL1531&lt;BK1531,"refNeedCorrection","refOK")</f>
        <v>refOK</v>
      </c>
      <c r="CO1531"/>
      <c r="CP1531"/>
      <c r="CQ1531"/>
      <c r="CR1531"/>
      <c r="CS1531"/>
      <c r="CT1531">
        <f>IF($CN1531="refNeedCorrection",-BX1531,BX1531)*IF($BP1531="Emissions positive",-1,1)</f>
        <v>0</v>
      </c>
      <c r="CU1531" t="str">
        <f>IFERROR(CT1531/CQ1531,"")</f>
        <v/>
      </c>
      <c r="CV1531" s="2" t="str">
        <f>IFERROR((CS1531-CR1531)/ABS(CR1531),"")</f>
        <v/>
      </c>
      <c r="CW1531" s="1" t="s">
        <v>1199</v>
      </c>
      <c r="CX1531" s="312" t="str">
        <f>IF(OR($CW1531="prd",$CW1531="std",$CW1531="cit"),"loc",IF(OR($CW1531="eur",$CW1531="reg",$CW1531="coy"),"reg",$CW1531))</f>
        <v>reg</v>
      </c>
      <c r="CY1531" t="s">
        <v>540</v>
      </c>
      <c r="CZ1531">
        <v>2018</v>
      </c>
      <c r="DA1531">
        <v>2050</v>
      </c>
      <c r="DB1531">
        <f>DA1531-CZ1531</f>
        <v>32</v>
      </c>
      <c r="DC1531" t="str">
        <f>IF(DB1531=0,"0",IF(AND(DB1531&gt;=1,DB1531&lt;=30),"1-30",IF(AND(DB1531&gt;30,DB1531&lt;=70),"31-70",IF(AND(DB1531&gt;70,DB1531&lt;=100),"71-100",IF(DB1531&gt;100,"+100")))))</f>
        <v>31-70</v>
      </c>
      <c r="DD1531">
        <v>1</v>
      </c>
      <c r="DE1531">
        <v>1</v>
      </c>
      <c r="DF1531">
        <v>1</v>
      </c>
      <c r="DG1531">
        <v>1</v>
      </c>
      <c r="DI1531">
        <f>SUM(DD1531:DG1531)</f>
        <v>4</v>
      </c>
      <c r="DJ1531" t="str">
        <f>IF(DI1531=1,INDEX($DD$7:$DG$7,MATCH(1,$DD1531:$DG1531,0)),"mixedProduct")</f>
        <v>mixedProduct</v>
      </c>
      <c r="DK1531" t="str">
        <f>IF(DD1531=1,DK$7,0)</f>
        <v>Upstream</v>
      </c>
      <c r="DL1531" t="str">
        <f>IF(DE1531=1,DL$7,0)</f>
        <v>Energy</v>
      </c>
      <c r="DM1531" t="str">
        <f>IF(DF1531=1,DM$7,0)</f>
        <v>Pulp/Paper</v>
      </c>
      <c r="DN1531" t="str">
        <f>IF(DG1531=1,DN$7,0)</f>
        <v>Timber</v>
      </c>
      <c r="DO1531">
        <v>1</v>
      </c>
      <c r="DP1531" s="143">
        <v>0</v>
      </c>
      <c r="DQ1531">
        <v>0</v>
      </c>
      <c r="DR1531">
        <v>0</v>
      </c>
      <c r="DS1531">
        <v>0</v>
      </c>
      <c r="DT1531">
        <f>SUM(DO1531:DP1531)</f>
        <v>1</v>
      </c>
      <c r="DU1531" s="143" t="str">
        <f>IF(DO1531=1,"self-calculated DF",IF(DP1531=1,"external DF used","explicit C balance"))</f>
        <v>self-calculated DF</v>
      </c>
      <c r="DV1531" s="143">
        <v>1</v>
      </c>
      <c r="DW1531" s="143">
        <v>1</v>
      </c>
      <c r="DX1531" s="143">
        <v>1</v>
      </c>
      <c r="DY1531" s="143">
        <v>1</v>
      </c>
      <c r="DZ1531" s="143">
        <v>1</v>
      </c>
      <c r="EA1531" s="143">
        <v>1</v>
      </c>
      <c r="EB1531" s="143">
        <v>0</v>
      </c>
      <c r="EC1531" s="143">
        <v>0</v>
      </c>
      <c r="ED1531" s="143">
        <v>0</v>
      </c>
      <c r="EE1531" s="143">
        <v>0</v>
      </c>
      <c r="EF1531" s="143">
        <v>0</v>
      </c>
      <c r="EG1531" s="143">
        <v>0</v>
      </c>
      <c r="EH1531" s="143">
        <v>0</v>
      </c>
      <c r="EI1531" s="196">
        <v>0</v>
      </c>
      <c r="EK1531" t="str">
        <f>IF(AND(AND(AND(OR($DX1531=1,$DW1531=1),OR($EC1531=1,$EA1531=1)),SUM($DV1531:$DZ1531,$EF1531)&gt;=3),SUM($EA1531:$EE1531)&gt;=2),"Whole sector","")</f>
        <v/>
      </c>
      <c r="EL1531" t="str">
        <f>IF(AND(AND(OR($DX1531=1,$DW1531=1),AND($EC1531=0,$EA1531=0)),SUM($DV1531:$DZ1531,$EF1531)&gt;=3),"Ecosystem approach","")</f>
        <v/>
      </c>
      <c r="EM1531" s="2" t="str">
        <f>IF(AND(AND(AND($DX1531=0,$DW1531=0),OR($EC1531=1,$EA1531=1)),SUM($EB1531:$EE1531)&gt;=2),"Technology approach","")</f>
        <v/>
      </c>
      <c r="EP1531" t="b">
        <f>IF(ISNUMBER(BU1531),IF(ABS(BU1531-[5]QC_indicators!$B$2)&gt;3*[5]QC_indicators!$C$2,"C ratio",IF(ISNUMBER(BY1531),IF(ABS(BY1531-[5]QC_indicators!$B$1)&gt;3*[5]QC_indicators!$C$1,"DF","no"))),IF(ISNUMBER(BY1531),IF(ABS(BY1531-[5]QC_indicators!$B$1)&gt;3*[5]QC_indicators!$C$1,"DF","no")))</f>
        <v>0</v>
      </c>
      <c r="ER1531" s="314" t="s">
        <v>349</v>
      </c>
    </row>
    <row r="1532" spans="1:148" ht="15" customHeight="1">
      <c r="D1532" t="s">
        <v>4170</v>
      </c>
      <c r="E1532" t="s">
        <v>4171</v>
      </c>
      <c r="G1532" t="s">
        <v>3564</v>
      </c>
      <c r="I1532">
        <v>2018</v>
      </c>
      <c r="K1532" t="s">
        <v>4172</v>
      </c>
      <c r="M1532" t="str">
        <f>LEFT($D1532,FIND(",",$D1532)-1)&amp;"_"&amp;I1532&amp;L1532</f>
        <v>Smyth_2018</v>
      </c>
      <c r="N1532" s="312" t="s">
        <v>4383</v>
      </c>
      <c r="O1532" s="145" t="s">
        <v>225</v>
      </c>
      <c r="Q1532" s="312" t="s">
        <v>256</v>
      </c>
      <c r="R1532" s="313"/>
      <c r="S1532" s="1" t="s">
        <v>4176</v>
      </c>
      <c r="V1532" s="143">
        <v>0</v>
      </c>
      <c r="W1532" s="143">
        <v>0</v>
      </c>
      <c r="X1532" s="143">
        <v>0</v>
      </c>
      <c r="Y1532" s="143">
        <v>0</v>
      </c>
      <c r="Z1532" s="143">
        <v>0</v>
      </c>
      <c r="AA1532" s="143">
        <v>0</v>
      </c>
      <c r="AB1532" s="143">
        <v>0</v>
      </c>
      <c r="AC1532" s="143">
        <v>0</v>
      </c>
      <c r="AD1532" s="143">
        <v>0</v>
      </c>
      <c r="AE1532" s="143">
        <v>0</v>
      </c>
      <c r="AF1532" s="143">
        <v>0</v>
      </c>
      <c r="AG1532" s="143">
        <v>0</v>
      </c>
      <c r="AH1532" s="143">
        <v>0</v>
      </c>
      <c r="AI1532" s="143">
        <v>0</v>
      </c>
      <c r="AJ1532" s="143">
        <v>1</v>
      </c>
      <c r="AK1532" s="143">
        <v>0</v>
      </c>
      <c r="AL1532" s="143">
        <v>0</v>
      </c>
      <c r="AM1532" s="143">
        <v>0</v>
      </c>
      <c r="AN1532" s="143">
        <v>0</v>
      </c>
      <c r="AO1532" s="143">
        <v>0</v>
      </c>
      <c r="AP1532" s="143">
        <v>0</v>
      </c>
      <c r="AQ1532" s="143">
        <v>0</v>
      </c>
      <c r="AR1532" s="143">
        <v>0</v>
      </c>
      <c r="AS1532" s="143">
        <v>0</v>
      </c>
      <c r="AT1532" s="143">
        <v>0</v>
      </c>
      <c r="AU1532" s="143">
        <v>0</v>
      </c>
      <c r="AV1532" s="143">
        <v>0</v>
      </c>
      <c r="AW1532" s="143">
        <v>0</v>
      </c>
      <c r="AX1532" s="141">
        <f>COUNTIF(V1532:AW1532,"&lt;&gt;0")</f>
        <v>1</v>
      </c>
      <c r="AY1532" s="141">
        <f>COUNTIF(V1532:AL1532,"&lt;&gt;0")</f>
        <v>1</v>
      </c>
      <c r="AZ1532">
        <f>COUNTIF(V1532:AC1532,"&lt;&gt;0")</f>
        <v>0</v>
      </c>
      <c r="BA1532">
        <f>COUNTIF(AD1532:AI1532,"&lt;&gt;0")</f>
        <v>0</v>
      </c>
      <c r="BB1532">
        <f>COUNTIF(AJ1532:AL1532,"&lt;&gt;0")</f>
        <v>1</v>
      </c>
      <c r="BC1532">
        <f>COUNTIF(AS1532:AW1532,"&lt;&gt;0")</f>
        <v>0</v>
      </c>
      <c r="BD1532">
        <f>COUNTIF(AM1532:AR1532,"&lt;&gt;0")</f>
        <v>0</v>
      </c>
      <c r="BE1532" t="str" cm="1">
        <f t="array" ref="BE1532">IF(AY1532=1,INDEX($V$7:$AL$7,MATCH(TRUE,INDEX($V1532:$AW1532&lt;&gt;0,),0)),IF(AY1532=0,INDEX($AM$7:$AW$7,MATCH(1,$AM1532:$AW1532,0)),IF(BF1532="Multiple strategies","mixed drivers",IF(BF1532="Supply chain","multiple supply","multiple silviculture"))))</f>
        <v>efficiency improvement</v>
      </c>
      <c r="BF1532" s="2" t="str" cm="1">
        <f t="array" ref="BF1532">IF(COUNTIF(AZ1532:BB1532,"&lt;&gt;0")=1,INDEX($V$4:$AW$4,MATCH(TRUE,INDEX($V1532:$AW1532&lt;&gt;0,),0)),IF(COUNTIF(AZ1532:BB1532,"&lt;&gt;0")=0,INDEX($AM$4:$AW$4,MATCH(1,$AM1532:$AW1532,0)),"Multiple strategies"))</f>
        <v>Technology</v>
      </c>
      <c r="BG1532" s="1" t="s">
        <v>321</v>
      </c>
      <c r="BP1532" s="312" t="s">
        <v>232</v>
      </c>
      <c r="BQ1532" s="312"/>
      <c r="BR1532" t="s">
        <v>4173</v>
      </c>
      <c r="BU1532" s="144"/>
      <c r="BV1532">
        <v>46</v>
      </c>
      <c r="BY1532" t="str">
        <f>IFERROR(BX1532/BO1532,"")</f>
        <v/>
      </c>
      <c r="BZ1532" s="143">
        <v>0</v>
      </c>
      <c r="CA1532" s="143">
        <v>0</v>
      </c>
      <c r="CB1532" s="143">
        <v>0</v>
      </c>
      <c r="CC1532" s="143">
        <v>0</v>
      </c>
      <c r="CD1532" s="143">
        <v>0</v>
      </c>
      <c r="CE1532" s="143">
        <v>0</v>
      </c>
      <c r="CF1532" s="143">
        <v>0</v>
      </c>
      <c r="CG1532" s="143">
        <v>0</v>
      </c>
      <c r="CH1532" s="143">
        <v>0</v>
      </c>
      <c r="CI1532" s="143">
        <v>0</v>
      </c>
      <c r="CJ1532" s="143">
        <v>0</v>
      </c>
      <c r="CK1532" s="143">
        <v>0</v>
      </c>
      <c r="CL1532" s="143">
        <v>0</v>
      </c>
      <c r="CM1532" s="143">
        <v>0</v>
      </c>
      <c r="CN1532" t="str">
        <f>IF(BL1532&lt;BK1532,"refNeedCorrection","refOK")</f>
        <v>refOK</v>
      </c>
      <c r="CO1532"/>
      <c r="CP1532"/>
      <c r="CQ1532"/>
      <c r="CR1532"/>
      <c r="CS1532"/>
      <c r="CT1532">
        <f>IF($CN1532="refNeedCorrection",-BX1532,BX1532)*IF($BP1532="Emissions positive",-1,1)</f>
        <v>0</v>
      </c>
      <c r="CU1532" t="str">
        <f>IFERROR(CT1532/CQ1532,"")</f>
        <v/>
      </c>
      <c r="CV1532" s="2" t="str">
        <f>IFERROR((CS1532-CR1532)/ABS(CR1532),"")</f>
        <v/>
      </c>
      <c r="CW1532" s="1" t="s">
        <v>1199</v>
      </c>
      <c r="CX1532" s="312" t="str">
        <f>IF(OR($CW1532="prd",$CW1532="std",$CW1532="cit"),"loc",IF(OR($CW1532="eur",$CW1532="reg",$CW1532="coy"),"reg",$CW1532))</f>
        <v>reg</v>
      </c>
      <c r="CY1532" t="s">
        <v>540</v>
      </c>
      <c r="CZ1532">
        <v>2018</v>
      </c>
      <c r="DA1532">
        <v>2050</v>
      </c>
      <c r="DB1532">
        <f>DA1532-CZ1532</f>
        <v>32</v>
      </c>
      <c r="DC1532" t="str">
        <f>IF(DB1532=0,"0",IF(AND(DB1532&gt;=1,DB1532&lt;=30),"1-30",IF(AND(DB1532&gt;30,DB1532&lt;=70),"31-70",IF(AND(DB1532&gt;70,DB1532&lt;=100),"71-100",IF(DB1532&gt;100,"+100")))))</f>
        <v>31-70</v>
      </c>
      <c r="DD1532">
        <v>1</v>
      </c>
      <c r="DE1532">
        <v>1</v>
      </c>
      <c r="DF1532">
        <v>1</v>
      </c>
      <c r="DG1532">
        <v>1</v>
      </c>
      <c r="DI1532">
        <f>SUM(DD1532:DG1532)</f>
        <v>4</v>
      </c>
      <c r="DJ1532" t="str">
        <f>IF(DI1532=1,INDEX($DD$7:$DG$7,MATCH(1,$DD1532:$DG1532,0)),"mixedProduct")</f>
        <v>mixedProduct</v>
      </c>
      <c r="DK1532" t="str">
        <f>IF(DD1532=1,DK$7,0)</f>
        <v>Upstream</v>
      </c>
      <c r="DL1532" t="str">
        <f>IF(DE1532=1,DL$7,0)</f>
        <v>Energy</v>
      </c>
      <c r="DM1532" t="str">
        <f>IF(DF1532=1,DM$7,0)</f>
        <v>Pulp/Paper</v>
      </c>
      <c r="DN1532" t="str">
        <f>IF(DG1532=1,DN$7,0)</f>
        <v>Timber</v>
      </c>
      <c r="DO1532">
        <v>1</v>
      </c>
      <c r="DP1532" s="143">
        <v>0</v>
      </c>
      <c r="DQ1532">
        <v>0</v>
      </c>
      <c r="DR1532">
        <v>0</v>
      </c>
      <c r="DS1532">
        <v>0</v>
      </c>
      <c r="DT1532">
        <f>SUM(DO1532:DP1532)</f>
        <v>1</v>
      </c>
      <c r="DU1532" s="143" t="str">
        <f>IF(DO1532=1,"self-calculated DF",IF(DP1532=1,"external DF used","explicit C balance"))</f>
        <v>self-calculated DF</v>
      </c>
      <c r="DV1532" s="143">
        <v>1</v>
      </c>
      <c r="DW1532" s="143">
        <v>1</v>
      </c>
      <c r="DX1532" s="143">
        <v>1</v>
      </c>
      <c r="DY1532" s="143">
        <v>1</v>
      </c>
      <c r="DZ1532" s="143">
        <v>1</v>
      </c>
      <c r="EA1532" s="143">
        <v>1</v>
      </c>
      <c r="EB1532" s="143">
        <v>0</v>
      </c>
      <c r="EC1532" s="143">
        <v>0</v>
      </c>
      <c r="ED1532" s="143">
        <v>0</v>
      </c>
      <c r="EE1532" s="143">
        <v>0</v>
      </c>
      <c r="EF1532" s="143">
        <v>0</v>
      </c>
      <c r="EG1532" s="143">
        <v>0</v>
      </c>
      <c r="EH1532" s="143">
        <v>0</v>
      </c>
      <c r="EI1532" s="196">
        <v>0</v>
      </c>
      <c r="EK1532" t="str">
        <f>IF(AND(AND(AND(OR($DX1532=1,$DW1532=1),OR($EC1532=1,$EA1532=1)),SUM($DV1532:$DZ1532,$EF1532)&gt;=3),SUM($EA1532:$EE1532)&gt;=2),"Whole sector","")</f>
        <v/>
      </c>
      <c r="EL1532" t="str">
        <f>IF(AND(AND(OR($DX1532=1,$DW1532=1),AND($EC1532=0,$EA1532=0)),SUM($DV1532:$DZ1532,$EF1532)&gt;=3),"Ecosystem approach","")</f>
        <v/>
      </c>
      <c r="EM1532" s="2" t="str">
        <f>IF(AND(AND(AND($DX1532=0,$DW1532=0),OR($EC1532=1,$EA1532=1)),SUM($EB1532:$EE1532)&gt;=2),"Technology approach","")</f>
        <v/>
      </c>
      <c r="EP1532" t="b">
        <f>IF(ISNUMBER(BU1532),IF(ABS(BU1532-[5]QC_indicators!$B$2)&gt;3*[5]QC_indicators!$C$2,"C ratio",IF(ISNUMBER(BY1532),IF(ABS(BY1532-[5]QC_indicators!$B$1)&gt;3*[5]QC_indicators!$C$1,"DF","no"))),IF(ISNUMBER(BY1532),IF(ABS(BY1532-[5]QC_indicators!$B$1)&gt;3*[5]QC_indicators!$C$1,"DF","no")))</f>
        <v>0</v>
      </c>
      <c r="ER1532" s="314" t="s">
        <v>349</v>
      </c>
    </row>
    <row r="1533" spans="1:148" ht="15" customHeight="1">
      <c r="D1533" t="s">
        <v>4170</v>
      </c>
      <c r="E1533" t="s">
        <v>4171</v>
      </c>
      <c r="G1533" t="s">
        <v>3564</v>
      </c>
      <c r="I1533">
        <v>2018</v>
      </c>
      <c r="K1533" t="s">
        <v>4172</v>
      </c>
      <c r="M1533" t="str">
        <f>LEFT($D1533,FIND(",",$D1533)-1)&amp;"_"&amp;I1533&amp;L1533</f>
        <v>Smyth_2018</v>
      </c>
      <c r="N1533" s="312" t="s">
        <v>4383</v>
      </c>
      <c r="O1533" s="145" t="s">
        <v>225</v>
      </c>
      <c r="Q1533" s="312" t="s">
        <v>256</v>
      </c>
      <c r="R1533" s="313"/>
      <c r="S1533" s="1" t="s">
        <v>4176</v>
      </c>
      <c r="V1533" s="143">
        <v>0</v>
      </c>
      <c r="W1533" s="143">
        <v>0</v>
      </c>
      <c r="X1533" s="143">
        <v>0</v>
      </c>
      <c r="Y1533" s="143">
        <v>0</v>
      </c>
      <c r="Z1533" s="143">
        <v>0</v>
      </c>
      <c r="AA1533" s="143">
        <v>0</v>
      </c>
      <c r="AB1533" s="143">
        <v>0</v>
      </c>
      <c r="AC1533" s="143">
        <v>0</v>
      </c>
      <c r="AD1533" s="143">
        <v>0</v>
      </c>
      <c r="AE1533" s="143">
        <v>0</v>
      </c>
      <c r="AF1533" s="143">
        <v>0</v>
      </c>
      <c r="AG1533" s="143">
        <v>0</v>
      </c>
      <c r="AH1533" s="143">
        <v>0</v>
      </c>
      <c r="AI1533" s="143">
        <v>0</v>
      </c>
      <c r="AJ1533" s="143">
        <v>1</v>
      </c>
      <c r="AK1533" s="143">
        <v>0</v>
      </c>
      <c r="AL1533" s="143">
        <v>0</v>
      </c>
      <c r="AM1533" s="143">
        <v>0</v>
      </c>
      <c r="AN1533" s="143">
        <v>0</v>
      </c>
      <c r="AO1533" s="143">
        <v>0</v>
      </c>
      <c r="AP1533" s="143">
        <v>0</v>
      </c>
      <c r="AQ1533" s="143">
        <v>0</v>
      </c>
      <c r="AR1533" s="143">
        <v>0</v>
      </c>
      <c r="AS1533" s="143">
        <v>0</v>
      </c>
      <c r="AT1533" s="143">
        <v>0</v>
      </c>
      <c r="AU1533" s="143">
        <v>0</v>
      </c>
      <c r="AV1533" s="143">
        <v>0</v>
      </c>
      <c r="AW1533" s="143">
        <v>0</v>
      </c>
      <c r="AX1533" s="141">
        <f>COUNTIF(V1533:AW1533,"&lt;&gt;0")</f>
        <v>1</v>
      </c>
      <c r="AY1533" s="141">
        <f>COUNTIF(V1533:AL1533,"&lt;&gt;0")</f>
        <v>1</v>
      </c>
      <c r="AZ1533">
        <f>COUNTIF(V1533:AC1533,"&lt;&gt;0")</f>
        <v>0</v>
      </c>
      <c r="BA1533">
        <f>COUNTIF(AD1533:AI1533,"&lt;&gt;0")</f>
        <v>0</v>
      </c>
      <c r="BB1533">
        <f>COUNTIF(AJ1533:AL1533,"&lt;&gt;0")</f>
        <v>1</v>
      </c>
      <c r="BC1533">
        <f>COUNTIF(AS1533:AW1533,"&lt;&gt;0")</f>
        <v>0</v>
      </c>
      <c r="BD1533">
        <f>COUNTIF(AM1533:AR1533,"&lt;&gt;0")</f>
        <v>0</v>
      </c>
      <c r="BE1533" t="str" cm="1">
        <f t="array" ref="BE1533">IF(AY1533=1,INDEX($V$7:$AL$7,MATCH(TRUE,INDEX($V1533:$AW1533&lt;&gt;0,),0)),IF(AY1533=0,INDEX($AM$7:$AW$7,MATCH(1,$AM1533:$AW1533,0)),IF(BF1533="Multiple strategies","mixed drivers",IF(BF1533="Supply chain","multiple supply","multiple silviculture"))))</f>
        <v>efficiency improvement</v>
      </c>
      <c r="BF1533" s="2" t="str" cm="1">
        <f t="array" ref="BF1533">IF(COUNTIF(AZ1533:BB1533,"&lt;&gt;0")=1,INDEX($V$4:$AW$4,MATCH(TRUE,INDEX($V1533:$AW1533&lt;&gt;0,),0)),IF(COUNTIF(AZ1533:BB1533,"&lt;&gt;0")=0,INDEX($AM$4:$AW$4,MATCH(1,$AM1533:$AW1533,0)),"Multiple strategies"))</f>
        <v>Technology</v>
      </c>
      <c r="BG1533" s="1" t="s">
        <v>321</v>
      </c>
      <c r="BP1533" s="312" t="s">
        <v>232</v>
      </c>
      <c r="BQ1533" s="312"/>
      <c r="BR1533" t="s">
        <v>4173</v>
      </c>
      <c r="BU1533" s="144"/>
      <c r="BV1533">
        <v>16</v>
      </c>
      <c r="BY1533" t="str">
        <f>IFERROR(BX1533/BO1533,"")</f>
        <v/>
      </c>
      <c r="BZ1533" s="143">
        <v>0</v>
      </c>
      <c r="CA1533" s="143">
        <v>0</v>
      </c>
      <c r="CB1533" s="143">
        <v>0</v>
      </c>
      <c r="CC1533" s="143">
        <v>0</v>
      </c>
      <c r="CD1533" s="143">
        <v>0</v>
      </c>
      <c r="CE1533" s="143">
        <v>0</v>
      </c>
      <c r="CF1533" s="143">
        <v>0</v>
      </c>
      <c r="CG1533" s="143">
        <v>0</v>
      </c>
      <c r="CH1533" s="143">
        <v>0</v>
      </c>
      <c r="CI1533" s="143">
        <v>0</v>
      </c>
      <c r="CJ1533" s="143">
        <v>0</v>
      </c>
      <c r="CK1533" s="143">
        <v>0</v>
      </c>
      <c r="CL1533" s="143">
        <v>0</v>
      </c>
      <c r="CM1533" s="143">
        <v>0</v>
      </c>
      <c r="CN1533" t="str">
        <f>IF(BL1533&lt;BK1533,"refNeedCorrection","refOK")</f>
        <v>refOK</v>
      </c>
      <c r="CO1533"/>
      <c r="CP1533"/>
      <c r="CQ1533"/>
      <c r="CR1533"/>
      <c r="CS1533"/>
      <c r="CT1533">
        <f>IF($CN1533="refNeedCorrection",-BX1533,BX1533)*IF($BP1533="Emissions positive",-1,1)</f>
        <v>0</v>
      </c>
      <c r="CU1533" t="str">
        <f>IFERROR(CT1533/CQ1533,"")</f>
        <v/>
      </c>
      <c r="CV1533" s="2" t="str">
        <f>IFERROR((CS1533-CR1533)/ABS(CR1533),"")</f>
        <v/>
      </c>
      <c r="CW1533" s="1" t="s">
        <v>1199</v>
      </c>
      <c r="CX1533" s="312" t="str">
        <f>IF(OR($CW1533="prd",$CW1533="std",$CW1533="cit"),"loc",IF(OR($CW1533="eur",$CW1533="reg",$CW1533="coy"),"reg",$CW1533))</f>
        <v>reg</v>
      </c>
      <c r="CY1533" t="s">
        <v>540</v>
      </c>
      <c r="CZ1533">
        <v>2018</v>
      </c>
      <c r="DA1533">
        <v>2050</v>
      </c>
      <c r="DB1533">
        <f>DA1533-CZ1533</f>
        <v>32</v>
      </c>
      <c r="DC1533" t="str">
        <f>IF(DB1533=0,"0",IF(AND(DB1533&gt;=1,DB1533&lt;=30),"1-30",IF(AND(DB1533&gt;30,DB1533&lt;=70),"31-70",IF(AND(DB1533&gt;70,DB1533&lt;=100),"71-100",IF(DB1533&gt;100,"+100")))))</f>
        <v>31-70</v>
      </c>
      <c r="DD1533">
        <v>1</v>
      </c>
      <c r="DE1533">
        <v>1</v>
      </c>
      <c r="DF1533">
        <v>1</v>
      </c>
      <c r="DG1533">
        <v>1</v>
      </c>
      <c r="DI1533">
        <f>SUM(DD1533:DG1533)</f>
        <v>4</v>
      </c>
      <c r="DJ1533" t="str">
        <f>IF(DI1533=1,INDEX($DD$7:$DG$7,MATCH(1,$DD1533:$DG1533,0)),"mixedProduct")</f>
        <v>mixedProduct</v>
      </c>
      <c r="DK1533" t="str">
        <f>IF(DD1533=1,DK$7,0)</f>
        <v>Upstream</v>
      </c>
      <c r="DL1533" t="str">
        <f>IF(DE1533=1,DL$7,0)</f>
        <v>Energy</v>
      </c>
      <c r="DM1533" t="str">
        <f>IF(DF1533=1,DM$7,0)</f>
        <v>Pulp/Paper</v>
      </c>
      <c r="DN1533" t="str">
        <f>IF(DG1533=1,DN$7,0)</f>
        <v>Timber</v>
      </c>
      <c r="DO1533">
        <v>1</v>
      </c>
      <c r="DP1533" s="143">
        <v>0</v>
      </c>
      <c r="DQ1533">
        <v>0</v>
      </c>
      <c r="DR1533">
        <v>0</v>
      </c>
      <c r="DS1533">
        <v>0</v>
      </c>
      <c r="DT1533">
        <f>SUM(DO1533:DP1533)</f>
        <v>1</v>
      </c>
      <c r="DU1533" s="143" t="str">
        <f>IF(DO1533=1,"self-calculated DF",IF(DP1533=1,"external DF used","explicit C balance"))</f>
        <v>self-calculated DF</v>
      </c>
      <c r="DV1533" s="143">
        <v>1</v>
      </c>
      <c r="DW1533" s="143">
        <v>1</v>
      </c>
      <c r="DX1533" s="143">
        <v>1</v>
      </c>
      <c r="DY1533" s="143">
        <v>1</v>
      </c>
      <c r="DZ1533" s="143">
        <v>1</v>
      </c>
      <c r="EA1533" s="143">
        <v>1</v>
      </c>
      <c r="EB1533" s="143">
        <v>0</v>
      </c>
      <c r="EC1533" s="143">
        <v>0</v>
      </c>
      <c r="ED1533" s="143">
        <v>0</v>
      </c>
      <c r="EE1533" s="143">
        <v>0</v>
      </c>
      <c r="EF1533" s="143">
        <v>0</v>
      </c>
      <c r="EG1533" s="143">
        <v>0</v>
      </c>
      <c r="EH1533" s="143">
        <v>0</v>
      </c>
      <c r="EI1533" s="196">
        <v>0</v>
      </c>
      <c r="EK1533" t="str">
        <f>IF(AND(AND(AND(OR($DX1533=1,$DW1533=1),OR($EC1533=1,$EA1533=1)),SUM($DV1533:$DZ1533,$EF1533)&gt;=3),SUM($EA1533:$EE1533)&gt;=2),"Whole sector","")</f>
        <v/>
      </c>
      <c r="EL1533" t="str">
        <f>IF(AND(AND(OR($DX1533=1,$DW1533=1),AND($EC1533=0,$EA1533=0)),SUM($DV1533:$DZ1533,$EF1533)&gt;=3),"Ecosystem approach","")</f>
        <v/>
      </c>
      <c r="EM1533" s="2" t="str">
        <f>IF(AND(AND(AND($DX1533=0,$DW1533=0),OR($EC1533=1,$EA1533=1)),SUM($EB1533:$EE1533)&gt;=2),"Technology approach","")</f>
        <v/>
      </c>
      <c r="EP1533" t="b">
        <f>IF(ISNUMBER(BU1533),IF(ABS(BU1533-[5]QC_indicators!$B$2)&gt;3*[5]QC_indicators!$C$2,"C ratio",IF(ISNUMBER(BY1533),IF(ABS(BY1533-[5]QC_indicators!$B$1)&gt;3*[5]QC_indicators!$C$1,"DF","no"))),IF(ISNUMBER(BY1533),IF(ABS(BY1533-[5]QC_indicators!$B$1)&gt;3*[5]QC_indicators!$C$1,"DF","no")))</f>
        <v>0</v>
      </c>
      <c r="ER1533" s="314" t="s">
        <v>349</v>
      </c>
    </row>
    <row r="1534" spans="1:148" ht="15" customHeight="1">
      <c r="D1534" t="s">
        <v>4170</v>
      </c>
      <c r="E1534" t="s">
        <v>4171</v>
      </c>
      <c r="G1534" t="s">
        <v>3564</v>
      </c>
      <c r="I1534">
        <v>2018</v>
      </c>
      <c r="K1534" t="s">
        <v>4172</v>
      </c>
      <c r="M1534" t="str">
        <f>LEFT($D1534,FIND(",",$D1534)-1)&amp;"_"&amp;I1534&amp;L1534</f>
        <v>Smyth_2018</v>
      </c>
      <c r="N1534" s="312" t="s">
        <v>4383</v>
      </c>
      <c r="O1534" s="145" t="s">
        <v>225</v>
      </c>
      <c r="Q1534" s="312" t="s">
        <v>256</v>
      </c>
      <c r="R1534" s="313"/>
      <c r="S1534" s="1" t="s">
        <v>4177</v>
      </c>
      <c r="V1534" s="143">
        <v>0</v>
      </c>
      <c r="W1534" s="143">
        <v>0</v>
      </c>
      <c r="X1534" s="143">
        <v>0</v>
      </c>
      <c r="Y1534" s="143">
        <v>0</v>
      </c>
      <c r="Z1534" s="143">
        <v>0</v>
      </c>
      <c r="AA1534" s="143">
        <v>0</v>
      </c>
      <c r="AB1534" s="143">
        <v>0</v>
      </c>
      <c r="AC1534" s="143">
        <v>0</v>
      </c>
      <c r="AD1534" s="143">
        <v>0</v>
      </c>
      <c r="AE1534" s="143">
        <v>0</v>
      </c>
      <c r="AF1534" s="143">
        <v>0</v>
      </c>
      <c r="AG1534" s="143">
        <v>0</v>
      </c>
      <c r="AH1534" s="143">
        <v>0</v>
      </c>
      <c r="AI1534" s="143">
        <v>1</v>
      </c>
      <c r="AJ1534" s="143">
        <v>0</v>
      </c>
      <c r="AK1534" s="143">
        <v>0</v>
      </c>
      <c r="AL1534" s="143">
        <v>0</v>
      </c>
      <c r="AM1534" s="143">
        <v>0</v>
      </c>
      <c r="AN1534" s="143">
        <v>0</v>
      </c>
      <c r="AO1534" s="143">
        <v>0</v>
      </c>
      <c r="AP1534" s="143">
        <v>0</v>
      </c>
      <c r="AQ1534" s="143">
        <v>0</v>
      </c>
      <c r="AR1534" s="143">
        <v>0</v>
      </c>
      <c r="AS1534" s="143">
        <v>0</v>
      </c>
      <c r="AT1534" s="143">
        <v>0</v>
      </c>
      <c r="AU1534" s="143">
        <v>0</v>
      </c>
      <c r="AV1534" s="143">
        <v>0</v>
      </c>
      <c r="AW1534" s="143">
        <v>0</v>
      </c>
      <c r="AX1534" s="141">
        <f>COUNTIF(V1534:AW1534,"&lt;&gt;0")</f>
        <v>1</v>
      </c>
      <c r="AY1534" s="141">
        <f>COUNTIF(V1534:AL1534,"&lt;&gt;0")</f>
        <v>1</v>
      </c>
      <c r="AZ1534">
        <f>COUNTIF(V1534:AC1534,"&lt;&gt;0")</f>
        <v>0</v>
      </c>
      <c r="BA1534">
        <f>COUNTIF(AD1534:AI1534,"&lt;&gt;0")</f>
        <v>1</v>
      </c>
      <c r="BB1534">
        <f>COUNTIF(AJ1534:AL1534,"&lt;&gt;0")</f>
        <v>0</v>
      </c>
      <c r="BC1534">
        <f>COUNTIF(AS1534:AW1534,"&lt;&gt;0")</f>
        <v>0</v>
      </c>
      <c r="BD1534">
        <f>COUNTIF(AM1534:AR1534,"&lt;&gt;0")</f>
        <v>0</v>
      </c>
      <c r="BE1534" t="str" cm="1">
        <f t="array" ref="BE1534">IF(AY1534=1,INDEX($V$7:$AL$7,MATCH(TRUE,INDEX($V1534:$AW1534&lt;&gt;0,),0)),IF(AY1534=0,INDEX($AM$7:$AW$7,MATCH(1,$AM1534:$AW1534,0)),IF(BF1534="Multiple strategies","mixed drivers",IF(BF1534="Supply chain","multiple supply","multiple silviculture"))))</f>
        <v>products lifespan</v>
      </c>
      <c r="BF1534" s="2" t="str" cm="1">
        <f t="array" ref="BF1534">IF(COUNTIF(AZ1534:BB1534,"&lt;&gt;0")=1,INDEX($V$4:$AW$4,MATCH(TRUE,INDEX($V1534:$AW1534&lt;&gt;0,),0)),IF(COUNTIF(AZ1534:BB1534,"&lt;&gt;0")=0,INDEX($AM$4:$AW$4,MATCH(1,$AM1534:$AW1534,0)),"Multiple strategies"))</f>
        <v>Supply chain</v>
      </c>
      <c r="BG1534" s="1" t="s">
        <v>321</v>
      </c>
      <c r="BP1534" s="312" t="s">
        <v>232</v>
      </c>
      <c r="BQ1534" s="312"/>
      <c r="BR1534" t="s">
        <v>4173</v>
      </c>
      <c r="BU1534" s="144"/>
      <c r="BV1534">
        <v>104</v>
      </c>
      <c r="BY1534" t="str">
        <f>IFERROR(BX1534/BO1534,"")</f>
        <v/>
      </c>
      <c r="BZ1534" s="143">
        <v>0</v>
      </c>
      <c r="CA1534" s="143">
        <v>0</v>
      </c>
      <c r="CB1534" s="143">
        <v>0</v>
      </c>
      <c r="CC1534" s="143">
        <v>0</v>
      </c>
      <c r="CD1534" s="143">
        <v>0</v>
      </c>
      <c r="CE1534" s="143">
        <v>0</v>
      </c>
      <c r="CF1534" s="143">
        <v>0</v>
      </c>
      <c r="CG1534" s="143">
        <v>0</v>
      </c>
      <c r="CH1534" s="143">
        <v>0</v>
      </c>
      <c r="CI1534" s="143">
        <v>0</v>
      </c>
      <c r="CJ1534" s="143">
        <v>0</v>
      </c>
      <c r="CK1534" s="143">
        <v>0</v>
      </c>
      <c r="CL1534" s="143">
        <v>0</v>
      </c>
      <c r="CM1534" s="143">
        <v>0</v>
      </c>
      <c r="CN1534" t="str">
        <f>IF(BL1534&lt;BK1534,"refNeedCorrection","refOK")</f>
        <v>refOK</v>
      </c>
      <c r="CO1534"/>
      <c r="CP1534"/>
      <c r="CQ1534"/>
      <c r="CR1534"/>
      <c r="CS1534"/>
      <c r="CT1534">
        <f>IF($CN1534="refNeedCorrection",-BX1534,BX1534)*IF($BP1534="Emissions positive",-1,1)</f>
        <v>0</v>
      </c>
      <c r="CU1534" t="str">
        <f>IFERROR(CT1534/CQ1534,"")</f>
        <v/>
      </c>
      <c r="CV1534" s="2" t="str">
        <f>IFERROR((CS1534-CR1534)/ABS(CR1534),"")</f>
        <v/>
      </c>
      <c r="CW1534" s="1" t="s">
        <v>1199</v>
      </c>
      <c r="CX1534" s="312" t="str">
        <f>IF(OR($CW1534="prd",$CW1534="std",$CW1534="cit"),"loc",IF(OR($CW1534="eur",$CW1534="reg",$CW1534="coy"),"reg",$CW1534))</f>
        <v>reg</v>
      </c>
      <c r="CY1534" t="s">
        <v>540</v>
      </c>
      <c r="CZ1534">
        <v>2018</v>
      </c>
      <c r="DA1534">
        <v>2050</v>
      </c>
      <c r="DB1534">
        <f>DA1534-CZ1534</f>
        <v>32</v>
      </c>
      <c r="DC1534" t="str">
        <f>IF(DB1534=0,"0",IF(AND(DB1534&gt;=1,DB1534&lt;=30),"1-30",IF(AND(DB1534&gt;30,DB1534&lt;=70),"31-70",IF(AND(DB1534&gt;70,DB1534&lt;=100),"71-100",IF(DB1534&gt;100,"+100")))))</f>
        <v>31-70</v>
      </c>
      <c r="DD1534">
        <v>1</v>
      </c>
      <c r="DE1534">
        <v>1</v>
      </c>
      <c r="DF1534">
        <v>1</v>
      </c>
      <c r="DG1534">
        <v>1</v>
      </c>
      <c r="DI1534">
        <f>SUM(DD1534:DG1534)</f>
        <v>4</v>
      </c>
      <c r="DJ1534" t="str">
        <f>IF(DI1534=1,INDEX($DD$7:$DG$7,MATCH(1,$DD1534:$DG1534,0)),"mixedProduct")</f>
        <v>mixedProduct</v>
      </c>
      <c r="DK1534" t="str">
        <f>IF(DD1534=1,DK$7,0)</f>
        <v>Upstream</v>
      </c>
      <c r="DL1534" t="str">
        <f>IF(DE1534=1,DL$7,0)</f>
        <v>Energy</v>
      </c>
      <c r="DM1534" t="str">
        <f>IF(DF1534=1,DM$7,0)</f>
        <v>Pulp/Paper</v>
      </c>
      <c r="DN1534" t="str">
        <f>IF(DG1534=1,DN$7,0)</f>
        <v>Timber</v>
      </c>
      <c r="DO1534">
        <v>1</v>
      </c>
      <c r="DP1534" s="143">
        <v>0</v>
      </c>
      <c r="DQ1534">
        <v>0</v>
      </c>
      <c r="DR1534">
        <v>0</v>
      </c>
      <c r="DS1534">
        <v>0</v>
      </c>
      <c r="DT1534">
        <f>SUM(DO1534:DP1534)</f>
        <v>1</v>
      </c>
      <c r="DU1534" s="143" t="str">
        <f>IF(DO1534=1,"self-calculated DF",IF(DP1534=1,"external DF used","explicit C balance"))</f>
        <v>self-calculated DF</v>
      </c>
      <c r="DV1534" s="143">
        <v>1</v>
      </c>
      <c r="DW1534" s="143">
        <v>1</v>
      </c>
      <c r="DX1534" s="143">
        <v>1</v>
      </c>
      <c r="DY1534" s="143">
        <v>1</v>
      </c>
      <c r="DZ1534" s="143">
        <v>1</v>
      </c>
      <c r="EA1534" s="143">
        <v>1</v>
      </c>
      <c r="EB1534" s="143">
        <v>0</v>
      </c>
      <c r="EC1534" s="143">
        <v>0</v>
      </c>
      <c r="ED1534" s="143">
        <v>0</v>
      </c>
      <c r="EE1534" s="143">
        <v>0</v>
      </c>
      <c r="EF1534" s="143">
        <v>0</v>
      </c>
      <c r="EG1534" s="143">
        <v>0</v>
      </c>
      <c r="EH1534" s="143">
        <v>0</v>
      </c>
      <c r="EI1534" s="196">
        <v>0</v>
      </c>
      <c r="EK1534" t="str">
        <f>IF(AND(AND(AND(OR($DX1534=1,$DW1534=1),OR($EC1534=1,$EA1534=1)),SUM($DV1534:$DZ1534,$EF1534)&gt;=3),SUM($EA1534:$EE1534)&gt;=2),"Whole sector","")</f>
        <v/>
      </c>
      <c r="EL1534" t="str">
        <f>IF(AND(AND(OR($DX1534=1,$DW1534=1),AND($EC1534=0,$EA1534=0)),SUM($DV1534:$DZ1534,$EF1534)&gt;=3),"Ecosystem approach","")</f>
        <v/>
      </c>
      <c r="EM1534" s="2" t="str">
        <f>IF(AND(AND(AND($DX1534=0,$DW1534=0),OR($EC1534=1,$EA1534=1)),SUM($EB1534:$EE1534)&gt;=2),"Technology approach","")</f>
        <v/>
      </c>
      <c r="EP1534" t="b">
        <f>IF(ISNUMBER(BU1534),IF(ABS(BU1534-[5]QC_indicators!$B$2)&gt;3*[5]QC_indicators!$C$2,"C ratio",IF(ISNUMBER(BY1534),IF(ABS(BY1534-[5]QC_indicators!$B$1)&gt;3*[5]QC_indicators!$C$1,"DF","no"))),IF(ISNUMBER(BY1534),IF(ABS(BY1534-[5]QC_indicators!$B$1)&gt;3*[5]QC_indicators!$C$1,"DF","no")))</f>
        <v>0</v>
      </c>
      <c r="ER1534" s="314" t="s">
        <v>349</v>
      </c>
    </row>
    <row r="1535" spans="1:148" ht="18" customHeight="1">
      <c r="D1535" t="s">
        <v>4170</v>
      </c>
      <c r="E1535" t="s">
        <v>4171</v>
      </c>
      <c r="G1535" t="s">
        <v>3564</v>
      </c>
      <c r="I1535">
        <v>2018</v>
      </c>
      <c r="K1535" t="s">
        <v>4172</v>
      </c>
      <c r="M1535" t="str">
        <f>LEFT($D1535,FIND(",",$D1535)-1)&amp;"_"&amp;I1535&amp;L1535</f>
        <v>Smyth_2018</v>
      </c>
      <c r="N1535" s="312" t="s">
        <v>4383</v>
      </c>
      <c r="O1535" s="145" t="s">
        <v>225</v>
      </c>
      <c r="Q1535" s="312" t="s">
        <v>256</v>
      </c>
      <c r="R1535" s="313"/>
      <c r="S1535" s="1" t="s">
        <v>4177</v>
      </c>
      <c r="V1535" s="143">
        <v>0</v>
      </c>
      <c r="W1535" s="143">
        <v>0</v>
      </c>
      <c r="X1535" s="143">
        <v>0</v>
      </c>
      <c r="Y1535" s="143">
        <v>0</v>
      </c>
      <c r="Z1535" s="143">
        <v>0</v>
      </c>
      <c r="AA1535" s="143">
        <v>0</v>
      </c>
      <c r="AB1535" s="143">
        <v>0</v>
      </c>
      <c r="AC1535" s="143">
        <v>0</v>
      </c>
      <c r="AD1535" s="143">
        <v>0</v>
      </c>
      <c r="AE1535" s="143">
        <v>0</v>
      </c>
      <c r="AF1535" s="143">
        <v>0</v>
      </c>
      <c r="AG1535" s="143">
        <v>0</v>
      </c>
      <c r="AH1535" s="143">
        <v>0</v>
      </c>
      <c r="AI1535" s="143">
        <v>1</v>
      </c>
      <c r="AJ1535" s="143">
        <v>0</v>
      </c>
      <c r="AK1535" s="143">
        <v>0</v>
      </c>
      <c r="AL1535" s="143">
        <v>0</v>
      </c>
      <c r="AM1535" s="143">
        <v>0</v>
      </c>
      <c r="AN1535" s="143">
        <v>0</v>
      </c>
      <c r="AO1535" s="143">
        <v>0</v>
      </c>
      <c r="AP1535" s="143">
        <v>0</v>
      </c>
      <c r="AQ1535" s="143">
        <v>0</v>
      </c>
      <c r="AR1535" s="143">
        <v>0</v>
      </c>
      <c r="AS1535" s="143">
        <v>0</v>
      </c>
      <c r="AT1535" s="143">
        <v>0</v>
      </c>
      <c r="AU1535" s="143">
        <v>0</v>
      </c>
      <c r="AV1535" s="143">
        <v>0</v>
      </c>
      <c r="AW1535" s="143">
        <v>0</v>
      </c>
      <c r="AX1535" s="141">
        <f>COUNTIF(V1535:AW1535,"&lt;&gt;0")</f>
        <v>1</v>
      </c>
      <c r="AY1535" s="141">
        <f>COUNTIF(V1535:AL1535,"&lt;&gt;0")</f>
        <v>1</v>
      </c>
      <c r="AZ1535">
        <f>COUNTIF(V1535:AC1535,"&lt;&gt;0")</f>
        <v>0</v>
      </c>
      <c r="BA1535">
        <f>COUNTIF(AD1535:AI1535,"&lt;&gt;0")</f>
        <v>1</v>
      </c>
      <c r="BB1535">
        <f>COUNTIF(AJ1535:AL1535,"&lt;&gt;0")</f>
        <v>0</v>
      </c>
      <c r="BC1535">
        <f>COUNTIF(AS1535:AW1535,"&lt;&gt;0")</f>
        <v>0</v>
      </c>
      <c r="BD1535">
        <f>COUNTIF(AM1535:AR1535,"&lt;&gt;0")</f>
        <v>0</v>
      </c>
      <c r="BE1535" t="str" cm="1">
        <f t="array" ref="BE1535">IF(AY1535=1,INDEX($V$7:$AL$7,MATCH(TRUE,INDEX($V1535:$AW1535&lt;&gt;0,),0)),IF(AY1535=0,INDEX($AM$7:$AW$7,MATCH(1,$AM1535:$AW1535,0)),IF(BF1535="Multiple strategies","mixed drivers",IF(BF1535="Supply chain","multiple supply","multiple silviculture"))))</f>
        <v>products lifespan</v>
      </c>
      <c r="BF1535" s="2" t="str" cm="1">
        <f t="array" ref="BF1535">IF(COUNTIF(AZ1535:BB1535,"&lt;&gt;0")=1,INDEX($V$4:$AW$4,MATCH(TRUE,INDEX($V1535:$AW1535&lt;&gt;0,),0)),IF(COUNTIF(AZ1535:BB1535,"&lt;&gt;0")=0,INDEX($AM$4:$AW$4,MATCH(1,$AM1535:$AW1535,0)),"Multiple strategies"))</f>
        <v>Supply chain</v>
      </c>
      <c r="BG1535" s="1" t="s">
        <v>321</v>
      </c>
      <c r="BP1535" s="312" t="s">
        <v>232</v>
      </c>
      <c r="BQ1535" s="312"/>
      <c r="BR1535" t="s">
        <v>4173</v>
      </c>
      <c r="BU1535" s="144"/>
      <c r="BV1535">
        <v>42</v>
      </c>
      <c r="BY1535" t="str">
        <f>IFERROR(BX1535/BO1535,"")</f>
        <v/>
      </c>
      <c r="BZ1535" s="143">
        <v>0</v>
      </c>
      <c r="CA1535" s="143">
        <v>0</v>
      </c>
      <c r="CB1535" s="143">
        <v>0</v>
      </c>
      <c r="CC1535" s="143">
        <v>0</v>
      </c>
      <c r="CD1535" s="143">
        <v>0</v>
      </c>
      <c r="CE1535" s="143">
        <v>0</v>
      </c>
      <c r="CF1535" s="143">
        <v>0</v>
      </c>
      <c r="CG1535" s="143">
        <v>0</v>
      </c>
      <c r="CH1535" s="143">
        <v>0</v>
      </c>
      <c r="CI1535" s="143">
        <v>0</v>
      </c>
      <c r="CJ1535" s="143">
        <v>0</v>
      </c>
      <c r="CK1535" s="143">
        <v>0</v>
      </c>
      <c r="CL1535" s="143">
        <v>0</v>
      </c>
      <c r="CM1535" s="143">
        <v>0</v>
      </c>
      <c r="CN1535" t="str">
        <f>IF(BL1535&lt;BK1535,"refNeedCorrection","refOK")</f>
        <v>refOK</v>
      </c>
      <c r="CO1535"/>
      <c r="CP1535"/>
      <c r="CQ1535"/>
      <c r="CR1535"/>
      <c r="CS1535"/>
      <c r="CT1535">
        <f>IF($CN1535="refNeedCorrection",-BX1535,BX1535)*IF($BP1535="Emissions positive",-1,1)</f>
        <v>0</v>
      </c>
      <c r="CU1535" t="str">
        <f>IFERROR(CT1535/CQ1535,"")</f>
        <v/>
      </c>
      <c r="CV1535" s="2" t="str">
        <f>IFERROR((CS1535-CR1535)/ABS(CR1535),"")</f>
        <v/>
      </c>
      <c r="CW1535" s="1" t="s">
        <v>1199</v>
      </c>
      <c r="CX1535" s="312" t="str">
        <f>IF(OR($CW1535="prd",$CW1535="std",$CW1535="cit"),"loc",IF(OR($CW1535="eur",$CW1535="reg",$CW1535="coy"),"reg",$CW1535))</f>
        <v>reg</v>
      </c>
      <c r="CY1535" t="s">
        <v>540</v>
      </c>
      <c r="CZ1535">
        <v>2018</v>
      </c>
      <c r="DA1535">
        <v>2050</v>
      </c>
      <c r="DB1535">
        <f>DA1535-CZ1535</f>
        <v>32</v>
      </c>
      <c r="DC1535" t="str">
        <f>IF(DB1535=0,"0",IF(AND(DB1535&gt;=1,DB1535&lt;=30),"1-30",IF(AND(DB1535&gt;30,DB1535&lt;=70),"31-70",IF(AND(DB1535&gt;70,DB1535&lt;=100),"71-100",IF(DB1535&gt;100,"+100")))))</f>
        <v>31-70</v>
      </c>
      <c r="DD1535">
        <v>1</v>
      </c>
      <c r="DE1535">
        <v>1</v>
      </c>
      <c r="DF1535">
        <v>1</v>
      </c>
      <c r="DG1535">
        <v>1</v>
      </c>
      <c r="DI1535">
        <f>SUM(DD1535:DG1535)</f>
        <v>4</v>
      </c>
      <c r="DJ1535" t="str">
        <f>IF(DI1535=1,INDEX($DD$7:$DG$7,MATCH(1,$DD1535:$DG1535,0)),"mixedProduct")</f>
        <v>mixedProduct</v>
      </c>
      <c r="DK1535" t="str">
        <f>IF(DD1535=1,DK$7,0)</f>
        <v>Upstream</v>
      </c>
      <c r="DL1535" t="str">
        <f>IF(DE1535=1,DL$7,0)</f>
        <v>Energy</v>
      </c>
      <c r="DM1535" t="str">
        <f>IF(DF1535=1,DM$7,0)</f>
        <v>Pulp/Paper</v>
      </c>
      <c r="DN1535" t="str">
        <f>IF(DG1535=1,DN$7,0)</f>
        <v>Timber</v>
      </c>
      <c r="DO1535">
        <v>1</v>
      </c>
      <c r="DP1535" s="143">
        <v>0</v>
      </c>
      <c r="DQ1535">
        <v>0</v>
      </c>
      <c r="DR1535">
        <v>0</v>
      </c>
      <c r="DS1535">
        <v>0</v>
      </c>
      <c r="DT1535">
        <f>SUM(DO1535:DP1535)</f>
        <v>1</v>
      </c>
      <c r="DU1535" s="143" t="str">
        <f>IF(DO1535=1,"self-calculated DF",IF(DP1535=1,"external DF used","explicit C balance"))</f>
        <v>self-calculated DF</v>
      </c>
      <c r="DV1535" s="143">
        <v>1</v>
      </c>
      <c r="DW1535" s="143">
        <v>1</v>
      </c>
      <c r="DX1535" s="143">
        <v>1</v>
      </c>
      <c r="DY1535" s="143">
        <v>1</v>
      </c>
      <c r="DZ1535" s="143">
        <v>1</v>
      </c>
      <c r="EA1535" s="143">
        <v>1</v>
      </c>
      <c r="EB1535" s="143">
        <v>0</v>
      </c>
      <c r="EC1535" s="143">
        <v>0</v>
      </c>
      <c r="ED1535" s="143">
        <v>0</v>
      </c>
      <c r="EE1535" s="143">
        <v>0</v>
      </c>
      <c r="EF1535" s="143">
        <v>0</v>
      </c>
      <c r="EG1535" s="143">
        <v>0</v>
      </c>
      <c r="EH1535" s="143">
        <v>0</v>
      </c>
      <c r="EI1535" s="196">
        <v>0</v>
      </c>
      <c r="EK1535" t="str">
        <f>IF(AND(AND(AND(OR($DX1535=1,$DW1535=1),OR($EC1535=1,$EA1535=1)),SUM($DV1535:$DZ1535,$EF1535)&gt;=3),SUM($EA1535:$EE1535)&gt;=2),"Whole sector","")</f>
        <v/>
      </c>
      <c r="EL1535" t="str">
        <f>IF(AND(AND(OR($DX1535=1,$DW1535=1),AND($EC1535=0,$EA1535=0)),SUM($DV1535:$DZ1535,$EF1535)&gt;=3),"Ecosystem approach","")</f>
        <v/>
      </c>
      <c r="EM1535" s="2" t="str">
        <f>IF(AND(AND(AND($DX1535=0,$DW1535=0),OR($EC1535=1,$EA1535=1)),SUM($EB1535:$EE1535)&gt;=2),"Technology approach","")</f>
        <v/>
      </c>
      <c r="EP1535" t="b">
        <f>IF(ISNUMBER(BU1535),IF(ABS(BU1535-[5]QC_indicators!$B$2)&gt;3*[5]QC_indicators!$C$2,"C ratio",IF(ISNUMBER(BY1535),IF(ABS(BY1535-[5]QC_indicators!$B$1)&gt;3*[5]QC_indicators!$C$1,"DF","no"))),IF(ISNUMBER(BY1535),IF(ABS(BY1535-[5]QC_indicators!$B$1)&gt;3*[5]QC_indicators!$C$1,"DF","no")))</f>
        <v>0</v>
      </c>
      <c r="ER1535" s="314" t="s">
        <v>349</v>
      </c>
    </row>
    <row r="1536" spans="1:148" ht="18" customHeight="1">
      <c r="A1536" s="1" t="s">
        <v>4178</v>
      </c>
      <c r="B1536" t="s">
        <v>544</v>
      </c>
      <c r="C1536" t="s">
        <v>4179</v>
      </c>
      <c r="D1536" t="s">
        <v>4180</v>
      </c>
      <c r="E1536" t="s">
        <v>4181</v>
      </c>
      <c r="F1536" t="s">
        <v>4182</v>
      </c>
      <c r="G1536" t="s">
        <v>4183</v>
      </c>
      <c r="H1536" t="s">
        <v>1628</v>
      </c>
      <c r="I1536">
        <v>2006</v>
      </c>
      <c r="J1536">
        <v>50</v>
      </c>
      <c r="K1536" t="s">
        <v>4184</v>
      </c>
      <c r="M1536" t="str">
        <f>LEFT($D1536,FIND(",",$D1536)-1)&amp;"_"&amp;I1536&amp;L1536</f>
        <v>Sonne_2006</v>
      </c>
      <c r="N1536" s="312" t="s">
        <v>4383</v>
      </c>
      <c r="O1536" s="171" t="s">
        <v>341</v>
      </c>
      <c r="P1536" t="s">
        <v>513</v>
      </c>
      <c r="Q1536" s="312" t="s">
        <v>389</v>
      </c>
      <c r="R1536" s="313"/>
      <c r="S1536" s="1" t="s">
        <v>4185</v>
      </c>
      <c r="T1536" t="s">
        <v>4186</v>
      </c>
      <c r="U1536" t="s">
        <v>4187</v>
      </c>
      <c r="V1536">
        <v>0</v>
      </c>
      <c r="W1536">
        <v>0</v>
      </c>
      <c r="X1536">
        <v>0</v>
      </c>
      <c r="Y1536">
        <v>1</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s="141">
        <f>COUNTIF(V1536:AW1536,"&lt;&gt;0")</f>
        <v>1</v>
      </c>
      <c r="AY1536" s="141">
        <f>COUNTIF(V1536:AL1536,"&lt;&gt;0")</f>
        <v>1</v>
      </c>
      <c r="AZ1536">
        <f>COUNTIF(V1536:AC1536,"&lt;&gt;0")</f>
        <v>1</v>
      </c>
      <c r="BA1536">
        <f>COUNTIF(AD1536:AI1536,"&lt;&gt;0")</f>
        <v>0</v>
      </c>
      <c r="BB1536">
        <f>COUNTIF(AJ1536:AL1536,"&lt;&gt;0")</f>
        <v>0</v>
      </c>
      <c r="BC1536">
        <f>COUNTIF(AS1536:AW1536,"&lt;&gt;0")</f>
        <v>0</v>
      </c>
      <c r="BD1536">
        <f>COUNTIF(AM1536:AR1536,"&lt;&gt;0")</f>
        <v>0</v>
      </c>
      <c r="BE1536" t="str" cm="1">
        <f t="array" ref="BE1536">IF(AY1536=1,INDEX($V$7:$AL$7,MATCH(TRUE,INDEX($V1536:$AW1536&lt;&gt;0,),0)),IF(AY1536=0,INDEX($AM$7:$AW$7,MATCH(1,$AM1536:$AW1536,0)),IF(BF1536="Multiple strategies","mixed drivers",IF(BF1536="Supply chain","multiple supply","multiple silviculture"))))</f>
        <v xml:space="preserve">cutting intensity </v>
      </c>
      <c r="BF1536" s="2" t="str" cm="1">
        <f t="array" ref="BF1536">IF(COUNTIF(AZ1536:BB1536,"&lt;&gt;0")=1,INDEX($V$4:$AW$4,MATCH(TRUE,INDEX($V1536:$AW1536&lt;&gt;0,),0)),IF(COUNTIF(AZ1536:BB1536,"&lt;&gt;0")=0,INDEX($AM$4:$AW$4,MATCH(1,$AM1536:$AW1536,0)),"Multiple strategies"))</f>
        <v>Silviculture for removals</v>
      </c>
      <c r="BG1536" s="1" t="s">
        <v>229</v>
      </c>
      <c r="BM1536" t="str">
        <f>IFERROR(BL1536/BK1536,"")</f>
        <v/>
      </c>
      <c r="BR1536" t="s">
        <v>4188</v>
      </c>
      <c r="BS1536">
        <v>1.4500000000000001E-2</v>
      </c>
      <c r="BT1536">
        <v>1.8700000000000001E-2</v>
      </c>
      <c r="BU1536" s="144">
        <f>BT1536/BS1536</f>
        <v>1.2896551724137932</v>
      </c>
      <c r="BV1536">
        <f>BT1536-BS1536</f>
        <v>4.2000000000000006E-3</v>
      </c>
      <c r="BX1536">
        <f>BV1536</f>
        <v>4.2000000000000006E-3</v>
      </c>
      <c r="BY1536" t="str">
        <f>IFERROR(BX1536/BO1536,"")</f>
        <v/>
      </c>
      <c r="BZ1536">
        <v>0</v>
      </c>
      <c r="CA1536">
        <v>1</v>
      </c>
      <c r="CB1536">
        <v>0</v>
      </c>
      <c r="CC1536">
        <v>1</v>
      </c>
      <c r="CD1536">
        <v>0</v>
      </c>
      <c r="CE1536">
        <v>0</v>
      </c>
      <c r="CF1536">
        <v>0</v>
      </c>
      <c r="CG1536">
        <v>0</v>
      </c>
      <c r="CH1536">
        <v>0</v>
      </c>
      <c r="CI1536">
        <v>0</v>
      </c>
      <c r="CJ1536">
        <v>0</v>
      </c>
      <c r="CK1536">
        <v>0</v>
      </c>
      <c r="CL1536">
        <v>0</v>
      </c>
      <c r="CM1536">
        <v>0</v>
      </c>
      <c r="CN1536" t="str">
        <f>IF($BL1536&lt;$BK1536,"refNeedCorrection","refOK")</f>
        <v>refOK</v>
      </c>
      <c r="CO1536"/>
      <c r="CP1536"/>
      <c r="CQ1536"/>
      <c r="CR1536">
        <f>IF($CN1536="refOK",$BS1536,$BT1536)*IF($BP1536="Emissions positive",-1,1)</f>
        <v>1.4500000000000001E-2</v>
      </c>
      <c r="CS1536">
        <f>IF($CN1536="refOK",$BT1536,$BS1536)*IF($BP1536="Emissions positive",-1,1)</f>
        <v>1.8700000000000001E-2</v>
      </c>
      <c r="CT1536">
        <f>IF($CN1536="refNeedCorrection",-BX1536,BX1536)*IF($BP1536="Emissions positive",-1,1)</f>
        <v>4.2000000000000006E-3</v>
      </c>
      <c r="CU1536" t="str">
        <f>IFERROR(CT1536/CQ1536,"")</f>
        <v/>
      </c>
      <c r="CV1536" s="2">
        <f>IFERROR((CS1536-CR1536)/ABS(CR1536),"")</f>
        <v>0.28965517241379313</v>
      </c>
      <c r="CW1536" s="1" t="s">
        <v>2036</v>
      </c>
      <c r="CX1536" s="312" t="str">
        <f>IF(OR($CW1536="prd",$CW1536="std",$CW1536="cit"),"loc",IF(OR($CW1536="eur",$CW1536="reg",$CW1536="coy"),"reg",$CW1536))</f>
        <v>reg</v>
      </c>
      <c r="CY1536" s="312" t="s">
        <v>428</v>
      </c>
      <c r="DB1536">
        <v>30</v>
      </c>
      <c r="DC1536" t="str">
        <f>IF(DB1536=0,"0",IF(AND(DB1536&gt;=1,DB1536&lt;=30),"1-30",IF(AND(DB1536&gt;30,DB1536&lt;=70),"31-70",IF(AND(DB1536&gt;70,DB1536&lt;=100),"71-100",IF(DB1536&gt;100,"+100")))))</f>
        <v>1-30</v>
      </c>
      <c r="DD1536">
        <v>1</v>
      </c>
      <c r="DE1536">
        <v>0</v>
      </c>
      <c r="DF1536">
        <v>0</v>
      </c>
      <c r="DG1536">
        <v>0</v>
      </c>
      <c r="DH1536">
        <v>0</v>
      </c>
      <c r="DI1536">
        <f>SUM(DD1536:DH1536)</f>
        <v>1</v>
      </c>
      <c r="DJ1536" t="str">
        <f>IF(DI1536=1,INDEX($DD$7:$DG$7,MATCH(1,$DD1536:$DG1536,0)),"mixedProduct")</f>
        <v>UpstreamInput</v>
      </c>
      <c r="DK1536" t="str">
        <f>IF(DD1536=1,DK$7,0)</f>
        <v>Upstream</v>
      </c>
      <c r="DL1536">
        <f>IF(DE1536=1,DL$7,0)</f>
        <v>0</v>
      </c>
      <c r="DM1536">
        <f>IF(DF1536=1,DM$7,0)</f>
        <v>0</v>
      </c>
      <c r="DN1536">
        <f>IF(DG1536=1,DN$7,0)</f>
        <v>0</v>
      </c>
      <c r="DO1536">
        <v>0</v>
      </c>
      <c r="DP1536">
        <v>0</v>
      </c>
      <c r="DQ1536">
        <v>0</v>
      </c>
      <c r="DR1536">
        <v>0</v>
      </c>
      <c r="DS1536">
        <v>0</v>
      </c>
      <c r="DT1536"/>
      <c r="DU1536" s="143" t="str">
        <f>IF(DO1536=1,"self-calculated DF",IF(DP1536=1,"external DF used","explicit C balance"))</f>
        <v>explicit C balance</v>
      </c>
      <c r="DV1536">
        <v>0</v>
      </c>
      <c r="DW1536">
        <v>0</v>
      </c>
      <c r="DX1536">
        <v>0</v>
      </c>
      <c r="DY1536">
        <v>0</v>
      </c>
      <c r="DZ1536">
        <v>0</v>
      </c>
      <c r="EA1536" s="143">
        <v>0</v>
      </c>
      <c r="EB1536">
        <v>1</v>
      </c>
      <c r="EC1536">
        <v>0</v>
      </c>
      <c r="ED1536">
        <v>0</v>
      </c>
      <c r="EE1536">
        <v>0</v>
      </c>
      <c r="EF1536">
        <v>0</v>
      </c>
      <c r="EG1536">
        <v>0</v>
      </c>
      <c r="EH1536">
        <v>0</v>
      </c>
      <c r="EI1536" s="2">
        <v>0</v>
      </c>
      <c r="EK1536" t="str">
        <f>IF(AND(AND(AND(OR($DX1536=1,$DW1536=1),OR($EC1536=1,$EA1536=1)),SUM($DV1536:$DZ1536,$EF1536)&gt;=3),SUM($EA1536:$EE1536)&gt;=2),"Whole sector","")</f>
        <v/>
      </c>
      <c r="EL1536" t="str">
        <f>IF(AND(AND(OR($DX1536=1,$DW1536=1),AND($EC1536=0,$EA1536=0)),SUM($DV1536:$DZ1536,$EF1536)&gt;=3),"Ecosystem approach","")</f>
        <v/>
      </c>
      <c r="EM1536" s="2" t="str">
        <f>IF(AND(AND(AND($DX1536=0,$DW1536=0),OR($EC1536=1,$EA1536=1)),SUM($EB1536:$EE1536)&gt;=2),"Technology approach","")</f>
        <v/>
      </c>
      <c r="EP1536" t="b">
        <f>IF(ISNUMBER(BU1536),IF(ABS(BU1536-[5]QC_indicators!$B$2)&gt;3*[5]QC_indicators!$C$2,"C ratio",IF(ISNUMBER(BY1536),IF(ABS(BY1536-[5]QC_indicators!$B$1)&gt;3*[5]QC_indicators!$C$1,"DF","no"))),IF(ISNUMBER(BY1536),IF(ABS(BY1536-[5]QC_indicators!$B$1)&gt;3*[5]QC_indicators!$C$1,"DF","no")))</f>
        <v>0</v>
      </c>
    </row>
    <row r="1537" spans="1:148" ht="18" customHeight="1">
      <c r="A1537" s="1" t="s">
        <v>4178</v>
      </c>
      <c r="B1537" t="s">
        <v>544</v>
      </c>
      <c r="C1537" t="s">
        <v>4179</v>
      </c>
      <c r="D1537" t="s">
        <v>4180</v>
      </c>
      <c r="E1537" t="s">
        <v>4181</v>
      </c>
      <c r="F1537" t="s">
        <v>4182</v>
      </c>
      <c r="G1537" t="s">
        <v>4183</v>
      </c>
      <c r="H1537" t="s">
        <v>1628</v>
      </c>
      <c r="I1537">
        <v>2006</v>
      </c>
      <c r="J1537">
        <v>50</v>
      </c>
      <c r="K1537" t="s">
        <v>4184</v>
      </c>
      <c r="M1537" t="str">
        <f>LEFT($D1537,FIND(",",$D1537)-1)&amp;"_"&amp;I1537&amp;L1537</f>
        <v>Sonne_2006</v>
      </c>
      <c r="N1537" s="312" t="s">
        <v>4383</v>
      </c>
      <c r="O1537" s="171" t="s">
        <v>341</v>
      </c>
      <c r="P1537" t="s">
        <v>513</v>
      </c>
      <c r="Q1537" s="312" t="s">
        <v>389</v>
      </c>
      <c r="R1537" s="313"/>
      <c r="S1537" s="1" t="s">
        <v>4185</v>
      </c>
      <c r="T1537" t="s">
        <v>4186</v>
      </c>
      <c r="U1537" t="s">
        <v>4189</v>
      </c>
      <c r="V1537">
        <v>0</v>
      </c>
      <c r="W1537">
        <v>0</v>
      </c>
      <c r="X1537">
        <v>0</v>
      </c>
      <c r="Y1537">
        <v>1</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s="141">
        <f>COUNTIF(V1537:AW1537,"&lt;&gt;0")</f>
        <v>1</v>
      </c>
      <c r="AY1537" s="141">
        <f>COUNTIF(V1537:AL1537,"&lt;&gt;0")</f>
        <v>1</v>
      </c>
      <c r="AZ1537">
        <f>COUNTIF(V1537:AC1537,"&lt;&gt;0")</f>
        <v>1</v>
      </c>
      <c r="BA1537">
        <f>COUNTIF(AD1537:AI1537,"&lt;&gt;0")</f>
        <v>0</v>
      </c>
      <c r="BB1537">
        <f>COUNTIF(AJ1537:AL1537,"&lt;&gt;0")</f>
        <v>0</v>
      </c>
      <c r="BC1537">
        <f>COUNTIF(AS1537:AW1537,"&lt;&gt;0")</f>
        <v>0</v>
      </c>
      <c r="BD1537">
        <f>COUNTIF(AM1537:AR1537,"&lt;&gt;0")</f>
        <v>0</v>
      </c>
      <c r="BE1537" t="str" cm="1">
        <f t="array" ref="BE1537">IF(AY1537=1,INDEX($V$7:$AL$7,MATCH(TRUE,INDEX($V1537:$AW1537&lt;&gt;0,),0)),IF(AY1537=0,INDEX($AM$7:$AW$7,MATCH(1,$AM1537:$AW1537,0)),IF(BF1537="Multiple strategies","mixed drivers",IF(BF1537="Supply chain","multiple supply","multiple silviculture"))))</f>
        <v xml:space="preserve">cutting intensity </v>
      </c>
      <c r="BF1537" s="2" t="str" cm="1">
        <f t="array" ref="BF1537">IF(COUNTIF(AZ1537:BB1537,"&lt;&gt;0")=1,INDEX($V$4:$AW$4,MATCH(TRUE,INDEX($V1537:$AW1537&lt;&gt;0,),0)),IF(COUNTIF(AZ1537:BB1537,"&lt;&gt;0")=0,INDEX($AM$4:$AW$4,MATCH(1,$AM1537:$AW1537,0)),"Multiple strategies"))</f>
        <v>Silviculture for removals</v>
      </c>
      <c r="BG1537" s="1" t="s">
        <v>229</v>
      </c>
      <c r="BM1537" t="str">
        <f>IFERROR(BL1537/BK1537,"")</f>
        <v/>
      </c>
      <c r="BR1537" t="s">
        <v>4188</v>
      </c>
      <c r="BS1537">
        <v>1.4500000000000001E-2</v>
      </c>
      <c r="BT1537">
        <v>1.9400000000000001E-2</v>
      </c>
      <c r="BU1537" s="144">
        <f>BT1537/BS1537</f>
        <v>1.3379310344827586</v>
      </c>
      <c r="BV1537">
        <f>BT1537-BS1537</f>
        <v>4.8999999999999998E-3</v>
      </c>
      <c r="BX1537">
        <f>BV1537</f>
        <v>4.8999999999999998E-3</v>
      </c>
      <c r="BY1537" t="str">
        <f>IFERROR(BX1537/BO1537,"")</f>
        <v/>
      </c>
      <c r="BZ1537">
        <v>0</v>
      </c>
      <c r="CA1537">
        <v>1</v>
      </c>
      <c r="CB1537">
        <v>0</v>
      </c>
      <c r="CC1537">
        <v>1</v>
      </c>
      <c r="CD1537">
        <v>0</v>
      </c>
      <c r="CE1537">
        <v>0</v>
      </c>
      <c r="CF1537">
        <v>0</v>
      </c>
      <c r="CG1537">
        <v>0</v>
      </c>
      <c r="CH1537">
        <v>0</v>
      </c>
      <c r="CI1537">
        <v>0</v>
      </c>
      <c r="CJ1537">
        <v>0</v>
      </c>
      <c r="CK1537">
        <v>0</v>
      </c>
      <c r="CL1537">
        <v>0</v>
      </c>
      <c r="CM1537">
        <v>0</v>
      </c>
      <c r="CN1537" t="str">
        <f>IF($BL1537&lt;$BK1537,"refNeedCorrection","refOK")</f>
        <v>refOK</v>
      </c>
      <c r="CO1537"/>
      <c r="CP1537"/>
      <c r="CQ1537"/>
      <c r="CR1537">
        <f>IF($CN1537="refOK",$BS1537,$BT1537)*IF($BP1537="Emissions positive",-1,1)</f>
        <v>1.4500000000000001E-2</v>
      </c>
      <c r="CS1537">
        <f>IF($CN1537="refOK",$BT1537,$BS1537)*IF($BP1537="Emissions positive",-1,1)</f>
        <v>1.9400000000000001E-2</v>
      </c>
      <c r="CT1537">
        <f>IF($CN1537="refNeedCorrection",-BX1537,BX1537)*IF($BP1537="Emissions positive",-1,1)</f>
        <v>4.8999999999999998E-3</v>
      </c>
      <c r="CU1537" t="str">
        <f>IFERROR(CT1537/CQ1537,"")</f>
        <v/>
      </c>
      <c r="CV1537" s="2">
        <f>IFERROR((CS1537-CR1537)/ABS(CR1537),"")</f>
        <v>0.33793103448275857</v>
      </c>
      <c r="CW1537" s="1" t="s">
        <v>2036</v>
      </c>
      <c r="CX1537" s="312" t="str">
        <f>IF(OR($CW1537="prd",$CW1537="std",$CW1537="cit"),"loc",IF(OR($CW1537="eur",$CW1537="reg",$CW1537="coy"),"reg",$CW1537))</f>
        <v>reg</v>
      </c>
      <c r="CY1537" s="312" t="s">
        <v>428</v>
      </c>
      <c r="DB1537">
        <v>30</v>
      </c>
      <c r="DC1537" t="str">
        <f>IF(DB1537=0,"0",IF(AND(DB1537&gt;=1,DB1537&lt;=30),"1-30",IF(AND(DB1537&gt;30,DB1537&lt;=70),"31-70",IF(AND(DB1537&gt;70,DB1537&lt;=100),"71-100",IF(DB1537&gt;100,"+100")))))</f>
        <v>1-30</v>
      </c>
      <c r="DD1537">
        <v>1</v>
      </c>
      <c r="DE1537">
        <v>0</v>
      </c>
      <c r="DF1537">
        <v>0</v>
      </c>
      <c r="DG1537">
        <v>0</v>
      </c>
      <c r="DH1537">
        <v>0</v>
      </c>
      <c r="DI1537">
        <f>SUM(DD1537:DH1537)</f>
        <v>1</v>
      </c>
      <c r="DJ1537" t="str">
        <f>IF(DI1537=1,INDEX($DD$7:$DG$7,MATCH(1,$DD1537:$DG1537,0)),"mixedProduct")</f>
        <v>UpstreamInput</v>
      </c>
      <c r="DK1537" t="str">
        <f>IF(DD1537=1,DK$7,0)</f>
        <v>Upstream</v>
      </c>
      <c r="DL1537">
        <f>IF(DE1537=1,DL$7,0)</f>
        <v>0</v>
      </c>
      <c r="DM1537">
        <f>IF(DF1537=1,DM$7,0)</f>
        <v>0</v>
      </c>
      <c r="DN1537">
        <f>IF(DG1537=1,DN$7,0)</f>
        <v>0</v>
      </c>
      <c r="DO1537">
        <v>0</v>
      </c>
      <c r="DP1537">
        <v>0</v>
      </c>
      <c r="DQ1537">
        <v>0</v>
      </c>
      <c r="DR1537">
        <v>0</v>
      </c>
      <c r="DS1537">
        <v>0</v>
      </c>
      <c r="DT1537"/>
      <c r="DU1537" s="143" t="str">
        <f>IF(DO1537=1,"self-calculated DF",IF(DP1537=1,"external DF used","explicit C balance"))</f>
        <v>explicit C balance</v>
      </c>
      <c r="DV1537">
        <v>0</v>
      </c>
      <c r="DW1537">
        <v>0</v>
      </c>
      <c r="DX1537">
        <v>0</v>
      </c>
      <c r="DY1537">
        <v>0</v>
      </c>
      <c r="DZ1537">
        <v>0</v>
      </c>
      <c r="EA1537" s="143">
        <v>0</v>
      </c>
      <c r="EB1537">
        <v>1</v>
      </c>
      <c r="EC1537">
        <v>0</v>
      </c>
      <c r="ED1537">
        <v>0</v>
      </c>
      <c r="EE1537">
        <v>0</v>
      </c>
      <c r="EF1537">
        <v>0</v>
      </c>
      <c r="EG1537">
        <v>0</v>
      </c>
      <c r="EH1537">
        <v>0</v>
      </c>
      <c r="EI1537" s="2">
        <v>0</v>
      </c>
      <c r="EK1537" t="str">
        <f>IF(AND(AND(AND(OR($DX1537=1,$DW1537=1),OR($EC1537=1,$EA1537=1)),SUM($DV1537:$DZ1537,$EF1537)&gt;=3),SUM($EA1537:$EE1537)&gt;=2),"Whole sector","")</f>
        <v/>
      </c>
      <c r="EL1537" t="str">
        <f>IF(AND(AND(OR($DX1537=1,$DW1537=1),AND($EC1537=0,$EA1537=0)),SUM($DV1537:$DZ1537,$EF1537)&gt;=3),"Ecosystem approach","")</f>
        <v/>
      </c>
      <c r="EM1537" s="2" t="str">
        <f>IF(AND(AND(AND($DX1537=0,$DW1537=0),OR($EC1537=1,$EA1537=1)),SUM($EB1537:$EE1537)&gt;=2),"Technology approach","")</f>
        <v/>
      </c>
      <c r="EP1537" t="b">
        <f>IF(ISNUMBER(BU1537),IF(ABS(BU1537-[5]QC_indicators!$B$2)&gt;3*[5]QC_indicators!$C$2,"C ratio",IF(ISNUMBER(BY1537),IF(ABS(BY1537-[5]QC_indicators!$B$1)&gt;3*[5]QC_indicators!$C$1,"DF","no"))),IF(ISNUMBER(BY1537),IF(ABS(BY1537-[5]QC_indicators!$B$1)&gt;3*[5]QC_indicators!$C$1,"DF","no")))</f>
        <v>0</v>
      </c>
    </row>
    <row r="1538" spans="1:148" ht="18" customHeight="1">
      <c r="A1538" s="1" t="s">
        <v>4178</v>
      </c>
      <c r="B1538" t="s">
        <v>544</v>
      </c>
      <c r="C1538" t="s">
        <v>4179</v>
      </c>
      <c r="D1538" t="s">
        <v>4180</v>
      </c>
      <c r="E1538" t="s">
        <v>4181</v>
      </c>
      <c r="F1538" t="s">
        <v>4182</v>
      </c>
      <c r="G1538" t="s">
        <v>4183</v>
      </c>
      <c r="H1538" t="s">
        <v>1628</v>
      </c>
      <c r="I1538">
        <v>2006</v>
      </c>
      <c r="J1538">
        <v>50</v>
      </c>
      <c r="K1538" t="s">
        <v>4184</v>
      </c>
      <c r="M1538" t="str">
        <f>LEFT($D1538,FIND(",",$D1538)-1)&amp;"_"&amp;I1538&amp;L1538</f>
        <v>Sonne_2006</v>
      </c>
      <c r="N1538" s="312" t="s">
        <v>4383</v>
      </c>
      <c r="O1538" s="171" t="s">
        <v>341</v>
      </c>
      <c r="P1538" t="s">
        <v>513</v>
      </c>
      <c r="Q1538" s="312" t="s">
        <v>389</v>
      </c>
      <c r="R1538" s="313"/>
      <c r="S1538" s="1" t="s">
        <v>3420</v>
      </c>
      <c r="T1538" t="s">
        <v>4190</v>
      </c>
      <c r="U1538" t="s">
        <v>4191</v>
      </c>
      <c r="V1538">
        <v>0</v>
      </c>
      <c r="W1538">
        <v>0</v>
      </c>
      <c r="X1538">
        <v>0</v>
      </c>
      <c r="Y1538">
        <v>0</v>
      </c>
      <c r="Z1538">
        <v>0</v>
      </c>
      <c r="AA1538">
        <v>0</v>
      </c>
      <c r="AB1538">
        <v>1</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s="141">
        <f>COUNTIF(V1538:AW1538,"&lt;&gt;0")</f>
        <v>1</v>
      </c>
      <c r="AY1538" s="141">
        <f>COUNTIF(V1538:AL1538,"&lt;&gt;0")</f>
        <v>1</v>
      </c>
      <c r="AZ1538">
        <f>COUNTIF(V1538:AC1538,"&lt;&gt;0")</f>
        <v>1</v>
      </c>
      <c r="BA1538">
        <f>COUNTIF(AD1538:AI1538,"&lt;&gt;0")</f>
        <v>0</v>
      </c>
      <c r="BB1538">
        <f>COUNTIF(AJ1538:AL1538,"&lt;&gt;0")</f>
        <v>0</v>
      </c>
      <c r="BC1538">
        <f>COUNTIF(AS1538:AW1538,"&lt;&gt;0")</f>
        <v>0</v>
      </c>
      <c r="BD1538">
        <f>COUNTIF(AM1538:AR1538,"&lt;&gt;0")</f>
        <v>0</v>
      </c>
      <c r="BE1538" t="str" cm="1">
        <f t="array" ref="BE1538">IF(AY1538=1,INDEX($V$7:$AL$7,MATCH(TRUE,INDEX($V1538:$AW1538&lt;&gt;0,),0)),IF(AY1538=0,INDEX($AM$7:$AW$7,MATCH(1,$AM1538:$AW1538,0)),IF(BF1538="Multiple strategies","mixed drivers",IF(BF1538="Supply chain","multiple supply","multiple silviculture"))))</f>
        <v>fertilisation</v>
      </c>
      <c r="BF1538" s="2" t="str" cm="1">
        <f t="array" ref="BF1538">IF(COUNTIF(AZ1538:BB1538,"&lt;&gt;0")=1,INDEX($V$4:$AW$4,MATCH(TRUE,INDEX($V1538:$AW1538&lt;&gt;0,),0)),IF(COUNTIF(AZ1538:BB1538,"&lt;&gt;0")=0,INDEX($AM$4:$AW$4,MATCH(1,$AM1538:$AW1538,0)),"Multiple strategies"))</f>
        <v>Silviculture for productivity</v>
      </c>
      <c r="BG1538" s="1" t="s">
        <v>229</v>
      </c>
      <c r="BM1538" t="str">
        <f>IFERROR(BL1538/BK1538,"")</f>
        <v/>
      </c>
      <c r="BR1538" t="s">
        <v>4188</v>
      </c>
      <c r="BS1538">
        <v>1.9400000000000001E-2</v>
      </c>
      <c r="BT1538">
        <v>2.6100000000000002E-2</v>
      </c>
      <c r="BU1538" s="144">
        <f>BT1538/BS1538</f>
        <v>1.3453608247422681</v>
      </c>
      <c r="BV1538">
        <f>BT1538-BS1538</f>
        <v>6.7000000000000011E-3</v>
      </c>
      <c r="BX1538">
        <f>BV1538</f>
        <v>6.7000000000000011E-3</v>
      </c>
      <c r="BY1538" t="str">
        <f>IFERROR(BX1538/BO1538,"")</f>
        <v/>
      </c>
      <c r="BZ1538">
        <v>0</v>
      </c>
      <c r="CA1538">
        <v>1</v>
      </c>
      <c r="CB1538">
        <v>0</v>
      </c>
      <c r="CC1538">
        <v>1</v>
      </c>
      <c r="CD1538">
        <v>0</v>
      </c>
      <c r="CE1538">
        <v>0</v>
      </c>
      <c r="CF1538">
        <v>0</v>
      </c>
      <c r="CG1538">
        <v>0</v>
      </c>
      <c r="CH1538">
        <v>0</v>
      </c>
      <c r="CI1538">
        <v>0</v>
      </c>
      <c r="CJ1538">
        <v>0</v>
      </c>
      <c r="CK1538">
        <v>0</v>
      </c>
      <c r="CL1538">
        <v>0</v>
      </c>
      <c r="CM1538">
        <v>0</v>
      </c>
      <c r="CN1538" t="str">
        <f>IF($BL1538&lt;$BK1538,"refNeedCorrection","refOK")</f>
        <v>refOK</v>
      </c>
      <c r="CO1538"/>
      <c r="CP1538"/>
      <c r="CQ1538"/>
      <c r="CR1538">
        <f>IF($CN1538="refOK",$BS1538,$BT1538)*IF($BP1538="Emissions positive",-1,1)</f>
        <v>1.9400000000000001E-2</v>
      </c>
      <c r="CS1538">
        <f>IF($CN1538="refOK",$BT1538,$BS1538)*IF($BP1538="Emissions positive",-1,1)</f>
        <v>2.6100000000000002E-2</v>
      </c>
      <c r="CT1538">
        <f>IF($CN1538="refNeedCorrection",-BX1538,BX1538)*IF($BP1538="Emissions positive",-1,1)</f>
        <v>6.7000000000000011E-3</v>
      </c>
      <c r="CU1538" t="str">
        <f>IFERROR(CT1538/CQ1538,"")</f>
        <v/>
      </c>
      <c r="CV1538" s="2">
        <f>IFERROR((CS1538-CR1538)/ABS(CR1538),"")</f>
        <v>0.34536082474226809</v>
      </c>
      <c r="CW1538" s="1" t="s">
        <v>2036</v>
      </c>
      <c r="CX1538" s="312" t="str">
        <f>IF(OR($CW1538="prd",$CW1538="std",$CW1538="cit"),"loc",IF(OR($CW1538="eur",$CW1538="reg",$CW1538="coy"),"reg",$CW1538))</f>
        <v>reg</v>
      </c>
      <c r="CY1538" s="312" t="s">
        <v>428</v>
      </c>
      <c r="DB1538">
        <v>30</v>
      </c>
      <c r="DC1538" t="str">
        <f>IF(DB1538=0,"0",IF(AND(DB1538&gt;=1,DB1538&lt;=30),"1-30",IF(AND(DB1538&gt;30,DB1538&lt;=70),"31-70",IF(AND(DB1538&gt;70,DB1538&lt;=100),"71-100",IF(DB1538&gt;100,"+100")))))</f>
        <v>1-30</v>
      </c>
      <c r="DD1538">
        <v>1</v>
      </c>
      <c r="DE1538">
        <v>0</v>
      </c>
      <c r="DF1538">
        <v>0</v>
      </c>
      <c r="DG1538">
        <v>0</v>
      </c>
      <c r="DH1538">
        <v>0</v>
      </c>
      <c r="DI1538">
        <f>SUM(DD1538:DH1538)</f>
        <v>1</v>
      </c>
      <c r="DJ1538" t="str">
        <f>IF(DI1538=1,INDEX($DD$7:$DG$7,MATCH(1,$DD1538:$DG1538,0)),"mixedProduct")</f>
        <v>UpstreamInput</v>
      </c>
      <c r="DK1538" t="str">
        <f>IF(DD1538=1,DK$7,0)</f>
        <v>Upstream</v>
      </c>
      <c r="DL1538">
        <f>IF(DE1538=1,DL$7,0)</f>
        <v>0</v>
      </c>
      <c r="DM1538">
        <f>IF(DF1538=1,DM$7,0)</f>
        <v>0</v>
      </c>
      <c r="DN1538">
        <f>IF(DG1538=1,DN$7,0)</f>
        <v>0</v>
      </c>
      <c r="DO1538">
        <v>0</v>
      </c>
      <c r="DP1538">
        <v>0</v>
      </c>
      <c r="DQ1538">
        <v>0</v>
      </c>
      <c r="DR1538">
        <v>0</v>
      </c>
      <c r="DS1538">
        <v>0</v>
      </c>
      <c r="DT1538"/>
      <c r="DU1538" s="143" t="str">
        <f>IF(DO1538=1,"self-calculated DF",IF(DP1538=1,"external DF used","explicit C balance"))</f>
        <v>explicit C balance</v>
      </c>
      <c r="DV1538">
        <v>0</v>
      </c>
      <c r="DW1538">
        <v>0</v>
      </c>
      <c r="DX1538">
        <v>0</v>
      </c>
      <c r="DY1538">
        <v>0</v>
      </c>
      <c r="DZ1538">
        <v>0</v>
      </c>
      <c r="EA1538" s="143">
        <v>0</v>
      </c>
      <c r="EB1538">
        <v>1</v>
      </c>
      <c r="EC1538">
        <v>0</v>
      </c>
      <c r="ED1538">
        <v>0</v>
      </c>
      <c r="EE1538">
        <v>0</v>
      </c>
      <c r="EF1538">
        <v>0</v>
      </c>
      <c r="EG1538">
        <v>0</v>
      </c>
      <c r="EH1538">
        <v>0</v>
      </c>
      <c r="EI1538" s="2">
        <v>0</v>
      </c>
      <c r="EK1538" t="str">
        <f>IF(AND(AND(AND(OR($DX1538=1,$DW1538=1),OR($EC1538=1,$EA1538=1)),SUM($DV1538:$DZ1538,$EF1538)&gt;=3),SUM($EA1538:$EE1538)&gt;=2),"Whole sector","")</f>
        <v/>
      </c>
      <c r="EL1538" t="str">
        <f>IF(AND(AND(OR($DX1538=1,$DW1538=1),AND($EC1538=0,$EA1538=0)),SUM($DV1538:$DZ1538,$EF1538)&gt;=3),"Ecosystem approach","")</f>
        <v/>
      </c>
      <c r="EM1538" s="2" t="str">
        <f>IF(AND(AND(AND($DX1538=0,$DW1538=0),OR($EC1538=1,$EA1538=1)),SUM($EB1538:$EE1538)&gt;=2),"Technology approach","")</f>
        <v/>
      </c>
      <c r="EP1538" t="b">
        <f>IF(ISNUMBER(BU1538),IF(ABS(BU1538-[5]QC_indicators!$B$2)&gt;3*[5]QC_indicators!$C$2,"C ratio",IF(ISNUMBER(BY1538),IF(ABS(BY1538-[5]QC_indicators!$B$1)&gt;3*[5]QC_indicators!$C$1,"DF","no"))),IF(ISNUMBER(BY1538),IF(ABS(BY1538-[5]QC_indicators!$B$1)&gt;3*[5]QC_indicators!$C$1,"DF","no")))</f>
        <v>0</v>
      </c>
    </row>
    <row r="1539" spans="1:148" ht="18" customHeight="1">
      <c r="A1539" s="1" t="s">
        <v>4178</v>
      </c>
      <c r="B1539" t="s">
        <v>544</v>
      </c>
      <c r="C1539" t="s">
        <v>4179</v>
      </c>
      <c r="D1539" t="s">
        <v>4180</v>
      </c>
      <c r="E1539" t="s">
        <v>4181</v>
      </c>
      <c r="F1539" t="s">
        <v>4182</v>
      </c>
      <c r="G1539" t="s">
        <v>4183</v>
      </c>
      <c r="H1539" t="s">
        <v>1628</v>
      </c>
      <c r="I1539">
        <v>2006</v>
      </c>
      <c r="J1539">
        <v>50</v>
      </c>
      <c r="K1539" t="s">
        <v>4184</v>
      </c>
      <c r="M1539" t="str">
        <f>LEFT($D1539,FIND(",",$D1539)-1)&amp;"_"&amp;I1539&amp;L1539</f>
        <v>Sonne_2006</v>
      </c>
      <c r="N1539" s="312" t="s">
        <v>4383</v>
      </c>
      <c r="O1539" s="171" t="s">
        <v>341</v>
      </c>
      <c r="P1539" t="s">
        <v>513</v>
      </c>
      <c r="Q1539" s="312" t="s">
        <v>389</v>
      </c>
      <c r="R1539" s="313"/>
      <c r="S1539" s="1" t="s">
        <v>4192</v>
      </c>
      <c r="T1539" t="s">
        <v>4193</v>
      </c>
      <c r="U1539" t="s">
        <v>4194</v>
      </c>
      <c r="V1539">
        <v>0</v>
      </c>
      <c r="W1539">
        <v>0</v>
      </c>
      <c r="X1539">
        <v>0</v>
      </c>
      <c r="Y1539">
        <v>0</v>
      </c>
      <c r="Z1539">
        <v>0</v>
      </c>
      <c r="AA1539">
        <v>1</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s="141">
        <f>COUNTIF(V1539:AW1539,"&lt;&gt;0")</f>
        <v>1</v>
      </c>
      <c r="AY1539" s="141">
        <f>COUNTIF(V1539:AL1539,"&lt;&gt;0")</f>
        <v>1</v>
      </c>
      <c r="AZ1539">
        <f>COUNTIF(V1539:AC1539,"&lt;&gt;0")</f>
        <v>1</v>
      </c>
      <c r="BA1539">
        <f>COUNTIF(AD1539:AI1539,"&lt;&gt;0")</f>
        <v>0</v>
      </c>
      <c r="BB1539">
        <f>COUNTIF(AJ1539:AL1539,"&lt;&gt;0")</f>
        <v>0</v>
      </c>
      <c r="BC1539">
        <f>COUNTIF(AS1539:AW1539,"&lt;&gt;0")</f>
        <v>0</v>
      </c>
      <c r="BD1539">
        <f>COUNTIF(AM1539:AR1539,"&lt;&gt;0")</f>
        <v>0</v>
      </c>
      <c r="BE1539" t="str" cm="1">
        <f t="array" ref="BE1539">IF(AY1539=1,INDEX($V$7:$AL$7,MATCH(TRUE,INDEX($V1539:$AW1539&lt;&gt;0,),0)),IF(AY1539=0,INDEX($AM$7:$AW$7,MATCH(1,$AM1539:$AW1539,0)),IF(BF1539="Multiple strategies","mixed drivers",IF(BF1539="Supply chain","multiple supply","multiple silviculture"))))</f>
        <v>plantation density</v>
      </c>
      <c r="BF1539" s="2" t="str" cm="1">
        <f t="array" ref="BF1539">IF(COUNTIF(AZ1539:BB1539,"&lt;&gt;0")=1,INDEX($V$4:$AW$4,MATCH(TRUE,INDEX($V1539:$AW1539&lt;&gt;0,),0)),IF(COUNTIF(AZ1539:BB1539,"&lt;&gt;0")=0,INDEX($AM$4:$AW$4,MATCH(1,$AM1539:$AW1539,0)),"Multiple strategies"))</f>
        <v>Silviculture for productivity</v>
      </c>
      <c r="BG1539" s="1" t="s">
        <v>229</v>
      </c>
      <c r="BM1539" t="str">
        <f>IFERROR(BL1539/BK1539,"")</f>
        <v/>
      </c>
      <c r="BR1539" t="s">
        <v>4188</v>
      </c>
      <c r="BS1539">
        <v>1.5900000000000001E-2</v>
      </c>
      <c r="BT1539">
        <v>1.4500000000000001E-2</v>
      </c>
      <c r="BU1539" s="144">
        <f>BT1539/BS1539</f>
        <v>0.91194968553459121</v>
      </c>
      <c r="BV1539">
        <f>BT1539-BS1539</f>
        <v>-1.4000000000000002E-3</v>
      </c>
      <c r="BX1539">
        <f>BV1539</f>
        <v>-1.4000000000000002E-3</v>
      </c>
      <c r="BY1539" t="str">
        <f>IFERROR(BX1539/BO1539,"")</f>
        <v/>
      </c>
      <c r="BZ1539">
        <v>0</v>
      </c>
      <c r="CA1539">
        <v>1</v>
      </c>
      <c r="CB1539">
        <v>0</v>
      </c>
      <c r="CC1539">
        <v>1</v>
      </c>
      <c r="CD1539">
        <v>0</v>
      </c>
      <c r="CE1539">
        <v>0</v>
      </c>
      <c r="CF1539">
        <v>0</v>
      </c>
      <c r="CG1539">
        <v>0</v>
      </c>
      <c r="CH1539">
        <v>0</v>
      </c>
      <c r="CI1539">
        <v>0</v>
      </c>
      <c r="CJ1539">
        <v>0</v>
      </c>
      <c r="CK1539">
        <v>0</v>
      </c>
      <c r="CL1539">
        <v>0</v>
      </c>
      <c r="CM1539">
        <v>0</v>
      </c>
      <c r="CN1539" t="str">
        <f>IF($BL1539&lt;$BK1539,"refNeedCorrection","refOK")</f>
        <v>refOK</v>
      </c>
      <c r="CO1539"/>
      <c r="CP1539"/>
      <c r="CQ1539"/>
      <c r="CR1539">
        <f>IF($CN1539="refOK",$BS1539,$BT1539)*IF($BP1539="Emissions positive",-1,1)</f>
        <v>1.5900000000000001E-2</v>
      </c>
      <c r="CS1539">
        <f>IF($CN1539="refOK",$BT1539,$BS1539)*IF($BP1539="Emissions positive",-1,1)</f>
        <v>1.4500000000000001E-2</v>
      </c>
      <c r="CT1539">
        <f>IF($CN1539="refNeedCorrection",-BX1539,BX1539)*IF($BP1539="Emissions positive",-1,1)</f>
        <v>-1.4000000000000002E-3</v>
      </c>
      <c r="CU1539" t="str">
        <f>IFERROR(CT1539/CQ1539,"")</f>
        <v/>
      </c>
      <c r="CV1539" s="2">
        <f>IFERROR((CS1539-CR1539)/ABS(CR1539),"")</f>
        <v>-8.8050314465408813E-2</v>
      </c>
      <c r="CW1539" s="1" t="s">
        <v>2036</v>
      </c>
      <c r="CX1539" s="312" t="str">
        <f>IF(OR($CW1539="prd",$CW1539="std",$CW1539="cit"),"loc",IF(OR($CW1539="eur",$CW1539="reg",$CW1539="coy"),"reg",$CW1539))</f>
        <v>reg</v>
      </c>
      <c r="CY1539" s="312" t="s">
        <v>428</v>
      </c>
      <c r="DB1539">
        <v>30</v>
      </c>
      <c r="DC1539" t="str">
        <f>IF(DB1539=0,"0",IF(AND(DB1539&gt;=1,DB1539&lt;=30),"1-30",IF(AND(DB1539&gt;30,DB1539&lt;=70),"31-70",IF(AND(DB1539&gt;70,DB1539&lt;=100),"71-100",IF(DB1539&gt;100,"+100")))))</f>
        <v>1-30</v>
      </c>
      <c r="DD1539">
        <v>1</v>
      </c>
      <c r="DE1539">
        <v>0</v>
      </c>
      <c r="DF1539">
        <v>0</v>
      </c>
      <c r="DG1539">
        <v>0</v>
      </c>
      <c r="DH1539">
        <v>0</v>
      </c>
      <c r="DI1539">
        <f>SUM(DD1539:DH1539)</f>
        <v>1</v>
      </c>
      <c r="DJ1539" t="str">
        <f>IF(DI1539=1,INDEX($DD$7:$DG$7,MATCH(1,$DD1539:$DG1539,0)),"mixedProduct")</f>
        <v>UpstreamInput</v>
      </c>
      <c r="DK1539" t="str">
        <f>IF(DD1539=1,DK$7,0)</f>
        <v>Upstream</v>
      </c>
      <c r="DL1539">
        <f>IF(DE1539=1,DL$7,0)</f>
        <v>0</v>
      </c>
      <c r="DM1539">
        <f>IF(DF1539=1,DM$7,0)</f>
        <v>0</v>
      </c>
      <c r="DN1539">
        <f>IF(DG1539=1,DN$7,0)</f>
        <v>0</v>
      </c>
      <c r="DO1539">
        <v>0</v>
      </c>
      <c r="DP1539">
        <v>0</v>
      </c>
      <c r="DQ1539">
        <v>0</v>
      </c>
      <c r="DR1539">
        <v>0</v>
      </c>
      <c r="DS1539">
        <v>0</v>
      </c>
      <c r="DT1539"/>
      <c r="DU1539" s="143" t="str">
        <f>IF(DO1539=1,"self-calculated DF",IF(DP1539=1,"external DF used","explicit C balance"))</f>
        <v>explicit C balance</v>
      </c>
      <c r="DV1539">
        <v>0</v>
      </c>
      <c r="DW1539">
        <v>0</v>
      </c>
      <c r="DX1539">
        <v>0</v>
      </c>
      <c r="DY1539">
        <v>0</v>
      </c>
      <c r="DZ1539">
        <v>0</v>
      </c>
      <c r="EA1539" s="143">
        <v>0</v>
      </c>
      <c r="EB1539">
        <v>1</v>
      </c>
      <c r="EC1539">
        <v>0</v>
      </c>
      <c r="ED1539">
        <v>0</v>
      </c>
      <c r="EE1539">
        <v>0</v>
      </c>
      <c r="EF1539">
        <v>0</v>
      </c>
      <c r="EG1539">
        <v>0</v>
      </c>
      <c r="EH1539">
        <v>0</v>
      </c>
      <c r="EI1539" s="2">
        <v>0</v>
      </c>
      <c r="EK1539" t="str">
        <f>IF(AND(AND(AND(OR($DX1539=1,$DW1539=1),OR($EC1539=1,$EA1539=1)),SUM($DV1539:$DZ1539,$EF1539)&gt;=3),SUM($EA1539:$EE1539)&gt;=2),"Whole sector","")</f>
        <v/>
      </c>
      <c r="EL1539" t="str">
        <f>IF(AND(AND(OR($DX1539=1,$DW1539=1),AND($EC1539=0,$EA1539=0)),SUM($DV1539:$DZ1539,$EF1539)&gt;=3),"Ecosystem approach","")</f>
        <v/>
      </c>
      <c r="EM1539" s="2" t="str">
        <f>IF(AND(AND(AND($DX1539=0,$DW1539=0),OR($EC1539=1,$EA1539=1)),SUM($EB1539:$EE1539)&gt;=2),"Technology approach","")</f>
        <v/>
      </c>
      <c r="EP1539" t="b">
        <f>IF(ISNUMBER(BU1539),IF(ABS(BU1539-[5]QC_indicators!$B$2)&gt;3*[5]QC_indicators!$C$2,"C ratio",IF(ISNUMBER(BY1539),IF(ABS(BY1539-[5]QC_indicators!$B$1)&gt;3*[5]QC_indicators!$C$1,"DF","no"))),IF(ISNUMBER(BY1539),IF(ABS(BY1539-[5]QC_indicators!$B$1)&gt;3*[5]QC_indicators!$C$1,"DF","no")))</f>
        <v>0</v>
      </c>
    </row>
    <row r="1540" spans="1:148" ht="18" customHeight="1">
      <c r="A1540" s="1" t="s">
        <v>4178</v>
      </c>
      <c r="B1540" t="s">
        <v>544</v>
      </c>
      <c r="C1540" t="s">
        <v>4179</v>
      </c>
      <c r="D1540" t="s">
        <v>4180</v>
      </c>
      <c r="E1540" t="s">
        <v>4181</v>
      </c>
      <c r="F1540" t="s">
        <v>4182</v>
      </c>
      <c r="G1540" t="s">
        <v>4183</v>
      </c>
      <c r="H1540" t="s">
        <v>1628</v>
      </c>
      <c r="I1540">
        <v>2006</v>
      </c>
      <c r="J1540">
        <v>50</v>
      </c>
      <c r="K1540" t="s">
        <v>4184</v>
      </c>
      <c r="M1540" t="str">
        <f>LEFT($D1540,FIND(",",$D1540)-1)&amp;"_"&amp;I1540&amp;L1540</f>
        <v>Sonne_2006</v>
      </c>
      <c r="N1540" s="312" t="s">
        <v>4383</v>
      </c>
      <c r="O1540" s="171" t="s">
        <v>341</v>
      </c>
      <c r="P1540" t="s">
        <v>513</v>
      </c>
      <c r="Q1540" s="312" t="s">
        <v>389</v>
      </c>
      <c r="R1540" s="313"/>
      <c r="S1540" s="1" t="s">
        <v>314</v>
      </c>
      <c r="T1540" t="s">
        <v>4195</v>
      </c>
      <c r="U1540" t="s">
        <v>4196</v>
      </c>
      <c r="V1540">
        <v>0</v>
      </c>
      <c r="W1540">
        <v>0</v>
      </c>
      <c r="X1540">
        <v>1</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s="141">
        <f>COUNTIF(V1540:AW1540,"&lt;&gt;0")</f>
        <v>1</v>
      </c>
      <c r="AY1540" s="141">
        <f>COUNTIF(V1540:AL1540,"&lt;&gt;0")</f>
        <v>1</v>
      </c>
      <c r="AZ1540">
        <f>COUNTIF(V1540:AC1540,"&lt;&gt;0")</f>
        <v>1</v>
      </c>
      <c r="BA1540">
        <f>COUNTIF(AD1540:AI1540,"&lt;&gt;0")</f>
        <v>0</v>
      </c>
      <c r="BB1540">
        <f>COUNTIF(AJ1540:AL1540,"&lt;&gt;0")</f>
        <v>0</v>
      </c>
      <c r="BC1540">
        <f>COUNTIF(AS1540:AW1540,"&lt;&gt;0")</f>
        <v>0</v>
      </c>
      <c r="BD1540">
        <f>COUNTIF(AM1540:AR1540,"&lt;&gt;0")</f>
        <v>0</v>
      </c>
      <c r="BE1540" t="str" cm="1">
        <f t="array" ref="BE1540">IF(AY1540=1,INDEX($V$7:$AL$7,MATCH(TRUE,INDEX($V1540:$AW1540&lt;&gt;0,),0)),IF(AY1540=0,INDEX($AM$7:$AW$7,MATCH(1,$AM1540:$AW1540,0)),IF(BF1540="Multiple strategies","mixed drivers",IF(BF1540="Supply chain","multiple supply","multiple silviculture"))))</f>
        <v>rotation length</v>
      </c>
      <c r="BF1540" s="2" t="str" cm="1">
        <f t="array" ref="BF1540">IF(COUNTIF(AZ1540:BB1540,"&lt;&gt;0")=1,INDEX($V$4:$AW$4,MATCH(TRUE,INDEX($V1540:$AW1540&lt;&gt;0,),0)),IF(COUNTIF(AZ1540:BB1540,"&lt;&gt;0")=0,INDEX($AM$4:$AW$4,MATCH(1,$AM1540:$AW1540,0)),"Multiple strategies"))</f>
        <v>Silviculture for removals</v>
      </c>
      <c r="BG1540" s="1" t="s">
        <v>229</v>
      </c>
      <c r="BM1540" t="str">
        <f>IFERROR(BL1540/BK1540,"")</f>
        <v/>
      </c>
      <c r="BR1540" t="s">
        <v>4188</v>
      </c>
      <c r="BS1540">
        <v>1.24E-2</v>
      </c>
      <c r="BT1540">
        <v>1.24E-2</v>
      </c>
      <c r="BU1540" s="144">
        <f>BT1540/BS1540</f>
        <v>1</v>
      </c>
      <c r="BV1540">
        <f>BT1540-BS1540</f>
        <v>0</v>
      </c>
      <c r="BX1540">
        <f>BV1540</f>
        <v>0</v>
      </c>
      <c r="BY1540" t="str">
        <f>IFERROR(BX1540/BO1540,"")</f>
        <v/>
      </c>
      <c r="BZ1540">
        <v>0</v>
      </c>
      <c r="CA1540">
        <v>1</v>
      </c>
      <c r="CB1540">
        <v>0</v>
      </c>
      <c r="CC1540">
        <v>1</v>
      </c>
      <c r="CD1540">
        <v>0</v>
      </c>
      <c r="CE1540">
        <v>0</v>
      </c>
      <c r="CF1540">
        <v>0</v>
      </c>
      <c r="CG1540">
        <v>0</v>
      </c>
      <c r="CH1540">
        <v>0</v>
      </c>
      <c r="CI1540">
        <v>0</v>
      </c>
      <c r="CJ1540">
        <v>0</v>
      </c>
      <c r="CK1540">
        <v>0</v>
      </c>
      <c r="CL1540">
        <v>0</v>
      </c>
      <c r="CM1540">
        <v>0</v>
      </c>
      <c r="CN1540" t="str">
        <f>IF($BL1540&lt;$BK1540,"refNeedCorrection","refOK")</f>
        <v>refOK</v>
      </c>
      <c r="CO1540"/>
      <c r="CP1540"/>
      <c r="CQ1540"/>
      <c r="CR1540">
        <f>IF($CN1540="refOK",$BS1540,$BT1540)*IF($BP1540="Emissions positive",-1,1)</f>
        <v>1.24E-2</v>
      </c>
      <c r="CS1540">
        <f>IF($CN1540="refOK",$BT1540,$BS1540)*IF($BP1540="Emissions positive",-1,1)</f>
        <v>1.24E-2</v>
      </c>
      <c r="CT1540">
        <f>IF($CN1540="refNeedCorrection",-BX1540,BX1540)*IF($BP1540="Emissions positive",-1,1)</f>
        <v>0</v>
      </c>
      <c r="CU1540" t="str">
        <f>IFERROR(CT1540/CQ1540,"")</f>
        <v/>
      </c>
      <c r="CV1540" s="2">
        <f>IFERROR((CS1540-CR1540)/ABS(CR1540),"")</f>
        <v>0</v>
      </c>
      <c r="CW1540" s="1" t="s">
        <v>2036</v>
      </c>
      <c r="CX1540" s="312" t="str">
        <f>IF(OR($CW1540="prd",$CW1540="std",$CW1540="cit"),"loc",IF(OR($CW1540="eur",$CW1540="reg",$CW1540="coy"),"reg",$CW1540))</f>
        <v>reg</v>
      </c>
      <c r="CY1540" s="312" t="s">
        <v>428</v>
      </c>
      <c r="DB1540">
        <v>40</v>
      </c>
      <c r="DC1540" t="str">
        <f>IF(DB1540=0,"0",IF(AND(DB1540&gt;=1,DB1540&lt;=30),"1-30",IF(AND(DB1540&gt;30,DB1540&lt;=70),"31-70",IF(AND(DB1540&gt;70,DB1540&lt;=100),"71-100",IF(DB1540&gt;100,"+100")))))</f>
        <v>31-70</v>
      </c>
      <c r="DD1540">
        <v>1</v>
      </c>
      <c r="DE1540">
        <v>0</v>
      </c>
      <c r="DF1540">
        <v>0</v>
      </c>
      <c r="DG1540">
        <v>0</v>
      </c>
      <c r="DH1540">
        <v>0</v>
      </c>
      <c r="DI1540">
        <f>SUM(DD1540:DH1540)</f>
        <v>1</v>
      </c>
      <c r="DJ1540" t="str">
        <f>IF(DI1540=1,INDEX($DD$7:$DG$7,MATCH(1,$DD1540:$DG1540,0)),"mixedProduct")</f>
        <v>UpstreamInput</v>
      </c>
      <c r="DK1540" t="str">
        <f>IF(DD1540=1,DK$7,0)</f>
        <v>Upstream</v>
      </c>
      <c r="DL1540">
        <f>IF(DE1540=1,DL$7,0)</f>
        <v>0</v>
      </c>
      <c r="DM1540">
        <f>IF(DF1540=1,DM$7,0)</f>
        <v>0</v>
      </c>
      <c r="DN1540">
        <f>IF(DG1540=1,DN$7,0)</f>
        <v>0</v>
      </c>
      <c r="DO1540">
        <v>0</v>
      </c>
      <c r="DP1540">
        <v>0</v>
      </c>
      <c r="DQ1540">
        <v>0</v>
      </c>
      <c r="DR1540">
        <v>0</v>
      </c>
      <c r="DS1540">
        <v>0</v>
      </c>
      <c r="DT1540"/>
      <c r="DU1540" s="143" t="str">
        <f>IF(DO1540=1,"self-calculated DF",IF(DP1540=1,"external DF used","explicit C balance"))</f>
        <v>explicit C balance</v>
      </c>
      <c r="DV1540">
        <v>0</v>
      </c>
      <c r="DW1540">
        <v>0</v>
      </c>
      <c r="DX1540">
        <v>0</v>
      </c>
      <c r="DY1540">
        <v>0</v>
      </c>
      <c r="DZ1540">
        <v>0</v>
      </c>
      <c r="EA1540" s="143">
        <v>0</v>
      </c>
      <c r="EB1540">
        <v>1</v>
      </c>
      <c r="EC1540">
        <v>0</v>
      </c>
      <c r="ED1540">
        <v>0</v>
      </c>
      <c r="EE1540">
        <v>0</v>
      </c>
      <c r="EF1540">
        <v>0</v>
      </c>
      <c r="EG1540">
        <v>0</v>
      </c>
      <c r="EH1540">
        <v>0</v>
      </c>
      <c r="EI1540" s="2">
        <v>0</v>
      </c>
      <c r="EK1540" t="str">
        <f>IF(AND(AND(AND(OR($DX1540=1,$DW1540=1),OR($EC1540=1,$EA1540=1)),SUM($DV1540:$DZ1540,$EF1540)&gt;=3),SUM($EA1540:$EE1540)&gt;=2),"Whole sector","")</f>
        <v/>
      </c>
      <c r="EL1540" t="str">
        <f>IF(AND(AND(OR($DX1540=1,$DW1540=1),AND($EC1540=0,$EA1540=0)),SUM($DV1540:$DZ1540,$EF1540)&gt;=3),"Ecosystem approach","")</f>
        <v/>
      </c>
      <c r="EM1540" s="2" t="str">
        <f>IF(AND(AND(AND($DX1540=0,$DW1540=0),OR($EC1540=1,$EA1540=1)),SUM($EB1540:$EE1540)&gt;=2),"Technology approach","")</f>
        <v/>
      </c>
      <c r="EP1540" t="b">
        <f>IF(ISNUMBER(BU1540),IF(ABS(BU1540-[5]QC_indicators!$B$2)&gt;3*[5]QC_indicators!$C$2,"C ratio",IF(ISNUMBER(BY1540),IF(ABS(BY1540-[5]QC_indicators!$B$1)&gt;3*[5]QC_indicators!$C$1,"DF","no"))),IF(ISNUMBER(BY1540),IF(ABS(BY1540-[5]QC_indicators!$B$1)&gt;3*[5]QC_indicators!$C$1,"DF","no")))</f>
        <v>0</v>
      </c>
    </row>
    <row r="1541" spans="1:148" ht="18" customHeight="1">
      <c r="A1541" s="1" t="s">
        <v>4178</v>
      </c>
      <c r="B1541" t="s">
        <v>544</v>
      </c>
      <c r="C1541" t="s">
        <v>4179</v>
      </c>
      <c r="D1541" t="s">
        <v>4180</v>
      </c>
      <c r="E1541" t="s">
        <v>4181</v>
      </c>
      <c r="F1541" t="s">
        <v>4182</v>
      </c>
      <c r="G1541" t="s">
        <v>4183</v>
      </c>
      <c r="H1541" t="s">
        <v>1628</v>
      </c>
      <c r="I1541">
        <v>2006</v>
      </c>
      <c r="J1541">
        <v>50</v>
      </c>
      <c r="K1541" t="s">
        <v>4184</v>
      </c>
      <c r="M1541" t="str">
        <f>LEFT($D1541,FIND(",",$D1541)-1)&amp;"_"&amp;I1541&amp;L1541</f>
        <v>Sonne_2006</v>
      </c>
      <c r="N1541" s="312" t="s">
        <v>4383</v>
      </c>
      <c r="O1541" s="171" t="s">
        <v>341</v>
      </c>
      <c r="P1541" t="s">
        <v>513</v>
      </c>
      <c r="Q1541" s="312" t="s">
        <v>389</v>
      </c>
      <c r="R1541" s="313"/>
      <c r="S1541" s="1" t="s">
        <v>314</v>
      </c>
      <c r="T1541" t="s">
        <v>4195</v>
      </c>
      <c r="U1541" t="s">
        <v>4197</v>
      </c>
      <c r="V1541">
        <v>0</v>
      </c>
      <c r="W1541">
        <v>0</v>
      </c>
      <c r="X1541">
        <v>1</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s="141">
        <f>COUNTIF(V1541:AW1541,"&lt;&gt;0")</f>
        <v>1</v>
      </c>
      <c r="AY1541" s="141">
        <f>COUNTIF(V1541:AL1541,"&lt;&gt;0")</f>
        <v>1</v>
      </c>
      <c r="AZ1541">
        <f>COUNTIF(V1541:AC1541,"&lt;&gt;0")</f>
        <v>1</v>
      </c>
      <c r="BA1541">
        <f>COUNTIF(AD1541:AI1541,"&lt;&gt;0")</f>
        <v>0</v>
      </c>
      <c r="BB1541">
        <f>COUNTIF(AJ1541:AL1541,"&lt;&gt;0")</f>
        <v>0</v>
      </c>
      <c r="BC1541">
        <f>COUNTIF(AS1541:AW1541,"&lt;&gt;0")</f>
        <v>0</v>
      </c>
      <c r="BD1541">
        <f>COUNTIF(AM1541:AR1541,"&lt;&gt;0")</f>
        <v>0</v>
      </c>
      <c r="BE1541" t="str" cm="1">
        <f t="array" ref="BE1541">IF(AY1541=1,INDEX($V$7:$AL$7,MATCH(TRUE,INDEX($V1541:$AW1541&lt;&gt;0,),0)),IF(AY1541=0,INDEX($AM$7:$AW$7,MATCH(1,$AM1541:$AW1541,0)),IF(BF1541="Multiple strategies","mixed drivers",IF(BF1541="Supply chain","multiple supply","multiple silviculture"))))</f>
        <v>rotation length</v>
      </c>
      <c r="BF1541" s="2" t="str" cm="1">
        <f t="array" ref="BF1541">IF(COUNTIF(AZ1541:BB1541,"&lt;&gt;0")=1,INDEX($V$4:$AW$4,MATCH(TRUE,INDEX($V1541:$AW1541&lt;&gt;0,),0)),IF(COUNTIF(AZ1541:BB1541,"&lt;&gt;0")=0,INDEX($AM$4:$AW$4,MATCH(1,$AM1541:$AW1541,0)),"Multiple strategies"))</f>
        <v>Silviculture for removals</v>
      </c>
      <c r="BG1541" s="1" t="s">
        <v>229</v>
      </c>
      <c r="BM1541" t="str">
        <f>IFERROR(BL1541/BK1541,"")</f>
        <v/>
      </c>
      <c r="BR1541" t="s">
        <v>4188</v>
      </c>
      <c r="BS1541">
        <v>1.24E-2</v>
      </c>
      <c r="BT1541">
        <v>1.3100000000000001E-2</v>
      </c>
      <c r="BU1541" s="144">
        <f>BT1541/BS1541</f>
        <v>1.056451612903226</v>
      </c>
      <c r="BV1541">
        <f>BT1541-BS1541</f>
        <v>7.0000000000000097E-4</v>
      </c>
      <c r="BX1541">
        <f>BV1541</f>
        <v>7.0000000000000097E-4</v>
      </c>
      <c r="BY1541" t="str">
        <f>IFERROR(BX1541/BO1541,"")</f>
        <v/>
      </c>
      <c r="BZ1541">
        <v>0</v>
      </c>
      <c r="CA1541">
        <v>1</v>
      </c>
      <c r="CB1541">
        <v>0</v>
      </c>
      <c r="CC1541">
        <v>1</v>
      </c>
      <c r="CD1541">
        <v>0</v>
      </c>
      <c r="CE1541">
        <v>0</v>
      </c>
      <c r="CF1541">
        <v>0</v>
      </c>
      <c r="CG1541">
        <v>0</v>
      </c>
      <c r="CH1541">
        <v>0</v>
      </c>
      <c r="CI1541">
        <v>0</v>
      </c>
      <c r="CJ1541">
        <v>0</v>
      </c>
      <c r="CK1541">
        <v>0</v>
      </c>
      <c r="CL1541">
        <v>0</v>
      </c>
      <c r="CM1541">
        <v>0</v>
      </c>
      <c r="CN1541" t="str">
        <f>IF($BL1541&lt;$BK1541,"refNeedCorrection","refOK")</f>
        <v>refOK</v>
      </c>
      <c r="CO1541"/>
      <c r="CP1541"/>
      <c r="CQ1541"/>
      <c r="CR1541">
        <f>IF($CN1541="refOK",$BS1541,$BT1541)*IF($BP1541="Emissions positive",-1,1)</f>
        <v>1.24E-2</v>
      </c>
      <c r="CS1541">
        <f>IF($CN1541="refOK",$BT1541,$BS1541)*IF($BP1541="Emissions positive",-1,1)</f>
        <v>1.3100000000000001E-2</v>
      </c>
      <c r="CT1541">
        <f>IF($CN1541="refNeedCorrection",-BX1541,BX1541)*IF($BP1541="Emissions positive",-1,1)</f>
        <v>7.0000000000000097E-4</v>
      </c>
      <c r="CU1541" t="str">
        <f>IFERROR(CT1541/CQ1541,"")</f>
        <v/>
      </c>
      <c r="CV1541" s="2">
        <f>IFERROR((CS1541-CR1541)/ABS(CR1541),"")</f>
        <v>5.6451612903225888E-2</v>
      </c>
      <c r="CW1541" s="1" t="s">
        <v>2036</v>
      </c>
      <c r="CX1541" s="312" t="str">
        <f>IF(OR($CW1541="prd",$CW1541="std",$CW1541="cit"),"loc",IF(OR($CW1541="eur",$CW1541="reg",$CW1541="coy"),"reg",$CW1541))</f>
        <v>reg</v>
      </c>
      <c r="CY1541" s="312" t="s">
        <v>428</v>
      </c>
      <c r="DB1541">
        <v>50</v>
      </c>
      <c r="DC1541" t="str">
        <f>IF(DB1541=0,"0",IF(AND(DB1541&gt;=1,DB1541&lt;=30),"1-30",IF(AND(DB1541&gt;30,DB1541&lt;=70),"31-70",IF(AND(DB1541&gt;70,DB1541&lt;=100),"71-100",IF(DB1541&gt;100,"+100")))))</f>
        <v>31-70</v>
      </c>
      <c r="DD1541">
        <v>1</v>
      </c>
      <c r="DE1541">
        <v>0</v>
      </c>
      <c r="DF1541">
        <v>0</v>
      </c>
      <c r="DG1541">
        <v>0</v>
      </c>
      <c r="DH1541">
        <v>0</v>
      </c>
      <c r="DI1541">
        <f>SUM(DD1541:DH1541)</f>
        <v>1</v>
      </c>
      <c r="DJ1541" t="str">
        <f>IF(DI1541=1,INDEX($DD$7:$DG$7,MATCH(1,$DD1541:$DG1541,0)),"mixedProduct")</f>
        <v>UpstreamInput</v>
      </c>
      <c r="DK1541" t="str">
        <f>IF(DD1541=1,DK$7,0)</f>
        <v>Upstream</v>
      </c>
      <c r="DL1541">
        <f>IF(DE1541=1,DL$7,0)</f>
        <v>0</v>
      </c>
      <c r="DM1541">
        <f>IF(DF1541=1,DM$7,0)</f>
        <v>0</v>
      </c>
      <c r="DN1541">
        <f>IF(DG1541=1,DN$7,0)</f>
        <v>0</v>
      </c>
      <c r="DO1541">
        <v>0</v>
      </c>
      <c r="DP1541">
        <v>0</v>
      </c>
      <c r="DQ1541">
        <v>0</v>
      </c>
      <c r="DR1541">
        <v>0</v>
      </c>
      <c r="DS1541">
        <v>0</v>
      </c>
      <c r="DT1541"/>
      <c r="DU1541" s="143" t="str">
        <f>IF(DO1541=1,"self-calculated DF",IF(DP1541=1,"external DF used","explicit C balance"))</f>
        <v>explicit C balance</v>
      </c>
      <c r="DV1541">
        <v>0</v>
      </c>
      <c r="DW1541">
        <v>0</v>
      </c>
      <c r="DX1541">
        <v>0</v>
      </c>
      <c r="DY1541">
        <v>0</v>
      </c>
      <c r="DZ1541">
        <v>0</v>
      </c>
      <c r="EA1541" s="143">
        <v>0</v>
      </c>
      <c r="EB1541">
        <v>1</v>
      </c>
      <c r="EC1541">
        <v>0</v>
      </c>
      <c r="ED1541">
        <v>0</v>
      </c>
      <c r="EE1541">
        <v>0</v>
      </c>
      <c r="EF1541">
        <v>0</v>
      </c>
      <c r="EG1541">
        <v>0</v>
      </c>
      <c r="EH1541">
        <v>0</v>
      </c>
      <c r="EI1541" s="2">
        <v>0</v>
      </c>
      <c r="EK1541" t="str">
        <f>IF(AND(AND(AND(OR($DX1541=1,$DW1541=1),OR($EC1541=1,$EA1541=1)),SUM($DV1541:$DZ1541,$EF1541)&gt;=3),SUM($EA1541:$EE1541)&gt;=2),"Whole sector","")</f>
        <v/>
      </c>
      <c r="EL1541" t="str">
        <f>IF(AND(AND(OR($DX1541=1,$DW1541=1),AND($EC1541=0,$EA1541=0)),SUM($DV1541:$DZ1541,$EF1541)&gt;=3),"Ecosystem approach","")</f>
        <v/>
      </c>
      <c r="EM1541" s="2" t="str">
        <f>IF(AND(AND(AND($DX1541=0,$DW1541=0),OR($EC1541=1,$EA1541=1)),SUM($EB1541:$EE1541)&gt;=2),"Technology approach","")</f>
        <v/>
      </c>
      <c r="EP1541" t="b">
        <f>IF(ISNUMBER(BU1541),IF(ABS(BU1541-[5]QC_indicators!$B$2)&gt;3*[5]QC_indicators!$C$2,"C ratio",IF(ISNUMBER(BY1541),IF(ABS(BY1541-[5]QC_indicators!$B$1)&gt;3*[5]QC_indicators!$C$1,"DF","no"))),IF(ISNUMBER(BY1541),IF(ABS(BY1541-[5]QC_indicators!$B$1)&gt;3*[5]QC_indicators!$C$1,"DF","no")))</f>
        <v>0</v>
      </c>
    </row>
    <row r="1542" spans="1:148" ht="18" customHeight="1">
      <c r="A1542" s="1" t="s">
        <v>4178</v>
      </c>
      <c r="B1542" t="s">
        <v>544</v>
      </c>
      <c r="C1542" t="s">
        <v>4179</v>
      </c>
      <c r="D1542" t="s">
        <v>4180</v>
      </c>
      <c r="E1542" t="s">
        <v>4181</v>
      </c>
      <c r="F1542" t="s">
        <v>4182</v>
      </c>
      <c r="G1542" t="s">
        <v>4183</v>
      </c>
      <c r="H1542" t="s">
        <v>1628</v>
      </c>
      <c r="I1542">
        <v>2006</v>
      </c>
      <c r="J1542">
        <v>50</v>
      </c>
      <c r="K1542" t="s">
        <v>4184</v>
      </c>
      <c r="M1542" t="str">
        <f>LEFT($D1542,FIND(",",$D1542)-1)&amp;"_"&amp;I1542&amp;L1542</f>
        <v>Sonne_2006</v>
      </c>
      <c r="N1542" s="312" t="s">
        <v>4383</v>
      </c>
      <c r="O1542" s="171" t="s">
        <v>341</v>
      </c>
      <c r="P1542" t="s">
        <v>513</v>
      </c>
      <c r="Q1542" s="312" t="s">
        <v>389</v>
      </c>
      <c r="R1542" s="313"/>
      <c r="S1542" s="1" t="s">
        <v>314</v>
      </c>
      <c r="T1542" t="s">
        <v>4195</v>
      </c>
      <c r="U1542" t="s">
        <v>4198</v>
      </c>
      <c r="V1542">
        <v>0</v>
      </c>
      <c r="W1542">
        <v>0</v>
      </c>
      <c r="X1542">
        <v>1</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s="141">
        <f>COUNTIF(V1542:AW1542,"&lt;&gt;0")</f>
        <v>1</v>
      </c>
      <c r="AY1542" s="141">
        <f>COUNTIF(V1542:AL1542,"&lt;&gt;0")</f>
        <v>1</v>
      </c>
      <c r="AZ1542">
        <f>COUNTIF(V1542:AC1542,"&lt;&gt;0")</f>
        <v>1</v>
      </c>
      <c r="BA1542">
        <f>COUNTIF(AD1542:AI1542,"&lt;&gt;0")</f>
        <v>0</v>
      </c>
      <c r="BB1542">
        <f>COUNTIF(AJ1542:AL1542,"&lt;&gt;0")</f>
        <v>0</v>
      </c>
      <c r="BC1542">
        <f>COUNTIF(AS1542:AW1542,"&lt;&gt;0")</f>
        <v>0</v>
      </c>
      <c r="BD1542">
        <f>COUNTIF(AM1542:AR1542,"&lt;&gt;0")</f>
        <v>0</v>
      </c>
      <c r="BE1542" t="str" cm="1">
        <f t="array" ref="BE1542">IF(AY1542=1,INDEX($V$7:$AL$7,MATCH(TRUE,INDEX($V1542:$AW1542&lt;&gt;0,),0)),IF(AY1542=0,INDEX($AM$7:$AW$7,MATCH(1,$AM1542:$AW1542,0)),IF(BF1542="Multiple strategies","mixed drivers",IF(BF1542="Supply chain","multiple supply","multiple silviculture"))))</f>
        <v>rotation length</v>
      </c>
      <c r="BF1542" s="2" t="str" cm="1">
        <f t="array" ref="BF1542">IF(COUNTIF(AZ1542:BB1542,"&lt;&gt;0")=1,INDEX($V$4:$AW$4,MATCH(TRUE,INDEX($V1542:$AW1542&lt;&gt;0,),0)),IF(COUNTIF(AZ1542:BB1542,"&lt;&gt;0")=0,INDEX($AM$4:$AW$4,MATCH(1,$AM1542:$AW1542,0)),"Multiple strategies"))</f>
        <v>Silviculture for removals</v>
      </c>
      <c r="BG1542" s="1" t="s">
        <v>229</v>
      </c>
      <c r="BM1542" t="str">
        <f>IFERROR(BL1542/BK1542,"")</f>
        <v/>
      </c>
      <c r="BR1542" t="s">
        <v>4188</v>
      </c>
      <c r="BS1542">
        <v>1.24E-2</v>
      </c>
      <c r="BT1542">
        <v>1.5900000000000001E-2</v>
      </c>
      <c r="BU1542" s="144">
        <f>BT1542/BS1542</f>
        <v>1.2822580645161292</v>
      </c>
      <c r="BV1542">
        <f>BT1542-BS1542</f>
        <v>3.5000000000000014E-3</v>
      </c>
      <c r="BX1542">
        <f>BV1542</f>
        <v>3.5000000000000014E-3</v>
      </c>
      <c r="BY1542" t="str">
        <f>IFERROR(BX1542/BO1542,"")</f>
        <v/>
      </c>
      <c r="BZ1542">
        <v>0</v>
      </c>
      <c r="CA1542">
        <v>1</v>
      </c>
      <c r="CB1542">
        <v>0</v>
      </c>
      <c r="CC1542">
        <v>1</v>
      </c>
      <c r="CD1542">
        <v>0</v>
      </c>
      <c r="CE1542">
        <v>0</v>
      </c>
      <c r="CF1542">
        <v>0</v>
      </c>
      <c r="CG1542">
        <v>0</v>
      </c>
      <c r="CH1542">
        <v>0</v>
      </c>
      <c r="CI1542">
        <v>0</v>
      </c>
      <c r="CJ1542">
        <v>0</v>
      </c>
      <c r="CK1542">
        <v>0</v>
      </c>
      <c r="CL1542">
        <v>0</v>
      </c>
      <c r="CM1542">
        <v>0</v>
      </c>
      <c r="CN1542" t="str">
        <f>IF($BL1542&lt;$BK1542,"refNeedCorrection","refOK")</f>
        <v>refOK</v>
      </c>
      <c r="CO1542"/>
      <c r="CP1542"/>
      <c r="CQ1542"/>
      <c r="CR1542">
        <f>IF($CN1542="refOK",$BS1542,$BT1542)*IF($BP1542="Emissions positive",-1,1)</f>
        <v>1.24E-2</v>
      </c>
      <c r="CS1542">
        <f>IF($CN1542="refOK",$BT1542,$BS1542)*IF($BP1542="Emissions positive",-1,1)</f>
        <v>1.5900000000000001E-2</v>
      </c>
      <c r="CT1542">
        <f>IF($CN1542="refNeedCorrection",-BX1542,BX1542)*IF($BP1542="Emissions positive",-1,1)</f>
        <v>3.5000000000000014E-3</v>
      </c>
      <c r="CU1542" t="str">
        <f>IFERROR(CT1542/CQ1542,"")</f>
        <v/>
      </c>
      <c r="CV1542" s="2">
        <f>IFERROR((CS1542-CR1542)/ABS(CR1542),"")</f>
        <v>0.28225806451612917</v>
      </c>
      <c r="CW1542" s="1" t="s">
        <v>2036</v>
      </c>
      <c r="CX1542" s="312" t="str">
        <f>IF(OR($CW1542="prd",$CW1542="std",$CW1542="cit"),"loc",IF(OR($CW1542="eur",$CW1542="reg",$CW1542="coy"),"reg",$CW1542))</f>
        <v>reg</v>
      </c>
      <c r="CY1542" s="312" t="s">
        <v>428</v>
      </c>
      <c r="DB1542">
        <v>30</v>
      </c>
      <c r="DC1542" t="str">
        <f>IF(DB1542=0,"0",IF(AND(DB1542&gt;=1,DB1542&lt;=30),"1-30",IF(AND(DB1542&gt;30,DB1542&lt;=70),"31-70",IF(AND(DB1542&gt;70,DB1542&lt;=100),"71-100",IF(DB1542&gt;100,"+100")))))</f>
        <v>1-30</v>
      </c>
      <c r="DD1542">
        <v>1</v>
      </c>
      <c r="DE1542">
        <v>0</v>
      </c>
      <c r="DF1542">
        <v>0</v>
      </c>
      <c r="DG1542">
        <v>0</v>
      </c>
      <c r="DH1542">
        <v>0</v>
      </c>
      <c r="DI1542">
        <f>SUM(DD1542:DH1542)</f>
        <v>1</v>
      </c>
      <c r="DJ1542" t="str">
        <f>IF(DI1542=1,INDEX($DD$7:$DG$7,MATCH(1,$DD1542:$DG1542,0)),"mixedProduct")</f>
        <v>UpstreamInput</v>
      </c>
      <c r="DK1542" t="str">
        <f>IF(DD1542=1,DK$7,0)</f>
        <v>Upstream</v>
      </c>
      <c r="DL1542">
        <f>IF(DE1542=1,DL$7,0)</f>
        <v>0</v>
      </c>
      <c r="DM1542">
        <f>IF(DF1542=1,DM$7,0)</f>
        <v>0</v>
      </c>
      <c r="DN1542">
        <f>IF(DG1542=1,DN$7,0)</f>
        <v>0</v>
      </c>
      <c r="DO1542">
        <v>0</v>
      </c>
      <c r="DP1542">
        <v>0</v>
      </c>
      <c r="DQ1542">
        <v>0</v>
      </c>
      <c r="DR1542">
        <v>0</v>
      </c>
      <c r="DS1542">
        <v>0</v>
      </c>
      <c r="DT1542"/>
      <c r="DU1542" s="143" t="str">
        <f>IF(DO1542=1,"self-calculated DF",IF(DP1542=1,"external DF used","explicit C balance"))</f>
        <v>explicit C balance</v>
      </c>
      <c r="DV1542">
        <v>0</v>
      </c>
      <c r="DW1542">
        <v>0</v>
      </c>
      <c r="DX1542">
        <v>0</v>
      </c>
      <c r="DY1542">
        <v>0</v>
      </c>
      <c r="DZ1542">
        <v>0</v>
      </c>
      <c r="EA1542" s="143">
        <v>0</v>
      </c>
      <c r="EB1542">
        <v>1</v>
      </c>
      <c r="EC1542">
        <v>0</v>
      </c>
      <c r="ED1542">
        <v>0</v>
      </c>
      <c r="EE1542">
        <v>0</v>
      </c>
      <c r="EF1542">
        <v>0</v>
      </c>
      <c r="EG1542">
        <v>0</v>
      </c>
      <c r="EH1542">
        <v>0</v>
      </c>
      <c r="EI1542" s="2">
        <v>0</v>
      </c>
      <c r="EK1542" t="str">
        <f>IF(AND(AND(AND(OR($DX1542=1,$DW1542=1),OR($EC1542=1,$EA1542=1)),SUM($DV1542:$DZ1542,$EF1542)&gt;=3),SUM($EA1542:$EE1542)&gt;=2),"Whole sector","")</f>
        <v/>
      </c>
      <c r="EL1542" t="str">
        <f>IF(AND(AND(OR($DX1542=1,$DW1542=1),AND($EC1542=0,$EA1542=0)),SUM($DV1542:$DZ1542,$EF1542)&gt;=3),"Ecosystem approach","")</f>
        <v/>
      </c>
      <c r="EM1542" s="2" t="str">
        <f>IF(AND(AND(AND($DX1542=0,$DW1542=0),OR($EC1542=1,$EA1542=1)),SUM($EB1542:$EE1542)&gt;=2),"Technology approach","")</f>
        <v/>
      </c>
      <c r="EP1542" t="b">
        <f>IF(ISNUMBER(BU1542),IF(ABS(BU1542-[5]QC_indicators!$B$2)&gt;3*[5]QC_indicators!$C$2,"C ratio",IF(ISNUMBER(BY1542),IF(ABS(BY1542-[5]QC_indicators!$B$1)&gt;3*[5]QC_indicators!$C$1,"DF","no"))),IF(ISNUMBER(BY1542),IF(ABS(BY1542-[5]QC_indicators!$B$1)&gt;3*[5]QC_indicators!$C$1,"DF","no")))</f>
        <v>0</v>
      </c>
    </row>
    <row r="1543" spans="1:148" ht="18" customHeight="1">
      <c r="A1543" s="1" t="s">
        <v>848</v>
      </c>
      <c r="B1543" t="s">
        <v>4199</v>
      </c>
      <c r="C1543" t="s">
        <v>4200</v>
      </c>
      <c r="D1543" t="s">
        <v>4201</v>
      </c>
      <c r="E1543" t="s">
        <v>4202</v>
      </c>
      <c r="F1543" t="s">
        <v>4203</v>
      </c>
      <c r="G1543" t="s">
        <v>854</v>
      </c>
      <c r="H1543" t="s">
        <v>254</v>
      </c>
      <c r="I1543">
        <v>2018</v>
      </c>
      <c r="J1543">
        <v>58</v>
      </c>
      <c r="K1543" t="s">
        <v>4204</v>
      </c>
      <c r="M1543" t="str">
        <f>LEFT($D1543,FIND(",",$D1543)-1)&amp;"_"&amp;I1543&amp;L1543</f>
        <v>Sterman_2018</v>
      </c>
      <c r="N1543" s="312" t="s">
        <v>4383</v>
      </c>
      <c r="O1543" s="145" t="s">
        <v>341</v>
      </c>
      <c r="Q1543" s="312" t="s">
        <v>256</v>
      </c>
      <c r="R1543" s="313"/>
      <c r="S1543" s="1" t="s">
        <v>4205</v>
      </c>
      <c r="T1543" t="s">
        <v>4206</v>
      </c>
      <c r="U1543" t="s">
        <v>4207</v>
      </c>
      <c r="V1543">
        <v>2</v>
      </c>
      <c r="W1543">
        <v>2</v>
      </c>
      <c r="X1543">
        <v>0</v>
      </c>
      <c r="Y1543">
        <v>2</v>
      </c>
      <c r="Z1543">
        <v>2</v>
      </c>
      <c r="AA1543">
        <v>0</v>
      </c>
      <c r="AB1543">
        <v>0</v>
      </c>
      <c r="AC1543">
        <v>0</v>
      </c>
      <c r="AD1543">
        <v>0</v>
      </c>
      <c r="AE1543">
        <v>0</v>
      </c>
      <c r="AF1543">
        <v>1</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s="141">
        <f>COUNTIF(V1543:AW1543,"&lt;&gt;0")</f>
        <v>5</v>
      </c>
      <c r="AY1543" s="141">
        <f>COUNTIF(V1543:AL1543,"&lt;&gt;0")</f>
        <v>5</v>
      </c>
      <c r="AZ1543">
        <f>COUNTIF(V1543:AC1543,"&lt;&gt;0")</f>
        <v>4</v>
      </c>
      <c r="BA1543">
        <f>COUNTIF(AD1543:AI1543,"&lt;&gt;0")</f>
        <v>1</v>
      </c>
      <c r="BB1543">
        <f>COUNTIF(AJ1543:AL1543,"&lt;&gt;0")</f>
        <v>0</v>
      </c>
      <c r="BC1543">
        <f>COUNTIF(AS1543:AW1543,"&lt;&gt;0")</f>
        <v>0</v>
      </c>
      <c r="BD1543">
        <f>COUNTIF(AM1543:AR1543,"&lt;&gt;0")</f>
        <v>0</v>
      </c>
      <c r="BE1543" t="str" cm="1">
        <f t="array" ref="BE1543">IF(AY1543=1,INDEX($V$7:$AL$7,MATCH(TRUE,INDEX($V1543:$AW1543&lt;&gt;0,),0)),IF(AY1543=0,INDEX($AM$7:$AW$7,MATCH(1,$AM1543:$AW1543,0)),IF(BF1543="Multiple strategies","mixed drivers",IF(BF1543="Supply chain","multiple supply","multiple silviculture"))))</f>
        <v>mixed drivers</v>
      </c>
      <c r="BF1543" s="2" t="str" cm="1">
        <f t="array" ref="BF1543">IF(COUNTIF(AZ1543:BB1543,"&lt;&gt;0")=1,INDEX($V$4:$AW$4,MATCH(TRUE,INDEX($V1543:$AW1543&lt;&gt;0,),0)),IF(COUNTIF(AZ1543:BB1543,"&lt;&gt;0")=0,INDEX($AM$4:$AW$4,MATCH(1,$AM1543:$AW1543,0)),"Multiple strategies"))</f>
        <v>Multiple strategies</v>
      </c>
      <c r="BP1543" s="312" t="s">
        <v>232</v>
      </c>
      <c r="BQ1543" s="312"/>
      <c r="BR1543" s="312" t="s">
        <v>4208</v>
      </c>
      <c r="BU1543" s="144"/>
      <c r="BV1543">
        <v>0.04</v>
      </c>
      <c r="BX1543">
        <f>BV1543*1.75*10^9*C_to_CO2</f>
        <v>256900000</v>
      </c>
      <c r="BY1543" t="str">
        <f>IFERROR(BX1543/BO1543,"")</f>
        <v/>
      </c>
      <c r="BZ1543">
        <v>0</v>
      </c>
      <c r="CA1543">
        <v>0</v>
      </c>
      <c r="CB1543">
        <v>0</v>
      </c>
      <c r="CC1543">
        <v>0</v>
      </c>
      <c r="CD1543">
        <v>0</v>
      </c>
      <c r="CE1543">
        <v>0</v>
      </c>
      <c r="CF1543">
        <v>0</v>
      </c>
      <c r="CG1543">
        <v>0</v>
      </c>
      <c r="CH1543">
        <v>0</v>
      </c>
      <c r="CI1543">
        <v>0</v>
      </c>
      <c r="CJ1543">
        <v>0</v>
      </c>
      <c r="CK1543">
        <v>0</v>
      </c>
      <c r="CL1543">
        <v>0</v>
      </c>
      <c r="CM1543">
        <v>0</v>
      </c>
      <c r="CN1543" t="str">
        <f>IF(BL1543&lt;BK1543,"refNeedCorrection","refOK")</f>
        <v>refOK</v>
      </c>
      <c r="CO1543"/>
      <c r="CP1543"/>
      <c r="CQ1543"/>
      <c r="CR1543">
        <f>IF($CN1543="refOK",$BS1543,$BT1543)*IF($BP1543="Emissions positive",-1,1)</f>
        <v>0</v>
      </c>
      <c r="CS1543">
        <f>IF($CN1543="refOK",$BT1543,$BS1543)*IF($BP1543="Emissions positive",-1,1)</f>
        <v>0</v>
      </c>
      <c r="CT1543">
        <f>IF($CN1543="refNeedCorrection",-BX1543,BX1543)*IF($BP1543="Emissions positive",-1,1)</f>
        <v>256900000</v>
      </c>
      <c r="CU1543" t="str">
        <f>IFERROR(CT1543/CQ1543,"")</f>
        <v/>
      </c>
      <c r="CV1543" s="2" t="str">
        <f>IFERROR((CS1543-CR1543)/ABS(CR1543),"")</f>
        <v/>
      </c>
      <c r="CW1543" s="1" t="s">
        <v>1199</v>
      </c>
      <c r="CX1543" s="312" t="str">
        <f>IF(OR($CW1543="prd",$CW1543="std",$CW1543="cit"),"loc",IF(OR($CW1543="eur",$CW1543="reg",$CW1543="coy"),"reg",$CW1543))</f>
        <v>reg</v>
      </c>
      <c r="CY1543" t="s">
        <v>428</v>
      </c>
      <c r="CZ1543">
        <v>2020</v>
      </c>
      <c r="DA1543">
        <v>2100</v>
      </c>
      <c r="DB1543">
        <v>80</v>
      </c>
      <c r="DC1543" t="str">
        <f>IF(DB1543=0,"0",IF(AND(DB1543&gt;=1,DB1543&lt;=30),"1-30",IF(AND(DB1543&gt;30,DB1543&lt;=70),"31-70",IF(AND(DB1543&gt;70,DB1543&lt;=100),"71-100",IF(DB1543&gt;100,"+100")))))</f>
        <v>71-100</v>
      </c>
      <c r="DD1543">
        <v>0</v>
      </c>
      <c r="DE1543">
        <v>1</v>
      </c>
      <c r="DF1543">
        <v>0</v>
      </c>
      <c r="DG1543">
        <v>0</v>
      </c>
      <c r="DI1543">
        <f>SUM(DD1543:DG1543)</f>
        <v>1</v>
      </c>
      <c r="DJ1543" t="str">
        <f>IF(DI1543=1,INDEX($DD$7:$DG$7,MATCH(1,$DD1543:$DG1543,0)),"mixedProduct")</f>
        <v>EnergyInput</v>
      </c>
      <c r="DK1543">
        <f>IF(DD1543=1,DK$7,0)</f>
        <v>0</v>
      </c>
      <c r="DL1543" t="str">
        <f>IF(DE1543=1,DL$7,0)</f>
        <v>Energy</v>
      </c>
      <c r="DM1543">
        <f>IF(DF1543=1,DM$7,0)</f>
        <v>0</v>
      </c>
      <c r="DN1543">
        <f>IF(DG1543=1,DN$7,0)</f>
        <v>0</v>
      </c>
      <c r="DO1543">
        <v>1</v>
      </c>
      <c r="DP1543">
        <v>1</v>
      </c>
      <c r="DQ1543" t="s">
        <v>4209</v>
      </c>
      <c r="DR1543">
        <v>0</v>
      </c>
      <c r="DS1543" t="s">
        <v>4210</v>
      </c>
      <c r="DT1543">
        <f>SUM(DO1543:DP1543)</f>
        <v>2</v>
      </c>
      <c r="DU1543" s="143" t="str">
        <f>IF(DO1543=1,"self-calculated DF",IF(DP1543=1,"external DF used","explicit C balance"))</f>
        <v>self-calculated DF</v>
      </c>
      <c r="DV1543">
        <v>1</v>
      </c>
      <c r="DW1543">
        <v>1</v>
      </c>
      <c r="DX1543">
        <v>1</v>
      </c>
      <c r="DY1543">
        <v>0</v>
      </c>
      <c r="DZ1543">
        <v>1</v>
      </c>
      <c r="EA1543">
        <v>0</v>
      </c>
      <c r="EB1543">
        <v>1</v>
      </c>
      <c r="EC1543">
        <v>1</v>
      </c>
      <c r="ED1543">
        <v>0</v>
      </c>
      <c r="EE1543">
        <v>1</v>
      </c>
      <c r="EF1543">
        <v>1</v>
      </c>
      <c r="EG1543">
        <v>1</v>
      </c>
      <c r="EH1543">
        <v>0</v>
      </c>
      <c r="EI1543" s="2">
        <v>0</v>
      </c>
      <c r="EK1543" t="str">
        <f>IF(AND(AND(AND(OR($DX1543=1,$DW1543=1),OR($EC1543=1,$EA1543=1)),SUM($DV1543:$DZ1543,$EF1543)&gt;=3),SUM($EA1543:$EE1543)&gt;=2),"Whole sector","")</f>
        <v>Whole sector</v>
      </c>
      <c r="EL1543" t="str">
        <f>IF(AND(AND(OR($DX1543=1,$DW1543=1),AND($EC1543=0,$EA1543=0)),SUM($DV1543:$DZ1543,$EF1543)&gt;=3),"Ecosystem approach","")</f>
        <v/>
      </c>
      <c r="EM1543" s="2" t="str">
        <f>IF(AND(AND(AND($DX1543=0,$DW1543=0),OR($EC1543=1,$EA1543=1)),SUM($EB1543:$EE1543)&gt;=2),"Technology approach","")</f>
        <v/>
      </c>
      <c r="EP1543" t="b">
        <f>IF(ISNUMBER(BU1543),IF(ABS(BU1543-[5]QC_indicators!$B$2)&gt;3*[5]QC_indicators!$C$2,"C ratio",IF(ISNUMBER(BY1543),IF(ABS(BY1543-[5]QC_indicators!$B$1)&gt;3*[5]QC_indicators!$C$1,"DF","no"))),IF(ISNUMBER(BY1543),IF(ABS(BY1543-[5]QC_indicators!$B$1)&gt;3*[5]QC_indicators!$C$1,"DF","no")))</f>
        <v>0</v>
      </c>
      <c r="ER1543" s="314" t="s">
        <v>349</v>
      </c>
    </row>
    <row r="1544" spans="1:148" ht="18" customHeight="1">
      <c r="A1544" s="1" t="s">
        <v>848</v>
      </c>
      <c r="B1544" t="s">
        <v>4199</v>
      </c>
      <c r="C1544" t="s">
        <v>4200</v>
      </c>
      <c r="D1544" t="s">
        <v>4201</v>
      </c>
      <c r="E1544" t="s">
        <v>4202</v>
      </c>
      <c r="F1544" t="s">
        <v>4203</v>
      </c>
      <c r="G1544" t="s">
        <v>854</v>
      </c>
      <c r="H1544" t="s">
        <v>254</v>
      </c>
      <c r="I1544">
        <v>2018</v>
      </c>
      <c r="J1544">
        <v>58</v>
      </c>
      <c r="K1544" t="s">
        <v>4204</v>
      </c>
      <c r="M1544" t="str">
        <f>LEFT($D1544,FIND(",",$D1544)-1)&amp;"_"&amp;I1544&amp;L1544</f>
        <v>Sterman_2018</v>
      </c>
      <c r="N1544" s="312" t="s">
        <v>4383</v>
      </c>
      <c r="O1544" s="145" t="s">
        <v>341</v>
      </c>
      <c r="Q1544" s="312" t="s">
        <v>256</v>
      </c>
      <c r="R1544" s="313"/>
      <c r="S1544" s="1" t="s">
        <v>4211</v>
      </c>
      <c r="T1544" t="s">
        <v>4206</v>
      </c>
      <c r="U1544" t="s">
        <v>1726</v>
      </c>
      <c r="V1544">
        <v>0</v>
      </c>
      <c r="W1544">
        <v>0</v>
      </c>
      <c r="X1544">
        <v>0</v>
      </c>
      <c r="Y1544">
        <v>0</v>
      </c>
      <c r="Z1544">
        <v>0</v>
      </c>
      <c r="AA1544">
        <v>0</v>
      </c>
      <c r="AB1544">
        <v>0</v>
      </c>
      <c r="AC1544">
        <v>0</v>
      </c>
      <c r="AD1544">
        <v>0</v>
      </c>
      <c r="AE1544">
        <v>0</v>
      </c>
      <c r="AF1544">
        <v>0</v>
      </c>
      <c r="AG1544">
        <v>0</v>
      </c>
      <c r="AH1544">
        <v>0</v>
      </c>
      <c r="AI1544">
        <v>0</v>
      </c>
      <c r="AJ1544">
        <v>0</v>
      </c>
      <c r="AK1544">
        <v>1</v>
      </c>
      <c r="AL1544">
        <v>0</v>
      </c>
      <c r="AM1544">
        <v>0</v>
      </c>
      <c r="AN1544">
        <v>0</v>
      </c>
      <c r="AO1544">
        <v>0</v>
      </c>
      <c r="AP1544">
        <v>0</v>
      </c>
      <c r="AQ1544">
        <v>0</v>
      </c>
      <c r="AR1544">
        <v>0</v>
      </c>
      <c r="AS1544">
        <v>0</v>
      </c>
      <c r="AT1544">
        <v>0</v>
      </c>
      <c r="AU1544">
        <v>0</v>
      </c>
      <c r="AV1544">
        <v>0</v>
      </c>
      <c r="AW1544">
        <v>0</v>
      </c>
      <c r="AX1544" s="141">
        <f>COUNTIF(V1544:AW1544,"&lt;&gt;0")</f>
        <v>1</v>
      </c>
      <c r="AY1544" s="141">
        <f>COUNTIF(V1544:AL1544,"&lt;&gt;0")</f>
        <v>1</v>
      </c>
      <c r="AZ1544">
        <f>COUNTIF(V1544:AC1544,"&lt;&gt;0")</f>
        <v>0</v>
      </c>
      <c r="BA1544">
        <f>COUNTIF(AD1544:AI1544,"&lt;&gt;0")</f>
        <v>0</v>
      </c>
      <c r="BB1544">
        <f>COUNTIF(AJ1544:AL1544,"&lt;&gt;0")</f>
        <v>1</v>
      </c>
      <c r="BC1544">
        <f>COUNTIF(AS1544:AW1544,"&lt;&gt;0")</f>
        <v>0</v>
      </c>
      <c r="BD1544">
        <f>COUNTIF(AM1544:AR1544,"&lt;&gt;0")</f>
        <v>0</v>
      </c>
      <c r="BE1544" t="str" cm="1">
        <f t="array" ref="BE1544">IF(AY1544=1,INDEX($V$7:$AL$7,MATCH(TRUE,INDEX($V1544:$AW1544&lt;&gt;0,),0)),IF(AY1544=0,INDEX($AM$7:$AW$7,MATCH(1,$AM1544:$AW1544,0)),IF(BF1544="Multiple strategies","mixed drivers",IF(BF1544="Supply chain","multiple supply","multiple silviculture"))))</f>
        <v>technologies/design switch</v>
      </c>
      <c r="BF1544" s="2" t="str" cm="1">
        <f t="array" ref="BF1544">IF(COUNTIF(AZ1544:BB1544,"&lt;&gt;0")=1,INDEX($V$4:$AW$4,MATCH(TRUE,INDEX($V1544:$AW1544&lt;&gt;0,),0)),IF(COUNTIF(AZ1544:BB1544,"&lt;&gt;0")=0,INDEX($AM$4:$AW$4,MATCH(1,$AM1544:$AW1544,0)),"Multiple strategies"))</f>
        <v>Technology</v>
      </c>
      <c r="BG1544" s="142"/>
      <c r="BJ1544" s="143"/>
      <c r="BL1544" s="143"/>
      <c r="BM1544" s="143"/>
      <c r="BN1544" s="143"/>
      <c r="BO1544" s="143"/>
      <c r="BP1544" s="312" t="s">
        <v>232</v>
      </c>
      <c r="BQ1544" s="312"/>
      <c r="BR1544" t="s">
        <v>4208</v>
      </c>
      <c r="BS1544" s="143"/>
      <c r="BU1544" s="144"/>
      <c r="BV1544">
        <v>-6.2E-2</v>
      </c>
      <c r="BX1544">
        <f>BV1544*1.75*10^9*C_to_CO2</f>
        <v>-398195000</v>
      </c>
      <c r="BY1544" t="str">
        <f>IFERROR(BX1544/BO1544,"")</f>
        <v/>
      </c>
      <c r="BZ1544">
        <v>0</v>
      </c>
      <c r="CA1544">
        <v>0</v>
      </c>
      <c r="CB1544">
        <v>0</v>
      </c>
      <c r="CC1544">
        <v>0</v>
      </c>
      <c r="CD1544">
        <v>0</v>
      </c>
      <c r="CE1544">
        <v>0</v>
      </c>
      <c r="CF1544">
        <v>0</v>
      </c>
      <c r="CG1544">
        <v>0</v>
      </c>
      <c r="CH1544">
        <v>0</v>
      </c>
      <c r="CI1544">
        <v>0</v>
      </c>
      <c r="CJ1544">
        <v>0</v>
      </c>
      <c r="CK1544">
        <v>0</v>
      </c>
      <c r="CL1544">
        <v>0</v>
      </c>
      <c r="CM1544">
        <v>0</v>
      </c>
      <c r="CN1544" t="str">
        <f>IF(BL1544&lt;BK1544,"refNeedCorrection","refOK")</f>
        <v>refOK</v>
      </c>
      <c r="CO1544"/>
      <c r="CP1544"/>
      <c r="CQ1544"/>
      <c r="CR1544">
        <f>IF($CN1544="refOK",$BS1544,$BT1544)*IF($BP1544="Emissions positive",-1,1)</f>
        <v>0</v>
      </c>
      <c r="CS1544">
        <f>IF($CN1544="refOK",$BT1544,$BS1544)*IF($BP1544="Emissions positive",-1,1)</f>
        <v>0</v>
      </c>
      <c r="CT1544">
        <f>IF($CN1544="refNeedCorrection",-BX1544,BX1544)*IF($BP1544="Emissions positive",-1,1)</f>
        <v>-398195000</v>
      </c>
      <c r="CU1544" t="str">
        <f>IFERROR(CT1544/CQ1544,"")</f>
        <v/>
      </c>
      <c r="CV1544" s="2" t="str">
        <f>IFERROR((CS1544-CR1544)/ABS(CR1544),"")</f>
        <v/>
      </c>
      <c r="CW1544" s="1" t="s">
        <v>1199</v>
      </c>
      <c r="CX1544" s="312" t="str">
        <f>IF(OR($CW1544="prd",$CW1544="std",$CW1544="cit"),"loc",IF(OR($CW1544="eur",$CW1544="reg",$CW1544="coy"),"reg",$CW1544))</f>
        <v>reg</v>
      </c>
      <c r="CY1544" t="s">
        <v>428</v>
      </c>
      <c r="CZ1544">
        <v>2020</v>
      </c>
      <c r="DA1544">
        <v>2100</v>
      </c>
      <c r="DB1544">
        <v>80</v>
      </c>
      <c r="DC1544" t="str">
        <f>IF(DB1544=0,"0",IF(AND(DB1544&gt;=1,DB1544&lt;=30),"1-30",IF(AND(DB1544&gt;30,DB1544&lt;=70),"31-70",IF(AND(DB1544&gt;70,DB1544&lt;=100),"71-100",IF(DB1544&gt;100,"+100")))))</f>
        <v>71-100</v>
      </c>
      <c r="DD1544">
        <v>0</v>
      </c>
      <c r="DE1544">
        <v>1</v>
      </c>
      <c r="DF1544">
        <v>0</v>
      </c>
      <c r="DG1544">
        <v>0</v>
      </c>
      <c r="DI1544">
        <f>SUM(DD1544:DG1544)</f>
        <v>1</v>
      </c>
      <c r="DJ1544" t="str">
        <f>IF(DI1544=1,INDEX($DD$7:$DG$7,MATCH(1,$DD1544:$DG1544,0)),"mixedProduct")</f>
        <v>EnergyInput</v>
      </c>
      <c r="DK1544">
        <f>IF(DD1544=1,DK$7,0)</f>
        <v>0</v>
      </c>
      <c r="DL1544" t="str">
        <f>IF(DE1544=1,DL$7,0)</f>
        <v>Energy</v>
      </c>
      <c r="DM1544">
        <f>IF(DF1544=1,DM$7,0)</f>
        <v>0</v>
      </c>
      <c r="DN1544">
        <f>IF(DG1544=1,DN$7,0)</f>
        <v>0</v>
      </c>
      <c r="DO1544">
        <v>1</v>
      </c>
      <c r="DP1544">
        <v>1</v>
      </c>
      <c r="DQ1544" t="s">
        <v>4209</v>
      </c>
      <c r="DR1544">
        <v>0</v>
      </c>
      <c r="DS1544" t="s">
        <v>4210</v>
      </c>
      <c r="DT1544">
        <f>SUM(DO1544:DP1544)</f>
        <v>2</v>
      </c>
      <c r="DU1544" s="143" t="str">
        <f>IF(DO1544=1,"self-calculated DF",IF(DP1544=1,"external DF used","explicit C balance"))</f>
        <v>self-calculated DF</v>
      </c>
      <c r="DV1544">
        <v>1</v>
      </c>
      <c r="DW1544">
        <v>1</v>
      </c>
      <c r="DX1544">
        <v>1</v>
      </c>
      <c r="DY1544">
        <v>0</v>
      </c>
      <c r="DZ1544">
        <v>1</v>
      </c>
      <c r="EA1544">
        <v>0</v>
      </c>
      <c r="EB1544">
        <v>1</v>
      </c>
      <c r="EC1544">
        <v>1</v>
      </c>
      <c r="ED1544">
        <v>0</v>
      </c>
      <c r="EE1544">
        <v>1</v>
      </c>
      <c r="EF1544">
        <v>1</v>
      </c>
      <c r="EG1544">
        <v>1</v>
      </c>
      <c r="EH1544">
        <v>0</v>
      </c>
      <c r="EI1544" s="2">
        <v>0</v>
      </c>
      <c r="EK1544" t="str">
        <f>IF(AND(AND(AND(OR($DX1544=1,$DW1544=1),OR($EC1544=1,$EA1544=1)),SUM($DV1544:$DZ1544,$EF1544)&gt;=3),SUM($EA1544:$EE1544)&gt;=2),"Whole sector","")</f>
        <v>Whole sector</v>
      </c>
      <c r="EL1544" t="str">
        <f>IF(AND(AND(OR($DX1544=1,$DW1544=1),AND($EC1544=0,$EA1544=0)),SUM($DV1544:$DZ1544,$EF1544)&gt;=3),"Ecosystem approach","")</f>
        <v/>
      </c>
      <c r="EM1544" s="2" t="str">
        <f>IF(AND(AND(AND($DX1544=0,$DW1544=0),OR($EC1544=1,$EA1544=1)),SUM($EB1544:$EE1544)&gt;=2),"Technology approach","")</f>
        <v/>
      </c>
      <c r="EP1544" t="b">
        <f>IF(ISNUMBER(BU1544),IF(ABS(BU1544-[5]QC_indicators!$B$2)&gt;3*[5]QC_indicators!$C$2,"C ratio",IF(ISNUMBER(BY1544),IF(ABS(BY1544-[5]QC_indicators!$B$1)&gt;3*[5]QC_indicators!$C$1,"DF","no"))),IF(ISNUMBER(BY1544),IF(ABS(BY1544-[5]QC_indicators!$B$1)&gt;3*[5]QC_indicators!$C$1,"DF","no")))</f>
        <v>0</v>
      </c>
      <c r="ER1544" s="314" t="s">
        <v>349</v>
      </c>
    </row>
    <row r="1545" spans="1:148" ht="18" customHeight="1">
      <c r="A1545" s="1" t="s">
        <v>848</v>
      </c>
      <c r="B1545" t="s">
        <v>4199</v>
      </c>
      <c r="C1545" t="s">
        <v>4200</v>
      </c>
      <c r="D1545" t="s">
        <v>4201</v>
      </c>
      <c r="E1545" t="s">
        <v>4202</v>
      </c>
      <c r="F1545" t="s">
        <v>4203</v>
      </c>
      <c r="G1545" t="s">
        <v>854</v>
      </c>
      <c r="H1545" t="s">
        <v>254</v>
      </c>
      <c r="I1545">
        <v>2018</v>
      </c>
      <c r="J1545">
        <v>58</v>
      </c>
      <c r="K1545" t="s">
        <v>4204</v>
      </c>
      <c r="M1545" t="str">
        <f>LEFT($D1545,FIND(",",$D1545)-1)&amp;"_"&amp;I1545&amp;L1545</f>
        <v>Sterman_2018</v>
      </c>
      <c r="N1545" s="312" t="s">
        <v>4383</v>
      </c>
      <c r="O1545" s="145" t="s">
        <v>341</v>
      </c>
      <c r="Q1545" s="312" t="s">
        <v>256</v>
      </c>
      <c r="R1545" s="313"/>
      <c r="S1545" s="1" t="s">
        <v>4212</v>
      </c>
      <c r="T1545" t="s">
        <v>4206</v>
      </c>
      <c r="U1545" t="s">
        <v>1726</v>
      </c>
      <c r="V1545">
        <v>0</v>
      </c>
      <c r="W1545">
        <v>0</v>
      </c>
      <c r="X1545">
        <v>0</v>
      </c>
      <c r="Y1545">
        <v>0</v>
      </c>
      <c r="Z1545">
        <v>0</v>
      </c>
      <c r="AA1545">
        <v>0</v>
      </c>
      <c r="AB1545">
        <v>0</v>
      </c>
      <c r="AC1545">
        <v>0</v>
      </c>
      <c r="AD1545">
        <v>0</v>
      </c>
      <c r="AE1545">
        <v>0</v>
      </c>
      <c r="AF1545">
        <v>0</v>
      </c>
      <c r="AG1545">
        <v>0</v>
      </c>
      <c r="AH1545">
        <v>0</v>
      </c>
      <c r="AI1545">
        <v>0</v>
      </c>
      <c r="AJ1545">
        <v>0</v>
      </c>
      <c r="AK1545">
        <v>1</v>
      </c>
      <c r="AL1545">
        <v>0</v>
      </c>
      <c r="AM1545">
        <v>0</v>
      </c>
      <c r="AN1545">
        <v>0</v>
      </c>
      <c r="AO1545">
        <v>0</v>
      </c>
      <c r="AP1545">
        <v>0</v>
      </c>
      <c r="AQ1545">
        <v>0</v>
      </c>
      <c r="AR1545">
        <v>0</v>
      </c>
      <c r="AS1545">
        <v>0</v>
      </c>
      <c r="AT1545">
        <v>0</v>
      </c>
      <c r="AU1545">
        <v>0</v>
      </c>
      <c r="AV1545">
        <v>0</v>
      </c>
      <c r="AW1545">
        <v>0</v>
      </c>
      <c r="AX1545" s="141">
        <f>COUNTIF(V1545:AW1545,"&lt;&gt;0")</f>
        <v>1</v>
      </c>
      <c r="AY1545" s="141">
        <f>COUNTIF(V1545:AL1545,"&lt;&gt;0")</f>
        <v>1</v>
      </c>
      <c r="AZ1545">
        <f>COUNTIF(V1545:AC1545,"&lt;&gt;0")</f>
        <v>0</v>
      </c>
      <c r="BA1545">
        <f>COUNTIF(AD1545:AI1545,"&lt;&gt;0")</f>
        <v>0</v>
      </c>
      <c r="BB1545">
        <f>COUNTIF(AJ1545:AL1545,"&lt;&gt;0")</f>
        <v>1</v>
      </c>
      <c r="BC1545">
        <f>COUNTIF(AS1545:AW1545,"&lt;&gt;0")</f>
        <v>0</v>
      </c>
      <c r="BD1545">
        <f>COUNTIF(AM1545:AR1545,"&lt;&gt;0")</f>
        <v>0</v>
      </c>
      <c r="BE1545" t="str" cm="1">
        <f t="array" ref="BE1545">IF(AY1545=1,INDEX($V$7:$AL$7,MATCH(TRUE,INDEX($V1545:$AW1545&lt;&gt;0,),0)),IF(AY1545=0,INDEX($AM$7:$AW$7,MATCH(1,$AM1545:$AW1545,0)),IF(BF1545="Multiple strategies","mixed drivers",IF(BF1545="Supply chain","multiple supply","multiple silviculture"))))</f>
        <v>technologies/design switch</v>
      </c>
      <c r="BF1545" s="2" t="str" cm="1">
        <f t="array" ref="BF1545">IF(COUNTIF(AZ1545:BB1545,"&lt;&gt;0")=1,INDEX($V$4:$AW$4,MATCH(TRUE,INDEX($V1545:$AW1545&lt;&gt;0,),0)),IF(COUNTIF(AZ1545:BB1545,"&lt;&gt;0")=0,INDEX($AM$4:$AW$4,MATCH(1,$AM1545:$AW1545,0)),"Multiple strategies"))</f>
        <v>Technology</v>
      </c>
      <c r="BG1545" s="142"/>
      <c r="BJ1545" s="143"/>
      <c r="BL1545" s="143"/>
      <c r="BM1545" s="143"/>
      <c r="BN1545" s="143"/>
      <c r="BO1545" s="143"/>
      <c r="BP1545" s="312" t="s">
        <v>232</v>
      </c>
      <c r="BQ1545" s="312"/>
      <c r="BR1545" t="s">
        <v>4208</v>
      </c>
      <c r="BS1545" s="143"/>
      <c r="BU1545" s="144"/>
      <c r="BV1545">
        <v>-6.0999999999999999E-2</v>
      </c>
      <c r="BX1545">
        <f>BV1545*1.75*10^9*C_to_CO2</f>
        <v>-391772500</v>
      </c>
      <c r="BY1545" t="str">
        <f>IFERROR(BX1545/BO1545,"")</f>
        <v/>
      </c>
      <c r="BZ1545">
        <v>0</v>
      </c>
      <c r="CA1545">
        <v>0</v>
      </c>
      <c r="CB1545">
        <v>0</v>
      </c>
      <c r="CC1545">
        <v>0</v>
      </c>
      <c r="CD1545">
        <v>0</v>
      </c>
      <c r="CE1545">
        <v>0</v>
      </c>
      <c r="CF1545">
        <v>0</v>
      </c>
      <c r="CG1545">
        <v>0</v>
      </c>
      <c r="CH1545">
        <v>0</v>
      </c>
      <c r="CI1545">
        <v>0</v>
      </c>
      <c r="CJ1545">
        <v>0</v>
      </c>
      <c r="CK1545">
        <v>0</v>
      </c>
      <c r="CL1545">
        <v>0</v>
      </c>
      <c r="CM1545">
        <v>0</v>
      </c>
      <c r="CN1545" t="str">
        <f>IF(BL1545&lt;BK1545,"refNeedCorrection","refOK")</f>
        <v>refOK</v>
      </c>
      <c r="CO1545"/>
      <c r="CP1545"/>
      <c r="CQ1545"/>
      <c r="CR1545">
        <f>IF($CN1545="refOK",$BS1545,$BT1545)*IF($BP1545="Emissions positive",-1,1)</f>
        <v>0</v>
      </c>
      <c r="CS1545">
        <f>IF($CN1545="refOK",$BT1545,$BS1545)*IF($BP1545="Emissions positive",-1,1)</f>
        <v>0</v>
      </c>
      <c r="CT1545">
        <f>IF($CN1545="refNeedCorrection",-BX1545,BX1545)*IF($BP1545="Emissions positive",-1,1)</f>
        <v>-391772500</v>
      </c>
      <c r="CU1545" t="str">
        <f>IFERROR(CT1545/CQ1545,"")</f>
        <v/>
      </c>
      <c r="CV1545" s="2" t="str">
        <f>IFERROR((CS1545-CR1545)/ABS(CR1545),"")</f>
        <v/>
      </c>
      <c r="CW1545" s="1" t="s">
        <v>1199</v>
      </c>
      <c r="CX1545" s="312" t="str">
        <f>IF(OR($CW1545="prd",$CW1545="std",$CW1545="cit"),"loc",IF(OR($CW1545="eur",$CW1545="reg",$CW1545="coy"),"reg",$CW1545))</f>
        <v>reg</v>
      </c>
      <c r="CY1545" t="s">
        <v>428</v>
      </c>
      <c r="CZ1545">
        <v>2020</v>
      </c>
      <c r="DA1545">
        <v>2100</v>
      </c>
      <c r="DB1545">
        <v>80</v>
      </c>
      <c r="DC1545" t="str">
        <f>IF(DB1545=0,"0",IF(AND(DB1545&gt;=1,DB1545&lt;=30),"1-30",IF(AND(DB1545&gt;30,DB1545&lt;=70),"31-70",IF(AND(DB1545&gt;70,DB1545&lt;=100),"71-100",IF(DB1545&gt;100,"+100")))))</f>
        <v>71-100</v>
      </c>
      <c r="DD1545">
        <v>0</v>
      </c>
      <c r="DE1545">
        <v>1</v>
      </c>
      <c r="DF1545">
        <v>0</v>
      </c>
      <c r="DG1545">
        <v>0</v>
      </c>
      <c r="DI1545">
        <f>SUM(DD1545:DG1545)</f>
        <v>1</v>
      </c>
      <c r="DJ1545" t="str">
        <f>IF(DI1545=1,INDEX($DD$7:$DG$7,MATCH(1,$DD1545:$DG1545,0)),"mixedProduct")</f>
        <v>EnergyInput</v>
      </c>
      <c r="DK1545">
        <f>IF(DD1545=1,DK$7,0)</f>
        <v>0</v>
      </c>
      <c r="DL1545" t="str">
        <f>IF(DE1545=1,DL$7,0)</f>
        <v>Energy</v>
      </c>
      <c r="DM1545">
        <f>IF(DF1545=1,DM$7,0)</f>
        <v>0</v>
      </c>
      <c r="DN1545">
        <f>IF(DG1545=1,DN$7,0)</f>
        <v>0</v>
      </c>
      <c r="DO1545">
        <v>1</v>
      </c>
      <c r="DP1545">
        <v>1</v>
      </c>
      <c r="DQ1545" t="s">
        <v>4209</v>
      </c>
      <c r="DR1545">
        <v>0</v>
      </c>
      <c r="DS1545" t="s">
        <v>4210</v>
      </c>
      <c r="DT1545">
        <f>SUM(DO1545:DP1545)</f>
        <v>2</v>
      </c>
      <c r="DU1545" s="143" t="str">
        <f>IF(DO1545=1,"self-calculated DF",IF(DP1545=1,"external DF used","explicit C balance"))</f>
        <v>self-calculated DF</v>
      </c>
      <c r="DV1545">
        <v>1</v>
      </c>
      <c r="DW1545">
        <v>1</v>
      </c>
      <c r="DX1545">
        <v>1</v>
      </c>
      <c r="DY1545">
        <v>0</v>
      </c>
      <c r="DZ1545">
        <v>1</v>
      </c>
      <c r="EA1545">
        <v>0</v>
      </c>
      <c r="EB1545">
        <v>1</v>
      </c>
      <c r="EC1545">
        <v>1</v>
      </c>
      <c r="ED1545">
        <v>0</v>
      </c>
      <c r="EE1545">
        <v>1</v>
      </c>
      <c r="EF1545">
        <v>1</v>
      </c>
      <c r="EG1545">
        <v>1</v>
      </c>
      <c r="EH1545">
        <v>0</v>
      </c>
      <c r="EI1545" s="2">
        <v>0</v>
      </c>
      <c r="EK1545" t="str">
        <f>IF(AND(AND(AND(OR($DX1545=1,$DW1545=1),OR($EC1545=1,$EA1545=1)),SUM($DV1545:$DZ1545,$EF1545)&gt;=3),SUM($EA1545:$EE1545)&gt;=2),"Whole sector","")</f>
        <v>Whole sector</v>
      </c>
      <c r="EL1545" t="str">
        <f>IF(AND(AND(OR($DX1545=1,$DW1545=1),AND($EC1545=0,$EA1545=0)),SUM($DV1545:$DZ1545,$EF1545)&gt;=3),"Ecosystem approach","")</f>
        <v/>
      </c>
      <c r="EM1545" s="2" t="str">
        <f>IF(AND(AND(AND($DX1545=0,$DW1545=0),OR($EC1545=1,$EA1545=1)),SUM($EB1545:$EE1545)&gt;=2),"Technology approach","")</f>
        <v/>
      </c>
      <c r="EP1545" t="b">
        <f>IF(ISNUMBER(BU1545),IF(ABS(BU1545-[5]QC_indicators!$B$2)&gt;3*[5]QC_indicators!$C$2,"C ratio",IF(ISNUMBER(BY1545),IF(ABS(BY1545-[5]QC_indicators!$B$1)&gt;3*[5]QC_indicators!$C$1,"DF","no"))),IF(ISNUMBER(BY1545),IF(ABS(BY1545-[5]QC_indicators!$B$1)&gt;3*[5]QC_indicators!$C$1,"DF","no")))</f>
        <v>0</v>
      </c>
      <c r="ER1545" s="314" t="s">
        <v>349</v>
      </c>
    </row>
    <row r="1546" spans="1:148" ht="18" customHeight="1">
      <c r="A1546" s="1" t="s">
        <v>848</v>
      </c>
      <c r="B1546" t="s">
        <v>4199</v>
      </c>
      <c r="C1546" t="s">
        <v>4200</v>
      </c>
      <c r="D1546" t="s">
        <v>4201</v>
      </c>
      <c r="E1546" t="s">
        <v>4202</v>
      </c>
      <c r="F1546" t="s">
        <v>4203</v>
      </c>
      <c r="G1546" t="s">
        <v>854</v>
      </c>
      <c r="H1546" t="s">
        <v>254</v>
      </c>
      <c r="I1546">
        <v>2018</v>
      </c>
      <c r="J1546">
        <v>58</v>
      </c>
      <c r="K1546" t="s">
        <v>4204</v>
      </c>
      <c r="M1546" t="str">
        <f>LEFT($D1546,FIND(",",$D1546)-1)&amp;"_"&amp;I1546&amp;L1546</f>
        <v>Sterman_2018</v>
      </c>
      <c r="N1546" s="312" t="s">
        <v>4383</v>
      </c>
      <c r="O1546" s="145" t="s">
        <v>341</v>
      </c>
      <c r="Q1546" s="312" t="s">
        <v>256</v>
      </c>
      <c r="R1546" s="313"/>
      <c r="S1546" s="1" t="s">
        <v>4213</v>
      </c>
      <c r="T1546" t="s">
        <v>4206</v>
      </c>
      <c r="U1546" t="s">
        <v>1726</v>
      </c>
      <c r="V1546">
        <v>0</v>
      </c>
      <c r="W1546">
        <v>0</v>
      </c>
      <c r="X1546">
        <v>0</v>
      </c>
      <c r="Y1546">
        <v>0</v>
      </c>
      <c r="Z1546">
        <v>0</v>
      </c>
      <c r="AA1546">
        <v>0</v>
      </c>
      <c r="AB1546">
        <v>0</v>
      </c>
      <c r="AC1546">
        <v>0</v>
      </c>
      <c r="AD1546">
        <v>0</v>
      </c>
      <c r="AE1546">
        <v>0</v>
      </c>
      <c r="AF1546">
        <v>0</v>
      </c>
      <c r="AG1546">
        <v>0</v>
      </c>
      <c r="AH1546">
        <v>0</v>
      </c>
      <c r="AI1546">
        <v>0</v>
      </c>
      <c r="AJ1546">
        <v>0</v>
      </c>
      <c r="AK1546">
        <v>1</v>
      </c>
      <c r="AL1546">
        <v>0</v>
      </c>
      <c r="AM1546">
        <v>0</v>
      </c>
      <c r="AN1546">
        <v>0</v>
      </c>
      <c r="AO1546">
        <v>0</v>
      </c>
      <c r="AP1546">
        <v>0</v>
      </c>
      <c r="AQ1546">
        <v>0</v>
      </c>
      <c r="AR1546">
        <v>0</v>
      </c>
      <c r="AS1546">
        <v>0</v>
      </c>
      <c r="AT1546">
        <v>0</v>
      </c>
      <c r="AU1546">
        <v>0</v>
      </c>
      <c r="AV1546">
        <v>0</v>
      </c>
      <c r="AW1546">
        <v>0</v>
      </c>
      <c r="AX1546" s="141">
        <f>COUNTIF(V1546:AW1546,"&lt;&gt;0")</f>
        <v>1</v>
      </c>
      <c r="AY1546" s="141">
        <f>COUNTIF(V1546:AL1546,"&lt;&gt;0")</f>
        <v>1</v>
      </c>
      <c r="AZ1546">
        <f>COUNTIF(V1546:AC1546,"&lt;&gt;0")</f>
        <v>0</v>
      </c>
      <c r="BA1546">
        <f>COUNTIF(AD1546:AI1546,"&lt;&gt;0")</f>
        <v>0</v>
      </c>
      <c r="BB1546">
        <f>COUNTIF(AJ1546:AL1546,"&lt;&gt;0")</f>
        <v>1</v>
      </c>
      <c r="BC1546">
        <f>COUNTIF(AS1546:AW1546,"&lt;&gt;0")</f>
        <v>0</v>
      </c>
      <c r="BD1546">
        <f>COUNTIF(AM1546:AR1546,"&lt;&gt;0")</f>
        <v>0</v>
      </c>
      <c r="BE1546" t="str" cm="1">
        <f t="array" ref="BE1546">IF(AY1546=1,INDEX($V$7:$AL$7,MATCH(TRUE,INDEX($V1546:$AW1546&lt;&gt;0,),0)),IF(AY1546=0,INDEX($AM$7:$AW$7,MATCH(1,$AM1546:$AW1546,0)),IF(BF1546="Multiple strategies","mixed drivers",IF(BF1546="Supply chain","multiple supply","multiple silviculture"))))</f>
        <v>technologies/design switch</v>
      </c>
      <c r="BF1546" s="2" t="str" cm="1">
        <f t="array" ref="BF1546">IF(COUNTIF(AZ1546:BB1546,"&lt;&gt;0")=1,INDEX($V$4:$AW$4,MATCH(TRUE,INDEX($V1546:$AW1546&lt;&gt;0,),0)),IF(COUNTIF(AZ1546:BB1546,"&lt;&gt;0")=0,INDEX($AM$4:$AW$4,MATCH(1,$AM1546:$AW1546,0)),"Multiple strategies"))</f>
        <v>Technology</v>
      </c>
      <c r="BG1546" s="142"/>
      <c r="BJ1546" s="143"/>
      <c r="BL1546" s="143"/>
      <c r="BM1546" s="143"/>
      <c r="BN1546" s="143"/>
      <c r="BO1546" s="143"/>
      <c r="BP1546" s="312" t="s">
        <v>232</v>
      </c>
      <c r="BQ1546" s="312"/>
      <c r="BR1546" t="s">
        <v>4208</v>
      </c>
      <c r="BS1546" s="143"/>
      <c r="BU1546" s="144"/>
      <c r="BV1546">
        <v>-3.5000000000000003E-2</v>
      </c>
      <c r="BX1546">
        <f>BV1546*1.75*10^9*C_to_CO2</f>
        <v>-224787500.00000003</v>
      </c>
      <c r="BY1546" t="str">
        <f>IFERROR(BX1546/BO1546,"")</f>
        <v/>
      </c>
      <c r="BZ1546">
        <v>0</v>
      </c>
      <c r="CA1546">
        <v>0</v>
      </c>
      <c r="CB1546">
        <v>0</v>
      </c>
      <c r="CC1546">
        <v>0</v>
      </c>
      <c r="CD1546">
        <v>0</v>
      </c>
      <c r="CE1546">
        <v>0</v>
      </c>
      <c r="CF1546">
        <v>0</v>
      </c>
      <c r="CG1546">
        <v>0</v>
      </c>
      <c r="CH1546">
        <v>0</v>
      </c>
      <c r="CI1546">
        <v>0</v>
      </c>
      <c r="CJ1546">
        <v>0</v>
      </c>
      <c r="CK1546">
        <v>0</v>
      </c>
      <c r="CL1546">
        <v>0</v>
      </c>
      <c r="CM1546">
        <v>0</v>
      </c>
      <c r="CN1546" t="str">
        <f>IF(BL1546&lt;BK1546,"refNeedCorrection","refOK")</f>
        <v>refOK</v>
      </c>
      <c r="CO1546"/>
      <c r="CP1546"/>
      <c r="CQ1546"/>
      <c r="CR1546">
        <f>IF($CN1546="refOK",$BS1546,$BT1546)*IF($BP1546="Emissions positive",-1,1)</f>
        <v>0</v>
      </c>
      <c r="CS1546">
        <f>IF($CN1546="refOK",$BT1546,$BS1546)*IF($BP1546="Emissions positive",-1,1)</f>
        <v>0</v>
      </c>
      <c r="CT1546">
        <f>IF($CN1546="refNeedCorrection",-BX1546,BX1546)*IF($BP1546="Emissions positive",-1,1)</f>
        <v>-224787500.00000003</v>
      </c>
      <c r="CU1546" t="str">
        <f>IFERROR(CT1546/CQ1546,"")</f>
        <v/>
      </c>
      <c r="CV1546" s="2" t="str">
        <f>IFERROR((CS1546-CR1546)/ABS(CR1546),"")</f>
        <v/>
      </c>
      <c r="CW1546" s="1" t="s">
        <v>1199</v>
      </c>
      <c r="CX1546" s="312" t="str">
        <f>IF(OR($CW1546="prd",$CW1546="std",$CW1546="cit"),"loc",IF(OR($CW1546="eur",$CW1546="reg",$CW1546="coy"),"reg",$CW1546))</f>
        <v>reg</v>
      </c>
      <c r="CY1546" t="s">
        <v>428</v>
      </c>
      <c r="CZ1546">
        <v>2020</v>
      </c>
      <c r="DA1546">
        <v>2100</v>
      </c>
      <c r="DB1546">
        <v>80</v>
      </c>
      <c r="DC1546" t="str">
        <f>IF(DB1546=0,"0",IF(AND(DB1546&gt;=1,DB1546&lt;=30),"1-30",IF(AND(DB1546&gt;30,DB1546&lt;=70),"31-70",IF(AND(DB1546&gt;70,DB1546&lt;=100),"71-100",IF(DB1546&gt;100,"+100")))))</f>
        <v>71-100</v>
      </c>
      <c r="DD1546">
        <v>0</v>
      </c>
      <c r="DE1546">
        <v>1</v>
      </c>
      <c r="DF1546">
        <v>0</v>
      </c>
      <c r="DG1546">
        <v>0</v>
      </c>
      <c r="DI1546">
        <f>SUM(DD1546:DG1546)</f>
        <v>1</v>
      </c>
      <c r="DJ1546" t="str">
        <f>IF(DI1546=1,INDEX($DD$7:$DG$7,MATCH(1,$DD1546:$DG1546,0)),"mixedProduct")</f>
        <v>EnergyInput</v>
      </c>
      <c r="DK1546">
        <f>IF(DD1546=1,DK$7,0)</f>
        <v>0</v>
      </c>
      <c r="DL1546" t="str">
        <f>IF(DE1546=1,DL$7,0)</f>
        <v>Energy</v>
      </c>
      <c r="DM1546">
        <f>IF(DF1546=1,DM$7,0)</f>
        <v>0</v>
      </c>
      <c r="DN1546">
        <f>IF(DG1546=1,DN$7,0)</f>
        <v>0</v>
      </c>
      <c r="DO1546">
        <v>1</v>
      </c>
      <c r="DP1546">
        <v>1</v>
      </c>
      <c r="DQ1546" t="s">
        <v>4209</v>
      </c>
      <c r="DR1546">
        <v>0</v>
      </c>
      <c r="DS1546" t="s">
        <v>4210</v>
      </c>
      <c r="DT1546">
        <f>SUM(DO1546:DP1546)</f>
        <v>2</v>
      </c>
      <c r="DU1546" s="143" t="str">
        <f>IF(DO1546=1,"self-calculated DF",IF(DP1546=1,"external DF used","explicit C balance"))</f>
        <v>self-calculated DF</v>
      </c>
      <c r="DV1546">
        <v>1</v>
      </c>
      <c r="DW1546">
        <v>1</v>
      </c>
      <c r="DX1546">
        <v>1</v>
      </c>
      <c r="DY1546">
        <v>0</v>
      </c>
      <c r="DZ1546">
        <v>1</v>
      </c>
      <c r="EA1546">
        <v>0</v>
      </c>
      <c r="EB1546">
        <v>1</v>
      </c>
      <c r="EC1546">
        <v>1</v>
      </c>
      <c r="ED1546">
        <v>0</v>
      </c>
      <c r="EE1546">
        <v>1</v>
      </c>
      <c r="EF1546">
        <v>1</v>
      </c>
      <c r="EG1546">
        <v>1</v>
      </c>
      <c r="EH1546">
        <v>0</v>
      </c>
      <c r="EI1546" s="2">
        <v>0</v>
      </c>
      <c r="EK1546" t="str">
        <f>IF(AND(AND(AND(OR($DX1546=1,$DW1546=1),OR($EC1546=1,$EA1546=1)),SUM($DV1546:$DZ1546,$EF1546)&gt;=3),SUM($EA1546:$EE1546)&gt;=2),"Whole sector","")</f>
        <v>Whole sector</v>
      </c>
      <c r="EL1546" t="str">
        <f>IF(AND(AND(OR($DX1546=1,$DW1546=1),AND($EC1546=0,$EA1546=0)),SUM($DV1546:$DZ1546,$EF1546)&gt;=3),"Ecosystem approach","")</f>
        <v/>
      </c>
      <c r="EM1546" s="2" t="str">
        <f>IF(AND(AND(AND($DX1546=0,$DW1546=0),OR($EC1546=1,$EA1546=1)),SUM($EB1546:$EE1546)&gt;=2),"Technology approach","")</f>
        <v/>
      </c>
      <c r="EP1546" t="b">
        <f>IF(ISNUMBER(BU1546),IF(ABS(BU1546-[5]QC_indicators!$B$2)&gt;3*[5]QC_indicators!$C$2,"C ratio",IF(ISNUMBER(BY1546),IF(ABS(BY1546-[5]QC_indicators!$B$1)&gt;3*[5]QC_indicators!$C$1,"DF","no"))),IF(ISNUMBER(BY1546),IF(ABS(BY1546-[5]QC_indicators!$B$1)&gt;3*[5]QC_indicators!$C$1,"DF","no")))</f>
        <v>0</v>
      </c>
      <c r="ER1546" s="314" t="s">
        <v>349</v>
      </c>
    </row>
    <row r="1547" spans="1:148" ht="18" customHeight="1">
      <c r="A1547" s="1" t="s">
        <v>848</v>
      </c>
      <c r="B1547" t="s">
        <v>4199</v>
      </c>
      <c r="C1547" t="s">
        <v>4200</v>
      </c>
      <c r="D1547" t="s">
        <v>4201</v>
      </c>
      <c r="E1547" t="s">
        <v>4202</v>
      </c>
      <c r="F1547" t="s">
        <v>4203</v>
      </c>
      <c r="G1547" t="s">
        <v>854</v>
      </c>
      <c r="H1547" t="s">
        <v>254</v>
      </c>
      <c r="I1547">
        <v>2018</v>
      </c>
      <c r="J1547">
        <v>58</v>
      </c>
      <c r="K1547" t="s">
        <v>4204</v>
      </c>
      <c r="M1547" t="str">
        <f>LEFT($D1547,FIND(",",$D1547)-1)&amp;"_"&amp;I1547&amp;L1547</f>
        <v>Sterman_2018</v>
      </c>
      <c r="N1547" s="312" t="s">
        <v>4383</v>
      </c>
      <c r="O1547" s="145" t="s">
        <v>341</v>
      </c>
      <c r="Q1547" s="312" t="s">
        <v>256</v>
      </c>
      <c r="R1547" s="313"/>
      <c r="S1547" s="1" t="s">
        <v>4214</v>
      </c>
      <c r="T1547" t="s">
        <v>4206</v>
      </c>
      <c r="U1547" t="s">
        <v>1726</v>
      </c>
      <c r="V1547">
        <v>0</v>
      </c>
      <c r="W1547">
        <v>0</v>
      </c>
      <c r="X1547">
        <v>0</v>
      </c>
      <c r="Y1547">
        <v>0</v>
      </c>
      <c r="Z1547">
        <v>0</v>
      </c>
      <c r="AA1547">
        <v>0</v>
      </c>
      <c r="AB1547">
        <v>0</v>
      </c>
      <c r="AC1547">
        <v>0</v>
      </c>
      <c r="AD1547">
        <v>0</v>
      </c>
      <c r="AE1547">
        <v>0</v>
      </c>
      <c r="AF1547">
        <v>0</v>
      </c>
      <c r="AG1547">
        <v>0</v>
      </c>
      <c r="AH1547">
        <v>0</v>
      </c>
      <c r="AI1547">
        <v>0</v>
      </c>
      <c r="AJ1547">
        <v>0</v>
      </c>
      <c r="AK1547">
        <v>1</v>
      </c>
      <c r="AL1547">
        <v>0</v>
      </c>
      <c r="AM1547">
        <v>0</v>
      </c>
      <c r="AN1547">
        <v>0</v>
      </c>
      <c r="AO1547">
        <v>0</v>
      </c>
      <c r="AP1547">
        <v>0</v>
      </c>
      <c r="AQ1547">
        <v>0</v>
      </c>
      <c r="AR1547">
        <v>0</v>
      </c>
      <c r="AS1547">
        <v>0</v>
      </c>
      <c r="AT1547">
        <v>0</v>
      </c>
      <c r="AU1547">
        <v>0</v>
      </c>
      <c r="AV1547">
        <v>0</v>
      </c>
      <c r="AW1547">
        <v>0</v>
      </c>
      <c r="AX1547" s="141">
        <f>COUNTIF(V1547:AW1547,"&lt;&gt;0")</f>
        <v>1</v>
      </c>
      <c r="AY1547" s="141">
        <f>COUNTIF(V1547:AL1547,"&lt;&gt;0")</f>
        <v>1</v>
      </c>
      <c r="AZ1547">
        <f>COUNTIF(V1547:AC1547,"&lt;&gt;0")</f>
        <v>0</v>
      </c>
      <c r="BA1547">
        <f>COUNTIF(AD1547:AI1547,"&lt;&gt;0")</f>
        <v>0</v>
      </c>
      <c r="BB1547">
        <f>COUNTIF(AJ1547:AL1547,"&lt;&gt;0")</f>
        <v>1</v>
      </c>
      <c r="BC1547">
        <f>COUNTIF(AS1547:AW1547,"&lt;&gt;0")</f>
        <v>0</v>
      </c>
      <c r="BD1547">
        <f>COUNTIF(AM1547:AR1547,"&lt;&gt;0")</f>
        <v>0</v>
      </c>
      <c r="BE1547" t="str" cm="1">
        <f t="array" ref="BE1547">IF(AY1547=1,INDEX($V$7:$AL$7,MATCH(TRUE,INDEX($V1547:$AW1547&lt;&gt;0,),0)),IF(AY1547=0,INDEX($AM$7:$AW$7,MATCH(1,$AM1547:$AW1547,0)),IF(BF1547="Multiple strategies","mixed drivers",IF(BF1547="Supply chain","multiple supply","multiple silviculture"))))</f>
        <v>technologies/design switch</v>
      </c>
      <c r="BF1547" s="2" t="str" cm="1">
        <f t="array" ref="BF1547">IF(COUNTIF(AZ1547:BB1547,"&lt;&gt;0")=1,INDEX($V$4:$AW$4,MATCH(TRUE,INDEX($V1547:$AW1547&lt;&gt;0,),0)),IF(COUNTIF(AZ1547:BB1547,"&lt;&gt;0")=0,INDEX($AM$4:$AW$4,MATCH(1,$AM1547:$AW1547,0)),"Multiple strategies"))</f>
        <v>Technology</v>
      </c>
      <c r="BG1547" s="142"/>
      <c r="BJ1547" s="143"/>
      <c r="BL1547" s="143"/>
      <c r="BM1547" s="143"/>
      <c r="BN1547" s="143"/>
      <c r="BO1547" s="143"/>
      <c r="BP1547" s="312" t="s">
        <v>232</v>
      </c>
      <c r="BQ1547" s="312"/>
      <c r="BR1547" t="s">
        <v>4208</v>
      </c>
      <c r="BS1547" s="143"/>
      <c r="BU1547" s="144"/>
      <c r="BV1547">
        <v>-3.5000000000000003E-2</v>
      </c>
      <c r="BX1547">
        <f>BV1547*1.75*10^9*C_to_CO2</f>
        <v>-224787500.00000003</v>
      </c>
      <c r="BY1547" t="str">
        <f>IFERROR(BX1547/BO1547,"")</f>
        <v/>
      </c>
      <c r="BZ1547">
        <v>0</v>
      </c>
      <c r="CA1547">
        <v>0</v>
      </c>
      <c r="CB1547">
        <v>0</v>
      </c>
      <c r="CC1547">
        <v>0</v>
      </c>
      <c r="CD1547">
        <v>0</v>
      </c>
      <c r="CE1547">
        <v>0</v>
      </c>
      <c r="CF1547">
        <v>0</v>
      </c>
      <c r="CG1547">
        <v>0</v>
      </c>
      <c r="CH1547">
        <v>0</v>
      </c>
      <c r="CI1547">
        <v>0</v>
      </c>
      <c r="CJ1547">
        <v>0</v>
      </c>
      <c r="CK1547">
        <v>0</v>
      </c>
      <c r="CL1547">
        <v>0</v>
      </c>
      <c r="CM1547">
        <v>0</v>
      </c>
      <c r="CN1547" t="str">
        <f>IF(BL1547&lt;BK1547,"refNeedCorrection","refOK")</f>
        <v>refOK</v>
      </c>
      <c r="CO1547"/>
      <c r="CP1547"/>
      <c r="CQ1547"/>
      <c r="CR1547">
        <f>IF($CN1547="refOK",$BS1547,$BT1547)*IF($BP1547="Emissions positive",-1,1)</f>
        <v>0</v>
      </c>
      <c r="CS1547">
        <f>IF($CN1547="refOK",$BT1547,$BS1547)*IF($BP1547="Emissions positive",-1,1)</f>
        <v>0</v>
      </c>
      <c r="CT1547">
        <f>IF($CN1547="refNeedCorrection",-BX1547,BX1547)*IF($BP1547="Emissions positive",-1,1)</f>
        <v>-224787500.00000003</v>
      </c>
      <c r="CU1547" t="str">
        <f>IFERROR(CT1547/CQ1547,"")</f>
        <v/>
      </c>
      <c r="CV1547" s="2" t="str">
        <f>IFERROR((CS1547-CR1547)/ABS(CR1547),"")</f>
        <v/>
      </c>
      <c r="CW1547" s="1" t="s">
        <v>1199</v>
      </c>
      <c r="CX1547" s="312" t="str">
        <f>IF(OR($CW1547="prd",$CW1547="std",$CW1547="cit"),"loc",IF(OR($CW1547="eur",$CW1547="reg",$CW1547="coy"),"reg",$CW1547))</f>
        <v>reg</v>
      </c>
      <c r="CY1547" t="s">
        <v>428</v>
      </c>
      <c r="CZ1547">
        <v>2020</v>
      </c>
      <c r="DA1547">
        <v>2100</v>
      </c>
      <c r="DB1547">
        <v>80</v>
      </c>
      <c r="DC1547" t="str">
        <f>IF(DB1547=0,"0",IF(AND(DB1547&gt;=1,DB1547&lt;=30),"1-30",IF(AND(DB1547&gt;30,DB1547&lt;=70),"31-70",IF(AND(DB1547&gt;70,DB1547&lt;=100),"71-100",IF(DB1547&gt;100,"+100")))))</f>
        <v>71-100</v>
      </c>
      <c r="DD1547">
        <v>0</v>
      </c>
      <c r="DE1547">
        <v>1</v>
      </c>
      <c r="DF1547">
        <v>0</v>
      </c>
      <c r="DG1547">
        <v>0</v>
      </c>
      <c r="DI1547">
        <f>SUM(DD1547:DG1547)</f>
        <v>1</v>
      </c>
      <c r="DJ1547" t="str">
        <f>IF(DI1547=1,INDEX($DD$7:$DG$7,MATCH(1,$DD1547:$DG1547,0)),"mixedProduct")</f>
        <v>EnergyInput</v>
      </c>
      <c r="DK1547">
        <f>IF(DD1547=1,DK$7,0)</f>
        <v>0</v>
      </c>
      <c r="DL1547" t="str">
        <f>IF(DE1547=1,DL$7,0)</f>
        <v>Energy</v>
      </c>
      <c r="DM1547">
        <f>IF(DF1547=1,DM$7,0)</f>
        <v>0</v>
      </c>
      <c r="DN1547">
        <f>IF(DG1547=1,DN$7,0)</f>
        <v>0</v>
      </c>
      <c r="DO1547">
        <v>1</v>
      </c>
      <c r="DP1547">
        <v>1</v>
      </c>
      <c r="DQ1547" t="s">
        <v>4209</v>
      </c>
      <c r="DR1547">
        <v>0</v>
      </c>
      <c r="DS1547" t="s">
        <v>4210</v>
      </c>
      <c r="DT1547">
        <f>SUM(DO1547:DP1547)</f>
        <v>2</v>
      </c>
      <c r="DU1547" s="143" t="str">
        <f>IF(DO1547=1,"self-calculated DF",IF(DP1547=1,"external DF used","explicit C balance"))</f>
        <v>self-calculated DF</v>
      </c>
      <c r="DV1547">
        <v>1</v>
      </c>
      <c r="DW1547">
        <v>1</v>
      </c>
      <c r="DX1547">
        <v>1</v>
      </c>
      <c r="DY1547">
        <v>0</v>
      </c>
      <c r="DZ1547">
        <v>1</v>
      </c>
      <c r="EA1547">
        <v>0</v>
      </c>
      <c r="EB1547">
        <v>1</v>
      </c>
      <c r="EC1547">
        <v>1</v>
      </c>
      <c r="ED1547">
        <v>0</v>
      </c>
      <c r="EE1547">
        <v>1</v>
      </c>
      <c r="EF1547">
        <v>1</v>
      </c>
      <c r="EG1547">
        <v>1</v>
      </c>
      <c r="EH1547">
        <v>0</v>
      </c>
      <c r="EI1547" s="2">
        <v>0</v>
      </c>
      <c r="EK1547" t="str">
        <f>IF(AND(AND(AND(OR($DX1547=1,$DW1547=1),OR($EC1547=1,$EA1547=1)),SUM($DV1547:$DZ1547,$EF1547)&gt;=3),SUM($EA1547:$EE1547)&gt;=2),"Whole sector","")</f>
        <v>Whole sector</v>
      </c>
      <c r="EL1547" t="str">
        <f>IF(AND(AND(OR($DX1547=1,$DW1547=1),AND($EC1547=0,$EA1547=0)),SUM($DV1547:$DZ1547,$EF1547)&gt;=3),"Ecosystem approach","")</f>
        <v/>
      </c>
      <c r="EM1547" s="2" t="str">
        <f>IF(AND(AND(AND($DX1547=0,$DW1547=0),OR($EC1547=1,$EA1547=1)),SUM($EB1547:$EE1547)&gt;=2),"Technology approach","")</f>
        <v/>
      </c>
      <c r="EP1547" t="b">
        <f>IF(ISNUMBER(BU1547),IF(ABS(BU1547-[5]QC_indicators!$B$2)&gt;3*[5]QC_indicators!$C$2,"C ratio",IF(ISNUMBER(BY1547),IF(ABS(BY1547-[5]QC_indicators!$B$1)&gt;3*[5]QC_indicators!$C$1,"DF","no"))),IF(ISNUMBER(BY1547),IF(ABS(BY1547-[5]QC_indicators!$B$1)&gt;3*[5]QC_indicators!$C$1,"DF","no")))</f>
        <v>0</v>
      </c>
      <c r="ER1547" s="314" t="s">
        <v>349</v>
      </c>
    </row>
    <row r="1548" spans="1:148" ht="18" customHeight="1">
      <c r="A1548" s="1" t="s">
        <v>848</v>
      </c>
      <c r="B1548" t="s">
        <v>4199</v>
      </c>
      <c r="C1548" t="s">
        <v>4200</v>
      </c>
      <c r="D1548" t="s">
        <v>4201</v>
      </c>
      <c r="E1548" t="s">
        <v>4202</v>
      </c>
      <c r="F1548" t="s">
        <v>4203</v>
      </c>
      <c r="G1548" t="s">
        <v>854</v>
      </c>
      <c r="H1548" t="s">
        <v>254</v>
      </c>
      <c r="I1548">
        <v>2018</v>
      </c>
      <c r="J1548">
        <v>58</v>
      </c>
      <c r="K1548" t="s">
        <v>4204</v>
      </c>
      <c r="M1548" t="str">
        <f>LEFT($D1548,FIND(",",$D1548)-1)&amp;"_"&amp;I1548&amp;L1548</f>
        <v>Sterman_2018</v>
      </c>
      <c r="N1548" s="312" t="s">
        <v>4383</v>
      </c>
      <c r="O1548" s="145" t="s">
        <v>341</v>
      </c>
      <c r="Q1548" s="312" t="s">
        <v>256</v>
      </c>
      <c r="R1548" s="313"/>
      <c r="S1548" s="1" t="s">
        <v>4215</v>
      </c>
      <c r="T1548" t="s">
        <v>4206</v>
      </c>
      <c r="U1548" t="s">
        <v>1726</v>
      </c>
      <c r="V1548">
        <v>0</v>
      </c>
      <c r="W1548">
        <v>0</v>
      </c>
      <c r="X1548">
        <v>0</v>
      </c>
      <c r="Y1548">
        <v>0</v>
      </c>
      <c r="Z1548">
        <v>0</v>
      </c>
      <c r="AA1548">
        <v>0</v>
      </c>
      <c r="AB1548">
        <v>0</v>
      </c>
      <c r="AC1548">
        <v>0</v>
      </c>
      <c r="AD1548">
        <v>0</v>
      </c>
      <c r="AE1548">
        <v>0</v>
      </c>
      <c r="AF1548">
        <v>0</v>
      </c>
      <c r="AG1548">
        <v>0</v>
      </c>
      <c r="AH1548">
        <v>0</v>
      </c>
      <c r="AI1548">
        <v>0</v>
      </c>
      <c r="AJ1548">
        <v>0</v>
      </c>
      <c r="AK1548">
        <v>1</v>
      </c>
      <c r="AL1548">
        <v>0</v>
      </c>
      <c r="AM1548">
        <v>0</v>
      </c>
      <c r="AN1548">
        <v>0</v>
      </c>
      <c r="AO1548">
        <v>0</v>
      </c>
      <c r="AP1548">
        <v>0</v>
      </c>
      <c r="AQ1548">
        <v>0</v>
      </c>
      <c r="AR1548">
        <v>0</v>
      </c>
      <c r="AS1548">
        <v>0</v>
      </c>
      <c r="AT1548">
        <v>0</v>
      </c>
      <c r="AU1548">
        <v>0</v>
      </c>
      <c r="AV1548">
        <v>0</v>
      </c>
      <c r="AW1548">
        <v>0</v>
      </c>
      <c r="AX1548" s="141">
        <f>COUNTIF(V1548:AW1548,"&lt;&gt;0")</f>
        <v>1</v>
      </c>
      <c r="AY1548" s="141">
        <f>COUNTIF(V1548:AL1548,"&lt;&gt;0")</f>
        <v>1</v>
      </c>
      <c r="AZ1548">
        <f>COUNTIF(V1548:AC1548,"&lt;&gt;0")</f>
        <v>0</v>
      </c>
      <c r="BA1548">
        <f>COUNTIF(AD1548:AI1548,"&lt;&gt;0")</f>
        <v>0</v>
      </c>
      <c r="BB1548">
        <f>COUNTIF(AJ1548:AL1548,"&lt;&gt;0")</f>
        <v>1</v>
      </c>
      <c r="BC1548">
        <f>COUNTIF(AS1548:AW1548,"&lt;&gt;0")</f>
        <v>0</v>
      </c>
      <c r="BD1548">
        <f>COUNTIF(AM1548:AR1548,"&lt;&gt;0")</f>
        <v>0</v>
      </c>
      <c r="BE1548" t="str" cm="1">
        <f t="array" ref="BE1548">IF(AY1548=1,INDEX($V$7:$AL$7,MATCH(TRUE,INDEX($V1548:$AW1548&lt;&gt;0,),0)),IF(AY1548=0,INDEX($AM$7:$AW$7,MATCH(1,$AM1548:$AW1548,0)),IF(BF1548="Multiple strategies","mixed drivers",IF(BF1548="Supply chain","multiple supply","multiple silviculture"))))</f>
        <v>technologies/design switch</v>
      </c>
      <c r="BF1548" s="2" t="str" cm="1">
        <f t="array" ref="BF1548">IF(COUNTIF(AZ1548:BB1548,"&lt;&gt;0")=1,INDEX($V$4:$AW$4,MATCH(TRUE,INDEX($V1548:$AW1548&lt;&gt;0,),0)),IF(COUNTIF(AZ1548:BB1548,"&lt;&gt;0")=0,INDEX($AM$4:$AW$4,MATCH(1,$AM1548:$AW1548,0)),"Multiple strategies"))</f>
        <v>Technology</v>
      </c>
      <c r="BG1548" s="142"/>
      <c r="BJ1548" s="143"/>
      <c r="BL1548" s="143"/>
      <c r="BM1548" s="143"/>
      <c r="BN1548" s="143"/>
      <c r="BO1548" s="143"/>
      <c r="BP1548" s="312" t="s">
        <v>232</v>
      </c>
      <c r="BQ1548" s="312"/>
      <c r="BR1548" t="s">
        <v>4208</v>
      </c>
      <c r="BS1548" s="143"/>
      <c r="BU1548" s="144"/>
      <c r="BV1548">
        <v>0.01</v>
      </c>
      <c r="BX1548">
        <f>BV1548*1.75*10^9*C_to_CO2</f>
        <v>64225000</v>
      </c>
      <c r="BY1548" t="str">
        <f>IFERROR(BX1548/BO1548,"")</f>
        <v/>
      </c>
      <c r="BZ1548">
        <v>0</v>
      </c>
      <c r="CA1548">
        <v>0</v>
      </c>
      <c r="CB1548">
        <v>0</v>
      </c>
      <c r="CC1548">
        <v>0</v>
      </c>
      <c r="CD1548">
        <v>0</v>
      </c>
      <c r="CE1548">
        <v>0</v>
      </c>
      <c r="CF1548">
        <v>0</v>
      </c>
      <c r="CG1548">
        <v>0</v>
      </c>
      <c r="CH1548">
        <v>0</v>
      </c>
      <c r="CI1548">
        <v>0</v>
      </c>
      <c r="CJ1548">
        <v>0</v>
      </c>
      <c r="CK1548">
        <v>0</v>
      </c>
      <c r="CL1548">
        <v>0</v>
      </c>
      <c r="CM1548">
        <v>0</v>
      </c>
      <c r="CN1548" t="str">
        <f>IF(BL1548&lt;BK1548,"refNeedCorrection","refOK")</f>
        <v>refOK</v>
      </c>
      <c r="CO1548"/>
      <c r="CP1548"/>
      <c r="CQ1548"/>
      <c r="CR1548">
        <f>IF($CN1548="refOK",$BS1548,$BT1548)*IF($BP1548="Emissions positive",-1,1)</f>
        <v>0</v>
      </c>
      <c r="CS1548">
        <f>IF($CN1548="refOK",$BT1548,$BS1548)*IF($BP1548="Emissions positive",-1,1)</f>
        <v>0</v>
      </c>
      <c r="CT1548">
        <f>IF($CN1548="refNeedCorrection",-BX1548,BX1548)*IF($BP1548="Emissions positive",-1,1)</f>
        <v>64225000</v>
      </c>
      <c r="CU1548" t="str">
        <f>IFERROR(CT1548/CQ1548,"")</f>
        <v/>
      </c>
      <c r="CV1548" s="2" t="str">
        <f>IFERROR((CS1548-CR1548)/ABS(CR1548),"")</f>
        <v/>
      </c>
      <c r="CW1548" s="1" t="s">
        <v>1199</v>
      </c>
      <c r="CX1548" s="312" t="str">
        <f>IF(OR($CW1548="prd",$CW1548="std",$CW1548="cit"),"loc",IF(OR($CW1548="eur",$CW1548="reg",$CW1548="coy"),"reg",$CW1548))</f>
        <v>reg</v>
      </c>
      <c r="CY1548" t="s">
        <v>428</v>
      </c>
      <c r="CZ1548">
        <v>2020</v>
      </c>
      <c r="DA1548">
        <v>2100</v>
      </c>
      <c r="DB1548">
        <v>80</v>
      </c>
      <c r="DC1548" t="str">
        <f>IF(DB1548=0,"0",IF(AND(DB1548&gt;=1,DB1548&lt;=30),"1-30",IF(AND(DB1548&gt;30,DB1548&lt;=70),"31-70",IF(AND(DB1548&gt;70,DB1548&lt;=100),"71-100",IF(DB1548&gt;100,"+100")))))</f>
        <v>71-100</v>
      </c>
      <c r="DD1548">
        <v>0</v>
      </c>
      <c r="DE1548">
        <v>1</v>
      </c>
      <c r="DF1548">
        <v>0</v>
      </c>
      <c r="DG1548">
        <v>0</v>
      </c>
      <c r="DI1548">
        <f>SUM(DD1548:DG1548)</f>
        <v>1</v>
      </c>
      <c r="DJ1548" t="str">
        <f>IF(DI1548=1,INDEX($DD$7:$DG$7,MATCH(1,$DD1548:$DG1548,0)),"mixedProduct")</f>
        <v>EnergyInput</v>
      </c>
      <c r="DK1548">
        <f>IF(DD1548=1,DK$7,0)</f>
        <v>0</v>
      </c>
      <c r="DL1548" t="str">
        <f>IF(DE1548=1,DL$7,0)</f>
        <v>Energy</v>
      </c>
      <c r="DM1548">
        <f>IF(DF1548=1,DM$7,0)</f>
        <v>0</v>
      </c>
      <c r="DN1548">
        <f>IF(DG1548=1,DN$7,0)</f>
        <v>0</v>
      </c>
      <c r="DO1548">
        <v>1</v>
      </c>
      <c r="DP1548">
        <v>1</v>
      </c>
      <c r="DQ1548" t="s">
        <v>4209</v>
      </c>
      <c r="DR1548">
        <v>0</v>
      </c>
      <c r="DS1548" t="s">
        <v>4210</v>
      </c>
      <c r="DT1548">
        <f>SUM(DO1548:DP1548)</f>
        <v>2</v>
      </c>
      <c r="DU1548" s="143" t="str">
        <f>IF(DO1548=1,"self-calculated DF",IF(DP1548=1,"external DF used","explicit C balance"))</f>
        <v>self-calculated DF</v>
      </c>
      <c r="DV1548">
        <v>1</v>
      </c>
      <c r="DW1548">
        <v>1</v>
      </c>
      <c r="DX1548">
        <v>1</v>
      </c>
      <c r="DY1548">
        <v>0</v>
      </c>
      <c r="DZ1548">
        <v>1</v>
      </c>
      <c r="EA1548">
        <v>0</v>
      </c>
      <c r="EB1548">
        <v>1</v>
      </c>
      <c r="EC1548">
        <v>1</v>
      </c>
      <c r="ED1548">
        <v>0</v>
      </c>
      <c r="EE1548">
        <v>1</v>
      </c>
      <c r="EF1548">
        <v>1</v>
      </c>
      <c r="EG1548">
        <v>1</v>
      </c>
      <c r="EH1548">
        <v>0</v>
      </c>
      <c r="EI1548" s="2">
        <v>0</v>
      </c>
      <c r="EK1548" t="str">
        <f>IF(AND(AND(AND(OR($DX1548=1,$DW1548=1),OR($EC1548=1,$EA1548=1)),SUM($DV1548:$DZ1548,$EF1548)&gt;=3),SUM($EA1548:$EE1548)&gt;=2),"Whole sector","")</f>
        <v>Whole sector</v>
      </c>
      <c r="EL1548" t="str">
        <f>IF(AND(AND(OR($DX1548=1,$DW1548=1),AND($EC1548=0,$EA1548=0)),SUM($DV1548:$DZ1548,$EF1548)&gt;=3),"Ecosystem approach","")</f>
        <v/>
      </c>
      <c r="EM1548" s="2" t="str">
        <f>IF(AND(AND(AND($DX1548=0,$DW1548=0),OR($EC1548=1,$EA1548=1)),SUM($EB1548:$EE1548)&gt;=2),"Technology approach","")</f>
        <v/>
      </c>
      <c r="EP1548" t="b">
        <f>IF(ISNUMBER(BU1548),IF(ABS(BU1548-[5]QC_indicators!$B$2)&gt;3*[5]QC_indicators!$C$2,"C ratio",IF(ISNUMBER(BY1548),IF(ABS(BY1548-[5]QC_indicators!$B$1)&gt;3*[5]QC_indicators!$C$1,"DF","no"))),IF(ISNUMBER(BY1548),IF(ABS(BY1548-[5]QC_indicators!$B$1)&gt;3*[5]QC_indicators!$C$1,"DF","no")))</f>
        <v>0</v>
      </c>
      <c r="ER1548" s="314" t="s">
        <v>349</v>
      </c>
    </row>
    <row r="1549" spans="1:148" ht="18" customHeight="1">
      <c r="A1549" s="1" t="s">
        <v>848</v>
      </c>
      <c r="B1549" t="s">
        <v>4199</v>
      </c>
      <c r="C1549" t="s">
        <v>4200</v>
      </c>
      <c r="D1549" t="s">
        <v>4201</v>
      </c>
      <c r="E1549" t="s">
        <v>4202</v>
      </c>
      <c r="F1549" t="s">
        <v>4203</v>
      </c>
      <c r="G1549" t="s">
        <v>854</v>
      </c>
      <c r="H1549" t="s">
        <v>254</v>
      </c>
      <c r="I1549">
        <v>2018</v>
      </c>
      <c r="J1549">
        <v>58</v>
      </c>
      <c r="K1549" t="s">
        <v>4204</v>
      </c>
      <c r="M1549" t="str">
        <f>LEFT($D1549,FIND(",",$D1549)-1)&amp;"_"&amp;I1549&amp;L1549</f>
        <v>Sterman_2018</v>
      </c>
      <c r="N1549" s="312" t="s">
        <v>4383</v>
      </c>
      <c r="O1549" s="145" t="s">
        <v>341</v>
      </c>
      <c r="Q1549" s="312" t="s">
        <v>256</v>
      </c>
      <c r="R1549" s="313"/>
      <c r="S1549" s="1" t="s">
        <v>4216</v>
      </c>
      <c r="T1549" t="s">
        <v>4206</v>
      </c>
      <c r="U1549" t="s">
        <v>1726</v>
      </c>
      <c r="V1549">
        <v>0</v>
      </c>
      <c r="W1549">
        <v>0</v>
      </c>
      <c r="X1549">
        <v>0</v>
      </c>
      <c r="Y1549">
        <v>0</v>
      </c>
      <c r="Z1549">
        <v>0</v>
      </c>
      <c r="AA1549">
        <v>0</v>
      </c>
      <c r="AB1549">
        <v>0</v>
      </c>
      <c r="AC1549">
        <v>0</v>
      </c>
      <c r="AD1549">
        <v>0</v>
      </c>
      <c r="AE1549">
        <v>0</v>
      </c>
      <c r="AF1549">
        <v>0</v>
      </c>
      <c r="AG1549">
        <v>0</v>
      </c>
      <c r="AH1549">
        <v>0</v>
      </c>
      <c r="AI1549">
        <v>0</v>
      </c>
      <c r="AJ1549">
        <v>0</v>
      </c>
      <c r="AK1549">
        <v>1</v>
      </c>
      <c r="AL1549">
        <v>0</v>
      </c>
      <c r="AM1549">
        <v>0</v>
      </c>
      <c r="AN1549">
        <v>0</v>
      </c>
      <c r="AO1549">
        <v>0</v>
      </c>
      <c r="AP1549">
        <v>0</v>
      </c>
      <c r="AQ1549">
        <v>0</v>
      </c>
      <c r="AR1549">
        <v>0</v>
      </c>
      <c r="AS1549">
        <v>0</v>
      </c>
      <c r="AT1549">
        <v>0</v>
      </c>
      <c r="AU1549">
        <v>0</v>
      </c>
      <c r="AV1549">
        <v>0</v>
      </c>
      <c r="AW1549">
        <v>0</v>
      </c>
      <c r="AX1549" s="141">
        <f>COUNTIF(V1549:AW1549,"&lt;&gt;0")</f>
        <v>1</v>
      </c>
      <c r="AY1549" s="141">
        <f>COUNTIF(V1549:AL1549,"&lt;&gt;0")</f>
        <v>1</v>
      </c>
      <c r="AZ1549">
        <f>COUNTIF(V1549:AC1549,"&lt;&gt;0")</f>
        <v>0</v>
      </c>
      <c r="BA1549">
        <f>COUNTIF(AD1549:AI1549,"&lt;&gt;0")</f>
        <v>0</v>
      </c>
      <c r="BB1549">
        <f>COUNTIF(AJ1549:AL1549,"&lt;&gt;0")</f>
        <v>1</v>
      </c>
      <c r="BC1549">
        <f>COUNTIF(AS1549:AW1549,"&lt;&gt;0")</f>
        <v>0</v>
      </c>
      <c r="BD1549">
        <f>COUNTIF(AM1549:AR1549,"&lt;&gt;0")</f>
        <v>0</v>
      </c>
      <c r="BE1549" t="str" cm="1">
        <f t="array" ref="BE1549">IF(AY1549=1,INDEX($V$7:$AL$7,MATCH(TRUE,INDEX($V1549:$AW1549&lt;&gt;0,),0)),IF(AY1549=0,INDEX($AM$7:$AW$7,MATCH(1,$AM1549:$AW1549,0)),IF(BF1549="Multiple strategies","mixed drivers",IF(BF1549="Supply chain","multiple supply","multiple silviculture"))))</f>
        <v>technologies/design switch</v>
      </c>
      <c r="BF1549" s="2" t="str" cm="1">
        <f t="array" ref="BF1549">IF(COUNTIF(AZ1549:BB1549,"&lt;&gt;0")=1,INDEX($V$4:$AW$4,MATCH(TRUE,INDEX($V1549:$AW1549&lt;&gt;0,),0)),IF(COUNTIF(AZ1549:BB1549,"&lt;&gt;0")=0,INDEX($AM$4:$AW$4,MATCH(1,$AM1549:$AW1549,0)),"Multiple strategies"))</f>
        <v>Technology</v>
      </c>
      <c r="BG1549" s="142"/>
      <c r="BJ1549" s="143"/>
      <c r="BL1549" s="143"/>
      <c r="BM1549" s="143"/>
      <c r="BN1549" s="143"/>
      <c r="BO1549" s="143"/>
      <c r="BP1549" s="312" t="s">
        <v>232</v>
      </c>
      <c r="BQ1549" s="312"/>
      <c r="BR1549" t="s">
        <v>4208</v>
      </c>
      <c r="BS1549" s="143"/>
      <c r="BU1549" s="144"/>
      <c r="BV1549">
        <v>1.9E-2</v>
      </c>
      <c r="BX1549">
        <f>BV1549*1.75*10^9*C_to_CO2</f>
        <v>122027500</v>
      </c>
      <c r="BY1549" t="str">
        <f>IFERROR(BX1549/BO1549,"")</f>
        <v/>
      </c>
      <c r="BZ1549">
        <v>0</v>
      </c>
      <c r="CA1549">
        <v>0</v>
      </c>
      <c r="CB1549">
        <v>0</v>
      </c>
      <c r="CC1549">
        <v>0</v>
      </c>
      <c r="CD1549">
        <v>0</v>
      </c>
      <c r="CE1549">
        <v>0</v>
      </c>
      <c r="CF1549">
        <v>0</v>
      </c>
      <c r="CG1549">
        <v>0</v>
      </c>
      <c r="CH1549">
        <v>0</v>
      </c>
      <c r="CI1549">
        <v>0</v>
      </c>
      <c r="CJ1549">
        <v>0</v>
      </c>
      <c r="CK1549">
        <v>0</v>
      </c>
      <c r="CL1549">
        <v>0</v>
      </c>
      <c r="CM1549">
        <v>0</v>
      </c>
      <c r="CN1549" t="str">
        <f>IF(BL1549&lt;BK1549,"refNeedCorrection","refOK")</f>
        <v>refOK</v>
      </c>
      <c r="CO1549"/>
      <c r="CP1549"/>
      <c r="CQ1549"/>
      <c r="CR1549">
        <f>IF($CN1549="refOK",$BS1549,$BT1549)*IF($BP1549="Emissions positive",-1,1)</f>
        <v>0</v>
      </c>
      <c r="CS1549">
        <f>IF($CN1549="refOK",$BT1549,$BS1549)*IF($BP1549="Emissions positive",-1,1)</f>
        <v>0</v>
      </c>
      <c r="CT1549">
        <f>IF($CN1549="refNeedCorrection",-BX1549,BX1549)*IF($BP1549="Emissions positive",-1,1)</f>
        <v>122027500</v>
      </c>
      <c r="CU1549" t="str">
        <f>IFERROR(CT1549/CQ1549,"")</f>
        <v/>
      </c>
      <c r="CV1549" s="2" t="str">
        <f>IFERROR((CS1549-CR1549)/ABS(CR1549),"")</f>
        <v/>
      </c>
      <c r="CW1549" s="1" t="s">
        <v>1199</v>
      </c>
      <c r="CX1549" s="312" t="str">
        <f>IF(OR($CW1549="prd",$CW1549="std",$CW1549="cit"),"loc",IF(OR($CW1549="eur",$CW1549="reg",$CW1549="coy"),"reg",$CW1549))</f>
        <v>reg</v>
      </c>
      <c r="CY1549" t="s">
        <v>428</v>
      </c>
      <c r="CZ1549">
        <v>2020</v>
      </c>
      <c r="DA1549">
        <v>2100</v>
      </c>
      <c r="DB1549">
        <v>80</v>
      </c>
      <c r="DC1549" t="str">
        <f>IF(DB1549=0,"0",IF(AND(DB1549&gt;=1,DB1549&lt;=30),"1-30",IF(AND(DB1549&gt;30,DB1549&lt;=70),"31-70",IF(AND(DB1549&gt;70,DB1549&lt;=100),"71-100",IF(DB1549&gt;100,"+100")))))</f>
        <v>71-100</v>
      </c>
      <c r="DD1549">
        <v>0</v>
      </c>
      <c r="DE1549">
        <v>1</v>
      </c>
      <c r="DF1549">
        <v>0</v>
      </c>
      <c r="DG1549">
        <v>0</v>
      </c>
      <c r="DI1549">
        <f>SUM(DD1549:DG1549)</f>
        <v>1</v>
      </c>
      <c r="DJ1549" t="str">
        <f>IF(DI1549=1,INDEX($DD$7:$DG$7,MATCH(1,$DD1549:$DG1549,0)),"mixedProduct")</f>
        <v>EnergyInput</v>
      </c>
      <c r="DK1549">
        <f>IF(DD1549=1,DK$7,0)</f>
        <v>0</v>
      </c>
      <c r="DL1549" t="str">
        <f>IF(DE1549=1,DL$7,0)</f>
        <v>Energy</v>
      </c>
      <c r="DM1549">
        <f>IF(DF1549=1,DM$7,0)</f>
        <v>0</v>
      </c>
      <c r="DN1549">
        <f>IF(DG1549=1,DN$7,0)</f>
        <v>0</v>
      </c>
      <c r="DO1549">
        <v>1</v>
      </c>
      <c r="DP1549">
        <v>1</v>
      </c>
      <c r="DQ1549" t="s">
        <v>4209</v>
      </c>
      <c r="DR1549">
        <v>0</v>
      </c>
      <c r="DS1549" t="s">
        <v>4210</v>
      </c>
      <c r="DT1549">
        <f>SUM(DO1549:DP1549)</f>
        <v>2</v>
      </c>
      <c r="DU1549" s="143" t="str">
        <f>IF(DO1549=1,"self-calculated DF",IF(DP1549=1,"external DF used","explicit C balance"))</f>
        <v>self-calculated DF</v>
      </c>
      <c r="DV1549">
        <v>1</v>
      </c>
      <c r="DW1549">
        <v>1</v>
      </c>
      <c r="DX1549">
        <v>1</v>
      </c>
      <c r="DY1549">
        <v>0</v>
      </c>
      <c r="DZ1549">
        <v>1</v>
      </c>
      <c r="EA1549">
        <v>0</v>
      </c>
      <c r="EB1549">
        <v>1</v>
      </c>
      <c r="EC1549">
        <v>1</v>
      </c>
      <c r="ED1549">
        <v>0</v>
      </c>
      <c r="EE1549">
        <v>1</v>
      </c>
      <c r="EF1549">
        <v>1</v>
      </c>
      <c r="EG1549">
        <v>1</v>
      </c>
      <c r="EH1549">
        <v>0</v>
      </c>
      <c r="EI1549" s="2">
        <v>0</v>
      </c>
      <c r="EK1549" t="str">
        <f>IF(AND(AND(AND(OR($DX1549=1,$DW1549=1),OR($EC1549=1,$EA1549=1)),SUM($DV1549:$DZ1549,$EF1549)&gt;=3),SUM($EA1549:$EE1549)&gt;=2),"Whole sector","")</f>
        <v>Whole sector</v>
      </c>
      <c r="EL1549" t="str">
        <f>IF(AND(AND(OR($DX1549=1,$DW1549=1),AND($EC1549=0,$EA1549=0)),SUM($DV1549:$DZ1549,$EF1549)&gt;=3),"Ecosystem approach","")</f>
        <v/>
      </c>
      <c r="EM1549" s="2" t="str">
        <f>IF(AND(AND(AND($DX1549=0,$DW1549=0),OR($EC1549=1,$EA1549=1)),SUM($EB1549:$EE1549)&gt;=2),"Technology approach","")</f>
        <v/>
      </c>
      <c r="EP1549" t="b">
        <f>IF(ISNUMBER(BU1549),IF(ABS(BU1549-[5]QC_indicators!$B$2)&gt;3*[5]QC_indicators!$C$2,"C ratio",IF(ISNUMBER(BY1549),IF(ABS(BY1549-[5]QC_indicators!$B$1)&gt;3*[5]QC_indicators!$C$1,"DF","no"))),IF(ISNUMBER(BY1549),IF(ABS(BY1549-[5]QC_indicators!$B$1)&gt;3*[5]QC_indicators!$C$1,"DF","no")))</f>
        <v>0</v>
      </c>
      <c r="ER1549" s="314" t="s">
        <v>349</v>
      </c>
    </row>
    <row r="1550" spans="1:148" ht="18" customHeight="1">
      <c r="A1550" s="1" t="s">
        <v>848</v>
      </c>
      <c r="B1550" t="s">
        <v>4199</v>
      </c>
      <c r="C1550" t="s">
        <v>4200</v>
      </c>
      <c r="D1550" t="s">
        <v>4201</v>
      </c>
      <c r="E1550" t="s">
        <v>4202</v>
      </c>
      <c r="F1550" t="s">
        <v>4203</v>
      </c>
      <c r="G1550" t="s">
        <v>854</v>
      </c>
      <c r="H1550" t="s">
        <v>254</v>
      </c>
      <c r="I1550">
        <v>2018</v>
      </c>
      <c r="J1550">
        <v>58</v>
      </c>
      <c r="K1550" t="s">
        <v>4204</v>
      </c>
      <c r="M1550" t="str">
        <f>LEFT($D1550,FIND(",",$D1550)-1)&amp;"_"&amp;I1550&amp;L1550</f>
        <v>Sterman_2018</v>
      </c>
      <c r="N1550" s="312" t="s">
        <v>4383</v>
      </c>
      <c r="O1550" s="145" t="s">
        <v>341</v>
      </c>
      <c r="Q1550" s="312" t="s">
        <v>256</v>
      </c>
      <c r="R1550" s="313"/>
      <c r="S1550" s="1" t="s">
        <v>4217</v>
      </c>
      <c r="T1550" t="s">
        <v>4206</v>
      </c>
      <c r="U1550" t="s">
        <v>1726</v>
      </c>
      <c r="V1550">
        <v>0</v>
      </c>
      <c r="W1550">
        <v>0</v>
      </c>
      <c r="X1550">
        <v>0</v>
      </c>
      <c r="Y1550">
        <v>0</v>
      </c>
      <c r="Z1550">
        <v>0</v>
      </c>
      <c r="AA1550">
        <v>0</v>
      </c>
      <c r="AB1550">
        <v>0</v>
      </c>
      <c r="AC1550">
        <v>0</v>
      </c>
      <c r="AD1550">
        <v>0</v>
      </c>
      <c r="AE1550">
        <v>0</v>
      </c>
      <c r="AF1550">
        <v>0</v>
      </c>
      <c r="AG1550">
        <v>0</v>
      </c>
      <c r="AH1550">
        <v>0</v>
      </c>
      <c r="AI1550">
        <v>0</v>
      </c>
      <c r="AJ1550">
        <v>0</v>
      </c>
      <c r="AK1550">
        <v>1</v>
      </c>
      <c r="AL1550">
        <v>0</v>
      </c>
      <c r="AM1550">
        <v>0</v>
      </c>
      <c r="AN1550">
        <v>0</v>
      </c>
      <c r="AO1550">
        <v>0</v>
      </c>
      <c r="AP1550">
        <v>0</v>
      </c>
      <c r="AQ1550">
        <v>0</v>
      </c>
      <c r="AR1550">
        <v>0</v>
      </c>
      <c r="AS1550">
        <v>0</v>
      </c>
      <c r="AT1550">
        <v>0</v>
      </c>
      <c r="AU1550">
        <v>0</v>
      </c>
      <c r="AV1550">
        <v>0</v>
      </c>
      <c r="AW1550">
        <v>0</v>
      </c>
      <c r="AX1550" s="141">
        <f>COUNTIF(V1550:AW1550,"&lt;&gt;0")</f>
        <v>1</v>
      </c>
      <c r="AY1550" s="141">
        <f>COUNTIF(V1550:AL1550,"&lt;&gt;0")</f>
        <v>1</v>
      </c>
      <c r="AZ1550">
        <f>COUNTIF(V1550:AC1550,"&lt;&gt;0")</f>
        <v>0</v>
      </c>
      <c r="BA1550">
        <f>COUNTIF(AD1550:AI1550,"&lt;&gt;0")</f>
        <v>0</v>
      </c>
      <c r="BB1550">
        <f>COUNTIF(AJ1550:AL1550,"&lt;&gt;0")</f>
        <v>1</v>
      </c>
      <c r="BC1550">
        <f>COUNTIF(AS1550:AW1550,"&lt;&gt;0")</f>
        <v>0</v>
      </c>
      <c r="BD1550">
        <f>COUNTIF(AM1550:AR1550,"&lt;&gt;0")</f>
        <v>0</v>
      </c>
      <c r="BE1550" t="str" cm="1">
        <f t="array" ref="BE1550">IF(AY1550=1,INDEX($V$7:$AL$7,MATCH(TRUE,INDEX($V1550:$AW1550&lt;&gt;0,),0)),IF(AY1550=0,INDEX($AM$7:$AW$7,MATCH(1,$AM1550:$AW1550,0)),IF(BF1550="Multiple strategies","mixed drivers",IF(BF1550="Supply chain","multiple supply","multiple silviculture"))))</f>
        <v>technologies/design switch</v>
      </c>
      <c r="BF1550" s="2" t="str" cm="1">
        <f t="array" ref="BF1550">IF(COUNTIF(AZ1550:BB1550,"&lt;&gt;0")=1,INDEX($V$4:$AW$4,MATCH(TRUE,INDEX($V1550:$AW1550&lt;&gt;0,),0)),IF(COUNTIF(AZ1550:BB1550,"&lt;&gt;0")=0,INDEX($AM$4:$AW$4,MATCH(1,$AM1550:$AW1550,0)),"Multiple strategies"))</f>
        <v>Technology</v>
      </c>
      <c r="BG1550" s="142"/>
      <c r="BJ1550" s="143"/>
      <c r="BL1550" s="143"/>
      <c r="BM1550" s="143"/>
      <c r="BN1550" s="143"/>
      <c r="BO1550" s="143"/>
      <c r="BP1550" s="312" t="s">
        <v>232</v>
      </c>
      <c r="BQ1550" s="312"/>
      <c r="BR1550" t="s">
        <v>4208</v>
      </c>
      <c r="BS1550" s="143"/>
      <c r="BU1550" s="144"/>
      <c r="BV1550">
        <v>2.5999999999999999E-2</v>
      </c>
      <c r="BX1550">
        <f>BV1550*1.75*10^9*C_to_CO2</f>
        <v>166985000</v>
      </c>
      <c r="BY1550" t="str">
        <f>IFERROR(BX1550/BO1550,"")</f>
        <v/>
      </c>
      <c r="BZ1550">
        <v>0</v>
      </c>
      <c r="CA1550">
        <v>0</v>
      </c>
      <c r="CB1550">
        <v>0</v>
      </c>
      <c r="CC1550">
        <v>0</v>
      </c>
      <c r="CD1550">
        <v>0</v>
      </c>
      <c r="CE1550">
        <v>0</v>
      </c>
      <c r="CF1550">
        <v>0</v>
      </c>
      <c r="CG1550">
        <v>0</v>
      </c>
      <c r="CH1550">
        <v>0</v>
      </c>
      <c r="CI1550">
        <v>0</v>
      </c>
      <c r="CJ1550">
        <v>0</v>
      </c>
      <c r="CK1550">
        <v>0</v>
      </c>
      <c r="CL1550">
        <v>0</v>
      </c>
      <c r="CM1550">
        <v>0</v>
      </c>
      <c r="CN1550" t="str">
        <f>IF(BL1550&lt;BK1550,"refNeedCorrection","refOK")</f>
        <v>refOK</v>
      </c>
      <c r="CO1550"/>
      <c r="CP1550"/>
      <c r="CQ1550"/>
      <c r="CR1550">
        <f>IF($CN1550="refOK",$BS1550,$BT1550)*IF($BP1550="Emissions positive",-1,1)</f>
        <v>0</v>
      </c>
      <c r="CS1550">
        <f>IF($CN1550="refOK",$BT1550,$BS1550)*IF($BP1550="Emissions positive",-1,1)</f>
        <v>0</v>
      </c>
      <c r="CT1550">
        <f>IF($CN1550="refNeedCorrection",-BX1550,BX1550)*IF($BP1550="Emissions positive",-1,1)</f>
        <v>166985000</v>
      </c>
      <c r="CU1550" t="str">
        <f>IFERROR(CT1550/CQ1550,"")</f>
        <v/>
      </c>
      <c r="CV1550" s="2" t="str">
        <f>IFERROR((CS1550-CR1550)/ABS(CR1550),"")</f>
        <v/>
      </c>
      <c r="CW1550" s="1" t="s">
        <v>1199</v>
      </c>
      <c r="CX1550" s="312" t="str">
        <f>IF(OR($CW1550="prd",$CW1550="std",$CW1550="cit"),"loc",IF(OR($CW1550="eur",$CW1550="reg",$CW1550="coy"),"reg",$CW1550))</f>
        <v>reg</v>
      </c>
      <c r="CY1550" t="s">
        <v>428</v>
      </c>
      <c r="CZ1550">
        <v>2020</v>
      </c>
      <c r="DA1550">
        <v>2100</v>
      </c>
      <c r="DB1550">
        <v>80</v>
      </c>
      <c r="DC1550" t="str">
        <f>IF(DB1550=0,"0",IF(AND(DB1550&gt;=1,DB1550&lt;=30),"1-30",IF(AND(DB1550&gt;30,DB1550&lt;=70),"31-70",IF(AND(DB1550&gt;70,DB1550&lt;=100),"71-100",IF(DB1550&gt;100,"+100")))))</f>
        <v>71-100</v>
      </c>
      <c r="DD1550">
        <v>0</v>
      </c>
      <c r="DE1550">
        <v>1</v>
      </c>
      <c r="DF1550">
        <v>0</v>
      </c>
      <c r="DG1550">
        <v>0</v>
      </c>
      <c r="DI1550">
        <f>SUM(DD1550:DG1550)</f>
        <v>1</v>
      </c>
      <c r="DJ1550" t="str">
        <f>IF(DI1550=1,INDEX($DD$7:$DG$7,MATCH(1,$DD1550:$DG1550,0)),"mixedProduct")</f>
        <v>EnergyInput</v>
      </c>
      <c r="DK1550">
        <f>IF(DD1550=1,DK$7,0)</f>
        <v>0</v>
      </c>
      <c r="DL1550" t="str">
        <f>IF(DE1550=1,DL$7,0)</f>
        <v>Energy</v>
      </c>
      <c r="DM1550">
        <f>IF(DF1550=1,DM$7,0)</f>
        <v>0</v>
      </c>
      <c r="DN1550">
        <f>IF(DG1550=1,DN$7,0)</f>
        <v>0</v>
      </c>
      <c r="DO1550">
        <v>1</v>
      </c>
      <c r="DP1550">
        <v>1</v>
      </c>
      <c r="DQ1550" t="s">
        <v>4209</v>
      </c>
      <c r="DR1550">
        <v>0</v>
      </c>
      <c r="DS1550" t="s">
        <v>4210</v>
      </c>
      <c r="DT1550">
        <f>SUM(DO1550:DP1550)</f>
        <v>2</v>
      </c>
      <c r="DU1550" s="143" t="str">
        <f>IF(DO1550=1,"self-calculated DF",IF(DP1550=1,"external DF used","explicit C balance"))</f>
        <v>self-calculated DF</v>
      </c>
      <c r="DV1550">
        <v>1</v>
      </c>
      <c r="DW1550">
        <v>1</v>
      </c>
      <c r="DX1550">
        <v>1</v>
      </c>
      <c r="DY1550">
        <v>0</v>
      </c>
      <c r="DZ1550">
        <v>1</v>
      </c>
      <c r="EA1550">
        <v>0</v>
      </c>
      <c r="EB1550">
        <v>1</v>
      </c>
      <c r="EC1550">
        <v>1</v>
      </c>
      <c r="ED1550">
        <v>0</v>
      </c>
      <c r="EE1550">
        <v>1</v>
      </c>
      <c r="EF1550">
        <v>1</v>
      </c>
      <c r="EG1550">
        <v>1</v>
      </c>
      <c r="EH1550">
        <v>0</v>
      </c>
      <c r="EI1550" s="2">
        <v>0</v>
      </c>
      <c r="EK1550" t="str">
        <f>IF(AND(AND(AND(OR($DX1550=1,$DW1550=1),OR($EC1550=1,$EA1550=1)),SUM($DV1550:$DZ1550,$EF1550)&gt;=3),SUM($EA1550:$EE1550)&gt;=2),"Whole sector","")</f>
        <v>Whole sector</v>
      </c>
      <c r="EL1550" t="str">
        <f>IF(AND(AND(OR($DX1550=1,$DW1550=1),AND($EC1550=0,$EA1550=0)),SUM($DV1550:$DZ1550,$EF1550)&gt;=3),"Ecosystem approach","")</f>
        <v/>
      </c>
      <c r="EM1550" s="2" t="str">
        <f>IF(AND(AND(AND($DX1550=0,$DW1550=0),OR($EC1550=1,$EA1550=1)),SUM($EB1550:$EE1550)&gt;=2),"Technology approach","")</f>
        <v/>
      </c>
      <c r="EP1550" t="b">
        <f>IF(ISNUMBER(BU1550),IF(ABS(BU1550-[5]QC_indicators!$B$2)&gt;3*[5]QC_indicators!$C$2,"C ratio",IF(ISNUMBER(BY1550),IF(ABS(BY1550-[5]QC_indicators!$B$1)&gt;3*[5]QC_indicators!$C$1,"DF","no"))),IF(ISNUMBER(BY1550),IF(ABS(BY1550-[5]QC_indicators!$B$1)&gt;3*[5]QC_indicators!$C$1,"DF","no")))</f>
        <v>0</v>
      </c>
      <c r="ER1550" s="314" t="s">
        <v>349</v>
      </c>
    </row>
    <row r="1551" spans="1:148" ht="18" customHeight="1">
      <c r="A1551" s="1" t="s">
        <v>848</v>
      </c>
      <c r="B1551" t="s">
        <v>4199</v>
      </c>
      <c r="C1551" t="s">
        <v>4200</v>
      </c>
      <c r="D1551" t="s">
        <v>4201</v>
      </c>
      <c r="E1551" t="s">
        <v>4202</v>
      </c>
      <c r="F1551" t="s">
        <v>4203</v>
      </c>
      <c r="G1551" t="s">
        <v>854</v>
      </c>
      <c r="H1551" t="s">
        <v>254</v>
      </c>
      <c r="I1551">
        <v>2018</v>
      </c>
      <c r="J1551">
        <v>58</v>
      </c>
      <c r="K1551" t="s">
        <v>4204</v>
      </c>
      <c r="M1551" t="str">
        <f>LEFT($D1551,FIND(",",$D1551)-1)&amp;"_"&amp;I1551&amp;L1551</f>
        <v>Sterman_2018</v>
      </c>
      <c r="N1551" s="312" t="s">
        <v>4383</v>
      </c>
      <c r="O1551" s="145" t="s">
        <v>341</v>
      </c>
      <c r="Q1551" s="312" t="s">
        <v>256</v>
      </c>
      <c r="R1551" s="313"/>
      <c r="S1551" s="1" t="s">
        <v>4218</v>
      </c>
      <c r="T1551" t="s">
        <v>4206</v>
      </c>
      <c r="U1551" t="s">
        <v>1726</v>
      </c>
      <c r="V1551">
        <v>0</v>
      </c>
      <c r="W1551">
        <v>0</v>
      </c>
      <c r="X1551">
        <v>0</v>
      </c>
      <c r="Y1551">
        <v>0</v>
      </c>
      <c r="Z1551">
        <v>0</v>
      </c>
      <c r="AA1551">
        <v>0</v>
      </c>
      <c r="AB1551">
        <v>0</v>
      </c>
      <c r="AC1551">
        <v>0</v>
      </c>
      <c r="AD1551">
        <v>0</v>
      </c>
      <c r="AE1551">
        <v>0</v>
      </c>
      <c r="AF1551">
        <v>0</v>
      </c>
      <c r="AG1551">
        <v>0</v>
      </c>
      <c r="AH1551">
        <v>0</v>
      </c>
      <c r="AI1551">
        <v>0</v>
      </c>
      <c r="AJ1551">
        <v>0</v>
      </c>
      <c r="AK1551">
        <v>1</v>
      </c>
      <c r="AL1551">
        <v>0</v>
      </c>
      <c r="AM1551">
        <v>0</v>
      </c>
      <c r="AN1551">
        <v>0</v>
      </c>
      <c r="AO1551">
        <v>0</v>
      </c>
      <c r="AP1551">
        <v>0</v>
      </c>
      <c r="AQ1551">
        <v>0</v>
      </c>
      <c r="AR1551">
        <v>0</v>
      </c>
      <c r="AS1551">
        <v>0</v>
      </c>
      <c r="AT1551">
        <v>0</v>
      </c>
      <c r="AU1551">
        <v>0</v>
      </c>
      <c r="AV1551">
        <v>0</v>
      </c>
      <c r="AW1551">
        <v>0</v>
      </c>
      <c r="AX1551" s="141">
        <f>COUNTIF(V1551:AW1551,"&lt;&gt;0")</f>
        <v>1</v>
      </c>
      <c r="AY1551" s="141">
        <f>COUNTIF(V1551:AL1551,"&lt;&gt;0")</f>
        <v>1</v>
      </c>
      <c r="AZ1551">
        <f>COUNTIF(V1551:AC1551,"&lt;&gt;0")</f>
        <v>0</v>
      </c>
      <c r="BA1551">
        <f>COUNTIF(AD1551:AI1551,"&lt;&gt;0")</f>
        <v>0</v>
      </c>
      <c r="BB1551">
        <f>COUNTIF(AJ1551:AL1551,"&lt;&gt;0")</f>
        <v>1</v>
      </c>
      <c r="BC1551">
        <f>COUNTIF(AS1551:AW1551,"&lt;&gt;0")</f>
        <v>0</v>
      </c>
      <c r="BD1551">
        <f>COUNTIF(AM1551:AR1551,"&lt;&gt;0")</f>
        <v>0</v>
      </c>
      <c r="BE1551" t="str" cm="1">
        <f t="array" ref="BE1551">IF(AY1551=1,INDEX($V$7:$AL$7,MATCH(TRUE,INDEX($V1551:$AW1551&lt;&gt;0,),0)),IF(AY1551=0,INDEX($AM$7:$AW$7,MATCH(1,$AM1551:$AW1551,0)),IF(BF1551="Multiple strategies","mixed drivers",IF(BF1551="Supply chain","multiple supply","multiple silviculture"))))</f>
        <v>technologies/design switch</v>
      </c>
      <c r="BF1551" s="2" t="str" cm="1">
        <f t="array" ref="BF1551">IF(COUNTIF(AZ1551:BB1551,"&lt;&gt;0")=1,INDEX($V$4:$AW$4,MATCH(TRUE,INDEX($V1551:$AW1551&lt;&gt;0,),0)),IF(COUNTIF(AZ1551:BB1551,"&lt;&gt;0")=0,INDEX($AM$4:$AW$4,MATCH(1,$AM1551:$AW1551,0)),"Multiple strategies"))</f>
        <v>Technology</v>
      </c>
      <c r="BG1551" s="142"/>
      <c r="BJ1551" s="143"/>
      <c r="BL1551" s="143"/>
      <c r="BM1551" s="143"/>
      <c r="BN1551" s="143"/>
      <c r="BO1551" s="143"/>
      <c r="BP1551" s="312" t="s">
        <v>232</v>
      </c>
      <c r="BQ1551" s="312"/>
      <c r="BR1551" t="s">
        <v>4208</v>
      </c>
      <c r="BS1551" s="143"/>
      <c r="BU1551" s="144"/>
      <c r="BV1551">
        <v>3.7999999999999999E-2</v>
      </c>
      <c r="BX1551">
        <f>BV1551*1.75*10^9*C_to_CO2</f>
        <v>244055000</v>
      </c>
      <c r="BY1551" t="str">
        <f>IFERROR(BX1551/BO1551,"")</f>
        <v/>
      </c>
      <c r="BZ1551">
        <v>0</v>
      </c>
      <c r="CA1551">
        <v>0</v>
      </c>
      <c r="CB1551">
        <v>0</v>
      </c>
      <c r="CC1551">
        <v>0</v>
      </c>
      <c r="CD1551">
        <v>0</v>
      </c>
      <c r="CE1551">
        <v>0</v>
      </c>
      <c r="CF1551">
        <v>0</v>
      </c>
      <c r="CG1551">
        <v>0</v>
      </c>
      <c r="CH1551">
        <v>0</v>
      </c>
      <c r="CI1551">
        <v>0</v>
      </c>
      <c r="CJ1551">
        <v>0</v>
      </c>
      <c r="CK1551">
        <v>0</v>
      </c>
      <c r="CL1551">
        <v>0</v>
      </c>
      <c r="CM1551">
        <v>0</v>
      </c>
      <c r="CN1551" t="str">
        <f>IF(BL1551&lt;BK1551,"refNeedCorrection","refOK")</f>
        <v>refOK</v>
      </c>
      <c r="CO1551"/>
      <c r="CP1551"/>
      <c r="CQ1551"/>
      <c r="CR1551">
        <f>IF($CN1551="refOK",$BS1551,$BT1551)*IF($BP1551="Emissions positive",-1,1)</f>
        <v>0</v>
      </c>
      <c r="CS1551">
        <f>IF($CN1551="refOK",$BT1551,$BS1551)*IF($BP1551="Emissions positive",-1,1)</f>
        <v>0</v>
      </c>
      <c r="CT1551">
        <f>IF($CN1551="refNeedCorrection",-BX1551,BX1551)*IF($BP1551="Emissions positive",-1,1)</f>
        <v>244055000</v>
      </c>
      <c r="CU1551" t="str">
        <f>IFERROR(CT1551/CQ1551,"")</f>
        <v/>
      </c>
      <c r="CV1551" s="2" t="str">
        <f>IFERROR((CS1551-CR1551)/ABS(CR1551),"")</f>
        <v/>
      </c>
      <c r="CW1551" s="1" t="s">
        <v>1199</v>
      </c>
      <c r="CX1551" s="312" t="str">
        <f>IF(OR($CW1551="prd",$CW1551="std",$CW1551="cit"),"loc",IF(OR($CW1551="eur",$CW1551="reg",$CW1551="coy"),"reg",$CW1551))</f>
        <v>reg</v>
      </c>
      <c r="CY1551" t="s">
        <v>428</v>
      </c>
      <c r="CZ1551">
        <v>2020</v>
      </c>
      <c r="DA1551">
        <v>2100</v>
      </c>
      <c r="DB1551">
        <v>80</v>
      </c>
      <c r="DC1551" t="str">
        <f>IF(DB1551=0,"0",IF(AND(DB1551&gt;=1,DB1551&lt;=30),"1-30",IF(AND(DB1551&gt;30,DB1551&lt;=70),"31-70",IF(AND(DB1551&gt;70,DB1551&lt;=100),"71-100",IF(DB1551&gt;100,"+100")))))</f>
        <v>71-100</v>
      </c>
      <c r="DD1551">
        <v>0</v>
      </c>
      <c r="DE1551">
        <v>1</v>
      </c>
      <c r="DF1551">
        <v>0</v>
      </c>
      <c r="DG1551">
        <v>0</v>
      </c>
      <c r="DI1551">
        <f>SUM(DD1551:DG1551)</f>
        <v>1</v>
      </c>
      <c r="DJ1551" t="str">
        <f>IF(DI1551=1,INDEX($DD$7:$DG$7,MATCH(1,$DD1551:$DG1551,0)),"mixedProduct")</f>
        <v>EnergyInput</v>
      </c>
      <c r="DK1551">
        <f>IF(DD1551=1,DK$7,0)</f>
        <v>0</v>
      </c>
      <c r="DL1551" t="str">
        <f>IF(DE1551=1,DL$7,0)</f>
        <v>Energy</v>
      </c>
      <c r="DM1551">
        <f>IF(DF1551=1,DM$7,0)</f>
        <v>0</v>
      </c>
      <c r="DN1551">
        <f>IF(DG1551=1,DN$7,0)</f>
        <v>0</v>
      </c>
      <c r="DO1551">
        <v>1</v>
      </c>
      <c r="DP1551">
        <v>1</v>
      </c>
      <c r="DQ1551" t="s">
        <v>4209</v>
      </c>
      <c r="DR1551">
        <v>0</v>
      </c>
      <c r="DS1551" t="s">
        <v>4210</v>
      </c>
      <c r="DT1551">
        <f>SUM(DO1551:DP1551)</f>
        <v>2</v>
      </c>
      <c r="DU1551" s="143" t="str">
        <f>IF(DO1551=1,"self-calculated DF",IF(DP1551=1,"external DF used","explicit C balance"))</f>
        <v>self-calculated DF</v>
      </c>
      <c r="DV1551">
        <v>1</v>
      </c>
      <c r="DW1551">
        <v>1</v>
      </c>
      <c r="DX1551">
        <v>1</v>
      </c>
      <c r="DY1551">
        <v>0</v>
      </c>
      <c r="DZ1551">
        <v>1</v>
      </c>
      <c r="EA1551">
        <v>0</v>
      </c>
      <c r="EB1551">
        <v>1</v>
      </c>
      <c r="EC1551">
        <v>1</v>
      </c>
      <c r="ED1551">
        <v>0</v>
      </c>
      <c r="EE1551">
        <v>1</v>
      </c>
      <c r="EF1551">
        <v>1</v>
      </c>
      <c r="EG1551">
        <v>1</v>
      </c>
      <c r="EH1551">
        <v>0</v>
      </c>
      <c r="EI1551" s="2">
        <v>0</v>
      </c>
      <c r="EK1551" t="str">
        <f>IF(AND(AND(AND(OR($DX1551=1,$DW1551=1),OR($EC1551=1,$EA1551=1)),SUM($DV1551:$DZ1551,$EF1551)&gt;=3),SUM($EA1551:$EE1551)&gt;=2),"Whole sector","")</f>
        <v>Whole sector</v>
      </c>
      <c r="EL1551" t="str">
        <f>IF(AND(AND(OR($DX1551=1,$DW1551=1),AND($EC1551=0,$EA1551=0)),SUM($DV1551:$DZ1551,$EF1551)&gt;=3),"Ecosystem approach","")</f>
        <v/>
      </c>
      <c r="EM1551" s="2" t="str">
        <f>IF(AND(AND(AND($DX1551=0,$DW1551=0),OR($EC1551=1,$EA1551=1)),SUM($EB1551:$EE1551)&gt;=2),"Technology approach","")</f>
        <v/>
      </c>
      <c r="EP1551" t="b">
        <f>IF(ISNUMBER(BU1551),IF(ABS(BU1551-[5]QC_indicators!$B$2)&gt;3*[5]QC_indicators!$C$2,"C ratio",IF(ISNUMBER(BY1551),IF(ABS(BY1551-[5]QC_indicators!$B$1)&gt;3*[5]QC_indicators!$C$1,"DF","no"))),IF(ISNUMBER(BY1551),IF(ABS(BY1551-[5]QC_indicators!$B$1)&gt;3*[5]QC_indicators!$C$1,"DF","no")))</f>
        <v>0</v>
      </c>
      <c r="ER1551" s="314" t="s">
        <v>349</v>
      </c>
    </row>
    <row r="1552" spans="1:148" ht="18" customHeight="1">
      <c r="A1552" s="1" t="s">
        <v>848</v>
      </c>
      <c r="B1552" t="s">
        <v>4199</v>
      </c>
      <c r="C1552" t="s">
        <v>4200</v>
      </c>
      <c r="D1552" t="s">
        <v>4201</v>
      </c>
      <c r="E1552" t="s">
        <v>4202</v>
      </c>
      <c r="F1552" t="s">
        <v>4203</v>
      </c>
      <c r="G1552" t="s">
        <v>854</v>
      </c>
      <c r="H1552" t="s">
        <v>254</v>
      </c>
      <c r="I1552">
        <v>2018</v>
      </c>
      <c r="J1552">
        <v>58</v>
      </c>
      <c r="K1552" t="s">
        <v>4204</v>
      </c>
      <c r="M1552" t="str">
        <f>LEFT($D1552,FIND(",",$D1552)-1)&amp;"_"&amp;I1552&amp;L1552</f>
        <v>Sterman_2018</v>
      </c>
      <c r="N1552" s="312" t="s">
        <v>4383</v>
      </c>
      <c r="O1552" s="145" t="s">
        <v>341</v>
      </c>
      <c r="Q1552" s="312" t="s">
        <v>256</v>
      </c>
      <c r="R1552" s="313"/>
      <c r="S1552" s="1" t="s">
        <v>4219</v>
      </c>
      <c r="T1552" t="s">
        <v>4206</v>
      </c>
      <c r="U1552" t="s">
        <v>1726</v>
      </c>
      <c r="V1552">
        <v>0</v>
      </c>
      <c r="W1552">
        <v>0</v>
      </c>
      <c r="X1552">
        <v>0</v>
      </c>
      <c r="Y1552">
        <v>0</v>
      </c>
      <c r="Z1552">
        <v>0</v>
      </c>
      <c r="AA1552">
        <v>0</v>
      </c>
      <c r="AB1552">
        <v>0</v>
      </c>
      <c r="AC1552">
        <v>0</v>
      </c>
      <c r="AD1552">
        <v>0</v>
      </c>
      <c r="AE1552">
        <v>0</v>
      </c>
      <c r="AF1552">
        <v>0</v>
      </c>
      <c r="AG1552">
        <v>0</v>
      </c>
      <c r="AH1552">
        <v>0</v>
      </c>
      <c r="AI1552">
        <v>0</v>
      </c>
      <c r="AJ1552">
        <v>0</v>
      </c>
      <c r="AK1552">
        <v>1</v>
      </c>
      <c r="AL1552">
        <v>0</v>
      </c>
      <c r="AM1552">
        <v>0</v>
      </c>
      <c r="AN1552">
        <v>0</v>
      </c>
      <c r="AO1552">
        <v>0</v>
      </c>
      <c r="AP1552">
        <v>0</v>
      </c>
      <c r="AQ1552">
        <v>0</v>
      </c>
      <c r="AR1552">
        <v>0</v>
      </c>
      <c r="AS1552">
        <v>0</v>
      </c>
      <c r="AT1552">
        <v>0</v>
      </c>
      <c r="AU1552">
        <v>0</v>
      </c>
      <c r="AV1552">
        <v>0</v>
      </c>
      <c r="AW1552">
        <v>0</v>
      </c>
      <c r="AX1552" s="141">
        <f>COUNTIF(V1552:AW1552,"&lt;&gt;0")</f>
        <v>1</v>
      </c>
      <c r="AY1552" s="141">
        <f>COUNTIF(V1552:AL1552,"&lt;&gt;0")</f>
        <v>1</v>
      </c>
      <c r="AZ1552">
        <f>COUNTIF(V1552:AC1552,"&lt;&gt;0")</f>
        <v>0</v>
      </c>
      <c r="BA1552">
        <f>COUNTIF(AD1552:AI1552,"&lt;&gt;0")</f>
        <v>0</v>
      </c>
      <c r="BB1552">
        <f>COUNTIF(AJ1552:AL1552,"&lt;&gt;0")</f>
        <v>1</v>
      </c>
      <c r="BC1552">
        <f>COUNTIF(AS1552:AW1552,"&lt;&gt;0")</f>
        <v>0</v>
      </c>
      <c r="BD1552">
        <f>COUNTIF(AM1552:AR1552,"&lt;&gt;0")</f>
        <v>0</v>
      </c>
      <c r="BE1552" t="str" cm="1">
        <f t="array" ref="BE1552">IF(AY1552=1,INDEX($V$7:$AL$7,MATCH(TRUE,INDEX($V1552:$AW1552&lt;&gt;0,),0)),IF(AY1552=0,INDEX($AM$7:$AW$7,MATCH(1,$AM1552:$AW1552,0)),IF(BF1552="Multiple strategies","mixed drivers",IF(BF1552="Supply chain","multiple supply","multiple silviculture"))))</f>
        <v>technologies/design switch</v>
      </c>
      <c r="BF1552" s="2" t="str" cm="1">
        <f t="array" ref="BF1552">IF(COUNTIF(AZ1552:BB1552,"&lt;&gt;0")=1,INDEX($V$4:$AW$4,MATCH(TRUE,INDEX($V1552:$AW1552&lt;&gt;0,),0)),IF(COUNTIF(AZ1552:BB1552,"&lt;&gt;0")=0,INDEX($AM$4:$AW$4,MATCH(1,$AM1552:$AW1552,0)),"Multiple strategies"))</f>
        <v>Technology</v>
      </c>
      <c r="BG1552" s="142"/>
      <c r="BJ1552" s="143"/>
      <c r="BL1552" s="143"/>
      <c r="BM1552" s="143"/>
      <c r="BN1552" s="143"/>
      <c r="BO1552" s="143"/>
      <c r="BP1552" s="312" t="s">
        <v>232</v>
      </c>
      <c r="BQ1552" s="312"/>
      <c r="BR1552" t="s">
        <v>4208</v>
      </c>
      <c r="BS1552" s="143"/>
      <c r="BU1552" s="144"/>
      <c r="BV1552">
        <v>3.7999999999999999E-2</v>
      </c>
      <c r="BX1552">
        <f>BV1552*1.75*10^9*C_to_CO2</f>
        <v>244055000</v>
      </c>
      <c r="BY1552" t="str">
        <f>IFERROR(BX1552/BO1552,"")</f>
        <v/>
      </c>
      <c r="BZ1552">
        <v>0</v>
      </c>
      <c r="CA1552">
        <v>0</v>
      </c>
      <c r="CB1552">
        <v>0</v>
      </c>
      <c r="CC1552">
        <v>0</v>
      </c>
      <c r="CD1552">
        <v>0</v>
      </c>
      <c r="CE1552">
        <v>0</v>
      </c>
      <c r="CF1552">
        <v>0</v>
      </c>
      <c r="CG1552">
        <v>0</v>
      </c>
      <c r="CH1552">
        <v>0</v>
      </c>
      <c r="CI1552">
        <v>0</v>
      </c>
      <c r="CJ1552">
        <v>0</v>
      </c>
      <c r="CK1552">
        <v>0</v>
      </c>
      <c r="CL1552">
        <v>0</v>
      </c>
      <c r="CM1552">
        <v>0</v>
      </c>
      <c r="CN1552" t="str">
        <f>IF(BL1552&lt;BK1552,"refNeedCorrection","refOK")</f>
        <v>refOK</v>
      </c>
      <c r="CO1552"/>
      <c r="CP1552"/>
      <c r="CQ1552"/>
      <c r="CR1552">
        <f>IF($CN1552="refOK",$BS1552,$BT1552)*IF($BP1552="Emissions positive",-1,1)</f>
        <v>0</v>
      </c>
      <c r="CS1552">
        <f>IF($CN1552="refOK",$BT1552,$BS1552)*IF($BP1552="Emissions positive",-1,1)</f>
        <v>0</v>
      </c>
      <c r="CT1552">
        <f>IF($CN1552="refNeedCorrection",-BX1552,BX1552)*IF($BP1552="Emissions positive",-1,1)</f>
        <v>244055000</v>
      </c>
      <c r="CU1552" t="str">
        <f>IFERROR(CT1552/CQ1552,"")</f>
        <v/>
      </c>
      <c r="CV1552" s="2" t="str">
        <f>IFERROR((CS1552-CR1552)/ABS(CR1552),"")</f>
        <v/>
      </c>
      <c r="CW1552" s="1" t="s">
        <v>1199</v>
      </c>
      <c r="CX1552" s="312" t="str">
        <f>IF(OR($CW1552="prd",$CW1552="std",$CW1552="cit"),"loc",IF(OR($CW1552="eur",$CW1552="reg",$CW1552="coy"),"reg",$CW1552))</f>
        <v>reg</v>
      </c>
      <c r="CY1552" t="s">
        <v>428</v>
      </c>
      <c r="CZ1552">
        <v>2020</v>
      </c>
      <c r="DA1552">
        <v>2100</v>
      </c>
      <c r="DB1552">
        <v>80</v>
      </c>
      <c r="DC1552" t="str">
        <f>IF(DB1552=0,"0",IF(AND(DB1552&gt;=1,DB1552&lt;=30),"1-30",IF(AND(DB1552&gt;30,DB1552&lt;=70),"31-70",IF(AND(DB1552&gt;70,DB1552&lt;=100),"71-100",IF(DB1552&gt;100,"+100")))))</f>
        <v>71-100</v>
      </c>
      <c r="DD1552">
        <v>0</v>
      </c>
      <c r="DE1552">
        <v>1</v>
      </c>
      <c r="DF1552">
        <v>0</v>
      </c>
      <c r="DG1552">
        <v>0</v>
      </c>
      <c r="DI1552">
        <f>SUM(DD1552:DG1552)</f>
        <v>1</v>
      </c>
      <c r="DJ1552" t="str">
        <f>IF(DI1552=1,INDEX($DD$7:$DG$7,MATCH(1,$DD1552:$DG1552,0)),"mixedProduct")</f>
        <v>EnergyInput</v>
      </c>
      <c r="DK1552">
        <f>IF(DD1552=1,DK$7,0)</f>
        <v>0</v>
      </c>
      <c r="DL1552" t="str">
        <f>IF(DE1552=1,DL$7,0)</f>
        <v>Energy</v>
      </c>
      <c r="DM1552">
        <f>IF(DF1552=1,DM$7,0)</f>
        <v>0</v>
      </c>
      <c r="DN1552">
        <f>IF(DG1552=1,DN$7,0)</f>
        <v>0</v>
      </c>
      <c r="DO1552">
        <v>1</v>
      </c>
      <c r="DP1552">
        <v>1</v>
      </c>
      <c r="DQ1552" t="s">
        <v>4209</v>
      </c>
      <c r="DR1552">
        <v>0</v>
      </c>
      <c r="DS1552" t="s">
        <v>4210</v>
      </c>
      <c r="DT1552">
        <f>SUM(DO1552:DP1552)</f>
        <v>2</v>
      </c>
      <c r="DU1552" s="143" t="str">
        <f>IF(DO1552=1,"self-calculated DF",IF(DP1552=1,"external DF used","explicit C balance"))</f>
        <v>self-calculated DF</v>
      </c>
      <c r="DV1552">
        <v>1</v>
      </c>
      <c r="DW1552">
        <v>1</v>
      </c>
      <c r="DX1552">
        <v>1</v>
      </c>
      <c r="DY1552">
        <v>0</v>
      </c>
      <c r="DZ1552">
        <v>1</v>
      </c>
      <c r="EA1552">
        <v>0</v>
      </c>
      <c r="EB1552">
        <v>1</v>
      </c>
      <c r="EC1552">
        <v>1</v>
      </c>
      <c r="ED1552">
        <v>0</v>
      </c>
      <c r="EE1552">
        <v>1</v>
      </c>
      <c r="EF1552">
        <v>1</v>
      </c>
      <c r="EG1552">
        <v>1</v>
      </c>
      <c r="EH1552">
        <v>0</v>
      </c>
      <c r="EI1552" s="2">
        <v>0</v>
      </c>
      <c r="EK1552" t="str">
        <f>IF(AND(AND(AND(OR($DX1552=1,$DW1552=1),OR($EC1552=1,$EA1552=1)),SUM($DV1552:$DZ1552,$EF1552)&gt;=3),SUM($EA1552:$EE1552)&gt;=2),"Whole sector","")</f>
        <v>Whole sector</v>
      </c>
      <c r="EL1552" t="str">
        <f>IF(AND(AND(OR($DX1552=1,$DW1552=1),AND($EC1552=0,$EA1552=0)),SUM($DV1552:$DZ1552,$EF1552)&gt;=3),"Ecosystem approach","")</f>
        <v/>
      </c>
      <c r="EM1552" s="2" t="str">
        <f>IF(AND(AND(AND($DX1552=0,$DW1552=0),OR($EC1552=1,$EA1552=1)),SUM($EB1552:$EE1552)&gt;=2),"Technology approach","")</f>
        <v/>
      </c>
      <c r="EP1552" t="b">
        <f>IF(ISNUMBER(BU1552),IF(ABS(BU1552-[5]QC_indicators!$B$2)&gt;3*[5]QC_indicators!$C$2,"C ratio",IF(ISNUMBER(BY1552),IF(ABS(BY1552-[5]QC_indicators!$B$1)&gt;3*[5]QC_indicators!$C$1,"DF","no"))),IF(ISNUMBER(BY1552),IF(ABS(BY1552-[5]QC_indicators!$B$1)&gt;3*[5]QC_indicators!$C$1,"DF","no")))</f>
        <v>0</v>
      </c>
      <c r="ER1552" s="314" t="s">
        <v>349</v>
      </c>
    </row>
    <row r="1553" spans="1:148" ht="18" customHeight="1">
      <c r="A1553" s="1" t="s">
        <v>848</v>
      </c>
      <c r="B1553" t="s">
        <v>4199</v>
      </c>
      <c r="C1553" t="s">
        <v>4200</v>
      </c>
      <c r="D1553" t="s">
        <v>4201</v>
      </c>
      <c r="E1553" t="s">
        <v>4202</v>
      </c>
      <c r="F1553" t="s">
        <v>4203</v>
      </c>
      <c r="G1553" t="s">
        <v>854</v>
      </c>
      <c r="H1553" t="s">
        <v>254</v>
      </c>
      <c r="I1553">
        <v>2018</v>
      </c>
      <c r="J1553">
        <v>58</v>
      </c>
      <c r="K1553" t="s">
        <v>4204</v>
      </c>
      <c r="M1553" t="str">
        <f>LEFT($D1553,FIND(",",$D1553)-1)&amp;"_"&amp;I1553&amp;L1553</f>
        <v>Sterman_2018</v>
      </c>
      <c r="N1553" s="312" t="s">
        <v>4383</v>
      </c>
      <c r="O1553" s="145" t="s">
        <v>341</v>
      </c>
      <c r="Q1553" s="312" t="s">
        <v>256</v>
      </c>
      <c r="R1553" s="313"/>
      <c r="S1553" s="1" t="s">
        <v>4220</v>
      </c>
      <c r="T1553" t="s">
        <v>4206</v>
      </c>
      <c r="U1553" t="s">
        <v>1726</v>
      </c>
      <c r="V1553">
        <v>0</v>
      </c>
      <c r="W1553">
        <v>0</v>
      </c>
      <c r="X1553">
        <v>0</v>
      </c>
      <c r="Y1553">
        <v>0</v>
      </c>
      <c r="Z1553">
        <v>0</v>
      </c>
      <c r="AA1553">
        <v>0</v>
      </c>
      <c r="AB1553">
        <v>0</v>
      </c>
      <c r="AC1553">
        <v>0</v>
      </c>
      <c r="AD1553">
        <v>0</v>
      </c>
      <c r="AE1553">
        <v>0</v>
      </c>
      <c r="AF1553">
        <v>0</v>
      </c>
      <c r="AG1553">
        <v>0</v>
      </c>
      <c r="AH1553">
        <v>0</v>
      </c>
      <c r="AI1553">
        <v>0</v>
      </c>
      <c r="AJ1553">
        <v>0</v>
      </c>
      <c r="AK1553">
        <v>1</v>
      </c>
      <c r="AL1553">
        <v>0</v>
      </c>
      <c r="AM1553">
        <v>0</v>
      </c>
      <c r="AN1553">
        <v>0</v>
      </c>
      <c r="AO1553">
        <v>0</v>
      </c>
      <c r="AP1553">
        <v>0</v>
      </c>
      <c r="AQ1553">
        <v>0</v>
      </c>
      <c r="AR1553">
        <v>0</v>
      </c>
      <c r="AS1553">
        <v>0</v>
      </c>
      <c r="AT1553">
        <v>0</v>
      </c>
      <c r="AU1553">
        <v>0</v>
      </c>
      <c r="AV1553">
        <v>0</v>
      </c>
      <c r="AW1553">
        <v>0</v>
      </c>
      <c r="AX1553" s="141">
        <f>COUNTIF(V1553:AW1553,"&lt;&gt;0")</f>
        <v>1</v>
      </c>
      <c r="AY1553" s="141">
        <f>COUNTIF(V1553:AL1553,"&lt;&gt;0")</f>
        <v>1</v>
      </c>
      <c r="AZ1553">
        <f>COUNTIF(V1553:AC1553,"&lt;&gt;0")</f>
        <v>0</v>
      </c>
      <c r="BA1553">
        <f>COUNTIF(AD1553:AI1553,"&lt;&gt;0")</f>
        <v>0</v>
      </c>
      <c r="BB1553">
        <f>COUNTIF(AJ1553:AL1553,"&lt;&gt;0")</f>
        <v>1</v>
      </c>
      <c r="BC1553">
        <f>COUNTIF(AS1553:AW1553,"&lt;&gt;0")</f>
        <v>0</v>
      </c>
      <c r="BD1553">
        <f>COUNTIF(AM1553:AR1553,"&lt;&gt;0")</f>
        <v>0</v>
      </c>
      <c r="BE1553" t="str" cm="1">
        <f t="array" ref="BE1553">IF(AY1553=1,INDEX($V$7:$AL$7,MATCH(TRUE,INDEX($V1553:$AW1553&lt;&gt;0,),0)),IF(AY1553=0,INDEX($AM$7:$AW$7,MATCH(1,$AM1553:$AW1553,0)),IF(BF1553="Multiple strategies","mixed drivers",IF(BF1553="Supply chain","multiple supply","multiple silviculture"))))</f>
        <v>technologies/design switch</v>
      </c>
      <c r="BF1553" s="2" t="str" cm="1">
        <f t="array" ref="BF1553">IF(COUNTIF(AZ1553:BB1553,"&lt;&gt;0")=1,INDEX($V$4:$AW$4,MATCH(TRUE,INDEX($V1553:$AW1553&lt;&gt;0,),0)),IF(COUNTIF(AZ1553:BB1553,"&lt;&gt;0")=0,INDEX($AM$4:$AW$4,MATCH(1,$AM1553:$AW1553,0)),"Multiple strategies"))</f>
        <v>Technology</v>
      </c>
      <c r="BG1553" s="142"/>
      <c r="BJ1553" s="143"/>
      <c r="BL1553" s="143"/>
      <c r="BM1553" s="143"/>
      <c r="BN1553" s="143"/>
      <c r="BO1553" s="143"/>
      <c r="BP1553" s="312" t="s">
        <v>232</v>
      </c>
      <c r="BQ1553" s="312"/>
      <c r="BR1553" t="s">
        <v>4208</v>
      </c>
      <c r="BS1553" s="143"/>
      <c r="BU1553" s="144"/>
      <c r="BV1553">
        <v>3.9E-2</v>
      </c>
      <c r="BX1553">
        <f>BV1553*1.75*10^9*C_to_CO2</f>
        <v>250477500</v>
      </c>
      <c r="BY1553" t="str">
        <f>IFERROR(BX1553/BO1553,"")</f>
        <v/>
      </c>
      <c r="BZ1553">
        <v>0</v>
      </c>
      <c r="CA1553">
        <v>0</v>
      </c>
      <c r="CB1553">
        <v>0</v>
      </c>
      <c r="CC1553">
        <v>0</v>
      </c>
      <c r="CD1553">
        <v>0</v>
      </c>
      <c r="CE1553">
        <v>0</v>
      </c>
      <c r="CF1553">
        <v>0</v>
      </c>
      <c r="CG1553">
        <v>0</v>
      </c>
      <c r="CH1553">
        <v>0</v>
      </c>
      <c r="CI1553">
        <v>0</v>
      </c>
      <c r="CJ1553">
        <v>0</v>
      </c>
      <c r="CK1553">
        <v>0</v>
      </c>
      <c r="CL1553">
        <v>0</v>
      </c>
      <c r="CM1553">
        <v>0</v>
      </c>
      <c r="CN1553" t="str">
        <f>IF(BL1553&lt;BK1553,"refNeedCorrection","refOK")</f>
        <v>refOK</v>
      </c>
      <c r="CO1553"/>
      <c r="CP1553"/>
      <c r="CQ1553"/>
      <c r="CR1553">
        <f>IF($CN1553="refOK",$BS1553,$BT1553)*IF($BP1553="Emissions positive",-1,1)</f>
        <v>0</v>
      </c>
      <c r="CS1553">
        <f>IF($CN1553="refOK",$BT1553,$BS1553)*IF($BP1553="Emissions positive",-1,1)</f>
        <v>0</v>
      </c>
      <c r="CT1553">
        <f>IF($CN1553="refNeedCorrection",-BX1553,BX1553)*IF($BP1553="Emissions positive",-1,1)</f>
        <v>250477500</v>
      </c>
      <c r="CU1553" t="str">
        <f>IFERROR(CT1553/CQ1553,"")</f>
        <v/>
      </c>
      <c r="CV1553" s="2" t="str">
        <f>IFERROR((CS1553-CR1553)/ABS(CR1553),"")</f>
        <v/>
      </c>
      <c r="CW1553" s="1" t="s">
        <v>1199</v>
      </c>
      <c r="CX1553" s="312" t="str">
        <f>IF(OR($CW1553="prd",$CW1553="std",$CW1553="cit"),"loc",IF(OR($CW1553="eur",$CW1553="reg",$CW1553="coy"),"reg",$CW1553))</f>
        <v>reg</v>
      </c>
      <c r="CY1553" t="s">
        <v>428</v>
      </c>
      <c r="CZ1553">
        <v>2020</v>
      </c>
      <c r="DA1553">
        <v>2100</v>
      </c>
      <c r="DB1553">
        <v>80</v>
      </c>
      <c r="DC1553" t="str">
        <f>IF(DB1553=0,"0",IF(AND(DB1553&gt;=1,DB1553&lt;=30),"1-30",IF(AND(DB1553&gt;30,DB1553&lt;=70),"31-70",IF(AND(DB1553&gt;70,DB1553&lt;=100),"71-100",IF(DB1553&gt;100,"+100")))))</f>
        <v>71-100</v>
      </c>
      <c r="DD1553">
        <v>0</v>
      </c>
      <c r="DE1553">
        <v>1</v>
      </c>
      <c r="DF1553">
        <v>0</v>
      </c>
      <c r="DG1553">
        <v>0</v>
      </c>
      <c r="DI1553">
        <f>SUM(DD1553:DG1553)</f>
        <v>1</v>
      </c>
      <c r="DJ1553" t="str">
        <f>IF(DI1553=1,INDEX($DD$7:$DG$7,MATCH(1,$DD1553:$DG1553,0)),"mixedProduct")</f>
        <v>EnergyInput</v>
      </c>
      <c r="DK1553">
        <f>IF(DD1553=1,DK$7,0)</f>
        <v>0</v>
      </c>
      <c r="DL1553" t="str">
        <f>IF(DE1553=1,DL$7,0)</f>
        <v>Energy</v>
      </c>
      <c r="DM1553">
        <f>IF(DF1553=1,DM$7,0)</f>
        <v>0</v>
      </c>
      <c r="DN1553">
        <f>IF(DG1553=1,DN$7,0)</f>
        <v>0</v>
      </c>
      <c r="DO1553">
        <v>1</v>
      </c>
      <c r="DP1553">
        <v>1</v>
      </c>
      <c r="DQ1553" t="s">
        <v>4209</v>
      </c>
      <c r="DR1553">
        <v>0</v>
      </c>
      <c r="DS1553" t="s">
        <v>4210</v>
      </c>
      <c r="DT1553">
        <f>SUM(DO1553:DP1553)</f>
        <v>2</v>
      </c>
      <c r="DU1553" s="143" t="str">
        <f>IF(DO1553=1,"self-calculated DF",IF(DP1553=1,"external DF used","explicit C balance"))</f>
        <v>self-calculated DF</v>
      </c>
      <c r="DV1553">
        <v>1</v>
      </c>
      <c r="DW1553">
        <v>1</v>
      </c>
      <c r="DX1553">
        <v>1</v>
      </c>
      <c r="DY1553">
        <v>0</v>
      </c>
      <c r="DZ1553">
        <v>1</v>
      </c>
      <c r="EA1553">
        <v>0</v>
      </c>
      <c r="EB1553">
        <v>1</v>
      </c>
      <c r="EC1553">
        <v>1</v>
      </c>
      <c r="ED1553">
        <v>0</v>
      </c>
      <c r="EE1553">
        <v>1</v>
      </c>
      <c r="EF1553">
        <v>1</v>
      </c>
      <c r="EG1553">
        <v>1</v>
      </c>
      <c r="EH1553">
        <v>0</v>
      </c>
      <c r="EI1553" s="2">
        <v>0</v>
      </c>
      <c r="EK1553" t="str">
        <f>IF(AND(AND(AND(OR($DX1553=1,$DW1553=1),OR($EC1553=1,$EA1553=1)),SUM($DV1553:$DZ1553,$EF1553)&gt;=3),SUM($EA1553:$EE1553)&gt;=2),"Whole sector","")</f>
        <v>Whole sector</v>
      </c>
      <c r="EL1553" t="str">
        <f>IF(AND(AND(OR($DX1553=1,$DW1553=1),AND($EC1553=0,$EA1553=0)),SUM($DV1553:$DZ1553,$EF1553)&gt;=3),"Ecosystem approach","")</f>
        <v/>
      </c>
      <c r="EM1553" s="2" t="str">
        <f>IF(AND(AND(AND($DX1553=0,$DW1553=0),OR($EC1553=1,$EA1553=1)),SUM($EB1553:$EE1553)&gt;=2),"Technology approach","")</f>
        <v/>
      </c>
      <c r="EP1553" t="b">
        <f>IF(ISNUMBER(BU1553),IF(ABS(BU1553-[5]QC_indicators!$B$2)&gt;3*[5]QC_indicators!$C$2,"C ratio",IF(ISNUMBER(BY1553),IF(ABS(BY1553-[5]QC_indicators!$B$1)&gt;3*[5]QC_indicators!$C$1,"DF","no"))),IF(ISNUMBER(BY1553),IF(ABS(BY1553-[5]QC_indicators!$B$1)&gt;3*[5]QC_indicators!$C$1,"DF","no")))</f>
        <v>0</v>
      </c>
      <c r="ER1553" s="314" t="s">
        <v>349</v>
      </c>
    </row>
    <row r="1554" spans="1:148" ht="18" customHeight="1">
      <c r="A1554" s="1" t="s">
        <v>4221</v>
      </c>
      <c r="B1554" t="s">
        <v>4222</v>
      </c>
      <c r="C1554" t="s">
        <v>4223</v>
      </c>
      <c r="D1554" t="s">
        <v>4224</v>
      </c>
      <c r="E1554" t="s">
        <v>4225</v>
      </c>
      <c r="F1554" t="s">
        <v>4226</v>
      </c>
      <c r="G1554" t="s">
        <v>4227</v>
      </c>
      <c r="H1554" t="s">
        <v>254</v>
      </c>
      <c r="I1554">
        <v>2022</v>
      </c>
      <c r="J1554">
        <v>0</v>
      </c>
      <c r="K1554" t="s">
        <v>4228</v>
      </c>
      <c r="M1554" t="str">
        <f>LEFT($D1554,FIND(",",$D1554)-1)&amp;"_"&amp;I1554&amp;L1554</f>
        <v>Szalay_2022</v>
      </c>
      <c r="N1554" s="312" t="s">
        <v>4383</v>
      </c>
      <c r="O1554" s="161" t="s">
        <v>223</v>
      </c>
      <c r="Q1554" s="312" t="s">
        <v>389</v>
      </c>
      <c r="R1554" s="313"/>
      <c r="S1554" s="319" t="s">
        <v>257</v>
      </c>
      <c r="T1554" s="312" t="s">
        <v>4229</v>
      </c>
      <c r="U1554" s="312" t="s">
        <v>4230</v>
      </c>
      <c r="V1554">
        <v>0</v>
      </c>
      <c r="W1554">
        <v>0</v>
      </c>
      <c r="X1554">
        <v>0</v>
      </c>
      <c r="Y1554">
        <v>0</v>
      </c>
      <c r="Z1554">
        <v>0</v>
      </c>
      <c r="AA1554">
        <v>0</v>
      </c>
      <c r="AB1554">
        <v>0</v>
      </c>
      <c r="AC1554">
        <v>0</v>
      </c>
      <c r="AD1554">
        <v>0</v>
      </c>
      <c r="AE1554">
        <v>0</v>
      </c>
      <c r="AF1554">
        <v>0</v>
      </c>
      <c r="AG1554">
        <v>0</v>
      </c>
      <c r="AH1554">
        <v>0</v>
      </c>
      <c r="AI1554">
        <v>0</v>
      </c>
      <c r="AJ1554">
        <v>0</v>
      </c>
      <c r="AK1554">
        <v>1</v>
      </c>
      <c r="AL1554">
        <v>0</v>
      </c>
      <c r="AM1554">
        <v>0</v>
      </c>
      <c r="AN1554">
        <v>0</v>
      </c>
      <c r="AO1554">
        <v>0</v>
      </c>
      <c r="AP1554">
        <v>0</v>
      </c>
      <c r="AQ1554">
        <v>0</v>
      </c>
      <c r="AR1554">
        <v>0</v>
      </c>
      <c r="AS1554">
        <v>0</v>
      </c>
      <c r="AT1554">
        <v>0</v>
      </c>
      <c r="AU1554">
        <v>0</v>
      </c>
      <c r="AV1554">
        <v>0</v>
      </c>
      <c r="AW1554">
        <v>0</v>
      </c>
      <c r="AX1554" s="141">
        <f>COUNTIF(V1554:AW1554,"&lt;&gt;0")</f>
        <v>1</v>
      </c>
      <c r="AY1554" s="141">
        <f>COUNTIF(V1554:AL1554,"&lt;&gt;0")</f>
        <v>1</v>
      </c>
      <c r="AZ1554">
        <f>COUNTIF(V1554:AC1554,"&lt;&gt;0")</f>
        <v>0</v>
      </c>
      <c r="BA1554">
        <f>COUNTIF(AD1554:AI1554,"&lt;&gt;0")</f>
        <v>0</v>
      </c>
      <c r="BB1554">
        <f>COUNTIF(AJ1554:AL1554,"&lt;&gt;0")</f>
        <v>1</v>
      </c>
      <c r="BC1554">
        <f>COUNTIF(AS1554:AW1554,"&lt;&gt;0")</f>
        <v>0</v>
      </c>
      <c r="BD1554">
        <f>COUNTIF(AM1554:AR1554,"&lt;&gt;0")</f>
        <v>0</v>
      </c>
      <c r="BE1554" t="str" cm="1">
        <f t="array" ref="BE1554">IF(AY1554=1,INDEX($V$7:$AL$7,MATCH(TRUE,INDEX($V1554:$AW1554&lt;&gt;0,),0)),IF(AY1554=0,INDEX($AM$7:$AW$7,MATCH(1,$AM1554:$AW1554,0)),IF(BF1554="Multiple strategies","mixed drivers",IF(BF1554="Supply chain","multiple supply","multiple silviculture"))))</f>
        <v>technologies/design switch</v>
      </c>
      <c r="BF1554" s="2" t="str" cm="1">
        <f t="array" ref="BF1554">IF(COUNTIF(AZ1554:BB1554,"&lt;&gt;0")=1,INDEX($V$4:$AW$4,MATCH(TRUE,INDEX($V1554:$AW1554&lt;&gt;0,),0)),IF(COUNTIF(AZ1554:BB1554,"&lt;&gt;0")=0,INDEX($AM$4:$AW$4,MATCH(1,$AM1554:$AW1554,0)),"Multiple strategies"))</f>
        <v>Technology</v>
      </c>
      <c r="BP1554" s="312" t="s">
        <v>395</v>
      </c>
      <c r="BQ1554" s="312" t="s">
        <v>3684</v>
      </c>
      <c r="BR1554" s="312" t="s">
        <v>397</v>
      </c>
      <c r="BS1554">
        <v>11941</v>
      </c>
      <c r="BT1554">
        <v>-14882</v>
      </c>
      <c r="BY1554" t="str">
        <f>IFERROR(BX1554/BO1554,"")</f>
        <v/>
      </c>
      <c r="BZ1554">
        <v>0</v>
      </c>
      <c r="CA1554">
        <v>0</v>
      </c>
      <c r="CB1554">
        <v>0</v>
      </c>
      <c r="CC1554">
        <v>0</v>
      </c>
      <c r="CD1554">
        <v>0</v>
      </c>
      <c r="CE1554">
        <v>0</v>
      </c>
      <c r="CF1554">
        <v>0</v>
      </c>
      <c r="CG1554">
        <v>0</v>
      </c>
      <c r="CH1554">
        <v>0</v>
      </c>
      <c r="CI1554">
        <v>0</v>
      </c>
      <c r="CJ1554">
        <v>0</v>
      </c>
      <c r="CK1554">
        <v>0</v>
      </c>
      <c r="CL1554">
        <v>0</v>
      </c>
      <c r="CM1554">
        <v>0</v>
      </c>
      <c r="CN1554" t="str">
        <f>IF($BL1554&lt;$BK1554,"refNeedCorrection","refOK")</f>
        <v>refOK</v>
      </c>
      <c r="CO1554">
        <f>IF($CN1554="refOK",$BK1554,$BL1554)</f>
        <v>0</v>
      </c>
      <c r="CP1554">
        <f>IF($CN1554="refOK",$BL1554,$BK1554)</f>
        <v>0</v>
      </c>
      <c r="CQ1554">
        <f>IF($CN1554="refOK",$BO1554,-$BO1554)</f>
        <v>0</v>
      </c>
      <c r="CR1554">
        <f>IF($CN1554="refOK",$BS1554,$BT1554)*IF($BP1554="Emissions positive",-1,1)</f>
        <v>-11941</v>
      </c>
      <c r="CS1554">
        <f>IF($CN1554="refOK",$BT1554,$BS1554)*IF($BP1554="Emissions positive",-1,1)</f>
        <v>14882</v>
      </c>
      <c r="CT1554">
        <f>IF($CN1554="refNeedCorrection",-BX1554,BX1554)*IF($BP1554="Emissions positive",-1,1)</f>
        <v>0</v>
      </c>
      <c r="CU1554" t="str">
        <f>IFERROR(CT1554/CQ1554,"")</f>
        <v/>
      </c>
      <c r="CV1554" s="2">
        <f>IFERROR((CS1554-CR1554)/ABS(CR1554),"")</f>
        <v>2.2462942802110377</v>
      </c>
      <c r="CW1554" s="319" t="s">
        <v>263</v>
      </c>
      <c r="CX1554" s="312" t="str">
        <f>IF(OR($CW1554="prd",$CW1554="std",$CW1554="cit"),"loc",IF(OR($CW1554="eur",$CW1554="reg",$CW1554="coy"),"reg",$CW1554))</f>
        <v>loc</v>
      </c>
      <c r="CY1554" s="312" t="s">
        <v>4231</v>
      </c>
      <c r="DB1554">
        <v>0</v>
      </c>
      <c r="DC1554" t="str">
        <f>IF(DB1554=0,"0",IF(AND(DB1554&gt;=1,DB1554&lt;=30),"1-30",IF(AND(DB1554&gt;30,DB1554&lt;=70),"31-70",IF(AND(DB1554&gt;70,DB1554&lt;=100),"71-100",IF(DB1554&gt;100,"+100")))))</f>
        <v>0</v>
      </c>
      <c r="DD1554">
        <v>0</v>
      </c>
      <c r="DE1554">
        <v>0</v>
      </c>
      <c r="DF1554">
        <v>0</v>
      </c>
      <c r="DG1554">
        <v>1</v>
      </c>
      <c r="DH1554">
        <v>0</v>
      </c>
      <c r="DI1554">
        <f>SUM(DD1554:DG1554)</f>
        <v>1</v>
      </c>
      <c r="DJ1554" t="str">
        <f>IF(DI1554=1,INDEX($DD$7:$DG$7,MATCH(1,$DD1554:$DG1554,0)),"mixedProduct")</f>
        <v>TimberInput</v>
      </c>
      <c r="DK1554">
        <f>IF(DD1554=1,DK$7,0)</f>
        <v>0</v>
      </c>
      <c r="DL1554">
        <f>IF(DE1554=1,DL$7,0)</f>
        <v>0</v>
      </c>
      <c r="DM1554">
        <f>IF(DF1554=1,DM$7,0)</f>
        <v>0</v>
      </c>
      <c r="DN1554" t="str">
        <f>IF(DG1554=1,DN$7,0)</f>
        <v>Timber</v>
      </c>
      <c r="DO1554">
        <v>0</v>
      </c>
      <c r="DP1554">
        <v>0</v>
      </c>
      <c r="DQ1554">
        <v>0</v>
      </c>
      <c r="DR1554">
        <v>0</v>
      </c>
      <c r="DS1554">
        <v>0</v>
      </c>
      <c r="DT1554">
        <f>SUM(DO1554:DP1554)</f>
        <v>0</v>
      </c>
      <c r="DU1554" s="143" t="str">
        <f>IF(DO1554=1,"self-calculated DF",IF(DP1554=1,"external DF used","explicit C balance"))</f>
        <v>explicit C balance</v>
      </c>
      <c r="DV1554">
        <v>0</v>
      </c>
      <c r="DW1554">
        <v>0</v>
      </c>
      <c r="DX1554">
        <v>0</v>
      </c>
      <c r="DY1554">
        <v>0</v>
      </c>
      <c r="DZ1554">
        <v>0</v>
      </c>
      <c r="EA1554">
        <v>1</v>
      </c>
      <c r="EB1554">
        <v>1</v>
      </c>
      <c r="EC1554">
        <v>1</v>
      </c>
      <c r="ED1554">
        <v>1</v>
      </c>
      <c r="EE1554">
        <v>1</v>
      </c>
      <c r="EF1554">
        <v>0</v>
      </c>
      <c r="EG1554">
        <v>0</v>
      </c>
      <c r="EH1554">
        <v>0</v>
      </c>
      <c r="EI1554" s="2">
        <v>0</v>
      </c>
      <c r="EK1554" t="str">
        <f>IF(AND(AND(AND(OR($DX1554=1,$DW1554=1),OR($EC1554=1,$EA1554=1)),SUM($DV1554:$DZ1554,$EF1554)&gt;=3),SUM($EA1554:$EE1554)&gt;=2),"Whole sector","")</f>
        <v/>
      </c>
      <c r="EL1554" t="str">
        <f>IF(AND(AND(OR($DX1554=1,$DW1554=1),AND($EC1554=0,$EA1554=0)),SUM($DV1554:$DZ1554,$EF1554)&gt;=3),"Ecosystem approach","")</f>
        <v/>
      </c>
      <c r="EM1554" s="2" t="str">
        <f>IF(AND(AND(AND($DX1554=0,$DW1554=0),OR($EC1554=1,$EA1554=1)),SUM($EB1554:$EE1554)&gt;=2),"Technology approach","")</f>
        <v>Technology approach</v>
      </c>
      <c r="EP1554" t="b">
        <f>IF(ISNUMBER(BU1554),IF(ABS(BU1554-[5]QC_indicators!$B$2)&gt;3*[5]QC_indicators!$C$2,"C ratio",IF(ISNUMBER(BY1554),IF(ABS(BY1554-[5]QC_indicators!$B$1)&gt;3*[5]QC_indicators!$C$1,"DF","no"))),IF(ISNUMBER(BY1554),IF(ABS(BY1554-[5]QC_indicators!$B$1)&gt;3*[5]QC_indicators!$C$1,"DF","no")))</f>
        <v>0</v>
      </c>
    </row>
    <row r="1555" spans="1:148" ht="18" customHeight="1">
      <c r="A1555" s="1" t="s">
        <v>4232</v>
      </c>
      <c r="B1555" t="s">
        <v>4233</v>
      </c>
      <c r="C1555" t="s">
        <v>4234</v>
      </c>
      <c r="D1555" t="s">
        <v>4235</v>
      </c>
      <c r="E1555" t="s">
        <v>4236</v>
      </c>
      <c r="F1555" t="s">
        <v>4237</v>
      </c>
      <c r="G1555" t="s">
        <v>544</v>
      </c>
      <c r="H1555" t="s">
        <v>3965</v>
      </c>
      <c r="I1555">
        <v>2017</v>
      </c>
      <c r="J1555">
        <v>12</v>
      </c>
      <c r="K1555" t="s">
        <v>4238</v>
      </c>
      <c r="M1555" t="str">
        <f>LEFT($D1555,FIND(",",$D1555)-1)&amp;"_"&amp;I1555&amp;L1555</f>
        <v>Teh_2017</v>
      </c>
      <c r="N1555" s="312" t="s">
        <v>4383</v>
      </c>
      <c r="O1555" s="145" t="s">
        <v>1154</v>
      </c>
      <c r="Q1555" s="312" t="s">
        <v>256</v>
      </c>
      <c r="R1555" s="313"/>
      <c r="S1555" s="1" t="s">
        <v>4239</v>
      </c>
      <c r="T1555" t="s">
        <v>1111</v>
      </c>
      <c r="U1555" t="s">
        <v>4240</v>
      </c>
      <c r="V1555">
        <v>0</v>
      </c>
      <c r="W1555">
        <v>0</v>
      </c>
      <c r="X1555">
        <v>0</v>
      </c>
      <c r="Y1555">
        <v>0</v>
      </c>
      <c r="Z1555">
        <v>0</v>
      </c>
      <c r="AA1555">
        <v>0</v>
      </c>
      <c r="AB1555">
        <v>0</v>
      </c>
      <c r="AC1555">
        <v>0</v>
      </c>
      <c r="AD1555">
        <v>0</v>
      </c>
      <c r="AE1555">
        <v>0</v>
      </c>
      <c r="AF1555">
        <v>0</v>
      </c>
      <c r="AG1555">
        <v>0</v>
      </c>
      <c r="AH1555">
        <v>0</v>
      </c>
      <c r="AI1555">
        <v>0</v>
      </c>
      <c r="AJ1555">
        <v>0</v>
      </c>
      <c r="AK1555">
        <v>1</v>
      </c>
      <c r="AL1555">
        <v>0</v>
      </c>
      <c r="AM1555">
        <v>0</v>
      </c>
      <c r="AN1555">
        <v>0</v>
      </c>
      <c r="AO1555">
        <v>0</v>
      </c>
      <c r="AP1555">
        <v>0</v>
      </c>
      <c r="AQ1555">
        <v>0</v>
      </c>
      <c r="AR1555">
        <v>0</v>
      </c>
      <c r="AS1555">
        <v>0</v>
      </c>
      <c r="AT1555">
        <v>0</v>
      </c>
      <c r="AU1555">
        <v>0</v>
      </c>
      <c r="AV1555">
        <v>0</v>
      </c>
      <c r="AW1555">
        <v>0</v>
      </c>
      <c r="AX1555" s="141">
        <f>COUNTIF(V1555:AW1555,"&lt;&gt;0")</f>
        <v>1</v>
      </c>
      <c r="AY1555" s="141">
        <f>COUNTIF(V1555:AL1555,"&lt;&gt;0")</f>
        <v>1</v>
      </c>
      <c r="AZ1555">
        <f>COUNTIF(V1555:AC1555,"&lt;&gt;0")</f>
        <v>0</v>
      </c>
      <c r="BA1555">
        <f>COUNTIF(AD1555:AI1555,"&lt;&gt;0")</f>
        <v>0</v>
      </c>
      <c r="BB1555">
        <f>COUNTIF(AJ1555:AL1555,"&lt;&gt;0")</f>
        <v>1</v>
      </c>
      <c r="BC1555">
        <f>COUNTIF(AS1555:AW1555,"&lt;&gt;0")</f>
        <v>0</v>
      </c>
      <c r="BD1555">
        <f>COUNTIF(AM1555:AR1555,"&lt;&gt;0")</f>
        <v>0</v>
      </c>
      <c r="BE1555" t="str" cm="1">
        <f t="array" ref="BE1555">IF(AY1555=1,INDEX($V$7:$AL$7,MATCH(TRUE,INDEX($V1555:$AW1555&lt;&gt;0,),0)),IF(AY1555=0,INDEX($AM$7:$AW$7,MATCH(1,$AM1555:$AW1555,0)),IF(BF1555="Multiple strategies","mixed drivers",IF(BF1555="Supply chain","multiple supply","multiple silviculture"))))</f>
        <v>technologies/design switch</v>
      </c>
      <c r="BF1555" s="2" t="str" cm="1">
        <f t="array" ref="BF1555">IF(COUNTIF(AZ1555:BB1555,"&lt;&gt;0")=1,INDEX($V$4:$AW$4,MATCH(TRUE,INDEX($V1555:$AW1555&lt;&gt;0,),0)),IF(COUNTIF(AZ1555:BB1555,"&lt;&gt;0")=0,INDEX($AM$4:$AW$4,MATCH(1,$AM1555:$AW1555,0)),"Multiple strategies"))</f>
        <v>Technology</v>
      </c>
      <c r="BH1555" t="s">
        <v>4241</v>
      </c>
      <c r="BP1555" t="s">
        <v>232</v>
      </c>
      <c r="BR1555" t="s">
        <v>2325</v>
      </c>
      <c r="BS1555">
        <v>-65.3101736972704</v>
      </c>
      <c r="BT1555">
        <v>53.796526054590501</v>
      </c>
      <c r="BU1555" s="144">
        <f>IFERROR(BT1555/BS1555,"")</f>
        <v>-0.8237082066869299</v>
      </c>
      <c r="BV1555" s="144">
        <f>BT1555-BS1555</f>
        <v>119.1066997518609</v>
      </c>
      <c r="BW1555" s="144"/>
      <c r="BX1555">
        <f>BV1555*10^6</f>
        <v>119106699.7518609</v>
      </c>
      <c r="BY1555" t="str">
        <f>IFERROR(BX1555/BO1555,"")</f>
        <v/>
      </c>
      <c r="BZ1555">
        <v>0</v>
      </c>
      <c r="CA1555">
        <v>0</v>
      </c>
      <c r="CB1555">
        <v>0</v>
      </c>
      <c r="CC1555">
        <v>0</v>
      </c>
      <c r="CD1555">
        <v>0</v>
      </c>
      <c r="CE1555">
        <v>0</v>
      </c>
      <c r="CF1555">
        <v>0</v>
      </c>
      <c r="CG1555">
        <v>0</v>
      </c>
      <c r="CH1555">
        <v>0</v>
      </c>
      <c r="CI1555">
        <v>0</v>
      </c>
      <c r="CJ1555">
        <v>0</v>
      </c>
      <c r="CK1555">
        <v>0</v>
      </c>
      <c r="CL1555">
        <v>0</v>
      </c>
      <c r="CM1555">
        <v>0</v>
      </c>
      <c r="CN1555" t="str">
        <f>IF(BL1555&lt;BK1555,"refNeedCorrection","refOK")</f>
        <v>refOK</v>
      </c>
      <c r="CO1555"/>
      <c r="CP1555"/>
      <c r="CQ1555"/>
      <c r="CR1555">
        <f>IF($CN1555="refOK",$BS1555,$BT1555)*IF($BP1555="Emissions positive",-1,1)</f>
        <v>-65.3101736972704</v>
      </c>
      <c r="CS1555">
        <f>IF($CN1555="refOK",$BT1555,$BS1555)*IF($BP1555="Emissions positive",-1,1)</f>
        <v>53.796526054590501</v>
      </c>
      <c r="CT1555">
        <f>IF($CN1555="refNeedCorrection",-BX1555,BX1555)*IF($BP1555="Emissions positive",-1,1)</f>
        <v>119106699.7518609</v>
      </c>
      <c r="CU1555" t="str">
        <f>IFERROR(CT1555/CQ1555,"")</f>
        <v/>
      </c>
      <c r="CV1555" s="2">
        <f>IFERROR((CS1555-CR1555)/ABS(CR1555),"")</f>
        <v>1.8237082066869299</v>
      </c>
      <c r="CW1555" s="1" t="s">
        <v>1203</v>
      </c>
      <c r="CX1555" s="312" t="str">
        <f>IF(OR($CW1555="prd",$CW1555="std",$CW1555="cit"),"loc",IF(OR($CW1555="eur",$CW1555="reg",$CW1555="coy"),"reg",$CW1555))</f>
        <v>reg</v>
      </c>
      <c r="CY1555" t="s">
        <v>574</v>
      </c>
      <c r="CZ1555">
        <v>2050</v>
      </c>
      <c r="DA1555">
        <v>2050</v>
      </c>
      <c r="DB1555">
        <f>DA1555-CZ1555</f>
        <v>0</v>
      </c>
      <c r="DC1555" t="str">
        <f>IF(DB1555=0,"0",IF(AND(DB1555&gt;=1,DB1555&lt;=30),"1-30",IF(AND(DB1555&gt;30,DB1555&lt;=70),"31-70",IF(AND(DB1555&gt;70,DB1555&lt;=100),"71-100",IF(DB1555&gt;100,"+100")))))</f>
        <v>0</v>
      </c>
      <c r="DD1555">
        <v>0</v>
      </c>
      <c r="DE1555">
        <v>0</v>
      </c>
      <c r="DF1555">
        <v>0</v>
      </c>
      <c r="DG1555">
        <v>1</v>
      </c>
      <c r="DI1555">
        <f>SUM(DD1555:DG1555)</f>
        <v>1</v>
      </c>
      <c r="DJ1555" t="str">
        <f>IF(DI1555=1,INDEX($DD$7:$DG$7,MATCH(1,$DD1555:$DG1555,0)),"mixedProduct")</f>
        <v>TimberInput</v>
      </c>
      <c r="DK1555">
        <f>IF(DD1555=1,DK$7,0)</f>
        <v>0</v>
      </c>
      <c r="DL1555">
        <f>IF(DE1555=1,DL$7,0)</f>
        <v>0</v>
      </c>
      <c r="DM1555">
        <f>IF(DF1555=1,DM$7,0)</f>
        <v>0</v>
      </c>
      <c r="DN1555" t="str">
        <f>IF(DG1555=1,DN$7,0)</f>
        <v>Timber</v>
      </c>
      <c r="DO1555">
        <v>0</v>
      </c>
      <c r="DP1555">
        <v>0</v>
      </c>
      <c r="DQ1555">
        <v>0</v>
      </c>
      <c r="DR1555">
        <v>0</v>
      </c>
      <c r="DS1555">
        <v>0</v>
      </c>
      <c r="DT1555">
        <f>SUM(DO1555:DP1555)</f>
        <v>0</v>
      </c>
      <c r="DU1555" s="143" t="str">
        <f>IF(DO1555=1,"self-calculated DF",IF(DP1555=1,"external DF used","explicit C balance"))</f>
        <v>explicit C balance</v>
      </c>
      <c r="DV1555">
        <v>0</v>
      </c>
      <c r="DW1555">
        <v>0</v>
      </c>
      <c r="DX1555">
        <v>0</v>
      </c>
      <c r="DY1555">
        <v>1</v>
      </c>
      <c r="DZ1555">
        <v>0</v>
      </c>
      <c r="EA1555" s="143">
        <v>0</v>
      </c>
      <c r="EB1555">
        <v>1</v>
      </c>
      <c r="EC1555">
        <v>1</v>
      </c>
      <c r="ED1555">
        <v>0</v>
      </c>
      <c r="EE1555">
        <v>0</v>
      </c>
      <c r="EF1555">
        <v>0</v>
      </c>
      <c r="EG1555">
        <v>1</v>
      </c>
      <c r="EH1555">
        <v>0</v>
      </c>
      <c r="EI1555" s="2">
        <v>0</v>
      </c>
      <c r="EK1555" t="str">
        <f>IF(AND(AND(AND(OR($DX1555=1,$DW1555=1),OR($EC1555=1,$EA1555=1)),SUM($DV1555:$DZ1555,$EF1555)&gt;=3),SUM($EA1555:$EE1555)&gt;=2),"Whole sector","")</f>
        <v/>
      </c>
      <c r="EL1555" t="str">
        <f>IF(AND(AND(OR($DX1555=1,$DW1555=1),AND($EC1555=0,$EA1555=0)),SUM($DV1555:$DZ1555,$EF1555)&gt;=3),"Ecosystem approach","")</f>
        <v/>
      </c>
      <c r="EM1555" s="2" t="str">
        <f>IF(AND(AND(AND($DX1555=0,$DW1555=0),OR($EC1555=1,$EA1555=1)),SUM($EB1555:$EE1555)&gt;=2),"Technology approach","")</f>
        <v>Technology approach</v>
      </c>
      <c r="EN1555" t="s">
        <v>4242</v>
      </c>
      <c r="EP1555" t="b">
        <f>IF(ISNUMBER(BU1555),IF(ABS(BU1555-[5]QC_indicators!$B$2)&gt;3*[5]QC_indicators!$C$2,"C ratio",IF(ISNUMBER(BY1555),IF(ABS(BY1555-[5]QC_indicators!$B$1)&gt;3*[5]QC_indicators!$C$1,"DF","no"))),IF(ISNUMBER(BY1555),IF(ABS(BY1555-[5]QC_indicators!$B$1)&gt;3*[5]QC_indicators!$C$1,"DF","no")))</f>
        <v>0</v>
      </c>
    </row>
    <row r="1556" spans="1:148" ht="18" customHeight="1">
      <c r="A1556" s="1" t="s">
        <v>4232</v>
      </c>
      <c r="B1556" t="s">
        <v>4233</v>
      </c>
      <c r="C1556" t="s">
        <v>4234</v>
      </c>
      <c r="D1556" t="s">
        <v>4235</v>
      </c>
      <c r="E1556" t="s">
        <v>4236</v>
      </c>
      <c r="F1556" t="s">
        <v>4237</v>
      </c>
      <c r="G1556" t="s">
        <v>544</v>
      </c>
      <c r="H1556" t="s">
        <v>3965</v>
      </c>
      <c r="I1556">
        <v>2017</v>
      </c>
      <c r="J1556">
        <v>12</v>
      </c>
      <c r="K1556" t="s">
        <v>4238</v>
      </c>
      <c r="M1556" t="str">
        <f>LEFT($D1556,FIND(",",$D1556)-1)&amp;"_"&amp;I1556&amp;L1556</f>
        <v>Teh_2017</v>
      </c>
      <c r="N1556" s="312" t="s">
        <v>4383</v>
      </c>
      <c r="O1556" s="145" t="s">
        <v>1154</v>
      </c>
      <c r="Q1556" s="312" t="s">
        <v>256</v>
      </c>
      <c r="R1556" s="313"/>
      <c r="S1556" s="1" t="s">
        <v>4243</v>
      </c>
      <c r="T1556" t="s">
        <v>1111</v>
      </c>
      <c r="U1556" t="s">
        <v>4240</v>
      </c>
      <c r="V1556">
        <v>0</v>
      </c>
      <c r="W1556">
        <v>0</v>
      </c>
      <c r="X1556">
        <v>0</v>
      </c>
      <c r="Y1556">
        <v>0</v>
      </c>
      <c r="Z1556">
        <v>0</v>
      </c>
      <c r="AA1556">
        <v>0</v>
      </c>
      <c r="AB1556">
        <v>0</v>
      </c>
      <c r="AC1556">
        <v>0</v>
      </c>
      <c r="AD1556">
        <v>0</v>
      </c>
      <c r="AE1556">
        <v>0</v>
      </c>
      <c r="AF1556">
        <v>0</v>
      </c>
      <c r="AG1556">
        <v>0</v>
      </c>
      <c r="AH1556">
        <v>0</v>
      </c>
      <c r="AI1556">
        <v>0</v>
      </c>
      <c r="AJ1556">
        <v>0</v>
      </c>
      <c r="AK1556">
        <v>1</v>
      </c>
      <c r="AL1556">
        <v>0</v>
      </c>
      <c r="AM1556">
        <v>0</v>
      </c>
      <c r="AN1556">
        <v>0</v>
      </c>
      <c r="AO1556">
        <v>0</v>
      </c>
      <c r="AP1556">
        <v>0</v>
      </c>
      <c r="AQ1556">
        <v>0</v>
      </c>
      <c r="AR1556">
        <v>0</v>
      </c>
      <c r="AS1556">
        <v>0</v>
      </c>
      <c r="AT1556">
        <v>0</v>
      </c>
      <c r="AU1556">
        <v>0</v>
      </c>
      <c r="AV1556">
        <v>0</v>
      </c>
      <c r="AW1556">
        <v>0</v>
      </c>
      <c r="AX1556" s="141">
        <f>COUNTIF(V1556:AW1556,"&lt;&gt;0")</f>
        <v>1</v>
      </c>
      <c r="AY1556" s="141">
        <f>COUNTIF(V1556:AL1556,"&lt;&gt;0")</f>
        <v>1</v>
      </c>
      <c r="AZ1556">
        <f>COUNTIF(V1556:AC1556,"&lt;&gt;0")</f>
        <v>0</v>
      </c>
      <c r="BA1556">
        <f>COUNTIF(AD1556:AI1556,"&lt;&gt;0")</f>
        <v>0</v>
      </c>
      <c r="BB1556">
        <f>COUNTIF(AJ1556:AL1556,"&lt;&gt;0")</f>
        <v>1</v>
      </c>
      <c r="BC1556">
        <f>COUNTIF(AS1556:AW1556,"&lt;&gt;0")</f>
        <v>0</v>
      </c>
      <c r="BD1556">
        <f>COUNTIF(AM1556:AR1556,"&lt;&gt;0")</f>
        <v>0</v>
      </c>
      <c r="BE1556" t="str" cm="1">
        <f t="array" ref="BE1556">IF(AY1556=1,INDEX($V$7:$AL$7,MATCH(TRUE,INDEX($V1556:$AW1556&lt;&gt;0,),0)),IF(AY1556=0,INDEX($AM$7:$AW$7,MATCH(1,$AM1556:$AW1556,0)),IF(BF1556="Multiple strategies","mixed drivers",IF(BF1556="Supply chain","multiple supply","multiple silviculture"))))</f>
        <v>technologies/design switch</v>
      </c>
      <c r="BF1556" s="2" t="str" cm="1">
        <f t="array" ref="BF1556">IF(COUNTIF(AZ1556:BB1556,"&lt;&gt;0")=1,INDEX($V$4:$AW$4,MATCH(TRUE,INDEX($V1556:$AW1556&lt;&gt;0,),0)),IF(COUNTIF(AZ1556:BB1556,"&lt;&gt;0")=0,INDEX($AM$4:$AW$4,MATCH(1,$AM1556:$AW1556,0)),"Multiple strategies"))</f>
        <v>Technology</v>
      </c>
      <c r="BH1556" t="s">
        <v>4241</v>
      </c>
      <c r="BP1556" t="s">
        <v>232</v>
      </c>
      <c r="BR1556" t="s">
        <v>2325</v>
      </c>
      <c r="BS1556">
        <v>-803.28358208955206</v>
      </c>
      <c r="BT1556">
        <v>-303.58208955223802</v>
      </c>
      <c r="BU1556" s="144">
        <f>IFERROR(BT1556/BS1556,"")</f>
        <v>0.37792642140468136</v>
      </c>
      <c r="BV1556" s="144">
        <f>BT1556-BS1556</f>
        <v>499.70149253731404</v>
      </c>
      <c r="BW1556" s="144"/>
      <c r="BX1556">
        <f>BV1556*10^6</f>
        <v>499701492.53731406</v>
      </c>
      <c r="BY1556" t="str">
        <f>IFERROR(BX1556/BO1556,"")</f>
        <v/>
      </c>
      <c r="BZ1556">
        <v>0</v>
      </c>
      <c r="CA1556">
        <v>0</v>
      </c>
      <c r="CB1556">
        <v>0</v>
      </c>
      <c r="CC1556">
        <v>0</v>
      </c>
      <c r="CD1556">
        <v>0</v>
      </c>
      <c r="CE1556">
        <v>0</v>
      </c>
      <c r="CF1556">
        <v>0</v>
      </c>
      <c r="CG1556">
        <v>0</v>
      </c>
      <c r="CH1556">
        <v>0</v>
      </c>
      <c r="CI1556">
        <v>0</v>
      </c>
      <c r="CJ1556">
        <v>0</v>
      </c>
      <c r="CK1556">
        <v>0</v>
      </c>
      <c r="CL1556">
        <v>0</v>
      </c>
      <c r="CM1556">
        <v>0</v>
      </c>
      <c r="CN1556" t="str">
        <f>IF(BL1556&lt;BK1556,"refNeedCorrection","refOK")</f>
        <v>refOK</v>
      </c>
      <c r="CO1556"/>
      <c r="CP1556"/>
      <c r="CQ1556"/>
      <c r="CR1556">
        <f>IF($CN1556="refOK",$BS1556,$BT1556)*IF($BP1556="Emissions positive",-1,1)</f>
        <v>-803.28358208955206</v>
      </c>
      <c r="CS1556">
        <f>IF($CN1556="refOK",$BT1556,$BS1556)*IF($BP1556="Emissions positive",-1,1)</f>
        <v>-303.58208955223802</v>
      </c>
      <c r="CT1556">
        <f>IF($CN1556="refNeedCorrection",-BX1556,BX1556)*IF($BP1556="Emissions positive",-1,1)</f>
        <v>499701492.53731406</v>
      </c>
      <c r="CU1556" t="str">
        <f>IFERROR(CT1556/CQ1556,"")</f>
        <v/>
      </c>
      <c r="CV1556" s="2">
        <f>IFERROR((CS1556-CR1556)/ABS(CR1556),"")</f>
        <v>0.62207357859531864</v>
      </c>
      <c r="CW1556" s="1" t="s">
        <v>1203</v>
      </c>
      <c r="CX1556" s="312" t="str">
        <f>IF(OR($CW1556="prd",$CW1556="std",$CW1556="cit"),"loc",IF(OR($CW1556="eur",$CW1556="reg",$CW1556="coy"),"reg",$CW1556))</f>
        <v>reg</v>
      </c>
      <c r="CY1556" t="s">
        <v>574</v>
      </c>
      <c r="CZ1556">
        <v>2050</v>
      </c>
      <c r="DA1556">
        <v>2050</v>
      </c>
      <c r="DB1556">
        <f>DA1556-CZ1556</f>
        <v>0</v>
      </c>
      <c r="DC1556" t="str">
        <f>IF(DB1556=0,"0",IF(AND(DB1556&gt;=1,DB1556&lt;=30),"1-30",IF(AND(DB1556&gt;30,DB1556&lt;=70),"31-70",IF(AND(DB1556&gt;70,DB1556&lt;=100),"71-100",IF(DB1556&gt;100,"+100")))))</f>
        <v>0</v>
      </c>
      <c r="DD1556">
        <v>0</v>
      </c>
      <c r="DE1556">
        <v>0</v>
      </c>
      <c r="DF1556">
        <v>0</v>
      </c>
      <c r="DG1556">
        <v>1</v>
      </c>
      <c r="DI1556">
        <f>SUM(DD1556:DG1556)</f>
        <v>1</v>
      </c>
      <c r="DJ1556" t="str">
        <f>IF(DI1556=1,INDEX($DD$7:$DG$7,MATCH(1,$DD1556:$DG1556,0)),"mixedProduct")</f>
        <v>TimberInput</v>
      </c>
      <c r="DK1556">
        <f>IF(DD1556=1,DK$7,0)</f>
        <v>0</v>
      </c>
      <c r="DL1556">
        <f>IF(DE1556=1,DL$7,0)</f>
        <v>0</v>
      </c>
      <c r="DM1556">
        <f>IF(DF1556=1,DM$7,0)</f>
        <v>0</v>
      </c>
      <c r="DN1556" t="str">
        <f>IF(DG1556=1,DN$7,0)</f>
        <v>Timber</v>
      </c>
      <c r="DO1556">
        <v>0</v>
      </c>
      <c r="DP1556">
        <v>0</v>
      </c>
      <c r="DQ1556">
        <v>0</v>
      </c>
      <c r="DR1556">
        <v>0</v>
      </c>
      <c r="DS1556">
        <v>0</v>
      </c>
      <c r="DT1556">
        <f>SUM(DO1556:DP1556)</f>
        <v>0</v>
      </c>
      <c r="DU1556" s="143" t="str">
        <f>IF(DO1556=1,"self-calculated DF",IF(DP1556=1,"external DF used","explicit C balance"))</f>
        <v>explicit C balance</v>
      </c>
      <c r="DV1556">
        <v>0</v>
      </c>
      <c r="DW1556">
        <v>0</v>
      </c>
      <c r="DX1556">
        <v>0</v>
      </c>
      <c r="DY1556">
        <v>1</v>
      </c>
      <c r="DZ1556">
        <v>0</v>
      </c>
      <c r="EA1556" s="143">
        <v>0</v>
      </c>
      <c r="EB1556">
        <v>1</v>
      </c>
      <c r="EC1556">
        <v>1</v>
      </c>
      <c r="ED1556">
        <v>0</v>
      </c>
      <c r="EE1556">
        <v>0</v>
      </c>
      <c r="EF1556">
        <v>0</v>
      </c>
      <c r="EG1556">
        <v>1</v>
      </c>
      <c r="EH1556">
        <v>0</v>
      </c>
      <c r="EI1556" s="2">
        <v>0</v>
      </c>
      <c r="EK1556" t="str">
        <f>IF(AND(AND(AND(OR($DX1556=1,$DW1556=1),OR($EC1556=1,$EA1556=1)),SUM($DV1556:$DZ1556,$EF1556)&gt;=3),SUM($EA1556:$EE1556)&gt;=2),"Whole sector","")</f>
        <v/>
      </c>
      <c r="EL1556" t="str">
        <f>IF(AND(AND(OR($DX1556=1,$DW1556=1),AND($EC1556=0,$EA1556=0)),SUM($DV1556:$DZ1556,$EF1556)&gt;=3),"Ecosystem approach","")</f>
        <v/>
      </c>
      <c r="EM1556" s="2" t="str">
        <f>IF(AND(AND(AND($DX1556=0,$DW1556=0),OR($EC1556=1,$EA1556=1)),SUM($EB1556:$EE1556)&gt;=2),"Technology approach","")</f>
        <v>Technology approach</v>
      </c>
      <c r="EN1556" t="s">
        <v>4242</v>
      </c>
      <c r="EP1556" t="b">
        <f>IF(ISNUMBER(BU1556),IF(ABS(BU1556-[5]QC_indicators!$B$2)&gt;3*[5]QC_indicators!$C$2,"C ratio",IF(ISNUMBER(BY1556),IF(ABS(BY1556-[5]QC_indicators!$B$1)&gt;3*[5]QC_indicators!$C$1,"DF","no"))),IF(ISNUMBER(BY1556),IF(ABS(BY1556-[5]QC_indicators!$B$1)&gt;3*[5]QC_indicators!$C$1,"DF","no")))</f>
        <v>0</v>
      </c>
    </row>
    <row r="1557" spans="1:148" ht="18" customHeight="1">
      <c r="A1557" s="1" t="s">
        <v>4232</v>
      </c>
      <c r="B1557" t="s">
        <v>4233</v>
      </c>
      <c r="C1557" t="s">
        <v>4234</v>
      </c>
      <c r="D1557" t="s">
        <v>4235</v>
      </c>
      <c r="E1557" t="s">
        <v>4236</v>
      </c>
      <c r="F1557" t="s">
        <v>4237</v>
      </c>
      <c r="G1557" t="s">
        <v>544</v>
      </c>
      <c r="H1557" t="s">
        <v>3965</v>
      </c>
      <c r="I1557">
        <v>2017</v>
      </c>
      <c r="J1557">
        <v>12</v>
      </c>
      <c r="K1557" t="s">
        <v>4238</v>
      </c>
      <c r="M1557" t="str">
        <f>LEFT($D1557,FIND(",",$D1557)-1)&amp;"_"&amp;I1557&amp;L1557</f>
        <v>Teh_2017</v>
      </c>
      <c r="N1557" s="312" t="s">
        <v>4383</v>
      </c>
      <c r="O1557" s="145" t="s">
        <v>1154</v>
      </c>
      <c r="Q1557" s="312" t="s">
        <v>256</v>
      </c>
      <c r="R1557" s="313"/>
      <c r="S1557" s="1" t="s">
        <v>4244</v>
      </c>
      <c r="T1557" t="s">
        <v>1111</v>
      </c>
      <c r="U1557" t="s">
        <v>4240</v>
      </c>
      <c r="V1557">
        <v>0</v>
      </c>
      <c r="W1557">
        <v>0</v>
      </c>
      <c r="X1557">
        <v>0</v>
      </c>
      <c r="Y1557">
        <v>0</v>
      </c>
      <c r="Z1557">
        <v>0</v>
      </c>
      <c r="AA1557">
        <v>0</v>
      </c>
      <c r="AB1557">
        <v>0</v>
      </c>
      <c r="AC1557">
        <v>0</v>
      </c>
      <c r="AD1557">
        <v>0</v>
      </c>
      <c r="AE1557">
        <v>0</v>
      </c>
      <c r="AF1557">
        <v>0</v>
      </c>
      <c r="AG1557">
        <v>0</v>
      </c>
      <c r="AH1557">
        <v>0</v>
      </c>
      <c r="AI1557">
        <v>0</v>
      </c>
      <c r="AJ1557">
        <v>0</v>
      </c>
      <c r="AK1557">
        <v>1</v>
      </c>
      <c r="AL1557">
        <v>0</v>
      </c>
      <c r="AM1557">
        <v>0</v>
      </c>
      <c r="AN1557">
        <v>0</v>
      </c>
      <c r="AO1557">
        <v>0</v>
      </c>
      <c r="AP1557">
        <v>0</v>
      </c>
      <c r="AQ1557">
        <v>0</v>
      </c>
      <c r="AR1557">
        <v>0</v>
      </c>
      <c r="AS1557">
        <v>0</v>
      </c>
      <c r="AT1557">
        <v>0</v>
      </c>
      <c r="AU1557">
        <v>0</v>
      </c>
      <c r="AV1557">
        <v>0</v>
      </c>
      <c r="AW1557">
        <v>0</v>
      </c>
      <c r="AX1557" s="141">
        <f>COUNTIF(V1557:AW1557,"&lt;&gt;0")</f>
        <v>1</v>
      </c>
      <c r="AY1557" s="141">
        <f>COUNTIF(V1557:AL1557,"&lt;&gt;0")</f>
        <v>1</v>
      </c>
      <c r="AZ1557">
        <f>COUNTIF(V1557:AC1557,"&lt;&gt;0")</f>
        <v>0</v>
      </c>
      <c r="BA1557">
        <f>COUNTIF(AD1557:AI1557,"&lt;&gt;0")</f>
        <v>0</v>
      </c>
      <c r="BB1557">
        <f>COUNTIF(AJ1557:AL1557,"&lt;&gt;0")</f>
        <v>1</v>
      </c>
      <c r="BC1557">
        <f>COUNTIF(AS1557:AW1557,"&lt;&gt;0")</f>
        <v>0</v>
      </c>
      <c r="BD1557">
        <f>COUNTIF(AM1557:AR1557,"&lt;&gt;0")</f>
        <v>0</v>
      </c>
      <c r="BE1557" t="str" cm="1">
        <f t="array" ref="BE1557">IF(AY1557=1,INDEX($V$7:$AL$7,MATCH(TRUE,INDEX($V1557:$AW1557&lt;&gt;0,),0)),IF(AY1557=0,INDEX($AM$7:$AW$7,MATCH(1,$AM1557:$AW1557,0)),IF(BF1557="Multiple strategies","mixed drivers",IF(BF1557="Supply chain","multiple supply","multiple silviculture"))))</f>
        <v>technologies/design switch</v>
      </c>
      <c r="BF1557" s="2" t="str" cm="1">
        <f t="array" ref="BF1557">IF(COUNTIF(AZ1557:BB1557,"&lt;&gt;0")=1,INDEX($V$4:$AW$4,MATCH(TRUE,INDEX($V1557:$AW1557&lt;&gt;0,),0)),IF(COUNTIF(AZ1557:BB1557,"&lt;&gt;0")=0,INDEX($AM$4:$AW$4,MATCH(1,$AM1557:$AW1557,0)),"Multiple strategies"))</f>
        <v>Technology</v>
      </c>
      <c r="BH1557" t="s">
        <v>4241</v>
      </c>
      <c r="BP1557" t="s">
        <v>232</v>
      </c>
      <c r="BR1557" t="s">
        <v>2325</v>
      </c>
      <c r="BS1557">
        <v>-45.232815964523198</v>
      </c>
      <c r="BT1557">
        <v>-17.1840354767184</v>
      </c>
      <c r="BU1557" s="144">
        <f>IFERROR(BT1557/BS1557,"")</f>
        <v>0.37990196078431432</v>
      </c>
      <c r="BV1557" s="144">
        <f>BT1557-BS1557</f>
        <v>28.048780487804798</v>
      </c>
      <c r="BW1557" s="144"/>
      <c r="BX1557">
        <f>BV1557*10^6</f>
        <v>28048780.487804797</v>
      </c>
      <c r="BY1557" t="str">
        <f>IFERROR(BX1557/BO1557,"")</f>
        <v/>
      </c>
      <c r="BZ1557">
        <v>0</v>
      </c>
      <c r="CA1557">
        <v>0</v>
      </c>
      <c r="CB1557">
        <v>0</v>
      </c>
      <c r="CC1557">
        <v>0</v>
      </c>
      <c r="CD1557">
        <v>0</v>
      </c>
      <c r="CE1557">
        <v>0</v>
      </c>
      <c r="CF1557">
        <v>0</v>
      </c>
      <c r="CG1557">
        <v>0</v>
      </c>
      <c r="CH1557">
        <v>0</v>
      </c>
      <c r="CI1557">
        <v>0</v>
      </c>
      <c r="CJ1557">
        <v>0</v>
      </c>
      <c r="CK1557">
        <v>0</v>
      </c>
      <c r="CL1557">
        <v>0</v>
      </c>
      <c r="CM1557">
        <v>0</v>
      </c>
      <c r="CN1557" t="str">
        <f>IF(BL1557&lt;BK1557,"refNeedCorrection","refOK")</f>
        <v>refOK</v>
      </c>
      <c r="CO1557"/>
      <c r="CP1557"/>
      <c r="CQ1557"/>
      <c r="CR1557">
        <f>IF($CN1557="refOK",$BS1557,$BT1557)*IF($BP1557="Emissions positive",-1,1)</f>
        <v>-45.232815964523198</v>
      </c>
      <c r="CS1557">
        <f>IF($CN1557="refOK",$BT1557,$BS1557)*IF($BP1557="Emissions positive",-1,1)</f>
        <v>-17.1840354767184</v>
      </c>
      <c r="CT1557">
        <f>IF($CN1557="refNeedCorrection",-BX1557,BX1557)*IF($BP1557="Emissions positive",-1,1)</f>
        <v>28048780.487804797</v>
      </c>
      <c r="CU1557" t="str">
        <f>IFERROR(CT1557/CQ1557,"")</f>
        <v/>
      </c>
      <c r="CV1557" s="2">
        <f>IFERROR((CS1557-CR1557)/ABS(CR1557),"")</f>
        <v>0.62009803921568563</v>
      </c>
      <c r="CW1557" s="1" t="s">
        <v>1203</v>
      </c>
      <c r="CX1557" s="312" t="str">
        <f>IF(OR($CW1557="prd",$CW1557="std",$CW1557="cit"),"loc",IF(OR($CW1557="eur",$CW1557="reg",$CW1557="coy"),"reg",$CW1557))</f>
        <v>reg</v>
      </c>
      <c r="CY1557" t="s">
        <v>574</v>
      </c>
      <c r="CZ1557">
        <v>2050</v>
      </c>
      <c r="DA1557">
        <v>2050</v>
      </c>
      <c r="DB1557">
        <f>DA1557-CZ1557</f>
        <v>0</v>
      </c>
      <c r="DC1557" t="str">
        <f>IF(DB1557=0,"0",IF(AND(DB1557&gt;=1,DB1557&lt;=30),"1-30",IF(AND(DB1557&gt;30,DB1557&lt;=70),"31-70",IF(AND(DB1557&gt;70,DB1557&lt;=100),"71-100",IF(DB1557&gt;100,"+100")))))</f>
        <v>0</v>
      </c>
      <c r="DD1557">
        <v>0</v>
      </c>
      <c r="DE1557">
        <v>0</v>
      </c>
      <c r="DF1557">
        <v>0</v>
      </c>
      <c r="DG1557">
        <v>1</v>
      </c>
      <c r="DI1557">
        <f>SUM(DD1557:DG1557)</f>
        <v>1</v>
      </c>
      <c r="DJ1557" t="str">
        <f>IF(DI1557=1,INDEX($DD$7:$DG$7,MATCH(1,$DD1557:$DG1557,0)),"mixedProduct")</f>
        <v>TimberInput</v>
      </c>
      <c r="DK1557">
        <f>IF(DD1557=1,DK$7,0)</f>
        <v>0</v>
      </c>
      <c r="DL1557">
        <f>IF(DE1557=1,DL$7,0)</f>
        <v>0</v>
      </c>
      <c r="DM1557">
        <f>IF(DF1557=1,DM$7,0)</f>
        <v>0</v>
      </c>
      <c r="DN1557" t="str">
        <f>IF(DG1557=1,DN$7,0)</f>
        <v>Timber</v>
      </c>
      <c r="DO1557">
        <v>0</v>
      </c>
      <c r="DP1557">
        <v>0</v>
      </c>
      <c r="DQ1557">
        <v>0</v>
      </c>
      <c r="DR1557">
        <v>0</v>
      </c>
      <c r="DS1557">
        <v>0</v>
      </c>
      <c r="DT1557">
        <f>SUM(DO1557:DP1557)</f>
        <v>0</v>
      </c>
      <c r="DU1557" s="143" t="str">
        <f>IF(DO1557=1,"self-calculated DF",IF(DP1557=1,"external DF used","explicit C balance"))</f>
        <v>explicit C balance</v>
      </c>
      <c r="DV1557">
        <v>0</v>
      </c>
      <c r="DW1557">
        <v>0</v>
      </c>
      <c r="DX1557">
        <v>0</v>
      </c>
      <c r="DY1557">
        <v>1</v>
      </c>
      <c r="DZ1557">
        <v>0</v>
      </c>
      <c r="EA1557" s="143">
        <v>0</v>
      </c>
      <c r="EB1557">
        <v>1</v>
      </c>
      <c r="EC1557">
        <v>1</v>
      </c>
      <c r="ED1557">
        <v>0</v>
      </c>
      <c r="EE1557">
        <v>0</v>
      </c>
      <c r="EF1557">
        <v>0</v>
      </c>
      <c r="EG1557">
        <v>1</v>
      </c>
      <c r="EH1557">
        <v>0</v>
      </c>
      <c r="EI1557" s="2">
        <v>0</v>
      </c>
      <c r="EK1557" t="str">
        <f>IF(AND(AND(AND(OR($DX1557=1,$DW1557=1),OR($EC1557=1,$EA1557=1)),SUM($DV1557:$DZ1557,$EF1557)&gt;=3),SUM($EA1557:$EE1557)&gt;=2),"Whole sector","")</f>
        <v/>
      </c>
      <c r="EL1557" t="str">
        <f>IF(AND(AND(OR($DX1557=1,$DW1557=1),AND($EC1557=0,$EA1557=0)),SUM($DV1557:$DZ1557,$EF1557)&gt;=3),"Ecosystem approach","")</f>
        <v/>
      </c>
      <c r="EM1557" s="2" t="str">
        <f>IF(AND(AND(AND($DX1557=0,$DW1557=0),OR($EC1557=1,$EA1557=1)),SUM($EB1557:$EE1557)&gt;=2),"Technology approach","")</f>
        <v>Technology approach</v>
      </c>
      <c r="EN1557" t="s">
        <v>4242</v>
      </c>
      <c r="EP1557" t="b">
        <f>IF(ISNUMBER(BU1557),IF(ABS(BU1557-[5]QC_indicators!$B$2)&gt;3*[5]QC_indicators!$C$2,"C ratio",IF(ISNUMBER(BY1557),IF(ABS(BY1557-[5]QC_indicators!$B$1)&gt;3*[5]QC_indicators!$C$1,"DF","no"))),IF(ISNUMBER(BY1557),IF(ABS(BY1557-[5]QC_indicators!$B$1)&gt;3*[5]QC_indicators!$C$1,"DF","no")))</f>
        <v>0</v>
      </c>
    </row>
    <row r="1558" spans="1:148" ht="18" customHeight="1">
      <c r="A1558" s="1" t="s">
        <v>4232</v>
      </c>
      <c r="B1558" t="s">
        <v>4233</v>
      </c>
      <c r="C1558" t="s">
        <v>4234</v>
      </c>
      <c r="D1558" t="s">
        <v>4235</v>
      </c>
      <c r="E1558" t="s">
        <v>4236</v>
      </c>
      <c r="F1558" t="s">
        <v>4237</v>
      </c>
      <c r="G1558" t="s">
        <v>544</v>
      </c>
      <c r="H1558" t="s">
        <v>3965</v>
      </c>
      <c r="I1558">
        <v>2017</v>
      </c>
      <c r="J1558">
        <v>12</v>
      </c>
      <c r="K1558" t="s">
        <v>4238</v>
      </c>
      <c r="M1558" t="str">
        <f>LEFT($D1558,FIND(",",$D1558)-1)&amp;"_"&amp;I1558&amp;L1558</f>
        <v>Teh_2017</v>
      </c>
      <c r="N1558" s="312" t="s">
        <v>4383</v>
      </c>
      <c r="O1558" s="145" t="s">
        <v>1154</v>
      </c>
      <c r="Q1558" s="312" t="s">
        <v>256</v>
      </c>
      <c r="R1558" s="313"/>
      <c r="S1558" s="1" t="s">
        <v>4239</v>
      </c>
      <c r="T1558" t="s">
        <v>1111</v>
      </c>
      <c r="U1558" t="s">
        <v>4245</v>
      </c>
      <c r="V1558">
        <v>0</v>
      </c>
      <c r="W1558">
        <v>0</v>
      </c>
      <c r="X1558">
        <v>0</v>
      </c>
      <c r="Y1558">
        <v>0</v>
      </c>
      <c r="Z1558">
        <v>0</v>
      </c>
      <c r="AA1558">
        <v>0</v>
      </c>
      <c r="AB1558">
        <v>0</v>
      </c>
      <c r="AC1558">
        <v>0</v>
      </c>
      <c r="AD1558">
        <v>0</v>
      </c>
      <c r="AE1558">
        <v>0</v>
      </c>
      <c r="AF1558">
        <v>0</v>
      </c>
      <c r="AG1558">
        <v>0</v>
      </c>
      <c r="AH1558">
        <v>0</v>
      </c>
      <c r="AI1558">
        <v>0</v>
      </c>
      <c r="AJ1558">
        <v>0</v>
      </c>
      <c r="AK1558">
        <v>1</v>
      </c>
      <c r="AL1558">
        <v>0</v>
      </c>
      <c r="AM1558">
        <v>0</v>
      </c>
      <c r="AN1558">
        <v>0</v>
      </c>
      <c r="AO1558">
        <v>0</v>
      </c>
      <c r="AP1558">
        <v>0</v>
      </c>
      <c r="AQ1558">
        <v>0</v>
      </c>
      <c r="AR1558">
        <v>0</v>
      </c>
      <c r="AS1558">
        <v>0</v>
      </c>
      <c r="AT1558">
        <v>0</v>
      </c>
      <c r="AU1558">
        <v>0</v>
      </c>
      <c r="AV1558">
        <v>0</v>
      </c>
      <c r="AW1558">
        <v>0</v>
      </c>
      <c r="AX1558" s="141">
        <f>COUNTIF(V1558:AW1558,"&lt;&gt;0")</f>
        <v>1</v>
      </c>
      <c r="AY1558" s="141">
        <f>COUNTIF(V1558:AL1558,"&lt;&gt;0")</f>
        <v>1</v>
      </c>
      <c r="AZ1558">
        <f>COUNTIF(V1558:AC1558,"&lt;&gt;0")</f>
        <v>0</v>
      </c>
      <c r="BA1558">
        <f>COUNTIF(AD1558:AI1558,"&lt;&gt;0")</f>
        <v>0</v>
      </c>
      <c r="BB1558">
        <f>COUNTIF(AJ1558:AL1558,"&lt;&gt;0")</f>
        <v>1</v>
      </c>
      <c r="BC1558">
        <f>COUNTIF(AS1558:AW1558,"&lt;&gt;0")</f>
        <v>0</v>
      </c>
      <c r="BD1558">
        <f>COUNTIF(AM1558:AR1558,"&lt;&gt;0")</f>
        <v>0</v>
      </c>
      <c r="BE1558" t="str" cm="1">
        <f t="array" ref="BE1558">IF(AY1558=1,INDEX($V$7:$AL$7,MATCH(TRUE,INDEX($V1558:$AW1558&lt;&gt;0,),0)),IF(AY1558=0,INDEX($AM$7:$AW$7,MATCH(1,$AM1558:$AW1558,0)),IF(BF1558="Multiple strategies","mixed drivers",IF(BF1558="Supply chain","multiple supply","multiple silviculture"))))</f>
        <v>technologies/design switch</v>
      </c>
      <c r="BF1558" s="2" t="str" cm="1">
        <f t="array" ref="BF1558">IF(COUNTIF(AZ1558:BB1558,"&lt;&gt;0")=1,INDEX($V$4:$AW$4,MATCH(TRUE,INDEX($V1558:$AW1558&lt;&gt;0,),0)),IF(COUNTIF(AZ1558:BB1558,"&lt;&gt;0")=0,INDEX($AM$4:$AW$4,MATCH(1,$AM1558:$AW1558,0)),"Multiple strategies"))</f>
        <v>Technology</v>
      </c>
      <c r="BH1558" t="s">
        <v>4241</v>
      </c>
      <c r="BP1558" t="s">
        <v>232</v>
      </c>
      <c r="BR1558" t="s">
        <v>2325</v>
      </c>
      <c r="BS1558">
        <v>-65.3101736972704</v>
      </c>
      <c r="BT1558">
        <v>-40.297766749379598</v>
      </c>
      <c r="BU1558" s="144">
        <f>IFERROR(BT1558/BS1558,"")</f>
        <v>0.61702127659574446</v>
      </c>
      <c r="BV1558" s="144">
        <f>BT1558-BS1558</f>
        <v>25.012406947890803</v>
      </c>
      <c r="BW1558" s="144"/>
      <c r="BX1558">
        <f>BV1558*10^6</f>
        <v>25012406.947890803</v>
      </c>
      <c r="BY1558" t="str">
        <f>IFERROR(BX1558/BO1558,"")</f>
        <v/>
      </c>
      <c r="BZ1558">
        <v>0</v>
      </c>
      <c r="CA1558">
        <v>0</v>
      </c>
      <c r="CB1558">
        <v>0</v>
      </c>
      <c r="CC1558">
        <v>0</v>
      </c>
      <c r="CD1558">
        <v>0</v>
      </c>
      <c r="CE1558">
        <v>0</v>
      </c>
      <c r="CF1558">
        <v>0</v>
      </c>
      <c r="CG1558">
        <v>0</v>
      </c>
      <c r="CH1558">
        <v>0</v>
      </c>
      <c r="CI1558">
        <v>0</v>
      </c>
      <c r="CJ1558">
        <v>0</v>
      </c>
      <c r="CK1558">
        <v>0</v>
      </c>
      <c r="CL1558">
        <v>0</v>
      </c>
      <c r="CM1558">
        <v>0</v>
      </c>
      <c r="CN1558" t="str">
        <f>IF(BL1558&lt;BK1558,"refNeedCorrection","refOK")</f>
        <v>refOK</v>
      </c>
      <c r="CO1558"/>
      <c r="CP1558"/>
      <c r="CQ1558"/>
      <c r="CR1558">
        <f>IF($CN1558="refOK",$BS1558,$BT1558)*IF($BP1558="Emissions positive",-1,1)</f>
        <v>-65.3101736972704</v>
      </c>
      <c r="CS1558">
        <f>IF($CN1558="refOK",$BT1558,$BS1558)*IF($BP1558="Emissions positive",-1,1)</f>
        <v>-40.297766749379598</v>
      </c>
      <c r="CT1558">
        <f>IF($CN1558="refNeedCorrection",-BX1558,BX1558)*IF($BP1558="Emissions positive",-1,1)</f>
        <v>25012406.947890803</v>
      </c>
      <c r="CU1558" t="str">
        <f>IFERROR(CT1558/CQ1558,"")</f>
        <v/>
      </c>
      <c r="CV1558" s="2">
        <f>IFERROR((CS1558-CR1558)/ABS(CR1558),"")</f>
        <v>0.38297872340425548</v>
      </c>
      <c r="CW1558" s="1" t="s">
        <v>1203</v>
      </c>
      <c r="CX1558" s="312" t="str">
        <f>IF(OR($CW1558="prd",$CW1558="std",$CW1558="cit"),"loc",IF(OR($CW1558="eur",$CW1558="reg",$CW1558="coy"),"reg",$CW1558))</f>
        <v>reg</v>
      </c>
      <c r="CY1558" t="s">
        <v>574</v>
      </c>
      <c r="CZ1558">
        <v>2050</v>
      </c>
      <c r="DA1558">
        <v>2050</v>
      </c>
      <c r="DB1558">
        <f>DA1558-CZ1558</f>
        <v>0</v>
      </c>
      <c r="DC1558" t="str">
        <f>IF(DB1558=0,"0",IF(AND(DB1558&gt;=1,DB1558&lt;=30),"1-30",IF(AND(DB1558&gt;30,DB1558&lt;=70),"31-70",IF(AND(DB1558&gt;70,DB1558&lt;=100),"71-100",IF(DB1558&gt;100,"+100")))))</f>
        <v>0</v>
      </c>
      <c r="DD1558">
        <v>0</v>
      </c>
      <c r="DE1558">
        <v>0</v>
      </c>
      <c r="DF1558">
        <v>0</v>
      </c>
      <c r="DG1558">
        <v>1</v>
      </c>
      <c r="DI1558">
        <f>SUM(DD1558:DG1558)</f>
        <v>1</v>
      </c>
      <c r="DJ1558" t="str">
        <f>IF(DI1558=1,INDEX($DD$7:$DG$7,MATCH(1,$DD1558:$DG1558,0)),"mixedProduct")</f>
        <v>TimberInput</v>
      </c>
      <c r="DK1558">
        <f>IF(DD1558=1,DK$7,0)</f>
        <v>0</v>
      </c>
      <c r="DL1558">
        <f>IF(DE1558=1,DL$7,0)</f>
        <v>0</v>
      </c>
      <c r="DM1558">
        <f>IF(DF1558=1,DM$7,0)</f>
        <v>0</v>
      </c>
      <c r="DN1558" t="str">
        <f>IF(DG1558=1,DN$7,0)</f>
        <v>Timber</v>
      </c>
      <c r="DO1558">
        <v>0</v>
      </c>
      <c r="DP1558">
        <v>0</v>
      </c>
      <c r="DQ1558">
        <v>0</v>
      </c>
      <c r="DR1558">
        <v>0</v>
      </c>
      <c r="DS1558">
        <v>0</v>
      </c>
      <c r="DT1558">
        <f>SUM(DO1558:DP1558)</f>
        <v>0</v>
      </c>
      <c r="DU1558" s="143" t="str">
        <f>IF(DO1558=1,"self-calculated DF",IF(DP1558=1,"external DF used","explicit C balance"))</f>
        <v>explicit C balance</v>
      </c>
      <c r="DV1558">
        <v>0</v>
      </c>
      <c r="DW1558">
        <v>0</v>
      </c>
      <c r="DX1558">
        <v>0</v>
      </c>
      <c r="DY1558">
        <v>0</v>
      </c>
      <c r="DZ1558">
        <v>0</v>
      </c>
      <c r="EA1558" s="143">
        <v>0</v>
      </c>
      <c r="EB1558">
        <v>1</v>
      </c>
      <c r="EC1558">
        <v>1</v>
      </c>
      <c r="ED1558">
        <v>0</v>
      </c>
      <c r="EE1558">
        <v>0</v>
      </c>
      <c r="EF1558">
        <v>0</v>
      </c>
      <c r="EG1558">
        <v>1</v>
      </c>
      <c r="EH1558">
        <v>0</v>
      </c>
      <c r="EI1558" s="2">
        <v>0</v>
      </c>
      <c r="EK1558" t="str">
        <f>IF(AND(AND(AND(OR($DX1558=1,$DW1558=1),OR($EC1558=1,$EA1558=1)),SUM($DV1558:$DZ1558,$EF1558)&gt;=3),SUM($EA1558:$EE1558)&gt;=2),"Whole sector","")</f>
        <v/>
      </c>
      <c r="EL1558" t="str">
        <f>IF(AND(AND(OR($DX1558=1,$DW1558=1),AND($EC1558=0,$EA1558=0)),SUM($DV1558:$DZ1558,$EF1558)&gt;=3),"Ecosystem approach","")</f>
        <v/>
      </c>
      <c r="EM1558" s="2" t="str">
        <f>IF(AND(AND(AND($DX1558=0,$DW1558=0),OR($EC1558=1,$EA1558=1)),SUM($EB1558:$EE1558)&gt;=2),"Technology approach","")</f>
        <v>Technology approach</v>
      </c>
      <c r="EN1558" t="s">
        <v>4242</v>
      </c>
      <c r="EP1558" t="b">
        <f>IF(ISNUMBER(BU1558),IF(ABS(BU1558-[5]QC_indicators!$B$2)&gt;3*[5]QC_indicators!$C$2,"C ratio",IF(ISNUMBER(BY1558),IF(ABS(BY1558-[5]QC_indicators!$B$1)&gt;3*[5]QC_indicators!$C$1,"DF","no"))),IF(ISNUMBER(BY1558),IF(ABS(BY1558-[5]QC_indicators!$B$1)&gt;3*[5]QC_indicators!$C$1,"DF","no")))</f>
        <v>0</v>
      </c>
    </row>
    <row r="1559" spans="1:148" ht="18" customHeight="1">
      <c r="A1559" s="1" t="s">
        <v>4232</v>
      </c>
      <c r="B1559" t="s">
        <v>4233</v>
      </c>
      <c r="C1559" t="s">
        <v>4234</v>
      </c>
      <c r="D1559" t="s">
        <v>4235</v>
      </c>
      <c r="E1559" t="s">
        <v>4236</v>
      </c>
      <c r="F1559" t="s">
        <v>4237</v>
      </c>
      <c r="G1559" t="s">
        <v>544</v>
      </c>
      <c r="H1559" t="s">
        <v>3965</v>
      </c>
      <c r="I1559">
        <v>2017</v>
      </c>
      <c r="J1559">
        <v>12</v>
      </c>
      <c r="K1559" t="s">
        <v>4238</v>
      </c>
      <c r="M1559" t="str">
        <f>LEFT($D1559,FIND(",",$D1559)-1)&amp;"_"&amp;I1559&amp;L1559</f>
        <v>Teh_2017</v>
      </c>
      <c r="N1559" s="312" t="s">
        <v>4383</v>
      </c>
      <c r="O1559" s="145" t="s">
        <v>1154</v>
      </c>
      <c r="Q1559" s="312" t="s">
        <v>256</v>
      </c>
      <c r="R1559" s="313"/>
      <c r="S1559" s="1" t="s">
        <v>4244</v>
      </c>
      <c r="T1559" t="s">
        <v>1111</v>
      </c>
      <c r="U1559" t="s">
        <v>4245</v>
      </c>
      <c r="V1559">
        <v>0</v>
      </c>
      <c r="W1559">
        <v>0</v>
      </c>
      <c r="X1559">
        <v>0</v>
      </c>
      <c r="Y1559">
        <v>0</v>
      </c>
      <c r="Z1559">
        <v>0</v>
      </c>
      <c r="AA1559">
        <v>0</v>
      </c>
      <c r="AB1559">
        <v>0</v>
      </c>
      <c r="AC1559">
        <v>0</v>
      </c>
      <c r="AD1559">
        <v>0</v>
      </c>
      <c r="AE1559">
        <v>0</v>
      </c>
      <c r="AF1559">
        <v>0</v>
      </c>
      <c r="AG1559">
        <v>0</v>
      </c>
      <c r="AH1559">
        <v>0</v>
      </c>
      <c r="AI1559">
        <v>0</v>
      </c>
      <c r="AJ1559">
        <v>0</v>
      </c>
      <c r="AK1559">
        <v>1</v>
      </c>
      <c r="AL1559">
        <v>0</v>
      </c>
      <c r="AM1559">
        <v>0</v>
      </c>
      <c r="AN1559">
        <v>0</v>
      </c>
      <c r="AO1559">
        <v>0</v>
      </c>
      <c r="AP1559">
        <v>0</v>
      </c>
      <c r="AQ1559">
        <v>0</v>
      </c>
      <c r="AR1559">
        <v>0</v>
      </c>
      <c r="AS1559">
        <v>0</v>
      </c>
      <c r="AT1559">
        <v>0</v>
      </c>
      <c r="AU1559">
        <v>0</v>
      </c>
      <c r="AV1559">
        <v>0</v>
      </c>
      <c r="AW1559">
        <v>0</v>
      </c>
      <c r="AX1559" s="141">
        <f>COUNTIF(V1559:AW1559,"&lt;&gt;0")</f>
        <v>1</v>
      </c>
      <c r="AY1559" s="141">
        <f>COUNTIF(V1559:AL1559,"&lt;&gt;0")</f>
        <v>1</v>
      </c>
      <c r="AZ1559">
        <f>COUNTIF(V1559:AC1559,"&lt;&gt;0")</f>
        <v>0</v>
      </c>
      <c r="BA1559">
        <f>COUNTIF(AD1559:AI1559,"&lt;&gt;0")</f>
        <v>0</v>
      </c>
      <c r="BB1559">
        <f>COUNTIF(AJ1559:AL1559,"&lt;&gt;0")</f>
        <v>1</v>
      </c>
      <c r="BC1559">
        <f>COUNTIF(AS1559:AW1559,"&lt;&gt;0")</f>
        <v>0</v>
      </c>
      <c r="BD1559">
        <f>COUNTIF(AM1559:AR1559,"&lt;&gt;0")</f>
        <v>0</v>
      </c>
      <c r="BE1559" t="str" cm="1">
        <f t="array" ref="BE1559">IF(AY1559=1,INDEX($V$7:$AL$7,MATCH(TRUE,INDEX($V1559:$AW1559&lt;&gt;0,),0)),IF(AY1559=0,INDEX($AM$7:$AW$7,MATCH(1,$AM1559:$AW1559,0)),IF(BF1559="Multiple strategies","mixed drivers",IF(BF1559="Supply chain","multiple supply","multiple silviculture"))))</f>
        <v>technologies/design switch</v>
      </c>
      <c r="BF1559" s="2" t="str" cm="1">
        <f t="array" ref="BF1559">IF(COUNTIF(AZ1559:BB1559,"&lt;&gt;0")=1,INDEX($V$4:$AW$4,MATCH(TRUE,INDEX($V1559:$AW1559&lt;&gt;0,),0)),IF(COUNTIF(AZ1559:BB1559,"&lt;&gt;0")=0,INDEX($AM$4:$AW$4,MATCH(1,$AM1559:$AW1559,0)),"Multiple strategies"))</f>
        <v>Technology</v>
      </c>
      <c r="BH1559" t="s">
        <v>4241</v>
      </c>
      <c r="BP1559" t="s">
        <v>232</v>
      </c>
      <c r="BR1559" t="s">
        <v>2325</v>
      </c>
      <c r="BS1559">
        <v>-45.232815964523198</v>
      </c>
      <c r="BT1559">
        <v>-31.929046563192902</v>
      </c>
      <c r="BU1559" s="144">
        <f>IFERROR(BT1559/BS1559,"")</f>
        <v>0.70588235294117774</v>
      </c>
      <c r="BV1559" s="144">
        <f>BT1559-BS1559</f>
        <v>13.303769401330296</v>
      </c>
      <c r="BW1559" s="144"/>
      <c r="BX1559">
        <f>BV1559*10^6</f>
        <v>13303769.401330296</v>
      </c>
      <c r="BY1559" t="str">
        <f>IFERROR(BX1559/BO1559,"")</f>
        <v/>
      </c>
      <c r="BZ1559">
        <v>0</v>
      </c>
      <c r="CA1559">
        <v>0</v>
      </c>
      <c r="CB1559">
        <v>0</v>
      </c>
      <c r="CC1559">
        <v>0</v>
      </c>
      <c r="CD1559">
        <v>0</v>
      </c>
      <c r="CE1559">
        <v>0</v>
      </c>
      <c r="CF1559">
        <v>0</v>
      </c>
      <c r="CG1559">
        <v>0</v>
      </c>
      <c r="CH1559">
        <v>0</v>
      </c>
      <c r="CI1559">
        <v>0</v>
      </c>
      <c r="CJ1559">
        <v>0</v>
      </c>
      <c r="CK1559">
        <v>0</v>
      </c>
      <c r="CL1559">
        <v>0</v>
      </c>
      <c r="CM1559">
        <v>0</v>
      </c>
      <c r="CN1559" t="str">
        <f>IF(BL1559&lt;BK1559,"refNeedCorrection","refOK")</f>
        <v>refOK</v>
      </c>
      <c r="CO1559"/>
      <c r="CP1559"/>
      <c r="CQ1559"/>
      <c r="CR1559">
        <f>IF($CN1559="refOK",$BS1559,$BT1559)*IF($BP1559="Emissions positive",-1,1)</f>
        <v>-45.232815964523198</v>
      </c>
      <c r="CS1559">
        <f>IF($CN1559="refOK",$BT1559,$BS1559)*IF($BP1559="Emissions positive",-1,1)</f>
        <v>-31.929046563192902</v>
      </c>
      <c r="CT1559">
        <f>IF($CN1559="refNeedCorrection",-BX1559,BX1559)*IF($BP1559="Emissions positive",-1,1)</f>
        <v>13303769.401330296</v>
      </c>
      <c r="CU1559" t="str">
        <f>IFERROR(CT1559/CQ1559,"")</f>
        <v/>
      </c>
      <c r="CV1559" s="2">
        <f>IFERROR((CS1559-CR1559)/ABS(CR1559),"")</f>
        <v>0.29411764705882226</v>
      </c>
      <c r="CW1559" s="1" t="s">
        <v>1203</v>
      </c>
      <c r="CX1559" s="312" t="str">
        <f>IF(OR($CW1559="prd",$CW1559="std",$CW1559="cit"),"loc",IF(OR($CW1559="eur",$CW1559="reg",$CW1559="coy"),"reg",$CW1559))</f>
        <v>reg</v>
      </c>
      <c r="CY1559" t="s">
        <v>574</v>
      </c>
      <c r="CZ1559">
        <v>2050</v>
      </c>
      <c r="DA1559">
        <v>2050</v>
      </c>
      <c r="DB1559">
        <f>DA1559-CZ1559</f>
        <v>0</v>
      </c>
      <c r="DC1559" t="str">
        <f>IF(DB1559=0,"0",IF(AND(DB1559&gt;=1,DB1559&lt;=30),"1-30",IF(AND(DB1559&gt;30,DB1559&lt;=70),"31-70",IF(AND(DB1559&gt;70,DB1559&lt;=100),"71-100",IF(DB1559&gt;100,"+100")))))</f>
        <v>0</v>
      </c>
      <c r="DD1559">
        <v>0</v>
      </c>
      <c r="DE1559">
        <v>0</v>
      </c>
      <c r="DF1559">
        <v>0</v>
      </c>
      <c r="DG1559">
        <v>1</v>
      </c>
      <c r="DI1559">
        <f>SUM(DD1559:DG1559)</f>
        <v>1</v>
      </c>
      <c r="DJ1559" t="str">
        <f>IF(DI1559=1,INDEX($DD$7:$DG$7,MATCH(1,$DD1559:$DG1559,0)),"mixedProduct")</f>
        <v>TimberInput</v>
      </c>
      <c r="DK1559">
        <f>IF(DD1559=1,DK$7,0)</f>
        <v>0</v>
      </c>
      <c r="DL1559">
        <f>IF(DE1559=1,DL$7,0)</f>
        <v>0</v>
      </c>
      <c r="DM1559">
        <f>IF(DF1559=1,DM$7,0)</f>
        <v>0</v>
      </c>
      <c r="DN1559" t="str">
        <f>IF(DG1559=1,DN$7,0)</f>
        <v>Timber</v>
      </c>
      <c r="DO1559">
        <v>0</v>
      </c>
      <c r="DP1559">
        <v>0</v>
      </c>
      <c r="DQ1559">
        <v>0</v>
      </c>
      <c r="DR1559">
        <v>0</v>
      </c>
      <c r="DS1559">
        <v>0</v>
      </c>
      <c r="DT1559">
        <f>SUM(DO1559:DP1559)</f>
        <v>0</v>
      </c>
      <c r="DU1559" s="143" t="str">
        <f>IF(DO1559=1,"self-calculated DF",IF(DP1559=1,"external DF used","explicit C balance"))</f>
        <v>explicit C balance</v>
      </c>
      <c r="DV1559">
        <v>0</v>
      </c>
      <c r="DW1559">
        <v>0</v>
      </c>
      <c r="DX1559">
        <v>0</v>
      </c>
      <c r="DY1559">
        <v>0</v>
      </c>
      <c r="DZ1559">
        <v>0</v>
      </c>
      <c r="EA1559" s="143">
        <v>0</v>
      </c>
      <c r="EB1559">
        <v>1</v>
      </c>
      <c r="EC1559">
        <v>1</v>
      </c>
      <c r="ED1559">
        <v>0</v>
      </c>
      <c r="EE1559">
        <v>0</v>
      </c>
      <c r="EF1559">
        <v>0</v>
      </c>
      <c r="EG1559">
        <v>1</v>
      </c>
      <c r="EH1559">
        <v>0</v>
      </c>
      <c r="EI1559" s="2">
        <v>0</v>
      </c>
      <c r="EK1559" t="str">
        <f>IF(AND(AND(AND(OR($DX1559=1,$DW1559=1),OR($EC1559=1,$EA1559=1)),SUM($DV1559:$DZ1559,$EF1559)&gt;=3),SUM($EA1559:$EE1559)&gt;=2),"Whole sector","")</f>
        <v/>
      </c>
      <c r="EL1559" t="str">
        <f>IF(AND(AND(OR($DX1559=1,$DW1559=1),AND($EC1559=0,$EA1559=0)),SUM($DV1559:$DZ1559,$EF1559)&gt;=3),"Ecosystem approach","")</f>
        <v/>
      </c>
      <c r="EM1559" s="2" t="str">
        <f>IF(AND(AND(AND($DX1559=0,$DW1559=0),OR($EC1559=1,$EA1559=1)),SUM($EB1559:$EE1559)&gt;=2),"Technology approach","")</f>
        <v>Technology approach</v>
      </c>
      <c r="EN1559" t="s">
        <v>4242</v>
      </c>
      <c r="EP1559" t="b">
        <f>IF(ISNUMBER(BU1559),IF(ABS(BU1559-[5]QC_indicators!$B$2)&gt;3*[5]QC_indicators!$C$2,"C ratio",IF(ISNUMBER(BY1559),IF(ABS(BY1559-[5]QC_indicators!$B$1)&gt;3*[5]QC_indicators!$C$1,"DF","no"))),IF(ISNUMBER(BY1559),IF(ABS(BY1559-[5]QC_indicators!$B$1)&gt;3*[5]QC_indicators!$C$1,"DF","no")))</f>
        <v>0</v>
      </c>
    </row>
    <row r="1560" spans="1:148">
      <c r="A1560" s="1" t="s">
        <v>4232</v>
      </c>
      <c r="B1560" t="s">
        <v>4233</v>
      </c>
      <c r="C1560" t="s">
        <v>4234</v>
      </c>
      <c r="D1560" t="s">
        <v>4235</v>
      </c>
      <c r="E1560" t="s">
        <v>4236</v>
      </c>
      <c r="F1560" t="s">
        <v>4237</v>
      </c>
      <c r="G1560" t="s">
        <v>544</v>
      </c>
      <c r="H1560" t="s">
        <v>3965</v>
      </c>
      <c r="I1560">
        <v>2017</v>
      </c>
      <c r="J1560">
        <v>12</v>
      </c>
      <c r="K1560" t="s">
        <v>4238</v>
      </c>
      <c r="M1560" t="str">
        <f>LEFT($D1560,FIND(",",$D1560)-1)&amp;"_"&amp;I1560&amp;L1560</f>
        <v>Teh_2017</v>
      </c>
      <c r="N1560" s="312" t="s">
        <v>4383</v>
      </c>
      <c r="O1560" s="145" t="s">
        <v>1154</v>
      </c>
      <c r="Q1560" s="312" t="s">
        <v>256</v>
      </c>
      <c r="R1560" s="313"/>
      <c r="S1560" s="1" t="s">
        <v>4243</v>
      </c>
      <c r="T1560" t="s">
        <v>1111</v>
      </c>
      <c r="U1560" t="s">
        <v>4245</v>
      </c>
      <c r="V1560">
        <v>0</v>
      </c>
      <c r="W1560">
        <v>0</v>
      </c>
      <c r="X1560">
        <v>0</v>
      </c>
      <c r="Y1560">
        <v>0</v>
      </c>
      <c r="Z1560">
        <v>0</v>
      </c>
      <c r="AA1560">
        <v>0</v>
      </c>
      <c r="AB1560">
        <v>0</v>
      </c>
      <c r="AC1560">
        <v>0</v>
      </c>
      <c r="AD1560">
        <v>0</v>
      </c>
      <c r="AE1560">
        <v>0</v>
      </c>
      <c r="AF1560">
        <v>0</v>
      </c>
      <c r="AG1560">
        <v>0</v>
      </c>
      <c r="AH1560">
        <v>0</v>
      </c>
      <c r="AI1560">
        <v>0</v>
      </c>
      <c r="AJ1560">
        <v>0</v>
      </c>
      <c r="AK1560">
        <v>1</v>
      </c>
      <c r="AL1560">
        <v>0</v>
      </c>
      <c r="AM1560">
        <v>0</v>
      </c>
      <c r="AN1560">
        <v>0</v>
      </c>
      <c r="AO1560">
        <v>0</v>
      </c>
      <c r="AP1560">
        <v>0</v>
      </c>
      <c r="AQ1560">
        <v>0</v>
      </c>
      <c r="AR1560">
        <v>0</v>
      </c>
      <c r="AS1560">
        <v>0</v>
      </c>
      <c r="AT1560">
        <v>0</v>
      </c>
      <c r="AU1560">
        <v>0</v>
      </c>
      <c r="AV1560">
        <v>0</v>
      </c>
      <c r="AW1560">
        <v>0</v>
      </c>
      <c r="AX1560" s="141">
        <f>COUNTIF(V1560:AW1560,"&lt;&gt;0")</f>
        <v>1</v>
      </c>
      <c r="AY1560" s="141">
        <f>COUNTIF(V1560:AL1560,"&lt;&gt;0")</f>
        <v>1</v>
      </c>
      <c r="AZ1560">
        <f>COUNTIF(V1560:AC1560,"&lt;&gt;0")</f>
        <v>0</v>
      </c>
      <c r="BA1560">
        <f>COUNTIF(AD1560:AI1560,"&lt;&gt;0")</f>
        <v>0</v>
      </c>
      <c r="BB1560">
        <f>COUNTIF(AJ1560:AL1560,"&lt;&gt;0")</f>
        <v>1</v>
      </c>
      <c r="BC1560">
        <f>COUNTIF(AS1560:AW1560,"&lt;&gt;0")</f>
        <v>0</v>
      </c>
      <c r="BD1560">
        <f>COUNTIF(AM1560:AR1560,"&lt;&gt;0")</f>
        <v>0</v>
      </c>
      <c r="BE1560" t="str" cm="1">
        <f t="array" ref="BE1560">IF(AY1560=1,INDEX($V$7:$AL$7,MATCH(TRUE,INDEX($V1560:$AW1560&lt;&gt;0,),0)),IF(AY1560=0,INDEX($AM$7:$AW$7,MATCH(1,$AM1560:$AW1560,0)),IF(BF1560="Multiple strategies","mixed drivers",IF(BF1560="Supply chain","multiple supply","multiple silviculture"))))</f>
        <v>technologies/design switch</v>
      </c>
      <c r="BF1560" s="2" t="str" cm="1">
        <f t="array" ref="BF1560">IF(COUNTIF(AZ1560:BB1560,"&lt;&gt;0")=1,INDEX($V$4:$AW$4,MATCH(TRUE,INDEX($V1560:$AW1560&lt;&gt;0,),0)),IF(COUNTIF(AZ1560:BB1560,"&lt;&gt;0")=0,INDEX($AM$4:$AW$4,MATCH(1,$AM1560:$AW1560,0)),"Multiple strategies"))</f>
        <v>Technology</v>
      </c>
      <c r="BH1560" t="s">
        <v>4241</v>
      </c>
      <c r="BP1560" t="s">
        <v>232</v>
      </c>
      <c r="BR1560" t="s">
        <v>2325</v>
      </c>
      <c r="BS1560">
        <v>-803.28358208955206</v>
      </c>
      <c r="BT1560">
        <v>-588.35820895522397</v>
      </c>
      <c r="BU1560" s="144">
        <f>IFERROR(BT1560/BS1560,"")</f>
        <v>0.73244147157190664</v>
      </c>
      <c r="BV1560" s="144">
        <f>BT1560-BS1560</f>
        <v>214.92537313432808</v>
      </c>
      <c r="BW1560" s="144"/>
      <c r="BX1560">
        <f>BV1560*10^6</f>
        <v>214925373.1343281</v>
      </c>
      <c r="BY1560" t="str">
        <f>IFERROR(BX1560/BO1560,"")</f>
        <v/>
      </c>
      <c r="BZ1560">
        <v>0</v>
      </c>
      <c r="CA1560">
        <v>0</v>
      </c>
      <c r="CB1560">
        <v>0</v>
      </c>
      <c r="CC1560">
        <v>0</v>
      </c>
      <c r="CD1560">
        <v>0</v>
      </c>
      <c r="CE1560">
        <v>0</v>
      </c>
      <c r="CF1560">
        <v>0</v>
      </c>
      <c r="CG1560">
        <v>0</v>
      </c>
      <c r="CH1560">
        <v>0</v>
      </c>
      <c r="CI1560">
        <v>0</v>
      </c>
      <c r="CJ1560">
        <v>0</v>
      </c>
      <c r="CK1560">
        <v>0</v>
      </c>
      <c r="CL1560">
        <v>0</v>
      </c>
      <c r="CM1560">
        <v>0</v>
      </c>
      <c r="CN1560" t="str">
        <f>IF(BL1560&lt;BK1560,"refNeedCorrection","refOK")</f>
        <v>refOK</v>
      </c>
      <c r="CO1560"/>
      <c r="CP1560"/>
      <c r="CQ1560"/>
      <c r="CR1560">
        <f>IF($CN1560="refOK",$BS1560,$BT1560)*IF($BP1560="Emissions positive",-1,1)</f>
        <v>-803.28358208955206</v>
      </c>
      <c r="CS1560">
        <f>IF($CN1560="refOK",$BT1560,$BS1560)*IF($BP1560="Emissions positive",-1,1)</f>
        <v>-588.35820895522397</v>
      </c>
      <c r="CT1560">
        <f>IF($CN1560="refNeedCorrection",-BX1560,BX1560)*IF($BP1560="Emissions positive",-1,1)</f>
        <v>214925373.1343281</v>
      </c>
      <c r="CU1560" t="str">
        <f>IFERROR(CT1560/CQ1560,"")</f>
        <v/>
      </c>
      <c r="CV1560" s="2">
        <f>IFERROR((CS1560-CR1560)/ABS(CR1560),"")</f>
        <v>0.26755852842809336</v>
      </c>
      <c r="CW1560" s="1" t="s">
        <v>1203</v>
      </c>
      <c r="CX1560" s="312" t="str">
        <f>IF(OR($CW1560="prd",$CW1560="std",$CW1560="cit"),"loc",IF(OR($CW1560="eur",$CW1560="reg",$CW1560="coy"),"reg",$CW1560))</f>
        <v>reg</v>
      </c>
      <c r="CY1560" t="s">
        <v>574</v>
      </c>
      <c r="CZ1560">
        <v>2050</v>
      </c>
      <c r="DA1560">
        <v>2050</v>
      </c>
      <c r="DB1560">
        <f>DA1560-CZ1560</f>
        <v>0</v>
      </c>
      <c r="DC1560" t="str">
        <f>IF(DB1560=0,"0",IF(AND(DB1560&gt;=1,DB1560&lt;=30),"1-30",IF(AND(DB1560&gt;30,DB1560&lt;=70),"31-70",IF(AND(DB1560&gt;70,DB1560&lt;=100),"71-100",IF(DB1560&gt;100,"+100")))))</f>
        <v>0</v>
      </c>
      <c r="DD1560">
        <v>0</v>
      </c>
      <c r="DE1560">
        <v>0</v>
      </c>
      <c r="DF1560">
        <v>0</v>
      </c>
      <c r="DG1560">
        <v>1</v>
      </c>
      <c r="DI1560">
        <f>SUM(DD1560:DG1560)</f>
        <v>1</v>
      </c>
      <c r="DJ1560" t="str">
        <f>IF(DI1560=1,INDEX($DD$7:$DG$7,MATCH(1,$DD1560:$DG1560,0)),"mixedProduct")</f>
        <v>TimberInput</v>
      </c>
      <c r="DK1560">
        <f>IF(DD1560=1,DK$7,0)</f>
        <v>0</v>
      </c>
      <c r="DL1560">
        <f>IF(DE1560=1,DL$7,0)</f>
        <v>0</v>
      </c>
      <c r="DM1560">
        <f>IF(DF1560=1,DM$7,0)</f>
        <v>0</v>
      </c>
      <c r="DN1560" t="str">
        <f>IF(DG1560=1,DN$7,0)</f>
        <v>Timber</v>
      </c>
      <c r="DO1560">
        <v>0</v>
      </c>
      <c r="DP1560">
        <v>0</v>
      </c>
      <c r="DQ1560">
        <v>0</v>
      </c>
      <c r="DR1560">
        <v>0</v>
      </c>
      <c r="DS1560">
        <v>0</v>
      </c>
      <c r="DT1560">
        <f>SUM(DO1560:DP1560)</f>
        <v>0</v>
      </c>
      <c r="DU1560" s="143" t="str">
        <f>IF(DO1560=1,"self-calculated DF",IF(DP1560=1,"external DF used","explicit C balance"))</f>
        <v>explicit C balance</v>
      </c>
      <c r="DV1560">
        <v>0</v>
      </c>
      <c r="DW1560">
        <v>0</v>
      </c>
      <c r="DX1560">
        <v>0</v>
      </c>
      <c r="DY1560">
        <v>0</v>
      </c>
      <c r="DZ1560">
        <v>0</v>
      </c>
      <c r="EA1560" s="143">
        <v>0</v>
      </c>
      <c r="EB1560">
        <v>1</v>
      </c>
      <c r="EC1560">
        <v>1</v>
      </c>
      <c r="ED1560">
        <v>0</v>
      </c>
      <c r="EE1560">
        <v>0</v>
      </c>
      <c r="EF1560">
        <v>0</v>
      </c>
      <c r="EG1560">
        <v>1</v>
      </c>
      <c r="EH1560">
        <v>0</v>
      </c>
      <c r="EI1560" s="2">
        <v>0</v>
      </c>
      <c r="EK1560" t="str">
        <f>IF(AND(AND(AND(OR($DX1560=1,$DW1560=1),OR($EC1560=1,$EA1560=1)),SUM($DV1560:$DZ1560,$EF1560)&gt;=3),SUM($EA1560:$EE1560)&gt;=2),"Whole sector","")</f>
        <v/>
      </c>
      <c r="EL1560" t="str">
        <f>IF(AND(AND(OR($DX1560=1,$DW1560=1),AND($EC1560=0,$EA1560=0)),SUM($DV1560:$DZ1560,$EF1560)&gt;=3),"Ecosystem approach","")</f>
        <v/>
      </c>
      <c r="EM1560" s="2" t="str">
        <f>IF(AND(AND(AND($DX1560=0,$DW1560=0),OR($EC1560=1,$EA1560=1)),SUM($EB1560:$EE1560)&gt;=2),"Technology approach","")</f>
        <v>Technology approach</v>
      </c>
      <c r="EN1560" t="s">
        <v>4242</v>
      </c>
      <c r="EP1560" t="b">
        <f>IF(ISNUMBER(BU1560),IF(ABS(BU1560-[5]QC_indicators!$B$2)&gt;3*[5]QC_indicators!$C$2,"C ratio",IF(ISNUMBER(BY1560),IF(ABS(BY1560-[5]QC_indicators!$B$1)&gt;3*[5]QC_indicators!$C$1,"DF","no"))),IF(ISNUMBER(BY1560),IF(ABS(BY1560-[5]QC_indicators!$B$1)&gt;3*[5]QC_indicators!$C$1,"DF","no")))</f>
        <v>0</v>
      </c>
    </row>
    <row r="1561" spans="1:148">
      <c r="A1561" s="1" t="s">
        <v>4246</v>
      </c>
      <c r="B1561" t="s">
        <v>4247</v>
      </c>
      <c r="C1561" t="s">
        <v>4248</v>
      </c>
      <c r="D1561" t="s">
        <v>4249</v>
      </c>
      <c r="E1561" t="s">
        <v>4250</v>
      </c>
      <c r="F1561" t="s">
        <v>4251</v>
      </c>
      <c r="G1561" t="s">
        <v>4252</v>
      </c>
      <c r="H1561" t="s">
        <v>254</v>
      </c>
      <c r="I1561">
        <v>2018</v>
      </c>
      <c r="J1561">
        <v>6</v>
      </c>
      <c r="K1561" t="s">
        <v>4253</v>
      </c>
      <c r="M1561" t="str">
        <f>LEFT($D1561,FIND(",",$D1561)-1)&amp;"_"&amp;I1561&amp;L1561</f>
        <v>Tuomasjukka_2018</v>
      </c>
      <c r="N1561" s="312" t="s">
        <v>4383</v>
      </c>
      <c r="O1561" s="145" t="s">
        <v>1154</v>
      </c>
      <c r="Q1561" s="312" t="s">
        <v>256</v>
      </c>
      <c r="R1561" s="313"/>
      <c r="S1561" s="1" t="s">
        <v>4254</v>
      </c>
      <c r="T1561" t="s">
        <v>2444</v>
      </c>
      <c r="U1561" t="s">
        <v>4255</v>
      </c>
      <c r="V1561">
        <v>0</v>
      </c>
      <c r="W1561">
        <v>0</v>
      </c>
      <c r="X1561">
        <v>0</v>
      </c>
      <c r="Y1561">
        <v>0</v>
      </c>
      <c r="Z1561">
        <v>0</v>
      </c>
      <c r="AA1561">
        <v>0</v>
      </c>
      <c r="AB1561">
        <v>0</v>
      </c>
      <c r="AC1561">
        <v>0</v>
      </c>
      <c r="AD1561">
        <v>0</v>
      </c>
      <c r="AE1561">
        <v>0</v>
      </c>
      <c r="AF1561">
        <v>0</v>
      </c>
      <c r="AG1561">
        <v>0</v>
      </c>
      <c r="AH1561">
        <v>0</v>
      </c>
      <c r="AI1561">
        <v>0</v>
      </c>
      <c r="AJ1561">
        <v>1</v>
      </c>
      <c r="AK1561">
        <v>0</v>
      </c>
      <c r="AL1561">
        <v>0</v>
      </c>
      <c r="AM1561">
        <v>0</v>
      </c>
      <c r="AN1561">
        <v>0</v>
      </c>
      <c r="AO1561">
        <v>0</v>
      </c>
      <c r="AP1561">
        <v>0</v>
      </c>
      <c r="AQ1561">
        <v>0</v>
      </c>
      <c r="AR1561">
        <v>0</v>
      </c>
      <c r="AS1561">
        <v>0</v>
      </c>
      <c r="AT1561">
        <v>0</v>
      </c>
      <c r="AU1561">
        <v>0</v>
      </c>
      <c r="AV1561">
        <v>0</v>
      </c>
      <c r="AW1561">
        <v>0</v>
      </c>
      <c r="AX1561" s="141">
        <f>COUNTIF(V1561:AW1561,"&lt;&gt;0")</f>
        <v>1</v>
      </c>
      <c r="AY1561" s="141">
        <f>COUNTIF(V1561:AL1561,"&lt;&gt;0")</f>
        <v>1</v>
      </c>
      <c r="AZ1561">
        <f>COUNTIF(V1561:AC1561,"&lt;&gt;0")</f>
        <v>0</v>
      </c>
      <c r="BA1561">
        <f>COUNTIF(AD1561:AI1561,"&lt;&gt;0")</f>
        <v>0</v>
      </c>
      <c r="BB1561">
        <f>COUNTIF(AJ1561:AL1561,"&lt;&gt;0")</f>
        <v>1</v>
      </c>
      <c r="BC1561">
        <f>COUNTIF(AS1561:AW1561,"&lt;&gt;0")</f>
        <v>0</v>
      </c>
      <c r="BD1561">
        <f>COUNTIF(AM1561:AR1561,"&lt;&gt;0")</f>
        <v>0</v>
      </c>
      <c r="BE1561" t="str" cm="1">
        <f t="array" ref="BE1561">IF(AY1561=1,INDEX($V$7:$AL$7,MATCH(TRUE,INDEX($V1561:$AW1561&lt;&gt;0,),0)),IF(AY1561=0,INDEX($AM$7:$AW$7,MATCH(1,$AM1561:$AW1561,0)),IF(BF1561="Multiple strategies","mixed drivers",IF(BF1561="Supply chain","multiple supply","multiple silviculture"))))</f>
        <v>efficiency improvement</v>
      </c>
      <c r="BF1561" s="2" t="str" cm="1">
        <f t="array" ref="BF1561">IF(COUNTIF(AZ1561:BB1561,"&lt;&gt;0")=1,INDEX($V$4:$AW$4,MATCH(TRUE,INDEX($V1561:$AW1561&lt;&gt;0,),0)),IF(COUNTIF(AZ1561:BB1561,"&lt;&gt;0")=0,INDEX($AM$4:$AW$4,MATCH(1,$AM1561:$AW1561,0)),"Multiple strategies"))</f>
        <v>Technology</v>
      </c>
      <c r="BM1561" s="143"/>
      <c r="BN1561" s="143"/>
      <c r="BP1561" t="s">
        <v>232</v>
      </c>
      <c r="BR1561" t="s">
        <v>4256</v>
      </c>
      <c r="BS1561">
        <v>-2.15</v>
      </c>
      <c r="BT1561">
        <v>-2.0099999999999998</v>
      </c>
      <c r="BU1561" s="144">
        <f>IFERROR(BT1561/BS1561,"")</f>
        <v>0.93488372093023253</v>
      </c>
      <c r="BV1561" s="144">
        <f>BT1561-BS1561</f>
        <v>0.14000000000000012</v>
      </c>
      <c r="BW1561" s="144"/>
      <c r="BX1561" s="144"/>
      <c r="BY1561" t="str">
        <f>IFERROR(BX1561/BO1561,"")</f>
        <v/>
      </c>
      <c r="BZ1561">
        <v>0</v>
      </c>
      <c r="CA1561">
        <v>0</v>
      </c>
      <c r="CB1561">
        <v>0</v>
      </c>
      <c r="CC1561">
        <v>0</v>
      </c>
      <c r="CD1561">
        <v>0</v>
      </c>
      <c r="CE1561">
        <v>0</v>
      </c>
      <c r="CF1561">
        <v>0</v>
      </c>
      <c r="CG1561">
        <v>0</v>
      </c>
      <c r="CH1561">
        <v>0</v>
      </c>
      <c r="CI1561">
        <v>0</v>
      </c>
      <c r="CJ1561">
        <v>0</v>
      </c>
      <c r="CK1561">
        <v>0</v>
      </c>
      <c r="CL1561">
        <v>0</v>
      </c>
      <c r="CM1561">
        <v>0</v>
      </c>
      <c r="CN1561" t="str">
        <f>IF(BL1561&lt;BK1561,"refNeedCorrection","refOK")</f>
        <v>refOK</v>
      </c>
      <c r="CO1561"/>
      <c r="CP1561"/>
      <c r="CQ1561"/>
      <c r="CR1561">
        <f>IF($CN1561="refOK",$BS1561,$BT1561)*IF($BP1561="Emissions positive",-1,1)</f>
        <v>-2.15</v>
      </c>
      <c r="CS1561">
        <f>IF($CN1561="refOK",$BT1561,$BS1561)*IF($BP1561="Emissions positive",-1,1)</f>
        <v>-2.0099999999999998</v>
      </c>
      <c r="CT1561">
        <f>IF($CN1561="refNeedCorrection",-BX1561,BX1561)*IF($BP1561="Emissions positive",-1,1)</f>
        <v>0</v>
      </c>
      <c r="CU1561" t="str">
        <f>IFERROR(CT1561/CQ1561,"")</f>
        <v/>
      </c>
      <c r="CV1561" s="2">
        <f>IFERROR((CS1561-CR1561)/ABS(CR1561),"")</f>
        <v>6.5116279069767496E-2</v>
      </c>
      <c r="CW1561" s="1" t="s">
        <v>1231</v>
      </c>
      <c r="CX1561" s="312" t="str">
        <f>IF(OR($CW1561="prd",$CW1561="std",$CW1561="cit"),"loc",IF(OR($CW1561="eur",$CW1561="reg",$CW1561="coy"),"reg",$CW1561))</f>
        <v>reg</v>
      </c>
      <c r="CY1561" s="312" t="s">
        <v>743</v>
      </c>
      <c r="DB1561">
        <f>DA1561-CZ1561</f>
        <v>0</v>
      </c>
      <c r="DC1561" t="str">
        <f>IF(DB1561=0,"0",IF(AND(DB1561&gt;=1,DB1561&lt;=30),"1-30",IF(AND(DB1561&gt;30,DB1561&lt;=70),"31-70",IF(AND(DB1561&gt;70,DB1561&lt;=100),"71-100",IF(DB1561&gt;100,"+100")))))</f>
        <v>0</v>
      </c>
      <c r="DD1561">
        <v>0</v>
      </c>
      <c r="DE1561">
        <v>1</v>
      </c>
      <c r="DF1561">
        <v>0</v>
      </c>
      <c r="DG1561">
        <v>0</v>
      </c>
      <c r="DI1561">
        <f>SUM(DD1561:DG1561)</f>
        <v>1</v>
      </c>
      <c r="DJ1561" t="str">
        <f>IF(DI1561=1,INDEX($DD$7:$DG$7,MATCH(1,$DD1561:$DG1561,0)),"mixedProduct")</f>
        <v>EnergyInput</v>
      </c>
      <c r="DK1561">
        <f>IF(DD1561=1,DK$7,0)</f>
        <v>0</v>
      </c>
      <c r="DL1561" t="str">
        <f>IF(DE1561=1,DL$7,0)</f>
        <v>Energy</v>
      </c>
      <c r="DM1561">
        <f>IF(DF1561=1,DM$7,0)</f>
        <v>0</v>
      </c>
      <c r="DN1561">
        <f>IF(DG1561=1,DN$7,0)</f>
        <v>0</v>
      </c>
      <c r="DO1561">
        <v>0</v>
      </c>
      <c r="DP1561">
        <v>0</v>
      </c>
      <c r="DQ1561">
        <v>0</v>
      </c>
      <c r="DR1561">
        <v>0</v>
      </c>
      <c r="DS1561">
        <v>0</v>
      </c>
      <c r="DT1561">
        <f>SUM(DO1561:DP1561)</f>
        <v>0</v>
      </c>
      <c r="DU1561" s="143" t="str">
        <f>IF(DO1561=1,"self-calculated DF",IF(DP1561=1,"external DF used","explicit C balance"))</f>
        <v>explicit C balance</v>
      </c>
      <c r="DV1561">
        <v>0</v>
      </c>
      <c r="DW1561">
        <v>0</v>
      </c>
      <c r="DX1561">
        <v>0</v>
      </c>
      <c r="DY1561">
        <v>0</v>
      </c>
      <c r="DZ1561">
        <v>0</v>
      </c>
      <c r="EA1561" s="143">
        <v>0</v>
      </c>
      <c r="EB1561">
        <v>1</v>
      </c>
      <c r="EC1561">
        <v>0</v>
      </c>
      <c r="ED1561">
        <v>0</v>
      </c>
      <c r="EE1561">
        <v>0</v>
      </c>
      <c r="EF1561">
        <v>0</v>
      </c>
      <c r="EG1561">
        <v>0</v>
      </c>
      <c r="EH1561">
        <v>0</v>
      </c>
      <c r="EI1561" s="2">
        <v>0</v>
      </c>
      <c r="EK1561" t="str">
        <f>IF(AND(AND(AND(OR($DX1561=1,$DW1561=1),OR($EC1561=1,$EA1561=1)),SUM($DV1561:$DZ1561,$EF1561)&gt;=3),SUM($EA1561:$EE1561)&gt;=2),"Whole sector","")</f>
        <v/>
      </c>
      <c r="EL1561" t="str">
        <f>IF(AND(AND(OR($DX1561=1,$DW1561=1),AND($EC1561=0,$EA1561=0)),SUM($DV1561:$DZ1561,$EF1561)&gt;=3),"Ecosystem approach","")</f>
        <v/>
      </c>
      <c r="EM1561" s="2" t="str">
        <f>IF(AND(AND(AND($DX1561=0,$DW1561=0),OR($EC1561=1,$EA1561=1)),SUM($EB1561:$EE1561)&gt;=2),"Technology approach","")</f>
        <v/>
      </c>
      <c r="EP1561" t="b">
        <f>IF(ISNUMBER(BU1561),IF(ABS(BU1561-[5]QC_indicators!$B$2)&gt;3*[5]QC_indicators!$C$2,"C ratio",IF(ISNUMBER(BY1561),IF(ABS(BY1561-[5]QC_indicators!$B$1)&gt;3*[5]QC_indicators!$C$1,"DF","no"))),IF(ISNUMBER(BY1561),IF(ABS(BY1561-[5]QC_indicators!$B$1)&gt;3*[5]QC_indicators!$C$1,"DF","no")))</f>
        <v>0</v>
      </c>
    </row>
    <row r="1562" spans="1:148">
      <c r="A1562" s="1" t="s">
        <v>4246</v>
      </c>
      <c r="B1562" t="s">
        <v>4247</v>
      </c>
      <c r="C1562" t="s">
        <v>4248</v>
      </c>
      <c r="D1562" t="s">
        <v>4249</v>
      </c>
      <c r="E1562" t="s">
        <v>4250</v>
      </c>
      <c r="F1562" t="s">
        <v>4251</v>
      </c>
      <c r="G1562" t="s">
        <v>4252</v>
      </c>
      <c r="H1562" t="s">
        <v>254</v>
      </c>
      <c r="I1562">
        <v>2018</v>
      </c>
      <c r="J1562">
        <v>6</v>
      </c>
      <c r="K1562" t="s">
        <v>4253</v>
      </c>
      <c r="M1562" t="str">
        <f>LEFT($D1562,FIND(",",$D1562)-1)&amp;"_"&amp;I1562&amp;L1562</f>
        <v>Tuomasjukka_2018</v>
      </c>
      <c r="N1562" s="312" t="s">
        <v>4383</v>
      </c>
      <c r="O1562" s="145" t="s">
        <v>1154</v>
      </c>
      <c r="Q1562" s="312" t="s">
        <v>256</v>
      </c>
      <c r="R1562" s="313"/>
      <c r="S1562" s="1" t="s">
        <v>4254</v>
      </c>
      <c r="T1562" t="s">
        <v>2444</v>
      </c>
      <c r="U1562" t="s">
        <v>4255</v>
      </c>
      <c r="V1562">
        <v>0</v>
      </c>
      <c r="W1562">
        <v>0</v>
      </c>
      <c r="X1562">
        <v>0</v>
      </c>
      <c r="Y1562">
        <v>0</v>
      </c>
      <c r="Z1562">
        <v>0</v>
      </c>
      <c r="AA1562">
        <v>0</v>
      </c>
      <c r="AB1562">
        <v>0</v>
      </c>
      <c r="AC1562">
        <v>0</v>
      </c>
      <c r="AD1562">
        <v>0</v>
      </c>
      <c r="AE1562">
        <v>0</v>
      </c>
      <c r="AF1562">
        <v>0</v>
      </c>
      <c r="AG1562">
        <v>0</v>
      </c>
      <c r="AH1562">
        <v>0</v>
      </c>
      <c r="AI1562">
        <v>0</v>
      </c>
      <c r="AJ1562">
        <v>1</v>
      </c>
      <c r="AK1562">
        <v>0</v>
      </c>
      <c r="AL1562">
        <v>0</v>
      </c>
      <c r="AM1562">
        <v>0</v>
      </c>
      <c r="AN1562">
        <v>0</v>
      </c>
      <c r="AO1562">
        <v>0</v>
      </c>
      <c r="AP1562">
        <v>0</v>
      </c>
      <c r="AQ1562">
        <v>0</v>
      </c>
      <c r="AR1562">
        <v>0</v>
      </c>
      <c r="AS1562">
        <v>0</v>
      </c>
      <c r="AT1562">
        <v>0</v>
      </c>
      <c r="AU1562">
        <v>0</v>
      </c>
      <c r="AV1562">
        <v>0</v>
      </c>
      <c r="AW1562">
        <v>0</v>
      </c>
      <c r="AX1562" s="141">
        <f>COUNTIF(V1562:AW1562,"&lt;&gt;0")</f>
        <v>1</v>
      </c>
      <c r="AY1562" s="141">
        <f>COUNTIF(V1562:AL1562,"&lt;&gt;0")</f>
        <v>1</v>
      </c>
      <c r="AZ1562">
        <f>COUNTIF(V1562:AC1562,"&lt;&gt;0")</f>
        <v>0</v>
      </c>
      <c r="BA1562">
        <f>COUNTIF(AD1562:AI1562,"&lt;&gt;0")</f>
        <v>0</v>
      </c>
      <c r="BB1562">
        <f>COUNTIF(AJ1562:AL1562,"&lt;&gt;0")</f>
        <v>1</v>
      </c>
      <c r="BC1562">
        <f>COUNTIF(AS1562:AW1562,"&lt;&gt;0")</f>
        <v>0</v>
      </c>
      <c r="BD1562">
        <f>COUNTIF(AM1562:AR1562,"&lt;&gt;0")</f>
        <v>0</v>
      </c>
      <c r="BE1562" t="str" cm="1">
        <f t="array" ref="BE1562">IF(AY1562=1,INDEX($V$7:$AL$7,MATCH(TRUE,INDEX($V1562:$AW1562&lt;&gt;0,),0)),IF(AY1562=0,INDEX($AM$7:$AW$7,MATCH(1,$AM1562:$AW1562,0)),IF(BF1562="Multiple strategies","mixed drivers",IF(BF1562="Supply chain","multiple supply","multiple silviculture"))))</f>
        <v>efficiency improvement</v>
      </c>
      <c r="BF1562" s="2" t="str" cm="1">
        <f t="array" ref="BF1562">IF(COUNTIF(AZ1562:BB1562,"&lt;&gt;0")=1,INDEX($V$4:$AW$4,MATCH(TRUE,INDEX($V1562:$AW1562&lt;&gt;0,),0)),IF(COUNTIF(AZ1562:BB1562,"&lt;&gt;0")=0,INDEX($AM$4:$AW$4,MATCH(1,$AM1562:$AW1562,0)),"Multiple strategies"))</f>
        <v>Technology</v>
      </c>
      <c r="BM1562" s="143"/>
      <c r="BN1562" s="143"/>
      <c r="BP1562" t="s">
        <v>232</v>
      </c>
      <c r="BR1562" t="s">
        <v>4256</v>
      </c>
      <c r="BS1562">
        <v>-2.15</v>
      </c>
      <c r="BT1562">
        <v>-2.08</v>
      </c>
      <c r="BU1562" s="144">
        <f>IFERROR(BT1562/BS1562,"")</f>
        <v>0.96744186046511638</v>
      </c>
      <c r="BV1562" s="144">
        <f>BT1562-BS1562</f>
        <v>6.999999999999984E-2</v>
      </c>
      <c r="BW1562" s="144"/>
      <c r="BX1562" s="144"/>
      <c r="BY1562" t="str">
        <f>IFERROR(BX1562/BO1562,"")</f>
        <v/>
      </c>
      <c r="BZ1562">
        <v>0</v>
      </c>
      <c r="CA1562">
        <v>0</v>
      </c>
      <c r="CB1562">
        <v>0</v>
      </c>
      <c r="CC1562">
        <v>0</v>
      </c>
      <c r="CD1562">
        <v>0</v>
      </c>
      <c r="CE1562">
        <v>0</v>
      </c>
      <c r="CF1562">
        <v>0</v>
      </c>
      <c r="CG1562">
        <v>0</v>
      </c>
      <c r="CH1562">
        <v>0</v>
      </c>
      <c r="CI1562">
        <v>0</v>
      </c>
      <c r="CJ1562">
        <v>0</v>
      </c>
      <c r="CK1562">
        <v>0</v>
      </c>
      <c r="CL1562">
        <v>0</v>
      </c>
      <c r="CM1562">
        <v>0</v>
      </c>
      <c r="CN1562" t="str">
        <f>IF(BL1562&lt;BK1562,"refNeedCorrection","refOK")</f>
        <v>refOK</v>
      </c>
      <c r="CO1562"/>
      <c r="CP1562"/>
      <c r="CQ1562"/>
      <c r="CR1562">
        <f>IF($CN1562="refOK",$BS1562,$BT1562)*IF($BP1562="Emissions positive",-1,1)</f>
        <v>-2.15</v>
      </c>
      <c r="CS1562">
        <f>IF($CN1562="refOK",$BT1562,$BS1562)*IF($BP1562="Emissions positive",-1,1)</f>
        <v>-2.08</v>
      </c>
      <c r="CT1562">
        <f>IF($CN1562="refNeedCorrection",-BX1562,BX1562)*IF($BP1562="Emissions positive",-1,1)</f>
        <v>0</v>
      </c>
      <c r="CU1562" t="str">
        <f>IFERROR(CT1562/CQ1562,"")</f>
        <v/>
      </c>
      <c r="CV1562" s="2">
        <f>IFERROR((CS1562-CR1562)/ABS(CR1562),"")</f>
        <v>3.2558139534883651E-2</v>
      </c>
      <c r="CW1562" s="1" t="s">
        <v>1231</v>
      </c>
      <c r="CX1562" s="312" t="str">
        <f>IF(OR($CW1562="prd",$CW1562="std",$CW1562="cit"),"loc",IF(OR($CW1562="eur",$CW1562="reg",$CW1562="coy"),"reg",$CW1562))</f>
        <v>reg</v>
      </c>
      <c r="CY1562" s="312" t="s">
        <v>743</v>
      </c>
      <c r="DB1562">
        <f>DA1562-CZ1562</f>
        <v>0</v>
      </c>
      <c r="DC1562" t="str">
        <f>IF(DB1562=0,"0",IF(AND(DB1562&gt;=1,DB1562&lt;=30),"1-30",IF(AND(DB1562&gt;30,DB1562&lt;=70),"31-70",IF(AND(DB1562&gt;70,DB1562&lt;=100),"71-100",IF(DB1562&gt;100,"+100")))))</f>
        <v>0</v>
      </c>
      <c r="DD1562">
        <v>0</v>
      </c>
      <c r="DE1562">
        <v>1</v>
      </c>
      <c r="DF1562">
        <v>0</v>
      </c>
      <c r="DG1562">
        <v>0</v>
      </c>
      <c r="DI1562">
        <f>SUM(DD1562:DG1562)</f>
        <v>1</v>
      </c>
      <c r="DJ1562" t="str">
        <f>IF(DI1562=1,INDEX($DD$7:$DG$7,MATCH(1,$DD1562:$DG1562,0)),"mixedProduct")</f>
        <v>EnergyInput</v>
      </c>
      <c r="DK1562">
        <f>IF(DD1562=1,DK$7,0)</f>
        <v>0</v>
      </c>
      <c r="DL1562" t="str">
        <f>IF(DE1562=1,DL$7,0)</f>
        <v>Energy</v>
      </c>
      <c r="DM1562">
        <f>IF(DF1562=1,DM$7,0)</f>
        <v>0</v>
      </c>
      <c r="DN1562">
        <f>IF(DG1562=1,DN$7,0)</f>
        <v>0</v>
      </c>
      <c r="DO1562">
        <v>0</v>
      </c>
      <c r="DP1562">
        <v>0</v>
      </c>
      <c r="DQ1562">
        <v>0</v>
      </c>
      <c r="DR1562">
        <v>0</v>
      </c>
      <c r="DS1562">
        <v>0</v>
      </c>
      <c r="DT1562">
        <f>SUM(DO1562:DP1562)</f>
        <v>0</v>
      </c>
      <c r="DU1562" s="143" t="str">
        <f>IF(DO1562=1,"self-calculated DF",IF(DP1562=1,"external DF used","explicit C balance"))</f>
        <v>explicit C balance</v>
      </c>
      <c r="DV1562">
        <v>0</v>
      </c>
      <c r="DW1562">
        <v>0</v>
      </c>
      <c r="DX1562">
        <v>0</v>
      </c>
      <c r="DY1562">
        <v>0</v>
      </c>
      <c r="DZ1562">
        <v>0</v>
      </c>
      <c r="EA1562" s="143">
        <v>0</v>
      </c>
      <c r="EB1562">
        <v>1</v>
      </c>
      <c r="EC1562">
        <v>0</v>
      </c>
      <c r="ED1562">
        <v>0</v>
      </c>
      <c r="EE1562">
        <v>0</v>
      </c>
      <c r="EF1562">
        <v>0</v>
      </c>
      <c r="EG1562">
        <v>0</v>
      </c>
      <c r="EH1562">
        <v>0</v>
      </c>
      <c r="EI1562" s="2">
        <v>0</v>
      </c>
      <c r="EK1562" t="str">
        <f>IF(AND(AND(AND(OR($DX1562=1,$DW1562=1),OR($EC1562=1,$EA1562=1)),SUM($DV1562:$DZ1562,$EF1562)&gt;=3),SUM($EA1562:$EE1562)&gt;=2),"Whole sector","")</f>
        <v/>
      </c>
      <c r="EL1562" t="str">
        <f>IF(AND(AND(OR($DX1562=1,$DW1562=1),AND($EC1562=0,$EA1562=0)),SUM($DV1562:$DZ1562,$EF1562)&gt;=3),"Ecosystem approach","")</f>
        <v/>
      </c>
      <c r="EM1562" s="2" t="str">
        <f>IF(AND(AND(AND($DX1562=0,$DW1562=0),OR($EC1562=1,$EA1562=1)),SUM($EB1562:$EE1562)&gt;=2),"Technology approach","")</f>
        <v/>
      </c>
      <c r="EP1562" t="b">
        <f>IF(ISNUMBER(BU1562),IF(ABS(BU1562-[5]QC_indicators!$B$2)&gt;3*[5]QC_indicators!$C$2,"C ratio",IF(ISNUMBER(BY1562),IF(ABS(BY1562-[5]QC_indicators!$B$1)&gt;3*[5]QC_indicators!$C$1,"DF","no"))),IF(ISNUMBER(BY1562),IF(ABS(BY1562-[5]QC_indicators!$B$1)&gt;3*[5]QC_indicators!$C$1,"DF","no")))</f>
        <v>0</v>
      </c>
    </row>
    <row r="1563" spans="1:148">
      <c r="A1563" s="1" t="s">
        <v>4246</v>
      </c>
      <c r="B1563" t="s">
        <v>4247</v>
      </c>
      <c r="C1563" t="s">
        <v>4248</v>
      </c>
      <c r="D1563" t="s">
        <v>4249</v>
      </c>
      <c r="E1563" t="s">
        <v>4250</v>
      </c>
      <c r="F1563" t="s">
        <v>4251</v>
      </c>
      <c r="G1563" t="s">
        <v>4252</v>
      </c>
      <c r="H1563" t="s">
        <v>254</v>
      </c>
      <c r="I1563">
        <v>2018</v>
      </c>
      <c r="J1563">
        <v>6</v>
      </c>
      <c r="K1563" t="s">
        <v>4253</v>
      </c>
      <c r="M1563" t="str">
        <f>LEFT($D1563,FIND(",",$D1563)-1)&amp;"_"&amp;I1563&amp;L1563</f>
        <v>Tuomasjukka_2018</v>
      </c>
      <c r="N1563" s="312" t="s">
        <v>4383</v>
      </c>
      <c r="O1563" s="145" t="s">
        <v>1154</v>
      </c>
      <c r="Q1563" s="312" t="s">
        <v>256</v>
      </c>
      <c r="R1563" s="313"/>
      <c r="S1563" s="1" t="s">
        <v>4257</v>
      </c>
      <c r="T1563" t="s">
        <v>2444</v>
      </c>
      <c r="U1563" t="s">
        <v>4258</v>
      </c>
      <c r="V1563">
        <v>0</v>
      </c>
      <c r="W1563">
        <v>0</v>
      </c>
      <c r="X1563">
        <v>0</v>
      </c>
      <c r="Y1563">
        <v>0</v>
      </c>
      <c r="Z1563">
        <v>0</v>
      </c>
      <c r="AA1563">
        <v>0</v>
      </c>
      <c r="AB1563">
        <v>0</v>
      </c>
      <c r="AC1563">
        <v>0</v>
      </c>
      <c r="AD1563">
        <v>0</v>
      </c>
      <c r="AE1563">
        <v>0</v>
      </c>
      <c r="AF1563">
        <v>0</v>
      </c>
      <c r="AG1563">
        <v>0</v>
      </c>
      <c r="AH1563">
        <v>0</v>
      </c>
      <c r="AI1563">
        <v>0</v>
      </c>
      <c r="AJ1563">
        <v>1</v>
      </c>
      <c r="AK1563">
        <v>0</v>
      </c>
      <c r="AL1563">
        <v>0</v>
      </c>
      <c r="AM1563">
        <v>0</v>
      </c>
      <c r="AN1563">
        <v>0</v>
      </c>
      <c r="AO1563">
        <v>0</v>
      </c>
      <c r="AP1563">
        <v>0</v>
      </c>
      <c r="AQ1563">
        <v>0</v>
      </c>
      <c r="AR1563">
        <v>0</v>
      </c>
      <c r="AS1563">
        <v>0</v>
      </c>
      <c r="AT1563">
        <v>0</v>
      </c>
      <c r="AU1563">
        <v>0</v>
      </c>
      <c r="AV1563">
        <v>0</v>
      </c>
      <c r="AW1563">
        <v>0</v>
      </c>
      <c r="AX1563" s="141">
        <f>COUNTIF(V1563:AW1563,"&lt;&gt;0")</f>
        <v>1</v>
      </c>
      <c r="AY1563" s="141">
        <f>COUNTIF(V1563:AL1563,"&lt;&gt;0")</f>
        <v>1</v>
      </c>
      <c r="AZ1563">
        <f>COUNTIF(V1563:AC1563,"&lt;&gt;0")</f>
        <v>0</v>
      </c>
      <c r="BA1563">
        <f>COUNTIF(AD1563:AI1563,"&lt;&gt;0")</f>
        <v>0</v>
      </c>
      <c r="BB1563">
        <f>COUNTIF(AJ1563:AL1563,"&lt;&gt;0")</f>
        <v>1</v>
      </c>
      <c r="BC1563">
        <f>COUNTIF(AS1563:AW1563,"&lt;&gt;0")</f>
        <v>0</v>
      </c>
      <c r="BD1563">
        <f>COUNTIF(AM1563:AR1563,"&lt;&gt;0")</f>
        <v>0</v>
      </c>
      <c r="BE1563" t="str" cm="1">
        <f t="array" ref="BE1563">IF(AY1563=1,INDEX($V$7:$AL$7,MATCH(TRUE,INDEX($V1563:$AW1563&lt;&gt;0,),0)),IF(AY1563=0,INDEX($AM$7:$AW$7,MATCH(1,$AM1563:$AW1563,0)),IF(BF1563="Multiple strategies","mixed drivers",IF(BF1563="Supply chain","multiple supply","multiple silviculture"))))</f>
        <v>efficiency improvement</v>
      </c>
      <c r="BF1563" s="2" t="str" cm="1">
        <f t="array" ref="BF1563">IF(COUNTIF(AZ1563:BB1563,"&lt;&gt;0")=1,INDEX($V$4:$AW$4,MATCH(TRUE,INDEX($V1563:$AW1563&lt;&gt;0,),0)),IF(COUNTIF(AZ1563:BB1563,"&lt;&gt;0")=0,INDEX($AM$4:$AW$4,MATCH(1,$AM1563:$AW1563,0)),"Multiple strategies"))</f>
        <v>Technology</v>
      </c>
      <c r="BM1563" s="143"/>
      <c r="BN1563" s="143"/>
      <c r="BP1563" t="s">
        <v>232</v>
      </c>
      <c r="BR1563" t="s">
        <v>4256</v>
      </c>
      <c r="BS1563">
        <v>-2.15</v>
      </c>
      <c r="BT1563">
        <v>-2.1</v>
      </c>
      <c r="BU1563" s="144">
        <f>IFERROR(BT1563/BS1563,"")</f>
        <v>0.9767441860465117</v>
      </c>
      <c r="BV1563" s="144">
        <f>BT1563-BS1563</f>
        <v>4.9999999999999822E-2</v>
      </c>
      <c r="BW1563" s="144"/>
      <c r="BX1563" s="144"/>
      <c r="BY1563" t="str">
        <f>IFERROR(BX1563/BO1563,"")</f>
        <v/>
      </c>
      <c r="BZ1563">
        <v>0</v>
      </c>
      <c r="CA1563">
        <v>0</v>
      </c>
      <c r="CB1563">
        <v>0</v>
      </c>
      <c r="CC1563">
        <v>0</v>
      </c>
      <c r="CD1563">
        <v>0</v>
      </c>
      <c r="CE1563">
        <v>0</v>
      </c>
      <c r="CF1563">
        <v>0</v>
      </c>
      <c r="CG1563">
        <v>0</v>
      </c>
      <c r="CH1563">
        <v>0</v>
      </c>
      <c r="CI1563">
        <v>0</v>
      </c>
      <c r="CJ1563">
        <v>0</v>
      </c>
      <c r="CK1563">
        <v>0</v>
      </c>
      <c r="CL1563">
        <v>0</v>
      </c>
      <c r="CM1563">
        <v>0</v>
      </c>
      <c r="CN1563" t="str">
        <f>IF(BL1563&lt;BK1563,"refNeedCorrection","refOK")</f>
        <v>refOK</v>
      </c>
      <c r="CO1563"/>
      <c r="CP1563"/>
      <c r="CQ1563"/>
      <c r="CR1563">
        <f>IF($CN1563="refOK",$BS1563,$BT1563)*IF($BP1563="Emissions positive",-1,1)</f>
        <v>-2.15</v>
      </c>
      <c r="CS1563">
        <f>IF($CN1563="refOK",$BT1563,$BS1563)*IF($BP1563="Emissions positive",-1,1)</f>
        <v>-2.1</v>
      </c>
      <c r="CT1563">
        <f>IF($CN1563="refNeedCorrection",-BX1563,BX1563)*IF($BP1563="Emissions positive",-1,1)</f>
        <v>0</v>
      </c>
      <c r="CU1563" t="str">
        <f>IFERROR(CT1563/CQ1563,"")</f>
        <v/>
      </c>
      <c r="CV1563" s="2">
        <f>IFERROR((CS1563-CR1563)/ABS(CR1563),"")</f>
        <v>2.3255813953488292E-2</v>
      </c>
      <c r="CW1563" s="1" t="s">
        <v>1231</v>
      </c>
      <c r="CX1563" s="312" t="str">
        <f>IF(OR($CW1563="prd",$CW1563="std",$CW1563="cit"),"loc",IF(OR($CW1563="eur",$CW1563="reg",$CW1563="coy"),"reg",$CW1563))</f>
        <v>reg</v>
      </c>
      <c r="CY1563" s="312" t="s">
        <v>743</v>
      </c>
      <c r="DB1563">
        <f>DA1563-CZ1563</f>
        <v>0</v>
      </c>
      <c r="DC1563" t="str">
        <f>IF(DB1563=0,"0",IF(AND(DB1563&gt;=1,DB1563&lt;=30),"1-30",IF(AND(DB1563&gt;30,DB1563&lt;=70),"31-70",IF(AND(DB1563&gt;70,DB1563&lt;=100),"71-100",IF(DB1563&gt;100,"+100")))))</f>
        <v>0</v>
      </c>
      <c r="DD1563">
        <v>0</v>
      </c>
      <c r="DE1563">
        <v>1</v>
      </c>
      <c r="DF1563">
        <v>0</v>
      </c>
      <c r="DG1563">
        <v>0</v>
      </c>
      <c r="DI1563">
        <f>SUM(DD1563:DG1563)</f>
        <v>1</v>
      </c>
      <c r="DJ1563" t="str">
        <f>IF(DI1563=1,INDEX($DD$7:$DG$7,MATCH(1,$DD1563:$DG1563,0)),"mixedProduct")</f>
        <v>EnergyInput</v>
      </c>
      <c r="DK1563">
        <f>IF(DD1563=1,DK$7,0)</f>
        <v>0</v>
      </c>
      <c r="DL1563" t="str">
        <f>IF(DE1563=1,DL$7,0)</f>
        <v>Energy</v>
      </c>
      <c r="DM1563">
        <f>IF(DF1563=1,DM$7,0)</f>
        <v>0</v>
      </c>
      <c r="DN1563">
        <f>IF(DG1563=1,DN$7,0)</f>
        <v>0</v>
      </c>
      <c r="DO1563">
        <v>0</v>
      </c>
      <c r="DP1563">
        <v>0</v>
      </c>
      <c r="DQ1563">
        <v>0</v>
      </c>
      <c r="DR1563">
        <v>0</v>
      </c>
      <c r="DS1563">
        <v>0</v>
      </c>
      <c r="DT1563">
        <f>SUM(DO1563:DP1563)</f>
        <v>0</v>
      </c>
      <c r="DU1563" s="143" t="str">
        <f>IF(DO1563=1,"self-calculated DF",IF(DP1563=1,"external DF used","explicit C balance"))</f>
        <v>explicit C balance</v>
      </c>
      <c r="DV1563">
        <v>0</v>
      </c>
      <c r="DW1563">
        <v>0</v>
      </c>
      <c r="DX1563">
        <v>0</v>
      </c>
      <c r="DY1563">
        <v>0</v>
      </c>
      <c r="DZ1563">
        <v>0</v>
      </c>
      <c r="EA1563" s="143">
        <v>0</v>
      </c>
      <c r="EB1563">
        <v>1</v>
      </c>
      <c r="EC1563">
        <v>0</v>
      </c>
      <c r="ED1563">
        <v>0</v>
      </c>
      <c r="EE1563">
        <v>0</v>
      </c>
      <c r="EF1563">
        <v>0</v>
      </c>
      <c r="EG1563">
        <v>0</v>
      </c>
      <c r="EH1563">
        <v>0</v>
      </c>
      <c r="EI1563" s="2">
        <v>0</v>
      </c>
      <c r="EK1563" t="str">
        <f>IF(AND(AND(AND(OR($DX1563=1,$DW1563=1),OR($EC1563=1,$EA1563=1)),SUM($DV1563:$DZ1563,$EF1563)&gt;=3),SUM($EA1563:$EE1563)&gt;=2),"Whole sector","")</f>
        <v/>
      </c>
      <c r="EL1563" t="str">
        <f>IF(AND(AND(OR($DX1563=1,$DW1563=1),AND($EC1563=0,$EA1563=0)),SUM($DV1563:$DZ1563,$EF1563)&gt;=3),"Ecosystem approach","")</f>
        <v/>
      </c>
      <c r="EM1563" s="2" t="str">
        <f>IF(AND(AND(AND($DX1563=0,$DW1563=0),OR($EC1563=1,$EA1563=1)),SUM($EB1563:$EE1563)&gt;=2),"Technology approach","")</f>
        <v/>
      </c>
      <c r="EP1563" t="b">
        <f>IF(ISNUMBER(BU1563),IF(ABS(BU1563-[5]QC_indicators!$B$2)&gt;3*[5]QC_indicators!$C$2,"C ratio",IF(ISNUMBER(BY1563),IF(ABS(BY1563-[5]QC_indicators!$B$1)&gt;3*[5]QC_indicators!$C$1,"DF","no"))),IF(ISNUMBER(BY1563),IF(ABS(BY1563-[5]QC_indicators!$B$1)&gt;3*[5]QC_indicators!$C$1,"DF","no")))</f>
        <v>0</v>
      </c>
    </row>
    <row r="1564" spans="1:148">
      <c r="A1564" s="1" t="s">
        <v>4246</v>
      </c>
      <c r="B1564" t="s">
        <v>4247</v>
      </c>
      <c r="C1564" t="s">
        <v>4248</v>
      </c>
      <c r="D1564" t="s">
        <v>4249</v>
      </c>
      <c r="E1564" t="s">
        <v>4250</v>
      </c>
      <c r="F1564" t="s">
        <v>4251</v>
      </c>
      <c r="G1564" t="s">
        <v>4252</v>
      </c>
      <c r="H1564" t="s">
        <v>254</v>
      </c>
      <c r="I1564">
        <v>2018</v>
      </c>
      <c r="J1564">
        <v>6</v>
      </c>
      <c r="K1564" t="s">
        <v>4253</v>
      </c>
      <c r="M1564" t="str">
        <f>LEFT($D1564,FIND(",",$D1564)-1)&amp;"_"&amp;I1564&amp;L1564</f>
        <v>Tuomasjukka_2018</v>
      </c>
      <c r="N1564" s="312" t="s">
        <v>4383</v>
      </c>
      <c r="O1564" s="145" t="s">
        <v>1154</v>
      </c>
      <c r="Q1564" s="312" t="s">
        <v>256</v>
      </c>
      <c r="R1564" s="313"/>
      <c r="S1564" s="1" t="s">
        <v>4257</v>
      </c>
      <c r="T1564" t="s">
        <v>2444</v>
      </c>
      <c r="U1564" t="s">
        <v>4259</v>
      </c>
      <c r="V1564">
        <v>0</v>
      </c>
      <c r="W1564">
        <v>0</v>
      </c>
      <c r="X1564">
        <v>0</v>
      </c>
      <c r="Y1564">
        <v>0</v>
      </c>
      <c r="Z1564">
        <v>0</v>
      </c>
      <c r="AA1564">
        <v>0</v>
      </c>
      <c r="AB1564">
        <v>0</v>
      </c>
      <c r="AC1564">
        <v>0</v>
      </c>
      <c r="AD1564">
        <v>0</v>
      </c>
      <c r="AE1564">
        <v>0</v>
      </c>
      <c r="AF1564">
        <v>0</v>
      </c>
      <c r="AG1564">
        <v>0</v>
      </c>
      <c r="AH1564">
        <v>0</v>
      </c>
      <c r="AI1564">
        <v>0</v>
      </c>
      <c r="AJ1564">
        <v>1</v>
      </c>
      <c r="AK1564">
        <v>0</v>
      </c>
      <c r="AL1564">
        <v>0</v>
      </c>
      <c r="AM1564">
        <v>0</v>
      </c>
      <c r="AN1564">
        <v>0</v>
      </c>
      <c r="AO1564">
        <v>0</v>
      </c>
      <c r="AP1564">
        <v>0</v>
      </c>
      <c r="AQ1564">
        <v>0</v>
      </c>
      <c r="AR1564">
        <v>0</v>
      </c>
      <c r="AS1564">
        <v>0</v>
      </c>
      <c r="AT1564">
        <v>0</v>
      </c>
      <c r="AU1564">
        <v>0</v>
      </c>
      <c r="AV1564">
        <v>0</v>
      </c>
      <c r="AW1564">
        <v>0</v>
      </c>
      <c r="AX1564" s="141">
        <f>COUNTIF(V1564:AW1564,"&lt;&gt;0")</f>
        <v>1</v>
      </c>
      <c r="AY1564" s="141">
        <f>COUNTIF(V1564:AL1564,"&lt;&gt;0")</f>
        <v>1</v>
      </c>
      <c r="AZ1564">
        <f>COUNTIF(V1564:AC1564,"&lt;&gt;0")</f>
        <v>0</v>
      </c>
      <c r="BA1564">
        <f>COUNTIF(AD1564:AI1564,"&lt;&gt;0")</f>
        <v>0</v>
      </c>
      <c r="BB1564">
        <f>COUNTIF(AJ1564:AL1564,"&lt;&gt;0")</f>
        <v>1</v>
      </c>
      <c r="BC1564">
        <f>COUNTIF(AS1564:AW1564,"&lt;&gt;0")</f>
        <v>0</v>
      </c>
      <c r="BD1564">
        <f>COUNTIF(AM1564:AR1564,"&lt;&gt;0")</f>
        <v>0</v>
      </c>
      <c r="BE1564" t="str" cm="1">
        <f t="array" ref="BE1564">IF(AY1564=1,INDEX($V$7:$AL$7,MATCH(TRUE,INDEX($V1564:$AW1564&lt;&gt;0,),0)),IF(AY1564=0,INDEX($AM$7:$AW$7,MATCH(1,$AM1564:$AW1564,0)),IF(BF1564="Multiple strategies","mixed drivers",IF(BF1564="Supply chain","multiple supply","multiple silviculture"))))</f>
        <v>efficiency improvement</v>
      </c>
      <c r="BF1564" s="2" t="str" cm="1">
        <f t="array" ref="BF1564">IF(COUNTIF(AZ1564:BB1564,"&lt;&gt;0")=1,INDEX($V$4:$AW$4,MATCH(TRUE,INDEX($V1564:$AW1564&lt;&gt;0,),0)),IF(COUNTIF(AZ1564:BB1564,"&lt;&gt;0")=0,INDEX($AM$4:$AW$4,MATCH(1,$AM1564:$AW1564,0)),"Multiple strategies"))</f>
        <v>Technology</v>
      </c>
      <c r="BM1564" s="143"/>
      <c r="BN1564" s="143"/>
      <c r="BP1564" t="s">
        <v>232</v>
      </c>
      <c r="BR1564" t="s">
        <v>4256</v>
      </c>
      <c r="BS1564">
        <v>-2.15</v>
      </c>
      <c r="BT1564">
        <v>-2.12</v>
      </c>
      <c r="BU1564" s="144">
        <f>IFERROR(BT1564/BS1564,"")</f>
        <v>0.98604651162790702</v>
      </c>
      <c r="BV1564" s="144">
        <f>BT1564-BS1564</f>
        <v>2.9999999999999805E-2</v>
      </c>
      <c r="BW1564" s="144"/>
      <c r="BX1564" s="144"/>
      <c r="BY1564" t="str">
        <f>IFERROR(BX1564/BO1564,"")</f>
        <v/>
      </c>
      <c r="BZ1564">
        <v>0</v>
      </c>
      <c r="CA1564">
        <v>0</v>
      </c>
      <c r="CB1564">
        <v>0</v>
      </c>
      <c r="CC1564">
        <v>0</v>
      </c>
      <c r="CD1564">
        <v>0</v>
      </c>
      <c r="CE1564">
        <v>0</v>
      </c>
      <c r="CF1564">
        <v>0</v>
      </c>
      <c r="CG1564">
        <v>0</v>
      </c>
      <c r="CH1564">
        <v>0</v>
      </c>
      <c r="CI1564">
        <v>0</v>
      </c>
      <c r="CJ1564">
        <v>0</v>
      </c>
      <c r="CK1564">
        <v>0</v>
      </c>
      <c r="CL1564">
        <v>0</v>
      </c>
      <c r="CM1564">
        <v>0</v>
      </c>
      <c r="CN1564" t="str">
        <f>IF(BL1564&lt;BK1564,"refNeedCorrection","refOK")</f>
        <v>refOK</v>
      </c>
      <c r="CO1564"/>
      <c r="CP1564"/>
      <c r="CQ1564"/>
      <c r="CR1564">
        <f>IF($CN1564="refOK",$BS1564,$BT1564)*IF($BP1564="Emissions positive",-1,1)</f>
        <v>-2.15</v>
      </c>
      <c r="CS1564">
        <f>IF($CN1564="refOK",$BT1564,$BS1564)*IF($BP1564="Emissions positive",-1,1)</f>
        <v>-2.12</v>
      </c>
      <c r="CT1564">
        <f>IF($CN1564="refNeedCorrection",-BX1564,BX1564)*IF($BP1564="Emissions positive",-1,1)</f>
        <v>0</v>
      </c>
      <c r="CU1564" t="str">
        <f>IFERROR(CT1564/CQ1564,"")</f>
        <v/>
      </c>
      <c r="CV1564" s="2">
        <f>IFERROR((CS1564-CR1564)/ABS(CR1564),"")</f>
        <v>1.3953488372092933E-2</v>
      </c>
      <c r="CW1564" s="1" t="s">
        <v>1231</v>
      </c>
      <c r="CX1564" s="312" t="str">
        <f>IF(OR($CW1564="prd",$CW1564="std",$CW1564="cit"),"loc",IF(OR($CW1564="eur",$CW1564="reg",$CW1564="coy"),"reg",$CW1564))</f>
        <v>reg</v>
      </c>
      <c r="CY1564" s="312" t="s">
        <v>743</v>
      </c>
      <c r="DB1564">
        <f>DA1564-CZ1564</f>
        <v>0</v>
      </c>
      <c r="DC1564" t="str">
        <f>IF(DB1564=0,"0",IF(AND(DB1564&gt;=1,DB1564&lt;=30),"1-30",IF(AND(DB1564&gt;30,DB1564&lt;=70),"31-70",IF(AND(DB1564&gt;70,DB1564&lt;=100),"71-100",IF(DB1564&gt;100,"+100")))))</f>
        <v>0</v>
      </c>
      <c r="DD1564">
        <v>0</v>
      </c>
      <c r="DE1564">
        <v>1</v>
      </c>
      <c r="DF1564">
        <v>0</v>
      </c>
      <c r="DG1564">
        <v>0</v>
      </c>
      <c r="DI1564">
        <f>SUM(DD1564:DG1564)</f>
        <v>1</v>
      </c>
      <c r="DJ1564" t="str">
        <f>IF(DI1564=1,INDEX($DD$7:$DG$7,MATCH(1,$DD1564:$DG1564,0)),"mixedProduct")</f>
        <v>EnergyInput</v>
      </c>
      <c r="DK1564">
        <f>IF(DD1564=1,DK$7,0)</f>
        <v>0</v>
      </c>
      <c r="DL1564" t="str">
        <f>IF(DE1564=1,DL$7,0)</f>
        <v>Energy</v>
      </c>
      <c r="DM1564">
        <f>IF(DF1564=1,DM$7,0)</f>
        <v>0</v>
      </c>
      <c r="DN1564">
        <f>IF(DG1564=1,DN$7,0)</f>
        <v>0</v>
      </c>
      <c r="DO1564">
        <v>0</v>
      </c>
      <c r="DP1564">
        <v>0</v>
      </c>
      <c r="DQ1564">
        <v>0</v>
      </c>
      <c r="DR1564">
        <v>0</v>
      </c>
      <c r="DS1564">
        <v>0</v>
      </c>
      <c r="DT1564">
        <f>SUM(DO1564:DP1564)</f>
        <v>0</v>
      </c>
      <c r="DU1564" s="143" t="str">
        <f>IF(DO1564=1,"self-calculated DF",IF(DP1564=1,"external DF used","explicit C balance"))</f>
        <v>explicit C balance</v>
      </c>
      <c r="DV1564">
        <v>0</v>
      </c>
      <c r="DW1564">
        <v>0</v>
      </c>
      <c r="DX1564">
        <v>0</v>
      </c>
      <c r="DY1564">
        <v>0</v>
      </c>
      <c r="DZ1564">
        <v>0</v>
      </c>
      <c r="EA1564" s="143">
        <v>0</v>
      </c>
      <c r="EB1564">
        <v>1</v>
      </c>
      <c r="EC1564">
        <v>0</v>
      </c>
      <c r="ED1564">
        <v>0</v>
      </c>
      <c r="EE1564">
        <v>0</v>
      </c>
      <c r="EF1564">
        <v>0</v>
      </c>
      <c r="EG1564">
        <v>0</v>
      </c>
      <c r="EH1564">
        <v>0</v>
      </c>
      <c r="EI1564" s="2">
        <v>0</v>
      </c>
      <c r="EK1564" t="str">
        <f>IF(AND(AND(AND(OR($DX1564=1,$DW1564=1),OR($EC1564=1,$EA1564=1)),SUM($DV1564:$DZ1564,$EF1564)&gt;=3),SUM($EA1564:$EE1564)&gt;=2),"Whole sector","")</f>
        <v/>
      </c>
      <c r="EL1564" t="str">
        <f>IF(AND(AND(OR($DX1564=1,$DW1564=1),AND($EC1564=0,$EA1564=0)),SUM($DV1564:$DZ1564,$EF1564)&gt;=3),"Ecosystem approach","")</f>
        <v/>
      </c>
      <c r="EM1564" s="2" t="str">
        <f>IF(AND(AND(AND($DX1564=0,$DW1564=0),OR($EC1564=1,$EA1564=1)),SUM($EB1564:$EE1564)&gt;=2),"Technology approach","")</f>
        <v/>
      </c>
      <c r="EP1564" t="b">
        <f>IF(ISNUMBER(BU1564),IF(ABS(BU1564-[5]QC_indicators!$B$2)&gt;3*[5]QC_indicators!$C$2,"C ratio",IF(ISNUMBER(BY1564),IF(ABS(BY1564-[5]QC_indicators!$B$1)&gt;3*[5]QC_indicators!$C$1,"DF","no"))),IF(ISNUMBER(BY1564),IF(ABS(BY1564-[5]QC_indicators!$B$1)&gt;3*[5]QC_indicators!$C$1,"DF","no")))</f>
        <v>0</v>
      </c>
    </row>
    <row r="1565" spans="1:148">
      <c r="A1565" s="1" t="s">
        <v>4246</v>
      </c>
      <c r="B1565" t="s">
        <v>4247</v>
      </c>
      <c r="C1565" t="s">
        <v>4248</v>
      </c>
      <c r="D1565" t="s">
        <v>4249</v>
      </c>
      <c r="E1565" t="s">
        <v>4250</v>
      </c>
      <c r="F1565" t="s">
        <v>4251</v>
      </c>
      <c r="G1565" t="s">
        <v>4252</v>
      </c>
      <c r="H1565" t="s">
        <v>254</v>
      </c>
      <c r="I1565">
        <v>2018</v>
      </c>
      <c r="J1565">
        <v>6</v>
      </c>
      <c r="K1565" t="s">
        <v>4253</v>
      </c>
      <c r="M1565" t="str">
        <f>LEFT($D1565,FIND(",",$D1565)-1)&amp;"_"&amp;I1565&amp;L1565</f>
        <v>Tuomasjukka_2018</v>
      </c>
      <c r="N1565" s="312" t="s">
        <v>4383</v>
      </c>
      <c r="O1565" s="145" t="s">
        <v>1154</v>
      </c>
      <c r="Q1565" s="312" t="s">
        <v>256</v>
      </c>
      <c r="R1565" s="313"/>
      <c r="S1565" s="1" t="s">
        <v>4260</v>
      </c>
      <c r="T1565" t="s">
        <v>2444</v>
      </c>
      <c r="U1565" t="s">
        <v>4261</v>
      </c>
      <c r="V1565">
        <v>0</v>
      </c>
      <c r="W1565">
        <v>0</v>
      </c>
      <c r="X1565">
        <v>0</v>
      </c>
      <c r="Y1565">
        <v>0</v>
      </c>
      <c r="Z1565">
        <v>0</v>
      </c>
      <c r="AA1565">
        <v>0</v>
      </c>
      <c r="AB1565">
        <v>0</v>
      </c>
      <c r="AC1565">
        <v>0</v>
      </c>
      <c r="AD1565">
        <v>0</v>
      </c>
      <c r="AE1565">
        <v>0</v>
      </c>
      <c r="AF1565">
        <v>0</v>
      </c>
      <c r="AG1565">
        <v>0</v>
      </c>
      <c r="AH1565">
        <v>0</v>
      </c>
      <c r="AI1565">
        <v>0</v>
      </c>
      <c r="AJ1565">
        <v>1</v>
      </c>
      <c r="AK1565">
        <v>0</v>
      </c>
      <c r="AL1565">
        <v>0</v>
      </c>
      <c r="AM1565">
        <v>0</v>
      </c>
      <c r="AN1565">
        <v>0</v>
      </c>
      <c r="AO1565">
        <v>0</v>
      </c>
      <c r="AP1565">
        <v>0</v>
      </c>
      <c r="AQ1565">
        <v>0</v>
      </c>
      <c r="AR1565">
        <v>0</v>
      </c>
      <c r="AS1565">
        <v>0</v>
      </c>
      <c r="AT1565">
        <v>0</v>
      </c>
      <c r="AU1565">
        <v>0</v>
      </c>
      <c r="AV1565">
        <v>0</v>
      </c>
      <c r="AW1565">
        <v>0</v>
      </c>
      <c r="AX1565" s="141">
        <f>COUNTIF(V1565:AW1565,"&lt;&gt;0")</f>
        <v>1</v>
      </c>
      <c r="AY1565" s="141">
        <f>COUNTIF(V1565:AL1565,"&lt;&gt;0")</f>
        <v>1</v>
      </c>
      <c r="AZ1565">
        <f>COUNTIF(V1565:AC1565,"&lt;&gt;0")</f>
        <v>0</v>
      </c>
      <c r="BA1565">
        <f>COUNTIF(AD1565:AI1565,"&lt;&gt;0")</f>
        <v>0</v>
      </c>
      <c r="BB1565">
        <f>COUNTIF(AJ1565:AL1565,"&lt;&gt;0")</f>
        <v>1</v>
      </c>
      <c r="BC1565">
        <f>COUNTIF(AS1565:AW1565,"&lt;&gt;0")</f>
        <v>0</v>
      </c>
      <c r="BD1565">
        <f>COUNTIF(AM1565:AR1565,"&lt;&gt;0")</f>
        <v>0</v>
      </c>
      <c r="BE1565" t="str" cm="1">
        <f t="array" ref="BE1565">IF(AY1565=1,INDEX($V$7:$AL$7,MATCH(TRUE,INDEX($V1565:$AW1565&lt;&gt;0,),0)),IF(AY1565=0,INDEX($AM$7:$AW$7,MATCH(1,$AM1565:$AW1565,0)),IF(BF1565="Multiple strategies","mixed drivers",IF(BF1565="Supply chain","multiple supply","multiple silviculture"))))</f>
        <v>efficiency improvement</v>
      </c>
      <c r="BF1565" s="2" t="str" cm="1">
        <f t="array" ref="BF1565">IF(COUNTIF(AZ1565:BB1565,"&lt;&gt;0")=1,INDEX($V$4:$AW$4,MATCH(TRUE,INDEX($V1565:$AW1565&lt;&gt;0,),0)),IF(COUNTIF(AZ1565:BB1565,"&lt;&gt;0")=0,INDEX($AM$4:$AW$4,MATCH(1,$AM1565:$AW1565,0)),"Multiple strategies"))</f>
        <v>Technology</v>
      </c>
      <c r="BM1565" s="143"/>
      <c r="BN1565" s="143"/>
      <c r="BP1565" t="s">
        <v>232</v>
      </c>
      <c r="BR1565" t="s">
        <v>4256</v>
      </c>
      <c r="BS1565">
        <v>-2.15</v>
      </c>
      <c r="BT1565">
        <v>-2.0099999999999998</v>
      </c>
      <c r="BU1565" s="144">
        <f>IFERROR(BT1565/BS1565,"")</f>
        <v>0.93488372093023253</v>
      </c>
      <c r="BV1565" s="144">
        <f>BT1565-BS1565</f>
        <v>0.14000000000000012</v>
      </c>
      <c r="BW1565" s="144"/>
      <c r="BX1565" s="144"/>
      <c r="BY1565" t="str">
        <f>IFERROR(BX1565/BO1565,"")</f>
        <v/>
      </c>
      <c r="BZ1565">
        <v>0</v>
      </c>
      <c r="CA1565">
        <v>0</v>
      </c>
      <c r="CB1565">
        <v>0</v>
      </c>
      <c r="CC1565">
        <v>0</v>
      </c>
      <c r="CD1565">
        <v>0</v>
      </c>
      <c r="CE1565">
        <v>0</v>
      </c>
      <c r="CF1565">
        <v>0</v>
      </c>
      <c r="CG1565">
        <v>0</v>
      </c>
      <c r="CH1565">
        <v>0</v>
      </c>
      <c r="CI1565">
        <v>0</v>
      </c>
      <c r="CJ1565">
        <v>0</v>
      </c>
      <c r="CK1565">
        <v>0</v>
      </c>
      <c r="CL1565">
        <v>0</v>
      </c>
      <c r="CM1565">
        <v>0</v>
      </c>
      <c r="CN1565" t="str">
        <f>IF(BL1565&lt;BK1565,"refNeedCorrection","refOK")</f>
        <v>refOK</v>
      </c>
      <c r="CO1565"/>
      <c r="CP1565"/>
      <c r="CQ1565"/>
      <c r="CR1565">
        <f>IF($CN1565="refOK",$BS1565,$BT1565)*IF($BP1565="Emissions positive",-1,1)</f>
        <v>-2.15</v>
      </c>
      <c r="CS1565">
        <f>IF($CN1565="refOK",$BT1565,$BS1565)*IF($BP1565="Emissions positive",-1,1)</f>
        <v>-2.0099999999999998</v>
      </c>
      <c r="CT1565">
        <f>IF($CN1565="refNeedCorrection",-BX1565,BX1565)*IF($BP1565="Emissions positive",-1,1)</f>
        <v>0</v>
      </c>
      <c r="CU1565" t="str">
        <f>IFERROR(CT1565/CQ1565,"")</f>
        <v/>
      </c>
      <c r="CV1565" s="2">
        <f>IFERROR((CS1565-CR1565)/ABS(CR1565),"")</f>
        <v>6.5116279069767496E-2</v>
      </c>
      <c r="CW1565" s="1" t="s">
        <v>1231</v>
      </c>
      <c r="CX1565" s="312" t="str">
        <f>IF(OR($CW1565="prd",$CW1565="std",$CW1565="cit"),"loc",IF(OR($CW1565="eur",$CW1565="reg",$CW1565="coy"),"reg",$CW1565))</f>
        <v>reg</v>
      </c>
      <c r="CY1565" s="312" t="s">
        <v>743</v>
      </c>
      <c r="DB1565">
        <f>DA1565-CZ1565</f>
        <v>0</v>
      </c>
      <c r="DC1565" t="str">
        <f>IF(DB1565=0,"0",IF(AND(DB1565&gt;=1,DB1565&lt;=30),"1-30",IF(AND(DB1565&gt;30,DB1565&lt;=70),"31-70",IF(AND(DB1565&gt;70,DB1565&lt;=100),"71-100",IF(DB1565&gt;100,"+100")))))</f>
        <v>0</v>
      </c>
      <c r="DD1565">
        <v>0</v>
      </c>
      <c r="DE1565">
        <v>1</v>
      </c>
      <c r="DF1565">
        <v>0</v>
      </c>
      <c r="DG1565">
        <v>0</v>
      </c>
      <c r="DI1565">
        <f>SUM(DD1565:DG1565)</f>
        <v>1</v>
      </c>
      <c r="DJ1565" t="str">
        <f>IF(DI1565=1,INDEX($DD$7:$DG$7,MATCH(1,$DD1565:$DG1565,0)),"mixedProduct")</f>
        <v>EnergyInput</v>
      </c>
      <c r="DK1565">
        <f>IF(DD1565=1,DK$7,0)</f>
        <v>0</v>
      </c>
      <c r="DL1565" t="str">
        <f>IF(DE1565=1,DL$7,0)</f>
        <v>Energy</v>
      </c>
      <c r="DM1565">
        <f>IF(DF1565=1,DM$7,0)</f>
        <v>0</v>
      </c>
      <c r="DN1565">
        <f>IF(DG1565=1,DN$7,0)</f>
        <v>0</v>
      </c>
      <c r="DO1565">
        <v>0</v>
      </c>
      <c r="DP1565">
        <v>0</v>
      </c>
      <c r="DQ1565">
        <v>0</v>
      </c>
      <c r="DR1565">
        <v>0</v>
      </c>
      <c r="DS1565">
        <v>0</v>
      </c>
      <c r="DT1565">
        <f>SUM(DO1565:DP1565)</f>
        <v>0</v>
      </c>
      <c r="DU1565" s="143" t="str">
        <f>IF(DO1565=1,"self-calculated DF",IF(DP1565=1,"external DF used","explicit C balance"))</f>
        <v>explicit C balance</v>
      </c>
      <c r="DV1565">
        <v>0</v>
      </c>
      <c r="DW1565">
        <v>0</v>
      </c>
      <c r="DX1565">
        <v>0</v>
      </c>
      <c r="DY1565">
        <v>0</v>
      </c>
      <c r="DZ1565">
        <v>0</v>
      </c>
      <c r="EA1565" s="143">
        <v>0</v>
      </c>
      <c r="EB1565">
        <v>1</v>
      </c>
      <c r="EC1565">
        <v>0</v>
      </c>
      <c r="ED1565">
        <v>0</v>
      </c>
      <c r="EE1565">
        <v>0</v>
      </c>
      <c r="EF1565">
        <v>0</v>
      </c>
      <c r="EG1565">
        <v>0</v>
      </c>
      <c r="EH1565">
        <v>0</v>
      </c>
      <c r="EI1565" s="2">
        <v>0</v>
      </c>
      <c r="EK1565" t="str">
        <f>IF(AND(AND(AND(OR($DX1565=1,$DW1565=1),OR($EC1565=1,$EA1565=1)),SUM($DV1565:$DZ1565,$EF1565)&gt;=3),SUM($EA1565:$EE1565)&gt;=2),"Whole sector","")</f>
        <v/>
      </c>
      <c r="EL1565" t="str">
        <f>IF(AND(AND(OR($DX1565=1,$DW1565=1),AND($EC1565=0,$EA1565=0)),SUM($DV1565:$DZ1565,$EF1565)&gt;=3),"Ecosystem approach","")</f>
        <v/>
      </c>
      <c r="EM1565" s="2" t="str">
        <f>IF(AND(AND(AND($DX1565=0,$DW1565=0),OR($EC1565=1,$EA1565=1)),SUM($EB1565:$EE1565)&gt;=2),"Technology approach","")</f>
        <v/>
      </c>
      <c r="EP1565" t="b">
        <f>IF(ISNUMBER(BU1565),IF(ABS(BU1565-[5]QC_indicators!$B$2)&gt;3*[5]QC_indicators!$C$2,"C ratio",IF(ISNUMBER(BY1565),IF(ABS(BY1565-[5]QC_indicators!$B$1)&gt;3*[5]QC_indicators!$C$1,"DF","no"))),IF(ISNUMBER(BY1565),IF(ABS(BY1565-[5]QC_indicators!$B$1)&gt;3*[5]QC_indicators!$C$1,"DF","no")))</f>
        <v>0</v>
      </c>
    </row>
    <row r="1566" spans="1:148" ht="15" customHeight="1">
      <c r="A1566" s="1" t="s">
        <v>3635</v>
      </c>
      <c r="B1566" t="s">
        <v>544</v>
      </c>
      <c r="C1566" t="s">
        <v>4262</v>
      </c>
      <c r="D1566" t="s">
        <v>4263</v>
      </c>
      <c r="E1566" t="s">
        <v>4264</v>
      </c>
      <c r="F1566" t="s">
        <v>4265</v>
      </c>
      <c r="G1566" t="s">
        <v>3640</v>
      </c>
      <c r="H1566" t="s">
        <v>254</v>
      </c>
      <c r="I1566">
        <v>2021</v>
      </c>
      <c r="J1566">
        <v>0</v>
      </c>
      <c r="K1566" t="s">
        <v>4266</v>
      </c>
      <c r="M1566" t="str">
        <f>LEFT($D1566,FIND(",",$D1566)-1)&amp;"_"&amp;I1566&amp;L1566</f>
        <v>Ullah_2021</v>
      </c>
      <c r="N1566" s="312" t="s">
        <v>4383</v>
      </c>
      <c r="O1566" s="145" t="s">
        <v>1154</v>
      </c>
      <c r="Q1566" s="312" t="s">
        <v>256</v>
      </c>
      <c r="R1566" s="313"/>
      <c r="S1566" s="1" t="s">
        <v>4267</v>
      </c>
      <c r="T1566" t="s">
        <v>1155</v>
      </c>
      <c r="U1566" t="s">
        <v>4268</v>
      </c>
      <c r="V1566">
        <v>0</v>
      </c>
      <c r="W1566">
        <v>0</v>
      </c>
      <c r="X1566">
        <v>0</v>
      </c>
      <c r="Y1566">
        <v>0</v>
      </c>
      <c r="Z1566">
        <v>0</v>
      </c>
      <c r="AA1566">
        <v>0</v>
      </c>
      <c r="AB1566">
        <v>0</v>
      </c>
      <c r="AC1566">
        <v>0</v>
      </c>
      <c r="AD1566">
        <v>0</v>
      </c>
      <c r="AE1566">
        <v>0</v>
      </c>
      <c r="AF1566">
        <v>1</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s="141">
        <f>COUNTIF(V1566:AW1566,"&lt;&gt;0")</f>
        <v>1</v>
      </c>
      <c r="AY1566" s="141">
        <f>COUNTIF(V1566:AL1566,"&lt;&gt;0")</f>
        <v>1</v>
      </c>
      <c r="AZ1566">
        <f>COUNTIF(V1566:AC1566,"&lt;&gt;0")</f>
        <v>0</v>
      </c>
      <c r="BA1566">
        <f>COUNTIF(AD1566:AI1566,"&lt;&gt;0")</f>
        <v>1</v>
      </c>
      <c r="BB1566">
        <f>COUNTIF(AJ1566:AL1566,"&lt;&gt;0")</f>
        <v>0</v>
      </c>
      <c r="BC1566">
        <f>COUNTIF(AS1566:AW1566,"&lt;&gt;0")</f>
        <v>0</v>
      </c>
      <c r="BD1566">
        <f>COUNTIF(AM1566:AR1566,"&lt;&gt;0")</f>
        <v>0</v>
      </c>
      <c r="BE1566" t="str" cm="1">
        <f t="array" ref="BE1566">IF(AY1566=1,INDEX($V$7:$AL$7,MATCH(TRUE,INDEX($V1566:$AW1566&lt;&gt;0,),0)),IF(AY1566=0,INDEX($AM$7:$AW$7,MATCH(1,$AM1566:$AW1566,0)),IF(BF1566="Multiple strategies","mixed drivers",IF(BF1566="Supply chain","multiple supply","multiple silviculture"))))</f>
        <v>supply chain organization</v>
      </c>
      <c r="BF1566" s="2" t="str" cm="1">
        <f t="array" ref="BF1566">IF(COUNTIF(AZ1566:BB1566,"&lt;&gt;0")=1,INDEX($V$4:$AW$4,MATCH(TRUE,INDEX($V1566:$AW1566&lt;&gt;0,),0)),IF(COUNTIF(AZ1566:BB1566,"&lt;&gt;0")=0,INDEX($AM$4:$AW$4,MATCH(1,$AM1566:$AW1566,0)),"Multiple strategies"))</f>
        <v>Supply chain</v>
      </c>
      <c r="BM1566" s="143"/>
      <c r="BN1566" s="143"/>
      <c r="BP1566" t="s">
        <v>232</v>
      </c>
      <c r="BR1566" t="s">
        <v>4269</v>
      </c>
      <c r="BS1566">
        <v>-43.69</v>
      </c>
      <c r="BT1566">
        <v>-36.78</v>
      </c>
      <c r="BU1566" s="144">
        <f>IFERROR(BT1566/BS1566,"")</f>
        <v>0.84184023804074171</v>
      </c>
      <c r="BV1566" s="144">
        <f>BT1566-BS1566</f>
        <v>6.9099999999999966</v>
      </c>
      <c r="BW1566" s="144"/>
      <c r="BX1566" s="144">
        <f>BV1566/1000</f>
        <v>6.9099999999999969E-3</v>
      </c>
      <c r="BY1566" t="str">
        <f>IFERROR(BX1566/BO1566,"")</f>
        <v/>
      </c>
      <c r="BZ1566">
        <v>1</v>
      </c>
      <c r="CA1566">
        <v>0</v>
      </c>
      <c r="CB1566">
        <v>0</v>
      </c>
      <c r="CC1566">
        <v>0</v>
      </c>
      <c r="CD1566">
        <v>0</v>
      </c>
      <c r="CE1566">
        <v>0</v>
      </c>
      <c r="CF1566">
        <v>0</v>
      </c>
      <c r="CG1566">
        <v>0</v>
      </c>
      <c r="CH1566">
        <v>0</v>
      </c>
      <c r="CI1566">
        <v>0</v>
      </c>
      <c r="CJ1566">
        <v>0</v>
      </c>
      <c r="CK1566">
        <v>0</v>
      </c>
      <c r="CL1566">
        <v>0</v>
      </c>
      <c r="CM1566">
        <v>0</v>
      </c>
      <c r="CN1566" t="str">
        <f>IF(BL1566&lt;BK1566,"refNeedCorrection","refOK")</f>
        <v>refOK</v>
      </c>
      <c r="CO1566"/>
      <c r="CP1566"/>
      <c r="CQ1566"/>
      <c r="CR1566">
        <f>IF($CN1566="refOK",$BS1566,$BT1566)*IF($BP1566="Emissions positive",-1,1)</f>
        <v>-43.69</v>
      </c>
      <c r="CS1566">
        <f>IF($CN1566="refOK",$BT1566,$BS1566)*IF($BP1566="Emissions positive",-1,1)</f>
        <v>-36.78</v>
      </c>
      <c r="CT1566">
        <f>IF($CN1566="refNeedCorrection",-BX1566,BX1566)*IF($BP1566="Emissions positive",-1,1)</f>
        <v>6.9099999999999969E-3</v>
      </c>
      <c r="CU1566" t="str">
        <f>IFERROR(CT1566/CQ1566,"")</f>
        <v/>
      </c>
      <c r="CV1566" s="2">
        <f>IFERROR((CS1566-CR1566)/ABS(CR1566),"")</f>
        <v>0.15815976195925835</v>
      </c>
      <c r="CW1566" s="1" t="s">
        <v>263</v>
      </c>
      <c r="CX1566" s="312" t="str">
        <f>IF(OR($CW1566="prd",$CW1566="std",$CW1566="cit"),"loc",IF(OR($CW1566="eur",$CW1566="reg",$CW1566="coy"),"reg",$CW1566))</f>
        <v>loc</v>
      </c>
      <c r="CY1566" t="s">
        <v>4270</v>
      </c>
      <c r="DB1566">
        <f>DA1566-CZ1566</f>
        <v>0</v>
      </c>
      <c r="DC1566" t="str">
        <f>IF(DB1566=0,"0",IF(AND(DB1566&gt;=1,DB1566&lt;=30),"1-30",IF(AND(DB1566&gt;30,DB1566&lt;=70),"31-70",IF(AND(DB1566&gt;70,DB1566&lt;=100),"71-100",IF(DB1566&gt;100,"+100")))))</f>
        <v>0</v>
      </c>
      <c r="DD1566">
        <v>0</v>
      </c>
      <c r="DE1566">
        <v>0</v>
      </c>
      <c r="DF1566">
        <v>0</v>
      </c>
      <c r="DG1566">
        <v>1</v>
      </c>
      <c r="DI1566">
        <f>SUM(DD1566:DG1566)</f>
        <v>1</v>
      </c>
      <c r="DJ1566" t="str">
        <f>IF(DI1566=1,INDEX($DD$7:$DG$7,MATCH(1,$DD1566:$DG1566,0)),"mixedProduct")</f>
        <v>TimberInput</v>
      </c>
      <c r="DK1566">
        <f>IF(DD1566=1,DK$7,0)</f>
        <v>0</v>
      </c>
      <c r="DL1566">
        <f>IF(DE1566=1,DL$7,0)</f>
        <v>0</v>
      </c>
      <c r="DM1566">
        <f>IF(DF1566=1,DM$7,0)</f>
        <v>0</v>
      </c>
      <c r="DN1566" t="str">
        <f>IF(DG1566=1,DN$7,0)</f>
        <v>Timber</v>
      </c>
      <c r="DO1566">
        <v>0</v>
      </c>
      <c r="DP1566">
        <v>0</v>
      </c>
      <c r="DQ1566">
        <v>0</v>
      </c>
      <c r="DR1566">
        <v>0</v>
      </c>
      <c r="DS1566">
        <v>0</v>
      </c>
      <c r="DT1566">
        <f>SUM(DO1566:DP1566)</f>
        <v>0</v>
      </c>
      <c r="DU1566" s="143" t="str">
        <f>IF(DO1566=1,"self-calculated DF",IF(DP1566=1,"external DF used","explicit C balance"))</f>
        <v>explicit C balance</v>
      </c>
      <c r="DV1566">
        <v>0</v>
      </c>
      <c r="DW1566">
        <v>0</v>
      </c>
      <c r="DX1566">
        <v>0</v>
      </c>
      <c r="DY1566">
        <v>1</v>
      </c>
      <c r="DZ1566">
        <v>0</v>
      </c>
      <c r="EA1566" s="143">
        <v>0</v>
      </c>
      <c r="EB1566">
        <v>1</v>
      </c>
      <c r="EC1566">
        <v>1</v>
      </c>
      <c r="ED1566">
        <v>0</v>
      </c>
      <c r="EE1566">
        <v>0</v>
      </c>
      <c r="EF1566">
        <v>0</v>
      </c>
      <c r="EG1566">
        <v>0</v>
      </c>
      <c r="EH1566">
        <v>0</v>
      </c>
      <c r="EI1566" s="2">
        <v>0</v>
      </c>
      <c r="EK1566" t="str">
        <f>IF(AND(AND(AND(OR($DX1566=1,$DW1566=1),OR($EC1566=1,$EA1566=1)),SUM($DV1566:$DZ1566,$EF1566)&gt;=3),SUM($EA1566:$EE1566)&gt;=2),"Whole sector","")</f>
        <v/>
      </c>
      <c r="EL1566" t="str">
        <f>IF(AND(AND(OR($DX1566=1,$DW1566=1),AND($EC1566=0,$EA1566=0)),SUM($DV1566:$DZ1566,$EF1566)&gt;=3),"Ecosystem approach","")</f>
        <v/>
      </c>
      <c r="EM1566" s="2" t="str">
        <f>IF(AND(AND(AND($DX1566=0,$DW1566=0),OR($EC1566=1,$EA1566=1)),SUM($EB1566:$EE1566)&gt;=2),"Technology approach","")</f>
        <v>Technology approach</v>
      </c>
      <c r="EP1566" t="b">
        <f>IF(ISNUMBER(BU1566),IF(ABS(BU1566-[5]QC_indicators!$B$2)&gt;3*[5]QC_indicators!$C$2,"C ratio",IF(ISNUMBER(BY1566),IF(ABS(BY1566-[5]QC_indicators!$B$1)&gt;3*[5]QC_indicators!$C$1,"DF","no"))),IF(ISNUMBER(BY1566),IF(ABS(BY1566-[5]QC_indicators!$B$1)&gt;3*[5]QC_indicators!$C$1,"DF","no")))</f>
        <v>0</v>
      </c>
    </row>
    <row r="1567" spans="1:148">
      <c r="A1567" s="1" t="s">
        <v>3635</v>
      </c>
      <c r="B1567" t="s">
        <v>544</v>
      </c>
      <c r="C1567" t="s">
        <v>4262</v>
      </c>
      <c r="D1567" t="s">
        <v>4263</v>
      </c>
      <c r="E1567" t="s">
        <v>4264</v>
      </c>
      <c r="F1567" t="s">
        <v>4265</v>
      </c>
      <c r="G1567" t="s">
        <v>3640</v>
      </c>
      <c r="H1567" t="s">
        <v>254</v>
      </c>
      <c r="I1567">
        <v>2021</v>
      </c>
      <c r="J1567">
        <v>0</v>
      </c>
      <c r="K1567" t="s">
        <v>4266</v>
      </c>
      <c r="M1567" t="str">
        <f>LEFT($D1567,FIND(",",$D1567)-1)&amp;"_"&amp;I1567&amp;L1567</f>
        <v>Ullah_2021</v>
      </c>
      <c r="N1567" s="312" t="s">
        <v>4383</v>
      </c>
      <c r="O1567" s="145" t="s">
        <v>1154</v>
      </c>
      <c r="Q1567" s="312" t="s">
        <v>256</v>
      </c>
      <c r="R1567" s="313"/>
      <c r="S1567" s="1" t="s">
        <v>4267</v>
      </c>
      <c r="T1567" t="s">
        <v>1155</v>
      </c>
      <c r="U1567" t="s">
        <v>4271</v>
      </c>
      <c r="V1567">
        <v>0</v>
      </c>
      <c r="W1567">
        <v>0</v>
      </c>
      <c r="X1567">
        <v>0</v>
      </c>
      <c r="Y1567">
        <v>0</v>
      </c>
      <c r="Z1567">
        <v>0</v>
      </c>
      <c r="AA1567">
        <v>0</v>
      </c>
      <c r="AB1567">
        <v>0</v>
      </c>
      <c r="AC1567">
        <v>0</v>
      </c>
      <c r="AD1567">
        <v>0</v>
      </c>
      <c r="AE1567">
        <v>0</v>
      </c>
      <c r="AF1567">
        <v>1</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s="141">
        <f>COUNTIF(V1567:AW1567,"&lt;&gt;0")</f>
        <v>1</v>
      </c>
      <c r="AY1567" s="141">
        <f>COUNTIF(V1567:AL1567,"&lt;&gt;0")</f>
        <v>1</v>
      </c>
      <c r="AZ1567">
        <f>COUNTIF(V1567:AC1567,"&lt;&gt;0")</f>
        <v>0</v>
      </c>
      <c r="BA1567">
        <f>COUNTIF(AD1567:AI1567,"&lt;&gt;0")</f>
        <v>1</v>
      </c>
      <c r="BB1567">
        <f>COUNTIF(AJ1567:AL1567,"&lt;&gt;0")</f>
        <v>0</v>
      </c>
      <c r="BC1567">
        <f>COUNTIF(AS1567:AW1567,"&lt;&gt;0")</f>
        <v>0</v>
      </c>
      <c r="BD1567">
        <f>COUNTIF(AM1567:AR1567,"&lt;&gt;0")</f>
        <v>0</v>
      </c>
      <c r="BE1567" t="str" cm="1">
        <f t="array" ref="BE1567">IF(AY1567=1,INDEX($V$7:$AL$7,MATCH(TRUE,INDEX($V1567:$AW1567&lt;&gt;0,),0)),IF(AY1567=0,INDEX($AM$7:$AW$7,MATCH(1,$AM1567:$AW1567,0)),IF(BF1567="Multiple strategies","mixed drivers",IF(BF1567="Supply chain","multiple supply","multiple silviculture"))))</f>
        <v>supply chain organization</v>
      </c>
      <c r="BF1567" s="2" t="str" cm="1">
        <f t="array" ref="BF1567">IF(COUNTIF(AZ1567:BB1567,"&lt;&gt;0")=1,INDEX($V$4:$AW$4,MATCH(TRUE,INDEX($V1567:$AW1567&lt;&gt;0,),0)),IF(COUNTIF(AZ1567:BB1567,"&lt;&gt;0")=0,INDEX($AM$4:$AW$4,MATCH(1,$AM1567:$AW1567,0)),"Multiple strategies"))</f>
        <v>Supply chain</v>
      </c>
      <c r="BM1567" s="143"/>
      <c r="BN1567" s="143"/>
      <c r="BP1567" t="s">
        <v>232</v>
      </c>
      <c r="BR1567" t="s">
        <v>4269</v>
      </c>
      <c r="BS1567">
        <v>-43.69</v>
      </c>
      <c r="BT1567">
        <v>-33.36</v>
      </c>
      <c r="BU1567" s="144">
        <f>IFERROR(BT1567/BS1567,"")</f>
        <v>0.76356145571068901</v>
      </c>
      <c r="BV1567" s="144">
        <f>BT1567-BS1567</f>
        <v>10.329999999999998</v>
      </c>
      <c r="BW1567" s="144"/>
      <c r="BX1567" s="144">
        <f>BV1567*1000</f>
        <v>10329.999999999998</v>
      </c>
      <c r="BY1567" t="str">
        <f>IFERROR(BX1567/BO1567,"")</f>
        <v/>
      </c>
      <c r="BZ1567">
        <v>1</v>
      </c>
      <c r="CA1567">
        <v>0</v>
      </c>
      <c r="CB1567">
        <v>0</v>
      </c>
      <c r="CC1567">
        <v>0</v>
      </c>
      <c r="CD1567">
        <v>0</v>
      </c>
      <c r="CE1567">
        <v>0</v>
      </c>
      <c r="CF1567">
        <v>0</v>
      </c>
      <c r="CG1567">
        <v>0</v>
      </c>
      <c r="CH1567">
        <v>0</v>
      </c>
      <c r="CI1567">
        <v>0</v>
      </c>
      <c r="CJ1567">
        <v>0</v>
      </c>
      <c r="CK1567">
        <v>0</v>
      </c>
      <c r="CL1567">
        <v>0</v>
      </c>
      <c r="CM1567">
        <v>0</v>
      </c>
      <c r="CN1567" t="str">
        <f>IF(BL1567&lt;BK1567,"refNeedCorrection","refOK")</f>
        <v>refOK</v>
      </c>
      <c r="CO1567"/>
      <c r="CP1567"/>
      <c r="CQ1567"/>
      <c r="CR1567">
        <f>IF($CN1567="refOK",$BS1567,$BT1567)*IF($BP1567="Emissions positive",-1,1)</f>
        <v>-43.69</v>
      </c>
      <c r="CS1567">
        <f>IF($CN1567="refOK",$BT1567,$BS1567)*IF($BP1567="Emissions positive",-1,1)</f>
        <v>-33.36</v>
      </c>
      <c r="CT1567">
        <f>IF($CN1567="refNeedCorrection",-BX1567,BX1567)*IF($BP1567="Emissions positive",-1,1)</f>
        <v>10329.999999999998</v>
      </c>
      <c r="CU1567" t="str">
        <f>IFERROR(CT1567/CQ1567,"")</f>
        <v/>
      </c>
      <c r="CV1567" s="2">
        <f>IFERROR((CS1567-CR1567)/ABS(CR1567),"")</f>
        <v>0.23643854428931102</v>
      </c>
      <c r="CW1567" s="1" t="s">
        <v>263</v>
      </c>
      <c r="CX1567" s="312" t="str">
        <f>IF(OR($CW1567="prd",$CW1567="std",$CW1567="cit"),"loc",IF(OR($CW1567="eur",$CW1567="reg",$CW1567="coy"),"reg",$CW1567))</f>
        <v>loc</v>
      </c>
      <c r="CY1567" t="s">
        <v>4270</v>
      </c>
      <c r="DB1567">
        <f>DA1567-CZ1567</f>
        <v>0</v>
      </c>
      <c r="DC1567" t="str">
        <f>IF(DB1567=0,"0",IF(AND(DB1567&gt;=1,DB1567&lt;=30),"1-30",IF(AND(DB1567&gt;30,DB1567&lt;=70),"31-70",IF(AND(DB1567&gt;70,DB1567&lt;=100),"71-100",IF(DB1567&gt;100,"+100")))))</f>
        <v>0</v>
      </c>
      <c r="DD1567">
        <v>0</v>
      </c>
      <c r="DE1567">
        <v>0</v>
      </c>
      <c r="DF1567">
        <v>0</v>
      </c>
      <c r="DG1567">
        <v>1</v>
      </c>
      <c r="DI1567">
        <f>SUM(DD1567:DG1567)</f>
        <v>1</v>
      </c>
      <c r="DJ1567" t="str">
        <f>IF(DI1567=1,INDEX($DD$7:$DG$7,MATCH(1,$DD1567:$DG1567,0)),"mixedProduct")</f>
        <v>TimberInput</v>
      </c>
      <c r="DK1567">
        <f>IF(DD1567=1,DK$7,0)</f>
        <v>0</v>
      </c>
      <c r="DL1567">
        <f>IF(DE1567=1,DL$7,0)</f>
        <v>0</v>
      </c>
      <c r="DM1567">
        <f>IF(DF1567=1,DM$7,0)</f>
        <v>0</v>
      </c>
      <c r="DN1567" t="str">
        <f>IF(DG1567=1,DN$7,0)</f>
        <v>Timber</v>
      </c>
      <c r="DO1567">
        <v>0</v>
      </c>
      <c r="DP1567">
        <v>0</v>
      </c>
      <c r="DQ1567">
        <v>0</v>
      </c>
      <c r="DR1567">
        <v>0</v>
      </c>
      <c r="DS1567">
        <v>0</v>
      </c>
      <c r="DT1567">
        <f>SUM(DO1567:DP1567)</f>
        <v>0</v>
      </c>
      <c r="DU1567" s="143" t="str">
        <f>IF(DO1567=1,"self-calculated DF",IF(DP1567=1,"external DF used","explicit C balance"))</f>
        <v>explicit C balance</v>
      </c>
      <c r="DV1567">
        <v>0</v>
      </c>
      <c r="DW1567">
        <v>0</v>
      </c>
      <c r="DX1567">
        <v>0</v>
      </c>
      <c r="DY1567">
        <v>1</v>
      </c>
      <c r="DZ1567">
        <v>0</v>
      </c>
      <c r="EA1567" s="143">
        <v>0</v>
      </c>
      <c r="EB1567">
        <v>1</v>
      </c>
      <c r="EC1567">
        <v>1</v>
      </c>
      <c r="ED1567">
        <v>0</v>
      </c>
      <c r="EE1567">
        <v>0</v>
      </c>
      <c r="EF1567">
        <v>0</v>
      </c>
      <c r="EG1567">
        <v>0</v>
      </c>
      <c r="EH1567">
        <v>0</v>
      </c>
      <c r="EI1567" s="2">
        <v>0</v>
      </c>
      <c r="EK1567" t="str">
        <f>IF(AND(AND(AND(OR($DX1567=1,$DW1567=1),OR($EC1567=1,$EA1567=1)),SUM($DV1567:$DZ1567,$EF1567)&gt;=3),SUM($EA1567:$EE1567)&gt;=2),"Whole sector","")</f>
        <v/>
      </c>
      <c r="EL1567" t="str">
        <f>IF(AND(AND(OR($DX1567=1,$DW1567=1),AND($EC1567=0,$EA1567=0)),SUM($DV1567:$DZ1567,$EF1567)&gt;=3),"Ecosystem approach","")</f>
        <v/>
      </c>
      <c r="EM1567" s="2" t="str">
        <f>IF(AND(AND(AND($DX1567=0,$DW1567=0),OR($EC1567=1,$EA1567=1)),SUM($EB1567:$EE1567)&gt;=2),"Technology approach","")</f>
        <v>Technology approach</v>
      </c>
      <c r="EP1567" t="b">
        <f>IF(ISNUMBER(BU1567),IF(ABS(BU1567-[5]QC_indicators!$B$2)&gt;3*[5]QC_indicators!$C$2,"C ratio",IF(ISNUMBER(BY1567),IF(ABS(BY1567-[5]QC_indicators!$B$1)&gt;3*[5]QC_indicators!$C$1,"DF","no"))),IF(ISNUMBER(BY1567),IF(ABS(BY1567-[5]QC_indicators!$B$1)&gt;3*[5]QC_indicators!$C$1,"DF","no")))</f>
        <v>0</v>
      </c>
    </row>
    <row r="1568" spans="1:148">
      <c r="A1568" s="1" t="s">
        <v>4272</v>
      </c>
      <c r="B1568" t="s">
        <v>4273</v>
      </c>
      <c r="C1568" t="s">
        <v>4274</v>
      </c>
      <c r="D1568" t="s">
        <v>4275</v>
      </c>
      <c r="E1568" t="s">
        <v>4276</v>
      </c>
      <c r="F1568" t="s">
        <v>4277</v>
      </c>
      <c r="G1568" t="s">
        <v>4278</v>
      </c>
      <c r="H1568" t="s">
        <v>254</v>
      </c>
      <c r="I1568">
        <v>2021</v>
      </c>
      <c r="J1568">
        <v>0</v>
      </c>
      <c r="K1568" t="s">
        <v>4279</v>
      </c>
      <c r="M1568" t="str">
        <f>LEFT($D1568,FIND(",",$D1568)-1)&amp;"_"&amp;I1568&amp;L1568</f>
        <v>Vanova_2021</v>
      </c>
      <c r="N1568" s="312" t="s">
        <v>4383</v>
      </c>
      <c r="O1568" s="145" t="s">
        <v>1154</v>
      </c>
      <c r="Q1568" s="312" t="s">
        <v>256</v>
      </c>
      <c r="R1568" s="313"/>
      <c r="S1568" s="1" t="s">
        <v>4280</v>
      </c>
      <c r="T1568" t="s">
        <v>4281</v>
      </c>
      <c r="U1568" t="s">
        <v>4282</v>
      </c>
      <c r="V1568">
        <v>0</v>
      </c>
      <c r="W1568">
        <v>0</v>
      </c>
      <c r="X1568">
        <v>0</v>
      </c>
      <c r="Y1568">
        <v>0</v>
      </c>
      <c r="Z1568">
        <v>0</v>
      </c>
      <c r="AA1568">
        <v>0</v>
      </c>
      <c r="AB1568">
        <v>0</v>
      </c>
      <c r="AC1568">
        <v>0</v>
      </c>
      <c r="AD1568">
        <v>0</v>
      </c>
      <c r="AE1568">
        <v>0</v>
      </c>
      <c r="AF1568">
        <v>0</v>
      </c>
      <c r="AG1568">
        <v>0</v>
      </c>
      <c r="AH1568">
        <v>0</v>
      </c>
      <c r="AI1568">
        <v>0</v>
      </c>
      <c r="AJ1568">
        <v>1</v>
      </c>
      <c r="AK1568">
        <v>0</v>
      </c>
      <c r="AL1568">
        <v>0</v>
      </c>
      <c r="AM1568">
        <v>0</v>
      </c>
      <c r="AN1568">
        <v>0</v>
      </c>
      <c r="AO1568">
        <v>0</v>
      </c>
      <c r="AP1568">
        <v>0</v>
      </c>
      <c r="AQ1568">
        <v>0</v>
      </c>
      <c r="AR1568">
        <v>0</v>
      </c>
      <c r="AS1568">
        <v>0</v>
      </c>
      <c r="AT1568">
        <v>0</v>
      </c>
      <c r="AU1568">
        <v>0</v>
      </c>
      <c r="AV1568">
        <v>0</v>
      </c>
      <c r="AW1568">
        <v>0</v>
      </c>
      <c r="AX1568" s="141">
        <f>COUNTIF(V1568:AW1568,"&lt;&gt;0")</f>
        <v>1</v>
      </c>
      <c r="AY1568" s="141">
        <f>COUNTIF(V1568:AL1568,"&lt;&gt;0")</f>
        <v>1</v>
      </c>
      <c r="AZ1568">
        <f>COUNTIF(V1568:AC1568,"&lt;&gt;0")</f>
        <v>0</v>
      </c>
      <c r="BA1568">
        <f>COUNTIF(AD1568:AI1568,"&lt;&gt;0")</f>
        <v>0</v>
      </c>
      <c r="BB1568">
        <f>COUNTIF(AJ1568:AL1568,"&lt;&gt;0")</f>
        <v>1</v>
      </c>
      <c r="BC1568">
        <f>COUNTIF(AS1568:AW1568,"&lt;&gt;0")</f>
        <v>0</v>
      </c>
      <c r="BD1568">
        <f>COUNTIF(AM1568:AR1568,"&lt;&gt;0")</f>
        <v>0</v>
      </c>
      <c r="BE1568" t="str" cm="1">
        <f t="array" ref="BE1568">IF(AY1568=1,INDEX($V$7:$AL$7,MATCH(TRUE,INDEX($V1568:$AW1568&lt;&gt;0,),0)),IF(AY1568=0,INDEX($AM$7:$AW$7,MATCH(1,$AM1568:$AW1568,0)),IF(BF1568="Multiple strategies","mixed drivers",IF(BF1568="Supply chain","multiple supply","multiple silviculture"))))</f>
        <v>efficiency improvement</v>
      </c>
      <c r="BF1568" s="2" t="str" cm="1">
        <f t="array" ref="BF1568">IF(COUNTIF(AZ1568:BB1568,"&lt;&gt;0")=1,INDEX($V$4:$AW$4,MATCH(TRUE,INDEX($V1568:$AW1568&lt;&gt;0,),0)),IF(COUNTIF(AZ1568:BB1568,"&lt;&gt;0")=0,INDEX($AM$4:$AW$4,MATCH(1,$AM1568:$AW1568,0)),"Multiple strategies"))</f>
        <v>Technology</v>
      </c>
      <c r="BM1568" s="143"/>
      <c r="BN1568" s="143"/>
      <c r="BP1568" t="s">
        <v>232</v>
      </c>
      <c r="BR1568" t="s">
        <v>4283</v>
      </c>
      <c r="BS1568">
        <v>101.45</v>
      </c>
      <c r="BT1568">
        <v>68.06</v>
      </c>
      <c r="BU1568" s="144">
        <f>IFERROR(BT1568/BS1568,"")</f>
        <v>0.67087235091177921</v>
      </c>
      <c r="BV1568" s="144">
        <f>BT1568-BS1568</f>
        <v>-33.39</v>
      </c>
      <c r="BW1568" s="144"/>
      <c r="BX1568" s="144"/>
      <c r="BY1568" t="str">
        <f>IFERROR(BX1568/BO1568,"")</f>
        <v/>
      </c>
      <c r="BZ1568">
        <v>1</v>
      </c>
      <c r="CA1568">
        <v>0</v>
      </c>
      <c r="CB1568">
        <v>0</v>
      </c>
      <c r="CC1568">
        <v>0</v>
      </c>
      <c r="CD1568">
        <v>0</v>
      </c>
      <c r="CE1568">
        <v>0</v>
      </c>
      <c r="CF1568">
        <v>0</v>
      </c>
      <c r="CG1568">
        <v>0</v>
      </c>
      <c r="CH1568">
        <v>0</v>
      </c>
      <c r="CI1568">
        <v>0</v>
      </c>
      <c r="CJ1568">
        <v>0</v>
      </c>
      <c r="CK1568">
        <v>0</v>
      </c>
      <c r="CL1568">
        <v>0</v>
      </c>
      <c r="CM1568">
        <v>0</v>
      </c>
      <c r="CN1568" t="str">
        <f>IF(BL1568&lt;BK1568,"refNeedCorrection","refOK")</f>
        <v>refOK</v>
      </c>
      <c r="CO1568"/>
      <c r="CP1568"/>
      <c r="CQ1568"/>
      <c r="CR1568">
        <f>IF($CN1568="refOK",$BS1568,$BT1568)*IF($BP1568="Emissions positive",-1,1)</f>
        <v>101.45</v>
      </c>
      <c r="CS1568">
        <f>IF($CN1568="refOK",$BT1568,$BS1568)*IF($BP1568="Emissions positive",-1,1)</f>
        <v>68.06</v>
      </c>
      <c r="CT1568">
        <f>IF($CN1568="refNeedCorrection",-BX1568,BX1568)*IF($BP1568="Emissions positive",-1,1)</f>
        <v>0</v>
      </c>
      <c r="CU1568" t="str">
        <f>IFERROR(CT1568/CQ1568,"")</f>
        <v/>
      </c>
      <c r="CV1568" s="2">
        <f>IFERROR((CS1568-CR1568)/ABS(CR1568),"")</f>
        <v>-0.32912764908822079</v>
      </c>
      <c r="CW1568" s="1" t="s">
        <v>263</v>
      </c>
      <c r="CX1568" s="312" t="str">
        <f>IF(OR($CW1568="prd",$CW1568="std",$CW1568="cit"),"loc",IF(OR($CW1568="eur",$CW1568="reg",$CW1568="coy"),"reg",$CW1568))</f>
        <v>loc</v>
      </c>
      <c r="CY1568" s="312" t="s">
        <v>743</v>
      </c>
      <c r="DB1568">
        <f>DA1568-CZ1568</f>
        <v>0</v>
      </c>
      <c r="DC1568" t="str">
        <f>IF(DB1568=0,"0",IF(AND(DB1568&gt;=1,DB1568&lt;=30),"1-30",IF(AND(DB1568&gt;30,DB1568&lt;=70),"31-70",IF(AND(DB1568&gt;70,DB1568&lt;=100),"71-100",IF(DB1568&gt;100,"+100")))))</f>
        <v>0</v>
      </c>
      <c r="DD1568">
        <v>0</v>
      </c>
      <c r="DE1568">
        <v>0</v>
      </c>
      <c r="DF1568">
        <v>0</v>
      </c>
      <c r="DG1568">
        <v>1</v>
      </c>
      <c r="DI1568">
        <f>SUM(DD1568:DG1568)</f>
        <v>1</v>
      </c>
      <c r="DJ1568" t="str">
        <f>IF(DI1568=1,INDEX($DD$7:$DG$7,MATCH(1,$DD1568:$DG1568,0)),"mixedProduct")</f>
        <v>TimberInput</v>
      </c>
      <c r="DK1568">
        <f>IF(DD1568=1,DK$7,0)</f>
        <v>0</v>
      </c>
      <c r="DL1568">
        <f>IF(DE1568=1,DL$7,0)</f>
        <v>0</v>
      </c>
      <c r="DM1568">
        <f>IF(DF1568=1,DM$7,0)</f>
        <v>0</v>
      </c>
      <c r="DN1568" t="str">
        <f>IF(DG1568=1,DN$7,0)</f>
        <v>Timber</v>
      </c>
      <c r="DO1568">
        <v>0</v>
      </c>
      <c r="DP1568">
        <v>0</v>
      </c>
      <c r="DQ1568">
        <v>0</v>
      </c>
      <c r="DR1568">
        <v>0</v>
      </c>
      <c r="DS1568">
        <v>0</v>
      </c>
      <c r="DT1568">
        <f>SUM(DO1568:DP1568)</f>
        <v>0</v>
      </c>
      <c r="DU1568" s="143" t="str">
        <f>IF(DO1568=1,"self-calculated DF",IF(DP1568=1,"external DF used","explicit C balance"))</f>
        <v>explicit C balance</v>
      </c>
      <c r="DV1568">
        <v>0</v>
      </c>
      <c r="DW1568">
        <v>0</v>
      </c>
      <c r="DX1568">
        <v>0</v>
      </c>
      <c r="DY1568">
        <v>0</v>
      </c>
      <c r="DZ1568">
        <v>0</v>
      </c>
      <c r="EA1568" s="143">
        <v>0</v>
      </c>
      <c r="EB1568">
        <v>0</v>
      </c>
      <c r="EC1568">
        <v>1</v>
      </c>
      <c r="ED1568">
        <v>0</v>
      </c>
      <c r="EE1568">
        <v>0</v>
      </c>
      <c r="EF1568">
        <v>0</v>
      </c>
      <c r="EG1568">
        <v>0</v>
      </c>
      <c r="EH1568">
        <v>0</v>
      </c>
      <c r="EI1568" s="2">
        <v>0</v>
      </c>
      <c r="EK1568" t="str">
        <f>IF(AND(AND(AND(OR($DX1568=1,$DW1568=1),OR($EC1568=1,$EA1568=1)),SUM($DV1568:$DZ1568,$EF1568)&gt;=3),SUM($EA1568:$EE1568)&gt;=2),"Whole sector","")</f>
        <v/>
      </c>
      <c r="EL1568" t="str">
        <f>IF(AND(AND(OR($DX1568=1,$DW1568=1),AND($EC1568=0,$EA1568=0)),SUM($DV1568:$DZ1568,$EF1568)&gt;=3),"Ecosystem approach","")</f>
        <v/>
      </c>
      <c r="EM1568" s="2" t="str">
        <f>IF(AND(AND(AND($DX1568=0,$DW1568=0),OR($EC1568=1,$EA1568=1)),SUM($EB1568:$EE1568)&gt;=2),"Technology approach","")</f>
        <v/>
      </c>
      <c r="EP1568" t="b">
        <f>IF(ISNUMBER(BU1568),IF(ABS(BU1568-[5]QC_indicators!$B$2)&gt;3*[5]QC_indicators!$C$2,"C ratio",IF(ISNUMBER(BY1568),IF(ABS(BY1568-[5]QC_indicators!$B$1)&gt;3*[5]QC_indicators!$C$1,"DF","no"))),IF(ISNUMBER(BY1568),IF(ABS(BY1568-[5]QC_indicators!$B$1)&gt;3*[5]QC_indicators!$C$1,"DF","no")))</f>
        <v>0</v>
      </c>
    </row>
    <row r="1569" spans="1:147">
      <c r="A1569" s="1" t="s">
        <v>4272</v>
      </c>
      <c r="B1569" t="s">
        <v>4273</v>
      </c>
      <c r="C1569" t="s">
        <v>4274</v>
      </c>
      <c r="D1569" t="s">
        <v>4275</v>
      </c>
      <c r="E1569" t="s">
        <v>4276</v>
      </c>
      <c r="F1569" t="s">
        <v>4277</v>
      </c>
      <c r="G1569" t="s">
        <v>4278</v>
      </c>
      <c r="H1569" t="s">
        <v>254</v>
      </c>
      <c r="I1569">
        <v>2021</v>
      </c>
      <c r="J1569">
        <v>0</v>
      </c>
      <c r="K1569" t="s">
        <v>4279</v>
      </c>
      <c r="M1569" t="str">
        <f>LEFT($D1569,FIND(",",$D1569)-1)&amp;"_"&amp;I1569&amp;L1569</f>
        <v>Vanova_2021</v>
      </c>
      <c r="N1569" s="312" t="s">
        <v>4383</v>
      </c>
      <c r="O1569" s="145" t="s">
        <v>1154</v>
      </c>
      <c r="Q1569" s="312" t="s">
        <v>256</v>
      </c>
      <c r="R1569" s="313"/>
      <c r="S1569" s="1" t="s">
        <v>4284</v>
      </c>
      <c r="T1569" t="s">
        <v>4285</v>
      </c>
      <c r="U1569" t="s">
        <v>4286</v>
      </c>
      <c r="V1569">
        <v>0</v>
      </c>
      <c r="W1569">
        <v>0</v>
      </c>
      <c r="X1569">
        <v>0</v>
      </c>
      <c r="Y1569">
        <v>0</v>
      </c>
      <c r="Z1569">
        <v>0</v>
      </c>
      <c r="AA1569">
        <v>0</v>
      </c>
      <c r="AB1569">
        <v>0</v>
      </c>
      <c r="AC1569">
        <v>0</v>
      </c>
      <c r="AD1569">
        <v>0</v>
      </c>
      <c r="AE1569">
        <v>0</v>
      </c>
      <c r="AF1569">
        <v>0</v>
      </c>
      <c r="AG1569">
        <v>0</v>
      </c>
      <c r="AH1569">
        <v>0</v>
      </c>
      <c r="AI1569">
        <v>0</v>
      </c>
      <c r="AJ1569">
        <v>1</v>
      </c>
      <c r="AK1569">
        <v>0</v>
      </c>
      <c r="AL1569">
        <v>0</v>
      </c>
      <c r="AM1569">
        <v>0</v>
      </c>
      <c r="AN1569">
        <v>0</v>
      </c>
      <c r="AO1569">
        <v>0</v>
      </c>
      <c r="AP1569">
        <v>0</v>
      </c>
      <c r="AQ1569">
        <v>0</v>
      </c>
      <c r="AR1569">
        <v>0</v>
      </c>
      <c r="AS1569">
        <v>0</v>
      </c>
      <c r="AT1569">
        <v>0</v>
      </c>
      <c r="AU1569">
        <v>0</v>
      </c>
      <c r="AV1569">
        <v>0</v>
      </c>
      <c r="AW1569">
        <v>0</v>
      </c>
      <c r="AX1569" s="141">
        <f>COUNTIF(V1569:AW1569,"&lt;&gt;0")</f>
        <v>1</v>
      </c>
      <c r="AY1569" s="141">
        <f>COUNTIF(V1569:AL1569,"&lt;&gt;0")</f>
        <v>1</v>
      </c>
      <c r="AZ1569">
        <f>COUNTIF(V1569:AC1569,"&lt;&gt;0")</f>
        <v>0</v>
      </c>
      <c r="BA1569">
        <f>COUNTIF(AD1569:AI1569,"&lt;&gt;0")</f>
        <v>0</v>
      </c>
      <c r="BB1569">
        <f>COUNTIF(AJ1569:AL1569,"&lt;&gt;0")</f>
        <v>1</v>
      </c>
      <c r="BC1569">
        <f>COUNTIF(AS1569:AW1569,"&lt;&gt;0")</f>
        <v>0</v>
      </c>
      <c r="BD1569">
        <f>COUNTIF(AM1569:AR1569,"&lt;&gt;0")</f>
        <v>0</v>
      </c>
      <c r="BE1569" t="str" cm="1">
        <f t="array" ref="BE1569">IF(AY1569=1,INDEX($V$7:$AL$7,MATCH(TRUE,INDEX($V1569:$AW1569&lt;&gt;0,),0)),IF(AY1569=0,INDEX($AM$7:$AW$7,MATCH(1,$AM1569:$AW1569,0)),IF(BF1569="Multiple strategies","mixed drivers",IF(BF1569="Supply chain","multiple supply","multiple silviculture"))))</f>
        <v>efficiency improvement</v>
      </c>
      <c r="BF1569" s="2" t="str" cm="1">
        <f t="array" ref="BF1569">IF(COUNTIF(AZ1569:BB1569,"&lt;&gt;0")=1,INDEX($V$4:$AW$4,MATCH(TRUE,INDEX($V1569:$AW1569&lt;&gt;0,),0)),IF(COUNTIF(AZ1569:BB1569,"&lt;&gt;0")=0,INDEX($AM$4:$AW$4,MATCH(1,$AM1569:$AW1569,0)),"Multiple strategies"))</f>
        <v>Technology</v>
      </c>
      <c r="BM1569" s="143"/>
      <c r="BN1569" s="143"/>
      <c r="BP1569" t="s">
        <v>232</v>
      </c>
      <c r="BR1569" t="s">
        <v>4283</v>
      </c>
      <c r="BS1569">
        <v>235.89</v>
      </c>
      <c r="BT1569">
        <v>335.43</v>
      </c>
      <c r="BU1569" s="144">
        <f>IFERROR(BT1569/BS1569,"")</f>
        <v>1.4219763449065244</v>
      </c>
      <c r="BV1569" s="144">
        <f>BT1569-BS1569</f>
        <v>99.54000000000002</v>
      </c>
      <c r="BW1569" s="144"/>
      <c r="BX1569" s="144"/>
      <c r="BY1569" t="str">
        <f>IFERROR(BX1569/BO1569,"")</f>
        <v/>
      </c>
      <c r="BZ1569">
        <v>1</v>
      </c>
      <c r="CA1569">
        <v>0</v>
      </c>
      <c r="CB1569">
        <v>0</v>
      </c>
      <c r="CC1569">
        <v>0</v>
      </c>
      <c r="CD1569">
        <v>0</v>
      </c>
      <c r="CE1569">
        <v>0</v>
      </c>
      <c r="CF1569">
        <v>0</v>
      </c>
      <c r="CG1569">
        <v>0</v>
      </c>
      <c r="CH1569">
        <v>0</v>
      </c>
      <c r="CI1569">
        <v>0</v>
      </c>
      <c r="CJ1569">
        <v>0</v>
      </c>
      <c r="CK1569">
        <v>0</v>
      </c>
      <c r="CL1569">
        <v>0</v>
      </c>
      <c r="CM1569">
        <v>0</v>
      </c>
      <c r="CN1569" t="str">
        <f>IF(BL1569&lt;BK1569,"refNeedCorrection","refOK")</f>
        <v>refOK</v>
      </c>
      <c r="CO1569"/>
      <c r="CP1569"/>
      <c r="CQ1569"/>
      <c r="CR1569">
        <f>IF($CN1569="refOK",$BS1569,$BT1569)*IF($BP1569="Emissions positive",-1,1)</f>
        <v>235.89</v>
      </c>
      <c r="CS1569">
        <f>IF($CN1569="refOK",$BT1569,$BS1569)*IF($BP1569="Emissions positive",-1,1)</f>
        <v>335.43</v>
      </c>
      <c r="CT1569">
        <f>IF($CN1569="refNeedCorrection",-BX1569,BX1569)*IF($BP1569="Emissions positive",-1,1)</f>
        <v>0</v>
      </c>
      <c r="CU1569" t="str">
        <f>IFERROR(CT1569/CQ1569,"")</f>
        <v/>
      </c>
      <c r="CV1569" s="2">
        <f>IFERROR((CS1569-CR1569)/ABS(CR1569),"")</f>
        <v>0.42197634490652436</v>
      </c>
      <c r="CW1569" s="1" t="s">
        <v>263</v>
      </c>
      <c r="CX1569" s="312" t="str">
        <f>IF(OR($CW1569="prd",$CW1569="std",$CW1569="cit"),"loc",IF(OR($CW1569="eur",$CW1569="reg",$CW1569="coy"),"reg",$CW1569))</f>
        <v>loc</v>
      </c>
      <c r="CY1569" s="312" t="s">
        <v>743</v>
      </c>
      <c r="DB1569">
        <f>DA1569-CZ1569</f>
        <v>0</v>
      </c>
      <c r="DC1569" t="str">
        <f>IF(DB1569=0,"0",IF(AND(DB1569&gt;=1,DB1569&lt;=30),"1-30",IF(AND(DB1569&gt;30,DB1569&lt;=70),"31-70",IF(AND(DB1569&gt;70,DB1569&lt;=100),"71-100",IF(DB1569&gt;100,"+100")))))</f>
        <v>0</v>
      </c>
      <c r="DD1569">
        <v>0</v>
      </c>
      <c r="DE1569">
        <v>0</v>
      </c>
      <c r="DF1569">
        <v>0</v>
      </c>
      <c r="DG1569">
        <v>1</v>
      </c>
      <c r="DI1569">
        <f>SUM(DD1569:DG1569)</f>
        <v>1</v>
      </c>
      <c r="DJ1569" t="str">
        <f>IF(DI1569=1,INDEX($DD$7:$DG$7,MATCH(1,$DD1569:$DG1569,0)),"mixedProduct")</f>
        <v>TimberInput</v>
      </c>
      <c r="DK1569">
        <f>IF(DD1569=1,DK$7,0)</f>
        <v>0</v>
      </c>
      <c r="DL1569">
        <f>IF(DE1569=1,DL$7,0)</f>
        <v>0</v>
      </c>
      <c r="DM1569">
        <f>IF(DF1569=1,DM$7,0)</f>
        <v>0</v>
      </c>
      <c r="DN1569" t="str">
        <f>IF(DG1569=1,DN$7,0)</f>
        <v>Timber</v>
      </c>
      <c r="DO1569">
        <v>0</v>
      </c>
      <c r="DP1569">
        <v>0</v>
      </c>
      <c r="DQ1569">
        <v>0</v>
      </c>
      <c r="DR1569">
        <v>0</v>
      </c>
      <c r="DS1569">
        <v>0</v>
      </c>
      <c r="DT1569">
        <f>SUM(DO1569:DP1569)</f>
        <v>0</v>
      </c>
      <c r="DU1569" s="143" t="str">
        <f>IF(DO1569=1,"self-calculated DF",IF(DP1569=1,"external DF used","explicit C balance"))</f>
        <v>explicit C balance</v>
      </c>
      <c r="DV1569">
        <v>0</v>
      </c>
      <c r="DW1569">
        <v>0</v>
      </c>
      <c r="DX1569">
        <v>0</v>
      </c>
      <c r="DY1569">
        <v>0</v>
      </c>
      <c r="DZ1569">
        <v>0</v>
      </c>
      <c r="EA1569" s="143">
        <v>0</v>
      </c>
      <c r="EB1569">
        <v>0</v>
      </c>
      <c r="EC1569">
        <v>1</v>
      </c>
      <c r="ED1569">
        <v>0</v>
      </c>
      <c r="EE1569">
        <v>0</v>
      </c>
      <c r="EF1569">
        <v>0</v>
      </c>
      <c r="EG1569">
        <v>0</v>
      </c>
      <c r="EH1569">
        <v>0</v>
      </c>
      <c r="EI1569" s="2">
        <v>0</v>
      </c>
      <c r="EK1569" t="str">
        <f>IF(AND(AND(AND(OR($DX1569=1,$DW1569=1),OR($EC1569=1,$EA1569=1)),SUM($DV1569:$DZ1569,$EF1569)&gt;=3),SUM($EA1569:$EE1569)&gt;=2),"Whole sector","")</f>
        <v/>
      </c>
      <c r="EL1569" t="str">
        <f>IF(AND(AND(OR($DX1569=1,$DW1569=1),AND($EC1569=0,$EA1569=0)),SUM($DV1569:$DZ1569,$EF1569)&gt;=3),"Ecosystem approach","")</f>
        <v/>
      </c>
      <c r="EM1569" s="2" t="str">
        <f>IF(AND(AND(AND($DX1569=0,$DW1569=0),OR($EC1569=1,$EA1569=1)),SUM($EB1569:$EE1569)&gt;=2),"Technology approach","")</f>
        <v/>
      </c>
      <c r="EP1569" t="b">
        <f>IF(ISNUMBER(BU1569),IF(ABS(BU1569-[5]QC_indicators!$B$2)&gt;3*[5]QC_indicators!$C$2,"C ratio",IF(ISNUMBER(BY1569),IF(ABS(BY1569-[5]QC_indicators!$B$1)&gt;3*[5]QC_indicators!$C$1,"DF","no"))),IF(ISNUMBER(BY1569),IF(ABS(BY1569-[5]QC_indicators!$B$1)&gt;3*[5]QC_indicators!$C$1,"DF","no")))</f>
        <v>0</v>
      </c>
    </row>
    <row r="1570" spans="1:147">
      <c r="A1570" s="1" t="s">
        <v>4272</v>
      </c>
      <c r="B1570" t="s">
        <v>4273</v>
      </c>
      <c r="C1570" t="s">
        <v>4274</v>
      </c>
      <c r="D1570" t="s">
        <v>4275</v>
      </c>
      <c r="E1570" t="s">
        <v>4276</v>
      </c>
      <c r="F1570" t="s">
        <v>4277</v>
      </c>
      <c r="G1570" t="s">
        <v>4278</v>
      </c>
      <c r="H1570" t="s">
        <v>254</v>
      </c>
      <c r="I1570">
        <v>2021</v>
      </c>
      <c r="J1570">
        <v>0</v>
      </c>
      <c r="K1570" t="s">
        <v>4279</v>
      </c>
      <c r="M1570" t="str">
        <f>LEFT($D1570,FIND(",",$D1570)-1)&amp;"_"&amp;I1570&amp;L1570</f>
        <v>Vanova_2021</v>
      </c>
      <c r="N1570" s="312" t="s">
        <v>4383</v>
      </c>
      <c r="O1570" s="145" t="s">
        <v>1154</v>
      </c>
      <c r="Q1570" s="312" t="s">
        <v>256</v>
      </c>
      <c r="R1570" s="313"/>
      <c r="S1570" s="1" t="s">
        <v>4284</v>
      </c>
      <c r="T1570" t="s">
        <v>4287</v>
      </c>
      <c r="U1570" t="s">
        <v>4286</v>
      </c>
      <c r="V1570">
        <v>0</v>
      </c>
      <c r="W1570">
        <v>0</v>
      </c>
      <c r="X1570">
        <v>0</v>
      </c>
      <c r="Y1570">
        <v>0</v>
      </c>
      <c r="Z1570">
        <v>0</v>
      </c>
      <c r="AA1570">
        <v>0</v>
      </c>
      <c r="AB1570">
        <v>0</v>
      </c>
      <c r="AC1570">
        <v>0</v>
      </c>
      <c r="AD1570">
        <v>0</v>
      </c>
      <c r="AE1570">
        <v>0</v>
      </c>
      <c r="AF1570">
        <v>0</v>
      </c>
      <c r="AG1570">
        <v>0</v>
      </c>
      <c r="AH1570">
        <v>0</v>
      </c>
      <c r="AI1570">
        <v>0</v>
      </c>
      <c r="AJ1570">
        <v>1</v>
      </c>
      <c r="AK1570">
        <v>0</v>
      </c>
      <c r="AL1570">
        <v>0</v>
      </c>
      <c r="AM1570">
        <v>0</v>
      </c>
      <c r="AN1570">
        <v>0</v>
      </c>
      <c r="AO1570">
        <v>0</v>
      </c>
      <c r="AP1570">
        <v>0</v>
      </c>
      <c r="AQ1570">
        <v>0</v>
      </c>
      <c r="AR1570">
        <v>0</v>
      </c>
      <c r="AS1570">
        <v>0</v>
      </c>
      <c r="AT1570">
        <v>0</v>
      </c>
      <c r="AU1570">
        <v>0</v>
      </c>
      <c r="AV1570">
        <v>0</v>
      </c>
      <c r="AW1570">
        <v>0</v>
      </c>
      <c r="AX1570" s="141">
        <f>COUNTIF(V1570:AW1570,"&lt;&gt;0")</f>
        <v>1</v>
      </c>
      <c r="AY1570" s="141">
        <f>COUNTIF(V1570:AL1570,"&lt;&gt;0")</f>
        <v>1</v>
      </c>
      <c r="AZ1570">
        <f>COUNTIF(V1570:AC1570,"&lt;&gt;0")</f>
        <v>0</v>
      </c>
      <c r="BA1570">
        <f>COUNTIF(AD1570:AI1570,"&lt;&gt;0")</f>
        <v>0</v>
      </c>
      <c r="BB1570">
        <f>COUNTIF(AJ1570:AL1570,"&lt;&gt;0")</f>
        <v>1</v>
      </c>
      <c r="BC1570">
        <f>COUNTIF(AS1570:AW1570,"&lt;&gt;0")</f>
        <v>0</v>
      </c>
      <c r="BD1570">
        <f>COUNTIF(AM1570:AR1570,"&lt;&gt;0")</f>
        <v>0</v>
      </c>
      <c r="BE1570" t="str" cm="1">
        <f t="array" ref="BE1570">IF(AY1570=1,INDEX($V$7:$AL$7,MATCH(TRUE,INDEX($V1570:$AW1570&lt;&gt;0,),0)),IF(AY1570=0,INDEX($AM$7:$AW$7,MATCH(1,$AM1570:$AW1570,0)),IF(BF1570="Multiple strategies","mixed drivers",IF(BF1570="Supply chain","multiple supply","multiple silviculture"))))</f>
        <v>efficiency improvement</v>
      </c>
      <c r="BF1570" s="2" t="str" cm="1">
        <f t="array" ref="BF1570">IF(COUNTIF(AZ1570:BB1570,"&lt;&gt;0")=1,INDEX($V$4:$AW$4,MATCH(TRUE,INDEX($V1570:$AW1570&lt;&gt;0,),0)),IF(COUNTIF(AZ1570:BB1570,"&lt;&gt;0")=0,INDEX($AM$4:$AW$4,MATCH(1,$AM1570:$AW1570,0)),"Multiple strategies"))</f>
        <v>Technology</v>
      </c>
      <c r="BM1570" s="143"/>
      <c r="BN1570" s="143"/>
      <c r="BP1570" t="s">
        <v>232</v>
      </c>
      <c r="BR1570" t="s">
        <v>4283</v>
      </c>
      <c r="BS1570">
        <v>256.02999999999997</v>
      </c>
      <c r="BT1570">
        <v>335.43</v>
      </c>
      <c r="BU1570" s="144">
        <f>IFERROR(BT1570/BS1570,"")</f>
        <v>1.3101199078233021</v>
      </c>
      <c r="BV1570" s="144">
        <f>BT1570-BS1570</f>
        <v>79.400000000000034</v>
      </c>
      <c r="BW1570" s="144"/>
      <c r="BX1570" s="144"/>
      <c r="BY1570" t="str">
        <f>IFERROR(BX1570/BO1570,"")</f>
        <v/>
      </c>
      <c r="BZ1570">
        <v>1</v>
      </c>
      <c r="CA1570">
        <v>0</v>
      </c>
      <c r="CB1570">
        <v>0</v>
      </c>
      <c r="CC1570">
        <v>0</v>
      </c>
      <c r="CD1570">
        <v>0</v>
      </c>
      <c r="CE1570">
        <v>0</v>
      </c>
      <c r="CF1570">
        <v>0</v>
      </c>
      <c r="CG1570">
        <v>0</v>
      </c>
      <c r="CH1570">
        <v>0</v>
      </c>
      <c r="CI1570">
        <v>0</v>
      </c>
      <c r="CJ1570">
        <v>0</v>
      </c>
      <c r="CK1570">
        <v>0</v>
      </c>
      <c r="CL1570">
        <v>0</v>
      </c>
      <c r="CM1570">
        <v>0</v>
      </c>
      <c r="CN1570" t="str">
        <f>IF(BL1570&lt;BK1570,"refNeedCorrection","refOK")</f>
        <v>refOK</v>
      </c>
      <c r="CO1570"/>
      <c r="CP1570"/>
      <c r="CQ1570"/>
      <c r="CR1570">
        <f>IF($CN1570="refOK",$BS1570,$BT1570)*IF($BP1570="Emissions positive",-1,1)</f>
        <v>256.02999999999997</v>
      </c>
      <c r="CS1570">
        <f>IF($CN1570="refOK",$BT1570,$BS1570)*IF($BP1570="Emissions positive",-1,1)</f>
        <v>335.43</v>
      </c>
      <c r="CT1570">
        <f>IF($CN1570="refNeedCorrection",-BX1570,BX1570)*IF($BP1570="Emissions positive",-1,1)</f>
        <v>0</v>
      </c>
      <c r="CU1570" t="str">
        <f>IFERROR(CT1570/CQ1570,"")</f>
        <v/>
      </c>
      <c r="CV1570" s="2">
        <f>IFERROR((CS1570-CR1570)/ABS(CR1570),"")</f>
        <v>0.31011990782330212</v>
      </c>
      <c r="CW1570" s="1" t="s">
        <v>263</v>
      </c>
      <c r="CX1570" s="312" t="str">
        <f>IF(OR($CW1570="prd",$CW1570="std",$CW1570="cit"),"loc",IF(OR($CW1570="eur",$CW1570="reg",$CW1570="coy"),"reg",$CW1570))</f>
        <v>loc</v>
      </c>
      <c r="CY1570" s="312" t="s">
        <v>743</v>
      </c>
      <c r="DB1570">
        <f>DA1570-CZ1570</f>
        <v>0</v>
      </c>
      <c r="DC1570" t="str">
        <f>IF(DB1570=0,"0",IF(AND(DB1570&gt;=1,DB1570&lt;=30),"1-30",IF(AND(DB1570&gt;30,DB1570&lt;=70),"31-70",IF(AND(DB1570&gt;70,DB1570&lt;=100),"71-100",IF(DB1570&gt;100,"+100")))))</f>
        <v>0</v>
      </c>
      <c r="DD1570">
        <v>0</v>
      </c>
      <c r="DE1570">
        <v>0</v>
      </c>
      <c r="DF1570">
        <v>0</v>
      </c>
      <c r="DG1570">
        <v>1</v>
      </c>
      <c r="DI1570">
        <f>SUM(DD1570:DG1570)</f>
        <v>1</v>
      </c>
      <c r="DJ1570" t="str">
        <f>IF(DI1570=1,INDEX($DD$7:$DG$7,MATCH(1,$DD1570:$DG1570,0)),"mixedProduct")</f>
        <v>TimberInput</v>
      </c>
      <c r="DK1570">
        <f>IF(DD1570=1,DK$7,0)</f>
        <v>0</v>
      </c>
      <c r="DL1570">
        <f>IF(DE1570=1,DL$7,0)</f>
        <v>0</v>
      </c>
      <c r="DM1570">
        <f>IF(DF1570=1,DM$7,0)</f>
        <v>0</v>
      </c>
      <c r="DN1570" t="str">
        <f>IF(DG1570=1,DN$7,0)</f>
        <v>Timber</v>
      </c>
      <c r="DO1570">
        <v>0</v>
      </c>
      <c r="DP1570">
        <v>0</v>
      </c>
      <c r="DQ1570">
        <v>0</v>
      </c>
      <c r="DR1570">
        <v>0</v>
      </c>
      <c r="DS1570">
        <v>0</v>
      </c>
      <c r="DT1570">
        <f>SUM(DO1570:DP1570)</f>
        <v>0</v>
      </c>
      <c r="DU1570" s="143" t="str">
        <f>IF(DO1570=1,"self-calculated DF",IF(DP1570=1,"external DF used","explicit C balance"))</f>
        <v>explicit C balance</v>
      </c>
      <c r="DV1570">
        <v>0</v>
      </c>
      <c r="DW1570">
        <v>0</v>
      </c>
      <c r="DX1570">
        <v>0</v>
      </c>
      <c r="DY1570">
        <v>0</v>
      </c>
      <c r="DZ1570">
        <v>0</v>
      </c>
      <c r="EA1570" s="143">
        <v>0</v>
      </c>
      <c r="EB1570">
        <v>0</v>
      </c>
      <c r="EC1570">
        <v>1</v>
      </c>
      <c r="ED1570">
        <v>0</v>
      </c>
      <c r="EE1570">
        <v>0</v>
      </c>
      <c r="EF1570">
        <v>0</v>
      </c>
      <c r="EG1570">
        <v>0</v>
      </c>
      <c r="EH1570">
        <v>0</v>
      </c>
      <c r="EI1570" s="2">
        <v>0</v>
      </c>
      <c r="EK1570" t="str">
        <f>IF(AND(AND(AND(OR($DX1570=1,$DW1570=1),OR($EC1570=1,$EA1570=1)),SUM($DV1570:$DZ1570,$EF1570)&gt;=3),SUM($EA1570:$EE1570)&gt;=2),"Whole sector","")</f>
        <v/>
      </c>
      <c r="EL1570" t="str">
        <f>IF(AND(AND(OR($DX1570=1,$DW1570=1),AND($EC1570=0,$EA1570=0)),SUM($DV1570:$DZ1570,$EF1570)&gt;=3),"Ecosystem approach","")</f>
        <v/>
      </c>
      <c r="EM1570" s="2" t="str">
        <f>IF(AND(AND(AND($DX1570=0,$DW1570=0),OR($EC1570=1,$EA1570=1)),SUM($EB1570:$EE1570)&gt;=2),"Technology approach","")</f>
        <v/>
      </c>
      <c r="EP1570" t="b">
        <f>IF(ISNUMBER(BU1570),IF(ABS(BU1570-[5]QC_indicators!$B$2)&gt;3*[5]QC_indicators!$C$2,"C ratio",IF(ISNUMBER(BY1570),IF(ABS(BY1570-[5]QC_indicators!$B$1)&gt;3*[5]QC_indicators!$C$1,"DF","no"))),IF(ISNUMBER(BY1570),IF(ABS(BY1570-[5]QC_indicators!$B$1)&gt;3*[5]QC_indicators!$C$1,"DF","no")))</f>
        <v>0</v>
      </c>
    </row>
    <row r="1571" spans="1:147">
      <c r="A1571" s="1" t="s">
        <v>4272</v>
      </c>
      <c r="B1571" t="s">
        <v>4273</v>
      </c>
      <c r="C1571" t="s">
        <v>4274</v>
      </c>
      <c r="D1571" t="s">
        <v>4275</v>
      </c>
      <c r="E1571" t="s">
        <v>4276</v>
      </c>
      <c r="F1571" t="s">
        <v>4277</v>
      </c>
      <c r="G1571" t="s">
        <v>4278</v>
      </c>
      <c r="H1571" t="s">
        <v>254</v>
      </c>
      <c r="I1571">
        <v>2021</v>
      </c>
      <c r="J1571">
        <v>0</v>
      </c>
      <c r="K1571" t="s">
        <v>4279</v>
      </c>
      <c r="M1571" t="str">
        <f>LEFT($D1571,FIND(",",$D1571)-1)&amp;"_"&amp;I1571&amp;L1571</f>
        <v>Vanova_2021</v>
      </c>
      <c r="N1571" s="312" t="s">
        <v>4383</v>
      </c>
      <c r="O1571" s="145" t="s">
        <v>1154</v>
      </c>
      <c r="Q1571" s="312" t="s">
        <v>256</v>
      </c>
      <c r="R1571" s="313"/>
      <c r="S1571" s="1" t="s">
        <v>4288</v>
      </c>
      <c r="T1571" t="s">
        <v>4289</v>
      </c>
      <c r="U1571" t="s">
        <v>4290</v>
      </c>
      <c r="V1571">
        <v>0</v>
      </c>
      <c r="W1571">
        <v>0</v>
      </c>
      <c r="X1571">
        <v>0</v>
      </c>
      <c r="Y1571">
        <v>0</v>
      </c>
      <c r="Z1571">
        <v>1</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s="141">
        <f>COUNTIF(V1571:AW1571,"&lt;&gt;0")</f>
        <v>1</v>
      </c>
      <c r="AY1571" s="141">
        <f>COUNTIF(V1571:AL1571,"&lt;&gt;0")</f>
        <v>1</v>
      </c>
      <c r="AZ1571">
        <f>COUNTIF(V1571:AC1571,"&lt;&gt;0")</f>
        <v>1</v>
      </c>
      <c r="BA1571">
        <f>COUNTIF(AD1571:AI1571,"&lt;&gt;0")</f>
        <v>0</v>
      </c>
      <c r="BB1571">
        <f>COUNTIF(AJ1571:AL1571,"&lt;&gt;0")</f>
        <v>0</v>
      </c>
      <c r="BC1571">
        <f>COUNTIF(AS1571:AW1571,"&lt;&gt;0")</f>
        <v>0</v>
      </c>
      <c r="BD1571">
        <f>COUNTIF(AM1571:AR1571,"&lt;&gt;0")</f>
        <v>0</v>
      </c>
      <c r="BE1571" t="str" cm="1">
        <f t="array" ref="BE1571">IF(AY1571=1,INDEX($V$7:$AL$7,MATCH(TRUE,INDEX($V1571:$AW1571&lt;&gt;0,),0)),IF(AY1571=0,INDEX($AM$7:$AW$7,MATCH(1,$AM1571:$AW1571,0)),IF(BF1571="Multiple strategies","mixed drivers",IF(BF1571="Supply chain","multiple supply","multiple silviculture"))))</f>
        <v>species</v>
      </c>
      <c r="BF1571" s="2" t="str" cm="1">
        <f t="array" ref="BF1571">IF(COUNTIF(AZ1571:BB1571,"&lt;&gt;0")=1,INDEX($V$4:$AW$4,MATCH(TRUE,INDEX($V1571:$AW1571&lt;&gt;0,),0)),IF(COUNTIF(AZ1571:BB1571,"&lt;&gt;0")=0,INDEX($AM$4:$AW$4,MATCH(1,$AM1571:$AW1571,0)),"Multiple strategies"))</f>
        <v>Silviculture for productivity</v>
      </c>
      <c r="BM1571" s="143"/>
      <c r="BN1571" s="143"/>
      <c r="BP1571" t="s">
        <v>232</v>
      </c>
      <c r="BR1571" t="s">
        <v>4283</v>
      </c>
      <c r="BS1571">
        <v>25.31</v>
      </c>
      <c r="BT1571">
        <v>18.829999999999998</v>
      </c>
      <c r="BU1571" s="144">
        <f>IFERROR(BT1571/BS1571,"")</f>
        <v>0.74397471355195577</v>
      </c>
      <c r="BV1571" s="144">
        <f>BT1571-BS1571</f>
        <v>-6.48</v>
      </c>
      <c r="BW1571" s="144"/>
      <c r="BX1571" s="144"/>
      <c r="BY1571" t="str">
        <f>IFERROR(BX1571/BO1571,"")</f>
        <v/>
      </c>
      <c r="BZ1571">
        <v>1</v>
      </c>
      <c r="CA1571">
        <v>0</v>
      </c>
      <c r="CB1571">
        <v>0</v>
      </c>
      <c r="CC1571">
        <v>0</v>
      </c>
      <c r="CD1571">
        <v>0</v>
      </c>
      <c r="CE1571">
        <v>0</v>
      </c>
      <c r="CF1571">
        <v>0</v>
      </c>
      <c r="CG1571">
        <v>0</v>
      </c>
      <c r="CH1571">
        <v>0</v>
      </c>
      <c r="CI1571">
        <v>0</v>
      </c>
      <c r="CJ1571">
        <v>0</v>
      </c>
      <c r="CK1571">
        <v>0</v>
      </c>
      <c r="CL1571">
        <v>0</v>
      </c>
      <c r="CM1571">
        <v>0</v>
      </c>
      <c r="CN1571" t="str">
        <f>IF(BL1571&lt;BK1571,"refNeedCorrection","refOK")</f>
        <v>refOK</v>
      </c>
      <c r="CO1571"/>
      <c r="CP1571"/>
      <c r="CQ1571"/>
      <c r="CR1571">
        <f>IF($CN1571="refOK",$BS1571,$BT1571)*IF($BP1571="Emissions positive",-1,1)</f>
        <v>25.31</v>
      </c>
      <c r="CS1571">
        <f>IF($CN1571="refOK",$BT1571,$BS1571)*IF($BP1571="Emissions positive",-1,1)</f>
        <v>18.829999999999998</v>
      </c>
      <c r="CT1571">
        <f>IF($CN1571="refNeedCorrection",-BX1571,BX1571)*IF($BP1571="Emissions positive",-1,1)</f>
        <v>0</v>
      </c>
      <c r="CU1571" t="str">
        <f>IFERROR(CT1571/CQ1571,"")</f>
        <v/>
      </c>
      <c r="CV1571" s="2">
        <f>IFERROR((CS1571-CR1571)/ABS(CR1571),"")</f>
        <v>-0.25602528644804429</v>
      </c>
      <c r="CW1571" s="1" t="s">
        <v>263</v>
      </c>
      <c r="CX1571" s="312" t="str">
        <f>IF(OR($CW1571="prd",$CW1571="std",$CW1571="cit"),"loc",IF(OR($CW1571="eur",$CW1571="reg",$CW1571="coy"),"reg",$CW1571))</f>
        <v>loc</v>
      </c>
      <c r="CY1571" s="312" t="s">
        <v>743</v>
      </c>
      <c r="DB1571">
        <f>DA1571-CZ1571</f>
        <v>0</v>
      </c>
      <c r="DC1571" t="str">
        <f>IF(DB1571=0,"0",IF(AND(DB1571&gt;=1,DB1571&lt;=30),"1-30",IF(AND(DB1571&gt;30,DB1571&lt;=70),"31-70",IF(AND(DB1571&gt;70,DB1571&lt;=100),"71-100",IF(DB1571&gt;100,"+100")))))</f>
        <v>0</v>
      </c>
      <c r="DD1571">
        <v>0</v>
      </c>
      <c r="DE1571">
        <v>0</v>
      </c>
      <c r="DF1571">
        <v>0</v>
      </c>
      <c r="DG1571">
        <v>1</v>
      </c>
      <c r="DI1571">
        <f>SUM(DD1571:DG1571)</f>
        <v>1</v>
      </c>
      <c r="DJ1571" t="str">
        <f>IF(DI1571=1,INDEX($DD$7:$DG$7,MATCH(1,$DD1571:$DG1571,0)),"mixedProduct")</f>
        <v>TimberInput</v>
      </c>
      <c r="DK1571">
        <f>IF(DD1571=1,DK$7,0)</f>
        <v>0</v>
      </c>
      <c r="DL1571">
        <f>IF(DE1571=1,DL$7,0)</f>
        <v>0</v>
      </c>
      <c r="DM1571">
        <f>IF(DF1571=1,DM$7,0)</f>
        <v>0</v>
      </c>
      <c r="DN1571" t="str">
        <f>IF(DG1571=1,DN$7,0)</f>
        <v>Timber</v>
      </c>
      <c r="DO1571">
        <v>0</v>
      </c>
      <c r="DP1571">
        <v>0</v>
      </c>
      <c r="DQ1571">
        <v>0</v>
      </c>
      <c r="DR1571">
        <v>0</v>
      </c>
      <c r="DS1571">
        <v>0</v>
      </c>
      <c r="DT1571">
        <f>SUM(DO1571:DP1571)</f>
        <v>0</v>
      </c>
      <c r="DU1571" s="143" t="str">
        <f>IF(DO1571=1,"self-calculated DF",IF(DP1571=1,"external DF used","explicit C balance"))</f>
        <v>explicit C balance</v>
      </c>
      <c r="DV1571">
        <v>0</v>
      </c>
      <c r="DW1571">
        <v>0</v>
      </c>
      <c r="DX1571">
        <v>0</v>
      </c>
      <c r="DY1571">
        <v>0</v>
      </c>
      <c r="DZ1571">
        <v>0</v>
      </c>
      <c r="EA1571" s="143">
        <v>0</v>
      </c>
      <c r="EB1571">
        <v>0</v>
      </c>
      <c r="EC1571">
        <v>1</v>
      </c>
      <c r="ED1571">
        <v>0</v>
      </c>
      <c r="EE1571">
        <v>0</v>
      </c>
      <c r="EF1571">
        <v>0</v>
      </c>
      <c r="EG1571">
        <v>0</v>
      </c>
      <c r="EH1571">
        <v>0</v>
      </c>
      <c r="EI1571" s="2">
        <v>0</v>
      </c>
      <c r="EK1571" t="str">
        <f>IF(AND(AND(AND(OR($DX1571=1,$DW1571=1),OR($EC1571=1,$EA1571=1)),SUM($DV1571:$DZ1571,$EF1571)&gt;=3),SUM($EA1571:$EE1571)&gt;=2),"Whole sector","")</f>
        <v/>
      </c>
      <c r="EL1571" t="str">
        <f>IF(AND(AND(OR($DX1571=1,$DW1571=1),AND($EC1571=0,$EA1571=0)),SUM($DV1571:$DZ1571,$EF1571)&gt;=3),"Ecosystem approach","")</f>
        <v/>
      </c>
      <c r="EM1571" s="2" t="str">
        <f>IF(AND(AND(AND($DX1571=0,$DW1571=0),OR($EC1571=1,$EA1571=1)),SUM($EB1571:$EE1571)&gt;=2),"Technology approach","")</f>
        <v/>
      </c>
      <c r="EP1571" t="b">
        <f>IF(ISNUMBER(BU1571),IF(ABS(BU1571-[5]QC_indicators!$B$2)&gt;3*[5]QC_indicators!$C$2,"C ratio",IF(ISNUMBER(BY1571),IF(ABS(BY1571-[5]QC_indicators!$B$1)&gt;3*[5]QC_indicators!$C$1,"DF","no"))),IF(ISNUMBER(BY1571),IF(ABS(BY1571-[5]QC_indicators!$B$1)&gt;3*[5]QC_indicators!$C$1,"DF","no")))</f>
        <v>0</v>
      </c>
    </row>
    <row r="1572" spans="1:147">
      <c r="A1572" s="1" t="s">
        <v>4272</v>
      </c>
      <c r="B1572" t="s">
        <v>4273</v>
      </c>
      <c r="C1572" t="s">
        <v>4274</v>
      </c>
      <c r="D1572" t="s">
        <v>4275</v>
      </c>
      <c r="E1572" t="s">
        <v>4276</v>
      </c>
      <c r="F1572" t="s">
        <v>4277</v>
      </c>
      <c r="G1572" t="s">
        <v>4278</v>
      </c>
      <c r="H1572" t="s">
        <v>254</v>
      </c>
      <c r="I1572">
        <v>2021</v>
      </c>
      <c r="J1572">
        <v>0</v>
      </c>
      <c r="K1572" t="s">
        <v>4279</v>
      </c>
      <c r="M1572" t="str">
        <f>LEFT($D1572,FIND(",",$D1572)-1)&amp;"_"&amp;I1572&amp;L1572</f>
        <v>Vanova_2021</v>
      </c>
      <c r="N1572" s="312" t="s">
        <v>4383</v>
      </c>
      <c r="O1572" s="145" t="s">
        <v>1154</v>
      </c>
      <c r="Q1572" s="312" t="s">
        <v>256</v>
      </c>
      <c r="R1572" s="313"/>
      <c r="S1572" s="1" t="s">
        <v>4284</v>
      </c>
      <c r="T1572" t="s">
        <v>4285</v>
      </c>
      <c r="U1572" t="s">
        <v>4291</v>
      </c>
      <c r="V1572">
        <v>0</v>
      </c>
      <c r="W1572">
        <v>0</v>
      </c>
      <c r="X1572">
        <v>0</v>
      </c>
      <c r="Y1572">
        <v>0</v>
      </c>
      <c r="Z1572">
        <v>0</v>
      </c>
      <c r="AA1572">
        <v>0</v>
      </c>
      <c r="AB1572">
        <v>0</v>
      </c>
      <c r="AC1572">
        <v>0</v>
      </c>
      <c r="AD1572">
        <v>0</v>
      </c>
      <c r="AE1572">
        <v>0</v>
      </c>
      <c r="AF1572">
        <v>0</v>
      </c>
      <c r="AG1572">
        <v>0</v>
      </c>
      <c r="AH1572">
        <v>0</v>
      </c>
      <c r="AI1572">
        <v>0</v>
      </c>
      <c r="AJ1572">
        <v>0</v>
      </c>
      <c r="AK1572">
        <v>1</v>
      </c>
      <c r="AL1572">
        <v>0</v>
      </c>
      <c r="AM1572">
        <v>0</v>
      </c>
      <c r="AN1572">
        <v>0</v>
      </c>
      <c r="AO1572">
        <v>0</v>
      </c>
      <c r="AP1572">
        <v>0</v>
      </c>
      <c r="AQ1572">
        <v>0</v>
      </c>
      <c r="AR1572">
        <v>0</v>
      </c>
      <c r="AS1572">
        <v>0</v>
      </c>
      <c r="AT1572">
        <v>0</v>
      </c>
      <c r="AU1572">
        <v>0</v>
      </c>
      <c r="AV1572">
        <v>0</v>
      </c>
      <c r="AW1572">
        <v>0</v>
      </c>
      <c r="AX1572" s="141">
        <f>COUNTIF(V1572:AW1572,"&lt;&gt;0")</f>
        <v>1</v>
      </c>
      <c r="AY1572" s="141">
        <f>COUNTIF(V1572:AL1572,"&lt;&gt;0")</f>
        <v>1</v>
      </c>
      <c r="AZ1572">
        <f>COUNTIF(V1572:AC1572,"&lt;&gt;0")</f>
        <v>0</v>
      </c>
      <c r="BA1572">
        <f>COUNTIF(AD1572:AI1572,"&lt;&gt;0")</f>
        <v>0</v>
      </c>
      <c r="BB1572">
        <f>COUNTIF(AJ1572:AL1572,"&lt;&gt;0")</f>
        <v>1</v>
      </c>
      <c r="BC1572">
        <f>COUNTIF(AS1572:AW1572,"&lt;&gt;0")</f>
        <v>0</v>
      </c>
      <c r="BD1572">
        <f>COUNTIF(AM1572:AR1572,"&lt;&gt;0")</f>
        <v>0</v>
      </c>
      <c r="BE1572" t="str" cm="1">
        <f t="array" ref="BE1572">IF(AY1572=1,INDEX($V$7:$AL$7,MATCH(TRUE,INDEX($V1572:$AW1572&lt;&gt;0,),0)),IF(AY1572=0,INDEX($AM$7:$AW$7,MATCH(1,$AM1572:$AW1572,0)),IF(BF1572="Multiple strategies","mixed drivers",IF(BF1572="Supply chain","multiple supply","multiple silviculture"))))</f>
        <v>technologies/design switch</v>
      </c>
      <c r="BF1572" s="2" t="str" cm="1">
        <f t="array" ref="BF1572">IF(COUNTIF(AZ1572:BB1572,"&lt;&gt;0")=1,INDEX($V$4:$AW$4,MATCH(TRUE,INDEX($V1572:$AW1572&lt;&gt;0,),0)),IF(COUNTIF(AZ1572:BB1572,"&lt;&gt;0")=0,INDEX($AM$4:$AW$4,MATCH(1,$AM1572:$AW1572,0)),"Multiple strategies"))</f>
        <v>Technology</v>
      </c>
      <c r="BM1572" s="143"/>
      <c r="BN1572" s="143"/>
      <c r="BP1572" t="s">
        <v>232</v>
      </c>
      <c r="BR1572" t="s">
        <v>4283</v>
      </c>
      <c r="BS1572">
        <v>235.89</v>
      </c>
      <c r="BT1572">
        <v>391.81</v>
      </c>
      <c r="BU1572" s="144">
        <f>IFERROR(BT1572/BS1572,"")</f>
        <v>1.6609860528212304</v>
      </c>
      <c r="BV1572" s="144">
        <f>BT1572-BS1572</f>
        <v>155.92000000000002</v>
      </c>
      <c r="BW1572" s="144"/>
      <c r="BX1572" s="144"/>
      <c r="BY1572" t="str">
        <f>IFERROR(BX1572/BO1572,"")</f>
        <v/>
      </c>
      <c r="BZ1572">
        <v>1</v>
      </c>
      <c r="CA1572">
        <v>0</v>
      </c>
      <c r="CB1572">
        <v>0</v>
      </c>
      <c r="CC1572">
        <v>0</v>
      </c>
      <c r="CD1572">
        <v>0</v>
      </c>
      <c r="CE1572">
        <v>0</v>
      </c>
      <c r="CF1572">
        <v>0</v>
      </c>
      <c r="CG1572">
        <v>0</v>
      </c>
      <c r="CH1572">
        <v>0</v>
      </c>
      <c r="CI1572">
        <v>0</v>
      </c>
      <c r="CJ1572">
        <v>0</v>
      </c>
      <c r="CK1572">
        <v>0</v>
      </c>
      <c r="CL1572">
        <v>0</v>
      </c>
      <c r="CM1572">
        <v>0</v>
      </c>
      <c r="CN1572" t="str">
        <f>IF(BL1572&lt;BK1572,"refNeedCorrection","refOK")</f>
        <v>refOK</v>
      </c>
      <c r="CO1572"/>
      <c r="CP1572"/>
      <c r="CQ1572"/>
      <c r="CR1572">
        <f>IF($CN1572="refOK",$BS1572,$BT1572)*IF($BP1572="Emissions positive",-1,1)</f>
        <v>235.89</v>
      </c>
      <c r="CS1572">
        <f>IF($CN1572="refOK",$BT1572,$BS1572)*IF($BP1572="Emissions positive",-1,1)</f>
        <v>391.81</v>
      </c>
      <c r="CT1572">
        <f>IF($CN1572="refNeedCorrection",-BX1572,BX1572)*IF($BP1572="Emissions positive",-1,1)</f>
        <v>0</v>
      </c>
      <c r="CU1572" t="str">
        <f>IFERROR(CT1572/CQ1572,"")</f>
        <v/>
      </c>
      <c r="CV1572" s="2">
        <f>IFERROR((CS1572-CR1572)/ABS(CR1572),"")</f>
        <v>0.66098605282123035</v>
      </c>
      <c r="CW1572" s="1" t="s">
        <v>263</v>
      </c>
      <c r="CX1572" s="312" t="str">
        <f>IF(OR($CW1572="prd",$CW1572="std",$CW1572="cit"),"loc",IF(OR($CW1572="eur",$CW1572="reg",$CW1572="coy"),"reg",$CW1572))</f>
        <v>loc</v>
      </c>
      <c r="CY1572" s="312" t="s">
        <v>743</v>
      </c>
      <c r="DB1572">
        <f>DA1572-CZ1572</f>
        <v>0</v>
      </c>
      <c r="DC1572" t="str">
        <f>IF(DB1572=0,"0",IF(AND(DB1572&gt;=1,DB1572&lt;=30),"1-30",IF(AND(DB1572&gt;30,DB1572&lt;=70),"31-70",IF(AND(DB1572&gt;70,DB1572&lt;=100),"71-100",IF(DB1572&gt;100,"+100")))))</f>
        <v>0</v>
      </c>
      <c r="DD1572">
        <v>0</v>
      </c>
      <c r="DE1572">
        <v>0</v>
      </c>
      <c r="DF1572">
        <v>0</v>
      </c>
      <c r="DG1572">
        <v>1</v>
      </c>
      <c r="DI1572">
        <f>SUM(DD1572:DG1572)</f>
        <v>1</v>
      </c>
      <c r="DJ1572" t="str">
        <f>IF(DI1572=1,INDEX($DD$7:$DG$7,MATCH(1,$DD1572:$DG1572,0)),"mixedProduct")</f>
        <v>TimberInput</v>
      </c>
      <c r="DK1572">
        <f>IF(DD1572=1,DK$7,0)</f>
        <v>0</v>
      </c>
      <c r="DL1572">
        <f>IF(DE1572=1,DL$7,0)</f>
        <v>0</v>
      </c>
      <c r="DM1572">
        <f>IF(DF1572=1,DM$7,0)</f>
        <v>0</v>
      </c>
      <c r="DN1572" t="str">
        <f>IF(DG1572=1,DN$7,0)</f>
        <v>Timber</v>
      </c>
      <c r="DO1572">
        <v>0</v>
      </c>
      <c r="DP1572">
        <v>0</v>
      </c>
      <c r="DQ1572">
        <v>0</v>
      </c>
      <c r="DR1572">
        <v>0</v>
      </c>
      <c r="DS1572">
        <v>0</v>
      </c>
      <c r="DT1572">
        <f>SUM(DO1572:DP1572)</f>
        <v>0</v>
      </c>
      <c r="DU1572" s="143" t="str">
        <f>IF(DO1572=1,"self-calculated DF",IF(DP1572=1,"external DF used","explicit C balance"))</f>
        <v>explicit C balance</v>
      </c>
      <c r="DV1572">
        <v>0</v>
      </c>
      <c r="DW1572">
        <v>0</v>
      </c>
      <c r="DX1572">
        <v>0</v>
      </c>
      <c r="DY1572">
        <v>0</v>
      </c>
      <c r="DZ1572">
        <v>0</v>
      </c>
      <c r="EA1572" s="143">
        <v>0</v>
      </c>
      <c r="EB1572">
        <v>0</v>
      </c>
      <c r="EC1572">
        <v>1</v>
      </c>
      <c r="ED1572">
        <v>0</v>
      </c>
      <c r="EE1572">
        <v>0</v>
      </c>
      <c r="EF1572">
        <v>0</v>
      </c>
      <c r="EG1572">
        <v>0</v>
      </c>
      <c r="EH1572">
        <v>0</v>
      </c>
      <c r="EI1572" s="2">
        <v>0</v>
      </c>
      <c r="EK1572" t="str">
        <f>IF(AND(AND(AND(OR($DX1572=1,$DW1572=1),OR($EC1572=1,$EA1572=1)),SUM($DV1572:$DZ1572,$EF1572)&gt;=3),SUM($EA1572:$EE1572)&gt;=2),"Whole sector","")</f>
        <v/>
      </c>
      <c r="EL1572" t="str">
        <f>IF(AND(AND(OR($DX1572=1,$DW1572=1),AND($EC1572=0,$EA1572=0)),SUM($DV1572:$DZ1572,$EF1572)&gt;=3),"Ecosystem approach","")</f>
        <v/>
      </c>
      <c r="EM1572" s="2" t="str">
        <f>IF(AND(AND(AND($DX1572=0,$DW1572=0),OR($EC1572=1,$EA1572=1)),SUM($EB1572:$EE1572)&gt;=2),"Technology approach","")</f>
        <v/>
      </c>
      <c r="EP1572" t="b">
        <f>IF(ISNUMBER(BU1572),IF(ABS(BU1572-[5]QC_indicators!$B$2)&gt;3*[5]QC_indicators!$C$2,"C ratio",IF(ISNUMBER(BY1572),IF(ABS(BY1572-[5]QC_indicators!$B$1)&gt;3*[5]QC_indicators!$C$1,"DF","no"))),IF(ISNUMBER(BY1572),IF(ABS(BY1572-[5]QC_indicators!$B$1)&gt;3*[5]QC_indicators!$C$1,"DF","no")))</f>
        <v>0</v>
      </c>
    </row>
    <row r="1573" spans="1:147">
      <c r="A1573" s="1" t="s">
        <v>4272</v>
      </c>
      <c r="B1573" t="s">
        <v>4273</v>
      </c>
      <c r="C1573" t="s">
        <v>4274</v>
      </c>
      <c r="D1573" t="s">
        <v>4275</v>
      </c>
      <c r="E1573" t="s">
        <v>4276</v>
      </c>
      <c r="F1573" t="s">
        <v>4277</v>
      </c>
      <c r="G1573" t="s">
        <v>4278</v>
      </c>
      <c r="H1573" t="s">
        <v>254</v>
      </c>
      <c r="I1573">
        <v>2021</v>
      </c>
      <c r="J1573">
        <v>0</v>
      </c>
      <c r="K1573" t="s">
        <v>4279</v>
      </c>
      <c r="M1573" t="str">
        <f>LEFT($D1573,FIND(",",$D1573)-1)&amp;"_"&amp;I1573&amp;L1573</f>
        <v>Vanova_2021</v>
      </c>
      <c r="N1573" s="312" t="s">
        <v>4383</v>
      </c>
      <c r="O1573" s="145" t="s">
        <v>1154</v>
      </c>
      <c r="Q1573" s="312" t="s">
        <v>256</v>
      </c>
      <c r="R1573" s="313"/>
      <c r="S1573" s="1" t="s">
        <v>4284</v>
      </c>
      <c r="T1573" t="s">
        <v>4287</v>
      </c>
      <c r="U1573" t="s">
        <v>4292</v>
      </c>
      <c r="V1573">
        <v>0</v>
      </c>
      <c r="W1573">
        <v>0</v>
      </c>
      <c r="X1573">
        <v>0</v>
      </c>
      <c r="Y1573">
        <v>0</v>
      </c>
      <c r="Z1573">
        <v>0</v>
      </c>
      <c r="AA1573">
        <v>0</v>
      </c>
      <c r="AB1573">
        <v>0</v>
      </c>
      <c r="AC1573">
        <v>0</v>
      </c>
      <c r="AD1573">
        <v>0</v>
      </c>
      <c r="AE1573">
        <v>0</v>
      </c>
      <c r="AF1573">
        <v>0</v>
      </c>
      <c r="AG1573">
        <v>0</v>
      </c>
      <c r="AH1573">
        <v>0</v>
      </c>
      <c r="AI1573">
        <v>0</v>
      </c>
      <c r="AJ1573">
        <v>0</v>
      </c>
      <c r="AK1573">
        <v>1</v>
      </c>
      <c r="AL1573">
        <v>0</v>
      </c>
      <c r="AM1573">
        <v>0</v>
      </c>
      <c r="AN1573">
        <v>0</v>
      </c>
      <c r="AO1573">
        <v>0</v>
      </c>
      <c r="AP1573">
        <v>0</v>
      </c>
      <c r="AQ1573">
        <v>0</v>
      </c>
      <c r="AR1573">
        <v>0</v>
      </c>
      <c r="AS1573">
        <v>0</v>
      </c>
      <c r="AT1573">
        <v>0</v>
      </c>
      <c r="AU1573">
        <v>0</v>
      </c>
      <c r="AV1573">
        <v>0</v>
      </c>
      <c r="AW1573">
        <v>0</v>
      </c>
      <c r="AX1573" s="141">
        <f>COUNTIF(V1573:AW1573,"&lt;&gt;0")</f>
        <v>1</v>
      </c>
      <c r="AY1573" s="141">
        <f>COUNTIF(V1573:AL1573,"&lt;&gt;0")</f>
        <v>1</v>
      </c>
      <c r="AZ1573">
        <f>COUNTIF(V1573:AC1573,"&lt;&gt;0")</f>
        <v>0</v>
      </c>
      <c r="BA1573">
        <f>COUNTIF(AD1573:AI1573,"&lt;&gt;0")</f>
        <v>0</v>
      </c>
      <c r="BB1573">
        <f>COUNTIF(AJ1573:AL1573,"&lt;&gt;0")</f>
        <v>1</v>
      </c>
      <c r="BC1573">
        <f>COUNTIF(AS1573:AW1573,"&lt;&gt;0")</f>
        <v>0</v>
      </c>
      <c r="BD1573">
        <f>COUNTIF(AM1573:AR1573,"&lt;&gt;0")</f>
        <v>0</v>
      </c>
      <c r="BE1573" t="str" cm="1">
        <f t="array" ref="BE1573">IF(AY1573=1,INDEX($V$7:$AL$7,MATCH(TRUE,INDEX($V1573:$AW1573&lt;&gt;0,),0)),IF(AY1573=0,INDEX($AM$7:$AW$7,MATCH(1,$AM1573:$AW1573,0)),IF(BF1573="Multiple strategies","mixed drivers",IF(BF1573="Supply chain","multiple supply","multiple silviculture"))))</f>
        <v>technologies/design switch</v>
      </c>
      <c r="BF1573" s="2" t="str" cm="1">
        <f t="array" ref="BF1573">IF(COUNTIF(AZ1573:BB1573,"&lt;&gt;0")=1,INDEX($V$4:$AW$4,MATCH(TRUE,INDEX($V1573:$AW1573&lt;&gt;0,),0)),IF(COUNTIF(AZ1573:BB1573,"&lt;&gt;0")=0,INDEX($AM$4:$AW$4,MATCH(1,$AM1573:$AW1573,0)),"Multiple strategies"))</f>
        <v>Technology</v>
      </c>
      <c r="BM1573" s="143"/>
      <c r="BN1573" s="143"/>
      <c r="BP1573" t="s">
        <v>232</v>
      </c>
      <c r="BR1573" t="s">
        <v>4283</v>
      </c>
      <c r="BS1573">
        <v>256.02999999999997</v>
      </c>
      <c r="BT1573">
        <v>515.05999999999995</v>
      </c>
      <c r="BU1573" s="144">
        <f>IFERROR(BT1573/BS1573,"")</f>
        <v>2.0117173768698979</v>
      </c>
      <c r="BV1573" s="144">
        <f>BT1573-BS1573</f>
        <v>259.02999999999997</v>
      </c>
      <c r="BW1573" s="144"/>
      <c r="BX1573" s="144"/>
      <c r="BY1573" t="str">
        <f>IFERROR(BX1573/BO1573,"")</f>
        <v/>
      </c>
      <c r="BZ1573">
        <v>1</v>
      </c>
      <c r="CA1573">
        <v>0</v>
      </c>
      <c r="CB1573">
        <v>0</v>
      </c>
      <c r="CC1573">
        <v>0</v>
      </c>
      <c r="CD1573">
        <v>0</v>
      </c>
      <c r="CE1573">
        <v>0</v>
      </c>
      <c r="CF1573">
        <v>0</v>
      </c>
      <c r="CG1573">
        <v>0</v>
      </c>
      <c r="CH1573">
        <v>0</v>
      </c>
      <c r="CI1573">
        <v>0</v>
      </c>
      <c r="CJ1573">
        <v>0</v>
      </c>
      <c r="CK1573">
        <v>0</v>
      </c>
      <c r="CL1573">
        <v>0</v>
      </c>
      <c r="CM1573">
        <v>0</v>
      </c>
      <c r="CN1573" t="str">
        <f>IF(BL1573&lt;BK1573,"refNeedCorrection","refOK")</f>
        <v>refOK</v>
      </c>
      <c r="CO1573"/>
      <c r="CP1573"/>
      <c r="CQ1573"/>
      <c r="CR1573">
        <f>IF($CN1573="refOK",$BS1573,$BT1573)*IF($BP1573="Emissions positive",-1,1)</f>
        <v>256.02999999999997</v>
      </c>
      <c r="CS1573">
        <f>IF($CN1573="refOK",$BT1573,$BS1573)*IF($BP1573="Emissions positive",-1,1)</f>
        <v>515.05999999999995</v>
      </c>
      <c r="CT1573">
        <f>IF($CN1573="refNeedCorrection",-BX1573,BX1573)*IF($BP1573="Emissions positive",-1,1)</f>
        <v>0</v>
      </c>
      <c r="CU1573" t="str">
        <f>IFERROR(CT1573/CQ1573,"")</f>
        <v/>
      </c>
      <c r="CV1573" s="2">
        <f>IFERROR((CS1573-CR1573)/ABS(CR1573),"")</f>
        <v>1.0117173768698982</v>
      </c>
      <c r="CW1573" s="1" t="s">
        <v>263</v>
      </c>
      <c r="CX1573" s="312" t="str">
        <f>IF(OR($CW1573="prd",$CW1573="std",$CW1573="cit"),"loc",IF(OR($CW1573="eur",$CW1573="reg",$CW1573="coy"),"reg",$CW1573))</f>
        <v>loc</v>
      </c>
      <c r="CY1573" s="312" t="s">
        <v>743</v>
      </c>
      <c r="DB1573">
        <f>DA1573-CZ1573</f>
        <v>0</v>
      </c>
      <c r="DC1573" t="str">
        <f>IF(DB1573=0,"0",IF(AND(DB1573&gt;=1,DB1573&lt;=30),"1-30",IF(AND(DB1573&gt;30,DB1573&lt;=70),"31-70",IF(AND(DB1573&gt;70,DB1573&lt;=100),"71-100",IF(DB1573&gt;100,"+100")))))</f>
        <v>0</v>
      </c>
      <c r="DD1573">
        <v>0</v>
      </c>
      <c r="DE1573">
        <v>0</v>
      </c>
      <c r="DF1573">
        <v>0</v>
      </c>
      <c r="DG1573">
        <v>1</v>
      </c>
      <c r="DI1573">
        <f>SUM(DD1573:DG1573)</f>
        <v>1</v>
      </c>
      <c r="DJ1573" t="str">
        <f>IF(DI1573=1,INDEX($DD$7:$DG$7,MATCH(1,$DD1573:$DG1573,0)),"mixedProduct")</f>
        <v>TimberInput</v>
      </c>
      <c r="DK1573">
        <f>IF(DD1573=1,DK$7,0)</f>
        <v>0</v>
      </c>
      <c r="DL1573">
        <f>IF(DE1573=1,DL$7,0)</f>
        <v>0</v>
      </c>
      <c r="DM1573">
        <f>IF(DF1573=1,DM$7,0)</f>
        <v>0</v>
      </c>
      <c r="DN1573" t="str">
        <f>IF(DG1573=1,DN$7,0)</f>
        <v>Timber</v>
      </c>
      <c r="DO1573">
        <v>0</v>
      </c>
      <c r="DP1573">
        <v>0</v>
      </c>
      <c r="DQ1573">
        <v>0</v>
      </c>
      <c r="DR1573">
        <v>0</v>
      </c>
      <c r="DS1573">
        <v>0</v>
      </c>
      <c r="DT1573">
        <f>SUM(DO1573:DP1573)</f>
        <v>0</v>
      </c>
      <c r="DU1573" s="143" t="str">
        <f>IF(DO1573=1,"self-calculated DF",IF(DP1573=1,"external DF used","explicit C balance"))</f>
        <v>explicit C balance</v>
      </c>
      <c r="DV1573">
        <v>0</v>
      </c>
      <c r="DW1573">
        <v>0</v>
      </c>
      <c r="DX1573">
        <v>0</v>
      </c>
      <c r="DY1573">
        <v>0</v>
      </c>
      <c r="DZ1573">
        <v>0</v>
      </c>
      <c r="EA1573" s="143">
        <v>0</v>
      </c>
      <c r="EB1573">
        <v>0</v>
      </c>
      <c r="EC1573">
        <v>1</v>
      </c>
      <c r="ED1573">
        <v>0</v>
      </c>
      <c r="EE1573">
        <v>0</v>
      </c>
      <c r="EF1573">
        <v>0</v>
      </c>
      <c r="EG1573">
        <v>0</v>
      </c>
      <c r="EH1573">
        <v>0</v>
      </c>
      <c r="EI1573" s="2">
        <v>0</v>
      </c>
      <c r="EK1573" t="str">
        <f>IF(AND(AND(AND(OR($DX1573=1,$DW1573=1),OR($EC1573=1,$EA1573=1)),SUM($DV1573:$DZ1573,$EF1573)&gt;=3),SUM($EA1573:$EE1573)&gt;=2),"Whole sector","")</f>
        <v/>
      </c>
      <c r="EL1573" t="str">
        <f>IF(AND(AND(OR($DX1573=1,$DW1573=1),AND($EC1573=0,$EA1573=0)),SUM($DV1573:$DZ1573,$EF1573)&gt;=3),"Ecosystem approach","")</f>
        <v/>
      </c>
      <c r="EM1573" s="2" t="str">
        <f>IF(AND(AND(AND($DX1573=0,$DW1573=0),OR($EC1573=1,$EA1573=1)),SUM($EB1573:$EE1573)&gt;=2),"Technology approach","")</f>
        <v/>
      </c>
      <c r="EP1573" t="b">
        <f>IF(ISNUMBER(BU1573),IF(ABS(BU1573-[5]QC_indicators!$B$2)&gt;3*[5]QC_indicators!$C$2,"C ratio",IF(ISNUMBER(BY1573),IF(ABS(BY1573-[5]QC_indicators!$B$1)&gt;3*[5]QC_indicators!$C$1,"DF","no"))),IF(ISNUMBER(BY1573),IF(ABS(BY1573-[5]QC_indicators!$B$1)&gt;3*[5]QC_indicators!$C$1,"DF","no")))</f>
        <v>0</v>
      </c>
    </row>
    <row r="1574" spans="1:147">
      <c r="A1574" s="1" t="s">
        <v>4293</v>
      </c>
      <c r="B1574" t="s">
        <v>4294</v>
      </c>
      <c r="C1574" t="s">
        <v>4295</v>
      </c>
      <c r="D1574" t="s">
        <v>4296</v>
      </c>
      <c r="E1574" t="s">
        <v>4297</v>
      </c>
      <c r="F1574" t="s">
        <v>4298</v>
      </c>
      <c r="G1574" t="s">
        <v>4299</v>
      </c>
      <c r="H1574" t="s">
        <v>254</v>
      </c>
      <c r="I1574">
        <v>2021</v>
      </c>
      <c r="J1574">
        <v>1</v>
      </c>
      <c r="K1574" t="s">
        <v>4300</v>
      </c>
      <c r="M1574" t="str">
        <f>LEFT($D1574,FIND(",",$D1574)-1)&amp;"_"&amp;I1574&amp;L1574</f>
        <v>Wang_2021</v>
      </c>
      <c r="N1574" s="312" t="s">
        <v>4383</v>
      </c>
      <c r="O1574" s="312" t="s">
        <v>223</v>
      </c>
      <c r="Q1574" s="312" t="s">
        <v>389</v>
      </c>
      <c r="R1574" s="313"/>
      <c r="S1574" s="319" t="s">
        <v>4301</v>
      </c>
      <c r="T1574" s="312" t="s">
        <v>4302</v>
      </c>
      <c r="U1574" s="312" t="s">
        <v>4303</v>
      </c>
      <c r="V1574">
        <v>0</v>
      </c>
      <c r="W1574">
        <v>0</v>
      </c>
      <c r="X1574">
        <v>0</v>
      </c>
      <c r="Y1574">
        <v>0</v>
      </c>
      <c r="Z1574">
        <v>0</v>
      </c>
      <c r="AA1574">
        <v>0</v>
      </c>
      <c r="AB1574">
        <v>0</v>
      </c>
      <c r="AC1574">
        <v>0</v>
      </c>
      <c r="AD1574">
        <v>0</v>
      </c>
      <c r="AE1574">
        <v>0</v>
      </c>
      <c r="AF1574">
        <v>0</v>
      </c>
      <c r="AG1574">
        <v>0</v>
      </c>
      <c r="AH1574">
        <v>1</v>
      </c>
      <c r="AI1574">
        <v>0</v>
      </c>
      <c r="AJ1574">
        <v>0</v>
      </c>
      <c r="AK1574">
        <v>0</v>
      </c>
      <c r="AL1574">
        <v>0</v>
      </c>
      <c r="AM1574">
        <v>0</v>
      </c>
      <c r="AN1574">
        <v>0</v>
      </c>
      <c r="AO1574">
        <v>0</v>
      </c>
      <c r="AP1574">
        <v>0</v>
      </c>
      <c r="AQ1574">
        <v>0</v>
      </c>
      <c r="AR1574">
        <v>0</v>
      </c>
      <c r="AS1574">
        <v>0</v>
      </c>
      <c r="AT1574">
        <v>0</v>
      </c>
      <c r="AU1574">
        <v>0</v>
      </c>
      <c r="AV1574">
        <v>0</v>
      </c>
      <c r="AW1574">
        <v>0</v>
      </c>
      <c r="AX1574" s="141">
        <f>COUNTIF(V1574:AW1574,"&lt;&gt;0")</f>
        <v>1</v>
      </c>
      <c r="AY1574" s="141">
        <f>COUNTIF(V1574:AL1574,"&lt;&gt;0")</f>
        <v>1</v>
      </c>
      <c r="AZ1574">
        <f>COUNTIF(V1574:AC1574,"&lt;&gt;0")</f>
        <v>0</v>
      </c>
      <c r="BA1574">
        <f>COUNTIF(AD1574:AI1574,"&lt;&gt;0")</f>
        <v>1</v>
      </c>
      <c r="BB1574">
        <f>COUNTIF(AJ1574:AL1574,"&lt;&gt;0")</f>
        <v>0</v>
      </c>
      <c r="BC1574">
        <f>COUNTIF(AS1574:AW1574,"&lt;&gt;0")</f>
        <v>0</v>
      </c>
      <c r="BD1574">
        <f>COUNTIF(AM1574:AR1574,"&lt;&gt;0")</f>
        <v>0</v>
      </c>
      <c r="BE1574" t="str" cm="1">
        <f t="array" ref="BE1574">IF(AY1574=1,INDEX($V$7:$AL$7,MATCH(TRUE,INDEX($V1574:$AW1574&lt;&gt;0,),0)),IF(AY1574=0,INDEX($AM$7:$AW$7,MATCH(1,$AM1574:$AW1574,0)),IF(BF1574="Multiple strategies","mixed drivers",IF(BF1574="Supply chain","multiple supply","multiple silviculture"))))</f>
        <v xml:space="preserve">end of life disposal </v>
      </c>
      <c r="BF1574" s="2" t="str" cm="1">
        <f t="array" ref="BF1574">IF(COUNTIF(AZ1574:BB1574,"&lt;&gt;0")=1,INDEX($V$4:$AW$4,MATCH(TRUE,INDEX($V1574:$AW1574&lt;&gt;0,),0)),IF(COUNTIF(AZ1574:BB1574,"&lt;&gt;0")=0,INDEX($AM$4:$AW$4,MATCH(1,$AM1574:$AW1574,0)),"Multiple strategies"))</f>
        <v>Supply chain</v>
      </c>
      <c r="BG1574" s="1" t="s">
        <v>321</v>
      </c>
      <c r="BH1574" s="312" t="s">
        <v>4304</v>
      </c>
      <c r="BI1574" s="312" t="s">
        <v>4305</v>
      </c>
      <c r="BJ1574" s="312" t="s">
        <v>498</v>
      </c>
      <c r="BK1574">
        <v>0.97</v>
      </c>
      <c r="BL1574">
        <v>0.97</v>
      </c>
      <c r="BN1574">
        <f>BL1574-BK1574</f>
        <v>0</v>
      </c>
      <c r="BO1574">
        <f>BN1574</f>
        <v>0</v>
      </c>
      <c r="BP1574" s="312" t="s">
        <v>395</v>
      </c>
      <c r="BQ1574" s="312" t="s">
        <v>4306</v>
      </c>
      <c r="BR1574" s="312" t="s">
        <v>397</v>
      </c>
      <c r="BS1574">
        <v>471</v>
      </c>
      <c r="BT1574">
        <v>464</v>
      </c>
      <c r="BU1574" s="144">
        <f>BT1574/BS1574</f>
        <v>0.9851380042462845</v>
      </c>
      <c r="BV1574">
        <f>BT1574-BS1574</f>
        <v>-7</v>
      </c>
      <c r="BX1574">
        <f>BV1574/1000</f>
        <v>-7.0000000000000001E-3</v>
      </c>
      <c r="BY1574" t="str">
        <f>IFERROR(BX1574/BO1574,"")</f>
        <v/>
      </c>
      <c r="BZ1574">
        <v>0</v>
      </c>
      <c r="CA1574">
        <v>0</v>
      </c>
      <c r="CB1574">
        <v>0</v>
      </c>
      <c r="CC1574">
        <v>0</v>
      </c>
      <c r="CD1574">
        <v>0</v>
      </c>
      <c r="CE1574">
        <v>0</v>
      </c>
      <c r="CF1574">
        <v>0</v>
      </c>
      <c r="CG1574">
        <v>0</v>
      </c>
      <c r="CH1574">
        <v>0</v>
      </c>
      <c r="CI1574">
        <v>0</v>
      </c>
      <c r="CJ1574">
        <v>0</v>
      </c>
      <c r="CK1574">
        <v>0</v>
      </c>
      <c r="CL1574">
        <v>0</v>
      </c>
      <c r="CM1574">
        <v>0</v>
      </c>
      <c r="CN1574" t="str">
        <f>IF($BL1574&lt;$BK1574,"refNeedCorrection","refOK")</f>
        <v>refOK</v>
      </c>
      <c r="CO1574">
        <f>IF($CN1574="refOK",$BK1574,$BL1574)</f>
        <v>0.97</v>
      </c>
      <c r="CP1574">
        <f>IF($CN1574="refOK",$BL1574,$BK1574)</f>
        <v>0.97</v>
      </c>
      <c r="CQ1574">
        <f>IF($CN1574="refOK",$BO1574,-$BO1574)</f>
        <v>0</v>
      </c>
      <c r="CR1574">
        <f>IF($CN1574="refOK",$BS1574,$BT1574)*IF($BP1574="Emissions positive",-1,1)</f>
        <v>-471</v>
      </c>
      <c r="CS1574">
        <f>IF($CN1574="refOK",$BT1574,$BS1574)*IF($BP1574="Emissions positive",-1,1)</f>
        <v>-464</v>
      </c>
      <c r="CT1574">
        <f>IF($CN1574="refNeedCorrection",-BX1574,BX1574)*IF($BP1574="Emissions positive",-1,1)</f>
        <v>7.0000000000000001E-3</v>
      </c>
      <c r="CU1574" t="str">
        <f>IFERROR(CT1574/CQ1574,"")</f>
        <v/>
      </c>
      <c r="CV1574" s="2">
        <f>IFERROR((CS1574-CR1574)/ABS(CR1574),"")</f>
        <v>1.4861995753715499E-2</v>
      </c>
      <c r="CW1574" s="319" t="s">
        <v>263</v>
      </c>
      <c r="CX1574" s="312" t="str">
        <f>IF(OR($CW1574="prd",$CW1574="std",$CW1574="cit"),"loc",IF(OR($CW1574="eur",$CW1574="reg",$CW1574="coy"),"reg",$CW1574))</f>
        <v>loc</v>
      </c>
      <c r="CY1574" s="312" t="s">
        <v>690</v>
      </c>
      <c r="DB1574">
        <v>0</v>
      </c>
      <c r="DC1574" t="str">
        <f>IF(DB1574=0,"0",IF(AND(DB1574&gt;=1,DB1574&lt;=30),"1-30",IF(AND(DB1574&gt;30,DB1574&lt;=70),"31-70",IF(AND(DB1574&gt;70,DB1574&lt;=100),"71-100",IF(DB1574&gt;100,"+100")))))</f>
        <v>0</v>
      </c>
      <c r="DD1574">
        <v>0</v>
      </c>
      <c r="DE1574">
        <v>0</v>
      </c>
      <c r="DF1574">
        <v>0</v>
      </c>
      <c r="DG1574">
        <v>1</v>
      </c>
      <c r="DH1574">
        <v>0</v>
      </c>
      <c r="DI1574">
        <f>SUM(DD1574:DG1574)</f>
        <v>1</v>
      </c>
      <c r="DJ1574" t="str">
        <f>IF(DI1574=1,INDEX($DD$7:$DG$7,MATCH(1,$DD1574:$DG1574,0)),"mixedProduct")</f>
        <v>TimberInput</v>
      </c>
      <c r="DK1574">
        <f>IF(DD1574=1,DK$7,0)</f>
        <v>0</v>
      </c>
      <c r="DL1574">
        <f>IF(DE1574=1,DL$7,0)</f>
        <v>0</v>
      </c>
      <c r="DM1574">
        <f>IF(DF1574=1,DM$7,0)</f>
        <v>0</v>
      </c>
      <c r="DN1574" t="str">
        <f>IF(DG1574=1,DN$7,0)</f>
        <v>Timber</v>
      </c>
      <c r="DO1574">
        <v>0</v>
      </c>
      <c r="DP1574">
        <v>0</v>
      </c>
      <c r="DQ1574">
        <v>0</v>
      </c>
      <c r="DR1574">
        <v>0</v>
      </c>
      <c r="DS1574">
        <v>0</v>
      </c>
      <c r="DT1574">
        <f>SUM(DO1574:DP1574)</f>
        <v>0</v>
      </c>
      <c r="DU1574" s="143" t="str">
        <f>IF(DO1574=1,"self-calculated DF",IF(DP1574=1,"external DF used","explicit C balance"))</f>
        <v>explicit C balance</v>
      </c>
      <c r="DV1574">
        <v>0</v>
      </c>
      <c r="DW1574">
        <v>0</v>
      </c>
      <c r="DX1574">
        <v>0</v>
      </c>
      <c r="DY1574">
        <v>0</v>
      </c>
      <c r="DZ1574">
        <v>1</v>
      </c>
      <c r="EA1574">
        <v>0</v>
      </c>
      <c r="EB1574">
        <v>1</v>
      </c>
      <c r="EC1574">
        <v>1</v>
      </c>
      <c r="ED1574">
        <v>0</v>
      </c>
      <c r="EE1574">
        <v>1</v>
      </c>
      <c r="EF1574">
        <v>0</v>
      </c>
      <c r="EG1574">
        <v>0</v>
      </c>
      <c r="EH1574">
        <v>0</v>
      </c>
      <c r="EI1574" s="2">
        <v>0</v>
      </c>
      <c r="EK1574" t="str">
        <f>IF(AND(AND(AND(OR($DX1574=1,$DW1574=1),OR($EC1574=1,$EA1574=1)),SUM($DV1574:$DZ1574,$EF1574)&gt;=3),SUM($EA1574:$EE1574)&gt;=2),"Whole sector","")</f>
        <v/>
      </c>
      <c r="EL1574" t="str">
        <f>IF(AND(AND(OR($DX1574=1,$DW1574=1),AND($EC1574=0,$EA1574=0)),SUM($DV1574:$DZ1574,$EF1574)&gt;=3),"Ecosystem approach","")</f>
        <v/>
      </c>
      <c r="EM1574" s="2" t="str">
        <f>IF(AND(AND(AND($DX1574=0,$DW1574=0),OR($EC1574=1,$EA1574=1)),SUM($EB1574:$EE1574)&gt;=2),"Technology approach","")</f>
        <v>Technology approach</v>
      </c>
      <c r="EP1574" t="b">
        <f>IF(ISNUMBER(BU1574),IF(ABS(BU1574-[5]QC_indicators!$B$2)&gt;3*[5]QC_indicators!$C$2,"C ratio",IF(ISNUMBER(BY1574),IF(ABS(BY1574-[5]QC_indicators!$B$1)&gt;3*[5]QC_indicators!$C$1,"DF","no"))),IF(ISNUMBER(BY1574),IF(ABS(BY1574-[5]QC_indicators!$B$1)&gt;3*[5]QC_indicators!$C$1,"DF","no")))</f>
        <v>0</v>
      </c>
    </row>
    <row r="1575" spans="1:147">
      <c r="A1575" s="1" t="s">
        <v>4293</v>
      </c>
      <c r="B1575" t="s">
        <v>4294</v>
      </c>
      <c r="C1575" t="s">
        <v>4295</v>
      </c>
      <c r="D1575" t="s">
        <v>4296</v>
      </c>
      <c r="E1575" t="s">
        <v>4297</v>
      </c>
      <c r="F1575" t="s">
        <v>4298</v>
      </c>
      <c r="G1575" t="s">
        <v>4299</v>
      </c>
      <c r="H1575" t="s">
        <v>254</v>
      </c>
      <c r="I1575">
        <v>2021</v>
      </c>
      <c r="J1575">
        <v>1</v>
      </c>
      <c r="K1575" t="s">
        <v>4300</v>
      </c>
      <c r="M1575" t="str">
        <f>LEFT($D1575,FIND(",",$D1575)-1)&amp;"_"&amp;I1575&amp;L1575</f>
        <v>Wang_2021</v>
      </c>
      <c r="N1575" s="312" t="s">
        <v>4383</v>
      </c>
      <c r="O1575" s="312" t="s">
        <v>223</v>
      </c>
      <c r="Q1575" s="312" t="s">
        <v>389</v>
      </c>
      <c r="R1575" s="313"/>
      <c r="S1575" s="319" t="s">
        <v>96</v>
      </c>
      <c r="T1575" s="312" t="s">
        <v>1183</v>
      </c>
      <c r="U1575" s="312" t="s">
        <v>4307</v>
      </c>
      <c r="V1575">
        <v>0</v>
      </c>
      <c r="W1575">
        <v>0</v>
      </c>
      <c r="X1575">
        <v>0</v>
      </c>
      <c r="Y1575">
        <v>0</v>
      </c>
      <c r="Z1575">
        <v>0</v>
      </c>
      <c r="AA1575">
        <v>0</v>
      </c>
      <c r="AB1575">
        <v>0</v>
      </c>
      <c r="AC1575">
        <v>0</v>
      </c>
      <c r="AD1575">
        <v>1</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s="141">
        <f>COUNTIF(V1575:AW1575,"&lt;&gt;0")</f>
        <v>1</v>
      </c>
      <c r="AY1575" s="141">
        <f>COUNTIF(V1575:AL1575,"&lt;&gt;0")</f>
        <v>1</v>
      </c>
      <c r="AZ1575">
        <f>COUNTIF(V1575:AC1575,"&lt;&gt;0")</f>
        <v>0</v>
      </c>
      <c r="BA1575">
        <f>COUNTIF(AD1575:AI1575,"&lt;&gt;0")</f>
        <v>1</v>
      </c>
      <c r="BB1575">
        <f>COUNTIF(AJ1575:AL1575,"&lt;&gt;0")</f>
        <v>0</v>
      </c>
      <c r="BC1575">
        <f>COUNTIF(AS1575:AW1575,"&lt;&gt;0")</f>
        <v>0</v>
      </c>
      <c r="BD1575">
        <f>COUNTIF(AM1575:AR1575,"&lt;&gt;0")</f>
        <v>0</v>
      </c>
      <c r="BE1575" t="str" cm="1">
        <f t="array" ref="BE1575">IF(AY1575=1,INDEX($V$7:$AL$7,MATCH(TRUE,INDEX($V1575:$AW1575&lt;&gt;0,),0)),IF(AY1575=0,INDEX($AM$7:$AW$7,MATCH(1,$AM1575:$AW1575,0)),IF(BF1575="Multiple strategies","mixed drivers",IF(BF1575="Supply chain","multiple supply","multiple silviculture"))))</f>
        <v>harvesting system</v>
      </c>
      <c r="BF1575" s="2" t="str" cm="1">
        <f t="array" ref="BF1575">IF(COUNTIF(AZ1575:BB1575,"&lt;&gt;0")=1,INDEX($V$4:$AW$4,MATCH(TRUE,INDEX($V1575:$AW1575&lt;&gt;0,),0)),IF(COUNTIF(AZ1575:BB1575,"&lt;&gt;0")=0,INDEX($AM$4:$AW$4,MATCH(1,$AM1575:$AW1575,0)),"Multiple strategies"))</f>
        <v>Supply chain</v>
      </c>
      <c r="BG1575" s="1" t="s">
        <v>321</v>
      </c>
      <c r="BH1575" s="312" t="s">
        <v>4304</v>
      </c>
      <c r="BI1575" s="312" t="s">
        <v>4305</v>
      </c>
      <c r="BJ1575" s="312" t="s">
        <v>498</v>
      </c>
      <c r="BK1575">
        <v>0.97</v>
      </c>
      <c r="BL1575">
        <v>0.97</v>
      </c>
      <c r="BN1575">
        <f>BL1575-BK1575</f>
        <v>0</v>
      </c>
      <c r="BO1575">
        <f>BN1575</f>
        <v>0</v>
      </c>
      <c r="BP1575" s="312" t="s">
        <v>395</v>
      </c>
      <c r="BQ1575" s="312" t="s">
        <v>4308</v>
      </c>
      <c r="BR1575" s="312" t="s">
        <v>397</v>
      </c>
      <c r="BS1575">
        <v>465</v>
      </c>
      <c r="BT1575">
        <v>463</v>
      </c>
      <c r="BU1575" s="144">
        <f>BT1575/BS1575</f>
        <v>0.99569892473118282</v>
      </c>
      <c r="BV1575">
        <f>BT1575-BS1575</f>
        <v>-2</v>
      </c>
      <c r="BX1575">
        <f>BV1575/1000</f>
        <v>-2E-3</v>
      </c>
      <c r="BY1575" t="str">
        <f>IFERROR(BX1575/BO1575,"")</f>
        <v/>
      </c>
      <c r="BZ1575">
        <v>0</v>
      </c>
      <c r="CA1575">
        <v>0</v>
      </c>
      <c r="CB1575">
        <v>0</v>
      </c>
      <c r="CC1575">
        <v>0</v>
      </c>
      <c r="CD1575">
        <v>0</v>
      </c>
      <c r="CE1575">
        <v>0</v>
      </c>
      <c r="CF1575">
        <v>0</v>
      </c>
      <c r="CG1575">
        <v>0</v>
      </c>
      <c r="CH1575">
        <v>0</v>
      </c>
      <c r="CI1575">
        <v>0</v>
      </c>
      <c r="CJ1575">
        <v>0</v>
      </c>
      <c r="CK1575">
        <v>0</v>
      </c>
      <c r="CL1575">
        <v>0</v>
      </c>
      <c r="CM1575">
        <v>0</v>
      </c>
      <c r="CN1575" t="str">
        <f>IF($BL1575&lt;$BK1575,"refNeedCorrection","refOK")</f>
        <v>refOK</v>
      </c>
      <c r="CO1575">
        <f>IF($CN1575="refOK",$BK1575,$BL1575)</f>
        <v>0.97</v>
      </c>
      <c r="CP1575">
        <f>IF($CN1575="refOK",$BL1575,$BK1575)</f>
        <v>0.97</v>
      </c>
      <c r="CQ1575">
        <f>IF($CN1575="refOK",$BO1575,-$BO1575)</f>
        <v>0</v>
      </c>
      <c r="CR1575">
        <f>IF($CN1575="refOK",$BS1575,$BT1575)*IF($BP1575="Emissions positive",-1,1)</f>
        <v>-465</v>
      </c>
      <c r="CS1575">
        <f>IF($CN1575="refOK",$BT1575,$BS1575)*IF($BP1575="Emissions positive",-1,1)</f>
        <v>-463</v>
      </c>
      <c r="CT1575">
        <f>IF($CN1575="refNeedCorrection",-BX1575,BX1575)*IF($BP1575="Emissions positive",-1,1)</f>
        <v>2E-3</v>
      </c>
      <c r="CU1575" t="str">
        <f>IFERROR(CT1575/CQ1575,"")</f>
        <v/>
      </c>
      <c r="CV1575" s="2">
        <f>IFERROR((CS1575-CR1575)/ABS(CR1575),"")</f>
        <v>4.3010752688172043E-3</v>
      </c>
      <c r="CW1575" s="319" t="s">
        <v>263</v>
      </c>
      <c r="CX1575" s="312" t="str">
        <f>IF(OR($CW1575="prd",$CW1575="std",$CW1575="cit"),"loc",IF(OR($CW1575="eur",$CW1575="reg",$CW1575="coy"),"reg",$CW1575))</f>
        <v>loc</v>
      </c>
      <c r="CY1575" s="312" t="s">
        <v>690</v>
      </c>
      <c r="DB1575">
        <v>0</v>
      </c>
      <c r="DC1575" t="str">
        <f>IF(DB1575=0,"0",IF(AND(DB1575&gt;=1,DB1575&lt;=30),"1-30",IF(AND(DB1575&gt;30,DB1575&lt;=70),"31-70",IF(AND(DB1575&gt;70,DB1575&lt;=100),"71-100",IF(DB1575&gt;100,"+100")))))</f>
        <v>0</v>
      </c>
      <c r="DD1575">
        <v>0</v>
      </c>
      <c r="DE1575">
        <v>0</v>
      </c>
      <c r="DF1575">
        <v>0</v>
      </c>
      <c r="DG1575">
        <v>1</v>
      </c>
      <c r="DH1575">
        <v>0</v>
      </c>
      <c r="DI1575">
        <f>SUM(DD1575:DG1575)</f>
        <v>1</v>
      </c>
      <c r="DJ1575" t="str">
        <f>IF(DI1575=1,INDEX($DD$7:$DG$7,MATCH(1,$DD1575:$DG1575,0)),"mixedProduct")</f>
        <v>TimberInput</v>
      </c>
      <c r="DK1575">
        <f>IF(DD1575=1,DK$7,0)</f>
        <v>0</v>
      </c>
      <c r="DL1575">
        <f>IF(DE1575=1,DL$7,0)</f>
        <v>0</v>
      </c>
      <c r="DM1575">
        <f>IF(DF1575=1,DM$7,0)</f>
        <v>0</v>
      </c>
      <c r="DN1575" t="str">
        <f>IF(DG1575=1,DN$7,0)</f>
        <v>Timber</v>
      </c>
      <c r="DO1575">
        <v>0</v>
      </c>
      <c r="DP1575">
        <v>0</v>
      </c>
      <c r="DQ1575">
        <v>0</v>
      </c>
      <c r="DR1575">
        <v>0</v>
      </c>
      <c r="DS1575">
        <v>0</v>
      </c>
      <c r="DT1575">
        <f>SUM(DO1575:DP1575)</f>
        <v>0</v>
      </c>
      <c r="DU1575" s="143" t="str">
        <f>IF(DO1575=1,"self-calculated DF",IF(DP1575=1,"external DF used","explicit C balance"))</f>
        <v>explicit C balance</v>
      </c>
      <c r="DV1575">
        <v>0</v>
      </c>
      <c r="DW1575">
        <v>0</v>
      </c>
      <c r="DX1575">
        <v>0</v>
      </c>
      <c r="DY1575">
        <v>0</v>
      </c>
      <c r="DZ1575">
        <v>1</v>
      </c>
      <c r="EA1575">
        <v>0</v>
      </c>
      <c r="EB1575">
        <v>1</v>
      </c>
      <c r="EC1575">
        <v>1</v>
      </c>
      <c r="ED1575">
        <v>0</v>
      </c>
      <c r="EE1575">
        <v>1</v>
      </c>
      <c r="EF1575">
        <v>0</v>
      </c>
      <c r="EG1575">
        <v>0</v>
      </c>
      <c r="EH1575">
        <v>0</v>
      </c>
      <c r="EI1575" s="2">
        <v>0</v>
      </c>
      <c r="EK1575" t="str">
        <f>IF(AND(AND(AND(OR($DX1575=1,$DW1575=1),OR($EC1575=1,$EA1575=1)),SUM($DV1575:$DZ1575,$EF1575)&gt;=3),SUM($EA1575:$EE1575)&gt;=2),"Whole sector","")</f>
        <v/>
      </c>
      <c r="EL1575" t="str">
        <f>IF(AND(AND(OR($DX1575=1,$DW1575=1),AND($EC1575=0,$EA1575=0)),SUM($DV1575:$DZ1575,$EF1575)&gt;=3),"Ecosystem approach","")</f>
        <v/>
      </c>
      <c r="EM1575" s="2" t="str">
        <f>IF(AND(AND(AND($DX1575=0,$DW1575=0),OR($EC1575=1,$EA1575=1)),SUM($EB1575:$EE1575)&gt;=2),"Technology approach","")</f>
        <v>Technology approach</v>
      </c>
      <c r="EP1575" t="b">
        <f>IF(ISNUMBER(BU1575),IF(ABS(BU1575-[5]QC_indicators!$B$2)&gt;3*[5]QC_indicators!$C$2,"C ratio",IF(ISNUMBER(BY1575),IF(ABS(BY1575-[5]QC_indicators!$B$1)&gt;3*[5]QC_indicators!$C$1,"DF","no"))),IF(ISNUMBER(BY1575),IF(ABS(BY1575-[5]QC_indicators!$B$1)&gt;3*[5]QC_indicators!$C$1,"DF","no")))</f>
        <v>0</v>
      </c>
    </row>
    <row r="1576" spans="1:147">
      <c r="A1576" s="1" t="s">
        <v>4293</v>
      </c>
      <c r="B1576" t="s">
        <v>4294</v>
      </c>
      <c r="C1576" t="s">
        <v>4295</v>
      </c>
      <c r="D1576" t="s">
        <v>4296</v>
      </c>
      <c r="E1576" t="s">
        <v>4297</v>
      </c>
      <c r="F1576" t="s">
        <v>4298</v>
      </c>
      <c r="G1576" t="s">
        <v>4299</v>
      </c>
      <c r="H1576" t="s">
        <v>254</v>
      </c>
      <c r="I1576">
        <v>2021</v>
      </c>
      <c r="J1576">
        <v>1</v>
      </c>
      <c r="K1576" t="s">
        <v>4300</v>
      </c>
      <c r="M1576" t="str">
        <f>LEFT($D1576,FIND(",",$D1576)-1)&amp;"_"&amp;I1576&amp;L1576</f>
        <v>Wang_2021</v>
      </c>
      <c r="N1576" s="312" t="s">
        <v>4383</v>
      </c>
      <c r="O1576" s="312" t="s">
        <v>223</v>
      </c>
      <c r="Q1576" s="312" t="s">
        <v>389</v>
      </c>
      <c r="R1576" s="313"/>
      <c r="S1576" s="319" t="s">
        <v>4309</v>
      </c>
      <c r="T1576" s="312" t="s">
        <v>4310</v>
      </c>
      <c r="U1576" s="312" t="s">
        <v>4311</v>
      </c>
      <c r="V1576">
        <v>0</v>
      </c>
      <c r="W1576">
        <v>0</v>
      </c>
      <c r="X1576">
        <v>0</v>
      </c>
      <c r="Y1576">
        <v>0</v>
      </c>
      <c r="Z1576">
        <v>0</v>
      </c>
      <c r="AA1576">
        <v>0</v>
      </c>
      <c r="AB1576">
        <v>0</v>
      </c>
      <c r="AC1576">
        <v>0</v>
      </c>
      <c r="AD1576">
        <v>0</v>
      </c>
      <c r="AE1576">
        <v>1</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s="141">
        <f>COUNTIF(V1576:AW1576,"&lt;&gt;0")</f>
        <v>1</v>
      </c>
      <c r="AY1576" s="141">
        <f>COUNTIF(V1576:AL1576,"&lt;&gt;0")</f>
        <v>1</v>
      </c>
      <c r="AZ1576">
        <f>COUNTIF(V1576:AC1576,"&lt;&gt;0")</f>
        <v>0</v>
      </c>
      <c r="BA1576">
        <f>COUNTIF(AD1576:AI1576,"&lt;&gt;0")</f>
        <v>1</v>
      </c>
      <c r="BB1576">
        <f>COUNTIF(AJ1576:AL1576,"&lt;&gt;0")</f>
        <v>0</v>
      </c>
      <c r="BC1576">
        <f>COUNTIF(AS1576:AW1576,"&lt;&gt;0")</f>
        <v>0</v>
      </c>
      <c r="BD1576">
        <f>COUNTIF(AM1576:AR1576,"&lt;&gt;0")</f>
        <v>0</v>
      </c>
      <c r="BE1576" t="str" cm="1">
        <f t="array" ref="BE1576">IF(AY1576=1,INDEX($V$7:$AL$7,MATCH(TRUE,INDEX($V1576:$AW1576&lt;&gt;0,),0)),IF(AY1576=0,INDEX($AM$7:$AW$7,MATCH(1,$AM1576:$AW1576,0)),IF(BF1576="Multiple strategies","mixed drivers",IF(BF1576="Supply chain","multiple supply","multiple silviculture"))))</f>
        <v>location of industry</v>
      </c>
      <c r="BF1576" s="2" t="str" cm="1">
        <f t="array" ref="BF1576">IF(COUNTIF(AZ1576:BB1576,"&lt;&gt;0")=1,INDEX($V$4:$AW$4,MATCH(TRUE,INDEX($V1576:$AW1576&lt;&gt;0,),0)),IF(COUNTIF(AZ1576:BB1576,"&lt;&gt;0")=0,INDEX($AM$4:$AW$4,MATCH(1,$AM1576:$AW1576,0)),"Multiple strategies"))</f>
        <v>Supply chain</v>
      </c>
      <c r="BG1576" s="1" t="s">
        <v>321</v>
      </c>
      <c r="BH1576" s="312" t="s">
        <v>4304</v>
      </c>
      <c r="BI1576" s="312" t="s">
        <v>4305</v>
      </c>
      <c r="BJ1576" s="312" t="s">
        <v>498</v>
      </c>
      <c r="BK1576">
        <v>0.97</v>
      </c>
      <c r="BL1576">
        <v>0.97</v>
      </c>
      <c r="BN1576">
        <f>BL1576-BK1576</f>
        <v>0</v>
      </c>
      <c r="BO1576">
        <f>BN1576</f>
        <v>0</v>
      </c>
      <c r="BP1576" s="312" t="s">
        <v>395</v>
      </c>
      <c r="BQ1576" s="312" t="s">
        <v>4308</v>
      </c>
      <c r="BR1576" s="312" t="s">
        <v>397</v>
      </c>
      <c r="BS1576">
        <v>489</v>
      </c>
      <c r="BT1576">
        <v>456</v>
      </c>
      <c r="BU1576" s="144">
        <f>BT1576/BS1576</f>
        <v>0.93251533742331283</v>
      </c>
      <c r="BV1576">
        <f>BT1576-BS1576</f>
        <v>-33</v>
      </c>
      <c r="BX1576">
        <f>BV1576/1000</f>
        <v>-3.3000000000000002E-2</v>
      </c>
      <c r="BY1576" t="str">
        <f>IFERROR(BX1576/BO1576,"")</f>
        <v/>
      </c>
      <c r="BZ1576">
        <v>0</v>
      </c>
      <c r="CA1576">
        <v>0</v>
      </c>
      <c r="CB1576">
        <v>0</v>
      </c>
      <c r="CC1576">
        <v>0</v>
      </c>
      <c r="CD1576">
        <v>0</v>
      </c>
      <c r="CE1576">
        <v>0</v>
      </c>
      <c r="CF1576">
        <v>0</v>
      </c>
      <c r="CG1576">
        <v>0</v>
      </c>
      <c r="CH1576">
        <v>0</v>
      </c>
      <c r="CI1576">
        <v>0</v>
      </c>
      <c r="CJ1576">
        <v>0</v>
      </c>
      <c r="CK1576">
        <v>0</v>
      </c>
      <c r="CL1576">
        <v>0</v>
      </c>
      <c r="CM1576">
        <v>0</v>
      </c>
      <c r="CN1576" t="str">
        <f>IF($BL1576&lt;$BK1576,"refNeedCorrection","refOK")</f>
        <v>refOK</v>
      </c>
      <c r="CO1576">
        <f>IF($CN1576="refOK",$BK1576,$BL1576)</f>
        <v>0.97</v>
      </c>
      <c r="CP1576">
        <f>IF($CN1576="refOK",$BL1576,$BK1576)</f>
        <v>0.97</v>
      </c>
      <c r="CQ1576">
        <f>IF($CN1576="refOK",$BO1576,-$BO1576)</f>
        <v>0</v>
      </c>
      <c r="CR1576">
        <f>IF($CN1576="refOK",$BS1576,$BT1576)*IF($BP1576="Emissions positive",-1,1)</f>
        <v>-489</v>
      </c>
      <c r="CS1576">
        <f>IF($CN1576="refOK",$BT1576,$BS1576)*IF($BP1576="Emissions positive",-1,1)</f>
        <v>-456</v>
      </c>
      <c r="CT1576">
        <f>IF($CN1576="refNeedCorrection",-BX1576,BX1576)*IF($BP1576="Emissions positive",-1,1)</f>
        <v>3.3000000000000002E-2</v>
      </c>
      <c r="CU1576" t="str">
        <f>IFERROR(CT1576/CQ1576,"")</f>
        <v/>
      </c>
      <c r="CV1576" s="2">
        <f>IFERROR((CS1576-CR1576)/ABS(CR1576),"")</f>
        <v>6.7484662576687116E-2</v>
      </c>
      <c r="CW1576" s="319" t="s">
        <v>263</v>
      </c>
      <c r="CX1576" s="312" t="str">
        <f>IF(OR($CW1576="prd",$CW1576="std",$CW1576="cit"),"loc",IF(OR($CW1576="eur",$CW1576="reg",$CW1576="coy"),"reg",$CW1576))</f>
        <v>loc</v>
      </c>
      <c r="CY1576" s="312" t="s">
        <v>690</v>
      </c>
      <c r="DB1576">
        <v>0</v>
      </c>
      <c r="DC1576" t="str">
        <f>IF(DB1576=0,"0",IF(AND(DB1576&gt;=1,DB1576&lt;=30),"1-30",IF(AND(DB1576&gt;30,DB1576&lt;=70),"31-70",IF(AND(DB1576&gt;70,DB1576&lt;=100),"71-100",IF(DB1576&gt;100,"+100")))))</f>
        <v>0</v>
      </c>
      <c r="DD1576">
        <v>0</v>
      </c>
      <c r="DE1576">
        <v>0</v>
      </c>
      <c r="DF1576">
        <v>0</v>
      </c>
      <c r="DG1576">
        <v>1</v>
      </c>
      <c r="DH1576">
        <v>0</v>
      </c>
      <c r="DI1576">
        <f>SUM(DD1576:DG1576)</f>
        <v>1</v>
      </c>
      <c r="DJ1576" t="str">
        <f>IF(DI1576=1,INDEX($DD$7:$DG$7,MATCH(1,$DD1576:$DG1576,0)),"mixedProduct")</f>
        <v>TimberInput</v>
      </c>
      <c r="DK1576">
        <f>IF(DD1576=1,DK$7,0)</f>
        <v>0</v>
      </c>
      <c r="DL1576">
        <f>IF(DE1576=1,DL$7,0)</f>
        <v>0</v>
      </c>
      <c r="DM1576">
        <f>IF(DF1576=1,DM$7,0)</f>
        <v>0</v>
      </c>
      <c r="DN1576" t="str">
        <f>IF(DG1576=1,DN$7,0)</f>
        <v>Timber</v>
      </c>
      <c r="DO1576">
        <v>0</v>
      </c>
      <c r="DP1576">
        <v>0</v>
      </c>
      <c r="DQ1576">
        <v>0</v>
      </c>
      <c r="DR1576">
        <v>0</v>
      </c>
      <c r="DS1576">
        <v>0</v>
      </c>
      <c r="DT1576">
        <f>SUM(DO1576:DP1576)</f>
        <v>0</v>
      </c>
      <c r="DU1576" s="143" t="str">
        <f>IF(DO1576=1,"self-calculated DF",IF(DP1576=1,"external DF used","explicit C balance"))</f>
        <v>explicit C balance</v>
      </c>
      <c r="DV1576">
        <v>0</v>
      </c>
      <c r="DW1576">
        <v>0</v>
      </c>
      <c r="DX1576">
        <v>0</v>
      </c>
      <c r="DY1576">
        <v>0</v>
      </c>
      <c r="DZ1576">
        <v>1</v>
      </c>
      <c r="EA1576">
        <v>0</v>
      </c>
      <c r="EB1576">
        <v>1</v>
      </c>
      <c r="EC1576">
        <v>1</v>
      </c>
      <c r="ED1576">
        <v>0</v>
      </c>
      <c r="EE1576">
        <v>1</v>
      </c>
      <c r="EF1576">
        <v>0</v>
      </c>
      <c r="EG1576">
        <v>0</v>
      </c>
      <c r="EH1576">
        <v>0</v>
      </c>
      <c r="EI1576" s="2">
        <v>0</v>
      </c>
      <c r="EK1576" t="str">
        <f>IF(AND(AND(AND(OR($DX1576=1,$DW1576=1),OR($EC1576=1,$EA1576=1)),SUM($DV1576:$DZ1576,$EF1576)&gt;=3),SUM($EA1576:$EE1576)&gt;=2),"Whole sector","")</f>
        <v/>
      </c>
      <c r="EL1576" t="str">
        <f>IF(AND(AND(OR($DX1576=1,$DW1576=1),AND($EC1576=0,$EA1576=0)),SUM($DV1576:$DZ1576,$EF1576)&gt;=3),"Ecosystem approach","")</f>
        <v/>
      </c>
      <c r="EM1576" s="2" t="str">
        <f>IF(AND(AND(AND($DX1576=0,$DW1576=0),OR($EC1576=1,$EA1576=1)),SUM($EB1576:$EE1576)&gt;=2),"Technology approach","")</f>
        <v>Technology approach</v>
      </c>
      <c r="EP1576" t="b">
        <f>IF(ISNUMBER(BU1576),IF(ABS(BU1576-[5]QC_indicators!$B$2)&gt;3*[5]QC_indicators!$C$2,"C ratio",IF(ISNUMBER(BY1576),IF(ABS(BY1576-[5]QC_indicators!$B$1)&gt;3*[5]QC_indicators!$C$1,"DF","no"))),IF(ISNUMBER(BY1576),IF(ABS(BY1576-[5]QC_indicators!$B$1)&gt;3*[5]QC_indicators!$C$1,"DF","no")))</f>
        <v>0</v>
      </c>
    </row>
    <row r="1577" spans="1:147">
      <c r="A1577" s="1" t="s">
        <v>4293</v>
      </c>
      <c r="B1577" t="s">
        <v>4294</v>
      </c>
      <c r="C1577" t="s">
        <v>4295</v>
      </c>
      <c r="D1577" t="s">
        <v>4296</v>
      </c>
      <c r="E1577" t="s">
        <v>4297</v>
      </c>
      <c r="F1577" t="s">
        <v>4298</v>
      </c>
      <c r="G1577" t="s">
        <v>4299</v>
      </c>
      <c r="H1577" t="s">
        <v>254</v>
      </c>
      <c r="I1577">
        <v>2021</v>
      </c>
      <c r="J1577">
        <v>1</v>
      </c>
      <c r="K1577" t="s">
        <v>4300</v>
      </c>
      <c r="M1577" t="str">
        <f>LEFT($D1577,FIND(",",$D1577)-1)&amp;"_"&amp;I1577&amp;L1577</f>
        <v>Wang_2021</v>
      </c>
      <c r="N1577" s="312" t="s">
        <v>4383</v>
      </c>
      <c r="O1577" s="312" t="s">
        <v>223</v>
      </c>
      <c r="Q1577" s="312" t="s">
        <v>389</v>
      </c>
      <c r="R1577" s="313"/>
      <c r="S1577" s="319" t="s">
        <v>4312</v>
      </c>
      <c r="T1577" s="312" t="s">
        <v>718</v>
      </c>
      <c r="U1577" s="312" t="s">
        <v>613</v>
      </c>
      <c r="V1577">
        <v>0</v>
      </c>
      <c r="W1577">
        <v>0</v>
      </c>
      <c r="X1577">
        <v>0</v>
      </c>
      <c r="Y1577">
        <v>0</v>
      </c>
      <c r="Z1577">
        <v>0</v>
      </c>
      <c r="AA1577">
        <v>0</v>
      </c>
      <c r="AB1577">
        <v>0</v>
      </c>
      <c r="AC1577">
        <v>0</v>
      </c>
      <c r="AD1577">
        <v>0</v>
      </c>
      <c r="AE1577">
        <v>1</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s="141">
        <f>COUNTIF(V1577:AW1577,"&lt;&gt;0")</f>
        <v>1</v>
      </c>
      <c r="AY1577" s="141">
        <f>COUNTIF(V1577:AL1577,"&lt;&gt;0")</f>
        <v>1</v>
      </c>
      <c r="AZ1577">
        <f>COUNTIF(V1577:AC1577,"&lt;&gt;0")</f>
        <v>0</v>
      </c>
      <c r="BA1577">
        <f>COUNTIF(AD1577:AI1577,"&lt;&gt;0")</f>
        <v>1</v>
      </c>
      <c r="BB1577">
        <f>COUNTIF(AJ1577:AL1577,"&lt;&gt;0")</f>
        <v>0</v>
      </c>
      <c r="BC1577">
        <f>COUNTIF(AS1577:AW1577,"&lt;&gt;0")</f>
        <v>0</v>
      </c>
      <c r="BD1577">
        <f>COUNTIF(AM1577:AR1577,"&lt;&gt;0")</f>
        <v>0</v>
      </c>
      <c r="BE1577" t="str" cm="1">
        <f t="array" ref="BE1577">IF(AY1577=1,INDEX($V$7:$AL$7,MATCH(TRUE,INDEX($V1577:$AW1577&lt;&gt;0,),0)),IF(AY1577=0,INDEX($AM$7:$AW$7,MATCH(1,$AM1577:$AW1577,0)),IF(BF1577="Multiple strategies","mixed drivers",IF(BF1577="Supply chain","multiple supply","multiple silviculture"))))</f>
        <v>location of industry</v>
      </c>
      <c r="BF1577" s="2" t="str" cm="1">
        <f t="array" ref="BF1577">IF(COUNTIF(AZ1577:BB1577,"&lt;&gt;0")=1,INDEX($V$4:$AW$4,MATCH(TRUE,INDEX($V1577:$AW1577&lt;&gt;0,),0)),IF(COUNTIF(AZ1577:BB1577,"&lt;&gt;0")=0,INDEX($AM$4:$AW$4,MATCH(1,$AM1577:$AW1577,0)),"Multiple strategies"))</f>
        <v>Supply chain</v>
      </c>
      <c r="BG1577" s="1" t="s">
        <v>321</v>
      </c>
      <c r="BH1577" s="312" t="s">
        <v>4304</v>
      </c>
      <c r="BI1577" s="312" t="s">
        <v>4305</v>
      </c>
      <c r="BJ1577" s="312" t="s">
        <v>498</v>
      </c>
      <c r="BK1577">
        <v>0.97</v>
      </c>
      <c r="BL1577">
        <v>0.97</v>
      </c>
      <c r="BN1577">
        <f>BL1577-BK1577</f>
        <v>0</v>
      </c>
      <c r="BO1577">
        <f>BN1577</f>
        <v>0</v>
      </c>
      <c r="BP1577" s="312" t="s">
        <v>395</v>
      </c>
      <c r="BQ1577" s="312" t="s">
        <v>4308</v>
      </c>
      <c r="BR1577" s="312" t="s">
        <v>397</v>
      </c>
      <c r="BS1577">
        <v>517</v>
      </c>
      <c r="BT1577">
        <v>464</v>
      </c>
      <c r="BU1577" s="144">
        <f>BT1577/BS1577</f>
        <v>0.89748549323017413</v>
      </c>
      <c r="BV1577">
        <f>BT1577-BS1577</f>
        <v>-53</v>
      </c>
      <c r="BX1577">
        <f>BV1577/1000</f>
        <v>-5.2999999999999999E-2</v>
      </c>
      <c r="BY1577" t="str">
        <f>IFERROR(BX1577/BO1577,"")</f>
        <v/>
      </c>
      <c r="BZ1577">
        <v>0</v>
      </c>
      <c r="CA1577">
        <v>0</v>
      </c>
      <c r="CB1577">
        <v>0</v>
      </c>
      <c r="CC1577">
        <v>0</v>
      </c>
      <c r="CD1577">
        <v>0</v>
      </c>
      <c r="CE1577">
        <v>0</v>
      </c>
      <c r="CF1577">
        <v>0</v>
      </c>
      <c r="CG1577">
        <v>0</v>
      </c>
      <c r="CH1577">
        <v>0</v>
      </c>
      <c r="CI1577">
        <v>0</v>
      </c>
      <c r="CJ1577">
        <v>0</v>
      </c>
      <c r="CK1577">
        <v>0</v>
      </c>
      <c r="CL1577">
        <v>0</v>
      </c>
      <c r="CM1577">
        <v>0</v>
      </c>
      <c r="CN1577" t="str">
        <f>IF($BL1577&lt;$BK1577,"refNeedCorrection","refOK")</f>
        <v>refOK</v>
      </c>
      <c r="CO1577">
        <f>IF($CN1577="refOK",$BK1577,$BL1577)</f>
        <v>0.97</v>
      </c>
      <c r="CP1577">
        <f>IF($CN1577="refOK",$BL1577,$BK1577)</f>
        <v>0.97</v>
      </c>
      <c r="CQ1577">
        <f>IF($CN1577="refOK",$BO1577,-$BO1577)</f>
        <v>0</v>
      </c>
      <c r="CR1577">
        <f>IF($CN1577="refOK",$BS1577,$BT1577)*IF($BP1577="Emissions positive",-1,1)</f>
        <v>-517</v>
      </c>
      <c r="CS1577">
        <f>IF($CN1577="refOK",$BT1577,$BS1577)*IF($BP1577="Emissions positive",-1,1)</f>
        <v>-464</v>
      </c>
      <c r="CT1577">
        <f>IF($CN1577="refNeedCorrection",-BX1577,BX1577)*IF($BP1577="Emissions positive",-1,1)</f>
        <v>5.2999999999999999E-2</v>
      </c>
      <c r="CU1577" t="str">
        <f>IFERROR(CT1577/CQ1577,"")</f>
        <v/>
      </c>
      <c r="CV1577" s="2">
        <f>IFERROR((CS1577-CR1577)/ABS(CR1577),"")</f>
        <v>0.10251450676982592</v>
      </c>
      <c r="CW1577" s="319" t="s">
        <v>263</v>
      </c>
      <c r="CX1577" s="312" t="str">
        <f>IF(OR($CW1577="prd",$CW1577="std",$CW1577="cit"),"loc",IF(OR($CW1577="eur",$CW1577="reg",$CW1577="coy"),"reg",$CW1577))</f>
        <v>loc</v>
      </c>
      <c r="CY1577" s="312" t="s">
        <v>690</v>
      </c>
      <c r="DB1577">
        <v>0</v>
      </c>
      <c r="DC1577" t="str">
        <f>IF(DB1577=0,"0",IF(AND(DB1577&gt;=1,DB1577&lt;=30),"1-30",IF(AND(DB1577&gt;30,DB1577&lt;=70),"31-70",IF(AND(DB1577&gt;70,DB1577&lt;=100),"71-100",IF(DB1577&gt;100,"+100")))))</f>
        <v>0</v>
      </c>
      <c r="DD1577">
        <v>0</v>
      </c>
      <c r="DE1577">
        <v>0</v>
      </c>
      <c r="DF1577">
        <v>0</v>
      </c>
      <c r="DG1577">
        <v>1</v>
      </c>
      <c r="DH1577">
        <v>0</v>
      </c>
      <c r="DI1577">
        <f>SUM(DD1577:DG1577)</f>
        <v>1</v>
      </c>
      <c r="DJ1577" t="str">
        <f>IF(DI1577=1,INDEX($DD$7:$DG$7,MATCH(1,$DD1577:$DG1577,0)),"mixedProduct")</f>
        <v>TimberInput</v>
      </c>
      <c r="DK1577">
        <f>IF(DD1577=1,DK$7,0)</f>
        <v>0</v>
      </c>
      <c r="DL1577">
        <f>IF(DE1577=1,DL$7,0)</f>
        <v>0</v>
      </c>
      <c r="DM1577">
        <f>IF(DF1577=1,DM$7,0)</f>
        <v>0</v>
      </c>
      <c r="DN1577" t="str">
        <f>IF(DG1577=1,DN$7,0)</f>
        <v>Timber</v>
      </c>
      <c r="DO1577">
        <v>0</v>
      </c>
      <c r="DP1577">
        <v>0</v>
      </c>
      <c r="DQ1577">
        <v>0</v>
      </c>
      <c r="DR1577">
        <v>0</v>
      </c>
      <c r="DS1577">
        <v>0</v>
      </c>
      <c r="DT1577">
        <f>SUM(DO1577:DP1577)</f>
        <v>0</v>
      </c>
      <c r="DU1577" s="143" t="str">
        <f>IF(DO1577=1,"self-calculated DF",IF(DP1577=1,"external DF used","explicit C balance"))</f>
        <v>explicit C balance</v>
      </c>
      <c r="DV1577">
        <v>0</v>
      </c>
      <c r="DW1577">
        <v>0</v>
      </c>
      <c r="DX1577">
        <v>0</v>
      </c>
      <c r="DY1577">
        <v>0</v>
      </c>
      <c r="DZ1577">
        <v>1</v>
      </c>
      <c r="EA1577">
        <v>0</v>
      </c>
      <c r="EB1577">
        <v>1</v>
      </c>
      <c r="EC1577">
        <v>1</v>
      </c>
      <c r="ED1577">
        <v>0</v>
      </c>
      <c r="EE1577">
        <v>1</v>
      </c>
      <c r="EF1577">
        <v>0</v>
      </c>
      <c r="EG1577">
        <v>0</v>
      </c>
      <c r="EH1577">
        <v>0</v>
      </c>
      <c r="EI1577" s="2">
        <v>0</v>
      </c>
      <c r="EK1577" t="str">
        <f>IF(AND(AND(AND(OR($DX1577=1,$DW1577=1),OR($EC1577=1,$EA1577=1)),SUM($DV1577:$DZ1577,$EF1577)&gt;=3),SUM($EA1577:$EE1577)&gt;=2),"Whole sector","")</f>
        <v/>
      </c>
      <c r="EL1577" t="str">
        <f>IF(AND(AND(OR($DX1577=1,$DW1577=1),AND($EC1577=0,$EA1577=0)),SUM($DV1577:$DZ1577,$EF1577)&gt;=3),"Ecosystem approach","")</f>
        <v/>
      </c>
      <c r="EM1577" s="2" t="str">
        <f>IF(AND(AND(AND($DX1577=0,$DW1577=0),OR($EC1577=1,$EA1577=1)),SUM($EB1577:$EE1577)&gt;=2),"Technology approach","")</f>
        <v>Technology approach</v>
      </c>
      <c r="EP1577" t="b">
        <f>IF(ISNUMBER(BU1577),IF(ABS(BU1577-[5]QC_indicators!$B$2)&gt;3*[5]QC_indicators!$C$2,"C ratio",IF(ISNUMBER(BY1577),IF(ABS(BY1577-[5]QC_indicators!$B$1)&gt;3*[5]QC_indicators!$C$1,"DF","no"))),IF(ISNUMBER(BY1577),IF(ABS(BY1577-[5]QC_indicators!$B$1)&gt;3*[5]QC_indicators!$C$1,"DF","no")))</f>
        <v>0</v>
      </c>
    </row>
    <row r="1578" spans="1:147">
      <c r="A1578" s="1" t="s">
        <v>4313</v>
      </c>
      <c r="B1578" t="s">
        <v>4314</v>
      </c>
      <c r="C1578" t="s">
        <v>4315</v>
      </c>
      <c r="D1578" t="s">
        <v>4316</v>
      </c>
      <c r="E1578" t="s">
        <v>4317</v>
      </c>
      <c r="F1578" t="s">
        <v>4318</v>
      </c>
      <c r="G1578" t="s">
        <v>4319</v>
      </c>
      <c r="H1578" t="s">
        <v>254</v>
      </c>
      <c r="I1578">
        <v>2011</v>
      </c>
      <c r="J1578">
        <v>7</v>
      </c>
      <c r="K1578" t="s">
        <v>4320</v>
      </c>
      <c r="M1578" t="str">
        <f>LEFT($D1578,FIND(",",$D1578)-1)&amp;"_"&amp;I1578&amp;L1578</f>
        <v>Weight_2011</v>
      </c>
      <c r="N1578" s="312" t="s">
        <v>4383</v>
      </c>
      <c r="O1578" s="145" t="s">
        <v>1154</v>
      </c>
      <c r="Q1578" s="312" t="s">
        <v>256</v>
      </c>
      <c r="R1578" s="313"/>
      <c r="S1578" s="1" t="s">
        <v>4321</v>
      </c>
      <c r="T1578" t="s">
        <v>4322</v>
      </c>
      <c r="U1578" t="s">
        <v>4323</v>
      </c>
      <c r="V1578">
        <v>0</v>
      </c>
      <c r="W1578">
        <v>0</v>
      </c>
      <c r="X1578">
        <v>0</v>
      </c>
      <c r="Y1578">
        <v>0</v>
      </c>
      <c r="Z1578">
        <v>0</v>
      </c>
      <c r="AA1578">
        <v>0</v>
      </c>
      <c r="AB1578">
        <v>0</v>
      </c>
      <c r="AC1578">
        <v>0</v>
      </c>
      <c r="AD1578">
        <v>0</v>
      </c>
      <c r="AE1578">
        <v>0</v>
      </c>
      <c r="AF1578">
        <v>0</v>
      </c>
      <c r="AG1578">
        <v>0</v>
      </c>
      <c r="AH1578">
        <v>0</v>
      </c>
      <c r="AI1578">
        <v>0</v>
      </c>
      <c r="AJ1578">
        <v>1</v>
      </c>
      <c r="AK1578">
        <v>0</v>
      </c>
      <c r="AL1578">
        <v>0</v>
      </c>
      <c r="AM1578">
        <v>0</v>
      </c>
      <c r="AN1578">
        <v>0</v>
      </c>
      <c r="AO1578">
        <v>0</v>
      </c>
      <c r="AP1578">
        <v>0</v>
      </c>
      <c r="AQ1578">
        <v>0</v>
      </c>
      <c r="AR1578">
        <v>0</v>
      </c>
      <c r="AS1578">
        <v>0</v>
      </c>
      <c r="AT1578">
        <v>0</v>
      </c>
      <c r="AU1578">
        <v>0</v>
      </c>
      <c r="AV1578">
        <v>0</v>
      </c>
      <c r="AW1578">
        <v>0</v>
      </c>
      <c r="AX1578" s="141">
        <f>COUNTIF(V1578:AW1578,"&lt;&gt;0")</f>
        <v>1</v>
      </c>
      <c r="AY1578" s="141">
        <f>COUNTIF(V1578:AL1578,"&lt;&gt;0")</f>
        <v>1</v>
      </c>
      <c r="AZ1578">
        <f>COUNTIF(V1578:AC1578,"&lt;&gt;0")</f>
        <v>0</v>
      </c>
      <c r="BA1578">
        <f>COUNTIF(AD1578:AI1578,"&lt;&gt;0")</f>
        <v>0</v>
      </c>
      <c r="BB1578">
        <f>COUNTIF(AJ1578:AL1578,"&lt;&gt;0")</f>
        <v>1</v>
      </c>
      <c r="BC1578">
        <f>COUNTIF(AS1578:AW1578,"&lt;&gt;0")</f>
        <v>0</v>
      </c>
      <c r="BD1578">
        <f>COUNTIF(AM1578:AR1578,"&lt;&gt;0")</f>
        <v>0</v>
      </c>
      <c r="BE1578" t="str" cm="1">
        <f t="array" ref="BE1578">IF(AY1578=1,INDEX($V$7:$AL$7,MATCH(TRUE,INDEX($V1578:$AW1578&lt;&gt;0,),0)),IF(AY1578=0,INDEX($AM$7:$AW$7,MATCH(1,$AM1578:$AW1578,0)),IF(BF1578="Multiple strategies","mixed drivers",IF(BF1578="Supply chain","multiple supply","multiple silviculture"))))</f>
        <v>efficiency improvement</v>
      </c>
      <c r="BF1578" s="2" t="str" cm="1">
        <f t="array" ref="BF1578">IF(COUNTIF(AZ1578:BB1578,"&lt;&gt;0")=1,INDEX($V$4:$AW$4,MATCH(TRUE,INDEX($V1578:$AW1578&lt;&gt;0,),0)),IF(COUNTIF(AZ1578:BB1578,"&lt;&gt;0")=0,INDEX($AM$4:$AW$4,MATCH(1,$AM1578:$AW1578,0)),"Multiple strategies"))</f>
        <v>Technology</v>
      </c>
      <c r="BM1578" s="143"/>
      <c r="BN1578" s="143">
        <f>BL1578-BK1578</f>
        <v>0</v>
      </c>
      <c r="BO1578">
        <f>BN1578</f>
        <v>0</v>
      </c>
      <c r="BP1578" t="s">
        <v>232</v>
      </c>
      <c r="BR1578" t="s">
        <v>4324</v>
      </c>
      <c r="BS1578">
        <v>-505</v>
      </c>
      <c r="BT1578">
        <v>-624</v>
      </c>
      <c r="BU1578" s="144">
        <f>IFERROR(BT1578/BS1578,"")</f>
        <v>1.2356435643564356</v>
      </c>
      <c r="BV1578" s="144">
        <f>BT1578-BS1578</f>
        <v>-119</v>
      </c>
      <c r="BW1578" s="144"/>
      <c r="BX1578">
        <f>BV1578/1000</f>
        <v>-0.11899999999999999</v>
      </c>
      <c r="BY1578" t="str">
        <f>IFERROR(BX1578/BO1578,"")</f>
        <v/>
      </c>
      <c r="BZ1578">
        <v>0</v>
      </c>
      <c r="CA1578">
        <v>0</v>
      </c>
      <c r="CB1578">
        <v>0</v>
      </c>
      <c r="CC1578">
        <v>0</v>
      </c>
      <c r="CD1578">
        <v>0</v>
      </c>
      <c r="CE1578">
        <v>0</v>
      </c>
      <c r="CF1578">
        <v>0</v>
      </c>
      <c r="CG1578">
        <v>0</v>
      </c>
      <c r="CH1578">
        <v>0</v>
      </c>
      <c r="CI1578">
        <v>0</v>
      </c>
      <c r="CJ1578">
        <v>0</v>
      </c>
      <c r="CK1578">
        <v>0</v>
      </c>
      <c r="CL1578">
        <v>0</v>
      </c>
      <c r="CM1578">
        <v>0</v>
      </c>
      <c r="CN1578" t="str">
        <f>IF(BL1578&lt;BK1578,"refNeedCorrection","refOK")</f>
        <v>refOK</v>
      </c>
      <c r="CO1578"/>
      <c r="CP1578"/>
      <c r="CQ1578"/>
      <c r="CR1578">
        <f>IF($CN1578="refOK",$BS1578,$BT1578)*IF($BP1578="Emissions positive",-1,1)</f>
        <v>-505</v>
      </c>
      <c r="CS1578">
        <f>IF($CN1578="refOK",$BT1578,$BS1578)*IF($BP1578="Emissions positive",-1,1)</f>
        <v>-624</v>
      </c>
      <c r="CT1578">
        <f>IF($CN1578="refNeedCorrection",-BX1578,BX1578)*IF($BP1578="Emissions positive",-1,1)</f>
        <v>-0.11899999999999999</v>
      </c>
      <c r="CU1578" t="str">
        <f>IFERROR(CT1578/CQ1578,"")</f>
        <v/>
      </c>
      <c r="CV1578" s="2">
        <f>IFERROR((CS1578-CR1578)/ABS(CR1578),"")</f>
        <v>-0.23564356435643563</v>
      </c>
      <c r="CW1578" s="1" t="s">
        <v>263</v>
      </c>
      <c r="CX1578" s="312" t="str">
        <f>IF(OR($CW1578="prd",$CW1578="std",$CW1578="cit"),"loc",IF(OR($CW1578="eur",$CW1578="reg",$CW1578="coy"),"reg",$CW1578))</f>
        <v>loc</v>
      </c>
      <c r="CY1578" t="s">
        <v>3494</v>
      </c>
      <c r="DB1578">
        <f>DA1578-CZ1578</f>
        <v>0</v>
      </c>
      <c r="DC1578" t="str">
        <f>IF(DB1578=0,"0",IF(AND(DB1578&gt;=1,DB1578&lt;=30),"1-30",IF(AND(DB1578&gt;30,DB1578&lt;=70),"31-70",IF(AND(DB1578&gt;70,DB1578&lt;=100),"71-100",IF(DB1578&gt;100,"+100")))))</f>
        <v>0</v>
      </c>
      <c r="DD1578">
        <v>0</v>
      </c>
      <c r="DE1578">
        <v>0</v>
      </c>
      <c r="DF1578">
        <v>0</v>
      </c>
      <c r="DG1578">
        <v>1</v>
      </c>
      <c r="DH1578">
        <v>0</v>
      </c>
      <c r="DI1578">
        <f>SUM(DD1578:DG1578)</f>
        <v>1</v>
      </c>
      <c r="DJ1578" t="str">
        <f>IF(DI1578=1,INDEX($DD$7:$DG$7,MATCH(1,$DD1578:$DG1578,0)),"mixedProduct")</f>
        <v>TimberInput</v>
      </c>
      <c r="DK1578">
        <f>IF(DD1578=1,DK$7,0)</f>
        <v>0</v>
      </c>
      <c r="DL1578">
        <f>IF(DE1578=1,DL$7,0)</f>
        <v>0</v>
      </c>
      <c r="DM1578">
        <f>IF(DF1578=1,DM$7,0)</f>
        <v>0</v>
      </c>
      <c r="DN1578" t="str">
        <f>IF(DG1578=1,DN$7,0)</f>
        <v>Timber</v>
      </c>
      <c r="DO1578">
        <v>1</v>
      </c>
      <c r="DP1578">
        <v>0</v>
      </c>
      <c r="DQ1578">
        <v>0</v>
      </c>
      <c r="DR1578">
        <v>0</v>
      </c>
      <c r="DS1578">
        <v>0</v>
      </c>
      <c r="DT1578">
        <f>SUM(DO1578:DP1578)</f>
        <v>1</v>
      </c>
      <c r="DU1578" s="143" t="str">
        <f>IF(DO1578=1,"self-calculated DF",IF(DP1578=1,"external DF used","explicit C balance"))</f>
        <v>self-calculated DF</v>
      </c>
      <c r="DV1578">
        <v>0</v>
      </c>
      <c r="DW1578">
        <v>0</v>
      </c>
      <c r="DX1578">
        <v>0</v>
      </c>
      <c r="DY1578">
        <v>0</v>
      </c>
      <c r="DZ1578">
        <v>1</v>
      </c>
      <c r="EA1578">
        <v>1</v>
      </c>
      <c r="EB1578">
        <v>0</v>
      </c>
      <c r="EC1578">
        <v>1</v>
      </c>
      <c r="ED1578">
        <v>0</v>
      </c>
      <c r="EE1578">
        <v>0</v>
      </c>
      <c r="EF1578">
        <v>0</v>
      </c>
      <c r="EG1578">
        <v>0</v>
      </c>
      <c r="EH1578">
        <v>0</v>
      </c>
      <c r="EI1578" s="2">
        <v>0</v>
      </c>
      <c r="EK1578" t="str">
        <f>IF(AND(AND(AND(OR($DX1578=1,$DW1578=1),OR($EC1578=1,$EA1578=1)),SUM($DV1578:$DZ1578,$EF1578)&gt;=3),SUM($EA1578:$EE1578)&gt;=2),"Whole sector","")</f>
        <v/>
      </c>
      <c r="EL1578" t="str">
        <f>IF(AND(AND(OR($DX1578=1,$DW1578=1),AND($EC1578=0,$EA1578=0)),SUM($DV1578:$DZ1578,$EF1578)&gt;=3),"Ecosystem approach","")</f>
        <v/>
      </c>
      <c r="EM1578" s="2" t="str">
        <f>IF(AND(AND(AND($DX1578=0,$DW1578=0),OR($EC1578=1,$EA1578=1)),SUM($EB1578:$EE1578)&gt;=2),"Technology approach","")</f>
        <v/>
      </c>
      <c r="EN1578" t="s">
        <v>4325</v>
      </c>
      <c r="EP1578" t="b">
        <f>IF(ISNUMBER(BU1578),IF(ABS(BU1578-[5]QC_indicators!$B$2)&gt;3*[5]QC_indicators!$C$2,"C ratio",IF(ISNUMBER(BY1578),IF(ABS(BY1578-[5]QC_indicators!$B$1)&gt;3*[5]QC_indicators!$C$1,"DF","no"))),IF(ISNUMBER(BY1578),IF(ABS(BY1578-[5]QC_indicators!$B$1)&gt;3*[5]QC_indicators!$C$1,"DF","no")))</f>
        <v>0</v>
      </c>
    </row>
    <row r="1579" spans="1:147">
      <c r="A1579" s="1" t="s">
        <v>4313</v>
      </c>
      <c r="B1579" t="s">
        <v>4314</v>
      </c>
      <c r="C1579" t="s">
        <v>4315</v>
      </c>
      <c r="D1579" t="s">
        <v>4316</v>
      </c>
      <c r="E1579" t="s">
        <v>4317</v>
      </c>
      <c r="F1579" t="s">
        <v>4318</v>
      </c>
      <c r="G1579" t="s">
        <v>4319</v>
      </c>
      <c r="H1579" t="s">
        <v>254</v>
      </c>
      <c r="I1579">
        <v>2011</v>
      </c>
      <c r="J1579">
        <v>7</v>
      </c>
      <c r="K1579" t="s">
        <v>4320</v>
      </c>
      <c r="M1579" t="str">
        <f>LEFT($D1579,FIND(",",$D1579)-1)&amp;"_"&amp;I1579&amp;L1579</f>
        <v>Weight_2011</v>
      </c>
      <c r="N1579" s="312" t="s">
        <v>4383</v>
      </c>
      <c r="O1579" s="145" t="s">
        <v>1154</v>
      </c>
      <c r="Q1579" s="312" t="s">
        <v>256</v>
      </c>
      <c r="R1579" s="313"/>
      <c r="S1579" s="1" t="s">
        <v>4321</v>
      </c>
      <c r="T1579" t="s">
        <v>4322</v>
      </c>
      <c r="U1579" t="s">
        <v>4323</v>
      </c>
      <c r="V1579">
        <v>0</v>
      </c>
      <c r="W1579">
        <v>0</v>
      </c>
      <c r="X1579">
        <v>0</v>
      </c>
      <c r="Y1579">
        <v>0</v>
      </c>
      <c r="Z1579">
        <v>0</v>
      </c>
      <c r="AA1579">
        <v>0</v>
      </c>
      <c r="AB1579">
        <v>0</v>
      </c>
      <c r="AC1579">
        <v>0</v>
      </c>
      <c r="AD1579">
        <v>0</v>
      </c>
      <c r="AE1579">
        <v>0</v>
      </c>
      <c r="AF1579">
        <v>0</v>
      </c>
      <c r="AG1579">
        <v>0</v>
      </c>
      <c r="AH1579">
        <v>0</v>
      </c>
      <c r="AI1579">
        <v>0</v>
      </c>
      <c r="AJ1579">
        <v>1</v>
      </c>
      <c r="AK1579">
        <v>0</v>
      </c>
      <c r="AL1579">
        <v>0</v>
      </c>
      <c r="AM1579">
        <v>0</v>
      </c>
      <c r="AN1579">
        <v>0</v>
      </c>
      <c r="AO1579">
        <v>0</v>
      </c>
      <c r="AP1579">
        <v>0</v>
      </c>
      <c r="AQ1579">
        <v>0</v>
      </c>
      <c r="AR1579">
        <v>0</v>
      </c>
      <c r="AS1579">
        <v>0</v>
      </c>
      <c r="AT1579">
        <v>0</v>
      </c>
      <c r="AU1579">
        <v>0</v>
      </c>
      <c r="AV1579">
        <v>0</v>
      </c>
      <c r="AW1579">
        <v>0</v>
      </c>
      <c r="AX1579" s="141">
        <f>COUNTIF(V1579:AW1579,"&lt;&gt;0")</f>
        <v>1</v>
      </c>
      <c r="AY1579" s="141">
        <f>COUNTIF(V1579:AL1579,"&lt;&gt;0")</f>
        <v>1</v>
      </c>
      <c r="AZ1579">
        <f>COUNTIF(V1579:AC1579,"&lt;&gt;0")</f>
        <v>0</v>
      </c>
      <c r="BA1579">
        <f>COUNTIF(AD1579:AI1579,"&lt;&gt;0")</f>
        <v>0</v>
      </c>
      <c r="BB1579">
        <f>COUNTIF(AJ1579:AL1579,"&lt;&gt;0")</f>
        <v>1</v>
      </c>
      <c r="BC1579">
        <f>COUNTIF(AS1579:AW1579,"&lt;&gt;0")</f>
        <v>0</v>
      </c>
      <c r="BD1579">
        <f>COUNTIF(AM1579:AR1579,"&lt;&gt;0")</f>
        <v>0</v>
      </c>
      <c r="BE1579" t="str" cm="1">
        <f t="array" ref="BE1579">IF(AY1579=1,INDEX($V$7:$AL$7,MATCH(TRUE,INDEX($V1579:$AW1579&lt;&gt;0,),0)),IF(AY1579=0,INDEX($AM$7:$AW$7,MATCH(1,$AM1579:$AW1579,0)),IF(BF1579="Multiple strategies","mixed drivers",IF(BF1579="Supply chain","multiple supply","multiple silviculture"))))</f>
        <v>efficiency improvement</v>
      </c>
      <c r="BF1579" s="2" t="str" cm="1">
        <f t="array" ref="BF1579">IF(COUNTIF(AZ1579:BB1579,"&lt;&gt;0")=1,INDEX($V$4:$AW$4,MATCH(TRUE,INDEX($V1579:$AW1579&lt;&gt;0,),0)),IF(COUNTIF(AZ1579:BB1579,"&lt;&gt;0")=0,INDEX($AM$4:$AW$4,MATCH(1,$AM1579:$AW1579,0)),"Multiple strategies"))</f>
        <v>Technology</v>
      </c>
      <c r="BM1579" s="143"/>
      <c r="BN1579" s="143">
        <f>BL1579-BK1579</f>
        <v>0</v>
      </c>
      <c r="BO1579">
        <f>BN1579</f>
        <v>0</v>
      </c>
      <c r="BP1579" t="s">
        <v>232</v>
      </c>
      <c r="BR1579" t="s">
        <v>4324</v>
      </c>
      <c r="BS1579">
        <v>-195</v>
      </c>
      <c r="BT1579">
        <v>-314</v>
      </c>
      <c r="BU1579" s="144">
        <f>IFERROR(BT1579/BS1579,"")</f>
        <v>1.6102564102564103</v>
      </c>
      <c r="BV1579" s="144">
        <f>BT1579-BS1579</f>
        <v>-119</v>
      </c>
      <c r="BW1579" s="144"/>
      <c r="BX1579">
        <f>BV1579/1000</f>
        <v>-0.11899999999999999</v>
      </c>
      <c r="BY1579" t="str">
        <f>IFERROR(BX1579/BO1579,"")</f>
        <v/>
      </c>
      <c r="BZ1579">
        <v>0</v>
      </c>
      <c r="CA1579">
        <v>0</v>
      </c>
      <c r="CB1579">
        <v>0</v>
      </c>
      <c r="CC1579">
        <v>0</v>
      </c>
      <c r="CD1579">
        <v>0</v>
      </c>
      <c r="CE1579">
        <v>0</v>
      </c>
      <c r="CF1579">
        <v>0</v>
      </c>
      <c r="CG1579">
        <v>0</v>
      </c>
      <c r="CH1579">
        <v>0</v>
      </c>
      <c r="CI1579">
        <v>0</v>
      </c>
      <c r="CJ1579">
        <v>0</v>
      </c>
      <c r="CK1579">
        <v>0</v>
      </c>
      <c r="CL1579">
        <v>0</v>
      </c>
      <c r="CM1579">
        <v>0</v>
      </c>
      <c r="CN1579" t="str">
        <f>IF(BL1579&lt;BK1579,"refNeedCorrection","refOK")</f>
        <v>refOK</v>
      </c>
      <c r="CO1579"/>
      <c r="CP1579"/>
      <c r="CQ1579"/>
      <c r="CR1579">
        <f>IF($CN1579="refOK",$BS1579,$BT1579)*IF($BP1579="Emissions positive",-1,1)</f>
        <v>-195</v>
      </c>
      <c r="CS1579">
        <f>IF($CN1579="refOK",$BT1579,$BS1579)*IF($BP1579="Emissions positive",-1,1)</f>
        <v>-314</v>
      </c>
      <c r="CT1579">
        <f>IF($CN1579="refNeedCorrection",-BX1579,BX1579)*IF($BP1579="Emissions positive",-1,1)</f>
        <v>-0.11899999999999999</v>
      </c>
      <c r="CU1579" t="str">
        <f>IFERROR(CT1579/CQ1579,"")</f>
        <v/>
      </c>
      <c r="CV1579" s="2">
        <f>IFERROR((CS1579-CR1579)/ABS(CR1579),"")</f>
        <v>-0.61025641025641031</v>
      </c>
      <c r="CW1579" s="1" t="s">
        <v>263</v>
      </c>
      <c r="CX1579" s="312" t="str">
        <f>IF(OR($CW1579="prd",$CW1579="std",$CW1579="cit"),"loc",IF(OR($CW1579="eur",$CW1579="reg",$CW1579="coy"),"reg",$CW1579))</f>
        <v>loc</v>
      </c>
      <c r="CY1579" t="s">
        <v>3494</v>
      </c>
      <c r="DB1579">
        <f>DA1579-CZ1579</f>
        <v>0</v>
      </c>
      <c r="DC1579" t="str">
        <f>IF(DB1579=0,"0",IF(AND(DB1579&gt;=1,DB1579&lt;=30),"1-30",IF(AND(DB1579&gt;30,DB1579&lt;=70),"31-70",IF(AND(DB1579&gt;70,DB1579&lt;=100),"71-100",IF(DB1579&gt;100,"+100")))))</f>
        <v>0</v>
      </c>
      <c r="DD1579">
        <v>0</v>
      </c>
      <c r="DE1579">
        <v>0</v>
      </c>
      <c r="DF1579">
        <v>0</v>
      </c>
      <c r="DG1579">
        <v>1</v>
      </c>
      <c r="DH1579">
        <v>0</v>
      </c>
      <c r="DI1579">
        <f>SUM(DD1579:DG1579)</f>
        <v>1</v>
      </c>
      <c r="DJ1579" t="str">
        <f>IF(DI1579=1,INDEX($DD$7:$DG$7,MATCH(1,$DD1579:$DG1579,0)),"mixedProduct")</f>
        <v>TimberInput</v>
      </c>
      <c r="DK1579">
        <f>IF(DD1579=1,DK$7,0)</f>
        <v>0</v>
      </c>
      <c r="DL1579">
        <f>IF(DE1579=1,DL$7,0)</f>
        <v>0</v>
      </c>
      <c r="DM1579">
        <f>IF(DF1579=1,DM$7,0)</f>
        <v>0</v>
      </c>
      <c r="DN1579" t="str">
        <f>IF(DG1579=1,DN$7,0)</f>
        <v>Timber</v>
      </c>
      <c r="DO1579">
        <v>1</v>
      </c>
      <c r="DP1579">
        <v>0</v>
      </c>
      <c r="DQ1579">
        <v>0</v>
      </c>
      <c r="DR1579">
        <v>0</v>
      </c>
      <c r="DS1579">
        <v>0</v>
      </c>
      <c r="DT1579">
        <f>SUM(DO1579:DP1579)</f>
        <v>1</v>
      </c>
      <c r="DU1579" s="143" t="str">
        <f>IF(DO1579=1,"self-calculated DF",IF(DP1579=1,"external DF used","explicit C balance"))</f>
        <v>self-calculated DF</v>
      </c>
      <c r="DV1579">
        <v>0</v>
      </c>
      <c r="DW1579">
        <v>0</v>
      </c>
      <c r="DX1579">
        <v>0</v>
      </c>
      <c r="DY1579">
        <v>0</v>
      </c>
      <c r="DZ1579">
        <v>1</v>
      </c>
      <c r="EA1579">
        <v>1</v>
      </c>
      <c r="EB1579">
        <v>0</v>
      </c>
      <c r="EC1579">
        <v>1</v>
      </c>
      <c r="ED1579">
        <v>0</v>
      </c>
      <c r="EE1579">
        <v>0</v>
      </c>
      <c r="EF1579">
        <v>0</v>
      </c>
      <c r="EG1579">
        <v>0</v>
      </c>
      <c r="EH1579">
        <v>0</v>
      </c>
      <c r="EI1579" s="2">
        <v>0</v>
      </c>
      <c r="EK1579" t="str">
        <f>IF(AND(AND(AND(OR($DX1579=1,$DW1579=1),OR($EC1579=1,$EA1579=1)),SUM($DV1579:$DZ1579,$EF1579)&gt;=3),SUM($EA1579:$EE1579)&gt;=2),"Whole sector","")</f>
        <v/>
      </c>
      <c r="EL1579" t="str">
        <f>IF(AND(AND(OR($DX1579=1,$DW1579=1),AND($EC1579=0,$EA1579=0)),SUM($DV1579:$DZ1579,$EF1579)&gt;=3),"Ecosystem approach","")</f>
        <v/>
      </c>
      <c r="EM1579" s="2" t="str">
        <f>IF(AND(AND(AND($DX1579=0,$DW1579=0),OR($EC1579=1,$EA1579=1)),SUM($EB1579:$EE1579)&gt;=2),"Technology approach","")</f>
        <v/>
      </c>
      <c r="EN1579" t="s">
        <v>4325</v>
      </c>
      <c r="EP1579" t="b">
        <f>IF(ISNUMBER(BU1579),IF(ABS(BU1579-[5]QC_indicators!$B$2)&gt;3*[5]QC_indicators!$C$2,"C ratio",IF(ISNUMBER(BY1579),IF(ABS(BY1579-[5]QC_indicators!$B$1)&gt;3*[5]QC_indicators!$C$1,"DF","no"))),IF(ISNUMBER(BY1579),IF(ABS(BY1579-[5]QC_indicators!$B$1)&gt;3*[5]QC_indicators!$C$1,"DF","no")))</f>
        <v>0</v>
      </c>
    </row>
    <row r="1580" spans="1:147">
      <c r="A1580" s="1" t="s">
        <v>4313</v>
      </c>
      <c r="B1580" t="s">
        <v>4314</v>
      </c>
      <c r="C1580" t="s">
        <v>4315</v>
      </c>
      <c r="D1580" t="s">
        <v>4316</v>
      </c>
      <c r="E1580" t="s">
        <v>4317</v>
      </c>
      <c r="F1580" t="s">
        <v>4318</v>
      </c>
      <c r="G1580" t="s">
        <v>4319</v>
      </c>
      <c r="H1580" t="s">
        <v>254</v>
      </c>
      <c r="I1580">
        <v>2011</v>
      </c>
      <c r="J1580">
        <v>7</v>
      </c>
      <c r="K1580" t="s">
        <v>4320</v>
      </c>
      <c r="M1580" t="str">
        <f>LEFT($D1580,FIND(",",$D1580)-1)&amp;"_"&amp;I1580&amp;L1580</f>
        <v>Weight_2011</v>
      </c>
      <c r="N1580" s="312" t="s">
        <v>4383</v>
      </c>
      <c r="O1580" s="145" t="s">
        <v>1154</v>
      </c>
      <c r="Q1580" s="312" t="s">
        <v>256</v>
      </c>
      <c r="R1580" s="313"/>
      <c r="S1580" s="1" t="s">
        <v>4321</v>
      </c>
      <c r="T1580" t="s">
        <v>4322</v>
      </c>
      <c r="U1580" t="s">
        <v>4323</v>
      </c>
      <c r="V1580">
        <v>0</v>
      </c>
      <c r="W1580">
        <v>0</v>
      </c>
      <c r="X1580">
        <v>0</v>
      </c>
      <c r="Y1580">
        <v>0</v>
      </c>
      <c r="Z1580">
        <v>0</v>
      </c>
      <c r="AA1580">
        <v>0</v>
      </c>
      <c r="AB1580">
        <v>0</v>
      </c>
      <c r="AC1580">
        <v>0</v>
      </c>
      <c r="AD1580">
        <v>0</v>
      </c>
      <c r="AE1580">
        <v>0</v>
      </c>
      <c r="AF1580">
        <v>0</v>
      </c>
      <c r="AG1580">
        <v>0</v>
      </c>
      <c r="AH1580">
        <v>0</v>
      </c>
      <c r="AI1580">
        <v>0</v>
      </c>
      <c r="AJ1580">
        <v>1</v>
      </c>
      <c r="AK1580">
        <v>0</v>
      </c>
      <c r="AL1580">
        <v>0</v>
      </c>
      <c r="AM1580">
        <v>0</v>
      </c>
      <c r="AN1580">
        <v>0</v>
      </c>
      <c r="AO1580">
        <v>0</v>
      </c>
      <c r="AP1580">
        <v>0</v>
      </c>
      <c r="AQ1580">
        <v>0</v>
      </c>
      <c r="AR1580">
        <v>0</v>
      </c>
      <c r="AS1580">
        <v>0</v>
      </c>
      <c r="AT1580">
        <v>0</v>
      </c>
      <c r="AU1580">
        <v>0</v>
      </c>
      <c r="AV1580">
        <v>0</v>
      </c>
      <c r="AW1580">
        <v>0</v>
      </c>
      <c r="AX1580" s="141">
        <f>COUNTIF(V1580:AW1580,"&lt;&gt;0")</f>
        <v>1</v>
      </c>
      <c r="AY1580" s="141">
        <f>COUNTIF(V1580:AL1580,"&lt;&gt;0")</f>
        <v>1</v>
      </c>
      <c r="AZ1580">
        <f>COUNTIF(V1580:AC1580,"&lt;&gt;0")</f>
        <v>0</v>
      </c>
      <c r="BA1580">
        <f>COUNTIF(AD1580:AI1580,"&lt;&gt;0")</f>
        <v>0</v>
      </c>
      <c r="BB1580">
        <f>COUNTIF(AJ1580:AL1580,"&lt;&gt;0")</f>
        <v>1</v>
      </c>
      <c r="BC1580">
        <f>COUNTIF(AS1580:AW1580,"&lt;&gt;0")</f>
        <v>0</v>
      </c>
      <c r="BD1580">
        <f>COUNTIF(AM1580:AR1580,"&lt;&gt;0")</f>
        <v>0</v>
      </c>
      <c r="BE1580" t="str" cm="1">
        <f t="array" ref="BE1580">IF(AY1580=1,INDEX($V$7:$AL$7,MATCH(TRUE,INDEX($V1580:$AW1580&lt;&gt;0,),0)),IF(AY1580=0,INDEX($AM$7:$AW$7,MATCH(1,$AM1580:$AW1580,0)),IF(BF1580="Multiple strategies","mixed drivers",IF(BF1580="Supply chain","multiple supply","multiple silviculture"))))</f>
        <v>efficiency improvement</v>
      </c>
      <c r="BF1580" s="2" t="str" cm="1">
        <f t="array" ref="BF1580">IF(COUNTIF(AZ1580:BB1580,"&lt;&gt;0")=1,INDEX($V$4:$AW$4,MATCH(TRUE,INDEX($V1580:$AW1580&lt;&gt;0,),0)),IF(COUNTIF(AZ1580:BB1580,"&lt;&gt;0")=0,INDEX($AM$4:$AW$4,MATCH(1,$AM1580:$AW1580,0)),"Multiple strategies"))</f>
        <v>Technology</v>
      </c>
      <c r="BM1580" s="143"/>
      <c r="BN1580" s="143">
        <f>BL1580-BK1580</f>
        <v>0</v>
      </c>
      <c r="BO1580">
        <f>BN1580</f>
        <v>0</v>
      </c>
      <c r="BP1580" t="s">
        <v>232</v>
      </c>
      <c r="BR1580" t="s">
        <v>4324</v>
      </c>
      <c r="BS1580">
        <v>-738</v>
      </c>
      <c r="BT1580">
        <v>-620</v>
      </c>
      <c r="BU1580" s="144">
        <f>IFERROR(BT1580/BS1580,"")</f>
        <v>0.84010840108401086</v>
      </c>
      <c r="BV1580" s="144">
        <f>BT1580-BS1580</f>
        <v>118</v>
      </c>
      <c r="BW1580" s="144"/>
      <c r="BX1580">
        <f>BV1580/1000</f>
        <v>0.11799999999999999</v>
      </c>
      <c r="BY1580" t="str">
        <f>IFERROR(BX1580/BO1580,"")</f>
        <v/>
      </c>
      <c r="BZ1580">
        <v>0</v>
      </c>
      <c r="CA1580">
        <v>0</v>
      </c>
      <c r="CB1580">
        <v>0</v>
      </c>
      <c r="CC1580">
        <v>0</v>
      </c>
      <c r="CD1580">
        <v>0</v>
      </c>
      <c r="CE1580">
        <v>0</v>
      </c>
      <c r="CF1580">
        <v>0</v>
      </c>
      <c r="CG1580">
        <v>0</v>
      </c>
      <c r="CH1580">
        <v>0</v>
      </c>
      <c r="CI1580">
        <v>0</v>
      </c>
      <c r="CJ1580">
        <v>0</v>
      </c>
      <c r="CK1580">
        <v>0</v>
      </c>
      <c r="CL1580">
        <v>0</v>
      </c>
      <c r="CM1580">
        <v>0</v>
      </c>
      <c r="CN1580" t="str">
        <f>IF(BL1580&lt;BK1580,"refNeedCorrection","refOK")</f>
        <v>refOK</v>
      </c>
      <c r="CO1580"/>
      <c r="CP1580"/>
      <c r="CQ1580"/>
      <c r="CR1580">
        <f>IF($CN1580="refOK",$BS1580,$BT1580)*IF($BP1580="Emissions positive",-1,1)</f>
        <v>-738</v>
      </c>
      <c r="CS1580">
        <f>IF($CN1580="refOK",$BT1580,$BS1580)*IF($BP1580="Emissions positive",-1,1)</f>
        <v>-620</v>
      </c>
      <c r="CT1580">
        <f>IF($CN1580="refNeedCorrection",-BX1580,BX1580)*IF($BP1580="Emissions positive",-1,1)</f>
        <v>0.11799999999999999</v>
      </c>
      <c r="CU1580" t="str">
        <f>IFERROR(CT1580/CQ1580,"")</f>
        <v/>
      </c>
      <c r="CV1580" s="2">
        <f>IFERROR((CS1580-CR1580)/ABS(CR1580),"")</f>
        <v>0.15989159891598917</v>
      </c>
      <c r="CW1580" s="1" t="s">
        <v>263</v>
      </c>
      <c r="CX1580" s="312" t="str">
        <f>IF(OR($CW1580="prd",$CW1580="std",$CW1580="cit"),"loc",IF(OR($CW1580="eur",$CW1580="reg",$CW1580="coy"),"reg",$CW1580))</f>
        <v>loc</v>
      </c>
      <c r="CY1580" t="s">
        <v>3494</v>
      </c>
      <c r="DB1580">
        <f>DA1580-CZ1580</f>
        <v>0</v>
      </c>
      <c r="DC1580" t="str">
        <f>IF(DB1580=0,"0",IF(AND(DB1580&gt;=1,DB1580&lt;=30),"1-30",IF(AND(DB1580&gt;30,DB1580&lt;=70),"31-70",IF(AND(DB1580&gt;70,DB1580&lt;=100),"71-100",IF(DB1580&gt;100,"+100")))))</f>
        <v>0</v>
      </c>
      <c r="DD1580">
        <v>0</v>
      </c>
      <c r="DE1580">
        <v>0</v>
      </c>
      <c r="DF1580">
        <v>0</v>
      </c>
      <c r="DG1580">
        <v>1</v>
      </c>
      <c r="DH1580">
        <v>0</v>
      </c>
      <c r="DI1580">
        <f>SUM(DD1580:DG1580)</f>
        <v>1</v>
      </c>
      <c r="DJ1580" t="str">
        <f>IF(DI1580=1,INDEX($DD$7:$DG$7,MATCH(1,$DD1580:$DG1580,0)),"mixedProduct")</f>
        <v>TimberInput</v>
      </c>
      <c r="DK1580">
        <f>IF(DD1580=1,DK$7,0)</f>
        <v>0</v>
      </c>
      <c r="DL1580">
        <f>IF(DE1580=1,DL$7,0)</f>
        <v>0</v>
      </c>
      <c r="DM1580">
        <f>IF(DF1580=1,DM$7,0)</f>
        <v>0</v>
      </c>
      <c r="DN1580" t="str">
        <f>IF(DG1580=1,DN$7,0)</f>
        <v>Timber</v>
      </c>
      <c r="DO1580">
        <v>1</v>
      </c>
      <c r="DP1580">
        <v>0</v>
      </c>
      <c r="DQ1580">
        <v>0</v>
      </c>
      <c r="DR1580">
        <v>0</v>
      </c>
      <c r="DS1580">
        <v>0</v>
      </c>
      <c r="DT1580">
        <f>SUM(DO1580:DP1580)</f>
        <v>1</v>
      </c>
      <c r="DU1580" s="143" t="str">
        <f>IF(DO1580=1,"self-calculated DF",IF(DP1580=1,"external DF used","explicit C balance"))</f>
        <v>self-calculated DF</v>
      </c>
      <c r="DV1580">
        <v>0</v>
      </c>
      <c r="DW1580">
        <v>0</v>
      </c>
      <c r="DX1580">
        <v>1</v>
      </c>
      <c r="DY1580">
        <v>0</v>
      </c>
      <c r="DZ1580">
        <v>1</v>
      </c>
      <c r="EA1580">
        <v>1</v>
      </c>
      <c r="EB1580">
        <v>1</v>
      </c>
      <c r="EC1580">
        <v>1</v>
      </c>
      <c r="ED1580">
        <v>0</v>
      </c>
      <c r="EE1580">
        <v>0</v>
      </c>
      <c r="EF1580">
        <v>0</v>
      </c>
      <c r="EG1580">
        <v>0</v>
      </c>
      <c r="EH1580">
        <v>0</v>
      </c>
      <c r="EI1580" s="2">
        <v>0</v>
      </c>
      <c r="EK1580" t="str">
        <f>IF(AND(AND(AND(OR($DX1580=1,$DW1580=1),OR($EC1580=1,$EA1580=1)),SUM($DV1580:$DZ1580,$EF1580)&gt;=3),SUM($EA1580:$EE1580)&gt;=2),"Whole sector","")</f>
        <v/>
      </c>
      <c r="EL1580" t="str">
        <f>IF(AND(AND(OR($DX1580=1,$DW1580=1),AND($EC1580=0,$EA1580=0)),SUM($DV1580:$DZ1580,$EF1580)&gt;=3),"Ecosystem approach","")</f>
        <v/>
      </c>
      <c r="EM1580" s="2" t="str">
        <f>IF(AND(AND(AND($DX1580=0,$DW1580=0),OR($EC1580=1,$EA1580=1)),SUM($EB1580:$EE1580)&gt;=2),"Technology approach","")</f>
        <v/>
      </c>
      <c r="EN1580" t="s">
        <v>4325</v>
      </c>
      <c r="EP1580" t="b">
        <f>IF(ISNUMBER(BU1580),IF(ABS(BU1580-[5]QC_indicators!$B$2)&gt;3*[5]QC_indicators!$C$2,"C ratio",IF(ISNUMBER(BY1580),IF(ABS(BY1580-[5]QC_indicators!$B$1)&gt;3*[5]QC_indicators!$C$1,"DF","no"))),IF(ISNUMBER(BY1580),IF(ABS(BY1580-[5]QC_indicators!$B$1)&gt;3*[5]QC_indicators!$C$1,"DF","no")))</f>
        <v>0</v>
      </c>
    </row>
    <row r="1581" spans="1:147">
      <c r="A1581" s="1" t="s">
        <v>4313</v>
      </c>
      <c r="B1581" t="s">
        <v>4314</v>
      </c>
      <c r="C1581" t="s">
        <v>4315</v>
      </c>
      <c r="D1581" t="s">
        <v>4316</v>
      </c>
      <c r="E1581" t="s">
        <v>4317</v>
      </c>
      <c r="F1581" t="s">
        <v>4318</v>
      </c>
      <c r="G1581" t="s">
        <v>4319</v>
      </c>
      <c r="H1581" t="s">
        <v>254</v>
      </c>
      <c r="I1581">
        <v>2011</v>
      </c>
      <c r="J1581">
        <v>7</v>
      </c>
      <c r="K1581" t="s">
        <v>4320</v>
      </c>
      <c r="M1581" t="str">
        <f>LEFT($D1581,FIND(",",$D1581)-1)&amp;"_"&amp;I1581&amp;L1581</f>
        <v>Weight_2011</v>
      </c>
      <c r="N1581" s="312" t="s">
        <v>4383</v>
      </c>
      <c r="O1581" s="145" t="s">
        <v>1154</v>
      </c>
      <c r="Q1581" s="312" t="s">
        <v>256</v>
      </c>
      <c r="R1581" s="313"/>
      <c r="S1581" s="1" t="s">
        <v>4326</v>
      </c>
      <c r="T1581" t="s">
        <v>4327</v>
      </c>
      <c r="U1581" t="s">
        <v>4328</v>
      </c>
      <c r="V1581">
        <v>0</v>
      </c>
      <c r="W1581">
        <v>0</v>
      </c>
      <c r="X1581">
        <v>0</v>
      </c>
      <c r="Y1581">
        <v>0</v>
      </c>
      <c r="Z1581">
        <v>0</v>
      </c>
      <c r="AA1581">
        <v>0</v>
      </c>
      <c r="AB1581">
        <v>0</v>
      </c>
      <c r="AC1581">
        <v>0</v>
      </c>
      <c r="AD1581">
        <v>0</v>
      </c>
      <c r="AE1581">
        <v>0</v>
      </c>
      <c r="AF1581">
        <v>0</v>
      </c>
      <c r="AG1581">
        <v>0</v>
      </c>
      <c r="AH1581">
        <v>1</v>
      </c>
      <c r="AI1581">
        <v>0</v>
      </c>
      <c r="AJ1581">
        <v>0</v>
      </c>
      <c r="AK1581">
        <v>0</v>
      </c>
      <c r="AL1581">
        <v>0</v>
      </c>
      <c r="AM1581">
        <v>0</v>
      </c>
      <c r="AN1581">
        <v>0</v>
      </c>
      <c r="AO1581">
        <v>0</v>
      </c>
      <c r="AP1581">
        <v>0</v>
      </c>
      <c r="AQ1581">
        <v>0</v>
      </c>
      <c r="AR1581">
        <v>0</v>
      </c>
      <c r="AS1581">
        <v>0</v>
      </c>
      <c r="AT1581">
        <v>0</v>
      </c>
      <c r="AU1581">
        <v>0</v>
      </c>
      <c r="AV1581">
        <v>0</v>
      </c>
      <c r="AW1581">
        <v>0</v>
      </c>
      <c r="AX1581" s="141">
        <f>COUNTIF(V1581:AW1581,"&lt;&gt;0")</f>
        <v>1</v>
      </c>
      <c r="AY1581" s="141">
        <f>COUNTIF(V1581:AL1581,"&lt;&gt;0")</f>
        <v>1</v>
      </c>
      <c r="AZ1581">
        <f>COUNTIF(V1581:AC1581,"&lt;&gt;0")</f>
        <v>0</v>
      </c>
      <c r="BA1581">
        <f>COUNTIF(AD1581:AI1581,"&lt;&gt;0")</f>
        <v>1</v>
      </c>
      <c r="BB1581">
        <f>COUNTIF(AJ1581:AL1581,"&lt;&gt;0")</f>
        <v>0</v>
      </c>
      <c r="BC1581">
        <f>COUNTIF(AS1581:AW1581,"&lt;&gt;0")</f>
        <v>0</v>
      </c>
      <c r="BD1581">
        <f>COUNTIF(AM1581:AR1581,"&lt;&gt;0")</f>
        <v>0</v>
      </c>
      <c r="BE1581" t="str" cm="1">
        <f t="array" ref="BE1581">IF(AY1581=1,INDEX($V$7:$AL$7,MATCH(TRUE,INDEX($V1581:$AW1581&lt;&gt;0,),0)),IF(AY1581=0,INDEX($AM$7:$AW$7,MATCH(1,$AM1581:$AW1581,0)),IF(BF1581="Multiple strategies","mixed drivers",IF(BF1581="Supply chain","multiple supply","multiple silviculture"))))</f>
        <v xml:space="preserve">end of life disposal </v>
      </c>
      <c r="BF1581" s="2" t="str" cm="1">
        <f t="array" ref="BF1581">IF(COUNTIF(AZ1581:BB1581,"&lt;&gt;0")=1,INDEX($V$4:$AW$4,MATCH(TRUE,INDEX($V1581:$AW1581&lt;&gt;0,),0)),IF(COUNTIF(AZ1581:BB1581,"&lt;&gt;0")=0,INDEX($AM$4:$AW$4,MATCH(1,$AM1581:$AW1581,0)),"Multiple strategies"))</f>
        <v>Supply chain</v>
      </c>
      <c r="BM1581" s="143"/>
      <c r="BN1581" s="143">
        <f>BL1581-BK1581</f>
        <v>0</v>
      </c>
      <c r="BO1581">
        <f>BN1581</f>
        <v>0</v>
      </c>
      <c r="BP1581" t="s">
        <v>232</v>
      </c>
      <c r="BR1581" t="s">
        <v>4324</v>
      </c>
      <c r="BS1581">
        <v>-26</v>
      </c>
      <c r="BT1581">
        <v>711</v>
      </c>
      <c r="BU1581" s="144">
        <f>IFERROR(BT1581/BS1581,"")</f>
        <v>-27.346153846153847</v>
      </c>
      <c r="BV1581" s="144">
        <f>BT1581-BS1581</f>
        <v>737</v>
      </c>
      <c r="BW1581" s="144"/>
      <c r="BX1581">
        <f>BV1581/1000</f>
        <v>0.73699999999999999</v>
      </c>
      <c r="BY1581" t="str">
        <f>IFERROR(BX1581/BO1581,"")</f>
        <v/>
      </c>
      <c r="BZ1581">
        <v>0</v>
      </c>
      <c r="CA1581">
        <v>0</v>
      </c>
      <c r="CB1581">
        <v>0</v>
      </c>
      <c r="CC1581">
        <v>0</v>
      </c>
      <c r="CD1581">
        <v>0</v>
      </c>
      <c r="CE1581">
        <v>0</v>
      </c>
      <c r="CF1581">
        <v>0</v>
      </c>
      <c r="CG1581">
        <v>0</v>
      </c>
      <c r="CH1581">
        <v>0</v>
      </c>
      <c r="CI1581">
        <v>0</v>
      </c>
      <c r="CJ1581">
        <v>0</v>
      </c>
      <c r="CK1581">
        <v>0</v>
      </c>
      <c r="CL1581">
        <v>0</v>
      </c>
      <c r="CM1581">
        <v>0</v>
      </c>
      <c r="CN1581" t="str">
        <f>IF(BL1581&lt;BK1581,"refNeedCorrection","refOK")</f>
        <v>refOK</v>
      </c>
      <c r="CO1581"/>
      <c r="CP1581"/>
      <c r="CQ1581">
        <f>IF($CN1581="refOK",$BO1581,-$BO1581)</f>
        <v>0</v>
      </c>
      <c r="CR1581">
        <f>IF($CN1581="refOK",$BS1581,$BT1581)*IF($BP1581="Emissions positive",-1,1)</f>
        <v>-26</v>
      </c>
      <c r="CS1581">
        <f>IF($CN1581="refOK",$BT1581,$BS1581)*IF($BP1581="Emissions positive",-1,1)</f>
        <v>711</v>
      </c>
      <c r="CT1581">
        <f>IF($CN1581="refNeedCorrection",-BX1581,BX1581)*IF($BP1581="Emissions positive",-1,1)</f>
        <v>0.73699999999999999</v>
      </c>
      <c r="CU1581" t="str">
        <f>IFERROR(CT1581/CQ1581,"")</f>
        <v/>
      </c>
      <c r="CV1581" s="2">
        <f>IFERROR((CS1581-CR1581)/ABS(CR1581),"")</f>
        <v>28.346153846153847</v>
      </c>
      <c r="CW1581" s="1" t="s">
        <v>263</v>
      </c>
      <c r="CX1581" s="312" t="str">
        <f>IF(OR($CW1581="prd",$CW1581="std",$CW1581="cit"),"loc",IF(OR($CW1581="eur",$CW1581="reg",$CW1581="coy"),"reg",$CW1581))</f>
        <v>loc</v>
      </c>
      <c r="CY1581" t="s">
        <v>3494</v>
      </c>
      <c r="DB1581">
        <f>DA1581-CZ1581</f>
        <v>0</v>
      </c>
      <c r="DC1581" t="str">
        <f>IF(DB1581=0,"0",IF(AND(DB1581&gt;=1,DB1581&lt;=30),"1-30",IF(AND(DB1581&gt;30,DB1581&lt;=70),"31-70",IF(AND(DB1581&gt;70,DB1581&lt;=100),"71-100",IF(DB1581&gt;100,"+100")))))</f>
        <v>0</v>
      </c>
      <c r="DD1581">
        <v>0</v>
      </c>
      <c r="DE1581">
        <v>0</v>
      </c>
      <c r="DF1581">
        <v>0</v>
      </c>
      <c r="DG1581">
        <v>1</v>
      </c>
      <c r="DH1581">
        <v>0</v>
      </c>
      <c r="DI1581">
        <f>SUM(DD1581:DG1581)</f>
        <v>1</v>
      </c>
      <c r="DJ1581" t="str">
        <f>IF(DI1581=1,INDEX($DD$7:$DG$7,MATCH(1,$DD1581:$DG1581,0)),"mixedProduct")</f>
        <v>TimberInput</v>
      </c>
      <c r="DK1581">
        <f>IF(DD1581=1,DK$7,0)</f>
        <v>0</v>
      </c>
      <c r="DL1581">
        <f>IF(DE1581=1,DL$7,0)</f>
        <v>0</v>
      </c>
      <c r="DM1581">
        <f>IF(DF1581=1,DM$7,0)</f>
        <v>0</v>
      </c>
      <c r="DN1581" t="str">
        <f>IF(DG1581=1,DN$7,0)</f>
        <v>Timber</v>
      </c>
      <c r="DO1581">
        <v>1</v>
      </c>
      <c r="DP1581">
        <v>0</v>
      </c>
      <c r="DQ1581">
        <v>0</v>
      </c>
      <c r="DR1581">
        <v>0</v>
      </c>
      <c r="DS1581">
        <v>0</v>
      </c>
      <c r="DT1581">
        <f>SUM(DO1581:DP1581)</f>
        <v>1</v>
      </c>
      <c r="DU1581" s="143" t="str">
        <f>IF(DO1581=1,"self-calculated DF",IF(DP1581=1,"external DF used","explicit C balance"))</f>
        <v>self-calculated DF</v>
      </c>
      <c r="DV1581">
        <v>0</v>
      </c>
      <c r="DW1581">
        <v>0</v>
      </c>
      <c r="DX1581">
        <v>1</v>
      </c>
      <c r="DY1581">
        <v>0</v>
      </c>
      <c r="DZ1581">
        <v>1</v>
      </c>
      <c r="EA1581">
        <v>1</v>
      </c>
      <c r="EB1581">
        <v>1</v>
      </c>
      <c r="EC1581">
        <v>1</v>
      </c>
      <c r="ED1581">
        <v>0</v>
      </c>
      <c r="EE1581">
        <v>0</v>
      </c>
      <c r="EF1581">
        <v>0</v>
      </c>
      <c r="EG1581">
        <v>0</v>
      </c>
      <c r="EH1581">
        <v>0</v>
      </c>
      <c r="EI1581" s="2">
        <v>0</v>
      </c>
      <c r="EK1581" t="str">
        <f>IF(AND(AND(AND(OR($DX1581=1,$DW1581=1),OR($EC1581=1,$EA1581=1)),SUM($DV1581:$DZ1581,$EF1581)&gt;=3),SUM($EA1581:$EE1581)&gt;=2),"Whole sector","")</f>
        <v/>
      </c>
      <c r="EL1581" t="str">
        <f>IF(AND(AND(OR($DX1581=1,$DW1581=1),AND($EC1581=0,$EA1581=0)),SUM($DV1581:$DZ1581,$EF1581)&gt;=3),"Ecosystem approach","")</f>
        <v/>
      </c>
      <c r="EM1581" s="2" t="str">
        <f>IF(AND(AND(AND($DX1581=0,$DW1581=0),OR($EC1581=1,$EA1581=1)),SUM($EB1581:$EE1581)&gt;=2),"Technology approach","")</f>
        <v/>
      </c>
      <c r="EN1581" t="s">
        <v>4325</v>
      </c>
      <c r="EP1581" t="b">
        <f>IF(ISNUMBER(BU1581),IF(ABS(BU1581-[5]QC_indicators!$B$2)&gt;3*[5]QC_indicators!$C$2,"C ratio",IF(ISNUMBER(BY1581),IF(ABS(BY1581-[5]QC_indicators!$B$1)&gt;3*[5]QC_indicators!$C$1,"DF","no"))),IF(ISNUMBER(BY1581),IF(ABS(BY1581-[5]QC_indicators!$B$1)&gt;3*[5]QC_indicators!$C$1,"DF","no")))</f>
        <v>0</v>
      </c>
      <c r="EQ1581" s="149" t="s">
        <v>4329</v>
      </c>
    </row>
    <row r="1582" spans="1:147">
      <c r="A1582" s="1" t="s">
        <v>4313</v>
      </c>
      <c r="B1582" t="s">
        <v>4314</v>
      </c>
      <c r="C1582" t="s">
        <v>4315</v>
      </c>
      <c r="D1582" t="s">
        <v>4316</v>
      </c>
      <c r="E1582" t="s">
        <v>4317</v>
      </c>
      <c r="F1582" t="s">
        <v>4318</v>
      </c>
      <c r="G1582" t="s">
        <v>4319</v>
      </c>
      <c r="H1582" t="s">
        <v>254</v>
      </c>
      <c r="I1582">
        <v>2011</v>
      </c>
      <c r="J1582">
        <v>7</v>
      </c>
      <c r="K1582" t="s">
        <v>4320</v>
      </c>
      <c r="M1582" t="str">
        <f>LEFT($D1582,FIND(",",$D1582)-1)&amp;"_"&amp;I1582&amp;L1582</f>
        <v>Weight_2011</v>
      </c>
      <c r="N1582" s="312" t="s">
        <v>4383</v>
      </c>
      <c r="O1582" s="145" t="s">
        <v>1154</v>
      </c>
      <c r="Q1582" s="312" t="s">
        <v>256</v>
      </c>
      <c r="R1582" s="313"/>
      <c r="S1582" s="1" t="s">
        <v>4326</v>
      </c>
      <c r="T1582" t="s">
        <v>4327</v>
      </c>
      <c r="U1582" t="s">
        <v>4328</v>
      </c>
      <c r="V1582">
        <v>0</v>
      </c>
      <c r="W1582">
        <v>0</v>
      </c>
      <c r="X1582">
        <v>0</v>
      </c>
      <c r="Y1582">
        <v>0</v>
      </c>
      <c r="Z1582">
        <v>0</v>
      </c>
      <c r="AA1582">
        <v>0</v>
      </c>
      <c r="AB1582">
        <v>0</v>
      </c>
      <c r="AC1582">
        <v>0</v>
      </c>
      <c r="AD1582">
        <v>0</v>
      </c>
      <c r="AE1582">
        <v>0</v>
      </c>
      <c r="AF1582">
        <v>0</v>
      </c>
      <c r="AG1582">
        <v>0</v>
      </c>
      <c r="AH1582">
        <v>1</v>
      </c>
      <c r="AI1582">
        <v>0</v>
      </c>
      <c r="AJ1582">
        <v>0</v>
      </c>
      <c r="AK1582">
        <v>0</v>
      </c>
      <c r="AL1582">
        <v>0</v>
      </c>
      <c r="AM1582">
        <v>0</v>
      </c>
      <c r="AN1582">
        <v>0</v>
      </c>
      <c r="AO1582">
        <v>0</v>
      </c>
      <c r="AP1582">
        <v>0</v>
      </c>
      <c r="AQ1582">
        <v>0</v>
      </c>
      <c r="AR1582">
        <v>0</v>
      </c>
      <c r="AS1582">
        <v>0</v>
      </c>
      <c r="AT1582">
        <v>0</v>
      </c>
      <c r="AU1582">
        <v>0</v>
      </c>
      <c r="AV1582">
        <v>0</v>
      </c>
      <c r="AW1582">
        <v>0</v>
      </c>
      <c r="AX1582" s="141">
        <f>COUNTIF(V1582:AW1582,"&lt;&gt;0")</f>
        <v>1</v>
      </c>
      <c r="AY1582" s="141">
        <f>COUNTIF(V1582:AL1582,"&lt;&gt;0")</f>
        <v>1</v>
      </c>
      <c r="AZ1582">
        <f>COUNTIF(V1582:AC1582,"&lt;&gt;0")</f>
        <v>0</v>
      </c>
      <c r="BA1582">
        <f>COUNTIF(AD1582:AI1582,"&lt;&gt;0")</f>
        <v>1</v>
      </c>
      <c r="BB1582">
        <f>COUNTIF(AJ1582:AL1582,"&lt;&gt;0")</f>
        <v>0</v>
      </c>
      <c r="BC1582">
        <f>COUNTIF(AS1582:AW1582,"&lt;&gt;0")</f>
        <v>0</v>
      </c>
      <c r="BD1582">
        <f>COUNTIF(AM1582:AR1582,"&lt;&gt;0")</f>
        <v>0</v>
      </c>
      <c r="BE1582" t="str" cm="1">
        <f t="array" ref="BE1582">IF(AY1582=1,INDEX($V$7:$AL$7,MATCH(TRUE,INDEX($V1582:$AW1582&lt;&gt;0,),0)),IF(AY1582=0,INDEX($AM$7:$AW$7,MATCH(1,$AM1582:$AW1582,0)),IF(BF1582="Multiple strategies","mixed drivers",IF(BF1582="Supply chain","multiple supply","multiple silviculture"))))</f>
        <v xml:space="preserve">end of life disposal </v>
      </c>
      <c r="BF1582" s="2" t="str" cm="1">
        <f t="array" ref="BF1582">IF(COUNTIF(AZ1582:BB1582,"&lt;&gt;0")=1,INDEX($V$4:$AW$4,MATCH(TRUE,INDEX($V1582:$AW1582&lt;&gt;0,),0)),IF(COUNTIF(AZ1582:BB1582,"&lt;&gt;0")=0,INDEX($AM$4:$AW$4,MATCH(1,$AM1582:$AW1582,0)),"Multiple strategies"))</f>
        <v>Supply chain</v>
      </c>
      <c r="BM1582" s="143"/>
      <c r="BN1582" s="143">
        <f>BL1582-BK1582</f>
        <v>0</v>
      </c>
      <c r="BO1582">
        <f>BN1582</f>
        <v>0</v>
      </c>
      <c r="BP1582" t="s">
        <v>232</v>
      </c>
      <c r="BR1582" t="s">
        <v>4324</v>
      </c>
      <c r="BS1582">
        <v>-1076</v>
      </c>
      <c r="BT1582">
        <v>-339</v>
      </c>
      <c r="BU1582" s="144">
        <f>IFERROR(BT1582/BS1582,"")</f>
        <v>0.31505576208178437</v>
      </c>
      <c r="BV1582" s="144">
        <f>BT1582-BS1582</f>
        <v>737</v>
      </c>
      <c r="BW1582" s="144"/>
      <c r="BX1582">
        <f>BV1582/1000</f>
        <v>0.73699999999999999</v>
      </c>
      <c r="BY1582" t="str">
        <f>IFERROR(BX1582/BO1582,"")</f>
        <v/>
      </c>
      <c r="BZ1582">
        <v>0</v>
      </c>
      <c r="CA1582">
        <v>0</v>
      </c>
      <c r="CB1582">
        <v>0</v>
      </c>
      <c r="CC1582">
        <v>0</v>
      </c>
      <c r="CD1582">
        <v>0</v>
      </c>
      <c r="CE1582">
        <v>0</v>
      </c>
      <c r="CF1582">
        <v>0</v>
      </c>
      <c r="CG1582">
        <v>0</v>
      </c>
      <c r="CH1582">
        <v>0</v>
      </c>
      <c r="CI1582">
        <v>0</v>
      </c>
      <c r="CJ1582">
        <v>0</v>
      </c>
      <c r="CK1582">
        <v>0</v>
      </c>
      <c r="CL1582">
        <v>0</v>
      </c>
      <c r="CM1582">
        <v>0</v>
      </c>
      <c r="CN1582" t="str">
        <f>IF(BL1582&lt;BK1582,"refNeedCorrection","refOK")</f>
        <v>refOK</v>
      </c>
      <c r="CO1582"/>
      <c r="CP1582"/>
      <c r="CQ1582"/>
      <c r="CR1582">
        <f>IF($CN1582="refOK",$BS1582,$BT1582)*IF($BP1582="Emissions positive",-1,1)</f>
        <v>-1076</v>
      </c>
      <c r="CS1582">
        <f>IF($CN1582="refOK",$BT1582,$BS1582)*IF($BP1582="Emissions positive",-1,1)</f>
        <v>-339</v>
      </c>
      <c r="CT1582">
        <f>IF($CN1582="refNeedCorrection",-BX1582,BX1582)*IF($BP1582="Emissions positive",-1,1)</f>
        <v>0.73699999999999999</v>
      </c>
      <c r="CU1582" t="str">
        <f>IFERROR(CT1582/CQ1582,"")</f>
        <v/>
      </c>
      <c r="CV1582" s="2">
        <f>IFERROR((CS1582-CR1582)/ABS(CR1582),"")</f>
        <v>0.68494423791821557</v>
      </c>
      <c r="CW1582" s="1" t="s">
        <v>263</v>
      </c>
      <c r="CX1582" s="312" t="str">
        <f>IF(OR($CW1582="prd",$CW1582="std",$CW1582="cit"),"loc",IF(OR($CW1582="eur",$CW1582="reg",$CW1582="coy"),"reg",$CW1582))</f>
        <v>loc</v>
      </c>
      <c r="CY1582" t="s">
        <v>3494</v>
      </c>
      <c r="DB1582">
        <f>DA1582-CZ1582</f>
        <v>0</v>
      </c>
      <c r="DC1582" t="str">
        <f>IF(DB1582=0,"0",IF(AND(DB1582&gt;=1,DB1582&lt;=30),"1-30",IF(AND(DB1582&gt;30,DB1582&lt;=70),"31-70",IF(AND(DB1582&gt;70,DB1582&lt;=100),"71-100",IF(DB1582&gt;100,"+100")))))</f>
        <v>0</v>
      </c>
      <c r="DD1582">
        <v>0</v>
      </c>
      <c r="DE1582">
        <v>0</v>
      </c>
      <c r="DF1582">
        <v>0</v>
      </c>
      <c r="DG1582">
        <v>1</v>
      </c>
      <c r="DH1582">
        <v>0</v>
      </c>
      <c r="DI1582">
        <f>SUM(DD1582:DG1582)</f>
        <v>1</v>
      </c>
      <c r="DJ1582" t="str">
        <f>IF(DI1582=1,INDEX($DD$7:$DG$7,MATCH(1,$DD1582:$DG1582,0)),"mixedProduct")</f>
        <v>TimberInput</v>
      </c>
      <c r="DK1582">
        <f>IF(DD1582=1,DK$7,0)</f>
        <v>0</v>
      </c>
      <c r="DL1582">
        <f>IF(DE1582=1,DL$7,0)</f>
        <v>0</v>
      </c>
      <c r="DM1582">
        <f>IF(DF1582=1,DM$7,0)</f>
        <v>0</v>
      </c>
      <c r="DN1582" t="str">
        <f>IF(DG1582=1,DN$7,0)</f>
        <v>Timber</v>
      </c>
      <c r="DO1582">
        <v>1</v>
      </c>
      <c r="DP1582">
        <v>0</v>
      </c>
      <c r="DQ1582">
        <v>0</v>
      </c>
      <c r="DR1582">
        <v>0</v>
      </c>
      <c r="DS1582">
        <v>0</v>
      </c>
      <c r="DT1582">
        <f>SUM(DO1582:DP1582)</f>
        <v>1</v>
      </c>
      <c r="DU1582" s="143" t="str">
        <f>IF(DO1582=1,"self-calculated DF",IF(DP1582=1,"external DF used","explicit C balance"))</f>
        <v>self-calculated DF</v>
      </c>
      <c r="DV1582">
        <v>0</v>
      </c>
      <c r="DW1582">
        <v>0</v>
      </c>
      <c r="DX1582">
        <v>0</v>
      </c>
      <c r="DY1582">
        <v>0</v>
      </c>
      <c r="DZ1582">
        <v>1</v>
      </c>
      <c r="EA1582">
        <v>1</v>
      </c>
      <c r="EB1582">
        <v>0</v>
      </c>
      <c r="EC1582">
        <v>0</v>
      </c>
      <c r="ED1582">
        <v>0</v>
      </c>
      <c r="EE1582">
        <v>0</v>
      </c>
      <c r="EF1582">
        <v>0</v>
      </c>
      <c r="EG1582">
        <v>0</v>
      </c>
      <c r="EH1582">
        <v>0</v>
      </c>
      <c r="EI1582" s="2">
        <v>0</v>
      </c>
      <c r="EK1582" t="str">
        <f>IF(AND(AND(AND(OR($DX1582=1,$DW1582=1),OR($EC1582=1,$EA1582=1)),SUM($DV1582:$DZ1582,$EF1582)&gt;=3),SUM($EA1582:$EE1582)&gt;=2),"Whole sector","")</f>
        <v/>
      </c>
      <c r="EL1582" t="str">
        <f>IF(AND(AND(OR($DX1582=1,$DW1582=1),AND($EC1582=0,$EA1582=0)),SUM($DV1582:$DZ1582,$EF1582)&gt;=3),"Ecosystem approach","")</f>
        <v/>
      </c>
      <c r="EM1582" s="2" t="str">
        <f>IF(AND(AND(AND($DX1582=0,$DW1582=0),OR($EC1582=1,$EA1582=1)),SUM($EB1582:$EE1582)&gt;=2),"Technology approach","")</f>
        <v/>
      </c>
      <c r="EN1582" t="s">
        <v>4325</v>
      </c>
      <c r="EP1582" t="b">
        <f>IF(ISNUMBER(BU1582),IF(ABS(BU1582-[5]QC_indicators!$B$2)&gt;3*[5]QC_indicators!$C$2,"C ratio",IF(ISNUMBER(BY1582),IF(ABS(BY1582-[5]QC_indicators!$B$1)&gt;3*[5]QC_indicators!$C$1,"DF","no"))),IF(ISNUMBER(BY1582),IF(ABS(BY1582-[5]QC_indicators!$B$1)&gt;3*[5]QC_indicators!$C$1,"DF","no")))</f>
        <v>0</v>
      </c>
    </row>
    <row r="1583" spans="1:147">
      <c r="A1583" s="1" t="s">
        <v>4313</v>
      </c>
      <c r="B1583" t="s">
        <v>4314</v>
      </c>
      <c r="C1583" t="s">
        <v>4315</v>
      </c>
      <c r="D1583" t="s">
        <v>4316</v>
      </c>
      <c r="E1583" t="s">
        <v>4317</v>
      </c>
      <c r="F1583" t="s">
        <v>4318</v>
      </c>
      <c r="G1583" t="s">
        <v>4319</v>
      </c>
      <c r="H1583" t="s">
        <v>254</v>
      </c>
      <c r="I1583">
        <v>2011</v>
      </c>
      <c r="J1583">
        <v>7</v>
      </c>
      <c r="K1583" t="s">
        <v>4320</v>
      </c>
      <c r="M1583" t="str">
        <f>LEFT($D1583,FIND(",",$D1583)-1)&amp;"_"&amp;I1583&amp;L1583</f>
        <v>Weight_2011</v>
      </c>
      <c r="N1583" s="312" t="s">
        <v>4383</v>
      </c>
      <c r="O1583" s="145" t="s">
        <v>1154</v>
      </c>
      <c r="Q1583" s="312" t="s">
        <v>256</v>
      </c>
      <c r="R1583" s="313"/>
      <c r="S1583" s="1" t="s">
        <v>4326</v>
      </c>
      <c r="T1583" t="s">
        <v>4327</v>
      </c>
      <c r="U1583" t="s">
        <v>4328</v>
      </c>
      <c r="V1583">
        <v>0</v>
      </c>
      <c r="W1583">
        <v>0</v>
      </c>
      <c r="X1583">
        <v>0</v>
      </c>
      <c r="Y1583">
        <v>0</v>
      </c>
      <c r="Z1583">
        <v>0</v>
      </c>
      <c r="AA1583">
        <v>0</v>
      </c>
      <c r="AB1583">
        <v>0</v>
      </c>
      <c r="AC1583">
        <v>0</v>
      </c>
      <c r="AD1583">
        <v>0</v>
      </c>
      <c r="AE1583">
        <v>0</v>
      </c>
      <c r="AF1583">
        <v>0</v>
      </c>
      <c r="AG1583">
        <v>0</v>
      </c>
      <c r="AH1583">
        <v>1</v>
      </c>
      <c r="AI1583">
        <v>0</v>
      </c>
      <c r="AJ1583">
        <v>0</v>
      </c>
      <c r="AK1583">
        <v>0</v>
      </c>
      <c r="AL1583">
        <v>0</v>
      </c>
      <c r="AM1583">
        <v>0</v>
      </c>
      <c r="AN1583">
        <v>0</v>
      </c>
      <c r="AO1583">
        <v>0</v>
      </c>
      <c r="AP1583">
        <v>0</v>
      </c>
      <c r="AQ1583">
        <v>0</v>
      </c>
      <c r="AR1583">
        <v>0</v>
      </c>
      <c r="AS1583">
        <v>0</v>
      </c>
      <c r="AT1583">
        <v>0</v>
      </c>
      <c r="AU1583">
        <v>0</v>
      </c>
      <c r="AV1583">
        <v>0</v>
      </c>
      <c r="AW1583">
        <v>0</v>
      </c>
      <c r="AX1583" s="141">
        <f>COUNTIF(V1583:AW1583,"&lt;&gt;0")</f>
        <v>1</v>
      </c>
      <c r="AY1583" s="141">
        <f>COUNTIF(V1583:AL1583,"&lt;&gt;0")</f>
        <v>1</v>
      </c>
      <c r="AZ1583">
        <f>COUNTIF(V1583:AC1583,"&lt;&gt;0")</f>
        <v>0</v>
      </c>
      <c r="BA1583">
        <f>COUNTIF(AD1583:AI1583,"&lt;&gt;0")</f>
        <v>1</v>
      </c>
      <c r="BB1583">
        <f>COUNTIF(AJ1583:AL1583,"&lt;&gt;0")</f>
        <v>0</v>
      </c>
      <c r="BC1583">
        <f>COUNTIF(AS1583:AW1583,"&lt;&gt;0")</f>
        <v>0</v>
      </c>
      <c r="BD1583">
        <f>COUNTIF(AM1583:AR1583,"&lt;&gt;0")</f>
        <v>0</v>
      </c>
      <c r="BE1583" t="str" cm="1">
        <f t="array" ref="BE1583">IF(AY1583=1,INDEX($V$7:$AL$7,MATCH(TRUE,INDEX($V1583:$AW1583&lt;&gt;0,),0)),IF(AY1583=0,INDEX($AM$7:$AW$7,MATCH(1,$AM1583:$AW1583,0)),IF(BF1583="Multiple strategies","mixed drivers",IF(BF1583="Supply chain","multiple supply","multiple silviculture"))))</f>
        <v xml:space="preserve">end of life disposal </v>
      </c>
      <c r="BF1583" s="2" t="str" cm="1">
        <f t="array" ref="BF1583">IF(COUNTIF(AZ1583:BB1583,"&lt;&gt;0")=1,INDEX($V$4:$AW$4,MATCH(TRUE,INDEX($V1583:$AW1583&lt;&gt;0,),0)),IF(COUNTIF(AZ1583:BB1583,"&lt;&gt;0")=0,INDEX($AM$4:$AW$4,MATCH(1,$AM1583:$AW1583,0)),"Multiple strategies"))</f>
        <v>Supply chain</v>
      </c>
      <c r="BM1583" s="143"/>
      <c r="BN1583" s="143">
        <f>BL1583-BK1583</f>
        <v>0</v>
      </c>
      <c r="BO1583">
        <f>BN1583</f>
        <v>0</v>
      </c>
      <c r="BP1583" t="s">
        <v>232</v>
      </c>
      <c r="BR1583" t="s">
        <v>4324</v>
      </c>
      <c r="BS1583">
        <v>-1269</v>
      </c>
      <c r="BT1583">
        <v>-532</v>
      </c>
      <c r="BU1583" s="144">
        <f>IFERROR(BT1583/BS1583,"")</f>
        <v>0.41922773837667454</v>
      </c>
      <c r="BV1583" s="144">
        <f>BT1583-BS1583</f>
        <v>737</v>
      </c>
      <c r="BW1583" s="144"/>
      <c r="BX1583">
        <f>BV1583/1000</f>
        <v>0.73699999999999999</v>
      </c>
      <c r="BY1583" t="str">
        <f>IFERROR(BX1583/BO1583,"")</f>
        <v/>
      </c>
      <c r="BZ1583">
        <v>0</v>
      </c>
      <c r="CA1583">
        <v>0</v>
      </c>
      <c r="CB1583">
        <v>0</v>
      </c>
      <c r="CC1583">
        <v>0</v>
      </c>
      <c r="CD1583">
        <v>0</v>
      </c>
      <c r="CE1583">
        <v>0</v>
      </c>
      <c r="CF1583">
        <v>0</v>
      </c>
      <c r="CG1583">
        <v>0</v>
      </c>
      <c r="CH1583">
        <v>0</v>
      </c>
      <c r="CI1583">
        <v>0</v>
      </c>
      <c r="CJ1583">
        <v>0</v>
      </c>
      <c r="CK1583">
        <v>0</v>
      </c>
      <c r="CL1583">
        <v>0</v>
      </c>
      <c r="CM1583">
        <v>0</v>
      </c>
      <c r="CN1583" t="str">
        <f>IF(BL1583&lt;BK1583,"refNeedCorrection","refOK")</f>
        <v>refOK</v>
      </c>
      <c r="CO1583"/>
      <c r="CP1583"/>
      <c r="CQ1583"/>
      <c r="CR1583">
        <f>IF($CN1583="refOK",$BS1583,$BT1583)*IF($BP1583="Emissions positive",-1,1)</f>
        <v>-1269</v>
      </c>
      <c r="CS1583">
        <f>IF($CN1583="refOK",$BT1583,$BS1583)*IF($BP1583="Emissions positive",-1,1)</f>
        <v>-532</v>
      </c>
      <c r="CT1583">
        <f>IF($CN1583="refNeedCorrection",-BX1583,BX1583)*IF($BP1583="Emissions positive",-1,1)</f>
        <v>0.73699999999999999</v>
      </c>
      <c r="CU1583" t="str">
        <f>IFERROR(CT1583/CQ1583,"")</f>
        <v/>
      </c>
      <c r="CV1583" s="2">
        <f>IFERROR((CS1583-CR1583)/ABS(CR1583),"")</f>
        <v>0.5807722616233254</v>
      </c>
      <c r="CW1583" s="1" t="s">
        <v>263</v>
      </c>
      <c r="CX1583" s="312" t="str">
        <f>IF(OR($CW1583="prd",$CW1583="std",$CW1583="cit"),"loc",IF(OR($CW1583="eur",$CW1583="reg",$CW1583="coy"),"reg",$CW1583))</f>
        <v>loc</v>
      </c>
      <c r="CY1583" t="s">
        <v>3494</v>
      </c>
      <c r="DB1583">
        <f>DA1583-CZ1583</f>
        <v>0</v>
      </c>
      <c r="DC1583" t="str">
        <f>IF(DB1583=0,"0",IF(AND(DB1583&gt;=1,DB1583&lt;=30),"1-30",IF(AND(DB1583&gt;30,DB1583&lt;=70),"31-70",IF(AND(DB1583&gt;70,DB1583&lt;=100),"71-100",IF(DB1583&gt;100,"+100")))))</f>
        <v>0</v>
      </c>
      <c r="DD1583">
        <v>0</v>
      </c>
      <c r="DE1583">
        <v>0</v>
      </c>
      <c r="DF1583">
        <v>0</v>
      </c>
      <c r="DG1583">
        <v>1</v>
      </c>
      <c r="DH1583">
        <v>0</v>
      </c>
      <c r="DI1583">
        <f>SUM(DD1583:DG1583)</f>
        <v>1</v>
      </c>
      <c r="DJ1583" t="str">
        <f>IF(DI1583=1,INDEX($DD$7:$DG$7,MATCH(1,$DD1583:$DG1583,0)),"mixedProduct")</f>
        <v>TimberInput</v>
      </c>
      <c r="DK1583">
        <f>IF(DD1583=1,DK$7,0)</f>
        <v>0</v>
      </c>
      <c r="DL1583">
        <f>IF(DE1583=1,DL$7,0)</f>
        <v>0</v>
      </c>
      <c r="DM1583">
        <f>IF(DF1583=1,DM$7,0)</f>
        <v>0</v>
      </c>
      <c r="DN1583" t="str">
        <f>IF(DG1583=1,DN$7,0)</f>
        <v>Timber</v>
      </c>
      <c r="DO1583">
        <v>1</v>
      </c>
      <c r="DP1583">
        <v>0</v>
      </c>
      <c r="DQ1583">
        <v>0</v>
      </c>
      <c r="DR1583">
        <v>0</v>
      </c>
      <c r="DS1583">
        <v>0</v>
      </c>
      <c r="DT1583">
        <f>SUM(DO1583:DP1583)</f>
        <v>1</v>
      </c>
      <c r="DU1583" s="143" t="str">
        <f>IF(DO1583=1,"self-calculated DF",IF(DP1583=1,"external DF used","explicit C balance"))</f>
        <v>self-calculated DF</v>
      </c>
      <c r="DV1583">
        <v>0</v>
      </c>
      <c r="DW1583">
        <v>0</v>
      </c>
      <c r="DX1583">
        <v>0</v>
      </c>
      <c r="DY1583">
        <v>0</v>
      </c>
      <c r="DZ1583">
        <v>1</v>
      </c>
      <c r="EA1583">
        <v>1</v>
      </c>
      <c r="EB1583">
        <v>0</v>
      </c>
      <c r="EC1583">
        <v>1</v>
      </c>
      <c r="ED1583">
        <v>0</v>
      </c>
      <c r="EE1583">
        <v>0</v>
      </c>
      <c r="EF1583">
        <v>0</v>
      </c>
      <c r="EG1583">
        <v>0</v>
      </c>
      <c r="EH1583">
        <v>0</v>
      </c>
      <c r="EI1583" s="2">
        <v>0</v>
      </c>
      <c r="EK1583" t="str">
        <f>IF(AND(AND(AND(OR($DX1583=1,$DW1583=1),OR($EC1583=1,$EA1583=1)),SUM($DV1583:$DZ1583,$EF1583)&gt;=3),SUM($EA1583:$EE1583)&gt;=2),"Whole sector","")</f>
        <v/>
      </c>
      <c r="EL1583" t="str">
        <f>IF(AND(AND(OR($DX1583=1,$DW1583=1),AND($EC1583=0,$EA1583=0)),SUM($DV1583:$DZ1583,$EF1583)&gt;=3),"Ecosystem approach","")</f>
        <v/>
      </c>
      <c r="EM1583" s="2" t="str">
        <f>IF(AND(AND(AND($DX1583=0,$DW1583=0),OR($EC1583=1,$EA1583=1)),SUM($EB1583:$EE1583)&gt;=2),"Technology approach","")</f>
        <v/>
      </c>
      <c r="EN1583" t="s">
        <v>4325</v>
      </c>
      <c r="EP1583" t="b">
        <f>IF(ISNUMBER(BU1583),IF(ABS(BU1583-[5]QC_indicators!$B$2)&gt;3*[5]QC_indicators!$C$2,"C ratio",IF(ISNUMBER(BY1583),IF(ABS(BY1583-[5]QC_indicators!$B$1)&gt;3*[5]QC_indicators!$C$1,"DF","no"))),IF(ISNUMBER(BY1583),IF(ABS(BY1583-[5]QC_indicators!$B$1)&gt;3*[5]QC_indicators!$C$1,"DF","no")))</f>
        <v>0</v>
      </c>
    </row>
    <row r="1584" spans="1:147">
      <c r="A1584" s="1" t="s">
        <v>4313</v>
      </c>
      <c r="B1584" t="s">
        <v>4314</v>
      </c>
      <c r="C1584" t="s">
        <v>4315</v>
      </c>
      <c r="D1584" t="s">
        <v>4316</v>
      </c>
      <c r="E1584" t="s">
        <v>4317</v>
      </c>
      <c r="F1584" t="s">
        <v>4318</v>
      </c>
      <c r="G1584" t="s">
        <v>4319</v>
      </c>
      <c r="H1584" t="s">
        <v>254</v>
      </c>
      <c r="I1584">
        <v>2011</v>
      </c>
      <c r="J1584">
        <v>7</v>
      </c>
      <c r="K1584" t="s">
        <v>4320</v>
      </c>
      <c r="M1584" t="str">
        <f>LEFT($D1584,FIND(",",$D1584)-1)&amp;"_"&amp;I1584&amp;L1584</f>
        <v>Weight_2011</v>
      </c>
      <c r="N1584" s="312" t="s">
        <v>4383</v>
      </c>
      <c r="O1584" s="145" t="s">
        <v>1154</v>
      </c>
      <c r="Q1584" s="312" t="s">
        <v>256</v>
      </c>
      <c r="R1584" s="313"/>
      <c r="S1584" s="1" t="s">
        <v>4326</v>
      </c>
      <c r="T1584" t="s">
        <v>4327</v>
      </c>
      <c r="U1584" t="s">
        <v>4328</v>
      </c>
      <c r="V1584">
        <v>0</v>
      </c>
      <c r="W1584">
        <v>0</v>
      </c>
      <c r="X1584">
        <v>0</v>
      </c>
      <c r="Y1584">
        <v>0</v>
      </c>
      <c r="Z1584">
        <v>0</v>
      </c>
      <c r="AA1584">
        <v>0</v>
      </c>
      <c r="AB1584">
        <v>0</v>
      </c>
      <c r="AC1584">
        <v>0</v>
      </c>
      <c r="AD1584">
        <v>0</v>
      </c>
      <c r="AE1584">
        <v>0</v>
      </c>
      <c r="AF1584">
        <v>0</v>
      </c>
      <c r="AG1584">
        <v>0</v>
      </c>
      <c r="AH1584">
        <v>1</v>
      </c>
      <c r="AI1584">
        <v>0</v>
      </c>
      <c r="AJ1584">
        <v>0</v>
      </c>
      <c r="AK1584">
        <v>0</v>
      </c>
      <c r="AL1584">
        <v>0</v>
      </c>
      <c r="AM1584">
        <v>0</v>
      </c>
      <c r="AN1584">
        <v>0</v>
      </c>
      <c r="AO1584">
        <v>0</v>
      </c>
      <c r="AP1584">
        <v>0</v>
      </c>
      <c r="AQ1584">
        <v>0</v>
      </c>
      <c r="AR1584">
        <v>0</v>
      </c>
      <c r="AS1584">
        <v>0</v>
      </c>
      <c r="AT1584">
        <v>0</v>
      </c>
      <c r="AU1584">
        <v>0</v>
      </c>
      <c r="AV1584">
        <v>0</v>
      </c>
      <c r="AW1584">
        <v>0</v>
      </c>
      <c r="AX1584" s="141">
        <f>COUNTIF(V1584:AW1584,"&lt;&gt;0")</f>
        <v>1</v>
      </c>
      <c r="AY1584" s="141">
        <f>COUNTIF(V1584:AL1584,"&lt;&gt;0")</f>
        <v>1</v>
      </c>
      <c r="AZ1584">
        <f>COUNTIF(V1584:AC1584,"&lt;&gt;0")</f>
        <v>0</v>
      </c>
      <c r="BA1584">
        <f>COUNTIF(AD1584:AI1584,"&lt;&gt;0")</f>
        <v>1</v>
      </c>
      <c r="BB1584">
        <f>COUNTIF(AJ1584:AL1584,"&lt;&gt;0")</f>
        <v>0</v>
      </c>
      <c r="BC1584">
        <f>COUNTIF(AS1584:AW1584,"&lt;&gt;0")</f>
        <v>0</v>
      </c>
      <c r="BD1584">
        <f>COUNTIF(AM1584:AR1584,"&lt;&gt;0")</f>
        <v>0</v>
      </c>
      <c r="BE1584" t="str" cm="1">
        <f t="array" ref="BE1584">IF(AY1584=1,INDEX($V$7:$AL$7,MATCH(TRUE,INDEX($V1584:$AW1584&lt;&gt;0,),0)),IF(AY1584=0,INDEX($AM$7:$AW$7,MATCH(1,$AM1584:$AW1584,0)),IF(BF1584="Multiple strategies","mixed drivers",IF(BF1584="Supply chain","multiple supply","multiple silviculture"))))</f>
        <v xml:space="preserve">end of life disposal </v>
      </c>
      <c r="BF1584" s="2" t="str" cm="1">
        <f t="array" ref="BF1584">IF(COUNTIF(AZ1584:BB1584,"&lt;&gt;0")=1,INDEX($V$4:$AW$4,MATCH(TRUE,INDEX($V1584:$AW1584&lt;&gt;0,),0)),IF(COUNTIF(AZ1584:BB1584,"&lt;&gt;0")=0,INDEX($AM$4:$AW$4,MATCH(1,$AM1584:$AW1584,0)),"Multiple strategies"))</f>
        <v>Supply chain</v>
      </c>
      <c r="BM1584" s="143"/>
      <c r="BN1584" s="143">
        <f>BL1584-BK1584</f>
        <v>0</v>
      </c>
      <c r="BO1584">
        <f>BN1584</f>
        <v>0</v>
      </c>
      <c r="BP1584" t="s">
        <v>232</v>
      </c>
      <c r="BR1584" t="s">
        <v>4324</v>
      </c>
      <c r="BS1584">
        <v>-1542</v>
      </c>
      <c r="BT1584">
        <v>-805</v>
      </c>
      <c r="BU1584" s="144">
        <f>IFERROR(BT1584/BS1584,"")</f>
        <v>0.52204928664072636</v>
      </c>
      <c r="BV1584" s="144">
        <f>BT1584-BS1584</f>
        <v>737</v>
      </c>
      <c r="BW1584" s="144"/>
      <c r="BX1584">
        <f>BV1584/1000</f>
        <v>0.73699999999999999</v>
      </c>
      <c r="BY1584" t="str">
        <f>IFERROR(BX1584/BO1584,"")</f>
        <v/>
      </c>
      <c r="BZ1584">
        <v>0</v>
      </c>
      <c r="CA1584">
        <v>0</v>
      </c>
      <c r="CB1584">
        <v>0</v>
      </c>
      <c r="CC1584">
        <v>0</v>
      </c>
      <c r="CD1584">
        <v>0</v>
      </c>
      <c r="CE1584">
        <v>0</v>
      </c>
      <c r="CF1584">
        <v>0</v>
      </c>
      <c r="CG1584">
        <v>0</v>
      </c>
      <c r="CH1584">
        <v>0</v>
      </c>
      <c r="CI1584">
        <v>0</v>
      </c>
      <c r="CJ1584">
        <v>0</v>
      </c>
      <c r="CK1584">
        <v>0</v>
      </c>
      <c r="CL1584">
        <v>0</v>
      </c>
      <c r="CM1584">
        <v>0</v>
      </c>
      <c r="CN1584" t="str">
        <f>IF(BL1584&lt;BK1584,"refNeedCorrection","refOK")</f>
        <v>refOK</v>
      </c>
      <c r="CO1584"/>
      <c r="CP1584"/>
      <c r="CQ1584"/>
      <c r="CR1584">
        <f>IF($CN1584="refOK",$BS1584,$BT1584)*IF($BP1584="Emissions positive",-1,1)</f>
        <v>-1542</v>
      </c>
      <c r="CS1584">
        <f>IF($CN1584="refOK",$BT1584,$BS1584)*IF($BP1584="Emissions positive",-1,1)</f>
        <v>-805</v>
      </c>
      <c r="CT1584">
        <f>IF($CN1584="refNeedCorrection",-BX1584,BX1584)*IF($BP1584="Emissions positive",-1,1)</f>
        <v>0.73699999999999999</v>
      </c>
      <c r="CU1584" t="str">
        <f>IFERROR(CT1584/CQ1584,"")</f>
        <v/>
      </c>
      <c r="CV1584" s="2">
        <f>IFERROR((CS1584-CR1584)/ABS(CR1584),"")</f>
        <v>0.47795071335927369</v>
      </c>
      <c r="CW1584" s="1" t="s">
        <v>263</v>
      </c>
      <c r="CX1584" s="312" t="str">
        <f>IF(OR($CW1584="prd",$CW1584="std",$CW1584="cit"),"loc",IF(OR($CW1584="eur",$CW1584="reg",$CW1584="coy"),"reg",$CW1584))</f>
        <v>loc</v>
      </c>
      <c r="CY1584" t="s">
        <v>3494</v>
      </c>
      <c r="DB1584">
        <f>DA1584-CZ1584</f>
        <v>0</v>
      </c>
      <c r="DC1584" t="str">
        <f>IF(DB1584=0,"0",IF(AND(DB1584&gt;=1,DB1584&lt;=30),"1-30",IF(AND(DB1584&gt;30,DB1584&lt;=70),"31-70",IF(AND(DB1584&gt;70,DB1584&lt;=100),"71-100",IF(DB1584&gt;100,"+100")))))</f>
        <v>0</v>
      </c>
      <c r="DD1584">
        <v>0</v>
      </c>
      <c r="DE1584">
        <v>0</v>
      </c>
      <c r="DF1584">
        <v>0</v>
      </c>
      <c r="DG1584">
        <v>1</v>
      </c>
      <c r="DH1584">
        <v>0</v>
      </c>
      <c r="DI1584">
        <f>SUM(DD1584:DG1584)</f>
        <v>1</v>
      </c>
      <c r="DJ1584" t="str">
        <f>IF(DI1584=1,INDEX($DD$7:$DG$7,MATCH(1,$DD1584:$DG1584,0)),"mixedProduct")</f>
        <v>TimberInput</v>
      </c>
      <c r="DK1584">
        <f>IF(DD1584=1,DK$7,0)</f>
        <v>0</v>
      </c>
      <c r="DL1584">
        <f>IF(DE1584=1,DL$7,0)</f>
        <v>0</v>
      </c>
      <c r="DM1584">
        <f>IF(DF1584=1,DM$7,0)</f>
        <v>0</v>
      </c>
      <c r="DN1584" t="str">
        <f>IF(DG1584=1,DN$7,0)</f>
        <v>Timber</v>
      </c>
      <c r="DO1584">
        <v>1</v>
      </c>
      <c r="DP1584">
        <v>0</v>
      </c>
      <c r="DQ1584">
        <v>0</v>
      </c>
      <c r="DR1584">
        <v>0</v>
      </c>
      <c r="DS1584">
        <v>0</v>
      </c>
      <c r="DT1584">
        <f>SUM(DO1584:DP1584)</f>
        <v>1</v>
      </c>
      <c r="DU1584" s="143" t="str">
        <f>IF(DO1584=1,"self-calculated DF",IF(DP1584=1,"external DF used","explicit C balance"))</f>
        <v>self-calculated DF</v>
      </c>
      <c r="DV1584">
        <v>0</v>
      </c>
      <c r="DW1584">
        <v>0</v>
      </c>
      <c r="DX1584">
        <v>0</v>
      </c>
      <c r="DY1584">
        <v>0</v>
      </c>
      <c r="DZ1584">
        <v>1</v>
      </c>
      <c r="EA1584">
        <v>1</v>
      </c>
      <c r="EB1584">
        <v>1</v>
      </c>
      <c r="EC1584">
        <v>0</v>
      </c>
      <c r="ED1584">
        <v>0</v>
      </c>
      <c r="EE1584">
        <v>0</v>
      </c>
      <c r="EF1584">
        <v>0</v>
      </c>
      <c r="EG1584">
        <v>0</v>
      </c>
      <c r="EH1584">
        <v>0</v>
      </c>
      <c r="EI1584" s="2">
        <v>0</v>
      </c>
      <c r="EK1584" t="str">
        <f>IF(AND(AND(AND(OR($DX1584=1,$DW1584=1),OR($EC1584=1,$EA1584=1)),SUM($DV1584:$DZ1584,$EF1584)&gt;=3),SUM($EA1584:$EE1584)&gt;=2),"Whole sector","")</f>
        <v/>
      </c>
      <c r="EL1584" t="str">
        <f>IF(AND(AND(OR($DX1584=1,$DW1584=1),AND($EC1584=0,$EA1584=0)),SUM($DV1584:$DZ1584,$EF1584)&gt;=3),"Ecosystem approach","")</f>
        <v/>
      </c>
      <c r="EM1584" s="2" t="str">
        <f>IF(AND(AND(AND($DX1584=0,$DW1584=0),OR($EC1584=1,$EA1584=1)),SUM($EB1584:$EE1584)&gt;=2),"Technology approach","")</f>
        <v/>
      </c>
      <c r="EN1584" t="s">
        <v>4325</v>
      </c>
      <c r="EP1584" t="b">
        <f>IF(ISNUMBER(BU1584),IF(ABS(BU1584-[5]QC_indicators!$B$2)&gt;3*[5]QC_indicators!$C$2,"C ratio",IF(ISNUMBER(BY1584),IF(ABS(BY1584-[5]QC_indicators!$B$1)&gt;3*[5]QC_indicators!$C$1,"DF","no"))),IF(ISNUMBER(BY1584),IF(ABS(BY1584-[5]QC_indicators!$B$1)&gt;3*[5]QC_indicators!$C$1,"DF","no")))</f>
        <v>0</v>
      </c>
    </row>
    <row r="1585" spans="1:147">
      <c r="A1585" s="1" t="s">
        <v>4313</v>
      </c>
      <c r="B1585" t="s">
        <v>4314</v>
      </c>
      <c r="C1585" t="s">
        <v>4315</v>
      </c>
      <c r="D1585" t="s">
        <v>4316</v>
      </c>
      <c r="E1585" t="s">
        <v>4317</v>
      </c>
      <c r="F1585" t="s">
        <v>4318</v>
      </c>
      <c r="G1585" t="s">
        <v>4319</v>
      </c>
      <c r="H1585" t="s">
        <v>254</v>
      </c>
      <c r="I1585">
        <v>2011</v>
      </c>
      <c r="J1585">
        <v>7</v>
      </c>
      <c r="K1585" t="s">
        <v>4320</v>
      </c>
      <c r="M1585" t="str">
        <f>LEFT($D1585,FIND(",",$D1585)-1)&amp;"_"&amp;I1585&amp;L1585</f>
        <v>Weight_2011</v>
      </c>
      <c r="N1585" s="312" t="s">
        <v>4383</v>
      </c>
      <c r="O1585" s="145" t="s">
        <v>1154</v>
      </c>
      <c r="Q1585" s="312" t="s">
        <v>256</v>
      </c>
      <c r="R1585" s="313"/>
      <c r="S1585" s="1" t="s">
        <v>4330</v>
      </c>
      <c r="T1585" t="s">
        <v>4327</v>
      </c>
      <c r="U1585" t="s">
        <v>4331</v>
      </c>
      <c r="V1585">
        <v>0</v>
      </c>
      <c r="W1585">
        <v>0</v>
      </c>
      <c r="X1585">
        <v>0</v>
      </c>
      <c r="Y1585">
        <v>0</v>
      </c>
      <c r="Z1585">
        <v>0</v>
      </c>
      <c r="AA1585">
        <v>0</v>
      </c>
      <c r="AB1585">
        <v>0</v>
      </c>
      <c r="AC1585">
        <v>0</v>
      </c>
      <c r="AD1585">
        <v>0</v>
      </c>
      <c r="AE1585">
        <v>0</v>
      </c>
      <c r="AF1585">
        <v>0</v>
      </c>
      <c r="AG1585">
        <v>0</v>
      </c>
      <c r="AH1585">
        <v>1</v>
      </c>
      <c r="AI1585">
        <v>0</v>
      </c>
      <c r="AJ1585">
        <v>0</v>
      </c>
      <c r="AK1585">
        <v>0</v>
      </c>
      <c r="AL1585">
        <v>0</v>
      </c>
      <c r="AM1585">
        <v>0</v>
      </c>
      <c r="AN1585">
        <v>0</v>
      </c>
      <c r="AO1585">
        <v>0</v>
      </c>
      <c r="AP1585">
        <v>0</v>
      </c>
      <c r="AQ1585">
        <v>0</v>
      </c>
      <c r="AR1585">
        <v>0</v>
      </c>
      <c r="AS1585">
        <v>0</v>
      </c>
      <c r="AT1585">
        <v>0</v>
      </c>
      <c r="AU1585">
        <v>0</v>
      </c>
      <c r="AV1585">
        <v>0</v>
      </c>
      <c r="AW1585">
        <v>0</v>
      </c>
      <c r="AX1585" s="141">
        <f>COUNTIF(V1585:AW1585,"&lt;&gt;0")</f>
        <v>1</v>
      </c>
      <c r="AY1585" s="141">
        <f>COUNTIF(V1585:AL1585,"&lt;&gt;0")</f>
        <v>1</v>
      </c>
      <c r="AZ1585">
        <f>COUNTIF(V1585:AC1585,"&lt;&gt;0")</f>
        <v>0</v>
      </c>
      <c r="BA1585">
        <f>COUNTIF(AD1585:AI1585,"&lt;&gt;0")</f>
        <v>1</v>
      </c>
      <c r="BB1585">
        <f>COUNTIF(AJ1585:AL1585,"&lt;&gt;0")</f>
        <v>0</v>
      </c>
      <c r="BC1585">
        <f>COUNTIF(AS1585:AW1585,"&lt;&gt;0")</f>
        <v>0</v>
      </c>
      <c r="BD1585">
        <f>COUNTIF(AM1585:AR1585,"&lt;&gt;0")</f>
        <v>0</v>
      </c>
      <c r="BE1585" t="str" cm="1">
        <f t="array" ref="BE1585">IF(AY1585=1,INDEX($V$7:$AL$7,MATCH(TRUE,INDEX($V1585:$AW1585&lt;&gt;0,),0)),IF(AY1585=0,INDEX($AM$7:$AW$7,MATCH(1,$AM1585:$AW1585,0)),IF(BF1585="Multiple strategies","mixed drivers",IF(BF1585="Supply chain","multiple supply","multiple silviculture"))))</f>
        <v xml:space="preserve">end of life disposal </v>
      </c>
      <c r="BF1585" s="2" t="str" cm="1">
        <f t="array" ref="BF1585">IF(COUNTIF(AZ1585:BB1585,"&lt;&gt;0")=1,INDEX($V$4:$AW$4,MATCH(TRUE,INDEX($V1585:$AW1585&lt;&gt;0,),0)),IF(COUNTIF(AZ1585:BB1585,"&lt;&gt;0")=0,INDEX($AM$4:$AW$4,MATCH(1,$AM1585:$AW1585,0)),"Multiple strategies"))</f>
        <v>Supply chain</v>
      </c>
      <c r="BM1585" s="143"/>
      <c r="BN1585" s="143">
        <f>BL1585-BK1585</f>
        <v>0</v>
      </c>
      <c r="BO1585">
        <f>BN1585</f>
        <v>0</v>
      </c>
      <c r="BP1585" t="s">
        <v>232</v>
      </c>
      <c r="BR1585" t="s">
        <v>4324</v>
      </c>
      <c r="BS1585">
        <v>-26</v>
      </c>
      <c r="BT1585">
        <v>738</v>
      </c>
      <c r="BU1585" s="144">
        <f>IFERROR(BT1585/BS1585,"")</f>
        <v>-28.384615384615383</v>
      </c>
      <c r="BV1585" s="144">
        <f>BT1585-BS1585</f>
        <v>764</v>
      </c>
      <c r="BW1585" s="144"/>
      <c r="BX1585">
        <f>BV1585/1000</f>
        <v>0.76400000000000001</v>
      </c>
      <c r="BY1585" t="str">
        <f>IFERROR(BX1585/BO1585,"")</f>
        <v/>
      </c>
      <c r="BZ1585">
        <v>0</v>
      </c>
      <c r="CA1585">
        <v>0</v>
      </c>
      <c r="CB1585">
        <v>0</v>
      </c>
      <c r="CC1585">
        <v>0</v>
      </c>
      <c r="CD1585">
        <v>0</v>
      </c>
      <c r="CE1585">
        <v>0</v>
      </c>
      <c r="CF1585">
        <v>0</v>
      </c>
      <c r="CG1585">
        <v>0</v>
      </c>
      <c r="CH1585">
        <v>0</v>
      </c>
      <c r="CI1585">
        <v>0</v>
      </c>
      <c r="CJ1585">
        <v>0</v>
      </c>
      <c r="CK1585">
        <v>0</v>
      </c>
      <c r="CL1585">
        <v>0</v>
      </c>
      <c r="CM1585">
        <v>0</v>
      </c>
      <c r="CN1585" t="str">
        <f>IF(BL1585&lt;BK1585,"refNeedCorrection","refOK")</f>
        <v>refOK</v>
      </c>
      <c r="CO1585"/>
      <c r="CP1585"/>
      <c r="CQ1585">
        <f>IF($CN1585="refOK",$BO1585,-$BO1585)</f>
        <v>0</v>
      </c>
      <c r="CR1585">
        <f>IF($CN1585="refOK",$BS1585,$BT1585)*IF($BP1585="Emissions positive",-1,1)</f>
        <v>-26</v>
      </c>
      <c r="CS1585">
        <f>IF($CN1585="refOK",$BT1585,$BS1585)*IF($BP1585="Emissions positive",-1,1)</f>
        <v>738</v>
      </c>
      <c r="CT1585">
        <f>IF($CN1585="refNeedCorrection",-BX1585,BX1585)*IF($BP1585="Emissions positive",-1,1)</f>
        <v>0.76400000000000001</v>
      </c>
      <c r="CU1585" t="str">
        <f>IFERROR(CT1585/CQ1585,"")</f>
        <v/>
      </c>
      <c r="CV1585" s="2">
        <f>IFERROR((CS1585-CR1585)/ABS(CR1585),"")</f>
        <v>29.384615384615383</v>
      </c>
      <c r="CW1585" s="1" t="s">
        <v>263</v>
      </c>
      <c r="CX1585" s="312" t="str">
        <f>IF(OR($CW1585="prd",$CW1585="std",$CW1585="cit"),"loc",IF(OR($CW1585="eur",$CW1585="reg",$CW1585="coy"),"reg",$CW1585))</f>
        <v>loc</v>
      </c>
      <c r="CY1585" t="s">
        <v>3494</v>
      </c>
      <c r="DB1585">
        <f>DA1585-CZ1585</f>
        <v>0</v>
      </c>
      <c r="DC1585" t="str">
        <f>IF(DB1585=0,"0",IF(AND(DB1585&gt;=1,DB1585&lt;=30),"1-30",IF(AND(DB1585&gt;30,DB1585&lt;=70),"31-70",IF(AND(DB1585&gt;70,DB1585&lt;=100),"71-100",IF(DB1585&gt;100,"+100")))))</f>
        <v>0</v>
      </c>
      <c r="DD1585">
        <v>0</v>
      </c>
      <c r="DE1585">
        <v>0</v>
      </c>
      <c r="DF1585">
        <v>0</v>
      </c>
      <c r="DG1585">
        <v>1</v>
      </c>
      <c r="DH1585">
        <v>0</v>
      </c>
      <c r="DI1585">
        <f>SUM(DD1585:DG1585)</f>
        <v>1</v>
      </c>
      <c r="DJ1585" t="str">
        <f>IF(DI1585=1,INDEX($DD$7:$DG$7,MATCH(1,$DD1585:$DG1585,0)),"mixedProduct")</f>
        <v>TimberInput</v>
      </c>
      <c r="DK1585">
        <f>IF(DD1585=1,DK$7,0)</f>
        <v>0</v>
      </c>
      <c r="DL1585">
        <f>IF(DE1585=1,DL$7,0)</f>
        <v>0</v>
      </c>
      <c r="DM1585">
        <f>IF(DF1585=1,DM$7,0)</f>
        <v>0</v>
      </c>
      <c r="DN1585" t="str">
        <f>IF(DG1585=1,DN$7,0)</f>
        <v>Timber</v>
      </c>
      <c r="DO1585">
        <v>1</v>
      </c>
      <c r="DP1585">
        <v>0</v>
      </c>
      <c r="DQ1585">
        <v>0</v>
      </c>
      <c r="DR1585">
        <v>0</v>
      </c>
      <c r="DS1585">
        <v>0</v>
      </c>
      <c r="DT1585">
        <f>SUM(DO1585:DP1585)</f>
        <v>1</v>
      </c>
      <c r="DU1585" s="143" t="str">
        <f>IF(DO1585=1,"self-calculated DF",IF(DP1585=1,"external DF used","explicit C balance"))</f>
        <v>self-calculated DF</v>
      </c>
      <c r="DV1585">
        <v>0</v>
      </c>
      <c r="DW1585">
        <v>0</v>
      </c>
      <c r="DX1585">
        <v>1</v>
      </c>
      <c r="DY1585">
        <v>0</v>
      </c>
      <c r="DZ1585">
        <v>1</v>
      </c>
      <c r="EA1585">
        <v>1</v>
      </c>
      <c r="EB1585">
        <v>1</v>
      </c>
      <c r="EC1585">
        <v>1</v>
      </c>
      <c r="ED1585">
        <v>0</v>
      </c>
      <c r="EE1585">
        <v>0</v>
      </c>
      <c r="EF1585">
        <v>0</v>
      </c>
      <c r="EG1585">
        <v>0</v>
      </c>
      <c r="EH1585">
        <v>0</v>
      </c>
      <c r="EI1585" s="2">
        <v>0</v>
      </c>
      <c r="EK1585" t="str">
        <f>IF(AND(AND(AND(OR($DX1585=1,$DW1585=1),OR($EC1585=1,$EA1585=1)),SUM($DV1585:$DZ1585,$EF1585)&gt;=3),SUM($EA1585:$EE1585)&gt;=2),"Whole sector","")</f>
        <v/>
      </c>
      <c r="EL1585" t="str">
        <f>IF(AND(AND(OR($DX1585=1,$DW1585=1),AND($EC1585=0,$EA1585=0)),SUM($DV1585:$DZ1585,$EF1585)&gt;=3),"Ecosystem approach","")</f>
        <v/>
      </c>
      <c r="EM1585" s="2" t="str">
        <f>IF(AND(AND(AND($DX1585=0,$DW1585=0),OR($EC1585=1,$EA1585=1)),SUM($EB1585:$EE1585)&gt;=2),"Technology approach","")</f>
        <v/>
      </c>
      <c r="EN1585" t="s">
        <v>4325</v>
      </c>
      <c r="EP1585" t="b">
        <f>IF(ISNUMBER(BU1585),IF(ABS(BU1585-[5]QC_indicators!$B$2)&gt;3*[5]QC_indicators!$C$2,"C ratio",IF(ISNUMBER(BY1585),IF(ABS(BY1585-[5]QC_indicators!$B$1)&gt;3*[5]QC_indicators!$C$1,"DF","no"))),IF(ISNUMBER(BY1585),IF(ABS(BY1585-[5]QC_indicators!$B$1)&gt;3*[5]QC_indicators!$C$1,"DF","no")))</f>
        <v>0</v>
      </c>
      <c r="EQ1585" s="149" t="s">
        <v>4329</v>
      </c>
    </row>
    <row r="1586" spans="1:147">
      <c r="A1586" s="1" t="s">
        <v>4313</v>
      </c>
      <c r="B1586" t="s">
        <v>4314</v>
      </c>
      <c r="C1586" t="s">
        <v>4315</v>
      </c>
      <c r="D1586" t="s">
        <v>4316</v>
      </c>
      <c r="E1586" t="s">
        <v>4317</v>
      </c>
      <c r="F1586" t="s">
        <v>4318</v>
      </c>
      <c r="G1586" t="s">
        <v>4319</v>
      </c>
      <c r="H1586" t="s">
        <v>254</v>
      </c>
      <c r="I1586">
        <v>2011</v>
      </c>
      <c r="J1586">
        <v>7</v>
      </c>
      <c r="K1586" t="s">
        <v>4320</v>
      </c>
      <c r="M1586" t="str">
        <f>LEFT($D1586,FIND(",",$D1586)-1)&amp;"_"&amp;I1586&amp;L1586</f>
        <v>Weight_2011</v>
      </c>
      <c r="N1586" s="312" t="s">
        <v>4383</v>
      </c>
      <c r="O1586" s="145" t="s">
        <v>1154</v>
      </c>
      <c r="Q1586" s="312" t="s">
        <v>256</v>
      </c>
      <c r="R1586" s="313"/>
      <c r="S1586" s="1" t="s">
        <v>4330</v>
      </c>
      <c r="T1586" t="s">
        <v>4327</v>
      </c>
      <c r="U1586" t="s">
        <v>4331</v>
      </c>
      <c r="V1586">
        <v>0</v>
      </c>
      <c r="W1586">
        <v>0</v>
      </c>
      <c r="X1586">
        <v>0</v>
      </c>
      <c r="Y1586">
        <v>0</v>
      </c>
      <c r="Z1586">
        <v>0</v>
      </c>
      <c r="AA1586">
        <v>0</v>
      </c>
      <c r="AB1586">
        <v>0</v>
      </c>
      <c r="AC1586">
        <v>0</v>
      </c>
      <c r="AD1586">
        <v>0</v>
      </c>
      <c r="AE1586">
        <v>0</v>
      </c>
      <c r="AF1586">
        <v>0</v>
      </c>
      <c r="AG1586">
        <v>0</v>
      </c>
      <c r="AH1586">
        <v>1</v>
      </c>
      <c r="AI1586">
        <v>0</v>
      </c>
      <c r="AJ1586">
        <v>0</v>
      </c>
      <c r="AK1586">
        <v>0</v>
      </c>
      <c r="AL1586">
        <v>0</v>
      </c>
      <c r="AM1586">
        <v>0</v>
      </c>
      <c r="AN1586">
        <v>0</v>
      </c>
      <c r="AO1586">
        <v>0</v>
      </c>
      <c r="AP1586">
        <v>0</v>
      </c>
      <c r="AQ1586">
        <v>0</v>
      </c>
      <c r="AR1586">
        <v>0</v>
      </c>
      <c r="AS1586">
        <v>0</v>
      </c>
      <c r="AT1586">
        <v>0</v>
      </c>
      <c r="AU1586">
        <v>0</v>
      </c>
      <c r="AV1586">
        <v>0</v>
      </c>
      <c r="AW1586">
        <v>0</v>
      </c>
      <c r="AX1586" s="141">
        <f>COUNTIF(V1586:AW1586,"&lt;&gt;0")</f>
        <v>1</v>
      </c>
      <c r="AY1586" s="141">
        <f>COUNTIF(V1586:AL1586,"&lt;&gt;0")</f>
        <v>1</v>
      </c>
      <c r="AZ1586">
        <f>COUNTIF(V1586:AC1586,"&lt;&gt;0")</f>
        <v>0</v>
      </c>
      <c r="BA1586">
        <f>COUNTIF(AD1586:AI1586,"&lt;&gt;0")</f>
        <v>1</v>
      </c>
      <c r="BB1586">
        <f>COUNTIF(AJ1586:AL1586,"&lt;&gt;0")</f>
        <v>0</v>
      </c>
      <c r="BC1586">
        <f>COUNTIF(AS1586:AW1586,"&lt;&gt;0")</f>
        <v>0</v>
      </c>
      <c r="BD1586">
        <f>COUNTIF(AM1586:AR1586,"&lt;&gt;0")</f>
        <v>0</v>
      </c>
      <c r="BE1586" t="str" cm="1">
        <f t="array" ref="BE1586">IF(AY1586=1,INDEX($V$7:$AL$7,MATCH(TRUE,INDEX($V1586:$AW1586&lt;&gt;0,),0)),IF(AY1586=0,INDEX($AM$7:$AW$7,MATCH(1,$AM1586:$AW1586,0)),IF(BF1586="Multiple strategies","mixed drivers",IF(BF1586="Supply chain","multiple supply","multiple silviculture"))))</f>
        <v xml:space="preserve">end of life disposal </v>
      </c>
      <c r="BF1586" s="2" t="str" cm="1">
        <f t="array" ref="BF1586">IF(COUNTIF(AZ1586:BB1586,"&lt;&gt;0")=1,INDEX($V$4:$AW$4,MATCH(TRUE,INDEX($V1586:$AW1586&lt;&gt;0,),0)),IF(COUNTIF(AZ1586:BB1586,"&lt;&gt;0")=0,INDEX($AM$4:$AW$4,MATCH(1,$AM1586:$AW1586,0)),"Multiple strategies"))</f>
        <v>Supply chain</v>
      </c>
      <c r="BM1586" s="143"/>
      <c r="BN1586" s="143">
        <f>BL1586-BK1586</f>
        <v>0</v>
      </c>
      <c r="BO1586">
        <f>BN1586</f>
        <v>0</v>
      </c>
      <c r="BP1586" t="s">
        <v>232</v>
      </c>
      <c r="BR1586" t="s">
        <v>4324</v>
      </c>
      <c r="BS1586">
        <v>-1076</v>
      </c>
      <c r="BT1586">
        <v>-310</v>
      </c>
      <c r="BU1586" s="144">
        <f>IFERROR(BT1586/BS1586,"")</f>
        <v>0.28810408921933084</v>
      </c>
      <c r="BV1586" s="144">
        <f>BT1586-BS1586</f>
        <v>766</v>
      </c>
      <c r="BW1586" s="144"/>
      <c r="BX1586">
        <f>BV1586/1000</f>
        <v>0.76600000000000001</v>
      </c>
      <c r="BY1586" t="str">
        <f>IFERROR(BX1586/BO1586,"")</f>
        <v/>
      </c>
      <c r="BZ1586">
        <v>0</v>
      </c>
      <c r="CA1586">
        <v>0</v>
      </c>
      <c r="CB1586">
        <v>0</v>
      </c>
      <c r="CC1586">
        <v>0</v>
      </c>
      <c r="CD1586">
        <v>0</v>
      </c>
      <c r="CE1586">
        <v>0</v>
      </c>
      <c r="CF1586">
        <v>0</v>
      </c>
      <c r="CG1586">
        <v>0</v>
      </c>
      <c r="CH1586">
        <v>0</v>
      </c>
      <c r="CI1586">
        <v>0</v>
      </c>
      <c r="CJ1586">
        <v>0</v>
      </c>
      <c r="CK1586">
        <v>0</v>
      </c>
      <c r="CL1586">
        <v>0</v>
      </c>
      <c r="CM1586">
        <v>0</v>
      </c>
      <c r="CN1586" t="str">
        <f>IF(BL1586&lt;BK1586,"refNeedCorrection","refOK")</f>
        <v>refOK</v>
      </c>
      <c r="CO1586"/>
      <c r="CP1586"/>
      <c r="CQ1586"/>
      <c r="CR1586">
        <f>IF($CN1586="refOK",$BS1586,$BT1586)*IF($BP1586="Emissions positive",-1,1)</f>
        <v>-1076</v>
      </c>
      <c r="CS1586">
        <f>IF($CN1586="refOK",$BT1586,$BS1586)*IF($BP1586="Emissions positive",-1,1)</f>
        <v>-310</v>
      </c>
      <c r="CT1586">
        <f>IF($CN1586="refNeedCorrection",-BX1586,BX1586)*IF($BP1586="Emissions positive",-1,1)</f>
        <v>0.76600000000000001</v>
      </c>
      <c r="CU1586" t="str">
        <f>IFERROR(CT1586/CQ1586,"")</f>
        <v/>
      </c>
      <c r="CV1586" s="2">
        <f>IFERROR((CS1586-CR1586)/ABS(CR1586),"")</f>
        <v>0.71189591078066916</v>
      </c>
      <c r="CW1586" s="1" t="s">
        <v>263</v>
      </c>
      <c r="CX1586" s="312" t="str">
        <f>IF(OR($CW1586="prd",$CW1586="std",$CW1586="cit"),"loc",IF(OR($CW1586="eur",$CW1586="reg",$CW1586="coy"),"reg",$CW1586))</f>
        <v>loc</v>
      </c>
      <c r="CY1586" t="s">
        <v>3494</v>
      </c>
      <c r="DB1586">
        <f>DA1586-CZ1586</f>
        <v>0</v>
      </c>
      <c r="DC1586" t="str">
        <f>IF(DB1586=0,"0",IF(AND(DB1586&gt;=1,DB1586&lt;=30),"1-30",IF(AND(DB1586&gt;30,DB1586&lt;=70),"31-70",IF(AND(DB1586&gt;70,DB1586&lt;=100),"71-100",IF(DB1586&gt;100,"+100")))))</f>
        <v>0</v>
      </c>
      <c r="DD1586">
        <v>0</v>
      </c>
      <c r="DE1586">
        <v>0</v>
      </c>
      <c r="DF1586">
        <v>0</v>
      </c>
      <c r="DG1586">
        <v>1</v>
      </c>
      <c r="DH1586">
        <v>0</v>
      </c>
      <c r="DI1586">
        <f>SUM(DD1586:DG1586)</f>
        <v>1</v>
      </c>
      <c r="DJ1586" t="str">
        <f>IF(DI1586=1,INDEX($DD$7:$DG$7,MATCH(1,$DD1586:$DG1586,0)),"mixedProduct")</f>
        <v>TimberInput</v>
      </c>
      <c r="DK1586">
        <f>IF(DD1586=1,DK$7,0)</f>
        <v>0</v>
      </c>
      <c r="DL1586">
        <f>IF(DE1586=1,DL$7,0)</f>
        <v>0</v>
      </c>
      <c r="DM1586">
        <f>IF(DF1586=1,DM$7,0)</f>
        <v>0</v>
      </c>
      <c r="DN1586" t="str">
        <f>IF(DG1586=1,DN$7,0)</f>
        <v>Timber</v>
      </c>
      <c r="DO1586">
        <v>1</v>
      </c>
      <c r="DP1586">
        <v>0</v>
      </c>
      <c r="DQ1586">
        <v>0</v>
      </c>
      <c r="DR1586">
        <v>0</v>
      </c>
      <c r="DS1586">
        <v>0</v>
      </c>
      <c r="DT1586">
        <f>SUM(DO1586:DP1586)</f>
        <v>1</v>
      </c>
      <c r="DU1586" s="143" t="str">
        <f>IF(DO1586=1,"self-calculated DF",IF(DP1586=1,"external DF used","explicit C balance"))</f>
        <v>self-calculated DF</v>
      </c>
      <c r="DV1586">
        <v>0</v>
      </c>
      <c r="DW1586">
        <v>0</v>
      </c>
      <c r="DX1586">
        <v>0</v>
      </c>
      <c r="DY1586">
        <v>0</v>
      </c>
      <c r="DZ1586">
        <v>1</v>
      </c>
      <c r="EA1586">
        <v>1</v>
      </c>
      <c r="EB1586">
        <v>0</v>
      </c>
      <c r="EC1586">
        <v>0</v>
      </c>
      <c r="ED1586">
        <v>0</v>
      </c>
      <c r="EE1586">
        <v>0</v>
      </c>
      <c r="EF1586">
        <v>0</v>
      </c>
      <c r="EG1586">
        <v>0</v>
      </c>
      <c r="EH1586">
        <v>0</v>
      </c>
      <c r="EI1586" s="2">
        <v>0</v>
      </c>
      <c r="EK1586" t="str">
        <f>IF(AND(AND(AND(OR($DX1586=1,$DW1586=1),OR($EC1586=1,$EA1586=1)),SUM($DV1586:$DZ1586,$EF1586)&gt;=3),SUM($EA1586:$EE1586)&gt;=2),"Whole sector","")</f>
        <v/>
      </c>
      <c r="EL1586" t="str">
        <f>IF(AND(AND(OR($DX1586=1,$DW1586=1),AND($EC1586=0,$EA1586=0)),SUM($DV1586:$DZ1586,$EF1586)&gt;=3),"Ecosystem approach","")</f>
        <v/>
      </c>
      <c r="EM1586" s="2" t="str">
        <f>IF(AND(AND(AND($DX1586=0,$DW1586=0),OR($EC1586=1,$EA1586=1)),SUM($EB1586:$EE1586)&gt;=2),"Technology approach","")</f>
        <v/>
      </c>
      <c r="EN1586" t="s">
        <v>4325</v>
      </c>
      <c r="EP1586" t="b">
        <f>IF(ISNUMBER(BU1586),IF(ABS(BU1586-[5]QC_indicators!$B$2)&gt;3*[5]QC_indicators!$C$2,"C ratio",IF(ISNUMBER(BY1586),IF(ABS(BY1586-[5]QC_indicators!$B$1)&gt;3*[5]QC_indicators!$C$1,"DF","no"))),IF(ISNUMBER(BY1586),IF(ABS(BY1586-[5]QC_indicators!$B$1)&gt;3*[5]QC_indicators!$C$1,"DF","no")))</f>
        <v>0</v>
      </c>
    </row>
    <row r="1587" spans="1:147">
      <c r="A1587" s="1" t="s">
        <v>4313</v>
      </c>
      <c r="B1587" t="s">
        <v>4314</v>
      </c>
      <c r="C1587" t="s">
        <v>4315</v>
      </c>
      <c r="D1587" t="s">
        <v>4316</v>
      </c>
      <c r="E1587" t="s">
        <v>4317</v>
      </c>
      <c r="F1587" t="s">
        <v>4318</v>
      </c>
      <c r="G1587" t="s">
        <v>4319</v>
      </c>
      <c r="H1587" t="s">
        <v>254</v>
      </c>
      <c r="I1587">
        <v>2011</v>
      </c>
      <c r="J1587">
        <v>7</v>
      </c>
      <c r="K1587" t="s">
        <v>4320</v>
      </c>
      <c r="M1587" t="str">
        <f>LEFT($D1587,FIND(",",$D1587)-1)&amp;"_"&amp;I1587&amp;L1587</f>
        <v>Weight_2011</v>
      </c>
      <c r="N1587" s="312" t="s">
        <v>4383</v>
      </c>
      <c r="O1587" s="145" t="s">
        <v>1154</v>
      </c>
      <c r="Q1587" s="312" t="s">
        <v>256</v>
      </c>
      <c r="R1587" s="313"/>
      <c r="S1587" s="1" t="s">
        <v>4330</v>
      </c>
      <c r="T1587" t="s">
        <v>4327</v>
      </c>
      <c r="U1587" t="s">
        <v>4331</v>
      </c>
      <c r="V1587">
        <v>0</v>
      </c>
      <c r="W1587">
        <v>0</v>
      </c>
      <c r="X1587">
        <v>0</v>
      </c>
      <c r="Y1587">
        <v>0</v>
      </c>
      <c r="Z1587">
        <v>0</v>
      </c>
      <c r="AA1587">
        <v>0</v>
      </c>
      <c r="AB1587">
        <v>0</v>
      </c>
      <c r="AC1587">
        <v>0</v>
      </c>
      <c r="AD1587">
        <v>0</v>
      </c>
      <c r="AE1587">
        <v>0</v>
      </c>
      <c r="AF1587">
        <v>0</v>
      </c>
      <c r="AG1587">
        <v>0</v>
      </c>
      <c r="AH1587">
        <v>1</v>
      </c>
      <c r="AI1587">
        <v>0</v>
      </c>
      <c r="AJ1587">
        <v>0</v>
      </c>
      <c r="AK1587">
        <v>0</v>
      </c>
      <c r="AL1587">
        <v>0</v>
      </c>
      <c r="AM1587">
        <v>0</v>
      </c>
      <c r="AN1587">
        <v>0</v>
      </c>
      <c r="AO1587">
        <v>0</v>
      </c>
      <c r="AP1587">
        <v>0</v>
      </c>
      <c r="AQ1587">
        <v>0</v>
      </c>
      <c r="AR1587">
        <v>0</v>
      </c>
      <c r="AS1587">
        <v>0</v>
      </c>
      <c r="AT1587">
        <v>0</v>
      </c>
      <c r="AU1587">
        <v>0</v>
      </c>
      <c r="AV1587">
        <v>0</v>
      </c>
      <c r="AW1587">
        <v>0</v>
      </c>
      <c r="AX1587" s="141">
        <f>COUNTIF(V1587:AW1587,"&lt;&gt;0")</f>
        <v>1</v>
      </c>
      <c r="AY1587" s="141">
        <f>COUNTIF(V1587:AL1587,"&lt;&gt;0")</f>
        <v>1</v>
      </c>
      <c r="AZ1587">
        <f>COUNTIF(V1587:AC1587,"&lt;&gt;0")</f>
        <v>0</v>
      </c>
      <c r="BA1587">
        <f>COUNTIF(AD1587:AI1587,"&lt;&gt;0")</f>
        <v>1</v>
      </c>
      <c r="BB1587">
        <f>COUNTIF(AJ1587:AL1587,"&lt;&gt;0")</f>
        <v>0</v>
      </c>
      <c r="BC1587">
        <f>COUNTIF(AS1587:AW1587,"&lt;&gt;0")</f>
        <v>0</v>
      </c>
      <c r="BD1587">
        <f>COUNTIF(AM1587:AR1587,"&lt;&gt;0")</f>
        <v>0</v>
      </c>
      <c r="BE1587" t="str" cm="1">
        <f t="array" ref="BE1587">IF(AY1587=1,INDEX($V$7:$AL$7,MATCH(TRUE,INDEX($V1587:$AW1587&lt;&gt;0,),0)),IF(AY1587=0,INDEX($AM$7:$AW$7,MATCH(1,$AM1587:$AW1587,0)),IF(BF1587="Multiple strategies","mixed drivers",IF(BF1587="Supply chain","multiple supply","multiple silviculture"))))</f>
        <v xml:space="preserve">end of life disposal </v>
      </c>
      <c r="BF1587" s="2" t="str" cm="1">
        <f t="array" ref="BF1587">IF(COUNTIF(AZ1587:BB1587,"&lt;&gt;0")=1,INDEX($V$4:$AW$4,MATCH(TRUE,INDEX($V1587:$AW1587&lt;&gt;0,),0)),IF(COUNTIF(AZ1587:BB1587,"&lt;&gt;0")=0,INDEX($AM$4:$AW$4,MATCH(1,$AM1587:$AW1587,0)),"Multiple strategies"))</f>
        <v>Supply chain</v>
      </c>
      <c r="BM1587" s="143"/>
      <c r="BN1587" s="143">
        <f>BL1587-BK1587</f>
        <v>0</v>
      </c>
      <c r="BO1587">
        <f>BN1587</f>
        <v>0</v>
      </c>
      <c r="BP1587" t="s">
        <v>232</v>
      </c>
      <c r="BR1587" t="s">
        <v>4324</v>
      </c>
      <c r="BS1587">
        <v>-1269</v>
      </c>
      <c r="BT1587">
        <v>-505</v>
      </c>
      <c r="BU1587" s="144">
        <f>IFERROR(BT1587/BS1587,"")</f>
        <v>0.39795114263199372</v>
      </c>
      <c r="BV1587" s="144">
        <f>BT1587-BS1587</f>
        <v>764</v>
      </c>
      <c r="BW1587" s="144"/>
      <c r="BX1587">
        <f>BV1587/1000</f>
        <v>0.76400000000000001</v>
      </c>
      <c r="BY1587" t="str">
        <f>IFERROR(BX1587/BO1587,"")</f>
        <v/>
      </c>
      <c r="BZ1587">
        <v>0</v>
      </c>
      <c r="CA1587">
        <v>0</v>
      </c>
      <c r="CB1587">
        <v>0</v>
      </c>
      <c r="CC1587">
        <v>0</v>
      </c>
      <c r="CD1587">
        <v>0</v>
      </c>
      <c r="CE1587">
        <v>0</v>
      </c>
      <c r="CF1587">
        <v>0</v>
      </c>
      <c r="CG1587">
        <v>0</v>
      </c>
      <c r="CH1587">
        <v>0</v>
      </c>
      <c r="CI1587">
        <v>0</v>
      </c>
      <c r="CJ1587">
        <v>0</v>
      </c>
      <c r="CK1587">
        <v>0</v>
      </c>
      <c r="CL1587">
        <v>0</v>
      </c>
      <c r="CM1587">
        <v>0</v>
      </c>
      <c r="CN1587" t="str">
        <f>IF(BL1587&lt;BK1587,"refNeedCorrection","refOK")</f>
        <v>refOK</v>
      </c>
      <c r="CO1587"/>
      <c r="CP1587"/>
      <c r="CQ1587"/>
      <c r="CR1587">
        <f>IF($CN1587="refOK",$BS1587,$BT1587)*IF($BP1587="Emissions positive",-1,1)</f>
        <v>-1269</v>
      </c>
      <c r="CS1587">
        <f>IF($CN1587="refOK",$BT1587,$BS1587)*IF($BP1587="Emissions positive",-1,1)</f>
        <v>-505</v>
      </c>
      <c r="CT1587">
        <f>IF($CN1587="refNeedCorrection",-BX1587,BX1587)*IF($BP1587="Emissions positive",-1,1)</f>
        <v>0.76400000000000001</v>
      </c>
      <c r="CU1587" t="str">
        <f>IFERROR(CT1587/CQ1587,"")</f>
        <v/>
      </c>
      <c r="CV1587" s="2">
        <f>IFERROR((CS1587-CR1587)/ABS(CR1587),"")</f>
        <v>0.60204885736800628</v>
      </c>
      <c r="CW1587" s="1" t="s">
        <v>263</v>
      </c>
      <c r="CX1587" s="312" t="str">
        <f>IF(OR($CW1587="prd",$CW1587="std",$CW1587="cit"),"loc",IF(OR($CW1587="eur",$CW1587="reg",$CW1587="coy"),"reg",$CW1587))</f>
        <v>loc</v>
      </c>
      <c r="CY1587" t="s">
        <v>3494</v>
      </c>
      <c r="DB1587">
        <f>DA1587-CZ1587</f>
        <v>0</v>
      </c>
      <c r="DC1587" t="str">
        <f>IF(DB1587=0,"0",IF(AND(DB1587&gt;=1,DB1587&lt;=30),"1-30",IF(AND(DB1587&gt;30,DB1587&lt;=70),"31-70",IF(AND(DB1587&gt;70,DB1587&lt;=100),"71-100",IF(DB1587&gt;100,"+100")))))</f>
        <v>0</v>
      </c>
      <c r="DD1587">
        <v>0</v>
      </c>
      <c r="DE1587">
        <v>0</v>
      </c>
      <c r="DF1587">
        <v>0</v>
      </c>
      <c r="DG1587">
        <v>1</v>
      </c>
      <c r="DH1587">
        <v>0</v>
      </c>
      <c r="DI1587">
        <f>SUM(DD1587:DG1587)</f>
        <v>1</v>
      </c>
      <c r="DJ1587" t="str">
        <f>IF(DI1587=1,INDEX($DD$7:$DG$7,MATCH(1,$DD1587:$DG1587,0)),"mixedProduct")</f>
        <v>TimberInput</v>
      </c>
      <c r="DK1587">
        <f>IF(DD1587=1,DK$7,0)</f>
        <v>0</v>
      </c>
      <c r="DL1587">
        <f>IF(DE1587=1,DL$7,0)</f>
        <v>0</v>
      </c>
      <c r="DM1587">
        <f>IF(DF1587=1,DM$7,0)</f>
        <v>0</v>
      </c>
      <c r="DN1587" t="str">
        <f>IF(DG1587=1,DN$7,0)</f>
        <v>Timber</v>
      </c>
      <c r="DO1587">
        <v>1</v>
      </c>
      <c r="DP1587">
        <v>0</v>
      </c>
      <c r="DQ1587">
        <v>0</v>
      </c>
      <c r="DR1587">
        <v>0</v>
      </c>
      <c r="DS1587">
        <v>0</v>
      </c>
      <c r="DT1587">
        <f>SUM(DO1587:DP1587)</f>
        <v>1</v>
      </c>
      <c r="DU1587" s="143" t="str">
        <f>IF(DO1587=1,"self-calculated DF",IF(DP1587=1,"external DF used","explicit C balance"))</f>
        <v>self-calculated DF</v>
      </c>
      <c r="DV1587">
        <v>0</v>
      </c>
      <c r="DW1587">
        <v>0</v>
      </c>
      <c r="DX1587">
        <v>0</v>
      </c>
      <c r="DY1587">
        <v>0</v>
      </c>
      <c r="DZ1587">
        <v>1</v>
      </c>
      <c r="EA1587">
        <v>1</v>
      </c>
      <c r="EB1587">
        <v>0</v>
      </c>
      <c r="EC1587">
        <v>1</v>
      </c>
      <c r="ED1587">
        <v>0</v>
      </c>
      <c r="EE1587">
        <v>0</v>
      </c>
      <c r="EF1587">
        <v>0</v>
      </c>
      <c r="EG1587">
        <v>0</v>
      </c>
      <c r="EH1587">
        <v>0</v>
      </c>
      <c r="EI1587" s="2">
        <v>0</v>
      </c>
      <c r="EK1587" t="str">
        <f>IF(AND(AND(AND(OR($DX1587=1,$DW1587=1),OR($EC1587=1,$EA1587=1)),SUM($DV1587:$DZ1587,$EF1587)&gt;=3),SUM($EA1587:$EE1587)&gt;=2),"Whole sector","")</f>
        <v/>
      </c>
      <c r="EL1587" t="str">
        <f>IF(AND(AND(OR($DX1587=1,$DW1587=1),AND($EC1587=0,$EA1587=0)),SUM($DV1587:$DZ1587,$EF1587)&gt;=3),"Ecosystem approach","")</f>
        <v/>
      </c>
      <c r="EM1587" s="2" t="str">
        <f>IF(AND(AND(AND($DX1587=0,$DW1587=0),OR($EC1587=1,$EA1587=1)),SUM($EB1587:$EE1587)&gt;=2),"Technology approach","")</f>
        <v/>
      </c>
      <c r="EN1587" t="s">
        <v>4325</v>
      </c>
      <c r="EP1587" t="b">
        <f>IF(ISNUMBER(BU1587),IF(ABS(BU1587-[5]QC_indicators!$B$2)&gt;3*[5]QC_indicators!$C$2,"C ratio",IF(ISNUMBER(BY1587),IF(ABS(BY1587-[5]QC_indicators!$B$1)&gt;3*[5]QC_indicators!$C$1,"DF","no"))),IF(ISNUMBER(BY1587),IF(ABS(BY1587-[5]QC_indicators!$B$1)&gt;3*[5]QC_indicators!$C$1,"DF","no")))</f>
        <v>0</v>
      </c>
    </row>
    <row r="1588" spans="1:147">
      <c r="A1588" s="1" t="s">
        <v>4313</v>
      </c>
      <c r="B1588" t="s">
        <v>4314</v>
      </c>
      <c r="C1588" t="s">
        <v>4315</v>
      </c>
      <c r="D1588" t="s">
        <v>4316</v>
      </c>
      <c r="E1588" t="s">
        <v>4317</v>
      </c>
      <c r="F1588" t="s">
        <v>4318</v>
      </c>
      <c r="G1588" t="s">
        <v>4319</v>
      </c>
      <c r="H1588" t="s">
        <v>254</v>
      </c>
      <c r="I1588">
        <v>2011</v>
      </c>
      <c r="J1588">
        <v>7</v>
      </c>
      <c r="K1588" t="s">
        <v>4320</v>
      </c>
      <c r="M1588" t="str">
        <f>LEFT($D1588,FIND(",",$D1588)-1)&amp;"_"&amp;I1588&amp;L1588</f>
        <v>Weight_2011</v>
      </c>
      <c r="N1588" s="312" t="s">
        <v>4383</v>
      </c>
      <c r="O1588" s="145" t="s">
        <v>1154</v>
      </c>
      <c r="Q1588" s="312" t="s">
        <v>256</v>
      </c>
      <c r="R1588" s="313"/>
      <c r="S1588" s="1" t="s">
        <v>4330</v>
      </c>
      <c r="T1588" t="s">
        <v>4327</v>
      </c>
      <c r="U1588" t="s">
        <v>4331</v>
      </c>
      <c r="V1588">
        <v>0</v>
      </c>
      <c r="W1588">
        <v>0</v>
      </c>
      <c r="X1588">
        <v>0</v>
      </c>
      <c r="Y1588">
        <v>0</v>
      </c>
      <c r="Z1588">
        <v>0</v>
      </c>
      <c r="AA1588">
        <v>0</v>
      </c>
      <c r="AB1588">
        <v>0</v>
      </c>
      <c r="AC1588">
        <v>0</v>
      </c>
      <c r="AD1588">
        <v>0</v>
      </c>
      <c r="AE1588">
        <v>0</v>
      </c>
      <c r="AF1588">
        <v>0</v>
      </c>
      <c r="AG1588">
        <v>0</v>
      </c>
      <c r="AH1588">
        <v>1</v>
      </c>
      <c r="AI1588">
        <v>0</v>
      </c>
      <c r="AJ1588">
        <v>0</v>
      </c>
      <c r="AK1588">
        <v>0</v>
      </c>
      <c r="AL1588">
        <v>0</v>
      </c>
      <c r="AM1588">
        <v>0</v>
      </c>
      <c r="AN1588">
        <v>0</v>
      </c>
      <c r="AO1588">
        <v>0</v>
      </c>
      <c r="AP1588">
        <v>0</v>
      </c>
      <c r="AQ1588">
        <v>0</v>
      </c>
      <c r="AR1588">
        <v>0</v>
      </c>
      <c r="AS1588">
        <v>0</v>
      </c>
      <c r="AT1588">
        <v>0</v>
      </c>
      <c r="AU1588">
        <v>0</v>
      </c>
      <c r="AV1588">
        <v>0</v>
      </c>
      <c r="AW1588">
        <v>0</v>
      </c>
      <c r="AX1588" s="141">
        <f>COUNTIF(V1588:AW1588,"&lt;&gt;0")</f>
        <v>1</v>
      </c>
      <c r="AY1588" s="141">
        <f>COUNTIF(V1588:AL1588,"&lt;&gt;0")</f>
        <v>1</v>
      </c>
      <c r="AZ1588">
        <f>COUNTIF(V1588:AC1588,"&lt;&gt;0")</f>
        <v>0</v>
      </c>
      <c r="BA1588">
        <f>COUNTIF(AD1588:AI1588,"&lt;&gt;0")</f>
        <v>1</v>
      </c>
      <c r="BB1588">
        <f>COUNTIF(AJ1588:AL1588,"&lt;&gt;0")</f>
        <v>0</v>
      </c>
      <c r="BC1588">
        <f>COUNTIF(AS1588:AW1588,"&lt;&gt;0")</f>
        <v>0</v>
      </c>
      <c r="BD1588">
        <f>COUNTIF(AM1588:AR1588,"&lt;&gt;0")</f>
        <v>0</v>
      </c>
      <c r="BE1588" t="str" cm="1">
        <f t="array" ref="BE1588">IF(AY1588=1,INDEX($V$7:$AL$7,MATCH(TRUE,INDEX($V1588:$AW1588&lt;&gt;0,),0)),IF(AY1588=0,INDEX($AM$7:$AW$7,MATCH(1,$AM1588:$AW1588,0)),IF(BF1588="Multiple strategies","mixed drivers",IF(BF1588="Supply chain","multiple supply","multiple silviculture"))))</f>
        <v xml:space="preserve">end of life disposal </v>
      </c>
      <c r="BF1588" s="2" t="str" cm="1">
        <f t="array" ref="BF1588">IF(COUNTIF(AZ1588:BB1588,"&lt;&gt;0")=1,INDEX($V$4:$AW$4,MATCH(TRUE,INDEX($V1588:$AW1588&lt;&gt;0,),0)),IF(COUNTIF(AZ1588:BB1588,"&lt;&gt;0")=0,INDEX($AM$4:$AW$4,MATCH(1,$AM1588:$AW1588,0)),"Multiple strategies"))</f>
        <v>Supply chain</v>
      </c>
      <c r="BM1588" s="143"/>
      <c r="BN1588" s="143">
        <f>BL1588-BK1588</f>
        <v>0</v>
      </c>
      <c r="BO1588">
        <f>BN1588</f>
        <v>0</v>
      </c>
      <c r="BP1588" t="s">
        <v>232</v>
      </c>
      <c r="BR1588" t="s">
        <v>4324</v>
      </c>
      <c r="BS1588">
        <v>-1542</v>
      </c>
      <c r="BT1588">
        <v>-778</v>
      </c>
      <c r="BU1588" s="144">
        <f>IFERROR(BT1588/BS1588,"")</f>
        <v>0.50453955901426717</v>
      </c>
      <c r="BV1588" s="144">
        <f>BT1588-BS1588</f>
        <v>764</v>
      </c>
      <c r="BW1588" s="144"/>
      <c r="BX1588">
        <f>BV1588/1000</f>
        <v>0.76400000000000001</v>
      </c>
      <c r="BY1588" t="str">
        <f>IFERROR(BX1588/BO1588,"")</f>
        <v/>
      </c>
      <c r="BZ1588">
        <v>0</v>
      </c>
      <c r="CA1588">
        <v>0</v>
      </c>
      <c r="CB1588">
        <v>0</v>
      </c>
      <c r="CC1588">
        <v>0</v>
      </c>
      <c r="CD1588">
        <v>0</v>
      </c>
      <c r="CE1588">
        <v>0</v>
      </c>
      <c r="CF1588">
        <v>0</v>
      </c>
      <c r="CG1588">
        <v>0</v>
      </c>
      <c r="CH1588">
        <v>0</v>
      </c>
      <c r="CI1588">
        <v>0</v>
      </c>
      <c r="CJ1588">
        <v>0</v>
      </c>
      <c r="CK1588">
        <v>0</v>
      </c>
      <c r="CL1588">
        <v>0</v>
      </c>
      <c r="CM1588">
        <v>0</v>
      </c>
      <c r="CN1588" t="str">
        <f>IF(BL1588&lt;BK1588,"refNeedCorrection","refOK")</f>
        <v>refOK</v>
      </c>
      <c r="CO1588"/>
      <c r="CP1588"/>
      <c r="CQ1588"/>
      <c r="CR1588">
        <f>IF($CN1588="refOK",$BS1588,$BT1588)*IF($BP1588="Emissions positive",-1,1)</f>
        <v>-1542</v>
      </c>
      <c r="CS1588">
        <f>IF($CN1588="refOK",$BT1588,$BS1588)*IF($BP1588="Emissions positive",-1,1)</f>
        <v>-778</v>
      </c>
      <c r="CT1588">
        <f>IF($CN1588="refNeedCorrection",-BX1588,BX1588)*IF($BP1588="Emissions positive",-1,1)</f>
        <v>0.76400000000000001</v>
      </c>
      <c r="CU1588" t="str">
        <f>IFERROR(CT1588/CQ1588,"")</f>
        <v/>
      </c>
      <c r="CV1588" s="2">
        <f>IFERROR((CS1588-CR1588)/ABS(CR1588),"")</f>
        <v>0.49546044098573283</v>
      </c>
      <c r="CW1588" s="1" t="s">
        <v>263</v>
      </c>
      <c r="CX1588" s="312" t="str">
        <f>IF(OR($CW1588="prd",$CW1588="std",$CW1588="cit"),"loc",IF(OR($CW1588="eur",$CW1588="reg",$CW1588="coy"),"reg",$CW1588))</f>
        <v>loc</v>
      </c>
      <c r="CY1588" t="s">
        <v>3494</v>
      </c>
      <c r="DB1588">
        <f>DA1588-CZ1588</f>
        <v>0</v>
      </c>
      <c r="DC1588" t="str">
        <f>IF(DB1588=0,"0",IF(AND(DB1588&gt;=1,DB1588&lt;=30),"1-30",IF(AND(DB1588&gt;30,DB1588&lt;=70),"31-70",IF(AND(DB1588&gt;70,DB1588&lt;=100),"71-100",IF(DB1588&gt;100,"+100")))))</f>
        <v>0</v>
      </c>
      <c r="DD1588">
        <v>0</v>
      </c>
      <c r="DE1588">
        <v>0</v>
      </c>
      <c r="DF1588">
        <v>0</v>
      </c>
      <c r="DG1588">
        <v>1</v>
      </c>
      <c r="DH1588">
        <v>0</v>
      </c>
      <c r="DI1588">
        <f>SUM(DD1588:DG1588)</f>
        <v>1</v>
      </c>
      <c r="DJ1588" t="str">
        <f>IF(DI1588=1,INDEX($DD$7:$DG$7,MATCH(1,$DD1588:$DG1588,0)),"mixedProduct")</f>
        <v>TimberInput</v>
      </c>
      <c r="DK1588">
        <f>IF(DD1588=1,DK$7,0)</f>
        <v>0</v>
      </c>
      <c r="DL1588">
        <f>IF(DE1588=1,DL$7,0)</f>
        <v>0</v>
      </c>
      <c r="DM1588">
        <f>IF(DF1588=1,DM$7,0)</f>
        <v>0</v>
      </c>
      <c r="DN1588" t="str">
        <f>IF(DG1588=1,DN$7,0)</f>
        <v>Timber</v>
      </c>
      <c r="DO1588">
        <v>1</v>
      </c>
      <c r="DP1588">
        <v>0</v>
      </c>
      <c r="DQ1588">
        <v>0</v>
      </c>
      <c r="DR1588">
        <v>0</v>
      </c>
      <c r="DS1588">
        <v>0</v>
      </c>
      <c r="DT1588">
        <f>SUM(DO1588:DP1588)</f>
        <v>1</v>
      </c>
      <c r="DU1588" s="143" t="str">
        <f>IF(DO1588=1,"self-calculated DF",IF(DP1588=1,"external DF used","explicit C balance"))</f>
        <v>self-calculated DF</v>
      </c>
      <c r="DV1588">
        <v>0</v>
      </c>
      <c r="DW1588">
        <v>0</v>
      </c>
      <c r="DX1588">
        <v>0</v>
      </c>
      <c r="DY1588">
        <v>0</v>
      </c>
      <c r="DZ1588">
        <v>1</v>
      </c>
      <c r="EA1588">
        <v>1</v>
      </c>
      <c r="EB1588">
        <v>1</v>
      </c>
      <c r="EC1588">
        <v>0</v>
      </c>
      <c r="ED1588">
        <v>0</v>
      </c>
      <c r="EE1588">
        <v>0</v>
      </c>
      <c r="EF1588">
        <v>0</v>
      </c>
      <c r="EG1588">
        <v>0</v>
      </c>
      <c r="EH1588">
        <v>0</v>
      </c>
      <c r="EI1588" s="2">
        <v>0</v>
      </c>
      <c r="EK1588" t="str">
        <f>IF(AND(AND(AND(OR($DX1588=1,$DW1588=1),OR($EC1588=1,$EA1588=1)),SUM($DV1588:$DZ1588,$EF1588)&gt;=3),SUM($EA1588:$EE1588)&gt;=2),"Whole sector","")</f>
        <v/>
      </c>
      <c r="EL1588" t="str">
        <f>IF(AND(AND(OR($DX1588=1,$DW1588=1),AND($EC1588=0,$EA1588=0)),SUM($DV1588:$DZ1588,$EF1588)&gt;=3),"Ecosystem approach","")</f>
        <v/>
      </c>
      <c r="EM1588" s="2" t="str">
        <f>IF(AND(AND(AND($DX1588=0,$DW1588=0),OR($EC1588=1,$EA1588=1)),SUM($EB1588:$EE1588)&gt;=2),"Technology approach","")</f>
        <v/>
      </c>
      <c r="EN1588" t="s">
        <v>4325</v>
      </c>
      <c r="EP1588" t="b">
        <f>IF(ISNUMBER(BU1588),IF(ABS(BU1588-[5]QC_indicators!$B$2)&gt;3*[5]QC_indicators!$C$2,"C ratio",IF(ISNUMBER(BY1588),IF(ABS(BY1588-[5]QC_indicators!$B$1)&gt;3*[5]QC_indicators!$C$1,"DF","no"))),IF(ISNUMBER(BY1588),IF(ABS(BY1588-[5]QC_indicators!$B$1)&gt;3*[5]QC_indicators!$C$1,"DF","no")))</f>
        <v>0</v>
      </c>
    </row>
    <row r="1589" spans="1:147">
      <c r="A1589" s="1" t="s">
        <v>4313</v>
      </c>
      <c r="B1589" t="s">
        <v>4314</v>
      </c>
      <c r="C1589" t="s">
        <v>4315</v>
      </c>
      <c r="D1589" t="s">
        <v>4316</v>
      </c>
      <c r="E1589" t="s">
        <v>4317</v>
      </c>
      <c r="F1589" t="s">
        <v>4318</v>
      </c>
      <c r="G1589" t="s">
        <v>4319</v>
      </c>
      <c r="H1589" t="s">
        <v>254</v>
      </c>
      <c r="I1589">
        <v>2011</v>
      </c>
      <c r="J1589">
        <v>7</v>
      </c>
      <c r="K1589" t="s">
        <v>4320</v>
      </c>
      <c r="M1589" t="str">
        <f>LEFT($D1589,FIND(",",$D1589)-1)&amp;"_"&amp;I1589&amp;L1589</f>
        <v>Weight_2011</v>
      </c>
      <c r="N1589" s="312" t="s">
        <v>4383</v>
      </c>
      <c r="O1589" s="145" t="s">
        <v>1154</v>
      </c>
      <c r="Q1589" s="312" t="s">
        <v>256</v>
      </c>
      <c r="R1589" s="313"/>
      <c r="S1589" s="1" t="s">
        <v>4332</v>
      </c>
      <c r="T1589" t="s">
        <v>4327</v>
      </c>
      <c r="U1589" t="s">
        <v>4333</v>
      </c>
      <c r="V1589">
        <v>0</v>
      </c>
      <c r="W1589">
        <v>0</v>
      </c>
      <c r="X1589">
        <v>0</v>
      </c>
      <c r="Y1589">
        <v>0</v>
      </c>
      <c r="Z1589">
        <v>0</v>
      </c>
      <c r="AA1589">
        <v>0</v>
      </c>
      <c r="AB1589">
        <v>0</v>
      </c>
      <c r="AC1589">
        <v>0</v>
      </c>
      <c r="AD1589">
        <v>0</v>
      </c>
      <c r="AE1589">
        <v>0</v>
      </c>
      <c r="AF1589">
        <v>0</v>
      </c>
      <c r="AG1589">
        <v>0</v>
      </c>
      <c r="AH1589">
        <v>1</v>
      </c>
      <c r="AI1589">
        <v>0</v>
      </c>
      <c r="AJ1589">
        <v>0</v>
      </c>
      <c r="AK1589">
        <v>0</v>
      </c>
      <c r="AL1589">
        <v>0</v>
      </c>
      <c r="AM1589">
        <v>0</v>
      </c>
      <c r="AN1589">
        <v>0</v>
      </c>
      <c r="AO1589">
        <v>0</v>
      </c>
      <c r="AP1589">
        <v>0</v>
      </c>
      <c r="AQ1589">
        <v>0</v>
      </c>
      <c r="AR1589">
        <v>0</v>
      </c>
      <c r="AS1589">
        <v>0</v>
      </c>
      <c r="AT1589">
        <v>0</v>
      </c>
      <c r="AU1589">
        <v>0</v>
      </c>
      <c r="AV1589">
        <v>0</v>
      </c>
      <c r="AW1589">
        <v>0</v>
      </c>
      <c r="AX1589" s="141">
        <f>COUNTIF(V1589:AW1589,"&lt;&gt;0")</f>
        <v>1</v>
      </c>
      <c r="AY1589" s="141">
        <f>COUNTIF(V1589:AL1589,"&lt;&gt;0")</f>
        <v>1</v>
      </c>
      <c r="AZ1589">
        <f>COUNTIF(V1589:AC1589,"&lt;&gt;0")</f>
        <v>0</v>
      </c>
      <c r="BA1589">
        <f>COUNTIF(AD1589:AI1589,"&lt;&gt;0")</f>
        <v>1</v>
      </c>
      <c r="BB1589">
        <f>COUNTIF(AJ1589:AL1589,"&lt;&gt;0")</f>
        <v>0</v>
      </c>
      <c r="BC1589">
        <f>COUNTIF(AS1589:AW1589,"&lt;&gt;0")</f>
        <v>0</v>
      </c>
      <c r="BD1589">
        <f>COUNTIF(AM1589:AR1589,"&lt;&gt;0")</f>
        <v>0</v>
      </c>
      <c r="BE1589" t="str" cm="1">
        <f t="array" ref="BE1589">IF(AY1589=1,INDEX($V$7:$AL$7,MATCH(TRUE,INDEX($V1589:$AW1589&lt;&gt;0,),0)),IF(AY1589=0,INDEX($AM$7:$AW$7,MATCH(1,$AM1589:$AW1589,0)),IF(BF1589="Multiple strategies","mixed drivers",IF(BF1589="Supply chain","multiple supply","multiple silviculture"))))</f>
        <v xml:space="preserve">end of life disposal </v>
      </c>
      <c r="BF1589" s="2" t="str" cm="1">
        <f t="array" ref="BF1589">IF(COUNTIF(AZ1589:BB1589,"&lt;&gt;0")=1,INDEX($V$4:$AW$4,MATCH(TRUE,INDEX($V1589:$AW1589&lt;&gt;0,),0)),IF(COUNTIF(AZ1589:BB1589,"&lt;&gt;0")=0,INDEX($AM$4:$AW$4,MATCH(1,$AM1589:$AW1589,0)),"Multiple strategies"))</f>
        <v>Supply chain</v>
      </c>
      <c r="BM1589" s="143"/>
      <c r="BN1589" s="143">
        <f>BL1589-BK1589</f>
        <v>0</v>
      </c>
      <c r="BO1589">
        <f>BN1589</f>
        <v>0</v>
      </c>
      <c r="BP1589" t="s">
        <v>232</v>
      </c>
      <c r="BR1589" t="s">
        <v>4324</v>
      </c>
      <c r="BS1589">
        <v>-26</v>
      </c>
      <c r="BT1589">
        <v>910</v>
      </c>
      <c r="BU1589" s="144">
        <f>IFERROR(BT1589/BS1589,"")</f>
        <v>-35</v>
      </c>
      <c r="BV1589" s="144">
        <f>BT1589-BS1589</f>
        <v>936</v>
      </c>
      <c r="BW1589" s="144"/>
      <c r="BX1589">
        <f>BV1589/1000</f>
        <v>0.93600000000000005</v>
      </c>
      <c r="BY1589" t="str">
        <f>IFERROR(BX1589/BO1589,"")</f>
        <v/>
      </c>
      <c r="BZ1589">
        <v>0</v>
      </c>
      <c r="CA1589">
        <v>0</v>
      </c>
      <c r="CB1589">
        <v>0</v>
      </c>
      <c r="CC1589">
        <v>0</v>
      </c>
      <c r="CD1589">
        <v>0</v>
      </c>
      <c r="CE1589">
        <v>0</v>
      </c>
      <c r="CF1589">
        <v>0</v>
      </c>
      <c r="CG1589">
        <v>0</v>
      </c>
      <c r="CH1589">
        <v>0</v>
      </c>
      <c r="CI1589">
        <v>0</v>
      </c>
      <c r="CJ1589">
        <v>0</v>
      </c>
      <c r="CK1589">
        <v>0</v>
      </c>
      <c r="CL1589">
        <v>0</v>
      </c>
      <c r="CM1589">
        <v>0</v>
      </c>
      <c r="CN1589" t="str">
        <f>IF(BL1589&lt;BK1589,"refNeedCorrection","refOK")</f>
        <v>refOK</v>
      </c>
      <c r="CO1589"/>
      <c r="CP1589"/>
      <c r="CQ1589"/>
      <c r="CR1589">
        <f>IF($CN1589="refOK",$BS1589,$BT1589)*IF($BP1589="Emissions positive",-1,1)</f>
        <v>-26</v>
      </c>
      <c r="CS1589">
        <f>IF($CN1589="refOK",$BT1589,$BS1589)*IF($BP1589="Emissions positive",-1,1)</f>
        <v>910</v>
      </c>
      <c r="CT1589">
        <f>IF($CN1589="refNeedCorrection",-BX1589,BX1589)*IF($BP1589="Emissions positive",-1,1)</f>
        <v>0.93600000000000005</v>
      </c>
      <c r="CU1589" t="str">
        <f>IFERROR(CT1589/CQ1589,"")</f>
        <v/>
      </c>
      <c r="CV1589" s="2">
        <f>IFERROR((CS1589-CR1589)/ABS(CR1589),"")</f>
        <v>36</v>
      </c>
      <c r="CW1589" s="1" t="s">
        <v>263</v>
      </c>
      <c r="CX1589" s="312" t="str">
        <f>IF(OR($CW1589="prd",$CW1589="std",$CW1589="cit"),"loc",IF(OR($CW1589="eur",$CW1589="reg",$CW1589="coy"),"reg",$CW1589))</f>
        <v>loc</v>
      </c>
      <c r="CY1589" t="s">
        <v>3494</v>
      </c>
      <c r="DB1589">
        <f>DA1589-CZ1589</f>
        <v>0</v>
      </c>
      <c r="DC1589" t="str">
        <f>IF(DB1589=0,"0",IF(AND(DB1589&gt;=1,DB1589&lt;=30),"1-30",IF(AND(DB1589&gt;30,DB1589&lt;=70),"31-70",IF(AND(DB1589&gt;70,DB1589&lt;=100),"71-100",IF(DB1589&gt;100,"+100")))))</f>
        <v>0</v>
      </c>
      <c r="DD1589">
        <v>0</v>
      </c>
      <c r="DE1589">
        <v>0</v>
      </c>
      <c r="DF1589">
        <v>0</v>
      </c>
      <c r="DG1589">
        <v>1</v>
      </c>
      <c r="DH1589">
        <v>0</v>
      </c>
      <c r="DI1589">
        <f>SUM(DD1589:DG1589)</f>
        <v>1</v>
      </c>
      <c r="DJ1589" t="str">
        <f>IF(DI1589=1,INDEX($DD$7:$DG$7,MATCH(1,$DD1589:$DG1589,0)),"mixedProduct")</f>
        <v>TimberInput</v>
      </c>
      <c r="DK1589">
        <f>IF(DD1589=1,DK$7,0)</f>
        <v>0</v>
      </c>
      <c r="DL1589">
        <f>IF(DE1589=1,DL$7,0)</f>
        <v>0</v>
      </c>
      <c r="DM1589">
        <f>IF(DF1589=1,DM$7,0)</f>
        <v>0</v>
      </c>
      <c r="DN1589" t="str">
        <f>IF(DG1589=1,DN$7,0)</f>
        <v>Timber</v>
      </c>
      <c r="DO1589">
        <v>1</v>
      </c>
      <c r="DP1589">
        <v>0</v>
      </c>
      <c r="DQ1589">
        <v>0</v>
      </c>
      <c r="DR1589">
        <v>0</v>
      </c>
      <c r="DS1589">
        <v>0</v>
      </c>
      <c r="DT1589">
        <f>SUM(DO1589:DP1589)</f>
        <v>1</v>
      </c>
      <c r="DU1589" s="143" t="str">
        <f>IF(DO1589=1,"self-calculated DF",IF(DP1589=1,"external DF used","explicit C balance"))</f>
        <v>self-calculated DF</v>
      </c>
      <c r="DV1589">
        <v>0</v>
      </c>
      <c r="DW1589">
        <v>0</v>
      </c>
      <c r="DX1589">
        <v>1</v>
      </c>
      <c r="DY1589">
        <v>0</v>
      </c>
      <c r="DZ1589">
        <v>1</v>
      </c>
      <c r="EA1589">
        <v>1</v>
      </c>
      <c r="EB1589">
        <v>1</v>
      </c>
      <c r="EC1589">
        <v>1</v>
      </c>
      <c r="ED1589">
        <v>0</v>
      </c>
      <c r="EE1589">
        <v>0</v>
      </c>
      <c r="EF1589">
        <v>0</v>
      </c>
      <c r="EG1589">
        <v>0</v>
      </c>
      <c r="EH1589">
        <v>0</v>
      </c>
      <c r="EI1589" s="2">
        <v>0</v>
      </c>
      <c r="EK1589" t="str">
        <f>IF(AND(AND(AND(OR($DX1589=1,$DW1589=1),OR($EC1589=1,$EA1589=1)),SUM($DV1589:$DZ1589,$EF1589)&gt;=3),SUM($EA1589:$EE1589)&gt;=2),"Whole sector","")</f>
        <v/>
      </c>
      <c r="EL1589" t="str">
        <f>IF(AND(AND(OR($DX1589=1,$DW1589=1),AND($EC1589=0,$EA1589=0)),SUM($DV1589:$DZ1589,$EF1589)&gt;=3),"Ecosystem approach","")</f>
        <v/>
      </c>
      <c r="EM1589" s="2" t="str">
        <f>IF(AND(AND(AND($DX1589=0,$DW1589=0),OR($EC1589=1,$EA1589=1)),SUM($EB1589:$EE1589)&gt;=2),"Technology approach","")</f>
        <v/>
      </c>
      <c r="EN1589" t="s">
        <v>4325</v>
      </c>
      <c r="EP1589" t="b">
        <f>IF(ISNUMBER(BU1589),IF(ABS(BU1589-[5]QC_indicators!$B$2)&gt;3*[5]QC_indicators!$C$2,"C ratio",IF(ISNUMBER(BY1589),IF(ABS(BY1589-[5]QC_indicators!$B$1)&gt;3*[5]QC_indicators!$C$1,"DF","no"))),IF(ISNUMBER(BY1589),IF(ABS(BY1589-[5]QC_indicators!$B$1)&gt;3*[5]QC_indicators!$C$1,"DF","no")))</f>
        <v>0</v>
      </c>
      <c r="EQ1589" s="149" t="s">
        <v>4329</v>
      </c>
    </row>
    <row r="1590" spans="1:147">
      <c r="A1590" s="1" t="s">
        <v>4313</v>
      </c>
      <c r="B1590" t="s">
        <v>4314</v>
      </c>
      <c r="C1590" t="s">
        <v>4315</v>
      </c>
      <c r="D1590" t="s">
        <v>4316</v>
      </c>
      <c r="E1590" t="s">
        <v>4317</v>
      </c>
      <c r="F1590" t="s">
        <v>4318</v>
      </c>
      <c r="G1590" t="s">
        <v>4319</v>
      </c>
      <c r="H1590" t="s">
        <v>254</v>
      </c>
      <c r="I1590">
        <v>2011</v>
      </c>
      <c r="J1590">
        <v>7</v>
      </c>
      <c r="K1590" t="s">
        <v>4320</v>
      </c>
      <c r="M1590" t="str">
        <f>LEFT($D1590,FIND(",",$D1590)-1)&amp;"_"&amp;I1590&amp;L1590</f>
        <v>Weight_2011</v>
      </c>
      <c r="N1590" s="312" t="s">
        <v>4383</v>
      </c>
      <c r="O1590" s="145" t="s">
        <v>1154</v>
      </c>
      <c r="Q1590" s="312" t="s">
        <v>256</v>
      </c>
      <c r="R1590" s="313"/>
      <c r="S1590" s="1" t="s">
        <v>4332</v>
      </c>
      <c r="T1590" t="s">
        <v>4327</v>
      </c>
      <c r="U1590" t="s">
        <v>4333</v>
      </c>
      <c r="V1590">
        <v>0</v>
      </c>
      <c r="W1590">
        <v>0</v>
      </c>
      <c r="X1590">
        <v>0</v>
      </c>
      <c r="Y1590">
        <v>0</v>
      </c>
      <c r="Z1590">
        <v>0</v>
      </c>
      <c r="AA1590">
        <v>0</v>
      </c>
      <c r="AB1590">
        <v>0</v>
      </c>
      <c r="AC1590">
        <v>0</v>
      </c>
      <c r="AD1590">
        <v>0</v>
      </c>
      <c r="AE1590">
        <v>0</v>
      </c>
      <c r="AF1590">
        <v>0</v>
      </c>
      <c r="AG1590">
        <v>0</v>
      </c>
      <c r="AH1590">
        <v>1</v>
      </c>
      <c r="AI1590">
        <v>0</v>
      </c>
      <c r="AJ1590">
        <v>0</v>
      </c>
      <c r="AK1590">
        <v>0</v>
      </c>
      <c r="AL1590">
        <v>0</v>
      </c>
      <c r="AM1590">
        <v>0</v>
      </c>
      <c r="AN1590">
        <v>0</v>
      </c>
      <c r="AO1590">
        <v>0</v>
      </c>
      <c r="AP1590">
        <v>0</v>
      </c>
      <c r="AQ1590">
        <v>0</v>
      </c>
      <c r="AR1590">
        <v>0</v>
      </c>
      <c r="AS1590">
        <v>0</v>
      </c>
      <c r="AT1590">
        <v>0</v>
      </c>
      <c r="AU1590">
        <v>0</v>
      </c>
      <c r="AV1590">
        <v>0</v>
      </c>
      <c r="AW1590">
        <v>0</v>
      </c>
      <c r="AX1590" s="141">
        <f>COUNTIF(V1590:AW1590,"&lt;&gt;0")</f>
        <v>1</v>
      </c>
      <c r="AY1590" s="141">
        <f>COUNTIF(V1590:AL1590,"&lt;&gt;0")</f>
        <v>1</v>
      </c>
      <c r="AZ1590">
        <f>COUNTIF(V1590:AC1590,"&lt;&gt;0")</f>
        <v>0</v>
      </c>
      <c r="BA1590">
        <f>COUNTIF(AD1590:AI1590,"&lt;&gt;0")</f>
        <v>1</v>
      </c>
      <c r="BB1590">
        <f>COUNTIF(AJ1590:AL1590,"&lt;&gt;0")</f>
        <v>0</v>
      </c>
      <c r="BC1590">
        <f>COUNTIF(AS1590:AW1590,"&lt;&gt;0")</f>
        <v>0</v>
      </c>
      <c r="BD1590">
        <f>COUNTIF(AM1590:AR1590,"&lt;&gt;0")</f>
        <v>0</v>
      </c>
      <c r="BE1590" t="str" cm="1">
        <f t="array" ref="BE1590">IF(AY1590=1,INDEX($V$7:$AL$7,MATCH(TRUE,INDEX($V1590:$AW1590&lt;&gt;0,),0)),IF(AY1590=0,INDEX($AM$7:$AW$7,MATCH(1,$AM1590:$AW1590,0)),IF(BF1590="Multiple strategies","mixed drivers",IF(BF1590="Supply chain","multiple supply","multiple silviculture"))))</f>
        <v xml:space="preserve">end of life disposal </v>
      </c>
      <c r="BF1590" s="2" t="str" cm="1">
        <f t="array" ref="BF1590">IF(COUNTIF(AZ1590:BB1590,"&lt;&gt;0")=1,INDEX($V$4:$AW$4,MATCH(TRUE,INDEX($V1590:$AW1590&lt;&gt;0,),0)),IF(COUNTIF(AZ1590:BB1590,"&lt;&gt;0")=0,INDEX($AM$4:$AW$4,MATCH(1,$AM1590:$AW1590,0)),"Multiple strategies"))</f>
        <v>Supply chain</v>
      </c>
      <c r="BM1590" s="143"/>
      <c r="BN1590" s="143">
        <f>BL1590-BK1590</f>
        <v>0</v>
      </c>
      <c r="BO1590">
        <f>BN1590</f>
        <v>0</v>
      </c>
      <c r="BP1590" t="s">
        <v>232</v>
      </c>
      <c r="BR1590" t="s">
        <v>4324</v>
      </c>
      <c r="BS1590">
        <v>-1076</v>
      </c>
      <c r="BT1590">
        <v>-138</v>
      </c>
      <c r="BU1590" s="144">
        <f>IFERROR(BT1590/BS1590,"")</f>
        <v>0.12825278810408922</v>
      </c>
      <c r="BV1590" s="144">
        <f>BT1590-BS1590</f>
        <v>938</v>
      </c>
      <c r="BW1590" s="144"/>
      <c r="BX1590">
        <f>BV1590/1000</f>
        <v>0.93799999999999994</v>
      </c>
      <c r="BY1590" t="str">
        <f>IFERROR(BX1590/BO1590,"")</f>
        <v/>
      </c>
      <c r="BZ1590">
        <v>0</v>
      </c>
      <c r="CA1590">
        <v>0</v>
      </c>
      <c r="CB1590">
        <v>0</v>
      </c>
      <c r="CC1590">
        <v>0</v>
      </c>
      <c r="CD1590">
        <v>0</v>
      </c>
      <c r="CE1590">
        <v>0</v>
      </c>
      <c r="CF1590">
        <v>0</v>
      </c>
      <c r="CG1590">
        <v>0</v>
      </c>
      <c r="CH1590">
        <v>0</v>
      </c>
      <c r="CI1590">
        <v>0</v>
      </c>
      <c r="CJ1590">
        <v>0</v>
      </c>
      <c r="CK1590">
        <v>0</v>
      </c>
      <c r="CL1590">
        <v>0</v>
      </c>
      <c r="CM1590">
        <v>0</v>
      </c>
      <c r="CN1590" t="str">
        <f>IF(BL1590&lt;BK1590,"refNeedCorrection","refOK")</f>
        <v>refOK</v>
      </c>
      <c r="CO1590"/>
      <c r="CP1590"/>
      <c r="CQ1590"/>
      <c r="CR1590">
        <f>IF($CN1590="refOK",$BS1590,$BT1590)*IF($BP1590="Emissions positive",-1,1)</f>
        <v>-1076</v>
      </c>
      <c r="CS1590">
        <f>IF($CN1590="refOK",$BT1590,$BS1590)*IF($BP1590="Emissions positive",-1,1)</f>
        <v>-138</v>
      </c>
      <c r="CT1590">
        <f>IF($CN1590="refNeedCorrection",-BX1590,BX1590)*IF($BP1590="Emissions positive",-1,1)</f>
        <v>0.93799999999999994</v>
      </c>
      <c r="CU1590" t="str">
        <f>IFERROR(CT1590/CQ1590,"")</f>
        <v/>
      </c>
      <c r="CV1590" s="2">
        <f>IFERROR((CS1590-CR1590)/ABS(CR1590),"")</f>
        <v>0.87174721189591076</v>
      </c>
      <c r="CW1590" s="1" t="s">
        <v>263</v>
      </c>
      <c r="CX1590" s="312" t="str">
        <f>IF(OR($CW1590="prd",$CW1590="std",$CW1590="cit"),"loc",IF(OR($CW1590="eur",$CW1590="reg",$CW1590="coy"),"reg",$CW1590))</f>
        <v>loc</v>
      </c>
      <c r="CY1590" t="s">
        <v>3494</v>
      </c>
      <c r="DB1590">
        <f>DA1590-CZ1590</f>
        <v>0</v>
      </c>
      <c r="DC1590" t="str">
        <f>IF(DB1590=0,"0",IF(AND(DB1590&gt;=1,DB1590&lt;=30),"1-30",IF(AND(DB1590&gt;30,DB1590&lt;=70),"31-70",IF(AND(DB1590&gt;70,DB1590&lt;=100),"71-100",IF(DB1590&gt;100,"+100")))))</f>
        <v>0</v>
      </c>
      <c r="DD1590">
        <v>0</v>
      </c>
      <c r="DE1590">
        <v>0</v>
      </c>
      <c r="DF1590">
        <v>0</v>
      </c>
      <c r="DG1590">
        <v>1</v>
      </c>
      <c r="DH1590">
        <v>0</v>
      </c>
      <c r="DI1590">
        <f>SUM(DD1590:DG1590)</f>
        <v>1</v>
      </c>
      <c r="DJ1590" t="str">
        <f>IF(DI1590=1,INDEX($DD$7:$DG$7,MATCH(1,$DD1590:$DG1590,0)),"mixedProduct")</f>
        <v>TimberInput</v>
      </c>
      <c r="DK1590">
        <f>IF(DD1590=1,DK$7,0)</f>
        <v>0</v>
      </c>
      <c r="DL1590">
        <f>IF(DE1590=1,DL$7,0)</f>
        <v>0</v>
      </c>
      <c r="DM1590">
        <f>IF(DF1590=1,DM$7,0)</f>
        <v>0</v>
      </c>
      <c r="DN1590" t="str">
        <f>IF(DG1590=1,DN$7,0)</f>
        <v>Timber</v>
      </c>
      <c r="DO1590">
        <v>1</v>
      </c>
      <c r="DP1590">
        <v>0</v>
      </c>
      <c r="DQ1590">
        <v>0</v>
      </c>
      <c r="DR1590">
        <v>0</v>
      </c>
      <c r="DS1590">
        <v>0</v>
      </c>
      <c r="DT1590">
        <f>SUM(DO1590:DP1590)</f>
        <v>1</v>
      </c>
      <c r="DU1590" s="143" t="str">
        <f>IF(DO1590=1,"self-calculated DF",IF(DP1590=1,"external DF used","explicit C balance"))</f>
        <v>self-calculated DF</v>
      </c>
      <c r="DV1590">
        <v>0</v>
      </c>
      <c r="DW1590">
        <v>0</v>
      </c>
      <c r="DX1590">
        <v>0</v>
      </c>
      <c r="DY1590">
        <v>0</v>
      </c>
      <c r="DZ1590">
        <v>1</v>
      </c>
      <c r="EA1590">
        <v>1</v>
      </c>
      <c r="EB1590">
        <v>0</v>
      </c>
      <c r="EC1590">
        <v>0</v>
      </c>
      <c r="ED1590">
        <v>0</v>
      </c>
      <c r="EE1590">
        <v>0</v>
      </c>
      <c r="EF1590">
        <v>0</v>
      </c>
      <c r="EG1590">
        <v>0</v>
      </c>
      <c r="EH1590">
        <v>0</v>
      </c>
      <c r="EI1590" s="2">
        <v>0</v>
      </c>
      <c r="EK1590" t="str">
        <f>IF(AND(AND(AND(OR($DX1590=1,$DW1590=1),OR($EC1590=1,$EA1590=1)),SUM($DV1590:$DZ1590,$EF1590)&gt;=3),SUM($EA1590:$EE1590)&gt;=2),"Whole sector","")</f>
        <v/>
      </c>
      <c r="EL1590" t="str">
        <f>IF(AND(AND(OR($DX1590=1,$DW1590=1),AND($EC1590=0,$EA1590=0)),SUM($DV1590:$DZ1590,$EF1590)&gt;=3),"Ecosystem approach","")</f>
        <v/>
      </c>
      <c r="EM1590" s="2" t="str">
        <f>IF(AND(AND(AND($DX1590=0,$DW1590=0),OR($EC1590=1,$EA1590=1)),SUM($EB1590:$EE1590)&gt;=2),"Technology approach","")</f>
        <v/>
      </c>
      <c r="EN1590" t="s">
        <v>4325</v>
      </c>
      <c r="EP1590" t="b">
        <f>IF(ISNUMBER(BU1590),IF(ABS(BU1590-[5]QC_indicators!$B$2)&gt;3*[5]QC_indicators!$C$2,"C ratio",IF(ISNUMBER(BY1590),IF(ABS(BY1590-[5]QC_indicators!$B$1)&gt;3*[5]QC_indicators!$C$1,"DF","no"))),IF(ISNUMBER(BY1590),IF(ABS(BY1590-[5]QC_indicators!$B$1)&gt;3*[5]QC_indicators!$C$1,"DF","no")))</f>
        <v>0</v>
      </c>
    </row>
    <row r="1591" spans="1:147">
      <c r="A1591" s="1" t="s">
        <v>4313</v>
      </c>
      <c r="B1591" t="s">
        <v>4314</v>
      </c>
      <c r="C1591" t="s">
        <v>4315</v>
      </c>
      <c r="D1591" t="s">
        <v>4316</v>
      </c>
      <c r="E1591" t="s">
        <v>4317</v>
      </c>
      <c r="F1591" t="s">
        <v>4318</v>
      </c>
      <c r="G1591" t="s">
        <v>4319</v>
      </c>
      <c r="H1591" t="s">
        <v>254</v>
      </c>
      <c r="I1591">
        <v>2011</v>
      </c>
      <c r="J1591">
        <v>7</v>
      </c>
      <c r="K1591" t="s">
        <v>4320</v>
      </c>
      <c r="M1591" t="str">
        <f>LEFT($D1591,FIND(",",$D1591)-1)&amp;"_"&amp;I1591&amp;L1591</f>
        <v>Weight_2011</v>
      </c>
      <c r="N1591" s="312" t="s">
        <v>4383</v>
      </c>
      <c r="O1591" s="145" t="s">
        <v>1154</v>
      </c>
      <c r="Q1591" s="312" t="s">
        <v>256</v>
      </c>
      <c r="R1591" s="313"/>
      <c r="S1591" s="1" t="s">
        <v>4332</v>
      </c>
      <c r="T1591" t="s">
        <v>4327</v>
      </c>
      <c r="U1591" t="s">
        <v>4333</v>
      </c>
      <c r="V1591">
        <v>0</v>
      </c>
      <c r="W1591">
        <v>0</v>
      </c>
      <c r="X1591">
        <v>0</v>
      </c>
      <c r="Y1591">
        <v>0</v>
      </c>
      <c r="Z1591">
        <v>0</v>
      </c>
      <c r="AA1591">
        <v>0</v>
      </c>
      <c r="AB1591">
        <v>0</v>
      </c>
      <c r="AC1591">
        <v>0</v>
      </c>
      <c r="AD1591">
        <v>0</v>
      </c>
      <c r="AE1591">
        <v>0</v>
      </c>
      <c r="AF1591">
        <v>0</v>
      </c>
      <c r="AG1591">
        <v>0</v>
      </c>
      <c r="AH1591">
        <v>1</v>
      </c>
      <c r="AI1591">
        <v>0</v>
      </c>
      <c r="AJ1591">
        <v>0</v>
      </c>
      <c r="AK1591">
        <v>0</v>
      </c>
      <c r="AL1591">
        <v>0</v>
      </c>
      <c r="AM1591">
        <v>0</v>
      </c>
      <c r="AN1591">
        <v>0</v>
      </c>
      <c r="AO1591">
        <v>0</v>
      </c>
      <c r="AP1591">
        <v>0</v>
      </c>
      <c r="AQ1591">
        <v>0</v>
      </c>
      <c r="AR1591">
        <v>0</v>
      </c>
      <c r="AS1591">
        <v>0</v>
      </c>
      <c r="AT1591">
        <v>0</v>
      </c>
      <c r="AU1591">
        <v>0</v>
      </c>
      <c r="AV1591">
        <v>0</v>
      </c>
      <c r="AW1591">
        <v>0</v>
      </c>
      <c r="AX1591" s="141">
        <f>COUNTIF(V1591:AW1591,"&lt;&gt;0")</f>
        <v>1</v>
      </c>
      <c r="AY1591" s="141">
        <f>COUNTIF(V1591:AL1591,"&lt;&gt;0")</f>
        <v>1</v>
      </c>
      <c r="AZ1591">
        <f>COUNTIF(V1591:AC1591,"&lt;&gt;0")</f>
        <v>0</v>
      </c>
      <c r="BA1591">
        <f>COUNTIF(AD1591:AI1591,"&lt;&gt;0")</f>
        <v>1</v>
      </c>
      <c r="BB1591">
        <f>COUNTIF(AJ1591:AL1591,"&lt;&gt;0")</f>
        <v>0</v>
      </c>
      <c r="BC1591">
        <f>COUNTIF(AS1591:AW1591,"&lt;&gt;0")</f>
        <v>0</v>
      </c>
      <c r="BD1591">
        <f>COUNTIF(AM1591:AR1591,"&lt;&gt;0")</f>
        <v>0</v>
      </c>
      <c r="BE1591" t="str" cm="1">
        <f t="array" ref="BE1591">IF(AY1591=1,INDEX($V$7:$AL$7,MATCH(TRUE,INDEX($V1591:$AW1591&lt;&gt;0,),0)),IF(AY1591=0,INDEX($AM$7:$AW$7,MATCH(1,$AM1591:$AW1591,0)),IF(BF1591="Multiple strategies","mixed drivers",IF(BF1591="Supply chain","multiple supply","multiple silviculture"))))</f>
        <v xml:space="preserve">end of life disposal </v>
      </c>
      <c r="BF1591" s="2" t="str" cm="1">
        <f t="array" ref="BF1591">IF(COUNTIF(AZ1591:BB1591,"&lt;&gt;0")=1,INDEX($V$4:$AW$4,MATCH(TRUE,INDEX($V1591:$AW1591&lt;&gt;0,),0)),IF(COUNTIF(AZ1591:BB1591,"&lt;&gt;0")=0,INDEX($AM$4:$AW$4,MATCH(1,$AM1591:$AW1591,0)),"Multiple strategies"))</f>
        <v>Supply chain</v>
      </c>
      <c r="BM1591" s="143"/>
      <c r="BN1591" s="143">
        <f>BL1591-BK1591</f>
        <v>0</v>
      </c>
      <c r="BO1591">
        <f>BN1591</f>
        <v>0</v>
      </c>
      <c r="BP1591" t="s">
        <v>232</v>
      </c>
      <c r="BR1591" t="s">
        <v>4324</v>
      </c>
      <c r="BS1591">
        <v>-1269</v>
      </c>
      <c r="BT1591">
        <v>-333</v>
      </c>
      <c r="BU1591" s="144">
        <f>IFERROR(BT1591/BS1591,"")</f>
        <v>0.26241134751773049</v>
      </c>
      <c r="BV1591" s="144">
        <f>BT1591-BS1591</f>
        <v>936</v>
      </c>
      <c r="BW1591" s="144"/>
      <c r="BX1591">
        <f>BV1591/1000</f>
        <v>0.93600000000000005</v>
      </c>
      <c r="BY1591" t="str">
        <f>IFERROR(BX1591/BO1591,"")</f>
        <v/>
      </c>
      <c r="BZ1591">
        <v>0</v>
      </c>
      <c r="CA1591">
        <v>0</v>
      </c>
      <c r="CB1591">
        <v>0</v>
      </c>
      <c r="CC1591">
        <v>0</v>
      </c>
      <c r="CD1591">
        <v>0</v>
      </c>
      <c r="CE1591">
        <v>0</v>
      </c>
      <c r="CF1591">
        <v>0</v>
      </c>
      <c r="CG1591">
        <v>0</v>
      </c>
      <c r="CH1591">
        <v>0</v>
      </c>
      <c r="CI1591">
        <v>0</v>
      </c>
      <c r="CJ1591">
        <v>0</v>
      </c>
      <c r="CK1591">
        <v>0</v>
      </c>
      <c r="CL1591">
        <v>0</v>
      </c>
      <c r="CM1591">
        <v>0</v>
      </c>
      <c r="CN1591" t="str">
        <f>IF(BL1591&lt;BK1591,"refNeedCorrection","refOK")</f>
        <v>refOK</v>
      </c>
      <c r="CO1591"/>
      <c r="CP1591"/>
      <c r="CQ1591"/>
      <c r="CR1591">
        <f>IF($CN1591="refOK",$BS1591,$BT1591)*IF($BP1591="Emissions positive",-1,1)</f>
        <v>-1269</v>
      </c>
      <c r="CS1591">
        <f>IF($CN1591="refOK",$BT1591,$BS1591)*IF($BP1591="Emissions positive",-1,1)</f>
        <v>-333</v>
      </c>
      <c r="CT1591">
        <f>IF($CN1591="refNeedCorrection",-BX1591,BX1591)*IF($BP1591="Emissions positive",-1,1)</f>
        <v>0.93600000000000005</v>
      </c>
      <c r="CU1591" t="str">
        <f>IFERROR(CT1591/CQ1591,"")</f>
        <v/>
      </c>
      <c r="CV1591" s="2">
        <f>IFERROR((CS1591-CR1591)/ABS(CR1591),"")</f>
        <v>0.73758865248226946</v>
      </c>
      <c r="CW1591" s="1" t="s">
        <v>263</v>
      </c>
      <c r="CX1591" s="312" t="str">
        <f>IF(OR($CW1591="prd",$CW1591="std",$CW1591="cit"),"loc",IF(OR($CW1591="eur",$CW1591="reg",$CW1591="coy"),"reg",$CW1591))</f>
        <v>loc</v>
      </c>
      <c r="CY1591" t="s">
        <v>3494</v>
      </c>
      <c r="DB1591">
        <f>DA1591-CZ1591</f>
        <v>0</v>
      </c>
      <c r="DC1591" t="str">
        <f>IF(DB1591=0,"0",IF(AND(DB1591&gt;=1,DB1591&lt;=30),"1-30",IF(AND(DB1591&gt;30,DB1591&lt;=70),"31-70",IF(AND(DB1591&gt;70,DB1591&lt;=100),"71-100",IF(DB1591&gt;100,"+100")))))</f>
        <v>0</v>
      </c>
      <c r="DD1591">
        <v>0</v>
      </c>
      <c r="DE1591">
        <v>0</v>
      </c>
      <c r="DF1591">
        <v>0</v>
      </c>
      <c r="DG1591">
        <v>1</v>
      </c>
      <c r="DH1591">
        <v>0</v>
      </c>
      <c r="DI1591">
        <f>SUM(DD1591:DG1591)</f>
        <v>1</v>
      </c>
      <c r="DJ1591" t="str">
        <f>IF(DI1591=1,INDEX($DD$7:$DG$7,MATCH(1,$DD1591:$DG1591,0)),"mixedProduct")</f>
        <v>TimberInput</v>
      </c>
      <c r="DK1591">
        <f>IF(DD1591=1,DK$7,0)</f>
        <v>0</v>
      </c>
      <c r="DL1591">
        <f>IF(DE1591=1,DL$7,0)</f>
        <v>0</v>
      </c>
      <c r="DM1591">
        <f>IF(DF1591=1,DM$7,0)</f>
        <v>0</v>
      </c>
      <c r="DN1591" t="str">
        <f>IF(DG1591=1,DN$7,0)</f>
        <v>Timber</v>
      </c>
      <c r="DO1591">
        <v>1</v>
      </c>
      <c r="DP1591">
        <v>0</v>
      </c>
      <c r="DQ1591">
        <v>0</v>
      </c>
      <c r="DR1591">
        <v>0</v>
      </c>
      <c r="DS1591">
        <v>0</v>
      </c>
      <c r="DT1591">
        <f>SUM(DO1591:DP1591)</f>
        <v>1</v>
      </c>
      <c r="DU1591" s="143" t="str">
        <f>IF(DO1591=1,"self-calculated DF",IF(DP1591=1,"external DF used","explicit C balance"))</f>
        <v>self-calculated DF</v>
      </c>
      <c r="DV1591">
        <v>0</v>
      </c>
      <c r="DW1591">
        <v>0</v>
      </c>
      <c r="DX1591">
        <v>0</v>
      </c>
      <c r="DY1591">
        <v>0</v>
      </c>
      <c r="DZ1591">
        <v>1</v>
      </c>
      <c r="EA1591">
        <v>1</v>
      </c>
      <c r="EB1591">
        <v>0</v>
      </c>
      <c r="EC1591">
        <v>1</v>
      </c>
      <c r="ED1591">
        <v>0</v>
      </c>
      <c r="EE1591">
        <v>0</v>
      </c>
      <c r="EF1591">
        <v>0</v>
      </c>
      <c r="EG1591">
        <v>0</v>
      </c>
      <c r="EH1591">
        <v>0</v>
      </c>
      <c r="EI1591" s="2">
        <v>0</v>
      </c>
      <c r="EK1591" t="str">
        <f>IF(AND(AND(AND(OR($DX1591=1,$DW1591=1),OR($EC1591=1,$EA1591=1)),SUM($DV1591:$DZ1591,$EF1591)&gt;=3),SUM($EA1591:$EE1591)&gt;=2),"Whole sector","")</f>
        <v/>
      </c>
      <c r="EL1591" t="str">
        <f>IF(AND(AND(OR($DX1591=1,$DW1591=1),AND($EC1591=0,$EA1591=0)),SUM($DV1591:$DZ1591,$EF1591)&gt;=3),"Ecosystem approach","")</f>
        <v/>
      </c>
      <c r="EM1591" s="2" t="str">
        <f>IF(AND(AND(AND($DX1591=0,$DW1591=0),OR($EC1591=1,$EA1591=1)),SUM($EB1591:$EE1591)&gt;=2),"Technology approach","")</f>
        <v/>
      </c>
      <c r="EN1591" t="s">
        <v>4325</v>
      </c>
      <c r="EP1591" t="b">
        <f>IF(ISNUMBER(BU1591),IF(ABS(BU1591-[5]QC_indicators!$B$2)&gt;3*[5]QC_indicators!$C$2,"C ratio",IF(ISNUMBER(BY1591),IF(ABS(BY1591-[5]QC_indicators!$B$1)&gt;3*[5]QC_indicators!$C$1,"DF","no"))),IF(ISNUMBER(BY1591),IF(ABS(BY1591-[5]QC_indicators!$B$1)&gt;3*[5]QC_indicators!$C$1,"DF","no")))</f>
        <v>0</v>
      </c>
    </row>
    <row r="1592" spans="1:147">
      <c r="A1592" s="1" t="s">
        <v>4313</v>
      </c>
      <c r="B1592" t="s">
        <v>4314</v>
      </c>
      <c r="C1592" t="s">
        <v>4315</v>
      </c>
      <c r="D1592" t="s">
        <v>4316</v>
      </c>
      <c r="E1592" t="s">
        <v>4317</v>
      </c>
      <c r="F1592" t="s">
        <v>4318</v>
      </c>
      <c r="G1592" t="s">
        <v>4319</v>
      </c>
      <c r="H1592" t="s">
        <v>254</v>
      </c>
      <c r="I1592">
        <v>2011</v>
      </c>
      <c r="J1592">
        <v>7</v>
      </c>
      <c r="K1592" t="s">
        <v>4320</v>
      </c>
      <c r="M1592" t="str">
        <f>LEFT($D1592,FIND(",",$D1592)-1)&amp;"_"&amp;I1592&amp;L1592</f>
        <v>Weight_2011</v>
      </c>
      <c r="N1592" s="312" t="s">
        <v>4383</v>
      </c>
      <c r="O1592" s="145" t="s">
        <v>1154</v>
      </c>
      <c r="Q1592" s="312" t="s">
        <v>256</v>
      </c>
      <c r="R1592" s="313"/>
      <c r="S1592" s="1" t="s">
        <v>4332</v>
      </c>
      <c r="T1592" t="s">
        <v>4327</v>
      </c>
      <c r="U1592" t="s">
        <v>4333</v>
      </c>
      <c r="V1592">
        <v>0</v>
      </c>
      <c r="W1592">
        <v>0</v>
      </c>
      <c r="X1592">
        <v>0</v>
      </c>
      <c r="Y1592">
        <v>0</v>
      </c>
      <c r="Z1592">
        <v>0</v>
      </c>
      <c r="AA1592">
        <v>0</v>
      </c>
      <c r="AB1592">
        <v>0</v>
      </c>
      <c r="AC1592">
        <v>0</v>
      </c>
      <c r="AD1592">
        <v>0</v>
      </c>
      <c r="AE1592">
        <v>0</v>
      </c>
      <c r="AF1592">
        <v>0</v>
      </c>
      <c r="AG1592">
        <v>0</v>
      </c>
      <c r="AH1592">
        <v>1</v>
      </c>
      <c r="AI1592">
        <v>0</v>
      </c>
      <c r="AJ1592">
        <v>0</v>
      </c>
      <c r="AK1592">
        <v>0</v>
      </c>
      <c r="AL1592">
        <v>0</v>
      </c>
      <c r="AM1592">
        <v>0</v>
      </c>
      <c r="AN1592">
        <v>0</v>
      </c>
      <c r="AO1592">
        <v>0</v>
      </c>
      <c r="AP1592">
        <v>0</v>
      </c>
      <c r="AQ1592">
        <v>0</v>
      </c>
      <c r="AR1592">
        <v>0</v>
      </c>
      <c r="AS1592">
        <v>0</v>
      </c>
      <c r="AT1592">
        <v>0</v>
      </c>
      <c r="AU1592">
        <v>0</v>
      </c>
      <c r="AV1592">
        <v>0</v>
      </c>
      <c r="AW1592">
        <v>0</v>
      </c>
      <c r="AX1592" s="141">
        <f>COUNTIF(V1592:AW1592,"&lt;&gt;0")</f>
        <v>1</v>
      </c>
      <c r="AY1592" s="141">
        <f>COUNTIF(V1592:AL1592,"&lt;&gt;0")</f>
        <v>1</v>
      </c>
      <c r="AZ1592">
        <f>COUNTIF(V1592:AC1592,"&lt;&gt;0")</f>
        <v>0</v>
      </c>
      <c r="BA1592">
        <f>COUNTIF(AD1592:AI1592,"&lt;&gt;0")</f>
        <v>1</v>
      </c>
      <c r="BB1592">
        <f>COUNTIF(AJ1592:AL1592,"&lt;&gt;0")</f>
        <v>0</v>
      </c>
      <c r="BC1592">
        <f>COUNTIF(AS1592:AW1592,"&lt;&gt;0")</f>
        <v>0</v>
      </c>
      <c r="BD1592">
        <f>COUNTIF(AM1592:AR1592,"&lt;&gt;0")</f>
        <v>0</v>
      </c>
      <c r="BE1592" t="str" cm="1">
        <f t="array" ref="BE1592">IF(AY1592=1,INDEX($V$7:$AL$7,MATCH(TRUE,INDEX($V1592:$AW1592&lt;&gt;0,),0)),IF(AY1592=0,INDEX($AM$7:$AW$7,MATCH(1,$AM1592:$AW1592,0)),IF(BF1592="Multiple strategies","mixed drivers",IF(BF1592="Supply chain","multiple supply","multiple silviculture"))))</f>
        <v xml:space="preserve">end of life disposal </v>
      </c>
      <c r="BF1592" s="2" t="str" cm="1">
        <f t="array" ref="BF1592">IF(COUNTIF(AZ1592:BB1592,"&lt;&gt;0")=1,INDEX($V$4:$AW$4,MATCH(TRUE,INDEX($V1592:$AW1592&lt;&gt;0,),0)),IF(COUNTIF(AZ1592:BB1592,"&lt;&gt;0")=0,INDEX($AM$4:$AW$4,MATCH(1,$AM1592:$AW1592,0)),"Multiple strategies"))</f>
        <v>Supply chain</v>
      </c>
      <c r="BM1592" s="143"/>
      <c r="BN1592" s="143">
        <f>BL1592-BK1592</f>
        <v>0</v>
      </c>
      <c r="BO1592">
        <f>BN1592</f>
        <v>0</v>
      </c>
      <c r="BP1592" t="s">
        <v>232</v>
      </c>
      <c r="BR1592" t="s">
        <v>4324</v>
      </c>
      <c r="BS1592">
        <v>-1542</v>
      </c>
      <c r="BT1592">
        <v>-606</v>
      </c>
      <c r="BU1592" s="144">
        <f>IFERROR(BT1592/BS1592,"")</f>
        <v>0.39299610894941633</v>
      </c>
      <c r="BV1592" s="144">
        <f>BT1592-BS1592</f>
        <v>936</v>
      </c>
      <c r="BW1592" s="144"/>
      <c r="BX1592">
        <f>BV1592/1000</f>
        <v>0.93600000000000005</v>
      </c>
      <c r="BY1592" t="str">
        <f>IFERROR(BX1592/BO1592,"")</f>
        <v/>
      </c>
      <c r="BZ1592">
        <v>0</v>
      </c>
      <c r="CA1592">
        <v>0</v>
      </c>
      <c r="CB1592">
        <v>0</v>
      </c>
      <c r="CC1592">
        <v>0</v>
      </c>
      <c r="CD1592">
        <v>0</v>
      </c>
      <c r="CE1592">
        <v>0</v>
      </c>
      <c r="CF1592">
        <v>0</v>
      </c>
      <c r="CG1592">
        <v>0</v>
      </c>
      <c r="CH1592">
        <v>0</v>
      </c>
      <c r="CI1592">
        <v>0</v>
      </c>
      <c r="CJ1592">
        <v>0</v>
      </c>
      <c r="CK1592">
        <v>0</v>
      </c>
      <c r="CL1592">
        <v>0</v>
      </c>
      <c r="CM1592">
        <v>0</v>
      </c>
      <c r="CN1592" t="str">
        <f>IF(BL1592&lt;BK1592,"refNeedCorrection","refOK")</f>
        <v>refOK</v>
      </c>
      <c r="CO1592"/>
      <c r="CP1592"/>
      <c r="CQ1592"/>
      <c r="CR1592">
        <f>IF($CN1592="refOK",$BS1592,$BT1592)*IF($BP1592="Emissions positive",-1,1)</f>
        <v>-1542</v>
      </c>
      <c r="CS1592">
        <f>IF($CN1592="refOK",$BT1592,$BS1592)*IF($BP1592="Emissions positive",-1,1)</f>
        <v>-606</v>
      </c>
      <c r="CT1592">
        <f>IF($CN1592="refNeedCorrection",-BX1592,BX1592)*IF($BP1592="Emissions positive",-1,1)</f>
        <v>0.93600000000000005</v>
      </c>
      <c r="CU1592" t="str">
        <f>IFERROR(CT1592/CQ1592,"")</f>
        <v/>
      </c>
      <c r="CV1592" s="2">
        <f>IFERROR((CS1592-CR1592)/ABS(CR1592),"")</f>
        <v>0.60700389105058361</v>
      </c>
      <c r="CW1592" s="1" t="s">
        <v>263</v>
      </c>
      <c r="CX1592" s="312" t="str">
        <f>IF(OR($CW1592="prd",$CW1592="std",$CW1592="cit"),"loc",IF(OR($CW1592="eur",$CW1592="reg",$CW1592="coy"),"reg",$CW1592))</f>
        <v>loc</v>
      </c>
      <c r="CY1592" t="s">
        <v>3494</v>
      </c>
      <c r="DB1592">
        <f>DA1592-CZ1592</f>
        <v>0</v>
      </c>
      <c r="DC1592" t="str">
        <f>IF(DB1592=0,"0",IF(AND(DB1592&gt;=1,DB1592&lt;=30),"1-30",IF(AND(DB1592&gt;30,DB1592&lt;=70),"31-70",IF(AND(DB1592&gt;70,DB1592&lt;=100),"71-100",IF(DB1592&gt;100,"+100")))))</f>
        <v>0</v>
      </c>
      <c r="DD1592">
        <v>0</v>
      </c>
      <c r="DE1592">
        <v>0</v>
      </c>
      <c r="DF1592">
        <v>0</v>
      </c>
      <c r="DG1592">
        <v>1</v>
      </c>
      <c r="DH1592">
        <v>0</v>
      </c>
      <c r="DI1592">
        <f>SUM(DD1592:DG1592)</f>
        <v>1</v>
      </c>
      <c r="DJ1592" t="str">
        <f>IF(DI1592=1,INDEX($DD$7:$DG$7,MATCH(1,$DD1592:$DG1592,0)),"mixedProduct")</f>
        <v>TimberInput</v>
      </c>
      <c r="DK1592">
        <f>IF(DD1592=1,DK$7,0)</f>
        <v>0</v>
      </c>
      <c r="DL1592">
        <f>IF(DE1592=1,DL$7,0)</f>
        <v>0</v>
      </c>
      <c r="DM1592">
        <f>IF(DF1592=1,DM$7,0)</f>
        <v>0</v>
      </c>
      <c r="DN1592" t="str">
        <f>IF(DG1592=1,DN$7,0)</f>
        <v>Timber</v>
      </c>
      <c r="DO1592">
        <v>1</v>
      </c>
      <c r="DP1592">
        <v>0</v>
      </c>
      <c r="DQ1592">
        <v>0</v>
      </c>
      <c r="DR1592">
        <v>0</v>
      </c>
      <c r="DS1592">
        <v>0</v>
      </c>
      <c r="DT1592">
        <f>SUM(DO1592:DP1592)</f>
        <v>1</v>
      </c>
      <c r="DU1592" s="143" t="str">
        <f>IF(DO1592=1,"self-calculated DF",IF(DP1592=1,"external DF used","explicit C balance"))</f>
        <v>self-calculated DF</v>
      </c>
      <c r="DV1592">
        <v>0</v>
      </c>
      <c r="DW1592">
        <v>0</v>
      </c>
      <c r="DX1592">
        <v>0</v>
      </c>
      <c r="DY1592">
        <v>0</v>
      </c>
      <c r="DZ1592">
        <v>1</v>
      </c>
      <c r="EA1592">
        <v>1</v>
      </c>
      <c r="EB1592">
        <v>1</v>
      </c>
      <c r="EC1592">
        <v>0</v>
      </c>
      <c r="ED1592">
        <v>0</v>
      </c>
      <c r="EE1592">
        <v>0</v>
      </c>
      <c r="EF1592">
        <v>0</v>
      </c>
      <c r="EG1592">
        <v>0</v>
      </c>
      <c r="EH1592">
        <v>0</v>
      </c>
      <c r="EI1592" s="2">
        <v>0</v>
      </c>
      <c r="EK1592" t="str">
        <f>IF(AND(AND(AND(OR($DX1592=1,$DW1592=1),OR($EC1592=1,$EA1592=1)),SUM($DV1592:$DZ1592,$EF1592)&gt;=3),SUM($EA1592:$EE1592)&gt;=2),"Whole sector","")</f>
        <v/>
      </c>
      <c r="EL1592" t="str">
        <f>IF(AND(AND(OR($DX1592=1,$DW1592=1),AND($EC1592=0,$EA1592=0)),SUM($DV1592:$DZ1592,$EF1592)&gt;=3),"Ecosystem approach","")</f>
        <v/>
      </c>
      <c r="EM1592" s="2" t="str">
        <f>IF(AND(AND(AND($DX1592=0,$DW1592=0),OR($EC1592=1,$EA1592=1)),SUM($EB1592:$EE1592)&gt;=2),"Technology approach","")</f>
        <v/>
      </c>
      <c r="EN1592" t="s">
        <v>4325</v>
      </c>
      <c r="EP1592" t="b">
        <f>IF(ISNUMBER(BU1592),IF(ABS(BU1592-[5]QC_indicators!$B$2)&gt;3*[5]QC_indicators!$C$2,"C ratio",IF(ISNUMBER(BY1592),IF(ABS(BY1592-[5]QC_indicators!$B$1)&gt;3*[5]QC_indicators!$C$1,"DF","no"))),IF(ISNUMBER(BY1592),IF(ABS(BY1592-[5]QC_indicators!$B$1)&gt;3*[5]QC_indicators!$C$1,"DF","no")))</f>
        <v>0</v>
      </c>
    </row>
    <row r="1593" spans="1:147">
      <c r="A1593" s="1" t="s">
        <v>878</v>
      </c>
      <c r="B1593" t="s">
        <v>4334</v>
      </c>
      <c r="C1593" t="s">
        <v>4335</v>
      </c>
      <c r="D1593" t="s">
        <v>4336</v>
      </c>
      <c r="E1593" t="s">
        <v>4337</v>
      </c>
      <c r="F1593" t="s">
        <v>4338</v>
      </c>
      <c r="G1593" t="s">
        <v>1184</v>
      </c>
      <c r="H1593" t="s">
        <v>254</v>
      </c>
      <c r="I1593">
        <v>2012</v>
      </c>
      <c r="J1593">
        <v>14</v>
      </c>
      <c r="K1593" t="s">
        <v>4339</v>
      </c>
      <c r="M1593" t="str">
        <f>LEFT($D1593,FIND(",",$D1593)-1)&amp;"_"&amp;I1593&amp;L1593</f>
        <v>Wells_2012</v>
      </c>
      <c r="N1593" s="312" t="s">
        <v>4383</v>
      </c>
      <c r="O1593" s="145" t="s">
        <v>1154</v>
      </c>
      <c r="Q1593" s="312" t="s">
        <v>256</v>
      </c>
      <c r="R1593" s="313"/>
      <c r="S1593" s="1" t="s">
        <v>4340</v>
      </c>
      <c r="T1593" t="s">
        <v>4341</v>
      </c>
      <c r="U1593" t="s">
        <v>4342</v>
      </c>
      <c r="V1593">
        <v>0</v>
      </c>
      <c r="W1593">
        <v>0</v>
      </c>
      <c r="X1593">
        <v>0</v>
      </c>
      <c r="Y1593">
        <v>0</v>
      </c>
      <c r="Z1593">
        <v>0</v>
      </c>
      <c r="AA1593">
        <v>0</v>
      </c>
      <c r="AB1593">
        <v>0</v>
      </c>
      <c r="AC1593">
        <v>0</v>
      </c>
      <c r="AD1593">
        <v>0</v>
      </c>
      <c r="AE1593">
        <v>0</v>
      </c>
      <c r="AF1593">
        <v>0</v>
      </c>
      <c r="AG1593">
        <v>1</v>
      </c>
      <c r="AH1593">
        <v>0</v>
      </c>
      <c r="AI1593">
        <v>0</v>
      </c>
      <c r="AJ1593">
        <v>0</v>
      </c>
      <c r="AK1593">
        <v>0</v>
      </c>
      <c r="AL1593">
        <v>0</v>
      </c>
      <c r="AM1593">
        <v>0</v>
      </c>
      <c r="AN1593">
        <v>0</v>
      </c>
      <c r="AO1593">
        <v>0</v>
      </c>
      <c r="AP1593">
        <v>0</v>
      </c>
      <c r="AQ1593">
        <v>0</v>
      </c>
      <c r="AR1593">
        <v>0</v>
      </c>
      <c r="AS1593">
        <v>0</v>
      </c>
      <c r="AT1593">
        <v>0</v>
      </c>
      <c r="AU1593">
        <v>0</v>
      </c>
      <c r="AV1593">
        <v>0</v>
      </c>
      <c r="AW1593">
        <v>0</v>
      </c>
      <c r="AX1593" s="141">
        <f>COUNTIF(V1593:AW1593,"&lt;&gt;0")</f>
        <v>1</v>
      </c>
      <c r="AY1593" s="141">
        <f>COUNTIF(V1593:AL1593,"&lt;&gt;0")</f>
        <v>1</v>
      </c>
      <c r="AZ1593">
        <f>COUNTIF(V1593:AC1593,"&lt;&gt;0")</f>
        <v>0</v>
      </c>
      <c r="BA1593">
        <f>COUNTIF(AD1593:AI1593,"&lt;&gt;0")</f>
        <v>1</v>
      </c>
      <c r="BB1593">
        <f>COUNTIF(AJ1593:AL1593,"&lt;&gt;0")</f>
        <v>0</v>
      </c>
      <c r="BC1593">
        <f>COUNTIF(AS1593:AW1593,"&lt;&gt;0")</f>
        <v>0</v>
      </c>
      <c r="BD1593">
        <f>COUNTIF(AM1593:AR1593,"&lt;&gt;0")</f>
        <v>0</v>
      </c>
      <c r="BE1593" t="str" cm="1">
        <f t="array" ref="BE1593">IF(AY1593=1,INDEX($V$7:$AL$7,MATCH(TRUE,INDEX($V1593:$AW1593&lt;&gt;0,),0)),IF(AY1593=0,INDEX($AM$7:$AW$7,MATCH(1,$AM1593:$AW1593,0)),IF(BF1593="Multiple strategies","mixed drivers",IF(BF1593="Supply chain","multiple supply","multiple silviculture"))))</f>
        <v>recycling</v>
      </c>
      <c r="BF1593" s="2" t="str" cm="1">
        <f t="array" ref="BF1593">IF(COUNTIF(AZ1593:BB1593,"&lt;&gt;0")=1,INDEX($V$4:$AW$4,MATCH(TRUE,INDEX($V1593:$AW1593&lt;&gt;0,),0)),IF(COUNTIF(AZ1593:BB1593,"&lt;&gt;0")=0,INDEX($AM$4:$AW$4,MATCH(1,$AM1593:$AW1593,0)),"Multiple strategies"))</f>
        <v>Supply chain</v>
      </c>
      <c r="BM1593" s="143"/>
      <c r="BN1593" s="143"/>
      <c r="BP1593" t="s">
        <v>232</v>
      </c>
      <c r="BR1593" t="s">
        <v>4343</v>
      </c>
      <c r="BS1593">
        <f>-(2.46+0.25+0.89)</f>
        <v>-3.6</v>
      </c>
      <c r="BT1593">
        <f>-(2.46+0.25-0.86)</f>
        <v>-1.85</v>
      </c>
      <c r="BU1593" s="144">
        <f>IFERROR(BT1593/BS1593,"")</f>
        <v>0.51388888888888895</v>
      </c>
      <c r="BV1593" s="144">
        <f>BT1593-BS1593</f>
        <v>1.75</v>
      </c>
      <c r="BW1593" s="144"/>
      <c r="BX1593">
        <f>BV1593/1000</f>
        <v>1.75E-3</v>
      </c>
      <c r="BY1593" t="str">
        <f>IFERROR(BX1593/BO1593,"")</f>
        <v/>
      </c>
      <c r="BZ1593">
        <v>0</v>
      </c>
      <c r="CA1593">
        <v>0</v>
      </c>
      <c r="CB1593">
        <v>0</v>
      </c>
      <c r="CC1593">
        <v>0</v>
      </c>
      <c r="CD1593">
        <v>0</v>
      </c>
      <c r="CE1593">
        <v>0</v>
      </c>
      <c r="CF1593">
        <v>0</v>
      </c>
      <c r="CG1593">
        <v>0</v>
      </c>
      <c r="CH1593">
        <v>0</v>
      </c>
      <c r="CI1593">
        <v>0</v>
      </c>
      <c r="CJ1593">
        <v>0</v>
      </c>
      <c r="CK1593">
        <v>0</v>
      </c>
      <c r="CL1593">
        <v>0</v>
      </c>
      <c r="CM1593">
        <v>0</v>
      </c>
      <c r="CN1593" t="str">
        <f>IF(BL1593&lt;BK1593,"refNeedCorrection","refOK")</f>
        <v>refOK</v>
      </c>
      <c r="CO1593"/>
      <c r="CP1593"/>
      <c r="CQ1593"/>
      <c r="CR1593">
        <f>IF($CN1593="refOK",$BS1593,$BT1593)*IF($BP1593="Emissions positive",-1,1)</f>
        <v>-3.6</v>
      </c>
      <c r="CS1593">
        <f>IF($CN1593="refOK",$BT1593,$BS1593)*IF($BP1593="Emissions positive",-1,1)</f>
        <v>-1.85</v>
      </c>
      <c r="CT1593">
        <f>IF($CN1593="refNeedCorrection",-BX1593,BX1593)*IF($BP1593="Emissions positive",-1,1)</f>
        <v>1.75E-3</v>
      </c>
      <c r="CU1593" t="str">
        <f>IFERROR(CT1593/CQ1593,"")</f>
        <v/>
      </c>
      <c r="CV1593" s="2">
        <f>IFERROR((CS1593-CR1593)/ABS(CR1593),"")</f>
        <v>0.4861111111111111</v>
      </c>
      <c r="CW1593" s="1" t="s">
        <v>263</v>
      </c>
      <c r="CX1593" s="312" t="str">
        <f>IF(OR($CW1593="prd",$CW1593="std",$CW1593="cit"),"loc",IF(OR($CW1593="eur",$CW1593="reg",$CW1593="coy"),"reg",$CW1593))</f>
        <v>loc</v>
      </c>
      <c r="CY1593" t="s">
        <v>428</v>
      </c>
      <c r="DB1593">
        <f>DA1593-CZ1593</f>
        <v>0</v>
      </c>
      <c r="DC1593" t="str">
        <f>IF(DB1593=0,"0",IF(AND(DB1593&gt;=1,DB1593&lt;=30),"1-30",IF(AND(DB1593&gt;30,DB1593&lt;=70),"31-70",IF(AND(DB1593&gt;70,DB1593&lt;=100),"71-100",IF(DB1593&gt;100,"+100")))))</f>
        <v>0</v>
      </c>
      <c r="DD1593">
        <v>0</v>
      </c>
      <c r="DE1593">
        <v>0</v>
      </c>
      <c r="DF1593">
        <v>1</v>
      </c>
      <c r="DG1593">
        <v>0</v>
      </c>
      <c r="DH1593">
        <v>0</v>
      </c>
      <c r="DI1593">
        <f>SUM(DD1593:DG1593)</f>
        <v>1</v>
      </c>
      <c r="DJ1593" t="str">
        <f>IF(DI1593=1,INDEX($DD$7:$DG$7,MATCH(1,$DD1593:$DG1593,0)),"mixedProduct")</f>
        <v>PulpPaperInput</v>
      </c>
      <c r="DK1593">
        <f>IF(DD1593=1,DK$7,0)</f>
        <v>0</v>
      </c>
      <c r="DL1593">
        <f>IF(DE1593=1,DL$7,0)</f>
        <v>0</v>
      </c>
      <c r="DM1593" t="str">
        <f>IF(DF1593=1,DM$7,0)</f>
        <v>Pulp/Paper</v>
      </c>
      <c r="DN1593">
        <f>IF(DG1593=1,DN$7,0)</f>
        <v>0</v>
      </c>
      <c r="DO1593">
        <v>0</v>
      </c>
      <c r="DP1593">
        <v>0</v>
      </c>
      <c r="DQ1593">
        <v>0</v>
      </c>
      <c r="DR1593">
        <v>0</v>
      </c>
      <c r="DS1593">
        <v>0</v>
      </c>
      <c r="DT1593">
        <f>SUM(DO1593:DP1593)</f>
        <v>0</v>
      </c>
      <c r="DU1593" s="143" t="str">
        <f>IF(DO1593=1,"self-calculated DF",IF(DP1593=1,"external DF used","explicit C balance"))</f>
        <v>explicit C balance</v>
      </c>
      <c r="DV1593">
        <v>0</v>
      </c>
      <c r="DW1593">
        <v>0</v>
      </c>
      <c r="DX1593">
        <v>0</v>
      </c>
      <c r="DY1593">
        <v>0</v>
      </c>
      <c r="DZ1593">
        <v>1</v>
      </c>
      <c r="EA1593">
        <v>1</v>
      </c>
      <c r="EB1593">
        <v>0</v>
      </c>
      <c r="EC1593">
        <v>1</v>
      </c>
      <c r="ED1593">
        <v>0</v>
      </c>
      <c r="EE1593">
        <v>0</v>
      </c>
      <c r="EF1593">
        <v>0</v>
      </c>
      <c r="EG1593">
        <v>0</v>
      </c>
      <c r="EH1593">
        <v>0</v>
      </c>
      <c r="EI1593" s="2">
        <v>0</v>
      </c>
      <c r="EK1593" t="str">
        <f>IF(AND(AND(AND(OR($DX1593=1,$DW1593=1),OR($EC1593=1,$EA1593=1)),SUM($DV1593:$DZ1593,$EF1593)&gt;=3),SUM($EA1593:$EE1593)&gt;=2),"Whole sector","")</f>
        <v/>
      </c>
      <c r="EL1593" t="str">
        <f>IF(AND(AND(OR($DX1593=1,$DW1593=1),AND($EC1593=0,$EA1593=0)),SUM($DV1593:$DZ1593,$EF1593)&gt;=3),"Ecosystem approach","")</f>
        <v/>
      </c>
      <c r="EM1593" s="2" t="str">
        <f>IF(AND(AND(AND($DX1593=0,$DW1593=0),OR($EC1593=1,$EA1593=1)),SUM($EB1593:$EE1593)&gt;=2),"Technology approach","")</f>
        <v/>
      </c>
      <c r="EN1593" t="s">
        <v>4344</v>
      </c>
      <c r="EP1593" t="b">
        <f>IF(ISNUMBER(BU1593),IF(ABS(BU1593-[5]QC_indicators!$B$2)&gt;3*[5]QC_indicators!$C$2,"C ratio",IF(ISNUMBER(BY1593),IF(ABS(BY1593-[5]QC_indicators!$B$1)&gt;3*[5]QC_indicators!$C$1,"DF","no"))),IF(ISNUMBER(BY1593),IF(ABS(BY1593-[5]QC_indicators!$B$1)&gt;3*[5]QC_indicators!$C$1,"DF","no")))</f>
        <v>0</v>
      </c>
    </row>
    <row r="1594" spans="1:147" ht="15" customHeight="1">
      <c r="A1594" s="1" t="s">
        <v>878</v>
      </c>
      <c r="B1594" t="s">
        <v>4334</v>
      </c>
      <c r="C1594" t="s">
        <v>4335</v>
      </c>
      <c r="D1594" t="s">
        <v>4336</v>
      </c>
      <c r="E1594" t="s">
        <v>4337</v>
      </c>
      <c r="F1594" t="s">
        <v>4338</v>
      </c>
      <c r="G1594" t="s">
        <v>1184</v>
      </c>
      <c r="H1594" t="s">
        <v>254</v>
      </c>
      <c r="I1594">
        <v>2012</v>
      </c>
      <c r="J1594">
        <v>14</v>
      </c>
      <c r="K1594" t="s">
        <v>4339</v>
      </c>
      <c r="M1594" t="str">
        <f>LEFT($D1594,FIND(",",$D1594)-1)&amp;"_"&amp;I1594&amp;L1594</f>
        <v>Wells_2012</v>
      </c>
      <c r="N1594" s="312" t="s">
        <v>4383</v>
      </c>
      <c r="O1594" s="145" t="s">
        <v>1154</v>
      </c>
      <c r="Q1594" s="312" t="s">
        <v>256</v>
      </c>
      <c r="R1594" s="313"/>
      <c r="S1594" s="1" t="s">
        <v>4340</v>
      </c>
      <c r="T1594" t="s">
        <v>4341</v>
      </c>
      <c r="U1594" t="s">
        <v>4345</v>
      </c>
      <c r="V1594">
        <v>0</v>
      </c>
      <c r="W1594">
        <v>0</v>
      </c>
      <c r="X1594">
        <v>0</v>
      </c>
      <c r="Y1594">
        <v>0</v>
      </c>
      <c r="Z1594">
        <v>0</v>
      </c>
      <c r="AA1594">
        <v>0</v>
      </c>
      <c r="AB1594">
        <v>0</v>
      </c>
      <c r="AC1594">
        <v>0</v>
      </c>
      <c r="AD1594">
        <v>0</v>
      </c>
      <c r="AE1594">
        <v>0</v>
      </c>
      <c r="AF1594">
        <v>0</v>
      </c>
      <c r="AG1594">
        <v>1</v>
      </c>
      <c r="AH1594">
        <v>0</v>
      </c>
      <c r="AI1594">
        <v>0</v>
      </c>
      <c r="AJ1594">
        <v>0</v>
      </c>
      <c r="AK1594">
        <v>0</v>
      </c>
      <c r="AL1594">
        <v>0</v>
      </c>
      <c r="AM1594">
        <v>0</v>
      </c>
      <c r="AN1594">
        <v>0</v>
      </c>
      <c r="AO1594">
        <v>0</v>
      </c>
      <c r="AP1594">
        <v>0</v>
      </c>
      <c r="AQ1594">
        <v>0</v>
      </c>
      <c r="AR1594">
        <v>0</v>
      </c>
      <c r="AS1594">
        <v>0</v>
      </c>
      <c r="AT1594">
        <v>0</v>
      </c>
      <c r="AU1594">
        <v>0</v>
      </c>
      <c r="AV1594">
        <v>0</v>
      </c>
      <c r="AW1594">
        <v>0</v>
      </c>
      <c r="AX1594" s="141">
        <f>COUNTIF(V1594:AW1594,"&lt;&gt;0")</f>
        <v>1</v>
      </c>
      <c r="AY1594" s="141">
        <f>COUNTIF(V1594:AL1594,"&lt;&gt;0")</f>
        <v>1</v>
      </c>
      <c r="AZ1594">
        <f>COUNTIF(V1594:AC1594,"&lt;&gt;0")</f>
        <v>0</v>
      </c>
      <c r="BA1594">
        <f>COUNTIF(AD1594:AI1594,"&lt;&gt;0")</f>
        <v>1</v>
      </c>
      <c r="BB1594">
        <f>COUNTIF(AJ1594:AL1594,"&lt;&gt;0")</f>
        <v>0</v>
      </c>
      <c r="BC1594">
        <f>COUNTIF(AS1594:AW1594,"&lt;&gt;0")</f>
        <v>0</v>
      </c>
      <c r="BD1594">
        <f>COUNTIF(AM1594:AR1594,"&lt;&gt;0")</f>
        <v>0</v>
      </c>
      <c r="BE1594" t="str" cm="1">
        <f t="array" ref="BE1594">IF(AY1594=1,INDEX($V$7:$AL$7,MATCH(TRUE,INDEX($V1594:$AW1594&lt;&gt;0,),0)),IF(AY1594=0,INDEX($AM$7:$AW$7,MATCH(1,$AM1594:$AW1594,0)),IF(BF1594="Multiple strategies","mixed drivers",IF(BF1594="Supply chain","multiple supply","multiple silviculture"))))</f>
        <v>recycling</v>
      </c>
      <c r="BF1594" s="2" t="str" cm="1">
        <f t="array" ref="BF1594">IF(COUNTIF(AZ1594:BB1594,"&lt;&gt;0")=1,INDEX($V$4:$AW$4,MATCH(TRUE,INDEX($V1594:$AW1594&lt;&gt;0,),0)),IF(COUNTIF(AZ1594:BB1594,"&lt;&gt;0")=0,INDEX($AM$4:$AW$4,MATCH(1,$AM1594:$AW1594,0)),"Multiple strategies"))</f>
        <v>Supply chain</v>
      </c>
      <c r="BM1594" s="143"/>
      <c r="BN1594" s="143"/>
      <c r="BP1594" t="s">
        <v>232</v>
      </c>
      <c r="BR1594" t="s">
        <v>4343</v>
      </c>
      <c r="BS1594">
        <f>-(2.46+0.25+0.89)</f>
        <v>-3.6</v>
      </c>
      <c r="BT1594">
        <f>-2.46</f>
        <v>-2.46</v>
      </c>
      <c r="BU1594" s="144">
        <f>IFERROR(BT1594/BS1594,"")</f>
        <v>0.68333333333333335</v>
      </c>
      <c r="BV1594" s="144">
        <f>BT1594-BS1594</f>
        <v>1.1400000000000001</v>
      </c>
      <c r="BW1594" s="144"/>
      <c r="BX1594">
        <f>BV1594/1000</f>
        <v>1.1400000000000002E-3</v>
      </c>
      <c r="BY1594" t="str">
        <f>IFERROR(BX1594/BO1594,"")</f>
        <v/>
      </c>
      <c r="BZ1594">
        <v>0</v>
      </c>
      <c r="CA1594">
        <v>0</v>
      </c>
      <c r="CB1594">
        <v>0</v>
      </c>
      <c r="CC1594">
        <v>0</v>
      </c>
      <c r="CD1594">
        <v>0</v>
      </c>
      <c r="CE1594">
        <v>0</v>
      </c>
      <c r="CF1594">
        <v>0</v>
      </c>
      <c r="CG1594">
        <v>0</v>
      </c>
      <c r="CH1594">
        <v>0</v>
      </c>
      <c r="CI1594">
        <v>0</v>
      </c>
      <c r="CJ1594">
        <v>0</v>
      </c>
      <c r="CK1594">
        <v>0</v>
      </c>
      <c r="CL1594">
        <v>0</v>
      </c>
      <c r="CM1594">
        <v>0</v>
      </c>
      <c r="CN1594" t="str">
        <f>IF(BL1594&lt;BK1594,"refNeedCorrection","refOK")</f>
        <v>refOK</v>
      </c>
      <c r="CO1594"/>
      <c r="CP1594"/>
      <c r="CQ1594"/>
      <c r="CR1594">
        <f>IF($CN1594="refOK",$BS1594,$BT1594)*IF($BP1594="Emissions positive",-1,1)</f>
        <v>-3.6</v>
      </c>
      <c r="CS1594">
        <f>IF($CN1594="refOK",$BT1594,$BS1594)*IF($BP1594="Emissions positive",-1,1)</f>
        <v>-2.46</v>
      </c>
      <c r="CT1594">
        <f>IF($CN1594="refNeedCorrection",-BX1594,BX1594)*IF($BP1594="Emissions positive",-1,1)</f>
        <v>1.1400000000000002E-3</v>
      </c>
      <c r="CU1594" t="str">
        <f>IFERROR(CT1594/CQ1594,"")</f>
        <v/>
      </c>
      <c r="CV1594" s="2">
        <f>IFERROR((CS1594-CR1594)/ABS(CR1594),"")</f>
        <v>0.31666666666666671</v>
      </c>
      <c r="CW1594" s="1" t="s">
        <v>263</v>
      </c>
      <c r="CX1594" s="312" t="str">
        <f>IF(OR($CW1594="prd",$CW1594="std",$CW1594="cit"),"loc",IF(OR($CW1594="eur",$CW1594="reg",$CW1594="coy"),"reg",$CW1594))</f>
        <v>loc</v>
      </c>
      <c r="CY1594" t="s">
        <v>428</v>
      </c>
      <c r="DB1594">
        <f>DA1594-CZ1594</f>
        <v>0</v>
      </c>
      <c r="DC1594" t="str">
        <f>IF(DB1594=0,"0",IF(AND(DB1594&gt;=1,DB1594&lt;=30),"1-30",IF(AND(DB1594&gt;30,DB1594&lt;=70),"31-70",IF(AND(DB1594&gt;70,DB1594&lt;=100),"71-100",IF(DB1594&gt;100,"+100")))))</f>
        <v>0</v>
      </c>
      <c r="DD1594">
        <v>0</v>
      </c>
      <c r="DE1594">
        <v>0</v>
      </c>
      <c r="DF1594">
        <v>1</v>
      </c>
      <c r="DG1594">
        <v>0</v>
      </c>
      <c r="DH1594">
        <v>0</v>
      </c>
      <c r="DI1594">
        <f>SUM(DD1594:DG1594)</f>
        <v>1</v>
      </c>
      <c r="DJ1594" t="str">
        <f>IF(DI1594=1,INDEX($DD$7:$DG$7,MATCH(1,$DD1594:$DG1594,0)),"mixedProduct")</f>
        <v>PulpPaperInput</v>
      </c>
      <c r="DK1594">
        <f>IF(DD1594=1,DK$7,0)</f>
        <v>0</v>
      </c>
      <c r="DL1594">
        <f>IF(DE1594=1,DL$7,0)</f>
        <v>0</v>
      </c>
      <c r="DM1594" t="str">
        <f>IF(DF1594=1,DM$7,0)</f>
        <v>Pulp/Paper</v>
      </c>
      <c r="DN1594">
        <f>IF(DG1594=1,DN$7,0)</f>
        <v>0</v>
      </c>
      <c r="DO1594">
        <v>0</v>
      </c>
      <c r="DP1594">
        <v>0</v>
      </c>
      <c r="DQ1594">
        <v>0</v>
      </c>
      <c r="DR1594">
        <v>0</v>
      </c>
      <c r="DS1594">
        <v>0</v>
      </c>
      <c r="DT1594">
        <f>SUM(DO1594:DP1594)</f>
        <v>0</v>
      </c>
      <c r="DU1594" s="143" t="str">
        <f>IF(DO1594=1,"self-calculated DF",IF(DP1594=1,"external DF used","explicit C balance"))</f>
        <v>explicit C balance</v>
      </c>
      <c r="DV1594">
        <v>0</v>
      </c>
      <c r="DW1594">
        <v>0</v>
      </c>
      <c r="DX1594">
        <v>0</v>
      </c>
      <c r="DY1594">
        <v>0</v>
      </c>
      <c r="DZ1594">
        <v>1</v>
      </c>
      <c r="EA1594">
        <v>1</v>
      </c>
      <c r="EB1594">
        <v>0</v>
      </c>
      <c r="EC1594">
        <v>1</v>
      </c>
      <c r="ED1594">
        <v>0</v>
      </c>
      <c r="EE1594">
        <v>0</v>
      </c>
      <c r="EF1594">
        <v>0</v>
      </c>
      <c r="EG1594">
        <v>0</v>
      </c>
      <c r="EH1594">
        <v>0</v>
      </c>
      <c r="EI1594" s="2">
        <v>0</v>
      </c>
      <c r="EK1594" t="str">
        <f>IF(AND(AND(AND(OR($DX1594=1,$DW1594=1),OR($EC1594=1,$EA1594=1)),SUM($DV1594:$DZ1594,$EF1594)&gt;=3),SUM($EA1594:$EE1594)&gt;=2),"Whole sector","")</f>
        <v/>
      </c>
      <c r="EL1594" t="str">
        <f>IF(AND(AND(OR($DX1594=1,$DW1594=1),AND($EC1594=0,$EA1594=0)),SUM($DV1594:$DZ1594,$EF1594)&gt;=3),"Ecosystem approach","")</f>
        <v/>
      </c>
      <c r="EM1594" s="2" t="str">
        <f>IF(AND(AND(AND($DX1594=0,$DW1594=0),OR($EC1594=1,$EA1594=1)),SUM($EB1594:$EE1594)&gt;=2),"Technology approach","")</f>
        <v/>
      </c>
      <c r="EN1594" t="s">
        <v>4344</v>
      </c>
      <c r="EP1594" t="b">
        <f>IF(ISNUMBER(BU1594),IF(ABS(BU1594-[5]QC_indicators!$B$2)&gt;3*[5]QC_indicators!$C$2,"C ratio",IF(ISNUMBER(BY1594),IF(ABS(BY1594-[5]QC_indicators!$B$1)&gt;3*[5]QC_indicators!$C$1,"DF","no"))),IF(ISNUMBER(BY1594),IF(ABS(BY1594-[5]QC_indicators!$B$1)&gt;3*[5]QC_indicators!$C$1,"DF","no")))</f>
        <v>0</v>
      </c>
    </row>
    <row r="1595" spans="1:147" ht="15" customHeight="1">
      <c r="A1595" s="1" t="s">
        <v>4346</v>
      </c>
      <c r="B1595" t="s">
        <v>4347</v>
      </c>
      <c r="C1595" t="s">
        <v>4348</v>
      </c>
      <c r="D1595" t="s">
        <v>4349</v>
      </c>
      <c r="E1595" t="s">
        <v>4350</v>
      </c>
      <c r="F1595" t="s">
        <v>4351</v>
      </c>
      <c r="G1595" t="s">
        <v>4352</v>
      </c>
      <c r="H1595" t="s">
        <v>254</v>
      </c>
      <c r="I1595">
        <v>2022</v>
      </c>
      <c r="J1595">
        <v>1</v>
      </c>
      <c r="K1595" t="s">
        <v>4353</v>
      </c>
      <c r="M1595" t="str">
        <f>LEFT($D1595,FIND(",",$D1595)-1)&amp;"_"&amp;I1595&amp;L1595</f>
        <v>Yu_2022</v>
      </c>
      <c r="N1595" s="312" t="s">
        <v>4383</v>
      </c>
      <c r="O1595" s="312" t="s">
        <v>223</v>
      </c>
      <c r="Q1595" s="312" t="s">
        <v>389</v>
      </c>
      <c r="R1595" s="313"/>
      <c r="S1595" s="319" t="s">
        <v>4354</v>
      </c>
      <c r="T1595" s="312" t="s">
        <v>4355</v>
      </c>
      <c r="U1595" s="312" t="s">
        <v>2489</v>
      </c>
      <c r="V1595">
        <v>0</v>
      </c>
      <c r="W1595">
        <v>0</v>
      </c>
      <c r="X1595">
        <v>0</v>
      </c>
      <c r="Y1595">
        <v>0</v>
      </c>
      <c r="Z1595">
        <v>0</v>
      </c>
      <c r="AA1595">
        <v>0</v>
      </c>
      <c r="AB1595">
        <v>0</v>
      </c>
      <c r="AC1595">
        <v>0</v>
      </c>
      <c r="AD1595">
        <v>0</v>
      </c>
      <c r="AE1595">
        <v>0</v>
      </c>
      <c r="AF1595">
        <v>1</v>
      </c>
      <c r="AG1595">
        <v>0</v>
      </c>
      <c r="AH1595">
        <v>0</v>
      </c>
      <c r="AI1595">
        <v>0</v>
      </c>
      <c r="AJ1595">
        <v>0</v>
      </c>
      <c r="AK1595">
        <v>1</v>
      </c>
      <c r="AL1595">
        <v>0</v>
      </c>
      <c r="AM1595">
        <v>0</v>
      </c>
      <c r="AN1595">
        <v>0</v>
      </c>
      <c r="AO1595">
        <v>0</v>
      </c>
      <c r="AP1595">
        <v>0</v>
      </c>
      <c r="AQ1595">
        <v>0</v>
      </c>
      <c r="AR1595">
        <v>0</v>
      </c>
      <c r="AS1595">
        <v>0</v>
      </c>
      <c r="AT1595">
        <v>0</v>
      </c>
      <c r="AU1595">
        <v>0</v>
      </c>
      <c r="AV1595">
        <v>0</v>
      </c>
      <c r="AW1595">
        <v>0</v>
      </c>
      <c r="AX1595" s="141">
        <f>COUNTIF(V1595:AW1595,"&lt;&gt;0")</f>
        <v>2</v>
      </c>
      <c r="AY1595" s="141">
        <f>COUNTIF(V1595:AL1595,"&lt;&gt;0")</f>
        <v>2</v>
      </c>
      <c r="AZ1595">
        <f>COUNTIF(V1595:AC1595,"&lt;&gt;0")</f>
        <v>0</v>
      </c>
      <c r="BA1595">
        <f>COUNTIF(AD1595:AI1595,"&lt;&gt;0")</f>
        <v>1</v>
      </c>
      <c r="BB1595">
        <f>COUNTIF(AJ1595:AL1595,"&lt;&gt;0")</f>
        <v>1</v>
      </c>
      <c r="BC1595">
        <f>COUNTIF(AS1595:AW1595,"&lt;&gt;0")</f>
        <v>0</v>
      </c>
      <c r="BD1595">
        <f>COUNTIF(AM1595:AR1595,"&lt;&gt;0")</f>
        <v>0</v>
      </c>
      <c r="BE1595" t="str" cm="1">
        <f t="array" ref="BE1595">IF(AY1595=1,INDEX($V$7:$AL$7,MATCH(TRUE,INDEX($V1595:$AW1595&lt;&gt;0,),0)),IF(AY1595=0,INDEX($AM$7:$AW$7,MATCH(1,$AM1595:$AW1595,0)),IF(BF1595="Multiple strategies","mixed drivers",IF(BF1595="Supply chain","multiple supply","multiple silviculture"))))</f>
        <v>mixed drivers</v>
      </c>
      <c r="BF1595" s="2" t="str" cm="1">
        <f t="array" ref="BF1595">IF(COUNTIF(AZ1595:BB1595,"&lt;&gt;0")=1,INDEX($V$4:$AW$4,MATCH(TRUE,INDEX($V1595:$AW1595&lt;&gt;0,),0)),IF(COUNTIF(AZ1595:BB1595,"&lt;&gt;0")=0,INDEX($AM$4:$AW$4,MATCH(1,$AM1595:$AW1595,0)),"Multiple strategies"))</f>
        <v>Multiple strategies</v>
      </c>
      <c r="BP1595" t="s">
        <v>232</v>
      </c>
      <c r="BQ1595" s="312" t="s">
        <v>429</v>
      </c>
      <c r="BR1595" s="312" t="s">
        <v>1359</v>
      </c>
      <c r="BS1595">
        <f>140.44+2529+584.93</f>
        <v>3254.37</v>
      </c>
      <c r="BT1595">
        <f>160.23+2539.61+590.33</f>
        <v>3290.17</v>
      </c>
      <c r="BV1595">
        <f>BT1595-BS1595</f>
        <v>35.800000000000182</v>
      </c>
      <c r="BX1595">
        <f>BV1595*10^6*C_to_CO2</f>
        <v>131386000.00000066</v>
      </c>
      <c r="BY1595" t="str">
        <f>IFERROR(BX1595/BO1595,"")</f>
        <v/>
      </c>
      <c r="BZ1595">
        <v>0</v>
      </c>
      <c r="CA1595">
        <v>0</v>
      </c>
      <c r="CB1595">
        <v>0</v>
      </c>
      <c r="CC1595">
        <v>0</v>
      </c>
      <c r="CD1595">
        <v>0</v>
      </c>
      <c r="CE1595">
        <v>0</v>
      </c>
      <c r="CF1595">
        <v>0</v>
      </c>
      <c r="CG1595">
        <v>0</v>
      </c>
      <c r="CH1595">
        <v>0</v>
      </c>
      <c r="CI1595">
        <v>0</v>
      </c>
      <c r="CJ1595">
        <v>0</v>
      </c>
      <c r="CK1595">
        <v>0</v>
      </c>
      <c r="CL1595">
        <v>0</v>
      </c>
      <c r="CM1595">
        <v>0</v>
      </c>
      <c r="CN1595" t="str">
        <f>IF($BL1595&lt;$BK1595,"refNeedCorrection","refOK")</f>
        <v>refOK</v>
      </c>
      <c r="CO1595">
        <f>IF($CN1595="refOK",$BK1595,$BL1595)</f>
        <v>0</v>
      </c>
      <c r="CP1595">
        <f>IF($CN1595="refOK",$BL1595,$BK1595)</f>
        <v>0</v>
      </c>
      <c r="CQ1595">
        <f>IF($CN1595="refOK",$BO1595,-$BO1595)</f>
        <v>0</v>
      </c>
      <c r="CR1595">
        <f>IF($CN1595="refOK",$BS1595,$BT1595)*IF($BP1595="Emissions positive",-1,1)</f>
        <v>3254.37</v>
      </c>
      <c r="CS1595">
        <f>IF($CN1595="refOK",$BT1595,$BS1595)*IF($BP1595="Emissions positive",-1,1)</f>
        <v>3290.17</v>
      </c>
      <c r="CT1595">
        <f>IF($CN1595="refNeedCorrection",-BX1595,BX1595)*IF($BP1595="Emissions positive",-1,1)</f>
        <v>131386000.00000066</v>
      </c>
      <c r="CU1595" t="str">
        <f>IFERROR(CT1595/CQ1595,"")</f>
        <v/>
      </c>
      <c r="CV1595" s="2">
        <f>IFERROR((CS1595-CR1595)/ABS(CR1595),"")</f>
        <v>1.1000593048731454E-2</v>
      </c>
      <c r="CW1595" s="319" t="s">
        <v>1203</v>
      </c>
      <c r="CX1595" s="312" t="str">
        <f>IF(OR($CW1595="prd",$CW1595="std",$CW1595="cit"),"loc",IF(OR($CW1595="eur",$CW1595="reg",$CW1595="coy"),"reg",$CW1595))</f>
        <v>reg</v>
      </c>
      <c r="CY1595" s="312" t="s">
        <v>690</v>
      </c>
      <c r="CZ1595">
        <v>2020</v>
      </c>
      <c r="DA1595">
        <v>2050</v>
      </c>
      <c r="DB1595">
        <f>DA1595-CZ1595</f>
        <v>30</v>
      </c>
      <c r="DC1595" t="str">
        <f>IF(DB1595=0,"0",IF(AND(DB1595&gt;=1,DB1595&lt;=30),"1-30",IF(AND(DB1595&gt;30,DB1595&lt;=70),"31-70",IF(AND(DB1595&gt;70,DB1595&lt;=100),"71-100",IF(DB1595&gt;100,"+100")))))</f>
        <v>1-30</v>
      </c>
      <c r="DD1595">
        <v>0</v>
      </c>
      <c r="DE1595">
        <v>1</v>
      </c>
      <c r="DF1595">
        <v>1</v>
      </c>
      <c r="DG1595">
        <v>1</v>
      </c>
      <c r="DH1595">
        <v>0</v>
      </c>
      <c r="DI1595">
        <f>SUM(DD1595:DG1595)</f>
        <v>3</v>
      </c>
      <c r="DJ1595" t="str">
        <f>IF(DI1595=1,INDEX($DD$7:$DG$7,MATCH(1,$DD1595:$DG1595,0)),"mixedProduct")</f>
        <v>mixedProduct</v>
      </c>
      <c r="DK1595">
        <f>IF(DD1595=1,DK$7,0)</f>
        <v>0</v>
      </c>
      <c r="DL1595" t="str">
        <f>IF(DE1595=1,DL$7,0)</f>
        <v>Energy</v>
      </c>
      <c r="DM1595" t="str">
        <f>IF(DF1595=1,DM$7,0)</f>
        <v>Pulp/Paper</v>
      </c>
      <c r="DN1595" t="str">
        <f>IF(DG1595=1,DN$7,0)</f>
        <v>Timber</v>
      </c>
      <c r="DO1595">
        <v>0</v>
      </c>
      <c r="DP1595">
        <v>0</v>
      </c>
      <c r="DQ1595">
        <v>0</v>
      </c>
      <c r="DR1595">
        <v>0</v>
      </c>
      <c r="DS1595">
        <v>0</v>
      </c>
      <c r="DT1595">
        <f>SUM(DO1595:DP1595)</f>
        <v>0</v>
      </c>
      <c r="DU1595" s="143" t="str">
        <f>IF(DO1595=1,"self-calculated DF",IF(DP1595=1,"external DF used","explicit C balance"))</f>
        <v>explicit C balance</v>
      </c>
      <c r="DV1595">
        <v>0</v>
      </c>
      <c r="DW1595">
        <v>0</v>
      </c>
      <c r="DX1595">
        <v>0</v>
      </c>
      <c r="DY1595">
        <v>1</v>
      </c>
      <c r="DZ1595">
        <v>1</v>
      </c>
      <c r="EA1595">
        <v>0</v>
      </c>
      <c r="EB1595">
        <v>0</v>
      </c>
      <c r="EC1595">
        <v>0</v>
      </c>
      <c r="ED1595">
        <v>0</v>
      </c>
      <c r="EE1595">
        <v>0</v>
      </c>
      <c r="EF1595">
        <v>0</v>
      </c>
      <c r="EG1595">
        <v>0</v>
      </c>
      <c r="EH1595">
        <v>0</v>
      </c>
      <c r="EI1595" s="2">
        <v>0</v>
      </c>
      <c r="EK1595" t="str">
        <f>IF(AND(AND(AND(OR($DX1595=1,$DW1595=1),OR($EC1595=1,$EA1595=1)),SUM($DV1595:$DZ1595,$EF1595)&gt;=3),SUM($EA1595:$EE1595)&gt;=2),"Whole sector","")</f>
        <v/>
      </c>
      <c r="EL1595" t="str">
        <f>IF(AND(AND(OR($DX1595=1,$DW1595=1),AND($EC1595=0,$EA1595=0)),SUM($DV1595:$DZ1595,$EF1595)&gt;=3),"Ecosystem approach","")</f>
        <v/>
      </c>
      <c r="EM1595" s="2" t="str">
        <f>IF(AND(AND(AND($DX1595=0,$DW1595=0),OR($EC1595=1,$EA1595=1)),SUM($EB1595:$EE1595)&gt;=2),"Technology approach","")</f>
        <v/>
      </c>
      <c r="EP1595" t="b">
        <f>IF(ISNUMBER(BU1595),IF(ABS(BU1595-[5]QC_indicators!$B$2)&gt;3*[5]QC_indicators!$C$2,"C ratio",IF(ISNUMBER(BY1595),IF(ABS(BY1595-[5]QC_indicators!$B$1)&gt;3*[5]QC_indicators!$C$1,"DF","no"))),IF(ISNUMBER(BY1595),IF(ABS(BY1595-[5]QC_indicators!$B$1)&gt;3*[5]QC_indicators!$C$1,"DF","no")))</f>
        <v>0</v>
      </c>
    </row>
    <row r="1596" spans="1:147" ht="15" customHeight="1">
      <c r="A1596" s="1" t="s">
        <v>587</v>
      </c>
      <c r="B1596" t="s">
        <v>4356</v>
      </c>
      <c r="C1596" t="s">
        <v>4357</v>
      </c>
      <c r="D1596" t="s">
        <v>4358</v>
      </c>
      <c r="E1596" t="s">
        <v>4359</v>
      </c>
      <c r="F1596" t="s">
        <v>4360</v>
      </c>
      <c r="G1596" t="s">
        <v>593</v>
      </c>
      <c r="H1596" t="s">
        <v>254</v>
      </c>
      <c r="I1596">
        <v>2016</v>
      </c>
      <c r="J1596">
        <v>19</v>
      </c>
      <c r="K1596" t="s">
        <v>4361</v>
      </c>
      <c r="M1596" t="str">
        <f>LEFT($D1596,FIND(",",$D1596)-1)&amp;"_"&amp;I1596&amp;L1596</f>
        <v>Zhang_2016</v>
      </c>
      <c r="N1596" s="312" t="s">
        <v>4383</v>
      </c>
      <c r="O1596" s="145" t="s">
        <v>1154</v>
      </c>
      <c r="Q1596" s="312" t="s">
        <v>256</v>
      </c>
      <c r="R1596" s="313"/>
      <c r="S1596" s="1" t="s">
        <v>4362</v>
      </c>
      <c r="T1596">
        <v>0</v>
      </c>
      <c r="U1596" t="s">
        <v>4363</v>
      </c>
      <c r="V1596">
        <v>0</v>
      </c>
      <c r="W1596">
        <v>0</v>
      </c>
      <c r="X1596">
        <v>0</v>
      </c>
      <c r="Y1596">
        <v>0</v>
      </c>
      <c r="Z1596">
        <v>0</v>
      </c>
      <c r="AA1596">
        <v>0</v>
      </c>
      <c r="AB1596">
        <v>0</v>
      </c>
      <c r="AC1596">
        <v>0</v>
      </c>
      <c r="AD1596">
        <v>0</v>
      </c>
      <c r="AE1596">
        <v>0</v>
      </c>
      <c r="AF1596">
        <v>0</v>
      </c>
      <c r="AG1596">
        <v>0</v>
      </c>
      <c r="AH1596">
        <v>1</v>
      </c>
      <c r="AI1596">
        <v>0</v>
      </c>
      <c r="AJ1596">
        <v>0</v>
      </c>
      <c r="AK1596">
        <v>0</v>
      </c>
      <c r="AL1596">
        <v>0</v>
      </c>
      <c r="AM1596">
        <v>0</v>
      </c>
      <c r="AN1596">
        <v>0</v>
      </c>
      <c r="AO1596">
        <v>0</v>
      </c>
      <c r="AP1596">
        <v>0</v>
      </c>
      <c r="AQ1596">
        <v>0</v>
      </c>
      <c r="AR1596">
        <v>0</v>
      </c>
      <c r="AS1596">
        <v>0</v>
      </c>
      <c r="AT1596">
        <v>0</v>
      </c>
      <c r="AU1596">
        <v>0</v>
      </c>
      <c r="AV1596">
        <v>0</v>
      </c>
      <c r="AW1596">
        <v>0</v>
      </c>
      <c r="AX1596" s="141">
        <f>COUNTIF(V1596:AW1596,"&lt;&gt;0")</f>
        <v>1</v>
      </c>
      <c r="AY1596" s="141">
        <f>COUNTIF(V1596:AL1596,"&lt;&gt;0")</f>
        <v>1</v>
      </c>
      <c r="AZ1596">
        <f>COUNTIF(V1596:AC1596,"&lt;&gt;0")</f>
        <v>0</v>
      </c>
      <c r="BA1596">
        <f>COUNTIF(AD1596:AI1596,"&lt;&gt;0")</f>
        <v>1</v>
      </c>
      <c r="BB1596">
        <f>COUNTIF(AJ1596:AL1596,"&lt;&gt;0")</f>
        <v>0</v>
      </c>
      <c r="BC1596">
        <f>COUNTIF(AS1596:AW1596,"&lt;&gt;0")</f>
        <v>0</v>
      </c>
      <c r="BD1596">
        <f>COUNTIF(AM1596:AR1596,"&lt;&gt;0")</f>
        <v>0</v>
      </c>
      <c r="BE1596" t="str" cm="1">
        <f t="array" ref="BE1596">IF(AY1596=1,INDEX($V$7:$AL$7,MATCH(TRUE,INDEX($V1596:$AW1596&lt;&gt;0,),0)),IF(AY1596=0,INDEX($AM$7:$AW$7,MATCH(1,$AM1596:$AW1596,0)),IF(BF1596="Multiple strategies","mixed drivers",IF(BF1596="Supply chain","multiple supply","multiple silviculture"))))</f>
        <v xml:space="preserve">end of life disposal </v>
      </c>
      <c r="BF1596" s="2" t="str" cm="1">
        <f t="array" ref="BF1596">IF(COUNTIF(AZ1596:BB1596,"&lt;&gt;0")=1,INDEX($V$4:$AW$4,MATCH(TRUE,INDEX($V1596:$AW1596&lt;&gt;0,),0)),IF(COUNTIF(AZ1596:BB1596,"&lt;&gt;0")=0,INDEX($AM$4:$AW$4,MATCH(1,$AM1596:$AW1596,0)),"Multiple strategies"))</f>
        <v>Supply chain</v>
      </c>
      <c r="BM1596" s="143"/>
      <c r="BN1596" s="143"/>
      <c r="BP1596" t="s">
        <v>232</v>
      </c>
      <c r="BR1596" t="s">
        <v>4364</v>
      </c>
      <c r="BS1596">
        <f>-971.4-125.5</f>
        <v>-1096.9000000000001</v>
      </c>
      <c r="BT1596">
        <f>-582.6</f>
        <v>-582.6</v>
      </c>
      <c r="BU1596" s="144">
        <f>IFERROR(BT1596/BS1596,"")</f>
        <v>0.53113319354544619</v>
      </c>
      <c r="BV1596" s="144">
        <f>BT1596-BS1596</f>
        <v>514.30000000000007</v>
      </c>
      <c r="BW1596" s="144"/>
      <c r="BX1596">
        <f>BV1596/1000</f>
        <v>0.51430000000000009</v>
      </c>
      <c r="BY1596" t="str">
        <f>IFERROR(BX1596/BO1596,"")</f>
        <v/>
      </c>
      <c r="BZ1596">
        <v>0</v>
      </c>
      <c r="CA1596">
        <v>0</v>
      </c>
      <c r="CB1596">
        <v>0</v>
      </c>
      <c r="CC1596">
        <v>0</v>
      </c>
      <c r="CD1596">
        <v>0</v>
      </c>
      <c r="CE1596">
        <v>0</v>
      </c>
      <c r="CF1596">
        <v>0</v>
      </c>
      <c r="CG1596">
        <v>0</v>
      </c>
      <c r="CH1596">
        <v>0</v>
      </c>
      <c r="CI1596">
        <v>0</v>
      </c>
      <c r="CJ1596">
        <v>0</v>
      </c>
      <c r="CK1596">
        <v>0</v>
      </c>
      <c r="CL1596">
        <v>0</v>
      </c>
      <c r="CM1596">
        <v>0</v>
      </c>
      <c r="CN1596" t="str">
        <f>IF(BL1596&lt;BK1596,"refNeedCorrection","refOK")</f>
        <v>refOK</v>
      </c>
      <c r="CO1596"/>
      <c r="CP1596"/>
      <c r="CQ1596"/>
      <c r="CR1596">
        <f>IF($CN1596="refOK",$BS1596,$BT1596)*IF($BP1596="Emissions positive",-1,1)</f>
        <v>-1096.9000000000001</v>
      </c>
      <c r="CS1596">
        <f>IF($CN1596="refOK",$BT1596,$BS1596)*IF($BP1596="Emissions positive",-1,1)</f>
        <v>-582.6</v>
      </c>
      <c r="CT1596">
        <f>IF($CN1596="refNeedCorrection",-BX1596,BX1596)*IF($BP1596="Emissions positive",-1,1)</f>
        <v>0.51430000000000009</v>
      </c>
      <c r="CU1596" t="str">
        <f>IFERROR(CT1596/CQ1596,"")</f>
        <v/>
      </c>
      <c r="CV1596" s="2">
        <f>IFERROR((CS1596-CR1596)/ABS(CR1596),"")</f>
        <v>0.46886680645455375</v>
      </c>
      <c r="CW1596" s="1" t="s">
        <v>263</v>
      </c>
      <c r="CX1596" s="312" t="str">
        <f>IF(OR($CW1596="prd",$CW1596="std",$CW1596="cit"),"loc",IF(OR($CW1596="eur",$CW1596="reg",$CW1596="coy"),"reg",$CW1596))</f>
        <v>loc</v>
      </c>
      <c r="CY1596" t="s">
        <v>540</v>
      </c>
      <c r="DB1596">
        <f>DA1596-CZ1596</f>
        <v>0</v>
      </c>
      <c r="DC1596" t="str">
        <f>IF(DB1596=0,"0",IF(AND(DB1596&gt;=1,DB1596&lt;=30),"1-30",IF(AND(DB1596&gt;30,DB1596&lt;=70),"31-70",IF(AND(DB1596&gt;70,DB1596&lt;=100),"71-100",IF(DB1596&gt;100,"+100")))))</f>
        <v>0</v>
      </c>
      <c r="DD1596">
        <v>0</v>
      </c>
      <c r="DE1596">
        <v>1</v>
      </c>
      <c r="DF1596">
        <v>0</v>
      </c>
      <c r="DG1596">
        <v>0</v>
      </c>
      <c r="DH1596">
        <v>0</v>
      </c>
      <c r="DI1596">
        <f>SUM(DD1596:DG1596)</f>
        <v>1</v>
      </c>
      <c r="DJ1596" t="str">
        <f>IF(DI1596=1,INDEX($DD$7:$DG$7,MATCH(1,$DD1596:$DG1596,0)),"mixedProduct")</f>
        <v>EnergyInput</v>
      </c>
      <c r="DK1596">
        <f>IF(DD1596=1,DK$7,0)</f>
        <v>0</v>
      </c>
      <c r="DL1596" t="str">
        <f>IF(DE1596=1,DL$7,0)</f>
        <v>Energy</v>
      </c>
      <c r="DM1596">
        <f>IF(DF1596=1,DM$7,0)</f>
        <v>0</v>
      </c>
      <c r="DN1596">
        <f>IF(DG1596=1,DN$7,0)</f>
        <v>0</v>
      </c>
      <c r="DO1596">
        <v>0</v>
      </c>
      <c r="DP1596">
        <v>0</v>
      </c>
      <c r="DQ1596">
        <v>0</v>
      </c>
      <c r="DR1596">
        <v>0</v>
      </c>
      <c r="DS1596">
        <v>0</v>
      </c>
      <c r="DT1596">
        <f>SUM(DO1596:DP1596)</f>
        <v>0</v>
      </c>
      <c r="DU1596" s="143" t="str">
        <f>IF(DO1596=1,"self-calculated DF",IF(DP1596=1,"external DF used","explicit C balance"))</f>
        <v>explicit C balance</v>
      </c>
      <c r="DV1596">
        <v>0</v>
      </c>
      <c r="DW1596">
        <v>0</v>
      </c>
      <c r="DX1596">
        <v>0</v>
      </c>
      <c r="DY1596">
        <v>0</v>
      </c>
      <c r="DZ1596">
        <v>1</v>
      </c>
      <c r="EA1596" s="143">
        <v>1</v>
      </c>
      <c r="EB1596">
        <v>0</v>
      </c>
      <c r="EC1596">
        <v>1</v>
      </c>
      <c r="ED1596">
        <v>0</v>
      </c>
      <c r="EE1596">
        <v>0</v>
      </c>
      <c r="EF1596">
        <v>0</v>
      </c>
      <c r="EG1596">
        <v>0</v>
      </c>
      <c r="EH1596">
        <v>0</v>
      </c>
      <c r="EI1596" s="2">
        <v>0</v>
      </c>
      <c r="EK1596" t="str">
        <f>IF(AND(AND(AND(OR($DX1596=1,$DW1596=1),OR($EC1596=1,$EA1596=1)),SUM($DV1596:$DZ1596,$EF1596)&gt;=3),SUM($EA1596:$EE1596)&gt;=2),"Whole sector","")</f>
        <v/>
      </c>
      <c r="EL1596" t="str">
        <f>IF(AND(AND(OR($DX1596=1,$DW1596=1),AND($EC1596=0,$EA1596=0)),SUM($DV1596:$DZ1596,$EF1596)&gt;=3),"Ecosystem approach","")</f>
        <v/>
      </c>
      <c r="EM1596" s="2" t="str">
        <f>IF(AND(AND(AND($DX1596=0,$DW1596=0),OR($EC1596=1,$EA1596=1)),SUM($EB1596:$EE1596)&gt;=2),"Technology approach","")</f>
        <v/>
      </c>
      <c r="EN1596" t="s">
        <v>4365</v>
      </c>
      <c r="EP1596" t="b">
        <f>IF(ISNUMBER(BU1596),IF(ABS(BU1596-[5]QC_indicators!$B$2)&gt;3*[5]QC_indicators!$C$2,"C ratio",IF(ISNUMBER(BY1596),IF(ABS(BY1596-[5]QC_indicators!$B$1)&gt;3*[5]QC_indicators!$C$1,"DF","no"))),IF(ISNUMBER(BY1596),IF(ABS(BY1596-[5]QC_indicators!$B$1)&gt;3*[5]QC_indicators!$C$1,"DF","no")))</f>
        <v>0</v>
      </c>
    </row>
    <row r="1597" spans="1:147" ht="15" customHeight="1">
      <c r="A1597" s="1" t="s">
        <v>587</v>
      </c>
      <c r="B1597" t="s">
        <v>4356</v>
      </c>
      <c r="C1597" t="s">
        <v>4357</v>
      </c>
      <c r="D1597" t="s">
        <v>4358</v>
      </c>
      <c r="E1597" t="s">
        <v>4359</v>
      </c>
      <c r="F1597" t="s">
        <v>4360</v>
      </c>
      <c r="G1597" t="s">
        <v>593</v>
      </c>
      <c r="H1597" t="s">
        <v>254</v>
      </c>
      <c r="I1597">
        <v>2016</v>
      </c>
      <c r="J1597">
        <v>19</v>
      </c>
      <c r="K1597" t="s">
        <v>4361</v>
      </c>
      <c r="M1597" t="str">
        <f>LEFT($D1597,FIND(",",$D1597)-1)&amp;"_"&amp;I1597&amp;L1597</f>
        <v>Zhang_2016</v>
      </c>
      <c r="N1597" s="312" t="s">
        <v>4383</v>
      </c>
      <c r="O1597" s="145" t="s">
        <v>1154</v>
      </c>
      <c r="Q1597" s="312" t="s">
        <v>256</v>
      </c>
      <c r="R1597" s="313"/>
      <c r="S1597" s="1" t="s">
        <v>4366</v>
      </c>
      <c r="T1597">
        <v>0</v>
      </c>
      <c r="U1597" t="s">
        <v>4363</v>
      </c>
      <c r="V1597">
        <v>0</v>
      </c>
      <c r="W1597">
        <v>0</v>
      </c>
      <c r="X1597">
        <v>0</v>
      </c>
      <c r="Y1597">
        <v>0</v>
      </c>
      <c r="Z1597">
        <v>0</v>
      </c>
      <c r="AA1597">
        <v>0</v>
      </c>
      <c r="AB1597">
        <v>0</v>
      </c>
      <c r="AC1597">
        <v>0</v>
      </c>
      <c r="AD1597">
        <v>0</v>
      </c>
      <c r="AE1597">
        <v>0</v>
      </c>
      <c r="AF1597">
        <v>0</v>
      </c>
      <c r="AG1597">
        <v>0</v>
      </c>
      <c r="AH1597">
        <v>1</v>
      </c>
      <c r="AI1597">
        <v>0</v>
      </c>
      <c r="AJ1597">
        <v>0</v>
      </c>
      <c r="AK1597">
        <v>0</v>
      </c>
      <c r="AL1597">
        <v>0</v>
      </c>
      <c r="AM1597">
        <v>0</v>
      </c>
      <c r="AN1597">
        <v>0</v>
      </c>
      <c r="AO1597">
        <v>0</v>
      </c>
      <c r="AP1597">
        <v>0</v>
      </c>
      <c r="AQ1597">
        <v>0</v>
      </c>
      <c r="AR1597">
        <v>0</v>
      </c>
      <c r="AS1597">
        <v>0</v>
      </c>
      <c r="AT1597">
        <v>0</v>
      </c>
      <c r="AU1597">
        <v>0</v>
      </c>
      <c r="AV1597">
        <v>0</v>
      </c>
      <c r="AW1597">
        <v>0</v>
      </c>
      <c r="AX1597" s="141">
        <f>COUNTIF(V1597:AW1597,"&lt;&gt;0")</f>
        <v>1</v>
      </c>
      <c r="AY1597" s="141">
        <f>COUNTIF(V1597:AL1597,"&lt;&gt;0")</f>
        <v>1</v>
      </c>
      <c r="AZ1597">
        <f>COUNTIF(V1597:AC1597,"&lt;&gt;0")</f>
        <v>0</v>
      </c>
      <c r="BA1597">
        <f>COUNTIF(AD1597:AI1597,"&lt;&gt;0")</f>
        <v>1</v>
      </c>
      <c r="BB1597">
        <f>COUNTIF(AJ1597:AL1597,"&lt;&gt;0")</f>
        <v>0</v>
      </c>
      <c r="BC1597">
        <f>COUNTIF(AS1597:AW1597,"&lt;&gt;0")</f>
        <v>0</v>
      </c>
      <c r="BD1597">
        <f>COUNTIF(AM1597:AR1597,"&lt;&gt;0")</f>
        <v>0</v>
      </c>
      <c r="BE1597" t="str" cm="1">
        <f t="array" ref="BE1597">IF(AY1597=1,INDEX($V$7:$AL$7,MATCH(TRUE,INDEX($V1597:$AW1597&lt;&gt;0,),0)),IF(AY1597=0,INDEX($AM$7:$AW$7,MATCH(1,$AM1597:$AW1597,0)),IF(BF1597="Multiple strategies","mixed drivers",IF(BF1597="Supply chain","multiple supply","multiple silviculture"))))</f>
        <v xml:space="preserve">end of life disposal </v>
      </c>
      <c r="BF1597" s="2" t="str" cm="1">
        <f t="array" ref="BF1597">IF(COUNTIF(AZ1597:BB1597,"&lt;&gt;0")=1,INDEX($V$4:$AW$4,MATCH(TRUE,INDEX($V1597:$AW1597&lt;&gt;0,),0)),IF(COUNTIF(AZ1597:BB1597,"&lt;&gt;0")=0,INDEX($AM$4:$AW$4,MATCH(1,$AM1597:$AW1597,0)),"Multiple strategies"))</f>
        <v>Supply chain</v>
      </c>
      <c r="BM1597" s="143"/>
      <c r="BN1597" s="143"/>
      <c r="BP1597" t="s">
        <v>232</v>
      </c>
      <c r="BR1597" t="s">
        <v>4364</v>
      </c>
      <c r="BS1597">
        <f>-971.4-116.8</f>
        <v>-1088.2</v>
      </c>
      <c r="BT1597">
        <f>-582.6</f>
        <v>-582.6</v>
      </c>
      <c r="BU1597" s="144">
        <f>IFERROR(BT1597/BS1597,"")</f>
        <v>0.53537952582245907</v>
      </c>
      <c r="BV1597" s="144">
        <f>BT1597-BS1597</f>
        <v>505.6</v>
      </c>
      <c r="BW1597" s="144"/>
      <c r="BX1597">
        <f>BV1597/1000</f>
        <v>0.50560000000000005</v>
      </c>
      <c r="BY1597" t="str">
        <f>IFERROR(BX1597/BO1597,"")</f>
        <v/>
      </c>
      <c r="BZ1597">
        <v>0</v>
      </c>
      <c r="CA1597">
        <v>0</v>
      </c>
      <c r="CB1597">
        <v>0</v>
      </c>
      <c r="CC1597">
        <v>0</v>
      </c>
      <c r="CD1597">
        <v>0</v>
      </c>
      <c r="CE1597">
        <v>0</v>
      </c>
      <c r="CF1597">
        <v>0</v>
      </c>
      <c r="CG1597">
        <v>0</v>
      </c>
      <c r="CH1597">
        <v>0</v>
      </c>
      <c r="CI1597">
        <v>0</v>
      </c>
      <c r="CJ1597">
        <v>0</v>
      </c>
      <c r="CK1597">
        <v>0</v>
      </c>
      <c r="CL1597">
        <v>0</v>
      </c>
      <c r="CM1597">
        <v>0</v>
      </c>
      <c r="CN1597" t="str">
        <f>IF(BL1597&lt;BK1597,"refNeedCorrection","refOK")</f>
        <v>refOK</v>
      </c>
      <c r="CO1597"/>
      <c r="CP1597"/>
      <c r="CQ1597"/>
      <c r="CR1597">
        <f>IF($CN1597="refOK",$BS1597,$BT1597)*IF($BP1597="Emissions positive",-1,1)</f>
        <v>-1088.2</v>
      </c>
      <c r="CS1597">
        <f>IF($CN1597="refOK",$BT1597,$BS1597)*IF($BP1597="Emissions positive",-1,1)</f>
        <v>-582.6</v>
      </c>
      <c r="CT1597">
        <f>IF($CN1597="refNeedCorrection",-BX1597,BX1597)*IF($BP1597="Emissions positive",-1,1)</f>
        <v>0.50560000000000005</v>
      </c>
      <c r="CU1597" t="str">
        <f>IFERROR(CT1597/CQ1597,"")</f>
        <v/>
      </c>
      <c r="CV1597" s="2">
        <f>IFERROR((CS1597-CR1597)/ABS(CR1597),"")</f>
        <v>0.46462047417754088</v>
      </c>
      <c r="CW1597" s="1" t="s">
        <v>263</v>
      </c>
      <c r="CX1597" s="312" t="str">
        <f>IF(OR($CW1597="prd",$CW1597="std",$CW1597="cit"),"loc",IF(OR($CW1597="eur",$CW1597="reg",$CW1597="coy"),"reg",$CW1597))</f>
        <v>loc</v>
      </c>
      <c r="CY1597" t="s">
        <v>540</v>
      </c>
      <c r="DB1597">
        <f>DA1597-CZ1597</f>
        <v>0</v>
      </c>
      <c r="DC1597" t="str">
        <f>IF(DB1597=0,"0",IF(AND(DB1597&gt;=1,DB1597&lt;=30),"1-30",IF(AND(DB1597&gt;30,DB1597&lt;=70),"31-70",IF(AND(DB1597&gt;70,DB1597&lt;=100),"71-100",IF(DB1597&gt;100,"+100")))))</f>
        <v>0</v>
      </c>
      <c r="DD1597">
        <v>0</v>
      </c>
      <c r="DE1597">
        <v>1</v>
      </c>
      <c r="DF1597">
        <v>0</v>
      </c>
      <c r="DG1597">
        <v>0</v>
      </c>
      <c r="DH1597">
        <v>0</v>
      </c>
      <c r="DI1597">
        <f>SUM(DD1597:DG1597)</f>
        <v>1</v>
      </c>
      <c r="DJ1597" t="str">
        <f>IF(DI1597=1,INDEX($DD$7:$DG$7,MATCH(1,$DD1597:$DG1597,0)),"mixedProduct")</f>
        <v>EnergyInput</v>
      </c>
      <c r="DK1597">
        <f>IF(DD1597=1,DK$7,0)</f>
        <v>0</v>
      </c>
      <c r="DL1597" t="str">
        <f>IF(DE1597=1,DL$7,0)</f>
        <v>Energy</v>
      </c>
      <c r="DM1597">
        <f>IF(DF1597=1,DM$7,0)</f>
        <v>0</v>
      </c>
      <c r="DN1597">
        <f>IF(DG1597=1,DN$7,0)</f>
        <v>0</v>
      </c>
      <c r="DO1597">
        <v>0</v>
      </c>
      <c r="DP1597">
        <v>0</v>
      </c>
      <c r="DQ1597">
        <v>0</v>
      </c>
      <c r="DR1597">
        <v>0</v>
      </c>
      <c r="DS1597">
        <v>0</v>
      </c>
      <c r="DT1597">
        <f>SUM(DO1597:DP1597)</f>
        <v>0</v>
      </c>
      <c r="DU1597" s="143" t="str">
        <f>IF(DO1597=1,"self-calculated DF",IF(DP1597=1,"external DF used","explicit C balance"))</f>
        <v>explicit C balance</v>
      </c>
      <c r="DV1597">
        <v>0</v>
      </c>
      <c r="DW1597">
        <v>0</v>
      </c>
      <c r="DX1597">
        <v>0</v>
      </c>
      <c r="DY1597">
        <v>0</v>
      </c>
      <c r="DZ1597">
        <v>1</v>
      </c>
      <c r="EA1597" s="143">
        <v>1</v>
      </c>
      <c r="EB1597">
        <v>0</v>
      </c>
      <c r="EC1597">
        <v>1</v>
      </c>
      <c r="ED1597">
        <v>0</v>
      </c>
      <c r="EE1597">
        <v>0</v>
      </c>
      <c r="EF1597">
        <v>0</v>
      </c>
      <c r="EG1597">
        <v>0</v>
      </c>
      <c r="EH1597">
        <v>0</v>
      </c>
      <c r="EI1597" s="2">
        <v>0</v>
      </c>
      <c r="EK1597" t="str">
        <f>IF(AND(AND(AND(OR($DX1597=1,$DW1597=1),OR($EC1597=1,$EA1597=1)),SUM($DV1597:$DZ1597,$EF1597)&gt;=3),SUM($EA1597:$EE1597)&gt;=2),"Whole sector","")</f>
        <v/>
      </c>
      <c r="EL1597" t="str">
        <f>IF(AND(AND(OR($DX1597=1,$DW1597=1),AND($EC1597=0,$EA1597=0)),SUM($DV1597:$DZ1597,$EF1597)&gt;=3),"Ecosystem approach","")</f>
        <v/>
      </c>
      <c r="EM1597" s="2" t="str">
        <f>IF(AND(AND(AND($DX1597=0,$DW1597=0),OR($EC1597=1,$EA1597=1)),SUM($EB1597:$EE1597)&gt;=2),"Technology approach","")</f>
        <v/>
      </c>
      <c r="EN1597" t="s">
        <v>4365</v>
      </c>
      <c r="EP1597" t="b">
        <f>IF(ISNUMBER(BU1597),IF(ABS(BU1597-[5]QC_indicators!$B$2)&gt;3*[5]QC_indicators!$C$2,"C ratio",IF(ISNUMBER(BY1597),IF(ABS(BY1597-[5]QC_indicators!$B$1)&gt;3*[5]QC_indicators!$C$1,"DF","no"))),IF(ISNUMBER(BY1597),IF(ABS(BY1597-[5]QC_indicators!$B$1)&gt;3*[5]QC_indicators!$C$1,"DF","no")))</f>
        <v>0</v>
      </c>
    </row>
    <row r="1598" spans="1:147" ht="15" customHeight="1">
      <c r="A1598" s="1" t="s">
        <v>587</v>
      </c>
      <c r="B1598" t="s">
        <v>4356</v>
      </c>
      <c r="C1598" t="s">
        <v>4357</v>
      </c>
      <c r="D1598" t="s">
        <v>4358</v>
      </c>
      <c r="E1598" t="s">
        <v>4359</v>
      </c>
      <c r="F1598" t="s">
        <v>4360</v>
      </c>
      <c r="G1598" t="s">
        <v>593</v>
      </c>
      <c r="H1598" t="s">
        <v>254</v>
      </c>
      <c r="I1598">
        <v>2016</v>
      </c>
      <c r="J1598">
        <v>19</v>
      </c>
      <c r="K1598" t="s">
        <v>4361</v>
      </c>
      <c r="M1598" t="str">
        <f>LEFT($D1598,FIND(",",$D1598)-1)&amp;"_"&amp;I1598&amp;L1598</f>
        <v>Zhang_2016</v>
      </c>
      <c r="N1598" s="312" t="s">
        <v>4383</v>
      </c>
      <c r="O1598" s="145" t="s">
        <v>1154</v>
      </c>
      <c r="Q1598" s="312" t="s">
        <v>256</v>
      </c>
      <c r="R1598" s="313"/>
      <c r="S1598" s="1" t="s">
        <v>4367</v>
      </c>
      <c r="T1598">
        <v>0</v>
      </c>
      <c r="U1598" t="s">
        <v>4363</v>
      </c>
      <c r="V1598">
        <v>0</v>
      </c>
      <c r="W1598">
        <v>0</v>
      </c>
      <c r="X1598">
        <v>0</v>
      </c>
      <c r="Y1598">
        <v>0</v>
      </c>
      <c r="Z1598">
        <v>0</v>
      </c>
      <c r="AA1598">
        <v>0</v>
      </c>
      <c r="AB1598">
        <v>0</v>
      </c>
      <c r="AC1598">
        <v>0</v>
      </c>
      <c r="AD1598">
        <v>0</v>
      </c>
      <c r="AE1598">
        <v>0</v>
      </c>
      <c r="AF1598">
        <v>0</v>
      </c>
      <c r="AG1598">
        <v>0</v>
      </c>
      <c r="AH1598">
        <v>1</v>
      </c>
      <c r="AI1598">
        <v>0</v>
      </c>
      <c r="AJ1598">
        <v>0</v>
      </c>
      <c r="AK1598">
        <v>0</v>
      </c>
      <c r="AL1598">
        <v>0</v>
      </c>
      <c r="AM1598">
        <v>0</v>
      </c>
      <c r="AN1598">
        <v>0</v>
      </c>
      <c r="AO1598">
        <v>0</v>
      </c>
      <c r="AP1598">
        <v>0</v>
      </c>
      <c r="AQ1598">
        <v>0</v>
      </c>
      <c r="AR1598">
        <v>0</v>
      </c>
      <c r="AS1598">
        <v>0</v>
      </c>
      <c r="AT1598">
        <v>0</v>
      </c>
      <c r="AU1598">
        <v>0</v>
      </c>
      <c r="AV1598">
        <v>0</v>
      </c>
      <c r="AW1598">
        <v>0</v>
      </c>
      <c r="AX1598" s="141">
        <f>COUNTIF(V1598:AW1598,"&lt;&gt;0")</f>
        <v>1</v>
      </c>
      <c r="AY1598" s="141">
        <f>COUNTIF(V1598:AL1598,"&lt;&gt;0")</f>
        <v>1</v>
      </c>
      <c r="AZ1598">
        <f>COUNTIF(V1598:AC1598,"&lt;&gt;0")</f>
        <v>0</v>
      </c>
      <c r="BA1598">
        <f>COUNTIF(AD1598:AI1598,"&lt;&gt;0")</f>
        <v>1</v>
      </c>
      <c r="BB1598">
        <f>COUNTIF(AJ1598:AL1598,"&lt;&gt;0")</f>
        <v>0</v>
      </c>
      <c r="BC1598">
        <f>COUNTIF(AS1598:AW1598,"&lt;&gt;0")</f>
        <v>0</v>
      </c>
      <c r="BD1598">
        <f>COUNTIF(AM1598:AR1598,"&lt;&gt;0")</f>
        <v>0</v>
      </c>
      <c r="BE1598" t="str" cm="1">
        <f t="array" ref="BE1598">IF(AY1598=1,INDEX($V$7:$AL$7,MATCH(TRUE,INDEX($V1598:$AW1598&lt;&gt;0,),0)),IF(AY1598=0,INDEX($AM$7:$AW$7,MATCH(1,$AM1598:$AW1598,0)),IF(BF1598="Multiple strategies","mixed drivers",IF(BF1598="Supply chain","multiple supply","multiple silviculture"))))</f>
        <v xml:space="preserve">end of life disposal </v>
      </c>
      <c r="BF1598" s="2" t="str" cm="1">
        <f t="array" ref="BF1598">IF(COUNTIF(AZ1598:BB1598,"&lt;&gt;0")=1,INDEX($V$4:$AW$4,MATCH(TRUE,INDEX($V1598:$AW1598&lt;&gt;0,),0)),IF(COUNTIF(AZ1598:BB1598,"&lt;&gt;0")=0,INDEX($AM$4:$AW$4,MATCH(1,$AM1598:$AW1598,0)),"Multiple strategies"))</f>
        <v>Supply chain</v>
      </c>
      <c r="BM1598" s="143"/>
      <c r="BN1598" s="143"/>
      <c r="BP1598" t="s">
        <v>232</v>
      </c>
      <c r="BR1598" t="s">
        <v>4364</v>
      </c>
      <c r="BS1598">
        <f>-971.4-132.4</f>
        <v>-1103.8</v>
      </c>
      <c r="BT1598">
        <v>-669.4</v>
      </c>
      <c r="BU1598" s="144">
        <f>IFERROR(BT1598/BS1598,"")</f>
        <v>0.60645044392100023</v>
      </c>
      <c r="BV1598" s="144">
        <f>BT1598-BS1598</f>
        <v>434.4</v>
      </c>
      <c r="BW1598" s="144"/>
      <c r="BX1598">
        <f>BV1598/1000</f>
        <v>0.43439999999999995</v>
      </c>
      <c r="BY1598" t="str">
        <f>IFERROR(BX1598/BO1598,"")</f>
        <v/>
      </c>
      <c r="BZ1598">
        <v>0</v>
      </c>
      <c r="CA1598">
        <v>0</v>
      </c>
      <c r="CB1598">
        <v>0</v>
      </c>
      <c r="CC1598">
        <v>0</v>
      </c>
      <c r="CD1598">
        <v>0</v>
      </c>
      <c r="CE1598">
        <v>0</v>
      </c>
      <c r="CF1598">
        <v>0</v>
      </c>
      <c r="CG1598">
        <v>0</v>
      </c>
      <c r="CH1598">
        <v>0</v>
      </c>
      <c r="CI1598">
        <v>0</v>
      </c>
      <c r="CJ1598">
        <v>0</v>
      </c>
      <c r="CK1598">
        <v>0</v>
      </c>
      <c r="CL1598">
        <v>0</v>
      </c>
      <c r="CM1598">
        <v>0</v>
      </c>
      <c r="CN1598" t="str">
        <f>IF(BL1598&lt;BK1598,"refNeedCorrection","refOK")</f>
        <v>refOK</v>
      </c>
      <c r="CO1598"/>
      <c r="CP1598"/>
      <c r="CQ1598"/>
      <c r="CR1598">
        <f>IF($CN1598="refOK",$BS1598,$BT1598)*IF($BP1598="Emissions positive",-1,1)</f>
        <v>-1103.8</v>
      </c>
      <c r="CS1598">
        <f>IF($CN1598="refOK",$BT1598,$BS1598)*IF($BP1598="Emissions positive",-1,1)</f>
        <v>-669.4</v>
      </c>
      <c r="CT1598">
        <f>IF($CN1598="refNeedCorrection",-BX1598,BX1598)*IF($BP1598="Emissions positive",-1,1)</f>
        <v>0.43439999999999995</v>
      </c>
      <c r="CU1598" t="str">
        <f>IFERROR(CT1598/CQ1598,"")</f>
        <v/>
      </c>
      <c r="CV1598" s="2">
        <f>IFERROR((CS1598-CR1598)/ABS(CR1598),"")</f>
        <v>0.39354955607899983</v>
      </c>
      <c r="CW1598" s="1" t="s">
        <v>263</v>
      </c>
      <c r="CX1598" s="312" t="str">
        <f>IF(OR($CW1598="prd",$CW1598="std",$CW1598="cit"),"loc",IF(OR($CW1598="eur",$CW1598="reg",$CW1598="coy"),"reg",$CW1598))</f>
        <v>loc</v>
      </c>
      <c r="CY1598" t="s">
        <v>540</v>
      </c>
      <c r="DB1598">
        <f>DA1598-CZ1598</f>
        <v>0</v>
      </c>
      <c r="DC1598" t="str">
        <f>IF(DB1598=0,"0",IF(AND(DB1598&gt;=1,DB1598&lt;=30),"1-30",IF(AND(DB1598&gt;30,DB1598&lt;=70),"31-70",IF(AND(DB1598&gt;70,DB1598&lt;=100),"71-100",IF(DB1598&gt;100,"+100")))))</f>
        <v>0</v>
      </c>
      <c r="DD1598">
        <v>0</v>
      </c>
      <c r="DE1598">
        <v>1</v>
      </c>
      <c r="DF1598">
        <v>0</v>
      </c>
      <c r="DG1598">
        <v>0</v>
      </c>
      <c r="DH1598">
        <v>0</v>
      </c>
      <c r="DI1598">
        <f>SUM(DD1598:DG1598)</f>
        <v>1</v>
      </c>
      <c r="DJ1598" t="str">
        <f>IF(DI1598=1,INDEX($DD$7:$DG$7,MATCH(1,$DD1598:$DG1598,0)),"mixedProduct")</f>
        <v>EnergyInput</v>
      </c>
      <c r="DK1598">
        <f>IF(DD1598=1,DK$7,0)</f>
        <v>0</v>
      </c>
      <c r="DL1598" t="str">
        <f>IF(DE1598=1,DL$7,0)</f>
        <v>Energy</v>
      </c>
      <c r="DM1598">
        <f>IF(DF1598=1,DM$7,0)</f>
        <v>0</v>
      </c>
      <c r="DN1598">
        <f>IF(DG1598=1,DN$7,0)</f>
        <v>0</v>
      </c>
      <c r="DO1598">
        <v>0</v>
      </c>
      <c r="DP1598">
        <v>0</v>
      </c>
      <c r="DQ1598">
        <v>0</v>
      </c>
      <c r="DR1598">
        <v>0</v>
      </c>
      <c r="DS1598">
        <v>0</v>
      </c>
      <c r="DT1598">
        <f>SUM(DO1598:DP1598)</f>
        <v>0</v>
      </c>
      <c r="DU1598" s="143" t="str">
        <f>IF(DO1598=1,"self-calculated DF",IF(DP1598=1,"external DF used","explicit C balance"))</f>
        <v>explicit C balance</v>
      </c>
      <c r="DV1598">
        <v>0</v>
      </c>
      <c r="DW1598">
        <v>0</v>
      </c>
      <c r="DX1598">
        <v>0</v>
      </c>
      <c r="DY1598">
        <v>0</v>
      </c>
      <c r="DZ1598">
        <v>1</v>
      </c>
      <c r="EA1598" s="143">
        <v>1</v>
      </c>
      <c r="EB1598">
        <v>0</v>
      </c>
      <c r="EC1598">
        <v>1</v>
      </c>
      <c r="ED1598">
        <v>0</v>
      </c>
      <c r="EE1598">
        <v>0</v>
      </c>
      <c r="EF1598">
        <v>0</v>
      </c>
      <c r="EG1598">
        <v>0</v>
      </c>
      <c r="EH1598">
        <v>0</v>
      </c>
      <c r="EI1598" s="2">
        <v>0</v>
      </c>
      <c r="EK1598" t="str">
        <f>IF(AND(AND(AND(OR($DX1598=1,$DW1598=1),OR($EC1598=1,$EA1598=1)),SUM($DV1598:$DZ1598,$EF1598)&gt;=3),SUM($EA1598:$EE1598)&gt;=2),"Whole sector","")</f>
        <v/>
      </c>
      <c r="EL1598" t="str">
        <f>IF(AND(AND(OR($DX1598=1,$DW1598=1),AND($EC1598=0,$EA1598=0)),SUM($DV1598:$DZ1598,$EF1598)&gt;=3),"Ecosystem approach","")</f>
        <v/>
      </c>
      <c r="EM1598" s="2" t="str">
        <f>IF(AND(AND(AND($DX1598=0,$DW1598=0),OR($EC1598=1,$EA1598=1)),SUM($EB1598:$EE1598)&gt;=2),"Technology approach","")</f>
        <v/>
      </c>
      <c r="EN1598" t="s">
        <v>4365</v>
      </c>
      <c r="EP1598" t="b">
        <f>IF(ISNUMBER(BU1598),IF(ABS(BU1598-[5]QC_indicators!$B$2)&gt;3*[5]QC_indicators!$C$2,"C ratio",IF(ISNUMBER(BY1598),IF(ABS(BY1598-[5]QC_indicators!$B$1)&gt;3*[5]QC_indicators!$C$1,"DF","no"))),IF(ISNUMBER(BY1598),IF(ABS(BY1598-[5]QC_indicators!$B$1)&gt;3*[5]QC_indicators!$C$1,"DF","no")))</f>
        <v>0</v>
      </c>
    </row>
    <row r="1599" spans="1:147" ht="15" customHeight="1">
      <c r="A1599" s="1" t="s">
        <v>587</v>
      </c>
      <c r="B1599" t="s">
        <v>4356</v>
      </c>
      <c r="C1599" t="s">
        <v>4357</v>
      </c>
      <c r="D1599" t="s">
        <v>4358</v>
      </c>
      <c r="E1599" t="s">
        <v>4359</v>
      </c>
      <c r="F1599" t="s">
        <v>4360</v>
      </c>
      <c r="G1599" t="s">
        <v>593</v>
      </c>
      <c r="H1599" t="s">
        <v>254</v>
      </c>
      <c r="I1599">
        <v>2016</v>
      </c>
      <c r="J1599">
        <v>19</v>
      </c>
      <c r="K1599" t="s">
        <v>4361</v>
      </c>
      <c r="M1599" t="str">
        <f>LEFT($D1599,FIND(",",$D1599)-1)&amp;"_"&amp;I1599&amp;L1599</f>
        <v>Zhang_2016</v>
      </c>
      <c r="N1599" s="312" t="s">
        <v>4383</v>
      </c>
      <c r="O1599" s="145" t="s">
        <v>1154</v>
      </c>
      <c r="Q1599" s="312" t="s">
        <v>256</v>
      </c>
      <c r="R1599" s="313"/>
      <c r="S1599" s="1" t="s">
        <v>4368</v>
      </c>
      <c r="T1599">
        <v>0</v>
      </c>
      <c r="U1599" t="s">
        <v>4363</v>
      </c>
      <c r="V1599">
        <v>0</v>
      </c>
      <c r="W1599">
        <v>0</v>
      </c>
      <c r="X1599">
        <v>0</v>
      </c>
      <c r="Y1599">
        <v>0</v>
      </c>
      <c r="Z1599">
        <v>0</v>
      </c>
      <c r="AA1599">
        <v>0</v>
      </c>
      <c r="AB1599">
        <v>0</v>
      </c>
      <c r="AC1599">
        <v>0</v>
      </c>
      <c r="AD1599">
        <v>0</v>
      </c>
      <c r="AE1599">
        <v>0</v>
      </c>
      <c r="AF1599">
        <v>0</v>
      </c>
      <c r="AG1599">
        <v>0</v>
      </c>
      <c r="AH1599">
        <v>1</v>
      </c>
      <c r="AI1599">
        <v>0</v>
      </c>
      <c r="AJ1599">
        <v>0</v>
      </c>
      <c r="AK1599">
        <v>0</v>
      </c>
      <c r="AL1599">
        <v>0</v>
      </c>
      <c r="AM1599">
        <v>0</v>
      </c>
      <c r="AN1599">
        <v>0</v>
      </c>
      <c r="AO1599">
        <v>0</v>
      </c>
      <c r="AP1599">
        <v>0</v>
      </c>
      <c r="AQ1599">
        <v>0</v>
      </c>
      <c r="AR1599">
        <v>0</v>
      </c>
      <c r="AS1599">
        <v>0</v>
      </c>
      <c r="AT1599">
        <v>0</v>
      </c>
      <c r="AU1599">
        <v>0</v>
      </c>
      <c r="AV1599">
        <v>0</v>
      </c>
      <c r="AW1599">
        <v>0</v>
      </c>
      <c r="AX1599" s="141">
        <f>COUNTIF(V1599:AW1599,"&lt;&gt;0")</f>
        <v>1</v>
      </c>
      <c r="AY1599" s="141">
        <f>COUNTIF(V1599:AL1599,"&lt;&gt;0")</f>
        <v>1</v>
      </c>
      <c r="AZ1599">
        <f>COUNTIF(V1599:AC1599,"&lt;&gt;0")</f>
        <v>0</v>
      </c>
      <c r="BA1599">
        <f>COUNTIF(AD1599:AI1599,"&lt;&gt;0")</f>
        <v>1</v>
      </c>
      <c r="BB1599">
        <f>COUNTIF(AJ1599:AL1599,"&lt;&gt;0")</f>
        <v>0</v>
      </c>
      <c r="BC1599">
        <f>COUNTIF(AS1599:AW1599,"&lt;&gt;0")</f>
        <v>0</v>
      </c>
      <c r="BD1599">
        <f>COUNTIF(AM1599:AR1599,"&lt;&gt;0")</f>
        <v>0</v>
      </c>
      <c r="BE1599" t="str" cm="1">
        <f t="array" ref="BE1599">IF(AY1599=1,INDEX($V$7:$AL$7,MATCH(TRUE,INDEX($V1599:$AW1599&lt;&gt;0,),0)),IF(AY1599=0,INDEX($AM$7:$AW$7,MATCH(1,$AM1599:$AW1599,0)),IF(BF1599="Multiple strategies","mixed drivers",IF(BF1599="Supply chain","multiple supply","multiple silviculture"))))</f>
        <v xml:space="preserve">end of life disposal </v>
      </c>
      <c r="BF1599" s="2" t="str" cm="1">
        <f t="array" ref="BF1599">IF(COUNTIF(AZ1599:BB1599,"&lt;&gt;0")=1,INDEX($V$4:$AW$4,MATCH(TRUE,INDEX($V1599:$AW1599&lt;&gt;0,),0)),IF(COUNTIF(AZ1599:BB1599,"&lt;&gt;0")=0,INDEX($AM$4:$AW$4,MATCH(1,$AM1599:$AW1599,0)),"Multiple strategies"))</f>
        <v>Supply chain</v>
      </c>
      <c r="BM1599" s="143"/>
      <c r="BN1599" s="143"/>
      <c r="BP1599" t="s">
        <v>232</v>
      </c>
      <c r="BR1599" t="s">
        <v>4364</v>
      </c>
      <c r="BS1599">
        <f>-971.4-117.1</f>
        <v>-1088.5</v>
      </c>
      <c r="BT1599">
        <v>-669.4</v>
      </c>
      <c r="BU1599" s="144">
        <f>IFERROR(BT1599/BS1599,"")</f>
        <v>0.61497473587505735</v>
      </c>
      <c r="BV1599" s="144">
        <f>BT1599-BS1599</f>
        <v>419.1</v>
      </c>
      <c r="BW1599" s="144"/>
      <c r="BX1599">
        <f>BV1599/1000</f>
        <v>0.41910000000000003</v>
      </c>
      <c r="BY1599" t="str">
        <f>IFERROR(BX1599/BO1599,"")</f>
        <v/>
      </c>
      <c r="BZ1599">
        <v>0</v>
      </c>
      <c r="CA1599">
        <v>0</v>
      </c>
      <c r="CB1599">
        <v>0</v>
      </c>
      <c r="CC1599">
        <v>0</v>
      </c>
      <c r="CD1599">
        <v>0</v>
      </c>
      <c r="CE1599">
        <v>0</v>
      </c>
      <c r="CF1599">
        <v>0</v>
      </c>
      <c r="CG1599">
        <v>0</v>
      </c>
      <c r="CH1599">
        <v>0</v>
      </c>
      <c r="CI1599">
        <v>0</v>
      </c>
      <c r="CJ1599">
        <v>0</v>
      </c>
      <c r="CK1599">
        <v>0</v>
      </c>
      <c r="CL1599">
        <v>0</v>
      </c>
      <c r="CM1599">
        <v>0</v>
      </c>
      <c r="CN1599" t="str">
        <f>IF(BL1599&lt;BK1599,"refNeedCorrection","refOK")</f>
        <v>refOK</v>
      </c>
      <c r="CO1599"/>
      <c r="CP1599"/>
      <c r="CQ1599"/>
      <c r="CR1599">
        <f>IF($CN1599="refOK",$BS1599,$BT1599)*IF($BP1599="Emissions positive",-1,1)</f>
        <v>-1088.5</v>
      </c>
      <c r="CS1599">
        <f>IF($CN1599="refOK",$BT1599,$BS1599)*IF($BP1599="Emissions positive",-1,1)</f>
        <v>-669.4</v>
      </c>
      <c r="CT1599">
        <f>IF($CN1599="refNeedCorrection",-BX1599,BX1599)*IF($BP1599="Emissions positive",-1,1)</f>
        <v>0.41910000000000003</v>
      </c>
      <c r="CU1599" t="str">
        <f>IFERROR(CT1599/CQ1599,"")</f>
        <v/>
      </c>
      <c r="CV1599" s="2">
        <f>IFERROR((CS1599-CR1599)/ABS(CR1599),"")</f>
        <v>0.38502526412494259</v>
      </c>
      <c r="CW1599" s="1" t="s">
        <v>263</v>
      </c>
      <c r="CX1599" s="312" t="str">
        <f>IF(OR($CW1599="prd",$CW1599="std",$CW1599="cit"),"loc",IF(OR($CW1599="eur",$CW1599="reg",$CW1599="coy"),"reg",$CW1599))</f>
        <v>loc</v>
      </c>
      <c r="CY1599" t="s">
        <v>540</v>
      </c>
      <c r="DB1599">
        <f>DA1599-CZ1599</f>
        <v>0</v>
      </c>
      <c r="DC1599" t="str">
        <f>IF(DB1599=0,"0",IF(AND(DB1599&gt;=1,DB1599&lt;=30),"1-30",IF(AND(DB1599&gt;30,DB1599&lt;=70),"31-70",IF(AND(DB1599&gt;70,DB1599&lt;=100),"71-100",IF(DB1599&gt;100,"+100")))))</f>
        <v>0</v>
      </c>
      <c r="DD1599">
        <v>0</v>
      </c>
      <c r="DE1599">
        <v>1</v>
      </c>
      <c r="DF1599">
        <v>0</v>
      </c>
      <c r="DG1599">
        <v>0</v>
      </c>
      <c r="DH1599">
        <v>0</v>
      </c>
      <c r="DI1599">
        <f>SUM(DD1599:DG1599)</f>
        <v>1</v>
      </c>
      <c r="DJ1599" t="str">
        <f>IF(DI1599=1,INDEX($DD$7:$DG$7,MATCH(1,$DD1599:$DG1599,0)),"mixedProduct")</f>
        <v>EnergyInput</v>
      </c>
      <c r="DK1599">
        <f>IF(DD1599=1,DK$7,0)</f>
        <v>0</v>
      </c>
      <c r="DL1599" t="str">
        <f>IF(DE1599=1,DL$7,0)</f>
        <v>Energy</v>
      </c>
      <c r="DM1599">
        <f>IF(DF1599=1,DM$7,0)</f>
        <v>0</v>
      </c>
      <c r="DN1599">
        <f>IF(DG1599=1,DN$7,0)</f>
        <v>0</v>
      </c>
      <c r="DO1599">
        <v>0</v>
      </c>
      <c r="DP1599">
        <v>0</v>
      </c>
      <c r="DQ1599">
        <v>0</v>
      </c>
      <c r="DR1599">
        <v>0</v>
      </c>
      <c r="DS1599">
        <v>0</v>
      </c>
      <c r="DT1599">
        <f>SUM(DO1599:DP1599)</f>
        <v>0</v>
      </c>
      <c r="DU1599" s="143" t="str">
        <f>IF(DO1599=1,"self-calculated DF",IF(DP1599=1,"external DF used","explicit C balance"))</f>
        <v>explicit C balance</v>
      </c>
      <c r="DV1599">
        <v>0</v>
      </c>
      <c r="DW1599">
        <v>0</v>
      </c>
      <c r="DX1599">
        <v>0</v>
      </c>
      <c r="DY1599">
        <v>0</v>
      </c>
      <c r="DZ1599">
        <v>1</v>
      </c>
      <c r="EA1599" s="143">
        <v>1</v>
      </c>
      <c r="EB1599">
        <v>0</v>
      </c>
      <c r="EC1599">
        <v>1</v>
      </c>
      <c r="ED1599">
        <v>0</v>
      </c>
      <c r="EE1599">
        <v>0</v>
      </c>
      <c r="EF1599">
        <v>0</v>
      </c>
      <c r="EG1599">
        <v>0</v>
      </c>
      <c r="EH1599">
        <v>0</v>
      </c>
      <c r="EI1599" s="2">
        <v>0</v>
      </c>
      <c r="EK1599" t="str">
        <f>IF(AND(AND(AND(OR($DX1599=1,$DW1599=1),OR($EC1599=1,$EA1599=1)),SUM($DV1599:$DZ1599,$EF1599)&gt;=3),SUM($EA1599:$EE1599)&gt;=2),"Whole sector","")</f>
        <v/>
      </c>
      <c r="EL1599" t="str">
        <f>IF(AND(AND(OR($DX1599=1,$DW1599=1),AND($EC1599=0,$EA1599=0)),SUM($DV1599:$DZ1599,$EF1599)&gt;=3),"Ecosystem approach","")</f>
        <v/>
      </c>
      <c r="EM1599" s="2" t="str">
        <f>IF(AND(AND(AND($DX1599=0,$DW1599=0),OR($EC1599=1,$EA1599=1)),SUM($EB1599:$EE1599)&gt;=2),"Technology approach","")</f>
        <v/>
      </c>
      <c r="EN1599" t="s">
        <v>4365</v>
      </c>
      <c r="EP1599" t="b">
        <f>IF(ISNUMBER(BU1599),IF(ABS(BU1599-[5]QC_indicators!$B$2)&gt;3*[5]QC_indicators!$C$2,"C ratio",IF(ISNUMBER(BY1599),IF(ABS(BY1599-[5]QC_indicators!$B$1)&gt;3*[5]QC_indicators!$C$1,"DF","no"))),IF(ISNUMBER(BY1599),IF(ABS(BY1599-[5]QC_indicators!$B$1)&gt;3*[5]QC_indicators!$C$1,"DF","no")))</f>
        <v>0</v>
      </c>
    </row>
    <row r="1600" spans="1:147" ht="15" customHeight="1">
      <c r="A1600" s="1" t="s">
        <v>587</v>
      </c>
      <c r="B1600" t="s">
        <v>4356</v>
      </c>
      <c r="C1600" t="s">
        <v>4357</v>
      </c>
      <c r="D1600" t="s">
        <v>4358</v>
      </c>
      <c r="E1600" t="s">
        <v>4359</v>
      </c>
      <c r="F1600" t="s">
        <v>4360</v>
      </c>
      <c r="G1600" t="s">
        <v>593</v>
      </c>
      <c r="H1600" t="s">
        <v>254</v>
      </c>
      <c r="I1600">
        <v>2016</v>
      </c>
      <c r="J1600">
        <v>19</v>
      </c>
      <c r="K1600" t="s">
        <v>4361</v>
      </c>
      <c r="M1600" t="str">
        <f>LEFT($D1600,FIND(",",$D1600)-1)&amp;"_"&amp;I1600&amp;L1600</f>
        <v>Zhang_2016</v>
      </c>
      <c r="N1600" s="312" t="s">
        <v>4383</v>
      </c>
      <c r="O1600" s="145" t="s">
        <v>1154</v>
      </c>
      <c r="Q1600" s="312" t="s">
        <v>256</v>
      </c>
      <c r="R1600" s="313"/>
      <c r="S1600" s="1" t="s">
        <v>4369</v>
      </c>
      <c r="T1600">
        <v>0</v>
      </c>
      <c r="U1600" t="s">
        <v>4363</v>
      </c>
      <c r="V1600">
        <v>0</v>
      </c>
      <c r="W1600">
        <v>0</v>
      </c>
      <c r="X1600">
        <v>0</v>
      </c>
      <c r="Y1600">
        <v>0</v>
      </c>
      <c r="Z1600">
        <v>0</v>
      </c>
      <c r="AA1600">
        <v>0</v>
      </c>
      <c r="AB1600">
        <v>0</v>
      </c>
      <c r="AC1600">
        <v>0</v>
      </c>
      <c r="AD1600">
        <v>0</v>
      </c>
      <c r="AE1600">
        <v>0</v>
      </c>
      <c r="AF1600">
        <v>0</v>
      </c>
      <c r="AG1600">
        <v>1</v>
      </c>
      <c r="AH1600">
        <v>0</v>
      </c>
      <c r="AI1600">
        <v>0</v>
      </c>
      <c r="AJ1600">
        <v>0</v>
      </c>
      <c r="AK1600">
        <v>0</v>
      </c>
      <c r="AL1600">
        <v>0</v>
      </c>
      <c r="AM1600">
        <v>0</v>
      </c>
      <c r="AN1600">
        <v>0</v>
      </c>
      <c r="AO1600">
        <v>0</v>
      </c>
      <c r="AP1600">
        <v>0</v>
      </c>
      <c r="AQ1600">
        <v>0</v>
      </c>
      <c r="AR1600">
        <v>0</v>
      </c>
      <c r="AS1600">
        <v>0</v>
      </c>
      <c r="AT1600">
        <v>0</v>
      </c>
      <c r="AU1600">
        <v>0</v>
      </c>
      <c r="AV1600">
        <v>0</v>
      </c>
      <c r="AW1600">
        <v>0</v>
      </c>
      <c r="AX1600" s="141">
        <f>COUNTIF(V1600:AW1600,"&lt;&gt;0")</f>
        <v>1</v>
      </c>
      <c r="AY1600" s="141">
        <f>COUNTIF(V1600:AL1600,"&lt;&gt;0")</f>
        <v>1</v>
      </c>
      <c r="AZ1600">
        <f>COUNTIF(V1600:AC1600,"&lt;&gt;0")</f>
        <v>0</v>
      </c>
      <c r="BA1600">
        <f>COUNTIF(AD1600:AI1600,"&lt;&gt;0")</f>
        <v>1</v>
      </c>
      <c r="BB1600">
        <f>COUNTIF(AJ1600:AL1600,"&lt;&gt;0")</f>
        <v>0</v>
      </c>
      <c r="BC1600">
        <f>COUNTIF(AS1600:AW1600,"&lt;&gt;0")</f>
        <v>0</v>
      </c>
      <c r="BD1600">
        <f>COUNTIF(AM1600:AR1600,"&lt;&gt;0")</f>
        <v>0</v>
      </c>
      <c r="BE1600" t="str" cm="1">
        <f t="array" ref="BE1600">IF(AY1600=1,INDEX($V$7:$AL$7,MATCH(TRUE,INDEX($V1600:$AW1600&lt;&gt;0,),0)),IF(AY1600=0,INDEX($AM$7:$AW$7,MATCH(1,$AM1600:$AW1600,0)),IF(BF1600="Multiple strategies","mixed drivers",IF(BF1600="Supply chain","multiple supply","multiple silviculture"))))</f>
        <v>recycling</v>
      </c>
      <c r="BF1600" s="2" t="str" cm="1">
        <f t="array" ref="BF1600">IF(COUNTIF(AZ1600:BB1600,"&lt;&gt;0")=1,INDEX($V$4:$AW$4,MATCH(TRUE,INDEX($V1600:$AW1600&lt;&gt;0,),0)),IF(COUNTIF(AZ1600:BB1600,"&lt;&gt;0")=0,INDEX($AM$4:$AW$4,MATCH(1,$AM1600:$AW1600,0)),"Multiple strategies"))</f>
        <v>Supply chain</v>
      </c>
      <c r="BM1600" s="143"/>
      <c r="BN1600" s="143"/>
      <c r="BP1600" t="s">
        <v>232</v>
      </c>
      <c r="BR1600" t="s">
        <v>4364</v>
      </c>
      <c r="BS1600">
        <f>-971.4-488.6</f>
        <v>-1460</v>
      </c>
      <c r="BT1600">
        <f>-582.6</f>
        <v>-582.6</v>
      </c>
      <c r="BU1600" s="144">
        <f>IFERROR(BT1600/BS1600,"")</f>
        <v>0.39904109589041098</v>
      </c>
      <c r="BV1600" s="144">
        <f>BT1600-BS1600</f>
        <v>877.4</v>
      </c>
      <c r="BW1600" s="144"/>
      <c r="BX1600">
        <f>BV1600/1000</f>
        <v>0.87739999999999996</v>
      </c>
      <c r="BY1600" t="str">
        <f>IFERROR(BX1600/BO1600,"")</f>
        <v/>
      </c>
      <c r="BZ1600">
        <v>0</v>
      </c>
      <c r="CA1600">
        <v>0</v>
      </c>
      <c r="CB1600">
        <v>0</v>
      </c>
      <c r="CC1600">
        <v>0</v>
      </c>
      <c r="CD1600">
        <v>0</v>
      </c>
      <c r="CE1600">
        <v>0</v>
      </c>
      <c r="CF1600">
        <v>0</v>
      </c>
      <c r="CG1600">
        <v>0</v>
      </c>
      <c r="CH1600">
        <v>0</v>
      </c>
      <c r="CI1600">
        <v>0</v>
      </c>
      <c r="CJ1600">
        <v>0</v>
      </c>
      <c r="CK1600">
        <v>0</v>
      </c>
      <c r="CL1600">
        <v>0</v>
      </c>
      <c r="CM1600">
        <v>0</v>
      </c>
      <c r="CN1600" t="str">
        <f>IF(BL1600&lt;BK1600,"refNeedCorrection","refOK")</f>
        <v>refOK</v>
      </c>
      <c r="CO1600"/>
      <c r="CP1600"/>
      <c r="CQ1600"/>
      <c r="CR1600">
        <f>IF($CN1600="refOK",$BS1600,$BT1600)*IF($BP1600="Emissions positive",-1,1)</f>
        <v>-1460</v>
      </c>
      <c r="CS1600">
        <f>IF($CN1600="refOK",$BT1600,$BS1600)*IF($BP1600="Emissions positive",-1,1)</f>
        <v>-582.6</v>
      </c>
      <c r="CT1600">
        <f>IF($CN1600="refNeedCorrection",-BX1600,BX1600)*IF($BP1600="Emissions positive",-1,1)</f>
        <v>0.87739999999999996</v>
      </c>
      <c r="CU1600" t="str">
        <f>IFERROR(CT1600/CQ1600,"")</f>
        <v/>
      </c>
      <c r="CV1600" s="2">
        <f>IFERROR((CS1600-CR1600)/ABS(CR1600),"")</f>
        <v>0.60095890410958908</v>
      </c>
      <c r="CW1600" s="1" t="s">
        <v>263</v>
      </c>
      <c r="CX1600" s="312" t="str">
        <f>IF(OR($CW1600="prd",$CW1600="std",$CW1600="cit"),"loc",IF(OR($CW1600="eur",$CW1600="reg",$CW1600="coy"),"reg",$CW1600))</f>
        <v>loc</v>
      </c>
      <c r="CY1600" t="s">
        <v>540</v>
      </c>
      <c r="DB1600">
        <f>DA1600-CZ1600</f>
        <v>0</v>
      </c>
      <c r="DC1600" t="str">
        <f>IF(DB1600=0,"0",IF(AND(DB1600&gt;=1,DB1600&lt;=30),"1-30",IF(AND(DB1600&gt;30,DB1600&lt;=70),"31-70",IF(AND(DB1600&gt;70,DB1600&lt;=100),"71-100",IF(DB1600&gt;100,"+100")))))</f>
        <v>0</v>
      </c>
      <c r="DD1600">
        <v>0</v>
      </c>
      <c r="DE1600">
        <v>1</v>
      </c>
      <c r="DF1600">
        <v>0</v>
      </c>
      <c r="DG1600">
        <v>0</v>
      </c>
      <c r="DH1600">
        <v>0</v>
      </c>
      <c r="DI1600">
        <f>SUM(DD1600:DG1600)</f>
        <v>1</v>
      </c>
      <c r="DJ1600" t="str">
        <f>IF(DI1600=1,INDEX($DD$7:$DG$7,MATCH(1,$DD1600:$DG1600,0)),"mixedProduct")</f>
        <v>EnergyInput</v>
      </c>
      <c r="DK1600">
        <f>IF(DD1600=1,DK$7,0)</f>
        <v>0</v>
      </c>
      <c r="DL1600" t="str">
        <f>IF(DE1600=1,DL$7,0)</f>
        <v>Energy</v>
      </c>
      <c r="DM1600">
        <f>IF(DF1600=1,DM$7,0)</f>
        <v>0</v>
      </c>
      <c r="DN1600">
        <f>IF(DG1600=1,DN$7,0)</f>
        <v>0</v>
      </c>
      <c r="DO1600">
        <v>0</v>
      </c>
      <c r="DP1600">
        <v>0</v>
      </c>
      <c r="DQ1600">
        <v>0</v>
      </c>
      <c r="DR1600">
        <v>0</v>
      </c>
      <c r="DS1600">
        <v>0</v>
      </c>
      <c r="DT1600">
        <f>SUM(DO1600:DP1600)</f>
        <v>0</v>
      </c>
      <c r="DU1600" s="143" t="str">
        <f>IF(DO1600=1,"self-calculated DF",IF(DP1600=1,"external DF used","explicit C balance"))</f>
        <v>explicit C balance</v>
      </c>
      <c r="DV1600">
        <v>0</v>
      </c>
      <c r="DW1600">
        <v>0</v>
      </c>
      <c r="DX1600">
        <v>0</v>
      </c>
      <c r="DY1600">
        <v>0</v>
      </c>
      <c r="DZ1600">
        <v>1</v>
      </c>
      <c r="EA1600" s="143">
        <v>1</v>
      </c>
      <c r="EB1600">
        <v>0</v>
      </c>
      <c r="EC1600">
        <v>1</v>
      </c>
      <c r="ED1600">
        <v>0</v>
      </c>
      <c r="EE1600">
        <v>0</v>
      </c>
      <c r="EF1600">
        <v>0</v>
      </c>
      <c r="EG1600">
        <v>0</v>
      </c>
      <c r="EH1600">
        <v>0</v>
      </c>
      <c r="EI1600" s="2">
        <v>0</v>
      </c>
      <c r="EK1600" t="str">
        <f>IF(AND(AND(AND(OR($DX1600=1,$DW1600=1),OR($EC1600=1,$EA1600=1)),SUM($DV1600:$DZ1600,$EF1600)&gt;=3),SUM($EA1600:$EE1600)&gt;=2),"Whole sector","")</f>
        <v/>
      </c>
      <c r="EL1600" t="str">
        <f>IF(AND(AND(OR($DX1600=1,$DW1600=1),AND($EC1600=0,$EA1600=0)),SUM($DV1600:$DZ1600,$EF1600)&gt;=3),"Ecosystem approach","")</f>
        <v/>
      </c>
      <c r="EM1600" s="2" t="str">
        <f>IF(AND(AND(AND($DX1600=0,$DW1600=0),OR($EC1600=1,$EA1600=1)),SUM($EB1600:$EE1600)&gt;=2),"Technology approach","")</f>
        <v/>
      </c>
      <c r="EN1600" t="s">
        <v>4365</v>
      </c>
      <c r="EP1600" t="b">
        <f>IF(ISNUMBER(BU1600),IF(ABS(BU1600-[5]QC_indicators!$B$2)&gt;3*[5]QC_indicators!$C$2,"C ratio",IF(ISNUMBER(BY1600),IF(ABS(BY1600-[5]QC_indicators!$B$1)&gt;3*[5]QC_indicators!$C$1,"DF","no"))),IF(ISNUMBER(BY1600),IF(ABS(BY1600-[5]QC_indicators!$B$1)&gt;3*[5]QC_indicators!$C$1,"DF","no")))</f>
        <v>0</v>
      </c>
    </row>
    <row r="1601" spans="1:150">
      <c r="A1601" s="1" t="s">
        <v>587</v>
      </c>
      <c r="B1601" t="s">
        <v>4356</v>
      </c>
      <c r="C1601" t="s">
        <v>4357</v>
      </c>
      <c r="D1601" t="s">
        <v>4358</v>
      </c>
      <c r="E1601" t="s">
        <v>4359</v>
      </c>
      <c r="F1601" t="s">
        <v>4360</v>
      </c>
      <c r="G1601" t="s">
        <v>593</v>
      </c>
      <c r="H1601" t="s">
        <v>254</v>
      </c>
      <c r="I1601">
        <v>2016</v>
      </c>
      <c r="J1601">
        <v>19</v>
      </c>
      <c r="K1601" t="s">
        <v>4361</v>
      </c>
      <c r="M1601" t="str">
        <f>LEFT($D1601,FIND(",",$D1601)-1)&amp;"_"&amp;I1601&amp;L1601</f>
        <v>Zhang_2016</v>
      </c>
      <c r="N1601" s="312" t="s">
        <v>4383</v>
      </c>
      <c r="O1601" s="145" t="s">
        <v>1154</v>
      </c>
      <c r="Q1601" s="312" t="s">
        <v>256</v>
      </c>
      <c r="R1601" s="313"/>
      <c r="S1601" s="1" t="s">
        <v>4370</v>
      </c>
      <c r="T1601">
        <v>0</v>
      </c>
      <c r="U1601" t="s">
        <v>4363</v>
      </c>
      <c r="V1601">
        <v>0</v>
      </c>
      <c r="W1601">
        <v>0</v>
      </c>
      <c r="X1601">
        <v>0</v>
      </c>
      <c r="Y1601">
        <v>0</v>
      </c>
      <c r="Z1601">
        <v>0</v>
      </c>
      <c r="AA1601">
        <v>0</v>
      </c>
      <c r="AB1601">
        <v>0</v>
      </c>
      <c r="AC1601">
        <v>0</v>
      </c>
      <c r="AD1601">
        <v>0</v>
      </c>
      <c r="AE1601">
        <v>0</v>
      </c>
      <c r="AF1601">
        <v>0</v>
      </c>
      <c r="AG1601">
        <v>1</v>
      </c>
      <c r="AH1601">
        <v>0</v>
      </c>
      <c r="AI1601">
        <v>0</v>
      </c>
      <c r="AJ1601">
        <v>0</v>
      </c>
      <c r="AK1601">
        <v>0</v>
      </c>
      <c r="AL1601">
        <v>0</v>
      </c>
      <c r="AM1601">
        <v>0</v>
      </c>
      <c r="AN1601">
        <v>0</v>
      </c>
      <c r="AO1601">
        <v>0</v>
      </c>
      <c r="AP1601">
        <v>0</v>
      </c>
      <c r="AQ1601">
        <v>0</v>
      </c>
      <c r="AR1601">
        <v>0</v>
      </c>
      <c r="AS1601">
        <v>0</v>
      </c>
      <c r="AT1601">
        <v>0</v>
      </c>
      <c r="AU1601">
        <v>0</v>
      </c>
      <c r="AV1601">
        <v>0</v>
      </c>
      <c r="AW1601">
        <v>0</v>
      </c>
      <c r="AX1601" s="141">
        <f>COUNTIF(V1601:AW1601,"&lt;&gt;0")</f>
        <v>1</v>
      </c>
      <c r="AY1601" s="141">
        <f>COUNTIF(V1601:AL1601,"&lt;&gt;0")</f>
        <v>1</v>
      </c>
      <c r="AZ1601">
        <f>COUNTIF(V1601:AC1601,"&lt;&gt;0")</f>
        <v>0</v>
      </c>
      <c r="BA1601">
        <f>COUNTIF(AD1601:AI1601,"&lt;&gt;0")</f>
        <v>1</v>
      </c>
      <c r="BB1601">
        <f>COUNTIF(AJ1601:AL1601,"&lt;&gt;0")</f>
        <v>0</v>
      </c>
      <c r="BC1601">
        <f>COUNTIF(AS1601:AW1601,"&lt;&gt;0")</f>
        <v>0</v>
      </c>
      <c r="BD1601">
        <f>COUNTIF(AM1601:AR1601,"&lt;&gt;0")</f>
        <v>0</v>
      </c>
      <c r="BE1601" t="str" cm="1">
        <f t="array" ref="BE1601">IF(AY1601=1,INDEX($V$7:$AL$7,MATCH(TRUE,INDEX($V1601:$AW1601&lt;&gt;0,),0)),IF(AY1601=0,INDEX($AM$7:$AW$7,MATCH(1,$AM1601:$AW1601,0)),IF(BF1601="Multiple strategies","mixed drivers",IF(BF1601="Supply chain","multiple supply","multiple silviculture"))))</f>
        <v>recycling</v>
      </c>
      <c r="BF1601" s="2" t="str" cm="1">
        <f t="array" ref="BF1601">IF(COUNTIF(AZ1601:BB1601,"&lt;&gt;0")=1,INDEX($V$4:$AW$4,MATCH(TRUE,INDEX($V1601:$AW1601&lt;&gt;0,),0)),IF(COUNTIF(AZ1601:BB1601,"&lt;&gt;0")=0,INDEX($AM$4:$AW$4,MATCH(1,$AM1601:$AW1601,0)),"Multiple strategies"))</f>
        <v>Supply chain</v>
      </c>
      <c r="BM1601" s="143"/>
      <c r="BN1601" s="143"/>
      <c r="BP1601" t="s">
        <v>232</v>
      </c>
      <c r="BR1601" t="s">
        <v>4364</v>
      </c>
      <c r="BS1601">
        <f>-971.4-445.5</f>
        <v>-1416.9</v>
      </c>
      <c r="BT1601">
        <v>-669.4</v>
      </c>
      <c r="BU1601" s="144">
        <f>IFERROR(BT1601/BS1601,"")</f>
        <v>0.47243983343919821</v>
      </c>
      <c r="BV1601" s="144">
        <f>BT1601-BS1601</f>
        <v>747.50000000000011</v>
      </c>
      <c r="BW1601" s="144"/>
      <c r="BX1601">
        <f>BV1601/1000</f>
        <v>0.74750000000000016</v>
      </c>
      <c r="BY1601" t="str">
        <f>IFERROR(BX1601/BO1601,"")</f>
        <v/>
      </c>
      <c r="BZ1601">
        <v>0</v>
      </c>
      <c r="CA1601">
        <v>0</v>
      </c>
      <c r="CB1601">
        <v>0</v>
      </c>
      <c r="CC1601">
        <v>0</v>
      </c>
      <c r="CD1601">
        <v>0</v>
      </c>
      <c r="CE1601">
        <v>0</v>
      </c>
      <c r="CF1601">
        <v>0</v>
      </c>
      <c r="CG1601">
        <v>0</v>
      </c>
      <c r="CH1601">
        <v>0</v>
      </c>
      <c r="CI1601">
        <v>0</v>
      </c>
      <c r="CJ1601">
        <v>0</v>
      </c>
      <c r="CK1601">
        <v>0</v>
      </c>
      <c r="CL1601">
        <v>0</v>
      </c>
      <c r="CM1601">
        <v>0</v>
      </c>
      <c r="CN1601" t="str">
        <f>IF(BL1601&lt;BK1601,"refNeedCorrection","refOK")</f>
        <v>refOK</v>
      </c>
      <c r="CO1601"/>
      <c r="CP1601"/>
      <c r="CQ1601"/>
      <c r="CR1601">
        <f>IF($CN1601="refOK",$BS1601,$BT1601)*IF($BP1601="Emissions positive",-1,1)</f>
        <v>-1416.9</v>
      </c>
      <c r="CS1601">
        <f>IF($CN1601="refOK",$BT1601,$BS1601)*IF($BP1601="Emissions positive",-1,1)</f>
        <v>-669.4</v>
      </c>
      <c r="CT1601">
        <f>IF($CN1601="refNeedCorrection",-BX1601,BX1601)*IF($BP1601="Emissions positive",-1,1)</f>
        <v>0.74750000000000016</v>
      </c>
      <c r="CU1601" t="str">
        <f>IFERROR(CT1601/CQ1601,"")</f>
        <v/>
      </c>
      <c r="CV1601" s="2">
        <f>IFERROR((CS1601-CR1601)/ABS(CR1601),"")</f>
        <v>0.52756016656080185</v>
      </c>
      <c r="CW1601" s="1" t="s">
        <v>263</v>
      </c>
      <c r="CX1601" s="312" t="str">
        <f>IF(OR($CW1601="prd",$CW1601="std",$CW1601="cit"),"loc",IF(OR($CW1601="eur",$CW1601="reg",$CW1601="coy"),"reg",$CW1601))</f>
        <v>loc</v>
      </c>
      <c r="CY1601" t="s">
        <v>540</v>
      </c>
      <c r="DB1601">
        <f>DA1601-CZ1601</f>
        <v>0</v>
      </c>
      <c r="DC1601" t="str">
        <f>IF(DB1601=0,"0",IF(AND(DB1601&gt;=1,DB1601&lt;=30),"1-30",IF(AND(DB1601&gt;30,DB1601&lt;=70),"31-70",IF(AND(DB1601&gt;70,DB1601&lt;=100),"71-100",IF(DB1601&gt;100,"+100")))))</f>
        <v>0</v>
      </c>
      <c r="DD1601">
        <v>0</v>
      </c>
      <c r="DE1601">
        <v>1</v>
      </c>
      <c r="DF1601">
        <v>0</v>
      </c>
      <c r="DG1601">
        <v>0</v>
      </c>
      <c r="DH1601">
        <v>0</v>
      </c>
      <c r="DI1601">
        <f>SUM(DD1601:DG1601)</f>
        <v>1</v>
      </c>
      <c r="DJ1601" t="str">
        <f>IF(DI1601=1,INDEX($DD$7:$DG$7,MATCH(1,$DD1601:$DG1601,0)),"mixedProduct")</f>
        <v>EnergyInput</v>
      </c>
      <c r="DK1601">
        <f>IF(DD1601=1,DK$7,0)</f>
        <v>0</v>
      </c>
      <c r="DL1601" t="str">
        <f>IF(DE1601=1,DL$7,0)</f>
        <v>Energy</v>
      </c>
      <c r="DM1601">
        <f>IF(DF1601=1,DM$7,0)</f>
        <v>0</v>
      </c>
      <c r="DN1601">
        <f>IF(DG1601=1,DN$7,0)</f>
        <v>0</v>
      </c>
      <c r="DO1601">
        <v>0</v>
      </c>
      <c r="DP1601">
        <v>0</v>
      </c>
      <c r="DQ1601">
        <v>0</v>
      </c>
      <c r="DR1601">
        <v>0</v>
      </c>
      <c r="DS1601">
        <v>0</v>
      </c>
      <c r="DT1601">
        <f>SUM(DO1601:DP1601)</f>
        <v>0</v>
      </c>
      <c r="DU1601" s="143" t="str">
        <f>IF(DO1601=1,"self-calculated DF",IF(DP1601=1,"external DF used","explicit C balance"))</f>
        <v>explicit C balance</v>
      </c>
      <c r="DV1601">
        <v>0</v>
      </c>
      <c r="DW1601">
        <v>0</v>
      </c>
      <c r="DX1601">
        <v>0</v>
      </c>
      <c r="DY1601">
        <v>0</v>
      </c>
      <c r="DZ1601">
        <v>1</v>
      </c>
      <c r="EA1601" s="143">
        <v>1</v>
      </c>
      <c r="EB1601">
        <v>0</v>
      </c>
      <c r="EC1601">
        <v>1</v>
      </c>
      <c r="ED1601">
        <v>0</v>
      </c>
      <c r="EE1601">
        <v>0</v>
      </c>
      <c r="EF1601">
        <v>0</v>
      </c>
      <c r="EG1601">
        <v>0</v>
      </c>
      <c r="EH1601">
        <v>0</v>
      </c>
      <c r="EI1601" s="2">
        <v>0</v>
      </c>
      <c r="EK1601" t="str">
        <f>IF(AND(AND(AND(OR($DX1601=1,$DW1601=1),OR($EC1601=1,$EA1601=1)),SUM($DV1601:$DZ1601,$EF1601)&gt;=3),SUM($EA1601:$EE1601)&gt;=2),"Whole sector","")</f>
        <v/>
      </c>
      <c r="EL1601" t="str">
        <f>IF(AND(AND(OR($DX1601=1,$DW1601=1),AND($EC1601=0,$EA1601=0)),SUM($DV1601:$DZ1601,$EF1601)&gt;=3),"Ecosystem approach","")</f>
        <v/>
      </c>
      <c r="EM1601" s="2" t="str">
        <f>IF(AND(AND(AND($DX1601=0,$DW1601=0),OR($EC1601=1,$EA1601=1)),SUM($EB1601:$EE1601)&gt;=2),"Technology approach","")</f>
        <v/>
      </c>
      <c r="EN1601" t="s">
        <v>4365</v>
      </c>
      <c r="EP1601" t="b">
        <f>IF(ISNUMBER(BU1601),IF(ABS(BU1601-[5]QC_indicators!$B$2)&gt;3*[5]QC_indicators!$C$2,"C ratio",IF(ISNUMBER(BY1601),IF(ABS(BY1601-[5]QC_indicators!$B$1)&gt;3*[5]QC_indicators!$C$1,"DF","no"))),IF(ISNUMBER(BY1601),IF(ABS(BY1601-[5]QC_indicators!$B$1)&gt;3*[5]QC_indicators!$C$1,"DF","no")))</f>
        <v>0</v>
      </c>
    </row>
    <row r="1602" spans="1:150" ht="15" customHeight="1">
      <c r="A1602" s="1" t="s">
        <v>4371</v>
      </c>
      <c r="B1602" t="s">
        <v>4372</v>
      </c>
      <c r="C1602" t="s">
        <v>4373</v>
      </c>
      <c r="D1602" t="s">
        <v>4374</v>
      </c>
      <c r="E1602" t="s">
        <v>4375</v>
      </c>
      <c r="F1602" t="s">
        <v>4376</v>
      </c>
      <c r="G1602" t="s">
        <v>4377</v>
      </c>
      <c r="H1602" t="s">
        <v>254</v>
      </c>
      <c r="I1602">
        <v>2015</v>
      </c>
      <c r="J1602">
        <v>3</v>
      </c>
      <c r="K1602" t="s">
        <v>4378</v>
      </c>
      <c r="M1602" t="str">
        <f>LEFT($D1602,FIND(",",$D1602)-1)&amp;"_"&amp;I1602&amp;L1602</f>
        <v>Zhou_2015</v>
      </c>
      <c r="N1602" s="312" t="s">
        <v>4383</v>
      </c>
      <c r="O1602" s="145" t="s">
        <v>1154</v>
      </c>
      <c r="Q1602" s="312" t="s">
        <v>256</v>
      </c>
      <c r="R1602" s="313"/>
      <c r="S1602" s="1" t="s">
        <v>4379</v>
      </c>
      <c r="T1602" t="s">
        <v>1197</v>
      </c>
      <c r="U1602" t="s">
        <v>1198</v>
      </c>
      <c r="V1602">
        <v>0</v>
      </c>
      <c r="W1602">
        <v>0</v>
      </c>
      <c r="X1602">
        <v>0</v>
      </c>
      <c r="Y1602">
        <v>0</v>
      </c>
      <c r="Z1602">
        <v>0</v>
      </c>
      <c r="AA1602">
        <v>0</v>
      </c>
      <c r="AB1602">
        <v>0</v>
      </c>
      <c r="AC1602">
        <v>0</v>
      </c>
      <c r="AD1602">
        <v>0</v>
      </c>
      <c r="AE1602">
        <v>0</v>
      </c>
      <c r="AF1602">
        <v>0</v>
      </c>
      <c r="AG1602">
        <v>0</v>
      </c>
      <c r="AH1602">
        <v>0</v>
      </c>
      <c r="AI1602">
        <v>0</v>
      </c>
      <c r="AJ1602">
        <v>1</v>
      </c>
      <c r="AK1602">
        <v>0</v>
      </c>
      <c r="AL1602">
        <v>0</v>
      </c>
      <c r="AM1602">
        <v>0</v>
      </c>
      <c r="AN1602">
        <v>0</v>
      </c>
      <c r="AO1602">
        <v>0</v>
      </c>
      <c r="AP1602">
        <v>0</v>
      </c>
      <c r="AQ1602">
        <v>0</v>
      </c>
      <c r="AR1602">
        <v>0</v>
      </c>
      <c r="AS1602">
        <v>0</v>
      </c>
      <c r="AT1602">
        <v>0</v>
      </c>
      <c r="AU1602">
        <v>0</v>
      </c>
      <c r="AV1602">
        <v>0</v>
      </c>
      <c r="AW1602">
        <v>0</v>
      </c>
      <c r="AX1602" s="141">
        <f>COUNTIF(V1602:AW1602,"&lt;&gt;0")</f>
        <v>1</v>
      </c>
      <c r="AY1602" s="141">
        <f>COUNTIF(V1602:AL1602,"&lt;&gt;0")</f>
        <v>1</v>
      </c>
      <c r="AZ1602">
        <f>COUNTIF(V1602:AC1602,"&lt;&gt;0")</f>
        <v>0</v>
      </c>
      <c r="BA1602">
        <f>COUNTIF(AD1602:AI1602,"&lt;&gt;0")</f>
        <v>0</v>
      </c>
      <c r="BB1602">
        <f>COUNTIF(AJ1602:AL1602,"&lt;&gt;0")</f>
        <v>1</v>
      </c>
      <c r="BC1602">
        <f>COUNTIF(AS1602:AW1602,"&lt;&gt;0")</f>
        <v>0</v>
      </c>
      <c r="BD1602">
        <f>COUNTIF(AM1602:AR1602,"&lt;&gt;0")</f>
        <v>0</v>
      </c>
      <c r="BE1602" t="str" cm="1">
        <f t="array" ref="BE1602">IF(AY1602=1,INDEX($V$7:$AL$7,MATCH(TRUE,INDEX($V1602:$AW1602&lt;&gt;0,),0)),IF(AY1602=0,INDEX($AM$7:$AW$7,MATCH(1,$AM1602:$AW1602,0)),IF(BF1602="Multiple strategies","mixed drivers",IF(BF1602="Supply chain","multiple supply","multiple silviculture"))))</f>
        <v>efficiency improvement</v>
      </c>
      <c r="BF1602" s="2" t="str" cm="1">
        <f t="array" ref="BF1602">IF(COUNTIF(AZ1602:BB1602,"&lt;&gt;0")=1,INDEX($V$4:$AW$4,MATCH(TRUE,INDEX($V1602:$AW1602&lt;&gt;0,),0)),IF(COUNTIF(AZ1602:BB1602,"&lt;&gt;0")=0,INDEX($AM$4:$AW$4,MATCH(1,$AM1602:$AW1602,0)),"Multiple strategies"))</f>
        <v>Technology</v>
      </c>
      <c r="BM1602" s="143"/>
      <c r="BN1602" s="143"/>
      <c r="BP1602" t="s">
        <v>232</v>
      </c>
      <c r="BR1602" t="s">
        <v>4380</v>
      </c>
      <c r="BS1602">
        <v>-12.636000000000001</v>
      </c>
      <c r="BT1602">
        <v>-9.6009999999999991</v>
      </c>
      <c r="BU1602" s="144">
        <f>IFERROR(BT1602/BS1602,"")</f>
        <v>0.75981323203545414</v>
      </c>
      <c r="BV1602" s="144">
        <f>BT1602-BS1602</f>
        <v>3.0350000000000019</v>
      </c>
      <c r="BW1602" s="144"/>
      <c r="BX1602">
        <f>BV1602/1000</f>
        <v>3.0350000000000021E-3</v>
      </c>
      <c r="BY1602" t="str">
        <f>IFERROR(BX1602/BO1602,"")</f>
        <v/>
      </c>
      <c r="BZ1602">
        <v>0</v>
      </c>
      <c r="CA1602">
        <v>0</v>
      </c>
      <c r="CB1602">
        <v>0</v>
      </c>
      <c r="CC1602">
        <v>0</v>
      </c>
      <c r="CD1602">
        <v>0</v>
      </c>
      <c r="CE1602">
        <v>0</v>
      </c>
      <c r="CF1602">
        <v>0</v>
      </c>
      <c r="CG1602">
        <v>0</v>
      </c>
      <c r="CH1602">
        <v>0</v>
      </c>
      <c r="CI1602">
        <v>0</v>
      </c>
      <c r="CJ1602">
        <v>0</v>
      </c>
      <c r="CK1602">
        <v>0</v>
      </c>
      <c r="CL1602">
        <v>0</v>
      </c>
      <c r="CM1602">
        <v>0</v>
      </c>
      <c r="CN1602" t="str">
        <f>IF(BL1602&lt;BK1602,"refNeedCorrection","refOK")</f>
        <v>refOK</v>
      </c>
      <c r="CO1602"/>
      <c r="CP1602"/>
      <c r="CQ1602"/>
      <c r="CR1602">
        <f>IF($CN1602="refOK",$BS1602,$BT1602)*IF($BP1602="Emissions positive",-1,1)</f>
        <v>-12.636000000000001</v>
      </c>
      <c r="CS1602">
        <f>IF($CN1602="refOK",$BT1602,$BS1602)*IF($BP1602="Emissions positive",-1,1)</f>
        <v>-9.6009999999999991</v>
      </c>
      <c r="CT1602">
        <f>IF($CN1602="refNeedCorrection",-BX1602,BX1602)*IF($BP1602="Emissions positive",-1,1)</f>
        <v>3.0350000000000021E-3</v>
      </c>
      <c r="CU1602" t="str">
        <f>IFERROR(CT1602/CQ1602,"")</f>
        <v/>
      </c>
      <c r="CV1602" s="2">
        <f>IFERROR((CS1602-CR1602)/ABS(CR1602),"")</f>
        <v>0.24018676796454588</v>
      </c>
      <c r="CW1602" s="1" t="s">
        <v>263</v>
      </c>
      <c r="CX1602" s="312" t="str">
        <f>IF(OR($CW1602="prd",$CW1602="std",$CW1602="cit"),"loc",IF(OR($CW1602="eur",$CW1602="reg",$CW1602="coy"),"reg",$CW1602))</f>
        <v>loc</v>
      </c>
      <c r="CY1602" t="s">
        <v>690</v>
      </c>
      <c r="DB1602">
        <f>DA1602-CZ1602</f>
        <v>0</v>
      </c>
      <c r="DC1602" t="str">
        <f>IF(DB1602=0,"0",IF(AND(DB1602&gt;=1,DB1602&lt;=30),"1-30",IF(AND(DB1602&gt;30,DB1602&lt;=70),"31-70",IF(AND(DB1602&gt;70,DB1602&lt;=100),"71-100",IF(DB1602&gt;100,"+100")))))</f>
        <v>0</v>
      </c>
      <c r="DD1602">
        <v>1</v>
      </c>
      <c r="DE1602">
        <v>0</v>
      </c>
      <c r="DF1602">
        <v>0</v>
      </c>
      <c r="DG1602">
        <v>0</v>
      </c>
      <c r="DH1602">
        <v>0</v>
      </c>
      <c r="DI1602">
        <f>SUM(DD1602:DG1602)</f>
        <v>1</v>
      </c>
      <c r="DJ1602" t="str">
        <f>IF(DI1602=1,INDEX($DD$7:$DG$7,MATCH(1,$DD1602:$DG1602,0)),"mixedProduct")</f>
        <v>UpstreamInput</v>
      </c>
      <c r="DK1602" t="str">
        <f>IF(DD1602=1,DK$7,0)</f>
        <v>Upstream</v>
      </c>
      <c r="DL1602">
        <f>IF(DE1602=1,DL$7,0)</f>
        <v>0</v>
      </c>
      <c r="DM1602">
        <f>IF(DF1602=1,DM$7,0)</f>
        <v>0</v>
      </c>
      <c r="DN1602">
        <f>IF(DG1602=1,DN$7,0)</f>
        <v>0</v>
      </c>
      <c r="DO1602">
        <v>0</v>
      </c>
      <c r="DP1602">
        <v>0</v>
      </c>
      <c r="DQ1602">
        <v>0</v>
      </c>
      <c r="DR1602">
        <v>0</v>
      </c>
      <c r="DS1602">
        <v>0</v>
      </c>
      <c r="DT1602">
        <f>SUM(DO1602:DP1602)</f>
        <v>0</v>
      </c>
      <c r="DU1602" s="143" t="str">
        <f>IF(DO1602=1,"self-calculated DF",IF(DP1602=1,"external DF used","explicit C balance"))</f>
        <v>explicit C balance</v>
      </c>
      <c r="DV1602">
        <v>0</v>
      </c>
      <c r="DW1602">
        <v>0</v>
      </c>
      <c r="DX1602">
        <v>0</v>
      </c>
      <c r="DY1602">
        <v>0</v>
      </c>
      <c r="DZ1602">
        <v>0</v>
      </c>
      <c r="EA1602" s="143">
        <v>0</v>
      </c>
      <c r="EB1602">
        <v>0</v>
      </c>
      <c r="EC1602">
        <v>1</v>
      </c>
      <c r="ED1602">
        <v>0</v>
      </c>
      <c r="EE1602">
        <v>0</v>
      </c>
      <c r="EF1602">
        <v>0</v>
      </c>
      <c r="EG1602">
        <v>0</v>
      </c>
      <c r="EH1602">
        <v>0</v>
      </c>
      <c r="EI1602" s="2">
        <v>0</v>
      </c>
      <c r="EK1602" t="str">
        <f>IF(AND(AND(AND(OR($DX1602=1,$DW1602=1),OR($EC1602=1,$EA1602=1)),SUM($DV1602:$DZ1602,$EF1602)&gt;=3),SUM($EA1602:$EE1602)&gt;=2),"Whole sector","")</f>
        <v/>
      </c>
      <c r="EL1602" t="str">
        <f>IF(AND(AND(OR($DX1602=1,$DW1602=1),AND($EC1602=0,$EA1602=0)),SUM($DV1602:$DZ1602,$EF1602)&gt;=3),"Ecosystem approach","")</f>
        <v/>
      </c>
      <c r="EM1602" s="2" t="str">
        <f>IF(AND(AND(AND($DX1602=0,$DW1602=0),OR($EC1602=1,$EA1602=1)),SUM($EB1602:$EE1602)&gt;=2),"Technology approach","")</f>
        <v/>
      </c>
      <c r="EP1602" t="b">
        <f>IF(ISNUMBER(BU1602),IF(ABS(BU1602-[5]QC_indicators!$B$2)&gt;3*[5]QC_indicators!$C$2,"C ratio",IF(ISNUMBER(BY1602),IF(ABS(BY1602-[5]QC_indicators!$B$1)&gt;3*[5]QC_indicators!$C$1,"DF","no"))),IF(ISNUMBER(BY1602),IF(ABS(BY1602-[5]QC_indicators!$B$1)&gt;3*[5]QC_indicators!$C$1,"DF","no")))</f>
        <v>0</v>
      </c>
    </row>
    <row r="1603" spans="1:150" ht="15" customHeight="1">
      <c r="A1603" s="1" t="s">
        <v>4371</v>
      </c>
      <c r="B1603" t="s">
        <v>4372</v>
      </c>
      <c r="C1603" t="s">
        <v>4373</v>
      </c>
      <c r="D1603" t="s">
        <v>4374</v>
      </c>
      <c r="E1603" t="s">
        <v>4375</v>
      </c>
      <c r="F1603" t="s">
        <v>4376</v>
      </c>
      <c r="G1603" t="s">
        <v>4377</v>
      </c>
      <c r="H1603" t="s">
        <v>254</v>
      </c>
      <c r="I1603">
        <v>2015</v>
      </c>
      <c r="J1603">
        <v>3</v>
      </c>
      <c r="K1603" t="s">
        <v>4378</v>
      </c>
      <c r="M1603" t="str">
        <f>LEFT($D1603,FIND(",",$D1603)-1)&amp;"_"&amp;I1603&amp;L1603</f>
        <v>Zhou_2015</v>
      </c>
      <c r="N1603" s="312" t="s">
        <v>4383</v>
      </c>
      <c r="O1603" s="145" t="s">
        <v>1154</v>
      </c>
      <c r="Q1603" s="312" t="s">
        <v>256</v>
      </c>
      <c r="R1603" s="313"/>
      <c r="S1603" s="1" t="s">
        <v>4379</v>
      </c>
      <c r="T1603" t="s">
        <v>1197</v>
      </c>
      <c r="U1603" t="s">
        <v>1198</v>
      </c>
      <c r="V1603">
        <v>0</v>
      </c>
      <c r="W1603">
        <v>0</v>
      </c>
      <c r="X1603">
        <v>0</v>
      </c>
      <c r="Y1603">
        <v>0</v>
      </c>
      <c r="Z1603">
        <v>0</v>
      </c>
      <c r="AA1603">
        <v>0</v>
      </c>
      <c r="AB1603">
        <v>0</v>
      </c>
      <c r="AC1603">
        <v>0</v>
      </c>
      <c r="AD1603">
        <v>0</v>
      </c>
      <c r="AE1603">
        <v>0</v>
      </c>
      <c r="AF1603">
        <v>0</v>
      </c>
      <c r="AG1603">
        <v>0</v>
      </c>
      <c r="AH1603">
        <v>0</v>
      </c>
      <c r="AI1603">
        <v>0</v>
      </c>
      <c r="AJ1603">
        <v>1</v>
      </c>
      <c r="AK1603">
        <v>0</v>
      </c>
      <c r="AL1603">
        <v>0</v>
      </c>
      <c r="AM1603">
        <v>0</v>
      </c>
      <c r="AN1603">
        <v>0</v>
      </c>
      <c r="AO1603">
        <v>0</v>
      </c>
      <c r="AP1603">
        <v>0</v>
      </c>
      <c r="AQ1603">
        <v>0</v>
      </c>
      <c r="AR1603">
        <v>0</v>
      </c>
      <c r="AS1603">
        <v>0</v>
      </c>
      <c r="AT1603">
        <v>0</v>
      </c>
      <c r="AU1603">
        <v>0</v>
      </c>
      <c r="AV1603">
        <v>0</v>
      </c>
      <c r="AW1603">
        <v>0</v>
      </c>
      <c r="AX1603" s="141">
        <f>COUNTIF(V1603:AW1603,"&lt;&gt;0")</f>
        <v>1</v>
      </c>
      <c r="AY1603" s="141">
        <f>COUNTIF(V1603:AL1603,"&lt;&gt;0")</f>
        <v>1</v>
      </c>
      <c r="AZ1603">
        <f>COUNTIF(V1603:AC1603,"&lt;&gt;0")</f>
        <v>0</v>
      </c>
      <c r="BA1603">
        <f>COUNTIF(AD1603:AI1603,"&lt;&gt;0")</f>
        <v>0</v>
      </c>
      <c r="BB1603">
        <f>COUNTIF(AJ1603:AL1603,"&lt;&gt;0")</f>
        <v>1</v>
      </c>
      <c r="BC1603">
        <f>COUNTIF(AS1603:AW1603,"&lt;&gt;0")</f>
        <v>0</v>
      </c>
      <c r="BD1603">
        <f>COUNTIF(AM1603:AR1603,"&lt;&gt;0")</f>
        <v>0</v>
      </c>
      <c r="BE1603" t="str" cm="1">
        <f t="array" ref="BE1603">IF(AY1603=1,INDEX($V$7:$AL$7,MATCH(TRUE,INDEX($V1603:$AW1603&lt;&gt;0,),0)),IF(AY1603=0,INDEX($AM$7:$AW$7,MATCH(1,$AM1603:$AW1603,0)),IF(BF1603="Multiple strategies","mixed drivers",IF(BF1603="Supply chain","multiple supply","multiple silviculture"))))</f>
        <v>efficiency improvement</v>
      </c>
      <c r="BF1603" s="2" t="str" cm="1">
        <f t="array" ref="BF1603">IF(COUNTIF(AZ1603:BB1603,"&lt;&gt;0")=1,INDEX($V$4:$AW$4,MATCH(TRUE,INDEX($V1603:$AW1603&lt;&gt;0,),0)),IF(COUNTIF(AZ1603:BB1603,"&lt;&gt;0")=0,INDEX($AM$4:$AW$4,MATCH(1,$AM1603:$AW1603,0)),"Multiple strategies"))</f>
        <v>Technology</v>
      </c>
      <c r="BM1603" s="143"/>
      <c r="BN1603" s="143"/>
      <c r="BP1603" t="s">
        <v>232</v>
      </c>
      <c r="BR1603" t="s">
        <v>4380</v>
      </c>
      <c r="BS1603">
        <v>-14.633000000000001</v>
      </c>
      <c r="BT1603">
        <v>-12.265999999999998</v>
      </c>
      <c r="BU1603" s="144">
        <f>IFERROR(BT1603/BS1603,"")</f>
        <v>0.83824232898243678</v>
      </c>
      <c r="BV1603" s="144">
        <f>BT1603-BS1603</f>
        <v>2.3670000000000027</v>
      </c>
      <c r="BW1603" s="144"/>
      <c r="BX1603">
        <f>BV1603/1000</f>
        <v>2.3670000000000028E-3</v>
      </c>
      <c r="BY1603" t="str">
        <f>IFERROR(BX1603/BO1603,"")</f>
        <v/>
      </c>
      <c r="BZ1603">
        <v>0</v>
      </c>
      <c r="CA1603">
        <v>0</v>
      </c>
      <c r="CB1603">
        <v>0</v>
      </c>
      <c r="CC1603">
        <v>0</v>
      </c>
      <c r="CD1603">
        <v>0</v>
      </c>
      <c r="CE1603">
        <v>0</v>
      </c>
      <c r="CF1603">
        <v>0</v>
      </c>
      <c r="CG1603">
        <v>0</v>
      </c>
      <c r="CH1603">
        <v>0</v>
      </c>
      <c r="CI1603">
        <v>0</v>
      </c>
      <c r="CJ1603">
        <v>0</v>
      </c>
      <c r="CK1603">
        <v>0</v>
      </c>
      <c r="CL1603">
        <v>0</v>
      </c>
      <c r="CM1603">
        <v>0</v>
      </c>
      <c r="CN1603" t="str">
        <f>IF(BL1603&lt;BK1603,"refNeedCorrection","refOK")</f>
        <v>refOK</v>
      </c>
      <c r="CO1603"/>
      <c r="CP1603"/>
      <c r="CQ1603"/>
      <c r="CR1603">
        <f>IF($CN1603="refOK",$BS1603,$BT1603)*IF($BP1603="Emissions positive",-1,1)</f>
        <v>-14.633000000000001</v>
      </c>
      <c r="CS1603">
        <f>IF($CN1603="refOK",$BT1603,$BS1603)*IF($BP1603="Emissions positive",-1,1)</f>
        <v>-12.265999999999998</v>
      </c>
      <c r="CT1603">
        <f>IF($CN1603="refNeedCorrection",-BX1603,BX1603)*IF($BP1603="Emissions positive",-1,1)</f>
        <v>2.3670000000000028E-3</v>
      </c>
      <c r="CU1603" t="str">
        <f>IFERROR(CT1603/CQ1603,"")</f>
        <v/>
      </c>
      <c r="CV1603" s="2">
        <f>IFERROR((CS1603-CR1603)/ABS(CR1603),"")</f>
        <v>0.16175767101756322</v>
      </c>
      <c r="CW1603" s="1" t="s">
        <v>263</v>
      </c>
      <c r="CX1603" s="312" t="str">
        <f>IF(OR($CW1603="prd",$CW1603="std",$CW1603="cit"),"loc",IF(OR($CW1603="eur",$CW1603="reg",$CW1603="coy"),"reg",$CW1603))</f>
        <v>loc</v>
      </c>
      <c r="CY1603" t="s">
        <v>690</v>
      </c>
      <c r="DB1603">
        <f>DA1603-CZ1603</f>
        <v>0</v>
      </c>
      <c r="DC1603" t="str">
        <f>IF(DB1603=0,"0",IF(AND(DB1603&gt;=1,DB1603&lt;=30),"1-30",IF(AND(DB1603&gt;30,DB1603&lt;=70),"31-70",IF(AND(DB1603&gt;70,DB1603&lt;=100),"71-100",IF(DB1603&gt;100,"+100")))))</f>
        <v>0</v>
      </c>
      <c r="DD1603">
        <v>1</v>
      </c>
      <c r="DE1603">
        <v>0</v>
      </c>
      <c r="DF1603">
        <v>0</v>
      </c>
      <c r="DG1603">
        <v>0</v>
      </c>
      <c r="DH1603">
        <v>0</v>
      </c>
      <c r="DI1603">
        <f>SUM(DD1603:DG1603)</f>
        <v>1</v>
      </c>
      <c r="DJ1603" t="str">
        <f>IF(DI1603=1,INDEX($DD$7:$DG$7,MATCH(1,$DD1603:$DG1603,0)),"mixedProduct")</f>
        <v>UpstreamInput</v>
      </c>
      <c r="DK1603" t="str">
        <f>IF(DD1603=1,DK$7,0)</f>
        <v>Upstream</v>
      </c>
      <c r="DL1603">
        <f>IF(DE1603=1,DL$7,0)</f>
        <v>0</v>
      </c>
      <c r="DM1603">
        <f>IF(DF1603=1,DM$7,0)</f>
        <v>0</v>
      </c>
      <c r="DN1603">
        <f>IF(DG1603=1,DN$7,0)</f>
        <v>0</v>
      </c>
      <c r="DO1603">
        <v>0</v>
      </c>
      <c r="DP1603">
        <v>0</v>
      </c>
      <c r="DQ1603">
        <v>0</v>
      </c>
      <c r="DR1603">
        <v>0</v>
      </c>
      <c r="DS1603">
        <v>0</v>
      </c>
      <c r="DT1603">
        <f>SUM(DO1603:DP1603)</f>
        <v>0</v>
      </c>
      <c r="DU1603" s="143" t="str">
        <f>IF(DO1603=1,"self-calculated DF",IF(DP1603=1,"external DF used","explicit C balance"))</f>
        <v>explicit C balance</v>
      </c>
      <c r="DV1603">
        <v>0</v>
      </c>
      <c r="DW1603">
        <v>0</v>
      </c>
      <c r="DX1603">
        <v>0</v>
      </c>
      <c r="DY1603">
        <v>0</v>
      </c>
      <c r="DZ1603">
        <v>0</v>
      </c>
      <c r="EA1603" s="143">
        <v>0</v>
      </c>
      <c r="EB1603">
        <v>1</v>
      </c>
      <c r="EC1603">
        <v>1</v>
      </c>
      <c r="ED1603">
        <v>0</v>
      </c>
      <c r="EE1603">
        <v>0</v>
      </c>
      <c r="EF1603">
        <v>0</v>
      </c>
      <c r="EG1603">
        <v>0</v>
      </c>
      <c r="EH1603">
        <v>0</v>
      </c>
      <c r="EI1603" s="2">
        <v>0</v>
      </c>
      <c r="EK1603" t="str">
        <f>IF(AND(AND(AND(OR($DX1603=1,$DW1603=1),OR($EC1603=1,$EA1603=1)),SUM($DV1603:$DZ1603,$EF1603)&gt;=3),SUM($EA1603:$EE1603)&gt;=2),"Whole sector","")</f>
        <v/>
      </c>
      <c r="EL1603" t="str">
        <f>IF(AND(AND(OR($DX1603=1,$DW1603=1),AND($EC1603=0,$EA1603=0)),SUM($DV1603:$DZ1603,$EF1603)&gt;=3),"Ecosystem approach","")</f>
        <v/>
      </c>
      <c r="EM1603" s="2" t="str">
        <f>IF(AND(AND(AND($DX1603=0,$DW1603=0),OR($EC1603=1,$EA1603=1)),SUM($EB1603:$EE1603)&gt;=2),"Technology approach","")</f>
        <v>Technology approach</v>
      </c>
      <c r="EP1603" t="b">
        <f>IF(ISNUMBER(BU1603),IF(ABS(BU1603-[5]QC_indicators!$B$2)&gt;3*[5]QC_indicators!$C$2,"C ratio",IF(ISNUMBER(BY1603),IF(ABS(BY1603-[5]QC_indicators!$B$1)&gt;3*[5]QC_indicators!$C$1,"DF","no"))),IF(ISNUMBER(BY1603),IF(ABS(BY1603-[5]QC_indicators!$B$1)&gt;3*[5]QC_indicators!$C$1,"DF","no")))</f>
        <v>0</v>
      </c>
    </row>
    <row r="1604" spans="1:150" ht="15" customHeight="1">
      <c r="A1604" s="1" t="s">
        <v>4371</v>
      </c>
      <c r="B1604" t="s">
        <v>4372</v>
      </c>
      <c r="C1604" t="s">
        <v>4373</v>
      </c>
      <c r="D1604" t="s">
        <v>4374</v>
      </c>
      <c r="E1604" t="s">
        <v>4375</v>
      </c>
      <c r="F1604" t="s">
        <v>4376</v>
      </c>
      <c r="G1604" t="s">
        <v>4377</v>
      </c>
      <c r="H1604" t="s">
        <v>254</v>
      </c>
      <c r="I1604">
        <v>2015</v>
      </c>
      <c r="J1604">
        <v>3</v>
      </c>
      <c r="K1604" t="s">
        <v>4378</v>
      </c>
      <c r="M1604" t="str">
        <f>LEFT($D1604,FIND(",",$D1604)-1)&amp;"_"&amp;I1604&amp;L1604</f>
        <v>Zhou_2015</v>
      </c>
      <c r="N1604" s="312" t="s">
        <v>4383</v>
      </c>
      <c r="O1604" s="145" t="s">
        <v>1154</v>
      </c>
      <c r="Q1604" s="312" t="s">
        <v>256</v>
      </c>
      <c r="R1604" s="313"/>
      <c r="S1604" s="1" t="s">
        <v>4381</v>
      </c>
      <c r="T1604" t="s">
        <v>1197</v>
      </c>
      <c r="U1604" t="s">
        <v>1198</v>
      </c>
      <c r="V1604">
        <v>0</v>
      </c>
      <c r="W1604">
        <v>0</v>
      </c>
      <c r="X1604">
        <v>0</v>
      </c>
      <c r="Y1604">
        <v>0</v>
      </c>
      <c r="Z1604">
        <v>0</v>
      </c>
      <c r="AA1604">
        <v>0</v>
      </c>
      <c r="AB1604">
        <v>0</v>
      </c>
      <c r="AC1604">
        <v>0</v>
      </c>
      <c r="AD1604">
        <v>1</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s="141">
        <f>COUNTIF(V1604:AW1604,"&lt;&gt;0")</f>
        <v>1</v>
      </c>
      <c r="AY1604" s="141">
        <f>COUNTIF(V1604:AL1604,"&lt;&gt;0")</f>
        <v>1</v>
      </c>
      <c r="AZ1604">
        <f>COUNTIF(V1604:AC1604,"&lt;&gt;0")</f>
        <v>0</v>
      </c>
      <c r="BA1604">
        <f>COUNTIF(AD1604:AI1604,"&lt;&gt;0")</f>
        <v>1</v>
      </c>
      <c r="BB1604">
        <f>COUNTIF(AJ1604:AL1604,"&lt;&gt;0")</f>
        <v>0</v>
      </c>
      <c r="BC1604">
        <f>COUNTIF(AS1604:AW1604,"&lt;&gt;0")</f>
        <v>0</v>
      </c>
      <c r="BD1604">
        <f>COUNTIF(AM1604:AR1604,"&lt;&gt;0")</f>
        <v>0</v>
      </c>
      <c r="BE1604" t="str" cm="1">
        <f t="array" ref="BE1604">IF(AY1604=1,INDEX($V$7:$AL$7,MATCH(TRUE,INDEX($V1604:$AW1604&lt;&gt;0,),0)),IF(AY1604=0,INDEX($AM$7:$AW$7,MATCH(1,$AM1604:$AW1604,0)),IF(BF1604="Multiple strategies","mixed drivers",IF(BF1604="Supply chain","multiple supply","multiple silviculture"))))</f>
        <v>harvesting system</v>
      </c>
      <c r="BF1604" s="2" t="str" cm="1">
        <f t="array" ref="BF1604">IF(COUNTIF(AZ1604:BB1604,"&lt;&gt;0")=1,INDEX($V$4:$AW$4,MATCH(TRUE,INDEX($V1604:$AW1604&lt;&gt;0,),0)),IF(COUNTIF(AZ1604:BB1604,"&lt;&gt;0")=0,INDEX($AM$4:$AW$4,MATCH(1,$AM1604:$AW1604,0)),"Multiple strategies"))</f>
        <v>Supply chain</v>
      </c>
      <c r="BM1604" s="143"/>
      <c r="BN1604" s="143"/>
      <c r="BP1604" t="s">
        <v>232</v>
      </c>
      <c r="BR1604" t="s">
        <v>4380</v>
      </c>
      <c r="BS1604">
        <v>-2.665</v>
      </c>
      <c r="BT1604">
        <v>-1.9969999999999999</v>
      </c>
      <c r="BU1604" s="144">
        <f>IFERROR(BT1604/BS1604,"")</f>
        <v>0.74934333958724197</v>
      </c>
      <c r="BV1604" s="144">
        <f>BT1604-BS1604</f>
        <v>0.66800000000000015</v>
      </c>
      <c r="BW1604" s="144"/>
      <c r="BX1604">
        <f>BV1604/1000</f>
        <v>6.6800000000000019E-4</v>
      </c>
      <c r="BY1604" t="str">
        <f>IFERROR(BX1604/BO1604,"")</f>
        <v/>
      </c>
      <c r="BZ1604">
        <v>0</v>
      </c>
      <c r="CA1604">
        <v>0</v>
      </c>
      <c r="CB1604">
        <v>0</v>
      </c>
      <c r="CC1604">
        <v>0</v>
      </c>
      <c r="CD1604">
        <v>0</v>
      </c>
      <c r="CE1604">
        <v>0</v>
      </c>
      <c r="CF1604">
        <v>0</v>
      </c>
      <c r="CG1604">
        <v>0</v>
      </c>
      <c r="CH1604">
        <v>0</v>
      </c>
      <c r="CI1604">
        <v>0</v>
      </c>
      <c r="CJ1604">
        <v>0</v>
      </c>
      <c r="CK1604">
        <v>0</v>
      </c>
      <c r="CL1604">
        <v>0</v>
      </c>
      <c r="CM1604">
        <v>0</v>
      </c>
      <c r="CN1604" t="str">
        <f>IF(BL1604&lt;BK1604,"refNeedCorrection","refOK")</f>
        <v>refOK</v>
      </c>
      <c r="CO1604"/>
      <c r="CP1604"/>
      <c r="CQ1604"/>
      <c r="CR1604">
        <f>IF($CN1604="refOK",$BS1604,$BT1604)*IF($BP1604="Emissions positive",-1,1)</f>
        <v>-2.665</v>
      </c>
      <c r="CS1604">
        <f>IF($CN1604="refOK",$BT1604,$BS1604)*IF($BP1604="Emissions positive",-1,1)</f>
        <v>-1.9969999999999999</v>
      </c>
      <c r="CT1604">
        <f>IF($CN1604="refNeedCorrection",-BX1604,BX1604)*IF($BP1604="Emissions positive",-1,1)</f>
        <v>6.6800000000000019E-4</v>
      </c>
      <c r="CU1604" t="str">
        <f>IFERROR(CT1604/CQ1604,"")</f>
        <v/>
      </c>
      <c r="CV1604" s="2">
        <f>IFERROR((CS1604-CR1604)/ABS(CR1604),"")</f>
        <v>0.25065666041275803</v>
      </c>
      <c r="CW1604" s="1" t="s">
        <v>263</v>
      </c>
      <c r="CX1604" s="312" t="str">
        <f>IF(OR($CW1604="prd",$CW1604="std",$CW1604="cit"),"loc",IF(OR($CW1604="eur",$CW1604="reg",$CW1604="coy"),"reg",$CW1604))</f>
        <v>loc</v>
      </c>
      <c r="CY1604" t="s">
        <v>690</v>
      </c>
      <c r="DB1604">
        <f>DA1604-CZ1604</f>
        <v>0</v>
      </c>
      <c r="DC1604" t="str">
        <f>IF(DB1604=0,"0",IF(AND(DB1604&gt;=1,DB1604&lt;=30),"1-30",IF(AND(DB1604&gt;30,DB1604&lt;=70),"31-70",IF(AND(DB1604&gt;70,DB1604&lt;=100),"71-100",IF(DB1604&gt;100,"+100")))))</f>
        <v>0</v>
      </c>
      <c r="DD1604">
        <v>1</v>
      </c>
      <c r="DE1604">
        <v>0</v>
      </c>
      <c r="DF1604">
        <v>0</v>
      </c>
      <c r="DG1604">
        <v>0</v>
      </c>
      <c r="DH1604">
        <v>0</v>
      </c>
      <c r="DI1604">
        <f>SUM(DD1604:DG1604)</f>
        <v>1</v>
      </c>
      <c r="DJ1604" t="str">
        <f>IF(DI1604=1,INDEX($DD$7:$DG$7,MATCH(1,$DD1604:$DG1604,0)),"mixedProduct")</f>
        <v>UpstreamInput</v>
      </c>
      <c r="DK1604" t="str">
        <f>IF(DD1604=1,DK$7,0)</f>
        <v>Upstream</v>
      </c>
      <c r="DL1604">
        <f>IF(DE1604=1,DL$7,0)</f>
        <v>0</v>
      </c>
      <c r="DM1604">
        <f>IF(DF1604=1,DM$7,0)</f>
        <v>0</v>
      </c>
      <c r="DN1604">
        <f>IF(DG1604=1,DN$7,0)</f>
        <v>0</v>
      </c>
      <c r="DO1604">
        <v>0</v>
      </c>
      <c r="DP1604">
        <v>0</v>
      </c>
      <c r="DQ1604">
        <v>0</v>
      </c>
      <c r="DR1604">
        <v>0</v>
      </c>
      <c r="DS1604">
        <v>0</v>
      </c>
      <c r="DT1604">
        <f>SUM(DO1604:DP1604)</f>
        <v>0</v>
      </c>
      <c r="DU1604" s="143" t="str">
        <f>IF(DO1604=1,"self-calculated DF",IF(DP1604=1,"external DF used","explicit C balance"))</f>
        <v>explicit C balance</v>
      </c>
      <c r="DV1604">
        <v>0</v>
      </c>
      <c r="DW1604">
        <v>0</v>
      </c>
      <c r="DX1604">
        <v>0</v>
      </c>
      <c r="DY1604">
        <v>0</v>
      </c>
      <c r="DZ1604">
        <v>0</v>
      </c>
      <c r="EA1604" s="143">
        <v>0</v>
      </c>
      <c r="EB1604">
        <v>1</v>
      </c>
      <c r="EC1604">
        <v>0</v>
      </c>
      <c r="ED1604">
        <v>0</v>
      </c>
      <c r="EE1604">
        <v>0</v>
      </c>
      <c r="EF1604">
        <v>0</v>
      </c>
      <c r="EG1604">
        <v>0</v>
      </c>
      <c r="EH1604">
        <v>0</v>
      </c>
      <c r="EI1604" s="2">
        <v>0</v>
      </c>
      <c r="EK1604" t="str">
        <f>IF(AND(AND(AND(OR($DX1604=1,$DW1604=1),OR($EC1604=1,$EA1604=1)),SUM($DV1604:$DZ1604,$EF1604)&gt;=3),SUM($EA1604:$EE1604)&gt;=2),"Whole sector","")</f>
        <v/>
      </c>
      <c r="EL1604" t="str">
        <f>IF(AND(AND(OR($DX1604=1,$DW1604=1),AND($EC1604=0,$EA1604=0)),SUM($DV1604:$DZ1604,$EF1604)&gt;=3),"Ecosystem approach","")</f>
        <v/>
      </c>
      <c r="EM1604" s="2" t="str">
        <f>IF(AND(AND(AND($DX1604=0,$DW1604=0),OR($EC1604=1,$EA1604=1)),SUM($EB1604:$EE1604)&gt;=2),"Technology approach","")</f>
        <v/>
      </c>
      <c r="EP1604" t="b">
        <f>IF(ISNUMBER(BU1604),IF(ABS(BU1604-[5]QC_indicators!$B$2)&gt;3*[5]QC_indicators!$C$2,"C ratio",IF(ISNUMBER(BY1604),IF(ABS(BY1604-[5]QC_indicators!$B$1)&gt;3*[5]QC_indicators!$C$1,"DF","no"))),IF(ISNUMBER(BY1604),IF(ABS(BY1604-[5]QC_indicators!$B$1)&gt;3*[5]QC_indicators!$C$1,"DF","no")))</f>
        <v>0</v>
      </c>
    </row>
    <row r="1605" spans="1:150" ht="15" customHeight="1">
      <c r="A1605" s="1" t="s">
        <v>4371</v>
      </c>
      <c r="B1605" t="s">
        <v>4372</v>
      </c>
      <c r="C1605" t="s">
        <v>4373</v>
      </c>
      <c r="D1605" t="s">
        <v>4374</v>
      </c>
      <c r="E1605" t="s">
        <v>4375</v>
      </c>
      <c r="F1605" t="s">
        <v>4376</v>
      </c>
      <c r="G1605" t="s">
        <v>4377</v>
      </c>
      <c r="H1605" t="s">
        <v>254</v>
      </c>
      <c r="I1605">
        <v>2015</v>
      </c>
      <c r="J1605">
        <v>3</v>
      </c>
      <c r="K1605" t="s">
        <v>4378</v>
      </c>
      <c r="M1605" t="str">
        <f>LEFT($D1605,FIND(",",$D1605)-1)&amp;"_"&amp;I1605&amp;L1605</f>
        <v>Zhou_2015</v>
      </c>
      <c r="N1605" s="312" t="s">
        <v>4383</v>
      </c>
      <c r="O1605" s="145" t="s">
        <v>1154</v>
      </c>
      <c r="Q1605" s="312" t="s">
        <v>256</v>
      </c>
      <c r="R1605" s="313"/>
      <c r="S1605" s="1" t="s">
        <v>4381</v>
      </c>
      <c r="T1605" t="s">
        <v>1197</v>
      </c>
      <c r="U1605" t="s">
        <v>1198</v>
      </c>
      <c r="V1605">
        <v>0</v>
      </c>
      <c r="W1605">
        <v>0</v>
      </c>
      <c r="X1605">
        <v>0</v>
      </c>
      <c r="Y1605">
        <v>0</v>
      </c>
      <c r="Z1605">
        <v>0</v>
      </c>
      <c r="AA1605">
        <v>0</v>
      </c>
      <c r="AB1605">
        <v>0</v>
      </c>
      <c r="AC1605">
        <v>0</v>
      </c>
      <c r="AD1605">
        <v>1</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s="141">
        <f>COUNTIF(V1605:AW1605,"&lt;&gt;0")</f>
        <v>1</v>
      </c>
      <c r="AY1605" s="141">
        <f>COUNTIF(V1605:AL1605,"&lt;&gt;0")</f>
        <v>1</v>
      </c>
      <c r="AZ1605">
        <f>COUNTIF(V1605:AC1605,"&lt;&gt;0")</f>
        <v>0</v>
      </c>
      <c r="BA1605">
        <f>COUNTIF(AD1605:AI1605,"&lt;&gt;0")</f>
        <v>1</v>
      </c>
      <c r="BB1605">
        <f>COUNTIF(AJ1605:AL1605,"&lt;&gt;0")</f>
        <v>0</v>
      </c>
      <c r="BC1605">
        <f>COUNTIF(AS1605:AW1605,"&lt;&gt;0")</f>
        <v>0</v>
      </c>
      <c r="BD1605">
        <f>COUNTIF(AM1605:AR1605,"&lt;&gt;0")</f>
        <v>0</v>
      </c>
      <c r="BE1605" t="str" cm="1">
        <f t="array" ref="BE1605">IF(AY1605=1,INDEX($V$7:$AL$7,MATCH(TRUE,INDEX($V1605:$AW1605&lt;&gt;0,),0)),IF(AY1605=0,INDEX($AM$7:$AW$7,MATCH(1,$AM1605:$AW1605,0)),IF(BF1605="Multiple strategies","mixed drivers",IF(BF1605="Supply chain","multiple supply","multiple silviculture"))))</f>
        <v>harvesting system</v>
      </c>
      <c r="BF1605" s="2" t="str" cm="1">
        <f t="array" ref="BF1605">IF(COUNTIF(AZ1605:BB1605,"&lt;&gt;0")=1,INDEX($V$4:$AW$4,MATCH(TRUE,INDEX($V1605:$AW1605&lt;&gt;0,),0)),IF(COUNTIF(AZ1605:BB1605,"&lt;&gt;0")=0,INDEX($AM$4:$AW$4,MATCH(1,$AM1605:$AW1605,0)),"Multiple strategies"))</f>
        <v>Supply chain</v>
      </c>
      <c r="BM1605" s="143"/>
      <c r="BN1605" s="143"/>
      <c r="BP1605" t="s">
        <v>232</v>
      </c>
      <c r="BR1605" t="s">
        <v>4380</v>
      </c>
      <c r="BS1605">
        <v>-15.301000000000002</v>
      </c>
      <c r="BT1605">
        <v>-14.633000000000001</v>
      </c>
      <c r="BU1605" s="144">
        <f>IFERROR(BT1605/BS1605,"")</f>
        <v>0.9563427226978628</v>
      </c>
      <c r="BV1605" s="144">
        <f>BT1605-BS1605</f>
        <v>0.66800000000000104</v>
      </c>
      <c r="BW1605" s="144"/>
      <c r="BX1605">
        <f>BV1605/1000</f>
        <v>6.6800000000000106E-4</v>
      </c>
      <c r="BY1605" t="str">
        <f>IFERROR(BX1605/BO1605,"")</f>
        <v/>
      </c>
      <c r="BZ1605">
        <v>0</v>
      </c>
      <c r="CA1605">
        <v>0</v>
      </c>
      <c r="CB1605">
        <v>0</v>
      </c>
      <c r="CC1605">
        <v>0</v>
      </c>
      <c r="CD1605">
        <v>0</v>
      </c>
      <c r="CE1605">
        <v>0</v>
      </c>
      <c r="CF1605">
        <v>0</v>
      </c>
      <c r="CG1605">
        <v>0</v>
      </c>
      <c r="CH1605">
        <v>0</v>
      </c>
      <c r="CI1605">
        <v>0</v>
      </c>
      <c r="CJ1605">
        <v>0</v>
      </c>
      <c r="CK1605">
        <v>0</v>
      </c>
      <c r="CL1605">
        <v>0</v>
      </c>
      <c r="CM1605">
        <v>0</v>
      </c>
      <c r="CN1605" t="str">
        <f>IF(BL1605&lt;BK1605,"refNeedCorrection","refOK")</f>
        <v>refOK</v>
      </c>
      <c r="CO1605"/>
      <c r="CP1605"/>
      <c r="CQ1605"/>
      <c r="CR1605">
        <f>IF($CN1605="refOK",$BS1605,$BT1605)*IF($BP1605="Emissions positive",-1,1)</f>
        <v>-15.301000000000002</v>
      </c>
      <c r="CS1605">
        <f>IF($CN1605="refOK",$BT1605,$BS1605)*IF($BP1605="Emissions positive",-1,1)</f>
        <v>-14.633000000000001</v>
      </c>
      <c r="CT1605">
        <f>IF($CN1605="refNeedCorrection",-BX1605,BX1605)*IF($BP1605="Emissions positive",-1,1)</f>
        <v>6.6800000000000106E-4</v>
      </c>
      <c r="CU1605" t="str">
        <f>IFERROR(CT1605/CQ1605,"")</f>
        <v/>
      </c>
      <c r="CV1605" s="2">
        <f>IFERROR((CS1605-CR1605)/ABS(CR1605),"")</f>
        <v>4.3657277302137178E-2</v>
      </c>
      <c r="CW1605" s="1" t="s">
        <v>263</v>
      </c>
      <c r="CX1605" s="312" t="str">
        <f>IF(OR($CW1605="prd",$CW1605="std",$CW1605="cit"),"loc",IF(OR($CW1605="eur",$CW1605="reg",$CW1605="coy"),"reg",$CW1605))</f>
        <v>loc</v>
      </c>
      <c r="CY1605" t="s">
        <v>690</v>
      </c>
      <c r="DB1605">
        <f>DA1605-CZ1605</f>
        <v>0</v>
      </c>
      <c r="DC1605" t="str">
        <f>IF(DB1605=0,"0",IF(AND(DB1605&gt;=1,DB1605&lt;=30),"1-30",IF(AND(DB1605&gt;30,DB1605&lt;=70),"31-70",IF(AND(DB1605&gt;70,DB1605&lt;=100),"71-100",IF(DB1605&gt;100,"+100")))))</f>
        <v>0</v>
      </c>
      <c r="DD1605">
        <v>1</v>
      </c>
      <c r="DE1605">
        <v>0</v>
      </c>
      <c r="DF1605">
        <v>0</v>
      </c>
      <c r="DG1605">
        <v>0</v>
      </c>
      <c r="DH1605">
        <v>0</v>
      </c>
      <c r="DI1605">
        <f>SUM(DD1605:DG1605)</f>
        <v>1</v>
      </c>
      <c r="DJ1605" t="str">
        <f>IF(DI1605=1,INDEX($DD$7:$DG$7,MATCH(1,$DD1605:$DG1605,0)),"mixedProduct")</f>
        <v>UpstreamInput</v>
      </c>
      <c r="DK1605" t="str">
        <f>IF(DD1605=1,DK$7,0)</f>
        <v>Upstream</v>
      </c>
      <c r="DL1605">
        <f>IF(DE1605=1,DL$7,0)</f>
        <v>0</v>
      </c>
      <c r="DM1605">
        <f>IF(DF1605=1,DM$7,0)</f>
        <v>0</v>
      </c>
      <c r="DN1605">
        <f>IF(DG1605=1,DN$7,0)</f>
        <v>0</v>
      </c>
      <c r="DO1605">
        <v>0</v>
      </c>
      <c r="DP1605">
        <v>0</v>
      </c>
      <c r="DQ1605">
        <v>0</v>
      </c>
      <c r="DR1605">
        <v>0</v>
      </c>
      <c r="DS1605">
        <v>0</v>
      </c>
      <c r="DT1605">
        <f>SUM(DO1605:DP1605)</f>
        <v>0</v>
      </c>
      <c r="DU1605" s="143" t="str">
        <f>IF(DO1605=1,"self-calculated DF",IF(DP1605=1,"external DF used","explicit C balance"))</f>
        <v>explicit C balance</v>
      </c>
      <c r="DV1605">
        <v>0</v>
      </c>
      <c r="DW1605">
        <v>0</v>
      </c>
      <c r="DX1605">
        <v>0</v>
      </c>
      <c r="DY1605">
        <v>0</v>
      </c>
      <c r="DZ1605">
        <v>0</v>
      </c>
      <c r="EA1605" s="143">
        <v>0</v>
      </c>
      <c r="EB1605">
        <v>1</v>
      </c>
      <c r="EC1605">
        <v>1</v>
      </c>
      <c r="ED1605">
        <v>0</v>
      </c>
      <c r="EE1605">
        <v>0</v>
      </c>
      <c r="EF1605">
        <v>0</v>
      </c>
      <c r="EG1605">
        <v>0</v>
      </c>
      <c r="EH1605">
        <v>0</v>
      </c>
      <c r="EI1605" s="2">
        <v>0</v>
      </c>
      <c r="EK1605" t="str">
        <f>IF(AND(AND(AND(OR($DX1605=1,$DW1605=1),OR($EC1605=1,$EA1605=1)),SUM($DV1605:$DZ1605,$EF1605)&gt;=3),SUM($EA1605:$EE1605)&gt;=2),"Whole sector","")</f>
        <v/>
      </c>
      <c r="EL1605" t="str">
        <f>IF(AND(AND(OR($DX1605=1,$DW1605=1),AND($EC1605=0,$EA1605=0)),SUM($DV1605:$DZ1605,$EF1605)&gt;=3),"Ecosystem approach","")</f>
        <v/>
      </c>
      <c r="EM1605" s="2" t="str">
        <f>IF(AND(AND(AND($DX1605=0,$DW1605=0),OR($EC1605=1,$EA1605=1)),SUM($EB1605:$EE1605)&gt;=2),"Technology approach","")</f>
        <v>Technology approach</v>
      </c>
      <c r="EP1605" t="b">
        <f>IF(ISNUMBER(BU1605),IF(ABS(BU1605-[5]QC_indicators!$B$2)&gt;3*[5]QC_indicators!$C$2,"C ratio",IF(ISNUMBER(BY1605),IF(ABS(BY1605-[5]QC_indicators!$B$1)&gt;3*[5]QC_indicators!$C$1,"DF","no"))),IF(ISNUMBER(BY1605),IF(ABS(BY1605-[5]QC_indicators!$B$1)&gt;3*[5]QC_indicators!$C$1,"DF","no")))</f>
        <v>0</v>
      </c>
    </row>
    <row r="1606" spans="1:150" ht="15" customHeight="1">
      <c r="A1606" s="1" t="s">
        <v>4371</v>
      </c>
      <c r="B1606" t="s">
        <v>4372</v>
      </c>
      <c r="C1606" t="s">
        <v>4373</v>
      </c>
      <c r="D1606" t="s">
        <v>4374</v>
      </c>
      <c r="E1606" t="s">
        <v>4375</v>
      </c>
      <c r="F1606" t="s">
        <v>4376</v>
      </c>
      <c r="G1606" t="s">
        <v>4377</v>
      </c>
      <c r="H1606" t="s">
        <v>254</v>
      </c>
      <c r="I1606">
        <v>2015</v>
      </c>
      <c r="J1606">
        <v>3</v>
      </c>
      <c r="K1606" t="s">
        <v>4378</v>
      </c>
      <c r="M1606" t="str">
        <f>LEFT($D1606,FIND(",",$D1606)-1)&amp;"_"&amp;I1606&amp;L1606</f>
        <v>Zhou_2015</v>
      </c>
      <c r="N1606" s="312" t="s">
        <v>4383</v>
      </c>
      <c r="O1606" s="145" t="s">
        <v>1154</v>
      </c>
      <c r="Q1606" s="312" t="s">
        <v>256</v>
      </c>
      <c r="R1606" s="313"/>
      <c r="S1606" s="1" t="s">
        <v>4382</v>
      </c>
      <c r="T1606" t="s">
        <v>1197</v>
      </c>
      <c r="U1606" t="s">
        <v>1198</v>
      </c>
      <c r="V1606">
        <v>0</v>
      </c>
      <c r="W1606">
        <v>0</v>
      </c>
      <c r="X1606">
        <v>0</v>
      </c>
      <c r="Y1606">
        <v>0</v>
      </c>
      <c r="Z1606">
        <v>0</v>
      </c>
      <c r="AA1606">
        <v>0</v>
      </c>
      <c r="AB1606">
        <v>0</v>
      </c>
      <c r="AC1606">
        <v>0</v>
      </c>
      <c r="AD1606">
        <v>1</v>
      </c>
      <c r="AE1606">
        <v>0</v>
      </c>
      <c r="AF1606">
        <v>0</v>
      </c>
      <c r="AG1606">
        <v>0</v>
      </c>
      <c r="AH1606">
        <v>0</v>
      </c>
      <c r="AI1606">
        <v>0</v>
      </c>
      <c r="AJ1606">
        <v>2</v>
      </c>
      <c r="AK1606">
        <v>0</v>
      </c>
      <c r="AL1606">
        <v>0</v>
      </c>
      <c r="AM1606">
        <v>0</v>
      </c>
      <c r="AN1606">
        <v>0</v>
      </c>
      <c r="AO1606">
        <v>0</v>
      </c>
      <c r="AP1606">
        <v>0</v>
      </c>
      <c r="AQ1606">
        <v>0</v>
      </c>
      <c r="AR1606">
        <v>0</v>
      </c>
      <c r="AS1606">
        <v>0</v>
      </c>
      <c r="AT1606">
        <v>0</v>
      </c>
      <c r="AU1606">
        <v>0</v>
      </c>
      <c r="AV1606">
        <v>0</v>
      </c>
      <c r="AW1606">
        <v>0</v>
      </c>
      <c r="AX1606" s="141">
        <f>COUNTIF(V1606:AW1606,"&lt;&gt;0")</f>
        <v>2</v>
      </c>
      <c r="AY1606" s="141">
        <f>COUNTIF(V1606:AL1606,"&lt;&gt;0")</f>
        <v>2</v>
      </c>
      <c r="AZ1606">
        <f>COUNTIF(V1606:AC1606,"&lt;&gt;0")</f>
        <v>0</v>
      </c>
      <c r="BA1606">
        <f>COUNTIF(AD1606:AI1606,"&lt;&gt;0")</f>
        <v>1</v>
      </c>
      <c r="BB1606">
        <f>COUNTIF(AJ1606:AL1606,"&lt;&gt;0")</f>
        <v>1</v>
      </c>
      <c r="BC1606">
        <f>COUNTIF(AS1606:AW1606,"&lt;&gt;0")</f>
        <v>0</v>
      </c>
      <c r="BD1606">
        <f>COUNTIF(AM1606:AR1606,"&lt;&gt;0")</f>
        <v>0</v>
      </c>
      <c r="BE1606" t="str" cm="1">
        <f t="array" ref="BE1606">IF(AY1606=1,INDEX($V$7:$AL$7,MATCH(TRUE,INDEX($V1606:$AW1606&lt;&gt;0,),0)),IF(AY1606=0,INDEX($AM$7:$AW$7,MATCH(1,$AM1606:$AW1606,0)),IF(BF1606="Multiple strategies","mixed drivers",IF(BF1606="Supply chain","multiple supply","multiple silviculture"))))</f>
        <v>mixed drivers</v>
      </c>
      <c r="BF1606" s="2" t="str" cm="1">
        <f t="array" ref="BF1606">IF(COUNTIF(AZ1606:BB1606,"&lt;&gt;0")=1,INDEX($V$4:$AW$4,MATCH(TRUE,INDEX($V1606:$AW1606&lt;&gt;0,),0)),IF(COUNTIF(AZ1606:BB1606,"&lt;&gt;0")=0,INDEX($AM$4:$AW$4,MATCH(1,$AM1606:$AW1606,0)),"Multiple strategies"))</f>
        <v>Multiple strategies</v>
      </c>
      <c r="BM1606" s="143"/>
      <c r="BN1606" s="143"/>
      <c r="BP1606" t="s">
        <v>232</v>
      </c>
      <c r="BR1606" t="s">
        <v>4380</v>
      </c>
      <c r="BS1606">
        <v>-2.665</v>
      </c>
      <c r="BT1606">
        <v>-1.9969999999999999</v>
      </c>
      <c r="BU1606" s="144">
        <f>IFERROR(BT1606/BS1606,"")</f>
        <v>0.74934333958724197</v>
      </c>
      <c r="BV1606" s="144">
        <f>BT1606-BS1606</f>
        <v>0.66800000000000015</v>
      </c>
      <c r="BW1606" s="144"/>
      <c r="BX1606">
        <f>BV1606/1000</f>
        <v>6.6800000000000019E-4</v>
      </c>
      <c r="BY1606" t="str">
        <f>IFERROR(BX1606/BO1606,"")</f>
        <v/>
      </c>
      <c r="BZ1606">
        <v>0</v>
      </c>
      <c r="CA1606">
        <v>0</v>
      </c>
      <c r="CB1606">
        <v>0</v>
      </c>
      <c r="CC1606">
        <v>0</v>
      </c>
      <c r="CD1606">
        <v>0</v>
      </c>
      <c r="CE1606">
        <v>0</v>
      </c>
      <c r="CF1606">
        <v>0</v>
      </c>
      <c r="CG1606">
        <v>0</v>
      </c>
      <c r="CH1606">
        <v>0</v>
      </c>
      <c r="CI1606">
        <v>0</v>
      </c>
      <c r="CJ1606">
        <v>0</v>
      </c>
      <c r="CK1606">
        <v>0</v>
      </c>
      <c r="CL1606">
        <v>0</v>
      </c>
      <c r="CM1606">
        <v>0</v>
      </c>
      <c r="CN1606" t="str">
        <f>IF(BL1606&lt;BK1606,"refNeedCorrection","refOK")</f>
        <v>refOK</v>
      </c>
      <c r="CO1606"/>
      <c r="CP1606"/>
      <c r="CQ1606"/>
      <c r="CR1606">
        <f>IF($CN1606="refOK",$BS1606,$BT1606)*IF($BP1606="Emissions positive",-1,1)</f>
        <v>-2.665</v>
      </c>
      <c r="CS1606">
        <f>IF($CN1606="refOK",$BT1606,$BS1606)*IF($BP1606="Emissions positive",-1,1)</f>
        <v>-1.9969999999999999</v>
      </c>
      <c r="CT1606">
        <f>IF($CN1606="refNeedCorrection",-BX1606,BX1606)*IF($BP1606="Emissions positive",-1,1)</f>
        <v>6.6800000000000019E-4</v>
      </c>
      <c r="CU1606" t="str">
        <f>IFERROR(CT1606/CQ1606,"")</f>
        <v/>
      </c>
      <c r="CV1606" s="2">
        <f>IFERROR((CS1606-CR1606)/ABS(CR1606),"")</f>
        <v>0.25065666041275803</v>
      </c>
      <c r="CW1606" s="1" t="s">
        <v>263</v>
      </c>
      <c r="CX1606" s="312" t="str">
        <f>IF(OR($CW1606="prd",$CW1606="std",$CW1606="cit"),"loc",IF(OR($CW1606="eur",$CW1606="reg",$CW1606="coy"),"reg",$CW1606))</f>
        <v>loc</v>
      </c>
      <c r="CY1606" t="s">
        <v>690</v>
      </c>
      <c r="DB1606">
        <f>DA1606-CZ1606</f>
        <v>0</v>
      </c>
      <c r="DC1606" t="str">
        <f>IF(DB1606=0,"0",IF(AND(DB1606&gt;=1,DB1606&lt;=30),"1-30",IF(AND(DB1606&gt;30,DB1606&lt;=70),"31-70",IF(AND(DB1606&gt;70,DB1606&lt;=100),"71-100",IF(DB1606&gt;100,"+100")))))</f>
        <v>0</v>
      </c>
      <c r="DD1606">
        <v>1</v>
      </c>
      <c r="DE1606">
        <v>0</v>
      </c>
      <c r="DF1606">
        <v>0</v>
      </c>
      <c r="DG1606">
        <v>0</v>
      </c>
      <c r="DH1606">
        <v>0</v>
      </c>
      <c r="DI1606">
        <f>SUM(DD1606:DG1606)</f>
        <v>1</v>
      </c>
      <c r="DJ1606" t="str">
        <f>IF(DI1606=1,INDEX($DD$7:$DG$7,MATCH(1,$DD1606:$DG1606,0)),"mixedProduct")</f>
        <v>UpstreamInput</v>
      </c>
      <c r="DK1606" t="str">
        <f>IF(DD1606=1,DK$7,0)</f>
        <v>Upstream</v>
      </c>
      <c r="DL1606">
        <f>IF(DE1606=1,DL$7,0)</f>
        <v>0</v>
      </c>
      <c r="DM1606">
        <f>IF(DF1606=1,DM$7,0)</f>
        <v>0</v>
      </c>
      <c r="DN1606">
        <f>IF(DG1606=1,DN$7,0)</f>
        <v>0</v>
      </c>
      <c r="DO1606">
        <v>0</v>
      </c>
      <c r="DP1606">
        <v>0</v>
      </c>
      <c r="DQ1606">
        <v>0</v>
      </c>
      <c r="DR1606">
        <v>0</v>
      </c>
      <c r="DS1606">
        <v>0</v>
      </c>
      <c r="DT1606">
        <f>SUM(DO1606:DP1606)</f>
        <v>0</v>
      </c>
      <c r="DU1606" s="143" t="str">
        <f>IF(DO1606=1,"self-calculated DF",IF(DP1606=1,"external DF used","explicit C balance"))</f>
        <v>explicit C balance</v>
      </c>
      <c r="DV1606">
        <v>0</v>
      </c>
      <c r="DW1606">
        <v>0</v>
      </c>
      <c r="DX1606">
        <v>0</v>
      </c>
      <c r="DY1606">
        <v>0</v>
      </c>
      <c r="DZ1606">
        <v>0</v>
      </c>
      <c r="EA1606" s="143">
        <v>0</v>
      </c>
      <c r="EB1606">
        <v>1</v>
      </c>
      <c r="EC1606">
        <v>0</v>
      </c>
      <c r="ED1606">
        <v>0</v>
      </c>
      <c r="EE1606">
        <v>0</v>
      </c>
      <c r="EF1606">
        <v>0</v>
      </c>
      <c r="EG1606">
        <v>0</v>
      </c>
      <c r="EH1606">
        <v>0</v>
      </c>
      <c r="EI1606" s="2">
        <v>0</v>
      </c>
      <c r="EK1606" t="str">
        <f>IF(AND(AND(AND(OR($DX1606=1,$DW1606=1),OR($EC1606=1,$EA1606=1)),SUM($DV1606:$DZ1606,$EF1606)&gt;=3),SUM($EA1606:$EE1606)&gt;=2),"Whole sector","")</f>
        <v/>
      </c>
      <c r="EL1606" t="str">
        <f>IF(AND(AND(OR($DX1606=1,$DW1606=1),AND($EC1606=0,$EA1606=0)),SUM($DV1606:$DZ1606,$EF1606)&gt;=3),"Ecosystem approach","")</f>
        <v/>
      </c>
      <c r="EM1606" s="2" t="str">
        <f>IF(AND(AND(AND($DX1606=0,$DW1606=0),OR($EC1606=1,$EA1606=1)),SUM($EB1606:$EE1606)&gt;=2),"Technology approach","")</f>
        <v/>
      </c>
      <c r="EP1606" t="b">
        <f>IF(ISNUMBER(BU1606),IF(ABS(BU1606-[5]QC_indicators!$B$2)&gt;3*[5]QC_indicators!$C$2,"C ratio",IF(ISNUMBER(BY1606),IF(ABS(BY1606-[5]QC_indicators!$B$1)&gt;3*[5]QC_indicators!$C$1,"DF","no"))),IF(ISNUMBER(BY1606),IF(ABS(BY1606-[5]QC_indicators!$B$1)&gt;3*[5]QC_indicators!$C$1,"DF","no")))</f>
        <v>0</v>
      </c>
    </row>
    <row r="1607" spans="1:150" ht="15" customHeight="1">
      <c r="A1607" s="1" t="s">
        <v>4371</v>
      </c>
      <c r="B1607" t="s">
        <v>4372</v>
      </c>
      <c r="C1607" t="s">
        <v>4373</v>
      </c>
      <c r="D1607" t="s">
        <v>4374</v>
      </c>
      <c r="E1607" t="s">
        <v>4375</v>
      </c>
      <c r="F1607" t="s">
        <v>4376</v>
      </c>
      <c r="G1607" t="s">
        <v>4377</v>
      </c>
      <c r="H1607" t="s">
        <v>254</v>
      </c>
      <c r="I1607">
        <v>2015</v>
      </c>
      <c r="J1607">
        <v>3</v>
      </c>
      <c r="K1607" t="s">
        <v>4378</v>
      </c>
      <c r="M1607" t="str">
        <f>LEFT($D1607,FIND(",",$D1607)-1)&amp;"_"&amp;I1607&amp;L1607</f>
        <v>Zhou_2015</v>
      </c>
      <c r="N1607" s="312" t="s">
        <v>4383</v>
      </c>
      <c r="O1607" s="145" t="s">
        <v>1154</v>
      </c>
      <c r="Q1607" s="312" t="s">
        <v>256</v>
      </c>
      <c r="R1607" s="313"/>
      <c r="S1607" s="1" t="s">
        <v>4382</v>
      </c>
      <c r="T1607" t="s">
        <v>1197</v>
      </c>
      <c r="U1607" t="s">
        <v>1198</v>
      </c>
      <c r="V1607">
        <v>0</v>
      </c>
      <c r="W1607">
        <v>0</v>
      </c>
      <c r="X1607">
        <v>0</v>
      </c>
      <c r="Y1607">
        <v>0</v>
      </c>
      <c r="Z1607">
        <v>0</v>
      </c>
      <c r="AA1607">
        <v>0</v>
      </c>
      <c r="AB1607">
        <v>0</v>
      </c>
      <c r="AC1607">
        <v>0</v>
      </c>
      <c r="AD1607">
        <v>1</v>
      </c>
      <c r="AE1607">
        <v>0</v>
      </c>
      <c r="AF1607">
        <v>0</v>
      </c>
      <c r="AG1607">
        <v>0</v>
      </c>
      <c r="AH1607">
        <v>0</v>
      </c>
      <c r="AI1607">
        <v>0</v>
      </c>
      <c r="AJ1607">
        <v>2</v>
      </c>
      <c r="AK1607">
        <v>0</v>
      </c>
      <c r="AL1607">
        <v>0</v>
      </c>
      <c r="AM1607">
        <v>0</v>
      </c>
      <c r="AN1607">
        <v>0</v>
      </c>
      <c r="AO1607">
        <v>0</v>
      </c>
      <c r="AP1607">
        <v>0</v>
      </c>
      <c r="AQ1607">
        <v>0</v>
      </c>
      <c r="AR1607">
        <v>0</v>
      </c>
      <c r="AS1607">
        <v>0</v>
      </c>
      <c r="AT1607">
        <v>0</v>
      </c>
      <c r="AU1607">
        <v>0</v>
      </c>
      <c r="AV1607">
        <v>0</v>
      </c>
      <c r="AW1607">
        <v>0</v>
      </c>
      <c r="AX1607" s="141">
        <f>COUNTIF(V1607:AW1607,"&lt;&gt;0")</f>
        <v>2</v>
      </c>
      <c r="AY1607" s="141">
        <f>COUNTIF(V1607:AL1607,"&lt;&gt;0")</f>
        <v>2</v>
      </c>
      <c r="AZ1607">
        <f>COUNTIF(V1607:AC1607,"&lt;&gt;0")</f>
        <v>0</v>
      </c>
      <c r="BA1607">
        <f>COUNTIF(AD1607:AI1607,"&lt;&gt;0")</f>
        <v>1</v>
      </c>
      <c r="BB1607">
        <f>COUNTIF(AJ1607:AL1607,"&lt;&gt;0")</f>
        <v>1</v>
      </c>
      <c r="BC1607">
        <f>COUNTIF(AS1607:AW1607,"&lt;&gt;0")</f>
        <v>0</v>
      </c>
      <c r="BD1607">
        <f>COUNTIF(AM1607:AR1607,"&lt;&gt;0")</f>
        <v>0</v>
      </c>
      <c r="BE1607" t="str" cm="1">
        <f t="array" ref="BE1607">IF(AY1607=1,INDEX($V$7:$AL$7,MATCH(TRUE,INDEX($V1607:$AW1607&lt;&gt;0,),0)),IF(AY1607=0,INDEX($AM$7:$AW$7,MATCH(1,$AM1607:$AW1607,0)),IF(BF1607="Multiple strategies","mixed drivers",IF(BF1607="Supply chain","multiple supply","multiple silviculture"))))</f>
        <v>mixed drivers</v>
      </c>
      <c r="BF1607" s="2" t="str" cm="1">
        <f t="array" ref="BF1607">IF(COUNTIF(AZ1607:BB1607,"&lt;&gt;0")=1,INDEX($V$4:$AW$4,MATCH(TRUE,INDEX($V1607:$AW1607&lt;&gt;0,),0)),IF(COUNTIF(AZ1607:BB1607,"&lt;&gt;0")=0,INDEX($AM$4:$AW$4,MATCH(1,$AM1607:$AW1607,0)),"Multiple strategies"))</f>
        <v>Multiple strategies</v>
      </c>
      <c r="BM1607" s="143"/>
      <c r="BN1607" s="143"/>
      <c r="BP1607" t="s">
        <v>232</v>
      </c>
      <c r="BR1607" t="s">
        <v>4380</v>
      </c>
      <c r="BS1607">
        <v>-15.301000000000002</v>
      </c>
      <c r="BT1607">
        <v>-11.597999999999999</v>
      </c>
      <c r="BU1607" s="144">
        <f>IFERROR(BT1607/BS1607,"")</f>
        <v>0.75798967387752414</v>
      </c>
      <c r="BV1607" s="144">
        <f>BT1607-BS1607</f>
        <v>3.703000000000003</v>
      </c>
      <c r="BW1607" s="144"/>
      <c r="BX1607">
        <f>BV1607/1000</f>
        <v>3.7030000000000032E-3</v>
      </c>
      <c r="BY1607" t="str">
        <f>IFERROR(BX1607/BO1607,"")</f>
        <v/>
      </c>
      <c r="BZ1607">
        <v>0</v>
      </c>
      <c r="CA1607">
        <v>0</v>
      </c>
      <c r="CB1607">
        <v>0</v>
      </c>
      <c r="CC1607">
        <v>0</v>
      </c>
      <c r="CD1607">
        <v>0</v>
      </c>
      <c r="CE1607">
        <v>0</v>
      </c>
      <c r="CF1607">
        <v>0</v>
      </c>
      <c r="CG1607">
        <v>0</v>
      </c>
      <c r="CH1607">
        <v>0</v>
      </c>
      <c r="CI1607">
        <v>0</v>
      </c>
      <c r="CJ1607">
        <v>0</v>
      </c>
      <c r="CK1607">
        <v>0</v>
      </c>
      <c r="CL1607">
        <v>0</v>
      </c>
      <c r="CM1607">
        <v>0</v>
      </c>
      <c r="CN1607" t="str">
        <f>IF(BL1607&lt;BK1607,"refNeedCorrection","refOK")</f>
        <v>refOK</v>
      </c>
      <c r="CO1607"/>
      <c r="CP1607"/>
      <c r="CQ1607"/>
      <c r="CR1607">
        <f>IF($CN1607="refOK",$BS1607,$BT1607)*IF($BP1607="Emissions positive",-1,1)</f>
        <v>-15.301000000000002</v>
      </c>
      <c r="CS1607">
        <f>IF($CN1607="refOK",$BT1607,$BS1607)*IF($BP1607="Emissions positive",-1,1)</f>
        <v>-11.597999999999999</v>
      </c>
      <c r="CT1607">
        <f>IF($CN1607="refNeedCorrection",-BX1607,BX1607)*IF($BP1607="Emissions positive",-1,1)</f>
        <v>3.7030000000000032E-3</v>
      </c>
      <c r="CU1607" t="str">
        <f>IFERROR(CT1607/CQ1607,"")</f>
        <v/>
      </c>
      <c r="CV1607" s="2">
        <f>IFERROR((CS1607-CR1607)/ABS(CR1607),"")</f>
        <v>0.24201032612247581</v>
      </c>
      <c r="CW1607" s="1" t="s">
        <v>263</v>
      </c>
      <c r="CX1607" s="312" t="str">
        <f>IF(OR($CW1607="prd",$CW1607="std",$CW1607="cit"),"loc",IF(OR($CW1607="eur",$CW1607="reg",$CW1607="coy"),"reg",$CW1607))</f>
        <v>loc</v>
      </c>
      <c r="CY1607" t="s">
        <v>690</v>
      </c>
      <c r="DB1607">
        <f>DA1607-CZ1607</f>
        <v>0</v>
      </c>
      <c r="DC1607" t="str">
        <f>IF(DB1607=0,"0",IF(AND(DB1607&gt;=1,DB1607&lt;=30),"1-30",IF(AND(DB1607&gt;30,DB1607&lt;=70),"31-70",IF(AND(DB1607&gt;70,DB1607&lt;=100),"71-100",IF(DB1607&gt;100,"+100")))))</f>
        <v>0</v>
      </c>
      <c r="DD1607">
        <v>1</v>
      </c>
      <c r="DE1607">
        <v>0</v>
      </c>
      <c r="DF1607">
        <v>0</v>
      </c>
      <c r="DG1607">
        <v>0</v>
      </c>
      <c r="DH1607">
        <v>0</v>
      </c>
      <c r="DI1607">
        <f>SUM(DD1607:DG1607)</f>
        <v>1</v>
      </c>
      <c r="DJ1607" t="str">
        <f>IF(DI1607=1,INDEX($DD$7:$DG$7,MATCH(1,$DD1607:$DG1607,0)),"mixedProduct")</f>
        <v>UpstreamInput</v>
      </c>
      <c r="DK1607" t="str">
        <f>IF(DD1607=1,DK$7,0)</f>
        <v>Upstream</v>
      </c>
      <c r="DL1607">
        <f>IF(DE1607=1,DL$7,0)</f>
        <v>0</v>
      </c>
      <c r="DM1607">
        <f>IF(DF1607=1,DM$7,0)</f>
        <v>0</v>
      </c>
      <c r="DN1607">
        <f>IF(DG1607=1,DN$7,0)</f>
        <v>0</v>
      </c>
      <c r="DO1607">
        <v>0</v>
      </c>
      <c r="DP1607">
        <v>0</v>
      </c>
      <c r="DQ1607">
        <v>0</v>
      </c>
      <c r="DR1607">
        <v>0</v>
      </c>
      <c r="DS1607">
        <v>0</v>
      </c>
      <c r="DT1607">
        <f>SUM(DO1607:DP1607)</f>
        <v>0</v>
      </c>
      <c r="DU1607" s="143" t="str">
        <f>IF(DO1607=1,"self-calculated DF",IF(DP1607=1,"external DF used","explicit C balance"))</f>
        <v>explicit C balance</v>
      </c>
      <c r="DV1607">
        <v>0</v>
      </c>
      <c r="DW1607">
        <v>0</v>
      </c>
      <c r="DX1607">
        <v>0</v>
      </c>
      <c r="DY1607">
        <v>0</v>
      </c>
      <c r="DZ1607">
        <v>0</v>
      </c>
      <c r="EA1607" s="143">
        <v>0</v>
      </c>
      <c r="EB1607">
        <v>1</v>
      </c>
      <c r="EC1607">
        <v>1</v>
      </c>
      <c r="ED1607">
        <v>0</v>
      </c>
      <c r="EE1607">
        <v>0</v>
      </c>
      <c r="EF1607">
        <v>0</v>
      </c>
      <c r="EG1607">
        <v>0</v>
      </c>
      <c r="EH1607">
        <v>0</v>
      </c>
      <c r="EI1607" s="2">
        <v>0</v>
      </c>
      <c r="EK1607" t="str">
        <f>IF(AND(AND(AND(OR($DX1607=1,$DW1607=1),OR($EC1607=1,$EA1607=1)),SUM($DV1607:$DZ1607,$EF1607)&gt;=3),SUM($EA1607:$EE1607)&gt;=2),"Whole sector","")</f>
        <v/>
      </c>
      <c r="EL1607" t="str">
        <f>IF(AND(AND(OR($DX1607=1,$DW1607=1),AND($EC1607=0,$EA1607=0)),SUM($DV1607:$DZ1607,$EF1607)&gt;=3),"Ecosystem approach","")</f>
        <v/>
      </c>
      <c r="EM1607" s="2" t="str">
        <f>IF(AND(AND(AND($DX1607=0,$DW1607=0),OR($EC1607=1,$EA1607=1)),SUM($EB1607:$EE1607)&gt;=2),"Technology approach","")</f>
        <v>Technology approach</v>
      </c>
      <c r="EP1607" t="b">
        <f>IF(ISNUMBER(BU1607),IF(ABS(BU1607-[5]QC_indicators!$B$2)&gt;3*[5]QC_indicators!$C$2,"C ratio",IF(ISNUMBER(BY1607),IF(ABS(BY1607-[5]QC_indicators!$B$1)&gt;3*[5]QC_indicators!$C$1,"DF","no"))),IF(ISNUMBER(BY1607),IF(ABS(BY1607-[5]QC_indicators!$B$1)&gt;3*[5]QC_indicators!$C$1,"DF","no")))</f>
        <v>0</v>
      </c>
    </row>
    <row r="1608" spans="1:150" ht="15" customHeight="1">
      <c r="D1608" t="s">
        <v>2231</v>
      </c>
      <c r="E1608" t="s">
        <v>2232</v>
      </c>
      <c r="G1608" t="s">
        <v>2233</v>
      </c>
      <c r="I1608">
        <v>2015</v>
      </c>
      <c r="K1608" t="s">
        <v>2234</v>
      </c>
      <c r="M1608" t="str">
        <f>LEFT($D1608,FIND(",",$D1608)-1)&amp;"_"&amp;I1608&amp;L1608</f>
        <v>Repo_2015</v>
      </c>
      <c r="N1608" t="s">
        <v>2583</v>
      </c>
      <c r="O1608" s="145" t="s">
        <v>225</v>
      </c>
      <c r="Q1608" t="s">
        <v>256</v>
      </c>
      <c r="R1608" s="262" t="s">
        <v>223</v>
      </c>
      <c r="S1608" s="1" t="s">
        <v>2229</v>
      </c>
      <c r="T1608" t="s">
        <v>2235</v>
      </c>
      <c r="U1608" t="s">
        <v>2236</v>
      </c>
      <c r="V1608" s="143">
        <v>0</v>
      </c>
      <c r="W1608" s="143">
        <v>0</v>
      </c>
      <c r="X1608" s="143">
        <v>0</v>
      </c>
      <c r="Y1608" s="143">
        <v>0</v>
      </c>
      <c r="Z1608" s="143">
        <v>0</v>
      </c>
      <c r="AA1608" s="143">
        <v>0</v>
      </c>
      <c r="AB1608" s="143">
        <v>0</v>
      </c>
      <c r="AC1608" s="143">
        <v>0</v>
      </c>
      <c r="AD1608" s="143">
        <v>0</v>
      </c>
      <c r="AE1608" s="143">
        <v>0</v>
      </c>
      <c r="AF1608" s="143">
        <v>1</v>
      </c>
      <c r="AG1608" s="143">
        <v>0</v>
      </c>
      <c r="AH1608" s="143">
        <v>0</v>
      </c>
      <c r="AI1608" s="143">
        <v>0</v>
      </c>
      <c r="AJ1608" s="143">
        <v>0</v>
      </c>
      <c r="AK1608" s="143">
        <v>0</v>
      </c>
      <c r="AL1608" s="143">
        <v>0</v>
      </c>
      <c r="AM1608" s="143">
        <v>0</v>
      </c>
      <c r="AN1608" s="143">
        <v>0</v>
      </c>
      <c r="AO1608" s="143">
        <v>0</v>
      </c>
      <c r="AP1608" s="143">
        <v>0</v>
      </c>
      <c r="AQ1608" s="143">
        <v>0</v>
      </c>
      <c r="AR1608" s="143">
        <v>0</v>
      </c>
      <c r="AS1608" s="143">
        <v>0</v>
      </c>
      <c r="AT1608" s="143">
        <v>0</v>
      </c>
      <c r="AU1608" s="143">
        <v>0</v>
      </c>
      <c r="AV1608" s="143">
        <v>0</v>
      </c>
      <c r="AW1608" s="143">
        <v>0</v>
      </c>
      <c r="AX1608" s="141">
        <f>COUNTIF(V1608:AW1608,"&lt;&gt;0")</f>
        <v>1</v>
      </c>
      <c r="AY1608" s="141">
        <f>COUNTIF(V1608:AL1608,"&lt;&gt;0")</f>
        <v>1</v>
      </c>
      <c r="AZ1608">
        <f>COUNTIF(V1608:AC1608,"&lt;&gt;0")</f>
        <v>0</v>
      </c>
      <c r="BA1608">
        <f>COUNTIF(AD1608:AI1608,"&lt;&gt;0")</f>
        <v>1</v>
      </c>
      <c r="BB1608">
        <f>COUNTIF(AJ1608:AL1608,"&lt;&gt;0")</f>
        <v>0</v>
      </c>
      <c r="BC1608">
        <f>COUNTIF(AS1608:AW1608,"&lt;&gt;0")</f>
        <v>0</v>
      </c>
      <c r="BD1608">
        <f>COUNTIF(AM1608:AR1608,"&lt;&gt;0")</f>
        <v>0</v>
      </c>
      <c r="BE1608" t="str">
        <f t="array" ref="BE1608">IF(AY1608=1,INDEX($V$7:$AL$7,MATCH(TRUE,INDEX($V1608:$AW1608&lt;&gt;0,),0)),IF(AY1608=0,INDEX($AM$7:$AW$7,MATCH(1,$AM1608:$AW1608,0)),IF(BF1608="Multiple strategies","mixed drivers",IF(BF1608="Supply chain","multiple supply","multiple silviculture"))))</f>
        <v>supply chain organization</v>
      </c>
      <c r="BF1608" s="2" t="str" cm="1">
        <f t="array" ref="BF1608">IF(COUNTIF(AZ1608:BB1608,"&lt;&gt;0")=1,INDEX($V$4:$AW$4,MATCH(TRUE,INDEX($V1608:$AW1608&lt;&gt;0,),0)),IF(COUNTIF(AZ1608:BB1608,"&lt;&gt;0")=0,INDEX($AM$4:$AW$4,MATCH(1,$AM1608:$AW1608,0)),"Multiple strategies"))</f>
        <v>Supply chain</v>
      </c>
      <c r="BG1608" s="1" t="s">
        <v>321</v>
      </c>
      <c r="BH1608" t="s">
        <v>2237</v>
      </c>
      <c r="BI1608" s="264" t="s">
        <v>424</v>
      </c>
      <c r="BJ1608" s="264" t="s">
        <v>3234</v>
      </c>
      <c r="BK1608">
        <v>63</v>
      </c>
      <c r="BL1608">
        <v>87</v>
      </c>
      <c r="BN1608">
        <f>BL1608-BK1608</f>
        <v>24</v>
      </c>
      <c r="BO1608">
        <f>BN1608*t_to_m3</f>
        <v>48.979591836734699</v>
      </c>
      <c r="BP1608" t="s">
        <v>232</v>
      </c>
      <c r="BR1608" t="s">
        <v>2238</v>
      </c>
      <c r="BU1608" s="144"/>
      <c r="BV1608">
        <v>-1.4999999999999999E-2</v>
      </c>
      <c r="BY1608">
        <f>IFERROR(BX1608/BO1608,"")</f>
        <v>0</v>
      </c>
      <c r="BZ1608" s="143">
        <v>0</v>
      </c>
      <c r="CA1608" s="143">
        <v>1</v>
      </c>
      <c r="CB1608" s="143">
        <v>0</v>
      </c>
      <c r="CC1608" s="143">
        <v>1</v>
      </c>
      <c r="CD1608" s="143">
        <v>0</v>
      </c>
      <c r="CE1608" s="143">
        <v>0</v>
      </c>
      <c r="CF1608" s="143">
        <v>0</v>
      </c>
      <c r="CG1608" s="143">
        <v>0</v>
      </c>
      <c r="CH1608" s="143">
        <v>0</v>
      </c>
      <c r="CI1608" s="143">
        <v>0</v>
      </c>
      <c r="CJ1608" s="143">
        <v>0</v>
      </c>
      <c r="CK1608" s="143">
        <v>0</v>
      </c>
      <c r="CL1608" s="143">
        <v>0</v>
      </c>
      <c r="CM1608" s="143">
        <v>0</v>
      </c>
      <c r="CN1608" t="str">
        <f>IF(BL1608&lt;BK1608,"refNeedCorrection","refOK")</f>
        <v>refOK</v>
      </c>
      <c r="CO1608">
        <f>IF($CN1608="refOK",$BK1608,$BL1608)</f>
        <v>63</v>
      </c>
      <c r="CP1608">
        <f>IF($CN1608="refOK",$BL1608,$BK1608)</f>
        <v>87</v>
      </c>
      <c r="CQ1608">
        <f>IF($CN1608="refOK",$BO1608,-$BO1608)</f>
        <v>48.979591836734699</v>
      </c>
      <c r="CR1608"/>
      <c r="CS1608"/>
      <c r="CT1608"/>
      <c r="CU1608"/>
      <c r="CV1608" s="2" t="str">
        <f>IFERROR((CS1608-CR1608)/ABS(CR1608),"")</f>
        <v/>
      </c>
      <c r="CW1608" s="1" t="s">
        <v>1203</v>
      </c>
      <c r="CX1608" t="str">
        <f>IF(OR($CW1608="prd",$CW1608="std",$CW1608="cit"),"loc",IF(OR($CW1608="eur",$CW1608="reg",$CW1608="coy"),"reg",$CW1608))</f>
        <v>reg</v>
      </c>
      <c r="CY1608" t="s">
        <v>235</v>
      </c>
      <c r="CZ1608">
        <v>2010</v>
      </c>
      <c r="DA1608">
        <v>2110</v>
      </c>
      <c r="DB1608" s="143">
        <f>DA1608-CZ1608</f>
        <v>100</v>
      </c>
      <c r="DC1608" t="str">
        <f>IF(DB1608=0,"0",IF(AND(DB1608&gt;=1,DB1608&lt;=30),"1-30",IF(AND(DB1608&gt;30,DB1608&lt;=70),"31-70",IF(AND(DB1608&gt;70,DB1608&lt;=100),"71-100",IF(DB1608&gt;100,"+100")))))</f>
        <v>71-100</v>
      </c>
      <c r="DD1608">
        <v>1</v>
      </c>
      <c r="DE1608">
        <v>1</v>
      </c>
      <c r="DF1608">
        <v>0</v>
      </c>
      <c r="DG1608">
        <v>0</v>
      </c>
      <c r="DI1608">
        <f>SUM(DD1608:DG1608)</f>
        <v>2</v>
      </c>
      <c r="DJ1608" t="str">
        <f>IF(DI1608=1,INDEX($DD$7:$DG$7,MATCH(1,$DD1608:$DG1608,0)),"mixedProduct")</f>
        <v>mixedProduct</v>
      </c>
      <c r="DK1608" t="str">
        <f>IF(DD1608=1,DK$7,0)</f>
        <v>Upstream</v>
      </c>
      <c r="DL1608" t="str">
        <f>IF(DE1608=1,DL$7,0)</f>
        <v>Energy</v>
      </c>
      <c r="DM1608">
        <f>IF(DF1608=1,DM$7,0)</f>
        <v>0</v>
      </c>
      <c r="DN1608">
        <f>IF(DG1608=1,DN$7,0)</f>
        <v>0</v>
      </c>
      <c r="DO1608">
        <v>0</v>
      </c>
      <c r="DP1608" s="143">
        <v>0</v>
      </c>
      <c r="DQ1608" t="s">
        <v>2230</v>
      </c>
      <c r="DR1608">
        <v>0</v>
      </c>
      <c r="DS1608">
        <v>0</v>
      </c>
      <c r="DT1608">
        <f>SUM(DO1608:DP1608)</f>
        <v>0</v>
      </c>
      <c r="DU1608" s="143" t="str">
        <f>IF(DO1608=1,"self-calculated DF",IF(DP1608=1,"external DF used","explicit C balance"))</f>
        <v>explicit C balance</v>
      </c>
      <c r="DV1608" s="143">
        <v>1</v>
      </c>
      <c r="DW1608" s="143">
        <v>1</v>
      </c>
      <c r="DX1608" s="143">
        <v>1</v>
      </c>
      <c r="DY1608" s="143">
        <v>0</v>
      </c>
      <c r="DZ1608" s="143">
        <v>1</v>
      </c>
      <c r="EA1608" s="143">
        <v>0</v>
      </c>
      <c r="EB1608" s="143">
        <v>1</v>
      </c>
      <c r="EC1608" s="143">
        <v>1</v>
      </c>
      <c r="ED1608" s="143">
        <v>0</v>
      </c>
      <c r="EE1608" s="143">
        <v>0</v>
      </c>
      <c r="EF1608" s="143">
        <v>0</v>
      </c>
      <c r="EG1608" s="143">
        <v>0</v>
      </c>
      <c r="EH1608" s="143">
        <v>0</v>
      </c>
      <c r="EI1608" s="196">
        <v>0</v>
      </c>
      <c r="EK1608" t="str">
        <f>IF(AND(AND(AND(OR($DX1608=1,$DW1608=1),OR($EC1608=1,$EA1608=1)),SUM($DV1608:$DZ1608,$EF1608)&gt;=4),SUM($EA1608:$EE1608)&gt;=2),"Whole sector","")</f>
        <v>Whole sector</v>
      </c>
      <c r="EL1608" t="str">
        <f>IF(AND(AND(OR($DX1608=1,$DW1608=1),AND($EC1608=0,$EA1608=0)),SUM($DV1608:$DZ1608,$EF1608)&gt;=4),"Ecosystem approach","")</f>
        <v/>
      </c>
      <c r="EM1608" s="2" t="str">
        <f>IF(AND(AND(AND($DX1608=0,$DW1608=0),OR($EC1608=1,$EA1608=1)),SUM($EB1608:$EE1608)&gt;=2),"Technology approach","")</f>
        <v/>
      </c>
      <c r="EP1608" t="str">
        <f>IF(ISNUMBER(BU1608),IF(ABS(BU1608-[1]QC_indicators!$B$2)&gt;3*[1]QC_indicators!$C$2,"C ratio",IF(ISNUMBER(BY1608),IF(ABS(BY1608-[1]QC_indicators!$B$1)&gt;3*[1]QC_indicators!$C$1,"DF","no"))),IF(ISNUMBER(BY1608),IF(ABS(BY1608-[1]QC_indicators!$B$1)&gt;3*[1]QC_indicators!$C$1,"DF","no")))</f>
        <v>no</v>
      </c>
      <c r="ER1608" s="149" t="s">
        <v>349</v>
      </c>
      <c r="ET1608" s="264" t="s">
        <v>3235</v>
      </c>
    </row>
    <row r="1609" spans="1:150" ht="15" customHeight="1">
      <c r="D1609" t="s">
        <v>2231</v>
      </c>
      <c r="E1609" t="s">
        <v>2232</v>
      </c>
      <c r="G1609" t="s">
        <v>2233</v>
      </c>
      <c r="I1609">
        <v>2015</v>
      </c>
      <c r="K1609" t="s">
        <v>2234</v>
      </c>
      <c r="M1609" t="str">
        <f>LEFT($D1609,FIND(",",$D1609)-1)&amp;"_"&amp;I1609&amp;L1609</f>
        <v>Repo_2015</v>
      </c>
      <c r="N1609" t="s">
        <v>2583</v>
      </c>
      <c r="O1609" s="145" t="s">
        <v>225</v>
      </c>
      <c r="Q1609" t="s">
        <v>256</v>
      </c>
      <c r="R1609" s="262" t="s">
        <v>223</v>
      </c>
      <c r="S1609" s="1" t="s">
        <v>2229</v>
      </c>
      <c r="T1609" t="s">
        <v>2235</v>
      </c>
      <c r="U1609" t="s">
        <v>2239</v>
      </c>
      <c r="V1609" s="143">
        <v>0</v>
      </c>
      <c r="W1609" s="143">
        <v>0</v>
      </c>
      <c r="X1609" s="143">
        <v>0</v>
      </c>
      <c r="Y1609" s="143">
        <v>0</v>
      </c>
      <c r="Z1609" s="143">
        <v>0</v>
      </c>
      <c r="AA1609" s="143">
        <v>0</v>
      </c>
      <c r="AB1609" s="143">
        <v>0</v>
      </c>
      <c r="AC1609" s="143">
        <v>0</v>
      </c>
      <c r="AD1609" s="143">
        <v>0</v>
      </c>
      <c r="AE1609" s="143">
        <v>0</v>
      </c>
      <c r="AF1609" s="143">
        <v>1</v>
      </c>
      <c r="AG1609" s="143">
        <v>0</v>
      </c>
      <c r="AH1609" s="143">
        <v>0</v>
      </c>
      <c r="AI1609" s="143">
        <v>0</v>
      </c>
      <c r="AJ1609" s="143">
        <v>0</v>
      </c>
      <c r="AK1609" s="143">
        <v>0</v>
      </c>
      <c r="AL1609" s="143">
        <v>0</v>
      </c>
      <c r="AM1609" s="143">
        <v>0</v>
      </c>
      <c r="AN1609" s="143">
        <v>0</v>
      </c>
      <c r="AO1609" s="143">
        <v>0</v>
      </c>
      <c r="AP1609" s="143">
        <v>0</v>
      </c>
      <c r="AQ1609" s="143">
        <v>0</v>
      </c>
      <c r="AR1609" s="143">
        <v>0</v>
      </c>
      <c r="AS1609" s="143">
        <v>0</v>
      </c>
      <c r="AT1609" s="143">
        <v>0</v>
      </c>
      <c r="AU1609" s="143">
        <v>0</v>
      </c>
      <c r="AV1609" s="143">
        <v>0</v>
      </c>
      <c r="AW1609" s="143">
        <v>0</v>
      </c>
      <c r="AX1609" s="141">
        <f>COUNTIF(V1609:AW1609,"&lt;&gt;0")</f>
        <v>1</v>
      </c>
      <c r="AY1609" s="141">
        <f>COUNTIF(V1609:AL1609,"&lt;&gt;0")</f>
        <v>1</v>
      </c>
      <c r="AZ1609">
        <f>COUNTIF(V1609:AC1609,"&lt;&gt;0")</f>
        <v>0</v>
      </c>
      <c r="BA1609">
        <f>COUNTIF(AD1609:AI1609,"&lt;&gt;0")</f>
        <v>1</v>
      </c>
      <c r="BB1609">
        <f>COUNTIF(AJ1609:AL1609,"&lt;&gt;0")</f>
        <v>0</v>
      </c>
      <c r="BC1609">
        <f>COUNTIF(AS1609:AW1609,"&lt;&gt;0")</f>
        <v>0</v>
      </c>
      <c r="BD1609">
        <f>COUNTIF(AM1609:AR1609,"&lt;&gt;0")</f>
        <v>0</v>
      </c>
      <c r="BE1609" t="str">
        <f t="array" ref="BE1609">IF(AY1609=1,INDEX($V$7:$AL$7,MATCH(TRUE,INDEX($V1609:$AW1609&lt;&gt;0,),0)),IF(AY1609=0,INDEX($AM$7:$AW$7,MATCH(1,$AM1609:$AW1609,0)),IF(BF1609="Multiple strategies","mixed drivers",IF(BF1609="Supply chain","multiple supply","multiple silviculture"))))</f>
        <v>supply chain organization</v>
      </c>
      <c r="BF1609" s="2" t="str" cm="1">
        <f t="array" ref="BF1609">IF(COUNTIF(AZ1609:BB1609,"&lt;&gt;0")=1,INDEX($V$4:$AW$4,MATCH(TRUE,INDEX($V1609:$AW1609&lt;&gt;0,),0)),IF(COUNTIF(AZ1609:BB1609,"&lt;&gt;0")=0,INDEX($AM$4:$AW$4,MATCH(1,$AM1609:$AW1609,0)),"Multiple strategies"))</f>
        <v>Supply chain</v>
      </c>
      <c r="BG1609" s="1" t="s">
        <v>321</v>
      </c>
      <c r="BH1609" t="s">
        <v>2237</v>
      </c>
      <c r="BI1609" s="264" t="s">
        <v>424</v>
      </c>
      <c r="BJ1609" s="264" t="s">
        <v>3234</v>
      </c>
      <c r="BK1609">
        <v>63</v>
      </c>
      <c r="BL1609">
        <v>69</v>
      </c>
      <c r="BN1609">
        <f>BL1609-BK1609</f>
        <v>6</v>
      </c>
      <c r="BO1609">
        <f>BN1609*t_to_m3</f>
        <v>12.244897959183675</v>
      </c>
      <c r="BP1609" t="s">
        <v>232</v>
      </c>
      <c r="BR1609" t="s">
        <v>2238</v>
      </c>
      <c r="BU1609" s="144"/>
      <c r="BV1609">
        <v>-1.7999999999999999E-2</v>
      </c>
      <c r="BY1609">
        <f>IFERROR(BX1609/BO1609,"")</f>
        <v>0</v>
      </c>
      <c r="BZ1609" s="143">
        <v>0</v>
      </c>
      <c r="CA1609" s="143">
        <v>1</v>
      </c>
      <c r="CB1609" s="143">
        <v>0</v>
      </c>
      <c r="CC1609" s="143">
        <v>1</v>
      </c>
      <c r="CD1609" s="143">
        <v>0</v>
      </c>
      <c r="CE1609" s="143">
        <v>0</v>
      </c>
      <c r="CF1609" s="143">
        <v>0</v>
      </c>
      <c r="CG1609" s="143">
        <v>0</v>
      </c>
      <c r="CH1609" s="143">
        <v>0</v>
      </c>
      <c r="CI1609" s="143">
        <v>0</v>
      </c>
      <c r="CJ1609" s="143">
        <v>0</v>
      </c>
      <c r="CK1609" s="143">
        <v>0</v>
      </c>
      <c r="CL1609" s="143">
        <v>0</v>
      </c>
      <c r="CM1609" s="143">
        <v>0</v>
      </c>
      <c r="CN1609" t="str">
        <f>IF(BL1609&lt;BK1609,"refNeedCorrection","refOK")</f>
        <v>refOK</v>
      </c>
      <c r="CO1609">
        <f>IF($CN1609="refOK",$BK1609,$BL1609)</f>
        <v>63</v>
      </c>
      <c r="CP1609">
        <f>IF($CN1609="refOK",$BL1609,$BK1609)</f>
        <v>69</v>
      </c>
      <c r="CQ1609">
        <f>IF($CN1609="refOK",$BO1609,-$BO1609)</f>
        <v>12.244897959183675</v>
      </c>
      <c r="CR1609"/>
      <c r="CS1609"/>
      <c r="CT1609"/>
      <c r="CU1609"/>
      <c r="CV1609" s="2" t="str">
        <f>IFERROR((CS1609-CR1609)/ABS(CR1609),"")</f>
        <v/>
      </c>
      <c r="CW1609" s="1" t="s">
        <v>1203</v>
      </c>
      <c r="CX1609" t="str">
        <f>IF(OR($CW1609="prd",$CW1609="std",$CW1609="cit"),"loc",IF(OR($CW1609="eur",$CW1609="reg",$CW1609="coy"),"reg",$CW1609))</f>
        <v>reg</v>
      </c>
      <c r="CY1609" t="s">
        <v>235</v>
      </c>
      <c r="CZ1609">
        <v>2010</v>
      </c>
      <c r="DA1609">
        <v>2110</v>
      </c>
      <c r="DB1609" s="143">
        <f>DA1609-CZ1609</f>
        <v>100</v>
      </c>
      <c r="DC1609" t="str">
        <f>IF(DB1609=0,"0",IF(AND(DB1609&gt;=1,DB1609&lt;=30),"1-30",IF(AND(DB1609&gt;30,DB1609&lt;=70),"31-70",IF(AND(DB1609&gt;70,DB1609&lt;=100),"71-100",IF(DB1609&gt;100,"+100")))))</f>
        <v>71-100</v>
      </c>
      <c r="DD1609">
        <v>1</v>
      </c>
      <c r="DE1609">
        <v>1</v>
      </c>
      <c r="DF1609">
        <v>0</v>
      </c>
      <c r="DG1609">
        <v>0</v>
      </c>
      <c r="DI1609">
        <f>SUM(DD1609:DG1609)</f>
        <v>2</v>
      </c>
      <c r="DJ1609" t="str">
        <f>IF(DI1609=1,INDEX($DD$7:$DG$7,MATCH(1,$DD1609:$DG1609,0)),"mixedProduct")</f>
        <v>mixedProduct</v>
      </c>
      <c r="DK1609" t="str">
        <f>IF(DD1609=1,DK$7,0)</f>
        <v>Upstream</v>
      </c>
      <c r="DL1609" t="str">
        <f>IF(DE1609=1,DL$7,0)</f>
        <v>Energy</v>
      </c>
      <c r="DM1609">
        <f>IF(DF1609=1,DM$7,0)</f>
        <v>0</v>
      </c>
      <c r="DN1609">
        <f>IF(DG1609=1,DN$7,0)</f>
        <v>0</v>
      </c>
      <c r="DO1609">
        <v>0</v>
      </c>
      <c r="DP1609" s="143">
        <v>0</v>
      </c>
      <c r="DQ1609" t="s">
        <v>2230</v>
      </c>
      <c r="DR1609">
        <v>0</v>
      </c>
      <c r="DS1609">
        <v>0</v>
      </c>
      <c r="DT1609">
        <f>SUM(DO1609:DP1609)</f>
        <v>0</v>
      </c>
      <c r="DU1609" s="143" t="str">
        <f>IF(DO1609=1,"self-calculated DF",IF(DP1609=1,"external DF used","explicit C balance"))</f>
        <v>explicit C balance</v>
      </c>
      <c r="DV1609" s="143">
        <v>1</v>
      </c>
      <c r="DW1609" s="143">
        <v>1</v>
      </c>
      <c r="DX1609" s="143">
        <v>1</v>
      </c>
      <c r="DY1609" s="143">
        <v>0</v>
      </c>
      <c r="DZ1609" s="143">
        <v>1</v>
      </c>
      <c r="EA1609" s="143">
        <v>0</v>
      </c>
      <c r="EB1609" s="143">
        <v>1</v>
      </c>
      <c r="EC1609" s="143">
        <v>1</v>
      </c>
      <c r="ED1609" s="143">
        <v>0</v>
      </c>
      <c r="EE1609" s="143">
        <v>0</v>
      </c>
      <c r="EF1609" s="143">
        <v>0</v>
      </c>
      <c r="EG1609" s="143">
        <v>0</v>
      </c>
      <c r="EH1609" s="143">
        <v>0</v>
      </c>
      <c r="EI1609" s="196">
        <v>0</v>
      </c>
      <c r="EK1609" t="str">
        <f>IF(AND(AND(AND(OR($DX1609=1,$DW1609=1),OR($EC1609=1,$EA1609=1)),SUM($DV1609:$DZ1609,$EF1609)&gt;=4),SUM($EA1609:$EE1609)&gt;=2),"Whole sector","")</f>
        <v>Whole sector</v>
      </c>
      <c r="EL1609" t="str">
        <f>IF(AND(AND(OR($DX1609=1,$DW1609=1),AND($EC1609=0,$EA1609=0)),SUM($DV1609:$DZ1609,$EF1609)&gt;=4),"Ecosystem approach","")</f>
        <v/>
      </c>
      <c r="EM1609" s="2" t="str">
        <f>IF(AND(AND(AND($DX1609=0,$DW1609=0),OR($EC1609=1,$EA1609=1)),SUM($EB1609:$EE1609)&gt;=2),"Technology approach","")</f>
        <v/>
      </c>
      <c r="EP1609" t="str">
        <f>IF(ISNUMBER(BU1609),IF(ABS(BU1609-[1]QC_indicators!$B$2)&gt;3*[1]QC_indicators!$C$2,"C ratio",IF(ISNUMBER(BY1609),IF(ABS(BY1609-[1]QC_indicators!$B$1)&gt;3*[1]QC_indicators!$C$1,"DF","no"))),IF(ISNUMBER(BY1609),IF(ABS(BY1609-[1]QC_indicators!$B$1)&gt;3*[1]QC_indicators!$C$1,"DF","no")))</f>
        <v>no</v>
      </c>
      <c r="ER1609" s="149" t="s">
        <v>349</v>
      </c>
      <c r="ET1609" s="264" t="s">
        <v>3235</v>
      </c>
    </row>
    <row r="1610" spans="1:150" s="139" customFormat="1">
      <c r="A1610" s="174" t="s">
        <v>1957</v>
      </c>
      <c r="B1610" s="141" t="s">
        <v>4384</v>
      </c>
      <c r="C1610" s="141" t="s">
        <v>4385</v>
      </c>
      <c r="D1610" s="141" t="s">
        <v>4386</v>
      </c>
      <c r="E1610" s="141" t="s">
        <v>4387</v>
      </c>
      <c r="F1610" s="141" t="s">
        <v>4388</v>
      </c>
      <c r="G1610" s="141" t="s">
        <v>1963</v>
      </c>
      <c r="H1610" s="141"/>
      <c r="I1610" s="141">
        <v>2020</v>
      </c>
      <c r="J1610" s="141"/>
      <c r="K1610" s="141" t="s">
        <v>4389</v>
      </c>
      <c r="L1610" s="141"/>
      <c r="M1610" t="str">
        <f>LEFT($D1610,FIND(",",$D1610)-1)&amp;"_"&amp;I1610&amp;L1610</f>
        <v>Biber_2020</v>
      </c>
      <c r="N1610" t="s">
        <v>2585</v>
      </c>
      <c r="O1610" s="141" t="s">
        <v>225</v>
      </c>
      <c r="P1610" s="141"/>
      <c r="Q1610" s="312" t="s">
        <v>224</v>
      </c>
      <c r="R1610" s="313"/>
      <c r="S1610" s="174"/>
      <c r="T1610" s="141"/>
      <c r="U1610" s="163"/>
      <c r="V1610" s="141"/>
      <c r="W1610" s="141"/>
      <c r="X1610" s="141"/>
      <c r="Y1610" s="141"/>
      <c r="Z1610" s="141"/>
      <c r="AA1610" s="141"/>
      <c r="AB1610" s="141"/>
      <c r="AC1610" s="141"/>
      <c r="AD1610" s="141"/>
      <c r="AE1610" s="141"/>
      <c r="AF1610" s="141"/>
      <c r="AG1610" s="141"/>
      <c r="AH1610" s="141"/>
      <c r="AI1610" s="141"/>
      <c r="AJ1610" s="141"/>
      <c r="AK1610" s="141"/>
      <c r="AL1610" s="141"/>
      <c r="AM1610" s="141"/>
      <c r="AN1610" s="141"/>
      <c r="AO1610" s="141"/>
      <c r="AP1610" s="141"/>
      <c r="AQ1610" s="141"/>
      <c r="AR1610" s="141"/>
      <c r="AS1610" s="141"/>
      <c r="AT1610" s="141"/>
      <c r="AU1610" s="141"/>
      <c r="AV1610" s="141"/>
      <c r="AW1610" s="141"/>
      <c r="AX1610" s="141"/>
      <c r="AY1610" s="141"/>
      <c r="AZ1610"/>
      <c r="BA1610"/>
      <c r="BB1610"/>
      <c r="BC1610"/>
      <c r="BD1610"/>
      <c r="BE1610"/>
      <c r="BF1610" s="2"/>
      <c r="BG1610" s="173"/>
      <c r="BH1610" s="141"/>
      <c r="BI1610" s="141"/>
      <c r="BJ1610" s="163"/>
      <c r="BK1610" s="141"/>
      <c r="BL1610" s="163"/>
      <c r="BM1610" s="163"/>
      <c r="BN1610" s="163"/>
      <c r="BO1610" s="163"/>
      <c r="BP1610" s="163"/>
      <c r="BQ1610" s="163"/>
      <c r="BR1610" s="141"/>
      <c r="BS1610" s="163"/>
      <c r="BT1610" s="141"/>
      <c r="BU1610" s="144"/>
      <c r="BV1610" s="141"/>
      <c r="BW1610" s="141"/>
      <c r="BX1610" s="141"/>
      <c r="BY1610" t="str">
        <f>IFERROR(BX1610/BO1610,"")</f>
        <v/>
      </c>
      <c r="BZ1610" s="141"/>
      <c r="CA1610" s="141"/>
      <c r="CB1610" s="141"/>
      <c r="CC1610" s="141"/>
      <c r="CD1610" s="141"/>
      <c r="CE1610" s="141"/>
      <c r="CF1610" s="141"/>
      <c r="CG1610" s="141"/>
      <c r="CH1610" s="141"/>
      <c r="CI1610" s="141"/>
      <c r="CJ1610" s="141"/>
      <c r="CK1610" s="141"/>
      <c r="CL1610" s="141"/>
      <c r="CM1610" s="141"/>
      <c r="CN1610"/>
      <c r="CO1610"/>
      <c r="CP1610"/>
      <c r="CQ1610"/>
      <c r="CR1610"/>
      <c r="CS1610"/>
      <c r="CT1610"/>
      <c r="CU1610"/>
      <c r="CV1610" s="2"/>
      <c r="CW1610" s="174"/>
      <c r="CX1610" s="312"/>
      <c r="CY1610" s="141"/>
      <c r="CZ1610" s="141"/>
      <c r="DA1610" s="163"/>
      <c r="DB1610" s="163"/>
      <c r="DC1610"/>
      <c r="DD1610" s="141"/>
      <c r="DE1610" s="141"/>
      <c r="DF1610" s="141"/>
      <c r="DG1610" s="141"/>
      <c r="DH1610"/>
      <c r="DI1610"/>
      <c r="DJ1610"/>
      <c r="DK1610"/>
      <c r="DL1610"/>
      <c r="DM1610"/>
      <c r="DN1610"/>
      <c r="DO1610" s="163"/>
      <c r="DP1610" s="141"/>
      <c r="DQ1610" s="163"/>
      <c r="DR1610" s="141"/>
      <c r="DS1610" s="163"/>
      <c r="DT1610"/>
      <c r="DU1610" s="143"/>
      <c r="DV1610" s="163"/>
      <c r="DW1610" s="141"/>
      <c r="DX1610" s="163"/>
      <c r="DY1610" s="163"/>
      <c r="DZ1610" s="141"/>
      <c r="EA1610" s="141"/>
      <c r="EB1610" s="163"/>
      <c r="EC1610" s="141"/>
      <c r="ED1610" s="163"/>
      <c r="EE1610" s="141"/>
      <c r="EF1610" s="141"/>
      <c r="EG1610" s="163"/>
      <c r="EH1610" s="141"/>
      <c r="EI1610" s="177"/>
      <c r="EJ1610" s="1"/>
      <c r="EK1610" t="str">
        <f>IF(AND(AND(AND(OR($DX1610=1,$DW1610=1),OR($EC1610=1,$EA1610=1)),SUM($DV1610:$DZ1610,$EF1610)&gt;=3),SUM($EA1610:$EE1610)&gt;=2),"Whole sector","")</f>
        <v/>
      </c>
      <c r="EL1610" t="str">
        <f>IF(AND(AND(OR($DX1610=1,$DW1610=1),AND($EC1610=0,$EA1610=0)),SUM($DV1610:$DZ1610,$EF1610)&gt;=3),"Ecosystem approach","")</f>
        <v/>
      </c>
      <c r="EM1610" s="2" t="str">
        <f>IF(AND(AND(AND($DX1610=0,$DW1610=0),OR($EC1610=1,$EA1610=1)),SUM($EB1610:$EE1610)&gt;=2),"Technology approach","")</f>
        <v/>
      </c>
      <c r="EN1610" s="141"/>
      <c r="EO1610" t="s">
        <v>4390</v>
      </c>
      <c r="EP1610" t="b">
        <f>IF(ISNUMBER(BU1610),IF(ABS(BU1610-[5]QC_indicators!$B$2)&gt;3*[5]QC_indicators!$C$2,"C ratio",IF(ISNUMBER(BY1610),IF(ABS(BY1610-[5]QC_indicators!$B$1)&gt;3*[5]QC_indicators!$C$1,"DF","no"))),IF(ISNUMBER(BY1610),IF(ABS(BY1610-[5]QC_indicators!$B$1)&gt;3*[5]QC_indicators!$C$1,"DF","no")))</f>
        <v>0</v>
      </c>
      <c r="EQ1610"/>
      <c r="ER1610"/>
      <c r="ES1610"/>
      <c r="ET1610"/>
    </row>
    <row r="1611" spans="1:150" ht="15" customHeight="1">
      <c r="A1611" s="1" t="s">
        <v>1102</v>
      </c>
      <c r="B1611" t="s">
        <v>4391</v>
      </c>
      <c r="C1611" t="s">
        <v>4392</v>
      </c>
      <c r="D1611" t="s">
        <v>4393</v>
      </c>
      <c r="E1611" s="312" t="s">
        <v>4394</v>
      </c>
      <c r="F1611" t="s">
        <v>4395</v>
      </c>
      <c r="G1611" t="s">
        <v>1108</v>
      </c>
      <c r="H1611" t="s">
        <v>254</v>
      </c>
      <c r="I1611">
        <v>2016</v>
      </c>
      <c r="J1611">
        <v>19</v>
      </c>
      <c r="K1611" t="s">
        <v>4396</v>
      </c>
      <c r="M1611" t="str">
        <f>LEFT($D1611,FIND(",",$D1611)-1)&amp;"_"&amp;I1611&amp;L1611</f>
        <v>Kilpelainen_2016</v>
      </c>
      <c r="N1611" s="312" t="s">
        <v>2585</v>
      </c>
      <c r="O1611" s="171" t="s">
        <v>513</v>
      </c>
      <c r="P1611" t="s">
        <v>223</v>
      </c>
      <c r="Q1611" s="312" t="s">
        <v>389</v>
      </c>
      <c r="R1611" s="313"/>
      <c r="U1611" s="143"/>
      <c r="AX1611" s="141"/>
      <c r="AY1611" s="141"/>
      <c r="BE1611"/>
      <c r="BF1611" s="2"/>
      <c r="BG1611" s="142"/>
      <c r="BJ1611" s="143"/>
      <c r="BL1611" s="143"/>
      <c r="BN1611" s="158"/>
      <c r="BO1611" s="159"/>
      <c r="BS1611" s="151"/>
      <c r="BT1611" s="151"/>
      <c r="BU1611" s="144"/>
      <c r="BY1611" t="str">
        <f>IFERROR(BX1611/BO1611,"")</f>
        <v/>
      </c>
      <c r="BZ1611" s="143"/>
      <c r="CA1611" s="143"/>
      <c r="CB1611" s="143"/>
      <c r="CC1611" s="143"/>
      <c r="CD1611" s="143"/>
      <c r="CE1611" s="143"/>
      <c r="CF1611" s="143"/>
      <c r="CG1611" s="143"/>
      <c r="CH1611" s="143"/>
      <c r="CI1611" s="143"/>
      <c r="CJ1611" s="143"/>
      <c r="CK1611" s="143"/>
      <c r="CL1611" s="143"/>
      <c r="CN1611"/>
      <c r="CO1611"/>
      <c r="CP1611"/>
      <c r="CQ1611"/>
      <c r="CR1611"/>
      <c r="CS1611"/>
      <c r="CT1611"/>
      <c r="CU1611"/>
      <c r="CV1611" s="2"/>
      <c r="CX1611" s="312"/>
      <c r="DA1611" s="143"/>
      <c r="DB1611" s="143"/>
      <c r="DC1611"/>
      <c r="DI1611"/>
      <c r="DJ1611"/>
      <c r="DK1611"/>
      <c r="DL1611"/>
      <c r="DM1611"/>
      <c r="DN1611"/>
      <c r="DP1611" s="143"/>
      <c r="DQ1611" s="143"/>
      <c r="DS1611" s="143"/>
      <c r="DT1611"/>
      <c r="DU1611" s="143"/>
      <c r="DV1611" s="143"/>
      <c r="DW1611" s="143"/>
      <c r="DX1611" s="143"/>
      <c r="DY1611" s="143"/>
      <c r="EB1611" s="143"/>
      <c r="EC1611" s="143"/>
      <c r="ED1611" s="143"/>
      <c r="EG1611" s="143"/>
      <c r="EH1611" s="143"/>
      <c r="EK1611" t="str">
        <f>IF(AND(AND(AND(OR($DX1611=1,$DW1611=1),OR($EC1611=1,$EA1611=1)),SUM($DV1611:$DZ1611,$EF1611)&gt;=3),SUM($EA1611:$EE1611)&gt;=2),"Whole sector","")</f>
        <v/>
      </c>
      <c r="EL1611" t="str">
        <f>IF(AND(AND(OR($DX1611=1,$DW1611=1),AND($EC1611=0,$EA1611=0)),SUM($DV1611:$DZ1611,$EF1611)&gt;=3),"Ecosystem approach","")</f>
        <v/>
      </c>
      <c r="EM1611" s="2" t="str">
        <f>IF(AND(AND(AND($DX1611=0,$DW1611=0),OR($EC1611=1,$EA1611=1)),SUM($EB1611:$EE1611)&gt;=2),"Technology approach","")</f>
        <v/>
      </c>
      <c r="EP1611" t="b">
        <f>IF(ISNUMBER(BU1611),IF(ABS(BU1611-[5]QC_indicators!$B$2)&gt;3*[5]QC_indicators!$C$2,"C ratio",IF(ISNUMBER(BY1611),IF(ABS(BY1611-[5]QC_indicators!$B$1)&gt;3*[5]QC_indicators!$C$1,"DF","no"))),IF(ISNUMBER(BY1611),IF(ABS(BY1611-[5]QC_indicators!$B$1)&gt;3*[5]QC_indicators!$C$1,"DF","no")))</f>
        <v>0</v>
      </c>
    </row>
    <row r="1612" spans="1:150" ht="15" customHeight="1">
      <c r="A1612" s="1" t="s">
        <v>4145</v>
      </c>
      <c r="B1612" t="s">
        <v>4397</v>
      </c>
      <c r="C1612" t="s">
        <v>4398</v>
      </c>
      <c r="D1612" t="s">
        <v>4399</v>
      </c>
      <c r="E1612" t="s">
        <v>4400</v>
      </c>
      <c r="F1612" t="s">
        <v>4401</v>
      </c>
      <c r="G1612" t="s">
        <v>4151</v>
      </c>
      <c r="H1612" t="s">
        <v>254</v>
      </c>
      <c r="I1612">
        <v>2019</v>
      </c>
      <c r="J1612">
        <v>14</v>
      </c>
      <c r="K1612" t="s">
        <v>4402</v>
      </c>
      <c r="M1612" t="str">
        <f>LEFT($D1612,FIND(",",$D1612)-1)&amp;"_"&amp;I1612&amp;L1612</f>
        <v>Albers_2019</v>
      </c>
      <c r="N1612" s="312" t="s">
        <v>2582</v>
      </c>
      <c r="O1612" s="312" t="s">
        <v>1154</v>
      </c>
      <c r="Q1612" s="312" t="s">
        <v>389</v>
      </c>
      <c r="R1612" s="313"/>
      <c r="BE1612"/>
      <c r="BF1612" s="2"/>
      <c r="BY1612" t="str">
        <f>IFERROR(BX1612/BO1612,"")</f>
        <v/>
      </c>
      <c r="CN1612"/>
      <c r="CO1612"/>
      <c r="CP1612"/>
      <c r="CQ1612"/>
      <c r="CR1612"/>
      <c r="CS1612"/>
      <c r="CT1612"/>
      <c r="CU1612"/>
      <c r="CV1612" s="2"/>
      <c r="CX1612"/>
      <c r="DC1612" t="str">
        <f>IF(DB1612=0,"0",IF(AND(DB1612&gt;=1,DB1612&lt;=70),"1-70",IF(AND(DB1612&gt;70,DB1612&lt;=100),"70-100",IF(DB1612&gt;100,"+100"))))</f>
        <v>0</v>
      </c>
      <c r="DI1612"/>
      <c r="DJ1612"/>
      <c r="DK1612"/>
      <c r="DL1612"/>
      <c r="DM1612"/>
      <c r="DN1612"/>
      <c r="DT1612"/>
      <c r="DU1612"/>
      <c r="EK1612" t="str">
        <f>IF(AND(AND(AND(OR($DX1612=1,$DW1612=1),OR($EC1612=1,$EA1612=1)),SUM($DV1612:$DZ1612,$EF1612)&gt;=3),SUM($EA1612:$EE1612)&gt;=2),"Whole sector","")</f>
        <v/>
      </c>
      <c r="EL1612" t="str">
        <f>IF(AND(AND(OR($DX1612=1,$DW1612=1),AND($EC1612=0,$EA1612=0)),SUM($DV1612:$DZ1612,$EF1612)&gt;=3),"Ecosystem approach","")</f>
        <v/>
      </c>
      <c r="EM1612" s="2" t="str">
        <f>IF(AND(AND(AND($DX1612=0,$DW1612=0),OR($EC1612=1,$EA1612=1)),SUM($EB1612:$EE1612)&gt;=2),"Technology approach","")</f>
        <v/>
      </c>
      <c r="EN1612" t="s">
        <v>4403</v>
      </c>
      <c r="EP1612" t="b">
        <f>IF(ISNUMBER(BU1612),IF(ABS(BU1612-[5]QC_indicators!$B$2)&gt;3*[5]QC_indicators!$C$2,"C ratio",IF(ISNUMBER(BY1612),IF(ABS(BY1612-[5]QC_indicators!$B$1)&gt;3*[5]QC_indicators!$C$1,"DF","no"))),IF(ISNUMBER(BY1612),IF(ABS(BY1612-[5]QC_indicators!$B$1)&gt;3*[5]QC_indicators!$C$1,"DF","no")))</f>
        <v>0</v>
      </c>
    </row>
    <row r="1613" spans="1:150" ht="15" customHeight="1">
      <c r="A1613" s="1" t="s">
        <v>656</v>
      </c>
      <c r="B1613" t="s">
        <v>4404</v>
      </c>
      <c r="C1613" t="s">
        <v>4405</v>
      </c>
      <c r="D1613" t="s">
        <v>4406</v>
      </c>
      <c r="E1613" t="s">
        <v>4407</v>
      </c>
      <c r="F1613" t="s">
        <v>4408</v>
      </c>
      <c r="G1613" t="s">
        <v>662</v>
      </c>
      <c r="H1613" t="s">
        <v>254</v>
      </c>
      <c r="I1613">
        <v>2020</v>
      </c>
      <c r="J1613">
        <v>10</v>
      </c>
      <c r="K1613" t="s">
        <v>4409</v>
      </c>
      <c r="M1613" t="str">
        <f>LEFT($D1613,FIND(",",$D1613)-1)&amp;"_"&amp;I1613&amp;L1613</f>
        <v>Chen_2020</v>
      </c>
      <c r="N1613" t="s">
        <v>2582</v>
      </c>
      <c r="O1613" s="145" t="s">
        <v>223</v>
      </c>
      <c r="Q1613" s="312" t="s">
        <v>256</v>
      </c>
      <c r="R1613" s="313"/>
      <c r="AX1613" s="141"/>
      <c r="AY1613" s="141"/>
      <c r="BE1613"/>
      <c r="BF1613" s="2"/>
      <c r="BP1613" s="143"/>
      <c r="BQ1613" s="143"/>
      <c r="BU1613" s="144"/>
      <c r="BY1613" t="str">
        <f>IFERROR(BX1613/BO1613,"")</f>
        <v/>
      </c>
      <c r="CN1613"/>
      <c r="CO1613"/>
      <c r="CP1613"/>
      <c r="CQ1613"/>
      <c r="CR1613"/>
      <c r="CS1613"/>
      <c r="CT1613"/>
      <c r="CU1613"/>
      <c r="CV1613" s="2"/>
      <c r="CX1613" s="312"/>
      <c r="DC1613"/>
      <c r="DI1613"/>
      <c r="DJ1613"/>
      <c r="DK1613"/>
      <c r="DL1613"/>
      <c r="DM1613"/>
      <c r="DN1613"/>
      <c r="DT1613"/>
      <c r="DU1613" s="143"/>
      <c r="EK1613" t="str">
        <f>IF(AND(AND(AND(OR($DX1613=1,$DW1613=1),OR($EC1613=1,$EA1613=1)),SUM($DV1613:$DZ1613,$EF1613)&gt;=3),SUM($EA1613:$EE1613)&gt;=2),"Whole sector","")</f>
        <v/>
      </c>
      <c r="EL1613" t="str">
        <f>IF(AND(AND(OR($DX1613=1,$DW1613=1),AND($EC1613=0,$EA1613=0)),SUM($DV1613:$DZ1613,$EF1613)&gt;=3),"Ecosystem approach","")</f>
        <v/>
      </c>
      <c r="EM1613" s="2" t="str">
        <f>IF(AND(AND(AND($DX1613=0,$DW1613=0),OR($EC1613=1,$EA1613=1)),SUM($EB1613:$EE1613)&gt;=2),"Technology approach","")</f>
        <v/>
      </c>
      <c r="EN1613" t="s">
        <v>4410</v>
      </c>
      <c r="EO1613" t="s">
        <v>450</v>
      </c>
      <c r="EP1613" t="b">
        <f>IF(ISNUMBER(BU1613),IF(ABS(BU1613-[5]QC_indicators!$B$2)&gt;3*[5]QC_indicators!$C$2,"C ratio",IF(ISNUMBER(BY1613),IF(ABS(BY1613-[5]QC_indicators!$B$1)&gt;3*[5]QC_indicators!$C$1,"DF","no"))),IF(ISNUMBER(BY1613),IF(ABS(BY1613-[5]QC_indicators!$B$1)&gt;3*[5]QC_indicators!$C$1,"DF","no")))</f>
        <v>0</v>
      </c>
    </row>
    <row r="1614" spans="1:150" ht="15" customHeight="1">
      <c r="A1614" s="1" t="s">
        <v>656</v>
      </c>
      <c r="B1614" t="s">
        <v>4404</v>
      </c>
      <c r="C1614" t="s">
        <v>4405</v>
      </c>
      <c r="D1614" t="s">
        <v>4406</v>
      </c>
      <c r="E1614" t="s">
        <v>4407</v>
      </c>
      <c r="F1614" t="s">
        <v>4408</v>
      </c>
      <c r="G1614" t="s">
        <v>662</v>
      </c>
      <c r="H1614" t="s">
        <v>254</v>
      </c>
      <c r="I1614">
        <v>2020</v>
      </c>
      <c r="J1614">
        <v>10</v>
      </c>
      <c r="K1614" t="s">
        <v>4409</v>
      </c>
      <c r="M1614" t="str">
        <f>LEFT($D1614,FIND(",",$D1614)-1)&amp;"_"&amp;I1614&amp;L1614</f>
        <v>Chen_2020</v>
      </c>
      <c r="N1614" t="s">
        <v>2582</v>
      </c>
      <c r="O1614" s="145" t="s">
        <v>223</v>
      </c>
      <c r="Q1614" s="312" t="s">
        <v>256</v>
      </c>
      <c r="R1614" s="313"/>
      <c r="AX1614" s="141"/>
      <c r="AY1614" s="141"/>
      <c r="BE1614"/>
      <c r="BF1614" s="2"/>
      <c r="BP1614" s="143"/>
      <c r="BQ1614" s="143"/>
      <c r="BY1614" t="str">
        <f>IFERROR(BX1614/BO1614,"")</f>
        <v/>
      </c>
      <c r="CN1614"/>
      <c r="CO1614"/>
      <c r="CP1614"/>
      <c r="CQ1614"/>
      <c r="CR1614"/>
      <c r="CS1614"/>
      <c r="CT1614"/>
      <c r="CU1614"/>
      <c r="CV1614" s="2"/>
      <c r="CX1614" s="312"/>
      <c r="DC1614"/>
      <c r="DI1614"/>
      <c r="DJ1614"/>
      <c r="DK1614"/>
      <c r="DL1614"/>
      <c r="DM1614"/>
      <c r="DN1614"/>
      <c r="DT1614"/>
      <c r="DU1614" s="143"/>
      <c r="EK1614" t="str">
        <f>IF(AND(AND(AND(OR($DX1614=1,$DW1614=1),OR($EC1614=1,$EA1614=1)),SUM($DV1614:$DZ1614,$EF1614)&gt;=3),SUM($EA1614:$EE1614)&gt;=2),"Whole sector","")</f>
        <v/>
      </c>
      <c r="EL1614" t="str">
        <f>IF(AND(AND(OR($DX1614=1,$DW1614=1),AND($EC1614=0,$EA1614=0)),SUM($DV1614:$DZ1614,$EF1614)&gt;=3),"Ecosystem approach","")</f>
        <v/>
      </c>
      <c r="EM1614" s="2" t="str">
        <f>IF(AND(AND(AND($DX1614=0,$DW1614=0),OR($EC1614=1,$EA1614=1)),SUM($EB1614:$EE1614)&gt;=2),"Technology approach","")</f>
        <v/>
      </c>
      <c r="EN1614" t="s">
        <v>4410</v>
      </c>
      <c r="EO1614" t="s">
        <v>450</v>
      </c>
      <c r="EP1614" t="b">
        <f>IF(ISNUMBER(BU1614),IF(ABS(BU1614-[5]QC_indicators!$B$2)&gt;3*[5]QC_indicators!$C$2,"C ratio",IF(ISNUMBER(BY1614),IF(ABS(BY1614-[5]QC_indicators!$B$1)&gt;3*[5]QC_indicators!$C$1,"DF","no"))),IF(ISNUMBER(BY1614),IF(ABS(BY1614-[5]QC_indicators!$B$1)&gt;3*[5]QC_indicators!$C$1,"DF","no")))</f>
        <v>0</v>
      </c>
    </row>
    <row r="1615" spans="1:150" ht="15" customHeight="1">
      <c r="A1615" s="1" t="s">
        <v>4411</v>
      </c>
      <c r="B1615" t="s">
        <v>4412</v>
      </c>
      <c r="C1615" t="s">
        <v>4413</v>
      </c>
      <c r="D1615" t="s">
        <v>4414</v>
      </c>
      <c r="E1615" t="s">
        <v>4415</v>
      </c>
      <c r="F1615" t="s">
        <v>4416</v>
      </c>
      <c r="G1615" t="s">
        <v>4417</v>
      </c>
      <c r="H1615" t="s">
        <v>254</v>
      </c>
      <c r="I1615">
        <v>2011</v>
      </c>
      <c r="J1615">
        <v>4</v>
      </c>
      <c r="K1615" t="s">
        <v>4418</v>
      </c>
      <c r="M1615" t="str">
        <f>LEFT($D1615,FIND(",",$D1615)-1)&amp;"_"&amp;I1615&amp;L1615</f>
        <v>Etoh_2011</v>
      </c>
      <c r="N1615" t="s">
        <v>2582</v>
      </c>
      <c r="O1615" s="145" t="s">
        <v>274</v>
      </c>
      <c r="Q1615" s="312" t="s">
        <v>256</v>
      </c>
      <c r="R1615" s="313"/>
      <c r="AX1615" s="141"/>
      <c r="AY1615" s="141"/>
      <c r="BE1615"/>
      <c r="BF1615" s="2"/>
      <c r="BU1615" s="144"/>
      <c r="BY1615" t="str">
        <f>IFERROR(BX1615/BO1615,"")</f>
        <v/>
      </c>
      <c r="CN1615"/>
      <c r="CO1615"/>
      <c r="CP1615"/>
      <c r="CQ1615"/>
      <c r="CR1615"/>
      <c r="CS1615"/>
      <c r="CT1615"/>
      <c r="CU1615"/>
      <c r="CV1615" s="2"/>
      <c r="CX1615" s="312"/>
      <c r="DC1615"/>
      <c r="DI1615"/>
      <c r="DJ1615"/>
      <c r="DK1615"/>
      <c r="DL1615"/>
      <c r="DM1615"/>
      <c r="DN1615"/>
      <c r="DT1615"/>
      <c r="DU1615" s="143"/>
      <c r="EK1615" t="str">
        <f>IF(AND(AND(AND(OR($DX1615=1,$DW1615=1),OR($EC1615=1,$EA1615=1)),SUM($DV1615:$DZ1615,$EF1615)&gt;=3),SUM($EA1615:$EE1615)&gt;=2),"Whole sector","")</f>
        <v/>
      </c>
      <c r="EL1615" t="str">
        <f>IF(AND(AND(OR($DX1615=1,$DW1615=1),AND($EC1615=0,$EA1615=0)),SUM($DV1615:$DZ1615,$EF1615)&gt;=3),"Ecosystem approach","")</f>
        <v/>
      </c>
      <c r="EM1615" s="2" t="str">
        <f>IF(AND(AND(AND($DX1615=0,$DW1615=0),OR($EC1615=1,$EA1615=1)),SUM($EB1615:$EE1615)&gt;=2),"Technology approach","")</f>
        <v/>
      </c>
      <c r="EO1615" t="s">
        <v>4419</v>
      </c>
      <c r="EP1615" t="b">
        <f>IF(ISNUMBER(BU1615),IF(ABS(BU1615-[5]QC_indicators!$B$2)&gt;3*[5]QC_indicators!$C$2,"C ratio",IF(ISNUMBER(BY1615),IF(ABS(BY1615-[5]QC_indicators!$B$1)&gt;3*[5]QC_indicators!$C$1,"DF","no"))),IF(ISNUMBER(BY1615),IF(ABS(BY1615-[5]QC_indicators!$B$1)&gt;3*[5]QC_indicators!$C$1,"DF","no")))</f>
        <v>0</v>
      </c>
    </row>
    <row r="1616" spans="1:150" ht="15" customHeight="1">
      <c r="A1616" s="1" t="s">
        <v>1127</v>
      </c>
      <c r="B1616" t="s">
        <v>4420</v>
      </c>
      <c r="C1616" t="s">
        <v>4421</v>
      </c>
      <c r="D1616" t="s">
        <v>4422</v>
      </c>
      <c r="E1616" t="s">
        <v>4423</v>
      </c>
      <c r="F1616" t="s">
        <v>4424</v>
      </c>
      <c r="G1616" t="s">
        <v>1133</v>
      </c>
      <c r="H1616" t="s">
        <v>254</v>
      </c>
      <c r="I1616">
        <v>2017</v>
      </c>
      <c r="J1616">
        <v>71</v>
      </c>
      <c r="K1616" t="s">
        <v>4425</v>
      </c>
      <c r="L1616" t="s">
        <v>388</v>
      </c>
      <c r="M1616" t="str">
        <f>LEFT($D1616,FIND(",",$D1616)-1)&amp;"_"&amp;I1616&amp;L1616</f>
        <v>Hildebrandt_2017a</v>
      </c>
      <c r="N1616" t="s">
        <v>2582</v>
      </c>
      <c r="O1616" s="145" t="s">
        <v>513</v>
      </c>
      <c r="Q1616" s="312" t="s">
        <v>256</v>
      </c>
      <c r="R1616" s="313"/>
      <c r="AX1616" s="141"/>
      <c r="AY1616" s="141"/>
      <c r="BE1616"/>
      <c r="BF1616" s="2"/>
      <c r="BU1616" s="144"/>
      <c r="BY1616" t="str">
        <f>IFERROR(BX1616/BO1616,"")</f>
        <v/>
      </c>
      <c r="CN1616"/>
      <c r="CO1616"/>
      <c r="CP1616"/>
      <c r="CQ1616"/>
      <c r="CR1616"/>
      <c r="CS1616"/>
      <c r="CT1616"/>
      <c r="CU1616"/>
      <c r="CV1616" s="2"/>
      <c r="CX1616" s="312"/>
      <c r="DC1616"/>
      <c r="DI1616"/>
      <c r="DJ1616"/>
      <c r="DK1616"/>
      <c r="DL1616"/>
      <c r="DM1616"/>
      <c r="DN1616"/>
      <c r="DT1616"/>
      <c r="DU1616" s="143"/>
      <c r="EK1616" t="str">
        <f>IF(AND(AND(AND(OR($DX1616=1,$DW1616=1),OR($EC1616=1,$EA1616=1)),SUM($DV1616:$DZ1616,$EF1616)&gt;=3),SUM($EA1616:$EE1616)&gt;=2),"Whole sector","")</f>
        <v/>
      </c>
      <c r="EL1616" t="str">
        <f>IF(AND(AND(OR($DX1616=1,$DW1616=1),AND($EC1616=0,$EA1616=0)),SUM($DV1616:$DZ1616,$EF1616)&gt;=3),"Ecosystem approach","")</f>
        <v/>
      </c>
      <c r="EM1616" s="2" t="str">
        <f>IF(AND(AND(AND($DX1616=0,$DW1616=0),OR($EC1616=1,$EA1616=1)),SUM($EB1616:$EE1616)&gt;=2),"Technology approach","")</f>
        <v/>
      </c>
      <c r="EN1616" t="s">
        <v>4426</v>
      </c>
      <c r="EO1616" t="s">
        <v>4427</v>
      </c>
      <c r="EP1616" t="b">
        <f>IF(ISNUMBER(BU1616),IF(ABS(BU1616-[5]QC_indicators!$B$2)&gt;3*[5]QC_indicators!$C$2,"C ratio",IF(ISNUMBER(BY1616),IF(ABS(BY1616-[5]QC_indicators!$B$1)&gt;3*[5]QC_indicators!$C$1,"DF","no"))),IF(ISNUMBER(BY1616),IF(ABS(BY1616-[5]QC_indicators!$B$1)&gt;3*[5]QC_indicators!$C$1,"DF","no")))</f>
        <v>0</v>
      </c>
    </row>
    <row r="1617" spans="1:150" ht="15" customHeight="1">
      <c r="A1617" s="1" t="s">
        <v>4428</v>
      </c>
      <c r="B1617" t="s">
        <v>4429</v>
      </c>
      <c r="C1617" t="s">
        <v>4430</v>
      </c>
      <c r="D1617" t="s">
        <v>4431</v>
      </c>
      <c r="E1617" t="s">
        <v>4432</v>
      </c>
      <c r="F1617" t="s">
        <v>4433</v>
      </c>
      <c r="G1617" t="s">
        <v>4434</v>
      </c>
      <c r="H1617" t="s">
        <v>254</v>
      </c>
      <c r="I1617">
        <v>2014</v>
      </c>
      <c r="J1617">
        <v>44</v>
      </c>
      <c r="K1617" t="s">
        <v>4435</v>
      </c>
      <c r="M1617" t="str">
        <f>LEFT($D1617,FIND(",",$D1617)-1)&amp;"_"&amp;I1617&amp;L1617</f>
        <v>Shoyama_2014</v>
      </c>
      <c r="N1617" t="s">
        <v>2582</v>
      </c>
      <c r="O1617" s="145" t="s">
        <v>341</v>
      </c>
      <c r="Q1617" s="312" t="s">
        <v>256</v>
      </c>
      <c r="R1617" s="313"/>
      <c r="AX1617" s="141"/>
      <c r="AY1617" s="141"/>
      <c r="BE1617"/>
      <c r="BF1617" s="2"/>
      <c r="BG1617" s="319"/>
      <c r="BK1617" s="152"/>
      <c r="BM1617" s="312"/>
      <c r="BN1617" s="152"/>
      <c r="BO1617" s="152"/>
      <c r="BU1617" s="144"/>
      <c r="BY1617" t="str">
        <f>IFERROR(BX1617/BO1617,"")</f>
        <v/>
      </c>
      <c r="CN1617"/>
      <c r="CO1617"/>
      <c r="CP1617"/>
      <c r="CQ1617"/>
      <c r="CR1617"/>
      <c r="CS1617"/>
      <c r="CT1617"/>
      <c r="CU1617"/>
      <c r="CV1617" s="2"/>
      <c r="CX1617" s="312"/>
      <c r="DC1617"/>
      <c r="DI1617"/>
      <c r="DJ1617"/>
      <c r="DK1617"/>
      <c r="DL1617"/>
      <c r="DM1617"/>
      <c r="DN1617"/>
      <c r="DS1617" s="295"/>
      <c r="DT1617"/>
      <c r="DU1617" s="143"/>
      <c r="EK1617" t="str">
        <f>IF(AND(AND(AND(OR($DX1617=1,$DW1617=1),OR($EC1617=1,$EA1617=1)),SUM($DV1617:$DZ1617,$EF1617)&gt;=3),SUM($EA1617:$EE1617)&gt;=2),"Whole sector","")</f>
        <v/>
      </c>
      <c r="EL1617" t="str">
        <f>IF(AND(AND(OR($DX1617=1,$DW1617=1),AND($EC1617=0,$EA1617=0)),SUM($DV1617:$DZ1617,$EF1617)&gt;=3),"Ecosystem approach","")</f>
        <v/>
      </c>
      <c r="EM1617" s="2" t="str">
        <f>IF(AND(AND(AND($DX1617=0,$DW1617=0),OR($EC1617=1,$EA1617=1)),SUM($EB1617:$EE1617)&gt;=2),"Technology approach","")</f>
        <v/>
      </c>
      <c r="EN1617" s="312" t="s">
        <v>4436</v>
      </c>
      <c r="EP1617" t="b">
        <f>IF(ISNUMBER(BU1617),IF(ABS(BU1617-[5]QC_indicators!$B$2)&gt;3*[5]QC_indicators!$C$2,"C ratio",IF(ISNUMBER(BY1617),IF(ABS(BY1617-[5]QC_indicators!$B$1)&gt;3*[5]QC_indicators!$C$1,"DF","no"))),IF(ISNUMBER(BY1617),IF(ABS(BY1617-[5]QC_indicators!$B$1)&gt;3*[5]QC_indicators!$C$1,"DF","no")))</f>
        <v>0</v>
      </c>
    </row>
    <row r="1618" spans="1:150" ht="15" customHeight="1">
      <c r="A1618" s="1" t="s">
        <v>412</v>
      </c>
      <c r="B1618" t="s">
        <v>4437</v>
      </c>
      <c r="C1618" t="s">
        <v>4438</v>
      </c>
      <c r="D1618" t="s">
        <v>4439</v>
      </c>
      <c r="E1618" t="s">
        <v>4440</v>
      </c>
      <c r="F1618" t="s">
        <v>4441</v>
      </c>
      <c r="G1618" t="s">
        <v>418</v>
      </c>
      <c r="H1618" t="s">
        <v>254</v>
      </c>
      <c r="I1618">
        <v>2018</v>
      </c>
      <c r="J1618">
        <v>3</v>
      </c>
      <c r="K1618" t="s">
        <v>4442</v>
      </c>
      <c r="L1618" t="s">
        <v>388</v>
      </c>
      <c r="M1618" t="str">
        <f>LEFT($D1618,FIND(",",$D1618)-1)&amp;"_"&amp;I1618&amp;L1618</f>
        <v>Zhang_2018a</v>
      </c>
      <c r="N1618" t="s">
        <v>2582</v>
      </c>
      <c r="O1618" s="145" t="s">
        <v>1154</v>
      </c>
      <c r="Q1618" s="312" t="s">
        <v>256</v>
      </c>
      <c r="R1618" s="313"/>
      <c r="AX1618" s="141"/>
      <c r="AY1618" s="141"/>
      <c r="BE1618"/>
      <c r="BF1618" s="2"/>
      <c r="BM1618" s="143"/>
      <c r="BN1618" s="143"/>
      <c r="BU1618" s="144"/>
      <c r="BV1618" s="144"/>
      <c r="BW1618" s="144"/>
      <c r="BX1618" s="144"/>
      <c r="BY1618" t="str">
        <f>IFERROR(BX1618/BO1618,"")</f>
        <v/>
      </c>
      <c r="CN1618"/>
      <c r="CO1618"/>
      <c r="CP1618"/>
      <c r="CQ1618"/>
      <c r="CR1618"/>
      <c r="CS1618"/>
      <c r="CT1618"/>
      <c r="CU1618"/>
      <c r="CV1618" s="2"/>
      <c r="CX1618" s="312"/>
      <c r="DC1618"/>
      <c r="DI1618"/>
      <c r="DJ1618"/>
      <c r="DK1618"/>
      <c r="DL1618"/>
      <c r="DM1618"/>
      <c r="DN1618"/>
      <c r="DT1618"/>
      <c r="DU1618" s="143"/>
      <c r="EK1618" t="str">
        <f>IF(AND(AND(AND(OR($DX1618=1,$DW1618=1),OR($EC1618=1,$EA1618=1)),SUM($DV1618:$DZ1618,$EF1618)&gt;=3),SUM($EA1618:$EE1618)&gt;=2),"Whole sector","")</f>
        <v/>
      </c>
      <c r="EL1618" t="str">
        <f>IF(AND(AND(OR($DX1618=1,$DW1618=1),AND($EC1618=0,$EA1618=0)),SUM($DV1618:$DZ1618,$EF1618)&gt;=3),"Ecosystem approach","")</f>
        <v/>
      </c>
      <c r="EM1618" s="2" t="str">
        <f>IF(AND(AND(AND($DX1618=0,$DW1618=0),OR($EC1618=1,$EA1618=1)),SUM($EB1618:$EE1618)&gt;=2),"Technology approach","")</f>
        <v/>
      </c>
      <c r="EN1618" t="s">
        <v>4443</v>
      </c>
      <c r="EO1618" t="s">
        <v>4329</v>
      </c>
      <c r="EP1618" t="b">
        <f>IF(ISNUMBER(BU1618),IF(ABS(BU1618-[5]QC_indicators!$B$2)&gt;3*[5]QC_indicators!$C$2,"C ratio",IF(ISNUMBER(BY1618),IF(ABS(BY1618-[5]QC_indicators!$B$1)&gt;3*[5]QC_indicators!$C$1,"DF","no"))),IF(ISNUMBER(BY1618),IF(ABS(BY1618-[5]QC_indicators!$B$1)&gt;3*[5]QC_indicators!$C$1,"DF","no")))</f>
        <v>0</v>
      </c>
    </row>
    <row r="1619" spans="1:150" ht="15" customHeight="1">
      <c r="A1619" s="1" t="s">
        <v>412</v>
      </c>
      <c r="B1619" t="s">
        <v>4437</v>
      </c>
      <c r="C1619" t="s">
        <v>4438</v>
      </c>
      <c r="D1619" t="s">
        <v>4439</v>
      </c>
      <c r="E1619" t="s">
        <v>4440</v>
      </c>
      <c r="F1619" t="s">
        <v>4441</v>
      </c>
      <c r="G1619" t="s">
        <v>418</v>
      </c>
      <c r="H1619" t="s">
        <v>254</v>
      </c>
      <c r="I1619">
        <v>2018</v>
      </c>
      <c r="J1619">
        <v>3</v>
      </c>
      <c r="K1619" t="s">
        <v>4442</v>
      </c>
      <c r="L1619" t="s">
        <v>388</v>
      </c>
      <c r="M1619" t="str">
        <f>LEFT($D1619,FIND(",",$D1619)-1)&amp;"_"&amp;I1619&amp;L1619</f>
        <v>Zhang_2018a</v>
      </c>
      <c r="N1619" t="s">
        <v>2582</v>
      </c>
      <c r="O1619" s="145" t="s">
        <v>1154</v>
      </c>
      <c r="Q1619" s="312" t="s">
        <v>256</v>
      </c>
      <c r="R1619" s="313"/>
      <c r="AX1619" s="141"/>
      <c r="AY1619" s="141"/>
      <c r="BE1619"/>
      <c r="BF1619" s="2"/>
      <c r="BM1619" s="143"/>
      <c r="BN1619" s="143"/>
      <c r="BU1619" s="144"/>
      <c r="BV1619" s="144"/>
      <c r="BW1619" s="144"/>
      <c r="BX1619" s="144"/>
      <c r="BY1619" t="str">
        <f>IFERROR(BX1619/BO1619,"")</f>
        <v/>
      </c>
      <c r="CN1619"/>
      <c r="CO1619"/>
      <c r="CP1619"/>
      <c r="CQ1619"/>
      <c r="CR1619"/>
      <c r="CS1619"/>
      <c r="CT1619"/>
      <c r="CU1619"/>
      <c r="CV1619" s="2"/>
      <c r="CX1619" s="312"/>
      <c r="DC1619"/>
      <c r="DI1619"/>
      <c r="DJ1619"/>
      <c r="DK1619"/>
      <c r="DL1619"/>
      <c r="DM1619"/>
      <c r="DN1619"/>
      <c r="DT1619"/>
      <c r="DU1619" s="143"/>
      <c r="EK1619" t="str">
        <f>IF(AND(AND(AND(OR($DX1619=1,$DW1619=1),OR($EC1619=1,$EA1619=1)),SUM($DV1619:$DZ1619,$EF1619)&gt;=3),SUM($EA1619:$EE1619)&gt;=2),"Whole sector","")</f>
        <v/>
      </c>
      <c r="EL1619" t="str">
        <f>IF(AND(AND(OR($DX1619=1,$DW1619=1),AND($EC1619=0,$EA1619=0)),SUM($DV1619:$DZ1619,$EF1619)&gt;=3),"Ecosystem approach","")</f>
        <v/>
      </c>
      <c r="EM1619" s="2" t="str">
        <f>IF(AND(AND(AND($DX1619=0,$DW1619=0),OR($EC1619=1,$EA1619=1)),SUM($EB1619:$EE1619)&gt;=2),"Technology approach","")</f>
        <v/>
      </c>
      <c r="EN1619" t="s">
        <v>4443</v>
      </c>
      <c r="EO1619" t="s">
        <v>4329</v>
      </c>
      <c r="EP1619" t="b">
        <f>IF(ISNUMBER(BU1619),IF(ABS(BU1619-[5]QC_indicators!$B$2)&gt;3*[5]QC_indicators!$C$2,"C ratio",IF(ISNUMBER(BY1619),IF(ABS(BY1619-[5]QC_indicators!$B$1)&gt;3*[5]QC_indicators!$C$1,"DF","no"))),IF(ISNUMBER(BY1619),IF(ABS(BY1619-[5]QC_indicators!$B$1)&gt;3*[5]QC_indicators!$C$1,"DF","no")))</f>
        <v>0</v>
      </c>
      <c r="ET1619" s="185"/>
    </row>
    <row r="1620" spans="1:150" ht="15" customHeight="1">
      <c r="A1620" s="1" t="s">
        <v>4444</v>
      </c>
      <c r="B1620" t="s">
        <v>4445</v>
      </c>
      <c r="C1620" t="s">
        <v>4446</v>
      </c>
      <c r="D1620" t="s">
        <v>3869</v>
      </c>
      <c r="E1620" t="s">
        <v>4447</v>
      </c>
      <c r="F1620" t="s">
        <v>4448</v>
      </c>
      <c r="G1620" t="s">
        <v>4449</v>
      </c>
      <c r="H1620" t="s">
        <v>254</v>
      </c>
      <c r="I1620">
        <v>2012</v>
      </c>
      <c r="J1620">
        <v>29</v>
      </c>
      <c r="K1620" t="s">
        <v>4450</v>
      </c>
      <c r="M1620" t="str">
        <f>LEFT($D1620,FIND(",",$D1620)-1)&amp;"_"&amp;I1620&amp;L1620</f>
        <v>Newell_2012</v>
      </c>
      <c r="N1620" s="312" t="s">
        <v>5203</v>
      </c>
      <c r="O1620" s="157" t="s">
        <v>274</v>
      </c>
      <c r="P1620" t="s">
        <v>960</v>
      </c>
      <c r="Q1620" s="312" t="s">
        <v>389</v>
      </c>
      <c r="R1620" s="313"/>
      <c r="AX1620" s="141"/>
      <c r="AY1620" s="141"/>
      <c r="BE1620"/>
      <c r="BF1620" s="2"/>
      <c r="BU1620" s="144"/>
      <c r="BY1620" t="str">
        <f>IFERROR(BX1620/BO1620,"")</f>
        <v/>
      </c>
      <c r="CN1620"/>
      <c r="CO1620"/>
      <c r="CP1620"/>
      <c r="CQ1620"/>
      <c r="CR1620"/>
      <c r="CS1620"/>
      <c r="CT1620"/>
      <c r="CU1620"/>
      <c r="CV1620" s="2"/>
      <c r="CX1620"/>
      <c r="DC1620"/>
      <c r="DI1620"/>
      <c r="DJ1620"/>
      <c r="DK1620"/>
      <c r="DL1620"/>
      <c r="DM1620"/>
      <c r="DN1620"/>
      <c r="DT1620"/>
      <c r="DU1620" s="143"/>
      <c r="EK1620" t="str">
        <f>IF(AND(AND(AND(OR($DX1620=1,$DW1620=1),OR($EC1620=1,$EA1620=1)),SUM($DV1620:$DZ1620,$EF1620)&gt;=3),SUM($EA1620:$EE1620)&gt;=2),"Whole sector","")</f>
        <v/>
      </c>
      <c r="EL1620" t="str">
        <f>IF(AND(AND(OR($DX1620=1,$DW1620=1),AND($EC1620=0,$EA1620=0)),SUM($DV1620:$DZ1620,$EF1620)&gt;=3),"Ecosystem approach","")</f>
        <v/>
      </c>
      <c r="EM1620" s="2" t="str">
        <f>IF(AND(AND(AND($DX1620=0,$DW1620=0),OR($EC1620=1,$EA1620=1)),SUM($EB1620:$EE1620)&gt;=2),"Technology approach","")</f>
        <v/>
      </c>
      <c r="EP1620" t="b">
        <f>IF(ISNUMBER(BU1620),IF(ABS(BU1620-[5]QC_indicators!$B$2)&gt;3*[5]QC_indicators!$C$2,"C ratio",IF(ISNUMBER(BY1620),IF(ABS(BY1620-[5]QC_indicators!$B$1)&gt;3*[5]QC_indicators!$C$1,"DF","no"))),IF(ISNUMBER(BY1620),IF(ABS(BY1620-[5]QC_indicators!$B$1)&gt;3*[5]QC_indicators!$C$1,"DF","no")))</f>
        <v>0</v>
      </c>
    </row>
    <row r="1621" spans="1:150" ht="15" customHeight="1">
      <c r="A1621" s="1" t="s">
        <v>4178</v>
      </c>
      <c r="B1621" t="s">
        <v>544</v>
      </c>
      <c r="C1621" t="s">
        <v>4451</v>
      </c>
      <c r="D1621" t="s">
        <v>4452</v>
      </c>
      <c r="E1621" t="s">
        <v>4453</v>
      </c>
      <c r="F1621" t="s">
        <v>4454</v>
      </c>
      <c r="G1621" t="s">
        <v>4183</v>
      </c>
      <c r="I1621">
        <v>2006</v>
      </c>
      <c r="K1621" t="s">
        <v>4455</v>
      </c>
      <c r="M1621" t="str">
        <f>LEFT($D1621,FIND(",",$D1621)-1)&amp;"_"&amp;I1621&amp;L1621</f>
        <v>Alig_2006</v>
      </c>
      <c r="N1621" t="s">
        <v>2583</v>
      </c>
      <c r="O1621" s="140" t="s">
        <v>274</v>
      </c>
      <c r="Q1621" s="312" t="s">
        <v>224</v>
      </c>
      <c r="R1621" s="313"/>
      <c r="U1621" s="143"/>
      <c r="AX1621" s="141"/>
      <c r="AY1621" s="141"/>
      <c r="BE1621"/>
      <c r="BF1621" s="2"/>
      <c r="BG1621" s="142"/>
      <c r="BJ1621" s="143"/>
      <c r="BL1621" s="143"/>
      <c r="BM1621" s="143"/>
      <c r="BN1621" s="143"/>
      <c r="BO1621" s="143"/>
      <c r="BP1621" s="143"/>
      <c r="BQ1621" s="143"/>
      <c r="BS1621" s="143"/>
      <c r="BU1621" s="144"/>
      <c r="BY1621" t="str">
        <f>IFERROR(BX1621/BO1621,"")</f>
        <v/>
      </c>
      <c r="CN1621"/>
      <c r="CO1621"/>
      <c r="CP1621"/>
      <c r="CQ1621"/>
      <c r="CR1621"/>
      <c r="CS1621"/>
      <c r="CT1621"/>
      <c r="CU1621"/>
      <c r="CV1621" s="2"/>
      <c r="CX1621"/>
      <c r="DA1621" s="143"/>
      <c r="DB1621" s="143"/>
      <c r="DC1621"/>
      <c r="DI1621"/>
      <c r="DJ1621"/>
      <c r="DK1621"/>
      <c r="DL1621"/>
      <c r="DM1621"/>
      <c r="DN1621"/>
      <c r="DP1621" s="143"/>
      <c r="DQ1621" s="143"/>
      <c r="DS1621" s="143"/>
      <c r="DT1621"/>
      <c r="DU1621" s="143"/>
      <c r="DV1621" s="143"/>
      <c r="DW1621" s="143"/>
      <c r="EB1621" s="143"/>
      <c r="ED1621" s="143"/>
      <c r="EG1621" s="143"/>
      <c r="EK1621" t="str">
        <f>IF(AND(AND(AND(OR($DX1621=1,$DW1621=1),OR($EC1621=1,$EA1621=1)),SUM($DV1621:$DZ1621,$EF1621)&gt;=3),SUM($EA1621:$EE1621)&gt;=2),"Whole sector","")</f>
        <v/>
      </c>
      <c r="EL1621" t="str">
        <f>IF(AND(AND(OR($DX1621=1,$DW1621=1),AND($EC1621=0,$EA1621=0)),SUM($DV1621:$DZ1621,$EF1621)&gt;=3),"Ecosystem approach","")</f>
        <v/>
      </c>
      <c r="EM1621" s="2" t="str">
        <f>IF(AND(AND(AND($DX1621=0,$DW1621=0),OR($EC1621=1,$EA1621=1)),SUM($EB1621:$EE1621)&gt;=2),"Technology approach","")</f>
        <v/>
      </c>
      <c r="EO1621" t="s">
        <v>450</v>
      </c>
      <c r="EP1621" t="b">
        <f>IF(ISNUMBER(BU1621),IF(ABS(BU1621-[5]QC_indicators!$B$2)&gt;3*[5]QC_indicators!$C$2,"C ratio",IF(ISNUMBER(BY1621),IF(ABS(BY1621-[5]QC_indicators!$B$1)&gt;3*[5]QC_indicators!$C$1,"DF","no"))),IF(ISNUMBER(BY1621),IF(ABS(BY1621-[5]QC_indicators!$B$1)&gt;3*[5]QC_indicators!$C$1,"DF","no")))</f>
        <v>0</v>
      </c>
    </row>
    <row r="1622" spans="1:150" ht="15" customHeight="1">
      <c r="A1622" s="1" t="s">
        <v>4456</v>
      </c>
      <c r="B1622" t="s">
        <v>4457</v>
      </c>
      <c r="C1622" t="s">
        <v>4458</v>
      </c>
      <c r="D1622" t="s">
        <v>4459</v>
      </c>
      <c r="E1622" t="s">
        <v>4460</v>
      </c>
      <c r="F1622" t="s">
        <v>4461</v>
      </c>
      <c r="G1622" t="s">
        <v>4462</v>
      </c>
      <c r="I1622">
        <v>2017</v>
      </c>
      <c r="K1622" t="s">
        <v>4463</v>
      </c>
      <c r="M1622" t="str">
        <f>LEFT($D1622,FIND(",",$D1622)-1)&amp;"_"&amp;I1622&amp;L1622</f>
        <v>Barik_2017</v>
      </c>
      <c r="N1622" t="s">
        <v>2583</v>
      </c>
      <c r="O1622" s="140" t="s">
        <v>513</v>
      </c>
      <c r="Q1622" s="312" t="s">
        <v>224</v>
      </c>
      <c r="R1622" s="313"/>
      <c r="U1622" s="143"/>
      <c r="AX1622" s="141"/>
      <c r="AY1622" s="141"/>
      <c r="BE1622"/>
      <c r="BF1622" s="2"/>
      <c r="BG1622" s="142"/>
      <c r="BJ1622" s="143"/>
      <c r="BL1622" s="143"/>
      <c r="BM1622" s="143"/>
      <c r="BN1622" s="143"/>
      <c r="BO1622" s="143"/>
      <c r="BS1622" s="143"/>
      <c r="BU1622" s="144"/>
      <c r="BY1622" t="str">
        <f>IFERROR(BX1622/BO1622,"")</f>
        <v/>
      </c>
      <c r="CN1622"/>
      <c r="CO1622"/>
      <c r="CP1622"/>
      <c r="CQ1622"/>
      <c r="CR1622"/>
      <c r="CS1622"/>
      <c r="CT1622"/>
      <c r="CU1622"/>
      <c r="CV1622" s="2"/>
      <c r="CX1622"/>
      <c r="DA1622" s="143"/>
      <c r="DB1622" s="143"/>
      <c r="DC1622"/>
      <c r="DI1622"/>
      <c r="DJ1622"/>
      <c r="DK1622"/>
      <c r="DL1622"/>
      <c r="DM1622"/>
      <c r="DN1622"/>
      <c r="DP1622" s="143"/>
      <c r="DQ1622" s="143"/>
      <c r="DS1622" s="143"/>
      <c r="DT1622"/>
      <c r="DU1622" s="143"/>
      <c r="DV1622" s="143"/>
      <c r="DW1622" s="143"/>
      <c r="EB1622" s="143"/>
      <c r="ED1622" s="143"/>
      <c r="EG1622" s="143"/>
      <c r="EK1622" t="str">
        <f>IF(AND(AND(AND(OR($DX1622=1,$DW1622=1),OR($EC1622=1,$EA1622=1)),SUM($DV1622:$DZ1622,$EF1622)&gt;=3),SUM($EA1622:$EE1622)&gt;=2),"Whole sector","")</f>
        <v/>
      </c>
      <c r="EL1622" t="str">
        <f>IF(AND(AND(OR($DX1622=1,$DW1622=1),AND($EC1622=0,$EA1622=0)),SUM($DV1622:$DZ1622,$EF1622)&gt;=3),"Ecosystem approach","")</f>
        <v/>
      </c>
      <c r="EM1622" s="2" t="str">
        <f>IF(AND(AND(AND($DX1622=0,$DW1622=0),OR($EC1622=1,$EA1622=1)),SUM($EB1622:$EE1622)&gt;=2),"Technology approach","")</f>
        <v/>
      </c>
      <c r="EO1622" t="s">
        <v>450</v>
      </c>
      <c r="EP1622" t="b">
        <f>IF(ISNUMBER(BU1622),IF(ABS(BU1622-[5]QC_indicators!$B$2)&gt;3*[5]QC_indicators!$C$2,"C ratio",IF(ISNUMBER(BY1622),IF(ABS(BY1622-[5]QC_indicators!$B$1)&gt;3*[5]QC_indicators!$C$1,"DF","no"))),IF(ISNUMBER(BY1622),IF(ABS(BY1622-[5]QC_indicators!$B$1)&gt;3*[5]QC_indicators!$C$1,"DF","no")))</f>
        <v>0</v>
      </c>
    </row>
    <row r="1623" spans="1:150" ht="15" customHeight="1">
      <c r="A1623" s="1" t="s">
        <v>926</v>
      </c>
      <c r="B1623" t="s">
        <v>4464</v>
      </c>
      <c r="C1623" t="s">
        <v>4465</v>
      </c>
      <c r="D1623" t="s">
        <v>4466</v>
      </c>
      <c r="E1623" t="s">
        <v>4467</v>
      </c>
      <c r="F1623" t="s">
        <v>4468</v>
      </c>
      <c r="G1623" t="s">
        <v>932</v>
      </c>
      <c r="I1623">
        <v>2020</v>
      </c>
      <c r="K1623" t="s">
        <v>4469</v>
      </c>
      <c r="M1623" t="str">
        <f>LEFT($D1623,FIND(",",$D1623)-1)&amp;"_"&amp;I1623&amp;L1623</f>
        <v>Baul_2020</v>
      </c>
      <c r="N1623" t="s">
        <v>2583</v>
      </c>
      <c r="O1623" s="140" t="s">
        <v>1154</v>
      </c>
      <c r="Q1623" s="312" t="s">
        <v>224</v>
      </c>
      <c r="R1623" s="313"/>
      <c r="AX1623" s="141"/>
      <c r="AY1623" s="141"/>
      <c r="BE1623"/>
      <c r="BF1623" s="2"/>
      <c r="BJ1623" s="143"/>
      <c r="BL1623" s="143"/>
      <c r="BM1623" s="143"/>
      <c r="BN1623" s="143"/>
      <c r="BO1623" s="143"/>
      <c r="BS1623" s="143"/>
      <c r="BU1623" s="144"/>
      <c r="BY1623" t="str">
        <f>IFERROR(BX1623/BO1623,"")</f>
        <v/>
      </c>
      <c r="CN1623"/>
      <c r="CO1623"/>
      <c r="CP1623"/>
      <c r="CQ1623"/>
      <c r="CR1623"/>
      <c r="CS1623"/>
      <c r="CT1623"/>
      <c r="CU1623"/>
      <c r="CV1623" s="2"/>
      <c r="CX1623"/>
      <c r="DA1623" s="143"/>
      <c r="DB1623" s="143"/>
      <c r="DC1623"/>
      <c r="DI1623"/>
      <c r="DJ1623"/>
      <c r="DK1623"/>
      <c r="DL1623"/>
      <c r="DM1623"/>
      <c r="DN1623"/>
      <c r="DO1623" s="143"/>
      <c r="DQ1623" s="143"/>
      <c r="DR1623" s="143"/>
      <c r="DS1623" s="143"/>
      <c r="DT1623"/>
      <c r="DU1623" s="143"/>
      <c r="EK1623" t="str">
        <f>IF(AND(AND(AND(OR($DX1623=1,$DW1623=1),OR($EC1623=1,$EA1623=1)),SUM($DV1623:$DZ1623,$EF1623)&gt;=3),SUM($EA1623:$EE1623)&gt;=2),"Whole sector","")</f>
        <v/>
      </c>
      <c r="EL1623" t="str">
        <f>IF(AND(AND(OR($DX1623=1,$DW1623=1),AND($EC1623=0,$EA1623=0)),SUM($DV1623:$DZ1623,$EF1623)&gt;=3),"Ecosystem approach","")</f>
        <v/>
      </c>
      <c r="EM1623" s="2" t="str">
        <f>IF(AND(AND(AND($DX1623=0,$DW1623=0),OR($EC1623=1,$EA1623=1)),SUM($EB1623:$EE1623)&gt;=2),"Technology approach","")</f>
        <v/>
      </c>
      <c r="EP1623" t="b">
        <f>IF(ISNUMBER(BU1623),IF(ABS(BU1623-[5]QC_indicators!$B$2)&gt;3*[5]QC_indicators!$C$2,"C ratio",IF(ISNUMBER(BY1623),IF(ABS(BY1623-[5]QC_indicators!$B$1)&gt;3*[5]QC_indicators!$C$1,"DF","no"))),IF(ISNUMBER(BY1623),IF(ABS(BY1623-[5]QC_indicators!$B$1)&gt;3*[5]QC_indicators!$C$1,"DF","no")))</f>
        <v>0</v>
      </c>
      <c r="ER1623" s="312" t="s">
        <v>4470</v>
      </c>
    </row>
    <row r="1624" spans="1:150" ht="15" customHeight="1">
      <c r="D1624" s="312" t="s">
        <v>4471</v>
      </c>
      <c r="E1624" t="s">
        <v>4472</v>
      </c>
      <c r="G1624" t="s">
        <v>4473</v>
      </c>
      <c r="I1624">
        <v>2015</v>
      </c>
      <c r="K1624" s="295" t="s">
        <v>4474</v>
      </c>
      <c r="M1624" t="str">
        <f>LEFT($D1624,FIND(",",$D1624)-1)&amp;"_"&amp;I1624&amp;L1624</f>
        <v>Borjesson_2015</v>
      </c>
      <c r="N1624" t="s">
        <v>2583</v>
      </c>
      <c r="O1624" t="s">
        <v>223</v>
      </c>
      <c r="Q1624" s="312" t="s">
        <v>256</v>
      </c>
      <c r="R1624" s="313"/>
      <c r="U1624" s="143"/>
      <c r="AX1624" s="141"/>
      <c r="AY1624" s="141"/>
      <c r="BE1624"/>
      <c r="BF1624" s="2"/>
      <c r="BG1624" s="142"/>
      <c r="BJ1624" s="143"/>
      <c r="BL1624" s="143"/>
      <c r="BM1624" s="143"/>
      <c r="BN1624" s="143"/>
      <c r="BO1624" s="143"/>
      <c r="BP1624" s="143"/>
      <c r="BQ1624" s="143"/>
      <c r="BS1624" s="143"/>
      <c r="BY1624" t="str">
        <f>IFERROR(BX1624/BO1624,"")</f>
        <v/>
      </c>
      <c r="CN1624"/>
      <c r="CO1624"/>
      <c r="CP1624"/>
      <c r="CQ1624"/>
      <c r="CR1624"/>
      <c r="CS1624"/>
      <c r="CT1624"/>
      <c r="CU1624"/>
      <c r="CV1624" s="2"/>
      <c r="CX1624"/>
      <c r="DA1624" s="143"/>
      <c r="DB1624" s="143"/>
      <c r="DC1624"/>
      <c r="DI1624"/>
      <c r="DJ1624"/>
      <c r="DK1624"/>
      <c r="DL1624"/>
      <c r="DM1624"/>
      <c r="DN1624"/>
      <c r="DP1624" s="143"/>
      <c r="DQ1624" s="143"/>
      <c r="DS1624" s="143"/>
      <c r="DT1624"/>
      <c r="DU1624" s="143"/>
      <c r="DV1624" s="143"/>
      <c r="DW1624" s="143"/>
      <c r="DX1624" s="143"/>
      <c r="EB1624" s="143"/>
      <c r="ED1624" s="143"/>
      <c r="EG1624" s="143"/>
      <c r="EK1624" t="str">
        <f>IF(AND(AND(AND(OR($DX1624=1,$DW1624=1),OR($EC1624=1,$EA1624=1)),SUM($DV1624:$DZ1624,$EF1624)&gt;=3),SUM($EA1624:$EE1624)&gt;=2),"Whole sector","")</f>
        <v/>
      </c>
      <c r="EL1624" t="str">
        <f>IF(AND(AND(OR($DX1624=1,$DW1624=1),AND($EC1624=0,$EA1624=0)),SUM($DV1624:$DZ1624,$EF1624)&gt;=3),"Ecosystem approach","")</f>
        <v/>
      </c>
      <c r="EM1624" s="2" t="str">
        <f>IF(AND(AND(AND($DX1624=0,$DW1624=0),OR($EC1624=1,$EA1624=1)),SUM($EB1624:$EE1624)&gt;=2),"Technology approach","")</f>
        <v/>
      </c>
      <c r="EP1624" t="b">
        <f>IF(ISNUMBER(BU1624),IF(ABS(BU1624-[5]QC_indicators!$B$2)&gt;3*[5]QC_indicators!$C$2,"C ratio",IF(ISNUMBER(BY1624),IF(ABS(BY1624-[5]QC_indicators!$B$1)&gt;3*[5]QC_indicators!$C$1,"DF","no"))),IF(ISNUMBER(BY1624),IF(ABS(BY1624-[5]QC_indicators!$B$1)&gt;3*[5]QC_indicators!$C$1,"DF","no")))</f>
        <v>0</v>
      </c>
    </row>
    <row r="1625" spans="1:150" ht="15" customHeight="1">
      <c r="A1625" s="1" t="s">
        <v>4475</v>
      </c>
      <c r="B1625" t="s">
        <v>4476</v>
      </c>
      <c r="C1625" t="s">
        <v>4477</v>
      </c>
      <c r="D1625" t="s">
        <v>4478</v>
      </c>
      <c r="E1625" t="s">
        <v>4479</v>
      </c>
      <c r="F1625" t="s">
        <v>4480</v>
      </c>
      <c r="G1625" t="s">
        <v>4481</v>
      </c>
      <c r="H1625" t="s">
        <v>3791</v>
      </c>
      <c r="I1625">
        <v>2011</v>
      </c>
      <c r="J1625">
        <v>20</v>
      </c>
      <c r="K1625" t="s">
        <v>4482</v>
      </c>
      <c r="M1625" t="str">
        <f>LEFT($D1625,FIND(",",$D1625)-1)&amp;"_"&amp;I1625&amp;L1625</f>
        <v>Davis_2011</v>
      </c>
      <c r="N1625" t="s">
        <v>2583</v>
      </c>
      <c r="O1625" s="145" t="s">
        <v>223</v>
      </c>
      <c r="Q1625" s="312" t="s">
        <v>256</v>
      </c>
      <c r="R1625" s="313"/>
      <c r="AX1625" s="141"/>
      <c r="AY1625" s="141"/>
      <c r="BE1625"/>
      <c r="BF1625" s="2"/>
      <c r="BY1625" t="str">
        <f>IFERROR(BX1625/BO1625,"")</f>
        <v/>
      </c>
      <c r="CN1625"/>
      <c r="CO1625"/>
      <c r="CP1625"/>
      <c r="CQ1625"/>
      <c r="CR1625"/>
      <c r="CS1625"/>
      <c r="CT1625"/>
      <c r="CU1625"/>
      <c r="CV1625" s="2"/>
      <c r="CX1625"/>
      <c r="DC1625"/>
      <c r="DI1625"/>
      <c r="DJ1625"/>
      <c r="DK1625"/>
      <c r="DL1625"/>
      <c r="DM1625"/>
      <c r="DN1625"/>
      <c r="DT1625"/>
      <c r="DU1625" s="143"/>
      <c r="EK1625" t="str">
        <f>IF(AND(AND(AND(OR($DX1625=1,$DW1625=1),OR($EC1625=1,$EA1625=1)),SUM($DV1625:$DZ1625,$EF1625)&gt;=3),SUM($EA1625:$EE1625)&gt;=2),"Whole sector","")</f>
        <v/>
      </c>
      <c r="EL1625" t="str">
        <f>IF(AND(AND(OR($DX1625=1,$DW1625=1),AND($EC1625=0,$EA1625=0)),SUM($DV1625:$DZ1625,$EF1625)&gt;=3),"Ecosystem approach","")</f>
        <v/>
      </c>
      <c r="EM1625" s="2" t="str">
        <f>IF(AND(AND(AND($DX1625=0,$DW1625=0),OR($EC1625=1,$EA1625=1)),SUM($EB1625:$EE1625)&gt;=2),"Technology approach","")</f>
        <v/>
      </c>
      <c r="EP1625" t="b">
        <f>IF(ISNUMBER(BU1625),IF(ABS(BU1625-[5]QC_indicators!$B$2)&gt;3*[5]QC_indicators!$C$2,"C ratio",IF(ISNUMBER(BY1625),IF(ABS(BY1625-[5]QC_indicators!$B$1)&gt;3*[5]QC_indicators!$C$1,"DF","no"))),IF(ISNUMBER(BY1625),IF(ABS(BY1625-[5]QC_indicators!$B$1)&gt;3*[5]QC_indicators!$C$1,"DF","no")))</f>
        <v>0</v>
      </c>
    </row>
    <row r="1626" spans="1:150" ht="15" customHeight="1">
      <c r="A1626" s="1" t="s">
        <v>1360</v>
      </c>
      <c r="B1626" t="s">
        <v>4483</v>
      </c>
      <c r="C1626" t="s">
        <v>4484</v>
      </c>
      <c r="D1626" t="s">
        <v>4485</v>
      </c>
      <c r="E1626" t="s">
        <v>4486</v>
      </c>
      <c r="F1626" t="s">
        <v>4487</v>
      </c>
      <c r="G1626" t="s">
        <v>1366</v>
      </c>
      <c r="H1626" t="s">
        <v>254</v>
      </c>
      <c r="I1626">
        <v>2021</v>
      </c>
      <c r="J1626">
        <v>5</v>
      </c>
      <c r="K1626" t="s">
        <v>4488</v>
      </c>
      <c r="M1626" t="str">
        <f>LEFT($D1626,FIND(",",$D1626)-1)&amp;"_"&amp;I1626&amp;L1626</f>
        <v>de Vries_2021</v>
      </c>
      <c r="N1626" t="s">
        <v>2583</v>
      </c>
      <c r="O1626" s="145" t="s">
        <v>223</v>
      </c>
      <c r="Q1626" s="312" t="s">
        <v>256</v>
      </c>
      <c r="R1626" s="313"/>
      <c r="AX1626" s="141"/>
      <c r="AY1626" s="141"/>
      <c r="BE1626"/>
      <c r="BF1626" s="2"/>
      <c r="BU1626" s="144"/>
      <c r="BY1626" t="str">
        <f>IFERROR(BX1626/BO1626,"")</f>
        <v/>
      </c>
      <c r="CN1626"/>
      <c r="CO1626"/>
      <c r="CP1626"/>
      <c r="CQ1626"/>
      <c r="CR1626"/>
      <c r="CS1626"/>
      <c r="CT1626"/>
      <c r="CU1626"/>
      <c r="CV1626" s="2"/>
      <c r="CX1626"/>
      <c r="DC1626"/>
      <c r="DI1626"/>
      <c r="DJ1626"/>
      <c r="DK1626"/>
      <c r="DL1626"/>
      <c r="DM1626"/>
      <c r="DN1626"/>
      <c r="DT1626"/>
      <c r="DU1626" s="143"/>
      <c r="EK1626" t="str">
        <f>IF(AND(AND(AND(OR($DX1626=1,$DW1626=1),OR($EC1626=1,$EA1626=1)),SUM($DV1626:$DZ1626,$EF1626)&gt;=3),SUM($EA1626:$EE1626)&gt;=2),"Whole sector","")</f>
        <v/>
      </c>
      <c r="EL1626" t="str">
        <f>IF(AND(AND(OR($DX1626=1,$DW1626=1),AND($EC1626=0,$EA1626=0)),SUM($DV1626:$DZ1626,$EF1626)&gt;=3),"Ecosystem approach","")</f>
        <v/>
      </c>
      <c r="EM1626" s="2" t="str">
        <f>IF(AND(AND(AND($DX1626=0,$DW1626=0),OR($EC1626=1,$EA1626=1)),SUM($EB1626:$EE1626)&gt;=2),"Technology approach","")</f>
        <v/>
      </c>
      <c r="EO1626" t="s">
        <v>450</v>
      </c>
      <c r="EP1626" t="b">
        <f>IF(ISNUMBER(BU1626),IF(ABS(BU1626-[5]QC_indicators!$B$2)&gt;3*[5]QC_indicators!$C$2,"C ratio",IF(ISNUMBER(BY1626),IF(ABS(BY1626-[5]QC_indicators!$B$1)&gt;3*[5]QC_indicators!$C$1,"DF","no"))),IF(ISNUMBER(BY1626),IF(ABS(BY1626-[5]QC_indicators!$B$1)&gt;3*[5]QC_indicators!$C$1,"DF","no")))</f>
        <v>0</v>
      </c>
    </row>
    <row r="1627" spans="1:150" ht="15" customHeight="1">
      <c r="A1627" s="1" t="s">
        <v>1360</v>
      </c>
      <c r="B1627" t="s">
        <v>4483</v>
      </c>
      <c r="C1627" t="s">
        <v>4484</v>
      </c>
      <c r="D1627" t="s">
        <v>4485</v>
      </c>
      <c r="E1627" t="s">
        <v>4486</v>
      </c>
      <c r="F1627" t="s">
        <v>4487</v>
      </c>
      <c r="G1627" t="s">
        <v>1366</v>
      </c>
      <c r="H1627" t="s">
        <v>254</v>
      </c>
      <c r="I1627">
        <v>2021</v>
      </c>
      <c r="J1627">
        <v>5</v>
      </c>
      <c r="K1627" t="s">
        <v>4488</v>
      </c>
      <c r="M1627" t="str">
        <f>LEFT($D1627,FIND(",",$D1627)-1)&amp;"_"&amp;I1627&amp;L1627</f>
        <v>de Vries_2021</v>
      </c>
      <c r="N1627" t="s">
        <v>2583</v>
      </c>
      <c r="O1627" s="145" t="s">
        <v>223</v>
      </c>
      <c r="Q1627" s="312" t="s">
        <v>256</v>
      </c>
      <c r="R1627" s="313"/>
      <c r="AX1627" s="141"/>
      <c r="AY1627" s="141"/>
      <c r="BE1627"/>
      <c r="BF1627" s="2"/>
      <c r="BY1627" t="str">
        <f>IFERROR(BX1627/BO1627,"")</f>
        <v/>
      </c>
      <c r="CN1627"/>
      <c r="CO1627"/>
      <c r="CP1627"/>
      <c r="CQ1627"/>
      <c r="CR1627"/>
      <c r="CS1627"/>
      <c r="CT1627"/>
      <c r="CU1627"/>
      <c r="CV1627" s="2"/>
      <c r="CX1627"/>
      <c r="DC1627"/>
      <c r="DI1627"/>
      <c r="DJ1627"/>
      <c r="DK1627"/>
      <c r="DL1627"/>
      <c r="DM1627"/>
      <c r="DN1627"/>
      <c r="DT1627"/>
      <c r="DU1627" s="143"/>
      <c r="EK1627" t="str">
        <f>IF(AND(AND(AND(OR($DX1627=1,$DW1627=1),OR($EC1627=1,$EA1627=1)),SUM($DV1627:$DZ1627,$EF1627)&gt;=3),SUM($EA1627:$EE1627)&gt;=2),"Whole sector","")</f>
        <v/>
      </c>
      <c r="EL1627" t="str">
        <f>IF(AND(AND(OR($DX1627=1,$DW1627=1),AND($EC1627=0,$EA1627=0)),SUM($DV1627:$DZ1627,$EF1627)&gt;=3),"Ecosystem approach","")</f>
        <v/>
      </c>
      <c r="EM1627" s="2" t="str">
        <f>IF(AND(AND(AND($DX1627=0,$DW1627=0),OR($EC1627=1,$EA1627=1)),SUM($EB1627:$EE1627)&gt;=2),"Technology approach","")</f>
        <v/>
      </c>
      <c r="EP1627" t="b">
        <f>IF(ISNUMBER(BU1627),IF(ABS(BU1627-[5]QC_indicators!$B$2)&gt;3*[5]QC_indicators!$C$2,"C ratio",IF(ISNUMBER(BY1627),IF(ABS(BY1627-[5]QC_indicators!$B$1)&gt;3*[5]QC_indicators!$C$1,"DF","no"))),IF(ISNUMBER(BY1627),IF(ABS(BY1627-[5]QC_indicators!$B$1)&gt;3*[5]QC_indicators!$C$1,"DF","no")))</f>
        <v>0</v>
      </c>
    </row>
    <row r="1628" spans="1:150" ht="15" customHeight="1">
      <c r="A1628" s="1" t="s">
        <v>4127</v>
      </c>
      <c r="B1628" t="s">
        <v>4489</v>
      </c>
      <c r="C1628" t="s">
        <v>4490</v>
      </c>
      <c r="D1628" t="s">
        <v>4491</v>
      </c>
      <c r="E1628" t="s">
        <v>4492</v>
      </c>
      <c r="F1628" t="s">
        <v>4493</v>
      </c>
      <c r="G1628" t="s">
        <v>4133</v>
      </c>
      <c r="H1628" t="s">
        <v>254</v>
      </c>
      <c r="I1628">
        <v>2012</v>
      </c>
      <c r="J1628">
        <v>14</v>
      </c>
      <c r="K1628" t="s">
        <v>4494</v>
      </c>
      <c r="M1628" t="str">
        <f>LEFT($D1628,FIND(",",$D1628)-1)&amp;"_"&amp;I1628&amp;L1628</f>
        <v>Dwivedi_2012</v>
      </c>
      <c r="N1628" t="s">
        <v>2583</v>
      </c>
      <c r="O1628" s="145" t="s">
        <v>274</v>
      </c>
      <c r="Q1628" s="312" t="s">
        <v>256</v>
      </c>
      <c r="R1628" s="313"/>
      <c r="AX1628" s="141"/>
      <c r="AY1628" s="141"/>
      <c r="BE1628"/>
      <c r="BF1628" s="2"/>
      <c r="BU1628" s="144"/>
      <c r="BY1628" t="str">
        <f>IFERROR(BX1628/BO1628,"")</f>
        <v/>
      </c>
      <c r="CN1628"/>
      <c r="CO1628"/>
      <c r="CP1628"/>
      <c r="CQ1628"/>
      <c r="CR1628"/>
      <c r="CS1628"/>
      <c r="CT1628"/>
      <c r="CU1628"/>
      <c r="CV1628" s="2"/>
      <c r="CX1628"/>
      <c r="DC1628"/>
      <c r="DI1628"/>
      <c r="DJ1628"/>
      <c r="DK1628"/>
      <c r="DL1628"/>
      <c r="DM1628"/>
      <c r="DN1628"/>
      <c r="DT1628"/>
      <c r="DU1628" s="143"/>
      <c r="EK1628" t="str">
        <f>IF(AND(AND(AND(OR($DX1628=1,$DW1628=1),OR($EC1628=1,$EA1628=1)),SUM($DV1628:$DZ1628,$EF1628)&gt;=3),SUM($EA1628:$EE1628)&gt;=2),"Whole sector","")</f>
        <v/>
      </c>
      <c r="EL1628" t="str">
        <f>IF(AND(AND(OR($DX1628=1,$DW1628=1),AND($EC1628=0,$EA1628=0)),SUM($DV1628:$DZ1628,$EF1628)&gt;=3),"Ecosystem approach","")</f>
        <v/>
      </c>
      <c r="EM1628" s="2" t="str">
        <f>IF(AND(AND(AND($DX1628=0,$DW1628=0),OR($EC1628=1,$EA1628=1)),SUM($EB1628:$EE1628)&gt;=2),"Technology approach","")</f>
        <v/>
      </c>
      <c r="EO1628" t="s">
        <v>450</v>
      </c>
      <c r="EP1628" t="b">
        <f>IF(ISNUMBER(BU1628),IF(ABS(BU1628-[5]QC_indicators!$B$2)&gt;3*[5]QC_indicators!$C$2,"C ratio",IF(ISNUMBER(BY1628),IF(ABS(BY1628-[5]QC_indicators!$B$1)&gt;3*[5]QC_indicators!$C$1,"DF","no"))),IF(ISNUMBER(BY1628),IF(ABS(BY1628-[5]QC_indicators!$B$1)&gt;3*[5]QC_indicators!$C$1,"DF","no")))</f>
        <v>0</v>
      </c>
    </row>
    <row r="1629" spans="1:150" ht="15" customHeight="1">
      <c r="A1629" s="1" t="s">
        <v>3618</v>
      </c>
      <c r="B1629" t="s">
        <v>4495</v>
      </c>
      <c r="C1629" t="s">
        <v>544</v>
      </c>
      <c r="D1629" t="s">
        <v>4496</v>
      </c>
      <c r="E1629" t="s">
        <v>4497</v>
      </c>
      <c r="F1629" t="s">
        <v>4498</v>
      </c>
      <c r="G1629" t="s">
        <v>3624</v>
      </c>
      <c r="H1629" t="s">
        <v>254</v>
      </c>
      <c r="I1629">
        <v>2014</v>
      </c>
      <c r="J1629">
        <v>3</v>
      </c>
      <c r="K1629" t="s">
        <v>4499</v>
      </c>
      <c r="M1629" t="str">
        <f>LEFT($D1629,FIND(",",$D1629)-1)&amp;"_"&amp;I1629&amp;L1629</f>
        <v>Fernandez_2014</v>
      </c>
      <c r="N1629" t="s">
        <v>2583</v>
      </c>
      <c r="O1629" s="145" t="s">
        <v>274</v>
      </c>
      <c r="Q1629" s="312" t="s">
        <v>256</v>
      </c>
      <c r="R1629" s="313"/>
      <c r="AX1629" s="141"/>
      <c r="AY1629" s="141"/>
      <c r="BE1629"/>
      <c r="BF1629" s="2"/>
      <c r="BU1629" s="144"/>
      <c r="BY1629" t="str">
        <f>IFERROR(BX1629/BO1629,"")</f>
        <v/>
      </c>
      <c r="CN1629"/>
      <c r="CO1629"/>
      <c r="CP1629"/>
      <c r="CQ1629"/>
      <c r="CR1629"/>
      <c r="CS1629"/>
      <c r="CT1629"/>
      <c r="CU1629"/>
      <c r="CV1629" s="2"/>
      <c r="CX1629"/>
      <c r="DC1629"/>
      <c r="DI1629"/>
      <c r="DJ1629"/>
      <c r="DK1629"/>
      <c r="DL1629"/>
      <c r="DM1629"/>
      <c r="DN1629"/>
      <c r="DT1629"/>
      <c r="DU1629" s="143"/>
      <c r="EK1629" t="str">
        <f>IF(AND(AND(AND(OR($DX1629=1,$DW1629=1),OR($EC1629=1,$EA1629=1)),SUM($DV1629:$DZ1629,$EF1629)&gt;=3),SUM($EA1629:$EE1629)&gt;=2),"Whole sector","")</f>
        <v/>
      </c>
      <c r="EL1629" t="str">
        <f>IF(AND(AND(OR($DX1629=1,$DW1629=1),AND($EC1629=0,$EA1629=0)),SUM($DV1629:$DZ1629,$EF1629)&gt;=3),"Ecosystem approach","")</f>
        <v/>
      </c>
      <c r="EM1629" s="2" t="str">
        <f>IF(AND(AND(AND($DX1629=0,$DW1629=0),OR($EC1629=1,$EA1629=1)),SUM($EB1629:$EE1629)&gt;=2),"Technology approach","")</f>
        <v/>
      </c>
      <c r="EO1629" t="s">
        <v>450</v>
      </c>
      <c r="EP1629" t="b">
        <f>IF(ISNUMBER(BU1629),IF(ABS(BU1629-[5]QC_indicators!$B$2)&gt;3*[5]QC_indicators!$C$2,"C ratio",IF(ISNUMBER(BY1629),IF(ABS(BY1629-[5]QC_indicators!$B$1)&gt;3*[5]QC_indicators!$C$1,"DF","no"))),IF(ISNUMBER(BY1629),IF(ABS(BY1629-[5]QC_indicators!$B$1)&gt;3*[5]QC_indicators!$C$1,"DF","no")))</f>
        <v>0</v>
      </c>
    </row>
    <row r="1630" spans="1:150" ht="15" customHeight="1">
      <c r="A1630" s="1" t="s">
        <v>4500</v>
      </c>
      <c r="B1630" t="s">
        <v>4501</v>
      </c>
      <c r="C1630" t="s">
        <v>544</v>
      </c>
      <c r="D1630" t="s">
        <v>4502</v>
      </c>
      <c r="E1630" t="s">
        <v>4503</v>
      </c>
      <c r="F1630" t="s">
        <v>4504</v>
      </c>
      <c r="G1630" t="s">
        <v>4505</v>
      </c>
      <c r="H1630" t="s">
        <v>254</v>
      </c>
      <c r="I1630">
        <v>2016</v>
      </c>
      <c r="J1630">
        <v>7</v>
      </c>
      <c r="K1630" t="s">
        <v>4506</v>
      </c>
      <c r="M1630" t="str">
        <f>LEFT($D1630,FIND(",",$D1630)-1)&amp;"_"&amp;I1630&amp;L1630</f>
        <v>Fernandez_2016</v>
      </c>
      <c r="N1630" t="s">
        <v>2583</v>
      </c>
      <c r="O1630" s="145" t="s">
        <v>274</v>
      </c>
      <c r="Q1630" s="312" t="s">
        <v>256</v>
      </c>
      <c r="R1630" s="313"/>
      <c r="AX1630" s="141"/>
      <c r="AY1630" s="141"/>
      <c r="BE1630"/>
      <c r="BF1630" s="2"/>
      <c r="BU1630" s="144"/>
      <c r="BY1630" t="str">
        <f>IFERROR(BX1630/BO1630,"")</f>
        <v/>
      </c>
      <c r="CN1630"/>
      <c r="CO1630"/>
      <c r="CP1630"/>
      <c r="CQ1630"/>
      <c r="CR1630"/>
      <c r="CS1630"/>
      <c r="CT1630"/>
      <c r="CU1630"/>
      <c r="CV1630" s="2"/>
      <c r="CX1630"/>
      <c r="DC1630"/>
      <c r="DI1630"/>
      <c r="DJ1630"/>
      <c r="DK1630"/>
      <c r="DL1630"/>
      <c r="DM1630"/>
      <c r="DN1630"/>
      <c r="DT1630"/>
      <c r="DU1630" s="143"/>
      <c r="EK1630" t="str">
        <f>IF(AND(AND(AND(OR($DX1630=1,$DW1630=1),OR($EC1630=1,$EA1630=1)),SUM($DV1630:$DZ1630,$EF1630)&gt;=3),SUM($EA1630:$EE1630)&gt;=2),"Whole sector","")</f>
        <v/>
      </c>
      <c r="EL1630" t="str">
        <f>IF(AND(AND(OR($DX1630=1,$DW1630=1),AND($EC1630=0,$EA1630=0)),SUM($DV1630:$DZ1630,$EF1630)&gt;=3),"Ecosystem approach","")</f>
        <v/>
      </c>
      <c r="EM1630" s="2" t="str">
        <f>IF(AND(AND(AND($DX1630=0,$DW1630=0),OR($EC1630=1,$EA1630=1)),SUM($EB1630:$EE1630)&gt;=2),"Technology approach","")</f>
        <v/>
      </c>
      <c r="EO1630" t="s">
        <v>450</v>
      </c>
      <c r="EP1630" t="b">
        <f>IF(ISNUMBER(BU1630),IF(ABS(BU1630-[5]QC_indicators!$B$2)&gt;3*[5]QC_indicators!$C$2,"C ratio",IF(ISNUMBER(BY1630),IF(ABS(BY1630-[5]QC_indicators!$B$1)&gt;3*[5]QC_indicators!$C$1,"DF","no"))),IF(ISNUMBER(BY1630),IF(ABS(BY1630-[5]QC_indicators!$B$1)&gt;3*[5]QC_indicators!$C$1,"DF","no")))</f>
        <v>0</v>
      </c>
    </row>
    <row r="1631" spans="1:150" ht="15" customHeight="1">
      <c r="A1631" s="1" t="s">
        <v>878</v>
      </c>
      <c r="B1631" t="s">
        <v>4507</v>
      </c>
      <c r="C1631" t="s">
        <v>544</v>
      </c>
      <c r="D1631" t="s">
        <v>4508</v>
      </c>
      <c r="E1631" t="s">
        <v>4509</v>
      </c>
      <c r="F1631" t="s">
        <v>4510</v>
      </c>
      <c r="G1631" t="s">
        <v>1184</v>
      </c>
      <c r="H1631" t="s">
        <v>254</v>
      </c>
      <c r="I1631">
        <v>2006</v>
      </c>
      <c r="J1631">
        <v>53</v>
      </c>
      <c r="K1631" t="s">
        <v>4511</v>
      </c>
      <c r="M1631" t="str">
        <f>LEFT($D1631,FIND(",",$D1631)-1)&amp;"_"&amp;I1631&amp;L1631</f>
        <v>Frey_2006</v>
      </c>
      <c r="N1631" t="s">
        <v>2583</v>
      </c>
      <c r="O1631" s="145" t="s">
        <v>274</v>
      </c>
      <c r="Q1631" s="312" t="s">
        <v>256</v>
      </c>
      <c r="R1631" s="313"/>
      <c r="AX1631" s="141"/>
      <c r="AY1631" s="141"/>
      <c r="BE1631"/>
      <c r="BF1631" s="2"/>
      <c r="BU1631" s="144"/>
      <c r="BY1631" t="str">
        <f>IFERROR(BX1631/BO1631,"")</f>
        <v/>
      </c>
      <c r="CN1631"/>
      <c r="CO1631"/>
      <c r="CP1631"/>
      <c r="CQ1631"/>
      <c r="CR1631"/>
      <c r="CS1631"/>
      <c r="CT1631"/>
      <c r="CU1631"/>
      <c r="CV1631" s="2"/>
      <c r="CX1631"/>
      <c r="DC1631"/>
      <c r="DI1631"/>
      <c r="DJ1631"/>
      <c r="DK1631"/>
      <c r="DL1631"/>
      <c r="DM1631"/>
      <c r="DN1631"/>
      <c r="DT1631"/>
      <c r="DU1631" s="143"/>
      <c r="EK1631" t="str">
        <f>IF(AND(AND(AND(OR($DX1631=1,$DW1631=1),OR($EC1631=1,$EA1631=1)),SUM($DV1631:$DZ1631,$EF1631)&gt;=3),SUM($EA1631:$EE1631)&gt;=2),"Whole sector","")</f>
        <v/>
      </c>
      <c r="EL1631" t="str">
        <f>IF(AND(AND(OR($DX1631=1,$DW1631=1),AND($EC1631=0,$EA1631=0)),SUM($DV1631:$DZ1631,$EF1631)&gt;=3),"Ecosystem approach","")</f>
        <v/>
      </c>
      <c r="EM1631" s="2" t="str">
        <f>IF(AND(AND(AND($DX1631=0,$DW1631=0),OR($EC1631=1,$EA1631=1)),SUM($EB1631:$EE1631)&gt;=2),"Technology approach","")</f>
        <v/>
      </c>
      <c r="EO1631" t="s">
        <v>450</v>
      </c>
      <c r="EP1631" t="b">
        <f>IF(ISNUMBER(BU1631),IF(ABS(BU1631-[5]QC_indicators!$B$2)&gt;3*[5]QC_indicators!$C$2,"C ratio",IF(ISNUMBER(BY1631),IF(ABS(BY1631-[5]QC_indicators!$B$1)&gt;3*[5]QC_indicators!$C$1,"DF","no"))),IF(ISNUMBER(BY1631),IF(ABS(BY1631-[5]QC_indicators!$B$1)&gt;3*[5]QC_indicators!$C$1,"DF","no")))</f>
        <v>0</v>
      </c>
    </row>
    <row r="1632" spans="1:150" ht="15" customHeight="1">
      <c r="A1632" s="1" t="s">
        <v>1423</v>
      </c>
      <c r="B1632" t="s">
        <v>4512</v>
      </c>
      <c r="C1632" t="s">
        <v>4513</v>
      </c>
      <c r="D1632" t="s">
        <v>4514</v>
      </c>
      <c r="E1632" t="s">
        <v>4515</v>
      </c>
      <c r="F1632" t="s">
        <v>4516</v>
      </c>
      <c r="G1632" t="s">
        <v>1429</v>
      </c>
      <c r="H1632" t="s">
        <v>254</v>
      </c>
      <c r="I1632">
        <v>2019</v>
      </c>
      <c r="J1632">
        <v>1</v>
      </c>
      <c r="K1632" t="s">
        <v>4517</v>
      </c>
      <c r="M1632" t="str">
        <f>LEFT($D1632,FIND(",",$D1632)-1)&amp;"_"&amp;I1632&amp;L1632</f>
        <v>Guo_2019</v>
      </c>
      <c r="N1632" t="s">
        <v>2583</v>
      </c>
      <c r="O1632" s="181" t="s">
        <v>341</v>
      </c>
      <c r="Q1632" s="312" t="s">
        <v>256</v>
      </c>
      <c r="R1632" s="313"/>
      <c r="AX1632" s="141"/>
      <c r="AY1632" s="141"/>
      <c r="BE1632"/>
      <c r="BF1632" s="2"/>
      <c r="BU1632" s="144"/>
      <c r="BY1632" t="str">
        <f>IFERROR(BX1632/BO1632,"")</f>
        <v/>
      </c>
      <c r="CN1632"/>
      <c r="CO1632"/>
      <c r="CP1632"/>
      <c r="CQ1632"/>
      <c r="CR1632"/>
      <c r="CS1632"/>
      <c r="CT1632"/>
      <c r="CU1632"/>
      <c r="CV1632" s="2"/>
      <c r="CX1632"/>
      <c r="DC1632"/>
      <c r="DI1632"/>
      <c r="DJ1632"/>
      <c r="DK1632"/>
      <c r="DL1632"/>
      <c r="DM1632"/>
      <c r="DN1632"/>
      <c r="DT1632"/>
      <c r="DU1632" s="143"/>
      <c r="EK1632" t="str">
        <f>IF(AND(AND(AND(OR($DX1632=1,$DW1632=1),OR($EC1632=1,$EA1632=1)),SUM($DV1632:$DZ1632,$EF1632)&gt;=3),SUM($EA1632:$EE1632)&gt;=2),"Whole sector","")</f>
        <v/>
      </c>
      <c r="EL1632" t="str">
        <f>IF(AND(AND(OR($DX1632=1,$DW1632=1),AND($EC1632=0,$EA1632=0)),SUM($DV1632:$DZ1632,$EF1632)&gt;=3),"Ecosystem approach","")</f>
        <v/>
      </c>
      <c r="EM1632" s="2" t="str">
        <f>IF(AND(AND(AND($DX1632=0,$DW1632=0),OR($EC1632=1,$EA1632=1)),SUM($EB1632:$EE1632)&gt;=2),"Technology approach","")</f>
        <v/>
      </c>
      <c r="EO1632" t="s">
        <v>4518</v>
      </c>
      <c r="EP1632" t="b">
        <f>IF(ISNUMBER(BU1632),IF(ABS(BU1632-[5]QC_indicators!$B$2)&gt;3*[5]QC_indicators!$C$2,"C ratio",IF(ISNUMBER(BY1632),IF(ABS(BY1632-[5]QC_indicators!$B$1)&gt;3*[5]QC_indicators!$C$1,"DF","no"))),IF(ISNUMBER(BY1632),IF(ABS(BY1632-[5]QC_indicators!$B$1)&gt;3*[5]QC_indicators!$C$1,"DF","no")))</f>
        <v>0</v>
      </c>
    </row>
    <row r="1633" spans="1:146" ht="15" customHeight="1">
      <c r="A1633" s="1" t="s">
        <v>1423</v>
      </c>
      <c r="B1633" t="s">
        <v>4512</v>
      </c>
      <c r="C1633" t="s">
        <v>4513</v>
      </c>
      <c r="D1633" t="s">
        <v>4514</v>
      </c>
      <c r="E1633" t="s">
        <v>4515</v>
      </c>
      <c r="F1633" t="s">
        <v>4516</v>
      </c>
      <c r="G1633" t="s">
        <v>1429</v>
      </c>
      <c r="H1633" t="s">
        <v>254</v>
      </c>
      <c r="I1633">
        <v>2019</v>
      </c>
      <c r="J1633">
        <v>1</v>
      </c>
      <c r="K1633" t="s">
        <v>4517</v>
      </c>
      <c r="M1633" t="str">
        <f>LEFT($D1633,FIND(",",$D1633)-1)&amp;"_"&amp;I1633&amp;L1633</f>
        <v>Guo_2019</v>
      </c>
      <c r="N1633" t="s">
        <v>2583</v>
      </c>
      <c r="O1633" s="171" t="s">
        <v>341</v>
      </c>
      <c r="P1633" t="s">
        <v>225</v>
      </c>
      <c r="Q1633" s="312" t="s">
        <v>389</v>
      </c>
      <c r="R1633" s="313"/>
      <c r="AX1633" s="141"/>
      <c r="AY1633" s="141"/>
      <c r="BE1633"/>
      <c r="BF1633" s="2"/>
      <c r="BU1633" s="144"/>
      <c r="BY1633" t="str">
        <f>IFERROR(BX1633/BO1633,"")</f>
        <v/>
      </c>
      <c r="CN1633"/>
      <c r="CO1633"/>
      <c r="CP1633"/>
      <c r="CQ1633"/>
      <c r="CR1633"/>
      <c r="CS1633"/>
      <c r="CT1633"/>
      <c r="CU1633"/>
      <c r="CV1633" s="2"/>
      <c r="CX1633"/>
      <c r="DC1633"/>
      <c r="DI1633"/>
      <c r="DJ1633"/>
      <c r="DK1633"/>
      <c r="DL1633"/>
      <c r="DM1633"/>
      <c r="DN1633"/>
      <c r="DT1633"/>
      <c r="DU1633" s="143"/>
      <c r="EK1633" t="str">
        <f>IF(AND(AND(AND(OR($DX1633=1,$DW1633=1),OR($EC1633=1,$EA1633=1)),SUM($DV1633:$DZ1633,$EF1633)&gt;=3),SUM($EA1633:$EE1633)&gt;=2),"Whole sector","")</f>
        <v/>
      </c>
      <c r="EL1633" t="str">
        <f>IF(AND(AND(OR($DX1633=1,$DW1633=1),AND($EC1633=0,$EA1633=0)),SUM($DV1633:$DZ1633,$EF1633)&gt;=3),"Ecosystem approach","")</f>
        <v/>
      </c>
      <c r="EM1633" s="2" t="str">
        <f>IF(AND(AND(AND($DX1633=0,$DW1633=0),OR($EC1633=1,$EA1633=1)),SUM($EB1633:$EE1633)&gt;=2),"Technology approach","")</f>
        <v/>
      </c>
      <c r="EN1633" t="s">
        <v>4519</v>
      </c>
      <c r="EP1633" t="b">
        <f>IF(ISNUMBER(BU1633),IF(ABS(BU1633-[5]QC_indicators!$B$2)&gt;3*[5]QC_indicators!$C$2,"C ratio",IF(ISNUMBER(BY1633),IF(ABS(BY1633-[5]QC_indicators!$B$1)&gt;3*[5]QC_indicators!$C$1,"DF","no"))),IF(ISNUMBER(BY1633),IF(ABS(BY1633-[5]QC_indicators!$B$1)&gt;3*[5]QC_indicators!$C$1,"DF","no")))</f>
        <v>0</v>
      </c>
    </row>
    <row r="1634" spans="1:146" ht="15" customHeight="1">
      <c r="A1634" s="1" t="s">
        <v>333</v>
      </c>
      <c r="B1634" t="s">
        <v>4520</v>
      </c>
      <c r="C1634" t="s">
        <v>4521</v>
      </c>
      <c r="D1634" t="s">
        <v>4522</v>
      </c>
      <c r="E1634" t="s">
        <v>4523</v>
      </c>
      <c r="F1634" t="s">
        <v>4524</v>
      </c>
      <c r="G1634" t="s">
        <v>339</v>
      </c>
      <c r="H1634" t="s">
        <v>254</v>
      </c>
      <c r="I1634">
        <v>2013</v>
      </c>
      <c r="J1634">
        <v>29</v>
      </c>
      <c r="K1634" t="s">
        <v>4525</v>
      </c>
      <c r="M1634" t="str">
        <f>LEFT($D1634,FIND(",",$D1634)-1)&amp;"_"&amp;I1634&amp;L1634</f>
        <v>Hall_2013</v>
      </c>
      <c r="N1634" t="s">
        <v>2583</v>
      </c>
      <c r="O1634" s="145" t="s">
        <v>274</v>
      </c>
      <c r="Q1634" s="312" t="s">
        <v>256</v>
      </c>
      <c r="R1634" s="313"/>
      <c r="AX1634" s="141"/>
      <c r="AY1634" s="141"/>
      <c r="BE1634"/>
      <c r="BF1634" s="2"/>
      <c r="BU1634" s="144"/>
      <c r="BY1634" t="str">
        <f>IFERROR(BX1634/BO1634,"")</f>
        <v/>
      </c>
      <c r="CN1634"/>
      <c r="CO1634"/>
      <c r="CP1634"/>
      <c r="CQ1634"/>
      <c r="CR1634"/>
      <c r="CS1634"/>
      <c r="CT1634"/>
      <c r="CU1634"/>
      <c r="CV1634" s="2"/>
      <c r="CX1634"/>
      <c r="DC1634"/>
      <c r="DI1634"/>
      <c r="DJ1634"/>
      <c r="DK1634"/>
      <c r="DL1634"/>
      <c r="DM1634"/>
      <c r="DN1634"/>
      <c r="DT1634"/>
      <c r="DU1634" s="143"/>
      <c r="EK1634" t="str">
        <f>IF(AND(AND(AND(OR($DX1634=1,$DW1634=1),OR($EC1634=1,$EA1634=1)),SUM($DV1634:$DZ1634,$EF1634)&gt;=3),SUM($EA1634:$EE1634)&gt;=2),"Whole sector","")</f>
        <v/>
      </c>
      <c r="EL1634" t="str">
        <f>IF(AND(AND(OR($DX1634=1,$DW1634=1),AND($EC1634=0,$EA1634=0)),SUM($DV1634:$DZ1634,$EF1634)&gt;=3),"Ecosystem approach","")</f>
        <v/>
      </c>
      <c r="EM1634" s="2" t="str">
        <f>IF(AND(AND(AND($DX1634=0,$DW1634=0),OR($EC1634=1,$EA1634=1)),SUM($EB1634:$EE1634)&gt;=2),"Technology approach","")</f>
        <v/>
      </c>
      <c r="EO1634" t="s">
        <v>450</v>
      </c>
      <c r="EP1634" t="b">
        <f>IF(ISNUMBER(BU1634),IF(ABS(BU1634-[5]QC_indicators!$B$2)&gt;3*[5]QC_indicators!$C$2,"C ratio",IF(ISNUMBER(BY1634),IF(ABS(BY1634-[5]QC_indicators!$B$1)&gt;3*[5]QC_indicators!$C$1,"DF","no"))),IF(ISNUMBER(BY1634),IF(ABS(BY1634-[5]QC_indicators!$B$1)&gt;3*[5]QC_indicators!$C$1,"DF","no")))</f>
        <v>0</v>
      </c>
    </row>
    <row r="1635" spans="1:146" ht="15" customHeight="1">
      <c r="A1635" s="1" t="s">
        <v>1808</v>
      </c>
      <c r="B1635" t="s">
        <v>4526</v>
      </c>
      <c r="C1635" t="s">
        <v>4527</v>
      </c>
      <c r="D1635" t="s">
        <v>4528</v>
      </c>
      <c r="E1635" t="s">
        <v>4529</v>
      </c>
      <c r="F1635" t="s">
        <v>4530</v>
      </c>
      <c r="G1635" t="s">
        <v>1814</v>
      </c>
      <c r="H1635" t="s">
        <v>254</v>
      </c>
      <c r="I1635">
        <v>2008</v>
      </c>
      <c r="J1635">
        <v>13</v>
      </c>
      <c r="K1635" t="s">
        <v>4531</v>
      </c>
      <c r="M1635" t="str">
        <f>LEFT($D1635,FIND(",",$D1635)-1)&amp;"_"&amp;I1635&amp;L1635</f>
        <v>Hashimoto_2008</v>
      </c>
      <c r="N1635" t="s">
        <v>2583</v>
      </c>
      <c r="O1635" s="145" t="s">
        <v>513</v>
      </c>
      <c r="Q1635" s="312" t="s">
        <v>256</v>
      </c>
      <c r="R1635" s="313"/>
      <c r="AX1635" s="141"/>
      <c r="AY1635" s="141"/>
      <c r="BE1635"/>
      <c r="BF1635" s="2"/>
      <c r="BU1635" s="144"/>
      <c r="BY1635" t="str">
        <f>IFERROR(BX1635/BO1635,"")</f>
        <v/>
      </c>
      <c r="CN1635"/>
      <c r="CO1635"/>
      <c r="CP1635"/>
      <c r="CQ1635"/>
      <c r="CR1635"/>
      <c r="CS1635"/>
      <c r="CT1635"/>
      <c r="CU1635"/>
      <c r="CV1635" s="2"/>
      <c r="CX1635"/>
      <c r="DC1635"/>
      <c r="DI1635"/>
      <c r="DJ1635"/>
      <c r="DK1635"/>
      <c r="DL1635"/>
      <c r="DM1635"/>
      <c r="DN1635"/>
      <c r="DT1635"/>
      <c r="DU1635" s="143"/>
      <c r="EK1635" t="str">
        <f>IF(AND(AND(AND(OR($DX1635=1,$DW1635=1),OR($EC1635=1,$EA1635=1)),SUM($DV1635:$DZ1635,$EF1635)&gt;=3),SUM($EA1635:$EE1635)&gt;=2),"Whole sector","")</f>
        <v/>
      </c>
      <c r="EL1635" t="str">
        <f>IF(AND(AND(OR($DX1635=1,$DW1635=1),AND($EC1635=0,$EA1635=0)),SUM($DV1635:$DZ1635,$EF1635)&gt;=3),"Ecosystem approach","")</f>
        <v/>
      </c>
      <c r="EM1635" s="2" t="str">
        <f>IF(AND(AND(AND($DX1635=0,$DW1635=0),OR($EC1635=1,$EA1635=1)),SUM($EB1635:$EE1635)&gt;=2),"Technology approach","")</f>
        <v/>
      </c>
      <c r="EO1635" t="s">
        <v>450</v>
      </c>
      <c r="EP1635" t="b">
        <f>IF(ISNUMBER(BU1635),IF(ABS(BU1635-[5]QC_indicators!$B$2)&gt;3*[5]QC_indicators!$C$2,"C ratio",IF(ISNUMBER(BY1635),IF(ABS(BY1635-[5]QC_indicators!$B$1)&gt;3*[5]QC_indicators!$C$1,"DF","no"))),IF(ISNUMBER(BY1635),IF(ABS(BY1635-[5]QC_indicators!$B$1)&gt;3*[5]QC_indicators!$C$1,"DF","no")))</f>
        <v>0</v>
      </c>
    </row>
    <row r="1636" spans="1:146" ht="15" customHeight="1">
      <c r="A1636" s="1" t="s">
        <v>4532</v>
      </c>
      <c r="B1636" t="s">
        <v>4533</v>
      </c>
      <c r="C1636" t="s">
        <v>4534</v>
      </c>
      <c r="D1636" t="s">
        <v>4535</v>
      </c>
      <c r="E1636" t="s">
        <v>4536</v>
      </c>
      <c r="F1636" t="s">
        <v>4537</v>
      </c>
      <c r="G1636" t="s">
        <v>4538</v>
      </c>
      <c r="H1636" t="s">
        <v>254</v>
      </c>
      <c r="I1636">
        <v>2018</v>
      </c>
      <c r="J1636">
        <v>6</v>
      </c>
      <c r="K1636" t="s">
        <v>4539</v>
      </c>
      <c r="M1636" t="str">
        <f>LEFT($D1636,FIND(",",$D1636)-1)&amp;"_"&amp;I1636&amp;L1636</f>
        <v>Hu_2018</v>
      </c>
      <c r="N1636" t="s">
        <v>2583</v>
      </c>
      <c r="O1636" s="145" t="s">
        <v>513</v>
      </c>
      <c r="Q1636" s="312" t="s">
        <v>256</v>
      </c>
      <c r="R1636" s="313"/>
      <c r="AX1636" s="141"/>
      <c r="AY1636" s="141"/>
      <c r="BE1636"/>
      <c r="BF1636" s="2"/>
      <c r="BU1636" s="144"/>
      <c r="BY1636" t="str">
        <f>IFERROR(BX1636/BO1636,"")</f>
        <v/>
      </c>
      <c r="CN1636"/>
      <c r="CO1636"/>
      <c r="CP1636"/>
      <c r="CQ1636"/>
      <c r="CR1636"/>
      <c r="CS1636"/>
      <c r="CT1636"/>
      <c r="CU1636"/>
      <c r="CV1636" s="2"/>
      <c r="CX1636"/>
      <c r="DC1636"/>
      <c r="DI1636"/>
      <c r="DJ1636"/>
      <c r="DK1636"/>
      <c r="DL1636"/>
      <c r="DM1636"/>
      <c r="DN1636"/>
      <c r="DT1636"/>
      <c r="DU1636" s="143"/>
      <c r="EK1636" t="str">
        <f>IF(AND(AND(AND(OR($DX1636=1,$DW1636=1),OR($EC1636=1,$EA1636=1)),SUM($DV1636:$DZ1636,$EF1636)&gt;=3),SUM($EA1636:$EE1636)&gt;=2),"Whole sector","")</f>
        <v/>
      </c>
      <c r="EL1636" t="str">
        <f>IF(AND(AND(OR($DX1636=1,$DW1636=1),AND($EC1636=0,$EA1636=0)),SUM($DV1636:$DZ1636,$EF1636)&gt;=3),"Ecosystem approach","")</f>
        <v/>
      </c>
      <c r="EM1636" s="2" t="str">
        <f>IF(AND(AND(AND($DX1636=0,$DW1636=0),OR($EC1636=1,$EA1636=1)),SUM($EB1636:$EE1636)&gt;=2),"Technology approach","")</f>
        <v/>
      </c>
      <c r="EO1636" t="s">
        <v>450</v>
      </c>
      <c r="EP1636" t="b">
        <f>IF(ISNUMBER(BU1636),IF(ABS(BU1636-[5]QC_indicators!$B$2)&gt;3*[5]QC_indicators!$C$2,"C ratio",IF(ISNUMBER(BY1636),IF(ABS(BY1636-[5]QC_indicators!$B$1)&gt;3*[5]QC_indicators!$C$1,"DF","no"))),IF(ISNUMBER(BY1636),IF(ABS(BY1636-[5]QC_indicators!$B$1)&gt;3*[5]QC_indicators!$C$1,"DF","no")))</f>
        <v>0</v>
      </c>
    </row>
    <row r="1637" spans="1:146" ht="15" customHeight="1">
      <c r="D1637" t="s">
        <v>4540</v>
      </c>
      <c r="E1637" t="s">
        <v>4541</v>
      </c>
      <c r="G1637" t="s">
        <v>4542</v>
      </c>
      <c r="I1637">
        <v>2008</v>
      </c>
      <c r="K1637" s="312" t="s">
        <v>4543</v>
      </c>
      <c r="M1637" t="str">
        <f>LEFT($D1637,FIND(",",$D1637)-1)&amp;"_"&amp;I1637&amp;L1637</f>
        <v>Kirkinen_2008</v>
      </c>
      <c r="N1637" t="s">
        <v>2583</v>
      </c>
      <c r="O1637" t="s">
        <v>223</v>
      </c>
      <c r="Q1637" s="312" t="s">
        <v>256</v>
      </c>
      <c r="R1637" s="313"/>
      <c r="U1637" s="143"/>
      <c r="AX1637" s="141"/>
      <c r="AY1637" s="141"/>
      <c r="BE1637"/>
      <c r="BF1637" s="2"/>
      <c r="BJ1637" s="143"/>
      <c r="BL1637" s="143"/>
      <c r="BM1637" s="143"/>
      <c r="BN1637" s="143"/>
      <c r="BO1637" s="143"/>
      <c r="BP1637" s="143"/>
      <c r="BQ1637" s="143"/>
      <c r="BS1637" s="143"/>
      <c r="BY1637" t="str">
        <f>IFERROR(BX1637/BO1637,"")</f>
        <v/>
      </c>
      <c r="CN1637"/>
      <c r="CO1637"/>
      <c r="CP1637"/>
      <c r="CQ1637"/>
      <c r="CR1637"/>
      <c r="CS1637"/>
      <c r="CT1637"/>
      <c r="CU1637"/>
      <c r="CV1637" s="2"/>
      <c r="CX1637"/>
      <c r="DA1637" s="143"/>
      <c r="DB1637" s="143"/>
      <c r="DC1637"/>
      <c r="DI1637"/>
      <c r="DJ1637"/>
      <c r="DK1637"/>
      <c r="DL1637"/>
      <c r="DM1637"/>
      <c r="DN1637"/>
      <c r="DP1637" s="143"/>
      <c r="DQ1637" s="143"/>
      <c r="DS1637" s="143"/>
      <c r="DT1637"/>
      <c r="DU1637" s="143"/>
      <c r="DV1637" s="143"/>
      <c r="DW1637" s="143"/>
      <c r="EB1637" s="143"/>
      <c r="ED1637" s="143"/>
      <c r="EG1637" s="143"/>
      <c r="EK1637" t="str">
        <f>IF(AND(AND(AND(OR($DX1637=1,$DW1637=1),OR($EC1637=1,$EA1637=1)),SUM($DV1637:$DZ1637,$EF1637)&gt;=3),SUM($EA1637:$EE1637)&gt;=2),"Whole sector","")</f>
        <v/>
      </c>
      <c r="EL1637" t="str">
        <f>IF(AND(AND(OR($DX1637=1,$DW1637=1),AND($EC1637=0,$EA1637=0)),SUM($DV1637:$DZ1637,$EF1637)&gt;=3),"Ecosystem approach","")</f>
        <v/>
      </c>
      <c r="EM1637" s="2" t="str">
        <f>IF(AND(AND(AND($DX1637=0,$DW1637=0),OR($EC1637=1,$EA1637=1)),SUM($EB1637:$EE1637)&gt;=2),"Technology approach","")</f>
        <v/>
      </c>
      <c r="EP1637" t="b">
        <f>IF(ISNUMBER(BU1637),IF(ABS(BU1637-[5]QC_indicators!$B$2)&gt;3*[5]QC_indicators!$C$2,"C ratio",IF(ISNUMBER(BY1637),IF(ABS(BY1637-[5]QC_indicators!$B$1)&gt;3*[5]QC_indicators!$C$1,"DF","no"))),IF(ISNUMBER(BY1637),IF(ABS(BY1637-[5]QC_indicators!$B$1)&gt;3*[5]QC_indicators!$C$1,"DF","no")))</f>
        <v>0</v>
      </c>
    </row>
    <row r="1638" spans="1:146" ht="15" customHeight="1">
      <c r="A1638" s="1" t="s">
        <v>4544</v>
      </c>
      <c r="B1638" t="s">
        <v>4545</v>
      </c>
      <c r="C1638" t="s">
        <v>4546</v>
      </c>
      <c r="D1638" t="s">
        <v>4547</v>
      </c>
      <c r="E1638" t="s">
        <v>4548</v>
      </c>
      <c r="F1638" t="s">
        <v>4549</v>
      </c>
      <c r="G1638" t="s">
        <v>4550</v>
      </c>
      <c r="H1638" t="s">
        <v>254</v>
      </c>
      <c r="I1638">
        <v>2017</v>
      </c>
      <c r="J1638">
        <v>8</v>
      </c>
      <c r="K1638" t="s">
        <v>4551</v>
      </c>
      <c r="M1638" t="str">
        <f>LEFT($D1638,FIND(",",$D1638)-1)&amp;"_"&amp;I1638&amp;L1638</f>
        <v>Kleindienst_2017</v>
      </c>
      <c r="N1638" t="s">
        <v>2583</v>
      </c>
      <c r="O1638" s="145" t="s">
        <v>513</v>
      </c>
      <c r="Q1638" s="312" t="s">
        <v>256</v>
      </c>
      <c r="R1638" s="313"/>
      <c r="AX1638" s="141"/>
      <c r="AY1638" s="141"/>
      <c r="BE1638"/>
      <c r="BF1638" s="2"/>
      <c r="BU1638" s="144"/>
      <c r="BY1638" t="str">
        <f>IFERROR(BX1638/BO1638,"")</f>
        <v/>
      </c>
      <c r="CN1638"/>
      <c r="CO1638"/>
      <c r="CP1638"/>
      <c r="CQ1638"/>
      <c r="CR1638"/>
      <c r="CS1638"/>
      <c r="CT1638"/>
      <c r="CU1638"/>
      <c r="CV1638" s="2"/>
      <c r="CX1638"/>
      <c r="DC1638"/>
      <c r="DI1638"/>
      <c r="DJ1638"/>
      <c r="DK1638"/>
      <c r="DL1638"/>
      <c r="DM1638"/>
      <c r="DN1638"/>
      <c r="DT1638"/>
      <c r="DU1638" s="143"/>
      <c r="EK1638" t="str">
        <f>IF(AND(AND(AND(OR($DX1638=1,$DW1638=1),OR($EC1638=1,$EA1638=1)),SUM($DV1638:$DZ1638,$EF1638)&gt;=3),SUM($EA1638:$EE1638)&gt;=2),"Whole sector","")</f>
        <v/>
      </c>
      <c r="EL1638" t="str">
        <f>IF(AND(AND(OR($DX1638=1,$DW1638=1),AND($EC1638=0,$EA1638=0)),SUM($DV1638:$DZ1638,$EF1638)&gt;=3),"Ecosystem approach","")</f>
        <v/>
      </c>
      <c r="EM1638" s="2" t="str">
        <f>IF(AND(AND(AND($DX1638=0,$DW1638=0),OR($EC1638=1,$EA1638=1)),SUM($EB1638:$EE1638)&gt;=2),"Technology approach","")</f>
        <v/>
      </c>
      <c r="EO1638" t="s">
        <v>450</v>
      </c>
      <c r="EP1638" t="b">
        <f>IF(ISNUMBER(BU1638),IF(ABS(BU1638-[5]QC_indicators!$B$2)&gt;3*[5]QC_indicators!$C$2,"C ratio",IF(ISNUMBER(BY1638),IF(ABS(BY1638-[5]QC_indicators!$B$1)&gt;3*[5]QC_indicators!$C$1,"DF","no"))),IF(ISNUMBER(BY1638),IF(ABS(BY1638-[5]QC_indicators!$B$1)&gt;3*[5]QC_indicators!$C$1,"DF","no")))</f>
        <v>0</v>
      </c>
    </row>
    <row r="1639" spans="1:146" ht="15" customHeight="1">
      <c r="A1639" s="1" t="s">
        <v>4552</v>
      </c>
      <c r="B1639" t="s">
        <v>4553</v>
      </c>
      <c r="D1639" t="s">
        <v>4554</v>
      </c>
      <c r="E1639" t="s">
        <v>4555</v>
      </c>
      <c r="F1639" t="s">
        <v>4556</v>
      </c>
      <c r="G1639" t="s">
        <v>4557</v>
      </c>
      <c r="H1639" t="s">
        <v>254</v>
      </c>
      <c r="I1639">
        <v>2021</v>
      </c>
      <c r="J1639">
        <v>2</v>
      </c>
      <c r="K1639" t="s">
        <v>4558</v>
      </c>
      <c r="M1639" t="str">
        <f>LEFT($D1639,FIND(",",$D1639)-1)&amp;"_"&amp;I1639&amp;L1639</f>
        <v>Kunic_2021</v>
      </c>
      <c r="N1639" t="s">
        <v>2583</v>
      </c>
      <c r="O1639" s="145" t="s">
        <v>225</v>
      </c>
      <c r="Q1639" s="312" t="s">
        <v>256</v>
      </c>
      <c r="R1639" s="313"/>
      <c r="U1639" s="143"/>
      <c r="AX1639" s="141"/>
      <c r="AY1639" s="141"/>
      <c r="BE1639"/>
      <c r="BF1639" s="2"/>
      <c r="BG1639" s="142"/>
      <c r="BJ1639" s="143"/>
      <c r="BL1639" s="143"/>
      <c r="BM1639" s="163"/>
      <c r="BN1639" s="158"/>
      <c r="BO1639" s="143"/>
      <c r="BS1639" s="143"/>
      <c r="BU1639" s="144"/>
      <c r="BY1639" t="str">
        <f>IFERROR(BX1639/BO1639,"")</f>
        <v/>
      </c>
      <c r="CN1639"/>
      <c r="CO1639"/>
      <c r="CP1639"/>
      <c r="CQ1639"/>
      <c r="CR1639"/>
      <c r="CS1639"/>
      <c r="CT1639"/>
      <c r="CU1639"/>
      <c r="CV1639" s="2"/>
      <c r="CX1639"/>
      <c r="DA1639" s="143"/>
      <c r="DB1639" s="143"/>
      <c r="DC1639"/>
      <c r="DI1639"/>
      <c r="DJ1639"/>
      <c r="DK1639"/>
      <c r="DL1639"/>
      <c r="DM1639"/>
      <c r="DN1639"/>
      <c r="DP1639" s="143"/>
      <c r="DQ1639" s="143"/>
      <c r="DS1639" s="143"/>
      <c r="DT1639"/>
      <c r="DU1639" s="143"/>
      <c r="DV1639" s="143"/>
      <c r="DW1639" s="143"/>
      <c r="EB1639" s="143"/>
      <c r="ED1639" s="143"/>
      <c r="EG1639" s="143"/>
      <c r="EK1639" t="str">
        <f>IF(AND(AND(AND(OR($DX1639=1,$DW1639=1),OR($EC1639=1,$EA1639=1)),SUM($DV1639:$DZ1639,$EF1639)&gt;=3),SUM($EA1639:$EE1639)&gt;=2),"Whole sector","")</f>
        <v/>
      </c>
      <c r="EL1639" t="str">
        <f>IF(AND(AND(OR($DX1639=1,$DW1639=1),AND($EC1639=0,$EA1639=0)),SUM($DV1639:$DZ1639,$EF1639)&gt;=3),"Ecosystem approach","")</f>
        <v/>
      </c>
      <c r="EM1639" s="2" t="str">
        <f>IF(AND(AND(AND($DX1639=0,$DW1639=0),OR($EC1639=1,$EA1639=1)),SUM($EB1639:$EE1639)&gt;=2),"Technology approach","")</f>
        <v/>
      </c>
      <c r="EO1639" t="s">
        <v>450</v>
      </c>
      <c r="EP1639" t="b">
        <f>IF(ISNUMBER(BU1639),IF(ABS(BU1639-[5]QC_indicators!$B$2)&gt;3*[5]QC_indicators!$C$2,"C ratio",IF(ISNUMBER(BY1639),IF(ABS(BY1639-[5]QC_indicators!$B$1)&gt;3*[5]QC_indicators!$C$1,"DF","no"))),IF(ISNUMBER(BY1639),IF(ABS(BY1639-[5]QC_indicators!$B$1)&gt;3*[5]QC_indicators!$C$1,"DF","no")))</f>
        <v>0</v>
      </c>
    </row>
    <row r="1640" spans="1:146" ht="15" customHeight="1">
      <c r="A1640" s="1" t="s">
        <v>4559</v>
      </c>
      <c r="C1640" t="s">
        <v>4560</v>
      </c>
      <c r="D1640" t="s">
        <v>4561</v>
      </c>
      <c r="E1640" t="s">
        <v>4562</v>
      </c>
      <c r="F1640" t="s">
        <v>4563</v>
      </c>
      <c r="G1640" t="s">
        <v>4564</v>
      </c>
      <c r="H1640" t="s">
        <v>254</v>
      </c>
      <c r="I1640">
        <v>2020</v>
      </c>
      <c r="J1640">
        <v>10</v>
      </c>
      <c r="K1640" t="s">
        <v>4565</v>
      </c>
      <c r="M1640" t="str">
        <f>LEFT($D1640,FIND(",",$D1640)-1)&amp;"_"&amp;I1640&amp;L1640</f>
        <v>Leturcq_2020</v>
      </c>
      <c r="N1640" s="312" t="s">
        <v>2583</v>
      </c>
      <c r="O1640" s="145" t="s">
        <v>225</v>
      </c>
      <c r="Q1640" s="312" t="s">
        <v>256</v>
      </c>
      <c r="R1640" s="313"/>
      <c r="U1640" s="143"/>
      <c r="AX1640" s="141"/>
      <c r="AY1640" s="141"/>
      <c r="BE1640"/>
      <c r="BF1640" s="2"/>
      <c r="BG1640" s="142"/>
      <c r="BJ1640" s="143"/>
      <c r="BL1640" s="143"/>
      <c r="BM1640" s="163"/>
      <c r="BN1640" s="158"/>
      <c r="BO1640" s="143"/>
      <c r="BP1640" s="143"/>
      <c r="BQ1640" s="143"/>
      <c r="BS1640" s="143"/>
      <c r="BU1640" s="144"/>
      <c r="BY1640" t="str">
        <f>IFERROR(BX1640/BO1640,"")</f>
        <v/>
      </c>
      <c r="CN1640"/>
      <c r="CO1640"/>
      <c r="CP1640"/>
      <c r="CQ1640"/>
      <c r="CR1640"/>
      <c r="CS1640"/>
      <c r="CT1640"/>
      <c r="CU1640"/>
      <c r="CV1640" s="2"/>
      <c r="CX1640"/>
      <c r="DA1640" s="143"/>
      <c r="DB1640" s="143"/>
      <c r="DC1640"/>
      <c r="DI1640"/>
      <c r="DJ1640"/>
      <c r="DK1640"/>
      <c r="DL1640"/>
      <c r="DM1640"/>
      <c r="DN1640"/>
      <c r="DP1640" s="143"/>
      <c r="DQ1640" s="143"/>
      <c r="DS1640" s="143"/>
      <c r="DT1640"/>
      <c r="DU1640" s="143"/>
      <c r="DV1640" s="143"/>
      <c r="DW1640" s="143"/>
      <c r="EB1640" s="143"/>
      <c r="ED1640" s="143"/>
      <c r="EG1640" s="143"/>
      <c r="EK1640" t="str">
        <f>IF(AND(AND(AND(OR($DX1640=1,$DW1640=1),OR($EC1640=1,$EA1640=1)),SUM($DV1640:$DZ1640,$EF1640)&gt;=3),SUM($EA1640:$EE1640)&gt;=2),"Whole sector","")</f>
        <v/>
      </c>
      <c r="EL1640" t="str">
        <f>IF(AND(AND(OR($DX1640=1,$DW1640=1),AND($EC1640=0,$EA1640=0)),SUM($DV1640:$DZ1640,$EF1640)&gt;=3),"Ecosystem approach","")</f>
        <v/>
      </c>
      <c r="EM1640" s="2" t="str">
        <f>IF(AND(AND(AND($DX1640=0,$DW1640=0),OR($EC1640=1,$EA1640=1)),SUM($EB1640:$EE1640)&gt;=2),"Technology approach","")</f>
        <v/>
      </c>
      <c r="EN1640" t="s">
        <v>4566</v>
      </c>
      <c r="EO1640" t="s">
        <v>450</v>
      </c>
      <c r="EP1640" t="b">
        <f>IF(ISNUMBER(BU1640),IF(ABS(BU1640-[5]QC_indicators!$B$2)&gt;3*[5]QC_indicators!$C$2,"C ratio",IF(ISNUMBER(BY1640),IF(ABS(BY1640-[5]QC_indicators!$B$1)&gt;3*[5]QC_indicators!$C$1,"DF","no"))),IF(ISNUMBER(BY1640),IF(ABS(BY1640-[5]QC_indicators!$B$1)&gt;3*[5]QC_indicators!$C$1,"DF","no")))</f>
        <v>0</v>
      </c>
    </row>
    <row r="1641" spans="1:146" ht="15" customHeight="1">
      <c r="A1641" s="1" t="s">
        <v>380</v>
      </c>
      <c r="B1641" t="s">
        <v>4567</v>
      </c>
      <c r="D1641" t="s">
        <v>4568</v>
      </c>
      <c r="E1641" t="s">
        <v>4569</v>
      </c>
      <c r="F1641" t="s">
        <v>4570</v>
      </c>
      <c r="G1641" t="s">
        <v>386</v>
      </c>
      <c r="H1641" t="s">
        <v>254</v>
      </c>
      <c r="I1641">
        <v>2008</v>
      </c>
      <c r="J1641">
        <v>11</v>
      </c>
      <c r="K1641" t="s">
        <v>4571</v>
      </c>
      <c r="M1641" t="str">
        <f>LEFT($D1641,FIND(",",$D1641)-1)&amp;"_"&amp;I1641&amp;L1641</f>
        <v>Lewandowska_2008</v>
      </c>
      <c r="N1641" t="s">
        <v>2583</v>
      </c>
      <c r="O1641" s="145" t="s">
        <v>225</v>
      </c>
      <c r="Q1641" s="312" t="s">
        <v>256</v>
      </c>
      <c r="R1641" s="313"/>
      <c r="U1641" s="143"/>
      <c r="AX1641" s="141"/>
      <c r="AY1641" s="141"/>
      <c r="BE1641"/>
      <c r="BF1641" s="2"/>
      <c r="BG1641" s="142"/>
      <c r="BJ1641" s="143"/>
      <c r="BL1641" s="143"/>
      <c r="BM1641" s="163"/>
      <c r="BN1641" s="158"/>
      <c r="BO1641" s="143"/>
      <c r="BP1641" s="143"/>
      <c r="BQ1641" s="143"/>
      <c r="BS1641" s="143"/>
      <c r="BU1641" s="144"/>
      <c r="BY1641" t="str">
        <f>IFERROR(BX1641/BO1641,"")</f>
        <v/>
      </c>
      <c r="CN1641"/>
      <c r="CO1641"/>
      <c r="CP1641"/>
      <c r="CQ1641"/>
      <c r="CR1641"/>
      <c r="CS1641"/>
      <c r="CT1641"/>
      <c r="CU1641"/>
      <c r="CV1641" s="2"/>
      <c r="CX1641"/>
      <c r="DA1641" s="143"/>
      <c r="DB1641" s="143"/>
      <c r="DC1641"/>
      <c r="DI1641"/>
      <c r="DJ1641"/>
      <c r="DK1641"/>
      <c r="DL1641"/>
      <c r="DM1641"/>
      <c r="DN1641"/>
      <c r="DP1641" s="143"/>
      <c r="DQ1641" s="143"/>
      <c r="DS1641" s="143"/>
      <c r="DT1641"/>
      <c r="DU1641" s="143"/>
      <c r="DV1641" s="143"/>
      <c r="DW1641" s="143"/>
      <c r="EB1641" s="143"/>
      <c r="ED1641" s="143"/>
      <c r="EG1641" s="143"/>
      <c r="EK1641" t="str">
        <f>IF(AND(AND(AND(OR($DX1641=1,$DW1641=1),OR($EC1641=1,$EA1641=1)),SUM($DV1641:$DZ1641,$EF1641)&gt;=3),SUM($EA1641:$EE1641)&gt;=2),"Whole sector","")</f>
        <v/>
      </c>
      <c r="EL1641" t="str">
        <f>IF(AND(AND(OR($DX1641=1,$DW1641=1),AND($EC1641=0,$EA1641=0)),SUM($DV1641:$DZ1641,$EF1641)&gt;=3),"Ecosystem approach","")</f>
        <v/>
      </c>
      <c r="EM1641" s="2" t="str">
        <f>IF(AND(AND(AND($DX1641=0,$DW1641=0),OR($EC1641=1,$EA1641=1)),SUM($EB1641:$EE1641)&gt;=2),"Technology approach","")</f>
        <v/>
      </c>
      <c r="EN1641" t="s">
        <v>4572</v>
      </c>
      <c r="EO1641" t="s">
        <v>450</v>
      </c>
      <c r="EP1641" t="b">
        <f>IF(ISNUMBER(BU1641),IF(ABS(BU1641-[5]QC_indicators!$B$2)&gt;3*[5]QC_indicators!$C$2,"C ratio",IF(ISNUMBER(BY1641),IF(ABS(BY1641-[5]QC_indicators!$B$1)&gt;3*[5]QC_indicators!$C$1,"DF","no"))),IF(ISNUMBER(BY1641),IF(ABS(BY1641-[5]QC_indicators!$B$1)&gt;3*[5]QC_indicators!$C$1,"DF","no")))</f>
        <v>0</v>
      </c>
    </row>
    <row r="1642" spans="1:146" ht="15" customHeight="1">
      <c r="A1642" s="1" t="s">
        <v>2067</v>
      </c>
      <c r="B1642" t="s">
        <v>4573</v>
      </c>
      <c r="C1642" t="s">
        <v>4574</v>
      </c>
      <c r="D1642" t="s">
        <v>4575</v>
      </c>
      <c r="E1642" t="s">
        <v>4576</v>
      </c>
      <c r="F1642" t="s">
        <v>4577</v>
      </c>
      <c r="G1642" t="s">
        <v>2072</v>
      </c>
      <c r="H1642" t="s">
        <v>254</v>
      </c>
      <c r="I1642">
        <v>2020</v>
      </c>
      <c r="J1642">
        <v>1</v>
      </c>
      <c r="K1642" t="s">
        <v>4578</v>
      </c>
      <c r="M1642" t="str">
        <f>LEFT($D1642,FIND(",",$D1642)-1)&amp;"_"&amp;I1642&amp;L1642</f>
        <v>Lopez_2020</v>
      </c>
      <c r="N1642" t="s">
        <v>2583</v>
      </c>
      <c r="O1642" s="145" t="s">
        <v>225</v>
      </c>
      <c r="Q1642" s="312" t="s">
        <v>256</v>
      </c>
      <c r="R1642" s="313"/>
      <c r="U1642" s="143"/>
      <c r="AX1642" s="141"/>
      <c r="AY1642" s="141"/>
      <c r="BE1642"/>
      <c r="BF1642" s="2"/>
      <c r="BG1642" s="142"/>
      <c r="BJ1642" s="143"/>
      <c r="BL1642" s="143"/>
      <c r="BM1642" s="163"/>
      <c r="BN1642" s="158"/>
      <c r="BO1642" s="143"/>
      <c r="BS1642" s="143"/>
      <c r="BU1642" s="144"/>
      <c r="BY1642" t="str">
        <f>IFERROR(BX1642/BO1642,"")</f>
        <v/>
      </c>
      <c r="CN1642"/>
      <c r="CO1642"/>
      <c r="CP1642"/>
      <c r="CQ1642"/>
      <c r="CR1642"/>
      <c r="CS1642"/>
      <c r="CT1642"/>
      <c r="CU1642"/>
      <c r="CV1642" s="2"/>
      <c r="CX1642"/>
      <c r="DA1642" s="143"/>
      <c r="DB1642" s="143"/>
      <c r="DC1642"/>
      <c r="DI1642"/>
      <c r="DJ1642"/>
      <c r="DK1642"/>
      <c r="DL1642"/>
      <c r="DM1642"/>
      <c r="DN1642"/>
      <c r="DP1642" s="143"/>
      <c r="DQ1642" s="143"/>
      <c r="DS1642" s="143"/>
      <c r="DT1642"/>
      <c r="DU1642" s="143"/>
      <c r="DV1642" s="143"/>
      <c r="DW1642" s="143"/>
      <c r="DY1642" s="143"/>
      <c r="EB1642" s="143"/>
      <c r="ED1642" s="143"/>
      <c r="EG1642" s="143"/>
      <c r="EK1642" t="str">
        <f>IF(AND(AND(AND(OR($DX1642=1,$DW1642=1),OR($EC1642=1,$EA1642=1)),SUM($DV1642:$DZ1642,$EF1642)&gt;=3),SUM($EA1642:$EE1642)&gt;=2),"Whole sector","")</f>
        <v/>
      </c>
      <c r="EL1642" t="str">
        <f>IF(AND(AND(OR($DX1642=1,$DW1642=1),AND($EC1642=0,$EA1642=0)),SUM($DV1642:$DZ1642,$EF1642)&gt;=3),"Ecosystem approach","")</f>
        <v/>
      </c>
      <c r="EM1642" s="2" t="str">
        <f>IF(AND(AND(AND($DX1642=0,$DW1642=0),OR($EC1642=1,$EA1642=1)),SUM($EB1642:$EE1642)&gt;=2),"Technology approach","")</f>
        <v/>
      </c>
      <c r="EN1642" t="s">
        <v>4579</v>
      </c>
      <c r="EO1642" t="s">
        <v>450</v>
      </c>
      <c r="EP1642" t="b">
        <f>IF(ISNUMBER(BU1642),IF(ABS(BU1642-[5]QC_indicators!$B$2)&gt;3*[5]QC_indicators!$C$2,"C ratio",IF(ISNUMBER(BY1642),IF(ABS(BY1642-[5]QC_indicators!$B$1)&gt;3*[5]QC_indicators!$C$1,"DF","no"))),IF(ISNUMBER(BY1642),IF(ABS(BY1642-[5]QC_indicators!$B$1)&gt;3*[5]QC_indicators!$C$1,"DF","no")))</f>
        <v>0</v>
      </c>
    </row>
    <row r="1643" spans="1:146" ht="15" customHeight="1">
      <c r="A1643" s="1" t="s">
        <v>4580</v>
      </c>
      <c r="B1643" t="s">
        <v>4581</v>
      </c>
      <c r="C1643" t="s">
        <v>4582</v>
      </c>
      <c r="D1643" t="s">
        <v>4583</v>
      </c>
      <c r="E1643" t="s">
        <v>4584</v>
      </c>
      <c r="F1643" t="s">
        <v>4585</v>
      </c>
      <c r="G1643" t="s">
        <v>4586</v>
      </c>
      <c r="H1643" t="s">
        <v>254</v>
      </c>
      <c r="I1643">
        <v>2022</v>
      </c>
      <c r="J1643">
        <v>1</v>
      </c>
      <c r="K1643" t="s">
        <v>4587</v>
      </c>
      <c r="M1643" t="str">
        <f>LEFT($D1643,FIND(",",$D1643)-1)&amp;"_"&amp;I1643&amp;L1643</f>
        <v>Lopez-Sosa_2022</v>
      </c>
      <c r="N1643" t="s">
        <v>2583</v>
      </c>
      <c r="AX1643" s="141">
        <f>COUNTIF(V1643:AW1643,"&lt;&gt;0")</f>
        <v>28</v>
      </c>
      <c r="AY1643">
        <f>COUNTIF(V1643:AL1643,"&lt;&gt;0")</f>
        <v>17</v>
      </c>
      <c r="BE1643"/>
      <c r="BF1643" s="2"/>
      <c r="BY1643" t="str">
        <f>IFERROR(BX1643/BO1643,"")</f>
        <v/>
      </c>
      <c r="CN1643"/>
      <c r="CO1643"/>
      <c r="CP1643"/>
      <c r="CQ1643"/>
      <c r="CR1643"/>
      <c r="CS1643"/>
      <c r="CT1643"/>
      <c r="CU1643"/>
      <c r="CV1643" s="2"/>
      <c r="CX1643"/>
      <c r="DC1643"/>
      <c r="DI1643"/>
      <c r="DJ1643"/>
      <c r="DK1643"/>
      <c r="DL1643"/>
      <c r="DM1643"/>
      <c r="DN1643"/>
      <c r="DT1643"/>
      <c r="DU1643"/>
      <c r="EK1643" t="str">
        <f>IF(AND(AND(AND(OR($DX1643=1,$DW1643=1),OR($EC1643=1,$EA1643=1)),SUM($DV1643:$DZ1643,$EF1643)&gt;=3),SUM($EA1643:$EE1643)&gt;=2),"Whole sector","")</f>
        <v/>
      </c>
      <c r="EL1643" t="str">
        <f>IF(AND(AND(OR($DX1643=1,$DW1643=1),AND($EC1643=0,$EA1643=0)),SUM($DV1643:$DZ1643,$EF1643)&gt;=3),"Ecosystem approach","")</f>
        <v/>
      </c>
      <c r="EM1643" s="2" t="str">
        <f>IF(AND(AND(AND($DX1643=0,$DW1643=0),OR($EC1643=1,$EA1643=1)),SUM($EB1643:$EE1643)&gt;=2),"Technology approach","")</f>
        <v/>
      </c>
      <c r="EP1643" t="b">
        <f>IF(ISNUMBER(BU1643),IF(ABS(BU1643-[5]QC_indicators!$B$2)&gt;3*[5]QC_indicators!$C$2,"C ratio",IF(ISNUMBER(BY1643),IF(ABS(BY1643-[5]QC_indicators!$B$1)&gt;3*[5]QC_indicators!$C$1,"DF","no"))),IF(ISNUMBER(BY1643),IF(ABS(BY1643-[5]QC_indicators!$B$1)&gt;3*[5]QC_indicators!$C$1,"DF","no")))</f>
        <v>0</v>
      </c>
    </row>
    <row r="1644" spans="1:146" ht="15" customHeight="1">
      <c r="A1644" s="1" t="s">
        <v>4588</v>
      </c>
      <c r="B1644" t="s">
        <v>4589</v>
      </c>
      <c r="C1644" t="s">
        <v>4590</v>
      </c>
      <c r="D1644" t="s">
        <v>4591</v>
      </c>
      <c r="E1644" t="s">
        <v>4592</v>
      </c>
      <c r="F1644" t="s">
        <v>4593</v>
      </c>
      <c r="G1644" t="s">
        <v>4594</v>
      </c>
      <c r="H1644" t="s">
        <v>254</v>
      </c>
      <c r="I1644">
        <v>2018</v>
      </c>
      <c r="J1644">
        <v>4</v>
      </c>
      <c r="K1644" t="s">
        <v>4595</v>
      </c>
      <c r="M1644" t="str">
        <f>LEFT($D1644,FIND(",",$D1644)-1)&amp;"_"&amp;I1644&amp;L1644</f>
        <v>Lorenz_2018</v>
      </c>
      <c r="N1644" t="s">
        <v>2583</v>
      </c>
      <c r="O1644" s="145" t="s">
        <v>225</v>
      </c>
      <c r="Q1644" s="312" t="s">
        <v>256</v>
      </c>
      <c r="R1644" s="313"/>
      <c r="U1644" s="143"/>
      <c r="AX1644" s="141"/>
      <c r="AY1644" s="141"/>
      <c r="BE1644"/>
      <c r="BF1644" s="2"/>
      <c r="BG1644" s="142"/>
      <c r="BJ1644" s="143"/>
      <c r="BL1644" s="143"/>
      <c r="BM1644" s="163"/>
      <c r="BN1644" s="158"/>
      <c r="BO1644" s="143"/>
      <c r="BS1644" s="143"/>
      <c r="BU1644" s="144"/>
      <c r="BY1644" t="str">
        <f>IFERROR(BX1644/BO1644,"")</f>
        <v/>
      </c>
      <c r="CN1644"/>
      <c r="CO1644"/>
      <c r="CP1644"/>
      <c r="CQ1644"/>
      <c r="CR1644"/>
      <c r="CS1644"/>
      <c r="CT1644"/>
      <c r="CU1644"/>
      <c r="CV1644" s="2"/>
      <c r="CX1644"/>
      <c r="DA1644" s="143"/>
      <c r="DB1644" s="143"/>
      <c r="DC1644"/>
      <c r="DI1644"/>
      <c r="DJ1644"/>
      <c r="DK1644"/>
      <c r="DL1644"/>
      <c r="DM1644"/>
      <c r="DN1644"/>
      <c r="DP1644" s="143"/>
      <c r="DQ1644" s="143"/>
      <c r="DS1644" s="143"/>
      <c r="DT1644"/>
      <c r="DU1644" s="143"/>
      <c r="DV1644" s="143"/>
      <c r="DW1644" s="143"/>
      <c r="EB1644" s="143"/>
      <c r="ED1644" s="143"/>
      <c r="EG1644" s="143"/>
      <c r="EK1644" t="str">
        <f>IF(AND(AND(AND(OR($DX1644=1,$DW1644=1),OR($EC1644=1,$EA1644=1)),SUM($DV1644:$DZ1644,$EF1644)&gt;=3),SUM($EA1644:$EE1644)&gt;=2),"Whole sector","")</f>
        <v/>
      </c>
      <c r="EL1644" t="str">
        <f>IF(AND(AND(OR($DX1644=1,$DW1644=1),AND($EC1644=0,$EA1644=0)),SUM($DV1644:$DZ1644,$EF1644)&gt;=3),"Ecosystem approach","")</f>
        <v/>
      </c>
      <c r="EM1644" s="2" t="str">
        <f>IF(AND(AND(AND($DX1644=0,$DW1644=0),OR($EC1644=1,$EA1644=1)),SUM($EB1644:$EE1644)&gt;=2),"Technology approach","")</f>
        <v/>
      </c>
      <c r="EN1644" t="s">
        <v>4596</v>
      </c>
      <c r="EO1644" t="s">
        <v>450</v>
      </c>
      <c r="EP1644" t="b">
        <f>IF(ISNUMBER(BU1644),IF(ABS(BU1644-[5]QC_indicators!$B$2)&gt;3*[5]QC_indicators!$C$2,"C ratio",IF(ISNUMBER(BY1644),IF(ABS(BY1644-[5]QC_indicators!$B$1)&gt;3*[5]QC_indicators!$C$1,"DF","no"))),IF(ISNUMBER(BY1644),IF(ABS(BY1644-[5]QC_indicators!$B$1)&gt;3*[5]QC_indicators!$C$1,"DF","no")))</f>
        <v>0</v>
      </c>
    </row>
    <row r="1645" spans="1:146" ht="15" customHeight="1">
      <c r="A1645" s="1" t="s">
        <v>4597</v>
      </c>
      <c r="B1645" t="s">
        <v>4598</v>
      </c>
      <c r="C1645" t="s">
        <v>4599</v>
      </c>
      <c r="D1645" t="s">
        <v>4600</v>
      </c>
      <c r="E1645" t="s">
        <v>4601</v>
      </c>
      <c r="F1645" t="s">
        <v>4602</v>
      </c>
      <c r="G1645" t="s">
        <v>4603</v>
      </c>
      <c r="H1645" t="s">
        <v>254</v>
      </c>
      <c r="I1645">
        <v>2022</v>
      </c>
      <c r="J1645">
        <v>0</v>
      </c>
      <c r="K1645" t="s">
        <v>4604</v>
      </c>
      <c r="M1645" t="str">
        <f>LEFT($D1645,FIND(",",$D1645)-1)&amp;"_"&amp;I1645&amp;L1645</f>
        <v>Mandal_2022</v>
      </c>
      <c r="N1645" t="s">
        <v>2583</v>
      </c>
      <c r="AX1645" s="141">
        <f>COUNTIF(V1645:AW1645,"&lt;&gt;0")</f>
        <v>28</v>
      </c>
      <c r="AY1645">
        <f>COUNTIF(V1645:AL1645,"&lt;&gt;0")</f>
        <v>17</v>
      </c>
      <c r="BE1645"/>
      <c r="BF1645" s="2"/>
      <c r="BY1645" t="str">
        <f>IFERROR(BX1645/BO1645,"")</f>
        <v/>
      </c>
      <c r="CN1645"/>
      <c r="CO1645"/>
      <c r="CP1645"/>
      <c r="CQ1645"/>
      <c r="CR1645"/>
      <c r="CS1645"/>
      <c r="CT1645"/>
      <c r="CU1645"/>
      <c r="CV1645" s="2"/>
      <c r="CX1645"/>
      <c r="DC1645"/>
      <c r="DI1645"/>
      <c r="DJ1645"/>
      <c r="DK1645"/>
      <c r="DL1645"/>
      <c r="DM1645"/>
      <c r="DN1645"/>
      <c r="DT1645"/>
      <c r="DU1645"/>
      <c r="EK1645" t="str">
        <f>IF(AND(AND(AND(OR($DX1645=1,$DW1645=1),OR($EC1645=1,$EA1645=1)),SUM($DV1645:$DZ1645,$EF1645)&gt;=3),SUM($EA1645:$EE1645)&gt;=2),"Whole sector","")</f>
        <v/>
      </c>
      <c r="EL1645" t="str">
        <f>IF(AND(AND(OR($DX1645=1,$DW1645=1),AND($EC1645=0,$EA1645=0)),SUM($DV1645:$DZ1645,$EF1645)&gt;=3),"Ecosystem approach","")</f>
        <v/>
      </c>
      <c r="EM1645" s="2" t="str">
        <f>IF(AND(AND(AND($DX1645=0,$DW1645=0),OR($EC1645=1,$EA1645=1)),SUM($EB1645:$EE1645)&gt;=2),"Technology approach","")</f>
        <v/>
      </c>
      <c r="EP1645" t="b">
        <f>IF(ISNUMBER(BU1645),IF(ABS(BU1645-[5]QC_indicators!$B$2)&gt;3*[5]QC_indicators!$C$2,"C ratio",IF(ISNUMBER(BY1645),IF(ABS(BY1645-[5]QC_indicators!$B$1)&gt;3*[5]QC_indicators!$C$1,"DF","no"))),IF(ISNUMBER(BY1645),IF(ABS(BY1645-[5]QC_indicators!$B$1)&gt;3*[5]QC_indicators!$C$1,"DF","no")))</f>
        <v>0</v>
      </c>
    </row>
    <row r="1646" spans="1:146" ht="15" customHeight="1">
      <c r="A1646" s="1" t="s">
        <v>4605</v>
      </c>
      <c r="B1646" t="s">
        <v>4606</v>
      </c>
      <c r="C1646" t="s">
        <v>4607</v>
      </c>
      <c r="D1646" t="s">
        <v>4608</v>
      </c>
      <c r="E1646" t="s">
        <v>4609</v>
      </c>
      <c r="F1646" t="s">
        <v>4610</v>
      </c>
      <c r="G1646" t="s">
        <v>4611</v>
      </c>
      <c r="H1646" t="s">
        <v>254</v>
      </c>
      <c r="I1646">
        <v>2019</v>
      </c>
      <c r="J1646">
        <v>3</v>
      </c>
      <c r="K1646" t="s">
        <v>4612</v>
      </c>
      <c r="M1646" t="str">
        <f>LEFT($D1646,FIND(",",$D1646)-1)&amp;"_"&amp;I1646&amp;L1646</f>
        <v>Mathai_2019</v>
      </c>
      <c r="N1646" t="s">
        <v>2583</v>
      </c>
      <c r="O1646" s="145" t="s">
        <v>225</v>
      </c>
      <c r="Q1646" s="312" t="s">
        <v>256</v>
      </c>
      <c r="R1646" s="313"/>
      <c r="U1646" s="143"/>
      <c r="AX1646" s="141"/>
      <c r="AY1646" s="141"/>
      <c r="BE1646"/>
      <c r="BF1646" s="2"/>
      <c r="BG1646" s="142"/>
      <c r="BJ1646" s="143"/>
      <c r="BL1646" s="143"/>
      <c r="BM1646" s="163"/>
      <c r="BN1646" s="158"/>
      <c r="BO1646" s="143"/>
      <c r="BS1646" s="143"/>
      <c r="BU1646" s="144"/>
      <c r="BY1646" t="str">
        <f>IFERROR(BX1646/BO1646,"")</f>
        <v/>
      </c>
      <c r="CN1646"/>
      <c r="CO1646"/>
      <c r="CP1646"/>
      <c r="CQ1646"/>
      <c r="CR1646"/>
      <c r="CS1646"/>
      <c r="CT1646"/>
      <c r="CU1646"/>
      <c r="CV1646" s="2"/>
      <c r="CX1646"/>
      <c r="DA1646" s="143"/>
      <c r="DB1646" s="143"/>
      <c r="DC1646"/>
      <c r="DI1646"/>
      <c r="DJ1646"/>
      <c r="DK1646"/>
      <c r="DL1646"/>
      <c r="DM1646"/>
      <c r="DN1646"/>
      <c r="DP1646" s="143"/>
      <c r="DQ1646" s="143"/>
      <c r="DS1646" s="143"/>
      <c r="DT1646"/>
      <c r="DU1646" s="143"/>
      <c r="DV1646" s="143"/>
      <c r="DW1646" s="143"/>
      <c r="EB1646" s="143"/>
      <c r="ED1646" s="143"/>
      <c r="EG1646" s="143"/>
      <c r="EK1646" t="str">
        <f>IF(AND(AND(AND(OR($DX1646=1,$DW1646=1),OR($EC1646=1,$EA1646=1)),SUM($DV1646:$DZ1646,$EF1646)&gt;=3),SUM($EA1646:$EE1646)&gt;=2),"Whole sector","")</f>
        <v/>
      </c>
      <c r="EL1646" t="str">
        <f>IF(AND(AND(OR($DX1646=1,$DW1646=1),AND($EC1646=0,$EA1646=0)),SUM($DV1646:$DZ1646,$EF1646)&gt;=3),"Ecosystem approach","")</f>
        <v/>
      </c>
      <c r="EM1646" s="2" t="str">
        <f>IF(AND(AND(AND($DX1646=0,$DW1646=0),OR($EC1646=1,$EA1646=1)),SUM($EB1646:$EE1646)&gt;=2),"Technology approach","")</f>
        <v/>
      </c>
      <c r="EN1646" t="s">
        <v>4613</v>
      </c>
      <c r="EO1646" t="s">
        <v>450</v>
      </c>
      <c r="EP1646" t="b">
        <f>IF(ISNUMBER(BU1646),IF(ABS(BU1646-[5]QC_indicators!$B$2)&gt;3*[5]QC_indicators!$C$2,"C ratio",IF(ISNUMBER(BY1646),IF(ABS(BY1646-[5]QC_indicators!$B$1)&gt;3*[5]QC_indicators!$C$1,"DF","no"))),IF(ISNUMBER(BY1646),IF(ABS(BY1646-[5]QC_indicators!$B$1)&gt;3*[5]QC_indicators!$C$1,"DF","no")))</f>
        <v>0</v>
      </c>
    </row>
    <row r="1647" spans="1:146" ht="15" customHeight="1">
      <c r="A1647" s="1" t="s">
        <v>1423</v>
      </c>
      <c r="B1647" t="s">
        <v>4614</v>
      </c>
      <c r="C1647" t="s">
        <v>4615</v>
      </c>
      <c r="D1647" t="s">
        <v>4616</v>
      </c>
      <c r="E1647" t="s">
        <v>4617</v>
      </c>
      <c r="F1647" t="s">
        <v>4618</v>
      </c>
      <c r="G1647" t="s">
        <v>1429</v>
      </c>
      <c r="H1647" t="s">
        <v>254</v>
      </c>
      <c r="I1647">
        <v>2019</v>
      </c>
      <c r="J1647">
        <v>3</v>
      </c>
      <c r="K1647" t="s">
        <v>4619</v>
      </c>
      <c r="M1647" t="str">
        <f>LEFT($D1647,FIND(",",$D1647)-1)&amp;"_"&amp;I1647&amp;L1647</f>
        <v>Mozgeris_2019</v>
      </c>
      <c r="N1647" s="327" t="s">
        <v>2583</v>
      </c>
      <c r="O1647" s="157" t="s">
        <v>274</v>
      </c>
      <c r="P1647" t="s">
        <v>960</v>
      </c>
      <c r="Q1647" s="312" t="s">
        <v>389</v>
      </c>
      <c r="R1647" s="313"/>
      <c r="AX1647" s="141"/>
      <c r="AY1647" s="141"/>
      <c r="BE1647"/>
      <c r="BF1647" s="2"/>
      <c r="BU1647" s="144"/>
      <c r="BY1647" t="str">
        <f>IFERROR(BX1647/BO1647,"")</f>
        <v/>
      </c>
      <c r="CN1647"/>
      <c r="CO1647"/>
      <c r="CP1647"/>
      <c r="CQ1647"/>
      <c r="CR1647"/>
      <c r="CS1647"/>
      <c r="CT1647"/>
      <c r="CU1647"/>
      <c r="CV1647" s="2"/>
      <c r="CX1647"/>
      <c r="DC1647"/>
      <c r="DI1647"/>
      <c r="DJ1647"/>
      <c r="DK1647"/>
      <c r="DL1647"/>
      <c r="DM1647"/>
      <c r="DN1647"/>
      <c r="DT1647"/>
      <c r="DU1647" s="143"/>
      <c r="EK1647" t="str">
        <f>IF(AND(AND(AND(OR($DX1647=1,$DW1647=1),OR($EC1647=1,$EA1647=1)),SUM($DV1647:$DZ1647,$EF1647)&gt;=3),SUM($EA1647:$EE1647)&gt;=2),"Whole sector","")</f>
        <v/>
      </c>
      <c r="EL1647" t="str">
        <f>IF(AND(AND(OR($DX1647=1,$DW1647=1),AND($EC1647=0,$EA1647=0)),SUM($DV1647:$DZ1647,$EF1647)&gt;=3),"Ecosystem approach","")</f>
        <v/>
      </c>
      <c r="EM1647" s="2" t="str">
        <f>IF(AND(AND(AND($DX1647=0,$DW1647=0),OR($EC1647=1,$EA1647=1)),SUM($EB1647:$EE1647)&gt;=2),"Technology approach","")</f>
        <v/>
      </c>
      <c r="EN1647" s="312" t="s">
        <v>4620</v>
      </c>
      <c r="EP1647" t="b">
        <f>IF(ISNUMBER(BU1647),IF(ABS(BU1647-[5]QC_indicators!$B$2)&gt;3*[5]QC_indicators!$C$2,"C ratio",IF(ISNUMBER(BY1647),IF(ABS(BY1647-[5]QC_indicators!$B$1)&gt;3*[5]QC_indicators!$C$1,"DF","no"))),IF(ISNUMBER(BY1647),IF(ABS(BY1647-[5]QC_indicators!$B$1)&gt;3*[5]QC_indicators!$C$1,"DF","no")))</f>
        <v>0</v>
      </c>
    </row>
    <row r="1648" spans="1:146" ht="15" customHeight="1">
      <c r="A1648" s="1" t="s">
        <v>1138</v>
      </c>
      <c r="B1648" t="s">
        <v>4621</v>
      </c>
      <c r="C1648" t="s">
        <v>4622</v>
      </c>
      <c r="D1648" t="s">
        <v>4623</v>
      </c>
      <c r="E1648" t="s">
        <v>4624</v>
      </c>
      <c r="F1648" t="s">
        <v>4625</v>
      </c>
      <c r="G1648" t="s">
        <v>1139</v>
      </c>
      <c r="H1648" t="s">
        <v>254</v>
      </c>
      <c r="I1648">
        <v>2022</v>
      </c>
      <c r="J1648">
        <v>2</v>
      </c>
      <c r="K1648" t="s">
        <v>4626</v>
      </c>
      <c r="M1648" t="str">
        <f>LEFT($D1648,FIND(",",$D1648)-1)&amp;"_"&amp;I1648&amp;L1648</f>
        <v>Palander_2022</v>
      </c>
      <c r="N1648" t="s">
        <v>2583</v>
      </c>
      <c r="BE1648"/>
      <c r="BF1648" s="2"/>
      <c r="BY1648" t="str">
        <f>IFERROR(BX1648/BO1648,"")</f>
        <v/>
      </c>
      <c r="CN1648"/>
      <c r="CO1648"/>
      <c r="CP1648"/>
      <c r="CQ1648"/>
      <c r="CR1648"/>
      <c r="CS1648"/>
      <c r="CT1648"/>
      <c r="CU1648"/>
      <c r="CV1648" s="2"/>
      <c r="CX1648"/>
      <c r="DC1648"/>
      <c r="DI1648"/>
      <c r="DJ1648"/>
      <c r="DK1648"/>
      <c r="DL1648"/>
      <c r="DM1648"/>
      <c r="DN1648"/>
      <c r="DT1648"/>
      <c r="DU1648"/>
      <c r="EK1648" t="str">
        <f>IF(AND(AND(AND(OR($DX1648=1,$DW1648=1),OR($EC1648=1,$EA1648=1)),SUM($DV1648:$DZ1648,$EF1648)&gt;=3),SUM($EA1648:$EE1648)&gt;=2),"Whole sector","")</f>
        <v/>
      </c>
      <c r="EL1648" t="str">
        <f>IF(AND(AND(OR($DX1648=1,$DW1648=1),AND($EC1648=0,$EA1648=0)),SUM($DV1648:$DZ1648,$EF1648)&gt;=3),"Ecosystem approach","")</f>
        <v/>
      </c>
      <c r="EM1648" s="2" t="str">
        <f>IF(AND(AND(AND($DX1648=0,$DW1648=0),OR($EC1648=1,$EA1648=1)),SUM($EB1648:$EE1648)&gt;=2),"Technology approach","")</f>
        <v/>
      </c>
      <c r="EP1648" t="b">
        <f>IF(ISNUMBER(BU1648),IF(ABS(BU1648-[5]QC_indicators!$B$2)&gt;3*[5]QC_indicators!$C$2,"C ratio",IF(ISNUMBER(BY1648),IF(ABS(BY1648-[5]QC_indicators!$B$1)&gt;3*[5]QC_indicators!$C$1,"DF","no"))),IF(ISNUMBER(BY1648),IF(ABS(BY1648-[5]QC_indicators!$B$1)&gt;3*[5]QC_indicators!$C$1,"DF","no")))</f>
        <v>0</v>
      </c>
    </row>
    <row r="1649" spans="1:150" ht="15" customHeight="1">
      <c r="A1649" s="1" t="s">
        <v>656</v>
      </c>
      <c r="B1649" t="s">
        <v>4627</v>
      </c>
      <c r="C1649" t="s">
        <v>4628</v>
      </c>
      <c r="D1649" t="s">
        <v>4629</v>
      </c>
      <c r="E1649" t="s">
        <v>4630</v>
      </c>
      <c r="F1649" t="s">
        <v>4631</v>
      </c>
      <c r="G1649" t="s">
        <v>662</v>
      </c>
      <c r="H1649" t="s">
        <v>254</v>
      </c>
      <c r="I1649">
        <v>2022</v>
      </c>
      <c r="J1649">
        <v>2</v>
      </c>
      <c r="K1649" t="s">
        <v>4632</v>
      </c>
      <c r="M1649" t="str">
        <f>LEFT($D1649,FIND(",",$D1649)-1)&amp;"_"&amp;I1649&amp;L1649</f>
        <v>Pasternack_2022</v>
      </c>
      <c r="N1649" t="s">
        <v>2583</v>
      </c>
      <c r="BE1649"/>
      <c r="BF1649" s="2"/>
      <c r="BY1649" t="str">
        <f>IFERROR(BX1649/BO1649,"")</f>
        <v/>
      </c>
      <c r="CN1649"/>
      <c r="CO1649"/>
      <c r="CP1649"/>
      <c r="CQ1649"/>
      <c r="CR1649"/>
      <c r="CS1649"/>
      <c r="CT1649"/>
      <c r="CU1649"/>
      <c r="CV1649" s="2"/>
      <c r="CX1649"/>
      <c r="DC1649"/>
      <c r="DI1649"/>
      <c r="DJ1649"/>
      <c r="DK1649"/>
      <c r="DL1649"/>
      <c r="DM1649"/>
      <c r="DN1649"/>
      <c r="DT1649"/>
      <c r="DU1649"/>
      <c r="EK1649" t="str">
        <f>IF(AND(AND(AND(OR($DX1649=1,$DW1649=1),OR($EC1649=1,$EA1649=1)),SUM($DV1649:$DZ1649,$EF1649)&gt;=3),SUM($EA1649:$EE1649)&gt;=2),"Whole sector","")</f>
        <v/>
      </c>
      <c r="EL1649" t="str">
        <f>IF(AND(AND(OR($DX1649=1,$DW1649=1),AND($EC1649=0,$EA1649=0)),SUM($DV1649:$DZ1649,$EF1649)&gt;=3),"Ecosystem approach","")</f>
        <v/>
      </c>
      <c r="EM1649" s="2" t="str">
        <f>IF(AND(AND(AND($DX1649=0,$DW1649=0),OR($EC1649=1,$EA1649=1)),SUM($EB1649:$EE1649)&gt;=2),"Technology approach","")</f>
        <v/>
      </c>
      <c r="EP1649" t="b">
        <f>IF(ISNUMBER(BU1649),IF(ABS(BU1649-[5]QC_indicators!$B$2)&gt;3*[5]QC_indicators!$C$2,"C ratio",IF(ISNUMBER(BY1649),IF(ABS(BY1649-[5]QC_indicators!$B$1)&gt;3*[5]QC_indicators!$C$1,"DF","no"))),IF(ISNUMBER(BY1649),IF(ABS(BY1649-[5]QC_indicators!$B$1)&gt;3*[5]QC_indicators!$C$1,"DF","no")))</f>
        <v>0</v>
      </c>
    </row>
    <row r="1650" spans="1:150" ht="15" customHeight="1">
      <c r="A1650" s="1" t="s">
        <v>4633</v>
      </c>
      <c r="B1650" t="s">
        <v>4634</v>
      </c>
      <c r="C1650" t="s">
        <v>4635</v>
      </c>
      <c r="D1650" t="s">
        <v>4636</v>
      </c>
      <c r="E1650" t="s">
        <v>4637</v>
      </c>
      <c r="F1650" t="s">
        <v>4638</v>
      </c>
      <c r="G1650" t="s">
        <v>4639</v>
      </c>
      <c r="H1650" t="s">
        <v>254</v>
      </c>
      <c r="I1650">
        <v>2012</v>
      </c>
      <c r="J1650">
        <v>6</v>
      </c>
      <c r="K1650" t="s">
        <v>4640</v>
      </c>
      <c r="M1650" t="str">
        <f>LEFT($D1650,FIND(",",$D1650)-1)&amp;"_"&amp;I1650&amp;L1650</f>
        <v>Piemonte_2012</v>
      </c>
      <c r="N1650" t="s">
        <v>2583</v>
      </c>
      <c r="O1650" s="171" t="s">
        <v>513</v>
      </c>
      <c r="P1650" t="s">
        <v>341</v>
      </c>
      <c r="Q1650" s="312" t="s">
        <v>389</v>
      </c>
      <c r="R1650" s="313"/>
      <c r="AX1650" s="141"/>
      <c r="AY1650" s="141"/>
      <c r="BE1650"/>
      <c r="BF1650" s="2"/>
      <c r="BG1650" s="142"/>
      <c r="BJ1650" s="143"/>
      <c r="BL1650" s="143"/>
      <c r="BN1650" s="158"/>
      <c r="BO1650" s="143"/>
      <c r="BU1650" s="144"/>
      <c r="BY1650" t="str">
        <f>IFERROR(BX1650/BO1650,"")</f>
        <v/>
      </c>
      <c r="CN1650"/>
      <c r="CO1650"/>
      <c r="CP1650"/>
      <c r="CQ1650"/>
      <c r="CR1650"/>
      <c r="CS1650"/>
      <c r="CT1650"/>
      <c r="CU1650"/>
      <c r="CV1650" s="2"/>
      <c r="CX1650"/>
      <c r="DA1650" s="143"/>
      <c r="DB1650" s="143"/>
      <c r="DC1650"/>
      <c r="DI1650"/>
      <c r="DJ1650"/>
      <c r="DK1650"/>
      <c r="DL1650"/>
      <c r="DM1650"/>
      <c r="DN1650"/>
      <c r="DT1650"/>
      <c r="DU1650" s="143"/>
      <c r="DV1650" s="143"/>
      <c r="DW1650" s="143"/>
      <c r="DX1650" s="143"/>
      <c r="DY1650" s="143"/>
      <c r="EB1650" s="143"/>
      <c r="EC1650" s="143"/>
      <c r="ED1650" s="143"/>
      <c r="EG1650" s="143"/>
      <c r="EK1650" t="str">
        <f>IF(AND(AND(AND(OR($DX1650=1,$DW1650=1),OR($EC1650=1,$EA1650=1)),SUM($DV1650:$DZ1650,$EF1650)&gt;=3),SUM($EA1650:$EE1650)&gt;=2),"Whole sector","")</f>
        <v/>
      </c>
      <c r="EL1650" t="str">
        <f>IF(AND(AND(OR($DX1650=1,$DW1650=1),AND($EC1650=0,$EA1650=0)),SUM($DV1650:$DZ1650,$EF1650)&gt;=3),"Ecosystem approach","")</f>
        <v/>
      </c>
      <c r="EM1650" s="2" t="str">
        <f>IF(AND(AND(AND($DX1650=0,$DW1650=0),OR($EC1650=1,$EA1650=1)),SUM($EB1650:$EE1650)&gt;=2),"Technology approach","")</f>
        <v/>
      </c>
      <c r="EP1650" t="b">
        <f>IF(ISNUMBER(BU1650),IF(ABS(BU1650-[5]QC_indicators!$B$2)&gt;3*[5]QC_indicators!$C$2,"C ratio",IF(ISNUMBER(BY1650),IF(ABS(BY1650-[5]QC_indicators!$B$1)&gt;3*[5]QC_indicators!$C$1,"DF","no"))),IF(ISNUMBER(BY1650),IF(ABS(BY1650-[5]QC_indicators!$B$1)&gt;3*[5]QC_indicators!$C$1,"DF","no")))</f>
        <v>0</v>
      </c>
    </row>
    <row r="1651" spans="1:150" ht="15" customHeight="1">
      <c r="A1651" s="1" t="s">
        <v>3841</v>
      </c>
      <c r="B1651" t="s">
        <v>4641</v>
      </c>
      <c r="C1651" t="s">
        <v>4642</v>
      </c>
      <c r="D1651" t="s">
        <v>4643</v>
      </c>
      <c r="E1651" t="s">
        <v>4644</v>
      </c>
      <c r="F1651" t="s">
        <v>4645</v>
      </c>
      <c r="G1651" t="s">
        <v>3847</v>
      </c>
      <c r="H1651" t="s">
        <v>254</v>
      </c>
      <c r="I1651">
        <v>2016</v>
      </c>
      <c r="J1651">
        <v>6</v>
      </c>
      <c r="K1651" t="s">
        <v>4646</v>
      </c>
      <c r="M1651" t="str">
        <f>LEFT($D1651,FIND(",",$D1651)-1)&amp;"_"&amp;I1651&amp;L1651</f>
        <v>Radics_2016</v>
      </c>
      <c r="N1651" t="s">
        <v>2583</v>
      </c>
      <c r="O1651" s="145" t="s">
        <v>341</v>
      </c>
      <c r="Q1651" s="312" t="s">
        <v>256</v>
      </c>
      <c r="R1651" s="313"/>
      <c r="AX1651" s="141"/>
      <c r="AY1651" s="141"/>
      <c r="BE1651"/>
      <c r="BF1651" s="2"/>
      <c r="BU1651" s="144"/>
      <c r="BY1651" t="str">
        <f>IFERROR(BX1651/BO1651,"")</f>
        <v/>
      </c>
      <c r="CN1651"/>
      <c r="CO1651"/>
      <c r="CP1651"/>
      <c r="CQ1651"/>
      <c r="CR1651"/>
      <c r="CS1651"/>
      <c r="CT1651"/>
      <c r="CU1651"/>
      <c r="CV1651" s="2"/>
      <c r="CX1651"/>
      <c r="DC1651"/>
      <c r="DI1651"/>
      <c r="DJ1651"/>
      <c r="DK1651"/>
      <c r="DL1651"/>
      <c r="DM1651"/>
      <c r="DN1651"/>
      <c r="DT1651"/>
      <c r="DU1651" s="143"/>
      <c r="EK1651" t="str">
        <f>IF(AND(AND(AND(OR($DX1651=1,$DW1651=1),OR($EC1651=1,$EA1651=1)),SUM($DV1651:$DZ1651,$EF1651)&gt;=3),SUM($EA1651:$EE1651)&gt;=2),"Whole sector","")</f>
        <v/>
      </c>
      <c r="EL1651" t="str">
        <f>IF(AND(AND(OR($DX1651=1,$DW1651=1),AND($EC1651=0,$EA1651=0)),SUM($DV1651:$DZ1651,$EF1651)&gt;=3),"Ecosystem approach","")</f>
        <v/>
      </c>
      <c r="EM1651" s="2" t="str">
        <f>IF(AND(AND(AND($DX1651=0,$DW1651=0),OR($EC1651=1,$EA1651=1)),SUM($EB1651:$EE1651)&gt;=2),"Technology approach","")</f>
        <v/>
      </c>
      <c r="EO1651" t="s">
        <v>450</v>
      </c>
      <c r="EP1651" t="b">
        <f>IF(ISNUMBER(BU1651),IF(ABS(BU1651-[5]QC_indicators!$B$2)&gt;3*[5]QC_indicators!$C$2,"C ratio",IF(ISNUMBER(BY1651),IF(ABS(BY1651-[5]QC_indicators!$B$1)&gt;3*[5]QC_indicators!$C$1,"DF","no"))),IF(ISNUMBER(BY1651),IF(ABS(BY1651-[5]QC_indicators!$B$1)&gt;3*[5]QC_indicators!$C$1,"DF","no")))</f>
        <v>0</v>
      </c>
    </row>
    <row r="1652" spans="1:150" ht="15" customHeight="1">
      <c r="A1652" s="1" t="s">
        <v>4647</v>
      </c>
      <c r="B1652" t="s">
        <v>4648</v>
      </c>
      <c r="C1652" t="s">
        <v>4649</v>
      </c>
      <c r="D1652" t="s">
        <v>4650</v>
      </c>
      <c r="E1652" t="s">
        <v>4651</v>
      </c>
      <c r="F1652" t="s">
        <v>4652</v>
      </c>
      <c r="G1652" t="s">
        <v>4653</v>
      </c>
      <c r="H1652" t="s">
        <v>254</v>
      </c>
      <c r="I1652">
        <v>2015</v>
      </c>
      <c r="J1652">
        <v>2</v>
      </c>
      <c r="K1652" t="s">
        <v>4654</v>
      </c>
      <c r="M1652" t="str">
        <f>LEFT($D1652,FIND(",",$D1652)-1)&amp;"_"&amp;I1652&amp;L1652</f>
        <v>Sharma_2015</v>
      </c>
      <c r="N1652" t="s">
        <v>2583</v>
      </c>
      <c r="O1652" s="145" t="s">
        <v>341</v>
      </c>
      <c r="Q1652" s="312" t="s">
        <v>256</v>
      </c>
      <c r="R1652" s="313"/>
      <c r="AX1652" s="141"/>
      <c r="AY1652" s="141"/>
      <c r="BE1652"/>
      <c r="BF1652" s="2"/>
      <c r="BU1652" s="144"/>
      <c r="BY1652" t="str">
        <f>IFERROR(BX1652/BO1652,"")</f>
        <v/>
      </c>
      <c r="CN1652"/>
      <c r="CO1652"/>
      <c r="CP1652"/>
      <c r="CQ1652"/>
      <c r="CR1652"/>
      <c r="CS1652"/>
      <c r="CT1652"/>
      <c r="CU1652"/>
      <c r="CV1652" s="2"/>
      <c r="CX1652"/>
      <c r="DC1652"/>
      <c r="DI1652"/>
      <c r="DJ1652"/>
      <c r="DK1652"/>
      <c r="DL1652"/>
      <c r="DM1652"/>
      <c r="DN1652"/>
      <c r="DT1652"/>
      <c r="DU1652" s="143"/>
      <c r="EK1652" t="str">
        <f>IF(AND(AND(AND(OR($DX1652=1,$DW1652=1),OR($EC1652=1,$EA1652=1)),SUM($DV1652:$DZ1652,$EF1652)&gt;=3),SUM($EA1652:$EE1652)&gt;=2),"Whole sector","")</f>
        <v/>
      </c>
      <c r="EL1652" t="str">
        <f>IF(AND(AND(OR($DX1652=1,$DW1652=1),AND($EC1652=0,$EA1652=0)),SUM($DV1652:$DZ1652,$EF1652)&gt;=3),"Ecosystem approach","")</f>
        <v/>
      </c>
      <c r="EM1652" s="2" t="str">
        <f>IF(AND(AND(AND($DX1652=0,$DW1652=0),OR($EC1652=1,$EA1652=1)),SUM($EB1652:$EE1652)&gt;=2),"Technology approach","")</f>
        <v/>
      </c>
      <c r="EP1652" t="b">
        <f>IF(ISNUMBER(BU1652),IF(ABS(BU1652-[5]QC_indicators!$B$2)&gt;3*[5]QC_indicators!$C$2,"C ratio",IF(ISNUMBER(BY1652),IF(ABS(BY1652-[5]QC_indicators!$B$1)&gt;3*[5]QC_indicators!$C$1,"DF","no"))),IF(ISNUMBER(BY1652),IF(ABS(BY1652-[5]QC_indicators!$B$1)&gt;3*[5]QC_indicators!$C$1,"DF","no")))</f>
        <v>0</v>
      </c>
    </row>
    <row r="1653" spans="1:150" ht="15" customHeight="1">
      <c r="A1653" s="1" t="s">
        <v>1423</v>
      </c>
      <c r="B1653" t="s">
        <v>4655</v>
      </c>
      <c r="C1653" t="s">
        <v>4656</v>
      </c>
      <c r="D1653" t="s">
        <v>4657</v>
      </c>
      <c r="E1653" t="s">
        <v>4658</v>
      </c>
      <c r="F1653" t="s">
        <v>4659</v>
      </c>
      <c r="G1653" t="s">
        <v>1429</v>
      </c>
      <c r="H1653" t="s">
        <v>254</v>
      </c>
      <c r="I1653">
        <v>2004</v>
      </c>
      <c r="J1653">
        <v>11</v>
      </c>
      <c r="K1653" t="s">
        <v>4660</v>
      </c>
      <c r="M1653" t="str">
        <f>LEFT($D1653,FIND(",",$D1653)-1)&amp;"_"&amp;I1653&amp;L1653</f>
        <v>Smith_2004</v>
      </c>
      <c r="N1653" t="s">
        <v>2583</v>
      </c>
      <c r="O1653" s="145" t="s">
        <v>341</v>
      </c>
      <c r="Q1653" s="312" t="s">
        <v>256</v>
      </c>
      <c r="R1653" s="313"/>
      <c r="AX1653" s="141"/>
      <c r="AY1653" s="141"/>
      <c r="BE1653"/>
      <c r="BF1653" s="2"/>
      <c r="BU1653" s="144"/>
      <c r="BY1653" t="str">
        <f>IFERROR(BX1653/BO1653,"")</f>
        <v/>
      </c>
      <c r="CN1653"/>
      <c r="CO1653"/>
      <c r="CP1653"/>
      <c r="CQ1653"/>
      <c r="CR1653"/>
      <c r="CS1653"/>
      <c r="CT1653"/>
      <c r="CU1653"/>
      <c r="CV1653" s="2"/>
      <c r="CX1653"/>
      <c r="DC1653"/>
      <c r="DI1653"/>
      <c r="DJ1653"/>
      <c r="DK1653"/>
      <c r="DL1653"/>
      <c r="DM1653"/>
      <c r="DN1653"/>
      <c r="DT1653"/>
      <c r="DU1653" s="143"/>
      <c r="EK1653" t="str">
        <f>IF(AND(AND(AND(OR($DX1653=1,$DW1653=1),OR($EC1653=1,$EA1653=1)),SUM($DV1653:$DZ1653,$EF1653)&gt;=3),SUM($EA1653:$EE1653)&gt;=2),"Whole sector","")</f>
        <v/>
      </c>
      <c r="EL1653" t="str">
        <f>IF(AND(AND(OR($DX1653=1,$DW1653=1),AND($EC1653=0,$EA1653=0)),SUM($DV1653:$DZ1653,$EF1653)&gt;=3),"Ecosystem approach","")</f>
        <v/>
      </c>
      <c r="EM1653" s="2" t="str">
        <f>IF(AND(AND(AND($DX1653=0,$DW1653=0),OR($EC1653=1,$EA1653=1)),SUM($EB1653:$EE1653)&gt;=2),"Technology approach","")</f>
        <v/>
      </c>
      <c r="EO1653" t="s">
        <v>450</v>
      </c>
      <c r="EP1653" t="b">
        <f>IF(ISNUMBER(BU1653),IF(ABS(BU1653-[5]QC_indicators!$B$2)&gt;3*[5]QC_indicators!$C$2,"C ratio",IF(ISNUMBER(BY1653),IF(ABS(BY1653-[5]QC_indicators!$B$1)&gt;3*[5]QC_indicators!$C$1,"DF","no"))),IF(ISNUMBER(BY1653),IF(ABS(BY1653-[5]QC_indicators!$B$1)&gt;3*[5]QC_indicators!$C$1,"DF","no")))</f>
        <v>0</v>
      </c>
    </row>
    <row r="1654" spans="1:150" ht="15" customHeight="1">
      <c r="A1654" s="1" t="s">
        <v>3635</v>
      </c>
      <c r="B1654" t="s">
        <v>544</v>
      </c>
      <c r="C1654" t="s">
        <v>4661</v>
      </c>
      <c r="D1654" t="s">
        <v>4662</v>
      </c>
      <c r="E1654" t="s">
        <v>4663</v>
      </c>
      <c r="F1654" t="s">
        <v>4664</v>
      </c>
      <c r="G1654" t="s">
        <v>3640</v>
      </c>
      <c r="H1654" t="s">
        <v>254</v>
      </c>
      <c r="I1654">
        <v>2022</v>
      </c>
      <c r="J1654">
        <v>1</v>
      </c>
      <c r="K1654" t="s">
        <v>4665</v>
      </c>
      <c r="M1654" t="str">
        <f>LEFT($D1654,FIND(",",$D1654)-1)&amp;"_"&amp;I1654&amp;L1654</f>
        <v>Spanjer_2022</v>
      </c>
      <c r="N1654" t="s">
        <v>2583</v>
      </c>
      <c r="BE1654"/>
      <c r="BF1654" s="2"/>
      <c r="BY1654" t="str">
        <f>IFERROR(BX1654/BO1654,"")</f>
        <v/>
      </c>
      <c r="CN1654"/>
      <c r="CO1654"/>
      <c r="CP1654"/>
      <c r="CQ1654"/>
      <c r="CR1654"/>
      <c r="CS1654"/>
      <c r="CT1654"/>
      <c r="CU1654"/>
      <c r="CV1654" s="2"/>
      <c r="CX1654"/>
      <c r="DC1654"/>
      <c r="DI1654"/>
      <c r="DJ1654"/>
      <c r="DK1654"/>
      <c r="DL1654"/>
      <c r="DM1654"/>
      <c r="DN1654"/>
      <c r="DT1654"/>
      <c r="DU1654"/>
      <c r="EK1654" t="str">
        <f>IF(AND(AND(AND(OR($DX1654=1,$DW1654=1),OR($EC1654=1,$EA1654=1)),SUM($DV1654:$DZ1654,$EF1654)&gt;=3),SUM($EA1654:$EE1654)&gt;=2),"Whole sector","")</f>
        <v/>
      </c>
      <c r="EL1654" t="str">
        <f>IF(AND(AND(OR($DX1654=1,$DW1654=1),AND($EC1654=0,$EA1654=0)),SUM($DV1654:$DZ1654,$EF1654)&gt;=3),"Ecosystem approach","")</f>
        <v/>
      </c>
      <c r="EM1654" s="2" t="str">
        <f>IF(AND(AND(AND($DX1654=0,$DW1654=0),OR($EC1654=1,$EA1654=1)),SUM($EB1654:$EE1654)&gt;=2),"Technology approach","")</f>
        <v/>
      </c>
      <c r="EP1654" t="b">
        <f>IF(ISNUMBER(BU1654),IF(ABS(BU1654-[5]QC_indicators!$B$2)&gt;3*[5]QC_indicators!$C$2,"C ratio",IF(ISNUMBER(BY1654),IF(ABS(BY1654-[5]QC_indicators!$B$1)&gt;3*[5]QC_indicators!$C$1,"DF","no"))),IF(ISNUMBER(BY1654),IF(ABS(BY1654-[5]QC_indicators!$B$1)&gt;3*[5]QC_indicators!$C$1,"DF","no")))</f>
        <v>0</v>
      </c>
    </row>
    <row r="1655" spans="1:150" ht="15" customHeight="1">
      <c r="A1655" s="1" t="s">
        <v>1138</v>
      </c>
      <c r="B1655" t="s">
        <v>4666</v>
      </c>
      <c r="C1655" t="s">
        <v>4667</v>
      </c>
      <c r="D1655" t="s">
        <v>4668</v>
      </c>
      <c r="E1655" t="s">
        <v>4669</v>
      </c>
      <c r="F1655" t="s">
        <v>4670</v>
      </c>
      <c r="G1655" t="s">
        <v>1139</v>
      </c>
      <c r="H1655" t="s">
        <v>254</v>
      </c>
      <c r="I1655">
        <v>2020</v>
      </c>
      <c r="J1655">
        <v>0</v>
      </c>
      <c r="K1655" t="s">
        <v>4671</v>
      </c>
      <c r="M1655" t="str">
        <f>LEFT($D1655,FIND(",",$D1655)-1)&amp;"_"&amp;I1655&amp;L1655</f>
        <v>Sprengel_2020</v>
      </c>
      <c r="N1655" t="s">
        <v>2583</v>
      </c>
      <c r="O1655" s="145" t="s">
        <v>341</v>
      </c>
      <c r="Q1655" s="312" t="s">
        <v>256</v>
      </c>
      <c r="R1655" s="313"/>
      <c r="AX1655" s="141"/>
      <c r="AY1655" s="141"/>
      <c r="BE1655"/>
      <c r="BF1655" s="2"/>
      <c r="BU1655" s="144"/>
      <c r="BY1655" t="str">
        <f>IFERROR(BX1655/BO1655,"")</f>
        <v/>
      </c>
      <c r="CN1655"/>
      <c r="CO1655"/>
      <c r="CP1655"/>
      <c r="CQ1655"/>
      <c r="CR1655"/>
      <c r="CS1655"/>
      <c r="CT1655"/>
      <c r="CU1655"/>
      <c r="CV1655" s="2"/>
      <c r="CX1655"/>
      <c r="DC1655"/>
      <c r="DI1655"/>
      <c r="DJ1655"/>
      <c r="DK1655"/>
      <c r="DL1655"/>
      <c r="DM1655"/>
      <c r="DN1655"/>
      <c r="DT1655"/>
      <c r="DU1655" s="143"/>
      <c r="EK1655" t="str">
        <f>IF(AND(AND(AND(OR($DX1655=1,$DW1655=1),OR($EC1655=1,$EA1655=1)),SUM($DV1655:$DZ1655,$EF1655)&gt;=3),SUM($EA1655:$EE1655)&gt;=2),"Whole sector","")</f>
        <v/>
      </c>
      <c r="EL1655" t="str">
        <f>IF(AND(AND(OR($DX1655=1,$DW1655=1),AND($EC1655=0,$EA1655=0)),SUM($DV1655:$DZ1655,$EF1655)&gt;=3),"Ecosystem approach","")</f>
        <v/>
      </c>
      <c r="EM1655" s="2" t="str">
        <f>IF(AND(AND(AND($DX1655=0,$DW1655=0),OR($EC1655=1,$EA1655=1)),SUM($EB1655:$EE1655)&gt;=2),"Technology approach","")</f>
        <v/>
      </c>
      <c r="EO1655" t="s">
        <v>450</v>
      </c>
      <c r="EP1655" t="b">
        <f>IF(ISNUMBER(BU1655),IF(ABS(BU1655-[5]QC_indicators!$B$2)&gt;3*[5]QC_indicators!$C$2,"C ratio",IF(ISNUMBER(BY1655),IF(ABS(BY1655-[5]QC_indicators!$B$1)&gt;3*[5]QC_indicators!$C$1,"DF","no"))),IF(ISNUMBER(BY1655),IF(ABS(BY1655-[5]QC_indicators!$B$1)&gt;3*[5]QC_indicators!$C$1,"DF","no")))</f>
        <v>0</v>
      </c>
    </row>
    <row r="1656" spans="1:150" ht="15" customHeight="1">
      <c r="A1656" s="1" t="s">
        <v>1423</v>
      </c>
      <c r="B1656" t="s">
        <v>4672</v>
      </c>
      <c r="C1656" t="s">
        <v>4673</v>
      </c>
      <c r="D1656" t="s">
        <v>4674</v>
      </c>
      <c r="E1656" t="s">
        <v>4675</v>
      </c>
      <c r="F1656" t="s">
        <v>4676</v>
      </c>
      <c r="G1656" t="s">
        <v>1429</v>
      </c>
      <c r="H1656" t="s">
        <v>254</v>
      </c>
      <c r="I1656">
        <v>2016</v>
      </c>
      <c r="J1656">
        <v>14</v>
      </c>
      <c r="K1656" t="s">
        <v>4677</v>
      </c>
      <c r="M1656" t="str">
        <f>LEFT($D1656,FIND(",",$D1656)-1)&amp;"_"&amp;I1656&amp;L1656</f>
        <v>Susaeta_2016</v>
      </c>
      <c r="N1656" t="s">
        <v>2583</v>
      </c>
      <c r="O1656" s="145" t="s">
        <v>1154</v>
      </c>
      <c r="Q1656" s="312" t="s">
        <v>256</v>
      </c>
      <c r="R1656" s="313"/>
      <c r="AX1656" s="141"/>
      <c r="AY1656" s="141"/>
      <c r="BE1656"/>
      <c r="BF1656" s="2"/>
      <c r="BP1656" s="143"/>
      <c r="BQ1656" s="143"/>
      <c r="BU1656" s="144"/>
      <c r="BY1656" t="str">
        <f>IFERROR(BX1656/BO1656,"")</f>
        <v/>
      </c>
      <c r="CN1656"/>
      <c r="CO1656"/>
      <c r="CP1656"/>
      <c r="CQ1656"/>
      <c r="CR1656"/>
      <c r="CS1656"/>
      <c r="CT1656"/>
      <c r="CU1656"/>
      <c r="CV1656" s="2"/>
      <c r="CX1656"/>
      <c r="DC1656"/>
      <c r="DI1656"/>
      <c r="DJ1656"/>
      <c r="DK1656"/>
      <c r="DL1656"/>
      <c r="DM1656"/>
      <c r="DN1656"/>
      <c r="DT1656"/>
      <c r="DU1656" s="143"/>
      <c r="EK1656" t="str">
        <f>IF(AND(AND(AND(OR($DX1656=1,$DW1656=1),OR($EC1656=1,$EA1656=1)),SUM($DV1656:$DZ1656,$EF1656)&gt;=3),SUM($EA1656:$EE1656)&gt;=2),"Whole sector","")</f>
        <v/>
      </c>
      <c r="EL1656" t="str">
        <f>IF(AND(AND(OR($DX1656=1,$DW1656=1),AND($EC1656=0,$EA1656=0)),SUM($DV1656:$DZ1656,$EF1656)&gt;=3),"Ecosystem approach","")</f>
        <v/>
      </c>
      <c r="EM1656" s="2" t="str">
        <f>IF(AND(AND(AND($DX1656=0,$DW1656=0),OR($EC1656=1,$EA1656=1)),SUM($EB1656:$EE1656)&gt;=2),"Technology approach","")</f>
        <v/>
      </c>
      <c r="EO1656" t="s">
        <v>4329</v>
      </c>
      <c r="EP1656" t="b">
        <f>IF(ISNUMBER(BU1656),IF(ABS(BU1656-[5]QC_indicators!$B$2)&gt;3*[5]QC_indicators!$C$2,"C ratio",IF(ISNUMBER(BY1656),IF(ABS(BY1656-[5]QC_indicators!$B$1)&gt;3*[5]QC_indicators!$C$1,"DF","no"))),IF(ISNUMBER(BY1656),IF(ABS(BY1656-[5]QC_indicators!$B$1)&gt;3*[5]QC_indicators!$C$1,"DF","no")))</f>
        <v>0</v>
      </c>
    </row>
    <row r="1657" spans="1:150" ht="15" customHeight="1">
      <c r="A1657" s="1" t="s">
        <v>4678</v>
      </c>
      <c r="B1657" t="s">
        <v>4679</v>
      </c>
      <c r="C1657" t="s">
        <v>4680</v>
      </c>
      <c r="D1657" t="s">
        <v>4681</v>
      </c>
      <c r="E1657" t="s">
        <v>4682</v>
      </c>
      <c r="F1657" t="s">
        <v>4683</v>
      </c>
      <c r="G1657" t="s">
        <v>4684</v>
      </c>
      <c r="H1657" t="s">
        <v>254</v>
      </c>
      <c r="I1657">
        <v>2022</v>
      </c>
      <c r="J1657">
        <v>1</v>
      </c>
      <c r="K1657" t="s">
        <v>4685</v>
      </c>
      <c r="M1657" t="str">
        <f>LEFT($D1657,FIND(",",$D1657)-1)&amp;"_"&amp;I1657&amp;L1657</f>
        <v>Syrbe_2022</v>
      </c>
      <c r="N1657" t="s">
        <v>2583</v>
      </c>
      <c r="BE1657"/>
      <c r="BF1657" s="2"/>
      <c r="BY1657" t="str">
        <f>IFERROR(BX1657/BO1657,"")</f>
        <v/>
      </c>
      <c r="CN1657"/>
      <c r="CO1657"/>
      <c r="CP1657"/>
      <c r="CQ1657"/>
      <c r="CR1657"/>
      <c r="CS1657"/>
      <c r="CT1657"/>
      <c r="CU1657"/>
      <c r="CV1657" s="2"/>
      <c r="CX1657"/>
      <c r="DC1657"/>
      <c r="DI1657"/>
      <c r="DJ1657"/>
      <c r="DK1657"/>
      <c r="DL1657"/>
      <c r="DM1657"/>
      <c r="DN1657"/>
      <c r="DT1657"/>
      <c r="DU1657"/>
      <c r="EK1657" t="str">
        <f>IF(AND(AND(AND(OR($DX1657=1,$DW1657=1),OR($EC1657=1,$EA1657=1)),SUM($DV1657:$DZ1657,$EF1657)&gt;=3),SUM($EA1657:$EE1657)&gt;=2),"Whole sector","")</f>
        <v/>
      </c>
      <c r="EL1657" t="str">
        <f>IF(AND(AND(OR($DX1657=1,$DW1657=1),AND($EC1657=0,$EA1657=0)),SUM($DV1657:$DZ1657,$EF1657)&gt;=3),"Ecosystem approach","")</f>
        <v/>
      </c>
      <c r="EM1657" s="2" t="str">
        <f>IF(AND(AND(AND($DX1657=0,$DW1657=0),OR($EC1657=1,$EA1657=1)),SUM($EB1657:$EE1657)&gt;=2),"Technology approach","")</f>
        <v/>
      </c>
      <c r="EP1657" t="b">
        <f>IF(ISNUMBER(BU1657),IF(ABS(BU1657-[5]QC_indicators!$B$2)&gt;3*[5]QC_indicators!$C$2,"C ratio",IF(ISNUMBER(BY1657),IF(ABS(BY1657-[5]QC_indicators!$B$1)&gt;3*[5]QC_indicators!$C$1,"DF","no"))),IF(ISNUMBER(BY1657),IF(ABS(BY1657-[5]QC_indicators!$B$1)&gt;3*[5]QC_indicators!$C$1,"DF","no")))</f>
        <v>0</v>
      </c>
    </row>
    <row r="1658" spans="1:150" ht="15" customHeight="1">
      <c r="A1658" s="1" t="s">
        <v>4686</v>
      </c>
      <c r="B1658" t="s">
        <v>4687</v>
      </c>
      <c r="C1658" t="s">
        <v>544</v>
      </c>
      <c r="D1658" t="s">
        <v>4688</v>
      </c>
      <c r="E1658" t="s">
        <v>4689</v>
      </c>
      <c r="F1658" t="s">
        <v>4690</v>
      </c>
      <c r="G1658" t="s">
        <v>4691</v>
      </c>
      <c r="H1658" t="s">
        <v>254</v>
      </c>
      <c r="I1658">
        <v>2015</v>
      </c>
      <c r="J1658">
        <v>2</v>
      </c>
      <c r="K1658" s="295" t="s">
        <v>4692</v>
      </c>
      <c r="M1658" t="str">
        <f>LEFT($D1658,FIND(",",$D1658)-1)&amp;"_"&amp;I1658&amp;L1658</f>
        <v>Thorpe_2015</v>
      </c>
      <c r="N1658" t="s">
        <v>2583</v>
      </c>
      <c r="O1658" s="145" t="s">
        <v>1154</v>
      </c>
      <c r="Q1658" s="312" t="s">
        <v>256</v>
      </c>
      <c r="R1658" s="313"/>
      <c r="AX1658" s="141"/>
      <c r="AY1658" s="141"/>
      <c r="BE1658"/>
      <c r="BF1658" s="2"/>
      <c r="BM1658" s="143"/>
      <c r="BN1658" s="143"/>
      <c r="BP1658" s="143"/>
      <c r="BQ1658" s="143"/>
      <c r="BU1658" s="144"/>
      <c r="BY1658" t="str">
        <f>IFERROR(BX1658/BO1658,"")</f>
        <v/>
      </c>
      <c r="CN1658"/>
      <c r="CO1658"/>
      <c r="CP1658"/>
      <c r="CQ1658"/>
      <c r="CR1658"/>
      <c r="CS1658"/>
      <c r="CT1658"/>
      <c r="CU1658"/>
      <c r="CV1658" s="2"/>
      <c r="CX1658"/>
      <c r="DC1658"/>
      <c r="DI1658"/>
      <c r="DJ1658"/>
      <c r="DK1658"/>
      <c r="DL1658"/>
      <c r="DM1658"/>
      <c r="DN1658"/>
      <c r="DT1658"/>
      <c r="DU1658" s="143"/>
      <c r="EK1658" t="str">
        <f>IF(AND(AND(AND(OR($DX1658=1,$DW1658=1),OR($EC1658=1,$EA1658=1)),SUM($DV1658:$DZ1658,$EF1658)&gt;=3),SUM($EA1658:$EE1658)&gt;=2),"Whole sector","")</f>
        <v/>
      </c>
      <c r="EL1658" t="str">
        <f>IF(AND(AND(OR($DX1658=1,$DW1658=1),AND($EC1658=0,$EA1658=0)),SUM($DV1658:$DZ1658,$EF1658)&gt;=3),"Ecosystem approach","")</f>
        <v/>
      </c>
      <c r="EM1658" s="2" t="str">
        <f>IF(AND(AND(AND($DX1658=0,$DW1658=0),OR($EC1658=1,$EA1658=1)),SUM($EB1658:$EE1658)&gt;=2),"Technology approach","")</f>
        <v/>
      </c>
      <c r="EN1658" t="s">
        <v>4693</v>
      </c>
      <c r="EO1658" t="s">
        <v>4329</v>
      </c>
      <c r="EP1658" t="b">
        <f>IF(ISNUMBER(BU1658),IF(ABS(BU1658-[5]QC_indicators!$B$2)&gt;3*[5]QC_indicators!$C$2,"C ratio",IF(ISNUMBER(BY1658),IF(ABS(BY1658-[5]QC_indicators!$B$1)&gt;3*[5]QC_indicators!$C$1,"DF","no"))),IF(ISNUMBER(BY1658),IF(ABS(BY1658-[5]QC_indicators!$B$1)&gt;3*[5]QC_indicators!$C$1,"DF","no")))</f>
        <v>0</v>
      </c>
    </row>
    <row r="1659" spans="1:150" ht="15" customHeight="1">
      <c r="A1659" s="1" t="s">
        <v>4694</v>
      </c>
      <c r="B1659" t="s">
        <v>4695</v>
      </c>
      <c r="C1659" t="s">
        <v>4696</v>
      </c>
      <c r="D1659" t="s">
        <v>4697</v>
      </c>
      <c r="E1659" t="s">
        <v>4698</v>
      </c>
      <c r="F1659" t="s">
        <v>4699</v>
      </c>
      <c r="G1659" t="s">
        <v>4700</v>
      </c>
      <c r="H1659" t="s">
        <v>254</v>
      </c>
      <c r="I1659">
        <v>2022</v>
      </c>
      <c r="J1659">
        <v>0</v>
      </c>
      <c r="K1659" t="s">
        <v>4701</v>
      </c>
      <c r="M1659" t="str">
        <f>LEFT($D1659,FIND(",",$D1659)-1)&amp;"_"&amp;I1659&amp;L1659</f>
        <v>Urruth_2022</v>
      </c>
      <c r="N1659" t="s">
        <v>2583</v>
      </c>
      <c r="O1659" s="145" t="s">
        <v>1154</v>
      </c>
      <c r="Q1659" s="312" t="s">
        <v>256</v>
      </c>
      <c r="R1659" s="313"/>
      <c r="AX1659" s="141"/>
      <c r="AY1659" s="141"/>
      <c r="BE1659"/>
      <c r="BF1659" s="2"/>
      <c r="BM1659" s="143"/>
      <c r="BN1659" s="143"/>
      <c r="BP1659" s="143"/>
      <c r="BQ1659" s="143"/>
      <c r="BU1659" s="144"/>
      <c r="BV1659" s="144"/>
      <c r="BW1659" s="144"/>
      <c r="BX1659" s="144"/>
      <c r="BY1659" t="str">
        <f>IFERROR(BX1659/BO1659,"")</f>
        <v/>
      </c>
      <c r="CN1659"/>
      <c r="CO1659"/>
      <c r="CP1659"/>
      <c r="CQ1659"/>
      <c r="CR1659"/>
      <c r="CS1659"/>
      <c r="CT1659"/>
      <c r="CU1659"/>
      <c r="CV1659" s="2"/>
      <c r="CX1659"/>
      <c r="DC1659"/>
      <c r="DI1659"/>
      <c r="DJ1659"/>
      <c r="DK1659"/>
      <c r="DL1659"/>
      <c r="DM1659"/>
      <c r="DN1659"/>
      <c r="DT1659"/>
      <c r="DU1659" s="143"/>
      <c r="EK1659" t="str">
        <f>IF(AND(AND(AND(OR($DX1659=1,$DW1659=1),OR($EC1659=1,$EA1659=1)),SUM($DV1659:$DZ1659,$EF1659)&gt;=3),SUM($EA1659:$EE1659)&gt;=2),"Whole sector","")</f>
        <v/>
      </c>
      <c r="EL1659" t="str">
        <f>IF(AND(AND(OR($DX1659=1,$DW1659=1),AND($EC1659=0,$EA1659=0)),SUM($DV1659:$DZ1659,$EF1659)&gt;=3),"Ecosystem approach","")</f>
        <v/>
      </c>
      <c r="EM1659" s="2" t="str">
        <f>IF(AND(AND(AND($DX1659=0,$DW1659=0),OR($EC1659=1,$EA1659=1)),SUM($EB1659:$EE1659)&gt;=2),"Technology approach","")</f>
        <v/>
      </c>
      <c r="EN1659" t="s">
        <v>4702</v>
      </c>
      <c r="EO1659" t="s">
        <v>4329</v>
      </c>
      <c r="EP1659" t="b">
        <f>IF(ISNUMBER(BU1659),IF(ABS(BU1659-[5]QC_indicators!$B$2)&gt;3*[5]QC_indicators!$C$2,"C ratio",IF(ISNUMBER(BY1659),IF(ABS(BY1659-[5]QC_indicators!$B$1)&gt;3*[5]QC_indicators!$C$1,"DF","no"))),IF(ISNUMBER(BY1659),IF(ABS(BY1659-[5]QC_indicators!$B$1)&gt;3*[5]QC_indicators!$C$1,"DF","no")))</f>
        <v>0</v>
      </c>
    </row>
    <row r="1660" spans="1:150" ht="15" customHeight="1">
      <c r="A1660" s="1" t="s">
        <v>4703</v>
      </c>
      <c r="B1660" t="s">
        <v>4704</v>
      </c>
      <c r="C1660" t="s">
        <v>4705</v>
      </c>
      <c r="D1660" t="s">
        <v>4706</v>
      </c>
      <c r="E1660" t="s">
        <v>4707</v>
      </c>
      <c r="F1660" t="s">
        <v>4708</v>
      </c>
      <c r="G1660" t="s">
        <v>4709</v>
      </c>
      <c r="H1660" t="s">
        <v>254</v>
      </c>
      <c r="I1660">
        <v>2012</v>
      </c>
      <c r="J1660">
        <v>8</v>
      </c>
      <c r="K1660" t="s">
        <v>4710</v>
      </c>
      <c r="M1660" t="str">
        <f>LEFT($D1660,FIND(",",$D1660)-1)&amp;"_"&amp;I1660&amp;L1660</f>
        <v>Wang_2012</v>
      </c>
      <c r="N1660" t="s">
        <v>2583</v>
      </c>
      <c r="O1660" s="145" t="s">
        <v>1154</v>
      </c>
      <c r="Q1660" s="312" t="s">
        <v>256</v>
      </c>
      <c r="R1660" s="313"/>
      <c r="AX1660" s="141"/>
      <c r="AY1660" s="141"/>
      <c r="BE1660"/>
      <c r="BF1660" s="2"/>
      <c r="BM1660" s="143"/>
      <c r="BN1660" s="143"/>
      <c r="BU1660" s="144"/>
      <c r="BV1660" s="144"/>
      <c r="BW1660" s="144"/>
      <c r="BX1660" s="144"/>
      <c r="BY1660" t="str">
        <f>IFERROR(BX1660/BO1660,"")</f>
        <v/>
      </c>
      <c r="CN1660"/>
      <c r="CO1660"/>
      <c r="CP1660"/>
      <c r="CQ1660"/>
      <c r="CR1660"/>
      <c r="CS1660"/>
      <c r="CT1660"/>
      <c r="CU1660"/>
      <c r="CV1660" s="2"/>
      <c r="CX1660"/>
      <c r="DC1660"/>
      <c r="DI1660"/>
      <c r="DJ1660"/>
      <c r="DK1660"/>
      <c r="DL1660"/>
      <c r="DM1660"/>
      <c r="DN1660"/>
      <c r="DT1660"/>
      <c r="DU1660" s="143"/>
      <c r="EK1660" t="str">
        <f>IF(AND(AND(AND(OR($DX1660=1,$DW1660=1),OR($EC1660=1,$EA1660=1)),SUM($DV1660:$DZ1660,$EF1660)&gt;=3),SUM($EA1660:$EE1660)&gt;=2),"Whole sector","")</f>
        <v/>
      </c>
      <c r="EL1660" t="str">
        <f>IF(AND(AND(OR($DX1660=1,$DW1660=1),AND($EC1660=0,$EA1660=0)),SUM($DV1660:$DZ1660,$EF1660)&gt;=3),"Ecosystem approach","")</f>
        <v/>
      </c>
      <c r="EM1660" s="2" t="str">
        <f>IF(AND(AND(AND($DX1660=0,$DW1660=0),OR($EC1660=1,$EA1660=1)),SUM($EB1660:$EE1660)&gt;=2),"Technology approach","")</f>
        <v/>
      </c>
      <c r="EN1660" t="s">
        <v>4711</v>
      </c>
      <c r="EO1660" t="s">
        <v>4329</v>
      </c>
      <c r="EP1660" t="b">
        <f>IF(ISNUMBER(BU1660),IF(ABS(BU1660-[5]QC_indicators!$B$2)&gt;3*[5]QC_indicators!$C$2,"C ratio",IF(ISNUMBER(BY1660),IF(ABS(BY1660-[5]QC_indicators!$B$1)&gt;3*[5]QC_indicators!$C$1,"DF","no"))),IF(ISNUMBER(BY1660),IF(ABS(BY1660-[5]QC_indicators!$B$1)&gt;3*[5]QC_indicators!$C$1,"DF","no")))</f>
        <v>0</v>
      </c>
      <c r="ER1660" t="s">
        <v>4712</v>
      </c>
      <c r="ET1660" s="185"/>
    </row>
    <row r="1661" spans="1:150" ht="15" customHeight="1">
      <c r="A1661" s="1" t="s">
        <v>412</v>
      </c>
      <c r="B1661" t="s">
        <v>4713</v>
      </c>
      <c r="C1661" t="s">
        <v>4714</v>
      </c>
      <c r="D1661" t="s">
        <v>4715</v>
      </c>
      <c r="E1661" t="s">
        <v>4716</v>
      </c>
      <c r="F1661" t="s">
        <v>4717</v>
      </c>
      <c r="G1661" t="s">
        <v>418</v>
      </c>
      <c r="H1661" t="s">
        <v>254</v>
      </c>
      <c r="I1661">
        <v>2018</v>
      </c>
      <c r="J1661">
        <v>0</v>
      </c>
      <c r="K1661" t="s">
        <v>4718</v>
      </c>
      <c r="L1661" t="s">
        <v>406</v>
      </c>
      <c r="M1661" t="str">
        <f>LEFT($D1661,FIND(",",$D1661)-1)&amp;"_"&amp;I1661&amp;L1661</f>
        <v>Zhang_2018b</v>
      </c>
      <c r="N1661" t="s">
        <v>2583</v>
      </c>
      <c r="O1661" s="145" t="s">
        <v>1154</v>
      </c>
      <c r="Q1661" s="312" t="s">
        <v>256</v>
      </c>
      <c r="R1661" s="313"/>
      <c r="AX1661" s="141"/>
      <c r="AY1661" s="141"/>
      <c r="BE1661"/>
      <c r="BF1661" s="2"/>
      <c r="BM1661" s="143"/>
      <c r="BN1661" s="143"/>
      <c r="BU1661" s="144"/>
      <c r="BV1661" s="144"/>
      <c r="BW1661" s="144"/>
      <c r="BX1661" s="144"/>
      <c r="BY1661" t="str">
        <f>IFERROR(BX1661/BO1661,"")</f>
        <v/>
      </c>
      <c r="CN1661"/>
      <c r="CO1661"/>
      <c r="CP1661"/>
      <c r="CQ1661"/>
      <c r="CR1661"/>
      <c r="CS1661"/>
      <c r="CT1661"/>
      <c r="CU1661"/>
      <c r="CV1661" s="2"/>
      <c r="CX1661"/>
      <c r="DC1661"/>
      <c r="DI1661"/>
      <c r="DJ1661"/>
      <c r="DK1661"/>
      <c r="DL1661"/>
      <c r="DM1661"/>
      <c r="DN1661"/>
      <c r="DT1661"/>
      <c r="DU1661" s="143"/>
      <c r="EJ1661" s="186"/>
      <c r="EK1661" t="str">
        <f>IF(AND(AND(AND(OR($DX1661=1,$DW1661=1),OR($EC1661=1,$EA1661=1)),SUM($DV1661:$DZ1661,$EF1661)&gt;=3),SUM($EA1661:$EE1661)&gt;=2),"Whole sector","")</f>
        <v/>
      </c>
      <c r="EL1661" t="str">
        <f>IF(AND(AND(OR($DX1661=1,$DW1661=1),AND($EC1661=0,$EA1661=0)),SUM($DV1661:$DZ1661,$EF1661)&gt;=3),"Ecosystem approach","")</f>
        <v/>
      </c>
      <c r="EM1661" s="2" t="str">
        <f>IF(AND(AND(AND($DX1661=0,$DW1661=0),OR($EC1661=1,$EA1661=1)),SUM($EB1661:$EE1661)&gt;=2),"Technology approach","")</f>
        <v/>
      </c>
      <c r="EN1661" t="s">
        <v>4719</v>
      </c>
      <c r="EO1661" t="s">
        <v>4329</v>
      </c>
      <c r="EP1661" t="b">
        <f>IF(ISNUMBER(BU1661),IF(ABS(BU1661-[5]QC_indicators!$B$2)&gt;3*[5]QC_indicators!$C$2,"C ratio",IF(ISNUMBER(BY1661),IF(ABS(BY1661-[5]QC_indicators!$B$1)&gt;3*[5]QC_indicators!$C$1,"DF","no"))),IF(ISNUMBER(BY1661),IF(ABS(BY1661-[5]QC_indicators!$B$1)&gt;3*[5]QC_indicators!$C$1,"DF","no")))</f>
        <v>0</v>
      </c>
      <c r="ET1661" s="185"/>
    </row>
    <row r="1662" spans="1:150" ht="15" customHeight="1">
      <c r="A1662" s="1" t="s">
        <v>4720</v>
      </c>
      <c r="B1662" t="s">
        <v>4721</v>
      </c>
      <c r="C1662" t="s">
        <v>4722</v>
      </c>
      <c r="D1662" t="s">
        <v>4723</v>
      </c>
      <c r="E1662" t="s">
        <v>4724</v>
      </c>
      <c r="F1662" t="s">
        <v>4725</v>
      </c>
      <c r="G1662" t="s">
        <v>4726</v>
      </c>
      <c r="I1662">
        <v>2019</v>
      </c>
      <c r="K1662" t="s">
        <v>4727</v>
      </c>
      <c r="M1662" t="str">
        <f>LEFT($D1662,FIND(",",$D1662)-1)&amp;"_"&amp;I1662&amp;L1662</f>
        <v>Asif_2019</v>
      </c>
      <c r="N1662" s="312" t="s">
        <v>4383</v>
      </c>
      <c r="O1662" s="328" t="s">
        <v>274</v>
      </c>
      <c r="P1662" t="s">
        <v>225</v>
      </c>
      <c r="Q1662" s="312" t="s">
        <v>389</v>
      </c>
      <c r="R1662" s="313"/>
      <c r="AX1662" s="141"/>
      <c r="AY1662" s="141"/>
      <c r="BE1662"/>
      <c r="BF1662" s="2"/>
      <c r="BU1662" s="144"/>
      <c r="BY1662" t="str">
        <f>IFERROR(BX1662/BO1662,"")</f>
        <v/>
      </c>
      <c r="CN1662"/>
      <c r="CO1662"/>
      <c r="CP1662"/>
      <c r="CQ1662"/>
      <c r="CR1662"/>
      <c r="CS1662"/>
      <c r="CT1662"/>
      <c r="CU1662"/>
      <c r="CV1662" s="2"/>
      <c r="CX1662"/>
      <c r="DC1662"/>
      <c r="DI1662"/>
      <c r="DJ1662"/>
      <c r="DK1662"/>
      <c r="DL1662"/>
      <c r="DM1662"/>
      <c r="DN1662"/>
      <c r="DT1662"/>
      <c r="DU1662" s="143"/>
      <c r="EK1662" t="str">
        <f>IF(AND(AND(AND(OR($DX1662=1,$DW1662=1),OR($EC1662=1,$EA1662=1)),SUM($DV1662:$DZ1662,$EF1662)&gt;=3),SUM($EA1662:$EE1662)&gt;=2),"Whole sector","")</f>
        <v/>
      </c>
      <c r="EL1662" t="str">
        <f>IF(AND(AND(OR($DX1662=1,$DW1662=1),AND($EC1662=0,$EA1662=0)),SUM($DV1662:$DZ1662,$EF1662)&gt;=3),"Ecosystem approach","")</f>
        <v/>
      </c>
      <c r="EM1662" s="2" t="str">
        <f>IF(AND(AND(AND($DX1662=0,$DW1662=0),OR($EC1662=1,$EA1662=1)),SUM($EB1662:$EE1662)&gt;=2),"Technology approach","")</f>
        <v/>
      </c>
      <c r="EN1662" t="s">
        <v>4728</v>
      </c>
      <c r="EP1662" t="b">
        <f>IF(ISNUMBER(BU1662),IF(ABS(BU1662-[5]QC_indicators!$B$2)&gt;3*[5]QC_indicators!$C$2,"C ratio",IF(ISNUMBER(BY1662),IF(ABS(BY1662-[5]QC_indicators!$B$1)&gt;3*[5]QC_indicators!$C$1,"DF","no"))),IF(ISNUMBER(BY1662),IF(ABS(BY1662-[5]QC_indicators!$B$1)&gt;3*[5]QC_indicators!$C$1,"DF","no")))</f>
        <v>0</v>
      </c>
    </row>
    <row r="1663" spans="1:150">
      <c r="A1663" s="1" t="s">
        <v>926</v>
      </c>
      <c r="B1663" t="s">
        <v>544</v>
      </c>
      <c r="C1663" t="s">
        <v>4729</v>
      </c>
      <c r="D1663" t="s">
        <v>4730</v>
      </c>
      <c r="E1663" t="s">
        <v>4731</v>
      </c>
      <c r="F1663" t="s">
        <v>4732</v>
      </c>
      <c r="G1663" t="s">
        <v>932</v>
      </c>
      <c r="H1663" t="s">
        <v>254</v>
      </c>
      <c r="I1663">
        <v>2010</v>
      </c>
      <c r="J1663">
        <v>14</v>
      </c>
      <c r="K1663" t="s">
        <v>4733</v>
      </c>
      <c r="M1663" t="str">
        <f>LEFT($D1663,FIND(",",$D1663)-1)&amp;"_"&amp;I1663&amp;L1663</f>
        <v>Minunno_2010</v>
      </c>
      <c r="N1663" s="312" t="s">
        <v>4383</v>
      </c>
      <c r="O1663" t="s">
        <v>223</v>
      </c>
      <c r="Q1663" s="312" t="s">
        <v>256</v>
      </c>
      <c r="R1663" s="313"/>
      <c r="AX1663" s="141"/>
      <c r="AY1663" s="141"/>
      <c r="BE1663"/>
      <c r="BF1663" s="2"/>
      <c r="BY1663" t="str">
        <f>IFERROR(BX1663/BO1663,"")</f>
        <v/>
      </c>
      <c r="CN1663"/>
      <c r="CO1663"/>
      <c r="CP1663"/>
      <c r="CQ1663"/>
      <c r="CR1663"/>
      <c r="CS1663"/>
      <c r="CT1663"/>
      <c r="CU1663"/>
      <c r="CV1663" s="2"/>
      <c r="CX1663"/>
      <c r="DC1663"/>
      <c r="DI1663"/>
      <c r="DJ1663"/>
      <c r="DK1663"/>
      <c r="DL1663"/>
      <c r="DM1663"/>
      <c r="DN1663"/>
      <c r="DT1663"/>
      <c r="DU1663" s="143"/>
      <c r="EK1663" t="str">
        <f>IF(AND(AND(AND(OR($DX1663=1,$DW1663=1),OR($EC1663=1,$EA1663=1)),SUM($DV1663:$DZ1663,$EF1663)&gt;=3),SUM($EA1663:$EE1663)&gt;=2),"Whole sector","")</f>
        <v/>
      </c>
      <c r="EL1663" t="str">
        <f>IF(AND(AND(OR($DX1663=1,$DW1663=1),AND($EC1663=0,$EA1663=0)),SUM($DV1663:$DZ1663,$EF1663)&gt;=3),"Ecosystem approach","")</f>
        <v/>
      </c>
      <c r="EM1663" s="2" t="str">
        <f>IF(AND(AND(AND($DX1663=0,$DW1663=0),OR($EC1663=1,$EA1663=1)),SUM($EB1663:$EE1663)&gt;=2),"Technology approach","")</f>
        <v/>
      </c>
      <c r="EP1663" t="b">
        <f>IF(ISNUMBER(BU1663),IF(ABS(BU1663-[5]QC_indicators!$B$2)&gt;3*[5]QC_indicators!$C$2,"C ratio",IF(ISNUMBER(BY1663),IF(ABS(BY1663-[5]QC_indicators!$B$1)&gt;3*[5]QC_indicators!$C$1,"DF","no"))),IF(ISNUMBER(BY1663),IF(ABS(BY1663-[5]QC_indicators!$B$1)&gt;3*[5]QC_indicators!$C$1,"DF","no")))</f>
        <v>0</v>
      </c>
    </row>
    <row r="1664" spans="1:150">
      <c r="A1664" s="1" t="s">
        <v>4734</v>
      </c>
      <c r="B1664" t="s">
        <v>544</v>
      </c>
      <c r="C1664" t="s">
        <v>4735</v>
      </c>
      <c r="D1664" t="s">
        <v>4736</v>
      </c>
      <c r="E1664" t="s">
        <v>4737</v>
      </c>
      <c r="F1664" t="s">
        <v>4738</v>
      </c>
      <c r="G1664" t="s">
        <v>4739</v>
      </c>
      <c r="I1664">
        <v>2018</v>
      </c>
      <c r="K1664" t="s">
        <v>4740</v>
      </c>
      <c r="M1664" t="str">
        <f>LEFT($D1664,FIND(",",$D1664)-1)&amp;"_"&amp;I1664&amp;L1664</f>
        <v>Achenbach_2018</v>
      </c>
      <c r="N1664" t="s">
        <v>1352</v>
      </c>
      <c r="O1664" s="140" t="s">
        <v>223</v>
      </c>
      <c r="Q1664" s="312" t="s">
        <v>224</v>
      </c>
      <c r="R1664" s="313"/>
      <c r="U1664" s="143"/>
      <c r="AX1664" s="141"/>
      <c r="AY1664" s="141"/>
      <c r="BE1664"/>
      <c r="BF1664" s="2"/>
      <c r="BG1664" s="142"/>
      <c r="BJ1664" s="143"/>
      <c r="BL1664" s="143"/>
      <c r="BM1664" s="143"/>
      <c r="BN1664" s="143"/>
      <c r="BO1664" s="143"/>
      <c r="BP1664" s="143"/>
      <c r="BQ1664" s="143"/>
      <c r="BS1664" s="143"/>
      <c r="BU1664" s="144"/>
      <c r="BY1664" t="str">
        <f>IFERROR(BX1664/BO1664,"")</f>
        <v/>
      </c>
      <c r="CN1664" t="str">
        <f>IF($BL1664&lt;$BK1664,"refNeedCorrection","refOK")</f>
        <v>refOK</v>
      </c>
      <c r="CO1664"/>
      <c r="CP1664"/>
      <c r="CQ1664"/>
      <c r="CR1664"/>
      <c r="CS1664"/>
      <c r="CT1664"/>
      <c r="CU1664"/>
      <c r="CV1664" s="2" t="str">
        <f>IFERROR((CS1664-CR1664)/ABS(CR1664),"")</f>
        <v/>
      </c>
      <c r="CX1664"/>
      <c r="DA1664" s="143"/>
      <c r="DB1664" s="143"/>
      <c r="DC1664"/>
      <c r="DI1664"/>
      <c r="DJ1664"/>
      <c r="DK1664"/>
      <c r="DL1664"/>
      <c r="DM1664"/>
      <c r="DN1664"/>
      <c r="DP1664" s="143"/>
      <c r="DQ1664" s="143"/>
      <c r="DS1664" s="143"/>
      <c r="DT1664"/>
      <c r="DU1664" s="143"/>
      <c r="DV1664" s="143"/>
      <c r="DW1664" s="143"/>
      <c r="EB1664" s="143"/>
      <c r="ED1664" s="143"/>
      <c r="EG1664" s="143"/>
      <c r="EK1664" t="str">
        <f>IF(AND(AND(AND(OR($DX1664=1,$DW1664=1),OR($EC1664=1,$EA1664=1)),SUM($DV1664:$DZ1664,$EF1664)&gt;=3),SUM($EA1664:$EE1664)&gt;=2),"Whole sector","")</f>
        <v/>
      </c>
      <c r="EL1664" t="str">
        <f>IF(AND(AND(OR($DX1664=1,$DW1664=1),AND($EC1664=0,$EA1664=0)),SUM($DV1664:$DZ1664,$EF1664)&gt;=3),"Ecosystem approach","")</f>
        <v/>
      </c>
      <c r="EM1664" s="2" t="str">
        <f>IF(AND(AND(AND($DX1664=0,$DW1664=0),OR($EC1664=1,$EA1664=1)),SUM($EB1664:$EE1664)&gt;=2),"Technology approach","")</f>
        <v/>
      </c>
      <c r="EO1664" t="s">
        <v>450</v>
      </c>
      <c r="EP1664" t="b">
        <f>IF(ISNUMBER(BU1664),IF(ABS(BU1664-[5]QC_indicators!$B$2)&gt;3*[5]QC_indicators!$C$2,"C ratio",IF(ISNUMBER(BY1664),IF(ABS(BY1664-[5]QC_indicators!$B$1)&gt;3*[5]QC_indicators!$C$1,"DF","no"))),IF(ISNUMBER(BY1664),IF(ABS(BY1664-[5]QC_indicators!$B$1)&gt;3*[5]QC_indicators!$C$1,"DF","no")))</f>
        <v>0</v>
      </c>
    </row>
    <row r="1665" spans="1:148">
      <c r="A1665" s="1" t="s">
        <v>4734</v>
      </c>
      <c r="B1665" t="s">
        <v>544</v>
      </c>
      <c r="C1665" t="s">
        <v>4735</v>
      </c>
      <c r="D1665" t="s">
        <v>4736</v>
      </c>
      <c r="E1665" t="s">
        <v>4737</v>
      </c>
      <c r="F1665" t="s">
        <v>4738</v>
      </c>
      <c r="G1665" t="s">
        <v>4739</v>
      </c>
      <c r="I1665">
        <v>2018</v>
      </c>
      <c r="K1665" t="s">
        <v>4740</v>
      </c>
      <c r="M1665" t="str">
        <f>LEFT($D1665,FIND(",",$D1665)-1)&amp;"_"&amp;I1665&amp;L1665</f>
        <v>Achenbach_2018</v>
      </c>
      <c r="N1665" t="s">
        <v>1352</v>
      </c>
      <c r="O1665" s="140" t="s">
        <v>223</v>
      </c>
      <c r="Q1665" s="312" t="s">
        <v>224</v>
      </c>
      <c r="R1665" s="313"/>
      <c r="U1665" s="143"/>
      <c r="AX1665" s="141"/>
      <c r="AY1665" s="141"/>
      <c r="BE1665"/>
      <c r="BF1665" s="2"/>
      <c r="BG1665" s="142"/>
      <c r="BJ1665" s="143"/>
      <c r="BL1665" s="143"/>
      <c r="BM1665" s="143"/>
      <c r="BN1665" s="143"/>
      <c r="BO1665" s="143"/>
      <c r="BP1665" s="143"/>
      <c r="BQ1665" s="143"/>
      <c r="BS1665" s="143"/>
      <c r="BY1665" t="str">
        <f>IFERROR(BX1665/BO1665,"")</f>
        <v/>
      </c>
      <c r="CN1665" t="str">
        <f>IF($BL1665&lt;$BK1665,"refNeedCorrection","refOK")</f>
        <v>refOK</v>
      </c>
      <c r="CO1665"/>
      <c r="CP1665"/>
      <c r="CQ1665"/>
      <c r="CR1665"/>
      <c r="CS1665"/>
      <c r="CT1665"/>
      <c r="CU1665"/>
      <c r="CV1665" s="2" t="str">
        <f>IFERROR((CS1665-CR1665)/ABS(CR1665),"")</f>
        <v/>
      </c>
      <c r="CX1665"/>
      <c r="DA1665" s="143"/>
      <c r="DB1665" s="143"/>
      <c r="DC1665"/>
      <c r="DI1665"/>
      <c r="DJ1665"/>
      <c r="DK1665"/>
      <c r="DL1665"/>
      <c r="DM1665"/>
      <c r="DN1665"/>
      <c r="DP1665" s="143"/>
      <c r="DQ1665" s="143"/>
      <c r="DS1665" s="143"/>
      <c r="DT1665"/>
      <c r="DU1665" s="143"/>
      <c r="DV1665" s="143"/>
      <c r="DW1665" s="143"/>
      <c r="EB1665" s="143"/>
      <c r="ED1665" s="143"/>
      <c r="EG1665" s="143"/>
      <c r="EK1665" t="str">
        <f>IF(AND(AND(AND(OR($DX1665=1,$DW1665=1),OR($EC1665=1,$EA1665=1)),SUM($DV1665:$DZ1665,$EF1665)&gt;=3),SUM($EA1665:$EE1665)&gt;=2),"Whole sector","")</f>
        <v/>
      </c>
      <c r="EL1665" t="str">
        <f>IF(AND(AND(OR($DX1665=1,$DW1665=1),AND($EC1665=0,$EA1665=0)),SUM($DV1665:$DZ1665,$EF1665)&gt;=3),"Ecosystem approach","")</f>
        <v/>
      </c>
      <c r="EM1665" s="2" t="str">
        <f>IF(AND(AND(AND($DX1665=0,$DW1665=0),OR($EC1665=1,$EA1665=1)),SUM($EB1665:$EE1665)&gt;=2),"Technology approach","")</f>
        <v/>
      </c>
      <c r="EP1665" t="b">
        <f>IF(ISNUMBER(BU1665),IF(ABS(BU1665-[5]QC_indicators!$B$2)&gt;3*[5]QC_indicators!$C$2,"C ratio",IF(ISNUMBER(BY1665),IF(ABS(BY1665-[5]QC_indicators!$B$1)&gt;3*[5]QC_indicators!$C$1,"DF","no"))),IF(ISNUMBER(BY1665),IF(ABS(BY1665-[5]QC_indicators!$B$1)&gt;3*[5]QC_indicators!$C$1,"DF","no")))</f>
        <v>0</v>
      </c>
    </row>
    <row r="1666" spans="1:148">
      <c r="A1666" s="1" t="s">
        <v>4741</v>
      </c>
      <c r="B1666" t="s">
        <v>4742</v>
      </c>
      <c r="C1666" t="s">
        <v>544</v>
      </c>
      <c r="D1666" t="s">
        <v>4743</v>
      </c>
      <c r="E1666" t="s">
        <v>4744</v>
      </c>
      <c r="F1666" t="s">
        <v>4745</v>
      </c>
      <c r="G1666" t="s">
        <v>4746</v>
      </c>
      <c r="I1666">
        <v>2014</v>
      </c>
      <c r="K1666" t="s">
        <v>4747</v>
      </c>
      <c r="M1666" t="str">
        <f>LEFT($D1666,FIND(",",$D1666)-1)&amp;"_"&amp;I1666&amp;L1666</f>
        <v>Adams_2014</v>
      </c>
      <c r="N1666" t="s">
        <v>1352</v>
      </c>
      <c r="O1666" s="140" t="s">
        <v>223</v>
      </c>
      <c r="Q1666" s="312" t="s">
        <v>224</v>
      </c>
      <c r="R1666" s="313"/>
      <c r="U1666" s="143"/>
      <c r="AX1666" s="141"/>
      <c r="AY1666" s="141"/>
      <c r="BE1666"/>
      <c r="BF1666" s="2"/>
      <c r="BG1666" s="142"/>
      <c r="BJ1666" s="143"/>
      <c r="BL1666" s="143"/>
      <c r="BM1666" s="143"/>
      <c r="BN1666" s="143"/>
      <c r="BO1666" s="143"/>
      <c r="BP1666" s="143"/>
      <c r="BQ1666" s="143"/>
      <c r="BS1666" s="143"/>
      <c r="BU1666" s="144"/>
      <c r="BY1666" t="str">
        <f>IFERROR(BX1666/BO1666,"")</f>
        <v/>
      </c>
      <c r="CN1666" t="str">
        <f>IF($BL1666&lt;$BK1666,"refNeedCorrection","refOK")</f>
        <v>refOK</v>
      </c>
      <c r="CO1666"/>
      <c r="CP1666"/>
      <c r="CQ1666"/>
      <c r="CR1666"/>
      <c r="CS1666"/>
      <c r="CT1666"/>
      <c r="CU1666"/>
      <c r="CV1666" s="2" t="str">
        <f>IFERROR((CS1666-CR1666)/ABS(CR1666),"")</f>
        <v/>
      </c>
      <c r="CX1666"/>
      <c r="DA1666" s="143"/>
      <c r="DB1666" s="143"/>
      <c r="DC1666"/>
      <c r="DI1666"/>
      <c r="DJ1666"/>
      <c r="DK1666"/>
      <c r="DL1666"/>
      <c r="DM1666"/>
      <c r="DN1666"/>
      <c r="DP1666" s="143"/>
      <c r="DQ1666" s="143"/>
      <c r="DS1666" s="143"/>
      <c r="DT1666"/>
      <c r="DU1666" s="143"/>
      <c r="DV1666" s="143"/>
      <c r="DW1666" s="143"/>
      <c r="EB1666" s="143"/>
      <c r="ED1666" s="143"/>
      <c r="EG1666" s="143"/>
      <c r="EK1666" t="str">
        <f>IF(AND(AND(AND(OR($DX1666=1,$DW1666=1),OR($EC1666=1,$EA1666=1)),SUM($DV1666:$DZ1666,$EF1666)&gt;=3),SUM($EA1666:$EE1666)&gt;=2),"Whole sector","")</f>
        <v/>
      </c>
      <c r="EL1666" t="str">
        <f>IF(AND(AND(OR($DX1666=1,$DW1666=1),AND($EC1666=0,$EA1666=0)),SUM($DV1666:$DZ1666,$EF1666)&gt;=3),"Ecosystem approach","")</f>
        <v/>
      </c>
      <c r="EM1666" s="2" t="str">
        <f>IF(AND(AND(AND($DX1666=0,$DW1666=0),OR($EC1666=1,$EA1666=1)),SUM($EB1666:$EE1666)&gt;=2),"Technology approach","")</f>
        <v/>
      </c>
      <c r="EO1666" t="s">
        <v>450</v>
      </c>
      <c r="EP1666" t="b">
        <f>IF(ISNUMBER(BU1666),IF(ABS(BU1666-[5]QC_indicators!$B$2)&gt;3*[5]QC_indicators!$C$2,"C ratio",IF(ISNUMBER(BY1666),IF(ABS(BY1666-[5]QC_indicators!$B$1)&gt;3*[5]QC_indicators!$C$1,"DF","no"))),IF(ISNUMBER(BY1666),IF(ABS(BY1666-[5]QC_indicators!$B$1)&gt;3*[5]QC_indicators!$C$1,"DF","no")))</f>
        <v>0</v>
      </c>
    </row>
    <row r="1667" spans="1:148">
      <c r="A1667" s="1" t="s">
        <v>4741</v>
      </c>
      <c r="B1667" t="s">
        <v>4742</v>
      </c>
      <c r="C1667" t="s">
        <v>544</v>
      </c>
      <c r="D1667" t="s">
        <v>4743</v>
      </c>
      <c r="E1667" t="s">
        <v>4744</v>
      </c>
      <c r="F1667" t="s">
        <v>4745</v>
      </c>
      <c r="G1667" t="s">
        <v>4746</v>
      </c>
      <c r="I1667">
        <v>2014</v>
      </c>
      <c r="K1667" t="s">
        <v>4747</v>
      </c>
      <c r="M1667" t="str">
        <f>LEFT($D1667,FIND(",",$D1667)-1)&amp;"_"&amp;I1667&amp;L1667</f>
        <v>Adams_2014</v>
      </c>
      <c r="N1667" t="s">
        <v>1352</v>
      </c>
      <c r="O1667" s="140" t="s">
        <v>223</v>
      </c>
      <c r="Q1667" s="312" t="s">
        <v>224</v>
      </c>
      <c r="R1667" s="313"/>
      <c r="U1667" s="143"/>
      <c r="AX1667" s="141"/>
      <c r="AY1667" s="141"/>
      <c r="BE1667"/>
      <c r="BF1667" s="2"/>
      <c r="BG1667" s="142"/>
      <c r="BJ1667" s="143"/>
      <c r="BL1667" s="143"/>
      <c r="BM1667" s="143"/>
      <c r="BN1667" s="143"/>
      <c r="BO1667" s="143"/>
      <c r="BP1667" s="143"/>
      <c r="BQ1667" s="143"/>
      <c r="BS1667" s="143"/>
      <c r="BY1667" t="str">
        <f>IFERROR(BX1667/BO1667,"")</f>
        <v/>
      </c>
      <c r="CN1667" t="str">
        <f>IF($BL1667&lt;$BK1667,"refNeedCorrection","refOK")</f>
        <v>refOK</v>
      </c>
      <c r="CO1667"/>
      <c r="CP1667"/>
      <c r="CQ1667"/>
      <c r="CR1667"/>
      <c r="CS1667"/>
      <c r="CT1667"/>
      <c r="CU1667"/>
      <c r="CV1667" s="2" t="str">
        <f>IFERROR((CS1667-CR1667)/ABS(CR1667),"")</f>
        <v/>
      </c>
      <c r="CX1667"/>
      <c r="DA1667" s="143"/>
      <c r="DB1667" s="143"/>
      <c r="DC1667"/>
      <c r="DI1667"/>
      <c r="DJ1667"/>
      <c r="DK1667"/>
      <c r="DL1667"/>
      <c r="DM1667"/>
      <c r="DN1667"/>
      <c r="DP1667" s="143"/>
      <c r="DQ1667" s="143"/>
      <c r="DS1667" s="143"/>
      <c r="DT1667"/>
      <c r="DU1667" s="143"/>
      <c r="DV1667" s="143"/>
      <c r="DW1667" s="143"/>
      <c r="EB1667" s="143"/>
      <c r="ED1667" s="143"/>
      <c r="EG1667" s="143"/>
      <c r="EK1667" t="str">
        <f>IF(AND(AND(AND(OR($DX1667=1,$DW1667=1),OR($EC1667=1,$EA1667=1)),SUM($DV1667:$DZ1667,$EF1667)&gt;=3),SUM($EA1667:$EE1667)&gt;=2),"Whole sector","")</f>
        <v/>
      </c>
      <c r="EL1667" t="str">
        <f>IF(AND(AND(OR($DX1667=1,$DW1667=1),AND($EC1667=0,$EA1667=0)),SUM($DV1667:$DZ1667,$EF1667)&gt;=3),"Ecosystem approach","")</f>
        <v/>
      </c>
      <c r="EM1667" s="2" t="str">
        <f>IF(AND(AND(AND($DX1667=0,$DW1667=0),OR($EC1667=1,$EA1667=1)),SUM($EB1667:$EE1667)&gt;=2),"Technology approach","")</f>
        <v/>
      </c>
      <c r="EP1667" t="b">
        <f>IF(ISNUMBER(BU1667),IF(ABS(BU1667-[5]QC_indicators!$B$2)&gt;3*[5]QC_indicators!$C$2,"C ratio",IF(ISNUMBER(BY1667),IF(ABS(BY1667-[5]QC_indicators!$B$1)&gt;3*[5]QC_indicators!$C$1,"DF","no"))),IF(ISNUMBER(BY1667),IF(ABS(BY1667-[5]QC_indicators!$B$1)&gt;3*[5]QC_indicators!$C$1,"DF","no")))</f>
        <v>0</v>
      </c>
    </row>
    <row r="1668" spans="1:148">
      <c r="A1668" s="1" t="s">
        <v>4346</v>
      </c>
      <c r="B1668" t="s">
        <v>4748</v>
      </c>
      <c r="C1668" t="s">
        <v>4749</v>
      </c>
      <c r="D1668" t="s">
        <v>4750</v>
      </c>
      <c r="E1668" s="312" t="s">
        <v>4751</v>
      </c>
      <c r="F1668" t="s">
        <v>4752</v>
      </c>
      <c r="G1668" t="s">
        <v>4352</v>
      </c>
      <c r="H1668" t="s">
        <v>254</v>
      </c>
      <c r="I1668">
        <v>2022</v>
      </c>
      <c r="J1668">
        <v>1</v>
      </c>
      <c r="K1668" t="s">
        <v>4753</v>
      </c>
      <c r="M1668" t="str">
        <f>LEFT($D1668,FIND(",",$D1668)-1)&amp;"_"&amp;I1668&amp;L1668</f>
        <v>Ahmad_2022</v>
      </c>
      <c r="N1668" t="s">
        <v>1352</v>
      </c>
      <c r="O1668" s="157" t="s">
        <v>223</v>
      </c>
      <c r="BE1668"/>
      <c r="BF1668" s="2"/>
      <c r="BY1668" t="str">
        <f>IFERROR(BX1668/BO1668,"")</f>
        <v/>
      </c>
      <c r="CN1668" t="str">
        <f>IF($BL1668&lt;$BK1668,"refNeedCorrection","refOK")</f>
        <v>refOK</v>
      </c>
      <c r="CO1668"/>
      <c r="CP1668"/>
      <c r="CQ1668"/>
      <c r="CR1668"/>
      <c r="CS1668"/>
      <c r="CT1668"/>
      <c r="CU1668"/>
      <c r="CV1668" s="2" t="str">
        <f>IFERROR((CS1668-CR1668)/ABS(CR1668),"")</f>
        <v/>
      </c>
      <c r="CX1668"/>
      <c r="DC1668"/>
      <c r="DI1668"/>
      <c r="DJ1668"/>
      <c r="DK1668"/>
      <c r="DL1668"/>
      <c r="DM1668"/>
      <c r="DN1668"/>
      <c r="DT1668"/>
      <c r="DU1668"/>
      <c r="EK1668" t="str">
        <f>IF(AND(AND(AND(OR($DX1668=1,$DW1668=1),OR($EC1668=1,$EA1668=1)),SUM($DV1668:$DZ1668,$EF1668)&gt;=3),SUM($EA1668:$EE1668)&gt;=2),"Whole sector","")</f>
        <v/>
      </c>
      <c r="EL1668" t="str">
        <f>IF(AND(AND(OR($DX1668=1,$DW1668=1),AND($EC1668=0,$EA1668=0)),SUM($DV1668:$DZ1668,$EF1668)&gt;=3),"Ecosystem approach","")</f>
        <v/>
      </c>
      <c r="EM1668" s="2" t="str">
        <f>IF(AND(AND(AND($DX1668=0,$DW1668=0),OR($EC1668=1,$EA1668=1)),SUM($EB1668:$EE1668)&gt;=2),"Technology approach","")</f>
        <v/>
      </c>
      <c r="EP1668" t="b">
        <f>IF(ISNUMBER(BU1668),IF(ABS(BU1668-[5]QC_indicators!$B$2)&gt;3*[5]QC_indicators!$C$2,"C ratio",IF(ISNUMBER(BY1668),IF(ABS(BY1668-[5]QC_indicators!$B$1)&gt;3*[5]QC_indicators!$C$1,"DF","no"))),IF(ISNUMBER(BY1668),IF(ABS(BY1668-[5]QC_indicators!$B$1)&gt;3*[5]QC_indicators!$C$1,"DF","no")))</f>
        <v>0</v>
      </c>
    </row>
    <row r="1669" spans="1:148">
      <c r="A1669" s="1" t="s">
        <v>505</v>
      </c>
      <c r="B1669" t="s">
        <v>4754</v>
      </c>
      <c r="C1669" t="s">
        <v>4755</v>
      </c>
      <c r="D1669" t="s">
        <v>268</v>
      </c>
      <c r="E1669" t="s">
        <v>4756</v>
      </c>
      <c r="F1669" t="s">
        <v>4757</v>
      </c>
      <c r="G1669" t="s">
        <v>511</v>
      </c>
      <c r="I1669">
        <v>2019</v>
      </c>
      <c r="K1669" t="s">
        <v>4758</v>
      </c>
      <c r="M1669" t="str">
        <f>LEFT($D1669,FIND(",",$D1669)-1)&amp;"_"&amp;I1669&amp;L1669</f>
        <v>Aryapratama_2019</v>
      </c>
      <c r="N1669" t="s">
        <v>1352</v>
      </c>
      <c r="O1669" s="140" t="s">
        <v>274</v>
      </c>
      <c r="Q1669" s="312" t="s">
        <v>224</v>
      </c>
      <c r="R1669" s="313"/>
      <c r="AX1669" s="141"/>
      <c r="AY1669" s="141"/>
      <c r="BE1669"/>
      <c r="BF1669" s="2"/>
      <c r="BM1669" s="143"/>
      <c r="BN1669" s="143"/>
      <c r="BO1669" s="143"/>
      <c r="BP1669" s="143"/>
      <c r="BQ1669" s="143"/>
      <c r="BU1669" s="144"/>
      <c r="BY1669" t="str">
        <f>IFERROR(BX1669/BO1669,"")</f>
        <v/>
      </c>
      <c r="CN1669"/>
      <c r="CO1669"/>
      <c r="CP1669"/>
      <c r="CQ1669"/>
      <c r="CR1669"/>
      <c r="CS1669"/>
      <c r="CT1669"/>
      <c r="CU1669"/>
      <c r="CV1669" s="2"/>
      <c r="CX1669"/>
      <c r="DC1669"/>
      <c r="DI1669"/>
      <c r="DJ1669"/>
      <c r="DK1669"/>
      <c r="DL1669"/>
      <c r="DM1669"/>
      <c r="DN1669"/>
      <c r="DT1669"/>
      <c r="DU1669" s="143"/>
      <c r="EK1669" t="str">
        <f>IF(AND(AND(AND(OR($DX1669=1,$DW1669=1),OR($EC1669=1,$EA1669=1)),SUM($DV1669:$DZ1669,$EF1669)&gt;=3),SUM($EA1669:$EE1669)&gt;=2),"Whole sector","")</f>
        <v/>
      </c>
      <c r="EL1669" t="str">
        <f>IF(AND(AND(OR($DX1669=1,$DW1669=1),AND($EC1669=0,$EA1669=0)),SUM($DV1669:$DZ1669,$EF1669)&gt;=3),"Ecosystem approach","")</f>
        <v/>
      </c>
      <c r="EM1669" s="2" t="str">
        <f>IF(AND(AND(AND($DX1669=0,$DW1669=0),OR($EC1669=1,$EA1669=1)),SUM($EB1669:$EE1669)&gt;=2),"Technology approach","")</f>
        <v/>
      </c>
      <c r="EO1669" t="s">
        <v>450</v>
      </c>
      <c r="EP1669" t="b">
        <f>IF(ISNUMBER(BU1669),IF(ABS(BU1669-[5]QC_indicators!$B$2)&gt;3*[5]QC_indicators!$C$2,"C ratio",IF(ISNUMBER(BY1669),IF(ABS(BY1669-[5]QC_indicators!$B$1)&gt;3*[5]QC_indicators!$C$1,"DF","no"))),IF(ISNUMBER(BY1669),IF(ABS(BY1669-[5]QC_indicators!$B$1)&gt;3*[5]QC_indicators!$C$1,"DF","no")))</f>
        <v>0</v>
      </c>
    </row>
    <row r="1670" spans="1:148">
      <c r="A1670" s="1" t="s">
        <v>4759</v>
      </c>
      <c r="B1670" t="s">
        <v>4760</v>
      </c>
      <c r="C1670" t="s">
        <v>4761</v>
      </c>
      <c r="D1670" t="s">
        <v>4762</v>
      </c>
      <c r="E1670" t="s">
        <v>4763</v>
      </c>
      <c r="F1670" t="s">
        <v>4764</v>
      </c>
      <c r="G1670" t="s">
        <v>4765</v>
      </c>
      <c r="H1670" t="s">
        <v>254</v>
      </c>
      <c r="I1670">
        <v>2021</v>
      </c>
      <c r="J1670">
        <v>2</v>
      </c>
      <c r="K1670" t="s">
        <v>4766</v>
      </c>
      <c r="M1670" t="str">
        <f>LEFT($D1670,FIND(",",$D1670)-1)&amp;"_"&amp;I1670&amp;L1670</f>
        <v>Baul_2021</v>
      </c>
      <c r="N1670" t="s">
        <v>1352</v>
      </c>
      <c r="O1670" s="145" t="s">
        <v>1154</v>
      </c>
      <c r="Q1670" s="312" t="s">
        <v>224</v>
      </c>
      <c r="R1670" s="313"/>
      <c r="AX1670" s="141"/>
      <c r="AY1670" s="141"/>
      <c r="BE1670"/>
      <c r="BF1670" s="2"/>
      <c r="BP1670" s="143"/>
      <c r="BQ1670" s="143"/>
      <c r="BU1670" s="144"/>
      <c r="BY1670" t="str">
        <f>IFERROR(BX1670/BO1670,"")</f>
        <v/>
      </c>
      <c r="CN1670"/>
      <c r="CO1670"/>
      <c r="CP1670"/>
      <c r="CQ1670"/>
      <c r="CR1670"/>
      <c r="CS1670"/>
      <c r="CT1670"/>
      <c r="CU1670"/>
      <c r="CV1670" s="2"/>
      <c r="CX1670"/>
      <c r="DC1670"/>
      <c r="DI1670"/>
      <c r="DJ1670"/>
      <c r="DK1670"/>
      <c r="DL1670"/>
      <c r="DM1670"/>
      <c r="DN1670"/>
      <c r="DT1670"/>
      <c r="DU1670" s="143"/>
      <c r="EK1670" t="str">
        <f>IF(AND(AND(AND(OR($DX1670=1,$DW1670=1),OR($EC1670=1,$EA1670=1)),SUM($DV1670:$DZ1670,$EF1670)&gt;=3),SUM($EA1670:$EE1670)&gt;=2),"Whole sector","")</f>
        <v/>
      </c>
      <c r="EL1670" t="str">
        <f>IF(AND(AND(OR($DX1670=1,$DW1670=1),AND($EC1670=0,$EA1670=0)),SUM($DV1670:$DZ1670,$EF1670)&gt;=3),"Ecosystem approach","")</f>
        <v/>
      </c>
      <c r="EM1670" s="2" t="str">
        <f>IF(AND(AND(AND($DX1670=0,$DW1670=0),OR($EC1670=1,$EA1670=1)),SUM($EB1670:$EE1670)&gt;=2),"Technology approach","")</f>
        <v/>
      </c>
      <c r="EN1670" t="s">
        <v>4767</v>
      </c>
      <c r="EO1670" s="149" t="s">
        <v>4768</v>
      </c>
      <c r="EP1670" t="b">
        <f>IF(ISNUMBER(BU1670),IF(ABS(BU1670-[5]QC_indicators!$B$2)&gt;3*[5]QC_indicators!$C$2,"C ratio",IF(ISNUMBER(BY1670),IF(ABS(BY1670-[5]QC_indicators!$B$1)&gt;3*[5]QC_indicators!$C$1,"DF","no"))),IF(ISNUMBER(BY1670),IF(ABS(BY1670-[5]QC_indicators!$B$1)&gt;3*[5]QC_indicators!$C$1,"DF","no")))</f>
        <v>0</v>
      </c>
    </row>
    <row r="1671" spans="1:148">
      <c r="A1671" s="1" t="s">
        <v>4769</v>
      </c>
      <c r="B1671" t="s">
        <v>4770</v>
      </c>
      <c r="C1671" t="s">
        <v>544</v>
      </c>
      <c r="D1671" t="s">
        <v>4771</v>
      </c>
      <c r="E1671" t="s">
        <v>4772</v>
      </c>
      <c r="F1671" t="s">
        <v>4773</v>
      </c>
      <c r="G1671" t="s">
        <v>4774</v>
      </c>
      <c r="H1671" t="s">
        <v>254</v>
      </c>
      <c r="I1671">
        <v>2020</v>
      </c>
      <c r="J1671">
        <v>0</v>
      </c>
      <c r="K1671" t="s">
        <v>4775</v>
      </c>
      <c r="M1671" t="str">
        <f>LEFT($D1671,FIND(",",$D1671)-1)&amp;"_"&amp;I1671&amp;L1671</f>
        <v>Campbell_2020</v>
      </c>
      <c r="N1671" t="s">
        <v>1352</v>
      </c>
      <c r="O1671" s="145" t="s">
        <v>223</v>
      </c>
      <c r="Q1671" s="312" t="s">
        <v>256</v>
      </c>
      <c r="R1671" s="313"/>
      <c r="AX1671" s="141"/>
      <c r="AY1671" s="141"/>
      <c r="BE1671"/>
      <c r="BF1671" s="2"/>
      <c r="BP1671" s="143"/>
      <c r="BQ1671" s="143"/>
      <c r="BU1671" s="144"/>
      <c r="BY1671" t="str">
        <f>IFERROR(BX1671/BO1671,"")</f>
        <v/>
      </c>
      <c r="CN1671"/>
      <c r="CO1671"/>
      <c r="CP1671"/>
      <c r="CQ1671"/>
      <c r="CR1671"/>
      <c r="CS1671"/>
      <c r="CT1671"/>
      <c r="CU1671"/>
      <c r="CV1671" s="2"/>
      <c r="CX1671"/>
      <c r="DC1671"/>
      <c r="DI1671"/>
      <c r="DJ1671"/>
      <c r="DK1671"/>
      <c r="DL1671"/>
      <c r="DM1671"/>
      <c r="DN1671"/>
      <c r="DT1671"/>
      <c r="DU1671" s="143"/>
      <c r="EK1671" t="str">
        <f>IF(AND(AND(AND(OR($DX1671=1,$DW1671=1),OR($EC1671=1,$EA1671=1)),SUM($DV1671:$DZ1671,$EF1671)&gt;=3),SUM($EA1671:$EE1671)&gt;=2),"Whole sector","")</f>
        <v/>
      </c>
      <c r="EL1671" t="str">
        <f>IF(AND(AND(OR($DX1671=1,$DW1671=1),AND($EC1671=0,$EA1671=0)),SUM($DV1671:$DZ1671,$EF1671)&gt;=3),"Ecosystem approach","")</f>
        <v/>
      </c>
      <c r="EM1671" s="2" t="str">
        <f>IF(AND(AND(AND($DX1671=0,$DW1671=0),OR($EC1671=1,$EA1671=1)),SUM($EB1671:$EE1671)&gt;=2),"Technology approach","")</f>
        <v/>
      </c>
      <c r="EO1671" t="s">
        <v>450</v>
      </c>
      <c r="EP1671" t="b">
        <f>IF(ISNUMBER(BU1671),IF(ABS(BU1671-[5]QC_indicators!$B$2)&gt;3*[5]QC_indicators!$C$2,"C ratio",IF(ISNUMBER(BY1671),IF(ABS(BY1671-[5]QC_indicators!$B$1)&gt;3*[5]QC_indicators!$C$1,"DF","no"))),IF(ISNUMBER(BY1671),IF(ABS(BY1671-[5]QC_indicators!$B$1)&gt;3*[5]QC_indicators!$C$1,"DF","no")))</f>
        <v>0</v>
      </c>
    </row>
    <row r="1672" spans="1:148">
      <c r="A1672" s="1" t="s">
        <v>4769</v>
      </c>
      <c r="B1672" t="s">
        <v>4770</v>
      </c>
      <c r="C1672" t="s">
        <v>544</v>
      </c>
      <c r="D1672" t="s">
        <v>4771</v>
      </c>
      <c r="E1672" t="s">
        <v>4772</v>
      </c>
      <c r="F1672" t="s">
        <v>4773</v>
      </c>
      <c r="G1672" t="s">
        <v>4774</v>
      </c>
      <c r="H1672" t="s">
        <v>254</v>
      </c>
      <c r="I1672">
        <v>2020</v>
      </c>
      <c r="J1672">
        <v>0</v>
      </c>
      <c r="K1672" t="s">
        <v>4775</v>
      </c>
      <c r="M1672" t="str">
        <f>LEFT($D1672,FIND(",",$D1672)-1)&amp;"_"&amp;I1672&amp;L1672</f>
        <v>Campbell_2020</v>
      </c>
      <c r="N1672" t="s">
        <v>1352</v>
      </c>
      <c r="O1672" s="145" t="s">
        <v>223</v>
      </c>
      <c r="Q1672" s="312" t="s">
        <v>256</v>
      </c>
      <c r="R1672" s="313"/>
      <c r="AX1672" s="141"/>
      <c r="AY1672" s="141"/>
      <c r="BE1672"/>
      <c r="BF1672" s="2"/>
      <c r="BP1672" s="143"/>
      <c r="BQ1672" s="143"/>
      <c r="BY1672" t="str">
        <f>IFERROR(BX1672/BO1672,"")</f>
        <v/>
      </c>
      <c r="CN1672"/>
      <c r="CO1672"/>
      <c r="CP1672"/>
      <c r="CQ1672"/>
      <c r="CR1672"/>
      <c r="CS1672"/>
      <c r="CT1672"/>
      <c r="CU1672"/>
      <c r="CV1672" s="2"/>
      <c r="CX1672"/>
      <c r="DC1672"/>
      <c r="DI1672"/>
      <c r="DJ1672"/>
      <c r="DK1672"/>
      <c r="DL1672"/>
      <c r="DM1672"/>
      <c r="DN1672"/>
      <c r="DT1672"/>
      <c r="DU1672" s="143"/>
      <c r="EK1672" t="str">
        <f>IF(AND(AND(AND(OR($DX1672=1,$DW1672=1),OR($EC1672=1,$EA1672=1)),SUM($DV1672:$DZ1672,$EF1672)&gt;=3),SUM($EA1672:$EE1672)&gt;=2),"Whole sector","")</f>
        <v/>
      </c>
      <c r="EL1672" t="str">
        <f>IF(AND(AND(OR($DX1672=1,$DW1672=1),AND($EC1672=0,$EA1672=0)),SUM($DV1672:$DZ1672,$EF1672)&gt;=3),"Ecosystem approach","")</f>
        <v/>
      </c>
      <c r="EM1672" s="2" t="str">
        <f>IF(AND(AND(AND($DX1672=0,$DW1672=0),OR($EC1672=1,$EA1672=1)),SUM($EB1672:$EE1672)&gt;=2),"Technology approach","")</f>
        <v/>
      </c>
      <c r="EP1672" t="b">
        <f>IF(ISNUMBER(BU1672),IF(ABS(BU1672-[5]QC_indicators!$B$2)&gt;3*[5]QC_indicators!$C$2,"C ratio",IF(ISNUMBER(BY1672),IF(ABS(BY1672-[5]QC_indicators!$B$1)&gt;3*[5]QC_indicators!$C$1,"DF","no"))),IF(ISNUMBER(BY1672),IF(ABS(BY1672-[5]QC_indicators!$B$1)&gt;3*[5]QC_indicators!$C$1,"DF","no")))</f>
        <v>0</v>
      </c>
    </row>
    <row r="1673" spans="1:148">
      <c r="A1673" s="1" t="s">
        <v>562</v>
      </c>
      <c r="B1673" t="s">
        <v>544</v>
      </c>
      <c r="C1673" t="s">
        <v>4776</v>
      </c>
      <c r="D1673" t="s">
        <v>4777</v>
      </c>
      <c r="E1673" t="s">
        <v>4778</v>
      </c>
      <c r="F1673" t="s">
        <v>4779</v>
      </c>
      <c r="G1673" t="s">
        <v>567</v>
      </c>
      <c r="H1673" t="s">
        <v>254</v>
      </c>
      <c r="I1673">
        <v>2014</v>
      </c>
      <c r="J1673">
        <v>24</v>
      </c>
      <c r="K1673" t="s">
        <v>4780</v>
      </c>
      <c r="M1673" t="str">
        <f>LEFT($D1673,FIND(",",$D1673)-1)&amp;"_"&amp;I1673&amp;L1673</f>
        <v>Chen_2014</v>
      </c>
      <c r="N1673" t="s">
        <v>1352</v>
      </c>
      <c r="O1673" s="145" t="s">
        <v>223</v>
      </c>
      <c r="Q1673" s="312" t="s">
        <v>256</v>
      </c>
      <c r="R1673" s="313"/>
      <c r="AX1673" s="141">
        <f>COUNTIF(V1673:AW1673,"&lt;&gt;0")</f>
        <v>28</v>
      </c>
      <c r="AY1673" s="141">
        <f>COUNTIF(V1673:AL1673,"&lt;&gt;0")</f>
        <v>17</v>
      </c>
      <c r="BE1673"/>
      <c r="BF1673" s="2"/>
      <c r="BP1673" s="143"/>
      <c r="BQ1673" s="143"/>
      <c r="BU1673" s="144"/>
      <c r="BY1673" t="str">
        <f>IFERROR(BX1673/BO1673,"")</f>
        <v/>
      </c>
      <c r="CN1673"/>
      <c r="CO1673"/>
      <c r="CP1673"/>
      <c r="CQ1673"/>
      <c r="CR1673"/>
      <c r="CS1673"/>
      <c r="CT1673"/>
      <c r="CU1673"/>
      <c r="CV1673" s="2"/>
      <c r="CW1673" s="1" t="s">
        <v>1199</v>
      </c>
      <c r="CX1673" s="312" t="str">
        <f>IF(OR($CW1673="prd",$CW1673="std",$CW1673="cit"),"loc",IF(OR($CW1673="eur",$CW1673="reg",$CW1673="coy"),"reg",$CW1673))</f>
        <v>reg</v>
      </c>
      <c r="CY1673" t="s">
        <v>540</v>
      </c>
      <c r="DB1673">
        <v>100</v>
      </c>
      <c r="DC1673" t="str">
        <f>IF(DB1673=0,"0",IF(AND(DB1673&gt;=1,DB1673&lt;=30),"1-30",IF(AND(DB1673&gt;30,DB1673&lt;=70),"31-70",IF(AND(DB1673&gt;70,DB1673&lt;=100),"71-100",IF(DB1673&gt;100,"+100")))))</f>
        <v>71-100</v>
      </c>
      <c r="DD1673">
        <v>0</v>
      </c>
      <c r="DE1673">
        <v>1</v>
      </c>
      <c r="DF1673">
        <v>1</v>
      </c>
      <c r="DG1673">
        <v>1</v>
      </c>
      <c r="DI1673">
        <f>SUM(DD1673:DG1673)</f>
        <v>3</v>
      </c>
      <c r="DJ1673" t="str">
        <f>IF(DI1673=1,INDEX($DD$7:$DG$7,MATCH(1,$DD1673:$DG1673,0)),"mixedProduct")</f>
        <v>mixedProduct</v>
      </c>
      <c r="DK1673">
        <f>IF(DD1673=1,DK$7,0)</f>
        <v>0</v>
      </c>
      <c r="DL1673" t="str">
        <f>IF(DE1673=1,DL$7,0)</f>
        <v>Energy</v>
      </c>
      <c r="DM1673" t="str">
        <f>IF(DF1673=1,DM$7,0)</f>
        <v>Pulp/Paper</v>
      </c>
      <c r="DN1673" t="str">
        <f>IF(DG1673=1,DN$7,0)</f>
        <v>Timber</v>
      </c>
      <c r="DO1673">
        <v>1</v>
      </c>
      <c r="DP1673">
        <v>0</v>
      </c>
      <c r="DQ1673">
        <v>0</v>
      </c>
      <c r="DR1673">
        <v>0</v>
      </c>
      <c r="DS1673">
        <v>0</v>
      </c>
      <c r="DT1673">
        <f>SUM(DO1673:DP1673)</f>
        <v>1</v>
      </c>
      <c r="DU1673" s="143" t="str">
        <f>IF(DO1673=1,"self-calculated DF",IF(DP1673=1,"external DF used","explicit C balance"))</f>
        <v>self-calculated DF</v>
      </c>
      <c r="DV1673">
        <v>1</v>
      </c>
      <c r="DW1673">
        <v>1</v>
      </c>
      <c r="DX1673">
        <v>1</v>
      </c>
      <c r="DY1673">
        <v>1</v>
      </c>
      <c r="DZ1673">
        <v>1</v>
      </c>
      <c r="EA1673">
        <v>1</v>
      </c>
      <c r="EB1673">
        <v>1</v>
      </c>
      <c r="EC1673">
        <v>1</v>
      </c>
      <c r="ED1673">
        <v>1</v>
      </c>
      <c r="EE1673">
        <v>0</v>
      </c>
      <c r="EF1673">
        <v>1</v>
      </c>
      <c r="EG1673">
        <v>0</v>
      </c>
      <c r="EH1673">
        <v>0</v>
      </c>
      <c r="EI1673" s="2">
        <v>0</v>
      </c>
      <c r="EK1673" t="str">
        <f>IF(AND(AND(AND(OR($DX1673=1,$DW1673=1),OR($EC1673=1,$EA1673=1)),SUM($DV1673:$DZ1673,$EF1673)&gt;=3),SUM($EA1673:$EE1673)&gt;=2),"Whole sector","")</f>
        <v>Whole sector</v>
      </c>
      <c r="EL1673" t="str">
        <f>IF(AND(AND(OR($DX1673=1,$DW1673=1),AND($EC1673=0,$EA1673=0)),SUM($DV1673:$DZ1673,$EF1673)&gt;=3),"Ecosystem approach","")</f>
        <v/>
      </c>
      <c r="EM1673" s="2" t="str">
        <f>IF(AND(AND(AND($DX1673=0,$DW1673=0),OR($EC1673=1,$EA1673=1)),SUM($EB1673:$EE1673)&gt;=2),"Technology approach","")</f>
        <v/>
      </c>
      <c r="EP1673" t="b">
        <f>IF(ISNUMBER(BU1673),IF(ABS(BU1673-[5]QC_indicators!$B$2)&gt;3*[5]QC_indicators!$C$2,"C ratio",IF(ISNUMBER(BY1673),IF(ABS(BY1673-[5]QC_indicators!$B$1)&gt;3*[5]QC_indicators!$C$1,"DF","no"))),IF(ISNUMBER(BY1673),IF(ABS(BY1673-[5]QC_indicators!$B$1)&gt;3*[5]QC_indicators!$C$1,"DF","no")))</f>
        <v>0</v>
      </c>
      <c r="ER1673" s="314" t="s">
        <v>349</v>
      </c>
    </row>
    <row r="1674" spans="1:148">
      <c r="A1674" s="1" t="s">
        <v>562</v>
      </c>
      <c r="B1674" t="s">
        <v>544</v>
      </c>
      <c r="C1674" t="s">
        <v>4776</v>
      </c>
      <c r="D1674" t="s">
        <v>4777</v>
      </c>
      <c r="E1674" t="s">
        <v>4778</v>
      </c>
      <c r="F1674" t="s">
        <v>4779</v>
      </c>
      <c r="G1674" t="s">
        <v>567</v>
      </c>
      <c r="H1674" t="s">
        <v>254</v>
      </c>
      <c r="I1674">
        <v>2014</v>
      </c>
      <c r="J1674">
        <v>24</v>
      </c>
      <c r="K1674" t="s">
        <v>4780</v>
      </c>
      <c r="M1674" t="str">
        <f>LEFT($D1674,FIND(",",$D1674)-1)&amp;"_"&amp;I1674&amp;L1674</f>
        <v>Chen_2014</v>
      </c>
      <c r="N1674" t="s">
        <v>1352</v>
      </c>
      <c r="O1674" s="145" t="s">
        <v>223</v>
      </c>
      <c r="Q1674" s="312" t="s">
        <v>256</v>
      </c>
      <c r="R1674" s="313"/>
      <c r="AX1674" s="141">
        <f>COUNTIF(V1674:AW1674,"&lt;&gt;0")</f>
        <v>28</v>
      </c>
      <c r="AY1674" s="141">
        <f>COUNTIF(V1674:AL1674,"&lt;&gt;0")</f>
        <v>17</v>
      </c>
      <c r="BE1674"/>
      <c r="BF1674" s="2"/>
      <c r="BP1674" s="143"/>
      <c r="BQ1674" s="143"/>
      <c r="BY1674" t="str">
        <f>IFERROR(BX1674/BO1674,"")</f>
        <v/>
      </c>
      <c r="CN1674"/>
      <c r="CO1674"/>
      <c r="CP1674"/>
      <c r="CQ1674"/>
      <c r="CR1674"/>
      <c r="CS1674"/>
      <c r="CT1674"/>
      <c r="CU1674"/>
      <c r="CV1674" s="2"/>
      <c r="CW1674" s="1" t="s">
        <v>1199</v>
      </c>
      <c r="CX1674" s="312" t="str">
        <f>IF(OR($CW1674="prd",$CW1674="std",$CW1674="cit"),"loc",IF(OR($CW1674="eur",$CW1674="reg",$CW1674="coy"),"reg",$CW1674))</f>
        <v>reg</v>
      </c>
      <c r="CY1674" t="s">
        <v>540</v>
      </c>
      <c r="DB1674">
        <v>100</v>
      </c>
      <c r="DC1674" t="str">
        <f>IF(DB1674=0,"0",IF(AND(DB1674&gt;=1,DB1674&lt;=30),"1-30",IF(AND(DB1674&gt;30,DB1674&lt;=70),"31-70",IF(AND(DB1674&gt;70,DB1674&lt;=100),"71-100",IF(DB1674&gt;100,"+100")))))</f>
        <v>71-100</v>
      </c>
      <c r="DD1674">
        <v>0</v>
      </c>
      <c r="DE1674">
        <v>1</v>
      </c>
      <c r="DF1674">
        <v>1</v>
      </c>
      <c r="DG1674">
        <v>1</v>
      </c>
      <c r="DI1674">
        <f>SUM(DD1674:DG1674)</f>
        <v>3</v>
      </c>
      <c r="DJ1674" t="str">
        <f>IF(DI1674=1,INDEX($DD$7:$DG$7,MATCH(1,$DD1674:$DG1674,0)),"mixedProduct")</f>
        <v>mixedProduct</v>
      </c>
      <c r="DK1674">
        <f>IF(DD1674=1,DK$7,0)</f>
        <v>0</v>
      </c>
      <c r="DL1674" t="str">
        <f>IF(DE1674=1,DL$7,0)</f>
        <v>Energy</v>
      </c>
      <c r="DM1674" t="str">
        <f>IF(DF1674=1,DM$7,0)</f>
        <v>Pulp/Paper</v>
      </c>
      <c r="DN1674" t="str">
        <f>IF(DG1674=1,DN$7,0)</f>
        <v>Timber</v>
      </c>
      <c r="DO1674">
        <v>1</v>
      </c>
      <c r="DP1674">
        <v>0</v>
      </c>
      <c r="DQ1674">
        <v>0</v>
      </c>
      <c r="DR1674">
        <v>0</v>
      </c>
      <c r="DS1674">
        <v>0</v>
      </c>
      <c r="DT1674">
        <f>SUM(DO1674:DP1674)</f>
        <v>1</v>
      </c>
      <c r="DU1674" s="143" t="str">
        <f>IF(DO1674=1,"self-calculated DF",IF(DP1674=1,"external DF used","explicit C balance"))</f>
        <v>self-calculated DF</v>
      </c>
      <c r="DV1674">
        <v>1</v>
      </c>
      <c r="DW1674">
        <v>1</v>
      </c>
      <c r="DX1674">
        <v>1</v>
      </c>
      <c r="DY1674">
        <v>1</v>
      </c>
      <c r="DZ1674">
        <v>1</v>
      </c>
      <c r="EA1674">
        <v>1</v>
      </c>
      <c r="EB1674">
        <v>1</v>
      </c>
      <c r="EC1674">
        <v>1</v>
      </c>
      <c r="ED1674">
        <v>1</v>
      </c>
      <c r="EE1674">
        <v>0</v>
      </c>
      <c r="EF1674">
        <v>1</v>
      </c>
      <c r="EG1674">
        <v>0</v>
      </c>
      <c r="EH1674">
        <v>0</v>
      </c>
      <c r="EI1674" s="2">
        <v>0</v>
      </c>
      <c r="EK1674" t="str">
        <f>IF(AND(AND(AND(OR($DX1674=1,$DW1674=1),OR($EC1674=1,$EA1674=1)),SUM($DV1674:$DZ1674,$EF1674)&gt;=3),SUM($EA1674:$EE1674)&gt;=2),"Whole sector","")</f>
        <v>Whole sector</v>
      </c>
      <c r="EL1674" t="str">
        <f>IF(AND(AND(OR($DX1674=1,$DW1674=1),AND($EC1674=0,$EA1674=0)),SUM($DV1674:$DZ1674,$EF1674)&gt;=3),"Ecosystem approach","")</f>
        <v/>
      </c>
      <c r="EM1674" s="2" t="str">
        <f>IF(AND(AND(AND($DX1674=0,$DW1674=0),OR($EC1674=1,$EA1674=1)),SUM($EB1674:$EE1674)&gt;=2),"Technology approach","")</f>
        <v/>
      </c>
      <c r="EP1674" t="b">
        <f>IF(ISNUMBER(BU1674),IF(ABS(BU1674-[5]QC_indicators!$B$2)&gt;3*[5]QC_indicators!$C$2,"C ratio",IF(ISNUMBER(BY1674),IF(ABS(BY1674-[5]QC_indicators!$B$1)&gt;3*[5]QC_indicators!$C$1,"DF","no"))),IF(ISNUMBER(BY1674),IF(ABS(BY1674-[5]QC_indicators!$B$1)&gt;3*[5]QC_indicators!$C$1,"DF","no")))</f>
        <v>0</v>
      </c>
      <c r="ER1674" s="314" t="s">
        <v>349</v>
      </c>
    </row>
    <row r="1675" spans="1:148">
      <c r="A1675" s="1" t="s">
        <v>333</v>
      </c>
      <c r="B1675" t="s">
        <v>4781</v>
      </c>
      <c r="C1675" t="s">
        <v>4782</v>
      </c>
      <c r="D1675" t="s">
        <v>4783</v>
      </c>
      <c r="E1675" t="s">
        <v>4784</v>
      </c>
      <c r="F1675" t="s">
        <v>4785</v>
      </c>
      <c r="G1675" t="s">
        <v>339</v>
      </c>
      <c r="H1675" t="s">
        <v>254</v>
      </c>
      <c r="I1675">
        <v>2016</v>
      </c>
      <c r="J1675">
        <v>26</v>
      </c>
      <c r="K1675" t="s">
        <v>4786</v>
      </c>
      <c r="M1675" t="str">
        <f>LEFT($D1675,FIND(",",$D1675)-1)&amp;"_"&amp;I1675&amp;L1675</f>
        <v>Escamilla_2016</v>
      </c>
      <c r="N1675" t="s">
        <v>1352</v>
      </c>
      <c r="O1675" s="171" t="s">
        <v>274</v>
      </c>
      <c r="P1675" t="s">
        <v>513</v>
      </c>
      <c r="Q1675" s="312" t="s">
        <v>389</v>
      </c>
      <c r="R1675" s="313"/>
      <c r="AX1675" s="141"/>
      <c r="AY1675" s="141"/>
      <c r="BE1675"/>
      <c r="BF1675" s="2"/>
      <c r="BU1675" s="144"/>
      <c r="BY1675" t="str">
        <f>IFERROR(BX1675/BO1675,"")</f>
        <v/>
      </c>
      <c r="CN1675"/>
      <c r="CO1675"/>
      <c r="CP1675"/>
      <c r="CQ1675"/>
      <c r="CR1675"/>
      <c r="CS1675"/>
      <c r="CT1675"/>
      <c r="CU1675"/>
      <c r="CV1675" s="2"/>
      <c r="CX1675"/>
      <c r="DC1675"/>
      <c r="DI1675"/>
      <c r="DJ1675"/>
      <c r="DK1675"/>
      <c r="DL1675"/>
      <c r="DM1675"/>
      <c r="DN1675"/>
      <c r="DT1675"/>
      <c r="DU1675" s="143"/>
      <c r="EA1675" s="143"/>
      <c r="EK1675" t="str">
        <f>IF(AND(AND(AND(OR($DX1675=1,$DW1675=1),OR($EC1675=1,$EA1675=1)),SUM($DV1675:$DZ1675,$EF1675)&gt;=3),SUM($EA1675:$EE1675)&gt;=2),"Whole sector","")</f>
        <v/>
      </c>
      <c r="EL1675" t="str">
        <f>IF(AND(AND(OR($DX1675=1,$DW1675=1),AND($EC1675=0,$EA1675=0)),SUM($DV1675:$DZ1675,$EF1675)&gt;=3),"Ecosystem approach","")</f>
        <v/>
      </c>
      <c r="EM1675" s="2" t="str">
        <f>IF(AND(AND(AND($DX1675=0,$DW1675=0),OR($EC1675=1,$EA1675=1)),SUM($EB1675:$EE1675)&gt;=2),"Technology approach","")</f>
        <v/>
      </c>
      <c r="EN1675" s="312" t="s">
        <v>4787</v>
      </c>
      <c r="EO1675" s="312" t="s">
        <v>1352</v>
      </c>
      <c r="EP1675" t="b">
        <f>IF(ISNUMBER(BU1675),IF(ABS(BU1675-[5]QC_indicators!$B$2)&gt;3*[5]QC_indicators!$C$2,"C ratio",IF(ISNUMBER(BY1675),IF(ABS(BY1675-[5]QC_indicators!$B$1)&gt;3*[5]QC_indicators!$C$1,"DF","no"))),IF(ISNUMBER(BY1675),IF(ABS(BY1675-[5]QC_indicators!$B$1)&gt;3*[5]QC_indicators!$C$1,"DF","no")))</f>
        <v>0</v>
      </c>
      <c r="ER1675" s="312" t="s">
        <v>4788</v>
      </c>
    </row>
    <row r="1676" spans="1:148">
      <c r="A1676" s="1" t="s">
        <v>656</v>
      </c>
      <c r="B1676" t="s">
        <v>4789</v>
      </c>
      <c r="C1676" t="s">
        <v>4790</v>
      </c>
      <c r="D1676" t="s">
        <v>4791</v>
      </c>
      <c r="E1676" t="s">
        <v>4792</v>
      </c>
      <c r="F1676" t="s">
        <v>4793</v>
      </c>
      <c r="G1676" t="s">
        <v>662</v>
      </c>
      <c r="H1676" t="s">
        <v>254</v>
      </c>
      <c r="I1676">
        <v>2022</v>
      </c>
      <c r="J1676">
        <v>2</v>
      </c>
      <c r="K1676" t="s">
        <v>4794</v>
      </c>
      <c r="M1676" t="str">
        <f>LEFT($D1676,FIND(",",$D1676)-1)&amp;"_"&amp;I1676&amp;L1676</f>
        <v>Fregonara_2022</v>
      </c>
      <c r="N1676" t="s">
        <v>1352</v>
      </c>
      <c r="AX1676" s="141">
        <f>COUNTIF(V1676:AW1676,"&lt;&gt;0")</f>
        <v>28</v>
      </c>
      <c r="AY1676">
        <f>COUNTIF(V1676:AL1676,"&lt;&gt;0")</f>
        <v>17</v>
      </c>
      <c r="BE1676"/>
      <c r="BF1676" s="2"/>
      <c r="BY1676" t="str">
        <f>IFERROR(BX1676/BO1676,"")</f>
        <v/>
      </c>
      <c r="CN1676"/>
      <c r="CO1676"/>
      <c r="CP1676"/>
      <c r="CQ1676"/>
      <c r="CR1676"/>
      <c r="CS1676"/>
      <c r="CT1676"/>
      <c r="CU1676"/>
      <c r="CV1676" s="2"/>
      <c r="CX1676"/>
      <c r="DC1676"/>
      <c r="DI1676"/>
      <c r="DJ1676"/>
      <c r="DK1676"/>
      <c r="DL1676"/>
      <c r="DM1676"/>
      <c r="DN1676"/>
      <c r="DT1676"/>
      <c r="DU1676"/>
      <c r="EK1676" t="str">
        <f>IF(AND(AND(AND(OR($DX1676=1,$DW1676=1),OR($EC1676=1,$EA1676=1)),SUM($DV1676:$DZ1676,$EF1676)&gt;=3),SUM($EA1676:$EE1676)&gt;=2),"Whole sector","")</f>
        <v/>
      </c>
      <c r="EL1676" t="str">
        <f>IF(AND(AND(OR($DX1676=1,$DW1676=1),AND($EC1676=0,$EA1676=0)),SUM($DV1676:$DZ1676,$EF1676)&gt;=3),"Ecosystem approach","")</f>
        <v/>
      </c>
      <c r="EM1676" s="2" t="str">
        <f>IF(AND(AND(AND($DX1676=0,$DW1676=0),OR($EC1676=1,$EA1676=1)),SUM($EB1676:$EE1676)&gt;=2),"Technology approach","")</f>
        <v/>
      </c>
      <c r="EP1676" t="b">
        <f>IF(ISNUMBER(BU1676),IF(ABS(BU1676-[5]QC_indicators!$B$2)&gt;3*[5]QC_indicators!$C$2,"C ratio",IF(ISNUMBER(BY1676),IF(ABS(BY1676-[5]QC_indicators!$B$1)&gt;3*[5]QC_indicators!$C$1,"DF","no"))),IF(ISNUMBER(BY1676),IF(ABS(BY1676-[5]QC_indicators!$B$1)&gt;3*[5]QC_indicators!$C$1,"DF","no")))</f>
        <v>0</v>
      </c>
    </row>
    <row r="1677" spans="1:148">
      <c r="A1677" s="1" t="s">
        <v>587</v>
      </c>
      <c r="B1677" t="s">
        <v>4795</v>
      </c>
      <c r="C1677" t="s">
        <v>4796</v>
      </c>
      <c r="D1677" t="s">
        <v>4797</v>
      </c>
      <c r="E1677" t="s">
        <v>4798</v>
      </c>
      <c r="F1677" t="s">
        <v>4799</v>
      </c>
      <c r="G1677" t="s">
        <v>593</v>
      </c>
      <c r="H1677" t="s">
        <v>254</v>
      </c>
      <c r="I1677">
        <v>2015</v>
      </c>
      <c r="J1677">
        <v>17</v>
      </c>
      <c r="K1677" t="s">
        <v>4800</v>
      </c>
      <c r="M1677" t="str">
        <f>LEFT($D1677,FIND(",",$D1677)-1)&amp;"_"&amp;I1677&amp;L1677</f>
        <v>Han_2015</v>
      </c>
      <c r="N1677" t="s">
        <v>1352</v>
      </c>
      <c r="O1677" s="181" t="s">
        <v>341</v>
      </c>
      <c r="Q1677" s="312" t="s">
        <v>256</v>
      </c>
      <c r="R1677" s="313"/>
      <c r="AX1677" s="141"/>
      <c r="AY1677" s="141"/>
      <c r="BE1677"/>
      <c r="BF1677" s="2"/>
      <c r="BU1677" s="144"/>
      <c r="BY1677" t="str">
        <f>IFERROR(BX1677/BO1677,"")</f>
        <v/>
      </c>
      <c r="CN1677"/>
      <c r="CO1677"/>
      <c r="CP1677"/>
      <c r="CQ1677"/>
      <c r="CR1677"/>
      <c r="CS1677"/>
      <c r="CT1677"/>
      <c r="CU1677"/>
      <c r="CV1677" s="2"/>
      <c r="CX1677"/>
      <c r="DC1677"/>
      <c r="DI1677"/>
      <c r="DJ1677"/>
      <c r="DK1677"/>
      <c r="DL1677"/>
      <c r="DM1677"/>
      <c r="DN1677"/>
      <c r="DT1677"/>
      <c r="DU1677" s="143"/>
      <c r="EK1677" t="str">
        <f>IF(AND(AND(AND(OR($DX1677=1,$DW1677=1),OR($EC1677=1,$EA1677=1)),SUM($DV1677:$DZ1677,$EF1677)&gt;=3),SUM($EA1677:$EE1677)&gt;=2),"Whole sector","")</f>
        <v/>
      </c>
      <c r="EL1677" t="str">
        <f>IF(AND(AND(OR($DX1677=1,$DW1677=1),AND($EC1677=0,$EA1677=0)),SUM($DV1677:$DZ1677,$EF1677)&gt;=3),"Ecosystem approach","")</f>
        <v/>
      </c>
      <c r="EM1677" s="2" t="str">
        <f>IF(AND(AND(AND($DX1677=0,$DW1677=0),OR($EC1677=1,$EA1677=1)),SUM($EB1677:$EE1677)&gt;=2),"Technology approach","")</f>
        <v/>
      </c>
      <c r="EN1677" t="s">
        <v>4801</v>
      </c>
      <c r="EO1677" t="s">
        <v>450</v>
      </c>
      <c r="EP1677" t="b">
        <f>IF(ISNUMBER(BU1677),IF(ABS(BU1677-[5]QC_indicators!$B$2)&gt;3*[5]QC_indicators!$C$2,"C ratio",IF(ISNUMBER(BY1677),IF(ABS(BY1677-[5]QC_indicators!$B$1)&gt;3*[5]QC_indicators!$C$1,"DF","no"))),IF(ISNUMBER(BY1677),IF(ABS(BY1677-[5]QC_indicators!$B$1)&gt;3*[5]QC_indicators!$C$1,"DF","no")))</f>
        <v>0</v>
      </c>
    </row>
    <row r="1678" spans="1:148">
      <c r="A1678" s="1" t="s">
        <v>4802</v>
      </c>
      <c r="B1678" t="s">
        <v>544</v>
      </c>
      <c r="C1678" t="s">
        <v>4803</v>
      </c>
      <c r="D1678" t="s">
        <v>4804</v>
      </c>
      <c r="E1678" t="s">
        <v>4805</v>
      </c>
      <c r="F1678" t="s">
        <v>4806</v>
      </c>
      <c r="G1678" t="s">
        <v>4807</v>
      </c>
      <c r="H1678" t="s">
        <v>254</v>
      </c>
      <c r="I1678">
        <v>2021</v>
      </c>
      <c r="J1678">
        <v>2</v>
      </c>
      <c r="K1678" t="s">
        <v>4808</v>
      </c>
      <c r="M1678" t="str">
        <f>LEFT($D1678,FIND(",",$D1678)-1)&amp;"_"&amp;I1678&amp;L1678</f>
        <v>Hartung_2021</v>
      </c>
      <c r="N1678" t="s">
        <v>1352</v>
      </c>
      <c r="O1678" s="145" t="s">
        <v>513</v>
      </c>
      <c r="Q1678" s="312" t="s">
        <v>256</v>
      </c>
      <c r="R1678" s="313"/>
      <c r="AX1678" s="141"/>
      <c r="AY1678" s="141"/>
      <c r="BE1678"/>
      <c r="BF1678" s="2"/>
      <c r="BU1678" s="144"/>
      <c r="BY1678" t="str">
        <f>IFERROR(BX1678/BO1678,"")</f>
        <v/>
      </c>
      <c r="CN1678"/>
      <c r="CO1678"/>
      <c r="CP1678"/>
      <c r="CQ1678"/>
      <c r="CR1678"/>
      <c r="CS1678"/>
      <c r="CT1678"/>
      <c r="CU1678"/>
      <c r="CV1678" s="2"/>
      <c r="CX1678"/>
      <c r="DC1678"/>
      <c r="DI1678"/>
      <c r="DJ1678"/>
      <c r="DK1678"/>
      <c r="DL1678"/>
      <c r="DM1678"/>
      <c r="DN1678"/>
      <c r="DT1678"/>
      <c r="DU1678" s="143"/>
      <c r="EK1678" t="str">
        <f>IF(AND(AND(AND(OR($DX1678=1,$DW1678=1),OR($EC1678=1,$EA1678=1)),SUM($DV1678:$DZ1678,$EF1678)&gt;=3),SUM($EA1678:$EE1678)&gt;=2),"Whole sector","")</f>
        <v/>
      </c>
      <c r="EL1678" t="str">
        <f>IF(AND(AND(OR($DX1678=1,$DW1678=1),AND($EC1678=0,$EA1678=0)),SUM($DV1678:$DZ1678,$EF1678)&gt;=3),"Ecosystem approach","")</f>
        <v/>
      </c>
      <c r="EM1678" s="2" t="str">
        <f>IF(AND(AND(AND($DX1678=0,$DW1678=0),OR($EC1678=1,$EA1678=1)),SUM($EB1678:$EE1678)&gt;=2),"Technology approach","")</f>
        <v/>
      </c>
      <c r="EN1678" t="s">
        <v>4809</v>
      </c>
      <c r="EO1678" t="s">
        <v>450</v>
      </c>
      <c r="EP1678" t="b">
        <f>IF(ISNUMBER(BU1678),IF(ABS(BU1678-[5]QC_indicators!$B$2)&gt;3*[5]QC_indicators!$C$2,"C ratio",IF(ISNUMBER(BY1678),IF(ABS(BY1678-[5]QC_indicators!$B$1)&gt;3*[5]QC_indicators!$C$1,"DF","no"))),IF(ISNUMBER(BY1678),IF(ABS(BY1678-[5]QC_indicators!$B$1)&gt;3*[5]QC_indicators!$C$1,"DF","no")))</f>
        <v>0</v>
      </c>
    </row>
    <row r="1679" spans="1:148">
      <c r="A1679" s="1" t="s">
        <v>1972</v>
      </c>
      <c r="B1679" t="s">
        <v>4810</v>
      </c>
      <c r="C1679" t="s">
        <v>4811</v>
      </c>
      <c r="D1679" t="s">
        <v>4812</v>
      </c>
      <c r="E1679" t="s">
        <v>4813</v>
      </c>
      <c r="F1679" t="s">
        <v>4814</v>
      </c>
      <c r="G1679" t="s">
        <v>1978</v>
      </c>
      <c r="H1679" t="s">
        <v>254</v>
      </c>
      <c r="I1679">
        <v>2018</v>
      </c>
      <c r="J1679">
        <v>15</v>
      </c>
      <c r="K1679" t="s">
        <v>4815</v>
      </c>
      <c r="M1679" t="str">
        <f>LEFT($D1679,FIND(",",$D1679)-1)&amp;"_"&amp;I1679&amp;L1679</f>
        <v>Iordan_2018</v>
      </c>
      <c r="N1679" t="s">
        <v>1352</v>
      </c>
      <c r="O1679" s="145" t="s">
        <v>513</v>
      </c>
      <c r="Q1679" s="312" t="s">
        <v>256</v>
      </c>
      <c r="R1679" s="313"/>
      <c r="AX1679" s="141"/>
      <c r="AY1679" s="141"/>
      <c r="BE1679"/>
      <c r="BF1679" s="2"/>
      <c r="BU1679" s="144"/>
      <c r="BY1679" t="str">
        <f>IFERROR(BX1679/BO1679,"")</f>
        <v/>
      </c>
      <c r="CN1679"/>
      <c r="CO1679"/>
      <c r="CP1679"/>
      <c r="CQ1679"/>
      <c r="CR1679"/>
      <c r="CS1679"/>
      <c r="CT1679"/>
      <c r="CU1679"/>
      <c r="CV1679" s="2"/>
      <c r="CX1679"/>
      <c r="DC1679"/>
      <c r="DI1679"/>
      <c r="DJ1679"/>
      <c r="DK1679"/>
      <c r="DL1679"/>
      <c r="DM1679"/>
      <c r="DN1679"/>
      <c r="DT1679"/>
      <c r="DU1679" s="143"/>
      <c r="EK1679" t="str">
        <f>IF(AND(AND(AND(OR($DX1679=1,$DW1679=1),OR($EC1679=1,$EA1679=1)),SUM($DV1679:$DZ1679,$EF1679)&gt;=3),SUM($EA1679:$EE1679)&gt;=2),"Whole sector","")</f>
        <v/>
      </c>
      <c r="EL1679" t="str">
        <f>IF(AND(AND(OR($DX1679=1,$DW1679=1),AND($EC1679=0,$EA1679=0)),SUM($DV1679:$DZ1679,$EF1679)&gt;=3),"Ecosystem approach","")</f>
        <v/>
      </c>
      <c r="EM1679" s="2" t="str">
        <f>IF(AND(AND(AND($DX1679=0,$DW1679=0),OR($EC1679=1,$EA1679=1)),SUM($EB1679:$EE1679)&gt;=2),"Technology approach","")</f>
        <v/>
      </c>
      <c r="EO1679" t="s">
        <v>450</v>
      </c>
      <c r="EP1679" t="b">
        <f>IF(ISNUMBER(BU1679),IF(ABS(BU1679-[5]QC_indicators!$B$2)&gt;3*[5]QC_indicators!$C$2,"C ratio",IF(ISNUMBER(BY1679),IF(ABS(BY1679-[5]QC_indicators!$B$1)&gt;3*[5]QC_indicators!$C$1,"DF","no"))),IF(ISNUMBER(BY1679),IF(ABS(BY1679-[5]QC_indicators!$B$1)&gt;3*[5]QC_indicators!$C$1,"DF","no")))</f>
        <v>0</v>
      </c>
    </row>
    <row r="1680" spans="1:148">
      <c r="A1680" s="1" t="s">
        <v>4816</v>
      </c>
      <c r="B1680" t="s">
        <v>4817</v>
      </c>
      <c r="C1680" t="s">
        <v>4818</v>
      </c>
      <c r="D1680" t="s">
        <v>4819</v>
      </c>
      <c r="E1680" t="s">
        <v>4820</v>
      </c>
      <c r="F1680" t="s">
        <v>4821</v>
      </c>
      <c r="G1680" t="s">
        <v>4822</v>
      </c>
      <c r="H1680" t="s">
        <v>254</v>
      </c>
      <c r="I1680">
        <v>2021</v>
      </c>
      <c r="J1680">
        <v>0</v>
      </c>
      <c r="K1680" t="s">
        <v>4823</v>
      </c>
      <c r="M1680" t="str">
        <f>LEFT($D1680,FIND(",",$D1680)-1)&amp;"_"&amp;I1680&amp;L1680</f>
        <v>Iswanto; Nurrochmat_2021</v>
      </c>
      <c r="N1680" t="s">
        <v>1352</v>
      </c>
      <c r="O1680" s="145" t="s">
        <v>513</v>
      </c>
      <c r="Q1680" s="312" t="s">
        <v>256</v>
      </c>
      <c r="R1680" s="313"/>
      <c r="AX1680" s="141"/>
      <c r="AY1680" s="141"/>
      <c r="BE1680"/>
      <c r="BF1680" s="2"/>
      <c r="BU1680" s="144"/>
      <c r="BY1680" t="str">
        <f>IFERROR(BX1680/BO1680,"")</f>
        <v/>
      </c>
      <c r="CN1680"/>
      <c r="CO1680"/>
      <c r="CP1680"/>
      <c r="CQ1680"/>
      <c r="CR1680"/>
      <c r="CS1680"/>
      <c r="CT1680"/>
      <c r="CU1680"/>
      <c r="CV1680" s="2"/>
      <c r="CX1680"/>
      <c r="DC1680"/>
      <c r="DI1680"/>
      <c r="DJ1680"/>
      <c r="DK1680"/>
      <c r="DL1680"/>
      <c r="DM1680"/>
      <c r="DN1680"/>
      <c r="DT1680"/>
      <c r="DU1680" s="143"/>
      <c r="EK1680" t="str">
        <f>IF(AND(AND(AND(OR($DX1680=1,$DW1680=1),OR($EC1680=1,$EA1680=1)),SUM($DV1680:$DZ1680,$EF1680)&gt;=3),SUM($EA1680:$EE1680)&gt;=2),"Whole sector","")</f>
        <v/>
      </c>
      <c r="EL1680" t="str">
        <f>IF(AND(AND(OR($DX1680=1,$DW1680=1),AND($EC1680=0,$EA1680=0)),SUM($DV1680:$DZ1680,$EF1680)&gt;=3),"Ecosystem approach","")</f>
        <v/>
      </c>
      <c r="EM1680" s="2" t="str">
        <f>IF(AND(AND(AND($DX1680=0,$DW1680=0),OR($EC1680=1,$EA1680=1)),SUM($EB1680:$EE1680)&gt;=2),"Technology approach","")</f>
        <v/>
      </c>
      <c r="EN1680" t="s">
        <v>4824</v>
      </c>
      <c r="EO1680" t="s">
        <v>450</v>
      </c>
      <c r="EP1680" t="b">
        <f>IF(ISNUMBER(BU1680),IF(ABS(BU1680-[5]QC_indicators!$B$2)&gt;3*[5]QC_indicators!$C$2,"C ratio",IF(ISNUMBER(BY1680),IF(ABS(BY1680-[5]QC_indicators!$B$1)&gt;3*[5]QC_indicators!$C$1,"DF","no"))),IF(ISNUMBER(BY1680),IF(ABS(BY1680-[5]QC_indicators!$B$1)&gt;3*[5]QC_indicators!$C$1,"DF","no")))</f>
        <v>0</v>
      </c>
    </row>
    <row r="1681" spans="1:150">
      <c r="A1681" s="1" t="s">
        <v>4825</v>
      </c>
      <c r="B1681" t="s">
        <v>4826</v>
      </c>
      <c r="C1681" t="s">
        <v>4827</v>
      </c>
      <c r="D1681" t="s">
        <v>4828</v>
      </c>
      <c r="E1681" t="s">
        <v>4829</v>
      </c>
      <c r="F1681" t="s">
        <v>4830</v>
      </c>
      <c r="G1681" t="s">
        <v>4831</v>
      </c>
      <c r="H1681" t="s">
        <v>254</v>
      </c>
      <c r="I1681">
        <v>2015</v>
      </c>
      <c r="J1681">
        <v>95</v>
      </c>
      <c r="K1681" t="s">
        <v>4832</v>
      </c>
      <c r="M1681" t="str">
        <f>LEFT($D1681,FIND(",",$D1681)-1)&amp;"_"&amp;I1681&amp;L1681</f>
        <v>Jantz_2015</v>
      </c>
      <c r="N1681" s="312" t="s">
        <v>1352</v>
      </c>
      <c r="O1681" s="171" t="s">
        <v>513</v>
      </c>
      <c r="P1681" t="s">
        <v>223</v>
      </c>
      <c r="Q1681" s="312" t="s">
        <v>389</v>
      </c>
      <c r="R1681" s="313"/>
      <c r="U1681" s="143"/>
      <c r="AX1681" s="141"/>
      <c r="AY1681" s="141"/>
      <c r="BE1681"/>
      <c r="BF1681" s="2"/>
      <c r="BG1681" s="142"/>
      <c r="BJ1681" s="143"/>
      <c r="BL1681" s="143"/>
      <c r="BN1681" s="158"/>
      <c r="BO1681" s="159"/>
      <c r="BS1681" s="151"/>
      <c r="BT1681" s="151"/>
      <c r="BU1681" s="144"/>
      <c r="BY1681" t="str">
        <f>IFERROR(BX1681/BO1681,"")</f>
        <v/>
      </c>
      <c r="BZ1681" s="143"/>
      <c r="CA1681" s="143"/>
      <c r="CB1681" s="143"/>
      <c r="CC1681" s="143"/>
      <c r="CD1681" s="143"/>
      <c r="CE1681" s="143"/>
      <c r="CF1681" s="143"/>
      <c r="CG1681" s="143"/>
      <c r="CH1681" s="143"/>
      <c r="CI1681" s="143"/>
      <c r="CJ1681" s="143"/>
      <c r="CK1681" s="143"/>
      <c r="CL1681" s="143"/>
      <c r="CN1681"/>
      <c r="CO1681"/>
      <c r="CP1681"/>
      <c r="CQ1681"/>
      <c r="CR1681"/>
      <c r="CS1681"/>
      <c r="CT1681"/>
      <c r="CU1681"/>
      <c r="CV1681" s="2"/>
      <c r="CX1681"/>
      <c r="DA1681" s="143"/>
      <c r="DB1681" s="143"/>
      <c r="DC1681"/>
      <c r="DI1681"/>
      <c r="DJ1681"/>
      <c r="DK1681"/>
      <c r="DL1681"/>
      <c r="DM1681"/>
      <c r="DN1681"/>
      <c r="DT1681"/>
      <c r="DU1681" s="143"/>
      <c r="DV1681" s="143"/>
      <c r="DW1681" s="143"/>
      <c r="DX1681" s="143"/>
      <c r="DY1681" s="143"/>
      <c r="EB1681" s="143"/>
      <c r="EC1681" s="143"/>
      <c r="ED1681" s="143"/>
      <c r="EG1681" s="143"/>
      <c r="EH1681" s="143"/>
      <c r="EK1681" t="str">
        <f>IF(AND(AND(AND(OR($DX1681=1,$DW1681=1),OR($EC1681=1,$EA1681=1)),SUM($DV1681:$DZ1681,$EF1681)&gt;=3),SUM($EA1681:$EE1681)&gt;=2),"Whole sector","")</f>
        <v/>
      </c>
      <c r="EL1681" t="str">
        <f>IF(AND(AND(OR($DX1681=1,$DW1681=1),AND($EC1681=0,$EA1681=0)),SUM($DV1681:$DZ1681,$EF1681)&gt;=3),"Ecosystem approach","")</f>
        <v/>
      </c>
      <c r="EM1681" s="2" t="str">
        <f>IF(AND(AND(AND($DX1681=0,$DW1681=0),OR($EC1681=1,$EA1681=1)),SUM($EB1681:$EE1681)&gt;=2),"Technology approach","")</f>
        <v/>
      </c>
      <c r="EP1681" t="b">
        <f>IF(ISNUMBER(BU1681),IF(ABS(BU1681-[5]QC_indicators!$B$2)&gt;3*[5]QC_indicators!$C$2,"C ratio",IF(ISNUMBER(BY1681),IF(ABS(BY1681-[5]QC_indicators!$B$1)&gt;3*[5]QC_indicators!$C$1,"DF","no"))),IF(ISNUMBER(BY1681),IF(ABS(BY1681-[5]QC_indicators!$B$1)&gt;3*[5]QC_indicators!$C$1,"DF","no")))</f>
        <v>0</v>
      </c>
    </row>
    <row r="1682" spans="1:150">
      <c r="A1682" s="1" t="s">
        <v>4833</v>
      </c>
      <c r="B1682" t="s">
        <v>4834</v>
      </c>
      <c r="C1682" t="s">
        <v>4835</v>
      </c>
      <c r="D1682" t="s">
        <v>4836</v>
      </c>
      <c r="E1682" t="s">
        <v>4837</v>
      </c>
      <c r="F1682" t="s">
        <v>4838</v>
      </c>
      <c r="G1682" t="s">
        <v>4839</v>
      </c>
      <c r="H1682" t="s">
        <v>254</v>
      </c>
      <c r="I1682">
        <v>2020</v>
      </c>
      <c r="J1682">
        <v>18</v>
      </c>
      <c r="K1682" t="s">
        <v>4840</v>
      </c>
      <c r="M1682" t="str">
        <f>LEFT($D1682,FIND(",",$D1682)-1)&amp;"_"&amp;I1682&amp;L1682</f>
        <v>Kohl_2020</v>
      </c>
      <c r="N1682" t="s">
        <v>1352</v>
      </c>
      <c r="O1682" s="145" t="s">
        <v>513</v>
      </c>
      <c r="Q1682" s="312" t="s">
        <v>256</v>
      </c>
      <c r="R1682" s="313"/>
      <c r="AX1682" s="141"/>
      <c r="AY1682" s="141"/>
      <c r="BE1682"/>
      <c r="BF1682" s="2"/>
      <c r="BU1682" s="144"/>
      <c r="BY1682" t="str">
        <f>IFERROR(BX1682/BO1682,"")</f>
        <v/>
      </c>
      <c r="CN1682"/>
      <c r="CO1682"/>
      <c r="CP1682"/>
      <c r="CQ1682"/>
      <c r="CR1682"/>
      <c r="CS1682"/>
      <c r="CT1682"/>
      <c r="CU1682"/>
      <c r="CV1682" s="2"/>
      <c r="CX1682"/>
      <c r="DC1682"/>
      <c r="DI1682"/>
      <c r="DJ1682"/>
      <c r="DK1682"/>
      <c r="DL1682"/>
      <c r="DM1682"/>
      <c r="DN1682"/>
      <c r="DT1682"/>
      <c r="DU1682" s="143"/>
      <c r="EK1682" t="str">
        <f>IF(AND(AND(AND(OR($DX1682=1,$DW1682=1),OR($EC1682=1,$EA1682=1)),SUM($DV1682:$DZ1682,$EF1682)&gt;=3),SUM($EA1682:$EE1682)&gt;=2),"Whole sector","")</f>
        <v/>
      </c>
      <c r="EL1682" t="str">
        <f>IF(AND(AND(OR($DX1682=1,$DW1682=1),AND($EC1682=0,$EA1682=0)),SUM($DV1682:$DZ1682,$EF1682)&gt;=3),"Ecosystem approach","")</f>
        <v/>
      </c>
      <c r="EM1682" s="2" t="str">
        <f>IF(AND(AND(AND($DX1682=0,$DW1682=0),OR($EC1682=1,$EA1682=1)),SUM($EB1682:$EE1682)&gt;=2),"Technology approach","")</f>
        <v/>
      </c>
      <c r="EO1682" t="s">
        <v>450</v>
      </c>
      <c r="EP1682" t="b">
        <f>IF(ISNUMBER(BU1682),IF(ABS(BU1682-[5]QC_indicators!$B$2)&gt;3*[5]QC_indicators!$C$2,"C ratio",IF(ISNUMBER(BY1682),IF(ABS(BY1682-[5]QC_indicators!$B$1)&gt;3*[5]QC_indicators!$C$1,"DF","no"))),IF(ISNUMBER(BY1682),IF(ABS(BY1682-[5]QC_indicators!$B$1)&gt;3*[5]QC_indicators!$C$1,"DF","no")))</f>
        <v>0</v>
      </c>
    </row>
    <row r="1683" spans="1:150">
      <c r="A1683" s="1" t="s">
        <v>1636</v>
      </c>
      <c r="B1683" t="s">
        <v>4841</v>
      </c>
      <c r="C1683" t="s">
        <v>4842</v>
      </c>
      <c r="D1683" t="s">
        <v>4843</v>
      </c>
      <c r="E1683" t="s">
        <v>4844</v>
      </c>
      <c r="F1683" t="s">
        <v>4845</v>
      </c>
      <c r="G1683" t="s">
        <v>1642</v>
      </c>
      <c r="H1683" t="s">
        <v>254</v>
      </c>
      <c r="I1683">
        <v>2020</v>
      </c>
      <c r="J1683">
        <v>2</v>
      </c>
      <c r="K1683" t="s">
        <v>4846</v>
      </c>
      <c r="M1683" t="str">
        <f>LEFT($D1683,FIND(",",$D1683)-1)&amp;"_"&amp;I1683&amp;L1683</f>
        <v>Krause_2020</v>
      </c>
      <c r="N1683" t="s">
        <v>1352</v>
      </c>
      <c r="O1683" s="145" t="s">
        <v>225</v>
      </c>
      <c r="Q1683" s="312" t="s">
        <v>256</v>
      </c>
      <c r="R1683" s="313"/>
      <c r="U1683" s="143"/>
      <c r="AX1683" s="141"/>
      <c r="AY1683" s="141"/>
      <c r="BE1683"/>
      <c r="BF1683" s="2"/>
      <c r="BG1683" s="142"/>
      <c r="BJ1683" s="143"/>
      <c r="BL1683" s="143"/>
      <c r="BM1683" s="163"/>
      <c r="BN1683" s="158"/>
      <c r="BO1683" s="143"/>
      <c r="BR1683" s="143"/>
      <c r="BU1683" s="144"/>
      <c r="BV1683" s="176"/>
      <c r="BW1683" s="176"/>
      <c r="BX1683" s="176"/>
      <c r="BY1683" t="str">
        <f>IFERROR(BX1683/BO1683,"")</f>
        <v/>
      </c>
      <c r="CN1683"/>
      <c r="CO1683"/>
      <c r="CP1683"/>
      <c r="CQ1683"/>
      <c r="CR1683"/>
      <c r="CS1683"/>
      <c r="CT1683"/>
      <c r="CU1683"/>
      <c r="CV1683" s="2"/>
      <c r="CX1683"/>
      <c r="DA1683" s="143"/>
      <c r="DB1683" s="143"/>
      <c r="DC1683"/>
      <c r="DI1683"/>
      <c r="DJ1683"/>
      <c r="DK1683"/>
      <c r="DL1683"/>
      <c r="DM1683"/>
      <c r="DN1683"/>
      <c r="DP1683" s="143"/>
      <c r="DQ1683" s="143"/>
      <c r="DS1683" s="143"/>
      <c r="DT1683"/>
      <c r="DU1683" s="143"/>
      <c r="DV1683" s="143"/>
      <c r="DW1683" s="143"/>
      <c r="EB1683" s="143"/>
      <c r="ED1683" s="143"/>
      <c r="EG1683" s="143"/>
      <c r="EK1683" t="str">
        <f>IF(AND(AND(AND(OR($DX1683=1,$DW1683=1),OR($EC1683=1,$EA1683=1)),SUM($DV1683:$DZ1683,$EF1683)&gt;=3),SUM($EA1683:$EE1683)&gt;=2),"Whole sector","")</f>
        <v/>
      </c>
      <c r="EL1683" t="str">
        <f>IF(AND(AND(OR($DX1683=1,$DW1683=1),AND($EC1683=0,$EA1683=0)),SUM($DV1683:$DZ1683,$EF1683)&gt;=3),"Ecosystem approach","")</f>
        <v/>
      </c>
      <c r="EM1683" s="2" t="str">
        <f>IF(AND(AND(AND($DX1683=0,$DW1683=0),OR($EC1683=1,$EA1683=1)),SUM($EB1683:$EE1683)&gt;=2),"Technology approach","")</f>
        <v/>
      </c>
      <c r="EO1683" t="s">
        <v>450</v>
      </c>
      <c r="EP1683" t="b">
        <f>IF(ISNUMBER(BU1683),IF(ABS(BU1683-[5]QC_indicators!$B$2)&gt;3*[5]QC_indicators!$C$2,"C ratio",IF(ISNUMBER(BY1683),IF(ABS(BY1683-[5]QC_indicators!$B$1)&gt;3*[5]QC_indicators!$C$1,"DF","no"))),IF(ISNUMBER(BY1683),IF(ABS(BY1683-[5]QC_indicators!$B$1)&gt;3*[5]QC_indicators!$C$1,"DF","no")))</f>
        <v>0</v>
      </c>
    </row>
    <row r="1684" spans="1:150">
      <c r="A1684" s="1" t="s">
        <v>656</v>
      </c>
      <c r="B1684" t="s">
        <v>4847</v>
      </c>
      <c r="C1684" t="s">
        <v>4848</v>
      </c>
      <c r="D1684" t="s">
        <v>4849</v>
      </c>
      <c r="E1684" t="s">
        <v>4850</v>
      </c>
      <c r="F1684" t="s">
        <v>4851</v>
      </c>
      <c r="G1684" t="s">
        <v>662</v>
      </c>
      <c r="H1684" t="s">
        <v>254</v>
      </c>
      <c r="I1684">
        <v>2022</v>
      </c>
      <c r="J1684">
        <v>2</v>
      </c>
      <c r="K1684" t="s">
        <v>4852</v>
      </c>
      <c r="M1684" t="str">
        <f>LEFT($D1684,FIND(",",$D1684)-1)&amp;"_"&amp;I1684&amp;L1684</f>
        <v>Kuhmaier_2022</v>
      </c>
      <c r="N1684" t="s">
        <v>1352</v>
      </c>
      <c r="AX1684" s="141">
        <f>COUNTIF(V1684:AW1684,"&lt;&gt;0")</f>
        <v>28</v>
      </c>
      <c r="AY1684">
        <f>COUNTIF(V1684:AL1684,"&lt;&gt;0")</f>
        <v>17</v>
      </c>
      <c r="BE1684"/>
      <c r="BF1684" s="2"/>
      <c r="BY1684" t="str">
        <f>IFERROR(BX1684/BO1684,"")</f>
        <v/>
      </c>
      <c r="CN1684"/>
      <c r="CO1684"/>
      <c r="CP1684"/>
      <c r="CQ1684"/>
      <c r="CR1684"/>
      <c r="CS1684"/>
      <c r="CT1684"/>
      <c r="CU1684"/>
      <c r="CV1684" s="2"/>
      <c r="CX1684"/>
      <c r="DC1684"/>
      <c r="DI1684"/>
      <c r="DJ1684"/>
      <c r="DK1684"/>
      <c r="DL1684"/>
      <c r="DM1684"/>
      <c r="DN1684"/>
      <c r="DT1684"/>
      <c r="DU1684"/>
      <c r="EK1684" t="str">
        <f>IF(AND(AND(AND(OR($DX1684=1,$DW1684=1),OR($EC1684=1,$EA1684=1)),SUM($DV1684:$DZ1684,$EF1684)&gt;=3),SUM($EA1684:$EE1684)&gt;=2),"Whole sector","")</f>
        <v/>
      </c>
      <c r="EL1684" t="str">
        <f>IF(AND(AND(OR($DX1684=1,$DW1684=1),AND($EC1684=0,$EA1684=0)),SUM($DV1684:$DZ1684,$EF1684)&gt;=3),"Ecosystem approach","")</f>
        <v/>
      </c>
      <c r="EM1684" s="2" t="str">
        <f>IF(AND(AND(AND($DX1684=0,$DW1684=0),OR($EC1684=1,$EA1684=1)),SUM($EB1684:$EE1684)&gt;=2),"Technology approach","")</f>
        <v/>
      </c>
      <c r="EP1684" t="b">
        <f>IF(ISNUMBER(BU1684),IF(ABS(BU1684-[5]QC_indicators!$B$2)&gt;3*[5]QC_indicators!$C$2,"C ratio",IF(ISNUMBER(BY1684),IF(ABS(BY1684-[5]QC_indicators!$B$1)&gt;3*[5]QC_indicators!$C$1,"DF","no"))),IF(ISNUMBER(BY1684),IF(ABS(BY1684-[5]QC_indicators!$B$1)&gt;3*[5]QC_indicators!$C$1,"DF","no")))</f>
        <v>0</v>
      </c>
    </row>
    <row r="1685" spans="1:150">
      <c r="A1685" s="1" t="s">
        <v>4293</v>
      </c>
      <c r="B1685" t="s">
        <v>4853</v>
      </c>
      <c r="C1685" t="s">
        <v>4854</v>
      </c>
      <c r="D1685" t="s">
        <v>4855</v>
      </c>
      <c r="E1685" t="s">
        <v>4856</v>
      </c>
      <c r="F1685" t="s">
        <v>4857</v>
      </c>
      <c r="G1685" t="s">
        <v>4299</v>
      </c>
      <c r="H1685" t="s">
        <v>254</v>
      </c>
      <c r="I1685">
        <v>2016</v>
      </c>
      <c r="J1685">
        <v>4</v>
      </c>
      <c r="K1685" t="s">
        <v>4858</v>
      </c>
      <c r="M1685" t="str">
        <f>LEFT($D1685,FIND(",",$D1685)-1)&amp;"_"&amp;I1685&amp;L1685</f>
        <v>Laurent_2016</v>
      </c>
      <c r="N1685" t="s">
        <v>1352</v>
      </c>
      <c r="O1685" s="145" t="s">
        <v>225</v>
      </c>
      <c r="Q1685" s="312" t="s">
        <v>256</v>
      </c>
      <c r="R1685" s="313"/>
      <c r="U1685" s="143"/>
      <c r="AX1685" s="141"/>
      <c r="AY1685" s="141"/>
      <c r="BE1685"/>
      <c r="BF1685" s="2"/>
      <c r="BG1685" s="142"/>
      <c r="BJ1685" s="143"/>
      <c r="BL1685" s="143"/>
      <c r="BM1685" s="163"/>
      <c r="BN1685" s="158"/>
      <c r="BO1685" s="143"/>
      <c r="BP1685" s="143"/>
      <c r="BQ1685" s="143"/>
      <c r="BS1685" s="143"/>
      <c r="BU1685" s="144"/>
      <c r="BY1685" t="str">
        <f>IFERROR(BX1685/BO1685,"")</f>
        <v/>
      </c>
      <c r="CN1685"/>
      <c r="CO1685"/>
      <c r="CP1685"/>
      <c r="CQ1685"/>
      <c r="CR1685"/>
      <c r="CS1685"/>
      <c r="CT1685"/>
      <c r="CU1685"/>
      <c r="CV1685" s="2"/>
      <c r="CX1685"/>
      <c r="DA1685" s="143"/>
      <c r="DB1685" s="143"/>
      <c r="DC1685"/>
      <c r="DI1685"/>
      <c r="DJ1685"/>
      <c r="DK1685"/>
      <c r="DL1685"/>
      <c r="DM1685"/>
      <c r="DN1685"/>
      <c r="DP1685" s="143"/>
      <c r="DQ1685" s="143"/>
      <c r="DS1685" s="143"/>
      <c r="DT1685"/>
      <c r="DU1685" s="143"/>
      <c r="DV1685" s="143"/>
      <c r="DW1685" s="143"/>
      <c r="EB1685" s="143"/>
      <c r="ED1685" s="143"/>
      <c r="EG1685" s="143"/>
      <c r="EK1685" t="str">
        <f>IF(AND(AND(AND(OR($DX1685=1,$DW1685=1),OR($EC1685=1,$EA1685=1)),SUM($DV1685:$DZ1685,$EF1685)&gt;=3),SUM($EA1685:$EE1685)&gt;=2),"Whole sector","")</f>
        <v/>
      </c>
      <c r="EL1685" t="str">
        <f>IF(AND(AND(OR($DX1685=1,$DW1685=1),AND($EC1685=0,$EA1685=0)),SUM($DV1685:$DZ1685,$EF1685)&gt;=3),"Ecosystem approach","")</f>
        <v/>
      </c>
      <c r="EM1685" s="2" t="str">
        <f>IF(AND(AND(AND($DX1685=0,$DW1685=0),OR($EC1685=1,$EA1685=1)),SUM($EB1685:$EE1685)&gt;=2),"Technology approach","")</f>
        <v/>
      </c>
      <c r="EN1685" t="s">
        <v>4859</v>
      </c>
      <c r="EO1685" t="s">
        <v>450</v>
      </c>
      <c r="EP1685" t="b">
        <f>IF(ISNUMBER(BU1685),IF(ABS(BU1685-[5]QC_indicators!$B$2)&gt;3*[5]QC_indicators!$C$2,"C ratio",IF(ISNUMBER(BY1685),IF(ABS(BY1685-[5]QC_indicators!$B$1)&gt;3*[5]QC_indicators!$C$1,"DF","no"))),IF(ISNUMBER(BY1685),IF(ABS(BY1685-[5]QC_indicators!$B$1)&gt;3*[5]QC_indicators!$C$1,"DF","no")))</f>
        <v>0</v>
      </c>
    </row>
    <row r="1686" spans="1:150">
      <c r="A1686" s="1" t="s">
        <v>1138</v>
      </c>
      <c r="B1686" t="s">
        <v>4860</v>
      </c>
      <c r="C1686" t="s">
        <v>4861</v>
      </c>
      <c r="D1686" t="s">
        <v>4862</v>
      </c>
      <c r="E1686" t="s">
        <v>4863</v>
      </c>
      <c r="F1686" t="s">
        <v>4864</v>
      </c>
      <c r="G1686" t="s">
        <v>1139</v>
      </c>
      <c r="H1686" t="s">
        <v>254</v>
      </c>
      <c r="I1686">
        <v>2022</v>
      </c>
      <c r="J1686">
        <v>1</v>
      </c>
      <c r="K1686" t="s">
        <v>4865</v>
      </c>
      <c r="M1686" t="str">
        <f>LEFT($D1686,FIND(",",$D1686)-1)&amp;"_"&amp;I1686&amp;L1686</f>
        <v>Ledermann_2022</v>
      </c>
      <c r="N1686" t="s">
        <v>1352</v>
      </c>
      <c r="AX1686" s="141">
        <f>COUNTIF(V1686:AW1686,"&lt;&gt;0")</f>
        <v>28</v>
      </c>
      <c r="AY1686">
        <f>COUNTIF(V1686:AL1686,"&lt;&gt;0")</f>
        <v>17</v>
      </c>
      <c r="BE1686"/>
      <c r="BF1686" s="2"/>
      <c r="BY1686" t="str">
        <f>IFERROR(BX1686/BO1686,"")</f>
        <v/>
      </c>
      <c r="CN1686"/>
      <c r="CO1686"/>
      <c r="CP1686"/>
      <c r="CQ1686"/>
      <c r="CR1686"/>
      <c r="CS1686"/>
      <c r="CT1686"/>
      <c r="CU1686"/>
      <c r="CV1686" s="2"/>
      <c r="CX1686"/>
      <c r="DC1686"/>
      <c r="DI1686"/>
      <c r="DJ1686"/>
      <c r="DK1686"/>
      <c r="DL1686"/>
      <c r="DM1686"/>
      <c r="DN1686"/>
      <c r="DT1686"/>
      <c r="DU1686"/>
      <c r="EK1686" t="str">
        <f>IF(AND(AND(AND(OR($DX1686=1,$DW1686=1),OR($EC1686=1,$EA1686=1)),SUM($DV1686:$DZ1686,$EF1686)&gt;=3),SUM($EA1686:$EE1686)&gt;=2),"Whole sector","")</f>
        <v/>
      </c>
      <c r="EL1686" t="str">
        <f>IF(AND(AND(OR($DX1686=1,$DW1686=1),AND($EC1686=0,$EA1686=0)),SUM($DV1686:$DZ1686,$EF1686)&gt;=3),"Ecosystem approach","")</f>
        <v/>
      </c>
      <c r="EM1686" s="2" t="str">
        <f>IF(AND(AND(AND($DX1686=0,$DW1686=0),OR($EC1686=1,$EA1686=1)),SUM($EB1686:$EE1686)&gt;=2),"Technology approach","")</f>
        <v/>
      </c>
      <c r="EP1686" t="b">
        <f>IF(ISNUMBER(BU1686),IF(ABS(BU1686-[5]QC_indicators!$B$2)&gt;3*[5]QC_indicators!$C$2,"C ratio",IF(ISNUMBER(BY1686),IF(ABS(BY1686-[5]QC_indicators!$B$1)&gt;3*[5]QC_indicators!$C$1,"DF","no"))),IF(ISNUMBER(BY1686),IF(ABS(BY1686-[5]QC_indicators!$B$1)&gt;3*[5]QC_indicators!$C$1,"DF","no")))</f>
        <v>0</v>
      </c>
    </row>
    <row r="1687" spans="1:150">
      <c r="A1687" s="1" t="s">
        <v>1972</v>
      </c>
      <c r="B1687" t="s">
        <v>4866</v>
      </c>
      <c r="C1687" t="s">
        <v>544</v>
      </c>
      <c r="D1687" t="s">
        <v>4867</v>
      </c>
      <c r="E1687" t="s">
        <v>4868</v>
      </c>
      <c r="F1687" t="s">
        <v>4869</v>
      </c>
      <c r="G1687" t="s">
        <v>1978</v>
      </c>
      <c r="H1687" t="s">
        <v>254</v>
      </c>
      <c r="I1687">
        <v>2016</v>
      </c>
      <c r="J1687">
        <v>11</v>
      </c>
      <c r="K1687" t="s">
        <v>4870</v>
      </c>
      <c r="M1687" t="str">
        <f>LEFT($D1687,FIND(",",$D1687)-1)&amp;"_"&amp;I1687&amp;L1687</f>
        <v>Pilli_2016</v>
      </c>
      <c r="N1687" t="s">
        <v>1352</v>
      </c>
      <c r="O1687" s="171" t="s">
        <v>513</v>
      </c>
      <c r="P1687" t="s">
        <v>341</v>
      </c>
      <c r="Q1687" s="312" t="s">
        <v>389</v>
      </c>
      <c r="R1687" s="313"/>
      <c r="AX1687" s="141"/>
      <c r="AY1687" s="141"/>
      <c r="BE1687"/>
      <c r="BF1687" s="2"/>
      <c r="BG1687" s="142"/>
      <c r="BJ1687" s="143"/>
      <c r="BL1687" s="143"/>
      <c r="BN1687" s="158"/>
      <c r="BO1687" s="143"/>
      <c r="BU1687" s="144"/>
      <c r="BY1687" t="str">
        <f>IFERROR(BX1687/BO1687,"")</f>
        <v/>
      </c>
      <c r="CN1687"/>
      <c r="CO1687"/>
      <c r="CP1687"/>
      <c r="CQ1687"/>
      <c r="CR1687"/>
      <c r="CS1687"/>
      <c r="CT1687"/>
      <c r="CU1687"/>
      <c r="CV1687" s="2"/>
      <c r="CX1687"/>
      <c r="DA1687" s="143"/>
      <c r="DB1687" s="143"/>
      <c r="DC1687"/>
      <c r="DI1687"/>
      <c r="DJ1687"/>
      <c r="DK1687"/>
      <c r="DL1687"/>
      <c r="DM1687"/>
      <c r="DN1687"/>
      <c r="DT1687"/>
      <c r="DU1687" s="143"/>
      <c r="DV1687" s="143"/>
      <c r="DW1687" s="143"/>
      <c r="DX1687" s="143"/>
      <c r="DY1687" s="143"/>
      <c r="EB1687" s="143"/>
      <c r="EC1687" s="143"/>
      <c r="ED1687" s="143"/>
      <c r="EG1687" s="143"/>
      <c r="EK1687" t="str">
        <f>IF(AND(AND(AND(OR($DX1687=1,$DW1687=1),OR($EC1687=1,$EA1687=1)),SUM($DV1687:$DZ1687,$EF1687)&gt;=3),SUM($EA1687:$EE1687)&gt;=2),"Whole sector","")</f>
        <v/>
      </c>
      <c r="EL1687" t="str">
        <f>IF(AND(AND(OR($DX1687=1,$DW1687=1),AND($EC1687=0,$EA1687=0)),SUM($DV1687:$DZ1687,$EF1687)&gt;=3),"Ecosystem approach","")</f>
        <v/>
      </c>
      <c r="EM1687" s="2" t="str">
        <f>IF(AND(AND(AND($DX1687=0,$DW1687=0),OR($EC1687=1,$EA1687=1)),SUM($EB1687:$EE1687)&gt;=2),"Technology approach","")</f>
        <v/>
      </c>
      <c r="EP1687" t="b">
        <f>IF(ISNUMBER(BU1687),IF(ABS(BU1687-[5]QC_indicators!$B$2)&gt;3*[5]QC_indicators!$C$2,"C ratio",IF(ISNUMBER(BY1687),IF(ABS(BY1687-[5]QC_indicators!$B$1)&gt;3*[5]QC_indicators!$C$1,"DF","no"))),IF(ISNUMBER(BY1687),IF(ABS(BY1687-[5]QC_indicators!$B$1)&gt;3*[5]QC_indicators!$C$1,"DF","no")))</f>
        <v>0</v>
      </c>
    </row>
    <row r="1688" spans="1:150">
      <c r="A1688" s="1" t="s">
        <v>4871</v>
      </c>
      <c r="B1688" t="s">
        <v>4872</v>
      </c>
      <c r="C1688" t="s">
        <v>4873</v>
      </c>
      <c r="D1688" t="s">
        <v>4874</v>
      </c>
      <c r="E1688" t="s">
        <v>4875</v>
      </c>
      <c r="F1688" t="s">
        <v>4876</v>
      </c>
      <c r="G1688" t="s">
        <v>4877</v>
      </c>
      <c r="H1688" t="s">
        <v>254</v>
      </c>
      <c r="I1688">
        <v>2014</v>
      </c>
      <c r="J1688">
        <v>64</v>
      </c>
      <c r="K1688" t="s">
        <v>4878</v>
      </c>
      <c r="M1688" t="str">
        <f>LEFT($D1688,FIND(",",$D1688)-1)&amp;"_"&amp;I1688&amp;L1688</f>
        <v>Stocker_2014</v>
      </c>
      <c r="N1688" t="s">
        <v>1352</v>
      </c>
      <c r="O1688" s="145" t="s">
        <v>341</v>
      </c>
      <c r="Q1688" s="312" t="s">
        <v>256</v>
      </c>
      <c r="R1688" s="313"/>
      <c r="AX1688" s="141"/>
      <c r="AY1688" s="141"/>
      <c r="BE1688"/>
      <c r="BF1688" s="2"/>
      <c r="BU1688" s="144"/>
      <c r="BY1688" t="str">
        <f>IFERROR(BX1688/BO1688,"")</f>
        <v/>
      </c>
      <c r="CN1688"/>
      <c r="CO1688"/>
      <c r="CP1688"/>
      <c r="CQ1688"/>
      <c r="CR1688"/>
      <c r="CS1688"/>
      <c r="CT1688"/>
      <c r="CU1688"/>
      <c r="CV1688" s="2"/>
      <c r="CX1688"/>
      <c r="DC1688"/>
      <c r="DI1688"/>
      <c r="DJ1688"/>
      <c r="DK1688"/>
      <c r="DL1688"/>
      <c r="DM1688"/>
      <c r="DN1688"/>
      <c r="DT1688"/>
      <c r="DU1688" s="143"/>
      <c r="EK1688" t="str">
        <f>IF(AND(AND(AND(OR($DX1688=1,$DW1688=1),OR($EC1688=1,$EA1688=1)),SUM($DV1688:$DZ1688,$EF1688)&gt;=3),SUM($EA1688:$EE1688)&gt;=2),"Whole sector","")</f>
        <v/>
      </c>
      <c r="EL1688" t="str">
        <f>IF(AND(AND(OR($DX1688=1,$DW1688=1),AND($EC1688=0,$EA1688=0)),SUM($DV1688:$DZ1688,$EF1688)&gt;=3),"Ecosystem approach","")</f>
        <v/>
      </c>
      <c r="EM1688" s="2" t="str">
        <f>IF(AND(AND(AND($DX1688=0,$DW1688=0),OR($EC1688=1,$EA1688=1)),SUM($EB1688:$EE1688)&gt;=2),"Technology approach","")</f>
        <v/>
      </c>
      <c r="EN1688" t="s">
        <v>4879</v>
      </c>
      <c r="EO1688" t="s">
        <v>450</v>
      </c>
      <c r="EP1688" t="b">
        <f>IF(ISNUMBER(BU1688),IF(ABS(BU1688-[5]QC_indicators!$B$2)&gt;3*[5]QC_indicators!$C$2,"C ratio",IF(ISNUMBER(BY1688),IF(ABS(BY1688-[5]QC_indicators!$B$1)&gt;3*[5]QC_indicators!$C$1,"DF","no"))),IF(ISNUMBER(BY1688),IF(ABS(BY1688-[5]QC_indicators!$B$1)&gt;3*[5]QC_indicators!$C$1,"DF","no")))</f>
        <v>0</v>
      </c>
    </row>
    <row r="1689" spans="1:150">
      <c r="A1689" s="1" t="s">
        <v>599</v>
      </c>
      <c r="B1689" t="s">
        <v>4880</v>
      </c>
      <c r="C1689" t="s">
        <v>4881</v>
      </c>
      <c r="D1689" t="s">
        <v>4882</v>
      </c>
      <c r="E1689" t="s">
        <v>4883</v>
      </c>
      <c r="F1689" t="s">
        <v>4884</v>
      </c>
      <c r="G1689" t="s">
        <v>605</v>
      </c>
      <c r="H1689" t="s">
        <v>254</v>
      </c>
      <c r="I1689">
        <v>2021</v>
      </c>
      <c r="J1689">
        <v>0</v>
      </c>
      <c r="K1689" t="s">
        <v>4885</v>
      </c>
      <c r="M1689" t="str">
        <f>LEFT($D1689,FIND(",",$D1689)-1)&amp;"_"&amp;I1689&amp;L1689</f>
        <v>Thamboo_2021</v>
      </c>
      <c r="N1689" t="s">
        <v>1352</v>
      </c>
      <c r="O1689" s="145" t="s">
        <v>1154</v>
      </c>
      <c r="Q1689" s="312" t="s">
        <v>256</v>
      </c>
      <c r="R1689" s="313"/>
      <c r="AX1689" s="141"/>
      <c r="AY1689" s="141"/>
      <c r="BE1689"/>
      <c r="BF1689" s="2"/>
      <c r="BM1689" s="143"/>
      <c r="BN1689" s="143"/>
      <c r="BP1689" s="143"/>
      <c r="BQ1689" s="143"/>
      <c r="BU1689" s="144"/>
      <c r="BY1689" t="str">
        <f>IFERROR(BX1689/BO1689,"")</f>
        <v/>
      </c>
      <c r="CN1689"/>
      <c r="CO1689"/>
      <c r="CP1689"/>
      <c r="CQ1689"/>
      <c r="CR1689"/>
      <c r="CS1689"/>
      <c r="CT1689"/>
      <c r="CU1689"/>
      <c r="CV1689" s="2"/>
      <c r="CX1689"/>
      <c r="DC1689"/>
      <c r="DI1689"/>
      <c r="DJ1689"/>
      <c r="DK1689"/>
      <c r="DL1689"/>
      <c r="DM1689"/>
      <c r="DN1689"/>
      <c r="DT1689"/>
      <c r="DU1689" s="143"/>
      <c r="EK1689" t="str">
        <f>IF(AND(AND(AND(OR($DX1689=1,$DW1689=1),OR($EC1689=1,$EA1689=1)),SUM($DV1689:$DZ1689,$EF1689)&gt;=3),SUM($EA1689:$EE1689)&gt;=2),"Whole sector","")</f>
        <v/>
      </c>
      <c r="EL1689" t="str">
        <f>IF(AND(AND(OR($DX1689=1,$DW1689=1),AND($EC1689=0,$EA1689=0)),SUM($DV1689:$DZ1689,$EF1689)&gt;=3),"Ecosystem approach","")</f>
        <v/>
      </c>
      <c r="EM1689" s="2" t="str">
        <f>IF(AND(AND(AND($DX1689=0,$DW1689=0),OR($EC1689=1,$EA1689=1)),SUM($EB1689:$EE1689)&gt;=2),"Technology approach","")</f>
        <v/>
      </c>
      <c r="EN1689" t="s">
        <v>4886</v>
      </c>
      <c r="EO1689" t="s">
        <v>4329</v>
      </c>
      <c r="EP1689" t="b">
        <f>IF(ISNUMBER(BU1689),IF(ABS(BU1689-[5]QC_indicators!$B$2)&gt;3*[5]QC_indicators!$C$2,"C ratio",IF(ISNUMBER(BY1689),IF(ABS(BY1689-[5]QC_indicators!$B$1)&gt;3*[5]QC_indicators!$C$1,"DF","no"))),IF(ISNUMBER(BY1689),IF(ABS(BY1689-[5]QC_indicators!$B$1)&gt;3*[5]QC_indicators!$C$1,"DF","no")))</f>
        <v>0</v>
      </c>
    </row>
    <row r="1690" spans="1:150">
      <c r="A1690" s="1" t="s">
        <v>380</v>
      </c>
      <c r="B1690" t="s">
        <v>4887</v>
      </c>
      <c r="C1690" t="s">
        <v>4888</v>
      </c>
      <c r="D1690" t="s">
        <v>4889</v>
      </c>
      <c r="E1690" t="s">
        <v>4890</v>
      </c>
      <c r="F1690" t="s">
        <v>4891</v>
      </c>
      <c r="G1690" t="s">
        <v>386</v>
      </c>
      <c r="H1690" t="s">
        <v>254</v>
      </c>
      <c r="I1690">
        <v>2014</v>
      </c>
      <c r="J1690">
        <v>12</v>
      </c>
      <c r="K1690" t="s">
        <v>4892</v>
      </c>
      <c r="M1690" t="str">
        <f>LEFT($D1690,FIND(",",$D1690)-1)&amp;"_"&amp;I1690&amp;L1690</f>
        <v>Timmermann_2014</v>
      </c>
      <c r="N1690" t="s">
        <v>1352</v>
      </c>
      <c r="O1690" s="145" t="s">
        <v>1154</v>
      </c>
      <c r="Q1690" s="312" t="s">
        <v>256</v>
      </c>
      <c r="R1690" s="313"/>
      <c r="AX1690" s="141"/>
      <c r="AY1690" s="141"/>
      <c r="BE1690"/>
      <c r="BF1690" s="2"/>
      <c r="BM1690" s="143"/>
      <c r="BN1690" s="143"/>
      <c r="BP1690" s="143"/>
      <c r="BQ1690" s="143"/>
      <c r="BU1690" s="144"/>
      <c r="BY1690" t="str">
        <f>IFERROR(BX1690/BO1690,"")</f>
        <v/>
      </c>
      <c r="CN1690"/>
      <c r="CO1690"/>
      <c r="CP1690"/>
      <c r="CQ1690"/>
      <c r="CR1690"/>
      <c r="CS1690"/>
      <c r="CT1690"/>
      <c r="CU1690"/>
      <c r="CV1690" s="2"/>
      <c r="CX1690"/>
      <c r="DC1690"/>
      <c r="DI1690"/>
      <c r="DJ1690"/>
      <c r="DK1690"/>
      <c r="DL1690"/>
      <c r="DM1690"/>
      <c r="DN1690"/>
      <c r="DT1690"/>
      <c r="DU1690" s="143"/>
      <c r="EK1690" t="str">
        <f>IF(AND(AND(AND(OR($DX1690=1,$DW1690=1),OR($EC1690=1,$EA1690=1)),SUM($DV1690:$DZ1690,$EF1690)&gt;=3),SUM($EA1690:$EE1690)&gt;=2),"Whole sector","")</f>
        <v/>
      </c>
      <c r="EL1690" t="str">
        <f>IF(AND(AND(OR($DX1690=1,$DW1690=1),AND($EC1690=0,$EA1690=0)),SUM($DV1690:$DZ1690,$EF1690)&gt;=3),"Ecosystem approach","")</f>
        <v/>
      </c>
      <c r="EM1690" s="2" t="str">
        <f>IF(AND(AND(AND($DX1690=0,$DW1690=0),OR($EC1690=1,$EA1690=1)),SUM($EB1690:$EE1690)&gt;=2),"Technology approach","")</f>
        <v/>
      </c>
      <c r="EN1690" t="s">
        <v>4893</v>
      </c>
      <c r="EO1690" t="s">
        <v>4329</v>
      </c>
      <c r="EP1690" t="b">
        <f>IF(ISNUMBER(BU1690),IF(ABS(BU1690-[5]QC_indicators!$B$2)&gt;3*[5]QC_indicators!$C$2,"C ratio",IF(ISNUMBER(BY1690),IF(ABS(BY1690-[5]QC_indicators!$B$1)&gt;3*[5]QC_indicators!$C$1,"DF","no"))),IF(ISNUMBER(BY1690),IF(ABS(BY1690-[5]QC_indicators!$B$1)&gt;3*[5]QC_indicators!$C$1,"DF","no")))</f>
        <v>0</v>
      </c>
    </row>
    <row r="1691" spans="1:150">
      <c r="A1691" s="1" t="s">
        <v>1972</v>
      </c>
      <c r="B1691" t="s">
        <v>4894</v>
      </c>
      <c r="C1691" t="s">
        <v>4895</v>
      </c>
      <c r="D1691" t="s">
        <v>4896</v>
      </c>
      <c r="E1691" t="s">
        <v>4897</v>
      </c>
      <c r="F1691" s="312" t="s">
        <v>4898</v>
      </c>
      <c r="G1691" t="s">
        <v>1978</v>
      </c>
      <c r="H1691" t="s">
        <v>254</v>
      </c>
      <c r="I1691">
        <v>2020</v>
      </c>
      <c r="J1691">
        <v>1</v>
      </c>
      <c r="K1691" t="s">
        <v>4899</v>
      </c>
      <c r="M1691" t="str">
        <f>LEFT($D1691,FIND(",",$D1691)-1)&amp;"_"&amp;I1691&amp;L1691</f>
        <v>Wakelin_2020</v>
      </c>
      <c r="N1691" t="s">
        <v>1352</v>
      </c>
      <c r="O1691" s="145" t="s">
        <v>1154</v>
      </c>
      <c r="Q1691" s="312" t="s">
        <v>256</v>
      </c>
      <c r="R1691" s="313"/>
      <c r="AX1691" s="141"/>
      <c r="AY1691" s="141"/>
      <c r="BE1691"/>
      <c r="BF1691" s="2"/>
      <c r="BM1691" s="143"/>
      <c r="BN1691" s="143"/>
      <c r="BP1691" s="143"/>
      <c r="BQ1691" s="143"/>
      <c r="BU1691" s="144"/>
      <c r="BV1691" s="144"/>
      <c r="BW1691" s="144"/>
      <c r="BX1691" s="144"/>
      <c r="BY1691" t="str">
        <f>IFERROR(BX1691/BO1691,"")</f>
        <v/>
      </c>
      <c r="CN1691"/>
      <c r="CO1691"/>
      <c r="CP1691"/>
      <c r="CQ1691"/>
      <c r="CR1691"/>
      <c r="CS1691"/>
      <c r="CT1691"/>
      <c r="CU1691"/>
      <c r="CV1691" s="2"/>
      <c r="CX1691"/>
      <c r="DC1691"/>
      <c r="DI1691"/>
      <c r="DJ1691"/>
      <c r="DK1691"/>
      <c r="DL1691"/>
      <c r="DM1691"/>
      <c r="DN1691"/>
      <c r="DT1691"/>
      <c r="DU1691" s="143"/>
      <c r="EK1691" t="str">
        <f>IF(AND(AND(AND(OR($DX1691=1,$DW1691=1),OR($EC1691=1,$EA1691=1)),SUM($DV1691:$DZ1691,$EF1691)&gt;=3),SUM($EA1691:$EE1691)&gt;=2),"Whole sector","")</f>
        <v/>
      </c>
      <c r="EL1691" t="str">
        <f>IF(AND(AND(OR($DX1691=1,$DW1691=1),AND($EC1691=0,$EA1691=0)),SUM($DV1691:$DZ1691,$EF1691)&gt;=3),"Ecosystem approach","")</f>
        <v/>
      </c>
      <c r="EM1691" s="2" t="str">
        <f>IF(AND(AND(AND($DX1691=0,$DW1691=0),OR($EC1691=1,$EA1691=1)),SUM($EB1691:$EE1691)&gt;=2),"Technology approach","")</f>
        <v/>
      </c>
      <c r="EN1691" t="s">
        <v>4900</v>
      </c>
      <c r="EO1691" t="s">
        <v>4329</v>
      </c>
      <c r="EP1691" t="b">
        <f>IF(ISNUMBER(BU1691),IF(ABS(BU1691-[5]QC_indicators!$B$2)&gt;3*[5]QC_indicators!$C$2,"C ratio",IF(ISNUMBER(BY1691),IF(ABS(BY1691-[5]QC_indicators!$B$1)&gt;3*[5]QC_indicators!$C$1,"DF","no"))),IF(ISNUMBER(BY1691),IF(ABS(BY1691-[5]QC_indicators!$B$1)&gt;3*[5]QC_indicators!$C$1,"DF","no")))</f>
        <v>0</v>
      </c>
      <c r="ER1691" t="s">
        <v>4712</v>
      </c>
    </row>
    <row r="1692" spans="1:150">
      <c r="A1692" s="1" t="s">
        <v>380</v>
      </c>
      <c r="B1692" t="s">
        <v>4901</v>
      </c>
      <c r="C1692" t="s">
        <v>4902</v>
      </c>
      <c r="D1692" t="s">
        <v>4903</v>
      </c>
      <c r="E1692" t="s">
        <v>4904</v>
      </c>
      <c r="F1692" t="s">
        <v>4905</v>
      </c>
      <c r="G1692" t="s">
        <v>386</v>
      </c>
      <c r="H1692" t="s">
        <v>254</v>
      </c>
      <c r="I1692">
        <v>2012</v>
      </c>
      <c r="J1692">
        <v>108</v>
      </c>
      <c r="K1692" t="s">
        <v>4906</v>
      </c>
      <c r="M1692" t="str">
        <f>LEFT($D1692,FIND(",",$D1692)-1)&amp;"_"&amp;I1692&amp;L1692</f>
        <v>Wu_2012</v>
      </c>
      <c r="N1692" t="s">
        <v>1352</v>
      </c>
      <c r="O1692" s="145" t="s">
        <v>1154</v>
      </c>
      <c r="Q1692" s="312" t="s">
        <v>256</v>
      </c>
      <c r="R1692" s="313"/>
      <c r="AX1692" s="141"/>
      <c r="AY1692" s="141"/>
      <c r="BE1692"/>
      <c r="BF1692" s="2"/>
      <c r="BM1692" s="143"/>
      <c r="BN1692" s="143"/>
      <c r="BU1692" s="144"/>
      <c r="BV1692" s="144"/>
      <c r="BW1692" s="144"/>
      <c r="BX1692" s="144"/>
      <c r="BY1692" t="str">
        <f>IFERROR(BX1692/BO1692,"")</f>
        <v/>
      </c>
      <c r="CN1692"/>
      <c r="CO1692"/>
      <c r="CP1692"/>
      <c r="CQ1692"/>
      <c r="CR1692"/>
      <c r="CS1692"/>
      <c r="CT1692"/>
      <c r="CU1692"/>
      <c r="CV1692" s="2"/>
      <c r="CX1692"/>
      <c r="DC1692"/>
      <c r="DI1692"/>
      <c r="DJ1692"/>
      <c r="DK1692"/>
      <c r="DL1692"/>
      <c r="DM1692"/>
      <c r="DN1692"/>
      <c r="DT1692"/>
      <c r="DU1692" s="143"/>
      <c r="EJ1692" s="186"/>
      <c r="EK1692" t="str">
        <f>IF(AND(AND(AND(OR($DX1692=1,$DW1692=1),OR($EC1692=1,$EA1692=1)),SUM($DV1692:$DZ1692,$EF1692)&gt;=3),SUM($EA1692:$EE1692)&gt;=2),"Whole sector","")</f>
        <v/>
      </c>
      <c r="EL1692" t="str">
        <f>IF(AND(AND(OR($DX1692=1,$DW1692=1),AND($EC1692=0,$EA1692=0)),SUM($DV1692:$DZ1692,$EF1692)&gt;=3),"Ecosystem approach","")</f>
        <v/>
      </c>
      <c r="EM1692" s="2" t="str">
        <f>IF(AND(AND(AND($DX1692=0,$DW1692=0),OR($EC1692=1,$EA1692=1)),SUM($EB1692:$EE1692)&gt;=2),"Technology approach","")</f>
        <v/>
      </c>
      <c r="EN1692" t="s">
        <v>4907</v>
      </c>
      <c r="EO1692" t="s">
        <v>4329</v>
      </c>
      <c r="EP1692" t="b">
        <f>IF(ISNUMBER(BU1692),IF(ABS(BU1692-[5]QC_indicators!$B$2)&gt;3*[5]QC_indicators!$C$2,"C ratio",IF(ISNUMBER(BY1692),IF(ABS(BY1692-[5]QC_indicators!$B$1)&gt;3*[5]QC_indicators!$C$1,"DF","no"))),IF(ISNUMBER(BY1692),IF(ABS(BY1692-[5]QC_indicators!$B$1)&gt;3*[5]QC_indicators!$C$1,"DF","no")))</f>
        <v>0</v>
      </c>
      <c r="ET1692" s="185"/>
    </row>
    <row r="1693" spans="1:150">
      <c r="A1693" s="1" t="s">
        <v>333</v>
      </c>
      <c r="B1693" t="s">
        <v>4908</v>
      </c>
      <c r="C1693" t="s">
        <v>4909</v>
      </c>
      <c r="D1693" t="s">
        <v>4910</v>
      </c>
      <c r="E1693" t="s">
        <v>4911</v>
      </c>
      <c r="F1693" t="s">
        <v>4912</v>
      </c>
      <c r="G1693" t="s">
        <v>339</v>
      </c>
      <c r="H1693" t="s">
        <v>254</v>
      </c>
      <c r="I1693">
        <v>2020</v>
      </c>
      <c r="J1693">
        <v>11</v>
      </c>
      <c r="K1693" t="s">
        <v>4913</v>
      </c>
      <c r="M1693" t="str">
        <f>LEFT($D1693,FIND(",",$D1693)-1)&amp;"_"&amp;I1693&amp;L1693</f>
        <v>Yu_2020</v>
      </c>
      <c r="N1693" t="s">
        <v>1352</v>
      </c>
      <c r="O1693" s="145" t="s">
        <v>1154</v>
      </c>
      <c r="Q1693" s="312" t="s">
        <v>256</v>
      </c>
      <c r="R1693" s="313"/>
      <c r="AX1693" s="141"/>
      <c r="AY1693" s="141"/>
      <c r="BE1693"/>
      <c r="BF1693" s="2"/>
      <c r="BM1693" s="143"/>
      <c r="BN1693" s="143"/>
      <c r="BU1693" s="144"/>
      <c r="BV1693" s="144"/>
      <c r="BW1693" s="144"/>
      <c r="BX1693" s="144"/>
      <c r="BY1693" t="str">
        <f>IFERROR(BX1693/BO1693,"")</f>
        <v/>
      </c>
      <c r="CN1693"/>
      <c r="CO1693"/>
      <c r="CP1693"/>
      <c r="CQ1693"/>
      <c r="CR1693"/>
      <c r="CS1693"/>
      <c r="CT1693"/>
      <c r="CU1693"/>
      <c r="CV1693" s="2"/>
      <c r="CX1693"/>
      <c r="DC1693"/>
      <c r="DI1693"/>
      <c r="DJ1693"/>
      <c r="DK1693"/>
      <c r="DL1693"/>
      <c r="DM1693"/>
      <c r="DN1693"/>
      <c r="DT1693"/>
      <c r="DU1693" s="143"/>
      <c r="EJ1693" s="186"/>
      <c r="EK1693" t="str">
        <f>IF(AND(AND(AND(OR($DX1693=1,$DW1693=1),OR($EC1693=1,$EA1693=1)),SUM($DV1693:$DZ1693,$EF1693)&gt;=3),SUM($EA1693:$EE1693)&gt;=2),"Whole sector","")</f>
        <v/>
      </c>
      <c r="EL1693" t="str">
        <f>IF(AND(AND(OR($DX1693=1,$DW1693=1),AND($EC1693=0,$EA1693=0)),SUM($DV1693:$DZ1693,$EF1693)&gt;=3),"Ecosystem approach","")</f>
        <v/>
      </c>
      <c r="EM1693" s="2" t="str">
        <f>IF(AND(AND(AND($DX1693=0,$DW1693=0),OR($EC1693=1,$EA1693=1)),SUM($EB1693:$EE1693)&gt;=2),"Technology approach","")</f>
        <v/>
      </c>
      <c r="EN1693" t="s">
        <v>4914</v>
      </c>
      <c r="EO1693" t="s">
        <v>4329</v>
      </c>
      <c r="EP1693" t="b">
        <f>IF(ISNUMBER(BU1693),IF(ABS(BU1693-[5]QC_indicators!$B$2)&gt;3*[5]QC_indicators!$C$2,"C ratio",IF(ISNUMBER(BY1693),IF(ABS(BY1693-[5]QC_indicators!$B$1)&gt;3*[5]QC_indicators!$C$1,"DF","no"))),IF(ISNUMBER(BY1693),IF(ABS(BY1693-[5]QC_indicators!$B$1)&gt;3*[5]QC_indicators!$C$1,"DF","no")))</f>
        <v>0</v>
      </c>
    </row>
    <row r="1694" spans="1:150">
      <c r="A1694" s="1" t="s">
        <v>4915</v>
      </c>
      <c r="B1694" t="s">
        <v>4916</v>
      </c>
      <c r="C1694" t="s">
        <v>4917</v>
      </c>
      <c r="D1694" t="s">
        <v>4918</v>
      </c>
      <c r="E1694" t="s">
        <v>4919</v>
      </c>
      <c r="F1694" t="s">
        <v>4920</v>
      </c>
      <c r="G1694" t="s">
        <v>4921</v>
      </c>
      <c r="H1694" t="s">
        <v>254</v>
      </c>
      <c r="I1694">
        <v>2022</v>
      </c>
      <c r="J1694">
        <v>0</v>
      </c>
      <c r="K1694" t="s">
        <v>4922</v>
      </c>
      <c r="M1694" t="str">
        <f>LEFT($D1694,FIND(",",$D1694)-1)&amp;"_"&amp;I1694&amp;L1694</f>
        <v>Zargar_2022</v>
      </c>
      <c r="N1694" s="312" t="s">
        <v>1352</v>
      </c>
      <c r="O1694" s="312" t="s">
        <v>223</v>
      </c>
      <c r="Q1694" s="312" t="s">
        <v>389</v>
      </c>
      <c r="R1694" s="313"/>
      <c r="BE1694"/>
      <c r="BF1694" s="2"/>
      <c r="BY1694" t="str">
        <f>IFERROR(BX1694/BO1694,"")</f>
        <v/>
      </c>
      <c r="CN1694"/>
      <c r="CO1694"/>
      <c r="CP1694"/>
      <c r="CQ1694"/>
      <c r="CR1694"/>
      <c r="CS1694"/>
      <c r="CT1694"/>
      <c r="CU1694"/>
      <c r="CV1694" s="2"/>
      <c r="CX1694"/>
      <c r="DC1694"/>
      <c r="DI1694"/>
      <c r="DJ1694"/>
      <c r="DK1694"/>
      <c r="DL1694"/>
      <c r="DM1694"/>
      <c r="DN1694"/>
      <c r="DT1694"/>
      <c r="DU1694"/>
      <c r="EK1694" t="str">
        <f>IF(AND(AND(AND(OR($DX1694=1,$DW1694=1),OR($EC1694=1,$EA1694=1)),SUM($DV1694:$DZ1694,$EF1694)&gt;=3),SUM($EA1694:$EE1694)&gt;=2),"Whole sector","")</f>
        <v/>
      </c>
      <c r="EL1694" t="str">
        <f>IF(AND(AND(OR($DX1694=1,$DW1694=1),AND($EC1694=0,$EA1694=0)),SUM($DV1694:$DZ1694,$EF1694)&gt;=3),"Ecosystem approach","")</f>
        <v/>
      </c>
      <c r="EM1694" s="2" t="str">
        <f>IF(AND(AND(AND($DX1694=0,$DW1694=0),OR($EC1694=1,$EA1694=1)),SUM($EB1694:$EE1694)&gt;=2),"Technology approach","")</f>
        <v/>
      </c>
      <c r="EP1694" t="b">
        <f>IF(ISNUMBER(BU1694),IF(ABS(BU1694-[5]QC_indicators!$B$2)&gt;3*[5]QC_indicators!$C$2,"C ratio",IF(ISNUMBER(BY1694),IF(ABS(BY1694-[5]QC_indicators!$B$1)&gt;3*[5]QC_indicators!$C$1,"DF","no"))),IF(ISNUMBER(BY1694),IF(ABS(BY1694-[5]QC_indicators!$B$1)&gt;3*[5]QC_indicators!$C$1,"DF","no")))</f>
        <v>0</v>
      </c>
    </row>
    <row r="1695" spans="1:150">
      <c r="A1695" s="1" t="s">
        <v>1423</v>
      </c>
      <c r="B1695" t="s">
        <v>4923</v>
      </c>
      <c r="C1695" t="s">
        <v>4924</v>
      </c>
      <c r="D1695" t="s">
        <v>4925</v>
      </c>
      <c r="E1695" t="s">
        <v>4926</v>
      </c>
      <c r="F1695" t="s">
        <v>4927</v>
      </c>
      <c r="G1695" t="s">
        <v>1429</v>
      </c>
      <c r="H1695" t="s">
        <v>254</v>
      </c>
      <c r="I1695">
        <v>2018</v>
      </c>
      <c r="J1695">
        <v>9</v>
      </c>
      <c r="K1695" t="s">
        <v>4928</v>
      </c>
      <c r="L1695" t="s">
        <v>4929</v>
      </c>
      <c r="M1695" t="str">
        <f>LEFT($D1695,FIND(",",$D1695)-1)&amp;"_"&amp;I1695&amp;L1695</f>
        <v>Zhang_2018c</v>
      </c>
      <c r="N1695" t="s">
        <v>1352</v>
      </c>
      <c r="O1695" s="145" t="s">
        <v>1154</v>
      </c>
      <c r="Q1695" s="312" t="s">
        <v>256</v>
      </c>
      <c r="R1695" s="313"/>
      <c r="AX1695" s="141"/>
      <c r="AY1695" s="141"/>
      <c r="BE1695"/>
      <c r="BF1695" s="2"/>
      <c r="BM1695" s="143"/>
      <c r="BN1695" s="143"/>
      <c r="BU1695" s="144"/>
      <c r="BV1695" s="144"/>
      <c r="BW1695" s="144"/>
      <c r="BX1695" s="144"/>
      <c r="BY1695" t="str">
        <f>IFERROR(BX1695/BO1695,"")</f>
        <v/>
      </c>
      <c r="CN1695"/>
      <c r="CO1695"/>
      <c r="CP1695"/>
      <c r="CQ1695"/>
      <c r="CR1695"/>
      <c r="CS1695"/>
      <c r="CT1695"/>
      <c r="CU1695"/>
      <c r="CV1695" s="2"/>
      <c r="CX1695"/>
      <c r="DC1695"/>
      <c r="DI1695"/>
      <c r="DJ1695"/>
      <c r="DK1695"/>
      <c r="DL1695"/>
      <c r="DM1695"/>
      <c r="DN1695"/>
      <c r="DT1695"/>
      <c r="DU1695" s="143"/>
      <c r="EJ1695" s="186"/>
      <c r="EK1695" t="str">
        <f>IF(AND(AND(AND(OR($DX1695=1,$DW1695=1),OR($EC1695=1,$EA1695=1)),SUM($DV1695:$DZ1695,$EF1695)&gt;=3),SUM($EA1695:$EE1695)&gt;=2),"Whole sector","")</f>
        <v/>
      </c>
      <c r="EL1695" t="str">
        <f>IF(AND(AND(OR($DX1695=1,$DW1695=1),AND($EC1695=0,$EA1695=0)),SUM($DV1695:$DZ1695,$EF1695)&gt;=3),"Ecosystem approach","")</f>
        <v/>
      </c>
      <c r="EM1695" s="2" t="str">
        <f>IF(AND(AND(AND($DX1695=0,$DW1695=0),OR($EC1695=1,$EA1695=1)),SUM($EB1695:$EE1695)&gt;=2),"Technology approach","")</f>
        <v/>
      </c>
      <c r="EN1695" t="s">
        <v>4930</v>
      </c>
      <c r="EO1695" t="s">
        <v>4329</v>
      </c>
      <c r="EP1695" t="b">
        <f>IF(ISNUMBER(BU1695),IF(ABS(BU1695-[5]QC_indicators!$B$2)&gt;3*[5]QC_indicators!$C$2,"C ratio",IF(ISNUMBER(BY1695),IF(ABS(BY1695-[5]QC_indicators!$B$1)&gt;3*[5]QC_indicators!$C$1,"DF","no"))),IF(ISNUMBER(BY1695),IF(ABS(BY1695-[5]QC_indicators!$B$1)&gt;3*[5]QC_indicators!$C$1,"DF","no")))</f>
        <v>0</v>
      </c>
      <c r="ET1695" s="185"/>
    </row>
    <row r="1696" spans="1:150">
      <c r="A1696" s="1" t="s">
        <v>4931</v>
      </c>
      <c r="B1696" t="s">
        <v>4932</v>
      </c>
      <c r="C1696" t="s">
        <v>544</v>
      </c>
      <c r="D1696" t="s">
        <v>4933</v>
      </c>
      <c r="E1696" t="s">
        <v>4934</v>
      </c>
      <c r="F1696" t="s">
        <v>4935</v>
      </c>
      <c r="G1696" t="s">
        <v>4936</v>
      </c>
      <c r="H1696" t="s">
        <v>4937</v>
      </c>
      <c r="I1696">
        <v>2022</v>
      </c>
      <c r="J1696">
        <v>1</v>
      </c>
      <c r="K1696" t="s">
        <v>4938</v>
      </c>
      <c r="M1696" t="str">
        <f>LEFT($D1696,FIND(",",$D1696)-1)&amp;"_"&amp;I1696&amp;L1696</f>
        <v>Anderson_2022</v>
      </c>
      <c r="N1696" t="s">
        <v>2584</v>
      </c>
      <c r="O1696" s="140" t="s">
        <v>223</v>
      </c>
      <c r="BE1696"/>
      <c r="BF1696" s="2"/>
      <c r="BY1696" t="str">
        <f>IFERROR(BX1696/BO1696,"")</f>
        <v/>
      </c>
      <c r="CN1696"/>
      <c r="CO1696"/>
      <c r="CP1696"/>
      <c r="CQ1696"/>
      <c r="CR1696"/>
      <c r="CS1696"/>
      <c r="CT1696"/>
      <c r="CU1696"/>
      <c r="CV1696" s="2"/>
      <c r="CX1696"/>
      <c r="DC1696"/>
      <c r="DI1696"/>
      <c r="DJ1696"/>
      <c r="DK1696"/>
      <c r="DL1696"/>
      <c r="DM1696"/>
      <c r="DN1696"/>
      <c r="DT1696"/>
      <c r="DU1696"/>
      <c r="EK1696" t="str">
        <f>IF(AND(AND(AND(OR($DX1696=1,$DW1696=1),OR($EC1696=1,$EA1696=1)),SUM($DV1696:$DZ1696,$EF1696)&gt;=3),SUM($EA1696:$EE1696)&gt;=2),"Whole sector","")</f>
        <v/>
      </c>
      <c r="EL1696" t="str">
        <f>IF(AND(AND(OR($DX1696=1,$DW1696=1),AND($EC1696=0,$EA1696=0)),SUM($DV1696:$DZ1696,$EF1696)&gt;=3),"Ecosystem approach","")</f>
        <v/>
      </c>
      <c r="EM1696" s="2" t="str">
        <f>IF(AND(AND(AND($DX1696=0,$DW1696=0),OR($EC1696=1,$EA1696=1)),SUM($EB1696:$EE1696)&gt;=2),"Technology approach","")</f>
        <v/>
      </c>
      <c r="EP1696" t="b">
        <f>IF(ISNUMBER(BU1696),IF(ABS(BU1696-[5]QC_indicators!$B$2)&gt;3*[5]QC_indicators!$C$2,"C ratio",IF(ISNUMBER(BY1696),IF(ABS(BY1696-[5]QC_indicators!$B$1)&gt;3*[5]QC_indicators!$C$1,"DF","no"))),IF(ISNUMBER(BY1696),IF(ABS(BY1696-[5]QC_indicators!$B$1)&gt;3*[5]QC_indicators!$C$1,"DF","no")))</f>
        <v>0</v>
      </c>
    </row>
    <row r="1697" spans="1:146">
      <c r="A1697" s="1" t="s">
        <v>4939</v>
      </c>
      <c r="B1697" t="s">
        <v>4940</v>
      </c>
      <c r="C1697" t="s">
        <v>4941</v>
      </c>
      <c r="D1697" t="s">
        <v>4942</v>
      </c>
      <c r="E1697" t="s">
        <v>4943</v>
      </c>
      <c r="F1697" t="s">
        <v>4944</v>
      </c>
      <c r="G1697" t="s">
        <v>4945</v>
      </c>
      <c r="H1697" t="s">
        <v>254</v>
      </c>
      <c r="I1697">
        <v>2019</v>
      </c>
      <c r="J1697">
        <v>1</v>
      </c>
      <c r="K1697" t="s">
        <v>4946</v>
      </c>
      <c r="M1697" t="str">
        <f>LEFT($D1697,FIND(",",$D1697)-1)&amp;"_"&amp;I1697&amp;L1697</f>
        <v>Berdechowski_2019</v>
      </c>
      <c r="N1697" t="s">
        <v>2584</v>
      </c>
      <c r="O1697" s="145" t="s">
        <v>223</v>
      </c>
      <c r="Q1697" s="312" t="s">
        <v>256</v>
      </c>
      <c r="R1697" s="313"/>
      <c r="AX1697" s="141"/>
      <c r="AY1697" s="141"/>
      <c r="BE1697"/>
      <c r="BF1697" s="2"/>
      <c r="BM1697" s="143"/>
      <c r="BU1697" s="144"/>
      <c r="BY1697" t="str">
        <f>IFERROR(BX1697/BO1697,"")</f>
        <v/>
      </c>
      <c r="CN1697"/>
      <c r="CO1697"/>
      <c r="CP1697"/>
      <c r="CQ1697"/>
      <c r="CR1697"/>
      <c r="CS1697"/>
      <c r="CT1697"/>
      <c r="CU1697"/>
      <c r="CV1697" s="2"/>
      <c r="CX1697"/>
      <c r="DC1697"/>
      <c r="DI1697"/>
      <c r="DJ1697"/>
      <c r="DK1697"/>
      <c r="DL1697"/>
      <c r="DM1697"/>
      <c r="DN1697"/>
      <c r="DT1697"/>
      <c r="DU1697" s="143"/>
      <c r="EK1697" t="str">
        <f>IF(AND(AND(AND(OR($DX1697=1,$DW1697=1),OR($EC1697=1,$EA1697=1)),SUM($DV1697:$DZ1697,$EF1697)&gt;=3),SUM($EA1697:$EE1697)&gt;=2),"Whole sector","")</f>
        <v/>
      </c>
      <c r="EL1697" t="str">
        <f>IF(AND(AND(OR($DX1697=1,$DW1697=1),AND($EC1697=0,$EA1697=0)),SUM($DV1697:$DZ1697,$EF1697)&gt;=3),"Ecosystem approach","")</f>
        <v/>
      </c>
      <c r="EM1697" s="2" t="str">
        <f>IF(AND(AND(AND($DX1697=0,$DW1697=0),OR($EC1697=1,$EA1697=1)),SUM($EB1697:$EE1697)&gt;=2),"Technology approach","")</f>
        <v/>
      </c>
      <c r="EN1697" t="s">
        <v>4947</v>
      </c>
      <c r="EO1697" t="s">
        <v>450</v>
      </c>
      <c r="EP1697" t="b">
        <f>IF(ISNUMBER(BU1697),IF(ABS(BU1697-[5]QC_indicators!$B$2)&gt;3*[5]QC_indicators!$C$2,"C ratio",IF(ISNUMBER(BY1697),IF(ABS(BY1697-[5]QC_indicators!$B$1)&gt;3*[5]QC_indicators!$C$1,"DF","no"))),IF(ISNUMBER(BY1697),IF(ABS(BY1697-[5]QC_indicators!$B$1)&gt;3*[5]QC_indicators!$C$1,"DF","no")))</f>
        <v>0</v>
      </c>
    </row>
    <row r="1698" spans="1:146">
      <c r="A1698" s="1" t="s">
        <v>4939</v>
      </c>
      <c r="B1698" t="s">
        <v>4940</v>
      </c>
      <c r="C1698" t="s">
        <v>4941</v>
      </c>
      <c r="D1698" t="s">
        <v>4942</v>
      </c>
      <c r="E1698" t="s">
        <v>4943</v>
      </c>
      <c r="F1698" t="s">
        <v>4944</v>
      </c>
      <c r="G1698" t="s">
        <v>4945</v>
      </c>
      <c r="H1698" t="s">
        <v>254</v>
      </c>
      <c r="I1698">
        <v>2019</v>
      </c>
      <c r="J1698">
        <v>1</v>
      </c>
      <c r="K1698" t="s">
        <v>4946</v>
      </c>
      <c r="M1698" t="str">
        <f>LEFT($D1698,FIND(",",$D1698)-1)&amp;"_"&amp;I1698&amp;L1698</f>
        <v>Berdechowski_2019</v>
      </c>
      <c r="N1698" t="s">
        <v>2584</v>
      </c>
      <c r="O1698" s="145" t="s">
        <v>223</v>
      </c>
      <c r="Q1698" s="312" t="s">
        <v>256</v>
      </c>
      <c r="R1698" s="313"/>
      <c r="AX1698" s="141"/>
      <c r="AY1698" s="141"/>
      <c r="BE1698"/>
      <c r="BF1698" s="2"/>
      <c r="BM1698" s="143"/>
      <c r="BY1698" t="str">
        <f>IFERROR(BX1698/BO1698,"")</f>
        <v/>
      </c>
      <c r="CN1698"/>
      <c r="CO1698"/>
      <c r="CP1698"/>
      <c r="CQ1698"/>
      <c r="CR1698"/>
      <c r="CS1698"/>
      <c r="CT1698"/>
      <c r="CU1698"/>
      <c r="CV1698" s="2"/>
      <c r="CX1698"/>
      <c r="DC1698"/>
      <c r="DI1698"/>
      <c r="DJ1698"/>
      <c r="DK1698"/>
      <c r="DL1698"/>
      <c r="DM1698"/>
      <c r="DN1698"/>
      <c r="DT1698"/>
      <c r="DU1698" s="143"/>
      <c r="EK1698" t="str">
        <f>IF(AND(AND(AND(OR($DX1698=1,$DW1698=1),OR($EC1698=1,$EA1698=1)),SUM($DV1698:$DZ1698,$EF1698)&gt;=3),SUM($EA1698:$EE1698)&gt;=2),"Whole sector","")</f>
        <v/>
      </c>
      <c r="EL1698" t="str">
        <f>IF(AND(AND(OR($DX1698=1,$DW1698=1),AND($EC1698=0,$EA1698=0)),SUM($DV1698:$DZ1698,$EF1698)&gt;=3),"Ecosystem approach","")</f>
        <v/>
      </c>
      <c r="EM1698" s="2" t="str">
        <f>IF(AND(AND(AND($DX1698=0,$DW1698=0),OR($EC1698=1,$EA1698=1)),SUM($EB1698:$EE1698)&gt;=2),"Technology approach","")</f>
        <v/>
      </c>
      <c r="EN1698" t="s">
        <v>4947</v>
      </c>
      <c r="EP1698" t="b">
        <f>IF(ISNUMBER(BU1698),IF(ABS(BU1698-[5]QC_indicators!$B$2)&gt;3*[5]QC_indicators!$C$2,"C ratio",IF(ISNUMBER(BY1698),IF(ABS(BY1698-[5]QC_indicators!$B$1)&gt;3*[5]QC_indicators!$C$1,"DF","no"))),IF(ISNUMBER(BY1698),IF(ABS(BY1698-[5]QC_indicators!$B$1)&gt;3*[5]QC_indicators!$C$1,"DF","no")))</f>
        <v>0</v>
      </c>
    </row>
    <row r="1699" spans="1:146" ht="17">
      <c r="A1699" s="1" t="s">
        <v>4948</v>
      </c>
      <c r="B1699" t="s">
        <v>4949</v>
      </c>
      <c r="C1699" t="s">
        <v>544</v>
      </c>
      <c r="D1699" t="s">
        <v>4950</v>
      </c>
      <c r="E1699" s="329" t="s">
        <v>4951</v>
      </c>
      <c r="F1699" t="s">
        <v>4952</v>
      </c>
      <c r="G1699" t="s">
        <v>544</v>
      </c>
      <c r="H1699" t="s">
        <v>3965</v>
      </c>
      <c r="I1699">
        <v>2009</v>
      </c>
      <c r="J1699">
        <v>0</v>
      </c>
      <c r="K1699" t="s">
        <v>544</v>
      </c>
      <c r="M1699" t="str">
        <f>LEFT($D1699,FIND(",",$D1699)-1)&amp;"_"&amp;I1699&amp;L1699</f>
        <v>Buchanan_2009</v>
      </c>
      <c r="N1699" s="155" t="s">
        <v>2584</v>
      </c>
      <c r="O1699" s="140" t="s">
        <v>223</v>
      </c>
      <c r="BE1699"/>
      <c r="BF1699" s="2"/>
      <c r="BY1699" t="str">
        <f>IFERROR(BX1699/BO1699,"")</f>
        <v/>
      </c>
      <c r="CN1699"/>
      <c r="CO1699"/>
      <c r="CP1699"/>
      <c r="CQ1699"/>
      <c r="CR1699"/>
      <c r="CS1699"/>
      <c r="CT1699"/>
      <c r="CU1699"/>
      <c r="CV1699" s="2"/>
      <c r="CX1699"/>
      <c r="DC1699"/>
      <c r="DI1699"/>
      <c r="DJ1699"/>
      <c r="DK1699"/>
      <c r="DL1699"/>
      <c r="DM1699"/>
      <c r="DN1699"/>
      <c r="DT1699"/>
      <c r="DU1699"/>
      <c r="EK1699" t="str">
        <f>IF(AND(AND(AND(OR($DX1699=1,$DW1699=1),OR($EC1699=1,$EA1699=1)),SUM($DV1699:$DZ1699,$EF1699)&gt;=3),SUM($EA1699:$EE1699)&gt;=2),"Whole sector","")</f>
        <v/>
      </c>
      <c r="EL1699" t="str">
        <f>IF(AND(AND(OR($DX1699=1,$DW1699=1),AND($EC1699=0,$EA1699=0)),SUM($DV1699:$DZ1699,$EF1699)&gt;=3),"Ecosystem approach","")</f>
        <v/>
      </c>
      <c r="EM1699" s="2" t="str">
        <f>IF(AND(AND(AND($DX1699=0,$DW1699=0),OR($EC1699=1,$EA1699=1)),SUM($EB1699:$EE1699)&gt;=2),"Technology approach","")</f>
        <v/>
      </c>
      <c r="EP1699" t="b">
        <f>IF(ISNUMBER(BU1699),IF(ABS(BU1699-[5]QC_indicators!$B$2)&gt;3*[5]QC_indicators!$C$2,"C ratio",IF(ISNUMBER(BY1699),IF(ABS(BY1699-[5]QC_indicators!$B$1)&gt;3*[5]QC_indicators!$C$1,"DF","no"))),IF(ISNUMBER(BY1699),IF(ABS(BY1699-[5]QC_indicators!$B$1)&gt;3*[5]QC_indicators!$C$1,"DF","no")))</f>
        <v>0</v>
      </c>
    </row>
    <row r="1700" spans="1:146">
      <c r="A1700" s="1" t="s">
        <v>4953</v>
      </c>
      <c r="B1700" t="s">
        <v>4954</v>
      </c>
      <c r="C1700" t="s">
        <v>544</v>
      </c>
      <c r="D1700" t="s">
        <v>4955</v>
      </c>
      <c r="E1700" t="s">
        <v>4956</v>
      </c>
      <c r="F1700" t="s">
        <v>4957</v>
      </c>
      <c r="G1700" t="s">
        <v>544</v>
      </c>
      <c r="H1700" t="s">
        <v>3965</v>
      </c>
      <c r="I1700">
        <v>2016</v>
      </c>
      <c r="J1700">
        <v>3</v>
      </c>
      <c r="K1700" t="s">
        <v>544</v>
      </c>
      <c r="M1700" t="str">
        <f>LEFT($D1700,FIND(",",$D1700)-1)&amp;"_"&amp;I1700&amp;L1700</f>
        <v>Cattarinussi_2016</v>
      </c>
      <c r="N1700" t="s">
        <v>2584</v>
      </c>
      <c r="O1700" s="145" t="s">
        <v>223</v>
      </c>
      <c r="Q1700" s="312" t="s">
        <v>256</v>
      </c>
      <c r="R1700" s="313"/>
      <c r="AX1700" s="141"/>
      <c r="AY1700" s="141"/>
      <c r="BE1700"/>
      <c r="BF1700" s="2"/>
      <c r="BP1700" s="143"/>
      <c r="BQ1700" s="143"/>
      <c r="BU1700" s="144"/>
      <c r="BY1700" t="str">
        <f>IFERROR(BX1700/BO1700,"")</f>
        <v/>
      </c>
      <c r="CN1700"/>
      <c r="CO1700"/>
      <c r="CP1700"/>
      <c r="CQ1700"/>
      <c r="CR1700"/>
      <c r="CS1700"/>
      <c r="CT1700"/>
      <c r="CU1700"/>
      <c r="CV1700" s="2"/>
      <c r="CX1700"/>
      <c r="DC1700"/>
      <c r="DI1700"/>
      <c r="DJ1700"/>
      <c r="DK1700"/>
      <c r="DL1700"/>
      <c r="DM1700"/>
      <c r="DN1700"/>
      <c r="DT1700"/>
      <c r="DU1700" s="143"/>
      <c r="EK1700" t="str">
        <f>IF(AND(AND(AND(OR($DX1700=1,$DW1700=1),OR($EC1700=1,$EA1700=1)),SUM($DV1700:$DZ1700,$EF1700)&gt;=3),SUM($EA1700:$EE1700)&gt;=2),"Whole sector","")</f>
        <v/>
      </c>
      <c r="EL1700" t="str">
        <f>IF(AND(AND(OR($DX1700=1,$DW1700=1),AND($EC1700=0,$EA1700=0)),SUM($DV1700:$DZ1700,$EF1700)&gt;=3),"Ecosystem approach","")</f>
        <v/>
      </c>
      <c r="EM1700" s="2" t="str">
        <f>IF(AND(AND(AND($DX1700=0,$DW1700=0),OR($EC1700=1,$EA1700=1)),SUM($EB1700:$EE1700)&gt;=2),"Technology approach","")</f>
        <v/>
      </c>
      <c r="EO1700" t="s">
        <v>450</v>
      </c>
      <c r="EP1700" t="b">
        <f>IF(ISNUMBER(BU1700),IF(ABS(BU1700-[5]QC_indicators!$B$2)&gt;3*[5]QC_indicators!$C$2,"C ratio",IF(ISNUMBER(BY1700),IF(ABS(BY1700-[5]QC_indicators!$B$1)&gt;3*[5]QC_indicators!$C$1,"DF","no"))),IF(ISNUMBER(BY1700),IF(ABS(BY1700-[5]QC_indicators!$B$1)&gt;3*[5]QC_indicators!$C$1,"DF","no")))</f>
        <v>0</v>
      </c>
    </row>
    <row r="1701" spans="1:146">
      <c r="A1701" s="1" t="s">
        <v>4953</v>
      </c>
      <c r="B1701" t="s">
        <v>4954</v>
      </c>
      <c r="C1701" t="s">
        <v>544</v>
      </c>
      <c r="D1701" t="s">
        <v>4955</v>
      </c>
      <c r="E1701" t="s">
        <v>4956</v>
      </c>
      <c r="F1701" t="s">
        <v>4957</v>
      </c>
      <c r="G1701" t="s">
        <v>544</v>
      </c>
      <c r="H1701" t="s">
        <v>3965</v>
      </c>
      <c r="I1701">
        <v>2016</v>
      </c>
      <c r="J1701">
        <v>3</v>
      </c>
      <c r="K1701" t="s">
        <v>544</v>
      </c>
      <c r="M1701" t="str">
        <f>LEFT($D1701,FIND(",",$D1701)-1)&amp;"_"&amp;I1701&amp;L1701</f>
        <v>Cattarinussi_2016</v>
      </c>
      <c r="N1701" t="s">
        <v>2584</v>
      </c>
      <c r="O1701" s="145" t="s">
        <v>223</v>
      </c>
      <c r="Q1701" s="312" t="s">
        <v>256</v>
      </c>
      <c r="R1701" s="313"/>
      <c r="AX1701" s="141"/>
      <c r="AY1701" s="141"/>
      <c r="BE1701"/>
      <c r="BF1701" s="2"/>
      <c r="BP1701" s="143"/>
      <c r="BQ1701" s="143"/>
      <c r="BY1701" t="str">
        <f>IFERROR(BX1701/BO1701,"")</f>
        <v/>
      </c>
      <c r="CN1701"/>
      <c r="CO1701"/>
      <c r="CP1701"/>
      <c r="CQ1701"/>
      <c r="CR1701"/>
      <c r="CS1701"/>
      <c r="CT1701"/>
      <c r="CU1701"/>
      <c r="CV1701" s="2"/>
      <c r="CX1701"/>
      <c r="DC1701"/>
      <c r="DI1701"/>
      <c r="DJ1701"/>
      <c r="DK1701"/>
      <c r="DL1701"/>
      <c r="DM1701"/>
      <c r="DN1701"/>
      <c r="DT1701"/>
      <c r="DU1701" s="143"/>
      <c r="EK1701" t="str">
        <f>IF(AND(AND(AND(OR($DX1701=1,$DW1701=1),OR($EC1701=1,$EA1701=1)),SUM($DV1701:$DZ1701,$EF1701)&gt;=3),SUM($EA1701:$EE1701)&gt;=2),"Whole sector","")</f>
        <v/>
      </c>
      <c r="EL1701" t="str">
        <f>IF(AND(AND(OR($DX1701=1,$DW1701=1),AND($EC1701=0,$EA1701=0)),SUM($DV1701:$DZ1701,$EF1701)&gt;=3),"Ecosystem approach","")</f>
        <v/>
      </c>
      <c r="EM1701" s="2" t="str">
        <f>IF(AND(AND(AND($DX1701=0,$DW1701=0),OR($EC1701=1,$EA1701=1)),SUM($EB1701:$EE1701)&gt;=2),"Technology approach","")</f>
        <v/>
      </c>
      <c r="EP1701" t="b">
        <f>IF(ISNUMBER(BU1701),IF(ABS(BU1701-[5]QC_indicators!$B$2)&gt;3*[5]QC_indicators!$C$2,"C ratio",IF(ISNUMBER(BY1701),IF(ABS(BY1701-[5]QC_indicators!$B$1)&gt;3*[5]QC_indicators!$C$1,"DF","no"))),IF(ISNUMBER(BY1701),IF(ABS(BY1701-[5]QC_indicators!$B$1)&gt;3*[5]QC_indicators!$C$1,"DF","no")))</f>
        <v>0</v>
      </c>
    </row>
    <row r="1702" spans="1:146">
      <c r="A1702" s="1" t="s">
        <v>4958</v>
      </c>
      <c r="B1702" t="s">
        <v>4959</v>
      </c>
      <c r="C1702" t="s">
        <v>4960</v>
      </c>
      <c r="D1702" t="s">
        <v>4961</v>
      </c>
      <c r="E1702" t="s">
        <v>4962</v>
      </c>
      <c r="F1702" t="s">
        <v>4963</v>
      </c>
      <c r="G1702" t="s">
        <v>544</v>
      </c>
      <c r="H1702" t="s">
        <v>3965</v>
      </c>
      <c r="I1702">
        <v>2019</v>
      </c>
      <c r="J1702">
        <v>0</v>
      </c>
      <c r="K1702" t="s">
        <v>544</v>
      </c>
      <c r="M1702" t="str">
        <f>LEFT($D1702,FIND(",",$D1702)-1)&amp;"_"&amp;I1702&amp;L1702</f>
        <v>Chiaia_2019</v>
      </c>
      <c r="N1702" t="s">
        <v>2584</v>
      </c>
      <c r="O1702" s="145" t="s">
        <v>223</v>
      </c>
      <c r="Q1702" s="312" t="s">
        <v>256</v>
      </c>
      <c r="R1702" s="313"/>
      <c r="AX1702" s="141"/>
      <c r="AY1702" s="141"/>
      <c r="BE1702"/>
      <c r="BF1702" s="2"/>
      <c r="BP1702" s="143"/>
      <c r="BQ1702" s="143"/>
      <c r="BU1702" s="144"/>
      <c r="BY1702" t="str">
        <f>IFERROR(BX1702/BO1702,"")</f>
        <v/>
      </c>
      <c r="CN1702"/>
      <c r="CO1702"/>
      <c r="CP1702"/>
      <c r="CQ1702"/>
      <c r="CR1702"/>
      <c r="CS1702"/>
      <c r="CT1702"/>
      <c r="CU1702"/>
      <c r="CV1702" s="2"/>
      <c r="CX1702"/>
      <c r="DC1702"/>
      <c r="DI1702"/>
      <c r="DJ1702"/>
      <c r="DK1702"/>
      <c r="DL1702"/>
      <c r="DM1702"/>
      <c r="DN1702"/>
      <c r="DT1702"/>
      <c r="DU1702" s="143"/>
      <c r="EK1702" t="str">
        <f>IF(AND(AND(AND(OR($DX1702=1,$DW1702=1),OR($EC1702=1,$EA1702=1)),SUM($DV1702:$DZ1702,$EF1702)&gt;=3),SUM($EA1702:$EE1702)&gt;=2),"Whole sector","")</f>
        <v/>
      </c>
      <c r="EL1702" t="str">
        <f>IF(AND(AND(OR($DX1702=1,$DW1702=1),AND($EC1702=0,$EA1702=0)),SUM($DV1702:$DZ1702,$EF1702)&gt;=3),"Ecosystem approach","")</f>
        <v/>
      </c>
      <c r="EM1702" s="2" t="str">
        <f>IF(AND(AND(AND($DX1702=0,$DW1702=0),OR($EC1702=1,$EA1702=1)),SUM($EB1702:$EE1702)&gt;=2),"Technology approach","")</f>
        <v/>
      </c>
      <c r="EO1702" t="s">
        <v>450</v>
      </c>
      <c r="EP1702" t="b">
        <f>IF(ISNUMBER(BU1702),IF(ABS(BU1702-[5]QC_indicators!$B$2)&gt;3*[5]QC_indicators!$C$2,"C ratio",IF(ISNUMBER(BY1702),IF(ABS(BY1702-[5]QC_indicators!$B$1)&gt;3*[5]QC_indicators!$C$1,"DF","no"))),IF(ISNUMBER(BY1702),IF(ABS(BY1702-[5]QC_indicators!$B$1)&gt;3*[5]QC_indicators!$C$1,"DF","no")))</f>
        <v>0</v>
      </c>
    </row>
    <row r="1703" spans="1:146">
      <c r="A1703" s="1" t="s">
        <v>4958</v>
      </c>
      <c r="B1703" t="s">
        <v>4959</v>
      </c>
      <c r="C1703" t="s">
        <v>4960</v>
      </c>
      <c r="D1703" t="s">
        <v>4961</v>
      </c>
      <c r="E1703" t="s">
        <v>4962</v>
      </c>
      <c r="F1703" t="s">
        <v>4963</v>
      </c>
      <c r="G1703" t="s">
        <v>544</v>
      </c>
      <c r="H1703" t="s">
        <v>3965</v>
      </c>
      <c r="I1703">
        <v>2019</v>
      </c>
      <c r="J1703">
        <v>0</v>
      </c>
      <c r="K1703" t="s">
        <v>544</v>
      </c>
      <c r="M1703" t="str">
        <f>LEFT($D1703,FIND(",",$D1703)-1)&amp;"_"&amp;I1703&amp;L1703</f>
        <v>Chiaia_2019</v>
      </c>
      <c r="N1703" t="s">
        <v>2584</v>
      </c>
      <c r="O1703" s="145" t="s">
        <v>223</v>
      </c>
      <c r="Q1703" s="312" t="s">
        <v>256</v>
      </c>
      <c r="R1703" s="313"/>
      <c r="AX1703" s="141"/>
      <c r="AY1703" s="141"/>
      <c r="BE1703"/>
      <c r="BF1703" s="2"/>
      <c r="BP1703" s="143"/>
      <c r="BQ1703" s="143"/>
      <c r="BY1703" t="str">
        <f>IFERROR(BX1703/BO1703,"")</f>
        <v/>
      </c>
      <c r="CN1703"/>
      <c r="CO1703"/>
      <c r="CP1703"/>
      <c r="CQ1703"/>
      <c r="CR1703"/>
      <c r="CS1703"/>
      <c r="CT1703"/>
      <c r="CU1703"/>
      <c r="CV1703" s="2"/>
      <c r="CX1703"/>
      <c r="DC1703"/>
      <c r="DI1703"/>
      <c r="DJ1703"/>
      <c r="DK1703"/>
      <c r="DL1703"/>
      <c r="DM1703"/>
      <c r="DN1703"/>
      <c r="DT1703"/>
      <c r="DU1703" s="143"/>
      <c r="EK1703" t="str">
        <f>IF(AND(AND(AND(OR($DX1703=1,$DW1703=1),OR($EC1703=1,$EA1703=1)),SUM($DV1703:$DZ1703,$EF1703)&gt;=3),SUM($EA1703:$EE1703)&gt;=2),"Whole sector","")</f>
        <v/>
      </c>
      <c r="EL1703" t="str">
        <f>IF(AND(AND(OR($DX1703=1,$DW1703=1),AND($EC1703=0,$EA1703=0)),SUM($DV1703:$DZ1703,$EF1703)&gt;=3),"Ecosystem approach","")</f>
        <v/>
      </c>
      <c r="EM1703" s="2" t="str">
        <f>IF(AND(AND(AND($DX1703=0,$DW1703=0),OR($EC1703=1,$EA1703=1)),SUM($EB1703:$EE1703)&gt;=2),"Technology approach","")</f>
        <v/>
      </c>
      <c r="EP1703" t="b">
        <f>IF(ISNUMBER(BU1703),IF(ABS(BU1703-[5]QC_indicators!$B$2)&gt;3*[5]QC_indicators!$C$2,"C ratio",IF(ISNUMBER(BY1703),IF(ABS(BY1703-[5]QC_indicators!$B$1)&gt;3*[5]QC_indicators!$C$1,"DF","no"))),IF(ISNUMBER(BY1703),IF(ABS(BY1703-[5]QC_indicators!$B$1)&gt;3*[5]QC_indicators!$C$1,"DF","no")))</f>
        <v>0</v>
      </c>
    </row>
    <row r="1704" spans="1:146">
      <c r="A1704" s="1" t="s">
        <v>4964</v>
      </c>
      <c r="B1704" t="s">
        <v>544</v>
      </c>
      <c r="C1704" t="s">
        <v>544</v>
      </c>
      <c r="D1704" t="s">
        <v>4965</v>
      </c>
      <c r="E1704" t="s">
        <v>4966</v>
      </c>
      <c r="F1704" t="s">
        <v>4967</v>
      </c>
      <c r="G1704" t="s">
        <v>544</v>
      </c>
      <c r="H1704" t="s">
        <v>3965</v>
      </c>
      <c r="I1704">
        <v>2019</v>
      </c>
      <c r="J1704">
        <v>0</v>
      </c>
      <c r="K1704" t="s">
        <v>544</v>
      </c>
      <c r="M1704" t="str">
        <f>LEFT($D1704,FIND(",",$D1704)-1)&amp;"_"&amp;I1704&amp;L1704</f>
        <v>De Wolf_2019</v>
      </c>
      <c r="N1704" t="s">
        <v>2584</v>
      </c>
      <c r="O1704" s="145" t="s">
        <v>223</v>
      </c>
      <c r="Q1704" s="312" t="s">
        <v>256</v>
      </c>
      <c r="R1704" s="313"/>
      <c r="AX1704" s="141"/>
      <c r="AY1704" s="141"/>
      <c r="BE1704"/>
      <c r="BF1704" s="2"/>
      <c r="BU1704" s="144"/>
      <c r="BY1704" t="str">
        <f>IFERROR(BX1704/BO1704,"")</f>
        <v/>
      </c>
      <c r="CN1704"/>
      <c r="CO1704"/>
      <c r="CP1704"/>
      <c r="CQ1704"/>
      <c r="CR1704"/>
      <c r="CS1704"/>
      <c r="CT1704"/>
      <c r="CU1704"/>
      <c r="CV1704" s="2"/>
      <c r="CX1704"/>
      <c r="DC1704"/>
      <c r="DI1704"/>
      <c r="DJ1704"/>
      <c r="DK1704"/>
      <c r="DL1704"/>
      <c r="DM1704"/>
      <c r="DN1704"/>
      <c r="DT1704"/>
      <c r="DU1704" s="143"/>
      <c r="EK1704" t="str">
        <f>IF(AND(AND(AND(OR($DX1704=1,$DW1704=1),OR($EC1704=1,$EA1704=1)),SUM($DV1704:$DZ1704,$EF1704)&gt;=3),SUM($EA1704:$EE1704)&gt;=2),"Whole sector","")</f>
        <v/>
      </c>
      <c r="EL1704" t="str">
        <f>IF(AND(AND(OR($DX1704=1,$DW1704=1),AND($EC1704=0,$EA1704=0)),SUM($DV1704:$DZ1704,$EF1704)&gt;=3),"Ecosystem approach","")</f>
        <v/>
      </c>
      <c r="EM1704" s="2" t="str">
        <f>IF(AND(AND(AND($DX1704=0,$DW1704=0),OR($EC1704=1,$EA1704=1)),SUM($EB1704:$EE1704)&gt;=2),"Technology approach","")</f>
        <v/>
      </c>
      <c r="EO1704" t="s">
        <v>450</v>
      </c>
      <c r="EP1704" t="b">
        <f>IF(ISNUMBER(BU1704),IF(ABS(BU1704-[5]QC_indicators!$B$2)&gt;3*[5]QC_indicators!$C$2,"C ratio",IF(ISNUMBER(BY1704),IF(ABS(BY1704-[5]QC_indicators!$B$1)&gt;3*[5]QC_indicators!$C$1,"DF","no"))),IF(ISNUMBER(BY1704),IF(ABS(BY1704-[5]QC_indicators!$B$1)&gt;3*[5]QC_indicators!$C$1,"DF","no")))</f>
        <v>0</v>
      </c>
    </row>
    <row r="1705" spans="1:146">
      <c r="A1705" s="1" t="s">
        <v>4964</v>
      </c>
      <c r="B1705" t="s">
        <v>544</v>
      </c>
      <c r="C1705" t="s">
        <v>544</v>
      </c>
      <c r="D1705" t="s">
        <v>4965</v>
      </c>
      <c r="E1705" t="s">
        <v>4966</v>
      </c>
      <c r="F1705" t="s">
        <v>4967</v>
      </c>
      <c r="G1705" t="s">
        <v>544</v>
      </c>
      <c r="H1705" t="s">
        <v>3965</v>
      </c>
      <c r="I1705">
        <v>2019</v>
      </c>
      <c r="J1705">
        <v>0</v>
      </c>
      <c r="K1705" t="s">
        <v>544</v>
      </c>
      <c r="M1705" t="str">
        <f>LEFT($D1705,FIND(",",$D1705)-1)&amp;"_"&amp;I1705&amp;L1705</f>
        <v>De Wolf_2019</v>
      </c>
      <c r="N1705" t="s">
        <v>2584</v>
      </c>
      <c r="O1705" s="145" t="s">
        <v>223</v>
      </c>
      <c r="Q1705" s="312" t="s">
        <v>256</v>
      </c>
      <c r="R1705" s="313"/>
      <c r="AX1705" s="141"/>
      <c r="AY1705" s="141"/>
      <c r="BE1705"/>
      <c r="BF1705" s="2"/>
      <c r="BY1705" t="str">
        <f>IFERROR(BX1705/BO1705,"")</f>
        <v/>
      </c>
      <c r="CN1705"/>
      <c r="CO1705"/>
      <c r="CP1705"/>
      <c r="CQ1705"/>
      <c r="CR1705"/>
      <c r="CS1705"/>
      <c r="CT1705"/>
      <c r="CU1705"/>
      <c r="CV1705" s="2"/>
      <c r="CX1705"/>
      <c r="DC1705"/>
      <c r="DI1705"/>
      <c r="DJ1705"/>
      <c r="DK1705"/>
      <c r="DL1705"/>
      <c r="DM1705"/>
      <c r="DN1705"/>
      <c r="DT1705"/>
      <c r="DU1705" s="143"/>
      <c r="EK1705" t="str">
        <f>IF(AND(AND(AND(OR($DX1705=1,$DW1705=1),OR($EC1705=1,$EA1705=1)),SUM($DV1705:$DZ1705,$EF1705)&gt;=3),SUM($EA1705:$EE1705)&gt;=2),"Whole sector","")</f>
        <v/>
      </c>
      <c r="EL1705" t="str">
        <f>IF(AND(AND(OR($DX1705=1,$DW1705=1),AND($EC1705=0,$EA1705=0)),SUM($DV1705:$DZ1705,$EF1705)&gt;=3),"Ecosystem approach","")</f>
        <v/>
      </c>
      <c r="EM1705" s="2" t="str">
        <f>IF(AND(AND(AND($DX1705=0,$DW1705=0),OR($EC1705=1,$EA1705=1)),SUM($EB1705:$EE1705)&gt;=2),"Technology approach","")</f>
        <v/>
      </c>
      <c r="EP1705" t="b">
        <f>IF(ISNUMBER(BU1705),IF(ABS(BU1705-[5]QC_indicators!$B$2)&gt;3*[5]QC_indicators!$C$2,"C ratio",IF(ISNUMBER(BY1705),IF(ABS(BY1705-[5]QC_indicators!$B$1)&gt;3*[5]QC_indicators!$C$1,"DF","no"))),IF(ISNUMBER(BY1705),IF(ABS(BY1705-[5]QC_indicators!$B$1)&gt;3*[5]QC_indicators!$C$1,"DF","no")))</f>
        <v>0</v>
      </c>
    </row>
    <row r="1706" spans="1:146">
      <c r="A1706" s="1" t="s">
        <v>4968</v>
      </c>
      <c r="B1706" t="s">
        <v>4969</v>
      </c>
      <c r="C1706" t="s">
        <v>4970</v>
      </c>
      <c r="D1706" t="s">
        <v>4971</v>
      </c>
      <c r="E1706" t="s">
        <v>4972</v>
      </c>
      <c r="F1706" t="s">
        <v>4973</v>
      </c>
      <c r="G1706" t="s">
        <v>544</v>
      </c>
      <c r="H1706" t="s">
        <v>3965</v>
      </c>
      <c r="I1706">
        <v>2019</v>
      </c>
      <c r="J1706">
        <v>1</v>
      </c>
      <c r="K1706" t="s">
        <v>4974</v>
      </c>
      <c r="M1706" t="str">
        <f>LEFT($D1706,FIND(",",$D1706)-1)&amp;"_"&amp;I1706&amp;L1706</f>
        <v>Dodoo_2019</v>
      </c>
      <c r="N1706" t="s">
        <v>2584</v>
      </c>
      <c r="O1706" s="145" t="s">
        <v>223</v>
      </c>
      <c r="Q1706" s="312" t="s">
        <v>256</v>
      </c>
      <c r="R1706" s="313"/>
      <c r="AX1706" s="141"/>
      <c r="AY1706" s="141"/>
      <c r="BE1706"/>
      <c r="BF1706" s="2"/>
      <c r="BU1706" s="144"/>
      <c r="BY1706" t="str">
        <f>IFERROR(BX1706/BO1706,"")</f>
        <v/>
      </c>
      <c r="CN1706"/>
      <c r="CO1706"/>
      <c r="CP1706"/>
      <c r="CQ1706"/>
      <c r="CR1706"/>
      <c r="CS1706"/>
      <c r="CT1706"/>
      <c r="CU1706"/>
      <c r="CV1706" s="2"/>
      <c r="CX1706"/>
      <c r="DC1706"/>
      <c r="DI1706"/>
      <c r="DJ1706"/>
      <c r="DK1706"/>
      <c r="DL1706"/>
      <c r="DM1706"/>
      <c r="DN1706"/>
      <c r="DT1706"/>
      <c r="DU1706" s="143"/>
      <c r="EK1706" t="str">
        <f>IF(AND(AND(AND(OR($DX1706=1,$DW1706=1),OR($EC1706=1,$EA1706=1)),SUM($DV1706:$DZ1706,$EF1706)&gt;=3),SUM($EA1706:$EE1706)&gt;=2),"Whole sector","")</f>
        <v/>
      </c>
      <c r="EL1706" t="str">
        <f>IF(AND(AND(OR($DX1706=1,$DW1706=1),AND($EC1706=0,$EA1706=0)),SUM($DV1706:$DZ1706,$EF1706)&gt;=3),"Ecosystem approach","")</f>
        <v/>
      </c>
      <c r="EM1706" s="2" t="str">
        <f>IF(AND(AND(AND($DX1706=0,$DW1706=0),OR($EC1706=1,$EA1706=1)),SUM($EB1706:$EE1706)&gt;=2),"Technology approach","")</f>
        <v/>
      </c>
      <c r="EO1706" t="s">
        <v>450</v>
      </c>
      <c r="EP1706" t="b">
        <f>IF(ISNUMBER(BU1706),IF(ABS(BU1706-[5]QC_indicators!$B$2)&gt;3*[5]QC_indicators!$C$2,"C ratio",IF(ISNUMBER(BY1706),IF(ABS(BY1706-[5]QC_indicators!$B$1)&gt;3*[5]QC_indicators!$C$1,"DF","no"))),IF(ISNUMBER(BY1706),IF(ABS(BY1706-[5]QC_indicators!$B$1)&gt;3*[5]QC_indicators!$C$1,"DF","no")))</f>
        <v>0</v>
      </c>
    </row>
    <row r="1707" spans="1:146">
      <c r="A1707" s="1" t="s">
        <v>4968</v>
      </c>
      <c r="B1707" t="s">
        <v>4969</v>
      </c>
      <c r="C1707" t="s">
        <v>4970</v>
      </c>
      <c r="D1707" t="s">
        <v>4971</v>
      </c>
      <c r="E1707" t="s">
        <v>4972</v>
      </c>
      <c r="F1707" t="s">
        <v>4973</v>
      </c>
      <c r="G1707" t="s">
        <v>544</v>
      </c>
      <c r="H1707" t="s">
        <v>3965</v>
      </c>
      <c r="I1707">
        <v>2019</v>
      </c>
      <c r="J1707">
        <v>1</v>
      </c>
      <c r="K1707" t="s">
        <v>4974</v>
      </c>
      <c r="M1707" t="str">
        <f>LEFT($D1707,FIND(",",$D1707)-1)&amp;"_"&amp;I1707&amp;L1707</f>
        <v>Dodoo_2019</v>
      </c>
      <c r="N1707" t="s">
        <v>2584</v>
      </c>
      <c r="O1707" s="145" t="s">
        <v>223</v>
      </c>
      <c r="Q1707" s="312" t="s">
        <v>256</v>
      </c>
      <c r="R1707" s="313"/>
      <c r="AX1707" s="141"/>
      <c r="AY1707" s="141"/>
      <c r="BE1707"/>
      <c r="BF1707" s="2"/>
      <c r="BY1707" t="str">
        <f>IFERROR(BX1707/BO1707,"")</f>
        <v/>
      </c>
      <c r="CN1707"/>
      <c r="CO1707"/>
      <c r="CP1707"/>
      <c r="CQ1707"/>
      <c r="CR1707"/>
      <c r="CS1707"/>
      <c r="CT1707"/>
      <c r="CU1707"/>
      <c r="CV1707" s="2"/>
      <c r="CX1707"/>
      <c r="DC1707"/>
      <c r="DI1707"/>
      <c r="DJ1707"/>
      <c r="DK1707"/>
      <c r="DL1707"/>
      <c r="DM1707"/>
      <c r="DN1707"/>
      <c r="DT1707"/>
      <c r="DU1707" s="143"/>
      <c r="EK1707" t="str">
        <f>IF(AND(AND(AND(OR($DX1707=1,$DW1707=1),OR($EC1707=1,$EA1707=1)),SUM($DV1707:$DZ1707,$EF1707)&gt;=3),SUM($EA1707:$EE1707)&gt;=2),"Whole sector","")</f>
        <v/>
      </c>
      <c r="EL1707" t="str">
        <f>IF(AND(AND(OR($DX1707=1,$DW1707=1),AND($EC1707=0,$EA1707=0)),SUM($DV1707:$DZ1707,$EF1707)&gt;=3),"Ecosystem approach","")</f>
        <v/>
      </c>
      <c r="EM1707" s="2" t="str">
        <f>IF(AND(AND(AND($DX1707=0,$DW1707=0),OR($EC1707=1,$EA1707=1)),SUM($EB1707:$EE1707)&gt;=2),"Technology approach","")</f>
        <v/>
      </c>
      <c r="EP1707" t="b">
        <f>IF(ISNUMBER(BU1707),IF(ABS(BU1707-[5]QC_indicators!$B$2)&gt;3*[5]QC_indicators!$C$2,"C ratio",IF(ISNUMBER(BY1707),IF(ABS(BY1707-[5]QC_indicators!$B$1)&gt;3*[5]QC_indicators!$C$1,"DF","no"))),IF(ISNUMBER(BY1707),IF(ABS(BY1707-[5]QC_indicators!$B$1)&gt;3*[5]QC_indicators!$C$1,"DF","no")))</f>
        <v>0</v>
      </c>
    </row>
    <row r="1708" spans="1:146">
      <c r="A1708" s="1" t="s">
        <v>3960</v>
      </c>
      <c r="B1708" t="s">
        <v>544</v>
      </c>
      <c r="C1708" t="s">
        <v>544</v>
      </c>
      <c r="D1708" t="s">
        <v>4975</v>
      </c>
      <c r="E1708" t="s">
        <v>4976</v>
      </c>
      <c r="F1708" s="312" t="s">
        <v>4977</v>
      </c>
      <c r="G1708" t="s">
        <v>3964</v>
      </c>
      <c r="H1708" t="s">
        <v>3965</v>
      </c>
      <c r="I1708">
        <v>2019</v>
      </c>
      <c r="J1708">
        <v>2</v>
      </c>
      <c r="K1708" t="s">
        <v>4978</v>
      </c>
      <c r="M1708" t="str">
        <f>LEFT($D1708,FIND(",",$D1708)-1)&amp;"_"&amp;I1708&amp;L1708</f>
        <v>Forster_2019</v>
      </c>
      <c r="N1708" s="312" t="s">
        <v>2584</v>
      </c>
      <c r="O1708" s="171" t="s">
        <v>513</v>
      </c>
      <c r="P1708" t="s">
        <v>223</v>
      </c>
      <c r="Q1708" s="312" t="s">
        <v>389</v>
      </c>
      <c r="R1708" s="313"/>
      <c r="AX1708" s="141"/>
      <c r="AY1708" s="141"/>
      <c r="BE1708"/>
      <c r="BF1708" s="2"/>
      <c r="BN1708" s="158"/>
      <c r="BO1708" s="159"/>
      <c r="BU1708" s="144"/>
      <c r="BY1708" t="str">
        <f>IFERROR(BX1708/BO1708,"")</f>
        <v/>
      </c>
      <c r="CN1708"/>
      <c r="CO1708"/>
      <c r="CP1708"/>
      <c r="CQ1708"/>
      <c r="CR1708"/>
      <c r="CS1708"/>
      <c r="CT1708"/>
      <c r="CU1708"/>
      <c r="CV1708" s="2"/>
      <c r="CX1708"/>
      <c r="DC1708"/>
      <c r="DI1708"/>
      <c r="DJ1708"/>
      <c r="DK1708"/>
      <c r="DL1708"/>
      <c r="DM1708"/>
      <c r="DN1708"/>
      <c r="DT1708"/>
      <c r="DU1708" s="143"/>
      <c r="DV1708" s="143"/>
      <c r="DW1708" s="143"/>
      <c r="DX1708" s="143"/>
      <c r="DY1708" s="143"/>
      <c r="ED1708" s="143"/>
      <c r="EG1708" s="143"/>
      <c r="EH1708" s="143"/>
      <c r="EK1708" t="str">
        <f>IF(AND(AND(AND(OR($DX1708=1,$DW1708=1),OR($EC1708=1,$EA1708=1)),SUM($DV1708:$DZ1708,$EF1708)&gt;=3),SUM($EA1708:$EE1708)&gt;=2),"Whole sector","")</f>
        <v/>
      </c>
      <c r="EL1708" t="str">
        <f>IF(AND(AND(OR($DX1708=1,$DW1708=1),AND($EC1708=0,$EA1708=0)),SUM($DV1708:$DZ1708,$EF1708)&gt;=3),"Ecosystem approach","")</f>
        <v/>
      </c>
      <c r="EM1708" s="2" t="str">
        <f>IF(AND(AND(AND($DX1708=0,$DW1708=0),OR($EC1708=1,$EA1708=1)),SUM($EB1708:$EE1708)&gt;=2),"Technology approach","")</f>
        <v/>
      </c>
      <c r="EP1708" t="b">
        <f>IF(ISNUMBER(BU1708),IF(ABS(BU1708-[5]QC_indicators!$B$2)&gt;3*[5]QC_indicators!$C$2,"C ratio",IF(ISNUMBER(BY1708),IF(ABS(BY1708-[5]QC_indicators!$B$1)&gt;3*[5]QC_indicators!$C$1,"DF","no"))),IF(ISNUMBER(BY1708),IF(ABS(BY1708-[5]QC_indicators!$B$1)&gt;3*[5]QC_indicators!$C$1,"DF","no")))</f>
        <v>0</v>
      </c>
    </row>
    <row r="1709" spans="1:146">
      <c r="A1709" s="1" t="s">
        <v>4979</v>
      </c>
      <c r="B1709" t="s">
        <v>4980</v>
      </c>
      <c r="C1709" t="s">
        <v>544</v>
      </c>
      <c r="D1709" t="s">
        <v>4981</v>
      </c>
      <c r="E1709" t="s">
        <v>4982</v>
      </c>
      <c r="F1709" t="s">
        <v>4983</v>
      </c>
      <c r="G1709" t="s">
        <v>544</v>
      </c>
      <c r="H1709" t="s">
        <v>3965</v>
      </c>
      <c r="I1709">
        <v>2017</v>
      </c>
      <c r="J1709">
        <v>1</v>
      </c>
      <c r="K1709" t="s">
        <v>544</v>
      </c>
      <c r="L1709" s="312" t="s">
        <v>406</v>
      </c>
      <c r="M1709" t="str">
        <f>LEFT($D1709,FIND(",",$D1709)-1)&amp;"_"&amp;I1709&amp;L1709</f>
        <v>Hildebrandt_2017b</v>
      </c>
      <c r="N1709" t="s">
        <v>2584</v>
      </c>
      <c r="O1709" s="145" t="s">
        <v>513</v>
      </c>
      <c r="P1709" s="141"/>
      <c r="Q1709" s="312" t="s">
        <v>256</v>
      </c>
      <c r="R1709" s="313"/>
      <c r="AX1709" s="141"/>
      <c r="AY1709" s="141"/>
      <c r="BE1709"/>
      <c r="BF1709" s="2"/>
      <c r="BU1709" s="144"/>
      <c r="BY1709" t="str">
        <f>IFERROR(BX1709/BO1709,"")</f>
        <v/>
      </c>
      <c r="CN1709"/>
      <c r="CO1709"/>
      <c r="CP1709"/>
      <c r="CQ1709"/>
      <c r="CR1709"/>
      <c r="CS1709"/>
      <c r="CT1709"/>
      <c r="CU1709"/>
      <c r="CV1709" s="2"/>
      <c r="CX1709"/>
      <c r="DC1709"/>
      <c r="DI1709"/>
      <c r="DJ1709"/>
      <c r="DK1709"/>
      <c r="DL1709"/>
      <c r="DM1709"/>
      <c r="DN1709"/>
      <c r="DT1709"/>
      <c r="DU1709" s="143"/>
      <c r="EK1709" t="str">
        <f>IF(AND(AND(AND(OR($DX1709=1,$DW1709=1),OR($EC1709=1,$EA1709=1)),SUM($DV1709:$DZ1709,$EF1709)&gt;=3),SUM($EA1709:$EE1709)&gt;=2),"Whole sector","")</f>
        <v/>
      </c>
      <c r="EL1709" t="str">
        <f>IF(AND(AND(OR($DX1709=1,$DW1709=1),AND($EC1709=0,$EA1709=0)),SUM($DV1709:$DZ1709,$EF1709)&gt;=3),"Ecosystem approach","")</f>
        <v/>
      </c>
      <c r="EM1709" s="2" t="str">
        <f>IF(AND(AND(AND($DX1709=0,$DW1709=0),OR($EC1709=1,$EA1709=1)),SUM($EB1709:$EE1709)&gt;=2),"Technology approach","")</f>
        <v/>
      </c>
      <c r="EO1709" t="s">
        <v>450</v>
      </c>
      <c r="EP1709" t="b">
        <f>IF(ISNUMBER(BU1709),IF(ABS(BU1709-[5]QC_indicators!$B$2)&gt;3*[5]QC_indicators!$C$2,"C ratio",IF(ISNUMBER(BY1709),IF(ABS(BY1709-[5]QC_indicators!$B$1)&gt;3*[5]QC_indicators!$C$1,"DF","no"))),IF(ISNUMBER(BY1709),IF(ABS(BY1709-[5]QC_indicators!$B$1)&gt;3*[5]QC_indicators!$C$1,"DF","no")))</f>
        <v>0</v>
      </c>
    </row>
    <row r="1710" spans="1:146">
      <c r="A1710" s="1" t="s">
        <v>4984</v>
      </c>
      <c r="B1710" t="s">
        <v>4985</v>
      </c>
      <c r="C1710" t="s">
        <v>544</v>
      </c>
      <c r="D1710" t="s">
        <v>4986</v>
      </c>
      <c r="E1710" t="s">
        <v>4987</v>
      </c>
      <c r="F1710" t="s">
        <v>4988</v>
      </c>
      <c r="G1710" t="s">
        <v>544</v>
      </c>
      <c r="H1710" t="s">
        <v>3965</v>
      </c>
      <c r="I1710">
        <v>2017</v>
      </c>
      <c r="J1710">
        <v>1</v>
      </c>
      <c r="K1710" t="s">
        <v>4989</v>
      </c>
      <c r="M1710" t="str">
        <f>LEFT($D1710,FIND(",",$D1710)-1)&amp;"_"&amp;I1710&amp;L1710</f>
        <v>Kanematsu_2017</v>
      </c>
      <c r="N1710" t="s">
        <v>2584</v>
      </c>
      <c r="O1710" s="145" t="s">
        <v>513</v>
      </c>
      <c r="Q1710" s="312" t="s">
        <v>256</v>
      </c>
      <c r="R1710" s="313"/>
      <c r="AX1710" s="141"/>
      <c r="AY1710" s="141"/>
      <c r="BE1710"/>
      <c r="BF1710" s="2"/>
      <c r="BU1710" s="144"/>
      <c r="BY1710" t="str">
        <f>IFERROR(BX1710/BO1710,"")</f>
        <v/>
      </c>
      <c r="CN1710"/>
      <c r="CO1710"/>
      <c r="CP1710"/>
      <c r="CQ1710"/>
      <c r="CR1710"/>
      <c r="CS1710"/>
      <c r="CT1710"/>
      <c r="CU1710"/>
      <c r="CV1710" s="2"/>
      <c r="CX1710"/>
      <c r="DC1710"/>
      <c r="DI1710"/>
      <c r="DJ1710"/>
      <c r="DK1710"/>
      <c r="DL1710"/>
      <c r="DM1710"/>
      <c r="DN1710"/>
      <c r="DT1710"/>
      <c r="DU1710" s="143"/>
      <c r="EK1710" t="str">
        <f>IF(AND(AND(AND(OR($DX1710=1,$DW1710=1),OR($EC1710=1,$EA1710=1)),SUM($DV1710:$DZ1710,$EF1710)&gt;=3),SUM($EA1710:$EE1710)&gt;=2),"Whole sector","")</f>
        <v/>
      </c>
      <c r="EL1710" t="str">
        <f>IF(AND(AND(OR($DX1710=1,$DW1710=1),AND($EC1710=0,$EA1710=0)),SUM($DV1710:$DZ1710,$EF1710)&gt;=3),"Ecosystem approach","")</f>
        <v/>
      </c>
      <c r="EM1710" s="2" t="str">
        <f>IF(AND(AND(AND($DX1710=0,$DW1710=0),OR($EC1710=1,$EA1710=1)),SUM($EB1710:$EE1710)&gt;=2),"Technology approach","")</f>
        <v/>
      </c>
      <c r="EO1710" t="s">
        <v>4990</v>
      </c>
      <c r="EP1710" t="b">
        <f>IF(ISNUMBER(BU1710),IF(ABS(BU1710-[5]QC_indicators!$B$2)&gt;3*[5]QC_indicators!$C$2,"C ratio",IF(ISNUMBER(BY1710),IF(ABS(BY1710-[5]QC_indicators!$B$1)&gt;3*[5]QC_indicators!$C$1,"DF","no"))),IF(ISNUMBER(BY1710),IF(ABS(BY1710-[5]QC_indicators!$B$1)&gt;3*[5]QC_indicators!$C$1,"DF","no")))</f>
        <v>0</v>
      </c>
    </row>
    <row r="1711" spans="1:146">
      <c r="A1711" s="1" t="s">
        <v>4991</v>
      </c>
      <c r="B1711" t="s">
        <v>544</v>
      </c>
      <c r="C1711" t="s">
        <v>544</v>
      </c>
      <c r="D1711" t="s">
        <v>4992</v>
      </c>
      <c r="E1711" t="s">
        <v>4993</v>
      </c>
      <c r="F1711" t="s">
        <v>4994</v>
      </c>
      <c r="G1711" t="s">
        <v>544</v>
      </c>
      <c r="H1711" t="s">
        <v>3965</v>
      </c>
      <c r="I1711">
        <v>2019</v>
      </c>
      <c r="J1711">
        <v>0</v>
      </c>
      <c r="K1711" t="s">
        <v>4995</v>
      </c>
      <c r="M1711" t="str">
        <f>LEFT($D1711,FIND(",",$D1711)-1)&amp;"_"&amp;I1711&amp;L1711</f>
        <v>Karas_2019</v>
      </c>
      <c r="N1711" s="312" t="s">
        <v>2584</v>
      </c>
      <c r="O1711" s="171" t="s">
        <v>513</v>
      </c>
      <c r="P1711" t="s">
        <v>223</v>
      </c>
      <c r="Q1711" s="312" t="s">
        <v>389</v>
      </c>
      <c r="R1711" s="313"/>
      <c r="U1711" s="143"/>
      <c r="AX1711" s="141"/>
      <c r="AY1711" s="141"/>
      <c r="BE1711"/>
      <c r="BF1711" s="2"/>
      <c r="BG1711" s="142"/>
      <c r="BJ1711" s="143"/>
      <c r="BL1711" s="143"/>
      <c r="BN1711" s="158"/>
      <c r="BO1711" s="159"/>
      <c r="BS1711" s="151"/>
      <c r="BT1711" s="151"/>
      <c r="BU1711" s="144"/>
      <c r="BY1711" t="str">
        <f>IFERROR(BX1711/BO1711,"")</f>
        <v/>
      </c>
      <c r="BZ1711" s="143"/>
      <c r="CA1711" s="143"/>
      <c r="CB1711" s="143"/>
      <c r="CC1711" s="143"/>
      <c r="CD1711" s="143"/>
      <c r="CE1711" s="143"/>
      <c r="CF1711" s="143"/>
      <c r="CG1711" s="143"/>
      <c r="CH1711" s="143"/>
      <c r="CI1711" s="143"/>
      <c r="CJ1711" s="143"/>
      <c r="CK1711" s="143"/>
      <c r="CL1711" s="143"/>
      <c r="CN1711"/>
      <c r="CO1711"/>
      <c r="CP1711"/>
      <c r="CQ1711"/>
      <c r="CR1711"/>
      <c r="CS1711"/>
      <c r="CT1711"/>
      <c r="CU1711"/>
      <c r="CV1711" s="2"/>
      <c r="CX1711"/>
      <c r="DA1711" s="143"/>
      <c r="DB1711" s="143"/>
      <c r="DC1711"/>
      <c r="DI1711"/>
      <c r="DJ1711"/>
      <c r="DK1711"/>
      <c r="DL1711"/>
      <c r="DM1711"/>
      <c r="DN1711"/>
      <c r="DT1711"/>
      <c r="DU1711" s="143"/>
      <c r="DV1711" s="143"/>
      <c r="DW1711" s="143"/>
      <c r="DX1711" s="143"/>
      <c r="DY1711" s="143"/>
      <c r="EB1711" s="143"/>
      <c r="EC1711" s="143"/>
      <c r="ED1711" s="143"/>
      <c r="EG1711" s="143"/>
      <c r="EH1711" s="143"/>
      <c r="EK1711" t="str">
        <f>IF(AND(AND(AND(OR($DX1711=1,$DW1711=1),OR($EC1711=1,$EA1711=1)),SUM($DV1711:$DZ1711,$EF1711)&gt;=3),SUM($EA1711:$EE1711)&gt;=2),"Whole sector","")</f>
        <v/>
      </c>
      <c r="EL1711" t="str">
        <f>IF(AND(AND(OR($DX1711=1,$DW1711=1),AND($EC1711=0,$EA1711=0)),SUM($DV1711:$DZ1711,$EF1711)&gt;=3),"Ecosystem approach","")</f>
        <v/>
      </c>
      <c r="EM1711" s="2" t="str">
        <f>IF(AND(AND(AND($DX1711=0,$DW1711=0),OR($EC1711=1,$EA1711=1)),SUM($EB1711:$EE1711)&gt;=2),"Technology approach","")</f>
        <v/>
      </c>
      <c r="EP1711" t="b">
        <f>IF(ISNUMBER(BU1711),IF(ABS(BU1711-[5]QC_indicators!$B$2)&gt;3*[5]QC_indicators!$C$2,"C ratio",IF(ISNUMBER(BY1711),IF(ABS(BY1711-[5]QC_indicators!$B$1)&gt;3*[5]QC_indicators!$C$1,"DF","no"))),IF(ISNUMBER(BY1711),IF(ABS(BY1711-[5]QC_indicators!$B$1)&gt;3*[5]QC_indicators!$C$1,"DF","no")))</f>
        <v>0</v>
      </c>
    </row>
    <row r="1712" spans="1:146">
      <c r="A1712" s="1" t="s">
        <v>4996</v>
      </c>
      <c r="B1712" t="s">
        <v>4997</v>
      </c>
      <c r="D1712" t="s">
        <v>4998</v>
      </c>
      <c r="E1712" t="s">
        <v>4999</v>
      </c>
      <c r="F1712" t="s">
        <v>5000</v>
      </c>
      <c r="H1712" t="s">
        <v>3965</v>
      </c>
      <c r="I1712">
        <v>2011</v>
      </c>
      <c r="J1712">
        <v>0</v>
      </c>
      <c r="M1712" t="str">
        <f>LEFT($D1712,FIND(",",$D1712)-1)&amp;"_"&amp;I1712&amp;L1712</f>
        <v>Lennox_2011</v>
      </c>
      <c r="N1712" t="s">
        <v>2584</v>
      </c>
      <c r="O1712" s="145" t="s">
        <v>225</v>
      </c>
      <c r="Q1712" s="312" t="s">
        <v>256</v>
      </c>
      <c r="R1712" s="313"/>
      <c r="U1712" s="143"/>
      <c r="AX1712" s="141"/>
      <c r="AY1712" s="141"/>
      <c r="BE1712"/>
      <c r="BF1712" s="2"/>
      <c r="BJ1712" s="143"/>
      <c r="BL1712" s="143"/>
      <c r="BM1712" s="163"/>
      <c r="BN1712" s="158"/>
      <c r="BO1712" s="143"/>
      <c r="BP1712" s="143"/>
      <c r="BQ1712" s="143"/>
      <c r="BS1712" s="143"/>
      <c r="BU1712" s="144"/>
      <c r="BY1712" t="str">
        <f>IFERROR(BX1712/BO1712,"")</f>
        <v/>
      </c>
      <c r="CN1712"/>
      <c r="CO1712"/>
      <c r="CP1712"/>
      <c r="CQ1712"/>
      <c r="CR1712"/>
      <c r="CS1712"/>
      <c r="CT1712"/>
      <c r="CU1712"/>
      <c r="CV1712" s="2"/>
      <c r="CX1712"/>
      <c r="DA1712" s="143"/>
      <c r="DB1712" s="143"/>
      <c r="DC1712"/>
      <c r="DI1712"/>
      <c r="DJ1712"/>
      <c r="DK1712"/>
      <c r="DL1712"/>
      <c r="DM1712"/>
      <c r="DN1712"/>
      <c r="DP1712" s="143"/>
      <c r="DQ1712" s="143"/>
      <c r="DS1712" s="143"/>
      <c r="DT1712"/>
      <c r="DU1712" s="143"/>
      <c r="DV1712" s="143"/>
      <c r="DW1712" s="143"/>
      <c r="EB1712" s="143"/>
      <c r="ED1712" s="143"/>
      <c r="EG1712" s="143"/>
      <c r="EK1712" t="str">
        <f>IF(AND(AND(AND(OR($DX1712=1,$DW1712=1),OR($EC1712=1,$EA1712=1)),SUM($DV1712:$DZ1712,$EF1712)&gt;=3),SUM($EA1712:$EE1712)&gt;=2),"Whole sector","")</f>
        <v/>
      </c>
      <c r="EL1712" t="str">
        <f>IF(AND(AND(OR($DX1712=1,$DW1712=1),AND($EC1712=0,$EA1712=0)),SUM($DV1712:$DZ1712,$EF1712)&gt;=3),"Ecosystem approach","")</f>
        <v/>
      </c>
      <c r="EM1712" s="2" t="str">
        <f>IF(AND(AND(AND($DX1712=0,$DW1712=0),OR($EC1712=1,$EA1712=1)),SUM($EB1712:$EE1712)&gt;=2),"Technology approach","")</f>
        <v/>
      </c>
      <c r="EO1712" t="s">
        <v>5001</v>
      </c>
      <c r="EP1712" t="b">
        <f>IF(ISNUMBER(BU1712),IF(ABS(BU1712-[5]QC_indicators!$B$2)&gt;3*[5]QC_indicators!$C$2,"C ratio",IF(ISNUMBER(BY1712),IF(ABS(BY1712-[5]QC_indicators!$B$1)&gt;3*[5]QC_indicators!$C$1,"DF","no"))),IF(ISNUMBER(BY1712),IF(ABS(BY1712-[5]QC_indicators!$B$1)&gt;3*[5]QC_indicators!$C$1,"DF","no")))</f>
        <v>0</v>
      </c>
    </row>
    <row r="1713" spans="1:148">
      <c r="A1713" s="1" t="s">
        <v>5002</v>
      </c>
      <c r="B1713" t="s">
        <v>5003</v>
      </c>
      <c r="C1713" t="s">
        <v>4680</v>
      </c>
      <c r="D1713" t="s">
        <v>5004</v>
      </c>
      <c r="E1713" t="s">
        <v>5005</v>
      </c>
      <c r="F1713" t="s">
        <v>5006</v>
      </c>
      <c r="H1713" t="s">
        <v>3965</v>
      </c>
      <c r="I1713">
        <v>2020</v>
      </c>
      <c r="J1713">
        <v>0</v>
      </c>
      <c r="K1713" t="s">
        <v>5007</v>
      </c>
      <c r="M1713" t="str">
        <f>LEFT($D1713,FIND(",",$D1713)-1)&amp;"_"&amp;I1713&amp;L1713</f>
        <v>Lip_2020</v>
      </c>
      <c r="N1713" t="s">
        <v>2584</v>
      </c>
      <c r="O1713" s="145" t="s">
        <v>225</v>
      </c>
      <c r="Q1713" s="312" t="s">
        <v>256</v>
      </c>
      <c r="R1713" s="313"/>
      <c r="U1713" s="143"/>
      <c r="AX1713" s="141"/>
      <c r="AY1713" s="141"/>
      <c r="BE1713"/>
      <c r="BF1713" s="2"/>
      <c r="BM1713" s="163"/>
      <c r="BN1713" s="158"/>
      <c r="BO1713" s="143"/>
      <c r="BS1713" s="143"/>
      <c r="BU1713" s="144"/>
      <c r="BY1713" t="str">
        <f>IFERROR(BX1713/BO1713,"")</f>
        <v/>
      </c>
      <c r="CN1713"/>
      <c r="CO1713"/>
      <c r="CP1713"/>
      <c r="CQ1713"/>
      <c r="CR1713"/>
      <c r="CS1713"/>
      <c r="CT1713"/>
      <c r="CU1713"/>
      <c r="CV1713" s="2"/>
      <c r="CX1713"/>
      <c r="DA1713" s="143"/>
      <c r="DB1713" s="143"/>
      <c r="DC1713"/>
      <c r="DI1713"/>
      <c r="DJ1713"/>
      <c r="DK1713"/>
      <c r="DL1713"/>
      <c r="DM1713"/>
      <c r="DN1713"/>
      <c r="DP1713" s="143"/>
      <c r="DQ1713" s="143"/>
      <c r="DS1713" s="143"/>
      <c r="DT1713"/>
      <c r="DU1713" s="143"/>
      <c r="DV1713" s="143"/>
      <c r="DW1713" s="143"/>
      <c r="EB1713" s="143"/>
      <c r="ED1713" s="143"/>
      <c r="EG1713" s="143"/>
      <c r="EK1713" t="str">
        <f>IF(AND(AND(AND(OR($DX1713=1,$DW1713=1),OR($EC1713=1,$EA1713=1)),SUM($DV1713:$DZ1713,$EF1713)&gt;=3),SUM($EA1713:$EE1713)&gt;=2),"Whole sector","")</f>
        <v/>
      </c>
      <c r="EL1713" t="str">
        <f>IF(AND(AND(OR($DX1713=1,$DW1713=1),AND($EC1713=0,$EA1713=0)),SUM($DV1713:$DZ1713,$EF1713)&gt;=3),"Ecosystem approach","")</f>
        <v/>
      </c>
      <c r="EM1713" s="2" t="str">
        <f>IF(AND(AND(AND($DX1713=0,$DW1713=0),OR($EC1713=1,$EA1713=1)),SUM($EB1713:$EE1713)&gt;=2),"Technology approach","")</f>
        <v/>
      </c>
      <c r="EN1713" t="s">
        <v>5008</v>
      </c>
      <c r="EO1713" t="s">
        <v>4990</v>
      </c>
      <c r="EP1713" t="b">
        <f>IF(ISNUMBER(BU1713),IF(ABS(BU1713-[5]QC_indicators!$B$2)&gt;3*[5]QC_indicators!$C$2,"C ratio",IF(ISNUMBER(BY1713),IF(ABS(BY1713-[5]QC_indicators!$B$1)&gt;3*[5]QC_indicators!$C$1,"DF","no"))),IF(ISNUMBER(BY1713),IF(ABS(BY1713-[5]QC_indicators!$B$1)&gt;3*[5]QC_indicators!$C$1,"DF","no")))</f>
        <v>0</v>
      </c>
    </row>
    <row r="1714" spans="1:148">
      <c r="A1714" s="1" t="s">
        <v>5009</v>
      </c>
      <c r="B1714" t="s">
        <v>5010</v>
      </c>
      <c r="C1714" t="s">
        <v>5011</v>
      </c>
      <c r="D1714" t="s">
        <v>5012</v>
      </c>
      <c r="E1714" t="s">
        <v>5013</v>
      </c>
      <c r="F1714" t="s">
        <v>5014</v>
      </c>
      <c r="G1714" t="s">
        <v>5015</v>
      </c>
      <c r="H1714" t="s">
        <v>254</v>
      </c>
      <c r="I1714">
        <v>2021</v>
      </c>
      <c r="J1714">
        <v>0</v>
      </c>
      <c r="K1714" t="s">
        <v>5016</v>
      </c>
      <c r="M1714" t="str">
        <f>LEFT($D1714,FIND(",",$D1714)-1)&amp;"_"&amp;I1714&amp;L1714</f>
        <v>Lyubov_2021</v>
      </c>
      <c r="N1714" t="s">
        <v>2584</v>
      </c>
      <c r="O1714" s="145" t="s">
        <v>225</v>
      </c>
      <c r="Q1714" s="312" t="s">
        <v>256</v>
      </c>
      <c r="R1714" s="313"/>
      <c r="U1714" s="143"/>
      <c r="AX1714" s="141"/>
      <c r="AY1714" s="141"/>
      <c r="BE1714"/>
      <c r="BF1714" s="2"/>
      <c r="BG1714" s="142"/>
      <c r="BJ1714" s="143"/>
      <c r="BL1714" s="143"/>
      <c r="BM1714" s="163"/>
      <c r="BN1714" s="158"/>
      <c r="BO1714" s="143"/>
      <c r="BS1714" s="143"/>
      <c r="BU1714" s="144"/>
      <c r="BY1714" t="str">
        <f>IFERROR(BX1714/BO1714,"")</f>
        <v/>
      </c>
      <c r="CN1714"/>
      <c r="CO1714"/>
      <c r="CP1714"/>
      <c r="CQ1714"/>
      <c r="CR1714"/>
      <c r="CS1714"/>
      <c r="CT1714"/>
      <c r="CU1714"/>
      <c r="CV1714" s="2"/>
      <c r="CX1714"/>
      <c r="DA1714" s="143"/>
      <c r="DB1714" s="143"/>
      <c r="DC1714"/>
      <c r="DI1714"/>
      <c r="DJ1714"/>
      <c r="DK1714"/>
      <c r="DL1714"/>
      <c r="DM1714"/>
      <c r="DN1714"/>
      <c r="DP1714" s="143"/>
      <c r="DS1714" s="143"/>
      <c r="DT1714"/>
      <c r="DU1714" s="143"/>
      <c r="DV1714" s="143"/>
      <c r="DW1714" s="143"/>
      <c r="DX1714" s="143"/>
      <c r="DY1714" s="143"/>
      <c r="EB1714" s="143"/>
      <c r="EC1714" s="143"/>
      <c r="ED1714" s="143"/>
      <c r="EG1714" s="143"/>
      <c r="EK1714" t="str">
        <f>IF(AND(AND(AND(OR($DX1714=1,$DW1714=1),OR($EC1714=1,$EA1714=1)),SUM($DV1714:$DZ1714,$EF1714)&gt;=3),SUM($EA1714:$EE1714)&gt;=2),"Whole sector","")</f>
        <v/>
      </c>
      <c r="EL1714" t="str">
        <f>IF(AND(AND(OR($DX1714=1,$DW1714=1),AND($EC1714=0,$EA1714=0)),SUM($DV1714:$DZ1714,$EF1714)&gt;=3),"Ecosystem approach","")</f>
        <v/>
      </c>
      <c r="EM1714" s="2" t="str">
        <f>IF(AND(AND(AND($DX1714=0,$DW1714=0),OR($EC1714=1,$EA1714=1)),SUM($EB1714:$EE1714)&gt;=2),"Technology approach","")</f>
        <v/>
      </c>
      <c r="EN1714" t="s">
        <v>5017</v>
      </c>
      <c r="EO1714" t="s">
        <v>450</v>
      </c>
      <c r="EP1714" t="b">
        <f>IF(ISNUMBER(BU1714),IF(ABS(BU1714-[5]QC_indicators!$B$2)&gt;3*[5]QC_indicators!$C$2,"C ratio",IF(ISNUMBER(BY1714),IF(ABS(BY1714-[5]QC_indicators!$B$1)&gt;3*[5]QC_indicators!$C$1,"DF","no"))),IF(ISNUMBER(BY1714),IF(ABS(BY1714-[5]QC_indicators!$B$1)&gt;3*[5]QC_indicators!$C$1,"DF","no")))</f>
        <v>0</v>
      </c>
    </row>
    <row r="1715" spans="1:148">
      <c r="A1715" s="1" t="s">
        <v>5018</v>
      </c>
      <c r="B1715" t="s">
        <v>544</v>
      </c>
      <c r="C1715" t="s">
        <v>544</v>
      </c>
      <c r="D1715" t="s">
        <v>5019</v>
      </c>
      <c r="E1715" t="s">
        <v>5020</v>
      </c>
      <c r="F1715" t="s">
        <v>5021</v>
      </c>
      <c r="G1715" t="s">
        <v>544</v>
      </c>
      <c r="H1715" t="s">
        <v>3965</v>
      </c>
      <c r="I1715">
        <v>2003</v>
      </c>
      <c r="J1715">
        <v>0</v>
      </c>
      <c r="K1715" t="s">
        <v>544</v>
      </c>
      <c r="M1715" t="str">
        <f>LEFT($D1715,FIND(",",$D1715)-1)&amp;"_"&amp;I1715&amp;L1715</f>
        <v>Read_2003</v>
      </c>
      <c r="N1715" t="s">
        <v>2584</v>
      </c>
      <c r="O1715" s="145" t="s">
        <v>341</v>
      </c>
      <c r="Q1715" s="312" t="s">
        <v>256</v>
      </c>
      <c r="R1715" s="313"/>
      <c r="AX1715" s="141"/>
      <c r="AY1715" s="141"/>
      <c r="BE1715"/>
      <c r="BF1715" s="2"/>
      <c r="BU1715" s="144"/>
      <c r="BY1715" t="str">
        <f>IFERROR(BX1715/BO1715,"")</f>
        <v/>
      </c>
      <c r="CN1715"/>
      <c r="CO1715"/>
      <c r="CP1715"/>
      <c r="CQ1715"/>
      <c r="CR1715"/>
      <c r="CS1715"/>
      <c r="CT1715"/>
      <c r="CU1715"/>
      <c r="CV1715" s="2"/>
      <c r="CX1715"/>
      <c r="DC1715"/>
      <c r="DI1715"/>
      <c r="DJ1715"/>
      <c r="DK1715"/>
      <c r="DL1715"/>
      <c r="DM1715"/>
      <c r="DN1715"/>
      <c r="DT1715"/>
      <c r="DU1715" s="143"/>
      <c r="EK1715" t="str">
        <f>IF(AND(AND(AND(OR($DX1715=1,$DW1715=1),OR($EC1715=1,$EA1715=1)),SUM($DV1715:$DZ1715,$EF1715)&gt;=3),SUM($EA1715:$EE1715)&gt;=2),"Whole sector","")</f>
        <v/>
      </c>
      <c r="EL1715" t="str">
        <f>IF(AND(AND(OR($DX1715=1,$DW1715=1),AND($EC1715=0,$EA1715=0)),SUM($DV1715:$DZ1715,$EF1715)&gt;=3),"Ecosystem approach","")</f>
        <v/>
      </c>
      <c r="EM1715" s="2" t="str">
        <f>IF(AND(AND(AND($DX1715=0,$DW1715=0),OR($EC1715=1,$EA1715=1)),SUM($EB1715:$EE1715)&gt;=2),"Technology approach","")</f>
        <v/>
      </c>
      <c r="EO1715" t="s">
        <v>450</v>
      </c>
      <c r="EP1715" t="b">
        <f>IF(ISNUMBER(BU1715),IF(ABS(BU1715-[5]QC_indicators!$B$2)&gt;3*[5]QC_indicators!$C$2,"C ratio",IF(ISNUMBER(BY1715),IF(ABS(BY1715-[5]QC_indicators!$B$1)&gt;3*[5]QC_indicators!$C$1,"DF","no"))),IF(ISNUMBER(BY1715),IF(ABS(BY1715-[5]QC_indicators!$B$1)&gt;3*[5]QC_indicators!$C$1,"DF","no")))</f>
        <v>0</v>
      </c>
    </row>
    <row r="1716" spans="1:148">
      <c r="A1716" s="1" t="s">
        <v>5022</v>
      </c>
      <c r="B1716" t="s">
        <v>5023</v>
      </c>
      <c r="C1716" t="s">
        <v>544</v>
      </c>
      <c r="D1716" t="s">
        <v>5024</v>
      </c>
      <c r="E1716" t="s">
        <v>5025</v>
      </c>
      <c r="F1716" t="s">
        <v>5026</v>
      </c>
      <c r="G1716" t="s">
        <v>544</v>
      </c>
      <c r="H1716" t="s">
        <v>3965</v>
      </c>
      <c r="I1716">
        <v>2017</v>
      </c>
      <c r="J1716">
        <v>0</v>
      </c>
      <c r="K1716" t="s">
        <v>5027</v>
      </c>
      <c r="M1716" t="str">
        <f>LEFT($D1716,FIND(",",$D1716)-1)&amp;"_"&amp;I1716&amp;L1716</f>
        <v>Rodzkin_2017</v>
      </c>
      <c r="N1716" t="s">
        <v>2584</v>
      </c>
      <c r="O1716" s="145" t="s">
        <v>341</v>
      </c>
      <c r="Q1716" s="312" t="s">
        <v>256</v>
      </c>
      <c r="R1716" s="313"/>
      <c r="AX1716" s="141"/>
      <c r="AY1716" s="141"/>
      <c r="BE1716"/>
      <c r="BF1716" s="2"/>
      <c r="BU1716" s="144"/>
      <c r="BY1716" t="str">
        <f>IFERROR(BX1716/BO1716,"")</f>
        <v/>
      </c>
      <c r="CN1716"/>
      <c r="CO1716"/>
      <c r="CP1716"/>
      <c r="CQ1716"/>
      <c r="CR1716"/>
      <c r="CS1716"/>
      <c r="CT1716"/>
      <c r="CU1716"/>
      <c r="CV1716" s="2"/>
      <c r="CX1716"/>
      <c r="DC1716"/>
      <c r="DI1716"/>
      <c r="DJ1716"/>
      <c r="DK1716"/>
      <c r="DL1716"/>
      <c r="DM1716"/>
      <c r="DN1716"/>
      <c r="DT1716"/>
      <c r="DU1716" s="143"/>
      <c r="EK1716" t="str">
        <f>IF(AND(AND(AND(OR($DX1716=1,$DW1716=1),OR($EC1716=1,$EA1716=1)),SUM($DV1716:$DZ1716,$EF1716)&gt;=3),SUM($EA1716:$EE1716)&gt;=2),"Whole sector","")</f>
        <v/>
      </c>
      <c r="EL1716" t="str">
        <f>IF(AND(AND(OR($DX1716=1,$DW1716=1),AND($EC1716=0,$EA1716=0)),SUM($DV1716:$DZ1716,$EF1716)&gt;=3),"Ecosystem approach","")</f>
        <v/>
      </c>
      <c r="EM1716" s="2" t="str">
        <f>IF(AND(AND(AND($DX1716=0,$DW1716=0),OR($EC1716=1,$EA1716=1)),SUM($EB1716:$EE1716)&gt;=2),"Technology approach","")</f>
        <v/>
      </c>
      <c r="EO1716" t="s">
        <v>450</v>
      </c>
      <c r="EP1716" t="b">
        <f>IF(ISNUMBER(BU1716),IF(ABS(BU1716-[5]QC_indicators!$B$2)&gt;3*[5]QC_indicators!$C$2,"C ratio",IF(ISNUMBER(BY1716),IF(ABS(BY1716-[5]QC_indicators!$B$1)&gt;3*[5]QC_indicators!$C$1,"DF","no"))),IF(ISNUMBER(BY1716),IF(ABS(BY1716-[5]QC_indicators!$B$1)&gt;3*[5]QC_indicators!$C$1,"DF","no")))</f>
        <v>0</v>
      </c>
    </row>
    <row r="1717" spans="1:148">
      <c r="A1717" s="1" t="s">
        <v>5028</v>
      </c>
      <c r="B1717" t="s">
        <v>5029</v>
      </c>
      <c r="C1717" t="s">
        <v>544</v>
      </c>
      <c r="D1717" t="s">
        <v>5030</v>
      </c>
      <c r="E1717" t="s">
        <v>5031</v>
      </c>
      <c r="F1717" t="s">
        <v>5032</v>
      </c>
      <c r="G1717" t="s">
        <v>544</v>
      </c>
      <c r="H1717" t="s">
        <v>3965</v>
      </c>
      <c r="I1717">
        <v>2014</v>
      </c>
      <c r="J1717">
        <v>0</v>
      </c>
      <c r="K1717" t="s">
        <v>544</v>
      </c>
      <c r="M1717" t="str">
        <f>LEFT($D1717,FIND(",",$D1717)-1)&amp;"_"&amp;I1717&amp;L1717</f>
        <v>Sikkema_2014</v>
      </c>
      <c r="N1717" t="s">
        <v>2584</v>
      </c>
      <c r="O1717" s="145" t="s">
        <v>341</v>
      </c>
      <c r="Q1717" s="312" t="s">
        <v>256</v>
      </c>
      <c r="R1717" s="313"/>
      <c r="AX1717" s="141"/>
      <c r="AY1717" s="141"/>
      <c r="BE1717"/>
      <c r="BF1717" s="2"/>
      <c r="BU1717" s="144"/>
      <c r="BY1717" t="str">
        <f>IFERROR(BX1717/BO1717,"")</f>
        <v/>
      </c>
      <c r="CN1717"/>
      <c r="CO1717"/>
      <c r="CP1717"/>
      <c r="CQ1717"/>
      <c r="CR1717"/>
      <c r="CS1717"/>
      <c r="CT1717"/>
      <c r="CU1717"/>
      <c r="CV1717" s="2"/>
      <c r="CX1717"/>
      <c r="DC1717"/>
      <c r="DI1717"/>
      <c r="DJ1717"/>
      <c r="DK1717"/>
      <c r="DL1717"/>
      <c r="DM1717"/>
      <c r="DN1717"/>
      <c r="DT1717"/>
      <c r="DU1717" s="143"/>
      <c r="EK1717" t="str">
        <f>IF(AND(AND(AND(OR($DX1717=1,$DW1717=1),OR($EC1717=1,$EA1717=1)),SUM($DV1717:$DZ1717,$EF1717)&gt;=3),SUM($EA1717:$EE1717)&gt;=2),"Whole sector","")</f>
        <v/>
      </c>
      <c r="EL1717" t="str">
        <f>IF(AND(AND(OR($DX1717=1,$DW1717=1),AND($EC1717=0,$EA1717=0)),SUM($DV1717:$DZ1717,$EF1717)&gt;=3),"Ecosystem approach","")</f>
        <v/>
      </c>
      <c r="EM1717" s="2" t="str">
        <f>IF(AND(AND(AND($DX1717=0,$DW1717=0),OR($EC1717=1,$EA1717=1)),SUM($EB1717:$EE1717)&gt;=2),"Technology approach","")</f>
        <v/>
      </c>
      <c r="EO1717" t="s">
        <v>450</v>
      </c>
      <c r="EP1717" t="b">
        <f>IF(ISNUMBER(BU1717),IF(ABS(BU1717-[5]QC_indicators!$B$2)&gt;3*[5]QC_indicators!$C$2,"C ratio",IF(ISNUMBER(BY1717),IF(ABS(BY1717-[5]QC_indicators!$B$1)&gt;3*[5]QC_indicators!$C$1,"DF","no"))),IF(ISNUMBER(BY1717),IF(ABS(BY1717-[5]QC_indicators!$B$1)&gt;3*[5]QC_indicators!$C$1,"DF","no")))</f>
        <v>0</v>
      </c>
    </row>
    <row r="1718" spans="1:148">
      <c r="A1718" s="1" t="s">
        <v>5033</v>
      </c>
      <c r="B1718" t="s">
        <v>544</v>
      </c>
      <c r="C1718" t="s">
        <v>544</v>
      </c>
      <c r="D1718" t="s">
        <v>5034</v>
      </c>
      <c r="E1718" t="s">
        <v>5035</v>
      </c>
      <c r="F1718" t="s">
        <v>5036</v>
      </c>
      <c r="G1718" t="s">
        <v>544</v>
      </c>
      <c r="H1718" t="s">
        <v>3965</v>
      </c>
      <c r="I1718">
        <v>2013</v>
      </c>
      <c r="J1718">
        <v>0</v>
      </c>
      <c r="K1718" t="s">
        <v>544</v>
      </c>
      <c r="M1718" t="str">
        <f>LEFT($D1718,FIND(",",$D1718)-1)&amp;"_"&amp;I1718&amp;L1718</f>
        <v>Spinelli_2013</v>
      </c>
      <c r="N1718" t="s">
        <v>2584</v>
      </c>
      <c r="O1718" s="145" t="s">
        <v>341</v>
      </c>
      <c r="Q1718" s="312" t="s">
        <v>256</v>
      </c>
      <c r="R1718" s="313"/>
      <c r="AX1718" s="141"/>
      <c r="AY1718" s="141"/>
      <c r="BE1718"/>
      <c r="BF1718" s="2"/>
      <c r="BU1718" s="144"/>
      <c r="BY1718" t="str">
        <f>IFERROR(BX1718/BO1718,"")</f>
        <v/>
      </c>
      <c r="CN1718"/>
      <c r="CO1718"/>
      <c r="CP1718"/>
      <c r="CQ1718"/>
      <c r="CR1718"/>
      <c r="CS1718"/>
      <c r="CT1718"/>
      <c r="CU1718"/>
      <c r="CV1718" s="2"/>
      <c r="CX1718"/>
      <c r="DC1718"/>
      <c r="DI1718"/>
      <c r="DJ1718"/>
      <c r="DK1718"/>
      <c r="DL1718"/>
      <c r="DM1718"/>
      <c r="DN1718"/>
      <c r="DT1718"/>
      <c r="DU1718" s="143"/>
      <c r="EK1718" t="str">
        <f>IF(AND(AND(AND(OR($DX1718=1,$DW1718=1),OR($EC1718=1,$EA1718=1)),SUM($DV1718:$DZ1718,$EF1718)&gt;=3),SUM($EA1718:$EE1718)&gt;=2),"Whole sector","")</f>
        <v/>
      </c>
      <c r="EL1718" t="str">
        <f>IF(AND(AND(OR($DX1718=1,$DW1718=1),AND($EC1718=0,$EA1718=0)),SUM($DV1718:$DZ1718,$EF1718)&gt;=3),"Ecosystem approach","")</f>
        <v/>
      </c>
      <c r="EM1718" s="2" t="str">
        <f>IF(AND(AND(AND($DX1718=0,$DW1718=0),OR($EC1718=1,$EA1718=1)),SUM($EB1718:$EE1718)&gt;=2),"Technology approach","")</f>
        <v/>
      </c>
      <c r="EO1718" t="s">
        <v>450</v>
      </c>
      <c r="EP1718" t="b">
        <f>IF(ISNUMBER(BU1718),IF(ABS(BU1718-[5]QC_indicators!$B$2)&gt;3*[5]QC_indicators!$C$2,"C ratio",IF(ISNUMBER(BY1718),IF(ABS(BY1718-[5]QC_indicators!$B$1)&gt;3*[5]QC_indicators!$C$1,"DF","no"))),IF(ISNUMBER(BY1718),IF(ABS(BY1718-[5]QC_indicators!$B$1)&gt;3*[5]QC_indicators!$C$1,"DF","no")))</f>
        <v>0</v>
      </c>
    </row>
    <row r="1719" spans="1:148">
      <c r="A1719" s="1" t="s">
        <v>5037</v>
      </c>
      <c r="B1719" t="s">
        <v>5038</v>
      </c>
      <c r="C1719" t="s">
        <v>544</v>
      </c>
      <c r="D1719" t="s">
        <v>5039</v>
      </c>
      <c r="E1719" t="s">
        <v>5040</v>
      </c>
      <c r="F1719" t="s">
        <v>5041</v>
      </c>
      <c r="G1719" t="s">
        <v>5042</v>
      </c>
      <c r="H1719" t="s">
        <v>254</v>
      </c>
      <c r="I1719">
        <v>2022</v>
      </c>
      <c r="J1719">
        <v>1</v>
      </c>
      <c r="K1719" t="s">
        <v>5043</v>
      </c>
      <c r="M1719" t="str">
        <f>LEFT($D1719,FIND(",",$D1719)-1)&amp;"_"&amp;I1719&amp;L1719</f>
        <v>Stockhusen_2022</v>
      </c>
      <c r="N1719" t="s">
        <v>2584</v>
      </c>
      <c r="BE1719"/>
      <c r="BF1719" s="2"/>
      <c r="BY1719" t="str">
        <f>IFERROR(BX1719/BO1719,"")</f>
        <v/>
      </c>
      <c r="CN1719"/>
      <c r="CO1719"/>
      <c r="CP1719"/>
      <c r="CQ1719"/>
      <c r="CR1719"/>
      <c r="CS1719"/>
      <c r="CT1719"/>
      <c r="CU1719"/>
      <c r="CV1719" s="2"/>
      <c r="CX1719"/>
      <c r="DC1719"/>
      <c r="DI1719"/>
      <c r="DJ1719"/>
      <c r="DK1719"/>
      <c r="DL1719"/>
      <c r="DM1719"/>
      <c r="DN1719"/>
      <c r="DT1719"/>
      <c r="DU1719"/>
      <c r="EK1719" t="str">
        <f>IF(AND(AND(AND(OR($DX1719=1,$DW1719=1),OR($EC1719=1,$EA1719=1)),SUM($DV1719:$DZ1719,$EF1719)&gt;=3),SUM($EA1719:$EE1719)&gt;=2),"Whole sector","")</f>
        <v/>
      </c>
      <c r="EL1719" t="str">
        <f>IF(AND(AND(OR($DX1719=1,$DW1719=1),AND($EC1719=0,$EA1719=0)),SUM($DV1719:$DZ1719,$EF1719)&gt;=3),"Ecosystem approach","")</f>
        <v/>
      </c>
      <c r="EM1719" s="2" t="str">
        <f>IF(AND(AND(AND($DX1719=0,$DW1719=0),OR($EC1719=1,$EA1719=1)),SUM($EB1719:$EE1719)&gt;=2),"Technology approach","")</f>
        <v/>
      </c>
      <c r="EP1719" t="b">
        <f>IF(ISNUMBER(BU1719),IF(ABS(BU1719-[5]QC_indicators!$B$2)&gt;3*[5]QC_indicators!$C$2,"C ratio",IF(ISNUMBER(BY1719),IF(ABS(BY1719-[5]QC_indicators!$B$1)&gt;3*[5]QC_indicators!$C$1,"DF","no"))),IF(ISNUMBER(BY1719),IF(ABS(BY1719-[5]QC_indicators!$B$1)&gt;3*[5]QC_indicators!$C$1,"DF","no")))</f>
        <v>0</v>
      </c>
    </row>
    <row r="1720" spans="1:148">
      <c r="A1720" s="1" t="s">
        <v>5044</v>
      </c>
      <c r="B1720" t="s">
        <v>5045</v>
      </c>
      <c r="C1720" t="s">
        <v>544</v>
      </c>
      <c r="D1720" t="s">
        <v>5046</v>
      </c>
      <c r="E1720" t="s">
        <v>5047</v>
      </c>
      <c r="F1720" t="s">
        <v>5048</v>
      </c>
      <c r="G1720" t="s">
        <v>544</v>
      </c>
      <c r="H1720" t="s">
        <v>3965</v>
      </c>
      <c r="I1720">
        <v>2015</v>
      </c>
      <c r="J1720">
        <v>2</v>
      </c>
      <c r="K1720" t="s">
        <v>544</v>
      </c>
      <c r="M1720" t="str">
        <f>LEFT($D1720,FIND(",",$D1720)-1)&amp;"_"&amp;I1720&amp;L1720</f>
        <v>Taranu_2015</v>
      </c>
      <c r="N1720" t="s">
        <v>2584</v>
      </c>
      <c r="O1720" s="145" t="s">
        <v>1154</v>
      </c>
      <c r="Q1720" s="312" t="s">
        <v>256</v>
      </c>
      <c r="R1720" s="313"/>
      <c r="AX1720" s="141"/>
      <c r="AY1720" s="141"/>
      <c r="BE1720"/>
      <c r="BF1720" s="2"/>
      <c r="BP1720" s="143"/>
      <c r="BQ1720" s="143"/>
      <c r="BU1720" s="144"/>
      <c r="BY1720" t="str">
        <f>IFERROR(BX1720/BO1720,"")</f>
        <v/>
      </c>
      <c r="CN1720"/>
      <c r="CO1720"/>
      <c r="CP1720"/>
      <c r="CQ1720"/>
      <c r="CR1720"/>
      <c r="CS1720"/>
      <c r="CT1720"/>
      <c r="CU1720"/>
      <c r="CV1720" s="2"/>
      <c r="CX1720"/>
      <c r="DC1720"/>
      <c r="DI1720"/>
      <c r="DJ1720"/>
      <c r="DK1720"/>
      <c r="DL1720"/>
      <c r="DM1720"/>
      <c r="DN1720"/>
      <c r="DT1720"/>
      <c r="DU1720" s="143"/>
      <c r="EK1720" t="str">
        <f>IF(AND(AND(AND(OR($DX1720=1,$DW1720=1),OR($EC1720=1,$EA1720=1)),SUM($DV1720:$DZ1720,$EF1720)&gt;=3),SUM($EA1720:$EE1720)&gt;=2),"Whole sector","")</f>
        <v/>
      </c>
      <c r="EL1720" t="str">
        <f>IF(AND(AND(OR($DX1720=1,$DW1720=1),AND($EC1720=0,$EA1720=0)),SUM($DV1720:$DZ1720,$EF1720)&gt;=3),"Ecosystem approach","")</f>
        <v/>
      </c>
      <c r="EM1720" s="2" t="str">
        <f>IF(AND(AND(AND($DX1720=0,$DW1720=0),OR($EC1720=1,$EA1720=1)),SUM($EB1720:$EE1720)&gt;=2),"Technology approach","")</f>
        <v/>
      </c>
      <c r="EO1720" t="s">
        <v>4329</v>
      </c>
      <c r="EP1720" t="b">
        <f>IF(ISNUMBER(BU1720),IF(ABS(BU1720-[5]QC_indicators!$B$2)&gt;3*[5]QC_indicators!$C$2,"C ratio",IF(ISNUMBER(BY1720),IF(ABS(BY1720-[5]QC_indicators!$B$1)&gt;3*[5]QC_indicators!$C$1,"DF","no"))),IF(ISNUMBER(BY1720),IF(ABS(BY1720-[5]QC_indicators!$B$1)&gt;3*[5]QC_indicators!$C$1,"DF","no")))</f>
        <v>0</v>
      </c>
    </row>
    <row r="1721" spans="1:148">
      <c r="A1721" s="1" t="s">
        <v>4968</v>
      </c>
      <c r="B1721" t="s">
        <v>5049</v>
      </c>
      <c r="C1721" t="s">
        <v>5050</v>
      </c>
      <c r="D1721" t="s">
        <v>5051</v>
      </c>
      <c r="E1721" t="s">
        <v>5052</v>
      </c>
      <c r="F1721" t="s">
        <v>5053</v>
      </c>
      <c r="G1721" t="s">
        <v>544</v>
      </c>
      <c r="H1721" t="s">
        <v>3965</v>
      </c>
      <c r="I1721">
        <v>2019</v>
      </c>
      <c r="J1721">
        <v>5</v>
      </c>
      <c r="K1721" t="s">
        <v>5054</v>
      </c>
      <c r="M1721" t="str">
        <f>LEFT($D1721,FIND(",",$D1721)-1)&amp;"_"&amp;I1721&amp;L1721</f>
        <v>Tettey_2019</v>
      </c>
      <c r="N1721" t="s">
        <v>2584</v>
      </c>
      <c r="O1721" s="145" t="s">
        <v>1154</v>
      </c>
      <c r="Q1721" s="312" t="s">
        <v>256</v>
      </c>
      <c r="R1721" s="313"/>
      <c r="U1721" s="143"/>
      <c r="AX1721" s="141"/>
      <c r="AY1721" s="141"/>
      <c r="BE1721"/>
      <c r="BF1721" s="2"/>
      <c r="BM1721" s="143"/>
      <c r="BN1721" s="143"/>
      <c r="BP1721" s="143"/>
      <c r="BQ1721" s="143"/>
      <c r="BU1721" s="144"/>
      <c r="BY1721" t="str">
        <f>IFERROR(BX1721/BO1721,"")</f>
        <v/>
      </c>
      <c r="CN1721"/>
      <c r="CO1721"/>
      <c r="CP1721"/>
      <c r="CQ1721"/>
      <c r="CR1721"/>
      <c r="CS1721"/>
      <c r="CT1721"/>
      <c r="CU1721"/>
      <c r="CV1721" s="2"/>
      <c r="CX1721"/>
      <c r="DC1721"/>
      <c r="DI1721"/>
      <c r="DJ1721"/>
      <c r="DK1721"/>
      <c r="DL1721"/>
      <c r="DM1721"/>
      <c r="DN1721"/>
      <c r="DT1721"/>
      <c r="DU1721" s="143"/>
      <c r="EK1721" t="str">
        <f>IF(AND(AND(AND(OR($DX1721=1,$DW1721=1),OR($EC1721=1,$EA1721=1)),SUM($DV1721:$DZ1721,$EF1721)&gt;=3),SUM($EA1721:$EE1721)&gt;=2),"Whole sector","")</f>
        <v/>
      </c>
      <c r="EL1721" t="str">
        <f>IF(AND(AND(OR($DX1721=1,$DW1721=1),AND($EC1721=0,$EA1721=0)),SUM($DV1721:$DZ1721,$EF1721)&gt;=3),"Ecosystem approach","")</f>
        <v/>
      </c>
      <c r="EM1721" s="2" t="str">
        <f>IF(AND(AND(AND($DX1721=0,$DW1721=0),OR($EC1721=1,$EA1721=1)),SUM($EB1721:$EE1721)&gt;=2),"Technology approach","")</f>
        <v/>
      </c>
      <c r="EO1721" t="s">
        <v>4329</v>
      </c>
      <c r="EP1721" t="b">
        <f>IF(ISNUMBER(BU1721),IF(ABS(BU1721-[5]QC_indicators!$B$2)&gt;3*[5]QC_indicators!$C$2,"C ratio",IF(ISNUMBER(BY1721),IF(ABS(BY1721-[5]QC_indicators!$B$1)&gt;3*[5]QC_indicators!$C$1,"DF","no"))),IF(ISNUMBER(BY1721),IF(ABS(BY1721-[5]QC_indicators!$B$1)&gt;3*[5]QC_indicators!$C$1,"DF","no")))</f>
        <v>0</v>
      </c>
    </row>
    <row r="1722" spans="1:148">
      <c r="A1722" s="1" t="s">
        <v>5055</v>
      </c>
      <c r="B1722" t="s">
        <v>5056</v>
      </c>
      <c r="C1722" t="s">
        <v>5057</v>
      </c>
      <c r="D1722" t="s">
        <v>5058</v>
      </c>
      <c r="E1722" t="s">
        <v>5059</v>
      </c>
      <c r="F1722" t="s">
        <v>5060</v>
      </c>
      <c r="G1722" t="s">
        <v>544</v>
      </c>
      <c r="H1722" t="s">
        <v>3965</v>
      </c>
      <c r="I1722">
        <v>2018</v>
      </c>
      <c r="J1722">
        <v>21</v>
      </c>
      <c r="K1722" t="s">
        <v>5061</v>
      </c>
      <c r="M1722" t="str">
        <f>LEFT($D1722,FIND(",",$D1722)-1)&amp;"_"&amp;I1722&amp;L1722</f>
        <v>Ungureanu_2018</v>
      </c>
      <c r="N1722" s="312" t="s">
        <v>2584</v>
      </c>
      <c r="BE1722"/>
      <c r="BF1722" s="2"/>
      <c r="BY1722" t="str">
        <f>IFERROR(BX1722/BO1722,"")</f>
        <v/>
      </c>
      <c r="CN1722"/>
      <c r="CO1722"/>
      <c r="CP1722"/>
      <c r="CQ1722"/>
      <c r="CR1722"/>
      <c r="CS1722"/>
      <c r="CT1722"/>
      <c r="CU1722"/>
      <c r="CV1722" s="2"/>
      <c r="CX1722"/>
      <c r="DC1722"/>
      <c r="DI1722"/>
      <c r="DJ1722"/>
      <c r="DK1722"/>
      <c r="DL1722"/>
      <c r="DM1722"/>
      <c r="DN1722"/>
      <c r="DT1722"/>
      <c r="DU1722"/>
      <c r="EK1722" t="str">
        <f>IF(AND(AND(AND(OR($DX1722=1,$DW1722=1),OR($EC1722=1,$EA1722=1)),SUM($DV1722:$DZ1722,$EF1722)&gt;=3),SUM($EA1722:$EE1722)&gt;=2),"Whole sector","")</f>
        <v/>
      </c>
      <c r="EL1722" t="str">
        <f>IF(AND(AND(OR($DX1722=1,$DW1722=1),AND($EC1722=0,$EA1722=0)),SUM($DV1722:$DZ1722,$EF1722)&gt;=3),"Ecosystem approach","")</f>
        <v/>
      </c>
      <c r="EM1722" s="2" t="str">
        <f>IF(AND(AND(AND($DX1722=0,$DW1722=0),OR($EC1722=1,$EA1722=1)),SUM($EB1722:$EE1722)&gt;=2),"Technology approach","")</f>
        <v/>
      </c>
      <c r="EP1722" t="b">
        <f>IF(ISNUMBER(BU1722),IF(ABS(BU1722-[5]QC_indicators!$B$2)&gt;3*[5]QC_indicators!$C$2,"C ratio",IF(ISNUMBER(BY1722),IF(ABS(BY1722-[5]QC_indicators!$B$1)&gt;3*[5]QC_indicators!$C$1,"DF","no"))),IF(ISNUMBER(BY1722),IF(ABS(BY1722-[5]QC_indicators!$B$1)&gt;3*[5]QC_indicators!$C$1,"DF","no")))</f>
        <v>0</v>
      </c>
    </row>
    <row r="1723" spans="1:148">
      <c r="A1723" s="1" t="s">
        <v>5062</v>
      </c>
      <c r="B1723" t="s">
        <v>5063</v>
      </c>
      <c r="C1723" t="s">
        <v>5064</v>
      </c>
      <c r="D1723" t="s">
        <v>5065</v>
      </c>
      <c r="E1723" s="312" t="s">
        <v>5066</v>
      </c>
      <c r="F1723" t="s">
        <v>5067</v>
      </c>
      <c r="G1723" t="s">
        <v>5068</v>
      </c>
      <c r="H1723" t="s">
        <v>254</v>
      </c>
      <c r="I1723">
        <v>2022</v>
      </c>
      <c r="J1723">
        <v>0</v>
      </c>
      <c r="K1723" t="s">
        <v>5069</v>
      </c>
      <c r="M1723" t="str">
        <f>LEFT($D1723,FIND(",",$D1723)-1)&amp;"_"&amp;I1723&amp;L1723</f>
        <v>Shvarts_2022</v>
      </c>
      <c r="N1723" s="312" t="s">
        <v>5070</v>
      </c>
      <c r="O1723" s="312" t="s">
        <v>223</v>
      </c>
      <c r="Q1723" s="312" t="s">
        <v>389</v>
      </c>
      <c r="R1723" s="313"/>
      <c r="BE1723"/>
      <c r="BF1723" s="2"/>
      <c r="BY1723" t="str">
        <f>IFERROR(BX1723/BO1723,"")</f>
        <v/>
      </c>
      <c r="CN1723"/>
      <c r="CO1723"/>
      <c r="CP1723"/>
      <c r="CQ1723"/>
      <c r="CR1723"/>
      <c r="CS1723"/>
      <c r="CT1723"/>
      <c r="CU1723"/>
      <c r="CV1723" s="2"/>
      <c r="CX1723"/>
      <c r="DC1723"/>
      <c r="DI1723"/>
      <c r="DJ1723"/>
      <c r="DK1723"/>
      <c r="DL1723"/>
      <c r="DM1723"/>
      <c r="DN1723"/>
      <c r="DT1723"/>
      <c r="DU1723"/>
      <c r="EK1723" t="str">
        <f>IF(AND(AND(AND(OR($DX1723=1,$DW1723=1),OR($EC1723=1,$EA1723=1)),SUM($DV1723:$DZ1723,$EF1723)&gt;=3),SUM($EA1723:$EE1723)&gt;=2),"Whole sector","")</f>
        <v/>
      </c>
      <c r="EL1723" t="str">
        <f>IF(AND(AND(OR($DX1723=1,$DW1723=1),AND($EC1723=0,$EA1723=0)),SUM($DV1723:$DZ1723,$EF1723)&gt;=3),"Ecosystem approach","")</f>
        <v/>
      </c>
      <c r="EM1723" s="2" t="str">
        <f>IF(AND(AND(AND($DX1723=0,$DW1723=0),OR($EC1723=1,$EA1723=1)),SUM($EB1723:$EE1723)&gt;=2),"Technology approach","")</f>
        <v/>
      </c>
      <c r="EP1723" t="b">
        <f>IF(ISNUMBER(BU1723),IF(ABS(BU1723-[5]QC_indicators!$B$2)&gt;3*[5]QC_indicators!$C$2,"C ratio",IF(ISNUMBER(BY1723),IF(ABS(BY1723-[5]QC_indicators!$B$1)&gt;3*[5]QC_indicators!$C$1,"DF","no"))),IF(ISNUMBER(BY1723),IF(ABS(BY1723-[5]QC_indicators!$B$1)&gt;3*[5]QC_indicators!$C$1,"DF","no")))</f>
        <v>0</v>
      </c>
    </row>
    <row r="1724" spans="1:148">
      <c r="A1724" s="174" t="s">
        <v>848</v>
      </c>
      <c r="B1724" s="141" t="s">
        <v>5071</v>
      </c>
      <c r="C1724" s="141" t="s">
        <v>5072</v>
      </c>
      <c r="D1724" s="141" t="s">
        <v>5073</v>
      </c>
      <c r="E1724" s="141" t="s">
        <v>5074</v>
      </c>
      <c r="F1724" s="141" t="s">
        <v>5075</v>
      </c>
      <c r="G1724" s="141" t="s">
        <v>854</v>
      </c>
      <c r="H1724" s="141"/>
      <c r="I1724" s="141">
        <v>2018</v>
      </c>
      <c r="J1724" s="141"/>
      <c r="K1724" s="141" t="s">
        <v>5076</v>
      </c>
      <c r="L1724" s="141"/>
      <c r="M1724" t="str">
        <f>LEFT($D1724,FIND(",",$D1724)-1)&amp;"_"&amp;I1724&amp;L1724</f>
        <v>Birdsey_2018</v>
      </c>
      <c r="N1724" t="s">
        <v>2586</v>
      </c>
      <c r="O1724" s="141" t="s">
        <v>225</v>
      </c>
      <c r="P1724" s="141"/>
      <c r="Q1724" s="312" t="s">
        <v>224</v>
      </c>
      <c r="R1724" s="313"/>
      <c r="S1724" s="174"/>
      <c r="T1724" s="141"/>
      <c r="U1724" s="163"/>
      <c r="V1724" s="141"/>
      <c r="W1724" s="141"/>
      <c r="X1724" s="141"/>
      <c r="Y1724" s="141"/>
      <c r="Z1724" s="141"/>
      <c r="AA1724" s="141"/>
      <c r="AB1724" s="141"/>
      <c r="AC1724" s="141"/>
      <c r="AD1724" s="141"/>
      <c r="AE1724" s="141"/>
      <c r="AF1724" s="141"/>
      <c r="AG1724" s="141"/>
      <c r="AH1724" s="141"/>
      <c r="AI1724" s="141"/>
      <c r="AJ1724" s="141"/>
      <c r="AK1724" s="141"/>
      <c r="AL1724" s="141"/>
      <c r="AM1724" s="141"/>
      <c r="AN1724" s="141"/>
      <c r="AO1724" s="141"/>
      <c r="AP1724" s="141"/>
      <c r="AQ1724" s="141"/>
      <c r="AR1724" s="141"/>
      <c r="AS1724" s="141"/>
      <c r="AT1724" s="141"/>
      <c r="AU1724" s="141"/>
      <c r="AV1724" s="141"/>
      <c r="AW1724" s="141"/>
      <c r="AX1724" s="141"/>
      <c r="AY1724" s="141"/>
      <c r="BE1724"/>
      <c r="BF1724" s="2"/>
      <c r="BH1724" s="141"/>
      <c r="BI1724" s="141"/>
      <c r="BJ1724" s="163"/>
      <c r="BK1724" s="141"/>
      <c r="BL1724" s="163"/>
      <c r="BM1724" s="163"/>
      <c r="BN1724" s="163"/>
      <c r="BO1724" s="163"/>
      <c r="BP1724" s="163"/>
      <c r="BQ1724" s="163"/>
      <c r="BR1724" s="141"/>
      <c r="BS1724" s="163"/>
      <c r="BT1724" s="141"/>
      <c r="BU1724" s="144"/>
      <c r="BV1724" s="141"/>
      <c r="BW1724" s="141"/>
      <c r="BX1724" s="141"/>
      <c r="BY1724" t="str">
        <f>IFERROR(BX1724/BO1724,"")</f>
        <v/>
      </c>
      <c r="BZ1724" s="141"/>
      <c r="CA1724" s="141"/>
      <c r="CB1724" s="141"/>
      <c r="CC1724" s="141"/>
      <c r="CD1724" s="141"/>
      <c r="CE1724" s="141"/>
      <c r="CF1724" s="141"/>
      <c r="CG1724" s="141"/>
      <c r="CH1724" s="141"/>
      <c r="CI1724" s="141"/>
      <c r="CJ1724" s="141"/>
      <c r="CK1724" s="141"/>
      <c r="CL1724" s="141"/>
      <c r="CM1724" s="141"/>
      <c r="CN1724"/>
      <c r="CO1724"/>
      <c r="CP1724"/>
      <c r="CQ1724"/>
      <c r="CR1724"/>
      <c r="CS1724"/>
      <c r="CT1724"/>
      <c r="CU1724"/>
      <c r="CV1724" s="2"/>
      <c r="CW1724" s="174"/>
      <c r="CX1724"/>
      <c r="CY1724" s="141"/>
      <c r="CZ1724" s="141"/>
      <c r="DA1724" s="163"/>
      <c r="DB1724" s="163"/>
      <c r="DC1724"/>
      <c r="DD1724" s="141"/>
      <c r="DE1724" s="141"/>
      <c r="DF1724" s="141"/>
      <c r="DG1724" s="141"/>
      <c r="DI1724"/>
      <c r="DJ1724"/>
      <c r="DK1724"/>
      <c r="DL1724"/>
      <c r="DM1724"/>
      <c r="DN1724"/>
      <c r="DO1724" s="163"/>
      <c r="DP1724" s="141"/>
      <c r="DQ1724" s="163"/>
      <c r="DR1724" s="141"/>
      <c r="DS1724" s="163"/>
      <c r="DT1724"/>
      <c r="DU1724" s="143"/>
      <c r="DV1724" s="163"/>
      <c r="DW1724" s="141"/>
      <c r="DX1724" s="163"/>
      <c r="DY1724" s="163"/>
      <c r="DZ1724" s="141"/>
      <c r="EA1724" s="141"/>
      <c r="EB1724" s="163"/>
      <c r="EC1724" s="141"/>
      <c r="ED1724" s="163"/>
      <c r="EE1724" s="141"/>
      <c r="EF1724" s="141"/>
      <c r="EG1724" s="163"/>
      <c r="EH1724" s="141"/>
      <c r="EI1724" s="177"/>
      <c r="EK1724" t="str">
        <f>IF(AND(AND(AND(OR($DX1724=1,$DW1724=1),OR($EC1724=1,$EA1724=1)),SUM($DV1724:$DZ1724,$EF1724)&gt;=3),SUM($EA1724:$EE1724)&gt;=2),"Whole sector","")</f>
        <v/>
      </c>
      <c r="EL1724" t="str">
        <f>IF(AND(AND(OR($DX1724=1,$DW1724=1),AND($EC1724=0,$EA1724=0)),SUM($DV1724:$DZ1724,$EF1724)&gt;=3),"Ecosystem approach","")</f>
        <v/>
      </c>
      <c r="EM1724" s="2" t="str">
        <f>IF(AND(AND(AND($DX1724=0,$DW1724=0),OR($EC1724=1,$EA1724=1)),SUM($EB1724:$EE1724)&gt;=2),"Technology approach","")</f>
        <v/>
      </c>
      <c r="EN1724" s="141"/>
      <c r="EO1724" t="s">
        <v>450</v>
      </c>
      <c r="EP1724" t="b">
        <f>IF(ISNUMBER(BU1724),IF(ABS(BU1724-[5]QC_indicators!$B$2)&gt;3*[5]QC_indicators!$C$2,"C ratio",IF(ISNUMBER(BY1724),IF(ABS(BY1724-[5]QC_indicators!$B$1)&gt;3*[5]QC_indicators!$C$1,"DF","no"))),IF(ISNUMBER(BY1724),IF(ABS(BY1724-[5]QC_indicators!$B$1)&gt;3*[5]QC_indicators!$C$1,"DF","no")))</f>
        <v>0</v>
      </c>
    </row>
    <row r="1725" spans="1:148">
      <c r="A1725" s="1" t="s">
        <v>5077</v>
      </c>
      <c r="B1725" t="s">
        <v>5078</v>
      </c>
      <c r="C1725" t="s">
        <v>5079</v>
      </c>
      <c r="D1725" t="s">
        <v>5080</v>
      </c>
      <c r="E1725" t="s">
        <v>5081</v>
      </c>
      <c r="F1725" t="s">
        <v>5082</v>
      </c>
      <c r="G1725" t="s">
        <v>5083</v>
      </c>
      <c r="H1725" t="s">
        <v>3791</v>
      </c>
      <c r="I1725">
        <v>2016</v>
      </c>
      <c r="J1725">
        <v>34</v>
      </c>
      <c r="K1725" t="s">
        <v>5084</v>
      </c>
      <c r="M1725" t="str">
        <f>LEFT($D1725,FIND(",",$D1725)-1)&amp;"_"&amp;I1725&amp;L1725</f>
        <v>Brunet-Navarro_2016</v>
      </c>
      <c r="N1725" s="312" t="s">
        <v>2586</v>
      </c>
      <c r="O1725" t="s">
        <v>223</v>
      </c>
      <c r="Q1725" s="312" t="s">
        <v>389</v>
      </c>
      <c r="R1725" s="313"/>
      <c r="AX1725" s="141"/>
      <c r="AY1725" s="141"/>
      <c r="BE1725"/>
      <c r="BF1725" s="2"/>
      <c r="BJ1725" s="143"/>
      <c r="BL1725" s="143"/>
      <c r="BN1725" s="158"/>
      <c r="BO1725" s="159"/>
      <c r="BS1725" s="143"/>
      <c r="BU1725" s="144"/>
      <c r="BY1725" t="str">
        <f>IFERROR(BX1725/BO1725,"")</f>
        <v/>
      </c>
      <c r="CN1725"/>
      <c r="CO1725"/>
      <c r="CP1725"/>
      <c r="CQ1725"/>
      <c r="CR1725"/>
      <c r="CS1725"/>
      <c r="CT1725"/>
      <c r="CU1725"/>
      <c r="CV1725" s="2"/>
      <c r="CX1725"/>
      <c r="CZ1725" s="143"/>
      <c r="DA1725" s="143"/>
      <c r="DB1725" s="143"/>
      <c r="DC1725"/>
      <c r="DI1725"/>
      <c r="DJ1725"/>
      <c r="DK1725"/>
      <c r="DL1725"/>
      <c r="DM1725"/>
      <c r="DN1725"/>
      <c r="DT1725"/>
      <c r="DU1725" s="143"/>
      <c r="DV1725" s="143"/>
      <c r="DW1725" s="143"/>
      <c r="DX1725" s="143"/>
      <c r="DY1725" s="143"/>
      <c r="EB1725" s="143"/>
      <c r="ED1725" s="143"/>
      <c r="EG1725" s="143"/>
      <c r="EH1725" s="143"/>
      <c r="EK1725" t="str">
        <f>IF(AND(AND(AND(OR($DX1725=1,$DW1725=1),OR($EC1725=1,$EA1725=1)),SUM($DV1725:$DZ1725,$EF1725)&gt;=3),SUM($EA1725:$EE1725)&gt;=2),"Whole sector","")</f>
        <v/>
      </c>
      <c r="EL1725" t="str">
        <f>IF(AND(AND(OR($DX1725=1,$DW1725=1),AND($EC1725=0,$EA1725=0)),SUM($DV1725:$DZ1725,$EF1725)&gt;=3),"Ecosystem approach","")</f>
        <v/>
      </c>
      <c r="EM1725" s="2" t="str">
        <f>IF(AND(AND(AND($DX1725=0,$DW1725=0),OR($EC1725=1,$EA1725=1)),SUM($EB1725:$EE1725)&gt;=2),"Technology approach","")</f>
        <v/>
      </c>
      <c r="EP1725" t="b">
        <f>IF(ISNUMBER(BU1725),IF(ABS(BU1725-[5]QC_indicators!$B$2)&gt;3*[5]QC_indicators!$C$2,"C ratio",IF(ISNUMBER(BY1725),IF(ABS(BY1725-[5]QC_indicators!$B$1)&gt;3*[5]QC_indicators!$C$1,"DF","no"))),IF(ISNUMBER(BY1725),IF(ABS(BY1725-[5]QC_indicators!$B$1)&gt;3*[5]QC_indicators!$C$1,"DF","no")))</f>
        <v>0</v>
      </c>
      <c r="ER1725" s="149"/>
    </row>
    <row r="1726" spans="1:148">
      <c r="A1726" s="1" t="s">
        <v>5085</v>
      </c>
      <c r="B1726" t="s">
        <v>5086</v>
      </c>
      <c r="C1726" t="s">
        <v>5087</v>
      </c>
      <c r="D1726" t="s">
        <v>5088</v>
      </c>
      <c r="E1726" t="s">
        <v>5089</v>
      </c>
      <c r="F1726" t="s">
        <v>5090</v>
      </c>
      <c r="G1726" t="s">
        <v>5091</v>
      </c>
      <c r="H1726" t="s">
        <v>3791</v>
      </c>
      <c r="I1726">
        <v>2017</v>
      </c>
      <c r="J1726">
        <v>18</v>
      </c>
      <c r="K1726" t="s">
        <v>5092</v>
      </c>
      <c r="M1726" t="str">
        <f>LEFT($D1726,FIND(",",$D1726)-1)&amp;"_"&amp;I1726&amp;L1726</f>
        <v>Dubeux_2017</v>
      </c>
      <c r="N1726" t="s">
        <v>2586</v>
      </c>
      <c r="O1726" s="145" t="s">
        <v>274</v>
      </c>
      <c r="Q1726" s="312" t="s">
        <v>256</v>
      </c>
      <c r="R1726" s="313"/>
      <c r="AX1726" s="141"/>
      <c r="AY1726" s="141"/>
      <c r="BE1726"/>
      <c r="BF1726" s="2"/>
      <c r="BU1726" s="144"/>
      <c r="BV1726" s="152"/>
      <c r="BW1726" s="152"/>
      <c r="BY1726" t="str">
        <f>IFERROR(BX1726/BO1726,"")</f>
        <v/>
      </c>
      <c r="CN1726"/>
      <c r="CO1726"/>
      <c r="CP1726"/>
      <c r="CQ1726"/>
      <c r="CR1726"/>
      <c r="CS1726"/>
      <c r="CT1726"/>
      <c r="CU1726"/>
      <c r="CV1726" s="2"/>
      <c r="CX1726"/>
      <c r="DC1726"/>
      <c r="DI1726"/>
      <c r="DJ1726"/>
      <c r="DK1726"/>
      <c r="DL1726"/>
      <c r="DM1726"/>
      <c r="DN1726"/>
      <c r="DT1726"/>
      <c r="DU1726" s="143"/>
      <c r="EK1726" t="str">
        <f>IF(AND(AND(AND(OR($DX1726=1,$DW1726=1),OR($EC1726=1,$EA1726=1)),SUM($DV1726:$DZ1726,$EF1726)&gt;=3),SUM($EA1726:$EE1726)&gt;=2),"Whole sector","")</f>
        <v/>
      </c>
      <c r="EL1726" t="str">
        <f>IF(AND(AND(OR($DX1726=1,$DW1726=1),AND($EC1726=0,$EA1726=0)),SUM($DV1726:$DZ1726,$EF1726)&gt;=3),"Ecosystem approach","")</f>
        <v/>
      </c>
      <c r="EM1726" s="2" t="str">
        <f>IF(AND(AND(AND($DX1726=0,$DW1726=0),OR($EC1726=1,$EA1726=1)),SUM($EB1726:$EE1726)&gt;=2),"Technology approach","")</f>
        <v/>
      </c>
      <c r="EO1726" t="s">
        <v>450</v>
      </c>
      <c r="EP1726" t="b">
        <f>IF(ISNUMBER(BU1726),IF(ABS(BU1726-[5]QC_indicators!$B$2)&gt;3*[5]QC_indicators!$C$2,"C ratio",IF(ISNUMBER(BY1726),IF(ABS(BY1726-[5]QC_indicators!$B$1)&gt;3*[5]QC_indicators!$C$1,"DF","no"))),IF(ISNUMBER(BY1726),IF(ABS(BY1726-[5]QC_indicators!$B$1)&gt;3*[5]QC_indicators!$C$1,"DF","no")))</f>
        <v>0</v>
      </c>
    </row>
    <row r="1727" spans="1:148">
      <c r="A1727" s="1" t="s">
        <v>380</v>
      </c>
      <c r="B1727" t="s">
        <v>5093</v>
      </c>
      <c r="C1727" t="s">
        <v>5094</v>
      </c>
      <c r="D1727" t="s">
        <v>3580</v>
      </c>
      <c r="E1727" s="312" t="s">
        <v>5095</v>
      </c>
      <c r="F1727" t="s">
        <v>5096</v>
      </c>
      <c r="G1727" t="s">
        <v>386</v>
      </c>
      <c r="H1727" t="s">
        <v>254</v>
      </c>
      <c r="I1727">
        <v>2011</v>
      </c>
      <c r="J1727">
        <v>15</v>
      </c>
      <c r="K1727" t="s">
        <v>5097</v>
      </c>
      <c r="M1727" t="str">
        <f>LEFT($D1727,FIND(",",$D1727)-1)&amp;"_"&amp;I1727&amp;L1727</f>
        <v>Eshun_2011</v>
      </c>
      <c r="N1727" s="312" t="s">
        <v>2586</v>
      </c>
      <c r="O1727" s="171" t="s">
        <v>513</v>
      </c>
      <c r="P1727" t="s">
        <v>223</v>
      </c>
      <c r="Q1727" s="312" t="s">
        <v>389</v>
      </c>
      <c r="R1727" s="313"/>
      <c r="AX1727" s="141"/>
      <c r="AY1727" s="141"/>
      <c r="BE1727"/>
      <c r="BF1727" s="2"/>
      <c r="BN1727" s="158"/>
      <c r="BO1727" s="159"/>
      <c r="BS1727" s="143"/>
      <c r="BU1727" s="144"/>
      <c r="BY1727" t="str">
        <f>IFERROR(BX1727/BO1727,"")</f>
        <v/>
      </c>
      <c r="CN1727"/>
      <c r="CO1727"/>
      <c r="CP1727"/>
      <c r="CQ1727"/>
      <c r="CR1727"/>
      <c r="CS1727"/>
      <c r="CT1727"/>
      <c r="CU1727"/>
      <c r="CV1727" s="2"/>
      <c r="CX1727"/>
      <c r="DA1727" s="143"/>
      <c r="DB1727" s="143"/>
      <c r="DC1727"/>
      <c r="DI1727"/>
      <c r="DJ1727"/>
      <c r="DK1727"/>
      <c r="DL1727"/>
      <c r="DM1727"/>
      <c r="DN1727"/>
      <c r="DT1727"/>
      <c r="DU1727" s="143"/>
      <c r="DV1727" s="143"/>
      <c r="DW1727" s="143"/>
      <c r="DX1727" s="143"/>
      <c r="DY1727" s="143"/>
      <c r="EB1727" s="143"/>
      <c r="EC1727" s="143"/>
      <c r="ED1727" s="143"/>
      <c r="EG1727" s="143"/>
      <c r="EH1727" s="143"/>
      <c r="EK1727" t="str">
        <f>IF(AND(AND(AND(OR($DX1727=1,$DW1727=1),OR($EC1727=1,$EA1727=1)),SUM($DV1727:$DZ1727,$EF1727)&gt;=3),SUM($EA1727:$EE1727)&gt;=2),"Whole sector","")</f>
        <v/>
      </c>
      <c r="EL1727" t="str">
        <f>IF(AND(AND(OR($DX1727=1,$DW1727=1),AND($EC1727=0,$EA1727=0)),SUM($DV1727:$DZ1727,$EF1727)&gt;=3),"Ecosystem approach","")</f>
        <v/>
      </c>
      <c r="EM1727" s="2" t="str">
        <f>IF(AND(AND(AND($DX1727=0,$DW1727=0),OR($EC1727=1,$EA1727=1)),SUM($EB1727:$EE1727)&gt;=2),"Technology approach","")</f>
        <v/>
      </c>
      <c r="EN1727" s="312" t="s">
        <v>5098</v>
      </c>
      <c r="EP1727" t="b">
        <f>IF(ISNUMBER(BU1727),IF(ABS(BU1727-[5]QC_indicators!$B$2)&gt;3*[5]QC_indicators!$C$2,"C ratio",IF(ISNUMBER(BY1727),IF(ABS(BY1727-[5]QC_indicators!$B$1)&gt;3*[5]QC_indicators!$C$1,"DF","no"))),IF(ISNUMBER(BY1727),IF(ABS(BY1727-[5]QC_indicators!$B$1)&gt;3*[5]QC_indicators!$C$1,"DF","no")))</f>
        <v>0</v>
      </c>
      <c r="ER1727" s="149"/>
    </row>
    <row r="1728" spans="1:148" ht="15" customHeight="1">
      <c r="A1728" s="1" t="s">
        <v>1423</v>
      </c>
      <c r="B1728" t="s">
        <v>5099</v>
      </c>
      <c r="C1728" t="s">
        <v>5100</v>
      </c>
      <c r="D1728" t="s">
        <v>5101</v>
      </c>
      <c r="E1728" t="s">
        <v>5102</v>
      </c>
      <c r="F1728" t="s">
        <v>5103</v>
      </c>
      <c r="G1728" t="s">
        <v>1429</v>
      </c>
      <c r="H1728" t="s">
        <v>254</v>
      </c>
      <c r="I1728">
        <v>2017</v>
      </c>
      <c r="J1728">
        <v>50</v>
      </c>
      <c r="K1728" t="s">
        <v>5104</v>
      </c>
      <c r="M1728" t="str">
        <f>LEFT($D1728,FIND(",",$D1728)-1)&amp;"_"&amp;I1728&amp;L1728</f>
        <v>Geng_2017</v>
      </c>
      <c r="N1728" t="s">
        <v>2586</v>
      </c>
      <c r="O1728" s="181" t="s">
        <v>225</v>
      </c>
      <c r="Q1728" s="312" t="s">
        <v>256</v>
      </c>
      <c r="R1728" s="313"/>
      <c r="AX1728" s="141"/>
      <c r="AY1728" s="141"/>
      <c r="BE1728"/>
      <c r="BF1728" s="2"/>
      <c r="BU1728" s="144"/>
      <c r="BY1728" t="str">
        <f>IFERROR(BX1728/BO1728,"")</f>
        <v/>
      </c>
      <c r="CN1728"/>
      <c r="CO1728"/>
      <c r="CP1728"/>
      <c r="CQ1728"/>
      <c r="CR1728"/>
      <c r="CS1728"/>
      <c r="CT1728"/>
      <c r="CU1728"/>
      <c r="CV1728" s="2"/>
      <c r="CX1728"/>
      <c r="DC1728"/>
      <c r="DI1728"/>
      <c r="DJ1728"/>
      <c r="DK1728"/>
      <c r="DL1728"/>
      <c r="DM1728"/>
      <c r="DN1728"/>
      <c r="DT1728"/>
      <c r="DU1728" s="143"/>
      <c r="EK1728" t="str">
        <f>IF(AND(AND(AND(OR($DX1728=1,$DW1728=1),OR($EC1728=1,$EA1728=1)),SUM($DV1728:$DZ1728,$EF1728)&gt;=3),SUM($EA1728:$EE1728)&gt;=2),"Whole sector","")</f>
        <v/>
      </c>
      <c r="EL1728" t="str">
        <f>IF(AND(AND(OR($DX1728=1,$DW1728=1),AND($EC1728=0,$EA1728=0)),SUM($DV1728:$DZ1728,$EF1728)&gt;=3),"Ecosystem approach","")</f>
        <v/>
      </c>
      <c r="EM1728" s="2" t="str">
        <f>IF(AND(AND(AND($DX1728=0,$DW1728=0),OR($EC1728=1,$EA1728=1)),SUM($EB1728:$EE1728)&gt;=2),"Technology approach","")</f>
        <v/>
      </c>
      <c r="EO1728" t="s">
        <v>5105</v>
      </c>
      <c r="EP1728" t="b">
        <f>IF(ISNUMBER(BU1728),IF(ABS(BU1728-[5]QC_indicators!$B$2)&gt;3*[5]QC_indicators!$C$2,"C ratio",IF(ISNUMBER(BY1728),IF(ABS(BY1728-[5]QC_indicators!$B$1)&gt;3*[5]QC_indicators!$C$1,"DF","no"))),IF(ISNUMBER(BY1728),IF(ABS(BY1728-[5]QC_indicators!$B$1)&gt;3*[5]QC_indicators!$C$1,"DF","no")))</f>
        <v>0</v>
      </c>
    </row>
    <row r="1729" spans="1:150">
      <c r="A1729" s="1" t="s">
        <v>1423</v>
      </c>
      <c r="B1729" t="s">
        <v>5099</v>
      </c>
      <c r="C1729" t="s">
        <v>5100</v>
      </c>
      <c r="D1729" t="s">
        <v>5101</v>
      </c>
      <c r="E1729" t="s">
        <v>5102</v>
      </c>
      <c r="F1729" s="312" t="s">
        <v>5103</v>
      </c>
      <c r="G1729" t="s">
        <v>1429</v>
      </c>
      <c r="H1729" t="s">
        <v>254</v>
      </c>
      <c r="I1729">
        <v>2017</v>
      </c>
      <c r="J1729">
        <v>50</v>
      </c>
      <c r="K1729" t="s">
        <v>5104</v>
      </c>
      <c r="M1729" t="str">
        <f>LEFT($D1729,FIND(",",$D1729)-1)&amp;"_"&amp;I1729&amp;L1729</f>
        <v>Geng_2017</v>
      </c>
      <c r="N1729" s="312" t="s">
        <v>2586</v>
      </c>
      <c r="O1729" s="171" t="s">
        <v>225</v>
      </c>
      <c r="P1729" t="s">
        <v>223</v>
      </c>
      <c r="Q1729" s="312" t="s">
        <v>389</v>
      </c>
      <c r="R1729" s="313"/>
      <c r="U1729" s="143"/>
      <c r="AX1729" s="141"/>
      <c r="AY1729" s="141"/>
      <c r="BE1729"/>
      <c r="BF1729" s="2"/>
      <c r="BJ1729" s="143"/>
      <c r="BK1729" s="143"/>
      <c r="BL1729" s="143"/>
      <c r="BO1729" s="143"/>
      <c r="BS1729" s="143"/>
      <c r="BU1729" s="144"/>
      <c r="BY1729" t="str">
        <f>IFERROR(BX1729/BO1729,"")</f>
        <v/>
      </c>
      <c r="CN1729"/>
      <c r="CO1729"/>
      <c r="CP1729"/>
      <c r="CQ1729"/>
      <c r="CR1729"/>
      <c r="CS1729"/>
      <c r="CT1729"/>
      <c r="CU1729"/>
      <c r="CV1729" s="2"/>
      <c r="CX1729"/>
      <c r="DA1729" s="143"/>
      <c r="DB1729" s="143"/>
      <c r="DC1729"/>
      <c r="DI1729"/>
      <c r="DJ1729"/>
      <c r="DK1729"/>
      <c r="DL1729"/>
      <c r="DM1729"/>
      <c r="DN1729"/>
      <c r="DT1729"/>
      <c r="DU1729" s="143"/>
      <c r="DV1729" s="143"/>
      <c r="DW1729" s="143"/>
      <c r="DX1729" s="143"/>
      <c r="DY1729" s="143"/>
      <c r="EB1729" s="143"/>
      <c r="EC1729" s="143"/>
      <c r="ED1729" s="143"/>
      <c r="EG1729" s="143"/>
      <c r="EK1729" t="str">
        <f>IF(AND(AND(AND(OR($DX1729=1,$DW1729=1),OR($EC1729=1,$EA1729=1)),SUM($DV1729:$DZ1729,$EF1729)&gt;=3),SUM($EA1729:$EE1729)&gt;=2),"Whole sector","")</f>
        <v/>
      </c>
      <c r="EL1729" t="str">
        <f>IF(AND(AND(OR($DX1729=1,$DW1729=1),AND($EC1729=0,$EA1729=0)),SUM($DV1729:$DZ1729,$EF1729)&gt;=3),"Ecosystem approach","")</f>
        <v/>
      </c>
      <c r="EM1729" s="2" t="str">
        <f>IF(AND(AND(AND($DX1729=0,$DW1729=0),OR($EC1729=1,$EA1729=1)),SUM($EB1729:$EE1729)&gt;=2),"Technology approach","")</f>
        <v/>
      </c>
      <c r="EP1729" t="b">
        <f>IF(ISNUMBER(BU1729),IF(ABS(BU1729-[5]QC_indicators!$B$2)&gt;3*[5]QC_indicators!$C$2,"C ratio",IF(ISNUMBER(BY1729),IF(ABS(BY1729-[5]QC_indicators!$B$1)&gt;3*[5]QC_indicators!$C$1,"DF","no"))),IF(ISNUMBER(BY1729),IF(ABS(BY1729-[5]QC_indicators!$B$1)&gt;3*[5]QC_indicators!$C$1,"DF","no")))</f>
        <v>0</v>
      </c>
      <c r="ER1729" s="149"/>
    </row>
    <row r="1730" spans="1:150">
      <c r="A1730" s="1" t="s">
        <v>656</v>
      </c>
      <c r="B1730" t="s">
        <v>5106</v>
      </c>
      <c r="C1730" t="s">
        <v>544</v>
      </c>
      <c r="D1730" t="s">
        <v>5107</v>
      </c>
      <c r="E1730" t="s">
        <v>5108</v>
      </c>
      <c r="F1730" t="s">
        <v>5109</v>
      </c>
      <c r="G1730" t="s">
        <v>662</v>
      </c>
      <c r="H1730" t="s">
        <v>254</v>
      </c>
      <c r="I1730">
        <v>2021</v>
      </c>
      <c r="J1730">
        <v>0</v>
      </c>
      <c r="K1730" t="s">
        <v>5110</v>
      </c>
      <c r="M1730" t="str">
        <f>LEFT($D1730,FIND(",",$D1730)-1)&amp;"_"&amp;I1730&amp;L1730</f>
        <v>Gu_2021</v>
      </c>
      <c r="N1730" t="s">
        <v>2586</v>
      </c>
      <c r="O1730" s="181" t="s">
        <v>341</v>
      </c>
      <c r="Q1730" s="312" t="s">
        <v>256</v>
      </c>
      <c r="R1730" s="313"/>
      <c r="AX1730" s="141"/>
      <c r="AY1730" s="141"/>
      <c r="BE1730"/>
      <c r="BF1730" s="2"/>
      <c r="BU1730" s="144"/>
      <c r="BY1730" t="str">
        <f>IFERROR(BX1730/BO1730,"")</f>
        <v/>
      </c>
      <c r="CN1730"/>
      <c r="CO1730"/>
      <c r="CP1730"/>
      <c r="CQ1730"/>
      <c r="CR1730"/>
      <c r="CS1730"/>
      <c r="CT1730"/>
      <c r="CU1730"/>
      <c r="CV1730" s="2"/>
      <c r="CX1730"/>
      <c r="DC1730"/>
      <c r="DI1730"/>
      <c r="DJ1730"/>
      <c r="DK1730"/>
      <c r="DL1730"/>
      <c r="DM1730"/>
      <c r="DN1730"/>
      <c r="DT1730"/>
      <c r="DU1730" s="143"/>
      <c r="EK1730" t="str">
        <f>IF(AND(AND(AND(OR($DX1730=1,$DW1730=1),OR($EC1730=1,$EA1730=1)),SUM($DV1730:$DZ1730,$EF1730)&gt;=3),SUM($EA1730:$EE1730)&gt;=2),"Whole sector","")</f>
        <v/>
      </c>
      <c r="EL1730" t="str">
        <f>IF(AND(AND(OR($DX1730=1,$DW1730=1),AND($EC1730=0,$EA1730=0)),SUM($DV1730:$DZ1730,$EF1730)&gt;=3),"Ecosystem approach","")</f>
        <v/>
      </c>
      <c r="EM1730" s="2" t="str">
        <f>IF(AND(AND(AND($DX1730=0,$DW1730=0),OR($EC1730=1,$EA1730=1)),SUM($EB1730:$EE1730)&gt;=2),"Technology approach","")</f>
        <v/>
      </c>
      <c r="EO1730" t="s">
        <v>450</v>
      </c>
      <c r="EP1730" t="b">
        <f>IF(ISNUMBER(BU1730),IF(ABS(BU1730-[5]QC_indicators!$B$2)&gt;3*[5]QC_indicators!$C$2,"C ratio",IF(ISNUMBER(BY1730),IF(ABS(BY1730-[5]QC_indicators!$B$1)&gt;3*[5]QC_indicators!$C$1,"DF","no"))),IF(ISNUMBER(BY1730),IF(ABS(BY1730-[5]QC_indicators!$B$1)&gt;3*[5]QC_indicators!$C$1,"DF","no")))</f>
        <v>0</v>
      </c>
    </row>
    <row r="1731" spans="1:150">
      <c r="A1731" s="1" t="s">
        <v>656</v>
      </c>
      <c r="B1731" t="s">
        <v>5111</v>
      </c>
      <c r="C1731" t="s">
        <v>5112</v>
      </c>
      <c r="D1731" t="s">
        <v>5113</v>
      </c>
      <c r="E1731" t="s">
        <v>5114</v>
      </c>
      <c r="F1731" t="s">
        <v>5115</v>
      </c>
      <c r="G1731" t="s">
        <v>662</v>
      </c>
      <c r="H1731" t="s">
        <v>254</v>
      </c>
      <c r="I1731">
        <v>2020</v>
      </c>
      <c r="J1731">
        <v>11</v>
      </c>
      <c r="K1731" t="s">
        <v>5116</v>
      </c>
      <c r="M1731" t="str">
        <f>LEFT($D1731,FIND(",",$D1731)-1)&amp;"_"&amp;I1731&amp;L1731</f>
        <v>Hart_2020</v>
      </c>
      <c r="N1731" t="s">
        <v>2586</v>
      </c>
      <c r="O1731" s="181" t="s">
        <v>341</v>
      </c>
      <c r="Q1731" s="312" t="s">
        <v>256</v>
      </c>
      <c r="R1731" s="313"/>
      <c r="AX1731" s="141"/>
      <c r="AY1731" s="141"/>
      <c r="BE1731"/>
      <c r="BF1731" s="2"/>
      <c r="BU1731" s="144"/>
      <c r="BY1731" t="str">
        <f>IFERROR(BX1731/BO1731,"")</f>
        <v/>
      </c>
      <c r="CN1731"/>
      <c r="CO1731"/>
      <c r="CP1731"/>
      <c r="CQ1731"/>
      <c r="CR1731"/>
      <c r="CS1731"/>
      <c r="CT1731"/>
      <c r="CU1731"/>
      <c r="CV1731" s="2"/>
      <c r="CX1731"/>
      <c r="DC1731"/>
      <c r="DI1731"/>
      <c r="DJ1731"/>
      <c r="DK1731"/>
      <c r="DL1731"/>
      <c r="DM1731"/>
      <c r="DN1731"/>
      <c r="DT1731"/>
      <c r="DU1731" s="143"/>
      <c r="EK1731" t="str">
        <f>IF(AND(AND(AND(OR($DX1731=1,$DW1731=1),OR($EC1731=1,$EA1731=1)),SUM($DV1731:$DZ1731,$EF1731)&gt;=3),SUM($EA1731:$EE1731)&gt;=2),"Whole sector","")</f>
        <v/>
      </c>
      <c r="EL1731" t="str">
        <f>IF(AND(AND(OR($DX1731=1,$DW1731=1),AND($EC1731=0,$EA1731=0)),SUM($DV1731:$DZ1731,$EF1731)&gt;=3),"Ecosystem approach","")</f>
        <v/>
      </c>
      <c r="EM1731" s="2" t="str">
        <f>IF(AND(AND(AND($DX1731=0,$DW1731=0),OR($EC1731=1,$EA1731=1)),SUM($EB1731:$EE1731)&gt;=2),"Technology approach","")</f>
        <v/>
      </c>
      <c r="EO1731" t="s">
        <v>450</v>
      </c>
      <c r="EP1731" t="b">
        <f>IF(ISNUMBER(BU1731),IF(ABS(BU1731-[5]QC_indicators!$B$2)&gt;3*[5]QC_indicators!$C$2,"C ratio",IF(ISNUMBER(BY1731),IF(ABS(BY1731-[5]QC_indicators!$B$1)&gt;3*[5]QC_indicators!$C$1,"DF","no"))),IF(ISNUMBER(BY1731),IF(ABS(BY1731-[5]QC_indicators!$B$1)&gt;3*[5]QC_indicators!$C$1,"DF","no")))</f>
        <v>0</v>
      </c>
    </row>
    <row r="1732" spans="1:150" ht="17">
      <c r="A1732" s="1" t="s">
        <v>4678</v>
      </c>
      <c r="B1732" t="s">
        <v>5117</v>
      </c>
      <c r="C1732" t="s">
        <v>5118</v>
      </c>
      <c r="D1732" t="s">
        <v>5119</v>
      </c>
      <c r="E1732" t="s">
        <v>5120</v>
      </c>
      <c r="F1732" t="s">
        <v>5121</v>
      </c>
      <c r="G1732" t="s">
        <v>4684</v>
      </c>
      <c r="H1732" t="s">
        <v>254</v>
      </c>
      <c r="I1732">
        <v>2022</v>
      </c>
      <c r="J1732">
        <v>1</v>
      </c>
      <c r="K1732" t="s">
        <v>5122</v>
      </c>
      <c r="M1732" t="str">
        <f>LEFT($D1732,FIND(",",$D1732)-1)&amp;"_"&amp;I1732&amp;L1732</f>
        <v>Hassegawa_2022</v>
      </c>
      <c r="N1732" t="s">
        <v>2586</v>
      </c>
      <c r="O1732" s="161" t="s">
        <v>223</v>
      </c>
      <c r="Q1732" s="312" t="s">
        <v>389</v>
      </c>
      <c r="R1732" s="313"/>
      <c r="AX1732" s="141">
        <f>COUNTIF(V1732:AW1732,"&lt;&gt;0")</f>
        <v>28</v>
      </c>
      <c r="AY1732">
        <f>COUNTIF(V1732:AL1732,"&lt;&gt;0")</f>
        <v>17</v>
      </c>
      <c r="BE1732"/>
      <c r="BF1732" s="2"/>
      <c r="BY1732" t="str">
        <f>IFERROR(BX1732/BO1732,"")</f>
        <v/>
      </c>
      <c r="CN1732"/>
      <c r="CO1732"/>
      <c r="CP1732"/>
      <c r="CQ1732"/>
      <c r="CR1732"/>
      <c r="CS1732"/>
      <c r="CT1732"/>
      <c r="CU1732"/>
      <c r="CV1732" s="2"/>
      <c r="CX1732"/>
      <c r="DC1732"/>
      <c r="DI1732"/>
      <c r="DJ1732"/>
      <c r="DK1732"/>
      <c r="DL1732"/>
      <c r="DM1732"/>
      <c r="DN1732"/>
      <c r="DT1732"/>
      <c r="DU1732"/>
      <c r="EK1732" t="str">
        <f>IF(AND(AND(AND(OR($DX1732=1,$DW1732=1),OR($EC1732=1,$EA1732=1)),SUM($DV1732:$DZ1732,$EF1732)&gt;=3),SUM($EA1732:$EE1732)&gt;=2),"Whole sector","")</f>
        <v/>
      </c>
      <c r="EL1732" t="str">
        <f>IF(AND(AND(OR($DX1732=1,$DW1732=1),AND($EC1732=0,$EA1732=0)),SUM($DV1732:$DZ1732,$EF1732)&gt;=3),"Ecosystem approach","")</f>
        <v/>
      </c>
      <c r="EM1732" s="2" t="str">
        <f>IF(AND(AND(AND($DX1732=0,$DW1732=0),OR($EC1732=1,$EA1732=1)),SUM($EB1732:$EE1732)&gt;=2),"Technology approach","")</f>
        <v/>
      </c>
      <c r="EP1732" t="b">
        <f>IF(ISNUMBER(BU1732),IF(ABS(BU1732-[5]QC_indicators!$B$2)&gt;3*[5]QC_indicators!$C$2,"C ratio",IF(ISNUMBER(BY1732),IF(ABS(BY1732-[5]QC_indicators!$B$1)&gt;3*[5]QC_indicators!$C$1,"DF","no"))),IF(ISNUMBER(BY1732),IF(ABS(BY1732-[5]QC_indicators!$B$1)&gt;3*[5]QC_indicators!$C$1,"DF","no")))</f>
        <v>0</v>
      </c>
    </row>
    <row r="1733" spans="1:150" ht="15" customHeight="1">
      <c r="A1733" s="1" t="s">
        <v>848</v>
      </c>
      <c r="B1733" t="s">
        <v>5123</v>
      </c>
      <c r="C1733" t="s">
        <v>5124</v>
      </c>
      <c r="D1733" t="s">
        <v>5125</v>
      </c>
      <c r="E1733" t="s">
        <v>5126</v>
      </c>
      <c r="F1733" t="s">
        <v>5127</v>
      </c>
      <c r="G1733" t="s">
        <v>854</v>
      </c>
      <c r="H1733" t="s">
        <v>3791</v>
      </c>
      <c r="I1733">
        <v>2019</v>
      </c>
      <c r="J1733">
        <v>79</v>
      </c>
      <c r="K1733" t="s">
        <v>5128</v>
      </c>
      <c r="M1733" t="str">
        <f>LEFT($D1733,FIND(",",$D1733)-1)&amp;"_"&amp;I1733&amp;L1733</f>
        <v>Hertwich_2019</v>
      </c>
      <c r="N1733" t="s">
        <v>2586</v>
      </c>
      <c r="O1733" s="145" t="s">
        <v>513</v>
      </c>
      <c r="Q1733" s="312" t="s">
        <v>256</v>
      </c>
      <c r="R1733" s="313"/>
      <c r="AX1733" s="141"/>
      <c r="AY1733" s="141"/>
      <c r="BE1733"/>
      <c r="BF1733" s="2"/>
      <c r="BU1733" s="144"/>
      <c r="BY1733" t="str">
        <f>IFERROR(BX1733/BO1733,"")</f>
        <v/>
      </c>
      <c r="CN1733"/>
      <c r="CO1733"/>
      <c r="CP1733"/>
      <c r="CQ1733"/>
      <c r="CR1733"/>
      <c r="CS1733"/>
      <c r="CT1733"/>
      <c r="CU1733"/>
      <c r="CV1733" s="2"/>
      <c r="CX1733"/>
      <c r="DC1733"/>
      <c r="DI1733"/>
      <c r="DJ1733"/>
      <c r="DK1733"/>
      <c r="DL1733"/>
      <c r="DM1733"/>
      <c r="DN1733"/>
      <c r="DT1733"/>
      <c r="DU1733" s="143"/>
      <c r="EK1733" t="str">
        <f>IF(AND(AND(AND(OR($DX1733=1,$DW1733=1),OR($EC1733=1,$EA1733=1)),SUM($DV1733:$DZ1733,$EF1733)&gt;=3),SUM($EA1733:$EE1733)&gt;=2),"Whole sector","")</f>
        <v/>
      </c>
      <c r="EL1733" t="str">
        <f>IF(AND(AND(OR($DX1733=1,$DW1733=1),AND($EC1733=0,$EA1733=0)),SUM($DV1733:$DZ1733,$EF1733)&gt;=3),"Ecosystem approach","")</f>
        <v/>
      </c>
      <c r="EM1733" s="2" t="str">
        <f>IF(AND(AND(AND($DX1733=0,$DW1733=0),OR($EC1733=1,$EA1733=1)),SUM($EB1733:$EE1733)&gt;=2),"Technology approach","")</f>
        <v/>
      </c>
      <c r="EO1733" t="s">
        <v>450</v>
      </c>
      <c r="EP1733" t="b">
        <f>IF(ISNUMBER(BU1733),IF(ABS(BU1733-[5]QC_indicators!$B$2)&gt;3*[5]QC_indicators!$C$2,"C ratio",IF(ISNUMBER(BY1733),IF(ABS(BY1733-[5]QC_indicators!$B$1)&gt;3*[5]QC_indicators!$C$1,"DF","no"))),IF(ISNUMBER(BY1733),IF(ABS(BY1733-[5]QC_indicators!$B$1)&gt;3*[5]QC_indicators!$C$1,"DF","no")))</f>
        <v>0</v>
      </c>
    </row>
    <row r="1734" spans="1:150" ht="15" customHeight="1">
      <c r="D1734" t="s">
        <v>5129</v>
      </c>
      <c r="E1734" t="s">
        <v>5130</v>
      </c>
      <c r="G1734" t="s">
        <v>2054</v>
      </c>
      <c r="I1734">
        <v>2021</v>
      </c>
      <c r="K1734" s="312" t="s">
        <v>5131</v>
      </c>
      <c r="M1734" t="str">
        <f>LEFT($D1734,FIND(",",$D1734)-1)&amp;"_"&amp;I1734&amp;L1734</f>
        <v>Hurmekoski_2021</v>
      </c>
      <c r="N1734" t="s">
        <v>2586</v>
      </c>
      <c r="O1734" t="s">
        <v>223</v>
      </c>
      <c r="Q1734" s="312" t="s">
        <v>256</v>
      </c>
      <c r="R1734" s="313"/>
      <c r="U1734" s="143"/>
      <c r="AX1734" s="141"/>
      <c r="AY1734" s="141"/>
      <c r="BE1734"/>
      <c r="BF1734" s="2"/>
      <c r="BJ1734" s="143"/>
      <c r="BL1734" s="143"/>
      <c r="BM1734" s="143"/>
      <c r="BN1734" s="143"/>
      <c r="BO1734" s="143"/>
      <c r="BP1734" s="143"/>
      <c r="BQ1734" s="143"/>
      <c r="BS1734" s="143"/>
      <c r="BY1734" t="str">
        <f>IFERROR(BX1734/BO1734,"")</f>
        <v/>
      </c>
      <c r="CN1734"/>
      <c r="CO1734"/>
      <c r="CP1734"/>
      <c r="CQ1734"/>
      <c r="CR1734"/>
      <c r="CS1734"/>
      <c r="CT1734"/>
      <c r="CU1734"/>
      <c r="CV1734" s="2"/>
      <c r="CX1734"/>
      <c r="DA1734" s="143"/>
      <c r="DB1734" s="143"/>
      <c r="DC1734"/>
      <c r="DI1734"/>
      <c r="DJ1734"/>
      <c r="DK1734"/>
      <c r="DL1734"/>
      <c r="DM1734"/>
      <c r="DN1734"/>
      <c r="DP1734" s="143"/>
      <c r="DQ1734" s="143"/>
      <c r="DS1734" s="143"/>
      <c r="DT1734"/>
      <c r="DU1734" s="143"/>
      <c r="DV1734" s="143"/>
      <c r="DW1734" s="143"/>
      <c r="EB1734" s="143"/>
      <c r="ED1734" s="143"/>
      <c r="EG1734" s="143"/>
      <c r="EK1734" t="str">
        <f>IF(AND(AND(AND(OR($DX1734=1,$DW1734=1),OR($EC1734=1,$EA1734=1)),SUM($DV1734:$DZ1734,$EF1734)&gt;=3),SUM($EA1734:$EE1734)&gt;=2),"Whole sector","")</f>
        <v/>
      </c>
      <c r="EL1734" t="str">
        <f>IF(AND(AND(OR($DX1734=1,$DW1734=1),AND($EC1734=0,$EA1734=0)),SUM($DV1734:$DZ1734,$EF1734)&gt;=3),"Ecosystem approach","")</f>
        <v/>
      </c>
      <c r="EM1734" s="2" t="str">
        <f>IF(AND(AND(AND($DX1734=0,$DW1734=0),OR($EC1734=1,$EA1734=1)),SUM($EB1734:$EE1734)&gt;=2),"Technology approach","")</f>
        <v/>
      </c>
      <c r="EP1734" t="b">
        <f>IF(ISNUMBER(BU1734),IF(ABS(BU1734-[5]QC_indicators!$B$2)&gt;3*[5]QC_indicators!$C$2,"C ratio",IF(ISNUMBER(BY1734),IF(ABS(BY1734-[5]QC_indicators!$B$1)&gt;3*[5]QC_indicators!$C$1,"DF","no"))),IF(ISNUMBER(BY1734),IF(ABS(BY1734-[5]QC_indicators!$B$1)&gt;3*[5]QC_indicators!$C$1,"DF","no")))</f>
        <v>0</v>
      </c>
    </row>
    <row r="1735" spans="1:150" ht="15" customHeight="1">
      <c r="A1735" s="1" t="s">
        <v>5132</v>
      </c>
      <c r="B1735" t="s">
        <v>5133</v>
      </c>
      <c r="C1735" t="s">
        <v>5134</v>
      </c>
      <c r="D1735" t="s">
        <v>5135</v>
      </c>
      <c r="E1735" t="s">
        <v>5136</v>
      </c>
      <c r="F1735" t="s">
        <v>5137</v>
      </c>
      <c r="G1735" t="s">
        <v>5138</v>
      </c>
      <c r="H1735" t="s">
        <v>3791</v>
      </c>
      <c r="I1735">
        <v>2013</v>
      </c>
      <c r="J1735">
        <v>89</v>
      </c>
      <c r="K1735" t="s">
        <v>5139</v>
      </c>
      <c r="M1735" t="str">
        <f>LEFT($D1735,FIND(",",$D1735)-1)&amp;"_"&amp;I1735&amp;L1735</f>
        <v>Lempriere_2013</v>
      </c>
      <c r="N1735" t="s">
        <v>2586</v>
      </c>
      <c r="O1735" s="145" t="s">
        <v>225</v>
      </c>
      <c r="Q1735" s="312" t="s">
        <v>256</v>
      </c>
      <c r="R1735" s="313"/>
      <c r="U1735" s="143"/>
      <c r="AX1735" s="141"/>
      <c r="AY1735" s="141"/>
      <c r="BE1735"/>
      <c r="BF1735" s="2"/>
      <c r="BJ1735" s="143"/>
      <c r="BL1735" s="143"/>
      <c r="BM1735" s="163"/>
      <c r="BN1735" s="158"/>
      <c r="BO1735" s="143"/>
      <c r="BP1735" s="143"/>
      <c r="BQ1735" s="143"/>
      <c r="BS1735" s="143"/>
      <c r="BU1735" s="144"/>
      <c r="BY1735" t="str">
        <f>IFERROR(BX1735/BO1735,"")</f>
        <v/>
      </c>
      <c r="CN1735"/>
      <c r="CO1735"/>
      <c r="CP1735"/>
      <c r="CQ1735"/>
      <c r="CR1735"/>
      <c r="CS1735"/>
      <c r="CT1735"/>
      <c r="CU1735"/>
      <c r="CV1735" s="2"/>
      <c r="CX1735"/>
      <c r="DA1735" s="143"/>
      <c r="DB1735" s="143"/>
      <c r="DC1735"/>
      <c r="DI1735"/>
      <c r="DJ1735"/>
      <c r="DK1735"/>
      <c r="DL1735"/>
      <c r="DM1735"/>
      <c r="DN1735"/>
      <c r="DP1735" s="143"/>
      <c r="DQ1735" s="143"/>
      <c r="DS1735" s="143"/>
      <c r="DT1735"/>
      <c r="DU1735" s="143"/>
      <c r="DV1735" s="143"/>
      <c r="DW1735" s="143"/>
      <c r="EB1735" s="143"/>
      <c r="ED1735" s="143"/>
      <c r="EG1735" s="143"/>
      <c r="EK1735" t="str">
        <f>IF(AND(AND(AND(OR($DX1735=1,$DW1735=1),OR($EC1735=1,$EA1735=1)),SUM($DV1735:$DZ1735,$EF1735)&gt;=3),SUM($EA1735:$EE1735)&gt;=2),"Whole sector","")</f>
        <v/>
      </c>
      <c r="EL1735" t="str">
        <f>IF(AND(AND(OR($DX1735=1,$DW1735=1),AND($EC1735=0,$EA1735=0)),SUM($DV1735:$DZ1735,$EF1735)&gt;=3),"Ecosystem approach","")</f>
        <v/>
      </c>
      <c r="EM1735" s="2" t="str">
        <f>IF(AND(AND(AND($DX1735=0,$DW1735=0),OR($EC1735=1,$EA1735=1)),SUM($EB1735:$EE1735)&gt;=2),"Technology approach","")</f>
        <v/>
      </c>
      <c r="EO1735" t="s">
        <v>450</v>
      </c>
      <c r="EP1735" t="b">
        <f>IF(ISNUMBER(BU1735),IF(ABS(BU1735-[5]QC_indicators!$B$2)&gt;3*[5]QC_indicators!$C$2,"C ratio",IF(ISNUMBER(BY1735),IF(ABS(BY1735-[5]QC_indicators!$B$1)&gt;3*[5]QC_indicators!$C$1,"DF","no"))),IF(ISNUMBER(BY1735),IF(ABS(BY1735-[5]QC_indicators!$B$1)&gt;3*[5]QC_indicators!$C$1,"DF","no")))</f>
        <v>0</v>
      </c>
    </row>
    <row r="1736" spans="1:150" s="185" customFormat="1" ht="15" customHeight="1">
      <c r="A1736" s="1" t="s">
        <v>5140</v>
      </c>
      <c r="B1736" t="s">
        <v>5141</v>
      </c>
      <c r="C1736" t="s">
        <v>5142</v>
      </c>
      <c r="D1736" t="s">
        <v>5143</v>
      </c>
      <c r="E1736" t="s">
        <v>5144</v>
      </c>
      <c r="F1736" t="s">
        <v>5145</v>
      </c>
      <c r="G1736" t="s">
        <v>5146</v>
      </c>
      <c r="H1736" t="s">
        <v>254</v>
      </c>
      <c r="I1736">
        <v>2011</v>
      </c>
      <c r="J1736">
        <v>108</v>
      </c>
      <c r="K1736" s="295" t="s">
        <v>5147</v>
      </c>
      <c r="L1736"/>
      <c r="M1736" t="str">
        <f>LEFT($D1736,FIND(",",$D1736)-1)&amp;"_"&amp;I1736&amp;L1736</f>
        <v>Malmsheimer_2011</v>
      </c>
      <c r="N1736" t="s">
        <v>2586</v>
      </c>
      <c r="O1736" s="145" t="s">
        <v>225</v>
      </c>
      <c r="P1736"/>
      <c r="Q1736" s="312" t="s">
        <v>256</v>
      </c>
      <c r="R1736" s="313"/>
      <c r="S1736" s="1"/>
      <c r="T1736"/>
      <c r="U1736" s="143"/>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s="141"/>
      <c r="AY1736" s="141"/>
      <c r="AZ1736"/>
      <c r="BA1736"/>
      <c r="BB1736"/>
      <c r="BC1736"/>
      <c r="BD1736"/>
      <c r="BE1736"/>
      <c r="BF1736" s="2"/>
      <c r="BG1736" s="1"/>
      <c r="BH1736"/>
      <c r="BI1736"/>
      <c r="BJ1736" s="143"/>
      <c r="BK1736"/>
      <c r="BL1736" s="143"/>
      <c r="BM1736" s="163"/>
      <c r="BN1736" s="158"/>
      <c r="BO1736" s="143"/>
      <c r="BP1736"/>
      <c r="BQ1736"/>
      <c r="BR1736"/>
      <c r="BS1736" s="143"/>
      <c r="BT1736"/>
      <c r="BU1736" s="144"/>
      <c r="BV1736"/>
      <c r="BW1736"/>
      <c r="BX1736"/>
      <c r="BY1736" t="str">
        <f>IFERROR(BX1736/BO1736,"")</f>
        <v/>
      </c>
      <c r="BZ1736"/>
      <c r="CA1736"/>
      <c r="CB1736"/>
      <c r="CC1736"/>
      <c r="CD1736"/>
      <c r="CE1736"/>
      <c r="CF1736"/>
      <c r="CG1736"/>
      <c r="CH1736"/>
      <c r="CI1736"/>
      <c r="CJ1736"/>
      <c r="CK1736"/>
      <c r="CL1736"/>
      <c r="CM1736"/>
      <c r="CN1736"/>
      <c r="CO1736"/>
      <c r="CP1736"/>
      <c r="CQ1736"/>
      <c r="CR1736"/>
      <c r="CS1736"/>
      <c r="CT1736"/>
      <c r="CU1736"/>
      <c r="CV1736" s="2"/>
      <c r="CW1736" s="1"/>
      <c r="CX1736"/>
      <c r="CY1736"/>
      <c r="CZ1736"/>
      <c r="DA1736" s="143"/>
      <c r="DB1736" s="143"/>
      <c r="DC1736"/>
      <c r="DD1736"/>
      <c r="DE1736"/>
      <c r="DF1736"/>
      <c r="DG1736"/>
      <c r="DH1736"/>
      <c r="DI1736"/>
      <c r="DJ1736"/>
      <c r="DK1736"/>
      <c r="DL1736"/>
      <c r="DM1736"/>
      <c r="DN1736"/>
      <c r="DO1736"/>
      <c r="DP1736" s="143"/>
      <c r="DQ1736" s="143"/>
      <c r="DR1736"/>
      <c r="DS1736" s="143"/>
      <c r="DT1736"/>
      <c r="DU1736" s="143"/>
      <c r="DV1736" s="143"/>
      <c r="DW1736" s="143"/>
      <c r="DX1736"/>
      <c r="DY1736"/>
      <c r="DZ1736"/>
      <c r="EA1736"/>
      <c r="EB1736" s="143"/>
      <c r="EC1736"/>
      <c r="ED1736" s="143"/>
      <c r="EE1736"/>
      <c r="EF1736"/>
      <c r="EG1736" s="143"/>
      <c r="EH1736"/>
      <c r="EI1736" s="2"/>
      <c r="EJ1736" s="1"/>
      <c r="EK1736" t="str">
        <f>IF(AND(AND(AND(OR($DX1736=1,$DW1736=1),OR($EC1736=1,$EA1736=1)),SUM($DV1736:$DZ1736,$EF1736)&gt;=3),SUM($EA1736:$EE1736)&gt;=2),"Whole sector","")</f>
        <v/>
      </c>
      <c r="EL1736" t="str">
        <f>IF(AND(AND(OR($DX1736=1,$DW1736=1),AND($EC1736=0,$EA1736=0)),SUM($DV1736:$DZ1736,$EF1736)&gt;=3),"Ecosystem approach","")</f>
        <v/>
      </c>
      <c r="EM1736" s="2" t="str">
        <f>IF(AND(AND(AND($DX1736=0,$DW1736=0),OR($EC1736=1,$EA1736=1)),SUM($EB1736:$EE1736)&gt;=2),"Technology approach","")</f>
        <v/>
      </c>
      <c r="EN1736" t="s">
        <v>5148</v>
      </c>
      <c r="EO1736" t="s">
        <v>5149</v>
      </c>
      <c r="EP1736" t="b">
        <f>IF(ISNUMBER(BU1736),IF(ABS(BU1736-[5]QC_indicators!$B$2)&gt;3*[5]QC_indicators!$C$2,"C ratio",IF(ISNUMBER(BY1736),IF(ABS(BY1736-[5]QC_indicators!$B$1)&gt;3*[5]QC_indicators!$C$1,"DF","no"))),IF(ISNUMBER(BY1736),IF(ABS(BY1736-[5]QC_indicators!$B$1)&gt;3*[5]QC_indicators!$C$1,"DF","no")))</f>
        <v>0</v>
      </c>
      <c r="EQ1736"/>
      <c r="ER1736"/>
      <c r="ES1736"/>
      <c r="ET1736"/>
    </row>
    <row r="1737" spans="1:150" s="185" customFormat="1" ht="15" customHeight="1">
      <c r="A1737" s="1" t="s">
        <v>486</v>
      </c>
      <c r="B1737" t="s">
        <v>544</v>
      </c>
      <c r="C1737" t="s">
        <v>5150</v>
      </c>
      <c r="D1737" t="s">
        <v>5151</v>
      </c>
      <c r="E1737" t="s">
        <v>5152</v>
      </c>
      <c r="F1737" t="s">
        <v>5153</v>
      </c>
      <c r="G1737" t="s">
        <v>492</v>
      </c>
      <c r="H1737" t="s">
        <v>3791</v>
      </c>
      <c r="I1737">
        <v>2021</v>
      </c>
      <c r="J1737">
        <v>3</v>
      </c>
      <c r="K1737" t="s">
        <v>5154</v>
      </c>
      <c r="L1737"/>
      <c r="M1737" t="str">
        <f>LEFT($D1737,FIND(",",$D1737)-1)&amp;"_"&amp;I1737&amp;L1737</f>
        <v>Myllyviita_2021</v>
      </c>
      <c r="N1737" t="s">
        <v>2586</v>
      </c>
      <c r="O1737" s="157" t="s">
        <v>274</v>
      </c>
      <c r="P1737" t="s">
        <v>960</v>
      </c>
      <c r="Q1737" s="312" t="s">
        <v>389</v>
      </c>
      <c r="R1737" s="313"/>
      <c r="S1737" s="1"/>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s="141"/>
      <c r="AY1737" s="141"/>
      <c r="AZ1737"/>
      <c r="BA1737"/>
      <c r="BB1737"/>
      <c r="BC1737"/>
      <c r="BD1737"/>
      <c r="BE1737"/>
      <c r="BF1737" s="2"/>
      <c r="BG1737" s="1"/>
      <c r="BH1737"/>
      <c r="BI1737"/>
      <c r="BJ1737"/>
      <c r="BK1737"/>
      <c r="BL1737"/>
      <c r="BM1737"/>
      <c r="BN1737"/>
      <c r="BO1737"/>
      <c r="BP1737"/>
      <c r="BQ1737"/>
      <c r="BR1737"/>
      <c r="BS1737"/>
      <c r="BT1737"/>
      <c r="BU1737" s="144"/>
      <c r="BV1737"/>
      <c r="BW1737"/>
      <c r="BX1737"/>
      <c r="BY1737" t="str">
        <f>IFERROR(BX1737/BO1737,"")</f>
        <v/>
      </c>
      <c r="BZ1737"/>
      <c r="CA1737"/>
      <c r="CB1737"/>
      <c r="CC1737"/>
      <c r="CD1737"/>
      <c r="CE1737"/>
      <c r="CF1737"/>
      <c r="CG1737"/>
      <c r="CH1737"/>
      <c r="CI1737"/>
      <c r="CJ1737"/>
      <c r="CK1737"/>
      <c r="CL1737"/>
      <c r="CM1737"/>
      <c r="CN1737"/>
      <c r="CO1737"/>
      <c r="CP1737"/>
      <c r="CQ1737"/>
      <c r="CR1737"/>
      <c r="CS1737"/>
      <c r="CT1737"/>
      <c r="CU1737"/>
      <c r="CV1737" s="2"/>
      <c r="CW1737" s="1"/>
      <c r="CX1737"/>
      <c r="CY1737"/>
      <c r="CZ1737"/>
      <c r="DA1737"/>
      <c r="DB1737"/>
      <c r="DC1737"/>
      <c r="DD1737"/>
      <c r="DE1737"/>
      <c r="DF1737"/>
      <c r="DG1737"/>
      <c r="DH1737"/>
      <c r="DI1737"/>
      <c r="DJ1737"/>
      <c r="DK1737"/>
      <c r="DL1737"/>
      <c r="DM1737"/>
      <c r="DN1737"/>
      <c r="DO1737"/>
      <c r="DP1737"/>
      <c r="DQ1737"/>
      <c r="DR1737"/>
      <c r="DS1737"/>
      <c r="DT1737"/>
      <c r="DU1737" s="143"/>
      <c r="DV1737"/>
      <c r="DW1737"/>
      <c r="DX1737"/>
      <c r="DY1737"/>
      <c r="DZ1737"/>
      <c r="EA1737"/>
      <c r="EB1737"/>
      <c r="EC1737"/>
      <c r="ED1737"/>
      <c r="EE1737"/>
      <c r="EF1737"/>
      <c r="EG1737"/>
      <c r="EH1737"/>
      <c r="EI1737" s="2"/>
      <c r="EJ1737" s="1"/>
      <c r="EK1737" t="str">
        <f>IF(AND(AND(AND(OR($DX1737=1,$DW1737=1),OR($EC1737=1,$EA1737=1)),SUM($DV1737:$DZ1737,$EF1737)&gt;=3),SUM($EA1737:$EE1737)&gt;=2),"Whole sector","")</f>
        <v/>
      </c>
      <c r="EL1737" t="str">
        <f>IF(AND(AND(OR($DX1737=1,$DW1737=1),AND($EC1737=0,$EA1737=0)),SUM($DV1737:$DZ1737,$EF1737)&gt;=3),"Ecosystem approach","")</f>
        <v/>
      </c>
      <c r="EM1737" s="2" t="str">
        <f>IF(AND(AND(AND($DX1737=0,$DW1737=0),OR($EC1737=1,$EA1737=1)),SUM($EB1737:$EE1737)&gt;=2),"Technology approach","")</f>
        <v/>
      </c>
      <c r="EN1737"/>
      <c r="EO1737"/>
      <c r="EP1737" t="b">
        <f>IF(ISNUMBER(BU1737),IF(ABS(BU1737-[5]QC_indicators!$B$2)&gt;3*[5]QC_indicators!$C$2,"C ratio",IF(ISNUMBER(BY1737),IF(ABS(BY1737-[5]QC_indicators!$B$1)&gt;3*[5]QC_indicators!$C$1,"DF","no"))),IF(ISNUMBER(BY1737),IF(ABS(BY1737-[5]QC_indicators!$B$1)&gt;3*[5]QC_indicators!$C$1,"DF","no")))</f>
        <v>0</v>
      </c>
      <c r="EQ1737"/>
      <c r="ER1737"/>
      <c r="ES1737"/>
      <c r="ET1737"/>
    </row>
    <row r="1738" spans="1:150" s="185" customFormat="1" ht="15" customHeight="1">
      <c r="A1738" s="1"/>
      <c r="B1738"/>
      <c r="C1738"/>
      <c r="D1738" t="s">
        <v>5155</v>
      </c>
      <c r="E1738" t="s">
        <v>5156</v>
      </c>
      <c r="F1738"/>
      <c r="G1738" t="s">
        <v>1008</v>
      </c>
      <c r="H1738"/>
      <c r="I1738">
        <v>2001</v>
      </c>
      <c r="J1738"/>
      <c r="K1738" s="295" t="s">
        <v>5157</v>
      </c>
      <c r="L1738"/>
      <c r="M1738" t="str">
        <f>LEFT($D1738,FIND(",",$D1738)-1)&amp;"_"&amp;I1738&amp;L1738</f>
        <v>Niles_2001</v>
      </c>
      <c r="N1738" t="s">
        <v>2586</v>
      </c>
      <c r="O1738" s="157" t="s">
        <v>274</v>
      </c>
      <c r="P1738" t="s">
        <v>513</v>
      </c>
      <c r="Q1738" s="312" t="s">
        <v>389</v>
      </c>
      <c r="R1738" s="313"/>
      <c r="S1738" s="1"/>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s="141">
        <f>COUNTIF(V1738:AW1738,"&lt;&gt;0")</f>
        <v>28</v>
      </c>
      <c r="AY1738" s="141">
        <f>COUNTIF(V1738:AL1738,"&lt;&gt;0")</f>
        <v>17</v>
      </c>
      <c r="AZ1738"/>
      <c r="BA1738"/>
      <c r="BB1738"/>
      <c r="BC1738"/>
      <c r="BD1738"/>
      <c r="BE1738"/>
      <c r="BF1738" s="2"/>
      <c r="BG1738" s="1"/>
      <c r="BH1738"/>
      <c r="BI1738"/>
      <c r="BJ1738"/>
      <c r="BK1738"/>
      <c r="BL1738"/>
      <c r="BM1738" t="str">
        <f>IFERROR(BL1738/BK1738,"")</f>
        <v/>
      </c>
      <c r="BN1738"/>
      <c r="BO1738"/>
      <c r="BP1738"/>
      <c r="BQ1738"/>
      <c r="BR1738"/>
      <c r="BS1738"/>
      <c r="BT1738"/>
      <c r="BU1738" s="144"/>
      <c r="BV1738"/>
      <c r="BW1738"/>
      <c r="BX1738"/>
      <c r="BY1738" t="str">
        <f>IFERROR(BX1738/BO1738,"")</f>
        <v/>
      </c>
      <c r="BZ1738"/>
      <c r="CA1738"/>
      <c r="CB1738"/>
      <c r="CC1738"/>
      <c r="CD1738"/>
      <c r="CE1738"/>
      <c r="CF1738"/>
      <c r="CG1738"/>
      <c r="CH1738"/>
      <c r="CI1738"/>
      <c r="CJ1738"/>
      <c r="CK1738"/>
      <c r="CL1738"/>
      <c r="CM1738"/>
      <c r="CN1738"/>
      <c r="CO1738"/>
      <c r="CP1738"/>
      <c r="CQ1738"/>
      <c r="CR1738"/>
      <c r="CS1738"/>
      <c r="CT1738"/>
      <c r="CU1738"/>
      <c r="CV1738" s="2" t="str">
        <f>IFERROR((CS1738-CR1738)/ABS(CR1738),"")</f>
        <v/>
      </c>
      <c r="CW1738" s="1"/>
      <c r="CX1738"/>
      <c r="CY1738"/>
      <c r="CZ1738"/>
      <c r="DA1738"/>
      <c r="DB1738"/>
      <c r="DC1738"/>
      <c r="DD1738"/>
      <c r="DE1738"/>
      <c r="DF1738"/>
      <c r="DG1738"/>
      <c r="DH1738"/>
      <c r="DI1738">
        <f>SUM(DD1738:DG1738)</f>
        <v>0</v>
      </c>
      <c r="DJ1738" t="str">
        <f>IF(DI1738=1,INDEX($DD$7:$DG$7,MATCH(1,$DD1738:$DG1738,0)),"mixedProduct")</f>
        <v>mixedProduct</v>
      </c>
      <c r="DK1738">
        <f>IF(DD1738=1,DK$7,0)</f>
        <v>0</v>
      </c>
      <c r="DL1738">
        <f>IF(DE1738=1,DL$7,0)</f>
        <v>0</v>
      </c>
      <c r="DM1738">
        <f>IF(DF1738=1,DM$7,0)</f>
        <v>0</v>
      </c>
      <c r="DN1738">
        <f>IF(DG1738=1,DN$7,0)</f>
        <v>0</v>
      </c>
      <c r="DO1738"/>
      <c r="DP1738"/>
      <c r="DQ1738"/>
      <c r="DR1738"/>
      <c r="DS1738"/>
      <c r="DT1738"/>
      <c r="DU1738" s="143" t="str">
        <f>IF(DO1738=1,"self-calculated DF",IF(DP1738=1,"external DF used","explicit C balance"))</f>
        <v>explicit C balance</v>
      </c>
      <c r="DV1738"/>
      <c r="DW1738"/>
      <c r="DX1738"/>
      <c r="DY1738"/>
      <c r="DZ1738"/>
      <c r="EA1738"/>
      <c r="EB1738"/>
      <c r="EC1738"/>
      <c r="ED1738"/>
      <c r="EE1738"/>
      <c r="EF1738"/>
      <c r="EG1738"/>
      <c r="EH1738"/>
      <c r="EI1738" s="2"/>
      <c r="EJ1738" s="1"/>
      <c r="EK1738" t="str">
        <f>IF(AND(AND(AND(OR($DX1738=1,$DW1738=1),OR($EC1738=1,$EA1738=1)),SUM($DV1738:$DZ1738,$EF1738)&gt;=3),SUM($EA1738:$EE1738)&gt;=2),"Whole sector","")</f>
        <v/>
      </c>
      <c r="EL1738" t="str">
        <f>IF(AND(AND(OR($DX1738=1,$DW1738=1),AND($EC1738=0,$EA1738=0)),SUM($DV1738:$DZ1738,$EF1738)&gt;=3),"Ecosystem approach","")</f>
        <v/>
      </c>
      <c r="EM1738" s="2" t="str">
        <f>IF(AND(AND(AND($DX1738=0,$DW1738=0),OR($EC1738=1,$EA1738=1)),SUM($EB1738:$EE1738)&gt;=2),"Technology approach","")</f>
        <v/>
      </c>
      <c r="EN1738"/>
      <c r="EO1738"/>
      <c r="EP1738" t="b">
        <f>IF(ISNUMBER(BU1738),IF(ABS(BU1738-[5]QC_indicators!$B$2)&gt;3*[5]QC_indicators!$C$2,"C ratio",IF(ISNUMBER(BY1738),IF(ABS(BY1738-[5]QC_indicators!$B$1)&gt;3*[5]QC_indicators!$C$1,"DF","no"))),IF(ISNUMBER(BY1738),IF(ABS(BY1738-[5]QC_indicators!$B$1)&gt;3*[5]QC_indicators!$C$1,"DF","no")))</f>
        <v>0</v>
      </c>
      <c r="EQ1738"/>
      <c r="ER1738"/>
      <c r="ES1738"/>
      <c r="ET1738"/>
    </row>
    <row r="1739" spans="1:150" ht="15" customHeight="1">
      <c r="A1739" s="1" t="s">
        <v>5158</v>
      </c>
      <c r="B1739" t="s">
        <v>5159</v>
      </c>
      <c r="C1739" t="s">
        <v>5160</v>
      </c>
      <c r="D1739" t="s">
        <v>5161</v>
      </c>
      <c r="E1739" t="s">
        <v>5162</v>
      </c>
      <c r="F1739" t="s">
        <v>5163</v>
      </c>
      <c r="G1739" t="s">
        <v>5164</v>
      </c>
      <c r="H1739" t="s">
        <v>3791</v>
      </c>
      <c r="I1739">
        <v>2018</v>
      </c>
      <c r="J1739">
        <v>13</v>
      </c>
      <c r="K1739" t="s">
        <v>5165</v>
      </c>
      <c r="M1739" t="str">
        <f>LEFT($D1739,FIND(",",$D1739)-1)&amp;"_"&amp;I1739&amp;L1739</f>
        <v>Persson_2018</v>
      </c>
      <c r="N1739" t="s">
        <v>2586</v>
      </c>
      <c r="O1739" s="171" t="s">
        <v>513</v>
      </c>
      <c r="P1739" s="141" t="s">
        <v>225</v>
      </c>
      <c r="Q1739" s="312" t="s">
        <v>389</v>
      </c>
      <c r="R1739" s="313"/>
      <c r="AX1739" s="141"/>
      <c r="AY1739" s="141"/>
      <c r="BE1739"/>
      <c r="BF1739" s="2"/>
      <c r="BU1739" s="144"/>
      <c r="BY1739" t="str">
        <f>IFERROR(BX1739/BO1739,"")</f>
        <v/>
      </c>
      <c r="CN1739"/>
      <c r="CO1739"/>
      <c r="CP1739"/>
      <c r="CQ1739"/>
      <c r="CR1739"/>
      <c r="CS1739"/>
      <c r="CT1739"/>
      <c r="CU1739"/>
      <c r="CV1739" s="2"/>
      <c r="CX1739"/>
      <c r="DC1739"/>
      <c r="DI1739"/>
      <c r="DJ1739"/>
      <c r="DK1739"/>
      <c r="DL1739"/>
      <c r="DM1739"/>
      <c r="DN1739"/>
      <c r="DT1739"/>
      <c r="DU1739" s="143"/>
      <c r="EK1739" t="str">
        <f>IF(AND(AND(AND(OR($DX1739=1,$DW1739=1),OR($EC1739=1,$EA1739=1)),SUM($DV1739:$DZ1739,$EF1739)&gt;=3),SUM($EA1739:$EE1739)&gt;=2),"Whole sector","")</f>
        <v/>
      </c>
      <c r="EL1739" t="str">
        <f>IF(AND(AND(OR($DX1739=1,$DW1739=1),AND($EC1739=0,$EA1739=0)),SUM($DV1739:$DZ1739,$EF1739)&gt;=3),"Ecosystem approach","")</f>
        <v/>
      </c>
      <c r="EM1739" s="2" t="str">
        <f>IF(AND(AND(AND($DX1739=0,$DW1739=0),OR($EC1739=1,$EA1739=1)),SUM($EB1739:$EE1739)&gt;=2),"Technology approach","")</f>
        <v/>
      </c>
      <c r="EP1739" t="b">
        <f>IF(ISNUMBER(BU1739),IF(ABS(BU1739-[5]QC_indicators!$B$2)&gt;3*[5]QC_indicators!$C$2,"C ratio",IF(ISNUMBER(BY1739),IF(ABS(BY1739-[5]QC_indicators!$B$1)&gt;3*[5]QC_indicators!$C$1,"DF","no"))),IF(ISNUMBER(BY1739),IF(ABS(BY1739-[5]QC_indicators!$B$1)&gt;3*[5]QC_indicators!$C$1,"DF","no")))</f>
        <v>0</v>
      </c>
    </row>
    <row r="1740" spans="1:150" ht="15" customHeight="1">
      <c r="A1740" s="1" t="s">
        <v>1423</v>
      </c>
      <c r="B1740" t="s">
        <v>5166</v>
      </c>
      <c r="C1740" t="s">
        <v>5167</v>
      </c>
      <c r="D1740" t="s">
        <v>5168</v>
      </c>
      <c r="E1740" t="s">
        <v>5169</v>
      </c>
      <c r="F1740" t="s">
        <v>5170</v>
      </c>
      <c r="G1740" t="s">
        <v>1429</v>
      </c>
      <c r="H1740" t="s">
        <v>254</v>
      </c>
      <c r="I1740">
        <v>2005</v>
      </c>
      <c r="J1740">
        <v>122</v>
      </c>
      <c r="K1740" t="s">
        <v>5171</v>
      </c>
      <c r="M1740" t="str">
        <f>LEFT($D1740,FIND(",",$D1740)-1)&amp;"_"&amp;I1740&amp;L1740</f>
        <v>Petersen_2005</v>
      </c>
      <c r="N1740" t="s">
        <v>2586</v>
      </c>
      <c r="O1740" s="171" t="s">
        <v>513</v>
      </c>
      <c r="P1740" s="141" t="s">
        <v>225</v>
      </c>
      <c r="Q1740" s="312" t="s">
        <v>389</v>
      </c>
      <c r="R1740" s="313"/>
      <c r="AX1740" s="141"/>
      <c r="AY1740" s="141"/>
      <c r="BE1740"/>
      <c r="BF1740" s="2"/>
      <c r="BJ1740" s="143"/>
      <c r="BL1740" s="143"/>
      <c r="BN1740" s="158"/>
      <c r="BO1740" s="159"/>
      <c r="BU1740" s="144"/>
      <c r="BY1740" t="str">
        <f>IFERROR(BX1740/BO1740,"")</f>
        <v/>
      </c>
      <c r="CN1740"/>
      <c r="CO1740"/>
      <c r="CP1740"/>
      <c r="CQ1740"/>
      <c r="CR1740"/>
      <c r="CS1740"/>
      <c r="CT1740"/>
      <c r="CU1740"/>
      <c r="CV1740" s="2"/>
      <c r="CX1740"/>
      <c r="DA1740" s="143"/>
      <c r="DB1740" s="143"/>
      <c r="DC1740"/>
      <c r="DI1740"/>
      <c r="DJ1740"/>
      <c r="DK1740"/>
      <c r="DL1740"/>
      <c r="DM1740"/>
      <c r="DN1740"/>
      <c r="DT1740"/>
      <c r="DU1740" s="143"/>
      <c r="DV1740" s="143"/>
      <c r="DW1740" s="143"/>
      <c r="DX1740" s="143"/>
      <c r="DY1740" s="143"/>
      <c r="EB1740" s="143"/>
      <c r="EC1740" s="143"/>
      <c r="ED1740" s="143"/>
      <c r="EG1740" s="143"/>
      <c r="EK1740" t="str">
        <f>IF(AND(AND(AND(OR($DX1740=1,$DW1740=1),OR($EC1740=1,$EA1740=1)),SUM($DV1740:$DZ1740,$EF1740)&gt;=3),SUM($EA1740:$EE1740)&gt;=2),"Whole sector","")</f>
        <v/>
      </c>
      <c r="EL1740" t="str">
        <f>IF(AND(AND(OR($DX1740=1,$DW1740=1),AND($EC1740=0,$EA1740=0)),SUM($DV1740:$DZ1740,$EF1740)&gt;=3),"Ecosystem approach","")</f>
        <v/>
      </c>
      <c r="EM1740" s="2" t="str">
        <f>IF(AND(AND(AND($DX1740=0,$DW1740=0),OR($EC1740=1,$EA1740=1)),SUM($EB1740:$EE1740)&gt;=2),"Technology approach","")</f>
        <v/>
      </c>
      <c r="EP1740" t="b">
        <f>IF(ISNUMBER(BU1740),IF(ABS(BU1740-[5]QC_indicators!$B$2)&gt;3*[5]QC_indicators!$C$2,"C ratio",IF(ISNUMBER(BY1740),IF(ABS(BY1740-[5]QC_indicators!$B$1)&gt;3*[5]QC_indicators!$C$1,"DF","no"))),IF(ISNUMBER(BY1740),IF(ABS(BY1740-[5]QC_indicators!$B$1)&gt;3*[5]QC_indicators!$C$1,"DF","no")))</f>
        <v>0</v>
      </c>
    </row>
    <row r="1741" spans="1:150" ht="15" customHeight="1">
      <c r="A1741" s="1" t="s">
        <v>333</v>
      </c>
      <c r="B1741" t="s">
        <v>5172</v>
      </c>
      <c r="C1741" t="s">
        <v>5173</v>
      </c>
      <c r="D1741" t="s">
        <v>5174</v>
      </c>
      <c r="E1741" t="s">
        <v>5175</v>
      </c>
      <c r="F1741" t="s">
        <v>5176</v>
      </c>
      <c r="G1741" t="s">
        <v>339</v>
      </c>
      <c r="H1741" t="s">
        <v>254</v>
      </c>
      <c r="I1741">
        <v>2021</v>
      </c>
      <c r="J1741">
        <v>10</v>
      </c>
      <c r="K1741" t="s">
        <v>5177</v>
      </c>
      <c r="M1741" t="str">
        <f>LEFT($D1741,FIND(",",$D1741)-1)&amp;"_"&amp;I1741&amp;L1741</f>
        <v>Resch_2021</v>
      </c>
      <c r="N1741" t="s">
        <v>2586</v>
      </c>
      <c r="O1741" s="145" t="s">
        <v>341</v>
      </c>
      <c r="Q1741" s="312" t="s">
        <v>256</v>
      </c>
      <c r="R1741" s="313"/>
      <c r="AX1741" s="141"/>
      <c r="AY1741" s="141"/>
      <c r="BE1741"/>
      <c r="BF1741" s="2"/>
      <c r="BU1741" s="144"/>
      <c r="BY1741" t="str">
        <f>IFERROR(BX1741/BO1741,"")</f>
        <v/>
      </c>
      <c r="CN1741"/>
      <c r="CO1741"/>
      <c r="CP1741"/>
      <c r="CQ1741"/>
      <c r="CR1741"/>
      <c r="CS1741"/>
      <c r="CT1741"/>
      <c r="CU1741"/>
      <c r="CV1741" s="2"/>
      <c r="CX1741"/>
      <c r="DC1741"/>
      <c r="DI1741"/>
      <c r="DJ1741"/>
      <c r="DK1741"/>
      <c r="DL1741"/>
      <c r="DM1741"/>
      <c r="DN1741"/>
      <c r="DT1741"/>
      <c r="DU1741" s="143"/>
      <c r="EK1741" t="str">
        <f>IF(AND(AND(AND(OR($DX1741=1,$DW1741=1),OR($EC1741=1,$EA1741=1)),SUM($DV1741:$DZ1741,$EF1741)&gt;=3),SUM($EA1741:$EE1741)&gt;=2),"Whole sector","")</f>
        <v/>
      </c>
      <c r="EL1741" t="str">
        <f>IF(AND(AND(OR($DX1741=1,$DW1741=1),AND($EC1741=0,$EA1741=0)),SUM($DV1741:$DZ1741,$EF1741)&gt;=3),"Ecosystem approach","")</f>
        <v/>
      </c>
      <c r="EM1741" s="2" t="str">
        <f>IF(AND(AND(AND($DX1741=0,$DW1741=0),OR($EC1741=1,$EA1741=1)),SUM($EB1741:$EE1741)&gt;=2),"Technology approach","")</f>
        <v/>
      </c>
      <c r="EN1741" t="s">
        <v>5178</v>
      </c>
      <c r="EO1741" t="s">
        <v>450</v>
      </c>
      <c r="EP1741" t="b">
        <f>IF(ISNUMBER(BU1741),IF(ABS(BU1741-[5]QC_indicators!$B$2)&gt;3*[5]QC_indicators!$C$2,"C ratio",IF(ISNUMBER(BY1741),IF(ABS(BY1741-[5]QC_indicators!$B$1)&gt;3*[5]QC_indicators!$C$1,"DF","no"))),IF(ISNUMBER(BY1741),IF(ABS(BY1741-[5]QC_indicators!$B$1)&gt;3*[5]QC_indicators!$C$1,"DF","no")))</f>
        <v>0</v>
      </c>
    </row>
    <row r="1742" spans="1:150" s="185" customFormat="1" ht="15" customHeight="1">
      <c r="A1742" s="1" t="s">
        <v>1102</v>
      </c>
      <c r="B1742" t="s">
        <v>5179</v>
      </c>
      <c r="C1742" t="s">
        <v>5180</v>
      </c>
      <c r="D1742" t="s">
        <v>5181</v>
      </c>
      <c r="E1742" t="s">
        <v>5182</v>
      </c>
      <c r="F1742" t="s">
        <v>5183</v>
      </c>
      <c r="G1742" t="s">
        <v>1108</v>
      </c>
      <c r="H1742" t="s">
        <v>3791</v>
      </c>
      <c r="I1742">
        <v>2022</v>
      </c>
      <c r="J1742">
        <v>4</v>
      </c>
      <c r="K1742" t="s">
        <v>5184</v>
      </c>
      <c r="L1742"/>
      <c r="M1742" t="str">
        <f>LEFT($D1742,FIND(",",$D1742)-1)&amp;"_"&amp;I1742&amp;L1742</f>
        <v>Soimakallio_2022</v>
      </c>
      <c r="N1742" t="s">
        <v>2586</v>
      </c>
      <c r="O1742"/>
      <c r="P1742"/>
      <c r="Q1742"/>
      <c r="R1742" s="2"/>
      <c r="S1742" s="1"/>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s="2"/>
      <c r="BG1742" s="1"/>
      <c r="BH1742"/>
      <c r="BI1742"/>
      <c r="BJ1742"/>
      <c r="BK1742"/>
      <c r="BL1742"/>
      <c r="BM1742"/>
      <c r="BN1742"/>
      <c r="BO1742"/>
      <c r="BP1742"/>
      <c r="BQ1742"/>
      <c r="BR1742"/>
      <c r="BS1742"/>
      <c r="BT1742"/>
      <c r="BU1742"/>
      <c r="BV1742"/>
      <c r="BW1742"/>
      <c r="BX1742"/>
      <c r="BY1742" t="str">
        <f>IFERROR(BX1742/BO1742,"")</f>
        <v/>
      </c>
      <c r="BZ1742"/>
      <c r="CA1742"/>
      <c r="CB1742"/>
      <c r="CC1742"/>
      <c r="CD1742"/>
      <c r="CE1742"/>
      <c r="CF1742"/>
      <c r="CG1742"/>
      <c r="CH1742"/>
      <c r="CI1742"/>
      <c r="CJ1742"/>
      <c r="CK1742"/>
      <c r="CL1742"/>
      <c r="CM1742"/>
      <c r="CN1742"/>
      <c r="CO1742"/>
      <c r="CP1742"/>
      <c r="CQ1742"/>
      <c r="CR1742"/>
      <c r="CS1742"/>
      <c r="CT1742"/>
      <c r="CU1742"/>
      <c r="CV1742" s="2"/>
      <c r="CW1742" s="1"/>
      <c r="CX1742"/>
      <c r="CY1742"/>
      <c r="CZ1742"/>
      <c r="DA1742"/>
      <c r="DB1742"/>
      <c r="DC1742"/>
      <c r="DD1742"/>
      <c r="DE1742"/>
      <c r="DF1742"/>
      <c r="DG1742"/>
      <c r="DH1742"/>
      <c r="DI1742"/>
      <c r="DJ1742"/>
      <c r="DK1742"/>
      <c r="DL1742"/>
      <c r="DM1742"/>
      <c r="DN1742"/>
      <c r="DO1742"/>
      <c r="DP1742"/>
      <c r="DQ1742"/>
      <c r="DR1742"/>
      <c r="DS1742"/>
      <c r="DT1742"/>
      <c r="DU1742"/>
      <c r="DV1742"/>
      <c r="DW1742"/>
      <c r="DX1742"/>
      <c r="DY1742"/>
      <c r="DZ1742"/>
      <c r="EA1742"/>
      <c r="EB1742"/>
      <c r="EC1742"/>
      <c r="ED1742"/>
      <c r="EE1742"/>
      <c r="EF1742"/>
      <c r="EG1742"/>
      <c r="EH1742"/>
      <c r="EI1742" s="2"/>
      <c r="EJ1742" s="1"/>
      <c r="EK1742" t="str">
        <f>IF(AND(AND(AND(OR($DX1742=1,$DW1742=1),OR($EC1742=1,$EA1742=1)),SUM($DV1742:$DZ1742,$EF1742)&gt;=3),SUM($EA1742:$EE1742)&gt;=2),"Whole sector","")</f>
        <v/>
      </c>
      <c r="EL1742" t="str">
        <f>IF(AND(AND(OR($DX1742=1,$DW1742=1),AND($EC1742=0,$EA1742=0)),SUM($DV1742:$DZ1742,$EF1742)&gt;=3),"Ecosystem approach","")</f>
        <v/>
      </c>
      <c r="EM1742" s="2" t="str">
        <f>IF(AND(AND(AND($DX1742=0,$DW1742=0),OR($EC1742=1,$EA1742=1)),SUM($EB1742:$EE1742)&gt;=2),"Technology approach","")</f>
        <v/>
      </c>
      <c r="EN1742"/>
      <c r="EO1742"/>
      <c r="EP1742" t="b">
        <f>IF(ISNUMBER(BU1742),IF(ABS(BU1742-[5]QC_indicators!$B$2)&gt;3*[5]QC_indicators!$C$2,"C ratio",IF(ISNUMBER(BY1742),IF(ABS(BY1742-[5]QC_indicators!$B$1)&gt;3*[5]QC_indicators!$C$1,"DF","no"))),IF(ISNUMBER(BY1742),IF(ABS(BY1742-[5]QC_indicators!$B$1)&gt;3*[5]QC_indicators!$C$1,"DF","no")))</f>
        <v>0</v>
      </c>
      <c r="EQ1742"/>
      <c r="ER1742"/>
      <c r="ES1742"/>
      <c r="ET1742"/>
    </row>
    <row r="1743" spans="1:150" s="185" customFormat="1" ht="15" customHeight="1">
      <c r="A1743" s="1" t="s">
        <v>1138</v>
      </c>
      <c r="B1743" t="s">
        <v>5185</v>
      </c>
      <c r="C1743" t="s">
        <v>5186</v>
      </c>
      <c r="D1743" t="s">
        <v>5187</v>
      </c>
      <c r="E1743" t="s">
        <v>5188</v>
      </c>
      <c r="F1743" t="s">
        <v>5189</v>
      </c>
      <c r="G1743" t="s">
        <v>1139</v>
      </c>
      <c r="H1743" t="s">
        <v>3791</v>
      </c>
      <c r="I1743">
        <v>2021</v>
      </c>
      <c r="J1743">
        <v>0</v>
      </c>
      <c r="K1743" t="s">
        <v>5190</v>
      </c>
      <c r="L1743"/>
      <c r="M1743" t="str">
        <f>LEFT($D1743,FIND(",",$D1743)-1)&amp;"_"&amp;I1743&amp;L1743</f>
        <v>Sullivan_2021</v>
      </c>
      <c r="N1743" t="s">
        <v>2586</v>
      </c>
      <c r="O1743" s="145" t="s">
        <v>1154</v>
      </c>
      <c r="P1743"/>
      <c r="Q1743" s="312" t="s">
        <v>256</v>
      </c>
      <c r="R1743" s="313"/>
      <c r="S1743" s="1"/>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s="141"/>
      <c r="AY1743" s="141"/>
      <c r="AZ1743"/>
      <c r="BA1743"/>
      <c r="BB1743"/>
      <c r="BC1743"/>
      <c r="BD1743"/>
      <c r="BE1743"/>
      <c r="BF1743" s="2"/>
      <c r="BG1743" s="1"/>
      <c r="BH1743"/>
      <c r="BI1743"/>
      <c r="BJ1743"/>
      <c r="BK1743"/>
      <c r="BL1743"/>
      <c r="BM1743"/>
      <c r="BN1743"/>
      <c r="BO1743"/>
      <c r="BP1743" s="143"/>
      <c r="BQ1743" s="143"/>
      <c r="BR1743"/>
      <c r="BS1743"/>
      <c r="BT1743"/>
      <c r="BU1743" s="144"/>
      <c r="BV1743"/>
      <c r="BW1743"/>
      <c r="BX1743"/>
      <c r="BY1743" t="str">
        <f>IFERROR(BX1743/BO1743,"")</f>
        <v/>
      </c>
      <c r="BZ1743"/>
      <c r="CA1743"/>
      <c r="CB1743"/>
      <c r="CC1743"/>
      <c r="CD1743"/>
      <c r="CE1743"/>
      <c r="CF1743"/>
      <c r="CG1743"/>
      <c r="CH1743"/>
      <c r="CI1743"/>
      <c r="CJ1743"/>
      <c r="CK1743"/>
      <c r="CL1743"/>
      <c r="CM1743"/>
      <c r="CN1743"/>
      <c r="CO1743"/>
      <c r="CP1743"/>
      <c r="CQ1743"/>
      <c r="CR1743"/>
      <c r="CS1743"/>
      <c r="CT1743"/>
      <c r="CU1743"/>
      <c r="CV1743" s="2"/>
      <c r="CW1743" s="1"/>
      <c r="CX1743"/>
      <c r="CY1743"/>
      <c r="CZ1743"/>
      <c r="DA1743"/>
      <c r="DB1743"/>
      <c r="DC1743"/>
      <c r="DD1743"/>
      <c r="DE1743"/>
      <c r="DF1743"/>
      <c r="DG1743"/>
      <c r="DH1743"/>
      <c r="DI1743"/>
      <c r="DJ1743"/>
      <c r="DK1743"/>
      <c r="DL1743"/>
      <c r="DM1743"/>
      <c r="DN1743"/>
      <c r="DO1743"/>
      <c r="DP1743"/>
      <c r="DQ1743"/>
      <c r="DR1743"/>
      <c r="DS1743"/>
      <c r="DT1743"/>
      <c r="DU1743" s="143"/>
      <c r="DV1743"/>
      <c r="DW1743"/>
      <c r="DX1743"/>
      <c r="DY1743"/>
      <c r="DZ1743"/>
      <c r="EA1743"/>
      <c r="EB1743"/>
      <c r="EC1743"/>
      <c r="ED1743"/>
      <c r="EE1743"/>
      <c r="EF1743"/>
      <c r="EG1743"/>
      <c r="EH1743"/>
      <c r="EI1743" s="2"/>
      <c r="EJ1743" s="1"/>
      <c r="EK1743" t="str">
        <f>IF(AND(AND(AND(OR($DX1743=1,$DW1743=1),OR($EC1743=1,$EA1743=1)),SUM($DV1743:$DZ1743,$EF1743)&gt;=3),SUM($EA1743:$EE1743)&gt;=2),"Whole sector","")</f>
        <v/>
      </c>
      <c r="EL1743" t="str">
        <f>IF(AND(AND(OR($DX1743=1,$DW1743=1),AND($EC1743=0,$EA1743=0)),SUM($DV1743:$DZ1743,$EF1743)&gt;=3),"Ecosystem approach","")</f>
        <v/>
      </c>
      <c r="EM1743" s="2" t="str">
        <f>IF(AND(AND(AND($DX1743=0,$DW1743=0),OR($EC1743=1,$EA1743=1)),SUM($EB1743:$EE1743)&gt;=2),"Technology approach","")</f>
        <v/>
      </c>
      <c r="EN1743"/>
      <c r="EO1743" t="s">
        <v>4329</v>
      </c>
      <c r="EP1743" t="b">
        <f>IF(ISNUMBER(BU1743),IF(ABS(BU1743-[5]QC_indicators!$B$2)&gt;3*[5]QC_indicators!$C$2,"C ratio",IF(ISNUMBER(BY1743),IF(ABS(BY1743-[5]QC_indicators!$B$1)&gt;3*[5]QC_indicators!$C$1,"DF","no"))),IF(ISNUMBER(BY1743),IF(ABS(BY1743-[5]QC_indicators!$B$1)&gt;3*[5]QC_indicators!$C$1,"DF","no")))</f>
        <v>0</v>
      </c>
      <c r="EQ1743"/>
      <c r="ER1743"/>
      <c r="ES1743"/>
      <c r="ET1743"/>
    </row>
    <row r="1744" spans="1:150" s="185" customFormat="1" ht="15" customHeight="1">
      <c r="A1744" s="1" t="s">
        <v>398</v>
      </c>
      <c r="B1744" t="s">
        <v>5191</v>
      </c>
      <c r="C1744" t="s">
        <v>5192</v>
      </c>
      <c r="D1744" t="s">
        <v>5193</v>
      </c>
      <c r="E1744" t="s">
        <v>5194</v>
      </c>
      <c r="F1744" t="s">
        <v>5195</v>
      </c>
      <c r="G1744" t="s">
        <v>404</v>
      </c>
      <c r="H1744" t="s">
        <v>254</v>
      </c>
      <c r="I1744">
        <v>2022</v>
      </c>
      <c r="J1744">
        <v>10</v>
      </c>
      <c r="K1744" t="s">
        <v>5196</v>
      </c>
      <c r="L1744"/>
      <c r="M1744" t="str">
        <f>LEFT($D1744,FIND(",",$D1744)-1)&amp;"_"&amp;I1744&amp;L1744</f>
        <v>Younis_2022</v>
      </c>
      <c r="N1744" t="s">
        <v>2586</v>
      </c>
      <c r="O1744" s="312" t="s">
        <v>223</v>
      </c>
      <c r="P1744"/>
      <c r="Q1744" s="312" t="s">
        <v>389</v>
      </c>
      <c r="R1744" s="313"/>
      <c r="S1744" s="1"/>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s="2"/>
      <c r="BG1744" s="1"/>
      <c r="BH1744"/>
      <c r="BI1744"/>
      <c r="BJ1744"/>
      <c r="BK1744"/>
      <c r="BL1744"/>
      <c r="BM1744"/>
      <c r="BN1744"/>
      <c r="BO1744"/>
      <c r="BP1744"/>
      <c r="BQ1744"/>
      <c r="BR1744"/>
      <c r="BS1744"/>
      <c r="BT1744"/>
      <c r="BU1744"/>
      <c r="BV1744"/>
      <c r="BW1744"/>
      <c r="BX1744"/>
      <c r="BY1744" t="str">
        <f>IFERROR(BX1744/BO1744,"")</f>
        <v/>
      </c>
      <c r="BZ1744"/>
      <c r="CA1744"/>
      <c r="CB1744"/>
      <c r="CC1744"/>
      <c r="CD1744"/>
      <c r="CE1744"/>
      <c r="CF1744"/>
      <c r="CG1744"/>
      <c r="CH1744"/>
      <c r="CI1744"/>
      <c r="CJ1744"/>
      <c r="CK1744"/>
      <c r="CL1744"/>
      <c r="CM1744"/>
      <c r="CN1744"/>
      <c r="CO1744"/>
      <c r="CP1744"/>
      <c r="CQ1744"/>
      <c r="CR1744"/>
      <c r="CS1744"/>
      <c r="CT1744"/>
      <c r="CU1744"/>
      <c r="CV1744" s="2"/>
      <c r="CW1744" s="1"/>
      <c r="CX1744"/>
      <c r="CY1744"/>
      <c r="CZ1744"/>
      <c r="DA1744"/>
      <c r="DB1744"/>
      <c r="DC1744"/>
      <c r="DD1744"/>
      <c r="DE1744"/>
      <c r="DF1744"/>
      <c r="DG1744"/>
      <c r="DH1744"/>
      <c r="DI1744"/>
      <c r="DJ1744"/>
      <c r="DK1744"/>
      <c r="DL1744"/>
      <c r="DM1744"/>
      <c r="DN1744"/>
      <c r="DO1744"/>
      <c r="DP1744"/>
      <c r="DQ1744"/>
      <c r="DR1744"/>
      <c r="DS1744"/>
      <c r="DT1744"/>
      <c r="DU1744"/>
      <c r="DV1744"/>
      <c r="DW1744"/>
      <c r="DX1744"/>
      <c r="DY1744"/>
      <c r="DZ1744"/>
      <c r="EA1744"/>
      <c r="EB1744"/>
      <c r="EC1744"/>
      <c r="ED1744"/>
      <c r="EE1744"/>
      <c r="EF1744"/>
      <c r="EG1744"/>
      <c r="EH1744"/>
      <c r="EI1744" s="2"/>
      <c r="EJ1744" s="186"/>
      <c r="EK1744" t="str">
        <f>IF(AND(AND(AND(OR($DX1744=1,$DW1744=1),OR($EC1744=1,$EA1744=1)),SUM($DV1744:$DZ1744,$EF1744)&gt;=3),SUM($EA1744:$EE1744)&gt;=2),"Whole sector","")</f>
        <v/>
      </c>
      <c r="EL1744" t="str">
        <f>IF(AND(AND(OR($DX1744=1,$DW1744=1),AND($EC1744=0,$EA1744=0)),SUM($DV1744:$DZ1744,$EF1744)&gt;=3),"Ecosystem approach","")</f>
        <v/>
      </c>
      <c r="EM1744" s="2" t="str">
        <f>IF(AND(AND(AND($DX1744=0,$DW1744=0),OR($EC1744=1,$EA1744=1)),SUM($EB1744:$EE1744)&gt;=2),"Technology approach","")</f>
        <v/>
      </c>
      <c r="EN1744"/>
      <c r="EO1744"/>
      <c r="EP1744" t="b">
        <f>IF(ISNUMBER(BU1744),IF(ABS(BU1744-[5]QC_indicators!$B$2)&gt;3*[5]QC_indicators!$C$2,"C ratio",IF(ISNUMBER(BY1744),IF(ABS(BY1744-[5]QC_indicators!$B$1)&gt;3*[5]QC_indicators!$C$1,"DF","no"))),IF(ISNUMBER(BY1744),IF(ABS(BY1744-[5]QC_indicators!$B$1)&gt;3*[5]QC_indicators!$C$1,"DF","no")))</f>
        <v>0</v>
      </c>
      <c r="EQ1744"/>
      <c r="ER1744"/>
      <c r="ES1744"/>
    </row>
    <row r="1745" spans="1:146">
      <c r="A1745" s="1" t="s">
        <v>4293</v>
      </c>
      <c r="B1745" t="s">
        <v>5197</v>
      </c>
      <c r="C1745" t="s">
        <v>5198</v>
      </c>
      <c r="D1745" t="s">
        <v>5199</v>
      </c>
      <c r="E1745" t="s">
        <v>5200</v>
      </c>
      <c r="F1745" t="s">
        <v>5201</v>
      </c>
      <c r="G1745" t="s">
        <v>4299</v>
      </c>
      <c r="H1745" t="s">
        <v>3791</v>
      </c>
      <c r="I1745">
        <v>2022</v>
      </c>
      <c r="J1745">
        <v>1</v>
      </c>
      <c r="K1745" t="s">
        <v>5202</v>
      </c>
      <c r="M1745" t="str">
        <f>LEFT($D1745,FIND(",",$D1745)-1)&amp;"_"&amp;I1745&amp;L1745</f>
        <v>Zhou_2022</v>
      </c>
      <c r="N1745" t="s">
        <v>2586</v>
      </c>
      <c r="BE1745"/>
      <c r="BF1745" s="2"/>
      <c r="BY1745" t="str">
        <f>IFERROR(BX1745/BO1745,"")</f>
        <v/>
      </c>
      <c r="CN1745"/>
      <c r="CO1745"/>
      <c r="CP1745"/>
      <c r="CQ1745"/>
      <c r="CR1745"/>
      <c r="CS1745"/>
      <c r="CT1745"/>
      <c r="CU1745"/>
      <c r="CV1745" s="2"/>
      <c r="CX1745"/>
      <c r="DC1745"/>
      <c r="DI1745"/>
      <c r="DJ1745"/>
      <c r="DK1745"/>
      <c r="DL1745"/>
      <c r="DM1745"/>
      <c r="DN1745"/>
      <c r="DT1745"/>
      <c r="DU1745"/>
      <c r="EJ1745" s="186"/>
      <c r="EK1745" t="str">
        <f>IF(AND(AND(AND(OR($DX1745=1,$DW1745=1),OR($EC1745=1,$EA1745=1)),SUM($DV1745:$DZ1745,$EF1745)&gt;=3),SUM($EA1745:$EE1745)&gt;=2),"Whole sector","")</f>
        <v/>
      </c>
      <c r="EL1745" t="str">
        <f>IF(AND(AND(OR($DX1745=1,$DW1745=1),AND($EC1745=0,$EA1745=0)),SUM($DV1745:$DZ1745,$EF1745)&gt;=3),"Ecosystem approach","")</f>
        <v/>
      </c>
      <c r="EM1745" s="2" t="str">
        <f>IF(AND(AND(AND($DX1745=0,$DW1745=0),OR($EC1745=1,$EA1745=1)),SUM($EB1745:$EE1745)&gt;=2),"Technology approach","")</f>
        <v/>
      </c>
      <c r="EP1745" t="b">
        <f>IF(ISNUMBER(BU1745),IF(ABS(BU1745-[5]QC_indicators!$B$2)&gt;3*[5]QC_indicators!$C$2,"C ratio",IF(ISNUMBER(BY1745),IF(ABS(BY1745-[5]QC_indicators!$B$1)&gt;3*[5]QC_indicators!$C$1,"DF","no"))),IF(ISNUMBER(BY1745),IF(ABS(BY1745-[5]QC_indicators!$B$1)&gt;3*[5]QC_indicators!$C$1,"DF","no")))</f>
        <v>0</v>
      </c>
    </row>
    <row r="1746" spans="1:146">
      <c r="BE1746"/>
      <c r="BF1746" s="2"/>
      <c r="CN1746"/>
      <c r="CO1746"/>
      <c r="CP1746"/>
      <c r="CQ1746"/>
      <c r="CR1746"/>
      <c r="CS1746"/>
      <c r="CT1746"/>
      <c r="CU1746"/>
      <c r="CV1746" s="2"/>
      <c r="CX1746"/>
      <c r="DC1746"/>
      <c r="DI1746"/>
      <c r="DJ1746"/>
      <c r="DK1746"/>
      <c r="DL1746"/>
      <c r="DM1746"/>
      <c r="DN1746"/>
      <c r="DT1746"/>
      <c r="DU1746"/>
    </row>
    <row r="1747" spans="1:146">
      <c r="BE1747"/>
      <c r="BF1747" s="2"/>
      <c r="CN1747"/>
      <c r="CO1747"/>
      <c r="CP1747"/>
      <c r="CQ1747"/>
      <c r="CR1747"/>
      <c r="CS1747"/>
      <c r="CT1747"/>
      <c r="CU1747"/>
      <c r="CV1747" s="2"/>
      <c r="CX1747"/>
      <c r="DC1747"/>
      <c r="DI1747"/>
      <c r="DJ1747"/>
      <c r="DK1747"/>
      <c r="DL1747"/>
      <c r="DM1747"/>
      <c r="DN1747"/>
      <c r="DT1747"/>
      <c r="DU1747"/>
    </row>
    <row r="1748" spans="1:146">
      <c r="BE1748"/>
      <c r="BF1748" s="2"/>
      <c r="CN1748"/>
      <c r="CO1748"/>
      <c r="CP1748"/>
      <c r="CQ1748"/>
      <c r="CR1748"/>
      <c r="CS1748"/>
      <c r="CT1748"/>
      <c r="CU1748"/>
      <c r="CV1748" s="2"/>
      <c r="CX1748"/>
      <c r="DC1748"/>
      <c r="DI1748"/>
      <c r="DJ1748"/>
      <c r="DK1748"/>
      <c r="DL1748"/>
      <c r="DM1748"/>
      <c r="DN1748"/>
      <c r="DT1748"/>
      <c r="DU1748"/>
    </row>
    <row r="1749" spans="1:146">
      <c r="BE1749"/>
      <c r="BF1749" s="2"/>
      <c r="CN1749"/>
      <c r="CO1749"/>
      <c r="CP1749"/>
      <c r="CQ1749"/>
      <c r="CR1749"/>
      <c r="CS1749"/>
      <c r="CT1749"/>
      <c r="CU1749"/>
      <c r="CV1749" s="2"/>
      <c r="CX1749"/>
      <c r="DC1749"/>
      <c r="DI1749"/>
      <c r="DJ1749"/>
      <c r="DK1749"/>
      <c r="DL1749"/>
      <c r="DM1749"/>
      <c r="DN1749"/>
      <c r="DT1749"/>
      <c r="DU1749"/>
    </row>
    <row r="1750" spans="1:146">
      <c r="BE1750"/>
      <c r="BF1750" s="2"/>
      <c r="CN1750"/>
      <c r="CO1750"/>
      <c r="CP1750"/>
      <c r="CQ1750"/>
      <c r="CR1750"/>
      <c r="CS1750"/>
      <c r="CT1750"/>
      <c r="CU1750"/>
      <c r="CV1750" s="2"/>
      <c r="CX1750"/>
      <c r="DC1750"/>
      <c r="DI1750"/>
      <c r="DJ1750"/>
      <c r="DK1750"/>
      <c r="DL1750"/>
      <c r="DM1750"/>
      <c r="DN1750"/>
      <c r="DT1750"/>
      <c r="DU1750"/>
    </row>
    <row r="1751" spans="1:146">
      <c r="BE1751"/>
      <c r="BF1751" s="2"/>
      <c r="CN1751"/>
      <c r="CO1751"/>
      <c r="CP1751"/>
      <c r="CQ1751"/>
      <c r="CR1751"/>
      <c r="CS1751"/>
      <c r="CT1751"/>
      <c r="CU1751"/>
      <c r="CV1751" s="2"/>
      <c r="CX1751"/>
      <c r="DC1751"/>
      <c r="DI1751"/>
      <c r="DJ1751"/>
      <c r="DK1751"/>
      <c r="DL1751"/>
      <c r="DM1751"/>
      <c r="DN1751"/>
      <c r="DT1751"/>
      <c r="DU1751"/>
    </row>
    <row r="1752" spans="1:146">
      <c r="BE1752"/>
      <c r="BF1752" s="2"/>
      <c r="CN1752"/>
      <c r="CO1752"/>
      <c r="CP1752"/>
      <c r="CQ1752"/>
      <c r="CR1752"/>
      <c r="CS1752"/>
      <c r="CT1752"/>
      <c r="CU1752"/>
      <c r="CV1752" s="2"/>
      <c r="CX1752"/>
      <c r="DC1752"/>
      <c r="DI1752"/>
      <c r="DJ1752"/>
      <c r="DK1752"/>
      <c r="DL1752"/>
      <c r="DM1752"/>
      <c r="DN1752"/>
      <c r="DT1752"/>
      <c r="DU1752"/>
    </row>
    <row r="1753" spans="1:146">
      <c r="BE1753"/>
      <c r="BF1753" s="2"/>
      <c r="CN1753"/>
      <c r="CO1753"/>
      <c r="CP1753"/>
      <c r="CQ1753"/>
      <c r="CR1753"/>
      <c r="CS1753"/>
      <c r="CT1753"/>
      <c r="CU1753"/>
      <c r="CV1753" s="2"/>
      <c r="CX1753"/>
      <c r="DC1753"/>
      <c r="DI1753"/>
      <c r="DJ1753"/>
      <c r="DK1753"/>
      <c r="DL1753"/>
      <c r="DM1753"/>
      <c r="DN1753"/>
      <c r="DT1753"/>
      <c r="DU1753"/>
    </row>
    <row r="1754" spans="1:146">
      <c r="BE1754"/>
      <c r="BF1754" s="2"/>
      <c r="CN1754"/>
      <c r="CO1754"/>
      <c r="CP1754"/>
      <c r="CQ1754"/>
      <c r="CR1754"/>
      <c r="CS1754"/>
      <c r="CT1754"/>
      <c r="CU1754"/>
      <c r="CV1754" s="2"/>
      <c r="CX1754"/>
      <c r="DC1754"/>
      <c r="DI1754"/>
      <c r="DJ1754"/>
      <c r="DK1754"/>
      <c r="DL1754"/>
      <c r="DM1754"/>
      <c r="DN1754"/>
      <c r="DT1754"/>
      <c r="DU1754"/>
    </row>
    <row r="1755" spans="1:146">
      <c r="BE1755"/>
      <c r="BF1755" s="2"/>
      <c r="CN1755"/>
      <c r="CO1755"/>
      <c r="CP1755"/>
      <c r="CQ1755"/>
      <c r="CR1755"/>
      <c r="CS1755"/>
      <c r="CT1755"/>
      <c r="CU1755"/>
      <c r="CV1755" s="2"/>
      <c r="CX1755"/>
      <c r="DC1755"/>
      <c r="DI1755"/>
      <c r="DJ1755"/>
      <c r="DK1755"/>
      <c r="DL1755"/>
      <c r="DM1755"/>
      <c r="DN1755"/>
      <c r="DT1755"/>
      <c r="DU1755"/>
    </row>
    <row r="1756" spans="1:146">
      <c r="BE1756"/>
      <c r="BF1756" s="2"/>
      <c r="CN1756"/>
      <c r="CO1756"/>
      <c r="CP1756"/>
      <c r="CQ1756"/>
      <c r="CR1756"/>
      <c r="CS1756"/>
      <c r="CT1756"/>
      <c r="CU1756"/>
      <c r="CV1756" s="2"/>
      <c r="CX1756"/>
      <c r="DC1756"/>
      <c r="DI1756"/>
      <c r="DJ1756"/>
      <c r="DK1756"/>
      <c r="DL1756"/>
      <c r="DM1756"/>
      <c r="DN1756"/>
      <c r="DT1756"/>
      <c r="DU1756"/>
    </row>
    <row r="1757" spans="1:146">
      <c r="BE1757"/>
      <c r="BF1757" s="2"/>
      <c r="CN1757"/>
      <c r="CO1757"/>
      <c r="CP1757"/>
      <c r="CQ1757"/>
      <c r="CR1757"/>
      <c r="CS1757"/>
      <c r="CT1757"/>
      <c r="CU1757"/>
      <c r="CV1757" s="2"/>
      <c r="CX1757"/>
      <c r="DC1757"/>
      <c r="DI1757"/>
      <c r="DJ1757"/>
      <c r="DK1757"/>
      <c r="DL1757"/>
      <c r="DM1757"/>
      <c r="DN1757"/>
      <c r="DT1757"/>
      <c r="DU1757"/>
    </row>
    <row r="1758" spans="1:146">
      <c r="BE1758"/>
      <c r="BF1758" s="2"/>
      <c r="CN1758"/>
      <c r="CO1758"/>
      <c r="CP1758"/>
      <c r="CQ1758"/>
      <c r="CR1758"/>
      <c r="CS1758"/>
      <c r="CT1758"/>
      <c r="CU1758"/>
      <c r="CV1758" s="2"/>
      <c r="CX1758"/>
      <c r="DC1758"/>
      <c r="DI1758"/>
      <c r="DJ1758"/>
      <c r="DK1758"/>
      <c r="DL1758"/>
      <c r="DM1758"/>
      <c r="DN1758"/>
      <c r="DT1758"/>
      <c r="DU1758"/>
    </row>
    <row r="1759" spans="1:146">
      <c r="BE1759"/>
      <c r="BF1759" s="2"/>
      <c r="CN1759"/>
      <c r="CO1759"/>
      <c r="CP1759"/>
      <c r="CQ1759"/>
      <c r="CR1759"/>
      <c r="CS1759"/>
      <c r="CT1759"/>
      <c r="CU1759"/>
      <c r="CV1759" s="2"/>
      <c r="CX1759"/>
      <c r="DC1759"/>
      <c r="DI1759"/>
      <c r="DJ1759"/>
      <c r="DK1759"/>
      <c r="DL1759"/>
      <c r="DM1759"/>
      <c r="DN1759"/>
      <c r="DT1759"/>
      <c r="DU1759"/>
    </row>
    <row r="1760" spans="1:146">
      <c r="BE1760"/>
      <c r="BF1760" s="2"/>
      <c r="CN1760"/>
      <c r="CO1760"/>
      <c r="CP1760"/>
      <c r="CQ1760"/>
      <c r="CR1760"/>
      <c r="CS1760"/>
      <c r="CT1760"/>
      <c r="CU1760"/>
      <c r="CV1760" s="2"/>
      <c r="CX1760"/>
      <c r="DC1760"/>
      <c r="DI1760"/>
      <c r="DJ1760"/>
      <c r="DK1760"/>
      <c r="DL1760"/>
      <c r="DM1760"/>
      <c r="DN1760"/>
      <c r="DT1760"/>
      <c r="DU1760"/>
    </row>
    <row r="1761" spans="57:125">
      <c r="BE1761"/>
      <c r="BF1761" s="2"/>
      <c r="CN1761"/>
      <c r="CO1761"/>
      <c r="CP1761"/>
      <c r="CQ1761"/>
      <c r="CR1761"/>
      <c r="CS1761"/>
      <c r="CT1761"/>
      <c r="CU1761"/>
      <c r="CV1761" s="2"/>
      <c r="CX1761"/>
      <c r="DC1761"/>
      <c r="DI1761"/>
      <c r="DJ1761"/>
      <c r="DK1761"/>
      <c r="DL1761"/>
      <c r="DM1761"/>
      <c r="DN1761"/>
      <c r="DT1761"/>
      <c r="DU1761"/>
    </row>
    <row r="1762" spans="57:125">
      <c r="BE1762"/>
      <c r="BF1762" s="2"/>
      <c r="CN1762"/>
      <c r="CO1762"/>
      <c r="CP1762"/>
      <c r="CQ1762"/>
      <c r="CR1762"/>
      <c r="CS1762"/>
      <c r="CT1762"/>
      <c r="CU1762"/>
      <c r="CV1762" s="2"/>
      <c r="CX1762"/>
      <c r="DC1762"/>
      <c r="DI1762"/>
      <c r="DJ1762"/>
      <c r="DK1762"/>
      <c r="DL1762"/>
      <c r="DM1762"/>
      <c r="DN1762"/>
      <c r="DT1762"/>
      <c r="DU1762"/>
    </row>
    <row r="1763" spans="57:125">
      <c r="BE1763"/>
      <c r="BF1763" s="2"/>
      <c r="CN1763"/>
      <c r="CO1763"/>
      <c r="CP1763"/>
      <c r="CQ1763"/>
      <c r="CR1763"/>
      <c r="CS1763"/>
      <c r="CT1763"/>
      <c r="CU1763"/>
      <c r="CV1763" s="2"/>
      <c r="CX1763"/>
      <c r="DC1763"/>
      <c r="DI1763"/>
      <c r="DJ1763"/>
      <c r="DK1763"/>
      <c r="DL1763"/>
      <c r="DM1763"/>
      <c r="DN1763"/>
      <c r="DT1763"/>
      <c r="DU1763"/>
    </row>
    <row r="1764" spans="57:125">
      <c r="BE1764"/>
      <c r="BF1764" s="2"/>
      <c r="CN1764"/>
      <c r="CO1764"/>
      <c r="CP1764"/>
      <c r="CQ1764"/>
      <c r="CR1764"/>
      <c r="CS1764"/>
      <c r="CT1764"/>
      <c r="CU1764"/>
      <c r="CV1764" s="2"/>
      <c r="CX1764"/>
      <c r="DC1764"/>
      <c r="DI1764"/>
      <c r="DJ1764"/>
      <c r="DK1764"/>
      <c r="DL1764"/>
      <c r="DM1764"/>
      <c r="DN1764"/>
      <c r="DT1764"/>
      <c r="DU1764"/>
    </row>
    <row r="1765" spans="57:125">
      <c r="BE1765"/>
      <c r="BF1765" s="2"/>
      <c r="CN1765"/>
      <c r="CO1765"/>
      <c r="CP1765"/>
      <c r="CQ1765"/>
      <c r="CR1765"/>
      <c r="CS1765"/>
      <c r="CT1765"/>
      <c r="CU1765"/>
      <c r="CV1765" s="2"/>
      <c r="CX1765"/>
      <c r="DC1765"/>
      <c r="DI1765"/>
      <c r="DJ1765"/>
      <c r="DK1765"/>
      <c r="DL1765"/>
      <c r="DM1765"/>
      <c r="DN1765"/>
      <c r="DT1765"/>
      <c r="DU1765"/>
    </row>
    <row r="1766" spans="57:125">
      <c r="BE1766"/>
      <c r="BF1766" s="2"/>
      <c r="CN1766"/>
      <c r="CO1766"/>
      <c r="CP1766"/>
      <c r="CQ1766"/>
      <c r="CR1766"/>
      <c r="CS1766"/>
      <c r="CT1766"/>
      <c r="CU1766"/>
      <c r="CV1766" s="2"/>
      <c r="CX1766"/>
      <c r="DC1766"/>
      <c r="DI1766"/>
      <c r="DJ1766"/>
      <c r="DK1766"/>
      <c r="DL1766"/>
      <c r="DM1766"/>
      <c r="DN1766"/>
      <c r="DT1766"/>
      <c r="DU1766"/>
    </row>
    <row r="1767" spans="57:125">
      <c r="BE1767"/>
      <c r="BF1767" s="2"/>
      <c r="CN1767"/>
      <c r="CO1767"/>
      <c r="CP1767"/>
      <c r="CQ1767"/>
      <c r="CR1767"/>
      <c r="CS1767"/>
      <c r="CT1767"/>
      <c r="CU1767"/>
      <c r="CV1767" s="2"/>
      <c r="CX1767"/>
      <c r="DC1767"/>
      <c r="DI1767"/>
      <c r="DJ1767"/>
      <c r="DK1767"/>
      <c r="DL1767"/>
      <c r="DM1767"/>
      <c r="DN1767"/>
      <c r="DT1767"/>
      <c r="DU1767"/>
    </row>
    <row r="1768" spans="57:125">
      <c r="BE1768"/>
      <c r="BF1768" s="2"/>
      <c r="CN1768"/>
      <c r="CO1768"/>
      <c r="CP1768"/>
      <c r="CQ1768"/>
      <c r="CR1768"/>
      <c r="CS1768"/>
      <c r="CT1768"/>
      <c r="CU1768"/>
      <c r="CV1768" s="2"/>
      <c r="CX1768"/>
      <c r="DC1768"/>
      <c r="DI1768"/>
      <c r="DJ1768"/>
      <c r="DK1768"/>
      <c r="DL1768"/>
      <c r="DM1768"/>
      <c r="DN1768"/>
      <c r="DT1768"/>
      <c r="DU1768"/>
    </row>
    <row r="1769" spans="57:125">
      <c r="BE1769"/>
      <c r="BF1769" s="2"/>
      <c r="CN1769"/>
      <c r="CO1769"/>
      <c r="CP1769"/>
      <c r="CQ1769"/>
      <c r="CR1769"/>
      <c r="CS1769"/>
      <c r="CT1769"/>
      <c r="CU1769"/>
      <c r="CV1769" s="2"/>
      <c r="CX1769"/>
      <c r="DC1769"/>
      <c r="DI1769"/>
      <c r="DJ1769"/>
      <c r="DK1769"/>
      <c r="DL1769"/>
      <c r="DM1769"/>
      <c r="DN1769"/>
      <c r="DT1769"/>
      <c r="DU1769"/>
    </row>
    <row r="1770" spans="57:125">
      <c r="BE1770"/>
      <c r="BF1770" s="2"/>
      <c r="CN1770"/>
      <c r="CO1770"/>
      <c r="CP1770"/>
      <c r="CQ1770"/>
      <c r="CR1770"/>
      <c r="CS1770"/>
      <c r="CT1770"/>
      <c r="CU1770"/>
      <c r="CV1770" s="2"/>
      <c r="CX1770"/>
      <c r="DC1770"/>
      <c r="DI1770"/>
      <c r="DJ1770"/>
      <c r="DK1770"/>
      <c r="DL1770"/>
      <c r="DM1770"/>
      <c r="DN1770"/>
      <c r="DT1770"/>
      <c r="DU1770"/>
    </row>
    <row r="1771" spans="57:125">
      <c r="BE1771"/>
      <c r="BF1771" s="2"/>
      <c r="CN1771"/>
      <c r="CO1771"/>
      <c r="CP1771"/>
      <c r="CQ1771"/>
      <c r="CR1771"/>
      <c r="CS1771"/>
      <c r="CT1771"/>
      <c r="CU1771"/>
      <c r="CV1771" s="2"/>
      <c r="CX1771"/>
      <c r="DC1771"/>
      <c r="DI1771"/>
      <c r="DJ1771"/>
      <c r="DK1771"/>
      <c r="DL1771"/>
      <c r="DM1771"/>
      <c r="DN1771"/>
      <c r="DT1771"/>
      <c r="DU1771"/>
    </row>
    <row r="1772" spans="57:125">
      <c r="BE1772"/>
      <c r="BF1772" s="2"/>
      <c r="CN1772"/>
      <c r="CO1772"/>
      <c r="CP1772"/>
      <c r="CQ1772"/>
      <c r="CR1772"/>
      <c r="CS1772"/>
      <c r="CT1772"/>
      <c r="CU1772"/>
      <c r="CV1772" s="2"/>
      <c r="CX1772"/>
      <c r="DC1772"/>
      <c r="DI1772"/>
      <c r="DJ1772"/>
      <c r="DK1772"/>
      <c r="DL1772"/>
      <c r="DM1772"/>
      <c r="DN1772"/>
      <c r="DT1772"/>
      <c r="DU1772"/>
    </row>
    <row r="1773" spans="57:125">
      <c r="BE1773"/>
      <c r="BF1773" s="2"/>
      <c r="CN1773"/>
      <c r="CO1773"/>
      <c r="CP1773"/>
      <c r="CQ1773"/>
      <c r="CR1773"/>
      <c r="CS1773"/>
      <c r="CT1773"/>
      <c r="CU1773"/>
      <c r="CV1773" s="2"/>
      <c r="CX1773"/>
      <c r="DC1773"/>
      <c r="DI1773"/>
      <c r="DJ1773"/>
      <c r="DK1773"/>
      <c r="DL1773"/>
      <c r="DM1773"/>
      <c r="DN1773"/>
      <c r="DT1773"/>
      <c r="DU1773"/>
    </row>
    <row r="1774" spans="57:125">
      <c r="BE1774"/>
      <c r="BF1774" s="2"/>
      <c r="CN1774"/>
      <c r="CO1774"/>
      <c r="CP1774"/>
      <c r="CQ1774"/>
      <c r="CR1774"/>
      <c r="CS1774"/>
      <c r="CT1774"/>
      <c r="CU1774"/>
      <c r="CV1774" s="2"/>
      <c r="CX1774"/>
      <c r="DC1774"/>
      <c r="DI1774"/>
      <c r="DJ1774"/>
      <c r="DK1774"/>
      <c r="DL1774"/>
      <c r="DM1774"/>
      <c r="DN1774"/>
      <c r="DT1774"/>
      <c r="DU1774"/>
    </row>
    <row r="1775" spans="57:125">
      <c r="BE1775"/>
      <c r="BF1775" s="2"/>
      <c r="CN1775"/>
      <c r="CO1775"/>
      <c r="CP1775"/>
      <c r="CQ1775"/>
      <c r="CR1775"/>
      <c r="CS1775"/>
      <c r="CT1775"/>
      <c r="CU1775"/>
      <c r="CV1775" s="2"/>
      <c r="CX1775"/>
      <c r="DC1775"/>
      <c r="DI1775"/>
      <c r="DJ1775"/>
      <c r="DK1775"/>
      <c r="DL1775"/>
      <c r="DM1775"/>
      <c r="DN1775"/>
      <c r="DT1775"/>
      <c r="DU1775"/>
    </row>
    <row r="1776" spans="57:125">
      <c r="BE1776"/>
      <c r="BF1776" s="2"/>
      <c r="CN1776"/>
      <c r="CO1776"/>
      <c r="CP1776"/>
      <c r="CQ1776"/>
      <c r="CR1776"/>
      <c r="CS1776"/>
      <c r="CT1776"/>
      <c r="CU1776"/>
      <c r="CV1776" s="2"/>
      <c r="CX1776"/>
      <c r="DC1776"/>
      <c r="DI1776"/>
      <c r="DJ1776"/>
      <c r="DK1776"/>
      <c r="DL1776"/>
      <c r="DM1776"/>
      <c r="DN1776"/>
      <c r="DT1776"/>
      <c r="DU1776"/>
    </row>
    <row r="1777" spans="57:125">
      <c r="BE1777"/>
      <c r="BF1777" s="2"/>
      <c r="CN1777"/>
      <c r="CO1777"/>
      <c r="CP1777"/>
      <c r="CQ1777"/>
      <c r="CR1777"/>
      <c r="CS1777"/>
      <c r="CT1777"/>
      <c r="CU1777"/>
      <c r="CV1777" s="2"/>
      <c r="CX1777"/>
      <c r="DC1777"/>
      <c r="DI1777"/>
      <c r="DJ1777"/>
      <c r="DK1777"/>
      <c r="DL1777"/>
      <c r="DM1777"/>
      <c r="DN1777"/>
      <c r="DT1777"/>
      <c r="DU1777"/>
    </row>
    <row r="1778" spans="57:125">
      <c r="BE1778"/>
      <c r="BF1778" s="2"/>
      <c r="CN1778"/>
      <c r="CO1778"/>
      <c r="CP1778"/>
      <c r="CQ1778"/>
      <c r="CR1778"/>
      <c r="CS1778"/>
      <c r="CT1778"/>
      <c r="CU1778"/>
      <c r="CV1778" s="2"/>
      <c r="CX1778"/>
      <c r="DC1778"/>
      <c r="DI1778"/>
      <c r="DJ1778"/>
      <c r="DK1778"/>
      <c r="DL1778"/>
      <c r="DM1778"/>
      <c r="DN1778"/>
      <c r="DT1778"/>
      <c r="DU1778"/>
    </row>
    <row r="1779" spans="57:125">
      <c r="BE1779"/>
      <c r="BF1779" s="2"/>
      <c r="CN1779"/>
      <c r="CO1779"/>
      <c r="CP1779"/>
      <c r="CQ1779"/>
      <c r="CR1779"/>
      <c r="CS1779"/>
      <c r="CT1779"/>
      <c r="CU1779"/>
      <c r="CV1779" s="2"/>
      <c r="CX1779"/>
      <c r="DC1779"/>
      <c r="DI1779"/>
      <c r="DJ1779"/>
      <c r="DK1779"/>
      <c r="DL1779"/>
      <c r="DM1779"/>
      <c r="DN1779"/>
      <c r="DT1779"/>
      <c r="DU1779"/>
    </row>
    <row r="1780" spans="57:125">
      <c r="BE1780"/>
      <c r="BF1780" s="2"/>
      <c r="CN1780"/>
      <c r="CO1780"/>
      <c r="CP1780"/>
      <c r="CQ1780"/>
      <c r="CR1780"/>
      <c r="CS1780"/>
      <c r="CT1780"/>
      <c r="CU1780"/>
      <c r="CV1780" s="2"/>
      <c r="CX1780"/>
      <c r="DC1780"/>
      <c r="DI1780"/>
      <c r="DJ1780"/>
      <c r="DK1780"/>
      <c r="DL1780"/>
      <c r="DM1780"/>
      <c r="DN1780"/>
      <c r="DT1780"/>
      <c r="DU1780"/>
    </row>
    <row r="1781" spans="57:125">
      <c r="BE1781"/>
      <c r="BF1781" s="2"/>
      <c r="CN1781"/>
      <c r="CO1781"/>
      <c r="CP1781"/>
      <c r="CQ1781"/>
      <c r="CR1781"/>
      <c r="CS1781"/>
      <c r="CT1781"/>
      <c r="CU1781"/>
      <c r="CV1781" s="2"/>
      <c r="CX1781"/>
      <c r="DC1781"/>
      <c r="DI1781"/>
      <c r="DJ1781"/>
      <c r="DK1781"/>
      <c r="DL1781"/>
      <c r="DM1781"/>
      <c r="DN1781"/>
      <c r="DT1781"/>
      <c r="DU1781"/>
    </row>
    <row r="1782" spans="57:125">
      <c r="BE1782"/>
      <c r="BF1782" s="2"/>
      <c r="CN1782"/>
      <c r="CO1782"/>
      <c r="CP1782"/>
      <c r="CQ1782"/>
      <c r="CR1782"/>
      <c r="CS1782"/>
      <c r="CT1782"/>
      <c r="CU1782"/>
      <c r="CV1782" s="2"/>
      <c r="CX1782"/>
      <c r="DC1782"/>
      <c r="DI1782"/>
      <c r="DJ1782"/>
      <c r="DK1782"/>
      <c r="DL1782"/>
      <c r="DM1782"/>
      <c r="DN1782"/>
      <c r="DT1782"/>
      <c r="DU1782"/>
    </row>
    <row r="1783" spans="57:125">
      <c r="BE1783"/>
      <c r="BF1783" s="2"/>
      <c r="CN1783"/>
      <c r="CO1783"/>
      <c r="CP1783"/>
      <c r="CQ1783"/>
      <c r="CR1783"/>
      <c r="CS1783"/>
      <c r="CT1783"/>
      <c r="CU1783"/>
      <c r="CV1783" s="2"/>
      <c r="CX1783"/>
      <c r="DC1783"/>
      <c r="DI1783"/>
      <c r="DJ1783"/>
      <c r="DK1783"/>
      <c r="DL1783"/>
      <c r="DM1783"/>
      <c r="DN1783"/>
      <c r="DT1783"/>
      <c r="DU1783"/>
    </row>
    <row r="1784" spans="57:125">
      <c r="BE1784"/>
      <c r="BF1784" s="2"/>
      <c r="CN1784"/>
      <c r="CO1784"/>
      <c r="CP1784"/>
      <c r="CQ1784"/>
      <c r="CR1784"/>
      <c r="CS1784"/>
      <c r="CT1784"/>
      <c r="CU1784"/>
      <c r="CV1784" s="2"/>
      <c r="CX1784"/>
      <c r="DC1784"/>
      <c r="DI1784"/>
      <c r="DJ1784"/>
      <c r="DK1784"/>
      <c r="DL1784"/>
      <c r="DM1784"/>
      <c r="DN1784"/>
      <c r="DT1784"/>
      <c r="DU1784"/>
    </row>
    <row r="1785" spans="57:125">
      <c r="BE1785"/>
      <c r="BF1785" s="2"/>
      <c r="CN1785"/>
      <c r="CO1785"/>
      <c r="CP1785"/>
      <c r="CQ1785"/>
      <c r="CR1785"/>
      <c r="CS1785"/>
      <c r="CT1785"/>
      <c r="CU1785"/>
      <c r="CV1785" s="2"/>
      <c r="CX1785"/>
      <c r="DC1785"/>
      <c r="DI1785"/>
      <c r="DJ1785"/>
      <c r="DK1785"/>
      <c r="DL1785"/>
      <c r="DM1785"/>
      <c r="DN1785"/>
      <c r="DT1785"/>
      <c r="DU1785"/>
    </row>
    <row r="1786" spans="57:125">
      <c r="BE1786"/>
      <c r="BF1786" s="2"/>
      <c r="CN1786"/>
      <c r="CO1786"/>
      <c r="CP1786"/>
      <c r="CQ1786"/>
      <c r="CR1786"/>
      <c r="CS1786"/>
      <c r="CT1786"/>
      <c r="CU1786"/>
      <c r="CV1786" s="2"/>
      <c r="CX1786"/>
      <c r="DC1786"/>
      <c r="DI1786"/>
      <c r="DJ1786"/>
      <c r="DK1786"/>
      <c r="DL1786"/>
      <c r="DM1786"/>
      <c r="DN1786"/>
      <c r="DT1786"/>
      <c r="DU1786"/>
    </row>
    <row r="1787" spans="57:125">
      <c r="BE1787"/>
      <c r="BF1787" s="2"/>
      <c r="CN1787"/>
      <c r="CO1787"/>
      <c r="CP1787"/>
      <c r="CQ1787"/>
      <c r="CR1787"/>
      <c r="CS1787"/>
      <c r="CT1787"/>
      <c r="CU1787"/>
      <c r="CV1787" s="2"/>
      <c r="CX1787"/>
      <c r="DC1787"/>
      <c r="DI1787"/>
      <c r="DJ1787"/>
      <c r="DK1787"/>
      <c r="DL1787"/>
      <c r="DM1787"/>
      <c r="DN1787"/>
      <c r="DT1787"/>
      <c r="DU1787"/>
    </row>
    <row r="1788" spans="57:125">
      <c r="BE1788"/>
      <c r="BF1788" s="2"/>
      <c r="CN1788"/>
      <c r="CO1788"/>
      <c r="CP1788"/>
      <c r="CQ1788"/>
      <c r="CR1788"/>
      <c r="CS1788"/>
      <c r="CT1788"/>
      <c r="CU1788"/>
      <c r="CV1788" s="2"/>
      <c r="CX1788"/>
      <c r="DC1788"/>
      <c r="DI1788"/>
      <c r="DJ1788"/>
      <c r="DK1788"/>
      <c r="DL1788"/>
      <c r="DM1788"/>
      <c r="DN1788"/>
      <c r="DT1788"/>
      <c r="DU1788"/>
    </row>
    <row r="1789" spans="57:125">
      <c r="BE1789"/>
      <c r="BF1789" s="2"/>
      <c r="CN1789"/>
      <c r="CO1789"/>
      <c r="CP1789"/>
      <c r="CQ1789"/>
      <c r="CR1789"/>
      <c r="CS1789"/>
      <c r="CT1789"/>
      <c r="CU1789"/>
      <c r="CV1789" s="2"/>
      <c r="CX1789"/>
      <c r="DC1789"/>
      <c r="DI1789"/>
      <c r="DJ1789"/>
      <c r="DK1789"/>
      <c r="DL1789"/>
      <c r="DM1789"/>
      <c r="DN1789"/>
      <c r="DT1789"/>
      <c r="DU1789"/>
    </row>
    <row r="1790" spans="57:125">
      <c r="BE1790"/>
      <c r="BF1790" s="2"/>
      <c r="CN1790"/>
      <c r="CO1790"/>
      <c r="CP1790"/>
      <c r="CQ1790"/>
      <c r="CR1790"/>
      <c r="CS1790"/>
      <c r="CT1790"/>
      <c r="CU1790"/>
      <c r="CV1790" s="2"/>
      <c r="CX1790"/>
      <c r="DC1790"/>
      <c r="DI1790"/>
      <c r="DJ1790"/>
      <c r="DK1790"/>
      <c r="DL1790"/>
      <c r="DM1790"/>
      <c r="DN1790"/>
      <c r="DT1790"/>
      <c r="DU1790"/>
    </row>
    <row r="1791" spans="57:125">
      <c r="BE1791"/>
      <c r="BF1791" s="2"/>
      <c r="CN1791"/>
      <c r="CO1791"/>
      <c r="CP1791"/>
      <c r="CQ1791"/>
      <c r="CR1791"/>
      <c r="CS1791"/>
      <c r="CT1791"/>
      <c r="CU1791"/>
      <c r="CV1791" s="2"/>
      <c r="CX1791"/>
      <c r="DC1791"/>
      <c r="DI1791"/>
      <c r="DJ1791"/>
      <c r="DK1791"/>
      <c r="DL1791"/>
      <c r="DM1791"/>
      <c r="DN1791"/>
      <c r="DT1791"/>
      <c r="DU1791"/>
    </row>
    <row r="1792" spans="57:125">
      <c r="BE1792"/>
      <c r="BF1792" s="2"/>
      <c r="CN1792"/>
      <c r="CO1792"/>
      <c r="CP1792"/>
      <c r="CQ1792"/>
      <c r="CR1792"/>
      <c r="CS1792"/>
      <c r="CT1792"/>
      <c r="CU1792"/>
      <c r="CV1792" s="2"/>
      <c r="CX1792"/>
      <c r="DC1792"/>
      <c r="DI1792"/>
      <c r="DJ1792"/>
      <c r="DK1792"/>
      <c r="DL1792"/>
      <c r="DM1792"/>
      <c r="DN1792"/>
      <c r="DT1792"/>
      <c r="DU1792"/>
    </row>
    <row r="1793" spans="57:125">
      <c r="BE1793"/>
      <c r="BF1793" s="2"/>
      <c r="CN1793"/>
      <c r="CO1793"/>
      <c r="CP1793"/>
      <c r="CQ1793"/>
      <c r="CR1793"/>
      <c r="CS1793"/>
      <c r="CT1793"/>
      <c r="CU1793"/>
      <c r="CV1793" s="2"/>
      <c r="CX1793"/>
      <c r="DC1793"/>
      <c r="DI1793"/>
      <c r="DJ1793"/>
      <c r="DK1793"/>
      <c r="DL1793"/>
      <c r="DM1793"/>
      <c r="DN1793"/>
      <c r="DT1793"/>
      <c r="DU1793"/>
    </row>
    <row r="1794" spans="57:125">
      <c r="BE1794"/>
      <c r="BF1794" s="2"/>
      <c r="CN1794"/>
      <c r="CO1794"/>
      <c r="CP1794"/>
      <c r="CQ1794"/>
      <c r="CR1794"/>
      <c r="CS1794"/>
      <c r="CT1794"/>
      <c r="CU1794"/>
      <c r="CV1794" s="2"/>
      <c r="CX1794"/>
      <c r="DC1794"/>
      <c r="DI1794"/>
      <c r="DJ1794"/>
      <c r="DK1794"/>
      <c r="DL1794"/>
      <c r="DM1794"/>
      <c r="DN1794"/>
      <c r="DT1794"/>
      <c r="DU1794"/>
    </row>
    <row r="1795" spans="57:125">
      <c r="BE1795"/>
      <c r="BF1795" s="2"/>
      <c r="CN1795"/>
      <c r="CO1795"/>
      <c r="CP1795"/>
      <c r="CQ1795"/>
      <c r="CR1795"/>
      <c r="CS1795"/>
      <c r="CT1795"/>
      <c r="CU1795"/>
      <c r="CV1795" s="2"/>
      <c r="CX1795"/>
      <c r="DC1795"/>
      <c r="DI1795"/>
      <c r="DJ1795"/>
      <c r="DK1795"/>
      <c r="DL1795"/>
      <c r="DM1795"/>
      <c r="DN1795"/>
      <c r="DT1795"/>
      <c r="DU1795"/>
    </row>
    <row r="1796" spans="57:125">
      <c r="BE1796"/>
      <c r="BF1796" s="2"/>
      <c r="CN1796"/>
      <c r="CO1796"/>
      <c r="CP1796"/>
      <c r="CQ1796"/>
      <c r="CR1796"/>
      <c r="CS1796"/>
      <c r="CT1796"/>
      <c r="CU1796"/>
      <c r="CV1796" s="2"/>
      <c r="CX1796"/>
      <c r="DC1796"/>
      <c r="DI1796"/>
      <c r="DJ1796"/>
      <c r="DK1796"/>
      <c r="DL1796"/>
      <c r="DM1796"/>
      <c r="DN1796"/>
      <c r="DT1796"/>
      <c r="DU1796"/>
    </row>
    <row r="1797" spans="57:125">
      <c r="BE1797"/>
      <c r="BF1797" s="2"/>
      <c r="CN1797"/>
      <c r="CO1797"/>
      <c r="CP1797"/>
      <c r="CQ1797"/>
      <c r="CR1797"/>
      <c r="CS1797"/>
      <c r="CT1797"/>
      <c r="CU1797"/>
      <c r="CV1797" s="2"/>
      <c r="CX1797"/>
      <c r="DC1797"/>
      <c r="DI1797"/>
      <c r="DJ1797"/>
      <c r="DK1797"/>
      <c r="DL1797"/>
      <c r="DM1797"/>
      <c r="DN1797"/>
      <c r="DT1797"/>
      <c r="DU1797"/>
    </row>
    <row r="1798" spans="57:125">
      <c r="BE1798"/>
      <c r="BF1798" s="2"/>
      <c r="CN1798"/>
      <c r="CO1798"/>
      <c r="CP1798"/>
      <c r="CQ1798"/>
      <c r="CR1798"/>
      <c r="CS1798"/>
      <c r="CT1798"/>
      <c r="CU1798"/>
      <c r="CV1798" s="2"/>
      <c r="CX1798"/>
      <c r="DC1798"/>
      <c r="DI1798"/>
      <c r="DJ1798"/>
      <c r="DK1798"/>
      <c r="DL1798"/>
      <c r="DM1798"/>
      <c r="DN1798"/>
      <c r="DT1798"/>
      <c r="DU1798"/>
    </row>
    <row r="1799" spans="57:125">
      <c r="BE1799"/>
      <c r="BF1799" s="2"/>
      <c r="CN1799"/>
      <c r="CO1799"/>
      <c r="CP1799"/>
      <c r="CQ1799"/>
      <c r="CR1799"/>
      <c r="CS1799"/>
      <c r="CT1799"/>
      <c r="CU1799"/>
      <c r="CV1799" s="2"/>
      <c r="CX1799"/>
      <c r="DC1799"/>
      <c r="DI1799"/>
      <c r="DJ1799"/>
      <c r="DK1799"/>
      <c r="DL1799"/>
      <c r="DM1799"/>
      <c r="DN1799"/>
      <c r="DT1799"/>
      <c r="DU1799"/>
    </row>
    <row r="1800" spans="57:125">
      <c r="BE1800"/>
      <c r="BF1800" s="2"/>
      <c r="CN1800"/>
      <c r="CO1800"/>
      <c r="CP1800"/>
      <c r="CQ1800"/>
      <c r="CR1800"/>
      <c r="CS1800"/>
      <c r="CT1800"/>
      <c r="CU1800"/>
      <c r="CV1800" s="2"/>
      <c r="CX1800"/>
      <c r="DC1800"/>
      <c r="DI1800"/>
      <c r="DJ1800"/>
      <c r="DK1800"/>
      <c r="DL1800"/>
      <c r="DM1800"/>
      <c r="DN1800"/>
      <c r="DT1800"/>
      <c r="DU1800"/>
    </row>
    <row r="1801" spans="57:125">
      <c r="BE1801"/>
      <c r="BF1801" s="2"/>
      <c r="CN1801"/>
      <c r="CO1801"/>
      <c r="CP1801"/>
      <c r="CQ1801"/>
      <c r="CR1801"/>
      <c r="CS1801"/>
      <c r="CT1801"/>
      <c r="CU1801"/>
      <c r="CV1801" s="2"/>
      <c r="CX1801"/>
      <c r="DC1801"/>
      <c r="DI1801"/>
      <c r="DJ1801"/>
      <c r="DK1801"/>
      <c r="DL1801"/>
      <c r="DM1801"/>
      <c r="DN1801"/>
      <c r="DT1801"/>
      <c r="DU1801"/>
    </row>
    <row r="1802" spans="57:125">
      <c r="BE1802"/>
      <c r="BF1802" s="2"/>
      <c r="CN1802"/>
      <c r="CO1802"/>
      <c r="CP1802"/>
      <c r="CQ1802"/>
      <c r="CR1802"/>
      <c r="CS1802"/>
      <c r="CT1802"/>
      <c r="CU1802"/>
      <c r="CV1802" s="2"/>
      <c r="CX1802"/>
      <c r="DC1802"/>
      <c r="DI1802"/>
      <c r="DJ1802"/>
      <c r="DK1802"/>
      <c r="DL1802"/>
      <c r="DM1802"/>
      <c r="DN1802"/>
      <c r="DT1802"/>
      <c r="DU1802"/>
    </row>
    <row r="1803" spans="57:125">
      <c r="BE1803"/>
      <c r="BF1803" s="2"/>
      <c r="CN1803"/>
      <c r="CO1803"/>
      <c r="CP1803"/>
      <c r="CQ1803"/>
      <c r="CR1803"/>
      <c r="CS1803"/>
      <c r="CT1803"/>
      <c r="CU1803"/>
      <c r="CV1803" s="2"/>
      <c r="CX1803"/>
      <c r="DC1803"/>
      <c r="DI1803"/>
      <c r="DJ1803"/>
      <c r="DK1803"/>
      <c r="DL1803"/>
      <c r="DM1803"/>
      <c r="DN1803"/>
      <c r="DT1803"/>
      <c r="DU1803"/>
    </row>
    <row r="1804" spans="57:125">
      <c r="BE1804"/>
      <c r="BF1804" s="2"/>
      <c r="CN1804"/>
      <c r="CO1804"/>
      <c r="CP1804"/>
      <c r="CQ1804"/>
      <c r="CR1804"/>
      <c r="CS1804"/>
      <c r="CT1804"/>
      <c r="CU1804"/>
      <c r="CV1804" s="2"/>
      <c r="CX1804"/>
      <c r="DC1804"/>
      <c r="DI1804"/>
      <c r="DJ1804"/>
      <c r="DK1804"/>
      <c r="DL1804"/>
      <c r="DM1804"/>
      <c r="DN1804"/>
      <c r="DT1804"/>
      <c r="DU1804"/>
    </row>
    <row r="1805" spans="57:125">
      <c r="BE1805"/>
      <c r="BF1805" s="2"/>
      <c r="CN1805"/>
      <c r="CO1805"/>
      <c r="CP1805"/>
      <c r="CQ1805"/>
      <c r="CR1805"/>
      <c r="CS1805"/>
      <c r="CT1805"/>
      <c r="CU1805"/>
      <c r="CV1805" s="2"/>
      <c r="CX1805"/>
      <c r="DC1805"/>
      <c r="DI1805"/>
      <c r="DJ1805"/>
      <c r="DK1805"/>
      <c r="DL1805"/>
      <c r="DM1805"/>
      <c r="DN1805"/>
      <c r="DT1805"/>
      <c r="DU1805"/>
    </row>
    <row r="1806" spans="57:125">
      <c r="BE1806"/>
      <c r="BF1806" s="2"/>
      <c r="CN1806"/>
      <c r="CO1806"/>
      <c r="CP1806"/>
      <c r="CQ1806"/>
      <c r="CR1806"/>
      <c r="CS1806"/>
      <c r="CT1806"/>
      <c r="CU1806"/>
      <c r="CV1806" s="2"/>
      <c r="CX1806"/>
      <c r="DC1806"/>
      <c r="DI1806"/>
      <c r="DJ1806"/>
      <c r="DK1806"/>
      <c r="DL1806"/>
      <c r="DM1806"/>
      <c r="DN1806"/>
      <c r="DT1806"/>
      <c r="DU1806"/>
    </row>
    <row r="1807" spans="57:125">
      <c r="BE1807"/>
      <c r="BF1807" s="2"/>
      <c r="CN1807"/>
      <c r="CO1807"/>
      <c r="CP1807"/>
      <c r="CQ1807"/>
      <c r="CR1807"/>
      <c r="CS1807"/>
      <c r="CT1807"/>
      <c r="CU1807"/>
      <c r="CV1807" s="2"/>
      <c r="CX1807"/>
      <c r="DC1807"/>
      <c r="DI1807"/>
      <c r="DJ1807"/>
      <c r="DK1807"/>
      <c r="DL1807"/>
      <c r="DM1807"/>
      <c r="DN1807"/>
      <c r="DT1807"/>
      <c r="DU1807"/>
    </row>
    <row r="1808" spans="57:125">
      <c r="BE1808"/>
      <c r="BF1808" s="2"/>
      <c r="CN1808"/>
      <c r="CO1808"/>
      <c r="CP1808"/>
      <c r="CQ1808"/>
      <c r="CR1808"/>
      <c r="CS1808"/>
      <c r="CT1808"/>
      <c r="CU1808"/>
      <c r="CV1808" s="2"/>
      <c r="CX1808"/>
      <c r="DC1808"/>
      <c r="DI1808"/>
      <c r="DJ1808"/>
      <c r="DK1808"/>
      <c r="DL1808"/>
      <c r="DM1808"/>
      <c r="DN1808"/>
      <c r="DT1808"/>
      <c r="DU1808"/>
    </row>
    <row r="1809" spans="57:125">
      <c r="BE1809"/>
      <c r="BF1809" s="2"/>
      <c r="CN1809"/>
      <c r="CO1809"/>
      <c r="CP1809"/>
      <c r="CQ1809"/>
      <c r="CR1809"/>
      <c r="CS1809"/>
      <c r="CT1809"/>
      <c r="CU1809"/>
      <c r="CV1809" s="2"/>
      <c r="CX1809"/>
      <c r="DC1809"/>
      <c r="DI1809"/>
      <c r="DJ1809"/>
      <c r="DK1809"/>
      <c r="DL1809"/>
      <c r="DM1809"/>
      <c r="DN1809"/>
      <c r="DT1809"/>
      <c r="DU1809"/>
    </row>
    <row r="1810" spans="57:125">
      <c r="BE1810"/>
      <c r="BF1810" s="2"/>
      <c r="CN1810"/>
      <c r="CO1810"/>
      <c r="CP1810"/>
      <c r="CQ1810"/>
      <c r="CR1810"/>
      <c r="CS1810"/>
      <c r="CT1810"/>
      <c r="CU1810"/>
      <c r="CV1810" s="2"/>
      <c r="CX1810"/>
      <c r="DC1810"/>
      <c r="DI1810"/>
      <c r="DJ1810"/>
      <c r="DK1810"/>
      <c r="DL1810"/>
      <c r="DM1810"/>
      <c r="DN1810"/>
      <c r="DT1810"/>
      <c r="DU1810"/>
    </row>
    <row r="1811" spans="57:125">
      <c r="BE1811"/>
      <c r="BF1811" s="2"/>
      <c r="CN1811"/>
      <c r="CO1811"/>
      <c r="CP1811"/>
      <c r="CQ1811"/>
      <c r="CR1811"/>
      <c r="CS1811"/>
      <c r="CT1811"/>
      <c r="CU1811"/>
      <c r="CV1811" s="2"/>
      <c r="CX1811"/>
      <c r="DC1811"/>
      <c r="DI1811"/>
      <c r="DJ1811"/>
      <c r="DK1811"/>
      <c r="DL1811"/>
      <c r="DM1811"/>
      <c r="DN1811"/>
      <c r="DT1811"/>
      <c r="DU1811"/>
    </row>
    <row r="1812" spans="57:125">
      <c r="BE1812"/>
      <c r="BF1812" s="2"/>
      <c r="CN1812"/>
      <c r="CO1812"/>
      <c r="CP1812"/>
      <c r="CQ1812"/>
      <c r="CR1812"/>
      <c r="CS1812"/>
      <c r="CT1812"/>
      <c r="CU1812"/>
      <c r="CV1812" s="2"/>
      <c r="CX1812"/>
      <c r="DC1812"/>
      <c r="DI1812"/>
      <c r="DJ1812"/>
      <c r="DK1812"/>
      <c r="DL1812"/>
      <c r="DM1812"/>
      <c r="DN1812"/>
      <c r="DT1812"/>
      <c r="DU1812"/>
    </row>
    <row r="1813" spans="57:125">
      <c r="BE1813"/>
      <c r="BF1813" s="2"/>
      <c r="CN1813"/>
      <c r="CO1813"/>
      <c r="CP1813"/>
      <c r="CQ1813"/>
      <c r="CR1813"/>
      <c r="CS1813"/>
      <c r="CT1813"/>
      <c r="CU1813"/>
      <c r="CV1813" s="2"/>
      <c r="CX1813"/>
      <c r="DC1813"/>
      <c r="DI1813"/>
      <c r="DJ1813"/>
      <c r="DK1813"/>
      <c r="DL1813"/>
      <c r="DM1813"/>
      <c r="DN1813"/>
      <c r="DT1813"/>
      <c r="DU1813"/>
    </row>
    <row r="1814" spans="57:125">
      <c r="BE1814"/>
      <c r="BF1814" s="2"/>
      <c r="CN1814"/>
      <c r="CO1814"/>
      <c r="CP1814"/>
      <c r="CQ1814"/>
      <c r="CR1814"/>
      <c r="CS1814"/>
      <c r="CT1814"/>
      <c r="CU1814"/>
      <c r="CV1814" s="2"/>
      <c r="CX1814"/>
      <c r="DC1814"/>
      <c r="DI1814"/>
      <c r="DJ1814"/>
      <c r="DK1814"/>
      <c r="DL1814"/>
      <c r="DM1814"/>
      <c r="DN1814"/>
      <c r="DT1814"/>
      <c r="DU1814"/>
    </row>
    <row r="1815" spans="57:125">
      <c r="BE1815"/>
      <c r="BF1815" s="2"/>
      <c r="CN1815"/>
      <c r="CO1815"/>
      <c r="CP1815"/>
      <c r="CQ1815"/>
      <c r="CR1815"/>
      <c r="CS1815"/>
      <c r="CT1815"/>
      <c r="CU1815"/>
      <c r="CV1815" s="2"/>
      <c r="CX1815"/>
      <c r="DC1815"/>
      <c r="DI1815"/>
      <c r="DJ1815"/>
      <c r="DK1815"/>
      <c r="DL1815"/>
      <c r="DM1815"/>
      <c r="DN1815"/>
      <c r="DT1815"/>
      <c r="DU1815"/>
    </row>
    <row r="1816" spans="57:125">
      <c r="BE1816"/>
      <c r="BF1816" s="2"/>
      <c r="CN1816"/>
      <c r="CO1816"/>
      <c r="CP1816"/>
      <c r="CQ1816"/>
      <c r="CR1816"/>
      <c r="CS1816"/>
      <c r="CT1816"/>
      <c r="CU1816"/>
      <c r="CV1816" s="2"/>
      <c r="CX1816"/>
      <c r="DC1816"/>
      <c r="DI1816"/>
      <c r="DJ1816"/>
      <c r="DK1816"/>
      <c r="DL1816"/>
      <c r="DM1816"/>
      <c r="DN1816"/>
      <c r="DT1816"/>
      <c r="DU1816"/>
    </row>
    <row r="1817" spans="57:125">
      <c r="BE1817"/>
      <c r="BF1817" s="2"/>
      <c r="CN1817"/>
      <c r="CO1817"/>
      <c r="CP1817"/>
      <c r="CQ1817"/>
      <c r="CR1817"/>
      <c r="CS1817"/>
      <c r="CT1817"/>
      <c r="CU1817"/>
      <c r="CV1817" s="2"/>
      <c r="CX1817"/>
      <c r="DC1817"/>
      <c r="DI1817"/>
      <c r="DJ1817"/>
      <c r="DK1817"/>
      <c r="DL1817"/>
      <c r="DM1817"/>
      <c r="DN1817"/>
      <c r="DT1817"/>
      <c r="DU1817"/>
    </row>
    <row r="1818" spans="57:125">
      <c r="BE1818"/>
      <c r="BF1818" s="2"/>
      <c r="CN1818"/>
      <c r="CO1818"/>
      <c r="CP1818"/>
      <c r="CQ1818"/>
      <c r="CR1818"/>
      <c r="CS1818"/>
      <c r="CT1818"/>
      <c r="CU1818"/>
      <c r="CV1818" s="2"/>
      <c r="CX1818"/>
      <c r="DC1818"/>
      <c r="DI1818"/>
      <c r="DJ1818"/>
      <c r="DK1818"/>
      <c r="DL1818"/>
      <c r="DM1818"/>
      <c r="DN1818"/>
      <c r="DT1818"/>
      <c r="DU1818"/>
    </row>
    <row r="1819" spans="57:125">
      <c r="BE1819"/>
      <c r="BF1819" s="2"/>
      <c r="CN1819"/>
      <c r="CO1819"/>
      <c r="CP1819"/>
      <c r="CQ1819"/>
      <c r="CR1819"/>
      <c r="CS1819"/>
      <c r="CT1819"/>
      <c r="CU1819"/>
      <c r="CV1819" s="2"/>
      <c r="CX1819"/>
      <c r="DC1819"/>
      <c r="DI1819"/>
      <c r="DJ1819"/>
      <c r="DK1819"/>
      <c r="DL1819"/>
      <c r="DM1819"/>
      <c r="DN1819"/>
      <c r="DT1819"/>
      <c r="DU1819"/>
    </row>
    <row r="1820" spans="57:125">
      <c r="BE1820"/>
      <c r="BF1820" s="2"/>
      <c r="CN1820"/>
      <c r="CO1820"/>
      <c r="CP1820"/>
      <c r="CQ1820"/>
      <c r="CR1820"/>
      <c r="CS1820"/>
      <c r="CT1820"/>
      <c r="CU1820"/>
      <c r="CV1820" s="2"/>
      <c r="CX1820"/>
      <c r="DC1820"/>
      <c r="DI1820"/>
      <c r="DJ1820"/>
      <c r="DK1820"/>
      <c r="DL1820"/>
      <c r="DM1820"/>
      <c r="DN1820"/>
      <c r="DT1820"/>
      <c r="DU1820"/>
    </row>
    <row r="1821" spans="57:125">
      <c r="BE1821"/>
      <c r="BF1821" s="2"/>
      <c r="CN1821"/>
      <c r="CO1821"/>
      <c r="CP1821"/>
      <c r="CQ1821"/>
      <c r="CR1821"/>
      <c r="CS1821"/>
      <c r="CT1821"/>
      <c r="CU1821"/>
      <c r="CV1821" s="2"/>
      <c r="CX1821"/>
      <c r="DC1821"/>
      <c r="DI1821"/>
      <c r="DJ1821"/>
      <c r="DK1821"/>
      <c r="DL1821"/>
      <c r="DM1821"/>
      <c r="DN1821"/>
      <c r="DT1821"/>
      <c r="DU1821"/>
    </row>
    <row r="1822" spans="57:125">
      <c r="BE1822"/>
      <c r="BF1822" s="2"/>
      <c r="CN1822"/>
      <c r="CO1822"/>
      <c r="CP1822"/>
      <c r="CQ1822"/>
      <c r="CR1822"/>
      <c r="CS1822"/>
      <c r="CT1822"/>
      <c r="CU1822"/>
      <c r="CV1822" s="2"/>
      <c r="CX1822"/>
      <c r="DC1822"/>
      <c r="DI1822"/>
      <c r="DJ1822"/>
      <c r="DK1822"/>
      <c r="DL1822"/>
      <c r="DM1822"/>
      <c r="DN1822"/>
      <c r="DT1822"/>
      <c r="DU1822"/>
    </row>
    <row r="1823" spans="57:125">
      <c r="BE1823"/>
      <c r="BF1823" s="2"/>
      <c r="CN1823"/>
      <c r="CO1823"/>
      <c r="CP1823"/>
      <c r="CQ1823"/>
      <c r="CR1823"/>
      <c r="CS1823"/>
      <c r="CT1823"/>
      <c r="CU1823"/>
      <c r="CV1823" s="2"/>
      <c r="CX1823"/>
      <c r="DC1823"/>
      <c r="DI1823"/>
      <c r="DJ1823"/>
      <c r="DK1823"/>
      <c r="DL1823"/>
      <c r="DM1823"/>
      <c r="DN1823"/>
      <c r="DT1823"/>
      <c r="DU1823"/>
    </row>
    <row r="1824" spans="57:125">
      <c r="BE1824"/>
      <c r="BF1824" s="2"/>
      <c r="CN1824"/>
      <c r="CO1824"/>
      <c r="CP1824"/>
      <c r="CQ1824"/>
      <c r="CR1824"/>
      <c r="CS1824"/>
      <c r="CT1824"/>
      <c r="CU1824"/>
      <c r="CV1824" s="2"/>
      <c r="CX1824"/>
      <c r="DC1824"/>
      <c r="DI1824"/>
      <c r="DJ1824"/>
      <c r="DK1824"/>
      <c r="DL1824"/>
      <c r="DM1824"/>
      <c r="DN1824"/>
      <c r="DT1824"/>
      <c r="DU1824"/>
    </row>
    <row r="1825" spans="57:125">
      <c r="BE1825"/>
      <c r="BF1825" s="2"/>
      <c r="CN1825"/>
      <c r="CO1825"/>
      <c r="CP1825"/>
      <c r="CQ1825"/>
      <c r="CR1825"/>
      <c r="CS1825"/>
      <c r="CT1825"/>
      <c r="CU1825"/>
      <c r="CV1825" s="2"/>
      <c r="CX1825"/>
      <c r="DC1825"/>
      <c r="DI1825"/>
      <c r="DJ1825"/>
      <c r="DK1825"/>
      <c r="DL1825"/>
      <c r="DM1825"/>
      <c r="DN1825"/>
      <c r="DT1825"/>
      <c r="DU1825"/>
    </row>
    <row r="1826" spans="57:125">
      <c r="BE1826"/>
      <c r="BF1826" s="2"/>
      <c r="CN1826"/>
      <c r="CO1826"/>
      <c r="CP1826"/>
      <c r="CQ1826"/>
      <c r="CR1826"/>
      <c r="CS1826"/>
      <c r="CT1826"/>
      <c r="CU1826"/>
      <c r="CV1826" s="2"/>
      <c r="CX1826"/>
      <c r="DC1826"/>
      <c r="DI1826"/>
      <c r="DJ1826"/>
      <c r="DK1826"/>
      <c r="DL1826"/>
      <c r="DM1826"/>
      <c r="DN1826"/>
      <c r="DT1826"/>
      <c r="DU1826"/>
    </row>
    <row r="1827" spans="57:125">
      <c r="BE1827"/>
      <c r="BF1827" s="2"/>
      <c r="CN1827"/>
      <c r="CO1827"/>
      <c r="CP1827"/>
      <c r="CQ1827"/>
      <c r="CR1827"/>
      <c r="CS1827"/>
      <c r="CT1827"/>
      <c r="CU1827"/>
      <c r="CV1827" s="2"/>
      <c r="CX1827"/>
      <c r="DC1827"/>
      <c r="DI1827"/>
      <c r="DJ1827"/>
      <c r="DK1827"/>
      <c r="DL1827"/>
      <c r="DM1827"/>
      <c r="DN1827"/>
      <c r="DT1827"/>
      <c r="DU1827"/>
    </row>
    <row r="1828" spans="57:125">
      <c r="BE1828"/>
      <c r="BF1828" s="2"/>
      <c r="CN1828"/>
      <c r="CO1828"/>
      <c r="CP1828"/>
      <c r="CQ1828"/>
      <c r="CR1828"/>
      <c r="CS1828"/>
      <c r="CT1828"/>
      <c r="CU1828"/>
      <c r="CV1828" s="2"/>
      <c r="CX1828"/>
      <c r="DC1828"/>
      <c r="DI1828"/>
      <c r="DJ1828"/>
      <c r="DK1828"/>
      <c r="DL1828"/>
      <c r="DM1828"/>
      <c r="DN1828"/>
      <c r="DT1828"/>
      <c r="DU1828"/>
    </row>
    <row r="1829" spans="57:125">
      <c r="BE1829"/>
      <c r="BF1829" s="2"/>
      <c r="CN1829"/>
      <c r="CO1829"/>
      <c r="CP1829"/>
      <c r="CQ1829"/>
      <c r="CR1829"/>
      <c r="CS1829"/>
      <c r="CT1829"/>
      <c r="CU1829"/>
      <c r="CV1829" s="2"/>
      <c r="CX1829"/>
      <c r="DC1829"/>
      <c r="DI1829"/>
      <c r="DJ1829"/>
      <c r="DK1829"/>
      <c r="DL1829"/>
      <c r="DM1829"/>
      <c r="DN1829"/>
      <c r="DT1829"/>
      <c r="DU1829"/>
    </row>
    <row r="1830" spans="57:125">
      <c r="BE1830"/>
      <c r="BF1830" s="2"/>
      <c r="CN1830"/>
      <c r="CO1830"/>
      <c r="CP1830"/>
      <c r="CQ1830"/>
      <c r="CR1830"/>
      <c r="CS1830"/>
      <c r="CT1830"/>
      <c r="CU1830"/>
      <c r="CV1830" s="2"/>
      <c r="CX1830"/>
      <c r="DC1830"/>
      <c r="DI1830"/>
      <c r="DJ1830"/>
      <c r="DK1830"/>
      <c r="DL1830"/>
      <c r="DM1830"/>
      <c r="DN1830"/>
      <c r="DT1830"/>
      <c r="DU1830"/>
    </row>
    <row r="1831" spans="57:125">
      <c r="BE1831"/>
      <c r="BF1831" s="2"/>
      <c r="CN1831"/>
      <c r="CO1831"/>
      <c r="CP1831"/>
      <c r="CQ1831"/>
      <c r="CR1831"/>
      <c r="CS1831"/>
      <c r="CT1831"/>
      <c r="CU1831"/>
      <c r="CV1831" s="2"/>
      <c r="CX1831"/>
      <c r="DC1831"/>
      <c r="DI1831"/>
      <c r="DJ1831"/>
      <c r="DK1831"/>
      <c r="DL1831"/>
      <c r="DM1831"/>
      <c r="DN1831"/>
      <c r="DT1831"/>
      <c r="DU1831"/>
    </row>
    <row r="1832" spans="57:125">
      <c r="BE1832"/>
      <c r="BF1832" s="2"/>
      <c r="CN1832"/>
      <c r="CO1832"/>
      <c r="CP1832"/>
      <c r="CQ1832"/>
      <c r="CR1832"/>
      <c r="CS1832"/>
      <c r="CT1832"/>
      <c r="CU1832"/>
      <c r="CV1832" s="2"/>
      <c r="CX1832"/>
      <c r="DC1832"/>
      <c r="DI1832"/>
      <c r="DJ1832"/>
      <c r="DK1832"/>
      <c r="DL1832"/>
      <c r="DM1832"/>
      <c r="DN1832"/>
      <c r="DT1832"/>
      <c r="DU1832"/>
    </row>
    <row r="1833" spans="57:125">
      <c r="BE1833"/>
      <c r="BF1833" s="2"/>
      <c r="CN1833"/>
      <c r="CO1833"/>
      <c r="CP1833"/>
      <c r="CQ1833"/>
      <c r="CR1833"/>
      <c r="CS1833"/>
      <c r="CT1833"/>
      <c r="CU1833"/>
      <c r="CV1833" s="2"/>
      <c r="CX1833"/>
      <c r="DC1833"/>
      <c r="DI1833"/>
      <c r="DJ1833"/>
      <c r="DK1833"/>
      <c r="DL1833"/>
      <c r="DM1833"/>
      <c r="DN1833"/>
      <c r="DT1833"/>
      <c r="DU1833"/>
    </row>
    <row r="1834" spans="57:125">
      <c r="BE1834"/>
      <c r="BF1834" s="2"/>
      <c r="CN1834"/>
      <c r="CO1834"/>
      <c r="CP1834"/>
      <c r="CQ1834"/>
      <c r="CR1834"/>
      <c r="CS1834"/>
      <c r="CT1834"/>
      <c r="CU1834"/>
      <c r="CV1834" s="2"/>
      <c r="CX1834"/>
      <c r="DC1834"/>
      <c r="DI1834"/>
      <c r="DJ1834"/>
      <c r="DK1834"/>
      <c r="DL1834"/>
      <c r="DM1834"/>
      <c r="DN1834"/>
      <c r="DT1834"/>
      <c r="DU1834"/>
    </row>
    <row r="1835" spans="57:125">
      <c r="BE1835"/>
      <c r="BF1835" s="2"/>
      <c r="CN1835"/>
      <c r="CO1835"/>
      <c r="CP1835"/>
      <c r="CQ1835"/>
      <c r="CR1835"/>
      <c r="CS1835"/>
      <c r="CT1835"/>
      <c r="CU1835"/>
      <c r="CV1835" s="2"/>
      <c r="CX1835"/>
      <c r="DC1835"/>
      <c r="DI1835"/>
      <c r="DJ1835"/>
      <c r="DK1835"/>
      <c r="DL1835"/>
      <c r="DM1835"/>
      <c r="DN1835"/>
      <c r="DT1835"/>
      <c r="DU1835"/>
    </row>
    <row r="1836" spans="57:125">
      <c r="BE1836"/>
      <c r="BF1836" s="2"/>
      <c r="CN1836"/>
      <c r="CO1836"/>
      <c r="CP1836"/>
      <c r="CQ1836"/>
      <c r="CR1836"/>
      <c r="CS1836"/>
      <c r="CT1836"/>
      <c r="CU1836"/>
      <c r="CV1836" s="2"/>
      <c r="CX1836"/>
      <c r="DC1836"/>
      <c r="DI1836"/>
      <c r="DJ1836"/>
      <c r="DK1836"/>
      <c r="DL1836"/>
      <c r="DM1836"/>
      <c r="DN1836"/>
      <c r="DT1836"/>
      <c r="DU1836"/>
    </row>
    <row r="1837" spans="57:125">
      <c r="BE1837"/>
      <c r="BF1837" s="2"/>
      <c r="CN1837"/>
      <c r="CO1837"/>
      <c r="CP1837"/>
      <c r="CQ1837"/>
      <c r="CR1837"/>
      <c r="CS1837"/>
      <c r="CT1837"/>
      <c r="CU1837"/>
      <c r="CV1837" s="2"/>
      <c r="CX1837"/>
      <c r="DC1837"/>
      <c r="DI1837"/>
      <c r="DJ1837"/>
      <c r="DK1837"/>
      <c r="DL1837"/>
      <c r="DM1837"/>
      <c r="DN1837"/>
      <c r="DT1837"/>
      <c r="DU1837"/>
    </row>
    <row r="1838" spans="57:125">
      <c r="BE1838"/>
      <c r="BF1838" s="2"/>
      <c r="CN1838"/>
      <c r="CO1838"/>
      <c r="CP1838"/>
      <c r="CQ1838"/>
      <c r="CR1838"/>
      <c r="CS1838"/>
      <c r="CT1838"/>
      <c r="CU1838"/>
      <c r="CV1838" s="2"/>
      <c r="CX1838"/>
      <c r="DC1838"/>
      <c r="DI1838"/>
      <c r="DJ1838"/>
      <c r="DK1838"/>
      <c r="DL1838"/>
      <c r="DM1838"/>
      <c r="DN1838"/>
      <c r="DT1838"/>
      <c r="DU1838"/>
    </row>
    <row r="1839" spans="57:125">
      <c r="BE1839"/>
      <c r="BF1839" s="2"/>
      <c r="CN1839"/>
      <c r="CO1839"/>
      <c r="CP1839"/>
      <c r="CQ1839"/>
      <c r="CR1839"/>
      <c r="CS1839"/>
      <c r="CT1839"/>
      <c r="CU1839"/>
      <c r="CV1839" s="2"/>
      <c r="CX1839"/>
      <c r="DC1839"/>
      <c r="DI1839"/>
      <c r="DJ1839"/>
      <c r="DK1839"/>
      <c r="DL1839"/>
      <c r="DM1839"/>
      <c r="DN1839"/>
      <c r="DT1839"/>
      <c r="DU1839"/>
    </row>
    <row r="1840" spans="57:125">
      <c r="BE1840"/>
      <c r="BF1840" s="2"/>
      <c r="CN1840"/>
      <c r="CO1840"/>
      <c r="CP1840"/>
      <c r="CQ1840"/>
      <c r="CR1840"/>
      <c r="CS1840"/>
      <c r="CT1840"/>
      <c r="CU1840"/>
      <c r="CV1840" s="2"/>
      <c r="CX1840"/>
      <c r="DC1840"/>
      <c r="DI1840"/>
      <c r="DJ1840"/>
      <c r="DK1840"/>
      <c r="DL1840"/>
      <c r="DM1840"/>
      <c r="DN1840"/>
      <c r="DT1840"/>
      <c r="DU1840"/>
    </row>
    <row r="1841" spans="57:125">
      <c r="BE1841"/>
      <c r="BF1841" s="2"/>
      <c r="CN1841"/>
      <c r="CO1841"/>
      <c r="CP1841"/>
      <c r="CQ1841"/>
      <c r="CR1841"/>
      <c r="CS1841"/>
      <c r="CT1841"/>
      <c r="CU1841"/>
      <c r="CV1841" s="2"/>
      <c r="CX1841"/>
      <c r="DC1841"/>
      <c r="DI1841"/>
      <c r="DJ1841"/>
      <c r="DK1841"/>
      <c r="DL1841"/>
      <c r="DM1841"/>
      <c r="DN1841"/>
      <c r="DT1841"/>
      <c r="DU1841"/>
    </row>
    <row r="1842" spans="57:125">
      <c r="BE1842"/>
      <c r="BF1842" s="2"/>
      <c r="CN1842"/>
      <c r="CO1842"/>
      <c r="CP1842"/>
      <c r="CQ1842"/>
      <c r="CR1842"/>
      <c r="CS1842"/>
      <c r="CT1842"/>
      <c r="CU1842"/>
      <c r="CV1842" s="2"/>
      <c r="CX1842"/>
      <c r="DC1842"/>
      <c r="DI1842"/>
      <c r="DJ1842"/>
      <c r="DK1842"/>
      <c r="DL1842"/>
      <c r="DM1842"/>
      <c r="DN1842"/>
      <c r="DT1842"/>
      <c r="DU1842"/>
    </row>
    <row r="1843" spans="57:125">
      <c r="BE1843"/>
      <c r="BF1843" s="2"/>
      <c r="CN1843"/>
      <c r="CO1843"/>
      <c r="CP1843"/>
      <c r="CQ1843"/>
      <c r="CR1843"/>
      <c r="CS1843"/>
      <c r="CT1843"/>
      <c r="CU1843"/>
      <c r="CV1843" s="2"/>
      <c r="CX1843"/>
      <c r="DC1843"/>
      <c r="DI1843"/>
      <c r="DJ1843"/>
      <c r="DK1843"/>
      <c r="DL1843"/>
      <c r="DM1843"/>
      <c r="DN1843"/>
      <c r="DT1843"/>
      <c r="DU1843"/>
    </row>
    <row r="1844" spans="57:125">
      <c r="BE1844"/>
      <c r="BF1844" s="2"/>
      <c r="CN1844"/>
      <c r="CO1844"/>
      <c r="CP1844"/>
      <c r="CQ1844"/>
      <c r="CR1844"/>
      <c r="CS1844"/>
      <c r="CT1844"/>
      <c r="CU1844"/>
      <c r="CV1844" s="2"/>
      <c r="CX1844"/>
      <c r="DC1844"/>
      <c r="DI1844"/>
      <c r="DJ1844"/>
      <c r="DK1844"/>
      <c r="DL1844"/>
      <c r="DM1844"/>
      <c r="DN1844"/>
      <c r="DT1844"/>
      <c r="DU1844"/>
    </row>
    <row r="1845" spans="57:125">
      <c r="BE1845"/>
      <c r="BF1845" s="2"/>
      <c r="CN1845"/>
      <c r="CO1845"/>
      <c r="CP1845"/>
      <c r="CQ1845"/>
      <c r="CR1845"/>
      <c r="CS1845"/>
      <c r="CT1845"/>
      <c r="CU1845"/>
      <c r="CV1845" s="2"/>
      <c r="CX1845"/>
      <c r="DC1845"/>
      <c r="DI1845"/>
      <c r="DJ1845"/>
      <c r="DK1845"/>
      <c r="DL1845"/>
      <c r="DM1845"/>
      <c r="DN1845"/>
      <c r="DT1845"/>
      <c r="DU1845"/>
    </row>
    <row r="1846" spans="57:125">
      <c r="BE1846"/>
      <c r="BF1846" s="2"/>
      <c r="CN1846"/>
      <c r="CO1846"/>
      <c r="CP1846"/>
      <c r="CQ1846"/>
      <c r="CR1846"/>
      <c r="CS1846"/>
      <c r="CT1846"/>
      <c r="CU1846"/>
      <c r="CV1846" s="2"/>
      <c r="CX1846"/>
      <c r="DC1846"/>
      <c r="DI1846"/>
      <c r="DJ1846"/>
      <c r="DK1846"/>
      <c r="DL1846"/>
      <c r="DM1846"/>
      <c r="DN1846"/>
      <c r="DT1846"/>
      <c r="DU1846"/>
    </row>
    <row r="1847" spans="57:125">
      <c r="BE1847"/>
      <c r="BF1847" s="2"/>
      <c r="CN1847"/>
      <c r="CO1847"/>
      <c r="CP1847"/>
      <c r="CQ1847"/>
      <c r="CR1847"/>
      <c r="CS1847"/>
      <c r="CT1847"/>
      <c r="CU1847"/>
      <c r="CV1847" s="2"/>
      <c r="CX1847"/>
      <c r="DC1847"/>
      <c r="DI1847"/>
      <c r="DJ1847"/>
      <c r="DK1847"/>
      <c r="DL1847"/>
      <c r="DM1847"/>
      <c r="DN1847"/>
      <c r="DT1847"/>
      <c r="DU1847"/>
    </row>
    <row r="1848" spans="57:125">
      <c r="BE1848"/>
      <c r="BF1848" s="2"/>
      <c r="CN1848"/>
      <c r="CO1848"/>
      <c r="CP1848"/>
      <c r="CQ1848"/>
      <c r="CR1848"/>
      <c r="CS1848"/>
      <c r="CT1848"/>
      <c r="CU1848"/>
      <c r="CV1848" s="2"/>
      <c r="CX1848"/>
      <c r="DC1848"/>
      <c r="DI1848"/>
      <c r="DJ1848"/>
      <c r="DK1848"/>
      <c r="DL1848"/>
      <c r="DM1848"/>
      <c r="DN1848"/>
      <c r="DT1848"/>
      <c r="DU1848"/>
    </row>
    <row r="1849" spans="57:125">
      <c r="BE1849"/>
      <c r="BF1849" s="2"/>
      <c r="CN1849"/>
      <c r="CO1849"/>
      <c r="CP1849"/>
      <c r="CQ1849"/>
      <c r="CR1849"/>
      <c r="CS1849"/>
      <c r="CT1849"/>
      <c r="CU1849"/>
      <c r="CV1849" s="2"/>
      <c r="CX1849"/>
      <c r="DC1849"/>
      <c r="DI1849"/>
      <c r="DJ1849"/>
      <c r="DK1849"/>
      <c r="DL1849"/>
      <c r="DM1849"/>
      <c r="DN1849"/>
      <c r="DT1849"/>
      <c r="DU1849"/>
    </row>
    <row r="1850" spans="57:125">
      <c r="BE1850"/>
      <c r="BF1850" s="2"/>
      <c r="CN1850"/>
      <c r="CO1850"/>
      <c r="CP1850"/>
      <c r="CQ1850"/>
      <c r="CR1850"/>
      <c r="CS1850"/>
      <c r="CT1850"/>
      <c r="CU1850"/>
      <c r="CV1850" s="2"/>
      <c r="CX1850"/>
      <c r="DC1850"/>
      <c r="DI1850"/>
      <c r="DJ1850"/>
      <c r="DK1850"/>
      <c r="DL1850"/>
      <c r="DM1850"/>
      <c r="DN1850"/>
      <c r="DT1850"/>
      <c r="DU1850"/>
    </row>
    <row r="1851" spans="57:125">
      <c r="BE1851"/>
      <c r="BF1851" s="2"/>
      <c r="CN1851"/>
      <c r="CO1851"/>
      <c r="CP1851"/>
      <c r="CQ1851"/>
      <c r="CR1851"/>
      <c r="CS1851"/>
      <c r="CT1851"/>
      <c r="CU1851"/>
      <c r="CV1851" s="2"/>
      <c r="CX1851"/>
      <c r="DC1851"/>
      <c r="DI1851"/>
      <c r="DJ1851"/>
      <c r="DK1851"/>
      <c r="DL1851"/>
      <c r="DM1851"/>
      <c r="DN1851"/>
      <c r="DT1851"/>
      <c r="DU1851"/>
    </row>
    <row r="1852" spans="57:125">
      <c r="BE1852"/>
      <c r="BF1852" s="2"/>
      <c r="CN1852"/>
      <c r="CO1852"/>
      <c r="CP1852"/>
      <c r="CQ1852"/>
      <c r="CR1852"/>
      <c r="CS1852"/>
      <c r="CT1852"/>
      <c r="CU1852"/>
      <c r="CV1852" s="2"/>
      <c r="CX1852"/>
      <c r="DC1852"/>
      <c r="DI1852"/>
      <c r="DJ1852"/>
      <c r="DK1852"/>
      <c r="DL1852"/>
      <c r="DM1852"/>
      <c r="DN1852"/>
      <c r="DT1852"/>
      <c r="DU1852"/>
    </row>
    <row r="1853" spans="57:125">
      <c r="BE1853"/>
      <c r="BF1853" s="2"/>
      <c r="CN1853"/>
      <c r="CO1853"/>
      <c r="CP1853"/>
      <c r="CQ1853"/>
      <c r="CR1853"/>
      <c r="CS1853"/>
      <c r="CT1853"/>
      <c r="CU1853"/>
      <c r="CV1853" s="2"/>
      <c r="CX1853"/>
      <c r="DC1853"/>
      <c r="DI1853"/>
      <c r="DJ1853"/>
      <c r="DK1853"/>
      <c r="DL1853"/>
      <c r="DM1853"/>
      <c r="DN1853"/>
      <c r="DT1853"/>
      <c r="DU1853"/>
    </row>
    <row r="1854" spans="57:125">
      <c r="BE1854"/>
      <c r="BF1854" s="2"/>
      <c r="CN1854"/>
      <c r="CO1854"/>
      <c r="CP1854"/>
      <c r="CQ1854"/>
      <c r="CR1854"/>
      <c r="CS1854"/>
      <c r="CT1854"/>
      <c r="CU1854"/>
      <c r="CV1854" s="2"/>
      <c r="CX1854"/>
      <c r="DC1854"/>
      <c r="DI1854"/>
      <c r="DJ1854"/>
      <c r="DK1854"/>
      <c r="DL1854"/>
      <c r="DM1854"/>
      <c r="DN1854"/>
      <c r="DT1854"/>
      <c r="DU1854"/>
    </row>
    <row r="1855" spans="57:125">
      <c r="BE1855"/>
      <c r="BF1855" s="2"/>
      <c r="CN1855"/>
      <c r="CO1855"/>
      <c r="CP1855"/>
      <c r="CQ1855"/>
      <c r="CR1855"/>
      <c r="CS1855"/>
      <c r="CT1855"/>
      <c r="CU1855"/>
      <c r="CV1855" s="2"/>
      <c r="CX1855"/>
      <c r="DC1855"/>
      <c r="DI1855"/>
      <c r="DJ1855"/>
      <c r="DK1855"/>
      <c r="DL1855"/>
      <c r="DM1855"/>
      <c r="DN1855"/>
      <c r="DT1855"/>
      <c r="DU1855"/>
    </row>
    <row r="1856" spans="57:125">
      <c r="BE1856"/>
      <c r="BF1856" s="2"/>
      <c r="CN1856"/>
      <c r="CO1856"/>
      <c r="CP1856"/>
      <c r="CQ1856"/>
      <c r="CR1856"/>
      <c r="CS1856"/>
      <c r="CT1856"/>
      <c r="CU1856"/>
      <c r="CV1856" s="2"/>
      <c r="CX1856"/>
      <c r="DC1856"/>
      <c r="DI1856"/>
      <c r="DJ1856"/>
      <c r="DK1856"/>
      <c r="DL1856"/>
      <c r="DM1856"/>
      <c r="DN1856"/>
      <c r="DT1856"/>
      <c r="DU1856"/>
    </row>
    <row r="1857" spans="57:125">
      <c r="BE1857"/>
      <c r="BF1857" s="2"/>
      <c r="CN1857"/>
      <c r="CO1857"/>
      <c r="CP1857"/>
      <c r="CQ1857"/>
      <c r="CR1857"/>
      <c r="CS1857"/>
      <c r="CT1857"/>
      <c r="CU1857"/>
      <c r="CV1857" s="2"/>
      <c r="CX1857"/>
      <c r="DC1857"/>
      <c r="DI1857"/>
      <c r="DJ1857"/>
      <c r="DK1857"/>
      <c r="DL1857"/>
      <c r="DM1857"/>
      <c r="DN1857"/>
      <c r="DT1857"/>
      <c r="DU1857"/>
    </row>
    <row r="1858" spans="57:125">
      <c r="BE1858"/>
      <c r="BF1858" s="2"/>
      <c r="CN1858"/>
      <c r="CO1858"/>
      <c r="CP1858"/>
      <c r="CQ1858"/>
      <c r="CR1858"/>
      <c r="CS1858"/>
      <c r="CT1858"/>
      <c r="CU1858"/>
      <c r="CV1858" s="2"/>
      <c r="CX1858"/>
      <c r="DC1858"/>
      <c r="DI1858"/>
      <c r="DJ1858"/>
      <c r="DK1858"/>
      <c r="DL1858"/>
      <c r="DM1858"/>
      <c r="DN1858"/>
      <c r="DT1858"/>
      <c r="DU1858"/>
    </row>
    <row r="1859" spans="57:125">
      <c r="BE1859"/>
      <c r="BF1859" s="2"/>
      <c r="CN1859"/>
      <c r="CO1859"/>
      <c r="CP1859"/>
      <c r="CQ1859"/>
      <c r="CR1859"/>
      <c r="CS1859"/>
      <c r="CT1859"/>
      <c r="CU1859"/>
      <c r="CV1859" s="2"/>
      <c r="CX1859"/>
      <c r="DC1859"/>
      <c r="DI1859"/>
      <c r="DJ1859"/>
      <c r="DK1859"/>
      <c r="DL1859"/>
      <c r="DM1859"/>
      <c r="DN1859"/>
      <c r="DT1859"/>
      <c r="DU1859"/>
    </row>
    <row r="1860" spans="57:125">
      <c r="BE1860"/>
      <c r="BF1860" s="2"/>
      <c r="CN1860"/>
      <c r="CO1860"/>
      <c r="CP1860"/>
      <c r="CQ1860"/>
      <c r="CR1860"/>
      <c r="CS1860"/>
      <c r="CT1860"/>
      <c r="CU1860"/>
      <c r="CV1860" s="2"/>
      <c r="CX1860"/>
      <c r="DC1860"/>
      <c r="DI1860"/>
      <c r="DJ1860"/>
      <c r="DK1860"/>
      <c r="DL1860"/>
      <c r="DM1860"/>
      <c r="DN1860"/>
      <c r="DT1860"/>
      <c r="DU1860"/>
    </row>
    <row r="1861" spans="57:125">
      <c r="BE1861"/>
      <c r="BF1861" s="2"/>
      <c r="CN1861"/>
      <c r="CO1861"/>
      <c r="CP1861"/>
      <c r="CQ1861"/>
      <c r="CR1861"/>
      <c r="CS1861"/>
      <c r="CT1861"/>
      <c r="CU1861"/>
      <c r="CV1861" s="2"/>
      <c r="CX1861"/>
      <c r="DC1861"/>
      <c r="DI1861"/>
      <c r="DJ1861"/>
      <c r="DK1861"/>
      <c r="DL1861"/>
      <c r="DM1861"/>
      <c r="DN1861"/>
      <c r="DT1861"/>
      <c r="DU1861"/>
    </row>
    <row r="1862" spans="57:125">
      <c r="BE1862"/>
      <c r="BF1862" s="2"/>
      <c r="CN1862"/>
      <c r="CO1862"/>
      <c r="CP1862"/>
      <c r="CQ1862"/>
      <c r="CR1862"/>
      <c r="CS1862"/>
      <c r="CT1862"/>
      <c r="CU1862"/>
      <c r="CV1862" s="2"/>
      <c r="CX1862"/>
      <c r="DC1862"/>
      <c r="DI1862"/>
      <c r="DJ1862"/>
      <c r="DK1862"/>
      <c r="DL1862"/>
      <c r="DM1862"/>
      <c r="DN1862"/>
      <c r="DT1862"/>
      <c r="DU1862"/>
    </row>
    <row r="1863" spans="57:125">
      <c r="BE1863"/>
      <c r="BF1863" s="2"/>
      <c r="CN1863"/>
      <c r="CO1863"/>
      <c r="CP1863"/>
      <c r="CQ1863"/>
      <c r="CR1863"/>
      <c r="CS1863"/>
      <c r="CT1863"/>
      <c r="CU1863"/>
      <c r="CV1863" s="2"/>
      <c r="CX1863"/>
      <c r="DC1863"/>
      <c r="DI1863"/>
      <c r="DJ1863"/>
      <c r="DK1863"/>
      <c r="DL1863"/>
      <c r="DM1863"/>
      <c r="DN1863"/>
      <c r="DT1863"/>
      <c r="DU1863"/>
    </row>
    <row r="1864" spans="57:125">
      <c r="BE1864"/>
      <c r="BF1864" s="2"/>
      <c r="CN1864"/>
      <c r="CO1864"/>
      <c r="CP1864"/>
      <c r="CQ1864"/>
      <c r="CR1864"/>
      <c r="CS1864"/>
      <c r="CT1864"/>
      <c r="CU1864"/>
      <c r="CV1864" s="2"/>
      <c r="CX1864"/>
      <c r="DC1864"/>
      <c r="DI1864"/>
      <c r="DJ1864"/>
      <c r="DK1864"/>
      <c r="DL1864"/>
      <c r="DM1864"/>
      <c r="DN1864"/>
      <c r="DT1864"/>
      <c r="DU1864"/>
    </row>
    <row r="1865" spans="57:125">
      <c r="BE1865"/>
      <c r="BF1865" s="2"/>
      <c r="CN1865"/>
      <c r="CO1865"/>
      <c r="CP1865"/>
      <c r="CQ1865"/>
      <c r="CR1865"/>
      <c r="CS1865"/>
      <c r="CT1865"/>
      <c r="CU1865"/>
      <c r="CV1865" s="2"/>
      <c r="CX1865"/>
      <c r="DC1865"/>
      <c r="DI1865"/>
      <c r="DJ1865"/>
      <c r="DK1865"/>
      <c r="DL1865"/>
      <c r="DM1865"/>
      <c r="DN1865"/>
      <c r="DT1865"/>
      <c r="DU1865"/>
    </row>
    <row r="1866" spans="57:125">
      <c r="BE1866"/>
      <c r="BF1866" s="2"/>
      <c r="CN1866"/>
      <c r="CO1866"/>
      <c r="CP1866"/>
      <c r="CQ1866"/>
      <c r="CR1866"/>
      <c r="CS1866"/>
      <c r="CT1866"/>
      <c r="CU1866"/>
      <c r="CV1866" s="2"/>
      <c r="CX1866"/>
      <c r="DC1866"/>
      <c r="DI1866"/>
      <c r="DJ1866"/>
      <c r="DK1866"/>
      <c r="DL1866"/>
      <c r="DM1866"/>
      <c r="DN1866"/>
      <c r="DT1866"/>
      <c r="DU1866"/>
    </row>
    <row r="1867" spans="57:125">
      <c r="BE1867"/>
      <c r="BF1867" s="2"/>
      <c r="CN1867"/>
      <c r="CO1867"/>
      <c r="CP1867"/>
      <c r="CQ1867"/>
      <c r="CR1867"/>
      <c r="CS1867"/>
      <c r="CT1867"/>
      <c r="CU1867"/>
      <c r="CV1867" s="2"/>
      <c r="CX1867"/>
      <c r="DC1867"/>
      <c r="DI1867"/>
      <c r="DJ1867"/>
      <c r="DK1867"/>
      <c r="DL1867"/>
      <c r="DM1867"/>
      <c r="DN1867"/>
      <c r="DT1867"/>
      <c r="DU1867"/>
    </row>
    <row r="1868" spans="57:125">
      <c r="BE1868"/>
      <c r="BF1868" s="2"/>
      <c r="CN1868"/>
      <c r="CO1868"/>
      <c r="CP1868"/>
      <c r="CQ1868"/>
      <c r="CR1868"/>
      <c r="CS1868"/>
      <c r="CT1868"/>
      <c r="CU1868"/>
      <c r="CV1868" s="2"/>
      <c r="CX1868"/>
      <c r="DC1868"/>
      <c r="DI1868"/>
      <c r="DJ1868"/>
      <c r="DK1868"/>
      <c r="DL1868"/>
      <c r="DM1868"/>
      <c r="DN1868"/>
      <c r="DT1868"/>
      <c r="DU1868"/>
    </row>
    <row r="1869" spans="57:125">
      <c r="BE1869"/>
      <c r="BF1869" s="2"/>
      <c r="CN1869"/>
      <c r="CO1869"/>
      <c r="CP1869"/>
      <c r="CQ1869"/>
      <c r="CR1869"/>
      <c r="CS1869"/>
      <c r="CT1869"/>
      <c r="CU1869"/>
      <c r="CV1869" s="2"/>
      <c r="CX1869"/>
      <c r="DC1869"/>
      <c r="DI1869"/>
      <c r="DJ1869"/>
      <c r="DK1869"/>
      <c r="DL1869"/>
      <c r="DM1869"/>
      <c r="DN1869"/>
      <c r="DT1869"/>
      <c r="DU1869"/>
    </row>
    <row r="1870" spans="57:125">
      <c r="BE1870"/>
      <c r="BF1870" s="2"/>
      <c r="CN1870"/>
      <c r="CO1870"/>
      <c r="CP1870"/>
      <c r="CQ1870"/>
      <c r="CR1870"/>
      <c r="CS1870"/>
      <c r="CT1870"/>
      <c r="CU1870"/>
      <c r="CV1870" s="2"/>
      <c r="CX1870"/>
      <c r="DC1870"/>
      <c r="DI1870"/>
      <c r="DJ1870"/>
      <c r="DK1870"/>
      <c r="DL1870"/>
      <c r="DM1870"/>
      <c r="DN1870"/>
      <c r="DT1870"/>
      <c r="DU1870"/>
    </row>
    <row r="1871" spans="57:125">
      <c r="BE1871"/>
      <c r="BF1871" s="2"/>
      <c r="CN1871"/>
      <c r="CO1871"/>
      <c r="CP1871"/>
      <c r="CQ1871"/>
      <c r="CR1871"/>
      <c r="CS1871"/>
      <c r="CT1871"/>
      <c r="CU1871"/>
      <c r="CV1871" s="2"/>
      <c r="CX1871"/>
      <c r="DC1871"/>
      <c r="DI1871"/>
      <c r="DJ1871"/>
      <c r="DK1871"/>
      <c r="DL1871"/>
      <c r="DM1871"/>
      <c r="DN1871"/>
      <c r="DT1871"/>
      <c r="DU1871"/>
    </row>
    <row r="1872" spans="57:125">
      <c r="BE1872"/>
      <c r="BF1872" s="2"/>
      <c r="CN1872"/>
      <c r="CO1872"/>
      <c r="CP1872"/>
      <c r="CQ1872"/>
      <c r="CR1872"/>
      <c r="CS1872"/>
      <c r="CT1872"/>
      <c r="CU1872"/>
      <c r="CV1872" s="2"/>
      <c r="CX1872"/>
      <c r="DC1872"/>
      <c r="DI1872"/>
      <c r="DJ1872"/>
      <c r="DK1872"/>
      <c r="DL1872"/>
      <c r="DM1872"/>
      <c r="DN1872"/>
      <c r="DT1872"/>
      <c r="DU1872"/>
    </row>
    <row r="1873" spans="57:125">
      <c r="BE1873"/>
      <c r="BF1873" s="2"/>
      <c r="CN1873"/>
      <c r="CO1873"/>
      <c r="CP1873"/>
      <c r="CQ1873"/>
      <c r="CR1873"/>
      <c r="CS1873"/>
      <c r="CT1873"/>
      <c r="CU1873"/>
      <c r="CV1873" s="2"/>
      <c r="CX1873"/>
      <c r="DC1873"/>
      <c r="DI1873"/>
      <c r="DJ1873"/>
      <c r="DK1873"/>
      <c r="DL1873"/>
      <c r="DM1873"/>
      <c r="DN1873"/>
      <c r="DT1873"/>
      <c r="DU1873"/>
    </row>
    <row r="1874" spans="57:125">
      <c r="BE1874"/>
      <c r="BF1874" s="2"/>
      <c r="CN1874"/>
      <c r="CO1874"/>
      <c r="CP1874"/>
      <c r="CQ1874"/>
      <c r="CR1874"/>
      <c r="CS1874"/>
      <c r="CT1874"/>
      <c r="CU1874"/>
      <c r="CV1874" s="2"/>
      <c r="CX1874"/>
      <c r="DC1874"/>
      <c r="DI1874"/>
      <c r="DJ1874"/>
      <c r="DK1874"/>
      <c r="DL1874"/>
      <c r="DM1874"/>
      <c r="DN1874"/>
      <c r="DT1874"/>
      <c r="DU1874"/>
    </row>
    <row r="1875" spans="57:125">
      <c r="BE1875"/>
      <c r="BF1875" s="2"/>
      <c r="CN1875"/>
      <c r="CO1875"/>
      <c r="CP1875"/>
      <c r="CQ1875"/>
      <c r="CR1875"/>
      <c r="CS1875"/>
      <c r="CT1875"/>
      <c r="CU1875"/>
      <c r="CV1875" s="2"/>
      <c r="CX1875"/>
      <c r="DC1875"/>
      <c r="DI1875"/>
      <c r="DJ1875"/>
      <c r="DK1875"/>
      <c r="DL1875"/>
      <c r="DM1875"/>
      <c r="DN1875"/>
      <c r="DT1875"/>
      <c r="DU1875"/>
    </row>
    <row r="1876" spans="57:125">
      <c r="BE1876"/>
      <c r="BF1876" s="2"/>
      <c r="CN1876"/>
      <c r="CO1876"/>
      <c r="CP1876"/>
      <c r="CQ1876"/>
      <c r="CR1876"/>
      <c r="CS1876"/>
      <c r="CT1876"/>
      <c r="CU1876"/>
      <c r="CV1876" s="2"/>
      <c r="CX1876"/>
      <c r="DC1876"/>
      <c r="DI1876"/>
      <c r="DJ1876"/>
      <c r="DK1876"/>
      <c r="DL1876"/>
      <c r="DM1876"/>
      <c r="DN1876"/>
      <c r="DT1876"/>
      <c r="DU1876"/>
    </row>
    <row r="1877" spans="57:125">
      <c r="BE1877"/>
      <c r="BF1877" s="2"/>
      <c r="CN1877"/>
      <c r="CO1877"/>
      <c r="CP1877"/>
      <c r="CQ1877"/>
      <c r="CR1877"/>
      <c r="CS1877"/>
      <c r="CT1877"/>
      <c r="CU1877"/>
      <c r="CV1877" s="2"/>
      <c r="CX1877"/>
      <c r="DC1877"/>
      <c r="DI1877"/>
      <c r="DJ1877"/>
      <c r="DK1877"/>
      <c r="DL1877"/>
      <c r="DM1877"/>
      <c r="DN1877"/>
      <c r="DT1877"/>
      <c r="DU1877"/>
    </row>
    <row r="1878" spans="57:125">
      <c r="BE1878"/>
      <c r="BF1878" s="2"/>
      <c r="CN1878"/>
      <c r="CO1878"/>
      <c r="CP1878"/>
      <c r="CQ1878"/>
      <c r="CR1878"/>
      <c r="CS1878"/>
      <c r="CT1878"/>
      <c r="CU1878"/>
      <c r="CV1878" s="2"/>
      <c r="CX1878"/>
      <c r="DC1878"/>
      <c r="DI1878"/>
      <c r="DJ1878"/>
      <c r="DK1878"/>
      <c r="DL1878"/>
      <c r="DM1878"/>
      <c r="DN1878"/>
      <c r="DT1878"/>
      <c r="DU1878"/>
    </row>
    <row r="1879" spans="57:125">
      <c r="BE1879"/>
      <c r="BF1879" s="2"/>
      <c r="CN1879"/>
      <c r="CO1879"/>
      <c r="CP1879"/>
      <c r="CQ1879"/>
      <c r="CR1879"/>
      <c r="CS1879"/>
      <c r="CT1879"/>
      <c r="CU1879"/>
      <c r="CV1879" s="2"/>
      <c r="CX1879"/>
      <c r="DC1879"/>
      <c r="DI1879"/>
      <c r="DJ1879"/>
      <c r="DK1879"/>
      <c r="DL1879"/>
      <c r="DM1879"/>
      <c r="DN1879"/>
      <c r="DT1879"/>
      <c r="DU1879"/>
    </row>
    <row r="1880" spans="57:125">
      <c r="BE1880"/>
      <c r="BF1880" s="2"/>
      <c r="CN1880"/>
      <c r="CO1880"/>
      <c r="CP1880"/>
      <c r="CQ1880"/>
      <c r="CR1880"/>
      <c r="CS1880"/>
      <c r="CT1880"/>
      <c r="CU1880"/>
      <c r="CV1880" s="2"/>
      <c r="CX1880"/>
      <c r="DC1880"/>
      <c r="DI1880"/>
      <c r="DJ1880"/>
      <c r="DK1880"/>
      <c r="DL1880"/>
      <c r="DM1880"/>
      <c r="DN1880"/>
      <c r="DT1880"/>
      <c r="DU1880"/>
    </row>
    <row r="1881" spans="57:125">
      <c r="BE1881"/>
      <c r="BF1881" s="2"/>
      <c r="CN1881"/>
      <c r="CO1881"/>
      <c r="CP1881"/>
      <c r="CQ1881"/>
      <c r="CR1881"/>
      <c r="CS1881"/>
      <c r="CT1881"/>
      <c r="CU1881"/>
      <c r="CV1881" s="2"/>
      <c r="CX1881"/>
      <c r="DC1881"/>
      <c r="DI1881"/>
      <c r="DJ1881"/>
      <c r="DK1881"/>
      <c r="DL1881"/>
      <c r="DM1881"/>
      <c r="DN1881"/>
      <c r="DT1881"/>
      <c r="DU1881"/>
    </row>
    <row r="1882" spans="57:125">
      <c r="BE1882"/>
      <c r="BF1882" s="2"/>
      <c r="CN1882"/>
      <c r="CO1882"/>
      <c r="CP1882"/>
      <c r="CQ1882"/>
      <c r="CR1882"/>
      <c r="CS1882"/>
      <c r="CT1882"/>
      <c r="CU1882"/>
      <c r="CV1882" s="2"/>
      <c r="CX1882"/>
      <c r="DC1882"/>
      <c r="DI1882"/>
      <c r="DJ1882"/>
      <c r="DK1882"/>
      <c r="DL1882"/>
      <c r="DM1882"/>
      <c r="DN1882"/>
      <c r="DT1882"/>
      <c r="DU1882"/>
    </row>
    <row r="1883" spans="57:125">
      <c r="BE1883"/>
      <c r="BF1883" s="2"/>
      <c r="CN1883"/>
      <c r="CO1883"/>
      <c r="CP1883"/>
      <c r="CQ1883"/>
      <c r="CR1883"/>
      <c r="CS1883"/>
      <c r="CT1883"/>
      <c r="CU1883"/>
      <c r="CV1883" s="2"/>
      <c r="CX1883"/>
      <c r="DC1883"/>
      <c r="DI1883"/>
      <c r="DJ1883"/>
      <c r="DK1883"/>
      <c r="DL1883"/>
      <c r="DM1883"/>
      <c r="DN1883"/>
      <c r="DT1883"/>
      <c r="DU1883"/>
    </row>
    <row r="1884" spans="57:125">
      <c r="BE1884"/>
      <c r="BF1884" s="2"/>
      <c r="CN1884"/>
      <c r="CO1884"/>
      <c r="CP1884"/>
      <c r="CQ1884"/>
      <c r="CR1884"/>
      <c r="CS1884"/>
      <c r="CT1884"/>
      <c r="CU1884"/>
      <c r="CV1884" s="2"/>
      <c r="CX1884"/>
      <c r="DC1884"/>
      <c r="DI1884"/>
      <c r="DJ1884"/>
      <c r="DK1884"/>
      <c r="DL1884"/>
      <c r="DM1884"/>
      <c r="DN1884"/>
      <c r="DT1884"/>
      <c r="DU1884"/>
    </row>
    <row r="1885" spans="57:125">
      <c r="BE1885"/>
      <c r="BF1885" s="2"/>
      <c r="CN1885"/>
      <c r="CO1885"/>
      <c r="CP1885"/>
      <c r="CQ1885"/>
      <c r="CR1885"/>
      <c r="CS1885"/>
      <c r="CT1885"/>
      <c r="CU1885"/>
      <c r="CV1885" s="2"/>
      <c r="CX1885"/>
      <c r="DC1885"/>
      <c r="DI1885"/>
      <c r="DJ1885"/>
      <c r="DK1885"/>
      <c r="DL1885"/>
      <c r="DM1885"/>
      <c r="DN1885"/>
      <c r="DT1885"/>
      <c r="DU1885"/>
    </row>
    <row r="1886" spans="57:125">
      <c r="BE1886"/>
      <c r="BF1886" s="2"/>
      <c r="CN1886"/>
      <c r="CO1886"/>
      <c r="CP1886"/>
      <c r="CQ1886"/>
      <c r="CR1886"/>
      <c r="CS1886"/>
      <c r="CT1886"/>
      <c r="CU1886"/>
      <c r="CV1886" s="2"/>
      <c r="CX1886"/>
      <c r="DC1886"/>
      <c r="DI1886"/>
      <c r="DJ1886"/>
      <c r="DK1886"/>
      <c r="DL1886"/>
      <c r="DM1886"/>
      <c r="DN1886"/>
      <c r="DT1886"/>
      <c r="DU1886"/>
    </row>
    <row r="1887" spans="57:125">
      <c r="BE1887"/>
      <c r="BF1887" s="2"/>
      <c r="CN1887"/>
      <c r="CO1887"/>
      <c r="CP1887"/>
      <c r="CQ1887"/>
      <c r="CR1887"/>
      <c r="CS1887"/>
      <c r="CT1887"/>
      <c r="CU1887"/>
      <c r="CV1887" s="2"/>
      <c r="CX1887"/>
      <c r="DC1887"/>
      <c r="DI1887"/>
      <c r="DJ1887"/>
      <c r="DK1887"/>
      <c r="DL1887"/>
      <c r="DM1887"/>
      <c r="DN1887"/>
      <c r="DT1887"/>
      <c r="DU1887"/>
    </row>
    <row r="1888" spans="57:125">
      <c r="BE1888"/>
      <c r="BF1888" s="2"/>
      <c r="CN1888"/>
      <c r="CO1888"/>
      <c r="CP1888"/>
      <c r="CQ1888"/>
      <c r="CR1888"/>
      <c r="CS1888"/>
      <c r="CT1888"/>
      <c r="CU1888"/>
      <c r="CV1888" s="2"/>
      <c r="CX1888"/>
      <c r="DC1888"/>
      <c r="DI1888"/>
      <c r="DJ1888"/>
      <c r="DK1888"/>
      <c r="DL1888"/>
      <c r="DM1888"/>
      <c r="DN1888"/>
      <c r="DT1888"/>
      <c r="DU1888"/>
    </row>
    <row r="1889" spans="57:125">
      <c r="BE1889"/>
      <c r="BF1889" s="2"/>
      <c r="CN1889"/>
      <c r="CO1889"/>
      <c r="CP1889"/>
      <c r="CQ1889"/>
      <c r="CR1889"/>
      <c r="CS1889"/>
      <c r="CT1889"/>
      <c r="CU1889"/>
      <c r="CV1889" s="2"/>
      <c r="CX1889"/>
      <c r="DC1889"/>
      <c r="DI1889"/>
      <c r="DJ1889"/>
      <c r="DK1889"/>
      <c r="DL1889"/>
      <c r="DM1889"/>
      <c r="DN1889"/>
      <c r="DT1889"/>
      <c r="DU1889"/>
    </row>
    <row r="1890" spans="57:125">
      <c r="BE1890"/>
      <c r="BF1890" s="2"/>
      <c r="CN1890"/>
      <c r="CO1890"/>
      <c r="CP1890"/>
      <c r="CQ1890"/>
      <c r="CR1890"/>
      <c r="CS1890"/>
      <c r="CT1890"/>
      <c r="CU1890"/>
      <c r="CV1890" s="2"/>
      <c r="CX1890"/>
      <c r="DC1890"/>
      <c r="DI1890"/>
      <c r="DJ1890"/>
      <c r="DK1890"/>
      <c r="DL1890"/>
      <c r="DM1890"/>
      <c r="DN1890"/>
      <c r="DT1890"/>
      <c r="DU1890"/>
    </row>
    <row r="1891" spans="57:125">
      <c r="BE1891"/>
      <c r="BF1891" s="2"/>
      <c r="CN1891"/>
      <c r="CO1891"/>
      <c r="CP1891"/>
      <c r="CQ1891"/>
      <c r="CR1891"/>
      <c r="CS1891"/>
      <c r="CT1891"/>
      <c r="CU1891"/>
      <c r="CV1891" s="2"/>
      <c r="CX1891"/>
      <c r="DC1891"/>
      <c r="DI1891"/>
      <c r="DJ1891"/>
      <c r="DK1891"/>
      <c r="DL1891"/>
      <c r="DM1891"/>
      <c r="DN1891"/>
      <c r="DT1891"/>
      <c r="DU1891"/>
    </row>
    <row r="1892" spans="57:125">
      <c r="BE1892"/>
      <c r="BF1892" s="2"/>
      <c r="CN1892"/>
      <c r="CO1892"/>
      <c r="CP1892"/>
      <c r="CQ1892"/>
      <c r="CR1892"/>
      <c r="CS1892"/>
      <c r="CT1892"/>
      <c r="CU1892"/>
      <c r="CV1892" s="2"/>
      <c r="CX1892"/>
      <c r="DC1892"/>
      <c r="DI1892"/>
      <c r="DJ1892"/>
      <c r="DK1892"/>
      <c r="DL1892"/>
      <c r="DM1892"/>
      <c r="DN1892"/>
      <c r="DT1892"/>
      <c r="DU1892"/>
    </row>
    <row r="1893" spans="57:125">
      <c r="BE1893"/>
      <c r="BF1893" s="2"/>
      <c r="CN1893"/>
      <c r="CO1893"/>
      <c r="CP1893"/>
      <c r="CQ1893"/>
      <c r="CR1893"/>
      <c r="CS1893"/>
      <c r="CT1893"/>
      <c r="CU1893"/>
      <c r="CV1893" s="2"/>
      <c r="CX1893"/>
      <c r="DC1893"/>
      <c r="DI1893"/>
      <c r="DJ1893"/>
      <c r="DK1893"/>
      <c r="DL1893"/>
      <c r="DM1893"/>
      <c r="DN1893"/>
      <c r="DT1893"/>
      <c r="DU1893"/>
    </row>
    <row r="1894" spans="57:125">
      <c r="BE1894"/>
      <c r="BF1894" s="2"/>
      <c r="CN1894"/>
      <c r="CO1894"/>
      <c r="CP1894"/>
      <c r="CQ1894"/>
      <c r="CR1894"/>
      <c r="CS1894"/>
      <c r="CT1894"/>
      <c r="CU1894"/>
      <c r="CV1894" s="2"/>
      <c r="CX1894"/>
      <c r="DC1894"/>
      <c r="DI1894"/>
      <c r="DJ1894"/>
      <c r="DK1894"/>
      <c r="DL1894"/>
      <c r="DM1894"/>
      <c r="DN1894"/>
      <c r="DT1894"/>
      <c r="DU1894"/>
    </row>
    <row r="1895" spans="57:125">
      <c r="BE1895"/>
      <c r="BF1895" s="2"/>
      <c r="CN1895"/>
      <c r="CO1895"/>
      <c r="CP1895"/>
      <c r="CQ1895"/>
      <c r="CR1895"/>
      <c r="CS1895"/>
      <c r="CT1895"/>
      <c r="CU1895"/>
      <c r="CV1895" s="2"/>
      <c r="CX1895"/>
      <c r="DC1895"/>
      <c r="DI1895"/>
      <c r="DJ1895"/>
      <c r="DK1895"/>
      <c r="DL1895"/>
      <c r="DM1895"/>
      <c r="DN1895"/>
      <c r="DT1895"/>
      <c r="DU1895"/>
    </row>
    <row r="1896" spans="57:125">
      <c r="BE1896"/>
      <c r="BF1896" s="2"/>
      <c r="CN1896"/>
      <c r="CO1896"/>
      <c r="CP1896"/>
      <c r="CQ1896"/>
      <c r="CR1896"/>
      <c r="CS1896"/>
      <c r="CT1896"/>
      <c r="CU1896"/>
      <c r="CV1896" s="2"/>
      <c r="CX1896"/>
      <c r="DC1896"/>
      <c r="DI1896"/>
      <c r="DJ1896"/>
      <c r="DK1896"/>
      <c r="DL1896"/>
      <c r="DM1896"/>
      <c r="DN1896"/>
      <c r="DT1896"/>
      <c r="DU1896"/>
    </row>
    <row r="1897" spans="57:125">
      <c r="BE1897"/>
      <c r="BF1897" s="2"/>
      <c r="CN1897"/>
      <c r="CO1897"/>
      <c r="CP1897"/>
      <c r="CQ1897"/>
      <c r="CR1897"/>
      <c r="CS1897"/>
      <c r="CT1897"/>
      <c r="CU1897"/>
      <c r="CV1897" s="2"/>
      <c r="CX1897"/>
      <c r="DC1897"/>
      <c r="DI1897"/>
      <c r="DJ1897"/>
      <c r="DK1897"/>
      <c r="DL1897"/>
      <c r="DM1897"/>
      <c r="DN1897"/>
      <c r="DT1897"/>
      <c r="DU1897"/>
    </row>
    <row r="1898" spans="57:125">
      <c r="BE1898"/>
      <c r="BF1898" s="2"/>
      <c r="CN1898"/>
      <c r="CO1898"/>
      <c r="CP1898"/>
      <c r="CQ1898"/>
      <c r="CR1898"/>
      <c r="CS1898"/>
      <c r="CT1898"/>
      <c r="CU1898"/>
      <c r="CV1898" s="2"/>
      <c r="CX1898"/>
      <c r="DC1898"/>
      <c r="DI1898"/>
      <c r="DJ1898"/>
      <c r="DK1898"/>
      <c r="DL1898"/>
      <c r="DM1898"/>
      <c r="DN1898"/>
      <c r="DT1898"/>
      <c r="DU1898"/>
    </row>
    <row r="1899" spans="57:125">
      <c r="BE1899"/>
      <c r="BF1899" s="2"/>
      <c r="CN1899"/>
      <c r="CO1899"/>
      <c r="CP1899"/>
      <c r="CQ1899"/>
      <c r="CR1899"/>
      <c r="CS1899"/>
      <c r="CT1899"/>
      <c r="CU1899"/>
      <c r="CV1899" s="2"/>
      <c r="CX1899"/>
      <c r="DC1899"/>
      <c r="DI1899"/>
      <c r="DJ1899"/>
      <c r="DK1899"/>
      <c r="DL1899"/>
      <c r="DM1899"/>
      <c r="DN1899"/>
      <c r="DT1899"/>
      <c r="DU1899"/>
    </row>
    <row r="1900" spans="57:125">
      <c r="BE1900"/>
      <c r="BF1900" s="2"/>
      <c r="CN1900"/>
      <c r="CO1900"/>
      <c r="CP1900"/>
      <c r="CQ1900"/>
      <c r="CR1900"/>
      <c r="CS1900"/>
      <c r="CT1900"/>
      <c r="CU1900"/>
      <c r="CV1900" s="2"/>
      <c r="CX1900"/>
      <c r="DC1900"/>
      <c r="DI1900"/>
      <c r="DJ1900"/>
      <c r="DK1900"/>
      <c r="DL1900"/>
      <c r="DM1900"/>
      <c r="DN1900"/>
      <c r="DT1900"/>
      <c r="DU1900"/>
    </row>
    <row r="1901" spans="57:125">
      <c r="BE1901"/>
      <c r="BF1901" s="2"/>
      <c r="CN1901"/>
      <c r="CO1901"/>
      <c r="CP1901"/>
      <c r="CQ1901"/>
      <c r="CR1901"/>
      <c r="CS1901"/>
      <c r="CT1901"/>
      <c r="CU1901"/>
      <c r="CV1901" s="2"/>
      <c r="CX1901"/>
      <c r="DC1901"/>
      <c r="DI1901"/>
      <c r="DJ1901"/>
      <c r="DK1901"/>
      <c r="DL1901"/>
      <c r="DM1901"/>
      <c r="DN1901"/>
      <c r="DT1901"/>
      <c r="DU1901"/>
    </row>
    <row r="1902" spans="57:125">
      <c r="BE1902"/>
      <c r="BF1902" s="2"/>
      <c r="CN1902"/>
      <c r="CO1902"/>
      <c r="CP1902"/>
      <c r="CQ1902"/>
      <c r="CR1902"/>
      <c r="CS1902"/>
      <c r="CT1902"/>
      <c r="CU1902"/>
      <c r="CV1902" s="2"/>
      <c r="CX1902"/>
      <c r="DC1902"/>
      <c r="DI1902"/>
      <c r="DJ1902"/>
      <c r="DK1902"/>
      <c r="DL1902"/>
      <c r="DM1902"/>
      <c r="DN1902"/>
      <c r="DT1902"/>
      <c r="DU1902"/>
    </row>
    <row r="1903" spans="57:125">
      <c r="BE1903"/>
      <c r="BF1903" s="2"/>
      <c r="CN1903"/>
      <c r="CO1903"/>
      <c r="CP1903"/>
      <c r="CQ1903"/>
      <c r="CR1903"/>
      <c r="CS1903"/>
      <c r="CT1903"/>
      <c r="CU1903"/>
      <c r="CV1903" s="2"/>
      <c r="CX1903"/>
      <c r="DC1903"/>
      <c r="DI1903"/>
      <c r="DJ1903"/>
      <c r="DK1903"/>
      <c r="DL1903"/>
      <c r="DM1903"/>
      <c r="DN1903"/>
      <c r="DT1903"/>
      <c r="DU1903"/>
    </row>
    <row r="1904" spans="57:125">
      <c r="BE1904"/>
      <c r="BF1904" s="2"/>
      <c r="CN1904"/>
      <c r="CO1904"/>
      <c r="CP1904"/>
      <c r="CQ1904"/>
      <c r="CR1904"/>
      <c r="CS1904"/>
      <c r="CT1904"/>
      <c r="CU1904"/>
      <c r="CV1904" s="2"/>
      <c r="CX1904"/>
      <c r="DC1904"/>
      <c r="DI1904"/>
      <c r="DJ1904"/>
      <c r="DK1904"/>
      <c r="DL1904"/>
      <c r="DM1904"/>
      <c r="DN1904"/>
      <c r="DT1904"/>
      <c r="DU1904"/>
    </row>
    <row r="1905" spans="57:125">
      <c r="BE1905"/>
      <c r="BF1905" s="2"/>
      <c r="CN1905"/>
      <c r="CO1905"/>
      <c r="CP1905"/>
      <c r="CQ1905"/>
      <c r="CR1905"/>
      <c r="CS1905"/>
      <c r="CT1905"/>
      <c r="CU1905"/>
      <c r="CV1905" s="2"/>
      <c r="CX1905"/>
      <c r="DC1905"/>
      <c r="DI1905"/>
      <c r="DJ1905"/>
      <c r="DK1905"/>
      <c r="DL1905"/>
      <c r="DM1905"/>
      <c r="DN1905"/>
      <c r="DT1905"/>
      <c r="DU1905"/>
    </row>
    <row r="1906" spans="57:125">
      <c r="BE1906"/>
      <c r="BF1906" s="2"/>
      <c r="CN1906"/>
      <c r="CO1906"/>
      <c r="CP1906"/>
      <c r="CQ1906"/>
      <c r="CR1906"/>
      <c r="CS1906"/>
      <c r="CT1906"/>
      <c r="CU1906"/>
      <c r="CV1906" s="2"/>
      <c r="CX1906"/>
      <c r="DC1906"/>
      <c r="DI1906"/>
      <c r="DJ1906"/>
      <c r="DK1906"/>
      <c r="DL1906"/>
      <c r="DM1906"/>
      <c r="DN1906"/>
      <c r="DT1906"/>
      <c r="DU1906"/>
    </row>
    <row r="1907" spans="57:125">
      <c r="BE1907"/>
      <c r="BF1907" s="2"/>
      <c r="CN1907"/>
      <c r="CO1907"/>
      <c r="CP1907"/>
      <c r="CQ1907"/>
      <c r="CR1907"/>
      <c r="CS1907"/>
      <c r="CT1907"/>
      <c r="CU1907"/>
      <c r="CV1907" s="2"/>
      <c r="CX1907"/>
      <c r="DC1907"/>
      <c r="DI1907"/>
      <c r="DJ1907"/>
      <c r="DK1907"/>
      <c r="DL1907"/>
      <c r="DM1907"/>
      <c r="DN1907"/>
      <c r="DT1907"/>
      <c r="DU1907"/>
    </row>
    <row r="1908" spans="57:125">
      <c r="BE1908"/>
      <c r="BF1908" s="2"/>
      <c r="CN1908"/>
      <c r="CO1908"/>
      <c r="CP1908"/>
      <c r="CQ1908"/>
      <c r="CR1908"/>
      <c r="CS1908"/>
      <c r="CT1908"/>
      <c r="CU1908"/>
      <c r="CV1908" s="2"/>
      <c r="CX1908"/>
      <c r="DC1908"/>
      <c r="DI1908"/>
      <c r="DJ1908"/>
      <c r="DK1908"/>
      <c r="DL1908"/>
      <c r="DM1908"/>
      <c r="DN1908"/>
      <c r="DT1908"/>
      <c r="DU1908"/>
    </row>
    <row r="1909" spans="57:125">
      <c r="BE1909"/>
      <c r="BF1909" s="2"/>
      <c r="CN1909"/>
      <c r="CO1909"/>
      <c r="CP1909"/>
      <c r="CQ1909"/>
      <c r="CR1909"/>
      <c r="CS1909"/>
      <c r="CT1909"/>
      <c r="CU1909"/>
      <c r="CV1909" s="2"/>
      <c r="CX1909"/>
      <c r="DC1909"/>
      <c r="DI1909"/>
      <c r="DJ1909"/>
      <c r="DK1909"/>
      <c r="DL1909"/>
      <c r="DM1909"/>
      <c r="DN1909"/>
      <c r="DT1909"/>
      <c r="DU1909"/>
    </row>
    <row r="1910" spans="57:125">
      <c r="BE1910"/>
      <c r="BF1910" s="2"/>
      <c r="CN1910"/>
      <c r="CO1910"/>
      <c r="CP1910"/>
      <c r="CQ1910"/>
      <c r="CR1910"/>
      <c r="CS1910"/>
      <c r="CT1910"/>
      <c r="CU1910"/>
      <c r="CV1910" s="2"/>
      <c r="CX1910"/>
      <c r="DC1910"/>
      <c r="DI1910"/>
      <c r="DJ1910"/>
      <c r="DK1910"/>
      <c r="DL1910"/>
      <c r="DM1910"/>
      <c r="DN1910"/>
      <c r="DT1910"/>
      <c r="DU1910"/>
    </row>
    <row r="1911" spans="57:125">
      <c r="BE1911"/>
      <c r="BF1911" s="2"/>
      <c r="CN1911"/>
      <c r="CO1911"/>
      <c r="CP1911"/>
      <c r="CQ1911"/>
      <c r="CR1911"/>
      <c r="CS1911"/>
      <c r="CT1911"/>
      <c r="CU1911"/>
      <c r="CV1911" s="2"/>
      <c r="CX1911"/>
      <c r="DC1911"/>
      <c r="DI1911"/>
      <c r="DJ1911"/>
      <c r="DK1911"/>
      <c r="DL1911"/>
      <c r="DM1911"/>
      <c r="DN1911"/>
      <c r="DT1911"/>
      <c r="DU1911"/>
    </row>
    <row r="1912" spans="57:125">
      <c r="BE1912"/>
      <c r="BF1912" s="2"/>
      <c r="CN1912"/>
      <c r="CO1912"/>
      <c r="CP1912"/>
      <c r="CQ1912"/>
      <c r="CR1912"/>
      <c r="CS1912"/>
      <c r="CT1912"/>
      <c r="CU1912"/>
      <c r="CV1912" s="2"/>
      <c r="CX1912"/>
      <c r="DC1912"/>
      <c r="DI1912"/>
      <c r="DJ1912"/>
      <c r="DK1912"/>
      <c r="DL1912"/>
      <c r="DM1912"/>
      <c r="DN1912"/>
      <c r="DT1912"/>
      <c r="DU1912"/>
    </row>
    <row r="1913" spans="57:125">
      <c r="BE1913"/>
      <c r="BF1913" s="2"/>
      <c r="CN1913"/>
      <c r="CO1913"/>
      <c r="CP1913"/>
      <c r="CQ1913"/>
      <c r="CR1913"/>
      <c r="CS1913"/>
      <c r="CT1913"/>
      <c r="CU1913"/>
      <c r="CV1913" s="2"/>
      <c r="CX1913"/>
      <c r="DC1913"/>
      <c r="DI1913"/>
      <c r="DJ1913"/>
      <c r="DK1913"/>
      <c r="DL1913"/>
      <c r="DM1913"/>
      <c r="DN1913"/>
      <c r="DT1913"/>
      <c r="DU1913"/>
    </row>
    <row r="1914" spans="57:125">
      <c r="BE1914"/>
      <c r="BF1914" s="2"/>
      <c r="CN1914"/>
      <c r="CO1914"/>
      <c r="CP1914"/>
      <c r="CQ1914"/>
      <c r="CR1914"/>
      <c r="CS1914"/>
      <c r="CT1914"/>
      <c r="CU1914"/>
      <c r="CV1914" s="2"/>
      <c r="CX1914"/>
      <c r="DC1914"/>
      <c r="DI1914"/>
      <c r="DJ1914"/>
      <c r="DK1914"/>
      <c r="DL1914"/>
      <c r="DM1914"/>
      <c r="DN1914"/>
      <c r="DT1914"/>
      <c r="DU1914"/>
    </row>
    <row r="1915" spans="57:125">
      <c r="BE1915"/>
      <c r="BF1915" s="2"/>
      <c r="CN1915"/>
      <c r="CO1915"/>
      <c r="CP1915"/>
      <c r="CQ1915"/>
      <c r="CR1915"/>
      <c r="CS1915"/>
      <c r="CT1915"/>
      <c r="CU1915"/>
      <c r="CV1915" s="2"/>
      <c r="CX1915"/>
      <c r="DC1915"/>
      <c r="DI1915"/>
      <c r="DJ1915"/>
      <c r="DK1915"/>
      <c r="DL1915"/>
      <c r="DM1915"/>
      <c r="DN1915"/>
      <c r="DT1915"/>
      <c r="DU1915"/>
    </row>
    <row r="1916" spans="57:125">
      <c r="BE1916"/>
      <c r="BF1916" s="2"/>
      <c r="CN1916"/>
      <c r="CO1916"/>
      <c r="CP1916"/>
      <c r="CQ1916"/>
      <c r="CR1916"/>
      <c r="CS1916"/>
      <c r="CT1916"/>
      <c r="CU1916"/>
      <c r="CV1916" s="2"/>
      <c r="CX1916"/>
      <c r="DC1916"/>
      <c r="DI1916"/>
      <c r="DJ1916"/>
      <c r="DK1916"/>
      <c r="DL1916"/>
      <c r="DM1916"/>
      <c r="DN1916"/>
      <c r="DT1916"/>
      <c r="DU1916"/>
    </row>
    <row r="1917" spans="57:125">
      <c r="BE1917"/>
      <c r="BF1917" s="2"/>
      <c r="CN1917"/>
      <c r="CO1917"/>
      <c r="CP1917"/>
      <c r="CQ1917"/>
      <c r="CR1917"/>
      <c r="CS1917"/>
      <c r="CT1917"/>
      <c r="CU1917"/>
      <c r="CV1917" s="2"/>
      <c r="CX1917"/>
      <c r="DC1917"/>
      <c r="DI1917"/>
      <c r="DJ1917"/>
      <c r="DK1917"/>
      <c r="DL1917"/>
      <c r="DM1917"/>
      <c r="DN1917"/>
      <c r="DT1917"/>
      <c r="DU1917"/>
    </row>
    <row r="1918" spans="57:125">
      <c r="BE1918"/>
      <c r="BF1918" s="2"/>
      <c r="CN1918"/>
      <c r="CO1918"/>
      <c r="CP1918"/>
      <c r="CQ1918"/>
      <c r="CR1918"/>
      <c r="CS1918"/>
      <c r="CT1918"/>
      <c r="CU1918"/>
      <c r="CV1918" s="2"/>
      <c r="CX1918"/>
      <c r="DC1918"/>
      <c r="DI1918"/>
      <c r="DJ1918"/>
      <c r="DK1918"/>
      <c r="DL1918"/>
      <c r="DM1918"/>
      <c r="DN1918"/>
      <c r="DT1918"/>
      <c r="DU1918"/>
    </row>
    <row r="1919" spans="57:125">
      <c r="BE1919"/>
      <c r="BF1919" s="2"/>
      <c r="CN1919"/>
      <c r="CO1919"/>
      <c r="CP1919"/>
      <c r="CQ1919"/>
      <c r="CR1919"/>
      <c r="CS1919"/>
      <c r="CT1919"/>
      <c r="CU1919"/>
      <c r="CV1919" s="2"/>
      <c r="CX1919"/>
      <c r="DC1919"/>
      <c r="DI1919"/>
      <c r="DJ1919"/>
      <c r="DK1919"/>
      <c r="DL1919"/>
      <c r="DM1919"/>
      <c r="DN1919"/>
      <c r="DT1919"/>
      <c r="DU1919"/>
    </row>
    <row r="1920" spans="57:125">
      <c r="BE1920"/>
      <c r="BF1920" s="2"/>
      <c r="CN1920"/>
      <c r="CO1920"/>
      <c r="CP1920"/>
      <c r="CQ1920"/>
      <c r="CR1920"/>
      <c r="CS1920"/>
      <c r="CT1920"/>
      <c r="CU1920"/>
      <c r="CV1920" s="2"/>
      <c r="CX1920"/>
      <c r="DC1920"/>
      <c r="DI1920"/>
      <c r="DJ1920"/>
      <c r="DK1920"/>
      <c r="DL1920"/>
      <c r="DM1920"/>
      <c r="DN1920"/>
      <c r="DT1920"/>
      <c r="DU1920"/>
    </row>
    <row r="1921" spans="57:125">
      <c r="BE1921"/>
      <c r="BF1921" s="2"/>
      <c r="CN1921"/>
      <c r="CO1921"/>
      <c r="CP1921"/>
      <c r="CQ1921"/>
      <c r="CR1921"/>
      <c r="CS1921"/>
      <c r="CT1921"/>
      <c r="CU1921"/>
      <c r="CV1921" s="2"/>
      <c r="CX1921"/>
      <c r="DC1921"/>
      <c r="DI1921"/>
      <c r="DJ1921"/>
      <c r="DK1921"/>
      <c r="DL1921"/>
      <c r="DM1921"/>
      <c r="DN1921"/>
      <c r="DT1921"/>
      <c r="DU1921"/>
    </row>
    <row r="1922" spans="57:125">
      <c r="BE1922"/>
      <c r="BF1922" s="2"/>
      <c r="CN1922"/>
      <c r="CO1922"/>
      <c r="CP1922"/>
      <c r="CQ1922"/>
      <c r="CR1922"/>
      <c r="CS1922"/>
      <c r="CT1922"/>
      <c r="CU1922"/>
      <c r="CV1922" s="2"/>
      <c r="CX1922"/>
      <c r="DC1922"/>
      <c r="DI1922"/>
      <c r="DJ1922"/>
      <c r="DK1922"/>
      <c r="DL1922"/>
      <c r="DM1922"/>
      <c r="DN1922"/>
      <c r="DT1922"/>
      <c r="DU1922"/>
    </row>
    <row r="1923" spans="57:125">
      <c r="BE1923"/>
      <c r="BF1923" s="2"/>
      <c r="CN1923"/>
      <c r="CO1923"/>
      <c r="CP1923"/>
      <c r="CQ1923"/>
      <c r="CR1923"/>
      <c r="CS1923"/>
      <c r="CT1923"/>
      <c r="CU1923"/>
      <c r="CV1923" s="2"/>
      <c r="CX1923"/>
      <c r="DC1923"/>
      <c r="DI1923"/>
      <c r="DJ1923"/>
      <c r="DK1923"/>
      <c r="DL1923"/>
      <c r="DM1923"/>
      <c r="DN1923"/>
      <c r="DT1923"/>
      <c r="DU1923"/>
    </row>
    <row r="1924" spans="57:125">
      <c r="BE1924"/>
      <c r="BF1924" s="2"/>
      <c r="CN1924"/>
      <c r="CO1924"/>
      <c r="CP1924"/>
      <c r="CQ1924"/>
      <c r="CR1924"/>
      <c r="CS1924"/>
      <c r="CT1924"/>
      <c r="CU1924"/>
      <c r="CV1924" s="2"/>
      <c r="CX1924"/>
      <c r="DC1924"/>
      <c r="DI1924"/>
      <c r="DJ1924"/>
      <c r="DK1924"/>
      <c r="DL1924"/>
      <c r="DM1924"/>
      <c r="DN1924"/>
      <c r="DT1924"/>
      <c r="DU1924"/>
    </row>
    <row r="1925" spans="57:125">
      <c r="BE1925"/>
      <c r="BF1925" s="2"/>
      <c r="CN1925"/>
      <c r="CO1925"/>
      <c r="CP1925"/>
      <c r="CQ1925"/>
      <c r="CR1925"/>
      <c r="CS1925"/>
      <c r="CT1925"/>
      <c r="CU1925"/>
      <c r="CV1925" s="2"/>
      <c r="CX1925"/>
      <c r="DC1925"/>
      <c r="DI1925"/>
      <c r="DJ1925"/>
      <c r="DK1925"/>
      <c r="DL1925"/>
      <c r="DM1925"/>
      <c r="DN1925"/>
      <c r="DT1925"/>
      <c r="DU1925"/>
    </row>
    <row r="1926" spans="57:125">
      <c r="BE1926"/>
      <c r="BF1926" s="2"/>
      <c r="CN1926"/>
      <c r="CO1926"/>
      <c r="CP1926"/>
      <c r="CQ1926"/>
      <c r="CR1926"/>
      <c r="CS1926"/>
      <c r="CT1926"/>
      <c r="CU1926"/>
      <c r="CV1926" s="2"/>
      <c r="CX1926"/>
      <c r="DC1926"/>
      <c r="DI1926"/>
      <c r="DJ1926"/>
      <c r="DK1926"/>
      <c r="DL1926"/>
      <c r="DM1926"/>
      <c r="DN1926"/>
      <c r="DT1926"/>
      <c r="DU1926"/>
    </row>
    <row r="1927" spans="57:125">
      <c r="BE1927"/>
      <c r="BF1927" s="2"/>
      <c r="CN1927"/>
      <c r="CO1927"/>
      <c r="CP1927"/>
      <c r="CQ1927"/>
      <c r="CR1927"/>
      <c r="CS1927"/>
      <c r="CT1927"/>
      <c r="CU1927"/>
      <c r="CV1927" s="2"/>
      <c r="CX1927"/>
      <c r="DC1927"/>
      <c r="DI1927"/>
      <c r="DJ1927"/>
      <c r="DK1927"/>
      <c r="DL1927"/>
      <c r="DM1927"/>
      <c r="DN1927"/>
      <c r="DT1927"/>
      <c r="DU1927"/>
    </row>
    <row r="1928" spans="57:125">
      <c r="BE1928"/>
      <c r="BF1928" s="2"/>
      <c r="CN1928"/>
      <c r="CO1928"/>
      <c r="CP1928"/>
      <c r="CQ1928"/>
      <c r="CR1928"/>
      <c r="CS1928"/>
      <c r="CT1928"/>
      <c r="CU1928"/>
      <c r="CV1928" s="2"/>
      <c r="CX1928"/>
      <c r="DC1928"/>
      <c r="DI1928"/>
      <c r="DJ1928"/>
      <c r="DK1928"/>
      <c r="DL1928"/>
      <c r="DM1928"/>
      <c r="DN1928"/>
      <c r="DT1928"/>
      <c r="DU1928"/>
    </row>
    <row r="1929" spans="57:125">
      <c r="BE1929"/>
      <c r="BF1929" s="2"/>
      <c r="CN1929"/>
      <c r="CO1929"/>
      <c r="CP1929"/>
      <c r="CQ1929"/>
      <c r="CR1929"/>
      <c r="CS1929"/>
      <c r="CT1929"/>
      <c r="CU1929"/>
      <c r="CV1929" s="2"/>
      <c r="CX1929"/>
      <c r="DC1929"/>
      <c r="DI1929"/>
      <c r="DJ1929"/>
      <c r="DK1929"/>
      <c r="DL1929"/>
      <c r="DM1929"/>
      <c r="DN1929"/>
      <c r="DT1929"/>
      <c r="DU1929"/>
    </row>
    <row r="1930" spans="57:125">
      <c r="BE1930"/>
      <c r="BF1930" s="2"/>
      <c r="CN1930"/>
      <c r="CO1930"/>
      <c r="CP1930"/>
      <c r="CQ1930"/>
      <c r="CR1930"/>
      <c r="CS1930"/>
      <c r="CT1930"/>
      <c r="CU1930"/>
      <c r="CV1930" s="2"/>
      <c r="CX1930"/>
      <c r="DC1930"/>
      <c r="DI1930"/>
      <c r="DJ1930"/>
      <c r="DK1930"/>
      <c r="DL1930"/>
      <c r="DM1930"/>
      <c r="DN1930"/>
      <c r="DT1930"/>
      <c r="DU1930"/>
    </row>
    <row r="1931" spans="57:125">
      <c r="BE1931"/>
      <c r="BF1931" s="2"/>
      <c r="CN1931"/>
      <c r="CO1931"/>
      <c r="CP1931"/>
      <c r="CQ1931"/>
      <c r="CR1931"/>
      <c r="CS1931"/>
      <c r="CT1931"/>
      <c r="CU1931"/>
      <c r="CV1931" s="2"/>
      <c r="CX1931"/>
      <c r="DC1931"/>
      <c r="DI1931"/>
      <c r="DJ1931"/>
      <c r="DK1931"/>
      <c r="DL1931"/>
      <c r="DM1931"/>
      <c r="DN1931"/>
      <c r="DT1931"/>
      <c r="DU1931"/>
    </row>
    <row r="1932" spans="57:125">
      <c r="BE1932"/>
      <c r="BF1932" s="2"/>
      <c r="CN1932"/>
      <c r="CO1932"/>
      <c r="CP1932"/>
      <c r="CQ1932"/>
      <c r="CR1932"/>
      <c r="CS1932"/>
      <c r="CT1932"/>
      <c r="CU1932"/>
      <c r="CV1932" s="2"/>
      <c r="CX1932"/>
      <c r="DC1932"/>
      <c r="DI1932"/>
      <c r="DJ1932"/>
      <c r="DK1932"/>
      <c r="DL1932"/>
      <c r="DM1932"/>
      <c r="DN1932"/>
      <c r="DT1932"/>
      <c r="DU1932"/>
    </row>
    <row r="1933" spans="57:125">
      <c r="BE1933"/>
      <c r="BF1933" s="2"/>
      <c r="CN1933"/>
      <c r="CO1933"/>
      <c r="CP1933"/>
      <c r="CQ1933"/>
      <c r="CR1933"/>
      <c r="CS1933"/>
      <c r="CT1933"/>
      <c r="CU1933"/>
      <c r="CV1933" s="2"/>
      <c r="CX1933"/>
      <c r="DC1933"/>
      <c r="DI1933"/>
      <c r="DJ1933"/>
      <c r="DK1933"/>
      <c r="DL1933"/>
      <c r="DM1933"/>
      <c r="DN1933"/>
      <c r="DT1933"/>
      <c r="DU1933"/>
    </row>
    <row r="1934" spans="57:125">
      <c r="BE1934"/>
      <c r="BF1934" s="2"/>
      <c r="CN1934"/>
      <c r="CO1934"/>
      <c r="CP1934"/>
      <c r="CQ1934"/>
      <c r="CR1934"/>
      <c r="CS1934"/>
      <c r="CT1934"/>
      <c r="CU1934"/>
      <c r="CV1934" s="2"/>
      <c r="CX1934"/>
      <c r="DC1934"/>
      <c r="DI1934"/>
      <c r="DJ1934"/>
      <c r="DK1934"/>
      <c r="DL1934"/>
      <c r="DM1934"/>
      <c r="DN1934"/>
      <c r="DT1934"/>
      <c r="DU1934"/>
    </row>
    <row r="1935" spans="57:125">
      <c r="BE1935"/>
      <c r="BF1935" s="2"/>
      <c r="CN1935"/>
      <c r="CO1935"/>
      <c r="CP1935"/>
      <c r="CQ1935"/>
      <c r="CR1935"/>
      <c r="CS1935"/>
      <c r="CT1935"/>
      <c r="CU1935"/>
      <c r="CV1935" s="2"/>
      <c r="CX1935"/>
      <c r="DC1935"/>
      <c r="DI1935"/>
      <c r="DJ1935"/>
      <c r="DK1935"/>
      <c r="DL1935"/>
      <c r="DM1935"/>
      <c r="DN1935"/>
      <c r="DT1935"/>
      <c r="DU1935"/>
    </row>
    <row r="1936" spans="57:125">
      <c r="BE1936"/>
      <c r="BF1936" s="2"/>
      <c r="CN1936"/>
      <c r="CO1936"/>
      <c r="CP1936"/>
      <c r="CQ1936"/>
      <c r="CR1936"/>
      <c r="CS1936"/>
      <c r="CT1936"/>
      <c r="CU1936"/>
      <c r="CV1936" s="2"/>
      <c r="CX1936"/>
      <c r="DC1936"/>
      <c r="DI1936"/>
      <c r="DJ1936"/>
      <c r="DK1936"/>
      <c r="DL1936"/>
      <c r="DM1936"/>
      <c r="DN1936"/>
      <c r="DT1936"/>
      <c r="DU1936"/>
    </row>
    <row r="1937" spans="57:125">
      <c r="BE1937"/>
      <c r="BF1937" s="2"/>
      <c r="CN1937"/>
      <c r="CO1937"/>
      <c r="CP1937"/>
      <c r="CQ1937"/>
      <c r="CR1937"/>
      <c r="CS1937"/>
      <c r="CT1937"/>
      <c r="CU1937"/>
      <c r="CV1937" s="2"/>
      <c r="CX1937"/>
      <c r="DC1937"/>
      <c r="DI1937"/>
      <c r="DJ1937"/>
      <c r="DK1937"/>
      <c r="DL1937"/>
      <c r="DM1937"/>
      <c r="DN1937"/>
      <c r="DT1937"/>
      <c r="DU1937"/>
    </row>
    <row r="1938" spans="57:125">
      <c r="BE1938"/>
      <c r="BF1938" s="2"/>
      <c r="CN1938"/>
      <c r="CO1938"/>
      <c r="CP1938"/>
      <c r="CQ1938"/>
      <c r="CR1938"/>
      <c r="CS1938"/>
      <c r="CT1938"/>
      <c r="CU1938"/>
      <c r="CV1938" s="2"/>
      <c r="CX1938"/>
      <c r="DC1938"/>
      <c r="DI1938"/>
      <c r="DJ1938"/>
      <c r="DK1938"/>
      <c r="DL1938"/>
      <c r="DM1938"/>
      <c r="DN1938"/>
      <c r="DT1938"/>
      <c r="DU1938"/>
    </row>
    <row r="1939" spans="57:125">
      <c r="BE1939"/>
      <c r="BF1939" s="2"/>
      <c r="CN1939"/>
      <c r="CO1939"/>
      <c r="CP1939"/>
      <c r="CQ1939"/>
      <c r="CR1939"/>
      <c r="CS1939"/>
      <c r="CT1939"/>
      <c r="CU1939"/>
      <c r="CV1939" s="2"/>
      <c r="CX1939"/>
      <c r="DC1939"/>
      <c r="DI1939"/>
      <c r="DJ1939"/>
      <c r="DK1939"/>
      <c r="DL1939"/>
      <c r="DM1939"/>
      <c r="DN1939"/>
      <c r="DT1939"/>
      <c r="DU1939"/>
    </row>
    <row r="1940" spans="57:125">
      <c r="BE1940"/>
      <c r="BF1940" s="2"/>
      <c r="CN1940"/>
      <c r="CO1940"/>
      <c r="CP1940"/>
      <c r="CQ1940"/>
      <c r="CR1940"/>
      <c r="CS1940"/>
      <c r="CT1940"/>
      <c r="CU1940"/>
      <c r="CV1940" s="2"/>
      <c r="CX1940"/>
      <c r="DC1940"/>
      <c r="DI1940"/>
      <c r="DJ1940"/>
      <c r="DK1940"/>
      <c r="DL1940"/>
      <c r="DM1940"/>
      <c r="DN1940"/>
      <c r="DT1940"/>
      <c r="DU1940"/>
    </row>
    <row r="1941" spans="57:125">
      <c r="BE1941"/>
      <c r="BF1941" s="2"/>
      <c r="CN1941"/>
      <c r="CO1941"/>
      <c r="CP1941"/>
      <c r="CQ1941"/>
      <c r="CR1941"/>
      <c r="CS1941"/>
      <c r="CT1941"/>
      <c r="CU1941"/>
      <c r="CV1941" s="2"/>
      <c r="CX1941"/>
      <c r="DC1941"/>
      <c r="DI1941"/>
      <c r="DJ1941"/>
      <c r="DK1941"/>
      <c r="DL1941"/>
      <c r="DM1941"/>
      <c r="DN1941"/>
      <c r="DT1941"/>
      <c r="DU1941"/>
    </row>
    <row r="1942" spans="57:125">
      <c r="BE1942"/>
      <c r="BF1942" s="2"/>
      <c r="CN1942"/>
      <c r="CO1942"/>
      <c r="CP1942"/>
      <c r="CQ1942"/>
      <c r="CR1942"/>
      <c r="CS1942"/>
      <c r="CT1942"/>
      <c r="CU1942"/>
      <c r="CV1942" s="2"/>
      <c r="CX1942"/>
      <c r="DC1942"/>
      <c r="DI1942"/>
      <c r="DJ1942"/>
      <c r="DK1942"/>
      <c r="DL1942"/>
      <c r="DM1942"/>
      <c r="DN1942"/>
      <c r="DT1942"/>
      <c r="DU1942"/>
    </row>
    <row r="1943" spans="57:125">
      <c r="BE1943"/>
      <c r="BF1943" s="2"/>
      <c r="CN1943"/>
      <c r="CO1943"/>
      <c r="CP1943"/>
      <c r="CQ1943"/>
      <c r="CR1943"/>
      <c r="CS1943"/>
      <c r="CT1943"/>
      <c r="CU1943"/>
      <c r="CV1943" s="2"/>
      <c r="CX1943"/>
      <c r="DC1943"/>
      <c r="DI1943"/>
      <c r="DJ1943"/>
      <c r="DK1943"/>
      <c r="DL1943"/>
      <c r="DM1943"/>
      <c r="DN1943"/>
      <c r="DT1943"/>
      <c r="DU1943"/>
    </row>
    <row r="1944" spans="57:125">
      <c r="BE1944"/>
      <c r="BF1944" s="2"/>
      <c r="CN1944"/>
      <c r="CO1944"/>
      <c r="CP1944"/>
      <c r="CQ1944"/>
      <c r="CR1944"/>
      <c r="CS1944"/>
      <c r="CT1944"/>
      <c r="CU1944"/>
      <c r="CV1944" s="2"/>
      <c r="CX1944"/>
      <c r="DC1944"/>
      <c r="DI1944"/>
      <c r="DJ1944"/>
      <c r="DK1944"/>
      <c r="DL1944"/>
      <c r="DM1944"/>
      <c r="DN1944"/>
      <c r="DT1944"/>
      <c r="DU1944"/>
    </row>
    <row r="1945" spans="57:125">
      <c r="BE1945"/>
      <c r="BF1945" s="2"/>
      <c r="CN1945"/>
      <c r="CO1945"/>
      <c r="CP1945"/>
      <c r="CQ1945"/>
      <c r="CR1945"/>
      <c r="CS1945"/>
      <c r="CT1945"/>
      <c r="CU1945"/>
      <c r="CV1945" s="2"/>
      <c r="CX1945"/>
      <c r="DC1945"/>
      <c r="DI1945"/>
      <c r="DJ1945"/>
      <c r="DK1945"/>
      <c r="DL1945"/>
      <c r="DM1945"/>
      <c r="DN1945"/>
      <c r="DT1945"/>
      <c r="DU1945"/>
    </row>
    <row r="1946" spans="57:125">
      <c r="BE1946"/>
      <c r="BF1946" s="2"/>
      <c r="CN1946"/>
      <c r="CO1946"/>
      <c r="CP1946"/>
      <c r="CQ1946"/>
      <c r="CR1946"/>
      <c r="CS1946"/>
      <c r="CT1946"/>
      <c r="CU1946"/>
      <c r="CV1946" s="2"/>
      <c r="CX1946"/>
      <c r="DC1946"/>
      <c r="DI1946"/>
      <c r="DJ1946"/>
      <c r="DK1946"/>
      <c r="DL1946"/>
      <c r="DM1946"/>
      <c r="DN1946"/>
      <c r="DT1946"/>
      <c r="DU1946"/>
    </row>
    <row r="1947" spans="57:125">
      <c r="BE1947"/>
      <c r="BF1947" s="2"/>
      <c r="CN1947"/>
      <c r="CO1947"/>
      <c r="CP1947"/>
      <c r="CQ1947"/>
      <c r="CR1947"/>
      <c r="CS1947"/>
      <c r="CT1947"/>
      <c r="CU1947"/>
      <c r="CV1947" s="2"/>
      <c r="CX1947"/>
      <c r="DC1947"/>
      <c r="DI1947"/>
      <c r="DJ1947"/>
      <c r="DK1947"/>
      <c r="DL1947"/>
      <c r="DM1947"/>
      <c r="DN1947"/>
      <c r="DT1947"/>
      <c r="DU1947"/>
    </row>
    <row r="1948" spans="57:125">
      <c r="BE1948"/>
      <c r="BF1948" s="2"/>
      <c r="CN1948"/>
      <c r="CO1948"/>
      <c r="CP1948"/>
      <c r="CQ1948"/>
      <c r="CR1948"/>
      <c r="CS1948"/>
      <c r="CT1948"/>
      <c r="CU1948"/>
      <c r="CV1948" s="2"/>
      <c r="CX1948"/>
      <c r="DC1948"/>
      <c r="DI1948"/>
      <c r="DJ1948"/>
      <c r="DK1948"/>
      <c r="DL1948"/>
      <c r="DM1948"/>
      <c r="DN1948"/>
      <c r="DT1948"/>
      <c r="DU1948"/>
    </row>
    <row r="1949" spans="57:125">
      <c r="BE1949"/>
      <c r="BF1949" s="2"/>
      <c r="CN1949"/>
      <c r="CO1949"/>
      <c r="CP1949"/>
      <c r="CQ1949"/>
      <c r="CR1949"/>
      <c r="CS1949"/>
      <c r="CT1949"/>
      <c r="CU1949"/>
      <c r="CV1949" s="2"/>
      <c r="CX1949"/>
      <c r="DC1949"/>
      <c r="DI1949"/>
      <c r="DJ1949"/>
      <c r="DK1949"/>
      <c r="DL1949"/>
      <c r="DM1949"/>
      <c r="DN1949"/>
      <c r="DT1949"/>
      <c r="DU1949"/>
    </row>
    <row r="1950" spans="57:125">
      <c r="BE1950"/>
      <c r="BF1950" s="2"/>
      <c r="CN1950"/>
      <c r="CO1950"/>
      <c r="CP1950"/>
      <c r="CQ1950"/>
      <c r="CR1950"/>
      <c r="CS1950"/>
      <c r="CT1950"/>
      <c r="CU1950"/>
      <c r="CV1950" s="2"/>
      <c r="CX1950"/>
      <c r="DC1950"/>
      <c r="DI1950"/>
      <c r="DJ1950"/>
      <c r="DK1950"/>
      <c r="DL1950"/>
      <c r="DM1950"/>
      <c r="DN1950"/>
      <c r="DT1950"/>
      <c r="DU1950"/>
    </row>
    <row r="1951" spans="57:125">
      <c r="BE1951"/>
      <c r="BF1951" s="2"/>
      <c r="CN1951"/>
      <c r="CO1951"/>
      <c r="CP1951"/>
      <c r="CQ1951"/>
      <c r="CR1951"/>
      <c r="CS1951"/>
      <c r="CT1951"/>
      <c r="CU1951"/>
      <c r="CV1951" s="2"/>
      <c r="CX1951"/>
      <c r="DC1951"/>
      <c r="DI1951"/>
      <c r="DJ1951"/>
      <c r="DK1951"/>
      <c r="DL1951"/>
      <c r="DM1951"/>
      <c r="DN1951"/>
      <c r="DT1951"/>
      <c r="DU1951"/>
    </row>
    <row r="1952" spans="57:125">
      <c r="BE1952"/>
      <c r="BF1952" s="2"/>
      <c r="CN1952"/>
      <c r="CO1952"/>
      <c r="CP1952"/>
      <c r="CQ1952"/>
      <c r="CR1952"/>
      <c r="CS1952"/>
      <c r="CT1952"/>
      <c r="CU1952"/>
      <c r="CV1952" s="2"/>
      <c r="CX1952"/>
      <c r="DC1952"/>
      <c r="DI1952"/>
      <c r="DJ1952"/>
      <c r="DK1952"/>
      <c r="DL1952"/>
      <c r="DM1952"/>
      <c r="DN1952"/>
      <c r="DT1952"/>
      <c r="DU1952"/>
    </row>
    <row r="1953" spans="57:125">
      <c r="BE1953"/>
      <c r="BF1953" s="2"/>
      <c r="CN1953"/>
      <c r="CO1953"/>
      <c r="CP1953"/>
      <c r="CQ1953"/>
      <c r="CR1953"/>
      <c r="CS1953"/>
      <c r="CT1953"/>
      <c r="CU1953"/>
      <c r="CV1953" s="2"/>
      <c r="CX1953"/>
      <c r="DC1953"/>
      <c r="DI1953"/>
      <c r="DJ1953"/>
      <c r="DK1953"/>
      <c r="DL1953"/>
      <c r="DM1953"/>
      <c r="DN1953"/>
      <c r="DT1953"/>
      <c r="DU1953"/>
    </row>
    <row r="1954" spans="57:125">
      <c r="BE1954"/>
      <c r="BF1954" s="2"/>
      <c r="CN1954"/>
      <c r="CO1954"/>
      <c r="CP1954"/>
      <c r="CQ1954"/>
      <c r="CR1954"/>
      <c r="CS1954"/>
      <c r="CT1954"/>
      <c r="CU1954"/>
      <c r="CV1954" s="2"/>
      <c r="CX1954"/>
      <c r="DC1954"/>
      <c r="DI1954"/>
      <c r="DJ1954"/>
      <c r="DK1954"/>
      <c r="DL1954"/>
      <c r="DM1954"/>
      <c r="DN1954"/>
      <c r="DT1954"/>
      <c r="DU1954"/>
    </row>
    <row r="1955" spans="57:125">
      <c r="BE1955"/>
      <c r="BF1955" s="2"/>
      <c r="CN1955"/>
      <c r="CO1955"/>
      <c r="CP1955"/>
      <c r="CQ1955"/>
      <c r="CR1955"/>
      <c r="CS1955"/>
      <c r="CT1955"/>
      <c r="CU1955"/>
      <c r="CV1955" s="2"/>
      <c r="CX1955"/>
      <c r="DC1955"/>
      <c r="DI1955"/>
      <c r="DJ1955"/>
      <c r="DK1955"/>
      <c r="DL1955"/>
      <c r="DM1955"/>
      <c r="DN1955"/>
      <c r="DT1955"/>
      <c r="DU1955"/>
    </row>
    <row r="1956" spans="57:125">
      <c r="BE1956"/>
      <c r="BF1956" s="2"/>
      <c r="CN1956"/>
      <c r="CO1956"/>
      <c r="CP1956"/>
      <c r="CQ1956"/>
      <c r="CR1956"/>
      <c r="CS1956"/>
      <c r="CT1956"/>
      <c r="CU1956"/>
      <c r="CV1956" s="2"/>
      <c r="CX1956"/>
      <c r="DC1956"/>
      <c r="DI1956"/>
      <c r="DJ1956"/>
      <c r="DK1956"/>
      <c r="DL1956"/>
      <c r="DM1956"/>
      <c r="DN1956"/>
      <c r="DT1956"/>
      <c r="DU1956"/>
    </row>
    <row r="1957" spans="57:125">
      <c r="BE1957"/>
      <c r="BF1957" s="2"/>
      <c r="CN1957"/>
      <c r="CO1957"/>
      <c r="CP1957"/>
      <c r="CQ1957"/>
      <c r="CR1957"/>
      <c r="CS1957"/>
      <c r="CT1957"/>
      <c r="CU1957"/>
      <c r="CV1957" s="2"/>
      <c r="CX1957"/>
      <c r="DC1957"/>
      <c r="DI1957"/>
      <c r="DJ1957"/>
      <c r="DK1957"/>
      <c r="DL1957"/>
      <c r="DM1957"/>
      <c r="DN1957"/>
      <c r="DT1957"/>
      <c r="DU1957"/>
    </row>
    <row r="1958" spans="57:125">
      <c r="BE1958"/>
      <c r="BF1958" s="2"/>
      <c r="CN1958"/>
      <c r="CO1958"/>
      <c r="CP1958"/>
      <c r="CQ1958"/>
      <c r="CR1958"/>
      <c r="CS1958"/>
      <c r="CT1958"/>
      <c r="CU1958"/>
      <c r="CV1958" s="2"/>
      <c r="CX1958"/>
      <c r="DC1958"/>
      <c r="DI1958"/>
      <c r="DJ1958"/>
      <c r="DK1958"/>
      <c r="DL1958"/>
      <c r="DM1958"/>
      <c r="DN1958"/>
      <c r="DT1958"/>
      <c r="DU1958"/>
    </row>
    <row r="1959" spans="57:125">
      <c r="BE1959"/>
      <c r="BF1959" s="2"/>
      <c r="CN1959"/>
      <c r="CO1959"/>
      <c r="CP1959"/>
      <c r="CQ1959"/>
      <c r="CR1959"/>
      <c r="CS1959"/>
      <c r="CT1959"/>
      <c r="CU1959"/>
      <c r="CV1959" s="2"/>
      <c r="CX1959"/>
      <c r="DC1959"/>
      <c r="DI1959"/>
      <c r="DJ1959"/>
      <c r="DK1959"/>
      <c r="DL1959"/>
      <c r="DM1959"/>
      <c r="DN1959"/>
      <c r="DT1959"/>
      <c r="DU1959"/>
    </row>
    <row r="1960" spans="57:125">
      <c r="BE1960"/>
      <c r="BF1960" s="2"/>
      <c r="CN1960"/>
      <c r="CO1960"/>
      <c r="CP1960"/>
      <c r="CQ1960"/>
      <c r="CR1960"/>
      <c r="CS1960"/>
      <c r="CT1960"/>
      <c r="CU1960"/>
      <c r="CV1960" s="2"/>
      <c r="CX1960"/>
      <c r="DC1960"/>
      <c r="DI1960"/>
      <c r="DJ1960"/>
      <c r="DK1960"/>
      <c r="DL1960"/>
      <c r="DM1960"/>
      <c r="DN1960"/>
      <c r="DT1960"/>
      <c r="DU1960"/>
    </row>
    <row r="1961" spans="57:125">
      <c r="BE1961"/>
      <c r="BF1961" s="2"/>
      <c r="CN1961"/>
      <c r="CO1961"/>
      <c r="CP1961"/>
      <c r="CQ1961"/>
      <c r="CR1961"/>
      <c r="CS1961"/>
      <c r="CT1961"/>
      <c r="CU1961"/>
      <c r="CV1961" s="2"/>
      <c r="CX1961"/>
      <c r="DC1961"/>
      <c r="DI1961"/>
      <c r="DJ1961"/>
      <c r="DK1961"/>
      <c r="DL1961"/>
      <c r="DM1961"/>
      <c r="DN1961"/>
      <c r="DT1961"/>
      <c r="DU1961"/>
    </row>
    <row r="1962" spans="57:125">
      <c r="BE1962"/>
      <c r="BF1962" s="2"/>
      <c r="CN1962"/>
      <c r="CO1962"/>
      <c r="CP1962"/>
      <c r="CQ1962"/>
      <c r="CR1962"/>
      <c r="CS1962"/>
      <c r="CT1962"/>
      <c r="CU1962"/>
      <c r="CV1962" s="2"/>
      <c r="CX1962"/>
      <c r="DC1962"/>
      <c r="DI1962"/>
      <c r="DJ1962"/>
      <c r="DK1962"/>
      <c r="DL1962"/>
      <c r="DM1962"/>
      <c r="DN1962"/>
      <c r="DT1962"/>
      <c r="DU1962"/>
    </row>
    <row r="1963" spans="57:125">
      <c r="BE1963"/>
      <c r="BF1963" s="2"/>
      <c r="CN1963"/>
      <c r="CO1963"/>
      <c r="CP1963"/>
      <c r="CQ1963"/>
      <c r="CR1963"/>
      <c r="CS1963"/>
      <c r="CT1963"/>
      <c r="CU1963"/>
      <c r="CV1963" s="2"/>
      <c r="CX1963"/>
      <c r="DC1963"/>
      <c r="DI1963"/>
      <c r="DJ1963"/>
      <c r="DK1963"/>
      <c r="DL1963"/>
      <c r="DM1963"/>
      <c r="DN1963"/>
      <c r="DT1963"/>
      <c r="DU1963"/>
    </row>
    <row r="1964" spans="57:125">
      <c r="BE1964"/>
      <c r="BF1964" s="2"/>
      <c r="CN1964"/>
      <c r="CO1964"/>
      <c r="CP1964"/>
      <c r="CQ1964"/>
      <c r="CR1964"/>
      <c r="CS1964"/>
      <c r="CT1964"/>
      <c r="CU1964"/>
      <c r="CV1964" s="2"/>
      <c r="CX1964"/>
      <c r="DC1964"/>
      <c r="DI1964"/>
      <c r="DJ1964"/>
      <c r="DK1964"/>
      <c r="DL1964"/>
      <c r="DM1964"/>
      <c r="DN1964"/>
      <c r="DT1964"/>
      <c r="DU1964"/>
    </row>
    <row r="1965" spans="57:125">
      <c r="BE1965"/>
      <c r="BF1965" s="2"/>
      <c r="CN1965"/>
      <c r="CO1965"/>
      <c r="CP1965"/>
      <c r="CQ1965"/>
      <c r="CR1965"/>
      <c r="CS1965"/>
      <c r="CT1965"/>
      <c r="CU1965"/>
      <c r="CV1965" s="2"/>
      <c r="CX1965"/>
      <c r="DC1965"/>
      <c r="DI1965"/>
      <c r="DJ1965"/>
      <c r="DK1965"/>
      <c r="DL1965"/>
      <c r="DM1965"/>
      <c r="DN1965"/>
      <c r="DT1965"/>
      <c r="DU1965"/>
    </row>
    <row r="1966" spans="57:125">
      <c r="BE1966"/>
      <c r="BF1966" s="2"/>
      <c r="CN1966"/>
      <c r="CO1966"/>
      <c r="CP1966"/>
      <c r="CQ1966"/>
      <c r="CR1966"/>
      <c r="CS1966"/>
      <c r="CT1966"/>
      <c r="CU1966"/>
      <c r="CV1966" s="2"/>
      <c r="CX1966"/>
      <c r="DC1966"/>
      <c r="DI1966"/>
      <c r="DJ1966"/>
      <c r="DK1966"/>
      <c r="DL1966"/>
      <c r="DM1966"/>
      <c r="DN1966"/>
      <c r="DT1966"/>
      <c r="DU1966"/>
    </row>
    <row r="1967" spans="57:125">
      <c r="BE1967"/>
      <c r="BF1967" s="2"/>
      <c r="CN1967"/>
      <c r="CO1967"/>
      <c r="CP1967"/>
      <c r="CQ1967"/>
      <c r="CR1967"/>
      <c r="CS1967"/>
      <c r="CT1967"/>
      <c r="CU1967"/>
      <c r="CV1967" s="2"/>
      <c r="CX1967"/>
      <c r="DC1967"/>
      <c r="DI1967"/>
      <c r="DJ1967"/>
      <c r="DK1967"/>
      <c r="DL1967"/>
      <c r="DM1967"/>
      <c r="DN1967"/>
      <c r="DT1967"/>
      <c r="DU1967"/>
    </row>
    <row r="1968" spans="57:125">
      <c r="BE1968"/>
      <c r="BF1968" s="2"/>
      <c r="CN1968"/>
      <c r="CO1968"/>
      <c r="CP1968"/>
      <c r="CQ1968"/>
      <c r="CR1968"/>
      <c r="CS1968"/>
      <c r="CT1968"/>
      <c r="CU1968"/>
      <c r="CV1968" s="2"/>
      <c r="CX1968"/>
      <c r="DC1968"/>
      <c r="DI1968"/>
      <c r="DJ1968"/>
      <c r="DK1968"/>
      <c r="DL1968"/>
      <c r="DM1968"/>
      <c r="DN1968"/>
      <c r="DT1968"/>
      <c r="DU1968"/>
    </row>
  </sheetData>
  <autoFilter ref="A7:HT1745" xr:uid="{00000000-0009-0000-0000-000000000000}">
    <sortState xmlns:xlrd2="http://schemas.microsoft.com/office/spreadsheetml/2017/richdata2" ref="A8:EU1745">
      <sortCondition ref="CU7:CU1745"/>
    </sortState>
  </autoFilter>
  <sortState xmlns:xlrd2="http://schemas.microsoft.com/office/spreadsheetml/2017/richdata2" ref="A4:CV1293">
    <sortCondition ref="D4:D1293"/>
    <sortCondition ref="I4:I1293"/>
  </sortState>
  <conditionalFormatting sqref="T13 BJ87:BJ96 BJ99:BJ102">
    <cfRule type="cellIs" dxfId="215" priority="227" operator="equal">
      <formula>0</formula>
    </cfRule>
  </conditionalFormatting>
  <conditionalFormatting sqref="T16">
    <cfRule type="cellIs" dxfId="214" priority="233" operator="equal">
      <formula>0</formula>
    </cfRule>
  </conditionalFormatting>
  <conditionalFormatting sqref="T1297">
    <cfRule type="cellIs" dxfId="213" priority="151" operator="equal">
      <formula>0</formula>
    </cfRule>
  </conditionalFormatting>
  <conditionalFormatting sqref="T1349:T1363">
    <cfRule type="cellIs" dxfId="212" priority="150" operator="equal">
      <formula>0</formula>
    </cfRule>
  </conditionalFormatting>
  <conditionalFormatting sqref="T1614 U1617:U1618">
    <cfRule type="cellIs" dxfId="211" priority="55" operator="equal">
      <formula>0</formula>
    </cfRule>
  </conditionalFormatting>
  <conditionalFormatting sqref="T1619">
    <cfRule type="cellIs" dxfId="210" priority="54" operator="equal">
      <formula>0</formula>
    </cfRule>
  </conditionalFormatting>
  <conditionalFormatting sqref="U8:U10">
    <cfRule type="cellIs" dxfId="209" priority="226" operator="equal">
      <formula>0</formula>
    </cfRule>
  </conditionalFormatting>
  <conditionalFormatting sqref="U12">
    <cfRule type="cellIs" dxfId="208" priority="225" operator="equal">
      <formula>0</formula>
    </cfRule>
  </conditionalFormatting>
  <conditionalFormatting sqref="U1508:U1509">
    <cfRule type="cellIs" dxfId="207" priority="89" operator="equal">
      <formula>0</formula>
    </cfRule>
    <cfRule type="cellIs" dxfId="206" priority="88" operator="equal">
      <formula>0</formula>
    </cfRule>
  </conditionalFormatting>
  <conditionalFormatting sqref="U1611:U1613">
    <cfRule type="cellIs" dxfId="205" priority="47" operator="equal">
      <formula>0</formula>
    </cfRule>
  </conditionalFormatting>
  <conditionalFormatting sqref="U1615">
    <cfRule type="cellIs" dxfId="204" priority="46" operator="equal">
      <formula>0</formula>
    </cfRule>
  </conditionalFormatting>
  <conditionalFormatting sqref="V41:AY1241 DD88:DT1241 BG41:BG1096 DV41:EJ1241 EM41:EM1241">
    <cfRule type="cellIs" dxfId="203" priority="610" operator="equal">
      <formula>0</formula>
    </cfRule>
  </conditionalFormatting>
  <conditionalFormatting sqref="V1365:AY1453 DV1365:EM1480 Z1454:AC1454 Y1454:Y1457 V1454:W1461 AD1454:AI1461 AA1455:AA1461 AC1455:AC1461 EA1481:EA1489">
    <cfRule type="cellIs" dxfId="202" priority="145" operator="equal">
      <formula>0</formula>
    </cfRule>
  </conditionalFormatting>
  <conditionalFormatting sqref="V1454:AY1480">
    <cfRule type="cellIs" dxfId="201" priority="95" operator="equal">
      <formula>0</formula>
    </cfRule>
  </conditionalFormatting>
  <conditionalFormatting sqref="V1620:AY1649 AX1745 DV1554:EM1662 BZ1617:CM1662 DV1733:DZ1744 EB1733:EM1744 DV1745:EM1745">
    <cfRule type="cellIs" dxfId="200" priority="33" operator="equal">
      <formula>0</formula>
    </cfRule>
  </conditionalFormatting>
  <conditionalFormatting sqref="V1733:AY1745 AZ1620:BD1745 DD1733:DG1744 DI1733:DT1744">
    <cfRule type="cellIs" dxfId="199" priority="12" operator="equal">
      <formula>0</formula>
    </cfRule>
  </conditionalFormatting>
  <conditionalFormatting sqref="V8:BD1241">
    <cfRule type="cellIs" dxfId="198" priority="210" operator="equal">
      <formula>0</formula>
    </cfRule>
  </conditionalFormatting>
  <conditionalFormatting sqref="V1610:BD1619 DD1610:DT1619">
    <cfRule type="cellIs" dxfId="197" priority="44" operator="equal">
      <formula>0</formula>
    </cfRule>
  </conditionalFormatting>
  <conditionalFormatting sqref="W1364:AY1364 DV1364 T1365:T1376">
    <cfRule type="cellIs" dxfId="196" priority="152" operator="equal">
      <formula>0</formula>
    </cfRule>
  </conditionalFormatting>
  <conditionalFormatting sqref="X53:Y53">
    <cfRule type="cellIs" dxfId="195" priority="236" operator="equal">
      <formula>0</formula>
    </cfRule>
    <cfRule type="cellIs" dxfId="194" priority="238" operator="equal">
      <formula>0</formula>
    </cfRule>
  </conditionalFormatting>
  <conditionalFormatting sqref="X1451:Y1451">
    <cfRule type="cellIs" dxfId="193" priority="144" operator="equal">
      <formula>0</formula>
    </cfRule>
  </conditionalFormatting>
  <conditionalFormatting sqref="X1451:Y1452">
    <cfRule type="cellIs" dxfId="192" priority="119" operator="equal">
      <formula>0</formula>
    </cfRule>
  </conditionalFormatting>
  <conditionalFormatting sqref="AM50:AP50">
    <cfRule type="cellIs" dxfId="191" priority="239" operator="equal">
      <formula>0</formula>
    </cfRule>
    <cfRule type="cellIs" dxfId="190" priority="237" operator="equal">
      <formula>0</formula>
    </cfRule>
  </conditionalFormatting>
  <conditionalFormatting sqref="AX1620:AX1662 DD1620:DG1662 DI1620:DT1662 DH1620:DH1663 AD1650:AH1650 V1650:AC1662 AJ1650:AW1662 AY1650:AY1662 AD1651:AI1662">
    <cfRule type="cellIs" dxfId="189" priority="32" operator="equal">
      <formula>0</formula>
    </cfRule>
  </conditionalFormatting>
  <conditionalFormatting sqref="AX1648:AX1662 BZ1648:CM1662 DV1648:EM1662 DV1733:DZ1744 EB1733:EM1744 AX1745 DV1745:EM1745">
    <cfRule type="cellIs" dxfId="188" priority="36" operator="equal">
      <formula>0</formula>
    </cfRule>
  </conditionalFormatting>
  <conditionalFormatting sqref="AZ1620:BD1732 V1733:BD1744 DD1733:DG1744 DI1733:DT1744">
    <cfRule type="cellIs" dxfId="187" priority="13" operator="equal">
      <formula>0</formula>
    </cfRule>
  </conditionalFormatting>
  <conditionalFormatting sqref="BG8:BG1096">
    <cfRule type="cellIs" dxfId="186" priority="218" operator="equal">
      <formula>0</formula>
    </cfRule>
  </conditionalFormatting>
  <conditionalFormatting sqref="BG1098:BG1103 BG1105:BG1110 BG1112:BG1117">
    <cfRule type="cellIs" dxfId="185" priority="186" operator="equal">
      <formula>0</formula>
    </cfRule>
    <cfRule type="cellIs" dxfId="184" priority="189" operator="equal">
      <formula>0</formula>
    </cfRule>
  </conditionalFormatting>
  <conditionalFormatting sqref="BG1510:BG1536">
    <cfRule type="cellIs" dxfId="183" priority="74" operator="equal">
      <formula>0</formula>
    </cfRule>
  </conditionalFormatting>
  <conditionalFormatting sqref="BG1528:BG1532">
    <cfRule type="cellIs" dxfId="182" priority="73" operator="equal">
      <formula>0</formula>
    </cfRule>
  </conditionalFormatting>
  <conditionalFormatting sqref="BG1538:BG1609">
    <cfRule type="cellIs" dxfId="181" priority="61" operator="equal">
      <formula>0</formula>
    </cfRule>
  </conditionalFormatting>
  <conditionalFormatting sqref="BG1611:BG1745">
    <cfRule type="cellIs" dxfId="180" priority="1" operator="equal">
      <formula>0</formula>
    </cfRule>
  </conditionalFormatting>
  <conditionalFormatting sqref="BG1648:BG1745">
    <cfRule type="cellIs" dxfId="179" priority="2" operator="equal">
      <formula>0</formula>
    </cfRule>
  </conditionalFormatting>
  <conditionalFormatting sqref="BJ87:BJ96 BJ99:BJ102 DH8:DN87 DT8:DT87 DD41:DG87 DO41:DS87">
    <cfRule type="cellIs" dxfId="178" priority="231" operator="equal">
      <formula>0</formula>
    </cfRule>
  </conditionalFormatting>
  <conditionalFormatting sqref="BJ553:BJ562 BJ565:BJ568">
    <cfRule type="cellIs" dxfId="177" priority="207" operator="equal">
      <formula>0</formula>
    </cfRule>
    <cfRule type="cellIs" dxfId="176" priority="209" operator="equal">
      <formula>0</formula>
    </cfRule>
  </conditionalFormatting>
  <conditionalFormatting sqref="BK8:BK13">
    <cfRule type="expression" dxfId="175" priority="243">
      <formula>$BK8&lt;#REF!</formula>
    </cfRule>
  </conditionalFormatting>
  <conditionalFormatting sqref="BK16 BK19 BK26">
    <cfRule type="expression" dxfId="174" priority="240">
      <formula>$BK16&lt;#REF!</formula>
    </cfRule>
  </conditionalFormatting>
  <conditionalFormatting sqref="BK88:BK91">
    <cfRule type="expression" dxfId="173" priority="245">
      <formula>$BK88&lt;#REF!</formula>
    </cfRule>
  </conditionalFormatting>
  <conditionalFormatting sqref="BK554:BK557">
    <cfRule type="expression" dxfId="172" priority="211">
      <formula>$BK554&lt;#REF!</formula>
    </cfRule>
  </conditionalFormatting>
  <conditionalFormatting sqref="BK868 CO868:CQ868 CT868 BK1071:BK1072 CT1071:CT1072 BK1075 CO1075:CQ1075 CT1075">
    <cfRule type="expression" dxfId="171" priority="180">
      <formula>$BK868&lt;$BL868</formula>
    </cfRule>
  </conditionalFormatting>
  <conditionalFormatting sqref="BK873:BK875 CN873:CN875">
    <cfRule type="expression" dxfId="170" priority="194">
      <formula>$BK873&lt;#REF!</formula>
    </cfRule>
  </conditionalFormatting>
  <conditionalFormatting sqref="BK1297">
    <cfRule type="expression" dxfId="169" priority="155">
      <formula>$BK1297&lt;#REF!</formula>
    </cfRule>
  </conditionalFormatting>
  <conditionalFormatting sqref="BK1451:BK1452">
    <cfRule type="expression" dxfId="168" priority="148">
      <formula>#REF!&lt;$BK1451</formula>
    </cfRule>
  </conditionalFormatting>
  <conditionalFormatting sqref="BK1517">
    <cfRule type="expression" dxfId="167" priority="63">
      <formula>$BK1517&lt;$BL1517</formula>
    </cfRule>
  </conditionalFormatting>
  <conditionalFormatting sqref="BK1610:BK1616">
    <cfRule type="expression" dxfId="166" priority="59">
      <formula>$BK1610&lt;#REF!</formula>
    </cfRule>
  </conditionalFormatting>
  <conditionalFormatting sqref="BK1619">
    <cfRule type="expression" dxfId="165" priority="56">
      <formula>$BK1619&lt;#REF!</formula>
    </cfRule>
  </conditionalFormatting>
  <conditionalFormatting sqref="BL14:BL15 BL99:BL277 BL281:BL367 CT870:CT1056 BL876:BL1056 CN876:CQ1056">
    <cfRule type="expression" dxfId="164" priority="241">
      <formula>$BL14&lt;$BK14</formula>
    </cfRule>
  </conditionalFormatting>
  <conditionalFormatting sqref="BL17:BL87">
    <cfRule type="expression" dxfId="163" priority="224">
      <formula>$BL17&lt;$BK17</formula>
    </cfRule>
  </conditionalFormatting>
  <conditionalFormatting sqref="BL92:BL97 BK98">
    <cfRule type="expression" dxfId="162" priority="223">
      <formula>$BL92&lt;$BK92</formula>
    </cfRule>
  </conditionalFormatting>
  <conditionalFormatting sqref="BL558:BL563 BK564">
    <cfRule type="expression" dxfId="161" priority="204">
      <formula>$BL558&lt;$BK558</formula>
    </cfRule>
  </conditionalFormatting>
  <conditionalFormatting sqref="BL1076">
    <cfRule type="expression" dxfId="160" priority="196">
      <formula>$BL1076&lt;#REF!</formula>
    </cfRule>
  </conditionalFormatting>
  <conditionalFormatting sqref="BL1314:BL1321 BL1323:BL1329">
    <cfRule type="expression" dxfId="159" priority="156">
      <formula>$BL1314&lt;$BK1313</formula>
    </cfRule>
  </conditionalFormatting>
  <conditionalFormatting sqref="BL1322">
    <cfRule type="expression" dxfId="158" priority="163">
      <formula>$BL1322&lt;#REF!</formula>
    </cfRule>
  </conditionalFormatting>
  <conditionalFormatting sqref="BL1330:BL1345">
    <cfRule type="expression" dxfId="157" priority="157">
      <formula>$BL1330&lt;$BK1328</formula>
    </cfRule>
  </conditionalFormatting>
  <conditionalFormatting sqref="BL1365:BL1450">
    <cfRule type="expression" dxfId="156" priority="110">
      <formula>$BL1365&lt;$BK1365</formula>
    </cfRule>
  </conditionalFormatting>
  <conditionalFormatting sqref="BL1453:BL1456">
    <cfRule type="expression" dxfId="155" priority="115">
      <formula>$BL1453&lt;$BK1453</formula>
    </cfRule>
  </conditionalFormatting>
  <conditionalFormatting sqref="BL1548:BL1551">
    <cfRule type="expression" dxfId="154" priority="65">
      <formula>$BK1548&lt;#REF!</formula>
    </cfRule>
  </conditionalFormatting>
  <conditionalFormatting sqref="BL1617:BL1618">
    <cfRule type="expression" dxfId="153" priority="57">
      <formula>$BL1617&lt;$BK1617</formula>
    </cfRule>
  </conditionalFormatting>
  <conditionalFormatting sqref="BL1624 BL1628 BL1632">
    <cfRule type="expression" dxfId="152" priority="37">
      <formula>$BL1624&lt;$BK1623</formula>
    </cfRule>
  </conditionalFormatting>
  <conditionalFormatting sqref="BL1728">
    <cfRule type="expression" dxfId="151" priority="42">
      <formula>$BG1728&lt;$CM1728</formula>
    </cfRule>
  </conditionalFormatting>
  <conditionalFormatting sqref="BL1733:BL1745">
    <cfRule type="expression" dxfId="150" priority="3">
      <formula>$BL1733&lt;$BK1733</formula>
    </cfRule>
  </conditionalFormatting>
  <conditionalFormatting sqref="BS4:BS7 BS1746:BS1048576">
    <cfRule type="duplicateValues" dxfId="149" priority="1078"/>
  </conditionalFormatting>
  <conditionalFormatting sqref="BS460:BS487 BS489:BS490 BS492:BS539">
    <cfRule type="duplicateValues" dxfId="148" priority="220"/>
  </conditionalFormatting>
  <conditionalFormatting sqref="BS1365:BS1377 BS1297:BS1363">
    <cfRule type="duplicateValues" dxfId="147" priority="160"/>
  </conditionalFormatting>
  <conditionalFormatting sqref="BS1384">
    <cfRule type="duplicateValues" dxfId="146" priority="137"/>
  </conditionalFormatting>
  <conditionalFormatting sqref="BS1385">
    <cfRule type="duplicateValues" dxfId="145" priority="139"/>
  </conditionalFormatting>
  <conditionalFormatting sqref="BS1386">
    <cfRule type="duplicateValues" dxfId="144" priority="143"/>
  </conditionalFormatting>
  <conditionalFormatting sqref="BS1387">
    <cfRule type="duplicateValues" dxfId="143" priority="142"/>
  </conditionalFormatting>
  <conditionalFormatting sqref="BS1388">
    <cfRule type="duplicateValues" dxfId="142" priority="141"/>
  </conditionalFormatting>
  <conditionalFormatting sqref="BS1389">
    <cfRule type="duplicateValues" dxfId="141" priority="136"/>
  </conditionalFormatting>
  <conditionalFormatting sqref="BS1391">
    <cfRule type="duplicateValues" dxfId="140" priority="135"/>
  </conditionalFormatting>
  <conditionalFormatting sqref="BS1392">
    <cfRule type="duplicateValues" dxfId="139" priority="134"/>
  </conditionalFormatting>
  <conditionalFormatting sqref="BS1393">
    <cfRule type="duplicateValues" dxfId="138" priority="133"/>
  </conditionalFormatting>
  <conditionalFormatting sqref="BS1404:BS1413">
    <cfRule type="duplicateValues" dxfId="137" priority="147"/>
  </conditionalFormatting>
  <conditionalFormatting sqref="BS1414">
    <cfRule type="duplicateValues" dxfId="136" priority="132"/>
  </conditionalFormatting>
  <conditionalFormatting sqref="BS1415:BS1419">
    <cfRule type="duplicateValues" dxfId="135" priority="131"/>
  </conditionalFormatting>
  <conditionalFormatting sqref="BS1420">
    <cfRule type="duplicateValues" dxfId="134" priority="130"/>
  </conditionalFormatting>
  <conditionalFormatting sqref="BS1421:BS1425">
    <cfRule type="duplicateValues" dxfId="133" priority="129"/>
  </conditionalFormatting>
  <conditionalFormatting sqref="BS1426">
    <cfRule type="duplicateValues" dxfId="132" priority="128"/>
  </conditionalFormatting>
  <conditionalFormatting sqref="BS1427:BS1431">
    <cfRule type="duplicateValues" dxfId="131" priority="127"/>
  </conditionalFormatting>
  <conditionalFormatting sqref="BS1432">
    <cfRule type="duplicateValues" dxfId="130" priority="126"/>
  </conditionalFormatting>
  <conditionalFormatting sqref="BS1433:BS1437">
    <cfRule type="duplicateValues" dxfId="129" priority="125"/>
  </conditionalFormatting>
  <conditionalFormatting sqref="BS1438">
    <cfRule type="duplicateValues" dxfId="128" priority="124"/>
  </conditionalFormatting>
  <conditionalFormatting sqref="BS1439:BS1443">
    <cfRule type="duplicateValues" dxfId="127" priority="123"/>
  </conditionalFormatting>
  <conditionalFormatting sqref="BS1444">
    <cfRule type="duplicateValues" dxfId="126" priority="122"/>
  </conditionalFormatting>
  <conditionalFormatting sqref="BS1445:BS1449">
    <cfRule type="duplicateValues" dxfId="125" priority="121"/>
  </conditionalFormatting>
  <conditionalFormatting sqref="BS1452">
    <cfRule type="duplicateValues" dxfId="124" priority="120"/>
  </conditionalFormatting>
  <conditionalFormatting sqref="BS1454">
    <cfRule type="duplicateValues" dxfId="123" priority="118"/>
  </conditionalFormatting>
  <conditionalFormatting sqref="BS1455">
    <cfRule type="duplicateValues" dxfId="122" priority="117"/>
  </conditionalFormatting>
  <conditionalFormatting sqref="BS1456">
    <cfRule type="duplicateValues" dxfId="121" priority="116"/>
  </conditionalFormatting>
  <conditionalFormatting sqref="BS1457">
    <cfRule type="duplicateValues" dxfId="120" priority="114"/>
  </conditionalFormatting>
  <conditionalFormatting sqref="BS1458">
    <cfRule type="duplicateValues" dxfId="119" priority="113"/>
  </conditionalFormatting>
  <conditionalFormatting sqref="BS1459">
    <cfRule type="duplicateValues" dxfId="118" priority="112"/>
  </conditionalFormatting>
  <conditionalFormatting sqref="BS1460">
    <cfRule type="duplicateValues" dxfId="117" priority="109"/>
  </conditionalFormatting>
  <conditionalFormatting sqref="BS1462">
    <cfRule type="duplicateValues" dxfId="116" priority="108"/>
  </conditionalFormatting>
  <conditionalFormatting sqref="BS1463">
    <cfRule type="duplicateValues" dxfId="115" priority="149"/>
  </conditionalFormatting>
  <conditionalFormatting sqref="BS1464">
    <cfRule type="duplicateValues" dxfId="114" priority="106"/>
  </conditionalFormatting>
  <conditionalFormatting sqref="BS1465">
    <cfRule type="duplicateValues" dxfId="113" priority="107"/>
  </conditionalFormatting>
  <conditionalFormatting sqref="BS1466">
    <cfRule type="duplicateValues" dxfId="112" priority="104"/>
  </conditionalFormatting>
  <conditionalFormatting sqref="BS1467">
    <cfRule type="duplicateValues" dxfId="111" priority="105"/>
  </conditionalFormatting>
  <conditionalFormatting sqref="BS1468">
    <cfRule type="duplicateValues" dxfId="110" priority="102"/>
  </conditionalFormatting>
  <conditionalFormatting sqref="BS1469">
    <cfRule type="duplicateValues" dxfId="109" priority="103"/>
  </conditionalFormatting>
  <conditionalFormatting sqref="BS1470">
    <cfRule type="duplicateValues" dxfId="108" priority="100"/>
  </conditionalFormatting>
  <conditionalFormatting sqref="BS1471">
    <cfRule type="duplicateValues" dxfId="107" priority="101"/>
  </conditionalFormatting>
  <conditionalFormatting sqref="BS1472">
    <cfRule type="duplicateValues" dxfId="106" priority="99"/>
  </conditionalFormatting>
  <conditionalFormatting sqref="BS1473 BS1453 BS1450:BS1451 BS1394:BS1403 BS1461 BS1378:BS1381">
    <cfRule type="duplicateValues" dxfId="105" priority="146"/>
  </conditionalFormatting>
  <conditionalFormatting sqref="BS1474:BS1476">
    <cfRule type="duplicateValues" dxfId="104" priority="98"/>
  </conditionalFormatting>
  <conditionalFormatting sqref="BS1477">
    <cfRule type="duplicateValues" dxfId="103" priority="97"/>
  </conditionalFormatting>
  <conditionalFormatting sqref="BS1478:BS1480">
    <cfRule type="duplicateValues" dxfId="102" priority="96"/>
  </conditionalFormatting>
  <conditionalFormatting sqref="BS1481:BS1516 BS1518:BS1527">
    <cfRule type="duplicateValues" dxfId="101" priority="162"/>
  </conditionalFormatting>
  <conditionalFormatting sqref="BS1528:BS1552">
    <cfRule type="duplicateValues" dxfId="100" priority="84"/>
  </conditionalFormatting>
  <conditionalFormatting sqref="BS1570">
    <cfRule type="duplicateValues" dxfId="99" priority="70"/>
  </conditionalFormatting>
  <conditionalFormatting sqref="BS1571">
    <cfRule type="duplicateValues" dxfId="98" priority="69"/>
  </conditionalFormatting>
  <conditionalFormatting sqref="BS1572">
    <cfRule type="duplicateValues" dxfId="97" priority="68"/>
  </conditionalFormatting>
  <conditionalFormatting sqref="BS1594:BS1609">
    <cfRule type="duplicateValues" dxfId="96" priority="161"/>
  </conditionalFormatting>
  <conditionalFormatting sqref="BS1617:BS1619">
    <cfRule type="duplicateValues" dxfId="95" priority="58"/>
  </conditionalFormatting>
  <conditionalFormatting sqref="BS1620:BS1662">
    <cfRule type="duplicateValues" dxfId="94" priority="41"/>
  </conditionalFormatting>
  <conditionalFormatting sqref="BS1693:BS1695 BS1663:BS1690 BS1729:BS1732 BS1698:BS1727">
    <cfRule type="duplicateValues" dxfId="93" priority="38"/>
  </conditionalFormatting>
  <conditionalFormatting sqref="BS1728">
    <cfRule type="duplicateValues" dxfId="92" priority="26"/>
  </conditionalFormatting>
  <conditionalFormatting sqref="BS1733">
    <cfRule type="duplicateValues" dxfId="91" priority="25"/>
  </conditionalFormatting>
  <conditionalFormatting sqref="BS1734">
    <cfRule type="duplicateValues" dxfId="90" priority="24"/>
  </conditionalFormatting>
  <conditionalFormatting sqref="BS1735">
    <cfRule type="duplicateValues" dxfId="89" priority="23"/>
  </conditionalFormatting>
  <conditionalFormatting sqref="BS1736">
    <cfRule type="duplicateValues" dxfId="88" priority="22"/>
  </conditionalFormatting>
  <conditionalFormatting sqref="BS1737">
    <cfRule type="duplicateValues" dxfId="87" priority="21"/>
  </conditionalFormatting>
  <conditionalFormatting sqref="BS1738">
    <cfRule type="duplicateValues" dxfId="86" priority="20"/>
  </conditionalFormatting>
  <conditionalFormatting sqref="BS1739">
    <cfRule type="duplicateValues" dxfId="85" priority="19"/>
  </conditionalFormatting>
  <conditionalFormatting sqref="BS1740">
    <cfRule type="duplicateValues" dxfId="84" priority="18"/>
  </conditionalFormatting>
  <conditionalFormatting sqref="BS1741">
    <cfRule type="duplicateValues" dxfId="83" priority="17"/>
  </conditionalFormatting>
  <conditionalFormatting sqref="BS1742">
    <cfRule type="duplicateValues" dxfId="82" priority="16"/>
  </conditionalFormatting>
  <conditionalFormatting sqref="BS1743">
    <cfRule type="duplicateValues" dxfId="81" priority="15"/>
  </conditionalFormatting>
  <conditionalFormatting sqref="BS1744">
    <cfRule type="duplicateValues" dxfId="80" priority="14"/>
  </conditionalFormatting>
  <conditionalFormatting sqref="BT8 BT10:BT12">
    <cfRule type="duplicateValues" dxfId="79" priority="244"/>
  </conditionalFormatting>
  <conditionalFormatting sqref="BT163:BT168 BS14:BS25 BS92:BS95 BT88:BT91 BS97 BT98 BS363:BS459 BS27:BS32 BS34:BS87 BS275:BS361 BS103:BS271">
    <cfRule type="duplicateValues" dxfId="78" priority="242"/>
  </conditionalFormatting>
  <conditionalFormatting sqref="BT272:BT273">
    <cfRule type="duplicateValues" dxfId="77" priority="222"/>
  </conditionalFormatting>
  <conditionalFormatting sqref="BT488">
    <cfRule type="duplicateValues" dxfId="76" priority="213"/>
  </conditionalFormatting>
  <conditionalFormatting sqref="BT629:BT634 BS558:BS561 BT554:BT557 BS563 BT564 BS569:BS727 BS540:BS553 BS731:BS817 BS819:BS867">
    <cfRule type="duplicateValues" dxfId="75" priority="212"/>
  </conditionalFormatting>
  <conditionalFormatting sqref="BT728:BT730">
    <cfRule type="duplicateValues" dxfId="74" priority="203"/>
  </conditionalFormatting>
  <conditionalFormatting sqref="BT1005:BT1015 BT1057 BS870:BS899 BS1058:BS1066 BS1073:BS1074 BT1075 BS1077:BS1120 BU1071:BU1072 BS1124:BS1204 BS957:BS961 BS963:BS970 BS972 BS974:BS982 BS984:BS1003 BS1016 BT868:BT869 BS1018:BS1056 BS1068:BS1070 BS905:BS955">
    <cfRule type="duplicateValues" dxfId="73" priority="195"/>
  </conditionalFormatting>
  <conditionalFormatting sqref="BT1017">
    <cfRule type="duplicateValues" dxfId="72" priority="178"/>
  </conditionalFormatting>
  <conditionalFormatting sqref="BT1067">
    <cfRule type="duplicateValues" dxfId="71" priority="177"/>
  </conditionalFormatting>
  <conditionalFormatting sqref="BT1071:BT1072">
    <cfRule type="duplicateValues" dxfId="70" priority="181"/>
  </conditionalFormatting>
  <conditionalFormatting sqref="BT1205:BT1222 BT1227:BT1241 BS1223:BS1226">
    <cfRule type="duplicateValues" dxfId="69" priority="176"/>
  </conditionalFormatting>
  <conditionalFormatting sqref="BT1267 BT1265 BT1271 BT1269 BT1273:BT1274 BS1242:BS1296">
    <cfRule type="duplicateValues" dxfId="68" priority="159"/>
  </conditionalFormatting>
  <conditionalFormatting sqref="BT1382">
    <cfRule type="duplicateValues" dxfId="67" priority="140"/>
  </conditionalFormatting>
  <conditionalFormatting sqref="BT1385">
    <cfRule type="duplicateValues" dxfId="66" priority="138"/>
  </conditionalFormatting>
  <conditionalFormatting sqref="BT1611 BT1613:BT1615">
    <cfRule type="duplicateValues" dxfId="65" priority="60"/>
  </conditionalFormatting>
  <conditionalFormatting sqref="BU8:BU95 BS88:BS91 BT96:BU96">
    <cfRule type="cellIs" dxfId="64" priority="230" operator="greaterThan">
      <formula>3</formula>
    </cfRule>
  </conditionalFormatting>
  <conditionalFormatting sqref="BU97:BU561 BS554:BS557 BT562:BU562">
    <cfRule type="cellIs" dxfId="63" priority="208" operator="greaterThan">
      <formula>3</formula>
    </cfRule>
  </conditionalFormatting>
  <conditionalFormatting sqref="BU563:BU869">
    <cfRule type="cellIs" dxfId="62" priority="192" operator="greaterThan">
      <formula>3</formula>
    </cfRule>
  </conditionalFormatting>
  <conditionalFormatting sqref="BU1205:BU1240">
    <cfRule type="cellIs" dxfId="61" priority="174" operator="greaterThan">
      <formula>3</formula>
    </cfRule>
  </conditionalFormatting>
  <conditionalFormatting sqref="BU1297:BU1363 BU1481:BU1507 BT1508:BT1509 BU1510:BU1584">
    <cfRule type="cellIs" dxfId="60" priority="87" operator="greaterThan">
      <formula>3</formula>
    </cfRule>
  </conditionalFormatting>
  <conditionalFormatting sqref="BU1365:BU1377">
    <cfRule type="cellIs" dxfId="59" priority="153" operator="greaterThan">
      <formula>3</formula>
    </cfRule>
  </conditionalFormatting>
  <conditionalFormatting sqref="BU1393:BU1459">
    <cfRule type="cellIs" dxfId="58" priority="111" operator="greaterThan">
      <formula>3</formula>
    </cfRule>
  </conditionalFormatting>
  <conditionalFormatting sqref="BU1593:BU1609">
    <cfRule type="cellIs" dxfId="57" priority="75" operator="greaterThan">
      <formula>3</formula>
    </cfRule>
  </conditionalFormatting>
  <conditionalFormatting sqref="BU1611:BU1662">
    <cfRule type="cellIs" dxfId="56" priority="30" operator="greaterThan">
      <formula>3</formula>
    </cfRule>
  </conditionalFormatting>
  <conditionalFormatting sqref="BU1712:BU1719">
    <cfRule type="cellIs" dxfId="55" priority="29" operator="greaterThan">
      <formula>3</formula>
    </cfRule>
  </conditionalFormatting>
  <conditionalFormatting sqref="BU1728:BU1744">
    <cfRule type="cellIs" dxfId="54" priority="11" operator="greaterThan">
      <formula>3</formula>
    </cfRule>
  </conditionalFormatting>
  <conditionalFormatting sqref="BU1378:BV1392">
    <cfRule type="cellIs" dxfId="53" priority="67" operator="greaterThan">
      <formula>3</formula>
    </cfRule>
  </conditionalFormatting>
  <conditionalFormatting sqref="BU1460:BV1480">
    <cfRule type="cellIs" dxfId="52" priority="94" operator="greaterThan">
      <formula>3</formula>
    </cfRule>
  </conditionalFormatting>
  <conditionalFormatting sqref="BV43:BV48">
    <cfRule type="cellIs" dxfId="51" priority="235" operator="greaterThan">
      <formula>3</formula>
    </cfRule>
  </conditionalFormatting>
  <conditionalFormatting sqref="BX1508:BX1509">
    <cfRule type="cellIs" dxfId="50" priority="85" operator="lessThan">
      <formula>-4</formula>
    </cfRule>
    <cfRule type="cellIs" dxfId="49" priority="86" operator="greaterThan">
      <formula>4</formula>
    </cfRule>
  </conditionalFormatting>
  <conditionalFormatting sqref="BY8:CM1745">
    <cfRule type="cellIs" dxfId="48" priority="34" operator="lessThan">
      <formula>-4</formula>
    </cfRule>
    <cfRule type="cellIs" dxfId="47" priority="35" operator="greaterThan">
      <formula>4</formula>
    </cfRule>
  </conditionalFormatting>
  <conditionalFormatting sqref="BZ1610:BZ1616 CA1611:CM1616 T1616">
    <cfRule type="cellIs" dxfId="46" priority="49" operator="equal">
      <formula>0</formula>
    </cfRule>
  </conditionalFormatting>
  <conditionalFormatting sqref="BZ1728:CM1728">
    <cfRule type="cellIs" dxfId="45" priority="28" operator="equal">
      <formula>0</formula>
    </cfRule>
    <cfRule type="cellIs" dxfId="44" priority="27" operator="equal">
      <formula>0</formula>
    </cfRule>
  </conditionalFormatting>
  <conditionalFormatting sqref="BZ1733:CM1744">
    <cfRule type="cellIs" dxfId="43" priority="9" operator="equal">
      <formula>0</formula>
    </cfRule>
    <cfRule type="cellIs" dxfId="42" priority="10" operator="equal">
      <formula>0</formula>
    </cfRule>
  </conditionalFormatting>
  <conditionalFormatting sqref="CA1610:CL1610">
    <cfRule type="cellIs" dxfId="41" priority="48" operator="equal">
      <formula>0</formula>
    </cfRule>
  </conditionalFormatting>
  <conditionalFormatting sqref="CN868 BL870:BL872 CN870:CQ872 CO873:CQ875 CN1058:CQ1068 BL1058:BL1070 CT1058:CT1070 BL1073:BL1074 CT1073:CT1074 BL1077:BL1204 CN1077:CQ1204 CT1077:CT1204 BG1097:BH1097 BJ1097:BK1097 BG1104:BH1104 BJ1104:BK1104 BG1111:BH1111 BJ1111:BK1111 BG1118:BH1118 BJ1118:BK1118">
    <cfRule type="expression" dxfId="40" priority="179">
      <formula>$BL868&lt;$BK868</formula>
    </cfRule>
  </conditionalFormatting>
  <conditionalFormatting sqref="CN868 CN1007">
    <cfRule type="cellIs" dxfId="39" priority="190" operator="lessThan">
      <formula>-4</formula>
    </cfRule>
    <cfRule type="cellIs" dxfId="38" priority="191" operator="greaterThan">
      <formula>4</formula>
    </cfRule>
  </conditionalFormatting>
  <conditionalFormatting sqref="CN1205:CN1217 CN1219:CN1222 CN1224:CN1225 CN1227:CN1240">
    <cfRule type="expression" dxfId="37" priority="165">
      <formula>$BL1205&lt;$BK1205</formula>
    </cfRule>
  </conditionalFormatting>
  <conditionalFormatting sqref="CN1205:CN1240">
    <cfRule type="cellIs" dxfId="36" priority="173" operator="greaterThan">
      <formula>4</formula>
    </cfRule>
    <cfRule type="cellIs" dxfId="35" priority="172" operator="lessThan">
      <formula>-4</formula>
    </cfRule>
  </conditionalFormatting>
  <conditionalFormatting sqref="CN1057:CQ1057 CT1057">
    <cfRule type="expression" dxfId="34" priority="193">
      <formula>#REF!&lt;$BL1057</formula>
    </cfRule>
  </conditionalFormatting>
  <conditionalFormatting sqref="CN1076:CQ1076 CT1076">
    <cfRule type="expression" dxfId="33" priority="198">
      <formula>$BL1076&lt;#REF!</formula>
    </cfRule>
  </conditionalFormatting>
  <conditionalFormatting sqref="CN1205:CQ1226 BK1205:BK1241 CT1205:CT1241 CO1227:CQ1240 CN1241:CQ1241">
    <cfRule type="expression" dxfId="32" priority="166">
      <formula>$BK1205&lt;$BL1205</formula>
    </cfRule>
  </conditionalFormatting>
  <conditionalFormatting sqref="CO869:CQ869 CT869">
    <cfRule type="expression" dxfId="31" priority="197">
      <formula>$BK1490&lt;$BL1490</formula>
    </cfRule>
  </conditionalFormatting>
  <conditionalFormatting sqref="CT8:CT867 BL369:BL553 BL565:BL867">
    <cfRule type="expression" dxfId="30" priority="206">
      <formula>$BL8&lt;$BK8</formula>
    </cfRule>
  </conditionalFormatting>
  <conditionalFormatting sqref="CT1242:CT1269 BL1242:BL1296 CN1242:CQ1296 CS1270:CT1296 BK1281:BK1283 BL1298:BL1313 CT1298:CT1516 BL1346:BL1348 BL1359:BL1361 BL1363 BK1458:BL1459 BK1466:BK1472 BL1466:BL1506 BL1510:BL1516 BL1518:BL1527 BL1594:BL1609">
    <cfRule type="expression" dxfId="29" priority="62">
      <formula>$BL1242&lt;$BK1242</formula>
    </cfRule>
  </conditionalFormatting>
  <conditionalFormatting sqref="CT1297 BK1349:BK1355 BK1362 BK1377">
    <cfRule type="expression" dxfId="28" priority="158">
      <formula>$BK1297&lt;#REF!</formula>
    </cfRule>
  </conditionalFormatting>
  <conditionalFormatting sqref="CT1517">
    <cfRule type="expression" dxfId="27" priority="164">
      <formula>#REF!&lt;#REF!</formula>
    </cfRule>
  </conditionalFormatting>
  <conditionalFormatting sqref="CT1518:CT1622 BL1620:BL1622 BL1625:BL1626 CT1625:CT1662 BL1629:BL1630 BL1633:BL1662 CT1728:CT1744 BK1745">
    <cfRule type="expression" dxfId="26" priority="4">
      <formula>$BL1518&lt;$BK1518</formula>
    </cfRule>
  </conditionalFormatting>
  <conditionalFormatting sqref="CT1623">
    <cfRule type="expression" dxfId="25" priority="39">
      <formula>$BL1624&lt;$BK1623</formula>
    </cfRule>
  </conditionalFormatting>
  <conditionalFormatting sqref="CT1624">
    <cfRule type="expression" dxfId="24" priority="40">
      <formula>#REF!&lt;$BK1624</formula>
    </cfRule>
  </conditionalFormatting>
  <conditionalFormatting sqref="DD1536:DH1538 DI1536:DI1597 DG1539:DH1539 DV1261:EM1363 V1481:AY1609 BZ8:CM1496 BG1119:BG1363 DO1261:DS1358 DD1261:DI1363 DJ1261:DN1453 DT1261:DT1597 U1298:U1348 DY1364:EM1364 BG1365:BG1496 DD1454:DS1493 DV1481:EM1541 DJ1500:DS1597 BZ1515:CM1539 BZ1544:CM1552 DD1553:DG1593 BZ1598:CM1609">
    <cfRule type="cellIs" dxfId="23" priority="81" operator="equal">
      <formula>0</formula>
    </cfRule>
  </conditionalFormatting>
  <conditionalFormatting sqref="DD1540:DH1552 EB1542:EM1542 DV1542:DX1553 EB1543:EC1543 ED1543:EM1544 EC1544">
    <cfRule type="cellIs" dxfId="22" priority="83" operator="equal">
      <formula>0</formula>
    </cfRule>
  </conditionalFormatting>
  <conditionalFormatting sqref="DD1594:DH1597 DD1598:DT1609">
    <cfRule type="cellIs" dxfId="21" priority="77" operator="equal">
      <formula>0</formula>
    </cfRule>
  </conditionalFormatting>
  <conditionalFormatting sqref="DD1500:DI1535">
    <cfRule type="cellIs" dxfId="20" priority="82" operator="equal">
      <formula>0</formula>
    </cfRule>
  </conditionalFormatting>
  <conditionalFormatting sqref="DD1494:DP1495 DO1359:DS1453 DD1365:DI1453 BG1497:BG1508 BZ1497:CM1514">
    <cfRule type="cellIs" dxfId="19" priority="93" operator="equal">
      <formula>0</formula>
    </cfRule>
  </conditionalFormatting>
  <conditionalFormatting sqref="DD1496:DS1499 DD1500:DI1515 DD1516:DH1527 DI1516:DI1529 BZ41:CM1296 BG1119:BG1296 DD1261:DI1296 DO1261:DS1296 DJ1261:DN1377 DT1261:DT1377 DH1297:DI1363 DD1378:DT1379 BG1378:BG1508 V1378:AY1527 BZ1378:CM1527 DV1378:EM1527 DD1380:DS1493 DO1500:DS1527 BG1510:BG1527">
    <cfRule type="cellIs" dxfId="18" priority="91" operator="equal">
      <formula>0</formula>
    </cfRule>
  </conditionalFormatting>
  <conditionalFormatting sqref="DD1496:DS1499">
    <cfRule type="cellIs" dxfId="17" priority="90" operator="equal">
      <formula>0</formula>
    </cfRule>
  </conditionalFormatting>
  <conditionalFormatting sqref="DD8:DT459 T11 U14:U15">
    <cfRule type="cellIs" dxfId="16" priority="234" operator="equal">
      <formula>0</formula>
    </cfRule>
  </conditionalFormatting>
  <conditionalFormatting sqref="DD1242:DT1260 V1242:AY1296 DV1242:EM1296 AX1297:AX1599 AZ1600:BD1609">
    <cfRule type="cellIs" dxfId="15" priority="72" operator="equal">
      <formula>0</formula>
    </cfRule>
  </conditionalFormatting>
  <conditionalFormatting sqref="DD1745:DT1745 V1745:AY1745">
    <cfRule type="cellIs" dxfId="14" priority="6" operator="equal">
      <formula>0</formula>
    </cfRule>
  </conditionalFormatting>
  <conditionalFormatting sqref="DD1745:DT1745">
    <cfRule type="cellIs" dxfId="13" priority="5" operator="equal">
      <formula>0</formula>
    </cfRule>
  </conditionalFormatting>
  <conditionalFormatting sqref="DH1528:DH1529 DH1530:DI1537 DH1538:DH1552">
    <cfRule type="cellIs" dxfId="12" priority="80" operator="equal">
      <formula>0</formula>
    </cfRule>
  </conditionalFormatting>
  <conditionalFormatting sqref="DH1594:DH1609 DI1598:DN1609">
    <cfRule type="cellIs" dxfId="11" priority="76" operator="equal">
      <formula>0</formula>
    </cfRule>
  </conditionalFormatting>
  <conditionalFormatting sqref="DH1666 DH1668:DH1673 DH1678:DH1683 DH1685:DH1744">
    <cfRule type="cellIs" dxfId="10" priority="7" operator="equal">
      <formula>0</formula>
    </cfRule>
    <cfRule type="cellIs" dxfId="9" priority="8" operator="equal">
      <formula>0</formula>
    </cfRule>
  </conditionalFormatting>
  <conditionalFormatting sqref="DH1365:DI1377">
    <cfRule type="cellIs" dxfId="8" priority="154" operator="equal">
      <formula>0</formula>
    </cfRule>
  </conditionalFormatting>
  <conditionalFormatting sqref="DI1620:DN1662 DT1620:DT1662 DH1620:DH1663 V1648:AY1649 DD1648:DG1662 DO1648:DS1662 AD1650:AH1650 V1650:AC1662 AJ1650:AY1662 AD1651:AI1662">
    <cfRule type="cellIs" dxfId="7" priority="31" operator="equal">
      <formula>0</formula>
    </cfRule>
  </conditionalFormatting>
  <conditionalFormatting sqref="DT1380:DT1597 DJ1500:DN1597 DI1538:DI1597 DD1494:DP1495">
    <cfRule type="cellIs" dxfId="6" priority="92" operator="equal">
      <formula>0</formula>
    </cfRule>
  </conditionalFormatting>
  <conditionalFormatting sqref="DT1598:DT1619 DH1610:DN1619">
    <cfRule type="cellIs" dxfId="5" priority="53" operator="equal">
      <formula>0</formula>
    </cfRule>
  </conditionalFormatting>
  <conditionalFormatting sqref="DV8:EM1260 DD460:DT1260 V1242:AY1363 AZ1242:BD1609 AX1364:AX1609">
    <cfRule type="cellIs" dxfId="4" priority="71" operator="equal">
      <formula>0</formula>
    </cfRule>
  </conditionalFormatting>
  <conditionalFormatting sqref="DY1542:DZ1549 EB1544:EB1547 EC1545:EM1547 EB1549 EC1549:EM1553 DY1550:EB1553 EA1554:EA1563">
    <cfRule type="cellIs" dxfId="3" priority="78" operator="equal">
      <formula>0</formula>
    </cfRule>
  </conditionalFormatting>
  <conditionalFormatting sqref="EA1535:EA1549">
    <cfRule type="cellIs" dxfId="2" priority="66" operator="equal">
      <formula>0</formula>
    </cfRule>
  </conditionalFormatting>
  <conditionalFormatting sqref="EB1548:EM1548">
    <cfRule type="cellIs" dxfId="1" priority="64" operator="equal">
      <formula>0</formula>
    </cfRule>
  </conditionalFormatting>
  <conditionalFormatting sqref="EC1251:EC1287 ED1252:ED1287 EG1255:EG1287 DD1539:DF1539">
    <cfRule type="cellIs" dxfId="0" priority="79" operator="equal">
      <formula>0</formula>
    </cfRule>
  </conditionalFormatting>
  <dataValidations disablePrompts="1" count="3">
    <dataValidation type="list" allowBlank="1" showInputMessage="1" showErrorMessage="1" sqref="BR1006:BR1029 BO1508:BO1509 BP1365:BP1609 BP954:BP1204 BP469:BP539 BP1242:BP1363 BP1620:BP1662 BP1733:BP1744" xr:uid="{00EA00FB-000A-4C71-8CC3-005600850013}">
      <formula1>"Sequestration positive, Emissions positive"</formula1>
    </dataValidation>
    <dataValidation type="list" allowBlank="1" showInputMessage="1" showErrorMessage="1" sqref="BG1242:BG1363 BG8:BG867 BG1140:BG1221 BG1365:BG1508 BG1510:BG1536 BG1538:BG1744" xr:uid="{00A3004F-0081-4EFA-904F-007B00CB008E}">
      <formula1>"Roundwood,HWP"</formula1>
    </dataValidation>
    <dataValidation type="list" allowBlank="1" showInputMessage="1" showErrorMessage="1" sqref="BG1222:BG1235" xr:uid="{9C8B96E0-52E9-B347-80D3-C6D6095ADE2F}"/>
  </dataValidations>
  <hyperlinks>
    <hyperlink ref="K242" r:id="rId1" xr:uid="{234DECE6-5DA0-184B-8644-8BDA2EAE2C87}"/>
    <hyperlink ref="K413" r:id="rId2" xr:uid="{DF6B5B33-E65C-CE40-8A22-582131215E2D}"/>
    <hyperlink ref="K415" r:id="rId3" xr:uid="{4A0E88A9-E1C7-3E40-982F-1D7CB1B0DEB9}"/>
    <hyperlink ref="K418" r:id="rId4" xr:uid="{19F58F5C-23B2-6042-A692-19499F1D4E8D}"/>
    <hyperlink ref="K419" r:id="rId5" xr:uid="{65E71C8C-8B4D-894D-A181-6958181AEF7F}"/>
    <hyperlink ref="K420" r:id="rId6" xr:uid="{66592C4F-8D89-1147-8135-B17F0EB59896}"/>
    <hyperlink ref="K428" r:id="rId7" xr:uid="{151A8410-F251-7149-A1AC-726887D0376F}"/>
    <hyperlink ref="K429" r:id="rId8" xr:uid="{F2372D1B-BEF5-8A48-9B35-B993F7777402}"/>
    <hyperlink ref="K430" r:id="rId9" xr:uid="{472970FD-C4EC-AE4F-88F4-B467D864A7F0}"/>
    <hyperlink ref="K432" r:id="rId10" xr:uid="{956D207C-2D2F-924C-BA23-188DF06FE247}"/>
    <hyperlink ref="K434" r:id="rId11" xr:uid="{C065CDE7-2023-A447-8521-D0F28AA40CC6}"/>
    <hyperlink ref="K436" r:id="rId12" xr:uid="{743B5599-DE79-7E44-A4EC-820E14AB9E91}"/>
    <hyperlink ref="K437" r:id="rId13" xr:uid="{396A741F-B175-114D-9B51-F39B1E439CE1}"/>
    <hyperlink ref="K438" r:id="rId14" xr:uid="{BC9372FB-9C29-6C49-B4DB-7C8AC5F95664}"/>
    <hyperlink ref="K457" r:id="rId15" xr:uid="{503278C0-E6F3-C34D-B63A-6548438FD66E}"/>
    <hyperlink ref="K458" r:id="rId16" xr:uid="{1A9AF777-2F1A-6444-A851-534468BA0B12}"/>
    <hyperlink ref="K622" r:id="rId17" xr:uid="{8022E0F0-93D8-8D48-B181-2D3A297D0623}"/>
    <hyperlink ref="K896" r:id="rId18" xr:uid="{EEBB5FE0-4379-E14C-B697-5AEA022FC405}"/>
    <hyperlink ref="K412" r:id="rId19" xr:uid="{CC1AC87E-F37F-4A43-9782-C557FA4F73A9}"/>
    <hyperlink ref="K416" r:id="rId20" xr:uid="{556CF1F3-07CE-F445-A477-E7CE4F4A6CA1}"/>
    <hyperlink ref="K426" r:id="rId21" xr:uid="{E35D0972-33F0-5842-8998-AAE318325355}"/>
    <hyperlink ref="K427" r:id="rId22" xr:uid="{4EAC3483-DD9B-EC44-BE6E-8441216D2783}"/>
    <hyperlink ref="K431" r:id="rId23" xr:uid="{F599DFA5-DDB7-614E-8FB9-F6DEA35C5EAF}"/>
    <hyperlink ref="K456" r:id="rId24" xr:uid="{A132F346-F09E-3D48-96AC-E9C7D4247C54}"/>
    <hyperlink ref="K850" r:id="rId25" tooltip="Persistent link using digital object identifier" xr:uid="{7DFC1F5B-8307-C045-889B-21616BE7D238}"/>
    <hyperlink ref="K352" r:id="rId26" xr:uid="{E85B04B8-099E-DA49-A552-7593572C4CD7}"/>
    <hyperlink ref="K793" r:id="rId27" tooltip="Persistent link using digital object identifier" xr:uid="{9C79DB45-C4C6-0E47-AF4E-3A841FA48F53}"/>
    <hyperlink ref="K214" r:id="rId28" tooltip="Persistent link using digital object identifier" xr:uid="{42C82401-AA1F-3E42-918D-D45A2091C6A7}"/>
    <hyperlink ref="K696" r:id="rId29" tooltip="Persistent link using digital object identifier" xr:uid="{12B29665-D503-644D-9D93-D1B2E7C183F2}"/>
    <hyperlink ref="K556" r:id="rId30" tooltip="Persistent link using digital object identifier" xr:uid="{56EA397D-63CD-7344-9896-B06221F54EC1}"/>
    <hyperlink ref="K307" r:id="rId31" tooltip="Persistent link using digital object identifier" xr:uid="{F9F5BE14-EBF0-6948-8295-637890EEF40D}"/>
    <hyperlink ref="K753" r:id="rId32" tooltip="Persistent link using digital object identifier" xr:uid="{34B190E0-661C-3748-B840-ACA111C6EAAD}"/>
    <hyperlink ref="K573" r:id="rId33" tooltip="Persistent link using digital object identifier" xr:uid="{E2C894C8-AF24-CF40-B27E-EED4FF3ED95A}"/>
    <hyperlink ref="K266" r:id="rId34" xr:uid="{171F3DC5-889D-DB4B-9329-41F9937CEF15}"/>
    <hyperlink ref="K834" r:id="rId35" xr:uid="{6E0E1C2C-9975-B945-AC48-172502469A8F}"/>
    <hyperlink ref="K661" r:id="rId36" xr:uid="{8FB7C482-431A-3146-8601-30FBA42ED83A}"/>
    <hyperlink ref="K732" r:id="rId37" xr:uid="{A2DE14F7-5550-AF47-A9DE-98E4DA7F5D54}"/>
    <hyperlink ref="K868" r:id="rId38" xr:uid="{A8040271-A136-674C-A1CA-5981C8BFFCF0}"/>
    <hyperlink ref="K1105:K1107" r:id="rId39" tooltip="Persistent link using digital object identifier" display="https://doi.org/10.1016/j.jenvman.2013.07.021" xr:uid="{A0A42070-D837-864F-BBA8-50928F0731D2}"/>
    <hyperlink ref="K812" r:id="rId40" display="https://doi.org/10.1139/X06-257" xr:uid="{521B6C7C-18BA-5648-8FF6-FF5293F50322}"/>
    <hyperlink ref="K957:K959" r:id="rId41" display="https://doi.org/10.1139/X06-257" xr:uid="{0749E2A5-34C6-BE40-81A2-EEEF9B514B14}"/>
    <hyperlink ref="K439" r:id="rId42" display="https://doi.org/10.1111/j.1757-1707.2012.01161.x" xr:uid="{3BBAD0BB-1CC1-A246-9A87-649D39BB25BC}"/>
    <hyperlink ref="DQ1526" r:id="rId43" xr:uid="{78B1A249-A921-474F-AD28-E999AF9BBB03}"/>
    <hyperlink ref="DQ1525" r:id="rId44" xr:uid="{76A36272-C944-504F-A914-7ACA4DEB0C94}"/>
    <hyperlink ref="DQ1523" r:id="rId45" xr:uid="{7FC9C951-6CBF-8040-BB78-B7EA92171677}"/>
    <hyperlink ref="DQ1524" r:id="rId46" xr:uid="{748BBD92-907C-774B-99C9-CCFD34AD10CD}"/>
    <hyperlink ref="DQ1522" r:id="rId47" xr:uid="{CB20C8C3-3524-3743-83EA-0EB035D851E3}"/>
    <hyperlink ref="K1342" r:id="rId48" tooltip="Persistent link using digital object identifier" xr:uid="{4100F648-71B1-B14B-BE4A-12A59657697D}"/>
    <hyperlink ref="K1336" r:id="rId49" tooltip="Persistent link using digital object identifier" xr:uid="{0DD55305-30FA-A54D-B50B-DBF6484974A1}"/>
    <hyperlink ref="K1341" r:id="rId50" tooltip="Persistent link using digital object identifier" xr:uid="{C77DA0DF-02EB-0A49-A518-544C660FDDF1}"/>
    <hyperlink ref="K1337" r:id="rId51" tooltip="Persistent link using digital object identifier" xr:uid="{E8F7500E-8EDB-C146-A675-1DEE42169C84}"/>
    <hyperlink ref="K1338" r:id="rId52" tooltip="Persistent link using digital object identifier" xr:uid="{06C42981-73C2-7F48-A7CC-F566D5DA23F1}"/>
    <hyperlink ref="K1339" r:id="rId53" tooltip="Persistent link using digital object identifier" xr:uid="{0767CC07-EFE9-9D4C-A72A-927CB4484A93}"/>
    <hyperlink ref="K1340" r:id="rId54" tooltip="Persistent link using digital object identifier" xr:uid="{D67F649E-3A64-4F4E-95E7-BE901EADE7D1}"/>
    <hyperlink ref="K1333" r:id="rId55" tooltip="Persistent link using digital object identifier" xr:uid="{C44D47BD-3856-D043-A6DD-0508A203476F}"/>
    <hyperlink ref="K1331" r:id="rId56" tooltip="Persistent link using digital object identifier" xr:uid="{9DAEFCF6-862A-AF40-93CE-5C1EC558D77F}"/>
    <hyperlink ref="K1332" r:id="rId57" tooltip="Persistent link using digital object identifier" xr:uid="{8C0D7609-B0A8-BE47-A053-A9E6ED57337C}"/>
    <hyperlink ref="K1335" r:id="rId58" tooltip="Persistent link using digital object identifier" xr:uid="{EED51307-EEE7-7A43-A1DE-557ECB31A307}"/>
    <hyperlink ref="K1334" r:id="rId59" tooltip="Persistent link using digital object identifier" xr:uid="{0EC3CE59-B3D7-3B40-9753-85F36656AE9A}"/>
    <hyperlink ref="K1446" r:id="rId60" display="http://dx.doi.org/10.22382/wfs-2018-011" xr:uid="{ADFBDF3A-4595-EA4D-9D6A-6E3C1687EE21}"/>
    <hyperlink ref="K1288" r:id="rId61" tooltip="Persistent link using digital object identifier" display="https://doi.org/10.1016/j.jenvman.2013.07.021" xr:uid="{762BD820-C265-3540-858A-45FB28FAC534}"/>
    <hyperlink ref="K1624" r:id="rId62" xr:uid="{99590726-C44F-4344-8792-8151E8E142BE}"/>
    <hyperlink ref="K1658" r:id="rId63" xr:uid="{92DB2F4D-E2C9-F147-A47D-050DA3A9D165}"/>
    <hyperlink ref="K1738" r:id="rId64" xr:uid="{1BEF8CDB-95ED-8B48-A7FC-8D4E1C4506A9}"/>
    <hyperlink ref="K1736" r:id="rId65" display="https://doi.org/10.1093/jof/109.s1.S7" xr:uid="{56C55E2C-362B-AD43-8B15-682613E0A182}"/>
  </hyperlinks>
  <pageMargins left="0.7" right="0.7" top="0.75" bottom="0.75" header="0.3" footer="0.3"/>
  <pageSetup paperSize="9" orientation="portrait"/>
  <legacyDrawing r:id="rId6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RowHeight="16"/>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7"/>
  <sheetViews>
    <sheetView workbookViewId="0">
      <selection activeCell="D21" sqref="D21"/>
    </sheetView>
  </sheetViews>
  <sheetFormatPr baseColWidth="10" defaultColWidth="10.6640625" defaultRowHeight="16"/>
  <cols>
    <col min="4" max="4" width="20" customWidth="1"/>
  </cols>
  <sheetData>
    <row r="1" spans="1:8">
      <c r="H1" t="s">
        <v>2444</v>
      </c>
    </row>
    <row r="2" spans="1:8">
      <c r="A2" t="s">
        <v>2587</v>
      </c>
      <c r="B2">
        <f>1000/E2</f>
        <v>2.0408163265306123</v>
      </c>
      <c r="D2" t="s">
        <v>2588</v>
      </c>
      <c r="E2">
        <f>AVERAGE(400,580)</f>
        <v>490</v>
      </c>
      <c r="F2" t="s">
        <v>678</v>
      </c>
      <c r="G2" t="s">
        <v>2589</v>
      </c>
      <c r="H2" t="s">
        <v>2590</v>
      </c>
    </row>
    <row r="3" spans="1:8">
      <c r="A3" t="s">
        <v>2591</v>
      </c>
      <c r="B3">
        <f>1/E2</f>
        <v>2.0408163265306124E-3</v>
      </c>
      <c r="D3" t="s">
        <v>2592</v>
      </c>
      <c r="E3">
        <v>0.47</v>
      </c>
      <c r="F3" t="s">
        <v>2593</v>
      </c>
      <c r="H3" t="s">
        <v>2590</v>
      </c>
    </row>
    <row r="4" spans="1:8">
      <c r="A4" t="s">
        <v>2594</v>
      </c>
      <c r="B4">
        <f>+B2/E3</f>
        <v>4.3421623968736434</v>
      </c>
    </row>
    <row r="5" spans="1:8">
      <c r="A5" t="s">
        <v>2595</v>
      </c>
      <c r="B5" s="199">
        <f>3.67</f>
        <v>3.67</v>
      </c>
    </row>
    <row r="9" spans="1:8">
      <c r="A9" t="s">
        <v>2596</v>
      </c>
    </row>
    <row r="10" spans="1:8">
      <c r="A10" t="s">
        <v>222</v>
      </c>
    </row>
    <row r="11" spans="1:8">
      <c r="A11" t="s">
        <v>2584</v>
      </c>
    </row>
    <row r="12" spans="1:8">
      <c r="A12" t="s">
        <v>2586</v>
      </c>
    </row>
    <row r="13" spans="1:8">
      <c r="A13" t="s">
        <v>2583</v>
      </c>
    </row>
    <row r="14" spans="1:8">
      <c r="A14" t="s">
        <v>2585</v>
      </c>
    </row>
    <row r="15" spans="1:8">
      <c r="A15" t="s">
        <v>1352</v>
      </c>
    </row>
    <row r="16" spans="1:8">
      <c r="A16" t="s">
        <v>2582</v>
      </c>
    </row>
    <row r="17" spans="1:1">
      <c r="A17" s="312" t="s">
        <v>4383</v>
      </c>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23"/>
  <sheetViews>
    <sheetView workbookViewId="0">
      <selection activeCell="E2" sqref="E2"/>
    </sheetView>
  </sheetViews>
  <sheetFormatPr baseColWidth="10" defaultRowHeight="16"/>
  <cols>
    <col min="1" max="1" width="22.1640625" bestFit="1" customWidth="1"/>
    <col min="2" max="2" width="27.6640625" bestFit="1" customWidth="1"/>
    <col min="3" max="3" width="30.5" bestFit="1" customWidth="1"/>
    <col min="4" max="4" width="5.83203125" customWidth="1"/>
    <col min="5" max="5" width="19.33203125" customWidth="1"/>
    <col min="6" max="6" width="13.83203125" customWidth="1"/>
    <col min="8" max="8" width="9.5" style="149" customWidth="1"/>
    <col min="9" max="9" width="27.1640625" style="149" customWidth="1"/>
    <col min="11" max="114" width="5.83203125" customWidth="1"/>
  </cols>
  <sheetData>
    <row r="1" spans="1:11">
      <c r="E1" s="143" t="s">
        <v>2597</v>
      </c>
      <c r="F1" s="149" t="s">
        <v>2598</v>
      </c>
      <c r="G1" t="s">
        <v>2599</v>
      </c>
      <c r="H1" s="149" t="s">
        <v>2600</v>
      </c>
      <c r="I1" s="149" t="s">
        <v>2601</v>
      </c>
      <c r="J1" s="149" t="s">
        <v>2602</v>
      </c>
    </row>
    <row r="2" spans="1:11">
      <c r="A2" t="str">
        <f t="array" ref="A2:C119">TRANSPOSE(Sheet1!A2:'Sheet1'!BY7)</f>
        <v>Paper description</v>
      </c>
      <c r="B2">
        <v>0</v>
      </c>
      <c r="C2" t="str">
        <v>Publication</v>
      </c>
      <c r="E2" t="str">
        <f t="array" ref="E2">INDEX(Sheet1!$A$4:$CV$4,MATCH(0,COUNTIF($E$1:E1,Sheet1!$A$4:$CV$4),0))</f>
        <v>Publication</v>
      </c>
      <c r="F2" s="200" t="s">
        <v>2603</v>
      </c>
      <c r="G2" t="str">
        <f>INDEX(Sheet1!A$2:CV$2,MATCH($E2,Sheet1!A$4:CV$4,0))</f>
        <v>Paper description</v>
      </c>
      <c r="H2" s="200" t="s">
        <v>2603</v>
      </c>
      <c r="I2" t="str">
        <f>INDEX(Sheet1!C$1:EO$1,MATCH($E2,Sheet1!C$4:EO$4,0))</f>
        <v>Metadata</v>
      </c>
      <c r="K2" t="e">
        <f>INDEX($B$2:$B$193, MATCH(0, COUNTIF($E$1:E1, $B$2:$B$193), 0))</f>
        <v>#N/A</v>
      </c>
    </row>
    <row r="3" spans="1:11">
      <c r="A3" t="str">
        <v>Paper description</v>
      </c>
      <c r="B3">
        <v>0</v>
      </c>
      <c r="C3" t="str">
        <v>Topic</v>
      </c>
      <c r="E3" t="str">
        <f t="array" ref="E3">INDEX(Sheet1!$A$4:$CV$4,MATCH(0,COUNTIF($E$1:E2,Sheet1!$A$4:$CV$4),0))</f>
        <v>Topic</v>
      </c>
      <c r="F3" s="200" t="s">
        <v>2603</v>
      </c>
      <c r="G3" t="str">
        <f>INDEX(Sheet1!A$2:CV$2,MATCH($E3,Sheet1!A$4:CV$4,0))</f>
        <v>Paper description</v>
      </c>
      <c r="H3" s="200" t="s">
        <v>2603</v>
      </c>
      <c r="I3" t="str">
        <f>INDEX(Sheet1!C$1:EO$1,MATCH($E3,Sheet1!C$4:EO$4,0))</f>
        <v>Metadata</v>
      </c>
    </row>
    <row r="4" spans="1:11">
      <c r="A4" s="201" t="str">
        <v>Paper description</v>
      </c>
      <c r="B4" s="201">
        <v>0</v>
      </c>
      <c r="C4" s="201" t="str">
        <v>Topic</v>
      </c>
      <c r="D4" s="201"/>
      <c r="E4" t="str">
        <f t="array" ref="E4">INDEX(Sheet1!$A$4:$CV$4,MATCH(0,COUNTIF($E$1:E3,Sheet1!$A$4:$CV$4),0))</f>
        <v>Authors</v>
      </c>
      <c r="F4" s="200" t="s">
        <v>2603</v>
      </c>
      <c r="G4" t="str">
        <f>INDEX(Sheet1!A$2:CV$2,MATCH($E4,Sheet1!A$4:CV$4,0))</f>
        <v>Paper description</v>
      </c>
      <c r="H4" s="200" t="s">
        <v>2603</v>
      </c>
      <c r="I4" t="str">
        <f>INDEX(Sheet1!C$1:EO$1,MATCH($E4,Sheet1!C$4:EO$4,0))</f>
        <v>Metadata</v>
      </c>
    </row>
    <row r="5" spans="1:11">
      <c r="A5" s="201" t="str">
        <v>Paper description</v>
      </c>
      <c r="B5" s="201">
        <v>0</v>
      </c>
      <c r="C5" s="201" t="str">
        <v>Authors</v>
      </c>
      <c r="D5" s="201"/>
      <c r="E5" t="str">
        <f t="array" ref="E5">INDEX(Sheet1!$A$4:$CV$4,MATCH(0,COUNTIF($E$1:E4,Sheet1!$A$4:$CV$4),0))</f>
        <v>Journal</v>
      </c>
      <c r="F5" s="200" t="s">
        <v>2603</v>
      </c>
      <c r="G5" t="str">
        <f>INDEX(Sheet1!A$2:CV$2,MATCH($E5,Sheet1!A$4:CV$4,0))</f>
        <v>Paper description</v>
      </c>
      <c r="H5" s="200" t="s">
        <v>2603</v>
      </c>
      <c r="I5" t="str">
        <f>INDEX(Sheet1!C$1:EO$1,MATCH($E5,Sheet1!C$4:EO$4,0))</f>
        <v>Metadata</v>
      </c>
    </row>
    <row r="6" spans="1:11">
      <c r="A6" s="201" t="str">
        <v>Paper description</v>
      </c>
      <c r="B6" s="201">
        <v>0</v>
      </c>
      <c r="C6" s="201" t="str">
        <v>Topic</v>
      </c>
      <c r="D6" s="201"/>
      <c r="E6" t="str">
        <f t="array" ref="E6">INDEX(Sheet1!$A$4:$CV$4,MATCH(0,COUNTIF($E$1:E5,Sheet1!$A$4:$CV$4),0))</f>
        <v>Exclusion</v>
      </c>
      <c r="F6" s="200" t="s">
        <v>2603</v>
      </c>
      <c r="G6" t="str">
        <f>INDEX(Sheet1!A$2:CV$2,MATCH($E6,Sheet1!A$4:CV$4,0))</f>
        <v>Protocol</v>
      </c>
      <c r="H6" s="200" t="s">
        <v>2603</v>
      </c>
      <c r="I6" t="str">
        <f>INDEX(Sheet1!C$1:EO$1,MATCH($E6,Sheet1!C$4:EO$4,0))</f>
        <v>Metadata</v>
      </c>
    </row>
    <row r="7" spans="1:11">
      <c r="A7" s="201" t="str">
        <v>Paper description</v>
      </c>
      <c r="B7" s="201">
        <v>0</v>
      </c>
      <c r="C7" s="201" t="str">
        <v>Topic</v>
      </c>
      <c r="D7" s="201"/>
      <c r="E7" t="str">
        <f t="array" ref="E7">INDEX(Sheet1!$A$4:$CV$4,MATCH(0,COUNTIF($E$1:E6,Sheet1!$A$4:$CV$4),0))</f>
        <v>Full revision</v>
      </c>
      <c r="F7" s="200" t="s">
        <v>2603</v>
      </c>
      <c r="G7" t="str">
        <f>INDEX(Sheet1!A$2:CV$2,MATCH($E7,Sheet1!A$4:CV$4,0))</f>
        <v>Extraction</v>
      </c>
      <c r="H7" s="200" t="s">
        <v>2603</v>
      </c>
      <c r="I7" t="str">
        <f>INDEX(Sheet1!C$1:EO$1,MATCH($E7,Sheet1!C$4:EO$4,0))</f>
        <v>Protocol</v>
      </c>
    </row>
    <row r="8" spans="1:11">
      <c r="A8" s="201" t="str">
        <v>Paper description</v>
      </c>
      <c r="B8" s="201">
        <v>0</v>
      </c>
      <c r="C8" s="201" t="str">
        <v>Journal</v>
      </c>
      <c r="D8" s="201"/>
      <c r="E8" t="str">
        <f t="array" ref="E8">INDEX(Sheet1!$A$4:$CV$4,MATCH(0,COUNTIF($E$1:E7,Sheet1!$A$4:$CV$4),0))</f>
        <v>Revision</v>
      </c>
      <c r="F8" s="200" t="s">
        <v>2603</v>
      </c>
      <c r="G8" t="str">
        <f>INDEX(Sheet1!A$2:CV$2,MATCH($E8,Sheet1!A$4:CV$4,0))</f>
        <v>Post-extraction</v>
      </c>
      <c r="H8" s="200" t="s">
        <v>2603</v>
      </c>
      <c r="I8" t="str">
        <f>INDEX(Sheet1!C$1:EO$1,MATCH($E8,Sheet1!C$4:EO$4,0))</f>
        <v>Protocol</v>
      </c>
    </row>
    <row r="9" spans="1:11">
      <c r="A9" s="201" t="str">
        <v>Paper description</v>
      </c>
      <c r="B9" s="201">
        <v>0</v>
      </c>
      <c r="C9" s="201" t="str">
        <v>Publication</v>
      </c>
      <c r="D9" s="201"/>
      <c r="E9">
        <f t="array" ref="E9">INDEX(Sheet1!$A$4:$CV$4,MATCH(0,COUNTIF($E$1:E8,Sheet1!$A$4:$CV$4),0))</f>
        <v>0</v>
      </c>
      <c r="F9" s="200" t="s">
        <v>2603</v>
      </c>
      <c r="G9" t="e">
        <f>INDEX(Sheet1!A$2:CV$2,MATCH($E9,Sheet1!A$4:CV$4,0))</f>
        <v>#N/A</v>
      </c>
      <c r="H9" s="200" t="s">
        <v>2603</v>
      </c>
      <c r="I9" t="e">
        <f>INDEX(Sheet1!C$1:EO$1,MATCH($E9,Sheet1!C$4:EO$4,0))</f>
        <v>#N/A</v>
      </c>
    </row>
    <row r="10" spans="1:11">
      <c r="A10" s="201" t="str">
        <v>Paper description</v>
      </c>
      <c r="B10" s="201">
        <v>0</v>
      </c>
      <c r="C10" s="201" t="str">
        <v>Publication</v>
      </c>
      <c r="D10" s="201"/>
      <c r="E10" t="str">
        <f t="array" ref="E10">INDEX(Sheet1!$A$4:$CV$4,MATCH(0,COUNTIF($E$1:E9,Sheet1!$A$4:$CV$4),0))</f>
        <v>driver description</v>
      </c>
      <c r="F10" s="200" t="s">
        <v>2603</v>
      </c>
      <c r="G10" t="str">
        <f>INDEX(Sheet1!A$2:CV$2,MATCH($E10,Sheet1!A$4:CV$4,0))</f>
        <v>Driver</v>
      </c>
      <c r="H10" s="200" t="s">
        <v>2603</v>
      </c>
      <c r="I10" t="str">
        <f>INDEX(Sheet1!C$1:EO$1,MATCH($E10,Sheet1!C$4:EO$4,0))</f>
        <v>Drivers</v>
      </c>
    </row>
    <row r="11" spans="1:11">
      <c r="A11" s="201" t="str">
        <v>Paper description</v>
      </c>
      <c r="B11" s="201">
        <v>0</v>
      </c>
      <c r="C11" s="201" t="str">
        <v>Publication</v>
      </c>
      <c r="D11" s="201"/>
      <c r="E11" t="str">
        <f t="array" ref="E11">INDEX(Sheet1!$A$4:$CV$4,MATCH(0,COUNTIF($E$1:E10,Sheet1!$A$4:$CV$4),0))</f>
        <v>Silviculture for removals</v>
      </c>
      <c r="F11" s="200" t="s">
        <v>2603</v>
      </c>
      <c r="G11" t="str">
        <f>INDEX(Sheet1!A$2:CV$2,MATCH($E11,Sheet1!A$4:CV$4,0))</f>
        <v>Change in practices</v>
      </c>
      <c r="H11" s="200" t="s">
        <v>2603</v>
      </c>
      <c r="I11" t="str">
        <f>INDEX(Sheet1!C$1:EO$1,MATCH($E11,Sheet1!C$4:EO$4,0))</f>
        <v>Drivers</v>
      </c>
    </row>
    <row r="12" spans="1:11">
      <c r="A12" s="201" t="str">
        <v>Paper description</v>
      </c>
      <c r="B12" s="201">
        <v>0</v>
      </c>
      <c r="C12" s="201" t="str">
        <v>Publication</v>
      </c>
      <c r="D12" s="201"/>
      <c r="E12" t="str">
        <f t="array" ref="E12">INDEX(Sheet1!$A$4:$CV$4,MATCH(0,COUNTIF($E$1:E11,Sheet1!$A$4:$CV$4),0))</f>
        <v>Silviculture for productivity</v>
      </c>
      <c r="F12" s="200" t="s">
        <v>2603</v>
      </c>
      <c r="G12" t="str">
        <f>INDEX(Sheet1!A$2:CV$2,MATCH($E12,Sheet1!A$4:CV$4,0))</f>
        <v>Change in practices</v>
      </c>
      <c r="H12" s="200" t="s">
        <v>2603</v>
      </c>
      <c r="I12" t="str">
        <f>INDEX(Sheet1!C$1:EO$1,MATCH($E12,Sheet1!C$4:EO$4,0))</f>
        <v>Drivers</v>
      </c>
    </row>
    <row r="13" spans="1:11">
      <c r="A13" s="201" t="str">
        <v>Paper description</v>
      </c>
      <c r="B13" s="201">
        <v>0</v>
      </c>
      <c r="C13" s="201" t="str">
        <v>Publication</v>
      </c>
      <c r="D13" s="201"/>
      <c r="E13" t="str">
        <f t="array" ref="E13">INDEX(Sheet1!$A$4:$CV$4,MATCH(0,COUNTIF($E$1:E12,Sheet1!$A$4:$CV$4),0))</f>
        <v>Supply chain</v>
      </c>
      <c r="F13" s="200" t="s">
        <v>2603</v>
      </c>
      <c r="G13" t="str">
        <f>INDEX(Sheet1!A$2:CV$2,MATCH($E13,Sheet1!A$4:CV$4,0))</f>
        <v>Change in practices</v>
      </c>
      <c r="H13" s="200" t="s">
        <v>2603</v>
      </c>
      <c r="I13" t="str">
        <f>INDEX(Sheet1!C$1:EO$1,MATCH($E13,Sheet1!C$4:EO$4,0))</f>
        <v>Drivers</v>
      </c>
    </row>
    <row r="14" spans="1:11">
      <c r="A14" s="201" t="str">
        <v>Paper description</v>
      </c>
      <c r="B14" s="201">
        <v>0</v>
      </c>
      <c r="C14" s="201" t="str">
        <v>Authors</v>
      </c>
      <c r="D14" s="201"/>
      <c r="E14" t="str">
        <f t="array" ref="E14">INDEX(Sheet1!$A$4:$CV$4,MATCH(0,COUNTIF($E$1:E13,Sheet1!$A$4:$CV$4),0))</f>
        <v>Technology</v>
      </c>
      <c r="F14" s="200" t="s">
        <v>2603</v>
      </c>
      <c r="G14" t="str">
        <f>INDEX(Sheet1!A$2:CV$2,MATCH($E14,Sheet1!A$4:CV$4,0))</f>
        <v>Change in practices</v>
      </c>
      <c r="H14" s="200" t="s">
        <v>2603</v>
      </c>
      <c r="I14" t="str">
        <f>INDEX(Sheet1!C$1:EO$1,MATCH($E14,Sheet1!C$4:EO$4,0))</f>
        <v>Drivers</v>
      </c>
      <c r="J14" s="202" t="s">
        <v>22</v>
      </c>
    </row>
    <row r="15" spans="1:11">
      <c r="A15" s="201" t="str">
        <v>Protocol</v>
      </c>
      <c r="B15" s="201">
        <v>0</v>
      </c>
      <c r="C15" s="201" t="str">
        <v>Exclusion</v>
      </c>
      <c r="D15" s="201"/>
      <c r="E15" t="str">
        <f t="array" ref="E15">INDEX(Sheet1!$A$4:$CV$4,MATCH(0,COUNTIF($E$1:E14,Sheet1!$A$4:$CV$4),0))</f>
        <v>Environmental change</v>
      </c>
      <c r="F15" s="202" t="s">
        <v>23</v>
      </c>
      <c r="G15" t="str">
        <f>INDEX(Sheet1!A$2:CV$2,MATCH($E15,Sheet1!A$4:CV$4,0))</f>
        <v>Environmental change</v>
      </c>
      <c r="H15" s="202" t="s">
        <v>23</v>
      </c>
      <c r="I15" t="str">
        <f>INDEX(Sheet1!C$1:EO$1,MATCH($E15,Sheet1!C$4:EO$4,0))</f>
        <v>Drivers</v>
      </c>
      <c r="J15" s="202" t="s">
        <v>22</v>
      </c>
    </row>
    <row r="16" spans="1:11">
      <c r="A16" s="201" t="str">
        <v>Extraction</v>
      </c>
      <c r="B16" s="201">
        <v>0</v>
      </c>
      <c r="C16" s="201" t="str">
        <v>Full revision</v>
      </c>
      <c r="D16" s="201"/>
      <c r="E16" t="str">
        <f t="array" ref="E16">INDEX(Sheet1!$A$4:$CV$4,MATCH(0,COUNTIF($E$1:E15,Sheet1!$A$4:$CV$4),0))</f>
        <v>Demand</v>
      </c>
      <c r="F16" s="202" t="s">
        <v>23</v>
      </c>
      <c r="G16" t="str">
        <f>INDEX(Sheet1!A$2:CV$2,MATCH($E16,Sheet1!A$4:CV$4,0))</f>
        <v>Environmental change</v>
      </c>
      <c r="H16" s="202" t="s">
        <v>23</v>
      </c>
      <c r="I16" t="str">
        <f>INDEX(Sheet1!C$1:EO$1,MATCH($E16,Sheet1!C$4:EO$4,0))</f>
        <v>Drivers</v>
      </c>
      <c r="J16" s="202" t="s">
        <v>22</v>
      </c>
    </row>
    <row r="17" spans="1:10">
      <c r="A17" s="201" t="str">
        <v>Post-extraction</v>
      </c>
      <c r="B17" s="201">
        <v>0</v>
      </c>
      <c r="C17" s="201" t="str">
        <v>Revision</v>
      </c>
      <c r="D17" s="201"/>
      <c r="E17" t="str">
        <f t="array" ref="E17">INDEX(Sheet1!$A$4:$CV$4,MATCH(0,COUNTIF($E$1:E16,Sheet1!$A$4:$CV$4),0))</f>
        <v>QC</v>
      </c>
      <c r="F17" s="202" t="s">
        <v>23</v>
      </c>
      <c r="G17" t="str">
        <f>INDEX(Sheet1!A$2:CV$2,MATCH($E17,Sheet1!A$4:CV$4,0))</f>
        <v>Post-extraction</v>
      </c>
      <c r="H17" s="202" t="s">
        <v>23</v>
      </c>
      <c r="I17" t="str">
        <f>INDEX(Sheet1!C$1:EO$1,MATCH($E17,Sheet1!C$4:EO$4,0))</f>
        <v>Protocol</v>
      </c>
      <c r="J17" s="202" t="s">
        <v>22</v>
      </c>
    </row>
    <row r="18" spans="1:10">
      <c r="A18" s="201" t="str">
        <v>Extraction round</v>
      </c>
      <c r="B18" s="201">
        <v>0</v>
      </c>
      <c r="C18" s="201">
        <v>0</v>
      </c>
      <c r="D18" s="201"/>
      <c r="E18" t="str">
        <f t="array" ref="E18">INDEX(Sheet1!$A$4:$CV$4,MATCH(0,COUNTIF($E$1:E17,Sheet1!$A$4:$CV$4),0))</f>
        <v>All</v>
      </c>
      <c r="F18" s="202" t="s">
        <v>23</v>
      </c>
      <c r="G18" t="str">
        <f>INDEX(Sheet1!A$2:CV$2,MATCH($E18,Sheet1!A$4:CV$4,0))</f>
        <v>QC</v>
      </c>
      <c r="H18" s="202" t="s">
        <v>23</v>
      </c>
      <c r="I18" t="str">
        <f>INDEX(Sheet1!C$1:EO$1,MATCH($E18,Sheet1!C$4:EO$4,0))</f>
        <v>Protocol</v>
      </c>
      <c r="J18" s="202" t="s">
        <v>22</v>
      </c>
    </row>
    <row r="19" spans="1:10">
      <c r="A19" s="201">
        <v>0</v>
      </c>
      <c r="B19" s="201">
        <v>0</v>
      </c>
      <c r="C19" s="201">
        <v>0</v>
      </c>
      <c r="D19" s="201"/>
      <c r="E19" t="str">
        <f t="array" ref="E19">INDEX(Sheet1!$A$4:$CV$4,MATCH(0,COUNTIF($E$1:E18,Sheet1!$A$4:$CV$4),0))</f>
        <v>AllEnvir</v>
      </c>
      <c r="F19" s="200" t="s">
        <v>2603</v>
      </c>
      <c r="G19" t="str">
        <f>INDEX(Sheet1!A$2:CV$2,MATCH($E19,Sheet1!A$4:CV$4,0))</f>
        <v>QC</v>
      </c>
      <c r="H19" s="200" t="s">
        <v>2603</v>
      </c>
      <c r="I19" t="str">
        <f>INDEX(Sheet1!C$1:EO$1,MATCH($E19,Sheet1!C$4:EO$4,0))</f>
        <v>Protocol</v>
      </c>
      <c r="J19" s="202" t="s">
        <v>23</v>
      </c>
    </row>
    <row r="20" spans="1:10">
      <c r="A20" s="201" t="str">
        <v>Driver</v>
      </c>
      <c r="B20" s="201">
        <v>0</v>
      </c>
      <c r="C20" s="201" t="str">
        <v>driver description</v>
      </c>
      <c r="D20" s="201"/>
      <c r="E20" t="str">
        <f t="array" ref="E20">INDEX(Sheet1!$A$4:$CV$4,MATCH(0,COUNTIF($E$1:E19,Sheet1!$A$4:$CV$4),0))</f>
        <v>MainDriver</v>
      </c>
      <c r="F20" s="203" t="s">
        <v>61</v>
      </c>
      <c r="G20" t="str">
        <f>INDEX(Sheet1!A$2:CV$2,MATCH($E20,Sheet1!A$4:CV$4,0))</f>
        <v>Driver</v>
      </c>
      <c r="H20" s="203" t="s">
        <v>61</v>
      </c>
      <c r="I20" t="str">
        <f>INDEX(Sheet1!C$1:EO$1,MATCH($E20,Sheet1!C$4:EO$4,0))</f>
        <v>Drivers</v>
      </c>
      <c r="J20" s="202" t="s">
        <v>24</v>
      </c>
    </row>
    <row r="21" spans="1:10">
      <c r="A21" s="201" t="str">
        <v>Driver</v>
      </c>
      <c r="B21" s="201">
        <v>0</v>
      </c>
      <c r="C21" s="201" t="str">
        <v>driver description</v>
      </c>
      <c r="D21" s="201"/>
      <c r="E21" t="str">
        <f t="array" ref="E21">INDEX(Sheet1!$A$4:$CV$4,MATCH(0,COUNTIF($E$1:E20,Sheet1!$A$4:$CV$4),0))</f>
        <v>Wood amount</v>
      </c>
      <c r="F21" s="203" t="s">
        <v>61</v>
      </c>
      <c r="G21" t="str">
        <f>INDEX(Sheet1!A$2:CV$2,MATCH($E21,Sheet1!A$4:CV$4,0))</f>
        <v>Carbon_outcome</v>
      </c>
      <c r="H21" s="203" t="s">
        <v>61</v>
      </c>
      <c r="I21" t="str">
        <f>INDEX(Sheet1!C$1:EO$1,MATCH($E21,Sheet1!C$4:EO$4,0))</f>
        <v>Outcomes</v>
      </c>
      <c r="J21" s="202" t="s">
        <v>25</v>
      </c>
    </row>
    <row r="22" spans="1:10">
      <c r="A22" s="201" t="str">
        <v>Driver</v>
      </c>
      <c r="B22" s="201">
        <v>0</v>
      </c>
      <c r="C22" s="201" t="str">
        <v>driver description</v>
      </c>
      <c r="D22" s="201"/>
      <c r="E22" t="str">
        <f t="array" ref="E22">INDEX(Sheet1!$A$4:$CV$4,MATCH(0,COUNTIF($E$1:E21,Sheet1!$A$4:$CV$4),0))</f>
        <v>Cumulated C balance</v>
      </c>
      <c r="F22" s="204" t="s">
        <v>2604</v>
      </c>
      <c r="G22" t="str">
        <f>INDEX(Sheet1!A$2:CV$2,MATCH($E22,Sheet1!A$4:CV$4,0))</f>
        <v>Carbon_outcome</v>
      </c>
      <c r="H22" s="205" t="s">
        <v>2605</v>
      </c>
      <c r="I22" t="str">
        <f>INDEX(Sheet1!C$1:EO$1,MATCH($E22,Sheet1!C$4:EO$4,0))</f>
        <v>Outcomes</v>
      </c>
      <c r="J22" s="202" t="s">
        <v>26</v>
      </c>
    </row>
    <row r="23" spans="1:10">
      <c r="A23" s="201" t="str">
        <v>Change in practices</v>
      </c>
      <c r="B23" s="201" t="str">
        <v>#CAACCB</v>
      </c>
      <c r="C23" s="201" t="str">
        <v>Silviculture for removals</v>
      </c>
      <c r="D23" s="201"/>
      <c r="E23" t="str">
        <f t="array" ref="E23">INDEX(Sheet1!$A$4:$CV$4,MATCH(0,COUNTIF($E$1:E22,Sheet1!$A$4:$CV$4),0))</f>
        <v>Substitution coefficient</v>
      </c>
      <c r="F23" s="206" t="s">
        <v>2606</v>
      </c>
      <c r="G23">
        <f>INDEX(Sheet1!A$2:CV$2,MATCH($E23,Sheet1!A$4:CV$4,0))</f>
        <v>0</v>
      </c>
      <c r="H23" s="205" t="s">
        <v>2605</v>
      </c>
      <c r="I23" t="str">
        <f>INDEX(Sheet1!C$1:EO$1,MATCH($E23,Sheet1!C$4:EO$4,0))</f>
        <v>Outcomes</v>
      </c>
    </row>
    <row r="24" spans="1:10">
      <c r="A24" s="201" t="str">
        <v>Change in practices</v>
      </c>
      <c r="B24" s="201" t="str">
        <v>#CAACCB</v>
      </c>
      <c r="C24" s="201" t="str">
        <v>Silviculture for removals</v>
      </c>
      <c r="D24" s="201"/>
      <c r="E24" t="str">
        <f t="array" ref="E24">INDEX(Sheet1!$A$4:$CV$4,MATCH(0,COUNTIF($E$1:E23,Sheet1!$A$4:$CV$4),0))</f>
        <v>LCAOutcomes</v>
      </c>
      <c r="F24" s="205" t="s">
        <v>2605</v>
      </c>
      <c r="G24" t="str">
        <f>INDEX(Sheet1!A$2:CV$2,MATCH($E24,Sheet1!A$4:CV$4,0))</f>
        <v>Non_c_outcomes</v>
      </c>
      <c r="H24" s="205" t="s">
        <v>2605</v>
      </c>
      <c r="I24" t="str">
        <f>INDEX(Sheet1!C$1:EO$1,MATCH($E24,Sheet1!C$4:EO$4,0))</f>
        <v>Outcomes</v>
      </c>
      <c r="J24" s="207" t="s">
        <v>19</v>
      </c>
    </row>
    <row r="25" spans="1:10">
      <c r="A25" s="201" t="str">
        <v>Change in practices</v>
      </c>
      <c r="B25" s="201" t="str">
        <v>#CAACCB</v>
      </c>
      <c r="C25" s="201" t="str">
        <v>Silviculture for removals</v>
      </c>
      <c r="D25" s="201"/>
      <c r="E25" t="str">
        <f t="array" ref="E25">INDEX(Sheet1!$A$4:$CV$4,MATCH(0,COUNTIF($E$1:E24,Sheet1!$A$4:$CV$4),0))</f>
        <v>biogeochemicalOutcomes</v>
      </c>
      <c r="F25" s="200" t="s">
        <v>2603</v>
      </c>
      <c r="G25" t="str">
        <f>INDEX(Sheet1!A$2:CV$2,MATCH($E25,Sheet1!A$4:CV$4,0))</f>
        <v>Non_c_outcomes</v>
      </c>
      <c r="H25" s="200" t="s">
        <v>2603</v>
      </c>
      <c r="I25" t="str">
        <f>INDEX(Sheet1!C$1:EO$1,MATCH($E25,Sheet1!C$4:EO$4,0))</f>
        <v>Outcomes</v>
      </c>
      <c r="J25" s="207" t="s">
        <v>19</v>
      </c>
    </row>
    <row r="26" spans="1:10">
      <c r="A26" s="201" t="str">
        <v>Change in practices</v>
      </c>
      <c r="B26" s="201" t="str">
        <v>#CAACCB</v>
      </c>
      <c r="C26" s="201" t="str">
        <v>Silviculture for removals</v>
      </c>
      <c r="D26" s="201"/>
      <c r="E26" t="str">
        <f t="array" ref="E26">INDEX(Sheet1!$A$4:$CV$4,MATCH(0,COUNTIF($E$1:E25,Sheet1!$A$4:$CV$4),0))</f>
        <v>biophysicalOutcomes</v>
      </c>
      <c r="F26" s="200" t="s">
        <v>2603</v>
      </c>
      <c r="G26" t="str">
        <f>INDEX(Sheet1!A$2:CV$2,MATCH($E26,Sheet1!A$4:CV$4,0))</f>
        <v>Non_c_outcomes</v>
      </c>
      <c r="H26" s="200" t="s">
        <v>2603</v>
      </c>
      <c r="I26" t="str">
        <f>INDEX(Sheet1!C$1:EO$1,MATCH($E26,Sheet1!C$4:EO$4,0))</f>
        <v>Outcomes</v>
      </c>
      <c r="J26" s="207" t="s">
        <v>19</v>
      </c>
    </row>
    <row r="27" spans="1:10">
      <c r="A27" s="201" t="str">
        <v>Change in practices</v>
      </c>
      <c r="B27" s="201" t="str">
        <v>#CAACCB</v>
      </c>
      <c r="C27" s="201" t="str">
        <v>Silviculture for productivity</v>
      </c>
      <c r="D27" s="201"/>
      <c r="E27" t="str">
        <f t="array" ref="E27">INDEX(Sheet1!$A$4:$CV$4,MATCH(0,COUNTIF($E$1:E26,Sheet1!$A$4:$CV$4),0))</f>
        <v>ecologicalOutcomes</v>
      </c>
      <c r="F27" s="208" t="s">
        <v>57</v>
      </c>
      <c r="G27" t="str">
        <f>INDEX(Sheet1!A$2:CV$2,MATCH($E27,Sheet1!A$4:CV$4,0))</f>
        <v>Non_c_outcomes</v>
      </c>
      <c r="H27" s="207" t="s">
        <v>19</v>
      </c>
      <c r="I27" t="str">
        <f>INDEX(Sheet1!C$1:EO$1,MATCH($E27,Sheet1!C$4:EO$4,0))</f>
        <v>Outcomes</v>
      </c>
      <c r="J27" s="207" t="s">
        <v>19</v>
      </c>
    </row>
    <row r="28" spans="1:10">
      <c r="A28" s="201" t="str">
        <v>Change in practices</v>
      </c>
      <c r="B28" s="201" t="str">
        <v>#CAACCB</v>
      </c>
      <c r="C28" s="201" t="str">
        <v>Silviculture for productivity</v>
      </c>
      <c r="D28" s="201"/>
      <c r="E28" t="str">
        <f t="array" ref="E28">INDEX(Sheet1!$A$4:$CV$4,MATCH(0,COUNTIF($E$1:E27,Sheet1!$A$4:$CV$4),0))</f>
        <v>economicalOutcomes</v>
      </c>
      <c r="F28" s="207" t="s">
        <v>19</v>
      </c>
      <c r="G28" t="str">
        <f>INDEX(Sheet1!A$2:CV$2,MATCH($E28,Sheet1!A$4:CV$4,0))</f>
        <v>Non_c_outcomes</v>
      </c>
      <c r="H28" s="207" t="s">
        <v>19</v>
      </c>
      <c r="I28" t="str">
        <f>INDEX(Sheet1!C$1:EO$1,MATCH($E28,Sheet1!C$4:EO$4,0))</f>
        <v>Outcomes</v>
      </c>
      <c r="J28" s="207" t="s">
        <v>19</v>
      </c>
    </row>
    <row r="29" spans="1:10">
      <c r="A29" s="201" t="str">
        <v>Change in practices</v>
      </c>
      <c r="B29" s="201" t="str">
        <v>#CAACCB</v>
      </c>
      <c r="C29" s="201" t="str">
        <v>Silviculture for productivity</v>
      </c>
      <c r="D29" s="201"/>
      <c r="E29" t="str">
        <f t="array" ref="E29">INDEX(Sheet1!$A$4:$CV$4,MATCH(0,COUNTIF($E$1:E28,Sheet1!$A$4:$CV$4),0))</f>
        <v>Carbon_outcome</v>
      </c>
      <c r="F29" s="209" t="s">
        <v>58</v>
      </c>
      <c r="G29" t="str">
        <f>INDEX(Sheet1!A$2:CV$2,MATCH($E29,Sheet1!A$4:CV$4,0))</f>
        <v>DataCorrection</v>
      </c>
      <c r="H29" s="207" t="s">
        <v>19</v>
      </c>
      <c r="I29" t="str">
        <f>INDEX(Sheet1!C$1:EO$1,MATCH($E29,Sheet1!C$4:EO$4,0))</f>
        <v>Outcomes</v>
      </c>
      <c r="J29" s="207" t="s">
        <v>19</v>
      </c>
    </row>
    <row r="30" spans="1:10">
      <c r="A30" s="201" t="str">
        <v>Change in practices</v>
      </c>
      <c r="B30" s="201" t="str">
        <v>#CAACCB</v>
      </c>
      <c r="C30" s="201" t="str">
        <v>Silviculture for productivity</v>
      </c>
      <c r="D30" s="201"/>
      <c r="E30" t="e">
        <f t="array" ref="E30">INDEX(Sheet1!$A$4:$CV$4,MATCH(0,COUNTIF($E$1:E29,Sheet1!$A$4:$CV$4),0))</f>
        <v>#N/A</v>
      </c>
      <c r="F30" s="210" t="s">
        <v>59</v>
      </c>
      <c r="G30" t="e">
        <f>INDEX(Sheet1!A$2:CV$2,MATCH($E30,Sheet1!A$4:CV$4,0))</f>
        <v>#N/A</v>
      </c>
      <c r="H30" s="211" t="s">
        <v>60</v>
      </c>
      <c r="I30" t="e">
        <f>INDEX(Sheet1!C$1:EO$1,MATCH($E30,Sheet1!C$4:EO$4,0))</f>
        <v>#N/A</v>
      </c>
      <c r="J30" s="207" t="s">
        <v>19</v>
      </c>
    </row>
    <row r="31" spans="1:10">
      <c r="A31" s="201" t="str">
        <v>Change in practices</v>
      </c>
      <c r="B31" s="201" t="str">
        <v>#CAACCB</v>
      </c>
      <c r="C31" s="201" t="str">
        <v>Supply chain</v>
      </c>
      <c r="D31" s="201"/>
      <c r="E31" t="e">
        <f t="array" ref="E31">INDEX(Sheet1!$A$4:$CV$4,MATCH(0,COUNTIF($E$1:E30,Sheet1!$A$4:$CV$4),0))</f>
        <v>#N/A</v>
      </c>
      <c r="F31" s="211" t="s">
        <v>60</v>
      </c>
      <c r="G31" t="e">
        <f>INDEX(Sheet1!A$2:CV$2,MATCH($E31,Sheet1!A$4:CV$4,0))</f>
        <v>#N/A</v>
      </c>
      <c r="H31" s="211" t="s">
        <v>60</v>
      </c>
      <c r="I31" t="e">
        <f>INDEX(Sheet1!C$1:EO$1,MATCH($E31,Sheet1!C$4:EO$4,0))</f>
        <v>#N/A</v>
      </c>
    </row>
    <row r="32" spans="1:10">
      <c r="A32" s="201" t="str">
        <v>Change in practices</v>
      </c>
      <c r="B32" s="201" t="str">
        <v>#CAACCB</v>
      </c>
      <c r="C32" s="201" t="str">
        <v>Supply chain</v>
      </c>
      <c r="D32" s="201"/>
      <c r="E32" t="e">
        <f t="array" ref="E32">INDEX(Sheet1!$A$4:$CV$4,MATCH(0,COUNTIF($E$1:E31,Sheet1!$A$4:$CV$4),0))</f>
        <v>#N/A</v>
      </c>
      <c r="F32" s="211" t="s">
        <v>60</v>
      </c>
      <c r="G32" t="e">
        <f>INDEX(Sheet1!A$2:CV$2,MATCH($E32,Sheet1!A$4:CV$4,0))</f>
        <v>#N/A</v>
      </c>
      <c r="H32" s="211" t="s">
        <v>60</v>
      </c>
      <c r="I32" t="e">
        <f>INDEX(Sheet1!C$1:EO$1,MATCH($E32,Sheet1!C$4:EO$4,0))</f>
        <v>#N/A</v>
      </c>
    </row>
    <row r="33" spans="1:9">
      <c r="A33" s="201" t="str">
        <v>Change in practices</v>
      </c>
      <c r="B33" s="201" t="str">
        <v>#CAACCB</v>
      </c>
      <c r="C33" s="201" t="str">
        <v>Supply chain</v>
      </c>
      <c r="D33" s="201"/>
      <c r="E33" t="e">
        <f t="array" ref="E33">INDEX(Sheet1!$A$4:$CV$4,MATCH(0,COUNTIF($E$1:E32,Sheet1!$A$4:$CV$4),0))</f>
        <v>#N/A</v>
      </c>
      <c r="F33" s="212" t="s">
        <v>2607</v>
      </c>
      <c r="G33" t="e">
        <f>INDEX(Sheet1!A$2:CV$2,MATCH($E33,Sheet1!A$4:CV$4,0))</f>
        <v>#N/A</v>
      </c>
      <c r="H33" s="212" t="s">
        <v>2607</v>
      </c>
      <c r="I33" t="e">
        <f>INDEX(Sheet1!C$1:EO$1,MATCH($E33,Sheet1!C$4:EO$4,0))</f>
        <v>#N/A</v>
      </c>
    </row>
    <row r="34" spans="1:9">
      <c r="A34" s="201" t="str">
        <v>Change in practices</v>
      </c>
      <c r="B34" s="201" t="str">
        <v>#CAACCB</v>
      </c>
      <c r="C34" s="201" t="str">
        <v>Supply chain</v>
      </c>
      <c r="D34" s="201"/>
      <c r="E34" t="e">
        <f t="array" ref="E34">INDEX(Sheet1!$A$4:$CV$4,MATCH(0,COUNTIF($E$1:E33,Sheet1!$A$4:$CV$4),0))</f>
        <v>#N/A</v>
      </c>
      <c r="F34" s="212" t="s">
        <v>2607</v>
      </c>
      <c r="G34" t="e">
        <f>INDEX(Sheet1!A$2:CV$2,MATCH($E34,Sheet1!A$4:CV$4,0))</f>
        <v>#N/A</v>
      </c>
      <c r="H34" s="212" t="s">
        <v>2607</v>
      </c>
      <c r="I34" t="e">
        <f>INDEX(Sheet1!C$1:EO$1,MATCH($E34,Sheet1!C$4:EO$4,0))</f>
        <v>#N/A</v>
      </c>
    </row>
    <row r="35" spans="1:9">
      <c r="A35" s="201" t="str">
        <v>Change in practices</v>
      </c>
      <c r="B35" s="201" t="str">
        <v>#CAACCB</v>
      </c>
      <c r="C35" s="201" t="str">
        <v>Supply chain</v>
      </c>
      <c r="D35" s="201"/>
      <c r="E35" t="e">
        <f t="array" ref="E35">INDEX(Sheet1!$A$4:$CV$4,MATCH(0,COUNTIF($E$1:E34,Sheet1!$A$4:$CV$4),0))</f>
        <v>#N/A</v>
      </c>
      <c r="F35" s="212" t="s">
        <v>2607</v>
      </c>
      <c r="G35" t="e">
        <f>INDEX(Sheet1!A$2:CV$2,MATCH($E35,Sheet1!A$4:CV$4,0))</f>
        <v>#N/A</v>
      </c>
      <c r="H35" s="212" t="s">
        <v>2607</v>
      </c>
      <c r="I35" t="e">
        <f>INDEX(Sheet1!C$1:EO$1,MATCH($E35,Sheet1!C$4:EO$4,0))</f>
        <v>#N/A</v>
      </c>
    </row>
    <row r="36" spans="1:9">
      <c r="A36" s="201" t="str">
        <v>Change in practices</v>
      </c>
      <c r="B36" s="201" t="str">
        <v>#CAACCB</v>
      </c>
      <c r="C36" s="201" t="str">
        <v>Supply chain</v>
      </c>
      <c r="D36" s="201"/>
      <c r="E36" t="e">
        <f t="array" ref="E36">INDEX(Sheet1!$A$4:$CV$4,MATCH(0,COUNTIF($E$1:E35,Sheet1!$A$4:$CV$4),0))</f>
        <v>#N/A</v>
      </c>
      <c r="F36" s="212" t="s">
        <v>2607</v>
      </c>
      <c r="G36" t="e">
        <f>INDEX(Sheet1!A$2:CV$2,MATCH($E36,Sheet1!A$4:CV$4,0))</f>
        <v>#N/A</v>
      </c>
      <c r="H36" s="212" t="s">
        <v>2607</v>
      </c>
      <c r="I36" t="e">
        <f>INDEX(Sheet1!C$1:EO$1,MATCH($E36,Sheet1!C$4:EO$4,0))</f>
        <v>#N/A</v>
      </c>
    </row>
    <row r="37" spans="1:9">
      <c r="A37" s="201" t="str">
        <v>Change in practices</v>
      </c>
      <c r="B37" s="201" t="str">
        <v>#CAACCB</v>
      </c>
      <c r="C37" s="201" t="str">
        <v>Technology</v>
      </c>
      <c r="D37" s="201"/>
      <c r="E37" t="e">
        <f t="array" ref="E37">INDEX(Sheet1!$A$4:$CV$4,MATCH(0,COUNTIF($E$1:E36,Sheet1!$A$4:$CV$4),0))</f>
        <v>#N/A</v>
      </c>
      <c r="F37" s="213" t="s">
        <v>2608</v>
      </c>
      <c r="G37" t="e">
        <f>INDEX(Sheet1!A$2:CV$2,MATCH($E37,Sheet1!A$4:CV$4,0))</f>
        <v>#N/A</v>
      </c>
      <c r="H37" s="212" t="s">
        <v>2607</v>
      </c>
      <c r="I37" t="e">
        <f>INDEX(Sheet1!C$1:EO$1,MATCH($E37,Sheet1!C$4:EO$4,0))</f>
        <v>#N/A</v>
      </c>
    </row>
    <row r="38" spans="1:9">
      <c r="A38" s="201" t="str">
        <v>Change in practices</v>
      </c>
      <c r="B38" s="201" t="str">
        <v>#CAACCB</v>
      </c>
      <c r="C38" s="201" t="str">
        <v>Technology</v>
      </c>
      <c r="D38" s="201"/>
      <c r="E38" t="e">
        <f t="array" ref="E38">INDEX(Sheet1!$A$4:$CV$4,MATCH(0,COUNTIF($E$1:E37,Sheet1!$A$4:$CV$4),0))</f>
        <v>#N/A</v>
      </c>
      <c r="F38" s="214" t="s">
        <v>2609</v>
      </c>
      <c r="G38" t="e">
        <f>INDEX(Sheet1!A$2:CV$2,MATCH($E38,Sheet1!A$4:CV$4,0))</f>
        <v>#N/A</v>
      </c>
      <c r="H38" s="212" t="s">
        <v>2607</v>
      </c>
      <c r="I38" t="e">
        <f>INDEX(Sheet1!C$1:EO$1,MATCH($E38,Sheet1!C$4:EO$4,0))</f>
        <v>#N/A</v>
      </c>
    </row>
    <row r="39" spans="1:9">
      <c r="A39" s="201" t="str">
        <v>Change in practices</v>
      </c>
      <c r="B39" s="201" t="str">
        <v>#CAACCB</v>
      </c>
      <c r="C39" s="201" t="str">
        <v>Technology</v>
      </c>
      <c r="D39" s="201"/>
      <c r="E39" t="e">
        <f t="array" ref="E39">INDEX(Sheet1!$A$4:$CV$4,MATCH(0,COUNTIF($E$1:E38,Sheet1!$A$4:$CV$4),0))</f>
        <v>#N/A</v>
      </c>
      <c r="F39" s="215" t="s">
        <v>2610</v>
      </c>
      <c r="G39" t="e">
        <f>INDEX(Sheet1!A$2:CV$2,MATCH($E39,Sheet1!A$4:CV$4,0))</f>
        <v>#N/A</v>
      </c>
      <c r="H39" s="212" t="s">
        <v>2607</v>
      </c>
      <c r="I39" t="e">
        <f>INDEX(Sheet1!C$1:EO$1,MATCH($E39,Sheet1!C$4:EO$4,0))</f>
        <v>#N/A</v>
      </c>
    </row>
    <row r="40" spans="1:9">
      <c r="A40" s="201" t="str">
        <v>Environmental change</v>
      </c>
      <c r="B40" s="201" t="str">
        <v>#994F93</v>
      </c>
      <c r="C40" s="201" t="str">
        <v>Environmental change</v>
      </c>
      <c r="D40" s="201"/>
      <c r="E40" t="e">
        <f t="array" ref="E40">INDEX(Sheet1!$A$4:$CV$4,MATCH(0,COUNTIF($E$1:E39,Sheet1!$A$4:$CV$4),0))</f>
        <v>#N/A</v>
      </c>
      <c r="G40" t="e">
        <f>INDEX(Sheet1!A$2:CV$2,MATCH($E40,Sheet1!A$4:CV$4,0))</f>
        <v>#N/A</v>
      </c>
      <c r="I40" t="e">
        <f>INDEX(Sheet1!A$4:CV$4,MATCH($E40,Sheet1!A$7:CV$7,0))</f>
        <v>#N/A</v>
      </c>
    </row>
    <row r="41" spans="1:9">
      <c r="A41" s="201" t="str">
        <v>Environmental change</v>
      </c>
      <c r="B41" s="201" t="str">
        <v>#994F93</v>
      </c>
      <c r="C41" s="201" t="str">
        <v>Environmental change</v>
      </c>
      <c r="D41" s="201"/>
      <c r="E41" t="e">
        <f t="array" ref="E41">INDEX(Sheet1!$A$4:$CV$4,MATCH(0,COUNTIF($E$1:E40,Sheet1!$A$4:$CV$4),0))</f>
        <v>#N/A</v>
      </c>
      <c r="G41" t="e">
        <f>INDEX(Sheet1!A$2:CV$2,MATCH($E41,Sheet1!A$4:CV$4,0))</f>
        <v>#N/A</v>
      </c>
      <c r="I41" t="e">
        <f>INDEX(Sheet1!A$4:CV$4,MATCH($E41,Sheet1!A$7:CV$7,0))</f>
        <v>#N/A</v>
      </c>
    </row>
    <row r="42" spans="1:9">
      <c r="A42" s="201" t="str">
        <v>Environmental change</v>
      </c>
      <c r="B42" s="201" t="str">
        <v>#994F93</v>
      </c>
      <c r="C42" s="201" t="str">
        <v>Environmental change</v>
      </c>
      <c r="D42" s="201"/>
      <c r="E42" t="e">
        <f t="array" ref="E42">INDEX(Sheet1!$A$4:$CV$4,MATCH(0,COUNTIF($E$1:E41,Sheet1!$A$4:$CV$4),0))</f>
        <v>#N/A</v>
      </c>
      <c r="G42" t="e">
        <f>INDEX(Sheet1!A$2:CV$2,MATCH($E42,Sheet1!A$4:CV$4,0))</f>
        <v>#N/A</v>
      </c>
      <c r="I42" t="e">
        <f>INDEX(Sheet1!A$4:CV$4,MATCH($E42,Sheet1!A$7:CV$7,0))</f>
        <v>#N/A</v>
      </c>
    </row>
    <row r="43" spans="1:9">
      <c r="A43" s="201" t="str">
        <v>Environmental change</v>
      </c>
      <c r="B43" s="201" t="str">
        <v>#994F93</v>
      </c>
      <c r="C43" s="201" t="str">
        <v>Environmental change</v>
      </c>
      <c r="D43" s="201"/>
      <c r="E43" t="e">
        <f t="array" ref="E43">INDEX(Sheet1!$A$4:$CV$4,MATCH(0,COUNTIF($E$1:E42,Sheet1!$A$4:$CV$4),0))</f>
        <v>#N/A</v>
      </c>
      <c r="G43" t="e">
        <f>INDEX(Sheet1!A$2:CV$2,MATCH($E43,Sheet1!A$4:CV$4,0))</f>
        <v>#N/A</v>
      </c>
      <c r="I43" t="e">
        <f>INDEX(Sheet1!A$4:CV$4,MATCH($E43,Sheet1!A$7:CV$7,0))</f>
        <v>#N/A</v>
      </c>
    </row>
    <row r="44" spans="1:9">
      <c r="A44" s="201" t="str">
        <v>Environmental change</v>
      </c>
      <c r="B44" s="201" t="str">
        <v>#994F93</v>
      </c>
      <c r="C44" s="201" t="str">
        <v>Environmental change</v>
      </c>
      <c r="D44" s="201"/>
      <c r="E44" t="e">
        <f t="array" ref="E44">INDEX(Sheet1!$A$4:$CV$4,MATCH(0,COUNTIF($E$1:E43,Sheet1!$A$4:$CV$4),0))</f>
        <v>#N/A</v>
      </c>
      <c r="G44" t="e">
        <f>INDEX(Sheet1!A$2:CV$2,MATCH($E44,Sheet1!A$4:CV$4,0))</f>
        <v>#N/A</v>
      </c>
      <c r="I44" t="e">
        <f>INDEX(Sheet1!A$4:CV$4,MATCH($E44,Sheet1!A$7:CV$7,0))</f>
        <v>#N/A</v>
      </c>
    </row>
    <row r="45" spans="1:9">
      <c r="A45" s="201" t="str">
        <v>Environmental change</v>
      </c>
      <c r="B45" s="201" t="str">
        <v>#994F93</v>
      </c>
      <c r="C45" s="201" t="str">
        <v>Environmental change</v>
      </c>
      <c r="D45" s="201"/>
      <c r="E45" t="e">
        <f t="array" ref="E45">INDEX(Sheet1!$A$4:$CV$4,MATCH(0,COUNTIF($E$1:E44,Sheet1!$A$4:$CV$4),0))</f>
        <v>#N/A</v>
      </c>
      <c r="I45"/>
    </row>
    <row r="46" spans="1:9">
      <c r="A46" s="201" t="str">
        <v>Environmental change</v>
      </c>
      <c r="B46" s="201" t="str">
        <v>#994F93</v>
      </c>
      <c r="C46" s="201" t="str">
        <v>Demand</v>
      </c>
      <c r="D46" s="201"/>
      <c r="E46" t="e">
        <f t="array" ref="E46">INDEX(Sheet1!$A$4:$CV$4,MATCH(0,COUNTIF($E$1:E45,Sheet1!$A$4:$CV$4),0))</f>
        <v>#N/A</v>
      </c>
      <c r="I46"/>
    </row>
    <row r="47" spans="1:9">
      <c r="A47" s="201" t="str">
        <v>Environmental change</v>
      </c>
      <c r="B47" s="201" t="str">
        <v>#994F93</v>
      </c>
      <c r="C47" s="201" t="str">
        <v>Demand</v>
      </c>
      <c r="D47" s="201"/>
      <c r="I47"/>
    </row>
    <row r="48" spans="1:9">
      <c r="A48" s="201" t="str">
        <v>Environmental change</v>
      </c>
      <c r="B48" s="201" t="str">
        <v>#994F93</v>
      </c>
      <c r="C48" s="201" t="str">
        <v>Demand</v>
      </c>
      <c r="D48" s="201"/>
      <c r="I48"/>
    </row>
    <row r="49" spans="1:9">
      <c r="A49" s="201" t="str">
        <v>Environmental change</v>
      </c>
      <c r="B49" s="201" t="str">
        <v>#994F93</v>
      </c>
      <c r="C49" s="201" t="str">
        <v>Demand</v>
      </c>
      <c r="D49" s="201"/>
      <c r="I49"/>
    </row>
    <row r="50" spans="1:9">
      <c r="A50" s="201" t="str">
        <v>Environmental change</v>
      </c>
      <c r="B50" s="201" t="str">
        <v>#994F93</v>
      </c>
      <c r="C50" s="201" t="str">
        <v>Demand</v>
      </c>
      <c r="D50" s="201"/>
      <c r="I50"/>
    </row>
    <row r="51" spans="1:9">
      <c r="A51" s="201" t="str">
        <v>Post-extraction</v>
      </c>
      <c r="B51" s="201">
        <v>0</v>
      </c>
      <c r="C51" s="201" t="str">
        <v>QC</v>
      </c>
      <c r="D51" s="201"/>
      <c r="I51"/>
    </row>
    <row r="52" spans="1:9">
      <c r="A52" s="201" t="str">
        <v>QC</v>
      </c>
      <c r="B52" s="201">
        <v>0</v>
      </c>
      <c r="C52" s="201" t="str">
        <v>All</v>
      </c>
      <c r="D52" s="201"/>
      <c r="I52"/>
    </row>
    <row r="53" spans="1:9">
      <c r="A53" s="201">
        <v>0</v>
      </c>
      <c r="B53" s="201">
        <v>0</v>
      </c>
      <c r="C53" s="201">
        <v>0</v>
      </c>
      <c r="D53" s="201"/>
      <c r="I53"/>
    </row>
    <row r="54" spans="1:9">
      <c r="A54" s="201">
        <v>0</v>
      </c>
      <c r="B54" s="201">
        <v>0</v>
      </c>
      <c r="C54" s="201">
        <v>0</v>
      </c>
      <c r="D54" s="201"/>
      <c r="I54"/>
    </row>
    <row r="55" spans="1:9">
      <c r="A55" s="201">
        <v>0</v>
      </c>
      <c r="B55" s="201">
        <v>0</v>
      </c>
      <c r="C55" s="201">
        <v>0</v>
      </c>
      <c r="D55" s="201"/>
      <c r="I55"/>
    </row>
    <row r="56" spans="1:9">
      <c r="A56" s="201" t="str">
        <v>QC</v>
      </c>
      <c r="B56" s="201">
        <v>0</v>
      </c>
      <c r="C56" s="201" t="str">
        <v>AllEnvir</v>
      </c>
      <c r="D56" s="201"/>
      <c r="I56"/>
    </row>
    <row r="57" spans="1:9">
      <c r="A57" s="201" t="str">
        <v>QC</v>
      </c>
      <c r="B57" s="201">
        <v>0</v>
      </c>
      <c r="C57" s="201" t="str">
        <v>AllEnvir</v>
      </c>
      <c r="D57" s="201"/>
      <c r="I57"/>
    </row>
    <row r="58" spans="1:9">
      <c r="A58" s="201" t="str">
        <v>Driver</v>
      </c>
      <c r="B58" s="201">
        <v>0</v>
      </c>
      <c r="C58" s="201" t="str">
        <v>MainDriver</v>
      </c>
      <c r="D58" s="201"/>
      <c r="I58"/>
    </row>
    <row r="59" spans="1:9">
      <c r="A59" s="201" t="str">
        <v>Driver</v>
      </c>
      <c r="B59" s="201">
        <v>0</v>
      </c>
      <c r="C59" s="201" t="str">
        <v>MainDriver</v>
      </c>
      <c r="D59" s="201"/>
      <c r="I59"/>
    </row>
    <row r="60" spans="1:9">
      <c r="A60" s="201" t="str">
        <v>Carbon_outcome</v>
      </c>
      <c r="B60" s="201">
        <v>0</v>
      </c>
      <c r="C60" s="201" t="str">
        <v>Wood amount</v>
      </c>
      <c r="D60" s="201"/>
      <c r="I60"/>
    </row>
    <row r="61" spans="1:9">
      <c r="A61" s="201" t="str">
        <v>Carbon_outcome</v>
      </c>
      <c r="B61" s="201">
        <v>0</v>
      </c>
      <c r="C61" s="201" t="str">
        <v>Wood amount</v>
      </c>
      <c r="D61" s="201"/>
      <c r="I61"/>
    </row>
    <row r="62" spans="1:9">
      <c r="A62" s="201">
        <v>0</v>
      </c>
      <c r="B62" s="201">
        <v>0</v>
      </c>
      <c r="C62" s="201">
        <v>0</v>
      </c>
      <c r="D62" s="201"/>
      <c r="I62"/>
    </row>
    <row r="63" spans="1:9">
      <c r="A63" s="201" t="str">
        <v>Carbon_outcome</v>
      </c>
      <c r="B63" s="201">
        <v>0</v>
      </c>
      <c r="C63" s="201" t="str">
        <v>Wood amount</v>
      </c>
      <c r="D63" s="201"/>
      <c r="I63"/>
    </row>
    <row r="64" spans="1:9">
      <c r="A64" s="201" t="str">
        <v>Carbon_outcome</v>
      </c>
      <c r="B64" s="201">
        <v>0</v>
      </c>
      <c r="C64" s="201" t="str">
        <v>Wood amount</v>
      </c>
      <c r="D64" s="201"/>
      <c r="I64"/>
    </row>
    <row r="65" spans="1:9">
      <c r="A65" s="201" t="str">
        <v>Carbon_outcome</v>
      </c>
      <c r="B65" s="201">
        <v>0</v>
      </c>
      <c r="C65" s="201" t="str">
        <v>Wood amount</v>
      </c>
      <c r="D65" s="201"/>
      <c r="I65"/>
    </row>
    <row r="66" spans="1:9">
      <c r="A66" s="201" t="str">
        <v>Carbon_outcome</v>
      </c>
      <c r="B66" s="201">
        <v>0</v>
      </c>
      <c r="C66" s="201" t="str">
        <v>Wood amount</v>
      </c>
      <c r="D66" s="201"/>
      <c r="I66"/>
    </row>
    <row r="67" spans="1:9">
      <c r="A67" s="201" t="str">
        <v>Carbon_outcome</v>
      </c>
      <c r="B67" s="201">
        <v>0</v>
      </c>
      <c r="C67" s="201" t="str">
        <v>Wood amount</v>
      </c>
      <c r="D67" s="201"/>
      <c r="I67"/>
    </row>
    <row r="68" spans="1:9">
      <c r="A68" s="201" t="str">
        <v>Carbon_outcome</v>
      </c>
      <c r="B68" s="201">
        <v>0</v>
      </c>
      <c r="C68" s="201" t="str">
        <v>Wood amount</v>
      </c>
      <c r="D68" s="201"/>
      <c r="I68"/>
    </row>
    <row r="69" spans="1:9">
      <c r="A69" s="201" t="str">
        <v>Carbon_outcome</v>
      </c>
      <c r="B69" s="201">
        <v>0</v>
      </c>
      <c r="C69" s="201" t="str">
        <v>Cumulated C balance</v>
      </c>
      <c r="D69" s="201"/>
      <c r="I69"/>
    </row>
    <row r="70" spans="1:9">
      <c r="A70" s="201">
        <v>0</v>
      </c>
      <c r="B70" s="201">
        <v>0</v>
      </c>
      <c r="C70" s="201" t="str">
        <v>Cumulated C balance</v>
      </c>
      <c r="D70" s="201"/>
      <c r="I70"/>
    </row>
    <row r="71" spans="1:9">
      <c r="A71" s="201" t="str">
        <v>Carbon_outcome</v>
      </c>
      <c r="B71" s="201">
        <v>0</v>
      </c>
      <c r="C71" s="201" t="str">
        <v>Cumulated C balance</v>
      </c>
      <c r="D71" s="201"/>
      <c r="I71"/>
    </row>
    <row r="72" spans="1:9">
      <c r="A72" s="201" t="str">
        <v>Carbon_outcome</v>
      </c>
      <c r="B72" s="201">
        <v>0</v>
      </c>
      <c r="C72" s="201" t="str">
        <v>Cumulated C balance</v>
      </c>
      <c r="D72" s="201"/>
      <c r="I72"/>
    </row>
    <row r="73" spans="1:9">
      <c r="A73" s="201" t="str">
        <v>Carbon_outcome</v>
      </c>
      <c r="B73" s="201">
        <v>0</v>
      </c>
      <c r="C73" s="201" t="str">
        <v>Cumulated C balance</v>
      </c>
      <c r="D73" s="201"/>
      <c r="I73"/>
    </row>
    <row r="74" spans="1:9">
      <c r="A74" s="201" t="str">
        <v>Carbon_outcome</v>
      </c>
      <c r="B74" s="201">
        <v>0</v>
      </c>
      <c r="C74" s="201" t="str">
        <v>Cumulated C balance</v>
      </c>
      <c r="D74" s="201"/>
      <c r="I74"/>
    </row>
    <row r="75" spans="1:9">
      <c r="A75" s="201" t="str">
        <v>Carbon_outcome</v>
      </c>
      <c r="B75" s="201">
        <v>0</v>
      </c>
      <c r="C75" s="201" t="str">
        <v>Cumulated C balance</v>
      </c>
      <c r="D75" s="201"/>
      <c r="I75"/>
    </row>
    <row r="76" spans="1:9">
      <c r="A76" s="201">
        <v>0</v>
      </c>
      <c r="B76" s="201">
        <v>0</v>
      </c>
      <c r="C76" s="201">
        <v>0</v>
      </c>
      <c r="D76" s="201"/>
      <c r="I76"/>
    </row>
    <row r="77" spans="1:9">
      <c r="A77" s="201" t="str">
        <v>Carbon_outcome</v>
      </c>
      <c r="B77" s="201">
        <v>0</v>
      </c>
      <c r="C77" s="201" t="str">
        <v>Cumulated C balance</v>
      </c>
      <c r="D77" s="201"/>
      <c r="I77"/>
    </row>
    <row r="78" spans="1:9">
      <c r="A78" s="201">
        <v>0</v>
      </c>
      <c r="B78" s="201">
        <v>0</v>
      </c>
      <c r="C78" s="201" t="str">
        <v>Substitution coefficient</v>
      </c>
      <c r="D78" s="201"/>
      <c r="I78"/>
    </row>
    <row r="79" spans="1:9">
      <c r="A79" s="201" t="e">
        <v>#N/A</v>
      </c>
      <c r="B79" s="201" t="e">
        <v>#N/A</v>
      </c>
      <c r="C79" s="201" t="e">
        <v>#N/A</v>
      </c>
      <c r="D79" s="201"/>
      <c r="I79"/>
    </row>
    <row r="80" spans="1:9">
      <c r="A80" s="201" t="e">
        <v>#N/A</v>
      </c>
      <c r="B80" s="201" t="e">
        <v>#N/A</v>
      </c>
      <c r="C80" s="201" t="e">
        <v>#N/A</v>
      </c>
      <c r="D80" s="201"/>
      <c r="I80"/>
    </row>
    <row r="81" spans="1:9">
      <c r="A81" s="201" t="e">
        <v>#N/A</v>
      </c>
      <c r="B81" s="201" t="e">
        <v>#N/A</v>
      </c>
      <c r="C81" s="201" t="e">
        <v>#N/A</v>
      </c>
      <c r="D81" s="201"/>
      <c r="I81"/>
    </row>
    <row r="82" spans="1:9">
      <c r="A82" s="201" t="e">
        <v>#N/A</v>
      </c>
      <c r="B82" s="201" t="e">
        <v>#N/A</v>
      </c>
      <c r="C82" s="201" t="e">
        <v>#N/A</v>
      </c>
      <c r="D82" s="201"/>
      <c r="I82"/>
    </row>
    <row r="83" spans="1:9">
      <c r="A83" s="201" t="e">
        <v>#N/A</v>
      </c>
      <c r="B83" s="201" t="e">
        <v>#N/A</v>
      </c>
      <c r="C83" s="201" t="e">
        <v>#N/A</v>
      </c>
      <c r="D83" s="201"/>
      <c r="I83"/>
    </row>
    <row r="84" spans="1:9">
      <c r="A84" s="201" t="e">
        <v>#N/A</v>
      </c>
      <c r="B84" s="201" t="e">
        <v>#N/A</v>
      </c>
      <c r="C84" s="201" t="e">
        <v>#N/A</v>
      </c>
      <c r="D84" s="201"/>
      <c r="I84"/>
    </row>
    <row r="85" spans="1:9">
      <c r="A85" s="201" t="e">
        <v>#N/A</v>
      </c>
      <c r="B85" s="201" t="e">
        <v>#N/A</v>
      </c>
      <c r="C85" s="201" t="e">
        <v>#N/A</v>
      </c>
      <c r="D85" s="201"/>
      <c r="I85"/>
    </row>
    <row r="86" spans="1:9">
      <c r="A86" s="201" t="e">
        <v>#N/A</v>
      </c>
      <c r="B86" s="201" t="e">
        <v>#N/A</v>
      </c>
      <c r="C86" s="201" t="e">
        <v>#N/A</v>
      </c>
      <c r="D86" s="201"/>
      <c r="I86"/>
    </row>
    <row r="87" spans="1:9">
      <c r="A87" s="201" t="e">
        <v>#N/A</v>
      </c>
      <c r="B87" s="201" t="e">
        <v>#N/A</v>
      </c>
      <c r="C87" s="201" t="e">
        <v>#N/A</v>
      </c>
      <c r="D87" s="201"/>
      <c r="I87"/>
    </row>
    <row r="88" spans="1:9">
      <c r="A88" s="201" t="e">
        <v>#N/A</v>
      </c>
      <c r="B88" s="201" t="e">
        <v>#N/A</v>
      </c>
      <c r="C88" s="201" t="e">
        <v>#N/A</v>
      </c>
      <c r="D88" s="201"/>
      <c r="I88"/>
    </row>
    <row r="89" spans="1:9">
      <c r="A89" s="201" t="e">
        <v>#N/A</v>
      </c>
      <c r="B89" s="201" t="e">
        <v>#N/A</v>
      </c>
      <c r="C89" s="201" t="e">
        <v>#N/A</v>
      </c>
      <c r="D89" s="201"/>
      <c r="I89"/>
    </row>
    <row r="90" spans="1:9">
      <c r="A90" s="201" t="e">
        <v>#N/A</v>
      </c>
      <c r="B90" s="201" t="e">
        <v>#N/A</v>
      </c>
      <c r="C90" s="201" t="e">
        <v>#N/A</v>
      </c>
      <c r="D90" s="201"/>
      <c r="I90"/>
    </row>
    <row r="91" spans="1:9">
      <c r="A91" s="201" t="e">
        <v>#N/A</v>
      </c>
      <c r="B91" s="201" t="e">
        <v>#N/A</v>
      </c>
      <c r="C91" s="201" t="e">
        <v>#N/A</v>
      </c>
      <c r="D91" s="201"/>
      <c r="I91"/>
    </row>
    <row r="92" spans="1:9">
      <c r="A92" s="201" t="e">
        <v>#N/A</v>
      </c>
      <c r="B92" s="201" t="e">
        <v>#N/A</v>
      </c>
      <c r="C92" s="201" t="e">
        <v>#N/A</v>
      </c>
      <c r="D92" s="201"/>
      <c r="I92"/>
    </row>
    <row r="93" spans="1:9">
      <c r="A93" s="201" t="e">
        <v>#N/A</v>
      </c>
      <c r="B93" s="201" t="e">
        <v>#N/A</v>
      </c>
      <c r="C93" s="201" t="e">
        <v>#N/A</v>
      </c>
      <c r="D93" s="201"/>
      <c r="I93"/>
    </row>
    <row r="94" spans="1:9">
      <c r="A94" s="201" t="e">
        <v>#N/A</v>
      </c>
      <c r="B94" s="201" t="e">
        <v>#N/A</v>
      </c>
      <c r="C94" s="201" t="e">
        <v>#N/A</v>
      </c>
      <c r="D94" s="201"/>
      <c r="I94"/>
    </row>
    <row r="95" spans="1:9">
      <c r="A95" s="201" t="e">
        <v>#N/A</v>
      </c>
      <c r="B95" s="201" t="e">
        <v>#N/A</v>
      </c>
      <c r="C95" s="201" t="e">
        <v>#N/A</v>
      </c>
      <c r="D95" s="201"/>
      <c r="I95"/>
    </row>
    <row r="96" spans="1:9">
      <c r="A96" s="201" t="e">
        <v>#N/A</v>
      </c>
      <c r="B96" s="201" t="e">
        <v>#N/A</v>
      </c>
      <c r="C96" s="201" t="e">
        <v>#N/A</v>
      </c>
      <c r="D96" s="201"/>
      <c r="I96"/>
    </row>
    <row r="97" spans="1:9">
      <c r="A97" s="201" t="e">
        <v>#N/A</v>
      </c>
      <c r="B97" s="201" t="e">
        <v>#N/A</v>
      </c>
      <c r="C97" s="201" t="e">
        <v>#N/A</v>
      </c>
      <c r="D97" s="201"/>
      <c r="I97"/>
    </row>
    <row r="98" spans="1:9">
      <c r="A98" s="201" t="e">
        <v>#N/A</v>
      </c>
      <c r="B98" s="201" t="e">
        <v>#N/A</v>
      </c>
      <c r="C98" s="201" t="e">
        <v>#N/A</v>
      </c>
      <c r="D98" s="201"/>
      <c r="I98"/>
    </row>
    <row r="99" spans="1:9">
      <c r="A99" s="201" t="e">
        <v>#N/A</v>
      </c>
      <c r="B99" s="201" t="e">
        <v>#N/A</v>
      </c>
      <c r="C99" s="201" t="e">
        <v>#N/A</v>
      </c>
      <c r="D99" s="201"/>
      <c r="I99"/>
    </row>
    <row r="100" spans="1:9">
      <c r="A100" s="201" t="e">
        <v>#N/A</v>
      </c>
      <c r="B100" s="201" t="e">
        <v>#N/A</v>
      </c>
      <c r="C100" s="201" t="e">
        <v>#N/A</v>
      </c>
      <c r="D100" s="201"/>
      <c r="I100"/>
    </row>
    <row r="101" spans="1:9">
      <c r="A101" s="201" t="e">
        <v>#N/A</v>
      </c>
      <c r="B101" s="201" t="e">
        <v>#N/A</v>
      </c>
      <c r="C101" s="201" t="e">
        <v>#N/A</v>
      </c>
      <c r="D101" s="201"/>
      <c r="I101"/>
    </row>
    <row r="102" spans="1:9">
      <c r="A102" s="201" t="e">
        <v>#N/A</v>
      </c>
      <c r="B102" s="201" t="e">
        <v>#N/A</v>
      </c>
      <c r="C102" s="201" t="e">
        <v>#N/A</v>
      </c>
      <c r="D102" s="201"/>
      <c r="I102"/>
    </row>
    <row r="103" spans="1:9">
      <c r="A103" s="201" t="e">
        <v>#N/A</v>
      </c>
      <c r="B103" s="201" t="e">
        <v>#N/A</v>
      </c>
      <c r="C103" s="201" t="e">
        <v>#N/A</v>
      </c>
      <c r="D103" s="201"/>
      <c r="I103"/>
    </row>
    <row r="104" spans="1:9">
      <c r="A104" s="201" t="e">
        <v>#N/A</v>
      </c>
      <c r="B104" s="201" t="e">
        <v>#N/A</v>
      </c>
      <c r="C104" s="201" t="e">
        <v>#N/A</v>
      </c>
      <c r="D104" s="201"/>
      <c r="I104"/>
    </row>
    <row r="105" spans="1:9">
      <c r="A105" s="201" t="e">
        <v>#N/A</v>
      </c>
      <c r="B105" s="201" t="e">
        <v>#N/A</v>
      </c>
      <c r="C105" s="201" t="e">
        <v>#N/A</v>
      </c>
      <c r="D105" s="201"/>
      <c r="I105"/>
    </row>
    <row r="106" spans="1:9">
      <c r="A106" s="201" t="e">
        <v>#N/A</v>
      </c>
      <c r="B106" s="201" t="e">
        <v>#N/A</v>
      </c>
      <c r="C106" s="201" t="e">
        <v>#N/A</v>
      </c>
      <c r="D106" s="201"/>
      <c r="I106"/>
    </row>
    <row r="107" spans="1:9">
      <c r="A107" s="201" t="e">
        <v>#N/A</v>
      </c>
      <c r="B107" s="201" t="e">
        <v>#N/A</v>
      </c>
      <c r="C107" s="201" t="e">
        <v>#N/A</v>
      </c>
      <c r="D107" s="201"/>
      <c r="I107"/>
    </row>
    <row r="108" spans="1:9">
      <c r="A108" s="201" t="e">
        <v>#N/A</v>
      </c>
      <c r="B108" s="201" t="e">
        <v>#N/A</v>
      </c>
      <c r="C108" s="201" t="e">
        <v>#N/A</v>
      </c>
      <c r="D108" s="201"/>
      <c r="I108"/>
    </row>
    <row r="109" spans="1:9">
      <c r="A109" s="201" t="e">
        <v>#N/A</v>
      </c>
      <c r="B109" s="201" t="e">
        <v>#N/A</v>
      </c>
      <c r="C109" s="201" t="e">
        <v>#N/A</v>
      </c>
      <c r="D109" s="201"/>
      <c r="I109"/>
    </row>
    <row r="110" spans="1:9">
      <c r="A110" s="201" t="e">
        <v>#N/A</v>
      </c>
      <c r="B110" s="201" t="e">
        <v>#N/A</v>
      </c>
      <c r="C110" s="201" t="e">
        <v>#N/A</v>
      </c>
      <c r="D110" s="201"/>
      <c r="I110"/>
    </row>
    <row r="111" spans="1:9">
      <c r="A111" s="201" t="e">
        <v>#N/A</v>
      </c>
      <c r="B111" s="201" t="e">
        <v>#N/A</v>
      </c>
      <c r="C111" s="201" t="e">
        <v>#N/A</v>
      </c>
      <c r="D111" s="201"/>
      <c r="I111"/>
    </row>
    <row r="112" spans="1:9">
      <c r="A112" s="201" t="e">
        <v>#N/A</v>
      </c>
      <c r="B112" s="201" t="e">
        <v>#N/A</v>
      </c>
      <c r="C112" s="201" t="e">
        <v>#N/A</v>
      </c>
      <c r="D112" s="201"/>
      <c r="I112"/>
    </row>
    <row r="113" spans="1:9">
      <c r="A113" s="201" t="e">
        <v>#N/A</v>
      </c>
      <c r="B113" s="201" t="e">
        <v>#N/A</v>
      </c>
      <c r="C113" s="201" t="e">
        <v>#N/A</v>
      </c>
      <c r="D113" s="201"/>
      <c r="I113"/>
    </row>
    <row r="114" spans="1:9">
      <c r="A114" s="201" t="e">
        <v>#N/A</v>
      </c>
      <c r="B114" s="201" t="e">
        <v>#N/A</v>
      </c>
      <c r="C114" s="201" t="e">
        <v>#N/A</v>
      </c>
      <c r="D114" s="201"/>
      <c r="I114"/>
    </row>
    <row r="115" spans="1:9">
      <c r="A115" s="201" t="e">
        <v>#N/A</v>
      </c>
      <c r="B115" s="201" t="e">
        <v>#N/A</v>
      </c>
      <c r="C115" s="201" t="e">
        <v>#N/A</v>
      </c>
      <c r="D115" s="201"/>
      <c r="I115"/>
    </row>
    <row r="116" spans="1:9">
      <c r="A116" s="201" t="e">
        <v>#N/A</v>
      </c>
      <c r="B116" s="201" t="e">
        <v>#N/A</v>
      </c>
      <c r="C116" s="201" t="e">
        <v>#N/A</v>
      </c>
      <c r="D116" s="201"/>
      <c r="I116"/>
    </row>
    <row r="117" spans="1:9">
      <c r="A117" s="201" t="e">
        <v>#N/A</v>
      </c>
      <c r="B117" s="201" t="e">
        <v>#N/A</v>
      </c>
      <c r="C117" s="201" t="e">
        <v>#N/A</v>
      </c>
      <c r="D117" s="201"/>
      <c r="I117"/>
    </row>
    <row r="118" spans="1:9">
      <c r="A118" s="201" t="e">
        <v>#N/A</v>
      </c>
      <c r="B118" s="201" t="e">
        <v>#N/A</v>
      </c>
      <c r="C118" s="201" t="e">
        <v>#N/A</v>
      </c>
      <c r="D118" s="201"/>
      <c r="I118"/>
    </row>
    <row r="119" spans="1:9">
      <c r="A119" s="201" t="e">
        <v>#N/A</v>
      </c>
      <c r="B119" s="201" t="e">
        <v>#N/A</v>
      </c>
      <c r="C119" s="201" t="e">
        <v>#N/A</v>
      </c>
      <c r="D119" s="201"/>
      <c r="I119"/>
    </row>
    <row r="120" spans="1:9">
      <c r="A120" s="201"/>
      <c r="B120" s="201"/>
      <c r="C120" s="201"/>
      <c r="D120" s="201"/>
      <c r="I120"/>
    </row>
    <row r="121" spans="1:9">
      <c r="A121" s="201"/>
      <c r="B121" s="201"/>
      <c r="C121" s="201"/>
      <c r="D121" s="201"/>
      <c r="I121"/>
    </row>
    <row r="122" spans="1:9">
      <c r="A122" s="201"/>
      <c r="B122" s="201"/>
      <c r="C122" s="201"/>
      <c r="D122" s="201"/>
      <c r="I122"/>
    </row>
    <row r="123" spans="1:9">
      <c r="A123" s="201"/>
      <c r="B123" s="201"/>
      <c r="C123" s="201"/>
      <c r="D123" s="201"/>
      <c r="I123"/>
    </row>
    <row r="124" spans="1:9">
      <c r="A124" s="201"/>
      <c r="B124" s="201"/>
      <c r="C124" s="201"/>
      <c r="D124" s="201"/>
      <c r="I124"/>
    </row>
    <row r="125" spans="1:9">
      <c r="A125" s="201"/>
      <c r="B125" s="201"/>
      <c r="C125" s="201"/>
      <c r="D125" s="201"/>
      <c r="I125"/>
    </row>
    <row r="126" spans="1:9">
      <c r="A126" s="201"/>
      <c r="B126" s="201"/>
      <c r="C126" s="201"/>
      <c r="D126" s="201"/>
      <c r="I126"/>
    </row>
    <row r="127" spans="1:9">
      <c r="A127" s="201"/>
      <c r="B127" s="201"/>
      <c r="C127" s="201"/>
      <c r="D127" s="201"/>
      <c r="I127"/>
    </row>
    <row r="128" spans="1:9">
      <c r="A128" s="201"/>
      <c r="B128" s="201"/>
      <c r="C128" s="201"/>
      <c r="D128" s="201"/>
      <c r="I128"/>
    </row>
    <row r="129" spans="1:9">
      <c r="A129" s="201"/>
      <c r="B129" s="201"/>
      <c r="C129" s="201"/>
      <c r="D129" s="201"/>
      <c r="I129"/>
    </row>
    <row r="130" spans="1:9">
      <c r="A130" s="201"/>
      <c r="B130" s="201"/>
      <c r="C130" s="201"/>
      <c r="D130" s="201"/>
      <c r="I130"/>
    </row>
    <row r="131" spans="1:9">
      <c r="A131" s="201"/>
      <c r="B131" s="201"/>
      <c r="C131" s="201"/>
      <c r="D131" s="201"/>
      <c r="I131"/>
    </row>
    <row r="132" spans="1:9">
      <c r="A132" s="201"/>
      <c r="B132" s="201"/>
      <c r="C132" s="201"/>
      <c r="D132" s="201"/>
      <c r="I132"/>
    </row>
    <row r="133" spans="1:9">
      <c r="A133" s="201"/>
      <c r="B133" s="201"/>
      <c r="C133" s="201"/>
      <c r="D133" s="201"/>
      <c r="I133"/>
    </row>
    <row r="134" spans="1:9">
      <c r="A134" s="201"/>
      <c r="B134" s="201"/>
      <c r="C134" s="201"/>
      <c r="D134" s="201"/>
    </row>
    <row r="135" spans="1:9">
      <c r="A135" s="201"/>
      <c r="B135" s="201"/>
      <c r="C135" s="201"/>
      <c r="D135" s="201"/>
    </row>
    <row r="136" spans="1:9">
      <c r="A136" s="201"/>
      <c r="B136" s="201"/>
      <c r="C136" s="201"/>
      <c r="D136" s="201"/>
    </row>
    <row r="137" spans="1:9">
      <c r="A137" s="201"/>
      <c r="B137" s="201"/>
      <c r="C137" s="201"/>
      <c r="D137" s="201"/>
    </row>
    <row r="138" spans="1:9">
      <c r="A138" s="201"/>
      <c r="B138" s="201"/>
      <c r="C138" s="201"/>
      <c r="D138" s="201"/>
    </row>
    <row r="139" spans="1:9">
      <c r="A139" s="201"/>
      <c r="B139" s="201"/>
      <c r="C139" s="201"/>
      <c r="D139" s="201"/>
    </row>
    <row r="140" spans="1:9">
      <c r="A140" s="201"/>
      <c r="B140" s="201"/>
      <c r="C140" s="201"/>
      <c r="D140" s="201"/>
    </row>
    <row r="141" spans="1:9">
      <c r="A141" s="201"/>
      <c r="B141" s="201"/>
      <c r="C141" s="201"/>
      <c r="D141" s="201"/>
    </row>
    <row r="142" spans="1:9">
      <c r="A142" s="201"/>
      <c r="B142" s="201"/>
      <c r="C142" s="201"/>
      <c r="D142" s="201"/>
    </row>
    <row r="143" spans="1:9">
      <c r="A143" s="201"/>
      <c r="B143" s="201"/>
      <c r="C143" s="201"/>
      <c r="D143" s="201"/>
    </row>
    <row r="144" spans="1:9">
      <c r="A144" s="201"/>
      <c r="B144" s="201"/>
      <c r="C144" s="201"/>
      <c r="D144" s="201"/>
    </row>
    <row r="145" spans="1:4">
      <c r="A145" s="201"/>
      <c r="B145" s="201"/>
      <c r="C145" s="201"/>
      <c r="D145" s="201"/>
    </row>
    <row r="146" spans="1:4">
      <c r="A146" s="201"/>
      <c r="B146" s="201"/>
      <c r="C146" s="201"/>
      <c r="D146" s="201"/>
    </row>
    <row r="147" spans="1:4">
      <c r="A147" s="201"/>
      <c r="B147" s="201"/>
      <c r="C147" s="201"/>
      <c r="D147" s="201"/>
    </row>
    <row r="148" spans="1:4">
      <c r="A148" s="201"/>
      <c r="B148" s="201"/>
      <c r="C148" s="201"/>
      <c r="D148" s="201"/>
    </row>
    <row r="149" spans="1:4">
      <c r="A149" s="201"/>
      <c r="B149" s="201"/>
      <c r="C149" s="201"/>
      <c r="D149" s="201"/>
    </row>
    <row r="150" spans="1:4">
      <c r="A150" s="201"/>
      <c r="B150" s="201"/>
      <c r="C150" s="201"/>
      <c r="D150" s="201"/>
    </row>
    <row r="151" spans="1:4">
      <c r="A151" s="201"/>
      <c r="B151" s="201"/>
      <c r="C151" s="201"/>
      <c r="D151" s="201"/>
    </row>
    <row r="152" spans="1:4">
      <c r="A152" s="201"/>
      <c r="B152" s="201"/>
      <c r="C152" s="201"/>
      <c r="D152" s="201"/>
    </row>
    <row r="153" spans="1:4">
      <c r="A153" s="201"/>
      <c r="B153" s="201"/>
      <c r="C153" s="201"/>
      <c r="D153" s="201"/>
    </row>
    <row r="154" spans="1:4">
      <c r="A154" s="201"/>
      <c r="B154" s="201"/>
      <c r="C154" s="201"/>
      <c r="D154" s="201"/>
    </row>
    <row r="155" spans="1:4">
      <c r="A155" s="201"/>
      <c r="B155" s="201"/>
      <c r="C155" s="201"/>
      <c r="D155" s="201"/>
    </row>
    <row r="156" spans="1:4">
      <c r="A156" s="201"/>
      <c r="B156" s="201"/>
      <c r="C156" s="201"/>
      <c r="D156" s="201"/>
    </row>
    <row r="157" spans="1:4">
      <c r="A157" s="201"/>
      <c r="B157" s="201"/>
      <c r="C157" s="201"/>
      <c r="D157" s="201"/>
    </row>
    <row r="158" spans="1:4">
      <c r="A158" s="201"/>
      <c r="B158" s="201"/>
      <c r="C158" s="201"/>
      <c r="D158" s="201"/>
    </row>
    <row r="159" spans="1:4">
      <c r="A159" s="201"/>
      <c r="B159" s="201"/>
      <c r="C159" s="201"/>
      <c r="D159" s="201"/>
    </row>
    <row r="160" spans="1:4">
      <c r="A160" s="201"/>
      <c r="B160" s="201"/>
      <c r="C160" s="201"/>
      <c r="D160" s="201"/>
    </row>
    <row r="161" spans="1:4">
      <c r="A161" s="201"/>
      <c r="B161" s="201"/>
      <c r="C161" s="201"/>
      <c r="D161" s="201"/>
    </row>
    <row r="162" spans="1:4">
      <c r="A162" s="201"/>
      <c r="B162" s="201"/>
      <c r="C162" s="201"/>
      <c r="D162" s="201"/>
    </row>
    <row r="163" spans="1:4">
      <c r="A163" s="201"/>
      <c r="B163" s="201"/>
      <c r="C163" s="201"/>
      <c r="D163" s="201"/>
    </row>
    <row r="164" spans="1:4">
      <c r="A164" s="201"/>
      <c r="B164" s="201"/>
      <c r="C164" s="201"/>
      <c r="D164" s="201"/>
    </row>
    <row r="165" spans="1:4">
      <c r="A165" s="201"/>
      <c r="B165" s="201"/>
      <c r="C165" s="201"/>
      <c r="D165" s="201"/>
    </row>
    <row r="166" spans="1:4">
      <c r="A166" s="201"/>
      <c r="B166" s="201"/>
      <c r="C166" s="201"/>
      <c r="D166" s="201"/>
    </row>
    <row r="167" spans="1:4">
      <c r="A167" s="201"/>
      <c r="B167" s="201"/>
      <c r="C167" s="201"/>
      <c r="D167" s="201"/>
    </row>
    <row r="168" spans="1:4">
      <c r="A168" s="201"/>
      <c r="B168" s="201"/>
      <c r="C168" s="201"/>
      <c r="D168" s="201"/>
    </row>
    <row r="169" spans="1:4">
      <c r="A169" s="201"/>
      <c r="B169" s="201"/>
      <c r="C169" s="201"/>
      <c r="D169" s="201"/>
    </row>
    <row r="170" spans="1:4">
      <c r="A170" s="201"/>
      <c r="B170" s="201"/>
      <c r="C170" s="201"/>
      <c r="D170" s="201"/>
    </row>
    <row r="171" spans="1:4">
      <c r="A171" s="201"/>
      <c r="B171" s="201"/>
      <c r="C171" s="201"/>
      <c r="D171" s="201"/>
    </row>
    <row r="172" spans="1:4">
      <c r="A172" s="201"/>
      <c r="B172" s="201"/>
      <c r="C172" s="201"/>
      <c r="D172" s="201"/>
    </row>
    <row r="173" spans="1:4">
      <c r="A173" s="201"/>
      <c r="B173" s="201"/>
      <c r="C173" s="201"/>
      <c r="D173" s="201"/>
    </row>
    <row r="174" spans="1:4">
      <c r="A174" s="201"/>
      <c r="B174" s="201"/>
      <c r="C174" s="201"/>
      <c r="D174" s="201"/>
    </row>
    <row r="175" spans="1:4">
      <c r="A175" s="201"/>
      <c r="B175" s="201"/>
      <c r="C175" s="201"/>
      <c r="D175" s="201"/>
    </row>
    <row r="176" spans="1:4">
      <c r="A176" s="201"/>
      <c r="B176" s="201"/>
      <c r="C176" s="201"/>
      <c r="D176" s="201"/>
    </row>
    <row r="177" spans="1:4">
      <c r="A177" s="201"/>
      <c r="B177" s="201"/>
      <c r="C177" s="201"/>
      <c r="D177" s="201"/>
    </row>
    <row r="178" spans="1:4">
      <c r="A178" s="201"/>
      <c r="B178" s="201"/>
      <c r="C178" s="201"/>
      <c r="D178" s="201"/>
    </row>
    <row r="179" spans="1:4">
      <c r="A179" s="201"/>
      <c r="B179" s="201"/>
      <c r="C179" s="201"/>
      <c r="D179" s="201"/>
    </row>
    <row r="180" spans="1:4">
      <c r="A180" s="201"/>
      <c r="B180" s="201"/>
      <c r="C180" s="201"/>
      <c r="D180" s="201"/>
    </row>
    <row r="181" spans="1:4">
      <c r="A181" s="201"/>
      <c r="B181" s="201"/>
      <c r="C181" s="201"/>
      <c r="D181" s="201"/>
    </row>
    <row r="182" spans="1:4">
      <c r="A182" s="201"/>
      <c r="B182" s="201"/>
      <c r="C182" s="201"/>
      <c r="D182" s="201"/>
    </row>
    <row r="183" spans="1:4">
      <c r="A183" s="201"/>
      <c r="B183" s="201"/>
      <c r="C183" s="201"/>
      <c r="D183" s="201"/>
    </row>
    <row r="184" spans="1:4">
      <c r="A184" s="201"/>
      <c r="B184" s="201"/>
      <c r="C184" s="201"/>
      <c r="D184" s="201"/>
    </row>
    <row r="185" spans="1:4">
      <c r="A185" s="201"/>
      <c r="B185" s="201"/>
      <c r="C185" s="201"/>
      <c r="D185" s="201"/>
    </row>
    <row r="186" spans="1:4">
      <c r="A186" s="201"/>
      <c r="B186" s="201"/>
      <c r="C186" s="201"/>
      <c r="D186" s="201"/>
    </row>
    <row r="187" spans="1:4">
      <c r="A187" s="201"/>
      <c r="B187" s="201"/>
      <c r="C187" s="201"/>
      <c r="D187" s="201"/>
    </row>
    <row r="188" spans="1:4">
      <c r="A188" s="201"/>
      <c r="B188" s="201"/>
      <c r="C188" s="201"/>
      <c r="D188" s="201"/>
    </row>
    <row r="189" spans="1:4">
      <c r="A189" s="201"/>
      <c r="B189" s="201"/>
      <c r="C189" s="201"/>
      <c r="D189" s="201"/>
    </row>
    <row r="190" spans="1:4">
      <c r="A190" s="201"/>
      <c r="B190" s="201"/>
      <c r="C190" s="201"/>
      <c r="D190" s="201"/>
    </row>
    <row r="191" spans="1:4">
      <c r="A191" s="201"/>
      <c r="B191" s="201"/>
      <c r="C191" s="201"/>
      <c r="D191" s="201"/>
    </row>
    <row r="192" spans="1:4">
      <c r="A192" s="201"/>
      <c r="B192" s="201"/>
      <c r="C192" s="201"/>
      <c r="D192" s="201"/>
    </row>
    <row r="193" spans="1:4">
      <c r="A193" s="201"/>
      <c r="B193" s="201"/>
      <c r="C193" s="201"/>
      <c r="D193" s="201"/>
    </row>
    <row r="194" spans="1:4">
      <c r="A194" s="201"/>
      <c r="B194" s="201"/>
      <c r="C194" s="201"/>
      <c r="D194" s="201"/>
    </row>
    <row r="195" spans="1:4">
      <c r="A195" s="201"/>
      <c r="B195" s="201"/>
      <c r="C195" s="201"/>
      <c r="D195" s="201"/>
    </row>
    <row r="196" spans="1:4">
      <c r="A196" s="201"/>
      <c r="B196" s="201"/>
      <c r="C196" s="201"/>
      <c r="D196" s="201"/>
    </row>
    <row r="197" spans="1:4">
      <c r="A197" s="201"/>
      <c r="B197" s="201"/>
      <c r="C197" s="201"/>
      <c r="D197" s="201"/>
    </row>
    <row r="198" spans="1:4">
      <c r="A198" s="201"/>
      <c r="B198" s="201"/>
      <c r="C198" s="201"/>
      <c r="D198" s="201"/>
    </row>
    <row r="199" spans="1:4">
      <c r="A199" s="201"/>
      <c r="B199" s="201"/>
      <c r="C199" s="201"/>
      <c r="D199" s="201"/>
    </row>
    <row r="200" spans="1:4">
      <c r="A200" s="201"/>
      <c r="B200" s="201"/>
      <c r="C200" s="201"/>
      <c r="D200" s="201"/>
    </row>
    <row r="201" spans="1:4">
      <c r="A201" s="201"/>
      <c r="B201" s="201"/>
      <c r="C201" s="201"/>
      <c r="D201" s="201"/>
    </row>
    <row r="202" spans="1:4">
      <c r="A202" s="201"/>
      <c r="B202" s="201"/>
      <c r="C202" s="201"/>
      <c r="D202" s="201"/>
    </row>
    <row r="203" spans="1:4">
      <c r="A203" s="201"/>
      <c r="B203" s="201"/>
      <c r="C203" s="201"/>
      <c r="D203" s="201"/>
    </row>
    <row r="204" spans="1:4">
      <c r="A204" s="201"/>
      <c r="B204" s="201"/>
      <c r="C204" s="201"/>
      <c r="D204" s="201"/>
    </row>
    <row r="205" spans="1:4">
      <c r="A205" s="201"/>
      <c r="B205" s="201"/>
      <c r="C205" s="201"/>
      <c r="D205" s="201"/>
    </row>
    <row r="206" spans="1:4">
      <c r="A206" s="201"/>
      <c r="B206" s="201"/>
      <c r="C206" s="201"/>
      <c r="D206" s="201"/>
    </row>
    <row r="207" spans="1:4">
      <c r="A207" s="201"/>
      <c r="B207" s="201"/>
      <c r="C207" s="201"/>
      <c r="D207" s="201"/>
    </row>
    <row r="208" spans="1:4">
      <c r="A208" s="201"/>
      <c r="B208" s="201"/>
      <c r="C208" s="201"/>
      <c r="D208" s="201"/>
    </row>
    <row r="209" spans="1:4">
      <c r="A209" s="201"/>
      <c r="B209" s="201"/>
      <c r="C209" s="201"/>
      <c r="D209" s="201"/>
    </row>
    <row r="210" spans="1:4">
      <c r="A210" s="201"/>
      <c r="B210" s="201"/>
      <c r="C210" s="201"/>
      <c r="D210" s="201"/>
    </row>
    <row r="211" spans="1:4">
      <c r="A211" s="201"/>
      <c r="B211" s="201"/>
      <c r="C211" s="201"/>
      <c r="D211" s="201"/>
    </row>
    <row r="212" spans="1:4">
      <c r="A212" s="201"/>
      <c r="B212" s="201"/>
      <c r="C212" s="201"/>
      <c r="D212" s="201"/>
    </row>
    <row r="213" spans="1:4">
      <c r="A213" s="201"/>
      <c r="B213" s="201"/>
      <c r="C213" s="201"/>
      <c r="D213" s="201"/>
    </row>
    <row r="214" spans="1:4">
      <c r="A214" s="201"/>
      <c r="B214" s="201"/>
      <c r="C214" s="201"/>
      <c r="D214" s="201"/>
    </row>
    <row r="215" spans="1:4">
      <c r="A215" s="201"/>
      <c r="B215" s="201"/>
      <c r="C215" s="201"/>
      <c r="D215" s="201"/>
    </row>
    <row r="216" spans="1:4">
      <c r="A216" s="201"/>
      <c r="B216" s="201"/>
      <c r="C216" s="201"/>
      <c r="D216" s="201"/>
    </row>
    <row r="217" spans="1:4">
      <c r="A217" s="201"/>
      <c r="B217" s="201"/>
      <c r="C217" s="201"/>
      <c r="D217" s="201"/>
    </row>
    <row r="218" spans="1:4">
      <c r="A218" s="201"/>
      <c r="B218" s="201"/>
      <c r="C218" s="201"/>
      <c r="D218" s="201"/>
    </row>
    <row r="219" spans="1:4">
      <c r="A219" s="201"/>
      <c r="B219" s="201"/>
      <c r="C219" s="201"/>
      <c r="D219" s="201"/>
    </row>
    <row r="220" spans="1:4">
      <c r="A220" s="201"/>
      <c r="B220" s="201"/>
      <c r="C220" s="201"/>
      <c r="D220" s="201"/>
    </row>
    <row r="221" spans="1:4">
      <c r="A221" s="201"/>
      <c r="B221" s="201"/>
      <c r="C221" s="201"/>
      <c r="D221" s="201"/>
    </row>
    <row r="222" spans="1:4">
      <c r="A222" s="201"/>
      <c r="B222" s="201"/>
      <c r="C222" s="201"/>
      <c r="D222" s="201"/>
    </row>
    <row r="223" spans="1:4">
      <c r="A223" s="201"/>
      <c r="B223" s="201"/>
      <c r="C223" s="201"/>
      <c r="D223" s="201"/>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51"/>
  <sheetViews>
    <sheetView topLeftCell="A15" workbookViewId="0">
      <selection activeCell="B10" sqref="B10"/>
    </sheetView>
  </sheetViews>
  <sheetFormatPr baseColWidth="10" defaultRowHeight="16"/>
  <sheetData>
    <row r="1" spans="1:8">
      <c r="A1" s="141" t="s">
        <v>2611</v>
      </c>
      <c r="B1" s="141"/>
      <c r="C1" s="141"/>
      <c r="D1" s="141"/>
      <c r="E1" s="141"/>
      <c r="F1" s="141"/>
      <c r="G1" s="141"/>
      <c r="H1" t="s">
        <v>2612</v>
      </c>
    </row>
    <row r="2" spans="1:8">
      <c r="A2" s="141"/>
      <c r="B2" s="141">
        <v>68.510639999999995</v>
      </c>
      <c r="C2" s="141">
        <v>72.765960000000007</v>
      </c>
      <c r="D2" s="141">
        <v>78.723404259999995</v>
      </c>
      <c r="E2" s="141">
        <v>80.851063830000001</v>
      </c>
      <c r="F2" s="141">
        <v>96.170212770000006</v>
      </c>
      <c r="G2" s="141"/>
      <c r="H2" s="216" t="s">
        <v>2613</v>
      </c>
    </row>
    <row r="3" spans="1:8">
      <c r="A3" s="141"/>
      <c r="B3" s="141">
        <v>70.638300000000001</v>
      </c>
      <c r="C3" s="141">
        <v>74.468090000000004</v>
      </c>
      <c r="D3" s="141">
        <v>80.425531910000004</v>
      </c>
      <c r="E3" s="141">
        <v>83.404255320000004</v>
      </c>
      <c r="F3" s="141">
        <v>94.468085110000004</v>
      </c>
      <c r="G3" s="141"/>
    </row>
    <row r="4" spans="1:8">
      <c r="A4" s="141"/>
      <c r="B4" s="141">
        <v>70.638300000000001</v>
      </c>
      <c r="C4" s="141">
        <v>71.489360000000005</v>
      </c>
      <c r="D4" s="141">
        <v>76.595744679999996</v>
      </c>
      <c r="E4" s="141">
        <v>79.148936169999999</v>
      </c>
      <c r="F4" s="141">
        <v>93.617021280000003</v>
      </c>
      <c r="G4" s="141"/>
    </row>
    <row r="5" spans="1:8">
      <c r="A5" s="141"/>
      <c r="B5" s="141">
        <v>70.638300000000001</v>
      </c>
      <c r="C5" s="141">
        <v>73.617019999999997</v>
      </c>
      <c r="D5" s="141">
        <v>79.574468089999996</v>
      </c>
      <c r="E5" s="141">
        <v>81.702127660000002</v>
      </c>
      <c r="F5" s="141">
        <v>89.361702129999998</v>
      </c>
      <c r="G5" s="141"/>
    </row>
    <row r="6" spans="1:8">
      <c r="A6" s="141"/>
      <c r="B6" s="141">
        <v>73.617019999999997</v>
      </c>
      <c r="C6" s="141">
        <v>70.638300000000001</v>
      </c>
      <c r="D6" s="141">
        <v>76.170212770000006</v>
      </c>
      <c r="E6" s="141">
        <v>78.297872339999998</v>
      </c>
      <c r="F6" s="141">
        <v>85.957446809999993</v>
      </c>
      <c r="G6" s="141"/>
    </row>
    <row r="7" spans="1:8">
      <c r="A7" s="141"/>
      <c r="B7" s="141">
        <v>74.893619999999999</v>
      </c>
      <c r="C7" s="141">
        <v>68.936170000000004</v>
      </c>
      <c r="D7" s="141">
        <v>74.042553190000007</v>
      </c>
      <c r="E7" s="141">
        <v>75.744680849999995</v>
      </c>
      <c r="F7" s="141">
        <v>76.595744679999996</v>
      </c>
      <c r="G7" s="141"/>
    </row>
    <row r="8" spans="1:8">
      <c r="A8" s="141"/>
      <c r="B8" s="141">
        <v>78.297870000000003</v>
      </c>
      <c r="C8" s="141">
        <v>73.617019999999997</v>
      </c>
      <c r="D8" s="141">
        <v>79.574468089999996</v>
      </c>
      <c r="E8" s="141">
        <v>82.553191490000003</v>
      </c>
      <c r="F8" s="141">
        <v>80.851063830000001</v>
      </c>
      <c r="G8" s="141"/>
    </row>
    <row r="9" spans="1:8">
      <c r="A9" s="141" t="s">
        <v>2614</v>
      </c>
      <c r="B9" s="141">
        <v>72.462010000000006</v>
      </c>
      <c r="C9" s="141">
        <v>72.21884</v>
      </c>
      <c r="D9" s="141">
        <v>77.872340429999994</v>
      </c>
      <c r="E9" s="141">
        <v>80.243161090000001</v>
      </c>
      <c r="F9" s="141">
        <v>88.145896660000005</v>
      </c>
      <c r="G9" s="141"/>
    </row>
    <row r="10" spans="1:8">
      <c r="A10" s="141"/>
      <c r="B10" s="141"/>
      <c r="C10" s="141"/>
      <c r="D10" s="141"/>
      <c r="E10" s="141"/>
      <c r="F10" s="141"/>
      <c r="G10" s="141"/>
    </row>
    <row r="11" spans="1:8">
      <c r="A11" s="217" t="s">
        <v>2615</v>
      </c>
      <c r="B11" s="141">
        <v>1</v>
      </c>
      <c r="C11" s="141">
        <v>4</v>
      </c>
      <c r="D11" s="141">
        <v>3</v>
      </c>
      <c r="E11" s="141">
        <v>0</v>
      </c>
      <c r="F11" s="141">
        <v>2</v>
      </c>
      <c r="G11" s="141"/>
    </row>
    <row r="12" spans="1:8">
      <c r="A12" s="141"/>
      <c r="B12" s="217">
        <v>1</v>
      </c>
      <c r="C12" s="217"/>
      <c r="D12" s="217">
        <v>3</v>
      </c>
      <c r="E12" s="217"/>
      <c r="F12" s="217">
        <v>2</v>
      </c>
      <c r="G12" s="141"/>
    </row>
    <row r="13" spans="1:8">
      <c r="A13" s="141" t="s">
        <v>2616</v>
      </c>
      <c r="B13" s="218" t="s">
        <v>2617</v>
      </c>
      <c r="C13" s="218" t="s">
        <v>2618</v>
      </c>
      <c r="D13" s="218" t="s">
        <v>2619</v>
      </c>
      <c r="E13" s="141"/>
      <c r="F13" s="218" t="s">
        <v>2620</v>
      </c>
      <c r="G13" s="141"/>
    </row>
    <row r="14" spans="1:8">
      <c r="A14" s="217" t="s">
        <v>2621</v>
      </c>
      <c r="B14" s="219">
        <v>-17.840900000000001</v>
      </c>
      <c r="C14" s="220">
        <v>-8.9655199999999997</v>
      </c>
      <c r="D14" s="219">
        <v>-2.5858585860000001</v>
      </c>
      <c r="E14" s="141"/>
      <c r="F14" s="221">
        <v>-16.788990829999999</v>
      </c>
      <c r="G14" s="141"/>
    </row>
    <row r="15" spans="1:8">
      <c r="A15" s="141"/>
      <c r="B15" s="219">
        <v>-16.818200000000001</v>
      </c>
      <c r="C15" s="220">
        <v>-8.9655199999999997</v>
      </c>
      <c r="D15" s="219">
        <v>-2.6565656569999998</v>
      </c>
      <c r="E15" s="141"/>
      <c r="F15" s="221">
        <v>-13.119266059999999</v>
      </c>
      <c r="G15" s="141"/>
    </row>
    <row r="16" spans="1:8">
      <c r="A16" s="141"/>
      <c r="B16" s="219">
        <v>-12.045500000000001</v>
      </c>
      <c r="C16" s="220">
        <v>-8.5862099999999995</v>
      </c>
      <c r="D16" s="219">
        <v>-2.5151515149999999</v>
      </c>
      <c r="E16" s="141"/>
      <c r="F16" s="221">
        <v>-15.41284404</v>
      </c>
      <c r="G16" s="141"/>
    </row>
    <row r="17" spans="1:7">
      <c r="A17" s="141"/>
      <c r="B17" s="219">
        <v>-18.5227</v>
      </c>
      <c r="C17" s="220">
        <v>-9.34483</v>
      </c>
      <c r="D17" s="219">
        <v>-2.9393939389999999</v>
      </c>
      <c r="E17" s="141"/>
      <c r="F17" s="221">
        <v>-8.5321100919999999</v>
      </c>
      <c r="G17" s="141"/>
    </row>
    <row r="18" spans="1:7">
      <c r="A18" s="141"/>
      <c r="B18" s="219">
        <v>-5.2272699999999999</v>
      </c>
      <c r="C18" s="220">
        <v>-8.2068999999999992</v>
      </c>
      <c r="D18" s="219">
        <v>-2.5151515149999999</v>
      </c>
      <c r="E18" s="141"/>
      <c r="F18" s="221">
        <v>-7.6146788990000003</v>
      </c>
      <c r="G18" s="141"/>
    </row>
    <row r="19" spans="1:7">
      <c r="A19" s="141"/>
      <c r="B19" s="219">
        <v>0.227273</v>
      </c>
      <c r="C19" s="220">
        <v>-8.0172399999999993</v>
      </c>
      <c r="D19" s="219">
        <v>-2.3737373740000001</v>
      </c>
      <c r="E19" s="141"/>
      <c r="F19" s="221">
        <v>-0.27522935799999998</v>
      </c>
      <c r="G19" s="141"/>
    </row>
    <row r="20" spans="1:7">
      <c r="A20" s="141"/>
      <c r="B20" s="219">
        <v>-0.45455000000000001</v>
      </c>
      <c r="C20" s="220">
        <v>-8.9655199999999997</v>
      </c>
      <c r="D20" s="219">
        <v>-2.7979797980000001</v>
      </c>
      <c r="E20" s="141"/>
      <c r="F20" s="221">
        <v>1.5596330279999999</v>
      </c>
      <c r="G20" s="141"/>
    </row>
    <row r="21" spans="1:7">
      <c r="A21" s="217" t="s">
        <v>2614</v>
      </c>
      <c r="B21" s="217">
        <v>-10.0974</v>
      </c>
      <c r="C21" s="217">
        <v>-8.7216699999999996</v>
      </c>
      <c r="D21" s="217">
        <v>-2.6262626259999999</v>
      </c>
      <c r="E21" s="141"/>
      <c r="F21" s="217">
        <v>-8.5976408909999993</v>
      </c>
      <c r="G21" s="141"/>
    </row>
    <row r="22" spans="1:7">
      <c r="A22" s="141"/>
      <c r="B22" s="141"/>
      <c r="C22" s="222"/>
      <c r="D22" s="141"/>
      <c r="E22" s="141"/>
      <c r="F22" s="141"/>
      <c r="G22" s="141"/>
    </row>
    <row r="23" spans="1:7">
      <c r="A23" s="217" t="s">
        <v>2622</v>
      </c>
      <c r="B23" s="223">
        <v>2.2727270000000002</v>
      </c>
      <c r="C23" s="224">
        <v>4.3103400000000001</v>
      </c>
      <c r="D23" s="223">
        <v>1.3030303029999999</v>
      </c>
      <c r="E23" s="141"/>
      <c r="F23" s="225">
        <v>-7.6146788990000003</v>
      </c>
      <c r="G23" s="141"/>
    </row>
    <row r="24" spans="1:7">
      <c r="A24" s="217" t="s">
        <v>2623</v>
      </c>
      <c r="B24" s="223">
        <v>-0.45455000000000001</v>
      </c>
      <c r="C24" s="224">
        <v>4.3103400000000001</v>
      </c>
      <c r="D24" s="223">
        <v>1.3030303029999999</v>
      </c>
      <c r="E24" s="141"/>
      <c r="F24" s="225">
        <v>-3.944954128</v>
      </c>
      <c r="G24" s="141"/>
    </row>
    <row r="25" spans="1:7">
      <c r="A25" s="141"/>
      <c r="B25" s="223">
        <v>-1.4772700000000001</v>
      </c>
      <c r="C25" s="224">
        <v>2.60345</v>
      </c>
      <c r="D25" s="223">
        <v>0.87878787899999999</v>
      </c>
      <c r="E25" s="141"/>
      <c r="F25" s="225">
        <v>-3.4862385319999998</v>
      </c>
      <c r="G25" s="141"/>
    </row>
    <row r="26" spans="1:7">
      <c r="A26" s="141"/>
      <c r="B26" s="223">
        <v>-4.2045500000000002</v>
      </c>
      <c r="C26" s="224">
        <v>2.60345</v>
      </c>
      <c r="D26" s="223">
        <v>0.87878787899999999</v>
      </c>
      <c r="E26" s="141"/>
      <c r="F26" s="225">
        <v>-0.73394495400000004</v>
      </c>
      <c r="G26" s="141"/>
    </row>
    <row r="27" spans="1:7">
      <c r="A27" s="141"/>
      <c r="B27" s="223">
        <v>-0.79544999999999999</v>
      </c>
      <c r="C27" s="224">
        <v>2.0344799999999998</v>
      </c>
      <c r="D27" s="223">
        <v>0.66666666699999999</v>
      </c>
      <c r="E27" s="141"/>
      <c r="F27" s="225">
        <v>0.183486239</v>
      </c>
      <c r="G27" s="141"/>
    </row>
    <row r="28" spans="1:7">
      <c r="A28" s="141"/>
      <c r="B28" s="223">
        <v>0.90909099999999998</v>
      </c>
      <c r="C28" s="224">
        <v>2.0344799999999998</v>
      </c>
      <c r="D28" s="223">
        <v>0.66666666699999999</v>
      </c>
      <c r="E28" s="141"/>
      <c r="F28" s="225">
        <v>2.9357798169999998</v>
      </c>
      <c r="G28" s="141"/>
    </row>
    <row r="29" spans="1:7">
      <c r="A29" s="141"/>
      <c r="B29" s="223">
        <v>3.6363639999999999</v>
      </c>
      <c r="C29" s="224">
        <v>1.27586</v>
      </c>
      <c r="D29" s="223">
        <v>0.31313131300000002</v>
      </c>
      <c r="E29" s="141"/>
      <c r="F29" s="225">
        <v>2.0183486240000001</v>
      </c>
      <c r="G29" s="141"/>
    </row>
    <row r="30" spans="1:7">
      <c r="A30" s="217" t="s">
        <v>2614</v>
      </c>
      <c r="B30" s="217">
        <v>-1.6230000000000001E-2</v>
      </c>
      <c r="C30" s="217">
        <v>2.7389160000000001</v>
      </c>
      <c r="D30" s="217">
        <v>0.85858585899999995</v>
      </c>
      <c r="E30" s="141"/>
      <c r="F30" s="217">
        <v>-1.520314548</v>
      </c>
      <c r="G30" s="141"/>
    </row>
    <row r="31" spans="1:7">
      <c r="A31" s="141"/>
      <c r="B31" s="141"/>
      <c r="C31" s="222"/>
      <c r="D31" s="141"/>
      <c r="E31" s="141"/>
      <c r="F31" s="141"/>
      <c r="G31" s="141"/>
    </row>
    <row r="32" spans="1:7">
      <c r="A32" s="217" t="s">
        <v>229</v>
      </c>
      <c r="B32" s="225">
        <v>7.0454549999999996</v>
      </c>
      <c r="C32" s="222">
        <v>2.0344799999999998</v>
      </c>
      <c r="D32" s="141">
        <v>0.66666666699999999</v>
      </c>
      <c r="E32" s="141"/>
      <c r="F32" s="223">
        <v>0.64220183500000005</v>
      </c>
      <c r="G32" s="141"/>
    </row>
    <row r="33" spans="1:7">
      <c r="A33" s="141"/>
      <c r="B33" s="225">
        <v>3.6363639999999999</v>
      </c>
      <c r="C33" s="222">
        <v>1.65517</v>
      </c>
      <c r="D33" s="141">
        <v>0.45454545499999999</v>
      </c>
      <c r="E33" s="141"/>
      <c r="F33" s="223">
        <v>7.0642201829999998</v>
      </c>
      <c r="G33" s="141"/>
    </row>
    <row r="34" spans="1:7">
      <c r="A34" s="141"/>
      <c r="B34" s="225">
        <v>1.931818</v>
      </c>
      <c r="C34" s="222">
        <v>1.65517</v>
      </c>
      <c r="D34" s="141">
        <v>0.45454545499999999</v>
      </c>
      <c r="E34" s="141"/>
      <c r="F34" s="223">
        <v>6.1467889910000002</v>
      </c>
      <c r="G34" s="141"/>
    </row>
    <row r="35" spans="1:7">
      <c r="A35" s="141"/>
      <c r="B35" s="225">
        <v>1.931818</v>
      </c>
      <c r="C35" s="222">
        <v>1.65517</v>
      </c>
      <c r="D35" s="141">
        <v>0.45454545499999999</v>
      </c>
      <c r="E35" s="141"/>
      <c r="F35" s="223">
        <v>2.4770642199999999</v>
      </c>
      <c r="G35" s="141"/>
    </row>
    <row r="36" spans="1:7">
      <c r="A36" s="141"/>
      <c r="B36" s="225">
        <v>-0.45455000000000001</v>
      </c>
      <c r="C36" s="222">
        <v>1.65517</v>
      </c>
      <c r="D36" s="141">
        <v>0.45454545499999999</v>
      </c>
      <c r="E36" s="141"/>
      <c r="F36" s="223">
        <v>6.1467889910000002</v>
      </c>
      <c r="G36" s="141"/>
    </row>
    <row r="37" spans="1:7">
      <c r="A37" s="141"/>
      <c r="B37" s="225">
        <v>-0.79544999999999999</v>
      </c>
      <c r="C37" s="222">
        <v>1.4655199999999999</v>
      </c>
      <c r="D37" s="141">
        <v>0.31313131300000002</v>
      </c>
      <c r="E37" s="141"/>
      <c r="F37" s="223">
        <v>3.8532110089999998</v>
      </c>
      <c r="G37" s="141"/>
    </row>
    <row r="38" spans="1:7">
      <c r="A38" s="141"/>
      <c r="B38" s="225">
        <v>0.56818199999999996</v>
      </c>
      <c r="C38" s="222">
        <v>1.4655199999999999</v>
      </c>
      <c r="D38" s="141">
        <v>0.52525252499999997</v>
      </c>
      <c r="E38" s="141"/>
      <c r="F38" s="223">
        <v>1.5596330279999999</v>
      </c>
      <c r="G38" s="141"/>
    </row>
    <row r="39" spans="1:7">
      <c r="A39" s="217" t="s">
        <v>2614</v>
      </c>
      <c r="B39" s="217">
        <v>1.9805189999999999</v>
      </c>
      <c r="C39" s="217">
        <v>1.6551720000000001</v>
      </c>
      <c r="D39" s="217">
        <v>0.47474747499999997</v>
      </c>
      <c r="E39" s="141"/>
      <c r="F39" s="217">
        <v>3.9842726079999999</v>
      </c>
      <c r="G39" s="141"/>
    </row>
    <row r="40" spans="1:7">
      <c r="A40" s="217"/>
      <c r="B40" s="217"/>
      <c r="C40" s="217"/>
      <c r="D40" s="217"/>
      <c r="E40" s="141"/>
      <c r="F40" s="217"/>
      <c r="G40" s="141"/>
    </row>
    <row r="41" spans="1:7">
      <c r="A41" s="217" t="s">
        <v>2624</v>
      </c>
      <c r="B41" s="221">
        <v>13.18182</v>
      </c>
      <c r="C41" s="226">
        <v>8.4827600000000007</v>
      </c>
      <c r="D41" s="221">
        <v>2.575757576</v>
      </c>
      <c r="E41" s="141"/>
      <c r="F41" s="219">
        <v>24.49541284</v>
      </c>
      <c r="G41" s="141"/>
    </row>
    <row r="42" spans="1:7">
      <c r="A42" s="141"/>
      <c r="B42" s="221">
        <v>13.18182</v>
      </c>
      <c r="C42" s="226">
        <v>8.8620699999999992</v>
      </c>
      <c r="D42" s="221">
        <v>2.6464646460000001</v>
      </c>
      <c r="E42" s="141"/>
      <c r="F42" s="219">
        <v>23.577981650000002</v>
      </c>
      <c r="G42" s="141"/>
    </row>
    <row r="43" spans="1:7">
      <c r="A43" s="141"/>
      <c r="B43" s="221">
        <v>8.4090910000000001</v>
      </c>
      <c r="C43" s="226">
        <v>8.4827600000000007</v>
      </c>
      <c r="D43" s="221">
        <v>2.575757576</v>
      </c>
      <c r="E43" s="141"/>
      <c r="F43" s="219">
        <v>25.41284404</v>
      </c>
      <c r="G43" s="141"/>
    </row>
    <row r="44" spans="1:7">
      <c r="A44" s="141"/>
      <c r="B44" s="221">
        <v>11.81818</v>
      </c>
      <c r="C44" s="226">
        <v>8.4827600000000007</v>
      </c>
      <c r="D44" s="221">
        <v>2.575757576</v>
      </c>
      <c r="E44" s="141"/>
      <c r="F44" s="219">
        <v>11.651376150000001</v>
      </c>
      <c r="G44" s="141"/>
    </row>
    <row r="45" spans="1:7">
      <c r="A45" s="141"/>
      <c r="B45" s="221">
        <v>5.3409089999999999</v>
      </c>
      <c r="C45" s="226">
        <v>8.2931000000000008</v>
      </c>
      <c r="D45" s="221">
        <v>2.5050505049999998</v>
      </c>
      <c r="E45" s="141"/>
      <c r="F45" s="219">
        <v>13.48623853</v>
      </c>
      <c r="G45" s="141"/>
    </row>
    <row r="46" spans="1:7">
      <c r="A46" s="141"/>
      <c r="B46" s="221">
        <v>1.5909089999999999</v>
      </c>
      <c r="C46" s="226">
        <v>8.1034500000000005</v>
      </c>
      <c r="D46" s="221">
        <v>2.4343434340000001</v>
      </c>
      <c r="E46" s="141"/>
      <c r="F46" s="219">
        <v>1.1009174310000001</v>
      </c>
      <c r="G46" s="141"/>
    </row>
    <row r="47" spans="1:7">
      <c r="A47" s="141"/>
      <c r="B47" s="221">
        <v>3.9772729999999998</v>
      </c>
      <c r="C47" s="226">
        <v>8.6724099999999993</v>
      </c>
      <c r="D47" s="221">
        <v>2.6464646460000001</v>
      </c>
      <c r="E47" s="141"/>
      <c r="F47" s="219">
        <v>-2.1100917429999999</v>
      </c>
      <c r="G47" s="141"/>
    </row>
    <row r="48" spans="1:7">
      <c r="A48" s="217" t="s">
        <v>2614</v>
      </c>
      <c r="B48" s="217">
        <v>8.2142859999999995</v>
      </c>
      <c r="C48" s="217">
        <v>8.4827589999999997</v>
      </c>
      <c r="D48" s="217">
        <v>2.5656565659999999</v>
      </c>
      <c r="E48" s="141"/>
      <c r="F48" s="217">
        <v>13.944954129999999</v>
      </c>
      <c r="G48" s="141"/>
    </row>
    <row r="49" spans="1:7">
      <c r="A49" s="141"/>
      <c r="B49" s="141">
        <v>2.8990000000000001E-3</v>
      </c>
      <c r="C49" s="141">
        <v>4.5455000000000002E-2</v>
      </c>
      <c r="D49" s="141">
        <v>4.5454544999999999E-2</v>
      </c>
      <c r="E49" s="141"/>
      <c r="F49" s="141">
        <v>0.27897397499999999</v>
      </c>
      <c r="G49" s="217" t="s">
        <v>2625</v>
      </c>
    </row>
    <row r="50" spans="1:7">
      <c r="A50" s="141"/>
      <c r="B50" s="141"/>
      <c r="C50" s="141"/>
      <c r="D50" s="141"/>
      <c r="E50" s="141"/>
      <c r="F50" s="141"/>
      <c r="G50" s="141"/>
    </row>
    <row r="51" spans="1:7">
      <c r="A51" s="141"/>
      <c r="B51" s="217"/>
      <c r="C51" s="217"/>
      <c r="D51" s="217"/>
      <c r="E51" s="217"/>
      <c r="F51" s="141"/>
      <c r="G51" s="141"/>
    </row>
  </sheetData>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481"/>
  <sheetViews>
    <sheetView topLeftCell="A460" zoomScale="50" workbookViewId="0">
      <selection activeCell="A474" sqref="A474:Q485"/>
    </sheetView>
  </sheetViews>
  <sheetFormatPr baseColWidth="10" defaultRowHeight="16"/>
  <cols>
    <col min="12" max="12" width="10.1640625" customWidth="1"/>
    <col min="29" max="29" width="18" customWidth="1"/>
  </cols>
  <sheetData>
    <row r="1" spans="1:16">
      <c r="A1" t="s">
        <v>2626</v>
      </c>
    </row>
    <row r="2" spans="1:16">
      <c r="I2" t="s">
        <v>1308</v>
      </c>
      <c r="J2" t="s">
        <v>1310</v>
      </c>
      <c r="K2" t="s">
        <v>1304</v>
      </c>
      <c r="N2" t="s">
        <v>1308</v>
      </c>
      <c r="O2" t="s">
        <v>1310</v>
      </c>
      <c r="P2" t="s">
        <v>1304</v>
      </c>
    </row>
    <row r="3" spans="1:16">
      <c r="H3" s="144"/>
      <c r="I3" s="144">
        <v>7159.9699870874601</v>
      </c>
      <c r="J3" s="144">
        <v>7199.6672987215397</v>
      </c>
      <c r="K3" s="144">
        <v>3200.1122575991999</v>
      </c>
      <c r="M3" t="s">
        <v>1322</v>
      </c>
      <c r="N3">
        <v>4402.9850746268603</v>
      </c>
      <c r="O3">
        <v>4029.8507462686498</v>
      </c>
      <c r="P3">
        <v>3208.95522388059</v>
      </c>
    </row>
    <row r="4" spans="1:16">
      <c r="H4" s="144"/>
      <c r="I4" s="144">
        <v>15705.2743622256</v>
      </c>
      <c r="J4" s="144">
        <v>14574.002768633</v>
      </c>
      <c r="K4" s="144">
        <v>11803.741144445799</v>
      </c>
      <c r="M4" t="s">
        <v>2627</v>
      </c>
      <c r="N4">
        <v>7835.8208955223799</v>
      </c>
      <c r="O4">
        <v>7089.5522388059699</v>
      </c>
      <c r="P4">
        <v>5298.5074626865598</v>
      </c>
    </row>
    <row r="5" spans="1:16">
      <c r="H5" s="144"/>
      <c r="I5" s="144">
        <v>24015.448506915702</v>
      </c>
      <c r="J5" s="144">
        <v>22416.5629398694</v>
      </c>
      <c r="K5" s="144">
        <v>19294.7256377743</v>
      </c>
      <c r="M5" t="s">
        <v>2628</v>
      </c>
      <c r="N5">
        <v>32089.5522388059</v>
      </c>
      <c r="O5">
        <v>29776.119402985001</v>
      </c>
      <c r="P5">
        <v>23507.462686567102</v>
      </c>
    </row>
    <row r="6" spans="1:16">
      <c r="H6" s="144"/>
      <c r="I6" s="144">
        <v>31272.931377452998</v>
      </c>
      <c r="J6" s="144">
        <v>28502.873329222999</v>
      </c>
      <c r="K6" s="144">
        <v>22924.0778009143</v>
      </c>
    </row>
    <row r="7" spans="1:16">
      <c r="H7" s="144" t="s">
        <v>2628</v>
      </c>
      <c r="I7" s="144">
        <v>32092.528180728899</v>
      </c>
      <c r="J7" s="144">
        <v>29322.470132498798</v>
      </c>
      <c r="K7" s="144">
        <v>23743.471028233002</v>
      </c>
      <c r="M7" t="s">
        <v>2629</v>
      </c>
      <c r="N7">
        <f>N5-N3</f>
        <v>27686.56716417904</v>
      </c>
      <c r="O7">
        <f t="shared" ref="O7:P7" si="0">O5-O3</f>
        <v>25746.268656716351</v>
      </c>
      <c r="P7">
        <f t="shared" si="0"/>
        <v>20298.50746268651</v>
      </c>
    </row>
    <row r="8" spans="1:16">
      <c r="H8" s="144" t="s">
        <v>2630</v>
      </c>
    </row>
    <row r="9" spans="1:16">
      <c r="H9" s="144" t="s">
        <v>2631</v>
      </c>
      <c r="I9" s="144">
        <f>I3</f>
        <v>7159.9699870874601</v>
      </c>
      <c r="J9" s="144">
        <f t="shared" ref="J9:K9" si="1">J3</f>
        <v>7199.6672987215397</v>
      </c>
      <c r="K9" s="144">
        <f t="shared" si="1"/>
        <v>3200.1122575991999</v>
      </c>
    </row>
    <row r="10" spans="1:16">
      <c r="H10" s="144" t="s">
        <v>2632</v>
      </c>
      <c r="I10" s="144">
        <f t="shared" ref="I10:K13" si="2">I4-I3</f>
        <v>8545.304375138141</v>
      </c>
      <c r="J10" s="144">
        <f t="shared" ref="J10:K10" si="3">J4-J3</f>
        <v>7374.3354699114598</v>
      </c>
      <c r="K10" s="144">
        <f t="shared" si="3"/>
        <v>8603.6288868465999</v>
      </c>
    </row>
    <row r="11" spans="1:16">
      <c r="H11" s="144" t="s">
        <v>2633</v>
      </c>
      <c r="I11" s="144">
        <f t="shared" si="2"/>
        <v>8310.1741446901015</v>
      </c>
      <c r="J11" s="144">
        <f t="shared" si="2"/>
        <v>7842.5601712364005</v>
      </c>
      <c r="K11" s="144">
        <f t="shared" si="2"/>
        <v>7490.9844933285003</v>
      </c>
    </row>
    <row r="12" spans="1:16">
      <c r="H12" s="144" t="s">
        <v>2634</v>
      </c>
      <c r="I12" s="144">
        <f t="shared" si="2"/>
        <v>7257.4828705372965</v>
      </c>
      <c r="J12" s="144">
        <f t="shared" si="2"/>
        <v>6086.310389353599</v>
      </c>
      <c r="K12" s="144">
        <f t="shared" si="2"/>
        <v>3629.3521631399999</v>
      </c>
    </row>
    <row r="13" spans="1:16">
      <c r="H13" s="144" t="s">
        <v>2635</v>
      </c>
      <c r="I13" s="144">
        <f t="shared" si="2"/>
        <v>819.59680327590104</v>
      </c>
      <c r="J13" s="144">
        <f t="shared" si="2"/>
        <v>819.59680327579918</v>
      </c>
      <c r="K13" s="144">
        <f t="shared" si="2"/>
        <v>819.39322731870197</v>
      </c>
    </row>
    <row r="14" spans="1:16">
      <c r="H14" s="144"/>
    </row>
    <row r="15" spans="1:16">
      <c r="H15" s="144"/>
    </row>
    <row r="16" spans="1:16">
      <c r="H16" s="144"/>
    </row>
    <row r="17" spans="1:10">
      <c r="A17" t="s">
        <v>2636</v>
      </c>
      <c r="H17" s="144"/>
      <c r="I17" t="s">
        <v>2637</v>
      </c>
      <c r="J17">
        <v>65.3101736972704</v>
      </c>
    </row>
    <row r="18" spans="1:10">
      <c r="I18" t="s">
        <v>2638</v>
      </c>
      <c r="J18">
        <v>40.297766749379598</v>
      </c>
    </row>
    <row r="19" spans="1:10">
      <c r="I19" t="s">
        <v>2639</v>
      </c>
      <c r="J19">
        <v>-53.796526054590501</v>
      </c>
    </row>
    <row r="20" spans="1:10">
      <c r="I20" t="s">
        <v>2640</v>
      </c>
      <c r="J20">
        <v>45.232815964523198</v>
      </c>
    </row>
    <row r="21" spans="1:10">
      <c r="I21" t="s">
        <v>2641</v>
      </c>
      <c r="J21">
        <v>31.929046563192902</v>
      </c>
    </row>
    <row r="22" spans="1:10">
      <c r="I22" t="s">
        <v>2642</v>
      </c>
      <c r="J22">
        <v>17.1840354767184</v>
      </c>
    </row>
    <row r="23" spans="1:10">
      <c r="I23" t="s">
        <v>2643</v>
      </c>
      <c r="J23">
        <v>803.28358208955206</v>
      </c>
    </row>
    <row r="24" spans="1:10">
      <c r="I24" t="s">
        <v>2644</v>
      </c>
      <c r="J24">
        <v>588.35820895522397</v>
      </c>
    </row>
    <row r="25" spans="1:10">
      <c r="I25" t="s">
        <v>2645</v>
      </c>
      <c r="J25">
        <v>303.58208955223802</v>
      </c>
    </row>
    <row r="37" spans="1:14">
      <c r="A37" t="s">
        <v>2646</v>
      </c>
      <c r="I37" t="s">
        <v>2647</v>
      </c>
    </row>
    <row r="38" spans="1:14">
      <c r="H38" t="s">
        <v>2648</v>
      </c>
      <c r="I38">
        <v>-248.01428213480301</v>
      </c>
    </row>
    <row r="39" spans="1:14">
      <c r="H39" t="s">
        <v>2649</v>
      </c>
      <c r="I39">
        <v>-251.81345527436699</v>
      </c>
    </row>
    <row r="40" spans="1:14">
      <c r="H40" t="s">
        <v>2650</v>
      </c>
      <c r="I40">
        <v>-240.22801302931501</v>
      </c>
    </row>
    <row r="42" spans="1:14">
      <c r="I42" t="s">
        <v>2651</v>
      </c>
      <c r="M42" t="s">
        <v>2652</v>
      </c>
    </row>
    <row r="43" spans="1:14">
      <c r="I43" t="s">
        <v>2653</v>
      </c>
      <c r="J43" t="s">
        <v>969</v>
      </c>
      <c r="K43" t="s">
        <v>2654</v>
      </c>
      <c r="M43" t="s">
        <v>969</v>
      </c>
      <c r="N43" t="s">
        <v>2654</v>
      </c>
    </row>
    <row r="44" spans="1:14">
      <c r="H44" t="s">
        <v>2655</v>
      </c>
      <c r="I44">
        <v>-1.0064516129032199</v>
      </c>
      <c r="J44">
        <v>-0.91428571428571304</v>
      </c>
      <c r="K44">
        <v>-0.69750889679731798</v>
      </c>
    </row>
    <row r="45" spans="1:14">
      <c r="H45" t="s">
        <v>2656</v>
      </c>
      <c r="I45">
        <v>-1.0064516129032199</v>
      </c>
      <c r="J45">
        <v>-0.91428571428571304</v>
      </c>
      <c r="K45">
        <v>-0.69750889679731798</v>
      </c>
    </row>
    <row r="46" spans="1:14">
      <c r="H46" t="s">
        <v>2657</v>
      </c>
      <c r="I46">
        <v>-1.0064516129032199</v>
      </c>
      <c r="J46">
        <v>-0.91428571428571304</v>
      </c>
      <c r="K46">
        <v>-0.69750889679731798</v>
      </c>
    </row>
    <row r="47" spans="1:14">
      <c r="H47" t="s">
        <v>2658</v>
      </c>
      <c r="I47">
        <v>-1.10967741935483</v>
      </c>
      <c r="J47">
        <v>-0.999999999999999</v>
      </c>
      <c r="K47">
        <v>-0.78291814946635796</v>
      </c>
    </row>
    <row r="48" spans="1:14">
      <c r="H48" t="s">
        <v>2659</v>
      </c>
      <c r="I48">
        <v>-3.2774193548386998</v>
      </c>
      <c r="J48">
        <v>-2.6857142857142802</v>
      </c>
      <c r="K48">
        <v>-2.0925266903916202</v>
      </c>
    </row>
    <row r="49" spans="8:13">
      <c r="H49" t="s">
        <v>2660</v>
      </c>
      <c r="I49">
        <v>-3.2774193548386998</v>
      </c>
      <c r="J49">
        <v>-2.6857142857142802</v>
      </c>
      <c r="K49">
        <v>-2.0925266903916202</v>
      </c>
    </row>
    <row r="50" spans="8:13">
      <c r="H50" t="s">
        <v>2661</v>
      </c>
      <c r="I50">
        <v>-3.5096774193548299</v>
      </c>
      <c r="J50">
        <v>-2.8</v>
      </c>
      <c r="K50">
        <v>-2.20640569395034</v>
      </c>
    </row>
    <row r="51" spans="8:13">
      <c r="H51" t="s">
        <v>2662</v>
      </c>
      <c r="I51">
        <v>-3.5870967741935398</v>
      </c>
      <c r="J51">
        <v>-2.94285714285714</v>
      </c>
      <c r="K51">
        <v>-2.2918149466193798</v>
      </c>
    </row>
    <row r="64" spans="8:13">
      <c r="I64" t="s">
        <v>1215</v>
      </c>
      <c r="J64" t="s">
        <v>1155</v>
      </c>
      <c r="K64" t="s">
        <v>2663</v>
      </c>
      <c r="M64" t="s">
        <v>2664</v>
      </c>
    </row>
    <row r="65" spans="1:13">
      <c r="A65" t="s">
        <v>2665</v>
      </c>
      <c r="I65" t="s">
        <v>229</v>
      </c>
      <c r="J65">
        <v>-0.83333333333333204</v>
      </c>
      <c r="K65">
        <v>0.55348837209267598</v>
      </c>
      <c r="M65">
        <f t="shared" ref="M65:M68" si="4">K65-J65</f>
        <v>1.3868217054260081</v>
      </c>
    </row>
    <row r="66" spans="1:13">
      <c r="I66" t="s">
        <v>2628</v>
      </c>
      <c r="J66">
        <v>1.2916666666666601</v>
      </c>
      <c r="K66">
        <v>4.9488372093022104</v>
      </c>
      <c r="M66">
        <f t="shared" si="4"/>
        <v>3.6571705426355505</v>
      </c>
    </row>
    <row r="67" spans="1:13">
      <c r="I67" t="s">
        <v>2666</v>
      </c>
      <c r="J67">
        <v>2.0833333333333299</v>
      </c>
      <c r="K67">
        <v>2.4372093023253298</v>
      </c>
      <c r="M67">
        <f t="shared" si="4"/>
        <v>0.35387596899199991</v>
      </c>
    </row>
    <row r="68" spans="1:13">
      <c r="I68" t="s">
        <v>2667</v>
      </c>
      <c r="K68">
        <v>1.8930232558136699</v>
      </c>
      <c r="M68">
        <f t="shared" si="4"/>
        <v>1.8930232558136699</v>
      </c>
    </row>
    <row r="88" spans="1:9">
      <c r="A88" t="s">
        <v>2668</v>
      </c>
      <c r="E88" t="s">
        <v>2669</v>
      </c>
      <c r="F88" t="s">
        <v>1044</v>
      </c>
      <c r="G88" t="s">
        <v>182</v>
      </c>
      <c r="H88" t="s">
        <v>2670</v>
      </c>
    </row>
    <row r="89" spans="1:9">
      <c r="E89" t="s">
        <v>2671</v>
      </c>
      <c r="F89">
        <v>272.77999999999997</v>
      </c>
      <c r="G89">
        <v>221.89</v>
      </c>
      <c r="H89">
        <f>G89-C94+C93</f>
        <v>200.18999999999997</v>
      </c>
    </row>
    <row r="90" spans="1:9">
      <c r="B90" t="s">
        <v>2672</v>
      </c>
      <c r="C90">
        <f>+C93/(C91*C92)</f>
        <v>0.27407407407407408</v>
      </c>
      <c r="E90" t="s">
        <v>2673</v>
      </c>
      <c r="F90">
        <v>0</v>
      </c>
      <c r="G90">
        <v>0</v>
      </c>
      <c r="H90">
        <f t="shared" ref="H90:H92" si="5">G90</f>
        <v>0</v>
      </c>
    </row>
    <row r="91" spans="1:9">
      <c r="B91" t="s">
        <v>2674</v>
      </c>
      <c r="C91">
        <v>150</v>
      </c>
      <c r="E91" t="s">
        <v>2675</v>
      </c>
      <c r="F91">
        <v>9.0299999999999994</v>
      </c>
      <c r="G91">
        <v>8.64</v>
      </c>
      <c r="H91">
        <f t="shared" si="5"/>
        <v>8.64</v>
      </c>
    </row>
    <row r="92" spans="1:9">
      <c r="B92" t="s">
        <v>2676</v>
      </c>
      <c r="C92">
        <v>0.09</v>
      </c>
      <c r="E92" t="s">
        <v>2677</v>
      </c>
      <c r="F92">
        <v>-63</v>
      </c>
      <c r="G92">
        <v>-102</v>
      </c>
      <c r="H92">
        <f t="shared" si="5"/>
        <v>-102</v>
      </c>
    </row>
    <row r="93" spans="1:9">
      <c r="B93" t="s">
        <v>2678</v>
      </c>
      <c r="C93">
        <v>3.7</v>
      </c>
      <c r="E93" t="s">
        <v>2679</v>
      </c>
      <c r="F93">
        <f>-SUM(F91:F92)</f>
        <v>53.97</v>
      </c>
      <c r="G93">
        <f t="shared" ref="G93:H93" si="6">-SUM(G91:G92)</f>
        <v>93.36</v>
      </c>
      <c r="H93">
        <f t="shared" si="6"/>
        <v>93.36</v>
      </c>
    </row>
    <row r="94" spans="1:9">
      <c r="B94" t="s">
        <v>2680</v>
      </c>
      <c r="C94">
        <v>25.4</v>
      </c>
      <c r="E94" t="s">
        <v>2628</v>
      </c>
      <c r="F94">
        <f>-SUM(F89:F92)</f>
        <v>-218.80999999999995</v>
      </c>
      <c r="G94">
        <f t="shared" ref="G94:H94" si="7">-SUM(G89:G92)</f>
        <v>-128.52999999999997</v>
      </c>
      <c r="H94">
        <f t="shared" si="7"/>
        <v>-106.82999999999998</v>
      </c>
    </row>
    <row r="96" spans="1:9">
      <c r="A96" t="s">
        <v>2681</v>
      </c>
      <c r="D96" t="s">
        <v>2682</v>
      </c>
      <c r="E96" t="s">
        <v>2683</v>
      </c>
      <c r="F96" t="s">
        <v>2684</v>
      </c>
      <c r="G96" t="s">
        <v>2685</v>
      </c>
      <c r="H96" t="s">
        <v>2686</v>
      </c>
      <c r="I96" t="s">
        <v>2687</v>
      </c>
    </row>
    <row r="97" spans="3:9">
      <c r="C97" t="s">
        <v>2688</v>
      </c>
      <c r="D97">
        <v>-1516</v>
      </c>
      <c r="E97">
        <v>-1516</v>
      </c>
      <c r="F97">
        <v>-1516</v>
      </c>
      <c r="G97">
        <v>-1516</v>
      </c>
      <c r="H97">
        <v>-1516</v>
      </c>
      <c r="I97">
        <v>1516</v>
      </c>
    </row>
    <row r="98" spans="3:9">
      <c r="C98" t="s">
        <v>2689</v>
      </c>
      <c r="D98">
        <v>273</v>
      </c>
      <c r="E98">
        <v>273</v>
      </c>
      <c r="F98">
        <v>273</v>
      </c>
      <c r="G98">
        <v>273</v>
      </c>
      <c r="H98">
        <v>273</v>
      </c>
      <c r="I98">
        <v>273</v>
      </c>
    </row>
    <row r="99" spans="3:9">
      <c r="C99" t="s">
        <v>2690</v>
      </c>
      <c r="D99">
        <v>100</v>
      </c>
      <c r="E99">
        <v>100</v>
      </c>
      <c r="F99">
        <v>100</v>
      </c>
      <c r="G99">
        <v>100</v>
      </c>
      <c r="H99">
        <v>100</v>
      </c>
      <c r="I99">
        <v>100</v>
      </c>
    </row>
    <row r="100" spans="3:9">
      <c r="C100" t="s">
        <v>2691</v>
      </c>
      <c r="D100">
        <v>52</v>
      </c>
      <c r="E100">
        <v>52</v>
      </c>
      <c r="F100">
        <v>52</v>
      </c>
      <c r="G100">
        <v>52</v>
      </c>
      <c r="H100">
        <v>171</v>
      </c>
      <c r="I100">
        <v>52</v>
      </c>
    </row>
    <row r="101" spans="3:9">
      <c r="C101" t="s">
        <v>2692</v>
      </c>
      <c r="D101">
        <v>41</v>
      </c>
      <c r="E101">
        <v>41</v>
      </c>
      <c r="F101">
        <v>43</v>
      </c>
      <c r="G101">
        <v>43</v>
      </c>
      <c r="H101">
        <v>43</v>
      </c>
      <c r="I101">
        <v>43</v>
      </c>
    </row>
    <row r="102" spans="3:9">
      <c r="C102" t="s">
        <v>726</v>
      </c>
      <c r="D102">
        <v>0</v>
      </c>
      <c r="E102">
        <v>0</v>
      </c>
      <c r="F102">
        <v>800</v>
      </c>
      <c r="G102">
        <v>800</v>
      </c>
      <c r="H102">
        <v>800</v>
      </c>
      <c r="I102">
        <v>800</v>
      </c>
    </row>
    <row r="103" spans="3:9">
      <c r="C103" t="s">
        <v>2693</v>
      </c>
      <c r="D103">
        <v>0</v>
      </c>
      <c r="E103">
        <v>0</v>
      </c>
      <c r="F103">
        <v>-490</v>
      </c>
      <c r="G103">
        <v>-662</v>
      </c>
      <c r="H103">
        <v>-490</v>
      </c>
      <c r="I103">
        <v>-490</v>
      </c>
    </row>
    <row r="104" spans="3:9">
      <c r="C104" t="s">
        <v>2694</v>
      </c>
      <c r="D104">
        <v>1076</v>
      </c>
      <c r="E104">
        <v>1150</v>
      </c>
      <c r="F104">
        <v>0</v>
      </c>
      <c r="G104">
        <v>0</v>
      </c>
      <c r="H104">
        <v>0</v>
      </c>
      <c r="I104">
        <v>0</v>
      </c>
    </row>
    <row r="105" spans="3:9">
      <c r="C105" t="s">
        <v>2695</v>
      </c>
      <c r="E105">
        <v>-811</v>
      </c>
      <c r="F105">
        <v>0</v>
      </c>
      <c r="G105">
        <v>0</v>
      </c>
      <c r="H105">
        <v>0</v>
      </c>
      <c r="I105">
        <v>0</v>
      </c>
    </row>
    <row r="106" spans="3:9">
      <c r="C106" t="s">
        <v>2628</v>
      </c>
      <c r="D106">
        <v>26</v>
      </c>
      <c r="E106">
        <v>-711</v>
      </c>
      <c r="F106">
        <v>-738</v>
      </c>
      <c r="G106">
        <v>-910</v>
      </c>
      <c r="H106">
        <v>-619</v>
      </c>
      <c r="I106">
        <v>2294</v>
      </c>
    </row>
    <row r="107" spans="3:9">
      <c r="C107" t="s">
        <v>2696</v>
      </c>
      <c r="D107">
        <v>0.09</v>
      </c>
      <c r="E107">
        <v>-2.4300000000000002</v>
      </c>
      <c r="F107">
        <v>-2.52</v>
      </c>
      <c r="G107">
        <v>-3.11</v>
      </c>
      <c r="H107">
        <v>-2.12</v>
      </c>
      <c r="I107">
        <v>7.84</v>
      </c>
    </row>
    <row r="109" spans="3:9">
      <c r="C109" t="s">
        <v>2697</v>
      </c>
      <c r="D109">
        <f t="shared" ref="D109:D110" si="8">-D97</f>
        <v>1516</v>
      </c>
      <c r="E109">
        <f t="shared" ref="E109:I110" si="9">-E97</f>
        <v>1516</v>
      </c>
      <c r="F109">
        <f t="shared" si="9"/>
        <v>1516</v>
      </c>
      <c r="G109">
        <f t="shared" si="9"/>
        <v>1516</v>
      </c>
      <c r="H109">
        <f t="shared" si="9"/>
        <v>1516</v>
      </c>
      <c r="I109">
        <f t="shared" si="9"/>
        <v>-1516</v>
      </c>
    </row>
    <row r="110" spans="3:9">
      <c r="C110" t="s">
        <v>1354</v>
      </c>
      <c r="D110">
        <f t="shared" si="8"/>
        <v>-273</v>
      </c>
      <c r="E110">
        <f t="shared" si="9"/>
        <v>-273</v>
      </c>
      <c r="F110">
        <f t="shared" si="9"/>
        <v>-273</v>
      </c>
      <c r="G110">
        <f t="shared" si="9"/>
        <v>-273</v>
      </c>
      <c r="H110">
        <f t="shared" si="9"/>
        <v>-273</v>
      </c>
      <c r="I110">
        <f t="shared" si="9"/>
        <v>-273</v>
      </c>
    </row>
    <row r="111" spans="3:9">
      <c r="C111" t="s">
        <v>2698</v>
      </c>
      <c r="D111">
        <f>-SUM(D99:D101)</f>
        <v>-193</v>
      </c>
      <c r="E111">
        <f t="shared" ref="E111:I111" si="10">-SUM(E99:E101)</f>
        <v>-193</v>
      </c>
      <c r="F111">
        <f t="shared" si="10"/>
        <v>-195</v>
      </c>
      <c r="G111">
        <f t="shared" si="10"/>
        <v>-195</v>
      </c>
      <c r="H111">
        <f t="shared" si="10"/>
        <v>-314</v>
      </c>
      <c r="I111">
        <f t="shared" si="10"/>
        <v>-195</v>
      </c>
    </row>
    <row r="112" spans="3:9">
      <c r="C112" t="s">
        <v>2699</v>
      </c>
      <c r="D112">
        <f>-SUM(D102:D105)</f>
        <v>-1076</v>
      </c>
      <c r="E112">
        <f t="shared" ref="E112:I112" si="11">-SUM(E102:E105)</f>
        <v>-339</v>
      </c>
      <c r="F112">
        <f t="shared" si="11"/>
        <v>-310</v>
      </c>
      <c r="G112">
        <f t="shared" si="11"/>
        <v>-138</v>
      </c>
      <c r="H112">
        <f t="shared" si="11"/>
        <v>-310</v>
      </c>
      <c r="I112">
        <f t="shared" si="11"/>
        <v>-310</v>
      </c>
    </row>
    <row r="113" spans="1:37">
      <c r="C113" t="s">
        <v>2628</v>
      </c>
      <c r="D113">
        <f>-D106</f>
        <v>-26</v>
      </c>
      <c r="E113">
        <f t="shared" ref="E113:I113" si="12">-E106</f>
        <v>711</v>
      </c>
      <c r="F113">
        <f t="shared" si="12"/>
        <v>738</v>
      </c>
      <c r="G113">
        <f t="shared" si="12"/>
        <v>910</v>
      </c>
      <c r="H113">
        <f t="shared" si="12"/>
        <v>619</v>
      </c>
      <c r="I113">
        <f t="shared" si="12"/>
        <v>-2294</v>
      </c>
    </row>
    <row r="114" spans="1:37">
      <c r="C114" t="s">
        <v>2700</v>
      </c>
      <c r="D114">
        <f>D112+D111</f>
        <v>-1269</v>
      </c>
      <c r="E114">
        <f t="shared" ref="E114:I114" si="13">E112+E111</f>
        <v>-532</v>
      </c>
      <c r="F114">
        <f t="shared" si="13"/>
        <v>-505</v>
      </c>
      <c r="G114">
        <f t="shared" si="13"/>
        <v>-333</v>
      </c>
      <c r="H114">
        <f t="shared" si="13"/>
        <v>-624</v>
      </c>
      <c r="I114">
        <f t="shared" si="13"/>
        <v>-505</v>
      </c>
    </row>
    <row r="115" spans="1:37">
      <c r="C115" t="s">
        <v>2701</v>
      </c>
      <c r="D115">
        <f>SUM(D110:D112)</f>
        <v>-1542</v>
      </c>
      <c r="E115">
        <f t="shared" ref="E115:I115" si="14">SUM(E110:E112)</f>
        <v>-805</v>
      </c>
      <c r="F115">
        <f t="shared" si="14"/>
        <v>-778</v>
      </c>
      <c r="G115">
        <f t="shared" si="14"/>
        <v>-606</v>
      </c>
      <c r="H115">
        <f t="shared" si="14"/>
        <v>-897</v>
      </c>
      <c r="I115">
        <f t="shared" si="14"/>
        <v>-778</v>
      </c>
    </row>
    <row r="116" spans="1:37">
      <c r="C116" t="s">
        <v>2702</v>
      </c>
      <c r="F116">
        <f>SUM(F109:F110)</f>
        <v>1243</v>
      </c>
      <c r="I116">
        <f>SUM(I109:I110)</f>
        <v>-1789</v>
      </c>
    </row>
    <row r="117" spans="1:37">
      <c r="C117" t="s">
        <v>2703</v>
      </c>
      <c r="F117">
        <f>SUM(F109:F111)</f>
        <v>1048</v>
      </c>
      <c r="I117">
        <f>SUM(I109:I111)</f>
        <v>-1984</v>
      </c>
    </row>
    <row r="120" spans="1:37">
      <c r="A120" t="s">
        <v>2704</v>
      </c>
    </row>
    <row r="121" spans="1:37">
      <c r="H121" t="s">
        <v>2325</v>
      </c>
      <c r="I121" t="s">
        <v>2705</v>
      </c>
      <c r="O121" t="s">
        <v>2706</v>
      </c>
      <c r="U121" t="s">
        <v>2707</v>
      </c>
      <c r="AA121" t="s">
        <v>2708</v>
      </c>
      <c r="AG121" t="s">
        <v>2709</v>
      </c>
    </row>
    <row r="122" spans="1:37">
      <c r="H122" t="s">
        <v>2710</v>
      </c>
      <c r="I122" t="s">
        <v>1155</v>
      </c>
      <c r="J122" t="s">
        <v>2488</v>
      </c>
      <c r="K122" t="s">
        <v>2486</v>
      </c>
      <c r="L122" t="s">
        <v>2487</v>
      </c>
      <c r="M122" t="s">
        <v>2482</v>
      </c>
      <c r="O122" t="s">
        <v>1155</v>
      </c>
      <c r="P122" t="s">
        <v>2488</v>
      </c>
      <c r="Q122" t="s">
        <v>2486</v>
      </c>
      <c r="R122" t="s">
        <v>2487</v>
      </c>
      <c r="S122" t="s">
        <v>2482</v>
      </c>
      <c r="U122" t="s">
        <v>1155</v>
      </c>
      <c r="V122" t="s">
        <v>2488</v>
      </c>
      <c r="W122" t="s">
        <v>2486</v>
      </c>
      <c r="X122" t="s">
        <v>2487</v>
      </c>
      <c r="Y122" t="s">
        <v>2482</v>
      </c>
      <c r="AA122" t="s">
        <v>1155</v>
      </c>
      <c r="AB122" t="s">
        <v>2488</v>
      </c>
      <c r="AC122" t="s">
        <v>2486</v>
      </c>
      <c r="AD122" t="s">
        <v>2487</v>
      </c>
      <c r="AE122" t="s">
        <v>2482</v>
      </c>
      <c r="AG122" t="s">
        <v>1155</v>
      </c>
      <c r="AH122" t="s">
        <v>2488</v>
      </c>
      <c r="AI122" t="s">
        <v>2486</v>
      </c>
      <c r="AJ122" t="s">
        <v>2487</v>
      </c>
      <c r="AK122" t="s">
        <v>2482</v>
      </c>
    </row>
    <row r="123" spans="1:37">
      <c r="G123" t="e">
        <f>VLOOKUP($H123,$G$133:$I$147,3,FALSE)</f>
        <v>#N/A</v>
      </c>
      <c r="H123">
        <v>2010</v>
      </c>
      <c r="I123">
        <v>-79.911750082863705</v>
      </c>
      <c r="J123">
        <v>-88.840321511435207</v>
      </c>
      <c r="K123">
        <v>-93.304607225720801</v>
      </c>
      <c r="L123">
        <v>-91.072464368577997</v>
      </c>
      <c r="M123">
        <v>-91.072464368577997</v>
      </c>
      <c r="O123">
        <v>-3.4228063240000002</v>
      </c>
      <c r="P123">
        <v>-4.3718253599999999</v>
      </c>
      <c r="Q123">
        <v>-6.05365565176049</v>
      </c>
      <c r="R123">
        <v>-6.05365565176049</v>
      </c>
      <c r="S123">
        <v>-3.8156926666783</v>
      </c>
      <c r="T123">
        <v>2010</v>
      </c>
      <c r="U123">
        <v>-7.5664411605007098</v>
      </c>
      <c r="V123">
        <v>-7.56578078452665</v>
      </c>
      <c r="W123">
        <v>-8.6507785098983092</v>
      </c>
      <c r="X123">
        <v>-8.6507785098983092</v>
      </c>
      <c r="Y123">
        <v>-5.7834385346675203</v>
      </c>
      <c r="Z123">
        <v>2010</v>
      </c>
      <c r="AA123">
        <v>-18.691551147654099</v>
      </c>
      <c r="AB123">
        <v>-22.501966898584101</v>
      </c>
      <c r="AC123">
        <v>-30.005522629337001</v>
      </c>
      <c r="AD123">
        <v>-22.501966898584101</v>
      </c>
      <c r="AE123">
        <v>-35.188484584546799</v>
      </c>
      <c r="AG123">
        <v>-37.155963302752298</v>
      </c>
      <c r="AH123">
        <v>-37.155963302752298</v>
      </c>
      <c r="AI123">
        <v>-35.287694609040798</v>
      </c>
      <c r="AJ123">
        <v>-35.287694609040798</v>
      </c>
      <c r="AK123">
        <v>-38.1598933469554</v>
      </c>
    </row>
    <row r="124" spans="1:37">
      <c r="H124">
        <v>2020</v>
      </c>
      <c r="I124">
        <v>-174.89574422583399</v>
      </c>
      <c r="J124">
        <v>-191.783843028229</v>
      </c>
      <c r="K124">
        <v>-201.434185201026</v>
      </c>
      <c r="L124">
        <v>-202.23421445144101</v>
      </c>
      <c r="M124">
        <v>-242.44813943541399</v>
      </c>
      <c r="O124">
        <v>-7.4793023720000003</v>
      </c>
      <c r="P124">
        <v>-7.6969451549999999</v>
      </c>
      <c r="Q124">
        <v>-13.1140422522215</v>
      </c>
      <c r="R124">
        <v>-13.1140422522215</v>
      </c>
      <c r="S124">
        <v>-7.1435188083272196</v>
      </c>
      <c r="T124">
        <v>2020</v>
      </c>
      <c r="U124">
        <v>-14.569752670924</v>
      </c>
      <c r="V124">
        <v>-17.871387146394898</v>
      </c>
      <c r="W124">
        <v>-23.911132302076499</v>
      </c>
      <c r="X124">
        <v>-23.911132302076499</v>
      </c>
      <c r="Y124">
        <v>-5.7966717315364198</v>
      </c>
      <c r="Z124">
        <v>2020</v>
      </c>
      <c r="AA124">
        <v>-51.753527655772103</v>
      </c>
      <c r="AB124">
        <v>-55.548440362193297</v>
      </c>
      <c r="AC124">
        <v>-58.956730626566099</v>
      </c>
      <c r="AD124">
        <v>-55.548440362193297</v>
      </c>
      <c r="AE124">
        <v>-136.63451857430701</v>
      </c>
      <c r="AG124">
        <v>-74.094218276761396</v>
      </c>
      <c r="AH124">
        <v>-73.279816513761403</v>
      </c>
      <c r="AI124">
        <v>-76.968013331651093</v>
      </c>
      <c r="AJ124">
        <v>-76.968013331651093</v>
      </c>
      <c r="AK124">
        <v>-66.459183360346103</v>
      </c>
    </row>
    <row r="125" spans="1:37">
      <c r="H125">
        <v>2030</v>
      </c>
      <c r="I125">
        <v>-266.57399486740798</v>
      </c>
      <c r="J125">
        <v>-288.61473481608198</v>
      </c>
      <c r="K125">
        <v>-319.65087681779301</v>
      </c>
      <c r="L125">
        <v>-329.01578554855797</v>
      </c>
      <c r="M125">
        <v>-370.31517322497803</v>
      </c>
      <c r="O125">
        <v>-11.61255261</v>
      </c>
      <c r="P125">
        <v>-11.57624373</v>
      </c>
      <c r="Q125">
        <v>-23.379237880929601</v>
      </c>
      <c r="R125">
        <v>-23.379237880929601</v>
      </c>
      <c r="S125">
        <v>-9.9473622279573899</v>
      </c>
      <c r="T125">
        <v>2030</v>
      </c>
      <c r="U125">
        <v>-22.8212002382616</v>
      </c>
      <c r="V125">
        <v>-22.218630507198998</v>
      </c>
      <c r="W125">
        <v>-44.790201408851402</v>
      </c>
      <c r="X125">
        <v>-44.790201408851402</v>
      </c>
      <c r="Y125">
        <v>-4.1490035239972203</v>
      </c>
      <c r="Z125">
        <v>2030</v>
      </c>
      <c r="AA125">
        <v>-74.937586702500695</v>
      </c>
      <c r="AB125">
        <v>-76.966731236946401</v>
      </c>
      <c r="AC125">
        <v>-79.643362017116502</v>
      </c>
      <c r="AD125">
        <v>-76.966731236946401</v>
      </c>
      <c r="AE125">
        <v>-223.834792619919</v>
      </c>
      <c r="AG125">
        <v>-110.02313103467</v>
      </c>
      <c r="AH125">
        <v>-107.199838087114</v>
      </c>
      <c r="AI125">
        <v>-118.16700482998201</v>
      </c>
      <c r="AJ125">
        <v>-118.16700482998201</v>
      </c>
      <c r="AK125">
        <v>-94.764973268048493</v>
      </c>
    </row>
    <row r="126" spans="1:37">
      <c r="H126">
        <v>2040</v>
      </c>
      <c r="I126">
        <v>-358.25224550898201</v>
      </c>
      <c r="J126">
        <v>-375.14034431137702</v>
      </c>
      <c r="K126">
        <v>-432.86195466210398</v>
      </c>
      <c r="L126">
        <v>-437.94539277427799</v>
      </c>
      <c r="M126">
        <v>-478.88152266894798</v>
      </c>
      <c r="O126">
        <v>-16.033774959999999</v>
      </c>
      <c r="P126">
        <v>-14.624262359999999</v>
      </c>
      <c r="Q126">
        <v>-35.146969545120101</v>
      </c>
      <c r="R126">
        <v>-35.146969545120101</v>
      </c>
      <c r="S126">
        <v>-12.670394491153999</v>
      </c>
      <c r="T126">
        <v>2040</v>
      </c>
      <c r="U126">
        <v>-28.314179013492801</v>
      </c>
      <c r="V126">
        <v>-25.585051641920199</v>
      </c>
      <c r="W126">
        <v>-61.842838403222601</v>
      </c>
      <c r="X126">
        <v>-61.842838403222601</v>
      </c>
      <c r="Y126">
        <v>-3.0547328907452198</v>
      </c>
      <c r="Z126">
        <v>2040</v>
      </c>
      <c r="AA126">
        <v>-103.128697225499</v>
      </c>
      <c r="AB126">
        <v>-85.880029919208596</v>
      </c>
      <c r="AC126">
        <v>-94.842276202986298</v>
      </c>
      <c r="AD126">
        <v>-85.880029919208596</v>
      </c>
      <c r="AE126">
        <v>-300.79605909268503</v>
      </c>
      <c r="AG126">
        <v>-148.17936495958699</v>
      </c>
      <c r="AH126">
        <v>-142.68006583602499</v>
      </c>
      <c r="AI126">
        <v>-160.009227130916</v>
      </c>
      <c r="AJ126">
        <v>-160.009227130916</v>
      </c>
      <c r="AK126">
        <v>-123.18759220940601</v>
      </c>
    </row>
    <row r="127" spans="1:37">
      <c r="H127">
        <v>2050</v>
      </c>
      <c r="I127">
        <v>-444.74443969204401</v>
      </c>
      <c r="J127">
        <v>-457.92343883661198</v>
      </c>
      <c r="K127">
        <v>-541.24786142001699</v>
      </c>
      <c r="L127">
        <v>-544.642857142857</v>
      </c>
      <c r="M127">
        <v>-575.024059024807</v>
      </c>
      <c r="O127">
        <v>-21.021863880000002</v>
      </c>
      <c r="P127">
        <v>-17.672284350000002</v>
      </c>
      <c r="Q127">
        <v>-46.846647670599197</v>
      </c>
      <c r="R127">
        <v>-46.846647670599197</v>
      </c>
      <c r="S127">
        <v>-14.907508054462699</v>
      </c>
      <c r="T127">
        <v>2050</v>
      </c>
      <c r="U127">
        <v>-33.279161305621301</v>
      </c>
      <c r="V127">
        <v>-26.665391740362399</v>
      </c>
      <c r="W127">
        <v>-76.645883575091005</v>
      </c>
      <c r="X127">
        <v>-76.645883575091005</v>
      </c>
      <c r="Y127">
        <v>-0.83981993161341895</v>
      </c>
      <c r="Z127">
        <v>2050</v>
      </c>
      <c r="AA127">
        <v>-119.709197910017</v>
      </c>
      <c r="AB127">
        <v>-89.934505989888095</v>
      </c>
      <c r="AC127">
        <v>-105.685944766357</v>
      </c>
      <c r="AD127">
        <v>-89.934505989888095</v>
      </c>
      <c r="AE127">
        <v>-353.40571494908198</v>
      </c>
      <c r="AG127">
        <v>-184.06566486446999</v>
      </c>
      <c r="AH127">
        <v>-178.74915183526599</v>
      </c>
      <c r="AI127">
        <v>-205.17764717771101</v>
      </c>
      <c r="AJ127">
        <v>-205.17764717771101</v>
      </c>
      <c r="AK127">
        <v>-150.32297830844701</v>
      </c>
    </row>
    <row r="128" spans="1:37">
      <c r="H128">
        <v>2060</v>
      </c>
      <c r="I128">
        <v>-516.00593455945204</v>
      </c>
      <c r="J128">
        <v>-521.87603579714903</v>
      </c>
      <c r="K128">
        <v>-650.17509623609897</v>
      </c>
      <c r="L128">
        <v>-626.98486954662098</v>
      </c>
      <c r="M128">
        <v>-644.05341103507203</v>
      </c>
      <c r="O128">
        <v>-25.391129490000001</v>
      </c>
      <c r="P128">
        <v>-21.274481770000001</v>
      </c>
      <c r="Q128">
        <v>-59.771474596120001</v>
      </c>
      <c r="R128">
        <v>-59.771474596120001</v>
      </c>
      <c r="S128">
        <v>-18.262619851211401</v>
      </c>
      <c r="T128">
        <v>2060</v>
      </c>
      <c r="U128">
        <v>-36.530488452445297</v>
      </c>
      <c r="V128">
        <v>-28.3273660020776</v>
      </c>
      <c r="W128">
        <v>-89.336401163736497</v>
      </c>
      <c r="X128">
        <v>-89.336401163736497</v>
      </c>
      <c r="Y128">
        <v>0.259786493257323</v>
      </c>
      <c r="Z128">
        <v>2060</v>
      </c>
      <c r="AA128">
        <v>-124.386230701242</v>
      </c>
      <c r="AB128">
        <v>-74.657916514909303</v>
      </c>
      <c r="AC128">
        <v>-116.07299548902699</v>
      </c>
      <c r="AD128">
        <v>-74.657916514909303</v>
      </c>
      <c r="AE128">
        <v>-385.778591846273</v>
      </c>
      <c r="AG128">
        <v>-221.13917530304801</v>
      </c>
      <c r="AH128">
        <v>-213.605706748692</v>
      </c>
      <c r="AI128">
        <v>-247.07342243655299</v>
      </c>
      <c r="AJ128">
        <v>-247.07342243655299</v>
      </c>
      <c r="AK128">
        <v>-177.57799178463</v>
      </c>
    </row>
    <row r="129" spans="7:37">
      <c r="H129">
        <v>2070</v>
      </c>
      <c r="I129">
        <v>-572.791916167664</v>
      </c>
      <c r="J129">
        <v>-575.00207159429795</v>
      </c>
      <c r="K129">
        <v>-749.09110350727099</v>
      </c>
      <c r="L129">
        <v>-703.25197818648405</v>
      </c>
      <c r="M129">
        <v>-692.30512189905903</v>
      </c>
      <c r="O129">
        <v>-31.510434700000001</v>
      </c>
      <c r="P129">
        <v>-25.153773619999999</v>
      </c>
      <c r="Q129">
        <v>-73.376751985525999</v>
      </c>
      <c r="R129">
        <v>-73.376751985525999</v>
      </c>
      <c r="S129">
        <v>-21.048230996466199</v>
      </c>
      <c r="T129">
        <v>2070</v>
      </c>
      <c r="U129">
        <v>-39.875010485705502</v>
      </c>
      <c r="V129">
        <v>-28.8165119295703</v>
      </c>
      <c r="W129">
        <v>-99.747887335988906</v>
      </c>
      <c r="X129">
        <v>-99.747887335988906</v>
      </c>
      <c r="Y129">
        <v>1.9089209332364101</v>
      </c>
      <c r="Z129">
        <v>2070</v>
      </c>
      <c r="AA129">
        <v>-115.728548549046</v>
      </c>
      <c r="AB129">
        <v>-52.442931781406401</v>
      </c>
      <c r="AC129">
        <v>-119.33632070471501</v>
      </c>
      <c r="AD129">
        <v>-52.442931781406401</v>
      </c>
      <c r="AE129">
        <v>-395.94685625437501</v>
      </c>
      <c r="AG129">
        <v>-258.14936499743197</v>
      </c>
      <c r="AH129">
        <v>-250.34574023021401</v>
      </c>
      <c r="AI129">
        <v>-291.49069938582102</v>
      </c>
      <c r="AJ129">
        <v>-291.49069938582102</v>
      </c>
      <c r="AK129">
        <v>-204.70583316168401</v>
      </c>
    </row>
    <row r="130" spans="7:37">
      <c r="H130">
        <v>2080</v>
      </c>
      <c r="I130">
        <v>-622.34014114627803</v>
      </c>
      <c r="J130">
        <v>-650.17509623609897</v>
      </c>
      <c r="K130">
        <v>-847.82666809238594</v>
      </c>
      <c r="L130">
        <v>-805.69664242942599</v>
      </c>
      <c r="M130">
        <v>-722.55266253207799</v>
      </c>
      <c r="O130">
        <v>-36.638989899999999</v>
      </c>
      <c r="P130">
        <v>-29.03312266</v>
      </c>
      <c r="Q130">
        <v>-86.636333200959797</v>
      </c>
      <c r="R130">
        <v>-86.636333200959797</v>
      </c>
      <c r="S130">
        <v>-24.3636075670011</v>
      </c>
      <c r="T130">
        <v>2080</v>
      </c>
      <c r="U130">
        <v>-42.0734160854416</v>
      </c>
      <c r="V130">
        <v>-29.978340327602599</v>
      </c>
      <c r="W130">
        <v>-109.161063025307</v>
      </c>
      <c r="X130">
        <v>-109.161063025307</v>
      </c>
      <c r="Y130">
        <v>3.0086669296324202</v>
      </c>
      <c r="Z130">
        <v>2080</v>
      </c>
      <c r="AA130">
        <v>-97.317437193511296</v>
      </c>
      <c r="AB130">
        <v>-51.423686546173698</v>
      </c>
      <c r="AC130">
        <v>-116.827619921744</v>
      </c>
      <c r="AD130">
        <v>-51.423686546173698</v>
      </c>
      <c r="AE130">
        <v>-384.54733170913198</v>
      </c>
      <c r="AG130">
        <v>-294.198484850022</v>
      </c>
      <c r="AH130">
        <v>-284.20119272567501</v>
      </c>
      <c r="AI130">
        <v>-337.303775255039</v>
      </c>
      <c r="AJ130">
        <v>-337.303775255039</v>
      </c>
      <c r="AK130">
        <v>-231.99149250786101</v>
      </c>
    </row>
    <row r="131" spans="7:37">
      <c r="H131">
        <v>2090</v>
      </c>
      <c r="I131">
        <v>-662.23802395209498</v>
      </c>
      <c r="J131">
        <v>-717.72749144568002</v>
      </c>
      <c r="K131">
        <v>-932.44760479041895</v>
      </c>
      <c r="L131">
        <v>-894.96230752780104</v>
      </c>
      <c r="M131">
        <v>-728.49390504704797</v>
      </c>
      <c r="O131">
        <v>-42.191044900000001</v>
      </c>
      <c r="P131">
        <v>-32.63530325</v>
      </c>
      <c r="Q131">
        <v>-100.58230379807701</v>
      </c>
      <c r="R131">
        <v>-100.58230379807701</v>
      </c>
      <c r="S131">
        <v>-25.369211739549801</v>
      </c>
      <c r="T131">
        <v>2090</v>
      </c>
      <c r="U131">
        <v>-43.190097364479698</v>
      </c>
      <c r="V131">
        <v>-30.5281857532113</v>
      </c>
      <c r="W131">
        <v>-115.718908409535</v>
      </c>
      <c r="X131">
        <v>-115.718908409535</v>
      </c>
      <c r="Y131">
        <v>4.6577826244725804</v>
      </c>
      <c r="Z131">
        <v>2090</v>
      </c>
      <c r="AA131">
        <v>-73.410781675763403</v>
      </c>
      <c r="AB131">
        <v>-39.211061963691201</v>
      </c>
      <c r="AC131">
        <v>-103.43853301218</v>
      </c>
      <c r="AD131">
        <v>-39.211061963691201</v>
      </c>
      <c r="AE131">
        <v>-350.30815678968798</v>
      </c>
      <c r="AG131">
        <v>-329.95572118793598</v>
      </c>
      <c r="AH131">
        <v>-321.11705951978701</v>
      </c>
      <c r="AI131">
        <v>-379.72080327579602</v>
      </c>
      <c r="AJ131">
        <v>-379.72080327579602</v>
      </c>
      <c r="AK131">
        <v>-258.36007020915201</v>
      </c>
    </row>
    <row r="133" spans="7:37">
      <c r="I133" t="s">
        <v>2628</v>
      </c>
      <c r="O133" t="s">
        <v>2621</v>
      </c>
      <c r="U133" t="s">
        <v>2711</v>
      </c>
    </row>
    <row r="134" spans="7:37">
      <c r="I134" t="s">
        <v>1155</v>
      </c>
      <c r="J134" t="s">
        <v>2488</v>
      </c>
      <c r="K134" t="s">
        <v>2486</v>
      </c>
      <c r="L134" t="s">
        <v>2487</v>
      </c>
      <c r="M134" t="s">
        <v>2482</v>
      </c>
      <c r="O134" t="s">
        <v>1155</v>
      </c>
      <c r="P134" t="s">
        <v>2488</v>
      </c>
      <c r="Q134" t="s">
        <v>2486</v>
      </c>
      <c r="R134" t="s">
        <v>2487</v>
      </c>
      <c r="S134" t="s">
        <v>2482</v>
      </c>
      <c r="U134" t="s">
        <v>1155</v>
      </c>
      <c r="V134" t="s">
        <v>2488</v>
      </c>
      <c r="W134" t="s">
        <v>2486</v>
      </c>
      <c r="X134" t="s">
        <v>2487</v>
      </c>
      <c r="Y134" t="s">
        <v>2482</v>
      </c>
    </row>
    <row r="135" spans="7:37">
      <c r="H135">
        <v>2030</v>
      </c>
      <c r="I135">
        <f t="shared" ref="I135:M137" si="15">-VLOOKUP($H135,$H$122:$M$131,MATCH(I$134,$H$122:$M$122,0),FALSE)</f>
        <v>266.57399486740798</v>
      </c>
      <c r="J135">
        <f t="shared" si="15"/>
        <v>288.61473481608198</v>
      </c>
      <c r="K135">
        <f t="shared" si="15"/>
        <v>319.65087681779301</v>
      </c>
      <c r="L135">
        <f t="shared" si="15"/>
        <v>329.01578554855797</v>
      </c>
      <c r="M135">
        <f t="shared" si="15"/>
        <v>370.31517322497803</v>
      </c>
      <c r="O135">
        <f t="shared" ref="O135:S137" si="16">-VLOOKUP($H135,$Z$122:$AE$131,MATCH(O$134,$H$122:$M$122,0),FALSE)</f>
        <v>74.937586702500695</v>
      </c>
      <c r="P135">
        <f t="shared" si="16"/>
        <v>76.966731236946401</v>
      </c>
      <c r="Q135">
        <f t="shared" si="16"/>
        <v>79.643362017116502</v>
      </c>
      <c r="R135">
        <f t="shared" si="16"/>
        <v>76.966731236946401</v>
      </c>
      <c r="S135">
        <f t="shared" si="16"/>
        <v>223.834792619919</v>
      </c>
      <c r="U135">
        <f t="shared" ref="U135:Y137" si="17">O135-VLOOKUP($H135,$T$122:$Y$131,MATCH(U$134,$H$122:$M$122,0),FALSE)</f>
        <v>97.758786940762292</v>
      </c>
      <c r="V135">
        <f t="shared" si="17"/>
        <v>99.185361744145396</v>
      </c>
      <c r="W135">
        <f t="shared" si="17"/>
        <v>124.4335634259679</v>
      </c>
      <c r="X135">
        <f t="shared" si="17"/>
        <v>121.7569326457978</v>
      </c>
      <c r="Y135">
        <f t="shared" si="17"/>
        <v>227.98379614391621</v>
      </c>
    </row>
    <row r="136" spans="7:37">
      <c r="H136">
        <v>2060</v>
      </c>
      <c r="I136">
        <f t="shared" si="15"/>
        <v>516.00593455945204</v>
      </c>
      <c r="J136">
        <f t="shared" si="15"/>
        <v>521.87603579714903</v>
      </c>
      <c r="K136">
        <f t="shared" si="15"/>
        <v>650.17509623609897</v>
      </c>
      <c r="L136">
        <f t="shared" si="15"/>
        <v>626.98486954662098</v>
      </c>
      <c r="M136">
        <f t="shared" si="15"/>
        <v>644.05341103507203</v>
      </c>
      <c r="O136">
        <f t="shared" si="16"/>
        <v>124.386230701242</v>
      </c>
      <c r="P136">
        <f t="shared" si="16"/>
        <v>74.657916514909303</v>
      </c>
      <c r="Q136">
        <f t="shared" si="16"/>
        <v>116.07299548902699</v>
      </c>
      <c r="R136">
        <f t="shared" si="16"/>
        <v>74.657916514909303</v>
      </c>
      <c r="S136">
        <f t="shared" si="16"/>
        <v>385.778591846273</v>
      </c>
      <c r="U136">
        <f t="shared" si="17"/>
        <v>160.9167191536873</v>
      </c>
      <c r="V136">
        <f t="shared" si="17"/>
        <v>102.9852825169869</v>
      </c>
      <c r="W136">
        <f t="shared" si="17"/>
        <v>205.40939665276349</v>
      </c>
      <c r="X136">
        <f t="shared" si="17"/>
        <v>163.99431767864581</v>
      </c>
      <c r="Y136">
        <f t="shared" si="17"/>
        <v>385.51880535301569</v>
      </c>
    </row>
    <row r="137" spans="7:37">
      <c r="H137">
        <v>2090</v>
      </c>
      <c r="I137">
        <f t="shared" si="15"/>
        <v>662.23802395209498</v>
      </c>
      <c r="J137">
        <f t="shared" si="15"/>
        <v>717.72749144568002</v>
      </c>
      <c r="K137">
        <f t="shared" si="15"/>
        <v>932.44760479041895</v>
      </c>
      <c r="L137">
        <f t="shared" si="15"/>
        <v>894.96230752780104</v>
      </c>
      <c r="M137">
        <f t="shared" si="15"/>
        <v>728.49390504704797</v>
      </c>
      <c r="O137">
        <f t="shared" si="16"/>
        <v>73.410781675763403</v>
      </c>
      <c r="P137">
        <f t="shared" si="16"/>
        <v>39.211061963691201</v>
      </c>
      <c r="Q137">
        <f t="shared" si="16"/>
        <v>103.43853301218</v>
      </c>
      <c r="R137">
        <f t="shared" si="16"/>
        <v>39.211061963691201</v>
      </c>
      <c r="S137">
        <f t="shared" si="16"/>
        <v>350.30815678968798</v>
      </c>
      <c r="U137">
        <f t="shared" si="17"/>
        <v>116.6008790402431</v>
      </c>
      <c r="V137">
        <f t="shared" si="17"/>
        <v>69.739247716902497</v>
      </c>
      <c r="W137">
        <f t="shared" si="17"/>
        <v>219.15744142171502</v>
      </c>
      <c r="X137">
        <f t="shared" si="17"/>
        <v>154.92997037322621</v>
      </c>
      <c r="Y137">
        <f t="shared" si="17"/>
        <v>345.6503741652154</v>
      </c>
    </row>
    <row r="139" spans="7:37">
      <c r="G139" t="s">
        <v>2712</v>
      </c>
      <c r="I139" t="s">
        <v>1155</v>
      </c>
      <c r="J139" t="s">
        <v>2488</v>
      </c>
      <c r="K139" t="s">
        <v>2486</v>
      </c>
      <c r="L139" t="s">
        <v>2487</v>
      </c>
      <c r="M139" t="s">
        <v>2482</v>
      </c>
    </row>
    <row r="140" spans="7:37">
      <c r="G140">
        <v>5</v>
      </c>
      <c r="H140" t="s">
        <v>2713</v>
      </c>
      <c r="I140">
        <v>5.9</v>
      </c>
      <c r="J140">
        <v>9.1999999999999993</v>
      </c>
      <c r="K140">
        <v>8.5</v>
      </c>
      <c r="L140">
        <v>9.1999999999999993</v>
      </c>
      <c r="M140">
        <v>3</v>
      </c>
    </row>
    <row r="141" spans="7:37">
      <c r="H141" t="s">
        <v>2714</v>
      </c>
    </row>
    <row r="142" spans="7:37">
      <c r="H142">
        <v>2030</v>
      </c>
      <c r="I142">
        <f>($H142-2000)*AVERAGE(I140,$G$140)</f>
        <v>163.5</v>
      </c>
      <c r="J142">
        <f>($H142-2000)*AVERAGE(J140,$G$140)</f>
        <v>213</v>
      </c>
      <c r="K142">
        <f>($H142-2000)*AVERAGE(K140,$G$140)</f>
        <v>202.5</v>
      </c>
      <c r="L142">
        <f>($H142-2000)*AVERAGE(L140,$G$140)</f>
        <v>213</v>
      </c>
      <c r="M142">
        <f>($H142-2000)*AVERAGE(M140,$G$140)</f>
        <v>120</v>
      </c>
    </row>
    <row r="143" spans="7:37">
      <c r="H143">
        <v>2060</v>
      </c>
      <c r="I143">
        <f t="shared" ref="I143:M144" si="18">($H143-$H$142)*I$140+I$142</f>
        <v>340.5</v>
      </c>
      <c r="J143">
        <f t="shared" si="18"/>
        <v>489</v>
      </c>
      <c r="K143">
        <f t="shared" si="18"/>
        <v>457.5</v>
      </c>
      <c r="L143">
        <f t="shared" si="18"/>
        <v>489</v>
      </c>
      <c r="M143">
        <f t="shared" si="18"/>
        <v>210</v>
      </c>
    </row>
    <row r="144" spans="7:37">
      <c r="H144">
        <v>2090</v>
      </c>
      <c r="I144">
        <f t="shared" si="18"/>
        <v>517.5</v>
      </c>
      <c r="J144">
        <f t="shared" si="18"/>
        <v>765</v>
      </c>
      <c r="K144">
        <f t="shared" si="18"/>
        <v>712.5</v>
      </c>
      <c r="L144">
        <f t="shared" si="18"/>
        <v>765</v>
      </c>
      <c r="M144">
        <f t="shared" si="18"/>
        <v>300</v>
      </c>
    </row>
    <row r="146" spans="1:14">
      <c r="A146" t="s">
        <v>2715</v>
      </c>
      <c r="G146" t="s">
        <v>2716</v>
      </c>
      <c r="H146">
        <v>0.245</v>
      </c>
    </row>
    <row r="147" spans="1:14">
      <c r="J147" t="s">
        <v>2717</v>
      </c>
      <c r="K147" t="s">
        <v>2718</v>
      </c>
      <c r="L147" t="s">
        <v>2719</v>
      </c>
    </row>
    <row r="148" spans="1:14">
      <c r="G148" t="s">
        <v>2720</v>
      </c>
      <c r="H148">
        <v>0.116751269035533</v>
      </c>
      <c r="I148">
        <v>-13.5465116279069</v>
      </c>
      <c r="J148">
        <f>+I149-I148</f>
        <v>7.3255813953487605</v>
      </c>
      <c r="K148">
        <f>J148/C_to_CO2*1000/$H$146</f>
        <v>8147.2294893496755</v>
      </c>
      <c r="L148">
        <f>-(I150+I148)</f>
        <v>-59.593023255813996</v>
      </c>
      <c r="N148">
        <f>221*0.06</f>
        <v>13.26</v>
      </c>
    </row>
    <row r="149" spans="1:14">
      <c r="H149">
        <v>0.116751269035533</v>
      </c>
      <c r="I149">
        <v>-6.2209302325581399</v>
      </c>
    </row>
    <row r="150" spans="1:14">
      <c r="H150">
        <v>0.121827411167512</v>
      </c>
      <c r="I150">
        <v>73.139534883720899</v>
      </c>
    </row>
    <row r="151" spans="1:14">
      <c r="G151" t="s">
        <v>2721</v>
      </c>
      <c r="H151">
        <v>0.38324873096446699</v>
      </c>
      <c r="I151">
        <v>-20.058139534883701</v>
      </c>
      <c r="J151">
        <f>+I152-I151</f>
        <v>14.244186046511601</v>
      </c>
      <c r="K151">
        <f>J151/C_to_CO2*1000/$H$146</f>
        <v>15841.835118180061</v>
      </c>
      <c r="L151">
        <f>-(I153+I151)</f>
        <v>-31.918604651162703</v>
      </c>
    </row>
    <row r="152" spans="1:14">
      <c r="H152">
        <v>0.38324873096446699</v>
      </c>
      <c r="I152">
        <v>-5.8139534883720998</v>
      </c>
    </row>
    <row r="153" spans="1:14">
      <c r="H153">
        <v>0.38071065989847702</v>
      </c>
      <c r="I153">
        <v>51.976744186046403</v>
      </c>
    </row>
    <row r="154" spans="1:14">
      <c r="G154" t="s">
        <v>2722</v>
      </c>
      <c r="H154">
        <v>0.62690355329949199</v>
      </c>
      <c r="I154">
        <v>-16.802325581395301</v>
      </c>
      <c r="J154">
        <f>+I155-I154</f>
        <v>12.616279069767382</v>
      </c>
      <c r="K154">
        <f>J154/C_to_CO2*1000/$H$146</f>
        <v>14031.339676102298</v>
      </c>
      <c r="L154">
        <f>-(I156+I154)</f>
        <v>-59.999999999999993</v>
      </c>
    </row>
    <row r="155" spans="1:14">
      <c r="H155">
        <v>0.62690355329949199</v>
      </c>
      <c r="I155">
        <v>-4.1860465116279197</v>
      </c>
    </row>
    <row r="156" spans="1:14">
      <c r="H156">
        <v>0.62690355329949199</v>
      </c>
      <c r="I156">
        <v>76.802325581395294</v>
      </c>
    </row>
    <row r="157" spans="1:14">
      <c r="G157" t="s">
        <v>2723</v>
      </c>
      <c r="H157">
        <v>0.87309644670050701</v>
      </c>
      <c r="I157">
        <v>-22.5</v>
      </c>
      <c r="J157">
        <f>+I158-I157</f>
        <v>19.127906976744178</v>
      </c>
      <c r="K157">
        <f>J157/C_to_CO2*1000/$H$146</f>
        <v>21273.321444413257</v>
      </c>
      <c r="L157">
        <f>-(I159+I157)</f>
        <v>-26.6279069767441</v>
      </c>
    </row>
    <row r="158" spans="1:14">
      <c r="H158">
        <v>0.87563451776649703</v>
      </c>
      <c r="I158">
        <v>-3.3720930232558199</v>
      </c>
    </row>
    <row r="159" spans="1:14">
      <c r="H159">
        <v>0.87817258883248706</v>
      </c>
      <c r="I159">
        <v>49.1279069767441</v>
      </c>
    </row>
    <row r="161" spans="1:10">
      <c r="A161" t="s">
        <v>2724</v>
      </c>
    </row>
    <row r="162" spans="1:10">
      <c r="H162" t="s">
        <v>2725</v>
      </c>
      <c r="I162">
        <v>8.2467708777782006E-2</v>
      </c>
    </row>
    <row r="163" spans="1:10">
      <c r="H163" t="s">
        <v>2726</v>
      </c>
      <c r="I163">
        <v>0.50808347232457995</v>
      </c>
    </row>
    <row r="164" spans="1:10">
      <c r="H164" t="s">
        <v>2727</v>
      </c>
      <c r="I164">
        <v>1.0992164772506801</v>
      </c>
    </row>
    <row r="172" spans="1:10">
      <c r="A172" t="s">
        <v>2728</v>
      </c>
      <c r="E172" t="s">
        <v>2729</v>
      </c>
      <c r="F172" t="s">
        <v>2730</v>
      </c>
      <c r="G172" t="s">
        <v>2731</v>
      </c>
      <c r="H172" t="s">
        <v>2732</v>
      </c>
      <c r="I172" t="s">
        <v>2733</v>
      </c>
    </row>
    <row r="173" spans="1:10">
      <c r="A173" t="s">
        <v>2734</v>
      </c>
      <c r="B173" t="s">
        <v>2735</v>
      </c>
      <c r="C173">
        <v>0.53500000000000003</v>
      </c>
      <c r="E173" t="s">
        <v>2736</v>
      </c>
      <c r="F173" s="227">
        <f>-SUM($C$173,$C$175)</f>
        <v>-2.665</v>
      </c>
      <c r="G173" s="227">
        <f>-SUM($C$173,$C$174)</f>
        <v>-1.9969999999999999</v>
      </c>
      <c r="H173" s="227">
        <f>-SUM($C$173,$C$175)</f>
        <v>-2.665</v>
      </c>
      <c r="I173" s="227">
        <f>-SUM($C$173,$C$174)</f>
        <v>-1.9969999999999999</v>
      </c>
      <c r="J173" s="227"/>
    </row>
    <row r="174" spans="1:10">
      <c r="A174" t="s">
        <v>2737</v>
      </c>
      <c r="B174" t="s">
        <v>1198</v>
      </c>
      <c r="C174">
        <v>1.462</v>
      </c>
      <c r="E174" t="s">
        <v>2690</v>
      </c>
      <c r="F174">
        <f>-SUM($C$176,$C$177,$C$179)</f>
        <v>-12.636000000000001</v>
      </c>
      <c r="G174">
        <f>-SUM($C$176,$C$177,$C$179)</f>
        <v>-12.636000000000001</v>
      </c>
      <c r="H174">
        <f>-SUM($C$176,$C$178,$C$179)</f>
        <v>-9.6009999999999991</v>
      </c>
      <c r="I174">
        <f>-SUM($C$176,$C$178,$C$179)</f>
        <v>-9.6009999999999991</v>
      </c>
    </row>
    <row r="175" spans="1:10">
      <c r="A175" t="s">
        <v>1197</v>
      </c>
      <c r="C175">
        <v>2.13</v>
      </c>
      <c r="E175" t="s">
        <v>38</v>
      </c>
      <c r="F175" s="227">
        <f>SUM(F173:F174)</f>
        <v>-15.301000000000002</v>
      </c>
      <c r="G175" s="227">
        <f t="shared" ref="G175:I175" si="19">SUM(G173:G174)</f>
        <v>-14.633000000000001</v>
      </c>
      <c r="H175" s="227">
        <f t="shared" si="19"/>
        <v>-12.265999999999998</v>
      </c>
      <c r="I175" s="227">
        <f t="shared" si="19"/>
        <v>-11.597999999999999</v>
      </c>
      <c r="J175" s="227"/>
    </row>
    <row r="176" spans="1:10">
      <c r="A176" t="s">
        <v>2738</v>
      </c>
      <c r="B176" t="s">
        <v>2739</v>
      </c>
      <c r="C176">
        <v>0.38200000000000001</v>
      </c>
    </row>
    <row r="177" spans="1:42">
      <c r="A177" t="s">
        <v>2740</v>
      </c>
      <c r="B177" t="s">
        <v>2741</v>
      </c>
      <c r="C177">
        <v>10.582000000000001</v>
      </c>
    </row>
    <row r="178" spans="1:42">
      <c r="A178" t="s">
        <v>2742</v>
      </c>
      <c r="B178" t="s">
        <v>2743</v>
      </c>
      <c r="C178">
        <v>7.5469999999999997</v>
      </c>
    </row>
    <row r="179" spans="1:42">
      <c r="A179" t="s">
        <v>2744</v>
      </c>
      <c r="B179" t="s">
        <v>2745</v>
      </c>
      <c r="C179">
        <v>1.6719999999999999</v>
      </c>
      <c r="H179" s="228" t="s">
        <v>426</v>
      </c>
      <c r="I179" s="228" t="s">
        <v>426</v>
      </c>
      <c r="J179" t="s">
        <v>2746</v>
      </c>
      <c r="K179" s="229" t="s">
        <v>429</v>
      </c>
      <c r="L179" s="230" t="s">
        <v>429</v>
      </c>
      <c r="M179" s="231" t="s">
        <v>429</v>
      </c>
      <c r="N179" t="s">
        <v>2746</v>
      </c>
      <c r="O179" s="229" t="s">
        <v>429</v>
      </c>
      <c r="P179" s="230" t="s">
        <v>429</v>
      </c>
      <c r="Q179" s="231" t="s">
        <v>429</v>
      </c>
      <c r="R179" s="229"/>
      <c r="S179" s="230" t="s">
        <v>1590</v>
      </c>
      <c r="T179" s="230"/>
      <c r="U179" s="230"/>
      <c r="V179" s="231"/>
      <c r="W179" s="229"/>
      <c r="X179" s="230"/>
      <c r="Y179" s="230"/>
      <c r="Z179" s="230"/>
      <c r="AA179" s="230"/>
      <c r="AB179" s="231"/>
      <c r="AC179" t="s">
        <v>2747</v>
      </c>
      <c r="AD179" s="232" t="s">
        <v>2748</v>
      </c>
      <c r="AK179" s="233" t="s">
        <v>2749</v>
      </c>
    </row>
    <row r="180" spans="1:42">
      <c r="H180" s="234" t="s">
        <v>2750</v>
      </c>
      <c r="I180" s="234" t="s">
        <v>2751</v>
      </c>
      <c r="K180" s="235" t="s">
        <v>2750</v>
      </c>
      <c r="L180" t="s">
        <v>2750</v>
      </c>
      <c r="M180" s="236" t="s">
        <v>2750</v>
      </c>
      <c r="O180" s="235" t="s">
        <v>2751</v>
      </c>
      <c r="P180" t="s">
        <v>2751</v>
      </c>
      <c r="Q180" s="236" t="s">
        <v>2751</v>
      </c>
      <c r="R180" s="235" t="s">
        <v>2750</v>
      </c>
      <c r="S180" t="s">
        <v>2750</v>
      </c>
      <c r="T180" t="s">
        <v>2750</v>
      </c>
      <c r="U180" t="s">
        <v>2750</v>
      </c>
      <c r="V180" s="236" t="s">
        <v>2750</v>
      </c>
      <c r="W180" s="235" t="s">
        <v>2751</v>
      </c>
      <c r="X180" t="s">
        <v>2751</v>
      </c>
      <c r="Y180" t="s">
        <v>2751</v>
      </c>
      <c r="Z180" t="s">
        <v>2751</v>
      </c>
      <c r="AA180" t="s">
        <v>2751</v>
      </c>
      <c r="AB180" s="236"/>
      <c r="AC180">
        <v>60</v>
      </c>
      <c r="AD180" s="237" t="s">
        <v>2750</v>
      </c>
      <c r="AF180" t="s">
        <v>2752</v>
      </c>
      <c r="AG180">
        <v>950</v>
      </c>
      <c r="AK180" t="s">
        <v>2750</v>
      </c>
      <c r="AM180" t="s">
        <v>2752</v>
      </c>
      <c r="AN180">
        <v>950</v>
      </c>
    </row>
    <row r="181" spans="1:42">
      <c r="A181" t="s">
        <v>2753</v>
      </c>
      <c r="F181" t="s">
        <v>2754</v>
      </c>
      <c r="G181" t="s">
        <v>2755</v>
      </c>
      <c r="H181" s="234" t="s">
        <v>2756</v>
      </c>
      <c r="I181" s="234" t="s">
        <v>2756</v>
      </c>
      <c r="K181" s="235" t="s">
        <v>2757</v>
      </c>
      <c r="L181" t="s">
        <v>2758</v>
      </c>
      <c r="M181" s="236" t="s">
        <v>229</v>
      </c>
      <c r="O181" s="235" t="s">
        <v>2757</v>
      </c>
      <c r="P181" t="s">
        <v>2758</v>
      </c>
      <c r="Q181" s="236" t="s">
        <v>229</v>
      </c>
      <c r="R181" s="235" t="s">
        <v>2759</v>
      </c>
      <c r="S181" t="s">
        <v>2760</v>
      </c>
      <c r="T181" t="s">
        <v>2761</v>
      </c>
      <c r="U181" t="s">
        <v>2762</v>
      </c>
      <c r="V181" s="236" t="s">
        <v>2763</v>
      </c>
      <c r="W181" s="235" t="s">
        <v>2764</v>
      </c>
      <c r="X181" t="s">
        <v>2760</v>
      </c>
      <c r="Y181" t="s">
        <v>2761</v>
      </c>
      <c r="Z181" t="s">
        <v>2762</v>
      </c>
      <c r="AA181" t="s">
        <v>2763</v>
      </c>
      <c r="AB181" s="236"/>
      <c r="AD181" s="143" t="s">
        <v>2765</v>
      </c>
      <c r="AE181" s="143" t="s">
        <v>2766</v>
      </c>
      <c r="AF181" s="143" t="s">
        <v>2767</v>
      </c>
      <c r="AG181" s="143" t="s">
        <v>2768</v>
      </c>
      <c r="AH181" s="143" t="s">
        <v>2769</v>
      </c>
      <c r="AI181" s="143" t="s">
        <v>2770</v>
      </c>
      <c r="AK181" t="s">
        <v>2765</v>
      </c>
      <c r="AL181" t="s">
        <v>2766</v>
      </c>
      <c r="AM181" t="s">
        <v>2767</v>
      </c>
      <c r="AN181" t="s">
        <v>2768</v>
      </c>
      <c r="AO181" t="s">
        <v>2769</v>
      </c>
      <c r="AP181" t="s">
        <v>2770</v>
      </c>
    </row>
    <row r="182" spans="1:42">
      <c r="E182" t="str">
        <f t="shared" ref="E182:E193" si="20">F182&amp;G182</f>
        <v>Current climateTB1</v>
      </c>
      <c r="F182" t="s">
        <v>2748</v>
      </c>
      <c r="G182" t="s">
        <v>2765</v>
      </c>
      <c r="H182" s="234">
        <v>6.0354648667628699E-2</v>
      </c>
      <c r="I182" s="234">
        <v>-0.112849162011173</v>
      </c>
      <c r="J182" s="238">
        <v>-0.41789137380191699</v>
      </c>
      <c r="K182" s="235">
        <f>+J182-J183</f>
        <v>-0.23003194888178999</v>
      </c>
      <c r="L182">
        <f>+J183</f>
        <v>-0.187859424920127</v>
      </c>
      <c r="M182" s="236">
        <f>+J184</f>
        <v>0.31054313099041497</v>
      </c>
      <c r="N182">
        <v>-0.46592178770949699</v>
      </c>
      <c r="O182" s="235">
        <f>+N182-N183</f>
        <v>-0.11731843575419099</v>
      </c>
      <c r="P182">
        <f>+N183</f>
        <v>-0.34860335195530601</v>
      </c>
      <c r="Q182" s="236">
        <f>+N184</f>
        <v>0.27569832402234601</v>
      </c>
      <c r="R182" s="235"/>
      <c r="S182">
        <v>82.634271099744197</v>
      </c>
      <c r="T182">
        <v>23.248081841432199</v>
      </c>
      <c r="U182">
        <f>+S182-T182</f>
        <v>59.386189258312001</v>
      </c>
      <c r="V182" s="236">
        <v>0</v>
      </c>
      <c r="W182" s="235"/>
      <c r="X182">
        <v>82.946708463949804</v>
      </c>
      <c r="Y182">
        <v>40.344827586206897</v>
      </c>
      <c r="Z182">
        <f>+X182-Y182</f>
        <v>42.601880877742907</v>
      </c>
      <c r="AA182">
        <v>0</v>
      </c>
      <c r="AB182" s="236"/>
      <c r="AC182" t="s">
        <v>2771</v>
      </c>
      <c r="AD182">
        <f>VLOOKUP($AD$179&amp;AD$181,$E$182:$AA$192,4,FALSE)*$AC$180*$AG$180*C_to_CO2</f>
        <v>12625.588954781248</v>
      </c>
      <c r="AE182">
        <f t="shared" ref="AE182:AI182" si="21">VLOOKUP($AD$179&amp;AE$181,$E$182:$AA$192,4,FALSE)*$AC$180*$AG$180*C_to_CO2</f>
        <v>20883.088954780931</v>
      </c>
      <c r="AF182">
        <f t="shared" si="21"/>
        <v>72024.702186804221</v>
      </c>
      <c r="AG182">
        <f t="shared" si="21"/>
        <v>105771.90289102923</v>
      </c>
      <c r="AH182">
        <f t="shared" si="21"/>
        <v>120401.57301704831</v>
      </c>
      <c r="AI182">
        <f t="shared" si="21"/>
        <v>128079.5993328375</v>
      </c>
      <c r="AK182">
        <f t="shared" ref="AK182:AP182" si="22">VLOOKUP($AK$179&amp;AK$181,$E$182:$AA$193,4,FALSE)*$AC$180*$AG$180*C_to_CO2</f>
        <v>29471.133802816759</v>
      </c>
      <c r="AL182">
        <f t="shared" si="22"/>
        <v>37149.160118605767</v>
      </c>
      <c r="AM182">
        <f t="shared" si="22"/>
        <v>88283.631949591363</v>
      </c>
      <c r="AN182">
        <f t="shared" si="22"/>
        <v>125518.89696071042</v>
      </c>
      <c r="AO182">
        <f t="shared" si="22"/>
        <v>144211.00407709272</v>
      </c>
      <c r="AP182">
        <f t="shared" si="22"/>
        <v>147828.63380281517</v>
      </c>
    </row>
    <row r="183" spans="1:42">
      <c r="E183" t="str">
        <f t="shared" si="20"/>
        <v>A1BTB1</v>
      </c>
      <c r="F183" t="s">
        <v>2749</v>
      </c>
      <c r="G183" t="s">
        <v>2765</v>
      </c>
      <c r="H183" s="234">
        <v>0.14088213491475099</v>
      </c>
      <c r="I183" s="234">
        <v>-5.6983240223463502E-2</v>
      </c>
      <c r="J183">
        <v>-0.187859424920127</v>
      </c>
      <c r="K183" s="235">
        <f>+J200-J201</f>
        <v>-0.2396166134185298</v>
      </c>
      <c r="L183">
        <f>+J201</f>
        <v>-9.6805111821086198E-2</v>
      </c>
      <c r="M183" s="236">
        <f>+J202</f>
        <v>0.32012779552715598</v>
      </c>
      <c r="N183">
        <v>-0.34860335195530601</v>
      </c>
      <c r="O183" s="235">
        <f>+N198-N199</f>
        <v>-0.15083798882681498</v>
      </c>
      <c r="P183">
        <f>+N199</f>
        <v>-0.27318435754189901</v>
      </c>
      <c r="Q183" s="236">
        <f>+N200</f>
        <v>0.27988826815642398</v>
      </c>
      <c r="R183" s="235"/>
      <c r="V183" s="236"/>
      <c r="W183" s="235"/>
      <c r="AB183" s="236"/>
      <c r="AC183" t="s">
        <v>2772</v>
      </c>
      <c r="AD183">
        <f t="shared" ref="AD183:AI183" si="23">(VLOOKUP($AD$179&amp;AD$181,$E$182:$AA$192,COLUMN($K$181)-4,FALSE)+VLOOKUP($AD$179&amp;AD$181,$E$182:$AA$192,COLUMN($L$181)-4,FALSE))*$AC$180*$AG$180*C_to_CO2</f>
        <v>-87418.696485623019</v>
      </c>
      <c r="AE183">
        <f t="shared" si="23"/>
        <v>-82406.156549520776</v>
      </c>
      <c r="AF183">
        <f t="shared" si="23"/>
        <v>-14436.115015974412</v>
      </c>
      <c r="AG183">
        <f t="shared" si="23"/>
        <v>15639.124600638877</v>
      </c>
      <c r="AH183">
        <f t="shared" si="23"/>
        <v>10626.584664536607</v>
      </c>
      <c r="AI183">
        <f t="shared" si="23"/>
        <v>10626.584664536607</v>
      </c>
      <c r="AK183">
        <f t="shared" ref="AK183:AP183" si="24">(VLOOKUP($AK$179&amp;AK$181,$E$182:$AA$193,COLUMN($K$181)-4,FALSE)+VLOOKUP($AK$179&amp;AK$181,$E$182:$AA$193,COLUMN($L$181)-4,FALSE))*$AC$180*$AG$180*C_to_CO2</f>
        <v>-70376.060702875271</v>
      </c>
      <c r="AL183">
        <f t="shared" si="24"/>
        <v>-69373.552715654951</v>
      </c>
      <c r="AM183">
        <f t="shared" si="24"/>
        <v>-4411.0351437700365</v>
      </c>
      <c r="AN183">
        <f t="shared" si="24"/>
        <v>30676.744408945775</v>
      </c>
      <c r="AO183">
        <f t="shared" si="24"/>
        <v>29674.236421725247</v>
      </c>
      <c r="AP183">
        <f t="shared" si="24"/>
        <v>26666.712460063867</v>
      </c>
    </row>
    <row r="184" spans="1:42">
      <c r="E184" t="str">
        <f t="shared" si="20"/>
        <v>Current climateTB2</v>
      </c>
      <c r="F184" t="s">
        <v>2748</v>
      </c>
      <c r="G184" t="s">
        <v>2766</v>
      </c>
      <c r="H184" s="234">
        <v>9.98283328781535E-2</v>
      </c>
      <c r="I184" s="234">
        <v>-6.2569832402234501E-2</v>
      </c>
      <c r="J184">
        <v>0.31054313099041497</v>
      </c>
      <c r="K184" s="235">
        <f>+J185-J186</f>
        <v>-0.20127795527156597</v>
      </c>
      <c r="L184">
        <f>+J186</f>
        <v>-0.192651757188498</v>
      </c>
      <c r="M184" s="236">
        <f>+J187</f>
        <v>0.368051118210862</v>
      </c>
      <c r="N184">
        <v>0.27569832402234601</v>
      </c>
      <c r="O184" s="235">
        <f>+N185-N186</f>
        <v>-0.11731843575418999</v>
      </c>
      <c r="P184">
        <f>+N186</f>
        <v>-0.34022346368715001</v>
      </c>
      <c r="Q184" s="236">
        <f>+N187</f>
        <v>0.342737430167597</v>
      </c>
      <c r="R184" s="235">
        <v>76.419437340153394</v>
      </c>
      <c r="S184">
        <v>84.015345268542205</v>
      </c>
      <c r="T184">
        <v>23.248081841432199</v>
      </c>
      <c r="U184">
        <f>+R184-T184</f>
        <v>53.171355498721198</v>
      </c>
      <c r="V184" s="236">
        <f>+S184-R184</f>
        <v>7.5959079283888116</v>
      </c>
      <c r="W184" s="235">
        <v>73.636363636363598</v>
      </c>
      <c r="X184">
        <v>84.921630094043806</v>
      </c>
      <c r="Y184">
        <v>40.909090909090899</v>
      </c>
      <c r="Z184">
        <f>+W184-Y184</f>
        <v>32.727272727272698</v>
      </c>
      <c r="AA184">
        <f>+X184-W184</f>
        <v>11.285266457680208</v>
      </c>
      <c r="AB184" s="236"/>
      <c r="AC184" t="s">
        <v>2773</v>
      </c>
      <c r="AD184">
        <f t="shared" ref="AD184:AI184" si="25">VLOOKUP($AD$179&amp;AD$181,$E$182:$AA$192,COLUMN($M$181)-4,FALSE)*$AC$180*$AG$180*C_to_CO2+AD183</f>
        <v>-22456.178913738113</v>
      </c>
      <c r="AE184">
        <f t="shared" si="25"/>
        <v>-5413.5431309905543</v>
      </c>
      <c r="AF184">
        <f t="shared" si="25"/>
        <v>52731.920127795442</v>
      </c>
      <c r="AG184">
        <f t="shared" si="25"/>
        <v>82807.159744408913</v>
      </c>
      <c r="AH184">
        <f t="shared" si="25"/>
        <v>103859.82747603832</v>
      </c>
      <c r="AI184">
        <f t="shared" si="25"/>
        <v>113884.90734824278</v>
      </c>
      <c r="AK184">
        <f t="shared" ref="AK184:AP184" si="26">VLOOKUP($AK$179&amp;AK$181,$E$182:$AA$193,COLUMN($M$181)-4,FALSE)*$AC$180*$AG$180*C_to_CO2+AK183</f>
        <v>-3408.5271565495204</v>
      </c>
      <c r="AL184">
        <f t="shared" si="26"/>
        <v>8621.5686900957953</v>
      </c>
      <c r="AM184">
        <f t="shared" si="26"/>
        <v>65764.523961661384</v>
      </c>
      <c r="AN184">
        <f t="shared" si="26"/>
        <v>96842.271565495292</v>
      </c>
      <c r="AO184">
        <f t="shared" si="26"/>
        <v>121904.97124600642</v>
      </c>
      <c r="AP184">
        <f t="shared" si="26"/>
        <v>130927.54313099037</v>
      </c>
    </row>
    <row r="185" spans="1:42">
      <c r="E185" t="str">
        <f t="shared" si="20"/>
        <v>A1BTB2</v>
      </c>
      <c r="F185" t="s">
        <v>2749</v>
      </c>
      <c r="G185" t="s">
        <v>2766</v>
      </c>
      <c r="H185" s="234">
        <v>0.17758573602278199</v>
      </c>
      <c r="I185" s="234">
        <v>-6.70391061452513E-3</v>
      </c>
      <c r="J185" s="238">
        <v>-0.39392971246006397</v>
      </c>
      <c r="K185" s="235">
        <f>+J203-J204</f>
        <v>-0.24440894568690091</v>
      </c>
      <c r="L185">
        <f>+J204</f>
        <v>-8.7220447284345096E-2</v>
      </c>
      <c r="M185" s="236">
        <f>+J205</f>
        <v>0.37284345047923301</v>
      </c>
      <c r="N185">
        <v>-0.45754189944133999</v>
      </c>
      <c r="O185" s="235">
        <f>+N201-N202</f>
        <v>-0.15502793296089401</v>
      </c>
      <c r="P185">
        <f>+N202</f>
        <v>-0.27318435754189901</v>
      </c>
      <c r="Q185" s="236">
        <f>+N203</f>
        <v>0.351117318435754</v>
      </c>
      <c r="R185" s="235"/>
      <c r="V185" s="236"/>
      <c r="W185" s="235"/>
      <c r="AB185" s="236"/>
      <c r="AC185" t="s">
        <v>2774</v>
      </c>
    </row>
    <row r="186" spans="1:42">
      <c r="E186" t="str">
        <f t="shared" si="20"/>
        <v>Current climateTB3</v>
      </c>
      <c r="F186" t="s">
        <v>2748</v>
      </c>
      <c r="G186" t="s">
        <v>2767</v>
      </c>
      <c r="H186" s="234">
        <v>0.344302797393777</v>
      </c>
      <c r="I186" s="234">
        <v>9.1061452513966495E-2</v>
      </c>
      <c r="J186">
        <v>-0.192651757188498</v>
      </c>
      <c r="K186" s="235">
        <f>+J188</f>
        <v>-8.2428115015974399E-2</v>
      </c>
      <c r="L186">
        <f>+J189</f>
        <v>1.34185303514378E-2</v>
      </c>
      <c r="M186" s="236">
        <f>+J190-J189</f>
        <v>0.32108626198083018</v>
      </c>
      <c r="N186">
        <v>-0.34022346368715001</v>
      </c>
      <c r="O186" s="235">
        <f>+N188-N189</f>
        <v>-4.1899441340781995E-2</v>
      </c>
      <c r="P186">
        <f>+N189</f>
        <v>-0.172625698324022</v>
      </c>
      <c r="Q186" s="236">
        <f>+N190</f>
        <v>0.30502793296089398</v>
      </c>
      <c r="R186" s="235">
        <v>67.902813299232704</v>
      </c>
      <c r="S186">
        <v>74.117647058823493</v>
      </c>
      <c r="T186">
        <v>23.248081841432199</v>
      </c>
      <c r="U186">
        <f>+R186-T186</f>
        <v>44.654731457800509</v>
      </c>
      <c r="V186" s="236">
        <f>+S186-R186</f>
        <v>6.214833759590789</v>
      </c>
      <c r="W186" s="235">
        <v>68.840125391849497</v>
      </c>
      <c r="X186">
        <v>77.868338557993695</v>
      </c>
      <c r="Y186">
        <v>39.780564263322802</v>
      </c>
      <c r="Z186">
        <f>+W186-Y186</f>
        <v>29.059561128526695</v>
      </c>
      <c r="AA186">
        <f>+X186-W186</f>
        <v>9.028213166144198</v>
      </c>
      <c r="AB186" s="236"/>
      <c r="AC186" t="s">
        <v>2775</v>
      </c>
      <c r="AD186">
        <f>VLOOKUP($AD$179&amp;AD$181,$E$182:$AA$192,COLUMN($S$181)-4,FALSE)+AD185</f>
        <v>82.634271099744197</v>
      </c>
      <c r="AE186">
        <f t="shared" ref="AE186:AI186" si="27">VLOOKUP($AD$179&amp;AE$181,$E$182:$AA$192,COLUMN($S$181)-4,FALSE)+AE185</f>
        <v>84.015345268542205</v>
      </c>
      <c r="AF186">
        <f t="shared" si="27"/>
        <v>74.117647058823493</v>
      </c>
      <c r="AG186">
        <f t="shared" si="27"/>
        <v>70.434782608695599</v>
      </c>
      <c r="AH186">
        <f t="shared" si="27"/>
        <v>64.910485933503793</v>
      </c>
      <c r="AI186">
        <f t="shared" si="27"/>
        <v>71.585677749360599</v>
      </c>
    </row>
    <row r="187" spans="1:42">
      <c r="E187" t="str">
        <f t="shared" si="20"/>
        <v>A1BTB3</v>
      </c>
      <c r="F187" t="s">
        <v>2749</v>
      </c>
      <c r="G187" t="s">
        <v>2767</v>
      </c>
      <c r="H187" s="234">
        <v>0.42202606219031202</v>
      </c>
      <c r="I187" s="234">
        <v>0.14972067039106099</v>
      </c>
      <c r="J187">
        <v>0.368051118210862</v>
      </c>
      <c r="K187" s="235">
        <f>+J206</f>
        <v>-0.13035143769968</v>
      </c>
      <c r="L187">
        <f>+J207</f>
        <v>0.109265175718849</v>
      </c>
      <c r="M187" s="236">
        <f>+J208-J207</f>
        <v>0.33546325878594296</v>
      </c>
      <c r="N187">
        <v>0.342737430167597</v>
      </c>
      <c r="O187" s="235">
        <f>+N204-N205</f>
        <v>-7.1229050279329201E-2</v>
      </c>
      <c r="P187">
        <f>+N205</f>
        <v>-8.4636871508379799E-2</v>
      </c>
      <c r="Q187" s="236">
        <f>+N206</f>
        <v>0.309217877094972</v>
      </c>
      <c r="R187" s="235"/>
      <c r="V187" s="236"/>
      <c r="W187" s="235"/>
      <c r="AB187" s="236"/>
    </row>
    <row r="188" spans="1:42">
      <c r="E188" t="str">
        <f t="shared" si="20"/>
        <v>Current climateTA4</v>
      </c>
      <c r="F188" t="s">
        <v>2748</v>
      </c>
      <c r="G188" t="s">
        <v>2768</v>
      </c>
      <c r="H188" s="234">
        <v>0.50562599976590294</v>
      </c>
      <c r="I188" s="234">
        <v>0.267039106145251</v>
      </c>
      <c r="J188" s="238">
        <v>-8.2428115015974399E-2</v>
      </c>
      <c r="K188" s="235">
        <f>+J191</f>
        <v>-6.3258785942491999E-2</v>
      </c>
      <c r="L188">
        <f>+J192</f>
        <v>0.13801916932907299</v>
      </c>
      <c r="M188" s="236">
        <f>+J193-J192</f>
        <v>0.32108626198083101</v>
      </c>
      <c r="N188">
        <v>-0.21452513966480399</v>
      </c>
      <c r="O188" s="235">
        <v>0</v>
      </c>
      <c r="P188">
        <f>+N191</f>
        <v>-3.0167597765363E-2</v>
      </c>
      <c r="Q188" s="236">
        <f>+N192</f>
        <v>0.29245810055865901</v>
      </c>
      <c r="R188" s="235">
        <v>64.910485933503793</v>
      </c>
      <c r="S188">
        <v>70.434782608695599</v>
      </c>
      <c r="T188">
        <v>23.248081841432199</v>
      </c>
      <c r="U188">
        <f>+R188-T188</f>
        <v>41.662404092071597</v>
      </c>
      <c r="V188" s="236">
        <f>+S188-R188</f>
        <v>5.5242966751918061</v>
      </c>
      <c r="W188" s="235">
        <v>63.479623824451402</v>
      </c>
      <c r="X188">
        <v>70.532915360501505</v>
      </c>
      <c r="Y188">
        <v>37.523510971786799</v>
      </c>
      <c r="Z188">
        <f>+W188-Y188</f>
        <v>25.956112852664603</v>
      </c>
      <c r="AA188">
        <f>+X188-W188</f>
        <v>7.0532915360501036</v>
      </c>
      <c r="AB188" s="236"/>
      <c r="AD188" s="239" t="s">
        <v>2776</v>
      </c>
      <c r="AF188" t="s">
        <v>2752</v>
      </c>
      <c r="AG188">
        <v>1117</v>
      </c>
      <c r="AK188" t="s">
        <v>2776</v>
      </c>
      <c r="AM188" t="s">
        <v>2752</v>
      </c>
      <c r="AN188">
        <v>1117</v>
      </c>
    </row>
    <row r="189" spans="1:42">
      <c r="E189" t="str">
        <f t="shared" si="20"/>
        <v>A1BTA4</v>
      </c>
      <c r="F189" t="s">
        <v>2749</v>
      </c>
      <c r="G189" t="s">
        <v>2768</v>
      </c>
      <c r="H189" s="234">
        <v>0.60002340915297303</v>
      </c>
      <c r="I189" s="234">
        <v>0.339664804469273</v>
      </c>
      <c r="J189">
        <v>1.34185303514378E-2</v>
      </c>
      <c r="K189" s="235">
        <f>+J209</f>
        <v>-0.106389776357827</v>
      </c>
      <c r="L189">
        <f>+J210</f>
        <v>0.253035143769968</v>
      </c>
      <c r="M189" s="236">
        <f>+J211-J210</f>
        <v>0.31629392971246001</v>
      </c>
      <c r="N189">
        <v>-0.172625698324022</v>
      </c>
      <c r="O189" s="235">
        <f>+N207</f>
        <v>-3.4357541899440999E-2</v>
      </c>
      <c r="P189">
        <f>+N208</f>
        <v>7.4581005586592294E-2</v>
      </c>
      <c r="Q189" s="236">
        <f>+N209-N208</f>
        <v>0.29748603351955272</v>
      </c>
      <c r="R189" s="235"/>
      <c r="V189" s="236"/>
      <c r="W189" s="235"/>
      <c r="AB189" s="236"/>
      <c r="AC189" t="s">
        <v>2628</v>
      </c>
      <c r="AD189">
        <f t="shared" ref="AD189:AI189" si="28">VLOOKUP($AD$179&amp;AD$181,$E$182:$AA$192,5,FALSE)*$AC$180*$AG$188*C_to_CO2</f>
        <v>-27756.76357541895</v>
      </c>
      <c r="AE189">
        <f t="shared" si="28"/>
        <v>-15389.888715083767</v>
      </c>
      <c r="AF189">
        <f t="shared" si="28"/>
        <v>22397.784469273742</v>
      </c>
      <c r="AG189">
        <f t="shared" si="28"/>
        <v>65681.846480446824</v>
      </c>
      <c r="AH189">
        <f t="shared" si="28"/>
        <v>79079.294245810015</v>
      </c>
      <c r="AI189">
        <f t="shared" si="28"/>
        <v>84232.158770949667</v>
      </c>
      <c r="AK189">
        <f t="shared" ref="AK189:AP189" si="29">VLOOKUP($AK$179&amp;AK$181,$E$182:$AA$193,5,FALSE)*$AC$180*$AG$188*C_to_CO2</f>
        <v>-14015.791508379843</v>
      </c>
      <c r="AL189">
        <f t="shared" si="29"/>
        <v>-1648.9166480446902</v>
      </c>
      <c r="AM189">
        <f t="shared" si="29"/>
        <v>36825.805139664684</v>
      </c>
      <c r="AN189">
        <f t="shared" si="29"/>
        <v>83545.110167597581</v>
      </c>
      <c r="AO189">
        <f t="shared" si="29"/>
        <v>88354.450391061444</v>
      </c>
      <c r="AP189">
        <f t="shared" si="29"/>
        <v>96599.033631284721</v>
      </c>
    </row>
    <row r="190" spans="1:42">
      <c r="E190" t="str">
        <f t="shared" si="20"/>
        <v>Current climateTA5</v>
      </c>
      <c r="F190" t="s">
        <v>2748</v>
      </c>
      <c r="G190" t="s">
        <v>2769</v>
      </c>
      <c r="H190" s="234">
        <v>0.57556084429011101</v>
      </c>
      <c r="I190" s="234">
        <v>0.32150837988826803</v>
      </c>
      <c r="J190">
        <v>0.33450479233226799</v>
      </c>
      <c r="K190" s="235">
        <f>+J194</f>
        <v>-7.2843450479233199E-2</v>
      </c>
      <c r="L190">
        <f>+J195</f>
        <v>0.12364217252396099</v>
      </c>
      <c r="M190" s="236">
        <f>+J196-J195</f>
        <v>0.44568690095846702</v>
      </c>
      <c r="N190">
        <v>0.30502793296089398</v>
      </c>
      <c r="O190" s="235">
        <v>0</v>
      </c>
      <c r="P190">
        <f>+N193</f>
        <v>-1.7597765363128199E-2</v>
      </c>
      <c r="Q190" s="236">
        <f>+N194</f>
        <v>0.33854748603351897</v>
      </c>
      <c r="R190" s="235"/>
      <c r="S190">
        <v>64.910485933503793</v>
      </c>
      <c r="T190">
        <v>23.248081841432199</v>
      </c>
      <c r="U190">
        <v>0</v>
      </c>
      <c r="V190" s="236">
        <f>+S190-T190</f>
        <v>41.662404092071597</v>
      </c>
      <c r="W190" s="235"/>
      <c r="X190">
        <v>71.379310344827502</v>
      </c>
      <c r="Y190">
        <v>40.626959247648898</v>
      </c>
      <c r="Z190">
        <v>0</v>
      </c>
      <c r="AA190">
        <f>+X190-Y190</f>
        <v>30.752351097178604</v>
      </c>
      <c r="AB190" s="236"/>
      <c r="AC190" t="s">
        <v>2777</v>
      </c>
      <c r="AD190" s="143">
        <f t="shared" ref="AD190:AI190" si="30">(VLOOKUP($AD$179&amp;AD$181,$E$182:$AA$192,COLUMN($O$181)-4,FALSE)+VLOOKUP($AD$179&amp;AD$181,$E$182:$AA$192,COLUMN($P$181)-4,FALSE))*$AC$180*$AG$188*C_to_CO2</f>
        <v>-114599.70703910608</v>
      </c>
      <c r="AE190">
        <f t="shared" si="30"/>
        <v>-112538.56122905009</v>
      </c>
      <c r="AF190">
        <f t="shared" si="30"/>
        <v>-52765.33273743005</v>
      </c>
      <c r="AG190" s="143">
        <f t="shared" si="30"/>
        <v>-7420.1249162010854</v>
      </c>
      <c r="AH190">
        <f t="shared" si="30"/>
        <v>-4328.4062011172464</v>
      </c>
      <c r="AI190">
        <f t="shared" si="30"/>
        <v>-5358.9791061452015</v>
      </c>
      <c r="AK190">
        <f t="shared" ref="AK190:AP190" si="31">(VLOOKUP($AK$179&amp;AK$181,$E$182:$AA$193,COLUMN($O$181)-4,FALSE)+VLOOKUP($AK$179&amp;AK$181,$E$182:$AA$193,COLUMN($P$181)-4,FALSE))*$AC$180*$AG$188*C_to_CO2</f>
        <v>-104293.97798882655</v>
      </c>
      <c r="AL190">
        <f t="shared" si="31"/>
        <v>-105324.55089385468</v>
      </c>
      <c r="AM190">
        <f t="shared" si="31"/>
        <v>-38337.312067038984</v>
      </c>
      <c r="AN190">
        <f t="shared" si="31"/>
        <v>9893.4998882682703</v>
      </c>
      <c r="AO190">
        <f t="shared" si="31"/>
        <v>12985.218603352034</v>
      </c>
      <c r="AP190">
        <f t="shared" si="31"/>
        <v>14015.791508379965</v>
      </c>
    </row>
    <row r="191" spans="1:42">
      <c r="E191" t="str">
        <f t="shared" si="20"/>
        <v>A1BTA5</v>
      </c>
      <c r="F191" t="s">
        <v>2749</v>
      </c>
      <c r="G191" t="s">
        <v>2769</v>
      </c>
      <c r="H191" s="234">
        <v>0.68937809683585605</v>
      </c>
      <c r="I191" s="234">
        <v>0.35921787709497199</v>
      </c>
      <c r="J191" s="238">
        <v>-6.3258785942491999E-2</v>
      </c>
      <c r="K191" s="235">
        <f>+J212</f>
        <v>-0.120766773162939</v>
      </c>
      <c r="L191">
        <f>+J213</f>
        <v>0.262619808306709</v>
      </c>
      <c r="M191" s="236">
        <f>+J214-J213</f>
        <v>0.44089456869009597</v>
      </c>
      <c r="N191">
        <v>-3.0167597765363E-2</v>
      </c>
      <c r="O191" s="235">
        <f>+N210</f>
        <v>-3.0167597765363E-2</v>
      </c>
      <c r="P191">
        <f>+N211</f>
        <v>8.2960893854748793E-2</v>
      </c>
      <c r="Q191" s="236">
        <f>+N212-N211</f>
        <v>0.35195530726256918</v>
      </c>
      <c r="R191" s="235"/>
      <c r="V191" s="236"/>
      <c r="W191" s="235"/>
      <c r="AB191" s="236"/>
      <c r="AC191" t="s">
        <v>2778</v>
      </c>
      <c r="AD191">
        <f t="shared" ref="AD191:AI191" si="32">VLOOKUP($AD$179&amp;AD$181,$E$182:$AA$192,COLUMN($Q$181)-4,FALSE)*$AC$180*$AG$188*C_to_CO2+AD190</f>
        <v>-46788.009888268192</v>
      </c>
      <c r="AE191">
        <f t="shared" si="32"/>
        <v>-28237.697597765364</v>
      </c>
      <c r="AF191">
        <f t="shared" si="32"/>
        <v>22260.374748603492</v>
      </c>
      <c r="AG191">
        <f t="shared" si="32"/>
        <v>64513.863854748583</v>
      </c>
      <c r="AH191">
        <f t="shared" si="32"/>
        <v>78941.884525139583</v>
      </c>
      <c r="AI191">
        <f t="shared" si="32"/>
        <v>87186.467765363064</v>
      </c>
      <c r="AK191">
        <f t="shared" ref="AK191:AP191" si="33">VLOOKUP($AK$179&amp;AK$181,$E$182:$AA$193,COLUMN($Q$181)-4,FALSE)*$AC$180*$AG$188*C_to_CO2+AK190</f>
        <v>-35451.70793296078</v>
      </c>
      <c r="AL191">
        <f t="shared" si="33"/>
        <v>-18962.541452513949</v>
      </c>
      <c r="AM191">
        <f t="shared" si="33"/>
        <v>37718.968324022448</v>
      </c>
      <c r="AN191">
        <f t="shared" si="33"/>
        <v>83064.176145251418</v>
      </c>
      <c r="AO191">
        <f t="shared" si="33"/>
        <v>99553.342625698249</v>
      </c>
      <c r="AP191">
        <f t="shared" si="33"/>
        <v>105736.78005586576</v>
      </c>
    </row>
    <row r="192" spans="1:42">
      <c r="E192" t="str">
        <f t="shared" si="20"/>
        <v>Current climateTA6</v>
      </c>
      <c r="F192" t="s">
        <v>2748</v>
      </c>
      <c r="G192" t="s">
        <v>2770</v>
      </c>
      <c r="H192" s="234">
        <v>0.61226444539814295</v>
      </c>
      <c r="I192" s="234">
        <v>0.342458100558659</v>
      </c>
      <c r="J192">
        <v>0.13801916932907299</v>
      </c>
      <c r="K192" s="235">
        <f>+J197</f>
        <v>-9.6805111821086198E-2</v>
      </c>
      <c r="L192">
        <f>+J198</f>
        <v>0.14760383386581399</v>
      </c>
      <c r="M192" s="236">
        <f>+J199-J198</f>
        <v>0.493610223642173</v>
      </c>
      <c r="N192">
        <v>0.29245810055865901</v>
      </c>
      <c r="O192" s="235">
        <f>+N195-N196</f>
        <v>-1.256983240223449E-2</v>
      </c>
      <c r="P192">
        <f>+N196</f>
        <v>-9.2178770949720105E-3</v>
      </c>
      <c r="Q192" s="236">
        <f>+N197</f>
        <v>0.376256983240223</v>
      </c>
      <c r="R192" s="235"/>
      <c r="S192">
        <v>71.585677749360599</v>
      </c>
      <c r="T192">
        <v>23.248081841432199</v>
      </c>
      <c r="U192">
        <v>0</v>
      </c>
      <c r="V192" s="236">
        <f>+S192-T192</f>
        <v>48.337595907928403</v>
      </c>
      <c r="W192" s="235"/>
      <c r="X192">
        <v>77.586206896551701</v>
      </c>
      <c r="Y192">
        <v>40.626959247648898</v>
      </c>
      <c r="Z192">
        <v>0</v>
      </c>
      <c r="AA192">
        <f>+X192-Y192</f>
        <v>36.959247648902803</v>
      </c>
      <c r="AB192" s="236"/>
      <c r="AC192" t="s">
        <v>2774</v>
      </c>
    </row>
    <row r="193" spans="5:35">
      <c r="E193" t="str">
        <f t="shared" si="20"/>
        <v>A1BTA6</v>
      </c>
      <c r="F193" t="s">
        <v>2749</v>
      </c>
      <c r="G193" t="s">
        <v>2770</v>
      </c>
      <c r="H193" s="240">
        <v>0.70667160859895395</v>
      </c>
      <c r="I193" s="240">
        <v>0.39273743016759699</v>
      </c>
      <c r="J193">
        <v>0.459105431309904</v>
      </c>
      <c r="K193" s="241">
        <f>+J215</f>
        <v>-0.13035143769968</v>
      </c>
      <c r="L193" s="242">
        <f>+J216</f>
        <v>0.257827476038338</v>
      </c>
      <c r="M193" s="243">
        <f>+J217-J216</f>
        <v>0.49840255591054305</v>
      </c>
      <c r="N193">
        <v>-1.7597765363128199E-2</v>
      </c>
      <c r="O193" s="241">
        <f>+N213</f>
        <v>-3.4357541899440999E-2</v>
      </c>
      <c r="P193" s="242">
        <f>+N214</f>
        <v>9.1340782122905001E-2</v>
      </c>
      <c r="Q193" s="243">
        <f>+N215-N214</f>
        <v>0.37290502793295999</v>
      </c>
      <c r="R193" s="241"/>
      <c r="S193" s="242"/>
      <c r="T193" s="242"/>
      <c r="U193" s="242"/>
      <c r="V193" s="243"/>
      <c r="W193" s="241"/>
      <c r="X193" s="242"/>
      <c r="Y193" s="242"/>
      <c r="Z193" s="242"/>
      <c r="AA193" s="242"/>
      <c r="AB193" s="243"/>
      <c r="AC193" t="s">
        <v>2779</v>
      </c>
      <c r="AD193">
        <f>VLOOKUP($AD$179&amp;AD$181,$E$182:$AA$192,COLUMN($X$181)-4,FALSE)+AD192</f>
        <v>82.946708463949804</v>
      </c>
      <c r="AE193">
        <f t="shared" ref="AE193:AI193" si="34">VLOOKUP($AD$179&amp;AE$181,$E$182:$AA$192,COLUMN($X$181)-4,FALSE)+AE192</f>
        <v>84.921630094043806</v>
      </c>
      <c r="AF193">
        <f t="shared" si="34"/>
        <v>77.868338557993695</v>
      </c>
      <c r="AG193">
        <f t="shared" si="34"/>
        <v>70.532915360501505</v>
      </c>
      <c r="AH193">
        <f t="shared" si="34"/>
        <v>71.379310344827502</v>
      </c>
      <c r="AI193">
        <f t="shared" si="34"/>
        <v>77.586206896551701</v>
      </c>
    </row>
    <row r="194" spans="5:35">
      <c r="J194" s="238">
        <v>-7.2843450479233199E-2</v>
      </c>
      <c r="N194">
        <v>0.33854748603351897</v>
      </c>
    </row>
    <row r="195" spans="5:35">
      <c r="J195">
        <v>0.12364217252396099</v>
      </c>
      <c r="N195">
        <v>-2.1787709497206501E-2</v>
      </c>
    </row>
    <row r="196" spans="5:35">
      <c r="J196">
        <v>0.56932907348242801</v>
      </c>
      <c r="N196">
        <v>-9.2178770949720105E-3</v>
      </c>
    </row>
    <row r="197" spans="5:35">
      <c r="J197" s="238">
        <v>-9.6805111821086198E-2</v>
      </c>
      <c r="N197">
        <v>0.376256983240223</v>
      </c>
    </row>
    <row r="198" spans="5:35">
      <c r="J198">
        <v>0.14760383386581399</v>
      </c>
      <c r="N198">
        <v>-0.424022346368714</v>
      </c>
    </row>
    <row r="199" spans="5:35">
      <c r="J199">
        <v>0.64121405750798699</v>
      </c>
      <c r="N199">
        <v>-0.27318435754189901</v>
      </c>
    </row>
    <row r="200" spans="5:35">
      <c r="J200">
        <v>-0.336421725239616</v>
      </c>
      <c r="N200">
        <v>0.27988826815642398</v>
      </c>
    </row>
    <row r="201" spans="5:35">
      <c r="J201">
        <v>-9.6805111821086198E-2</v>
      </c>
      <c r="N201">
        <v>-0.42821229050279302</v>
      </c>
    </row>
    <row r="202" spans="5:35">
      <c r="J202">
        <v>0.32012779552715598</v>
      </c>
      <c r="N202">
        <v>-0.27318435754189901</v>
      </c>
    </row>
    <row r="203" spans="5:35">
      <c r="J203">
        <v>-0.331629392971246</v>
      </c>
      <c r="N203">
        <v>0.351117318435754</v>
      </c>
    </row>
    <row r="204" spans="5:35">
      <c r="J204">
        <v>-8.7220447284345096E-2</v>
      </c>
      <c r="N204">
        <v>-0.155865921787709</v>
      </c>
    </row>
    <row r="205" spans="5:35">
      <c r="J205">
        <v>0.37284345047923301</v>
      </c>
      <c r="N205">
        <v>-8.4636871508379799E-2</v>
      </c>
    </row>
    <row r="206" spans="5:35">
      <c r="J206">
        <v>-0.13035143769968</v>
      </c>
      <c r="N206">
        <v>0.309217877094972</v>
      </c>
    </row>
    <row r="207" spans="5:35">
      <c r="J207">
        <v>0.109265175718849</v>
      </c>
      <c r="N207">
        <v>-3.4357541899440999E-2</v>
      </c>
    </row>
    <row r="208" spans="5:35">
      <c r="J208">
        <v>0.44472843450479199</v>
      </c>
      <c r="N208">
        <v>7.4581005586592294E-2</v>
      </c>
    </row>
    <row r="209" spans="1:16">
      <c r="J209">
        <v>-0.106389776357827</v>
      </c>
      <c r="N209">
        <v>0.37206703910614503</v>
      </c>
    </row>
    <row r="210" spans="1:16">
      <c r="J210">
        <v>0.253035143769968</v>
      </c>
      <c r="N210">
        <v>-3.0167597765363E-2</v>
      </c>
    </row>
    <row r="211" spans="1:16">
      <c r="J211">
        <v>0.56932907348242801</v>
      </c>
      <c r="N211">
        <v>8.2960893854748793E-2</v>
      </c>
    </row>
    <row r="212" spans="1:16">
      <c r="J212">
        <v>-0.120766773162939</v>
      </c>
      <c r="N212">
        <v>0.43491620111731799</v>
      </c>
    </row>
    <row r="213" spans="1:16">
      <c r="J213">
        <v>0.262619808306709</v>
      </c>
      <c r="N213">
        <v>-3.4357541899440999E-2</v>
      </c>
    </row>
    <row r="214" spans="1:16">
      <c r="J214">
        <v>0.70351437699680497</v>
      </c>
      <c r="N214">
        <v>9.1340782122905001E-2</v>
      </c>
    </row>
    <row r="215" spans="1:16">
      <c r="J215">
        <v>-0.13035143769968</v>
      </c>
      <c r="N215">
        <v>0.46424581005586502</v>
      </c>
    </row>
    <row r="216" spans="1:16">
      <c r="J216">
        <v>0.257827476038338</v>
      </c>
    </row>
    <row r="217" spans="1:16">
      <c r="J217">
        <v>0.75623003194888105</v>
      </c>
    </row>
    <row r="219" spans="1:16">
      <c r="A219" t="s">
        <v>2780</v>
      </c>
    </row>
    <row r="220" spans="1:16">
      <c r="I220" t="s">
        <v>2781</v>
      </c>
    </row>
    <row r="221" spans="1:16">
      <c r="J221" t="s">
        <v>2710</v>
      </c>
      <c r="K221" t="s">
        <v>2621</v>
      </c>
      <c r="L221" t="s">
        <v>2707</v>
      </c>
      <c r="M221" t="s">
        <v>2782</v>
      </c>
      <c r="N221" t="s">
        <v>2783</v>
      </c>
      <c r="O221" t="s">
        <v>2784</v>
      </c>
      <c r="P221" t="s">
        <v>2785</v>
      </c>
    </row>
    <row r="222" spans="1:16">
      <c r="I222" t="s">
        <v>2786</v>
      </c>
      <c r="J222">
        <v>2050</v>
      </c>
      <c r="K222">
        <v>2.93861691668666</v>
      </c>
      <c r="L222">
        <v>3.28547008547008</v>
      </c>
      <c r="M222">
        <v>-1.0446735395189</v>
      </c>
      <c r="N222">
        <v>-3.34102141680395</v>
      </c>
      <c r="O222">
        <f t="shared" ref="O222:O229" si="35">-M222*$M$231-N222*$N$231</f>
        <v>3.6025765836149812</v>
      </c>
    </row>
    <row r="223" spans="1:16">
      <c r="I223" t="s">
        <v>2787</v>
      </c>
      <c r="J223">
        <v>2050</v>
      </c>
      <c r="K223">
        <v>2.93861691668666</v>
      </c>
      <c r="L223">
        <v>6.82735042735042</v>
      </c>
      <c r="M223">
        <v>-6.0721649484536098</v>
      </c>
      <c r="N223">
        <v>0</v>
      </c>
      <c r="O223">
        <f t="shared" si="35"/>
        <v>5.4042268041237129</v>
      </c>
    </row>
    <row r="224" spans="1:16">
      <c r="I224" t="s">
        <v>2788</v>
      </c>
      <c r="J224">
        <v>2050</v>
      </c>
      <c r="K224">
        <v>-4.6286109425494901</v>
      </c>
      <c r="L224">
        <v>-3.3196581196581101</v>
      </c>
      <c r="M224">
        <v>1.0532646048109899</v>
      </c>
      <c r="N224">
        <v>3.3937397034596302</v>
      </c>
      <c r="O224">
        <f t="shared" si="35"/>
        <v>-3.6523972610494857</v>
      </c>
    </row>
    <row r="225" spans="9:18">
      <c r="I225" t="s">
        <v>2789</v>
      </c>
      <c r="J225">
        <v>2050</v>
      </c>
      <c r="K225">
        <v>-4.7403037872266296</v>
      </c>
      <c r="L225">
        <v>7.3059829059828996</v>
      </c>
      <c r="M225">
        <v>-6.5068728522336698</v>
      </c>
      <c r="N225">
        <v>0</v>
      </c>
      <c r="O225">
        <f t="shared" si="35"/>
        <v>5.7911168384879659</v>
      </c>
    </row>
    <row r="226" spans="9:18">
      <c r="I226" t="s">
        <v>1416</v>
      </c>
      <c r="J226">
        <v>2050</v>
      </c>
      <c r="K226">
        <v>-1.4453648692510599</v>
      </c>
      <c r="L226">
        <v>0</v>
      </c>
      <c r="M226">
        <v>0</v>
      </c>
      <c r="N226">
        <v>0</v>
      </c>
      <c r="O226">
        <f t="shared" si="35"/>
        <v>0</v>
      </c>
    </row>
    <row r="227" spans="9:18">
      <c r="I227" t="s">
        <v>1409</v>
      </c>
      <c r="J227">
        <v>2050</v>
      </c>
      <c r="K227">
        <v>-10.1853675975971</v>
      </c>
      <c r="L227">
        <v>3.11794871794871</v>
      </c>
      <c r="M227">
        <v>-4.6924398625429502</v>
      </c>
      <c r="N227">
        <v>3.3937397034596302</v>
      </c>
      <c r="O227">
        <f t="shared" si="35"/>
        <v>1.4612797148955217</v>
      </c>
    </row>
    <row r="228" spans="9:18">
      <c r="I228" t="s">
        <v>2790</v>
      </c>
      <c r="J228">
        <v>2050</v>
      </c>
      <c r="K228">
        <v>0</v>
      </c>
      <c r="L228">
        <v>0.70085470085469903</v>
      </c>
      <c r="M228">
        <v>-5.5807560137456997</v>
      </c>
      <c r="N228">
        <v>0</v>
      </c>
      <c r="O228">
        <f t="shared" si="35"/>
        <v>4.9668728522336725</v>
      </c>
    </row>
    <row r="229" spans="9:18">
      <c r="I229" t="s">
        <v>1399</v>
      </c>
      <c r="J229">
        <v>2050</v>
      </c>
      <c r="K229">
        <v>0</v>
      </c>
      <c r="L229">
        <v>-4.3247863247863201</v>
      </c>
      <c r="M229">
        <v>0</v>
      </c>
      <c r="N229">
        <v>-4.9785831960461202</v>
      </c>
      <c r="O229">
        <f t="shared" si="35"/>
        <v>3.9828665568368962</v>
      </c>
    </row>
    <row r="231" spans="9:18">
      <c r="I231" t="s">
        <v>2791</v>
      </c>
      <c r="M231">
        <v>0.89</v>
      </c>
      <c r="N231">
        <v>0.8</v>
      </c>
    </row>
    <row r="233" spans="9:18">
      <c r="R233" t="s">
        <v>2792</v>
      </c>
    </row>
    <row r="234" spans="9:18">
      <c r="I234" t="s">
        <v>2793</v>
      </c>
      <c r="P234" t="s">
        <v>2794</v>
      </c>
      <c r="Q234" t="s">
        <v>2795</v>
      </c>
    </row>
    <row r="235" spans="9:18">
      <c r="I235" t="s">
        <v>1111</v>
      </c>
      <c r="J235" t="s">
        <v>2786</v>
      </c>
      <c r="K235">
        <f>K222</f>
        <v>2.93861691668666</v>
      </c>
      <c r="L235">
        <f t="shared" ref="L235:O235" si="36">L222</f>
        <v>3.28547008547008</v>
      </c>
      <c r="M235">
        <f t="shared" si="36"/>
        <v>-1.0446735395189</v>
      </c>
      <c r="N235">
        <f t="shared" si="36"/>
        <v>-3.34102141680395</v>
      </c>
      <c r="O235">
        <f t="shared" si="36"/>
        <v>3.6025765836149812</v>
      </c>
      <c r="P235" s="152">
        <v>-66.252507530000003</v>
      </c>
      <c r="Q235" s="152">
        <f t="shared" ref="Q235:Q242" si="37">P235+SUM(K235:N235)</f>
        <v>-64.414115484166118</v>
      </c>
      <c r="R235">
        <f t="shared" ref="R235:R242" si="38">SUM(K235:L235)</f>
        <v>6.2240870021567396</v>
      </c>
    </row>
    <row r="236" spans="9:18">
      <c r="I236" t="s">
        <v>2787</v>
      </c>
      <c r="J236" t="s">
        <v>2786</v>
      </c>
      <c r="K236">
        <f>K222-K223</f>
        <v>0</v>
      </c>
      <c r="L236">
        <f t="shared" ref="L236:O236" si="39">L222-L223</f>
        <v>-3.54188034188034</v>
      </c>
      <c r="M236">
        <f t="shared" si="39"/>
        <v>5.0274914089347096</v>
      </c>
      <c r="N236">
        <f t="shared" si="39"/>
        <v>-3.34102141680395</v>
      </c>
      <c r="O236">
        <f t="shared" si="39"/>
        <v>-1.8016502205087317</v>
      </c>
      <c r="P236" s="152">
        <f>P235+SUM(K223:N223)</f>
        <v>-62.558705134416535</v>
      </c>
      <c r="Q236" s="152">
        <f t="shared" si="37"/>
        <v>-64.414115484166118</v>
      </c>
      <c r="R236">
        <f t="shared" si="38"/>
        <v>-3.54188034188034</v>
      </c>
    </row>
    <row r="237" spans="9:18">
      <c r="I237" t="s">
        <v>2788</v>
      </c>
      <c r="J237" t="s">
        <v>1111</v>
      </c>
      <c r="K237">
        <f>-K224</f>
        <v>4.6286109425494901</v>
      </c>
      <c r="L237">
        <f t="shared" ref="L237:O237" si="40">-L224</f>
        <v>3.3196581196581101</v>
      </c>
      <c r="M237">
        <f t="shared" si="40"/>
        <v>-1.0532646048109899</v>
      </c>
      <c r="N237">
        <f t="shared" si="40"/>
        <v>-3.3937397034596302</v>
      </c>
      <c r="O237">
        <f t="shared" si="40"/>
        <v>3.6523972610494857</v>
      </c>
      <c r="P237" s="152">
        <f>Q237+SUM(K237:N237)</f>
        <v>-62.751242776063023</v>
      </c>
      <c r="Q237" s="152">
        <v>-66.252507530000003</v>
      </c>
      <c r="R237">
        <f t="shared" si="38"/>
        <v>7.9482690622076007</v>
      </c>
    </row>
    <row r="238" spans="9:18">
      <c r="I238" t="s">
        <v>1111</v>
      </c>
      <c r="J238" t="s">
        <v>2789</v>
      </c>
      <c r="K238">
        <f t="shared" ref="K238:O240" si="41">K225</f>
        <v>-4.7403037872266296</v>
      </c>
      <c r="L238">
        <f t="shared" si="41"/>
        <v>7.3059829059828996</v>
      </c>
      <c r="M238">
        <f t="shared" si="41"/>
        <v>-6.5068728522336698</v>
      </c>
      <c r="N238">
        <f t="shared" si="41"/>
        <v>0</v>
      </c>
      <c r="O238">
        <f t="shared" si="41"/>
        <v>5.7911168384879659</v>
      </c>
      <c r="P238" s="152">
        <v>-66.252507530000003</v>
      </c>
      <c r="Q238" s="152">
        <f t="shared" si="37"/>
        <v>-70.193701263477408</v>
      </c>
      <c r="R238">
        <f t="shared" si="38"/>
        <v>2.56567911875627</v>
      </c>
    </row>
    <row r="239" spans="9:18">
      <c r="I239" t="s">
        <v>1111</v>
      </c>
      <c r="J239" t="s">
        <v>1416</v>
      </c>
      <c r="K239">
        <f t="shared" si="41"/>
        <v>-1.4453648692510599</v>
      </c>
      <c r="L239">
        <f t="shared" si="41"/>
        <v>0</v>
      </c>
      <c r="M239">
        <f t="shared" si="41"/>
        <v>0</v>
      </c>
      <c r="N239">
        <f t="shared" si="41"/>
        <v>0</v>
      </c>
      <c r="O239">
        <f t="shared" si="41"/>
        <v>0</v>
      </c>
      <c r="P239" s="152">
        <v>-66.252507530000003</v>
      </c>
      <c r="Q239" s="152">
        <f t="shared" si="37"/>
        <v>-67.697872399251068</v>
      </c>
      <c r="R239">
        <f t="shared" si="38"/>
        <v>-1.4453648692510599</v>
      </c>
    </row>
    <row r="240" spans="9:18">
      <c r="I240" t="s">
        <v>1111</v>
      </c>
      <c r="J240" t="s">
        <v>1409</v>
      </c>
      <c r="K240">
        <f t="shared" si="41"/>
        <v>-10.1853675975971</v>
      </c>
      <c r="L240">
        <f t="shared" si="41"/>
        <v>3.11794871794871</v>
      </c>
      <c r="M240">
        <f t="shared" si="41"/>
        <v>-4.6924398625429502</v>
      </c>
      <c r="N240">
        <f t="shared" si="41"/>
        <v>3.3937397034596302</v>
      </c>
      <c r="O240">
        <f t="shared" si="41"/>
        <v>1.4612797148955217</v>
      </c>
      <c r="P240" s="152">
        <v>-66.252507530000003</v>
      </c>
      <c r="Q240" s="152">
        <f t="shared" si="37"/>
        <v>-74.618626568731713</v>
      </c>
      <c r="R240">
        <f t="shared" si="38"/>
        <v>-7.0674188796483897</v>
      </c>
    </row>
    <row r="241" spans="1:18">
      <c r="I241" t="s">
        <v>2790</v>
      </c>
      <c r="J241" t="s">
        <v>1111</v>
      </c>
      <c r="K241">
        <f>-K228</f>
        <v>0</v>
      </c>
      <c r="L241">
        <f t="shared" ref="L241:O241" si="42">-L228</f>
        <v>-0.70085470085469903</v>
      </c>
      <c r="M241">
        <f t="shared" si="42"/>
        <v>5.5807560137456997</v>
      </c>
      <c r="N241">
        <f t="shared" si="42"/>
        <v>0</v>
      </c>
      <c r="O241">
        <f t="shared" si="42"/>
        <v>-4.9668728522336725</v>
      </c>
      <c r="P241" s="152">
        <f>Q241+SUM(K241:N241)</f>
        <v>-61.372606217109002</v>
      </c>
      <c r="Q241" s="152">
        <v>-66.252507530000003</v>
      </c>
      <c r="R241">
        <f t="shared" si="38"/>
        <v>-0.70085470085469903</v>
      </c>
    </row>
    <row r="242" spans="1:18">
      <c r="I242" t="s">
        <v>1111</v>
      </c>
      <c r="J242" t="s">
        <v>1399</v>
      </c>
      <c r="K242">
        <f t="shared" ref="K242:O242" si="43">K229</f>
        <v>0</v>
      </c>
      <c r="L242">
        <f t="shared" si="43"/>
        <v>-4.3247863247863201</v>
      </c>
      <c r="M242">
        <f t="shared" si="43"/>
        <v>0</v>
      </c>
      <c r="N242">
        <f t="shared" si="43"/>
        <v>-4.9785831960461202</v>
      </c>
      <c r="O242">
        <f t="shared" si="43"/>
        <v>3.9828665568368962</v>
      </c>
      <c r="P242" s="152">
        <v>-66.252507530000003</v>
      </c>
      <c r="Q242" s="152">
        <f t="shared" si="37"/>
        <v>-75.555877050832436</v>
      </c>
      <c r="R242">
        <f t="shared" si="38"/>
        <v>-4.3247863247863201</v>
      </c>
    </row>
    <row r="246" spans="1:18">
      <c r="A246" t="s">
        <v>2796</v>
      </c>
      <c r="J246" t="s">
        <v>1442</v>
      </c>
      <c r="K246" t="s">
        <v>2797</v>
      </c>
      <c r="L246" t="s">
        <v>2798</v>
      </c>
      <c r="M246" t="s">
        <v>2799</v>
      </c>
      <c r="O246" t="s">
        <v>2800</v>
      </c>
      <c r="P246" t="s">
        <v>2624</v>
      </c>
      <c r="Q246" t="s">
        <v>2801</v>
      </c>
    </row>
    <row r="247" spans="1:18">
      <c r="J247">
        <v>1200</v>
      </c>
      <c r="K247">
        <v>0</v>
      </c>
      <c r="L247">
        <v>0</v>
      </c>
      <c r="M247">
        <f t="shared" ref="M247:M252" si="44">K247+L247*10^-3*t_to_m3</f>
        <v>0</v>
      </c>
      <c r="O247">
        <v>2.0588235294117601</v>
      </c>
      <c r="P247">
        <f t="shared" ref="P247:P252" si="45">Q247-O247</f>
        <v>0</v>
      </c>
      <c r="Q247">
        <v>2.0588235294117601</v>
      </c>
    </row>
    <row r="248" spans="1:18">
      <c r="J248">
        <v>600</v>
      </c>
      <c r="K248">
        <v>1.66</v>
      </c>
      <c r="L248">
        <v>76.150556841093902</v>
      </c>
      <c r="M248">
        <f t="shared" si="44"/>
        <v>1.8154092996757019</v>
      </c>
      <c r="O248">
        <v>1.98823529411764</v>
      </c>
      <c r="P248">
        <f t="shared" si="45"/>
        <v>4.7058823529409821E-2</v>
      </c>
      <c r="Q248">
        <v>2.0352941176470498</v>
      </c>
    </row>
    <row r="249" spans="1:18">
      <c r="J249">
        <v>300</v>
      </c>
      <c r="K249">
        <v>4.7300000000000004</v>
      </c>
      <c r="L249">
        <v>149.13665949471499</v>
      </c>
      <c r="M249">
        <f t="shared" si="44"/>
        <v>5.0343605295810514</v>
      </c>
      <c r="O249">
        <v>1.5941176470588201</v>
      </c>
      <c r="P249">
        <f t="shared" si="45"/>
        <v>8.2352941176469852E-2</v>
      </c>
      <c r="Q249">
        <v>1.6764705882352899</v>
      </c>
    </row>
    <row r="250" spans="1:18">
      <c r="J250">
        <v>150</v>
      </c>
      <c r="K250">
        <v>5.21</v>
      </c>
      <c r="L250">
        <v>156.09006887779199</v>
      </c>
      <c r="M250">
        <f t="shared" si="44"/>
        <v>5.5285511609750859</v>
      </c>
      <c r="O250">
        <v>1.51176470588235</v>
      </c>
      <c r="P250">
        <f t="shared" si="45"/>
        <v>7.6470588235290071E-2</v>
      </c>
      <c r="Q250">
        <v>1.5882352941176401</v>
      </c>
    </row>
    <row r="251" spans="1:18">
      <c r="J251">
        <v>75</v>
      </c>
      <c r="K251">
        <v>5.28</v>
      </c>
      <c r="L251">
        <v>155.73079473335201</v>
      </c>
      <c r="M251">
        <f t="shared" si="44"/>
        <v>5.5978179484354129</v>
      </c>
      <c r="O251">
        <v>1.48823529411764</v>
      </c>
      <c r="P251">
        <f t="shared" si="45"/>
        <v>8.2352941176470074E-2</v>
      </c>
      <c r="Q251">
        <v>1.5705882352941101</v>
      </c>
    </row>
    <row r="252" spans="1:18">
      <c r="J252">
        <v>0</v>
      </c>
      <c r="K252">
        <v>5.3</v>
      </c>
      <c r="L252">
        <v>154.986535677072</v>
      </c>
      <c r="M252">
        <f t="shared" si="44"/>
        <v>5.6162990524021872</v>
      </c>
      <c r="O252">
        <v>1.47058823529411</v>
      </c>
      <c r="P252">
        <f t="shared" si="45"/>
        <v>7.6470588235300063E-2</v>
      </c>
      <c r="Q252">
        <v>1.54705882352941</v>
      </c>
    </row>
    <row r="273" spans="1:36">
      <c r="J273" t="s">
        <v>2802</v>
      </c>
    </row>
    <row r="274" spans="1:36">
      <c r="A274" t="s">
        <v>2803</v>
      </c>
      <c r="C274" t="s">
        <v>2804</v>
      </c>
      <c r="I274" t="s">
        <v>2805</v>
      </c>
      <c r="J274" t="s">
        <v>326</v>
      </c>
      <c r="K274" t="s">
        <v>327</v>
      </c>
      <c r="L274" t="s">
        <v>291</v>
      </c>
      <c r="M274" t="s">
        <v>276</v>
      </c>
      <c r="N274" t="s">
        <v>320</v>
      </c>
      <c r="O274" t="s">
        <v>328</v>
      </c>
      <c r="P274" t="s">
        <v>293</v>
      </c>
      <c r="Q274" t="s">
        <v>275</v>
      </c>
      <c r="R274" t="s">
        <v>2806</v>
      </c>
      <c r="S274" t="s">
        <v>2807</v>
      </c>
      <c r="T274" t="s">
        <v>2808</v>
      </c>
      <c r="U274" t="s">
        <v>2809</v>
      </c>
      <c r="V274" t="s">
        <v>2810</v>
      </c>
      <c r="W274" t="s">
        <v>2811</v>
      </c>
      <c r="X274" t="s">
        <v>2812</v>
      </c>
      <c r="Y274" t="s">
        <v>2813</v>
      </c>
      <c r="Z274" t="s">
        <v>2814</v>
      </c>
      <c r="AA274" t="s">
        <v>2815</v>
      </c>
      <c r="AB274" t="s">
        <v>2816</v>
      </c>
      <c r="AC274" t="s">
        <v>2817</v>
      </c>
      <c r="AD274" t="s">
        <v>302</v>
      </c>
      <c r="AE274" t="s">
        <v>305</v>
      </c>
      <c r="AF274" t="s">
        <v>303</v>
      </c>
      <c r="AG274" t="s">
        <v>284</v>
      </c>
      <c r="AH274" t="s">
        <v>312</v>
      </c>
      <c r="AI274" t="s">
        <v>283</v>
      </c>
    </row>
    <row r="275" spans="1:36">
      <c r="I275">
        <v>0</v>
      </c>
      <c r="J275">
        <v>812.03931203931199</v>
      </c>
      <c r="K275">
        <v>590.90124106098494</v>
      </c>
      <c r="L275">
        <v>458.23095823095798</v>
      </c>
      <c r="M275">
        <v>369.77886977886902</v>
      </c>
      <c r="N275">
        <v>812.03931203931199</v>
      </c>
      <c r="O275">
        <v>590.90909090909099</v>
      </c>
      <c r="P275">
        <v>453.316953316953</v>
      </c>
      <c r="Q275">
        <v>355.036855036855</v>
      </c>
      <c r="R275">
        <v>813.13131313131305</v>
      </c>
      <c r="S275">
        <v>585.85858585858603</v>
      </c>
      <c r="T275">
        <v>464.64646464646501</v>
      </c>
      <c r="U275">
        <v>459.59595959595902</v>
      </c>
      <c r="V275">
        <v>454.54545454545399</v>
      </c>
      <c r="W275">
        <v>358.58585858585798</v>
      </c>
      <c r="X275">
        <v>0</v>
      </c>
      <c r="Y275">
        <v>0</v>
      </c>
      <c r="Z275">
        <v>0</v>
      </c>
      <c r="AA275">
        <v>0</v>
      </c>
      <c r="AB275">
        <v>0</v>
      </c>
      <c r="AC275">
        <v>0</v>
      </c>
      <c r="AD275">
        <v>0</v>
      </c>
      <c r="AE275">
        <v>0</v>
      </c>
      <c r="AF275">
        <v>0</v>
      </c>
      <c r="AG275">
        <v>0</v>
      </c>
      <c r="AH275">
        <v>0</v>
      </c>
      <c r="AI275">
        <v>0</v>
      </c>
    </row>
    <row r="276" spans="1:36">
      <c r="I276">
        <v>25</v>
      </c>
      <c r="J276">
        <v>850.73906319912703</v>
      </c>
      <c r="K276">
        <v>580.46879292885603</v>
      </c>
      <c r="L276">
        <v>447.79066025072399</v>
      </c>
      <c r="M276">
        <v>437.96265042271398</v>
      </c>
      <c r="N276">
        <v>733.41523341523305</v>
      </c>
      <c r="O276">
        <v>541.769041769041</v>
      </c>
      <c r="P276">
        <v>404.17690417690397</v>
      </c>
      <c r="Q276">
        <v>315.72481572481502</v>
      </c>
      <c r="R276">
        <v>808.08080808080797</v>
      </c>
      <c r="S276">
        <v>555.55555555555497</v>
      </c>
      <c r="T276">
        <v>444.44444444444503</v>
      </c>
      <c r="U276">
        <v>454.54545454545399</v>
      </c>
      <c r="V276">
        <v>398.98989898989902</v>
      </c>
      <c r="W276">
        <v>358.58585858585798</v>
      </c>
      <c r="X276">
        <v>48.223350253806899</v>
      </c>
      <c r="Y276">
        <v>12.690355329949099</v>
      </c>
      <c r="Z276">
        <v>0</v>
      </c>
      <c r="AA276">
        <v>-58.375634517766599</v>
      </c>
      <c r="AB276">
        <v>-83.756345177664997</v>
      </c>
      <c r="AC276">
        <v>-215.73604060913701</v>
      </c>
      <c r="AD276">
        <v>-28.151381008790899</v>
      </c>
      <c r="AE276">
        <v>-30.296153126753399</v>
      </c>
      <c r="AF276">
        <v>-30.296153126753399</v>
      </c>
      <c r="AG276">
        <v>-45.3095579524906</v>
      </c>
      <c r="AH276">
        <v>-73.191595486002697</v>
      </c>
      <c r="AI276">
        <v>-90.349772429702398</v>
      </c>
    </row>
    <row r="277" spans="1:36">
      <c r="I277">
        <v>50</v>
      </c>
      <c r="J277">
        <v>928.75085367098097</v>
      </c>
      <c r="K277">
        <v>599.50467458454602</v>
      </c>
      <c r="L277">
        <v>456.99853207840403</v>
      </c>
      <c r="M277">
        <v>653.55872863859997</v>
      </c>
      <c r="N277">
        <v>689.18918918918905</v>
      </c>
      <c r="O277">
        <v>492.62899262899202</v>
      </c>
      <c r="P277">
        <v>359.95085995085901</v>
      </c>
      <c r="Q277">
        <v>428.74692874692801</v>
      </c>
      <c r="R277">
        <v>813.13131313131305</v>
      </c>
      <c r="S277">
        <v>570.70707070706999</v>
      </c>
      <c r="T277">
        <v>616.16161616161605</v>
      </c>
      <c r="U277">
        <v>510.10101010100999</v>
      </c>
      <c r="V277">
        <v>353.53535353535398</v>
      </c>
      <c r="W277">
        <v>454.54545454545399</v>
      </c>
      <c r="X277">
        <v>159.89847715735999</v>
      </c>
      <c r="Y277">
        <v>78.680203045685104</v>
      </c>
      <c r="Z277">
        <v>-2.5380710659899202</v>
      </c>
      <c r="AA277">
        <v>-73.604060913705695</v>
      </c>
      <c r="AB277">
        <v>-170.05076142131901</v>
      </c>
      <c r="AC277">
        <v>-256.34517766497402</v>
      </c>
      <c r="AD277">
        <v>-69.171394725356805</v>
      </c>
      <c r="AE277">
        <v>-77.750483197206606</v>
      </c>
      <c r="AF277">
        <v>-84.184799551094102</v>
      </c>
      <c r="AG277">
        <v>-101.339651266703</v>
      </c>
      <c r="AH277">
        <v>-167.82758692354</v>
      </c>
      <c r="AI277">
        <v>-184.98576386724</v>
      </c>
    </row>
    <row r="278" spans="1:36">
      <c r="I278">
        <v>75</v>
      </c>
      <c r="J278">
        <v>992.01277955271496</v>
      </c>
      <c r="K278">
        <v>618.54840608834195</v>
      </c>
      <c r="L278">
        <v>466.21425375418897</v>
      </c>
      <c r="M278">
        <v>820.02260756254304</v>
      </c>
      <c r="N278">
        <v>635.13513513513499</v>
      </c>
      <c r="O278">
        <v>438.57493857493802</v>
      </c>
      <c r="P278">
        <v>310.81081081080998</v>
      </c>
      <c r="Q278">
        <v>497.542997542997</v>
      </c>
      <c r="R278">
        <v>818.18181818181802</v>
      </c>
      <c r="S278">
        <v>590.90909090909099</v>
      </c>
      <c r="T278">
        <v>702.02020202020196</v>
      </c>
      <c r="U278">
        <v>570.70707070706999</v>
      </c>
      <c r="V278">
        <v>358.58585858585798</v>
      </c>
      <c r="W278">
        <v>535.35353535353499</v>
      </c>
      <c r="X278">
        <v>266.49746192893298</v>
      </c>
      <c r="Y278">
        <v>149.746192893401</v>
      </c>
      <c r="Z278">
        <v>53.2994923857866</v>
      </c>
      <c r="AA278">
        <v>-68.527918781726299</v>
      </c>
      <c r="AB278">
        <v>-205.58375634517699</v>
      </c>
      <c r="AC278">
        <v>-230.96446700507599</v>
      </c>
      <c r="AD278">
        <v>-110.188083213832</v>
      </c>
      <c r="AE278">
        <v>-120.911943803645</v>
      </c>
      <c r="AF278">
        <v>-133.78057651142001</v>
      </c>
      <c r="AG278">
        <v>-146.64920921919401</v>
      </c>
      <c r="AH278">
        <v>-262.46357836107802</v>
      </c>
      <c r="AI278">
        <v>-277.48030841490498</v>
      </c>
    </row>
    <row r="279" spans="1:36">
      <c r="I279">
        <v>100</v>
      </c>
      <c r="J279">
        <v>1045.45454545454</v>
      </c>
      <c r="K279">
        <v>642.50614250614206</v>
      </c>
      <c r="L279">
        <v>475.429975429975</v>
      </c>
      <c r="M279">
        <v>917.69826753852306</v>
      </c>
      <c r="N279">
        <v>585.99508599508601</v>
      </c>
      <c r="O279">
        <v>389.43488943488899</v>
      </c>
      <c r="P279">
        <v>256.75675675675598</v>
      </c>
      <c r="Q279">
        <v>502.45700245700198</v>
      </c>
      <c r="R279">
        <v>838.383838383838</v>
      </c>
      <c r="S279">
        <v>621.21212121212102</v>
      </c>
      <c r="T279">
        <v>767.67676767676801</v>
      </c>
      <c r="U279">
        <v>641.414141414141</v>
      </c>
      <c r="V279">
        <v>348.48484848484799</v>
      </c>
      <c r="W279">
        <v>560.60606060606096</v>
      </c>
      <c r="X279">
        <v>388.32487309644603</v>
      </c>
      <c r="Y279">
        <v>236.04060913705499</v>
      </c>
      <c r="Z279">
        <v>93.9086294416242</v>
      </c>
      <c r="AA279">
        <v>-43.147208121827497</v>
      </c>
      <c r="AB279">
        <v>-225.888324873096</v>
      </c>
      <c r="AC279">
        <v>-185.27918781725899</v>
      </c>
      <c r="AD279">
        <v>-153.34954382027101</v>
      </c>
      <c r="AE279">
        <v>-166.218176528046</v>
      </c>
      <c r="AF279">
        <v>-179.08680923582</v>
      </c>
      <c r="AG279">
        <v>-194.10021406155801</v>
      </c>
      <c r="AH279">
        <v>-352.81335079078002</v>
      </c>
      <c r="AI279">
        <v>-369.97152773447999</v>
      </c>
    </row>
    <row r="280" spans="1:36">
      <c r="I280">
        <v>125</v>
      </c>
      <c r="J280">
        <v>1103.8024664222701</v>
      </c>
      <c r="K280">
        <v>661.54987400993696</v>
      </c>
      <c r="L280">
        <v>484.64569710576097</v>
      </c>
      <c r="M280">
        <v>1000.61621307627</v>
      </c>
      <c r="N280">
        <v>551.59705159705095</v>
      </c>
      <c r="O280">
        <v>335.38083538083498</v>
      </c>
      <c r="P280">
        <v>202.702702702702</v>
      </c>
      <c r="Q280">
        <v>487.71498771498699</v>
      </c>
      <c r="R280">
        <v>833.33333333333303</v>
      </c>
      <c r="S280">
        <v>641.414141414141</v>
      </c>
      <c r="T280">
        <v>823.23232323232298</v>
      </c>
      <c r="U280">
        <v>707.07070707070704</v>
      </c>
      <c r="V280">
        <v>328.28282828282801</v>
      </c>
      <c r="W280">
        <v>580.80808080808094</v>
      </c>
      <c r="X280">
        <v>500</v>
      </c>
      <c r="Y280">
        <v>307.10659898477098</v>
      </c>
      <c r="Z280">
        <v>124.36548223350199</v>
      </c>
      <c r="AA280">
        <v>-48.223350253807403</v>
      </c>
      <c r="AB280">
        <v>-225.888324873096</v>
      </c>
      <c r="AC280">
        <v>-144.67005076142101</v>
      </c>
      <c r="AD280">
        <v>-194.36955753683699</v>
      </c>
      <c r="AE280">
        <v>-209.38296236257401</v>
      </c>
      <c r="AF280">
        <v>-224.399692416401</v>
      </c>
      <c r="AG280">
        <v>-239.409772014049</v>
      </c>
      <c r="AH280">
        <v>-447.45266745640799</v>
      </c>
      <c r="AI280">
        <v>-462.46607228214498</v>
      </c>
    </row>
    <row r="281" spans="1:36">
      <c r="I281">
        <v>150</v>
      </c>
      <c r="J281">
        <v>1162.1582372380999</v>
      </c>
      <c r="K281">
        <v>675.67175075162299</v>
      </c>
      <c r="L281">
        <v>493.85356893344101</v>
      </c>
      <c r="M281">
        <v>1068.79214387201</v>
      </c>
      <c r="N281">
        <v>517.19901719901702</v>
      </c>
      <c r="O281">
        <v>286.24078624078601</v>
      </c>
      <c r="P281">
        <v>148.64864864864799</v>
      </c>
      <c r="Q281">
        <v>472.972972972972</v>
      </c>
      <c r="R281">
        <v>848.48484848484804</v>
      </c>
      <c r="S281">
        <v>676.76767676767702</v>
      </c>
      <c r="T281">
        <v>868.68686868686905</v>
      </c>
      <c r="U281">
        <v>772.72727272727298</v>
      </c>
      <c r="V281">
        <v>338.383838383838</v>
      </c>
      <c r="W281">
        <v>601.01010101010104</v>
      </c>
      <c r="X281">
        <v>616.751269035532</v>
      </c>
      <c r="Y281">
        <v>393.40101522842599</v>
      </c>
      <c r="Z281">
        <v>185.27918781725799</v>
      </c>
      <c r="AA281">
        <v>-22.842639593908601</v>
      </c>
      <c r="AB281">
        <v>-225.888324873096</v>
      </c>
      <c r="AC281">
        <v>-109.137055837563</v>
      </c>
      <c r="AD281">
        <v>-235.38957125340301</v>
      </c>
      <c r="AE281">
        <v>-252.54774819710201</v>
      </c>
      <c r="AF281">
        <v>-273.99879460481702</v>
      </c>
      <c r="AG281">
        <v>-286.86742731259199</v>
      </c>
      <c r="AH281">
        <v>-539.94721200407298</v>
      </c>
      <c r="AI281">
        <v>-554.9639420579</v>
      </c>
    </row>
    <row r="282" spans="1:36">
      <c r="I282">
        <v>175</v>
      </c>
      <c r="J282">
        <v>1220.51400805394</v>
      </c>
      <c r="K282">
        <v>694.71548225541801</v>
      </c>
      <c r="L282">
        <v>503.06929060922602</v>
      </c>
      <c r="M282">
        <v>1136.97592451586</v>
      </c>
      <c r="N282">
        <v>477.88697788697698</v>
      </c>
      <c r="O282">
        <v>237.10073710073701</v>
      </c>
      <c r="P282">
        <v>99.508599508599204</v>
      </c>
      <c r="Q282">
        <v>453.316953316953</v>
      </c>
      <c r="R282">
        <v>853.53535353535403</v>
      </c>
      <c r="S282">
        <v>707.07070707070704</v>
      </c>
      <c r="T282">
        <v>919.19191919191906</v>
      </c>
      <c r="U282">
        <v>843.43434343434296</v>
      </c>
      <c r="V282">
        <v>318.18181818181802</v>
      </c>
      <c r="W282">
        <v>606.06060606060601</v>
      </c>
      <c r="X282">
        <v>733.50253807106503</v>
      </c>
      <c r="Y282">
        <v>474.61928934010098</v>
      </c>
      <c r="Z282">
        <v>220.812182741116</v>
      </c>
      <c r="AA282">
        <v>-12.690355329949099</v>
      </c>
      <c r="AB282">
        <v>-225.888324873096</v>
      </c>
      <c r="AC282">
        <v>-63.451776649746002</v>
      </c>
      <c r="AD282">
        <v>-276.40958496996899</v>
      </c>
      <c r="AE282">
        <v>-295.709208803541</v>
      </c>
      <c r="AF282">
        <v>-319.30502732921798</v>
      </c>
      <c r="AG282">
        <v>-332.17033480890302</v>
      </c>
      <c r="AH282">
        <v>-634.58652866969999</v>
      </c>
      <c r="AI282">
        <v>-647.45516137747495</v>
      </c>
    </row>
    <row r="283" spans="1:36">
      <c r="I283">
        <v>200</v>
      </c>
      <c r="J283">
        <v>1273.96362380387</v>
      </c>
      <c r="K283">
        <v>718.66536882511298</v>
      </c>
      <c r="L283">
        <v>507.378857219113</v>
      </c>
      <c r="M283">
        <v>1200.2457002456999</v>
      </c>
      <c r="N283">
        <v>448.40294840294803</v>
      </c>
      <c r="O283">
        <v>187.96068796068701</v>
      </c>
      <c r="P283">
        <v>50.368550368550302</v>
      </c>
      <c r="Q283">
        <v>438.57493857493802</v>
      </c>
      <c r="R283">
        <v>858.585858585859</v>
      </c>
      <c r="S283">
        <v>732.32323232323199</v>
      </c>
      <c r="T283">
        <v>954.54545454545496</v>
      </c>
      <c r="U283">
        <v>904.04040404040404</v>
      </c>
      <c r="V283">
        <v>323.23232323232298</v>
      </c>
      <c r="W283">
        <v>621.21212121212102</v>
      </c>
      <c r="X283">
        <v>855.32994923857802</v>
      </c>
      <c r="Y283">
        <v>545.68527918781695</v>
      </c>
      <c r="Z283">
        <v>276.64974619289302</v>
      </c>
      <c r="AA283">
        <v>-2.5380710659899202</v>
      </c>
      <c r="AB283">
        <v>-225.888324873096</v>
      </c>
      <c r="AC283">
        <v>-22.842639593908601</v>
      </c>
      <c r="AD283">
        <v>-319.57104557640702</v>
      </c>
      <c r="AE283">
        <v>-338.87399463806901</v>
      </c>
      <c r="AF283">
        <v>-364.60793482552901</v>
      </c>
      <c r="AG283">
        <v>-377.47656753330398</v>
      </c>
      <c r="AH283">
        <v>-727.08107321736497</v>
      </c>
      <c r="AI283">
        <v>-737.801608579088</v>
      </c>
    </row>
    <row r="285" spans="1:36">
      <c r="I285" t="s">
        <v>2805</v>
      </c>
      <c r="J285" t="s">
        <v>2818</v>
      </c>
      <c r="K285" t="s">
        <v>2819</v>
      </c>
      <c r="L285" t="s">
        <v>2820</v>
      </c>
      <c r="M285" t="s">
        <v>2821</v>
      </c>
      <c r="N285" t="s">
        <v>2822</v>
      </c>
      <c r="O285" t="s">
        <v>2823</v>
      </c>
      <c r="P285" t="s">
        <v>2824</v>
      </c>
      <c r="Q285" t="s">
        <v>2825</v>
      </c>
      <c r="R285" t="s">
        <v>2826</v>
      </c>
      <c r="S285" t="s">
        <v>2827</v>
      </c>
      <c r="T285" t="s">
        <v>2828</v>
      </c>
      <c r="U285" t="s">
        <v>2829</v>
      </c>
      <c r="W285" t="s">
        <v>2821</v>
      </c>
      <c r="X285" t="s">
        <v>2822</v>
      </c>
      <c r="Y285" t="s">
        <v>2830</v>
      </c>
      <c r="Z285" t="s">
        <v>2831</v>
      </c>
      <c r="AA285" t="s">
        <v>2825</v>
      </c>
      <c r="AB285" t="s">
        <v>2826</v>
      </c>
      <c r="AC285" t="s">
        <v>2827</v>
      </c>
      <c r="AD285" t="s">
        <v>2828</v>
      </c>
      <c r="AE285" t="s">
        <v>2829</v>
      </c>
      <c r="AG285" t="s">
        <v>2825</v>
      </c>
      <c r="AH285" t="s">
        <v>2826</v>
      </c>
    </row>
    <row r="286" spans="1:36">
      <c r="I286">
        <v>50</v>
      </c>
      <c r="J286" t="s">
        <v>291</v>
      </c>
      <c r="K286" s="2" t="s">
        <v>276</v>
      </c>
      <c r="M286">
        <v>0</v>
      </c>
      <c r="N286">
        <v>264.61872586084911</v>
      </c>
      <c r="O286">
        <v>0</v>
      </c>
      <c r="P286">
        <v>145.3587976415094</v>
      </c>
      <c r="Q286">
        <v>-456.78692783823215</v>
      </c>
      <c r="R286">
        <v>-654.85817268246092</v>
      </c>
      <c r="S286">
        <v>1</v>
      </c>
      <c r="T286">
        <v>1</v>
      </c>
      <c r="U286" t="s">
        <v>2832</v>
      </c>
      <c r="W286">
        <v>0</v>
      </c>
      <c r="X286" t="e">
        <f t="shared" ref="X286:X349" ca="1" si="46">SUM(INDIRECT("'[2022 - Aryapratama &amp; Pauliuk - STE - AppD.xlsx]"&amp;$K286&amp;"'!D2:D"&amp;$I286+1))</f>
        <v>#REF!</v>
      </c>
      <c r="Y286">
        <v>0</v>
      </c>
      <c r="Z286" t="e">
        <f t="shared" ref="Z286:Z349" ca="1" si="47">SUM(INDIRECT("'[2022 - Aryapratama &amp; Pauliuk - STE - AppD.xlsx]"&amp;$K286&amp;"'!H2:H"&amp;$I286+1))</f>
        <v>#REF!</v>
      </c>
      <c r="AA286" s="152" t="e">
        <f t="shared" ref="AA286:AA291" ca="1" si="48">INDIRECT($AE286&amp;$I286+2&amp;"C"&amp;MATCH(RIGHT(J286,$AC286+3)&amp;" (t-CO2eq)",INDIRECT($AE286&amp;$AD286,FALSE),0),FALSE)</f>
        <v>#REF!</v>
      </c>
      <c r="AB286" s="152" t="e">
        <f t="shared" ref="AB286:AB291" ca="1" si="49">INDIRECT($AE286&amp;$I286+2&amp;"C"&amp;MATCH(RIGHT(K286,$AC286)&amp;" (t-CO2eq)",INDIRECT($AE286&amp;$AD286,FALSE),0),FALSE)</f>
        <v>#REF!</v>
      </c>
      <c r="AC286">
        <v>1</v>
      </c>
      <c r="AD286">
        <v>1</v>
      </c>
      <c r="AE286" t="str">
        <f t="shared" ref="AE286:AE291" si="50">"'[2022 - Aryapratama &amp; Pauliuk - STE - AppF.xlsx]GWPdyn_"&amp;LEFT(K286,5)&amp;" - Fig.4(f)'!L"</f>
        <v>'[2022 - Aryapratama &amp; Pauliuk - STE - AppF.xlsx]GWPdyn_PF_PO - Fig.4(f)'!L</v>
      </c>
      <c r="AG286">
        <v>456.78692783823215</v>
      </c>
      <c r="AH286">
        <v>654.85817268246092</v>
      </c>
      <c r="AI286">
        <f t="shared" ref="AI286:AJ349" si="51">-AG286</f>
        <v>-456.78692783823215</v>
      </c>
      <c r="AJ286">
        <f>-AH286</f>
        <v>-654.85817268246092</v>
      </c>
    </row>
    <row r="287" spans="1:36">
      <c r="I287">
        <v>100</v>
      </c>
      <c r="J287" t="s">
        <v>291</v>
      </c>
      <c r="K287" s="2" t="s">
        <v>276</v>
      </c>
      <c r="M287">
        <v>0</v>
      </c>
      <c r="N287">
        <v>341.92410211084911</v>
      </c>
      <c r="O287">
        <v>0</v>
      </c>
      <c r="P287">
        <v>164.91714764150942</v>
      </c>
      <c r="Q287">
        <v>-476.23317385650159</v>
      </c>
      <c r="R287">
        <v>-922.29525217943831</v>
      </c>
      <c r="S287">
        <v>1</v>
      </c>
      <c r="T287">
        <v>1</v>
      </c>
      <c r="U287" t="s">
        <v>2832</v>
      </c>
      <c r="W287">
        <v>0</v>
      </c>
      <c r="X287" t="e">
        <f t="shared" ca="1" si="46"/>
        <v>#REF!</v>
      </c>
      <c r="Y287">
        <v>0</v>
      </c>
      <c r="Z287" t="e">
        <f t="shared" ca="1" si="47"/>
        <v>#REF!</v>
      </c>
      <c r="AA287" s="152" t="e">
        <f t="shared" ca="1" si="48"/>
        <v>#REF!</v>
      </c>
      <c r="AB287" s="152" t="e">
        <f t="shared" ca="1" si="49"/>
        <v>#REF!</v>
      </c>
      <c r="AC287">
        <v>1</v>
      </c>
      <c r="AD287">
        <v>1</v>
      </c>
      <c r="AE287" t="str">
        <f t="shared" si="50"/>
        <v>'[2022 - Aryapratama &amp; Pauliuk - STE - AppF.xlsx]GWPdyn_PF_PO - Fig.4(f)'!L</v>
      </c>
      <c r="AG287">
        <v>476.23317385650159</v>
      </c>
      <c r="AH287">
        <v>922.29525217943831</v>
      </c>
      <c r="AI287">
        <f t="shared" si="51"/>
        <v>-476.23317385650159</v>
      </c>
      <c r="AJ287">
        <f t="shared" si="51"/>
        <v>-922.29525217943831</v>
      </c>
    </row>
    <row r="288" spans="1:36">
      <c r="I288">
        <v>200</v>
      </c>
      <c r="J288" t="s">
        <v>291</v>
      </c>
      <c r="K288" s="2" t="s">
        <v>276</v>
      </c>
      <c r="M288">
        <v>0</v>
      </c>
      <c r="N288">
        <v>496.5348546108491</v>
      </c>
      <c r="O288">
        <v>0</v>
      </c>
      <c r="P288">
        <v>204.03384764150945</v>
      </c>
      <c r="Q288">
        <v>-514.73759172333291</v>
      </c>
      <c r="R288">
        <v>-1206.3347109067272</v>
      </c>
      <c r="S288">
        <v>1</v>
      </c>
      <c r="T288">
        <v>1</v>
      </c>
      <c r="U288" t="s">
        <v>2832</v>
      </c>
      <c r="W288">
        <v>0</v>
      </c>
      <c r="X288" t="e">
        <f t="shared" ca="1" si="46"/>
        <v>#REF!</v>
      </c>
      <c r="Y288">
        <v>0</v>
      </c>
      <c r="Z288" t="e">
        <f t="shared" ca="1" si="47"/>
        <v>#REF!</v>
      </c>
      <c r="AA288" s="152" t="e">
        <f t="shared" ca="1" si="48"/>
        <v>#REF!</v>
      </c>
      <c r="AB288" s="152" t="e">
        <f t="shared" ca="1" si="49"/>
        <v>#REF!</v>
      </c>
      <c r="AC288">
        <v>1</v>
      </c>
      <c r="AD288">
        <v>1</v>
      </c>
      <c r="AE288" t="str">
        <f t="shared" si="50"/>
        <v>'[2022 - Aryapratama &amp; Pauliuk - STE - AppF.xlsx]GWPdyn_PF_PO - Fig.4(f)'!L</v>
      </c>
      <c r="AG288">
        <v>514.73759172333291</v>
      </c>
      <c r="AH288">
        <v>1206.3347109067272</v>
      </c>
      <c r="AI288">
        <f t="shared" si="51"/>
        <v>-514.73759172333291</v>
      </c>
      <c r="AJ288">
        <f t="shared" si="51"/>
        <v>-1206.3347109067272</v>
      </c>
    </row>
    <row r="289" spans="9:36">
      <c r="I289">
        <v>50</v>
      </c>
      <c r="J289" t="s">
        <v>327</v>
      </c>
      <c r="K289" s="2" t="s">
        <v>326</v>
      </c>
      <c r="M289">
        <v>0</v>
      </c>
      <c r="N289">
        <v>263.98307948584909</v>
      </c>
      <c r="O289">
        <v>0</v>
      </c>
      <c r="P289">
        <v>196.41951018867931</v>
      </c>
      <c r="Q289">
        <v>-601.12201901040225</v>
      </c>
      <c r="R289">
        <v>-930.07336759388943</v>
      </c>
      <c r="S289">
        <v>1</v>
      </c>
      <c r="T289">
        <v>1</v>
      </c>
      <c r="U289" t="s">
        <v>2832</v>
      </c>
      <c r="W289">
        <v>0</v>
      </c>
      <c r="X289" t="e">
        <f t="shared" ca="1" si="46"/>
        <v>#REF!</v>
      </c>
      <c r="Y289">
        <v>0</v>
      </c>
      <c r="Z289" t="e">
        <f t="shared" ca="1" si="47"/>
        <v>#REF!</v>
      </c>
      <c r="AA289" s="152" t="e">
        <f t="shared" ca="1" si="48"/>
        <v>#REF!</v>
      </c>
      <c r="AB289" s="152" t="e">
        <f t="shared" ca="1" si="49"/>
        <v>#REF!</v>
      </c>
      <c r="AC289">
        <v>1</v>
      </c>
      <c r="AD289">
        <v>1</v>
      </c>
      <c r="AE289" t="str">
        <f t="shared" si="50"/>
        <v>'[2022 - Aryapratama &amp; Pauliuk - STE - AppF.xlsx]GWPdyn_PF_PO - Fig.4(f)'!L</v>
      </c>
      <c r="AG289">
        <v>601.12201901040225</v>
      </c>
      <c r="AH289">
        <v>930.07336759388943</v>
      </c>
      <c r="AI289">
        <f t="shared" si="51"/>
        <v>-601.12201901040225</v>
      </c>
      <c r="AJ289">
        <f t="shared" si="51"/>
        <v>-930.07336759388943</v>
      </c>
    </row>
    <row r="290" spans="9:36">
      <c r="I290">
        <v>100</v>
      </c>
      <c r="J290" t="s">
        <v>327</v>
      </c>
      <c r="K290" s="2" t="s">
        <v>326</v>
      </c>
      <c r="M290">
        <v>0</v>
      </c>
      <c r="N290">
        <v>340.01716298584904</v>
      </c>
      <c r="O290">
        <v>0</v>
      </c>
      <c r="P290">
        <v>227.71287018867932</v>
      </c>
      <c r="Q290">
        <v>-640.9681065668517</v>
      </c>
      <c r="R290">
        <v>-1049.6296143500765</v>
      </c>
      <c r="S290">
        <v>1</v>
      </c>
      <c r="T290">
        <v>1</v>
      </c>
      <c r="U290" t="s">
        <v>2832</v>
      </c>
      <c r="W290">
        <v>0</v>
      </c>
      <c r="X290" t="e">
        <f t="shared" ca="1" si="46"/>
        <v>#REF!</v>
      </c>
      <c r="Y290">
        <v>0</v>
      </c>
      <c r="Z290" t="e">
        <f t="shared" ca="1" si="47"/>
        <v>#REF!</v>
      </c>
      <c r="AA290" s="152" t="e">
        <f t="shared" ca="1" si="48"/>
        <v>#REF!</v>
      </c>
      <c r="AB290" s="152" t="e">
        <f t="shared" ca="1" si="49"/>
        <v>#REF!</v>
      </c>
      <c r="AC290">
        <v>1</v>
      </c>
      <c r="AD290">
        <v>1</v>
      </c>
      <c r="AE290" t="str">
        <f t="shared" si="50"/>
        <v>'[2022 - Aryapratama &amp; Pauliuk - STE - AppF.xlsx]GWPdyn_PF_PO - Fig.4(f)'!L</v>
      </c>
      <c r="AG290">
        <v>640.9681065668517</v>
      </c>
      <c r="AH290">
        <v>1049.6296143500765</v>
      </c>
      <c r="AI290">
        <f t="shared" si="51"/>
        <v>-640.9681065668517</v>
      </c>
      <c r="AJ290">
        <f t="shared" si="51"/>
        <v>-1049.6296143500765</v>
      </c>
    </row>
    <row r="291" spans="9:36">
      <c r="I291">
        <v>200</v>
      </c>
      <c r="J291" t="s">
        <v>327</v>
      </c>
      <c r="K291" s="2" t="s">
        <v>326</v>
      </c>
      <c r="M291">
        <v>0</v>
      </c>
      <c r="N291">
        <v>492.08532998584894</v>
      </c>
      <c r="O291">
        <v>0</v>
      </c>
      <c r="P291">
        <v>290.2995901886793</v>
      </c>
      <c r="Q291">
        <v>-719.97535000585367</v>
      </c>
      <c r="R291">
        <v>-1282.169207878547</v>
      </c>
      <c r="S291">
        <v>1</v>
      </c>
      <c r="T291">
        <v>1</v>
      </c>
      <c r="U291" t="s">
        <v>2832</v>
      </c>
      <c r="W291">
        <v>0</v>
      </c>
      <c r="X291" t="e">
        <f t="shared" ca="1" si="46"/>
        <v>#REF!</v>
      </c>
      <c r="Y291">
        <v>0</v>
      </c>
      <c r="Z291" t="e">
        <f t="shared" ca="1" si="47"/>
        <v>#REF!</v>
      </c>
      <c r="AA291" s="152" t="e">
        <f t="shared" ca="1" si="48"/>
        <v>#REF!</v>
      </c>
      <c r="AB291" s="152" t="e">
        <f t="shared" ca="1" si="49"/>
        <v>#REF!</v>
      </c>
      <c r="AC291">
        <v>1</v>
      </c>
      <c r="AD291">
        <v>1</v>
      </c>
      <c r="AE291" t="str">
        <f t="shared" si="50"/>
        <v>'[2022 - Aryapratama &amp; Pauliuk - STE - AppF.xlsx]GWPdyn_PF_PO - Fig.4(f)'!L</v>
      </c>
      <c r="AG291">
        <v>719.97535000585367</v>
      </c>
      <c r="AH291">
        <v>1282.169207878547</v>
      </c>
      <c r="AI291">
        <f t="shared" si="51"/>
        <v>-719.97535000585367</v>
      </c>
      <c r="AJ291">
        <f t="shared" si="51"/>
        <v>-1282.169207878547</v>
      </c>
    </row>
    <row r="292" spans="9:36">
      <c r="I292">
        <v>50</v>
      </c>
      <c r="J292" t="s">
        <v>293</v>
      </c>
      <c r="K292" s="2" t="s">
        <v>275</v>
      </c>
      <c r="M292">
        <v>0</v>
      </c>
      <c r="N292">
        <v>225.96603773584911</v>
      </c>
      <c r="O292">
        <v>0</v>
      </c>
      <c r="P292">
        <v>135.57962264150939</v>
      </c>
      <c r="Q292">
        <v>-358.5631578083391</v>
      </c>
      <c r="R292">
        <v>-430.22235574765915</v>
      </c>
      <c r="S292">
        <v>1</v>
      </c>
      <c r="T292">
        <v>1</v>
      </c>
      <c r="U292" t="s">
        <v>2833</v>
      </c>
      <c r="W292">
        <v>0</v>
      </c>
      <c r="X292" t="e">
        <f t="shared" ca="1" si="46"/>
        <v>#REF!</v>
      </c>
      <c r="Y292">
        <v>0</v>
      </c>
      <c r="Z292" t="e">
        <f t="shared" ca="1" si="47"/>
        <v>#REF!</v>
      </c>
      <c r="AA292" s="152" t="e">
        <f t="shared" ref="AA292:AA333" ca="1" si="52">INDIRECT($AE292&amp;$I292+2&amp;"C"&amp;MATCH(RIGHT(J292,$AC292+3)&amp;" (t-CO2-eq)",INDIRECT($AE292&amp;$AD292,FALSE),0),FALSE)</f>
        <v>#REF!</v>
      </c>
      <c r="AB292" s="152" t="e">
        <f t="shared" ref="AB292:AB333" ca="1" si="53">INDIRECT($AE292&amp;$I292+2&amp;"C"&amp;MATCH(RIGHT(K292,$AC292)&amp;" (t-CO2-eq)",INDIRECT($AE292&amp;$AD292,FALSE),0),FALSE)</f>
        <v>#REF!</v>
      </c>
      <c r="AC292">
        <v>1</v>
      </c>
      <c r="AD292">
        <v>1</v>
      </c>
      <c r="AE292" t="str">
        <f t="shared" ref="AE292:AE297" si="54">"'[2022 - Aryapratama &amp; Pauliuk - STE - AppF.xlsx]GWPdyn_"&amp;LEFT(K292,5)&amp;" - Fig.4(g)'!L"</f>
        <v>'[2022 - Aryapratama &amp; Pauliuk - STE - AppF.xlsx]GWPdyn_PF_SF - Fig.4(g)'!L</v>
      </c>
      <c r="AG292">
        <v>358.5631578083391</v>
      </c>
      <c r="AH292">
        <v>430.22235574765915</v>
      </c>
      <c r="AI292">
        <f t="shared" si="51"/>
        <v>-358.5631578083391</v>
      </c>
      <c r="AJ292">
        <f t="shared" si="51"/>
        <v>-430.22235574765915</v>
      </c>
    </row>
    <row r="293" spans="9:36">
      <c r="I293">
        <v>100</v>
      </c>
      <c r="J293" t="s">
        <v>293</v>
      </c>
      <c r="K293" s="2" t="s">
        <v>275</v>
      </c>
      <c r="M293">
        <v>0</v>
      </c>
      <c r="N293">
        <v>225.96603773584911</v>
      </c>
      <c r="O293">
        <v>0</v>
      </c>
      <c r="P293">
        <v>135.57962264150939</v>
      </c>
      <c r="Q293">
        <v>-256.36341951965699</v>
      </c>
      <c r="R293">
        <v>-502.68675849347369</v>
      </c>
      <c r="S293">
        <v>1</v>
      </c>
      <c r="T293">
        <v>1</v>
      </c>
      <c r="U293" t="s">
        <v>2833</v>
      </c>
      <c r="W293">
        <v>0</v>
      </c>
      <c r="X293" t="e">
        <f t="shared" ca="1" si="46"/>
        <v>#REF!</v>
      </c>
      <c r="Y293">
        <v>0</v>
      </c>
      <c r="Z293" t="e">
        <f t="shared" ca="1" si="47"/>
        <v>#REF!</v>
      </c>
      <c r="AA293" s="152" t="e">
        <f t="shared" ca="1" si="52"/>
        <v>#REF!</v>
      </c>
      <c r="AB293" s="152" t="e">
        <f t="shared" ca="1" si="53"/>
        <v>#REF!</v>
      </c>
      <c r="AC293">
        <v>1</v>
      </c>
      <c r="AD293">
        <v>1</v>
      </c>
      <c r="AE293" t="str">
        <f t="shared" si="54"/>
        <v>'[2022 - Aryapratama &amp; Pauliuk - STE - AppF.xlsx]GWPdyn_PF_SF - Fig.4(g)'!L</v>
      </c>
      <c r="AG293">
        <v>256.36341951965699</v>
      </c>
      <c r="AH293">
        <v>502.68675849347369</v>
      </c>
      <c r="AI293">
        <f t="shared" si="51"/>
        <v>-256.36341951965699</v>
      </c>
      <c r="AJ293">
        <f t="shared" si="51"/>
        <v>-502.68675849347369</v>
      </c>
    </row>
    <row r="294" spans="9:36">
      <c r="I294">
        <v>200</v>
      </c>
      <c r="J294" t="s">
        <v>293</v>
      </c>
      <c r="K294" s="2" t="s">
        <v>275</v>
      </c>
      <c r="M294">
        <v>0</v>
      </c>
      <c r="N294">
        <v>225.96603773584911</v>
      </c>
      <c r="O294">
        <v>0</v>
      </c>
      <c r="P294">
        <v>135.57962264150939</v>
      </c>
      <c r="Q294">
        <v>-51.111049251716672</v>
      </c>
      <c r="R294">
        <v>-435.66826611219864</v>
      </c>
      <c r="S294">
        <v>1</v>
      </c>
      <c r="T294">
        <v>1</v>
      </c>
      <c r="U294" t="s">
        <v>2833</v>
      </c>
      <c r="W294">
        <v>0</v>
      </c>
      <c r="X294" t="e">
        <f t="shared" ca="1" si="46"/>
        <v>#REF!</v>
      </c>
      <c r="Y294">
        <v>0</v>
      </c>
      <c r="Z294" t="e">
        <f t="shared" ca="1" si="47"/>
        <v>#REF!</v>
      </c>
      <c r="AA294" s="152" t="e">
        <f t="shared" ca="1" si="52"/>
        <v>#REF!</v>
      </c>
      <c r="AB294" s="152" t="e">
        <f t="shared" ca="1" si="53"/>
        <v>#REF!</v>
      </c>
      <c r="AC294">
        <v>1</v>
      </c>
      <c r="AD294">
        <v>1</v>
      </c>
      <c r="AE294" t="str">
        <f t="shared" si="54"/>
        <v>'[2022 - Aryapratama &amp; Pauliuk - STE - AppF.xlsx]GWPdyn_PF_SF - Fig.4(g)'!L</v>
      </c>
      <c r="AG294">
        <v>51.111049251716672</v>
      </c>
      <c r="AH294">
        <v>435.66826611219864</v>
      </c>
      <c r="AI294">
        <f t="shared" si="51"/>
        <v>-51.111049251716672</v>
      </c>
      <c r="AJ294">
        <f t="shared" si="51"/>
        <v>-435.66826611219864</v>
      </c>
    </row>
    <row r="295" spans="9:36">
      <c r="I295">
        <v>50</v>
      </c>
      <c r="J295" t="s">
        <v>328</v>
      </c>
      <c r="K295" s="2" t="s">
        <v>320</v>
      </c>
      <c r="M295">
        <v>0</v>
      </c>
      <c r="N295">
        <v>225.96603773584911</v>
      </c>
      <c r="O295">
        <v>0</v>
      </c>
      <c r="P295">
        <v>180.77283018867931</v>
      </c>
      <c r="Q295">
        <v>-492.14170694588267</v>
      </c>
      <c r="R295">
        <v>-683.46368424028469</v>
      </c>
      <c r="S295">
        <v>1</v>
      </c>
      <c r="T295">
        <v>1</v>
      </c>
      <c r="U295" t="s">
        <v>2833</v>
      </c>
      <c r="W295">
        <v>0</v>
      </c>
      <c r="X295" t="e">
        <f t="shared" ca="1" si="46"/>
        <v>#REF!</v>
      </c>
      <c r="Y295">
        <v>0</v>
      </c>
      <c r="Z295" t="e">
        <f t="shared" ca="1" si="47"/>
        <v>#REF!</v>
      </c>
      <c r="AA295" s="152" t="e">
        <f t="shared" ca="1" si="52"/>
        <v>#REF!</v>
      </c>
      <c r="AB295" s="152" t="e">
        <f t="shared" ca="1" si="53"/>
        <v>#REF!</v>
      </c>
      <c r="AC295">
        <v>1</v>
      </c>
      <c r="AD295">
        <v>1</v>
      </c>
      <c r="AE295" t="str">
        <f t="shared" si="54"/>
        <v>'[2022 - Aryapratama &amp; Pauliuk - STE - AppF.xlsx]GWPdyn_PF_SF - Fig.4(g)'!L</v>
      </c>
      <c r="AG295">
        <v>492.14170694588267</v>
      </c>
      <c r="AH295">
        <v>683.46368424028469</v>
      </c>
      <c r="AI295">
        <f t="shared" si="51"/>
        <v>-492.14170694588267</v>
      </c>
      <c r="AJ295">
        <f t="shared" si="51"/>
        <v>-683.46368424028469</v>
      </c>
    </row>
    <row r="296" spans="9:36">
      <c r="I296">
        <v>100</v>
      </c>
      <c r="J296" t="s">
        <v>328</v>
      </c>
      <c r="K296" s="2" t="s">
        <v>320</v>
      </c>
      <c r="M296">
        <v>0</v>
      </c>
      <c r="N296">
        <v>225.96603773584911</v>
      </c>
      <c r="O296">
        <v>0</v>
      </c>
      <c r="P296">
        <v>180.77283018867931</v>
      </c>
      <c r="Q296">
        <v>-389.94196865720068</v>
      </c>
      <c r="R296">
        <v>-588.42624598329485</v>
      </c>
      <c r="S296">
        <v>1</v>
      </c>
      <c r="T296">
        <v>1</v>
      </c>
      <c r="U296" t="s">
        <v>2833</v>
      </c>
      <c r="W296">
        <v>0</v>
      </c>
      <c r="X296" t="e">
        <f t="shared" ca="1" si="46"/>
        <v>#REF!</v>
      </c>
      <c r="Y296">
        <v>0</v>
      </c>
      <c r="Z296" t="e">
        <f t="shared" ca="1" si="47"/>
        <v>#REF!</v>
      </c>
      <c r="AA296" s="152" t="e">
        <f t="shared" ca="1" si="52"/>
        <v>#REF!</v>
      </c>
      <c r="AB296" s="152" t="e">
        <f t="shared" ca="1" si="53"/>
        <v>#REF!</v>
      </c>
      <c r="AC296">
        <v>1</v>
      </c>
      <c r="AD296">
        <v>1</v>
      </c>
      <c r="AE296" t="str">
        <f t="shared" si="54"/>
        <v>'[2022 - Aryapratama &amp; Pauliuk - STE - AppF.xlsx]GWPdyn_PF_SF - Fig.4(g)'!L</v>
      </c>
      <c r="AG296">
        <v>389.94196865720068</v>
      </c>
      <c r="AH296">
        <v>588.42624598329485</v>
      </c>
      <c r="AI296">
        <f t="shared" si="51"/>
        <v>-389.94196865720068</v>
      </c>
      <c r="AJ296">
        <f t="shared" si="51"/>
        <v>-588.42624598329485</v>
      </c>
    </row>
    <row r="297" spans="9:36">
      <c r="I297">
        <v>200</v>
      </c>
      <c r="J297" t="s">
        <v>328</v>
      </c>
      <c r="K297" s="2" t="s">
        <v>320</v>
      </c>
      <c r="M297">
        <v>0</v>
      </c>
      <c r="N297">
        <v>225.96603773584911</v>
      </c>
      <c r="O297">
        <v>0</v>
      </c>
      <c r="P297">
        <v>180.77283018867931</v>
      </c>
      <c r="Q297">
        <v>-184.68959838926031</v>
      </c>
      <c r="R297">
        <v>-448.98121307248744</v>
      </c>
      <c r="S297">
        <v>1</v>
      </c>
      <c r="T297">
        <v>1</v>
      </c>
      <c r="U297" t="s">
        <v>2833</v>
      </c>
      <c r="W297">
        <v>0</v>
      </c>
      <c r="X297" t="e">
        <f t="shared" ca="1" si="46"/>
        <v>#REF!</v>
      </c>
      <c r="Y297">
        <v>0</v>
      </c>
      <c r="Z297" t="e">
        <f t="shared" ca="1" si="47"/>
        <v>#REF!</v>
      </c>
      <c r="AA297" s="152" t="e">
        <f t="shared" ca="1" si="52"/>
        <v>#REF!</v>
      </c>
      <c r="AB297" s="152" t="e">
        <f t="shared" ca="1" si="53"/>
        <v>#REF!</v>
      </c>
      <c r="AC297">
        <v>1</v>
      </c>
      <c r="AD297">
        <v>1</v>
      </c>
      <c r="AE297" t="str">
        <f t="shared" si="54"/>
        <v>'[2022 - Aryapratama &amp; Pauliuk - STE - AppF.xlsx]GWPdyn_PF_SF - Fig.4(g)'!L</v>
      </c>
      <c r="AG297">
        <v>184.68959838926031</v>
      </c>
      <c r="AH297">
        <v>448.98121307248744</v>
      </c>
      <c r="AI297">
        <f t="shared" si="51"/>
        <v>-184.68959838926031</v>
      </c>
      <c r="AJ297">
        <f t="shared" si="51"/>
        <v>-448.98121307248744</v>
      </c>
    </row>
    <row r="298" spans="9:36">
      <c r="I298">
        <v>50</v>
      </c>
      <c r="J298" t="s">
        <v>2834</v>
      </c>
      <c r="K298" s="2" t="s">
        <v>2835</v>
      </c>
      <c r="M298">
        <v>0</v>
      </c>
      <c r="N298">
        <v>590.46886193540468</v>
      </c>
      <c r="O298">
        <v>0</v>
      </c>
      <c r="P298">
        <v>265.71098787093206</v>
      </c>
      <c r="Q298">
        <v>-559.28752781846788</v>
      </c>
      <c r="R298">
        <v>-870.70033536556764</v>
      </c>
      <c r="S298">
        <v>7</v>
      </c>
      <c r="T298">
        <v>2</v>
      </c>
      <c r="U298" t="s">
        <v>2836</v>
      </c>
      <c r="W298">
        <v>0</v>
      </c>
      <c r="X298" t="e">
        <f t="shared" ca="1" si="46"/>
        <v>#REF!</v>
      </c>
      <c r="Y298">
        <v>0</v>
      </c>
      <c r="Z298" t="e">
        <f t="shared" ca="1" si="47"/>
        <v>#REF!</v>
      </c>
      <c r="AA298" s="152" t="e">
        <f t="shared" ca="1" si="52"/>
        <v>#REF!</v>
      </c>
      <c r="AB298" s="152" t="e">
        <f t="shared" ca="1" si="53"/>
        <v>#REF!</v>
      </c>
      <c r="AC298">
        <v>7</v>
      </c>
      <c r="AD298">
        <v>2</v>
      </c>
      <c r="AE298" t="str">
        <f t="shared" ref="AE298:AE309" si="55">"'[2022 - Aryapratama &amp; Pauliuk - STE - AppF.xlsx]GWPdyn_"&amp;LEFT(K298,5)&amp;" - Fig.4(h)'!L"</f>
        <v>'[2022 - Aryapratama &amp; Pauliuk - STE - AppF.xlsx]GWPdyn_PF_FP - Fig.4(h)'!L</v>
      </c>
      <c r="AG298">
        <v>559.28752781846788</v>
      </c>
      <c r="AH298">
        <v>870.70033536556764</v>
      </c>
      <c r="AI298">
        <f t="shared" si="51"/>
        <v>-559.28752781846788</v>
      </c>
      <c r="AJ298">
        <f t="shared" si="51"/>
        <v>-870.70033536556764</v>
      </c>
    </row>
    <row r="299" spans="9:36">
      <c r="I299">
        <v>100</v>
      </c>
      <c r="J299" t="s">
        <v>2834</v>
      </c>
      <c r="K299" s="2" t="s">
        <v>2835</v>
      </c>
      <c r="M299">
        <v>0</v>
      </c>
      <c r="N299">
        <v>954.97168613496024</v>
      </c>
      <c r="O299">
        <v>0</v>
      </c>
      <c r="P299">
        <v>429.73725876073206</v>
      </c>
      <c r="Q299">
        <v>-808.82207371160791</v>
      </c>
      <c r="R299">
        <v>-990.65809626676389</v>
      </c>
      <c r="S299">
        <v>7</v>
      </c>
      <c r="T299">
        <v>2</v>
      </c>
      <c r="U299" t="s">
        <v>2836</v>
      </c>
      <c r="W299">
        <v>0</v>
      </c>
      <c r="X299" t="e">
        <f t="shared" ca="1" si="46"/>
        <v>#REF!</v>
      </c>
      <c r="Y299">
        <v>0</v>
      </c>
      <c r="Z299" t="e">
        <f t="shared" ca="1" si="47"/>
        <v>#REF!</v>
      </c>
      <c r="AA299" s="152" t="e">
        <f t="shared" ca="1" si="52"/>
        <v>#REF!</v>
      </c>
      <c r="AB299" s="152" t="e">
        <f t="shared" ca="1" si="53"/>
        <v>#REF!</v>
      </c>
      <c r="AC299">
        <v>7</v>
      </c>
      <c r="AD299">
        <v>2</v>
      </c>
      <c r="AE299" t="str">
        <f t="shared" si="55"/>
        <v>'[2022 - Aryapratama &amp; Pauliuk - STE - AppF.xlsx]GWPdyn_PF_FP - Fig.4(h)'!L</v>
      </c>
      <c r="AG299">
        <v>808.82207371160791</v>
      </c>
      <c r="AH299">
        <v>990.65809626676389</v>
      </c>
      <c r="AI299">
        <f t="shared" si="51"/>
        <v>-808.82207371160791</v>
      </c>
      <c r="AJ299">
        <f t="shared" si="51"/>
        <v>-990.65809626676389</v>
      </c>
    </row>
    <row r="300" spans="9:36">
      <c r="I300">
        <v>200</v>
      </c>
      <c r="J300" t="s">
        <v>2834</v>
      </c>
      <c r="K300" s="2" t="s">
        <v>2835</v>
      </c>
      <c r="M300">
        <v>0</v>
      </c>
      <c r="N300">
        <v>1683.9773345340714</v>
      </c>
      <c r="O300">
        <v>0</v>
      </c>
      <c r="P300">
        <v>757.78980054033161</v>
      </c>
      <c r="Q300">
        <v>-1308.953389930055</v>
      </c>
      <c r="R300">
        <v>-1160.011828609915</v>
      </c>
      <c r="S300">
        <v>7</v>
      </c>
      <c r="T300">
        <v>2</v>
      </c>
      <c r="U300" t="s">
        <v>2836</v>
      </c>
      <c r="W300">
        <v>0</v>
      </c>
      <c r="X300" t="e">
        <f t="shared" ca="1" si="46"/>
        <v>#REF!</v>
      </c>
      <c r="Y300">
        <v>0</v>
      </c>
      <c r="Z300" t="e">
        <f t="shared" ca="1" si="47"/>
        <v>#REF!</v>
      </c>
      <c r="AA300" s="152" t="e">
        <f t="shared" ca="1" si="52"/>
        <v>#REF!</v>
      </c>
      <c r="AB300" s="152" t="e">
        <f t="shared" ca="1" si="53"/>
        <v>#REF!</v>
      </c>
      <c r="AC300">
        <v>7</v>
      </c>
      <c r="AD300">
        <v>2</v>
      </c>
      <c r="AE300" t="str">
        <f t="shared" si="55"/>
        <v>'[2022 - Aryapratama &amp; Pauliuk - STE - AppF.xlsx]GWPdyn_PF_FP - Fig.4(h)'!L</v>
      </c>
      <c r="AG300">
        <v>1308.953389930055</v>
      </c>
      <c r="AH300">
        <v>1160.011828609915</v>
      </c>
      <c r="AI300">
        <f t="shared" si="51"/>
        <v>-1308.953389930055</v>
      </c>
      <c r="AJ300">
        <f t="shared" si="51"/>
        <v>-1160.011828609915</v>
      </c>
    </row>
    <row r="301" spans="9:36">
      <c r="I301">
        <v>50</v>
      </c>
      <c r="J301" t="s">
        <v>2837</v>
      </c>
      <c r="K301" s="2" t="s">
        <v>2838</v>
      </c>
      <c r="M301">
        <v>0</v>
      </c>
      <c r="N301">
        <v>377.88189133326432</v>
      </c>
      <c r="O301">
        <v>0</v>
      </c>
      <c r="P301">
        <v>226.7291347999585</v>
      </c>
      <c r="Q301">
        <v>-515.07151116792033</v>
      </c>
      <c r="R301">
        <v>-617.93246272463909</v>
      </c>
      <c r="S301">
        <v>8</v>
      </c>
      <c r="T301">
        <v>2</v>
      </c>
      <c r="U301" t="s">
        <v>2836</v>
      </c>
      <c r="W301">
        <v>0</v>
      </c>
      <c r="X301" t="e">
        <f t="shared" ca="1" si="46"/>
        <v>#REF!</v>
      </c>
      <c r="Y301">
        <v>0</v>
      </c>
      <c r="Z301" t="e">
        <f t="shared" ca="1" si="47"/>
        <v>#REF!</v>
      </c>
      <c r="AA301" s="152" t="e">
        <f t="shared" ca="1" si="52"/>
        <v>#REF!</v>
      </c>
      <c r="AB301" s="152" t="e">
        <f t="shared" ca="1" si="53"/>
        <v>#REF!</v>
      </c>
      <c r="AC301">
        <v>8</v>
      </c>
      <c r="AD301">
        <v>2</v>
      </c>
      <c r="AE301" t="str">
        <f t="shared" si="55"/>
        <v>'[2022 - Aryapratama &amp; Pauliuk - STE - AppF.xlsx]GWPdyn_PF_FP - Fig.4(h)'!L</v>
      </c>
      <c r="AG301">
        <v>515.07151116792033</v>
      </c>
      <c r="AH301">
        <v>617.93246272463909</v>
      </c>
      <c r="AI301">
        <f t="shared" si="51"/>
        <v>-515.07151116792033</v>
      </c>
      <c r="AJ301">
        <f t="shared" si="51"/>
        <v>-617.93246272463909</v>
      </c>
    </row>
    <row r="302" spans="9:36">
      <c r="I302">
        <v>100</v>
      </c>
      <c r="J302" t="s">
        <v>2837</v>
      </c>
      <c r="K302" s="2" t="s">
        <v>2838</v>
      </c>
      <c r="M302">
        <v>0</v>
      </c>
      <c r="N302">
        <v>605.75567172938713</v>
      </c>
      <c r="O302">
        <v>0</v>
      </c>
      <c r="P302">
        <v>363.45340303763226</v>
      </c>
      <c r="Q302">
        <v>-642.71245617211093</v>
      </c>
      <c r="R302">
        <v>-768.12774512252213</v>
      </c>
      <c r="S302">
        <v>8</v>
      </c>
      <c r="T302">
        <v>2</v>
      </c>
      <c r="U302" t="s">
        <v>2836</v>
      </c>
      <c r="W302">
        <v>0</v>
      </c>
      <c r="X302" t="e">
        <f t="shared" ca="1" si="46"/>
        <v>#REF!</v>
      </c>
      <c r="Y302">
        <v>0</v>
      </c>
      <c r="Z302" t="e">
        <f t="shared" ca="1" si="47"/>
        <v>#REF!</v>
      </c>
      <c r="AA302" s="152" t="e">
        <f t="shared" ca="1" si="52"/>
        <v>#REF!</v>
      </c>
      <c r="AB302" s="152" t="e">
        <f t="shared" ca="1" si="53"/>
        <v>#REF!</v>
      </c>
      <c r="AC302">
        <v>8</v>
      </c>
      <c r="AD302">
        <v>2</v>
      </c>
      <c r="AE302" t="str">
        <f t="shared" si="55"/>
        <v>'[2022 - Aryapratama &amp; Pauliuk - STE - AppF.xlsx]GWPdyn_PF_FP - Fig.4(h)'!L</v>
      </c>
      <c r="AG302">
        <v>642.71245617211093</v>
      </c>
      <c r="AH302">
        <v>768.12774512252213</v>
      </c>
      <c r="AI302">
        <f t="shared" si="51"/>
        <v>-642.71245617211093</v>
      </c>
      <c r="AJ302">
        <f t="shared" si="51"/>
        <v>-768.12774512252213</v>
      </c>
    </row>
    <row r="303" spans="9:36">
      <c r="I303">
        <v>200</v>
      </c>
      <c r="J303" t="s">
        <v>2837</v>
      </c>
      <c r="K303" s="2" t="s">
        <v>2838</v>
      </c>
      <c r="M303">
        <v>0</v>
      </c>
      <c r="N303">
        <v>985.54530572292515</v>
      </c>
      <c r="O303">
        <v>0</v>
      </c>
      <c r="P303">
        <v>591.32718343375518</v>
      </c>
      <c r="Q303">
        <v>-904.95784112113733</v>
      </c>
      <c r="R303">
        <v>-956.54496754124091</v>
      </c>
      <c r="S303">
        <v>8</v>
      </c>
      <c r="T303">
        <v>2</v>
      </c>
      <c r="U303" t="s">
        <v>2836</v>
      </c>
      <c r="W303">
        <v>0</v>
      </c>
      <c r="X303" t="e">
        <f t="shared" ca="1" si="46"/>
        <v>#REF!</v>
      </c>
      <c r="Y303">
        <v>0</v>
      </c>
      <c r="Z303" t="e">
        <f t="shared" ca="1" si="47"/>
        <v>#REF!</v>
      </c>
      <c r="AA303" s="152" t="e">
        <f t="shared" ca="1" si="52"/>
        <v>#REF!</v>
      </c>
      <c r="AB303" s="152" t="e">
        <f t="shared" ca="1" si="53"/>
        <v>#REF!</v>
      </c>
      <c r="AC303">
        <v>8</v>
      </c>
      <c r="AD303">
        <v>2</v>
      </c>
      <c r="AE303" t="str">
        <f t="shared" si="55"/>
        <v>'[2022 - Aryapratama &amp; Pauliuk - STE - AppF.xlsx]GWPdyn_PF_FP - Fig.4(h)'!L</v>
      </c>
      <c r="AG303">
        <v>904.95784112113733</v>
      </c>
      <c r="AH303">
        <v>956.54496754124091</v>
      </c>
      <c r="AI303">
        <f t="shared" si="51"/>
        <v>-904.95784112113733</v>
      </c>
      <c r="AJ303">
        <f t="shared" si="51"/>
        <v>-956.54496754124091</v>
      </c>
    </row>
    <row r="304" spans="9:36">
      <c r="I304">
        <v>50</v>
      </c>
      <c r="J304" t="s">
        <v>2839</v>
      </c>
      <c r="K304" s="2" t="s">
        <v>2840</v>
      </c>
      <c r="M304">
        <v>0</v>
      </c>
      <c r="N304">
        <v>225.96603773584911</v>
      </c>
      <c r="O304">
        <v>0</v>
      </c>
      <c r="P304">
        <v>135.57962264150939</v>
      </c>
      <c r="Q304">
        <v>-360.60902005912311</v>
      </c>
      <c r="R304">
        <v>-458.81565081209919</v>
      </c>
      <c r="S304">
        <v>9</v>
      </c>
      <c r="T304">
        <v>2</v>
      </c>
      <c r="U304" t="s">
        <v>2836</v>
      </c>
      <c r="W304">
        <v>0</v>
      </c>
      <c r="X304" t="e">
        <f t="shared" ca="1" si="46"/>
        <v>#REF!</v>
      </c>
      <c r="Y304">
        <v>0</v>
      </c>
      <c r="Z304" t="e">
        <f t="shared" ca="1" si="47"/>
        <v>#REF!</v>
      </c>
      <c r="AA304" s="152" t="e">
        <f t="shared" ca="1" si="52"/>
        <v>#REF!</v>
      </c>
      <c r="AB304" s="152" t="e">
        <f t="shared" ca="1" si="53"/>
        <v>#REF!</v>
      </c>
      <c r="AC304">
        <v>9</v>
      </c>
      <c r="AD304">
        <v>2</v>
      </c>
      <c r="AE304" t="str">
        <f t="shared" si="55"/>
        <v>'[2022 - Aryapratama &amp; Pauliuk - STE - AppF.xlsx]GWPdyn_PF_FP - Fig.4(h)'!L</v>
      </c>
      <c r="AG304">
        <v>360.60902005912311</v>
      </c>
      <c r="AH304">
        <v>458.81565081209919</v>
      </c>
      <c r="AI304">
        <f t="shared" si="51"/>
        <v>-360.60902005912311</v>
      </c>
      <c r="AJ304">
        <f t="shared" si="51"/>
        <v>-458.81565081209919</v>
      </c>
    </row>
    <row r="305" spans="9:36">
      <c r="I305">
        <v>100</v>
      </c>
      <c r="J305" t="s">
        <v>2839</v>
      </c>
      <c r="K305" s="2" t="s">
        <v>2840</v>
      </c>
      <c r="M305">
        <v>0</v>
      </c>
      <c r="N305">
        <v>322.5783683718746</v>
      </c>
      <c r="O305">
        <v>0</v>
      </c>
      <c r="P305">
        <v>193.54702102312467</v>
      </c>
      <c r="Q305">
        <v>-354.25011993341019</v>
      </c>
      <c r="R305">
        <v>-567.94520592120887</v>
      </c>
      <c r="S305">
        <v>9</v>
      </c>
      <c r="T305">
        <v>2</v>
      </c>
      <c r="U305" t="s">
        <v>2836</v>
      </c>
      <c r="W305">
        <v>0</v>
      </c>
      <c r="X305" t="e">
        <f t="shared" ca="1" si="46"/>
        <v>#REF!</v>
      </c>
      <c r="Y305">
        <v>0</v>
      </c>
      <c r="Z305" t="e">
        <f t="shared" ca="1" si="47"/>
        <v>#REF!</v>
      </c>
      <c r="AA305" s="152" t="e">
        <f t="shared" ca="1" si="52"/>
        <v>#REF!</v>
      </c>
      <c r="AB305" s="152" t="e">
        <f t="shared" ca="1" si="53"/>
        <v>#REF!</v>
      </c>
      <c r="AC305">
        <v>9</v>
      </c>
      <c r="AD305">
        <v>2</v>
      </c>
      <c r="AE305" t="str">
        <f t="shared" si="55"/>
        <v>'[2022 - Aryapratama &amp; Pauliuk - STE - AppF.xlsx]GWPdyn_PF_FP - Fig.4(h)'!L</v>
      </c>
      <c r="AG305">
        <v>354.25011993341019</v>
      </c>
      <c r="AH305">
        <v>567.94520592120887</v>
      </c>
      <c r="AI305">
        <f t="shared" si="51"/>
        <v>-354.25011993341019</v>
      </c>
      <c r="AJ305">
        <f t="shared" si="51"/>
        <v>-567.94520592120887</v>
      </c>
    </row>
    <row r="306" spans="9:36">
      <c r="I306">
        <v>200</v>
      </c>
      <c r="J306" t="s">
        <v>2839</v>
      </c>
      <c r="K306" s="2" t="s">
        <v>2840</v>
      </c>
      <c r="M306">
        <v>0</v>
      </c>
      <c r="N306">
        <v>515.80302964392558</v>
      </c>
      <c r="O306">
        <v>0</v>
      </c>
      <c r="P306">
        <v>309.48181778635524</v>
      </c>
      <c r="Q306">
        <v>-329.48380978417958</v>
      </c>
      <c r="R306">
        <v>-628.19875545968</v>
      </c>
      <c r="S306">
        <v>9</v>
      </c>
      <c r="T306">
        <v>2</v>
      </c>
      <c r="U306" t="s">
        <v>2836</v>
      </c>
      <c r="W306">
        <v>0</v>
      </c>
      <c r="X306" t="e">
        <f t="shared" ca="1" si="46"/>
        <v>#REF!</v>
      </c>
      <c r="Y306">
        <v>0</v>
      </c>
      <c r="Z306" t="e">
        <f t="shared" ca="1" si="47"/>
        <v>#REF!</v>
      </c>
      <c r="AA306" s="152" t="e">
        <f t="shared" ca="1" si="52"/>
        <v>#REF!</v>
      </c>
      <c r="AB306" s="152" t="e">
        <f t="shared" ca="1" si="53"/>
        <v>#REF!</v>
      </c>
      <c r="AC306">
        <v>9</v>
      </c>
      <c r="AD306">
        <v>2</v>
      </c>
      <c r="AE306" t="str">
        <f t="shared" si="55"/>
        <v>'[2022 - Aryapratama &amp; Pauliuk - STE - AppF.xlsx]GWPdyn_PF_FP - Fig.4(h)'!L</v>
      </c>
      <c r="AG306">
        <v>329.48380978417958</v>
      </c>
      <c r="AH306">
        <v>628.19875545968</v>
      </c>
      <c r="AI306">
        <f t="shared" si="51"/>
        <v>-329.48380978417958</v>
      </c>
      <c r="AJ306">
        <f t="shared" si="51"/>
        <v>-628.19875545968</v>
      </c>
    </row>
    <row r="307" spans="9:36">
      <c r="I307">
        <v>50</v>
      </c>
      <c r="J307" t="s">
        <v>2841</v>
      </c>
      <c r="K307" s="2" t="s">
        <v>2842</v>
      </c>
      <c r="M307">
        <v>0</v>
      </c>
      <c r="N307">
        <v>286.09433962264143</v>
      </c>
      <c r="O307">
        <v>0</v>
      </c>
      <c r="P307">
        <v>228.87547169811316</v>
      </c>
      <c r="Q307">
        <v>-574.00406694837011</v>
      </c>
      <c r="R307">
        <v>-811.16014590587781</v>
      </c>
      <c r="S307">
        <v>9</v>
      </c>
      <c r="T307">
        <v>2</v>
      </c>
      <c r="U307" t="s">
        <v>2836</v>
      </c>
      <c r="W307">
        <v>0</v>
      </c>
      <c r="X307" t="e">
        <f t="shared" ca="1" si="46"/>
        <v>#REF!</v>
      </c>
      <c r="Y307">
        <v>0</v>
      </c>
      <c r="Z307" t="e">
        <f t="shared" ca="1" si="47"/>
        <v>#REF!</v>
      </c>
      <c r="AA307" s="152" t="e">
        <f t="shared" ca="1" si="52"/>
        <v>#REF!</v>
      </c>
      <c r="AB307" s="152" t="e">
        <f t="shared" ca="1" si="53"/>
        <v>#REF!</v>
      </c>
      <c r="AC307">
        <v>9</v>
      </c>
      <c r="AD307">
        <v>2</v>
      </c>
      <c r="AE307" t="str">
        <f t="shared" si="55"/>
        <v>'[2022 - Aryapratama &amp; Pauliuk - STE - AppF.xlsx]GWPdyn_PF_FP - Fig.4(h)'!L</v>
      </c>
      <c r="AG307">
        <v>574.00406694837011</v>
      </c>
      <c r="AH307">
        <v>811.16014590587781</v>
      </c>
      <c r="AI307">
        <f t="shared" si="51"/>
        <v>-574.00406694837011</v>
      </c>
      <c r="AJ307">
        <f t="shared" si="51"/>
        <v>-811.16014590587781</v>
      </c>
    </row>
    <row r="308" spans="9:36">
      <c r="I308">
        <v>100</v>
      </c>
      <c r="J308" t="s">
        <v>2841</v>
      </c>
      <c r="K308" s="2" t="s">
        <v>2842</v>
      </c>
      <c r="M308">
        <v>0</v>
      </c>
      <c r="N308">
        <v>346.22264150943386</v>
      </c>
      <c r="O308">
        <v>0</v>
      </c>
      <c r="P308">
        <v>276.97811320754715</v>
      </c>
      <c r="Q308">
        <v>-627.22269789912832</v>
      </c>
      <c r="R308">
        <v>-832.29941220987405</v>
      </c>
      <c r="S308">
        <v>9</v>
      </c>
      <c r="T308">
        <v>2</v>
      </c>
      <c r="U308" t="s">
        <v>2836</v>
      </c>
      <c r="W308">
        <v>0</v>
      </c>
      <c r="X308" t="e">
        <f t="shared" ca="1" si="46"/>
        <v>#REF!</v>
      </c>
      <c r="Y308">
        <v>0</v>
      </c>
      <c r="Z308" t="e">
        <f t="shared" ca="1" si="47"/>
        <v>#REF!</v>
      </c>
      <c r="AA308" s="152" t="e">
        <f t="shared" ca="1" si="52"/>
        <v>#REF!</v>
      </c>
      <c r="AB308" s="152" t="e">
        <f t="shared" ca="1" si="53"/>
        <v>#REF!</v>
      </c>
      <c r="AC308">
        <v>9</v>
      </c>
      <c r="AD308">
        <v>2</v>
      </c>
      <c r="AE308" t="str">
        <f t="shared" si="55"/>
        <v>'[2022 - Aryapratama &amp; Pauliuk - STE - AppF.xlsx]GWPdyn_PF_FP - Fig.4(h)'!L</v>
      </c>
      <c r="AG308">
        <v>627.22269789912832</v>
      </c>
      <c r="AH308">
        <v>832.29941220987405</v>
      </c>
      <c r="AI308">
        <f t="shared" si="51"/>
        <v>-627.22269789912832</v>
      </c>
      <c r="AJ308">
        <f t="shared" si="51"/>
        <v>-832.29941220987405</v>
      </c>
    </row>
    <row r="309" spans="9:36">
      <c r="I309">
        <v>200</v>
      </c>
      <c r="J309" t="s">
        <v>2841</v>
      </c>
      <c r="K309" s="2" t="s">
        <v>2842</v>
      </c>
      <c r="M309">
        <v>0</v>
      </c>
      <c r="N309">
        <v>466.47924528301871</v>
      </c>
      <c r="O309">
        <v>0</v>
      </c>
      <c r="P309">
        <v>373.18339622641508</v>
      </c>
      <c r="Q309">
        <v>-729.83506452863935</v>
      </c>
      <c r="R309">
        <v>-858.14682671510911</v>
      </c>
      <c r="S309">
        <v>9</v>
      </c>
      <c r="T309">
        <v>2</v>
      </c>
      <c r="U309" t="s">
        <v>2836</v>
      </c>
      <c r="W309">
        <v>0</v>
      </c>
      <c r="X309" t="e">
        <f t="shared" ca="1" si="46"/>
        <v>#REF!</v>
      </c>
      <c r="Y309">
        <v>0</v>
      </c>
      <c r="Z309" t="e">
        <f t="shared" ca="1" si="47"/>
        <v>#REF!</v>
      </c>
      <c r="AA309" s="152" t="e">
        <f t="shared" ca="1" si="52"/>
        <v>#REF!</v>
      </c>
      <c r="AB309" s="152" t="e">
        <f t="shared" ca="1" si="53"/>
        <v>#REF!</v>
      </c>
      <c r="AC309">
        <v>9</v>
      </c>
      <c r="AD309">
        <v>2</v>
      </c>
      <c r="AE309" t="str">
        <f t="shared" si="55"/>
        <v>'[2022 - Aryapratama &amp; Pauliuk - STE - AppF.xlsx]GWPdyn_PF_FP - Fig.4(h)'!L</v>
      </c>
      <c r="AG309">
        <v>729.83506452863935</v>
      </c>
      <c r="AH309">
        <v>858.14682671510911</v>
      </c>
      <c r="AI309">
        <f t="shared" si="51"/>
        <v>-729.83506452863935</v>
      </c>
      <c r="AJ309">
        <f t="shared" si="51"/>
        <v>-858.14682671510911</v>
      </c>
    </row>
    <row r="310" spans="9:36">
      <c r="I310">
        <v>50</v>
      </c>
      <c r="J310" t="s">
        <v>2843</v>
      </c>
      <c r="K310" s="2" t="s">
        <v>2844</v>
      </c>
      <c r="M310">
        <v>0</v>
      </c>
      <c r="N310">
        <v>367.50282419955545</v>
      </c>
      <c r="O310">
        <v>0</v>
      </c>
      <c r="P310">
        <v>164.02627088979997</v>
      </c>
      <c r="Q310">
        <v>-293.93651380696792</v>
      </c>
      <c r="R310">
        <v>77.331302173432363</v>
      </c>
      <c r="S310">
        <v>7</v>
      </c>
      <c r="T310">
        <v>2</v>
      </c>
      <c r="U310" t="s">
        <v>2845</v>
      </c>
      <c r="W310">
        <v>0</v>
      </c>
      <c r="X310" t="e">
        <f t="shared" ca="1" si="46"/>
        <v>#REF!</v>
      </c>
      <c r="Y310">
        <v>0</v>
      </c>
      <c r="Z310" t="e">
        <f t="shared" ca="1" si="47"/>
        <v>#REF!</v>
      </c>
      <c r="AA310" s="152" t="e">
        <f t="shared" ca="1" si="52"/>
        <v>#REF!</v>
      </c>
      <c r="AB310" s="152" t="e">
        <f t="shared" ca="1" si="53"/>
        <v>#REF!</v>
      </c>
      <c r="AC310">
        <v>7</v>
      </c>
      <c r="AD310">
        <v>2</v>
      </c>
      <c r="AE310" t="str">
        <f t="shared" ref="AE310:AE321" si="56">"'[2022 - Aryapratama &amp; Pauliuk - STE - AppF.xlsx]GWPdyn_"&amp;LEFT(K310,5)&amp;" - Fig.4(i)'!L"</f>
        <v>'[2022 - Aryapratama &amp; Pauliuk - STE - AppF.xlsx]GWPdyn_DL_FP - Fig.4(i)'!L</v>
      </c>
      <c r="AG310">
        <v>293.93651380696792</v>
      </c>
      <c r="AH310">
        <v>-77.331302173432363</v>
      </c>
      <c r="AI310">
        <f t="shared" si="51"/>
        <v>-293.93651380696792</v>
      </c>
      <c r="AJ310">
        <f t="shared" si="51"/>
        <v>77.331302173432363</v>
      </c>
    </row>
    <row r="311" spans="9:36">
      <c r="I311">
        <v>100</v>
      </c>
      <c r="J311" t="s">
        <v>2843</v>
      </c>
      <c r="K311" s="2" t="s">
        <v>2844</v>
      </c>
      <c r="M311">
        <v>0</v>
      </c>
      <c r="N311">
        <v>732.00564839911101</v>
      </c>
      <c r="O311">
        <v>0</v>
      </c>
      <c r="P311">
        <v>328.05254177959995</v>
      </c>
      <c r="Q311">
        <v>-645.67518499586413</v>
      </c>
      <c r="R311">
        <v>-41.927947193381058</v>
      </c>
      <c r="S311">
        <v>7</v>
      </c>
      <c r="T311">
        <v>2</v>
      </c>
      <c r="U311" t="s">
        <v>2845</v>
      </c>
      <c r="W311">
        <v>0</v>
      </c>
      <c r="X311" t="e">
        <f t="shared" ca="1" si="46"/>
        <v>#REF!</v>
      </c>
      <c r="Y311">
        <v>0</v>
      </c>
      <c r="Z311" t="e">
        <f t="shared" ca="1" si="47"/>
        <v>#REF!</v>
      </c>
      <c r="AA311" s="152" t="e">
        <f t="shared" ca="1" si="52"/>
        <v>#REF!</v>
      </c>
      <c r="AB311" s="152" t="e">
        <f t="shared" ca="1" si="53"/>
        <v>#REF!</v>
      </c>
      <c r="AC311">
        <v>7</v>
      </c>
      <c r="AD311">
        <v>2</v>
      </c>
      <c r="AE311" t="str">
        <f t="shared" si="56"/>
        <v>'[2022 - Aryapratama &amp; Pauliuk - STE - AppF.xlsx]GWPdyn_DL_FP - Fig.4(i)'!L</v>
      </c>
      <c r="AG311">
        <v>645.67518499586413</v>
      </c>
      <c r="AH311">
        <v>41.927947193381058</v>
      </c>
      <c r="AI311">
        <f t="shared" si="51"/>
        <v>-645.67518499586413</v>
      </c>
      <c r="AJ311">
        <f t="shared" si="51"/>
        <v>-41.927947193381058</v>
      </c>
    </row>
    <row r="312" spans="9:36">
      <c r="I312">
        <v>200</v>
      </c>
      <c r="J312" t="s">
        <v>2843</v>
      </c>
      <c r="K312" s="2" t="s">
        <v>2844</v>
      </c>
      <c r="M312">
        <v>0</v>
      </c>
      <c r="N312">
        <v>1461.011296798222</v>
      </c>
      <c r="O312">
        <v>0</v>
      </c>
      <c r="P312">
        <v>656.10508355919967</v>
      </c>
      <c r="Q312">
        <v>-1351.032773953493</v>
      </c>
      <c r="R312">
        <v>-227.6520247861325</v>
      </c>
      <c r="S312">
        <v>7</v>
      </c>
      <c r="T312">
        <v>2</v>
      </c>
      <c r="U312" t="s">
        <v>2845</v>
      </c>
      <c r="W312">
        <v>0</v>
      </c>
      <c r="X312" t="e">
        <f t="shared" ca="1" si="46"/>
        <v>#REF!</v>
      </c>
      <c r="Y312">
        <v>0</v>
      </c>
      <c r="Z312" t="e">
        <f t="shared" ca="1" si="47"/>
        <v>#REF!</v>
      </c>
      <c r="AA312" s="152" t="e">
        <f t="shared" ca="1" si="52"/>
        <v>#REF!</v>
      </c>
      <c r="AB312" s="152" t="e">
        <f t="shared" ca="1" si="53"/>
        <v>#REF!</v>
      </c>
      <c r="AC312">
        <v>7</v>
      </c>
      <c r="AD312">
        <v>2</v>
      </c>
      <c r="AE312" t="str">
        <f t="shared" si="56"/>
        <v>'[2022 - Aryapratama &amp; Pauliuk - STE - AppF.xlsx]GWPdyn_DL_FP - Fig.4(i)'!L</v>
      </c>
      <c r="AG312">
        <v>1351.032773953493</v>
      </c>
      <c r="AH312">
        <v>227.6520247861325</v>
      </c>
      <c r="AI312">
        <f t="shared" si="51"/>
        <v>-1351.032773953493</v>
      </c>
      <c r="AJ312">
        <f t="shared" si="51"/>
        <v>-227.6520247861325</v>
      </c>
    </row>
    <row r="313" spans="9:36">
      <c r="I313">
        <v>50</v>
      </c>
      <c r="J313" t="s">
        <v>2846</v>
      </c>
      <c r="K313" s="2" t="s">
        <v>2847</v>
      </c>
      <c r="M313">
        <v>0</v>
      </c>
      <c r="N313">
        <v>154.91585359741521</v>
      </c>
      <c r="O313">
        <v>0</v>
      </c>
      <c r="P313">
        <v>91.149512158449113</v>
      </c>
      <c r="Q313">
        <v>-155.15650615919409</v>
      </c>
      <c r="R313">
        <v>254.21120760929861</v>
      </c>
      <c r="S313">
        <v>8</v>
      </c>
      <c r="T313">
        <v>2</v>
      </c>
      <c r="U313" t="s">
        <v>2845</v>
      </c>
      <c r="W313">
        <v>0</v>
      </c>
      <c r="X313" t="e">
        <f t="shared" ca="1" si="46"/>
        <v>#REF!</v>
      </c>
      <c r="Y313">
        <v>0</v>
      </c>
      <c r="Z313" t="e">
        <f t="shared" ca="1" si="47"/>
        <v>#REF!</v>
      </c>
      <c r="AA313" s="152" t="e">
        <f t="shared" ca="1" si="52"/>
        <v>#REF!</v>
      </c>
      <c r="AB313" s="152" t="e">
        <f t="shared" ca="1" si="53"/>
        <v>#REF!</v>
      </c>
      <c r="AC313">
        <v>8</v>
      </c>
      <c r="AD313">
        <v>2</v>
      </c>
      <c r="AE313" t="str">
        <f t="shared" si="56"/>
        <v>'[2022 - Aryapratama &amp; Pauliuk - STE - AppF.xlsx]GWPdyn_DL_FP - Fig.4(i)'!L</v>
      </c>
      <c r="AG313">
        <v>155.15650615919409</v>
      </c>
      <c r="AH313">
        <v>-254.21120760929861</v>
      </c>
      <c r="AI313">
        <f t="shared" si="51"/>
        <v>-155.15650615919409</v>
      </c>
      <c r="AJ313">
        <f t="shared" si="51"/>
        <v>254.21120760929861</v>
      </c>
    </row>
    <row r="314" spans="9:36">
      <c r="I314">
        <v>100</v>
      </c>
      <c r="J314" t="s">
        <v>2846</v>
      </c>
      <c r="K314" s="2" t="s">
        <v>2847</v>
      </c>
      <c r="M314">
        <v>0</v>
      </c>
      <c r="N314">
        <v>382.78963399353802</v>
      </c>
      <c r="O314">
        <v>0</v>
      </c>
      <c r="P314">
        <v>227.87378039612278</v>
      </c>
      <c r="Q314">
        <v>-385.00157645914061</v>
      </c>
      <c r="R314">
        <v>185.53811788022131</v>
      </c>
      <c r="S314">
        <v>8</v>
      </c>
      <c r="T314">
        <v>2</v>
      </c>
      <c r="U314" t="s">
        <v>2845</v>
      </c>
      <c r="W314">
        <v>0</v>
      </c>
      <c r="X314" t="e">
        <f t="shared" ca="1" si="46"/>
        <v>#REF!</v>
      </c>
      <c r="Y314">
        <v>0</v>
      </c>
      <c r="Z314" t="e">
        <f t="shared" ca="1" si="47"/>
        <v>#REF!</v>
      </c>
      <c r="AA314" s="152" t="e">
        <f t="shared" ca="1" si="52"/>
        <v>#REF!</v>
      </c>
      <c r="AB314" s="152" t="e">
        <f t="shared" ca="1" si="53"/>
        <v>#REF!</v>
      </c>
      <c r="AC314">
        <v>8</v>
      </c>
      <c r="AD314">
        <v>2</v>
      </c>
      <c r="AE314" t="str">
        <f t="shared" si="56"/>
        <v>'[2022 - Aryapratama &amp; Pauliuk - STE - AppF.xlsx]GWPdyn_DL_FP - Fig.4(i)'!L</v>
      </c>
      <c r="AG314">
        <v>385.00157645914061</v>
      </c>
      <c r="AH314">
        <v>-185.53811788022131</v>
      </c>
      <c r="AI314">
        <f t="shared" si="51"/>
        <v>-385.00157645914061</v>
      </c>
      <c r="AJ314">
        <f t="shared" si="51"/>
        <v>185.53811788022131</v>
      </c>
    </row>
    <row r="315" spans="9:36">
      <c r="I315">
        <v>200</v>
      </c>
      <c r="J315" t="s">
        <v>2846</v>
      </c>
      <c r="K315" s="2" t="s">
        <v>2847</v>
      </c>
      <c r="M315">
        <v>0</v>
      </c>
      <c r="N315">
        <v>762.57926798707604</v>
      </c>
      <c r="O315">
        <v>0</v>
      </c>
      <c r="P315">
        <v>455.74756079224562</v>
      </c>
      <c r="Q315">
        <v>-852.47323414734842</v>
      </c>
      <c r="R315">
        <v>23.49403951814293</v>
      </c>
      <c r="S315">
        <v>8</v>
      </c>
      <c r="T315">
        <v>2</v>
      </c>
      <c r="U315" t="s">
        <v>2845</v>
      </c>
      <c r="W315">
        <v>0</v>
      </c>
      <c r="X315" t="e">
        <f t="shared" ca="1" si="46"/>
        <v>#REF!</v>
      </c>
      <c r="Y315">
        <v>0</v>
      </c>
      <c r="Z315" t="e">
        <f t="shared" ca="1" si="47"/>
        <v>#REF!</v>
      </c>
      <c r="AA315" s="152" t="e">
        <f t="shared" ca="1" si="52"/>
        <v>#REF!</v>
      </c>
      <c r="AB315" s="152" t="e">
        <f t="shared" ca="1" si="53"/>
        <v>#REF!</v>
      </c>
      <c r="AC315">
        <v>8</v>
      </c>
      <c r="AD315">
        <v>2</v>
      </c>
      <c r="AE315" t="str">
        <f t="shared" si="56"/>
        <v>'[2022 - Aryapratama &amp; Pauliuk - STE - AppF.xlsx]GWPdyn_DL_FP - Fig.4(i)'!L</v>
      </c>
      <c r="AG315">
        <v>852.47323414734842</v>
      </c>
      <c r="AH315">
        <v>-23.49403951814293</v>
      </c>
      <c r="AI315">
        <f t="shared" si="51"/>
        <v>-852.47323414734842</v>
      </c>
      <c r="AJ315">
        <f t="shared" si="51"/>
        <v>23.49403951814293</v>
      </c>
    </row>
    <row r="316" spans="9:36">
      <c r="I316">
        <v>50</v>
      </c>
      <c r="J316" t="s">
        <v>2848</v>
      </c>
      <c r="K316" s="2" t="s">
        <v>2849</v>
      </c>
      <c r="M316">
        <v>0</v>
      </c>
      <c r="N316">
        <v>3</v>
      </c>
      <c r="O316">
        <v>0</v>
      </c>
      <c r="P316">
        <v>0</v>
      </c>
      <c r="Q316">
        <v>0</v>
      </c>
      <c r="R316">
        <v>161.1445967933179</v>
      </c>
      <c r="S316">
        <v>9</v>
      </c>
      <c r="T316">
        <v>2</v>
      </c>
      <c r="U316" t="s">
        <v>2845</v>
      </c>
      <c r="W316">
        <v>0</v>
      </c>
      <c r="X316" t="e">
        <f t="shared" ca="1" si="46"/>
        <v>#REF!</v>
      </c>
      <c r="Y316">
        <v>0</v>
      </c>
      <c r="Z316" t="e">
        <f t="shared" ca="1" si="47"/>
        <v>#REF!</v>
      </c>
      <c r="AA316" s="152" t="e">
        <f t="shared" ca="1" si="52"/>
        <v>#REF!</v>
      </c>
      <c r="AB316" s="152" t="e">
        <f t="shared" ca="1" si="53"/>
        <v>#REF!</v>
      </c>
      <c r="AC316">
        <v>9</v>
      </c>
      <c r="AD316">
        <v>2</v>
      </c>
      <c r="AE316" t="str">
        <f t="shared" si="56"/>
        <v>'[2022 - Aryapratama &amp; Pauliuk - STE - AppF.xlsx]GWPdyn_DL_FP - Fig.4(i)'!L</v>
      </c>
      <c r="AG316">
        <v>0</v>
      </c>
      <c r="AH316">
        <v>-161.1445967933179</v>
      </c>
      <c r="AI316">
        <f t="shared" si="51"/>
        <v>0</v>
      </c>
      <c r="AJ316">
        <f t="shared" si="51"/>
        <v>161.1445967933179</v>
      </c>
    </row>
    <row r="317" spans="9:36">
      <c r="I317">
        <v>100</v>
      </c>
      <c r="J317" t="s">
        <v>2848</v>
      </c>
      <c r="K317" s="2" t="s">
        <v>2849</v>
      </c>
      <c r="M317">
        <v>0</v>
      </c>
      <c r="N317">
        <v>99.61233063602549</v>
      </c>
      <c r="O317">
        <v>0</v>
      </c>
      <c r="P317">
        <v>57.967398381615283</v>
      </c>
      <c r="Q317">
        <v>-95.845225170043378</v>
      </c>
      <c r="R317">
        <v>219.23948667931481</v>
      </c>
      <c r="S317">
        <v>9</v>
      </c>
      <c r="T317">
        <v>2</v>
      </c>
      <c r="U317" t="s">
        <v>2845</v>
      </c>
      <c r="W317">
        <v>0</v>
      </c>
      <c r="X317" t="e">
        <f t="shared" ca="1" si="46"/>
        <v>#REF!</v>
      </c>
      <c r="Y317">
        <v>0</v>
      </c>
      <c r="Z317" t="e">
        <f t="shared" ca="1" si="47"/>
        <v>#REF!</v>
      </c>
      <c r="AA317" s="152" t="e">
        <f t="shared" ca="1" si="52"/>
        <v>#REF!</v>
      </c>
      <c r="AB317" s="152" t="e">
        <f t="shared" ca="1" si="53"/>
        <v>#REF!</v>
      </c>
      <c r="AC317">
        <v>9</v>
      </c>
      <c r="AD317">
        <v>2</v>
      </c>
      <c r="AE317" t="str">
        <f t="shared" si="56"/>
        <v>'[2022 - Aryapratama &amp; Pauliuk - STE - AppF.xlsx]GWPdyn_DL_FP - Fig.4(i)'!L</v>
      </c>
      <c r="AG317">
        <v>95.845225170043378</v>
      </c>
      <c r="AH317">
        <v>-219.23948667931481</v>
      </c>
      <c r="AI317">
        <f t="shared" si="51"/>
        <v>-95.845225170043378</v>
      </c>
      <c r="AJ317">
        <f t="shared" si="51"/>
        <v>219.23948667931481</v>
      </c>
    </row>
    <row r="318" spans="9:36">
      <c r="I318">
        <v>200</v>
      </c>
      <c r="J318" t="s">
        <v>2848</v>
      </c>
      <c r="K318" s="2" t="s">
        <v>2849</v>
      </c>
      <c r="M318">
        <v>0</v>
      </c>
      <c r="N318">
        <v>292.83699190807647</v>
      </c>
      <c r="O318">
        <v>0</v>
      </c>
      <c r="P318">
        <v>173.90219514484585</v>
      </c>
      <c r="Q318">
        <v>-276.3051877599944</v>
      </c>
      <c r="R318">
        <v>218.48492658306861</v>
      </c>
      <c r="S318">
        <v>9</v>
      </c>
      <c r="T318">
        <v>2</v>
      </c>
      <c r="U318" t="s">
        <v>2845</v>
      </c>
      <c r="W318">
        <v>0</v>
      </c>
      <c r="X318" t="e">
        <f t="shared" ca="1" si="46"/>
        <v>#REF!</v>
      </c>
      <c r="Y318">
        <v>0</v>
      </c>
      <c r="Z318" t="e">
        <f t="shared" ca="1" si="47"/>
        <v>#REF!</v>
      </c>
      <c r="AA318" s="152" t="e">
        <f t="shared" ca="1" si="52"/>
        <v>#REF!</v>
      </c>
      <c r="AB318" s="152" t="e">
        <f t="shared" ca="1" si="53"/>
        <v>#REF!</v>
      </c>
      <c r="AC318">
        <v>9</v>
      </c>
      <c r="AD318">
        <v>2</v>
      </c>
      <c r="AE318" t="str">
        <f t="shared" si="56"/>
        <v>'[2022 - Aryapratama &amp; Pauliuk - STE - AppF.xlsx]GWPdyn_DL_FP - Fig.4(i)'!L</v>
      </c>
      <c r="AG318">
        <v>276.3051877599944</v>
      </c>
      <c r="AH318">
        <v>-218.48492658306861</v>
      </c>
      <c r="AI318">
        <f t="shared" si="51"/>
        <v>-276.3051877599944</v>
      </c>
      <c r="AJ318">
        <f t="shared" si="51"/>
        <v>218.48492658306861</v>
      </c>
    </row>
    <row r="319" spans="9:36">
      <c r="I319">
        <v>50</v>
      </c>
      <c r="J319" t="s">
        <v>2850</v>
      </c>
      <c r="K319" s="2" t="s">
        <v>2851</v>
      </c>
      <c r="M319">
        <v>0</v>
      </c>
      <c r="N319">
        <v>63.128301886792457</v>
      </c>
      <c r="O319">
        <v>0</v>
      </c>
      <c r="P319">
        <v>48.102641509433973</v>
      </c>
      <c r="Q319">
        <v>-79.816497751704446</v>
      </c>
      <c r="R319">
        <v>69.07494766906801</v>
      </c>
      <c r="S319">
        <v>9</v>
      </c>
      <c r="T319">
        <v>2</v>
      </c>
      <c r="U319" t="s">
        <v>2845</v>
      </c>
      <c r="W319">
        <v>0</v>
      </c>
      <c r="X319" t="e">
        <f t="shared" ca="1" si="46"/>
        <v>#REF!</v>
      </c>
      <c r="Y319">
        <v>0</v>
      </c>
      <c r="Z319" t="e">
        <f t="shared" ca="1" si="47"/>
        <v>#REF!</v>
      </c>
      <c r="AA319" s="152" t="e">
        <f t="shared" ca="1" si="52"/>
        <v>#REF!</v>
      </c>
      <c r="AB319" s="152" t="e">
        <f t="shared" ca="1" si="53"/>
        <v>#REF!</v>
      </c>
      <c r="AC319">
        <v>9</v>
      </c>
      <c r="AD319">
        <v>2</v>
      </c>
      <c r="AE319" t="str">
        <f t="shared" si="56"/>
        <v>'[2022 - Aryapratama &amp; Pauliuk - STE - AppF.xlsx]GWPdyn_DL_FP - Fig.4(i)'!L</v>
      </c>
      <c r="AG319">
        <v>79.816497751704446</v>
      </c>
      <c r="AH319">
        <v>-69.07494766906801</v>
      </c>
      <c r="AI319">
        <f t="shared" si="51"/>
        <v>-79.816497751704446</v>
      </c>
      <c r="AJ319">
        <f t="shared" si="51"/>
        <v>69.07494766906801</v>
      </c>
    </row>
    <row r="320" spans="9:36">
      <c r="I320">
        <v>100</v>
      </c>
      <c r="J320" t="s">
        <v>2850</v>
      </c>
      <c r="K320" s="2" t="s">
        <v>2851</v>
      </c>
      <c r="M320">
        <v>0</v>
      </c>
      <c r="N320">
        <v>123.25660377358491</v>
      </c>
      <c r="O320">
        <v>0</v>
      </c>
      <c r="P320">
        <v>96.205283018867945</v>
      </c>
      <c r="Q320">
        <v>-235.2392539982188</v>
      </c>
      <c r="R320">
        <v>42.123869249720393</v>
      </c>
      <c r="S320">
        <v>9</v>
      </c>
      <c r="T320">
        <v>2</v>
      </c>
      <c r="U320" t="s">
        <v>2845</v>
      </c>
      <c r="W320">
        <v>0</v>
      </c>
      <c r="X320" t="e">
        <f t="shared" ca="1" si="46"/>
        <v>#REF!</v>
      </c>
      <c r="Y320">
        <v>0</v>
      </c>
      <c r="Z320" t="e">
        <f t="shared" ca="1" si="47"/>
        <v>#REF!</v>
      </c>
      <c r="AA320" s="152" t="e">
        <f t="shared" ca="1" si="52"/>
        <v>#REF!</v>
      </c>
      <c r="AB320" s="152" t="e">
        <f t="shared" ca="1" si="53"/>
        <v>#REF!</v>
      </c>
      <c r="AC320">
        <v>9</v>
      </c>
      <c r="AD320">
        <v>2</v>
      </c>
      <c r="AE320" t="str">
        <f t="shared" si="56"/>
        <v>'[2022 - Aryapratama &amp; Pauliuk - STE - AppF.xlsx]GWPdyn_DL_FP - Fig.4(i)'!L</v>
      </c>
      <c r="AG320">
        <v>235.2392539982188</v>
      </c>
      <c r="AH320">
        <v>-42.123869249720393</v>
      </c>
      <c r="AI320">
        <f t="shared" si="51"/>
        <v>-235.2392539982188</v>
      </c>
      <c r="AJ320">
        <f t="shared" si="51"/>
        <v>42.123869249720393</v>
      </c>
    </row>
    <row r="321" spans="9:36">
      <c r="I321">
        <v>200</v>
      </c>
      <c r="J321" t="s">
        <v>2850</v>
      </c>
      <c r="K321" s="2" t="s">
        <v>2851</v>
      </c>
      <c r="M321">
        <v>0</v>
      </c>
      <c r="N321">
        <v>243.51320754716983</v>
      </c>
      <c r="O321">
        <v>0</v>
      </c>
      <c r="P321">
        <v>192.41056603773589</v>
      </c>
      <c r="Q321">
        <v>-543.07789336691178</v>
      </c>
      <c r="R321">
        <v>2.2086925350061422</v>
      </c>
      <c r="S321">
        <v>9</v>
      </c>
      <c r="T321">
        <v>2</v>
      </c>
      <c r="U321" t="s">
        <v>2845</v>
      </c>
      <c r="W321">
        <v>0</v>
      </c>
      <c r="X321" t="e">
        <f t="shared" ca="1" si="46"/>
        <v>#REF!</v>
      </c>
      <c r="Y321">
        <v>0</v>
      </c>
      <c r="Z321" t="e">
        <f t="shared" ca="1" si="47"/>
        <v>#REF!</v>
      </c>
      <c r="AA321" s="152" t="e">
        <f t="shared" ca="1" si="52"/>
        <v>#REF!</v>
      </c>
      <c r="AB321" s="152" t="e">
        <f t="shared" ca="1" si="53"/>
        <v>#REF!</v>
      </c>
      <c r="AC321">
        <v>9</v>
      </c>
      <c r="AD321">
        <v>2</v>
      </c>
      <c r="AE321" t="str">
        <f t="shared" si="56"/>
        <v>'[2022 - Aryapratama &amp; Pauliuk - STE - AppF.xlsx]GWPdyn_DL_FP - Fig.4(i)'!L</v>
      </c>
      <c r="AG321">
        <v>543.07789336691178</v>
      </c>
      <c r="AH321">
        <v>-2.2086925350061422</v>
      </c>
      <c r="AI321">
        <f t="shared" si="51"/>
        <v>-543.07789336691178</v>
      </c>
      <c r="AJ321">
        <f t="shared" si="51"/>
        <v>2.2086925350061422</v>
      </c>
    </row>
    <row r="322" spans="9:36">
      <c r="I322">
        <v>50</v>
      </c>
      <c r="J322" t="str">
        <f t="shared" ref="J322:J327" si="57">"NR_"&amp;K322</f>
        <v>NR_RIL_M</v>
      </c>
      <c r="K322" s="2" t="s">
        <v>284</v>
      </c>
      <c r="M322">
        <v>0</v>
      </c>
      <c r="N322">
        <v>19.274226580798832</v>
      </c>
      <c r="O322">
        <v>0</v>
      </c>
      <c r="P322">
        <v>11.564535948479303</v>
      </c>
      <c r="Q322">
        <v>75.991198542896527</v>
      </c>
      <c r="R322">
        <v>100.2569126004381</v>
      </c>
      <c r="S322">
        <v>5</v>
      </c>
      <c r="T322">
        <v>1</v>
      </c>
      <c r="U322" t="s">
        <v>2852</v>
      </c>
      <c r="W322">
        <v>0</v>
      </c>
      <c r="X322" t="e">
        <f t="shared" ca="1" si="46"/>
        <v>#REF!</v>
      </c>
      <c r="Y322">
        <v>0</v>
      </c>
      <c r="Z322" t="e">
        <f t="shared" ca="1" si="47"/>
        <v>#REF!</v>
      </c>
      <c r="AA322" s="152" t="e">
        <f t="shared" ca="1" si="52"/>
        <v>#REF!</v>
      </c>
      <c r="AB322" s="152" t="e">
        <f t="shared" ca="1" si="53"/>
        <v>#REF!</v>
      </c>
      <c r="AC322">
        <v>5</v>
      </c>
      <c r="AD322">
        <v>1</v>
      </c>
      <c r="AE322" t="str">
        <f t="shared" ref="AE322:AE333" si="58">"'[2022 - Aryapratama &amp; Pauliuk - STE - AppF.xlsx]GWPdyn_"&amp;LEFT(K322,3)&amp;" - Fig.4(j)'!L"</f>
        <v>'[2022 - Aryapratama &amp; Pauliuk - STE - AppF.xlsx]GWPdyn_RIL - Fig.4(j)'!L</v>
      </c>
      <c r="AG322">
        <v>-75.991198542896527</v>
      </c>
      <c r="AH322">
        <v>-100.2569126004381</v>
      </c>
      <c r="AI322">
        <f t="shared" si="51"/>
        <v>75.991198542896527</v>
      </c>
      <c r="AJ322">
        <f t="shared" si="51"/>
        <v>100.2569126004381</v>
      </c>
    </row>
    <row r="323" spans="9:36">
      <c r="I323">
        <v>100</v>
      </c>
      <c r="J323" t="str">
        <f t="shared" si="57"/>
        <v>NR_RIL_M</v>
      </c>
      <c r="K323" s="2" t="s">
        <v>284</v>
      </c>
      <c r="M323">
        <v>0</v>
      </c>
      <c r="N323">
        <v>28.911339871198248</v>
      </c>
      <c r="O323">
        <v>0</v>
      </c>
      <c r="P323">
        <v>17.346803922718955</v>
      </c>
      <c r="Q323">
        <v>163.96310441836951</v>
      </c>
      <c r="R323">
        <v>192.24097622198209</v>
      </c>
      <c r="S323">
        <v>5</v>
      </c>
      <c r="T323">
        <v>1</v>
      </c>
      <c r="U323" t="s">
        <v>2852</v>
      </c>
      <c r="W323">
        <v>0</v>
      </c>
      <c r="X323" t="e">
        <f t="shared" ca="1" si="46"/>
        <v>#REF!</v>
      </c>
      <c r="Y323">
        <v>0</v>
      </c>
      <c r="Z323" t="e">
        <f t="shared" ca="1" si="47"/>
        <v>#REF!</v>
      </c>
      <c r="AA323" s="152" t="e">
        <f t="shared" ca="1" si="52"/>
        <v>#REF!</v>
      </c>
      <c r="AB323" s="152" t="e">
        <f t="shared" ca="1" si="53"/>
        <v>#REF!</v>
      </c>
      <c r="AC323">
        <v>5</v>
      </c>
      <c r="AD323">
        <v>1</v>
      </c>
      <c r="AE323" t="str">
        <f t="shared" si="58"/>
        <v>'[2022 - Aryapratama &amp; Pauliuk - STE - AppF.xlsx]GWPdyn_RIL - Fig.4(j)'!L</v>
      </c>
      <c r="AG323">
        <v>-163.96310441836951</v>
      </c>
      <c r="AH323">
        <v>-192.24097622198209</v>
      </c>
      <c r="AI323">
        <f t="shared" si="51"/>
        <v>163.96310441836951</v>
      </c>
      <c r="AJ323">
        <f t="shared" si="51"/>
        <v>192.24097622198209</v>
      </c>
    </row>
    <row r="324" spans="9:36">
      <c r="I324">
        <v>200</v>
      </c>
      <c r="J324" t="str">
        <f t="shared" si="57"/>
        <v>NR_RIL_M</v>
      </c>
      <c r="K324" s="2" t="s">
        <v>284</v>
      </c>
      <c r="M324">
        <v>0</v>
      </c>
      <c r="N324">
        <v>57.822679742396488</v>
      </c>
      <c r="O324">
        <v>0</v>
      </c>
      <c r="P324">
        <v>34.69360784543791</v>
      </c>
      <c r="Q324">
        <v>337.64037255698202</v>
      </c>
      <c r="R324">
        <v>377.50107760210591</v>
      </c>
      <c r="S324">
        <v>5</v>
      </c>
      <c r="T324">
        <v>1</v>
      </c>
      <c r="U324" t="s">
        <v>2852</v>
      </c>
      <c r="W324">
        <v>0</v>
      </c>
      <c r="X324" t="e">
        <f t="shared" ca="1" si="46"/>
        <v>#REF!</v>
      </c>
      <c r="Y324">
        <v>0</v>
      </c>
      <c r="Z324" t="e">
        <f t="shared" ca="1" si="47"/>
        <v>#REF!</v>
      </c>
      <c r="AA324" s="152" t="e">
        <f t="shared" ca="1" si="52"/>
        <v>#REF!</v>
      </c>
      <c r="AB324" s="152" t="e">
        <f t="shared" ca="1" si="53"/>
        <v>#REF!</v>
      </c>
      <c r="AC324">
        <v>5</v>
      </c>
      <c r="AD324">
        <v>1</v>
      </c>
      <c r="AE324" t="str">
        <f t="shared" si="58"/>
        <v>'[2022 - Aryapratama &amp; Pauliuk - STE - AppF.xlsx]GWPdyn_RIL - Fig.4(j)'!L</v>
      </c>
      <c r="AG324">
        <v>-337.64037255698202</v>
      </c>
      <c r="AH324">
        <v>-377.50107760210591</v>
      </c>
      <c r="AI324">
        <f t="shared" si="51"/>
        <v>337.64037255698202</v>
      </c>
      <c r="AJ324">
        <f t="shared" si="51"/>
        <v>377.50107760210591</v>
      </c>
    </row>
    <row r="325" spans="9:36">
      <c r="I325">
        <v>50</v>
      </c>
      <c r="J325" t="str">
        <f t="shared" si="57"/>
        <v>NR_RIL_E</v>
      </c>
      <c r="K325" s="2" t="s">
        <v>303</v>
      </c>
      <c r="M325">
        <v>0</v>
      </c>
      <c r="N325">
        <v>19.274226580798839</v>
      </c>
      <c r="O325">
        <v>0</v>
      </c>
      <c r="P325">
        <v>15.419381264639073</v>
      </c>
      <c r="Q325">
        <v>68.167571816623862</v>
      </c>
      <c r="R325">
        <v>82.450615050179124</v>
      </c>
      <c r="S325">
        <v>5</v>
      </c>
      <c r="T325">
        <v>1</v>
      </c>
      <c r="U325" t="s">
        <v>2852</v>
      </c>
      <c r="W325">
        <v>0</v>
      </c>
      <c r="X325" t="e">
        <f t="shared" ca="1" si="46"/>
        <v>#REF!</v>
      </c>
      <c r="Y325">
        <v>0</v>
      </c>
      <c r="Z325" t="e">
        <f t="shared" ca="1" si="47"/>
        <v>#REF!</v>
      </c>
      <c r="AA325" s="152" t="e">
        <f t="shared" ca="1" si="52"/>
        <v>#REF!</v>
      </c>
      <c r="AB325" s="152" t="e">
        <f t="shared" ca="1" si="53"/>
        <v>#REF!</v>
      </c>
      <c r="AC325">
        <v>5</v>
      </c>
      <c r="AD325">
        <v>1</v>
      </c>
      <c r="AE325" t="str">
        <f t="shared" si="58"/>
        <v>'[2022 - Aryapratama &amp; Pauliuk - STE - AppF.xlsx]GWPdyn_RIL - Fig.4(j)'!L</v>
      </c>
      <c r="AG325">
        <v>-68.167571816623862</v>
      </c>
      <c r="AH325">
        <v>-82.450615050179124</v>
      </c>
      <c r="AI325">
        <f t="shared" si="51"/>
        <v>68.167571816623862</v>
      </c>
      <c r="AJ325">
        <f t="shared" si="51"/>
        <v>82.450615050179124</v>
      </c>
    </row>
    <row r="326" spans="9:36">
      <c r="I326">
        <v>100</v>
      </c>
      <c r="J326" t="str">
        <f t="shared" si="57"/>
        <v>NR_RIL_E</v>
      </c>
      <c r="K326" s="2" t="s">
        <v>303</v>
      </c>
      <c r="M326">
        <v>0</v>
      </c>
      <c r="N326">
        <v>28.911339871198258</v>
      </c>
      <c r="O326">
        <v>0</v>
      </c>
      <c r="P326">
        <v>23.12907189695861</v>
      </c>
      <c r="Q326">
        <v>152.02211024415089</v>
      </c>
      <c r="R326">
        <v>176.62110895178901</v>
      </c>
      <c r="S326">
        <v>5</v>
      </c>
      <c r="T326">
        <v>1</v>
      </c>
      <c r="U326" t="s">
        <v>2852</v>
      </c>
      <c r="W326">
        <v>0</v>
      </c>
      <c r="X326" t="e">
        <f t="shared" ca="1" si="46"/>
        <v>#REF!</v>
      </c>
      <c r="Y326">
        <v>0</v>
      </c>
      <c r="Z326" t="e">
        <f t="shared" ca="1" si="47"/>
        <v>#REF!</v>
      </c>
      <c r="AA326" s="152" t="e">
        <f t="shared" ca="1" si="52"/>
        <v>#REF!</v>
      </c>
      <c r="AB326" s="152" t="e">
        <f t="shared" ca="1" si="53"/>
        <v>#REF!</v>
      </c>
      <c r="AC326">
        <v>5</v>
      </c>
      <c r="AD326">
        <v>1</v>
      </c>
      <c r="AE326" t="str">
        <f t="shared" si="58"/>
        <v>'[2022 - Aryapratama &amp; Pauliuk - STE - AppF.xlsx]GWPdyn_RIL - Fig.4(j)'!L</v>
      </c>
      <c r="AG326">
        <v>-152.02211024415089</v>
      </c>
      <c r="AH326">
        <v>-176.62110895178901</v>
      </c>
      <c r="AI326">
        <f t="shared" si="51"/>
        <v>152.02211024415089</v>
      </c>
      <c r="AJ326">
        <f t="shared" si="51"/>
        <v>176.62110895178901</v>
      </c>
    </row>
    <row r="327" spans="9:36">
      <c r="I327">
        <v>200</v>
      </c>
      <c r="J327" t="str">
        <f t="shared" si="57"/>
        <v>NR_RIL_E</v>
      </c>
      <c r="K327" s="2" t="s">
        <v>303</v>
      </c>
      <c r="M327">
        <v>0</v>
      </c>
      <c r="N327">
        <v>57.822679742396517</v>
      </c>
      <c r="O327">
        <v>0</v>
      </c>
      <c r="P327">
        <v>46.25814379391722</v>
      </c>
      <c r="Q327">
        <v>316.56191500133059</v>
      </c>
      <c r="R327">
        <v>365.10563504552567</v>
      </c>
      <c r="S327">
        <v>5</v>
      </c>
      <c r="T327">
        <v>1</v>
      </c>
      <c r="U327" t="s">
        <v>2852</v>
      </c>
      <c r="W327">
        <v>0</v>
      </c>
      <c r="X327" t="e">
        <f t="shared" ca="1" si="46"/>
        <v>#REF!</v>
      </c>
      <c r="Y327">
        <v>0</v>
      </c>
      <c r="Z327" t="e">
        <f t="shared" ca="1" si="47"/>
        <v>#REF!</v>
      </c>
      <c r="AA327" s="152" t="e">
        <f t="shared" ca="1" si="52"/>
        <v>#REF!</v>
      </c>
      <c r="AB327" s="152" t="e">
        <f t="shared" ca="1" si="53"/>
        <v>#REF!</v>
      </c>
      <c r="AC327">
        <v>5</v>
      </c>
      <c r="AD327">
        <v>1</v>
      </c>
      <c r="AE327" t="str">
        <f t="shared" si="58"/>
        <v>'[2022 - Aryapratama &amp; Pauliuk - STE - AppF.xlsx]GWPdyn_RIL - Fig.4(j)'!L</v>
      </c>
      <c r="AG327">
        <v>-316.56191500133059</v>
      </c>
      <c r="AH327">
        <v>-365.10563504552567</v>
      </c>
      <c r="AI327">
        <f t="shared" si="51"/>
        <v>316.56191500133059</v>
      </c>
      <c r="AJ327">
        <f t="shared" si="51"/>
        <v>365.10563504552567</v>
      </c>
    </row>
    <row r="328" spans="9:36">
      <c r="I328">
        <v>50</v>
      </c>
      <c r="J328" t="s">
        <v>2853</v>
      </c>
      <c r="K328" s="2" t="s">
        <v>283</v>
      </c>
      <c r="M328">
        <v>0</v>
      </c>
      <c r="N328">
        <v>19.274226580798832</v>
      </c>
      <c r="O328">
        <v>0</v>
      </c>
      <c r="P328">
        <v>11.564535948479303</v>
      </c>
      <c r="Q328">
        <v>75.991198542896527</v>
      </c>
      <c r="R328">
        <v>185.09042564065231</v>
      </c>
      <c r="S328">
        <v>7</v>
      </c>
      <c r="T328">
        <v>1</v>
      </c>
      <c r="U328" t="s">
        <v>2852</v>
      </c>
      <c r="W328">
        <v>0</v>
      </c>
      <c r="X328" t="e">
        <f t="shared" ca="1" si="46"/>
        <v>#REF!</v>
      </c>
      <c r="Y328">
        <v>0</v>
      </c>
      <c r="Z328" t="e">
        <f t="shared" ca="1" si="47"/>
        <v>#REF!</v>
      </c>
      <c r="AA328" s="152" t="e">
        <f t="shared" ca="1" si="52"/>
        <v>#REF!</v>
      </c>
      <c r="AB328" s="152" t="e">
        <f t="shared" ca="1" si="53"/>
        <v>#REF!</v>
      </c>
      <c r="AC328">
        <v>7</v>
      </c>
      <c r="AD328">
        <v>1</v>
      </c>
      <c r="AE328" t="str">
        <f t="shared" si="58"/>
        <v>'[2022 - Aryapratama &amp; Pauliuk - STE - AppF.xlsx]GWPdyn_RIL - Fig.4(j)'!L</v>
      </c>
      <c r="AG328">
        <v>-75.991198542896527</v>
      </c>
      <c r="AH328">
        <v>-185.09042564065231</v>
      </c>
      <c r="AI328">
        <f t="shared" si="51"/>
        <v>75.991198542896527</v>
      </c>
      <c r="AJ328">
        <f t="shared" si="51"/>
        <v>185.09042564065231</v>
      </c>
    </row>
    <row r="329" spans="9:36">
      <c r="I329">
        <v>100</v>
      </c>
      <c r="J329" t="s">
        <v>2853</v>
      </c>
      <c r="K329" s="2" t="s">
        <v>283</v>
      </c>
      <c r="M329">
        <v>0</v>
      </c>
      <c r="N329">
        <v>28.911339871198248</v>
      </c>
      <c r="O329">
        <v>0</v>
      </c>
      <c r="P329">
        <v>17.346803922718955</v>
      </c>
      <c r="Q329">
        <v>163.96310441836951</v>
      </c>
      <c r="R329">
        <v>369.9239668180054</v>
      </c>
      <c r="S329">
        <v>7</v>
      </c>
      <c r="T329">
        <v>1</v>
      </c>
      <c r="U329" t="s">
        <v>2852</v>
      </c>
      <c r="W329">
        <v>0</v>
      </c>
      <c r="X329" t="e">
        <f t="shared" ca="1" si="46"/>
        <v>#REF!</v>
      </c>
      <c r="Y329">
        <v>0</v>
      </c>
      <c r="Z329" t="e">
        <f t="shared" ca="1" si="47"/>
        <v>#REF!</v>
      </c>
      <c r="AA329" s="152" t="e">
        <f t="shared" ca="1" si="52"/>
        <v>#REF!</v>
      </c>
      <c r="AB329" s="152" t="e">
        <f t="shared" ca="1" si="53"/>
        <v>#REF!</v>
      </c>
      <c r="AC329">
        <v>7</v>
      </c>
      <c r="AD329">
        <v>1</v>
      </c>
      <c r="AE329" t="str">
        <f t="shared" si="58"/>
        <v>'[2022 - Aryapratama &amp; Pauliuk - STE - AppF.xlsx]GWPdyn_RIL - Fig.4(j)'!L</v>
      </c>
      <c r="AG329">
        <v>-163.96310441836951</v>
      </c>
      <c r="AH329">
        <v>-369.9239668180054</v>
      </c>
      <c r="AI329">
        <f t="shared" si="51"/>
        <v>163.96310441836951</v>
      </c>
      <c r="AJ329">
        <f t="shared" si="51"/>
        <v>369.9239668180054</v>
      </c>
    </row>
    <row r="330" spans="9:36">
      <c r="I330">
        <v>200</v>
      </c>
      <c r="J330" t="s">
        <v>2853</v>
      </c>
      <c r="K330" s="2" t="s">
        <v>283</v>
      </c>
      <c r="M330">
        <v>0</v>
      </c>
      <c r="N330">
        <v>57.822679742396488</v>
      </c>
      <c r="O330">
        <v>0</v>
      </c>
      <c r="P330">
        <v>34.69360784543791</v>
      </c>
      <c r="Q330">
        <v>337.64037255698202</v>
      </c>
      <c r="R330">
        <v>739.24076084648095</v>
      </c>
      <c r="S330">
        <v>7</v>
      </c>
      <c r="T330">
        <v>1</v>
      </c>
      <c r="U330" t="s">
        <v>2852</v>
      </c>
      <c r="W330">
        <v>0</v>
      </c>
      <c r="X330" t="e">
        <f t="shared" ca="1" si="46"/>
        <v>#REF!</v>
      </c>
      <c r="Y330">
        <v>0</v>
      </c>
      <c r="Z330" t="e">
        <f t="shared" ca="1" si="47"/>
        <v>#REF!</v>
      </c>
      <c r="AA330" s="152" t="e">
        <f t="shared" ca="1" si="52"/>
        <v>#REF!</v>
      </c>
      <c r="AB330" s="152" t="e">
        <f t="shared" ca="1" si="53"/>
        <v>#REF!</v>
      </c>
      <c r="AC330">
        <v>7</v>
      </c>
      <c r="AD330">
        <v>1</v>
      </c>
      <c r="AE330" t="str">
        <f t="shared" si="58"/>
        <v>'[2022 - Aryapratama &amp; Pauliuk - STE - AppF.xlsx]GWPdyn_RIL - Fig.4(j)'!L</v>
      </c>
      <c r="AG330">
        <v>-337.64037255698202</v>
      </c>
      <c r="AH330">
        <v>-739.24076084648095</v>
      </c>
      <c r="AI330">
        <f t="shared" si="51"/>
        <v>337.64037255698202</v>
      </c>
      <c r="AJ330">
        <f t="shared" si="51"/>
        <v>739.24076084648095</v>
      </c>
    </row>
    <row r="331" spans="9:36">
      <c r="I331">
        <v>50</v>
      </c>
      <c r="J331" t="s">
        <v>2854</v>
      </c>
      <c r="K331" s="2" t="s">
        <v>312</v>
      </c>
      <c r="M331">
        <v>0</v>
      </c>
      <c r="N331">
        <v>19.274226580798839</v>
      </c>
      <c r="O331">
        <v>0</v>
      </c>
      <c r="P331">
        <v>15.419381264639073</v>
      </c>
      <c r="Q331">
        <v>68.167571816623862</v>
      </c>
      <c r="R331">
        <v>167.28412809039341</v>
      </c>
      <c r="S331">
        <v>7</v>
      </c>
      <c r="T331">
        <v>1</v>
      </c>
      <c r="U331" t="s">
        <v>2852</v>
      </c>
      <c r="W331">
        <v>0</v>
      </c>
      <c r="X331" t="e">
        <f t="shared" ca="1" si="46"/>
        <v>#REF!</v>
      </c>
      <c r="Y331">
        <v>0</v>
      </c>
      <c r="Z331" t="e">
        <f t="shared" ca="1" si="47"/>
        <v>#REF!</v>
      </c>
      <c r="AA331" s="152" t="e">
        <f t="shared" ca="1" si="52"/>
        <v>#REF!</v>
      </c>
      <c r="AB331" s="152" t="e">
        <f t="shared" ca="1" si="53"/>
        <v>#REF!</v>
      </c>
      <c r="AC331">
        <v>7</v>
      </c>
      <c r="AD331">
        <v>1</v>
      </c>
      <c r="AE331" t="str">
        <f t="shared" si="58"/>
        <v>'[2022 - Aryapratama &amp; Pauliuk - STE - AppF.xlsx]GWPdyn_RIL - Fig.4(j)'!L</v>
      </c>
      <c r="AG331">
        <v>-68.167571816623862</v>
      </c>
      <c r="AH331">
        <v>-167.28412809039341</v>
      </c>
      <c r="AI331">
        <f t="shared" si="51"/>
        <v>68.167571816623862</v>
      </c>
      <c r="AJ331">
        <f t="shared" si="51"/>
        <v>167.28412809039341</v>
      </c>
    </row>
    <row r="332" spans="9:36">
      <c r="I332">
        <v>100</v>
      </c>
      <c r="J332" t="s">
        <v>2854</v>
      </c>
      <c r="K332" s="2" t="s">
        <v>312</v>
      </c>
      <c r="M332">
        <v>0</v>
      </c>
      <c r="N332">
        <v>28.911339871198258</v>
      </c>
      <c r="O332">
        <v>0</v>
      </c>
      <c r="P332">
        <v>23.12907189695861</v>
      </c>
      <c r="Q332">
        <v>152.02211024415089</v>
      </c>
      <c r="R332">
        <v>354.30409954781243</v>
      </c>
      <c r="S332">
        <v>7</v>
      </c>
      <c r="T332">
        <v>1</v>
      </c>
      <c r="U332" t="s">
        <v>2852</v>
      </c>
      <c r="W332">
        <v>0</v>
      </c>
      <c r="X332" t="e">
        <f t="shared" ca="1" si="46"/>
        <v>#REF!</v>
      </c>
      <c r="Y332">
        <v>0</v>
      </c>
      <c r="Z332" t="e">
        <f t="shared" ca="1" si="47"/>
        <v>#REF!</v>
      </c>
      <c r="AA332" s="152" t="e">
        <f t="shared" ca="1" si="52"/>
        <v>#REF!</v>
      </c>
      <c r="AB332" s="152" t="e">
        <f t="shared" ca="1" si="53"/>
        <v>#REF!</v>
      </c>
      <c r="AC332">
        <v>7</v>
      </c>
      <c r="AD332">
        <v>1</v>
      </c>
      <c r="AE332" t="str">
        <f t="shared" si="58"/>
        <v>'[2022 - Aryapratama &amp; Pauliuk - STE - AppF.xlsx]GWPdyn_RIL - Fig.4(j)'!L</v>
      </c>
      <c r="AG332">
        <v>-152.02211024415089</v>
      </c>
      <c r="AH332">
        <v>-354.30409954781243</v>
      </c>
      <c r="AI332">
        <f t="shared" si="51"/>
        <v>152.02211024415089</v>
      </c>
      <c r="AJ332">
        <f t="shared" si="51"/>
        <v>354.30409954781243</v>
      </c>
    </row>
    <row r="333" spans="9:36">
      <c r="I333">
        <v>200</v>
      </c>
      <c r="J333" t="s">
        <v>2854</v>
      </c>
      <c r="K333" s="2" t="s">
        <v>312</v>
      </c>
      <c r="M333">
        <v>0</v>
      </c>
      <c r="N333">
        <v>57.822679742396517</v>
      </c>
      <c r="O333">
        <v>0</v>
      </c>
      <c r="P333">
        <v>46.25814379391722</v>
      </c>
      <c r="Q333">
        <v>316.56191500133059</v>
      </c>
      <c r="R333">
        <v>726.845318289901</v>
      </c>
      <c r="S333">
        <v>7</v>
      </c>
      <c r="T333">
        <v>1</v>
      </c>
      <c r="U333" t="s">
        <v>2852</v>
      </c>
      <c r="W333">
        <v>0</v>
      </c>
      <c r="X333" t="e">
        <f t="shared" ca="1" si="46"/>
        <v>#REF!</v>
      </c>
      <c r="Y333">
        <v>0</v>
      </c>
      <c r="Z333" t="e">
        <f t="shared" ca="1" si="47"/>
        <v>#REF!</v>
      </c>
      <c r="AA333" s="152" t="e">
        <f t="shared" ca="1" si="52"/>
        <v>#REF!</v>
      </c>
      <c r="AB333" s="152" t="e">
        <f t="shared" ca="1" si="53"/>
        <v>#REF!</v>
      </c>
      <c r="AC333">
        <v>7</v>
      </c>
      <c r="AD333">
        <v>1</v>
      </c>
      <c r="AE333" t="str">
        <f t="shared" si="58"/>
        <v>'[2022 - Aryapratama &amp; Pauliuk - STE - AppF.xlsx]GWPdyn_RIL - Fig.4(j)'!L</v>
      </c>
      <c r="AG333">
        <v>-316.56191500133059</v>
      </c>
      <c r="AH333">
        <v>-726.845318289901</v>
      </c>
      <c r="AI333">
        <f t="shared" si="51"/>
        <v>316.56191500133059</v>
      </c>
      <c r="AJ333">
        <f t="shared" si="51"/>
        <v>726.845318289901</v>
      </c>
    </row>
    <row r="334" spans="9:36">
      <c r="I334">
        <v>50</v>
      </c>
      <c r="J334" t="s">
        <v>276</v>
      </c>
      <c r="K334" s="2" t="s">
        <v>326</v>
      </c>
      <c r="M334">
        <v>264.61872586084911</v>
      </c>
      <c r="N334">
        <v>263.98307948584909</v>
      </c>
      <c r="O334">
        <v>145.3587976415094</v>
      </c>
      <c r="P334">
        <v>196.41951018867931</v>
      </c>
      <c r="Q334">
        <v>-654.85817268246092</v>
      </c>
      <c r="R334">
        <v>-930.07336759388943</v>
      </c>
      <c r="S334">
        <v>1</v>
      </c>
      <c r="T334">
        <v>1</v>
      </c>
      <c r="U334" t="s">
        <v>2832</v>
      </c>
      <c r="W334" t="e">
        <f t="shared" ref="W334:W357" ca="1" si="59">SUM(INDIRECT("'[2022 - Aryapratama &amp; Pauliuk - STE - AppD.xlsx]"&amp;$J334&amp;"'!D2:D"&amp;$I334+1))</f>
        <v>#REF!</v>
      </c>
      <c r="X334" t="e">
        <f t="shared" ca="1" si="46"/>
        <v>#REF!</v>
      </c>
      <c r="Y334" t="e">
        <f t="shared" ref="Y334:Y357" ca="1" si="60">SUM(INDIRECT("'[2022 - Aryapratama &amp; Pauliuk - STE - AppD.xlsx]"&amp;$J334&amp;"'!H2:H"&amp;$I334+1))</f>
        <v>#REF!</v>
      </c>
      <c r="Z334" t="e">
        <f t="shared" ca="1" si="47"/>
        <v>#REF!</v>
      </c>
      <c r="AA334" s="152" t="e">
        <f t="shared" ref="AA334:AB336" ca="1" si="61">INDIRECT($AE334&amp;$I334+2&amp;"C"&amp;MATCH(RIGHT(J334,$AC334)&amp;" (t-CO2eq)",INDIRECT($AE334&amp;$AD334,FALSE),0),FALSE)</f>
        <v>#REF!</v>
      </c>
      <c r="AB334" s="152" t="e">
        <f t="shared" ca="1" si="61"/>
        <v>#REF!</v>
      </c>
      <c r="AC334">
        <v>1</v>
      </c>
      <c r="AD334">
        <v>1</v>
      </c>
      <c r="AE334" t="str">
        <f t="shared" ref="AE334:AE336" si="62">"'[2022 - Aryapratama &amp; Pauliuk - STE - AppF.xlsx]GWPdyn_"&amp;LEFT(K334,5)&amp;" - Fig.4(f)'!L"</f>
        <v>'[2022 - Aryapratama &amp; Pauliuk - STE - AppF.xlsx]GWPdyn_PF_PO - Fig.4(f)'!L</v>
      </c>
      <c r="AG334">
        <v>654.85817268246092</v>
      </c>
      <c r="AH334">
        <v>930.07336759388943</v>
      </c>
      <c r="AI334">
        <f t="shared" si="51"/>
        <v>-654.85817268246092</v>
      </c>
      <c r="AJ334">
        <f t="shared" si="51"/>
        <v>-930.07336759388943</v>
      </c>
    </row>
    <row r="335" spans="9:36">
      <c r="I335">
        <v>100</v>
      </c>
      <c r="J335" t="s">
        <v>276</v>
      </c>
      <c r="K335" s="2" t="s">
        <v>326</v>
      </c>
      <c r="M335">
        <v>341.92410211084911</v>
      </c>
      <c r="N335">
        <v>340.01716298584904</v>
      </c>
      <c r="O335">
        <v>164.91714764150942</v>
      </c>
      <c r="P335">
        <v>227.71287018867932</v>
      </c>
      <c r="Q335">
        <v>-922.29525217943831</v>
      </c>
      <c r="R335">
        <v>-1049.6296143500765</v>
      </c>
      <c r="S335">
        <v>1</v>
      </c>
      <c r="T335">
        <v>1</v>
      </c>
      <c r="U335" t="s">
        <v>2832</v>
      </c>
      <c r="W335" t="e">
        <f t="shared" ca="1" si="59"/>
        <v>#REF!</v>
      </c>
      <c r="X335" t="e">
        <f t="shared" ca="1" si="46"/>
        <v>#REF!</v>
      </c>
      <c r="Y335" t="e">
        <f t="shared" ca="1" si="60"/>
        <v>#REF!</v>
      </c>
      <c r="Z335" t="e">
        <f t="shared" ca="1" si="47"/>
        <v>#REF!</v>
      </c>
      <c r="AA335" s="152" t="e">
        <f t="shared" ca="1" si="61"/>
        <v>#REF!</v>
      </c>
      <c r="AB335" s="152" t="e">
        <f t="shared" ca="1" si="61"/>
        <v>#REF!</v>
      </c>
      <c r="AC335">
        <v>1</v>
      </c>
      <c r="AD335">
        <v>1</v>
      </c>
      <c r="AE335" t="str">
        <f t="shared" si="62"/>
        <v>'[2022 - Aryapratama &amp; Pauliuk - STE - AppF.xlsx]GWPdyn_PF_PO - Fig.4(f)'!L</v>
      </c>
      <c r="AG335">
        <v>922.29525217943831</v>
      </c>
      <c r="AH335">
        <v>1049.6296143500765</v>
      </c>
      <c r="AI335">
        <f t="shared" si="51"/>
        <v>-922.29525217943831</v>
      </c>
      <c r="AJ335">
        <f t="shared" si="51"/>
        <v>-1049.6296143500765</v>
      </c>
    </row>
    <row r="336" spans="9:36">
      <c r="I336">
        <v>200</v>
      </c>
      <c r="J336" t="s">
        <v>276</v>
      </c>
      <c r="K336" s="2" t="s">
        <v>326</v>
      </c>
      <c r="M336">
        <v>496.5348546108491</v>
      </c>
      <c r="N336">
        <v>492.08532998584894</v>
      </c>
      <c r="O336">
        <v>204.03384764150945</v>
      </c>
      <c r="P336">
        <v>290.2995901886793</v>
      </c>
      <c r="Q336">
        <v>-1206.3347109067272</v>
      </c>
      <c r="R336">
        <v>-1282.169207878547</v>
      </c>
      <c r="S336">
        <v>1</v>
      </c>
      <c r="T336">
        <v>1</v>
      </c>
      <c r="U336" t="s">
        <v>2832</v>
      </c>
      <c r="W336" t="e">
        <f t="shared" ca="1" si="59"/>
        <v>#REF!</v>
      </c>
      <c r="X336" t="e">
        <f t="shared" ca="1" si="46"/>
        <v>#REF!</v>
      </c>
      <c r="Y336" t="e">
        <f t="shared" ca="1" si="60"/>
        <v>#REF!</v>
      </c>
      <c r="Z336" t="e">
        <f t="shared" ca="1" si="47"/>
        <v>#REF!</v>
      </c>
      <c r="AA336" s="152" t="e">
        <f t="shared" ca="1" si="61"/>
        <v>#REF!</v>
      </c>
      <c r="AB336" s="152" t="e">
        <f t="shared" ca="1" si="61"/>
        <v>#REF!</v>
      </c>
      <c r="AC336">
        <v>1</v>
      </c>
      <c r="AD336">
        <v>1</v>
      </c>
      <c r="AE336" t="str">
        <f t="shared" si="62"/>
        <v>'[2022 - Aryapratama &amp; Pauliuk - STE - AppF.xlsx]GWPdyn_PF_PO - Fig.4(f)'!L</v>
      </c>
      <c r="AG336">
        <v>1206.3347109067272</v>
      </c>
      <c r="AH336">
        <v>1282.169207878547</v>
      </c>
      <c r="AI336">
        <f t="shared" si="51"/>
        <v>-1206.3347109067272</v>
      </c>
      <c r="AJ336">
        <f t="shared" si="51"/>
        <v>-1282.169207878547</v>
      </c>
    </row>
    <row r="337" spans="9:36">
      <c r="I337">
        <v>50</v>
      </c>
      <c r="J337" t="s">
        <v>275</v>
      </c>
      <c r="K337" s="2" t="s">
        <v>320</v>
      </c>
      <c r="M337">
        <v>225.96603773584911</v>
      </c>
      <c r="N337">
        <v>225.96603773584911</v>
      </c>
      <c r="O337">
        <v>135.57962264150939</v>
      </c>
      <c r="P337">
        <v>180.77283018867931</v>
      </c>
      <c r="Q337">
        <v>-430.22235574765915</v>
      </c>
      <c r="R337">
        <v>-683.46368424028469</v>
      </c>
      <c r="S337">
        <v>1</v>
      </c>
      <c r="T337">
        <v>1</v>
      </c>
      <c r="U337" t="s">
        <v>2833</v>
      </c>
      <c r="W337" t="e">
        <f t="shared" ca="1" si="59"/>
        <v>#REF!</v>
      </c>
      <c r="X337" t="e">
        <f t="shared" ca="1" si="46"/>
        <v>#REF!</v>
      </c>
      <c r="Y337" t="e">
        <f t="shared" ca="1" si="60"/>
        <v>#REF!</v>
      </c>
      <c r="Z337" t="e">
        <f t="shared" ca="1" si="47"/>
        <v>#REF!</v>
      </c>
      <c r="AA337" s="152" t="e">
        <f t="shared" ref="AA337:AB339" ca="1" si="63">INDIRECT($AE337&amp;$I337+2&amp;"C"&amp;MATCH(RIGHT(J337,$AC337)&amp;" (t-CO2-eq)",INDIRECT($AE337&amp;$AD337,FALSE),0),FALSE)</f>
        <v>#REF!</v>
      </c>
      <c r="AB337" s="152" t="e">
        <f t="shared" ca="1" si="63"/>
        <v>#REF!</v>
      </c>
      <c r="AC337">
        <v>1</v>
      </c>
      <c r="AD337">
        <v>1</v>
      </c>
      <c r="AE337" t="str">
        <f t="shared" ref="AE337:AE339" si="64">"'[2022 - Aryapratama &amp; Pauliuk - STE - AppF.xlsx]GWPdyn_"&amp;LEFT(K337,5)&amp;" - Fig.4(g)'!L"</f>
        <v>'[2022 - Aryapratama &amp; Pauliuk - STE - AppF.xlsx]GWPdyn_PF_SF - Fig.4(g)'!L</v>
      </c>
      <c r="AG337">
        <v>430.22235574765915</v>
      </c>
      <c r="AH337">
        <v>683.46368424028469</v>
      </c>
      <c r="AI337">
        <f t="shared" si="51"/>
        <v>-430.22235574765915</v>
      </c>
      <c r="AJ337">
        <f t="shared" si="51"/>
        <v>-683.46368424028469</v>
      </c>
    </row>
    <row r="338" spans="9:36">
      <c r="I338">
        <v>100</v>
      </c>
      <c r="J338" t="s">
        <v>275</v>
      </c>
      <c r="K338" s="2" t="s">
        <v>320</v>
      </c>
      <c r="M338">
        <v>225.96603773584911</v>
      </c>
      <c r="N338">
        <v>225.96603773584911</v>
      </c>
      <c r="O338">
        <v>135.57962264150939</v>
      </c>
      <c r="P338">
        <v>180.77283018867931</v>
      </c>
      <c r="Q338">
        <v>-502.68675849347369</v>
      </c>
      <c r="R338">
        <v>-588.42624598329485</v>
      </c>
      <c r="S338">
        <v>1</v>
      </c>
      <c r="T338">
        <v>1</v>
      </c>
      <c r="U338" t="s">
        <v>2833</v>
      </c>
      <c r="W338" t="e">
        <f t="shared" ca="1" si="59"/>
        <v>#REF!</v>
      </c>
      <c r="X338" t="e">
        <f t="shared" ca="1" si="46"/>
        <v>#REF!</v>
      </c>
      <c r="Y338" t="e">
        <f t="shared" ca="1" si="60"/>
        <v>#REF!</v>
      </c>
      <c r="Z338" t="e">
        <f t="shared" ca="1" si="47"/>
        <v>#REF!</v>
      </c>
      <c r="AA338" s="152" t="e">
        <f t="shared" ca="1" si="63"/>
        <v>#REF!</v>
      </c>
      <c r="AB338" s="152" t="e">
        <f t="shared" ca="1" si="63"/>
        <v>#REF!</v>
      </c>
      <c r="AC338">
        <v>1</v>
      </c>
      <c r="AD338">
        <v>1</v>
      </c>
      <c r="AE338" t="str">
        <f t="shared" si="64"/>
        <v>'[2022 - Aryapratama &amp; Pauliuk - STE - AppF.xlsx]GWPdyn_PF_SF - Fig.4(g)'!L</v>
      </c>
      <c r="AG338">
        <v>502.68675849347369</v>
      </c>
      <c r="AH338">
        <v>588.42624598329485</v>
      </c>
      <c r="AI338">
        <f t="shared" si="51"/>
        <v>-502.68675849347369</v>
      </c>
      <c r="AJ338">
        <f t="shared" si="51"/>
        <v>-588.42624598329485</v>
      </c>
    </row>
    <row r="339" spans="9:36">
      <c r="I339">
        <v>200</v>
      </c>
      <c r="J339" t="s">
        <v>275</v>
      </c>
      <c r="K339" s="2" t="s">
        <v>320</v>
      </c>
      <c r="M339">
        <v>225.96603773584911</v>
      </c>
      <c r="N339">
        <v>225.96603773584911</v>
      </c>
      <c r="O339">
        <v>135.57962264150939</v>
      </c>
      <c r="P339">
        <v>180.77283018867931</v>
      </c>
      <c r="Q339">
        <v>-435.66826611219864</v>
      </c>
      <c r="R339">
        <v>-448.98121307248744</v>
      </c>
      <c r="S339">
        <v>1</v>
      </c>
      <c r="T339">
        <v>1</v>
      </c>
      <c r="U339" t="s">
        <v>2833</v>
      </c>
      <c r="W339" t="e">
        <f t="shared" ca="1" si="59"/>
        <v>#REF!</v>
      </c>
      <c r="X339" t="e">
        <f t="shared" ca="1" si="46"/>
        <v>#REF!</v>
      </c>
      <c r="Y339" t="e">
        <f t="shared" ca="1" si="60"/>
        <v>#REF!</v>
      </c>
      <c r="Z339" t="e">
        <f t="shared" ca="1" si="47"/>
        <v>#REF!</v>
      </c>
      <c r="AA339" s="152" t="e">
        <f t="shared" ca="1" si="63"/>
        <v>#REF!</v>
      </c>
      <c r="AB339" s="152" t="e">
        <f t="shared" ca="1" si="63"/>
        <v>#REF!</v>
      </c>
      <c r="AC339">
        <v>1</v>
      </c>
      <c r="AD339">
        <v>1</v>
      </c>
      <c r="AE339" t="str">
        <f t="shared" si="64"/>
        <v>'[2022 - Aryapratama &amp; Pauliuk - STE - AppF.xlsx]GWPdyn_PF_SF - Fig.4(g)'!L</v>
      </c>
      <c r="AG339">
        <v>435.66826611219864</v>
      </c>
      <c r="AH339">
        <v>448.98121307248744</v>
      </c>
      <c r="AI339">
        <f t="shared" si="51"/>
        <v>-435.66826611219864</v>
      </c>
      <c r="AJ339">
        <f t="shared" si="51"/>
        <v>-448.98121307248744</v>
      </c>
    </row>
    <row r="340" spans="9:36">
      <c r="I340">
        <v>50</v>
      </c>
      <c r="J340" t="s">
        <v>2838</v>
      </c>
      <c r="K340" s="2" t="s">
        <v>2835</v>
      </c>
      <c r="M340">
        <v>377.88189133326432</v>
      </c>
      <c r="N340">
        <v>590.46886193540468</v>
      </c>
      <c r="O340">
        <v>226.7291347999585</v>
      </c>
      <c r="P340">
        <v>265.71098787093206</v>
      </c>
      <c r="Q340">
        <v>-617.93246272463909</v>
      </c>
      <c r="R340">
        <v>-870.70033536556764</v>
      </c>
      <c r="S340">
        <v>7</v>
      </c>
      <c r="T340">
        <v>2</v>
      </c>
      <c r="U340" t="s">
        <v>2836</v>
      </c>
      <c r="W340" t="e">
        <f t="shared" ca="1" si="59"/>
        <v>#REF!</v>
      </c>
      <c r="X340" t="e">
        <f t="shared" ca="1" si="46"/>
        <v>#REF!</v>
      </c>
      <c r="Y340" t="e">
        <f t="shared" ca="1" si="60"/>
        <v>#REF!</v>
      </c>
      <c r="Z340" t="e">
        <f t="shared" ca="1" si="47"/>
        <v>#REF!</v>
      </c>
      <c r="AA340" s="152" t="e">
        <f t="shared" ref="AA340:AA345" ca="1" si="65">INDIRECT($AE340&amp;$I340+2&amp;"C"&amp;MATCH(RIGHT(J340,$AC340+1)&amp;" (t-CO2-eq)",INDIRECT($AE340&amp;$AD340,FALSE),0),FALSE)</f>
        <v>#REF!</v>
      </c>
      <c r="AB340" s="152" t="e">
        <f t="shared" ref="AB340:AB357" ca="1" si="66">INDIRECT($AE340&amp;$I340+2&amp;"C"&amp;MATCH(RIGHT(K340,$AC340)&amp;" (t-CO2-eq)",INDIRECT($AE340&amp;$AD340,FALSE),0),FALSE)</f>
        <v>#REF!</v>
      </c>
      <c r="AC340">
        <v>7</v>
      </c>
      <c r="AD340">
        <v>2</v>
      </c>
      <c r="AE340" t="str">
        <f t="shared" ref="AE340:AE342" si="67">"'[2022 - Aryapratama &amp; Pauliuk - STE - AppF.xlsx]GWPdyn_"&amp;LEFT(K340,5)&amp;" - Fig.4(h)'!L"</f>
        <v>'[2022 - Aryapratama &amp; Pauliuk - STE - AppF.xlsx]GWPdyn_PF_FP - Fig.4(h)'!L</v>
      </c>
      <c r="AG340">
        <v>617.93246272463909</v>
      </c>
      <c r="AH340">
        <v>870.70033536556764</v>
      </c>
      <c r="AI340">
        <f t="shared" si="51"/>
        <v>-617.93246272463909</v>
      </c>
      <c r="AJ340">
        <f t="shared" si="51"/>
        <v>-870.70033536556764</v>
      </c>
    </row>
    <row r="341" spans="9:36">
      <c r="I341">
        <v>100</v>
      </c>
      <c r="J341" t="s">
        <v>2838</v>
      </c>
      <c r="K341" s="2" t="s">
        <v>2835</v>
      </c>
      <c r="M341">
        <v>605.75567172938713</v>
      </c>
      <c r="N341">
        <v>954.97168613496024</v>
      </c>
      <c r="O341">
        <v>363.45340303763226</v>
      </c>
      <c r="P341">
        <v>429.73725876073206</v>
      </c>
      <c r="Q341">
        <v>-768.12774512252213</v>
      </c>
      <c r="R341">
        <v>-990.65809626676389</v>
      </c>
      <c r="S341">
        <v>7</v>
      </c>
      <c r="T341">
        <v>2</v>
      </c>
      <c r="U341" t="s">
        <v>2836</v>
      </c>
      <c r="W341" t="e">
        <f t="shared" ca="1" si="59"/>
        <v>#REF!</v>
      </c>
      <c r="X341" t="e">
        <f t="shared" ca="1" si="46"/>
        <v>#REF!</v>
      </c>
      <c r="Y341" t="e">
        <f t="shared" ca="1" si="60"/>
        <v>#REF!</v>
      </c>
      <c r="Z341" t="e">
        <f t="shared" ca="1" si="47"/>
        <v>#REF!</v>
      </c>
      <c r="AA341" s="152" t="e">
        <f t="shared" ca="1" si="65"/>
        <v>#REF!</v>
      </c>
      <c r="AB341" s="152" t="e">
        <f t="shared" ca="1" si="66"/>
        <v>#REF!</v>
      </c>
      <c r="AC341">
        <v>7</v>
      </c>
      <c r="AD341">
        <v>2</v>
      </c>
      <c r="AE341" t="str">
        <f t="shared" si="67"/>
        <v>'[2022 - Aryapratama &amp; Pauliuk - STE - AppF.xlsx]GWPdyn_PF_FP - Fig.4(h)'!L</v>
      </c>
      <c r="AG341">
        <v>768.12774512252213</v>
      </c>
      <c r="AH341">
        <v>990.65809626676389</v>
      </c>
      <c r="AI341">
        <f t="shared" si="51"/>
        <v>-768.12774512252213</v>
      </c>
      <c r="AJ341">
        <f t="shared" si="51"/>
        <v>-990.65809626676389</v>
      </c>
    </row>
    <row r="342" spans="9:36">
      <c r="I342">
        <v>200</v>
      </c>
      <c r="J342" t="s">
        <v>2838</v>
      </c>
      <c r="K342" s="2" t="s">
        <v>2835</v>
      </c>
      <c r="M342">
        <v>985.54530572292515</v>
      </c>
      <c r="N342">
        <v>1683.9773345340714</v>
      </c>
      <c r="O342">
        <v>591.32718343375518</v>
      </c>
      <c r="P342">
        <v>757.78980054033161</v>
      </c>
      <c r="Q342">
        <v>-956.54496754124091</v>
      </c>
      <c r="R342">
        <v>-1160.011828609915</v>
      </c>
      <c r="S342">
        <v>7</v>
      </c>
      <c r="T342">
        <v>2</v>
      </c>
      <c r="U342" t="s">
        <v>2836</v>
      </c>
      <c r="W342" t="e">
        <f t="shared" ca="1" si="59"/>
        <v>#REF!</v>
      </c>
      <c r="X342" t="e">
        <f t="shared" ca="1" si="46"/>
        <v>#REF!</v>
      </c>
      <c r="Y342" t="e">
        <f t="shared" ca="1" si="60"/>
        <v>#REF!</v>
      </c>
      <c r="Z342" t="e">
        <f t="shared" ca="1" si="47"/>
        <v>#REF!</v>
      </c>
      <c r="AA342" s="152" t="e">
        <f t="shared" ca="1" si="65"/>
        <v>#REF!</v>
      </c>
      <c r="AB342" s="152" t="e">
        <f t="shared" ca="1" si="66"/>
        <v>#REF!</v>
      </c>
      <c r="AC342">
        <v>7</v>
      </c>
      <c r="AD342">
        <v>2</v>
      </c>
      <c r="AE342" t="str">
        <f t="shared" si="67"/>
        <v>'[2022 - Aryapratama &amp; Pauliuk - STE - AppF.xlsx]GWPdyn_PF_FP - Fig.4(h)'!L</v>
      </c>
      <c r="AG342">
        <v>956.54496754124091</v>
      </c>
      <c r="AH342">
        <v>1160.011828609915</v>
      </c>
      <c r="AI342">
        <f t="shared" si="51"/>
        <v>-956.54496754124091</v>
      </c>
      <c r="AJ342">
        <f t="shared" si="51"/>
        <v>-1160.011828609915</v>
      </c>
    </row>
    <row r="343" spans="9:36">
      <c r="I343">
        <v>50</v>
      </c>
      <c r="J343" t="s">
        <v>2847</v>
      </c>
      <c r="K343" s="2" t="s">
        <v>2844</v>
      </c>
      <c r="M343">
        <v>154.91585359741521</v>
      </c>
      <c r="N343">
        <v>367.50282419955545</v>
      </c>
      <c r="O343">
        <v>91.149512158449113</v>
      </c>
      <c r="P343">
        <v>164.02627088979997</v>
      </c>
      <c r="Q343">
        <v>254.21120760929861</v>
      </c>
      <c r="R343">
        <v>77.331302173432363</v>
      </c>
      <c r="S343">
        <v>7</v>
      </c>
      <c r="T343">
        <v>2</v>
      </c>
      <c r="U343" t="s">
        <v>2845</v>
      </c>
      <c r="W343" t="e">
        <f t="shared" ca="1" si="59"/>
        <v>#REF!</v>
      </c>
      <c r="X343" t="e">
        <f t="shared" ca="1" si="46"/>
        <v>#REF!</v>
      </c>
      <c r="Y343" t="e">
        <f t="shared" ca="1" si="60"/>
        <v>#REF!</v>
      </c>
      <c r="Z343" t="e">
        <f t="shared" ca="1" si="47"/>
        <v>#REF!</v>
      </c>
      <c r="AA343" s="152" t="e">
        <f t="shared" ca="1" si="65"/>
        <v>#REF!</v>
      </c>
      <c r="AB343" s="152" t="e">
        <f t="shared" ca="1" si="66"/>
        <v>#REF!</v>
      </c>
      <c r="AC343">
        <v>7</v>
      </c>
      <c r="AD343">
        <v>2</v>
      </c>
      <c r="AE343" t="str">
        <f t="shared" ref="AE343:AE345" si="68">"'[2022 - Aryapratama &amp; Pauliuk - STE - AppF.xlsx]GWPdyn_"&amp;LEFT(K343,5)&amp;" - Fig.4(i)'!L"</f>
        <v>'[2022 - Aryapratama &amp; Pauliuk - STE - AppF.xlsx]GWPdyn_DL_FP - Fig.4(i)'!L</v>
      </c>
      <c r="AG343">
        <v>-254.21120760929861</v>
      </c>
      <c r="AH343">
        <v>-77.331302173432363</v>
      </c>
      <c r="AI343">
        <f t="shared" si="51"/>
        <v>254.21120760929861</v>
      </c>
      <c r="AJ343">
        <f t="shared" si="51"/>
        <v>77.331302173432363</v>
      </c>
    </row>
    <row r="344" spans="9:36">
      <c r="I344">
        <v>100</v>
      </c>
      <c r="J344" t="s">
        <v>2847</v>
      </c>
      <c r="K344" s="2" t="s">
        <v>2844</v>
      </c>
      <c r="M344">
        <v>382.78963399353802</v>
      </c>
      <c r="N344">
        <v>732.00564839911101</v>
      </c>
      <c r="O344">
        <v>227.87378039612278</v>
      </c>
      <c r="P344">
        <v>328.05254177959995</v>
      </c>
      <c r="Q344">
        <v>185.53811788022131</v>
      </c>
      <c r="R344">
        <v>-41.927947193381058</v>
      </c>
      <c r="S344">
        <v>7</v>
      </c>
      <c r="T344">
        <v>2</v>
      </c>
      <c r="U344" t="s">
        <v>2845</v>
      </c>
      <c r="W344" t="e">
        <f t="shared" ca="1" si="59"/>
        <v>#REF!</v>
      </c>
      <c r="X344" t="e">
        <f t="shared" ca="1" si="46"/>
        <v>#REF!</v>
      </c>
      <c r="Y344" t="e">
        <f t="shared" ca="1" si="60"/>
        <v>#REF!</v>
      </c>
      <c r="Z344" t="e">
        <f t="shared" ca="1" si="47"/>
        <v>#REF!</v>
      </c>
      <c r="AA344" s="152" t="e">
        <f t="shared" ca="1" si="65"/>
        <v>#REF!</v>
      </c>
      <c r="AB344" s="152" t="e">
        <f t="shared" ca="1" si="66"/>
        <v>#REF!</v>
      </c>
      <c r="AC344">
        <v>7</v>
      </c>
      <c r="AD344">
        <v>2</v>
      </c>
      <c r="AE344" t="str">
        <f t="shared" si="68"/>
        <v>'[2022 - Aryapratama &amp; Pauliuk - STE - AppF.xlsx]GWPdyn_DL_FP - Fig.4(i)'!L</v>
      </c>
      <c r="AG344">
        <v>-185.53811788022131</v>
      </c>
      <c r="AH344">
        <v>41.927947193381058</v>
      </c>
      <c r="AI344">
        <f t="shared" si="51"/>
        <v>185.53811788022131</v>
      </c>
      <c r="AJ344">
        <f t="shared" si="51"/>
        <v>-41.927947193381058</v>
      </c>
    </row>
    <row r="345" spans="9:36">
      <c r="I345">
        <v>200</v>
      </c>
      <c r="J345" t="s">
        <v>2847</v>
      </c>
      <c r="K345" s="2" t="s">
        <v>2844</v>
      </c>
      <c r="M345">
        <v>762.57926798707604</v>
      </c>
      <c r="N345">
        <v>1461.011296798222</v>
      </c>
      <c r="O345">
        <v>455.74756079224562</v>
      </c>
      <c r="P345">
        <v>656.10508355919967</v>
      </c>
      <c r="Q345">
        <v>23.49403951814293</v>
      </c>
      <c r="R345">
        <v>-227.6520247861325</v>
      </c>
      <c r="S345">
        <v>7</v>
      </c>
      <c r="T345">
        <v>2</v>
      </c>
      <c r="U345" t="s">
        <v>2845</v>
      </c>
      <c r="W345" t="e">
        <f t="shared" ca="1" si="59"/>
        <v>#REF!</v>
      </c>
      <c r="X345" t="e">
        <f t="shared" ca="1" si="46"/>
        <v>#REF!</v>
      </c>
      <c r="Y345" t="e">
        <f t="shared" ca="1" si="60"/>
        <v>#REF!</v>
      </c>
      <c r="Z345" t="e">
        <f t="shared" ca="1" si="47"/>
        <v>#REF!</v>
      </c>
      <c r="AA345" s="152" t="e">
        <f t="shared" ca="1" si="65"/>
        <v>#REF!</v>
      </c>
      <c r="AB345" s="152" t="e">
        <f t="shared" ca="1" si="66"/>
        <v>#REF!</v>
      </c>
      <c r="AC345">
        <v>7</v>
      </c>
      <c r="AD345">
        <v>2</v>
      </c>
      <c r="AE345" t="str">
        <f t="shared" si="68"/>
        <v>'[2022 - Aryapratama &amp; Pauliuk - STE - AppF.xlsx]GWPdyn_DL_FP - Fig.4(i)'!L</v>
      </c>
      <c r="AG345">
        <v>-23.49403951814293</v>
      </c>
      <c r="AH345">
        <v>227.6520247861325</v>
      </c>
      <c r="AI345">
        <f t="shared" si="51"/>
        <v>23.49403951814293</v>
      </c>
      <c r="AJ345">
        <f t="shared" si="51"/>
        <v>-227.6520247861325</v>
      </c>
    </row>
    <row r="346" spans="9:36">
      <c r="I346">
        <v>50</v>
      </c>
      <c r="J346" t="s">
        <v>284</v>
      </c>
      <c r="K346" s="2" t="s">
        <v>303</v>
      </c>
      <c r="M346">
        <v>19.274226580798832</v>
      </c>
      <c r="N346">
        <v>19.274226580798839</v>
      </c>
      <c r="O346">
        <v>11.564535948479303</v>
      </c>
      <c r="P346">
        <v>15.419381264639073</v>
      </c>
      <c r="Q346">
        <v>100.2569126004381</v>
      </c>
      <c r="R346">
        <v>82.450615050179124</v>
      </c>
      <c r="S346">
        <v>5</v>
      </c>
      <c r="T346">
        <v>1</v>
      </c>
      <c r="U346" t="s">
        <v>2852</v>
      </c>
      <c r="W346" t="e">
        <f t="shared" ca="1" si="59"/>
        <v>#REF!</v>
      </c>
      <c r="X346" t="e">
        <f t="shared" ca="1" si="46"/>
        <v>#REF!</v>
      </c>
      <c r="Y346" t="e">
        <f t="shared" ca="1" si="60"/>
        <v>#REF!</v>
      </c>
      <c r="Z346" t="e">
        <f t="shared" ca="1" si="47"/>
        <v>#REF!</v>
      </c>
      <c r="AA346" s="152" t="e">
        <f t="shared" ref="AA346:AA357" ca="1" si="69">INDIRECT($AE346&amp;$I346+2&amp;"C"&amp;MATCH(RIGHT(J346,$AC346+3)&amp;" (t-CO2-eq)",INDIRECT($AE346&amp;$AD346,FALSE),0),FALSE)</f>
        <v>#REF!</v>
      </c>
      <c r="AB346" s="152" t="e">
        <f t="shared" ca="1" si="66"/>
        <v>#REF!</v>
      </c>
      <c r="AC346">
        <v>5</v>
      </c>
      <c r="AD346">
        <v>1</v>
      </c>
      <c r="AE346" t="str">
        <f t="shared" ref="AE346:AE357" si="70">"'[2022 - Aryapratama &amp; Pauliuk - STE - AppF.xlsx]GWPdyn_"&amp;LEFT(K346,3)&amp;" - Fig.4(j)'!L"</f>
        <v>'[2022 - Aryapratama &amp; Pauliuk - STE - AppF.xlsx]GWPdyn_RIL - Fig.4(j)'!L</v>
      </c>
      <c r="AG346">
        <v>-100.2569126004381</v>
      </c>
      <c r="AH346">
        <v>-82.450615050179124</v>
      </c>
      <c r="AI346">
        <f t="shared" si="51"/>
        <v>100.2569126004381</v>
      </c>
      <c r="AJ346">
        <f t="shared" si="51"/>
        <v>82.450615050179124</v>
      </c>
    </row>
    <row r="347" spans="9:36">
      <c r="I347">
        <v>100</v>
      </c>
      <c r="J347" t="s">
        <v>284</v>
      </c>
      <c r="K347" s="2" t="s">
        <v>303</v>
      </c>
      <c r="M347">
        <v>28.911339871198248</v>
      </c>
      <c r="N347">
        <v>28.911339871198258</v>
      </c>
      <c r="O347">
        <v>17.346803922718955</v>
      </c>
      <c r="P347">
        <v>23.12907189695861</v>
      </c>
      <c r="Q347">
        <v>192.24097622198209</v>
      </c>
      <c r="R347">
        <v>176.62110895178901</v>
      </c>
      <c r="S347">
        <v>5</v>
      </c>
      <c r="T347">
        <v>1</v>
      </c>
      <c r="U347" t="s">
        <v>2852</v>
      </c>
      <c r="W347" t="e">
        <f t="shared" ca="1" si="59"/>
        <v>#REF!</v>
      </c>
      <c r="X347" t="e">
        <f t="shared" ca="1" si="46"/>
        <v>#REF!</v>
      </c>
      <c r="Y347" t="e">
        <f t="shared" ca="1" si="60"/>
        <v>#REF!</v>
      </c>
      <c r="Z347" t="e">
        <f t="shared" ca="1" si="47"/>
        <v>#REF!</v>
      </c>
      <c r="AA347" s="152" t="e">
        <f t="shared" ca="1" si="69"/>
        <v>#REF!</v>
      </c>
      <c r="AB347" s="152" t="e">
        <f t="shared" ca="1" si="66"/>
        <v>#REF!</v>
      </c>
      <c r="AC347">
        <v>5</v>
      </c>
      <c r="AD347">
        <v>1</v>
      </c>
      <c r="AE347" t="str">
        <f t="shared" si="70"/>
        <v>'[2022 - Aryapratama &amp; Pauliuk - STE - AppF.xlsx]GWPdyn_RIL - Fig.4(j)'!L</v>
      </c>
      <c r="AG347">
        <v>-192.24097622198209</v>
      </c>
      <c r="AH347">
        <v>-176.62110895178901</v>
      </c>
      <c r="AI347">
        <f t="shared" si="51"/>
        <v>192.24097622198209</v>
      </c>
      <c r="AJ347">
        <f t="shared" si="51"/>
        <v>176.62110895178901</v>
      </c>
    </row>
    <row r="348" spans="9:36">
      <c r="I348">
        <v>200</v>
      </c>
      <c r="J348" t="s">
        <v>284</v>
      </c>
      <c r="K348" s="2" t="s">
        <v>303</v>
      </c>
      <c r="M348">
        <v>57.822679742396488</v>
      </c>
      <c r="N348">
        <v>57.822679742396517</v>
      </c>
      <c r="O348">
        <v>34.69360784543791</v>
      </c>
      <c r="P348">
        <v>46.25814379391722</v>
      </c>
      <c r="Q348">
        <v>377.50107760210591</v>
      </c>
      <c r="R348">
        <v>365.10563504552567</v>
      </c>
      <c r="S348">
        <v>5</v>
      </c>
      <c r="T348">
        <v>1</v>
      </c>
      <c r="U348" t="s">
        <v>2852</v>
      </c>
      <c r="W348" t="e">
        <f t="shared" ca="1" si="59"/>
        <v>#REF!</v>
      </c>
      <c r="X348" t="e">
        <f t="shared" ca="1" si="46"/>
        <v>#REF!</v>
      </c>
      <c r="Y348" t="e">
        <f t="shared" ca="1" si="60"/>
        <v>#REF!</v>
      </c>
      <c r="Z348" t="e">
        <f t="shared" ca="1" si="47"/>
        <v>#REF!</v>
      </c>
      <c r="AA348" s="152" t="e">
        <f t="shared" ca="1" si="69"/>
        <v>#REF!</v>
      </c>
      <c r="AB348" s="152" t="e">
        <f t="shared" ca="1" si="66"/>
        <v>#REF!</v>
      </c>
      <c r="AC348">
        <v>5</v>
      </c>
      <c r="AD348">
        <v>1</v>
      </c>
      <c r="AE348" t="str">
        <f t="shared" si="70"/>
        <v>'[2022 - Aryapratama &amp; Pauliuk - STE - AppF.xlsx]GWPdyn_RIL - Fig.4(j)'!L</v>
      </c>
      <c r="AG348">
        <v>-377.50107760210591</v>
      </c>
      <c r="AH348">
        <v>-365.10563504552567</v>
      </c>
      <c r="AI348">
        <f t="shared" si="51"/>
        <v>377.50107760210591</v>
      </c>
      <c r="AJ348">
        <f t="shared" si="51"/>
        <v>365.10563504552567</v>
      </c>
    </row>
    <row r="349" spans="9:36">
      <c r="I349">
        <v>50</v>
      </c>
      <c r="J349" t="s">
        <v>283</v>
      </c>
      <c r="K349" s="2" t="s">
        <v>312</v>
      </c>
      <c r="M349">
        <v>19.274226580798832</v>
      </c>
      <c r="N349">
        <v>19.274226580798839</v>
      </c>
      <c r="O349">
        <v>11.564535948479303</v>
      </c>
      <c r="P349">
        <v>15.419381264639073</v>
      </c>
      <c r="Q349">
        <v>185.09042564065231</v>
      </c>
      <c r="R349">
        <v>167.28412809039341</v>
      </c>
      <c r="S349">
        <v>7</v>
      </c>
      <c r="T349">
        <v>1</v>
      </c>
      <c r="U349" t="s">
        <v>2852</v>
      </c>
      <c r="W349" t="e">
        <f t="shared" ca="1" si="59"/>
        <v>#REF!</v>
      </c>
      <c r="X349" t="e">
        <f t="shared" ca="1" si="46"/>
        <v>#REF!</v>
      </c>
      <c r="Y349" t="e">
        <f t="shared" ca="1" si="60"/>
        <v>#REF!</v>
      </c>
      <c r="Z349" t="e">
        <f t="shared" ca="1" si="47"/>
        <v>#REF!</v>
      </c>
      <c r="AA349" s="152" t="e">
        <f t="shared" ca="1" si="69"/>
        <v>#REF!</v>
      </c>
      <c r="AB349" s="152" t="e">
        <f t="shared" ca="1" si="66"/>
        <v>#REF!</v>
      </c>
      <c r="AC349">
        <v>7</v>
      </c>
      <c r="AD349">
        <v>1</v>
      </c>
      <c r="AE349" t="str">
        <f t="shared" si="70"/>
        <v>'[2022 - Aryapratama &amp; Pauliuk - STE - AppF.xlsx]GWPdyn_RIL - Fig.4(j)'!L</v>
      </c>
      <c r="AG349">
        <v>-185.09042564065231</v>
      </c>
      <c r="AH349">
        <v>-167.28412809039341</v>
      </c>
      <c r="AI349">
        <f t="shared" si="51"/>
        <v>185.09042564065231</v>
      </c>
      <c r="AJ349">
        <f t="shared" si="51"/>
        <v>167.28412809039341</v>
      </c>
    </row>
    <row r="350" spans="9:36">
      <c r="I350">
        <v>100</v>
      </c>
      <c r="J350" t="s">
        <v>283</v>
      </c>
      <c r="K350" s="2" t="s">
        <v>312</v>
      </c>
      <c r="M350">
        <v>28.911339871198248</v>
      </c>
      <c r="N350">
        <v>28.911339871198258</v>
      </c>
      <c r="O350">
        <v>17.346803922718955</v>
      </c>
      <c r="P350">
        <v>23.12907189695861</v>
      </c>
      <c r="Q350">
        <v>369.9239668180054</v>
      </c>
      <c r="R350">
        <v>354.30409954781243</v>
      </c>
      <c r="S350">
        <v>7</v>
      </c>
      <c r="T350">
        <v>1</v>
      </c>
      <c r="U350" t="s">
        <v>2852</v>
      </c>
      <c r="W350" t="e">
        <f t="shared" ca="1" si="59"/>
        <v>#REF!</v>
      </c>
      <c r="X350" t="e">
        <f t="shared" ref="X350:X357" ca="1" si="71">SUM(INDIRECT("'[2022 - Aryapratama &amp; Pauliuk - STE - AppD.xlsx]"&amp;$K350&amp;"'!D2:D"&amp;$I350+1))</f>
        <v>#REF!</v>
      </c>
      <c r="Y350" t="e">
        <f t="shared" ca="1" si="60"/>
        <v>#REF!</v>
      </c>
      <c r="Z350" t="e">
        <f t="shared" ref="Z350:Z357" ca="1" si="72">SUM(INDIRECT("'[2022 - Aryapratama &amp; Pauliuk - STE - AppD.xlsx]"&amp;$K350&amp;"'!H2:H"&amp;$I350+1))</f>
        <v>#REF!</v>
      </c>
      <c r="AA350" s="152" t="e">
        <f t="shared" ca="1" si="69"/>
        <v>#REF!</v>
      </c>
      <c r="AB350" s="152" t="e">
        <f t="shared" ca="1" si="66"/>
        <v>#REF!</v>
      </c>
      <c r="AC350">
        <v>7</v>
      </c>
      <c r="AD350">
        <v>1</v>
      </c>
      <c r="AE350" t="str">
        <f t="shared" si="70"/>
        <v>'[2022 - Aryapratama &amp; Pauliuk - STE - AppF.xlsx]GWPdyn_RIL - Fig.4(j)'!L</v>
      </c>
      <c r="AG350">
        <v>-369.9239668180054</v>
      </c>
      <c r="AH350">
        <v>-354.30409954781243</v>
      </c>
      <c r="AI350">
        <f t="shared" ref="AI350:AJ357" si="73">-AG350</f>
        <v>369.9239668180054</v>
      </c>
      <c r="AJ350">
        <f t="shared" si="73"/>
        <v>354.30409954781243</v>
      </c>
    </row>
    <row r="351" spans="9:36">
      <c r="I351">
        <v>200</v>
      </c>
      <c r="J351" t="s">
        <v>283</v>
      </c>
      <c r="K351" s="2" t="s">
        <v>312</v>
      </c>
      <c r="M351">
        <v>57.822679742396488</v>
      </c>
      <c r="N351">
        <v>57.822679742396517</v>
      </c>
      <c r="O351">
        <v>34.69360784543791</v>
      </c>
      <c r="P351">
        <v>46.25814379391722</v>
      </c>
      <c r="Q351">
        <v>739.24076084648095</v>
      </c>
      <c r="R351">
        <v>726.845318289901</v>
      </c>
      <c r="S351">
        <v>7</v>
      </c>
      <c r="T351">
        <v>1</v>
      </c>
      <c r="U351" t="s">
        <v>2852</v>
      </c>
      <c r="W351" t="e">
        <f t="shared" ca="1" si="59"/>
        <v>#REF!</v>
      </c>
      <c r="X351" t="e">
        <f t="shared" ca="1" si="71"/>
        <v>#REF!</v>
      </c>
      <c r="Y351" t="e">
        <f t="shared" ca="1" si="60"/>
        <v>#REF!</v>
      </c>
      <c r="Z351" t="e">
        <f t="shared" ca="1" si="72"/>
        <v>#REF!</v>
      </c>
      <c r="AA351" s="152" t="e">
        <f t="shared" ca="1" si="69"/>
        <v>#REF!</v>
      </c>
      <c r="AB351" s="152" t="e">
        <f t="shared" ca="1" si="66"/>
        <v>#REF!</v>
      </c>
      <c r="AC351">
        <v>7</v>
      </c>
      <c r="AD351">
        <v>1</v>
      </c>
      <c r="AE351" t="str">
        <f t="shared" si="70"/>
        <v>'[2022 - Aryapratama &amp; Pauliuk - STE - AppF.xlsx]GWPdyn_RIL - Fig.4(j)'!L</v>
      </c>
      <c r="AG351">
        <v>-739.24076084648095</v>
      </c>
      <c r="AH351">
        <v>-726.845318289901</v>
      </c>
      <c r="AI351">
        <f t="shared" si="73"/>
        <v>739.24076084648095</v>
      </c>
      <c r="AJ351">
        <f t="shared" si="73"/>
        <v>726.845318289901</v>
      </c>
    </row>
    <row r="352" spans="9:36">
      <c r="I352">
        <v>50</v>
      </c>
      <c r="J352" t="s">
        <v>283</v>
      </c>
      <c r="K352" s="2" t="s">
        <v>284</v>
      </c>
      <c r="M352">
        <v>19.274226580798832</v>
      </c>
      <c r="N352">
        <v>19.274226580798832</v>
      </c>
      <c r="O352">
        <v>11.564535948479303</v>
      </c>
      <c r="P352">
        <v>11.564535948479303</v>
      </c>
      <c r="Q352">
        <v>185.09042564065231</v>
      </c>
      <c r="R352">
        <v>100.2569126004381</v>
      </c>
      <c r="S352">
        <v>5</v>
      </c>
      <c r="T352">
        <v>1</v>
      </c>
      <c r="U352" t="s">
        <v>2852</v>
      </c>
      <c r="W352" t="e">
        <f t="shared" ca="1" si="59"/>
        <v>#REF!</v>
      </c>
      <c r="X352" t="e">
        <f t="shared" ca="1" si="71"/>
        <v>#REF!</v>
      </c>
      <c r="Y352" t="e">
        <f t="shared" ca="1" si="60"/>
        <v>#REF!</v>
      </c>
      <c r="Z352" t="e">
        <f t="shared" ca="1" si="72"/>
        <v>#REF!</v>
      </c>
      <c r="AA352" s="152" t="e">
        <f t="shared" ca="1" si="69"/>
        <v>#REF!</v>
      </c>
      <c r="AB352" s="152" t="e">
        <f t="shared" ca="1" si="66"/>
        <v>#REF!</v>
      </c>
      <c r="AC352">
        <v>5</v>
      </c>
      <c r="AD352">
        <v>1</v>
      </c>
      <c r="AE352" t="str">
        <f t="shared" si="70"/>
        <v>'[2022 - Aryapratama &amp; Pauliuk - STE - AppF.xlsx]GWPdyn_RIL - Fig.4(j)'!L</v>
      </c>
      <c r="AG352">
        <v>-185.09042564065231</v>
      </c>
      <c r="AH352">
        <v>-100.2569126004381</v>
      </c>
      <c r="AI352">
        <f t="shared" si="73"/>
        <v>185.09042564065231</v>
      </c>
      <c r="AJ352">
        <f t="shared" si="73"/>
        <v>100.2569126004381</v>
      </c>
    </row>
    <row r="353" spans="1:36">
      <c r="I353">
        <v>100</v>
      </c>
      <c r="J353" t="s">
        <v>283</v>
      </c>
      <c r="K353" s="2" t="s">
        <v>284</v>
      </c>
      <c r="M353">
        <v>28.911339871198248</v>
      </c>
      <c r="N353">
        <v>28.911339871198248</v>
      </c>
      <c r="O353">
        <v>17.346803922718955</v>
      </c>
      <c r="P353">
        <v>17.346803922718955</v>
      </c>
      <c r="Q353">
        <v>369.9239668180054</v>
      </c>
      <c r="R353">
        <v>192.24097622198209</v>
      </c>
      <c r="S353">
        <v>5</v>
      </c>
      <c r="T353">
        <v>1</v>
      </c>
      <c r="U353" t="s">
        <v>2852</v>
      </c>
      <c r="W353" t="e">
        <f t="shared" ca="1" si="59"/>
        <v>#REF!</v>
      </c>
      <c r="X353" t="e">
        <f t="shared" ca="1" si="71"/>
        <v>#REF!</v>
      </c>
      <c r="Y353" t="e">
        <f t="shared" ca="1" si="60"/>
        <v>#REF!</v>
      </c>
      <c r="Z353" t="e">
        <f t="shared" ca="1" si="72"/>
        <v>#REF!</v>
      </c>
      <c r="AA353" s="152" t="e">
        <f t="shared" ca="1" si="69"/>
        <v>#REF!</v>
      </c>
      <c r="AB353" s="152" t="e">
        <f t="shared" ca="1" si="66"/>
        <v>#REF!</v>
      </c>
      <c r="AC353">
        <v>5</v>
      </c>
      <c r="AD353">
        <v>1</v>
      </c>
      <c r="AE353" t="str">
        <f t="shared" si="70"/>
        <v>'[2022 - Aryapratama &amp; Pauliuk - STE - AppF.xlsx]GWPdyn_RIL - Fig.4(j)'!L</v>
      </c>
      <c r="AG353">
        <v>-369.9239668180054</v>
      </c>
      <c r="AH353">
        <v>-192.24097622198209</v>
      </c>
      <c r="AI353">
        <f t="shared" si="73"/>
        <v>369.9239668180054</v>
      </c>
      <c r="AJ353">
        <f t="shared" si="73"/>
        <v>192.24097622198209</v>
      </c>
    </row>
    <row r="354" spans="1:36">
      <c r="I354">
        <v>200</v>
      </c>
      <c r="J354" t="s">
        <v>283</v>
      </c>
      <c r="K354" s="2" t="s">
        <v>284</v>
      </c>
      <c r="M354">
        <v>57.822679742396488</v>
      </c>
      <c r="N354">
        <v>57.822679742396488</v>
      </c>
      <c r="O354">
        <v>34.69360784543791</v>
      </c>
      <c r="P354">
        <v>34.69360784543791</v>
      </c>
      <c r="Q354">
        <v>739.24076084648095</v>
      </c>
      <c r="R354">
        <v>377.50107760210591</v>
      </c>
      <c r="S354">
        <v>5</v>
      </c>
      <c r="T354">
        <v>1</v>
      </c>
      <c r="U354" t="s">
        <v>2852</v>
      </c>
      <c r="W354" t="e">
        <f t="shared" ca="1" si="59"/>
        <v>#REF!</v>
      </c>
      <c r="X354" t="e">
        <f t="shared" ca="1" si="71"/>
        <v>#REF!</v>
      </c>
      <c r="Y354" t="e">
        <f t="shared" ca="1" si="60"/>
        <v>#REF!</v>
      </c>
      <c r="Z354" t="e">
        <f t="shared" ca="1" si="72"/>
        <v>#REF!</v>
      </c>
      <c r="AA354" s="152" t="e">
        <f t="shared" ca="1" si="69"/>
        <v>#REF!</v>
      </c>
      <c r="AB354" s="152" t="e">
        <f t="shared" ca="1" si="66"/>
        <v>#REF!</v>
      </c>
      <c r="AC354">
        <v>5</v>
      </c>
      <c r="AD354">
        <v>1</v>
      </c>
      <c r="AE354" t="str">
        <f t="shared" si="70"/>
        <v>'[2022 - Aryapratama &amp; Pauliuk - STE - AppF.xlsx]GWPdyn_RIL - Fig.4(j)'!L</v>
      </c>
      <c r="AG354">
        <v>-739.24076084648095</v>
      </c>
      <c r="AH354">
        <v>-377.50107760210591</v>
      </c>
      <c r="AI354">
        <f t="shared" si="73"/>
        <v>739.24076084648095</v>
      </c>
      <c r="AJ354">
        <f t="shared" si="73"/>
        <v>377.50107760210591</v>
      </c>
    </row>
    <row r="355" spans="1:36">
      <c r="I355">
        <v>50</v>
      </c>
      <c r="J355" t="s">
        <v>312</v>
      </c>
      <c r="K355" s="2" t="s">
        <v>303</v>
      </c>
      <c r="M355">
        <v>19.274226580798839</v>
      </c>
      <c r="N355">
        <v>19.274226580798839</v>
      </c>
      <c r="O355">
        <v>15.419381264639073</v>
      </c>
      <c r="P355">
        <v>15.419381264639073</v>
      </c>
      <c r="Q355">
        <v>167.28412809039341</v>
      </c>
      <c r="R355">
        <v>82.450615050179124</v>
      </c>
      <c r="S355">
        <v>5</v>
      </c>
      <c r="T355">
        <v>1</v>
      </c>
      <c r="U355" t="s">
        <v>2852</v>
      </c>
      <c r="W355" t="e">
        <f t="shared" ca="1" si="59"/>
        <v>#REF!</v>
      </c>
      <c r="X355" t="e">
        <f t="shared" ca="1" si="71"/>
        <v>#REF!</v>
      </c>
      <c r="Y355" t="e">
        <f t="shared" ca="1" si="60"/>
        <v>#REF!</v>
      </c>
      <c r="Z355" t="e">
        <f t="shared" ca="1" si="72"/>
        <v>#REF!</v>
      </c>
      <c r="AA355" s="152" t="e">
        <f t="shared" ca="1" si="69"/>
        <v>#REF!</v>
      </c>
      <c r="AB355" s="152" t="e">
        <f t="shared" ca="1" si="66"/>
        <v>#REF!</v>
      </c>
      <c r="AC355">
        <v>5</v>
      </c>
      <c r="AD355">
        <v>1</v>
      </c>
      <c r="AE355" t="str">
        <f t="shared" si="70"/>
        <v>'[2022 - Aryapratama &amp; Pauliuk - STE - AppF.xlsx]GWPdyn_RIL - Fig.4(j)'!L</v>
      </c>
      <c r="AG355">
        <v>-167.28412809039341</v>
      </c>
      <c r="AH355">
        <v>-82.450615050179124</v>
      </c>
      <c r="AI355">
        <f t="shared" si="73"/>
        <v>167.28412809039341</v>
      </c>
      <c r="AJ355">
        <f t="shared" si="73"/>
        <v>82.450615050179124</v>
      </c>
    </row>
    <row r="356" spans="1:36">
      <c r="I356">
        <v>100</v>
      </c>
      <c r="J356" t="s">
        <v>312</v>
      </c>
      <c r="K356" s="2" t="s">
        <v>303</v>
      </c>
      <c r="M356">
        <v>28.911339871198258</v>
      </c>
      <c r="N356">
        <v>28.911339871198258</v>
      </c>
      <c r="O356">
        <v>23.12907189695861</v>
      </c>
      <c r="P356">
        <v>23.12907189695861</v>
      </c>
      <c r="Q356">
        <v>354.30409954781243</v>
      </c>
      <c r="R356">
        <v>176.62110895178901</v>
      </c>
      <c r="S356">
        <v>5</v>
      </c>
      <c r="T356">
        <v>1</v>
      </c>
      <c r="U356" t="s">
        <v>2852</v>
      </c>
      <c r="W356" t="e">
        <f t="shared" ca="1" si="59"/>
        <v>#REF!</v>
      </c>
      <c r="X356" t="e">
        <f t="shared" ca="1" si="71"/>
        <v>#REF!</v>
      </c>
      <c r="Y356" t="e">
        <f t="shared" ca="1" si="60"/>
        <v>#REF!</v>
      </c>
      <c r="Z356" t="e">
        <f t="shared" ca="1" si="72"/>
        <v>#REF!</v>
      </c>
      <c r="AA356" s="152" t="e">
        <f t="shared" ca="1" si="69"/>
        <v>#REF!</v>
      </c>
      <c r="AB356" s="152" t="e">
        <f t="shared" ca="1" si="66"/>
        <v>#REF!</v>
      </c>
      <c r="AC356">
        <v>5</v>
      </c>
      <c r="AD356">
        <v>1</v>
      </c>
      <c r="AE356" t="str">
        <f t="shared" si="70"/>
        <v>'[2022 - Aryapratama &amp; Pauliuk - STE - AppF.xlsx]GWPdyn_RIL - Fig.4(j)'!L</v>
      </c>
      <c r="AG356">
        <v>-354.30409954781243</v>
      </c>
      <c r="AH356">
        <v>-176.62110895178901</v>
      </c>
      <c r="AI356">
        <f t="shared" si="73"/>
        <v>354.30409954781243</v>
      </c>
      <c r="AJ356">
        <f t="shared" si="73"/>
        <v>176.62110895178901</v>
      </c>
    </row>
    <row r="357" spans="1:36">
      <c r="I357">
        <v>200</v>
      </c>
      <c r="J357" t="s">
        <v>312</v>
      </c>
      <c r="K357" s="2" t="s">
        <v>303</v>
      </c>
      <c r="M357">
        <v>57.822679742396517</v>
      </c>
      <c r="N357">
        <v>57.822679742396517</v>
      </c>
      <c r="O357">
        <v>46.25814379391722</v>
      </c>
      <c r="P357">
        <v>46.25814379391722</v>
      </c>
      <c r="Q357">
        <v>726.845318289901</v>
      </c>
      <c r="R357">
        <v>365.10563504552567</v>
      </c>
      <c r="S357">
        <v>5</v>
      </c>
      <c r="T357">
        <v>1</v>
      </c>
      <c r="U357" t="s">
        <v>2852</v>
      </c>
      <c r="W357" t="e">
        <f t="shared" ca="1" si="59"/>
        <v>#REF!</v>
      </c>
      <c r="X357" t="e">
        <f t="shared" ca="1" si="71"/>
        <v>#REF!</v>
      </c>
      <c r="Y357" t="e">
        <f t="shared" ca="1" si="60"/>
        <v>#REF!</v>
      </c>
      <c r="Z357" t="e">
        <f t="shared" ca="1" si="72"/>
        <v>#REF!</v>
      </c>
      <c r="AA357" s="152" t="e">
        <f t="shared" ca="1" si="69"/>
        <v>#REF!</v>
      </c>
      <c r="AB357" s="152" t="e">
        <f t="shared" ca="1" si="66"/>
        <v>#REF!</v>
      </c>
      <c r="AC357">
        <v>5</v>
      </c>
      <c r="AD357">
        <v>1</v>
      </c>
      <c r="AE357" t="str">
        <f t="shared" si="70"/>
        <v>'[2022 - Aryapratama &amp; Pauliuk - STE - AppF.xlsx]GWPdyn_RIL - Fig.4(j)'!L</v>
      </c>
      <c r="AG357">
        <v>-726.845318289901</v>
      </c>
      <c r="AH357">
        <v>-365.10563504552567</v>
      </c>
      <c r="AI357">
        <f t="shared" si="73"/>
        <v>726.845318289901</v>
      </c>
      <c r="AJ357">
        <f t="shared" si="73"/>
        <v>365.10563504552567</v>
      </c>
    </row>
    <row r="359" spans="1:36">
      <c r="A359" t="s">
        <v>2855</v>
      </c>
      <c r="R359" t="s">
        <v>2856</v>
      </c>
      <c r="U359" t="s">
        <v>2857</v>
      </c>
      <c r="X359" t="s">
        <v>2858</v>
      </c>
      <c r="AA359" t="s">
        <v>1280</v>
      </c>
    </row>
    <row r="360" spans="1:36">
      <c r="N360" t="s">
        <v>2818</v>
      </c>
      <c r="O360" t="s">
        <v>2819</v>
      </c>
      <c r="R360" t="s">
        <v>1111</v>
      </c>
      <c r="S360" t="s">
        <v>1279</v>
      </c>
      <c r="T360" t="s">
        <v>1285</v>
      </c>
      <c r="U360" t="s">
        <v>1111</v>
      </c>
      <c r="V360" t="s">
        <v>1279</v>
      </c>
      <c r="W360" t="s">
        <v>1285</v>
      </c>
      <c r="X360" t="s">
        <v>1111</v>
      </c>
      <c r="Y360" t="s">
        <v>1279</v>
      </c>
      <c r="Z360" t="s">
        <v>1285</v>
      </c>
      <c r="AA360" t="s">
        <v>1111</v>
      </c>
      <c r="AB360" t="s">
        <v>1279</v>
      </c>
      <c r="AC360" t="s">
        <v>1285</v>
      </c>
    </row>
    <row r="361" spans="1:36">
      <c r="K361" t="s">
        <v>1279</v>
      </c>
      <c r="L361">
        <v>50</v>
      </c>
      <c r="M361" t="s">
        <v>2859</v>
      </c>
      <c r="N361">
        <f>R$366</f>
        <v>30.8433734939759</v>
      </c>
      <c r="O361">
        <f>S$366</f>
        <v>30.8433734939759</v>
      </c>
      <c r="Q361">
        <v>2009.6774193548299</v>
      </c>
      <c r="R361">
        <v>17.951807228915602</v>
      </c>
      <c r="S361">
        <v>16.867469879518001</v>
      </c>
      <c r="T361">
        <v>15.1857198378768</v>
      </c>
      <c r="U361">
        <v>9.3160377358490507</v>
      </c>
      <c r="V361">
        <v>9.3160377358490507</v>
      </c>
      <c r="W361">
        <v>9.3160377358490507</v>
      </c>
      <c r="X361">
        <v>0</v>
      </c>
      <c r="Y361">
        <v>0</v>
      </c>
      <c r="Z361">
        <v>0</v>
      </c>
      <c r="AA361">
        <v>0</v>
      </c>
      <c r="AB361">
        <v>0</v>
      </c>
      <c r="AC361">
        <v>0</v>
      </c>
    </row>
    <row r="362" spans="1:36">
      <c r="K362" t="s">
        <v>1279</v>
      </c>
      <c r="L362">
        <v>50</v>
      </c>
      <c r="M362" t="s">
        <v>2711</v>
      </c>
      <c r="N362">
        <f>R$365+U$365</f>
        <v>33.994657876790122</v>
      </c>
      <c r="O362">
        <f>S$365+V$365</f>
        <v>34.185894521482062</v>
      </c>
      <c r="Q362">
        <v>2020</v>
      </c>
      <c r="R362">
        <v>21.445783132530099</v>
      </c>
      <c r="S362">
        <v>20.361445783132499</v>
      </c>
      <c r="T362">
        <v>19.1771695075231</v>
      </c>
      <c r="U362">
        <v>7.9481132075471601</v>
      </c>
      <c r="V362">
        <v>7.9009433962264097</v>
      </c>
      <c r="W362">
        <v>7.8066037735849001</v>
      </c>
      <c r="X362">
        <v>0.49740932642487001</v>
      </c>
      <c r="Y362">
        <v>0.51813471502590502</v>
      </c>
      <c r="Z362">
        <v>0.51813471502590502</v>
      </c>
      <c r="AA362">
        <f t="shared" ref="AA362:AA370" si="74">(SUM(M$402:M402)*5)</f>
        <v>1.6995073891625601</v>
      </c>
      <c r="AB362">
        <f t="shared" ref="AB362:AB370" si="75">(SUM(N$402:N402)*5)</f>
        <v>1.5763546798029551</v>
      </c>
      <c r="AC362">
        <f t="shared" ref="AC362:AC370" si="76">(SUM(O$402:O402)*5)</f>
        <v>1.600985221674875</v>
      </c>
    </row>
    <row r="363" spans="1:36">
      <c r="K363" t="s">
        <v>1279</v>
      </c>
      <c r="L363">
        <v>50</v>
      </c>
      <c r="M363" t="s">
        <v>2860</v>
      </c>
      <c r="N363">
        <f>+R$366+U$366+X$366</f>
        <v>38.33684792940457</v>
      </c>
      <c r="O363">
        <f>+S$366+V$366+Y$366</f>
        <v>39.060818992069535</v>
      </c>
      <c r="Q363">
        <v>2029.9539170506901</v>
      </c>
      <c r="R363">
        <v>20.722891566265002</v>
      </c>
      <c r="S363">
        <v>20.120481927710799</v>
      </c>
      <c r="T363">
        <v>20.034978624174101</v>
      </c>
      <c r="U363">
        <v>6.9575471698113196</v>
      </c>
      <c r="V363">
        <v>6.8867924528301803</v>
      </c>
      <c r="W363">
        <v>6.8396226415094299</v>
      </c>
      <c r="X363">
        <v>1.0777202072538801</v>
      </c>
      <c r="Y363">
        <v>1.1191709844559501</v>
      </c>
      <c r="Z363">
        <v>1.09844559585492</v>
      </c>
      <c r="AA363">
        <f t="shared" si="74"/>
        <v>3.6206896551724101</v>
      </c>
      <c r="AB363">
        <f t="shared" si="75"/>
        <v>3.3374384236453203</v>
      </c>
      <c r="AC363">
        <f t="shared" si="76"/>
        <v>3.2142857142857095</v>
      </c>
    </row>
    <row r="364" spans="1:36">
      <c r="K364" t="s">
        <v>1279</v>
      </c>
      <c r="L364">
        <v>90</v>
      </c>
      <c r="M364" t="s">
        <v>2859</v>
      </c>
      <c r="N364">
        <f>R$370</f>
        <v>32.530120481927703</v>
      </c>
      <c r="O364">
        <f>S$370</f>
        <v>35.060240963855399</v>
      </c>
      <c r="Q364">
        <v>2039.17050691244</v>
      </c>
      <c r="R364">
        <v>23.855421686746901</v>
      </c>
      <c r="S364">
        <v>24.216867469879499</v>
      </c>
      <c r="T364">
        <v>24.508356004663799</v>
      </c>
      <c r="U364">
        <v>5.9198113207547101</v>
      </c>
      <c r="V364">
        <v>6.0141509433962197</v>
      </c>
      <c r="W364">
        <v>6.2264150943396199</v>
      </c>
      <c r="X364">
        <v>1.36787564766839</v>
      </c>
      <c r="Y364">
        <v>1.5129533678756399</v>
      </c>
      <c r="Z364">
        <v>1.6580310880828999</v>
      </c>
      <c r="AA364">
        <f t="shared" si="74"/>
        <v>5.2216748768472847</v>
      </c>
      <c r="AB364">
        <f t="shared" si="75"/>
        <v>5.0985221674876851</v>
      </c>
      <c r="AC364">
        <f t="shared" si="76"/>
        <v>5.1600985221674804</v>
      </c>
    </row>
    <row r="365" spans="1:36">
      <c r="K365" t="s">
        <v>1279</v>
      </c>
      <c r="L365">
        <v>90</v>
      </c>
      <c r="M365" t="s">
        <v>2711</v>
      </c>
      <c r="N365">
        <f>R$365+U$365</f>
        <v>33.994657876790122</v>
      </c>
      <c r="O365">
        <f>S$365+V$365</f>
        <v>34.185894521482062</v>
      </c>
      <c r="Q365">
        <v>2049.4930875576001</v>
      </c>
      <c r="R365">
        <v>28.192771084337299</v>
      </c>
      <c r="S365">
        <v>28.313253012048101</v>
      </c>
      <c r="T365">
        <v>28.619177169507498</v>
      </c>
      <c r="U365">
        <v>5.8018867924528204</v>
      </c>
      <c r="V365">
        <v>5.8726415094339597</v>
      </c>
      <c r="W365">
        <v>6.2028301886792399</v>
      </c>
      <c r="X365">
        <v>2.1554404145077699</v>
      </c>
      <c r="Y365">
        <v>2.4870466321243501</v>
      </c>
      <c r="Z365">
        <v>2.7150259067357401</v>
      </c>
      <c r="AA365">
        <f t="shared" si="74"/>
        <v>8.1403940886699448</v>
      </c>
      <c r="AB365">
        <f t="shared" si="75"/>
        <v>8.091133004926105</v>
      </c>
      <c r="AC365">
        <f t="shared" si="76"/>
        <v>8.3990147783251157</v>
      </c>
    </row>
    <row r="366" spans="1:36">
      <c r="K366" t="s">
        <v>1279</v>
      </c>
      <c r="L366">
        <v>90</v>
      </c>
      <c r="M366" t="s">
        <v>2860</v>
      </c>
      <c r="N366">
        <f>+R$370+U$370+X$370</f>
        <v>42.123971298234274</v>
      </c>
      <c r="O366">
        <f>+S$370+V$370+Y$370</f>
        <v>45.12148839762213</v>
      </c>
      <c r="Q366">
        <v>2059.8156682027602</v>
      </c>
      <c r="R366">
        <v>30.8433734939759</v>
      </c>
      <c r="S366">
        <v>30.8433734939759</v>
      </c>
      <c r="T366">
        <v>31.526844706012898</v>
      </c>
      <c r="U366">
        <v>4.8820754716981103</v>
      </c>
      <c r="V366">
        <v>5.2122641509433896</v>
      </c>
      <c r="W366">
        <v>5.75471698113207</v>
      </c>
      <c r="X366">
        <v>2.6113989637305601</v>
      </c>
      <c r="Y366">
        <v>3.0051813471502502</v>
      </c>
      <c r="Z366">
        <v>3.3989637305699398</v>
      </c>
      <c r="AA366">
        <f t="shared" si="74"/>
        <v>10.270935960591125</v>
      </c>
      <c r="AB366">
        <f t="shared" si="75"/>
        <v>10.566502463054182</v>
      </c>
      <c r="AC366">
        <f t="shared" si="76"/>
        <v>11.20689655172413</v>
      </c>
    </row>
    <row r="367" spans="1:36">
      <c r="K367" t="s">
        <v>1285</v>
      </c>
      <c r="L367">
        <v>50</v>
      </c>
      <c r="M367" t="s">
        <v>2859</v>
      </c>
      <c r="N367">
        <f>R$366</f>
        <v>30.8433734939759</v>
      </c>
      <c r="O367">
        <f>T$366</f>
        <v>31.526844706012898</v>
      </c>
      <c r="Q367">
        <v>2070.1382488479198</v>
      </c>
      <c r="R367">
        <v>32.048192771084302</v>
      </c>
      <c r="S367">
        <v>31.927710843373401</v>
      </c>
      <c r="T367">
        <v>33.347954028093902</v>
      </c>
      <c r="U367">
        <v>5.3537735849056496</v>
      </c>
      <c r="V367">
        <v>5.2594339622641497</v>
      </c>
      <c r="W367">
        <v>5.5660377358490498</v>
      </c>
      <c r="X367">
        <v>3.8134715025906698</v>
      </c>
      <c r="Y367">
        <v>4.1243523316062101</v>
      </c>
      <c r="Z367">
        <v>4.4145077720207198</v>
      </c>
      <c r="AA367">
        <f t="shared" si="74"/>
        <v>14.347290640394078</v>
      </c>
      <c r="AB367">
        <f t="shared" si="75"/>
        <v>14.039408866995068</v>
      </c>
      <c r="AC367">
        <f t="shared" si="76"/>
        <v>14.310344827586196</v>
      </c>
    </row>
    <row r="368" spans="1:36">
      <c r="K368" t="s">
        <v>1285</v>
      </c>
      <c r="L368">
        <v>50</v>
      </c>
      <c r="M368" t="s">
        <v>2711</v>
      </c>
      <c r="N368">
        <f>R$365+U$365</f>
        <v>33.994657876790122</v>
      </c>
      <c r="O368">
        <f>T$365+W$365</f>
        <v>34.822007358186738</v>
      </c>
      <c r="Q368">
        <v>2080.82949308755</v>
      </c>
      <c r="R368">
        <v>31.6867469879518</v>
      </c>
      <c r="S368">
        <v>32.289156626505999</v>
      </c>
      <c r="T368">
        <v>36.3761034923102</v>
      </c>
      <c r="U368">
        <v>4.8820754716981103</v>
      </c>
      <c r="V368">
        <v>4.9056603773584797</v>
      </c>
      <c r="W368">
        <v>5.2122641509433896</v>
      </c>
      <c r="X368">
        <v>4.6217616580310796</v>
      </c>
      <c r="Y368">
        <v>4.9326424870466301</v>
      </c>
      <c r="Z368">
        <v>5.2642487046632098</v>
      </c>
      <c r="AA368">
        <f t="shared" si="74"/>
        <v>17.573891625615751</v>
      </c>
      <c r="AB368">
        <f t="shared" si="75"/>
        <v>16.871921182266</v>
      </c>
      <c r="AC368">
        <f t="shared" si="76"/>
        <v>17.068965517241367</v>
      </c>
    </row>
    <row r="369" spans="11:29">
      <c r="K369" t="s">
        <v>1285</v>
      </c>
      <c r="L369">
        <v>50</v>
      </c>
      <c r="M369" t="s">
        <v>2860</v>
      </c>
      <c r="N369">
        <f>+R$366+U$366+X$366</f>
        <v>38.33684792940457</v>
      </c>
      <c r="O369">
        <f>+T$366+W$366+Z$366</f>
        <v>40.680525417714911</v>
      </c>
      <c r="Q369">
        <v>2091.8894009216501</v>
      </c>
      <c r="R369">
        <v>32.289156626505999</v>
      </c>
      <c r="S369">
        <v>33.734939759036102</v>
      </c>
      <c r="T369">
        <v>39.642995946921303</v>
      </c>
      <c r="U369">
        <v>4.2924528301886697</v>
      </c>
      <c r="V369">
        <v>4.3396226415094299</v>
      </c>
      <c r="W369">
        <v>4.8584905660377302</v>
      </c>
      <c r="X369">
        <v>5.1606217616580201</v>
      </c>
      <c r="Y369">
        <v>5.5129533678756397</v>
      </c>
      <c r="Z369">
        <v>5.9689119170984402</v>
      </c>
      <c r="AA369">
        <f t="shared" si="74"/>
        <v>19.950738916256142</v>
      </c>
      <c r="AB369">
        <f t="shared" si="75"/>
        <v>19.088669950738904</v>
      </c>
      <c r="AC369">
        <f t="shared" si="76"/>
        <v>19.51970443349752</v>
      </c>
    </row>
    <row r="370" spans="11:29">
      <c r="K370" t="s">
        <v>1285</v>
      </c>
      <c r="L370">
        <v>90</v>
      </c>
      <c r="M370" t="s">
        <v>2859</v>
      </c>
      <c r="N370">
        <f>R$370</f>
        <v>32.530120481927703</v>
      </c>
      <c r="O370">
        <f>T$370</f>
        <v>42.671145411137601</v>
      </c>
      <c r="Q370">
        <v>2100</v>
      </c>
      <c r="R370">
        <v>32.530120481927703</v>
      </c>
      <c r="S370">
        <v>35.060240963855399</v>
      </c>
      <c r="T370">
        <v>42.671145411137601</v>
      </c>
      <c r="U370">
        <v>3.9150943396226401</v>
      </c>
      <c r="V370">
        <v>4.0094339622641497</v>
      </c>
      <c r="W370">
        <v>4.7877358490565998</v>
      </c>
      <c r="X370">
        <v>5.6787564766839296</v>
      </c>
      <c r="Y370">
        <v>6.0518134715025802</v>
      </c>
      <c r="Z370">
        <v>6.7564766839378203</v>
      </c>
      <c r="AA370">
        <f t="shared" si="74"/>
        <v>22.204433497536925</v>
      </c>
      <c r="AB370">
        <f t="shared" si="75"/>
        <v>21.305418719211811</v>
      </c>
      <c r="AC370">
        <f t="shared" si="76"/>
        <v>22.426108374384221</v>
      </c>
    </row>
    <row r="371" spans="11:29">
      <c r="K371" t="s">
        <v>1285</v>
      </c>
      <c r="L371">
        <v>90</v>
      </c>
      <c r="M371" t="s">
        <v>2711</v>
      </c>
      <c r="N371">
        <f>R$365+U$365</f>
        <v>33.994657876790122</v>
      </c>
      <c r="O371">
        <f>T$365+W$365</f>
        <v>34.822007358186738</v>
      </c>
    </row>
    <row r="372" spans="11:29">
      <c r="K372" t="s">
        <v>1285</v>
      </c>
      <c r="L372">
        <v>90</v>
      </c>
      <c r="M372" t="s">
        <v>2860</v>
      </c>
      <c r="N372">
        <f>+R$370+U$370+X$370</f>
        <v>42.123971298234274</v>
      </c>
      <c r="O372">
        <f>+T$370+W$370+Z$370</f>
        <v>54.215357944132023</v>
      </c>
      <c r="V372" t="s">
        <v>2783</v>
      </c>
    </row>
    <row r="373" spans="11:29">
      <c r="L373" t="s">
        <v>2861</v>
      </c>
      <c r="N373" t="s">
        <v>229</v>
      </c>
      <c r="O373" t="s">
        <v>180</v>
      </c>
      <c r="P373" t="s">
        <v>2862</v>
      </c>
      <c r="Q373" t="s">
        <v>2863</v>
      </c>
      <c r="R373" t="s">
        <v>2864</v>
      </c>
      <c r="U373">
        <v>2020</v>
      </c>
      <c r="V373">
        <v>0.135593220338982</v>
      </c>
    </row>
    <row r="374" spans="11:29">
      <c r="L374">
        <v>2024.4169524193701</v>
      </c>
      <c r="M374">
        <v>2.9256594724220601E-2</v>
      </c>
      <c r="N374">
        <f>M375*5</f>
        <v>0.16546762589928049</v>
      </c>
      <c r="O374">
        <f>(M376-M375)*5</f>
        <v>2.39808153477215E-2</v>
      </c>
      <c r="P374">
        <f>V374-V373</f>
        <v>0.250325945241201</v>
      </c>
      <c r="Q374">
        <f>X363-X362-P374</f>
        <v>0.32998493558780906</v>
      </c>
      <c r="R374">
        <f>P374/N374</f>
        <v>1.5128394081968242</v>
      </c>
      <c r="S374">
        <f>Q374/O374</f>
        <v>13.760371814011823</v>
      </c>
      <c r="U374">
        <v>2030.6403940886601</v>
      </c>
      <c r="V374">
        <v>0.38591916558018302</v>
      </c>
    </row>
    <row r="375" spans="11:29">
      <c r="L375">
        <v>2024.78361236244</v>
      </c>
      <c r="M375">
        <v>3.3093525179856101E-2</v>
      </c>
      <c r="U375">
        <v>2039.7044334975301</v>
      </c>
      <c r="V375">
        <v>0.44850065189048199</v>
      </c>
    </row>
    <row r="376" spans="11:29">
      <c r="L376">
        <v>2024.7746475716599</v>
      </c>
      <c r="M376">
        <v>3.7889688249400401E-2</v>
      </c>
      <c r="U376">
        <v>2049.95073891625</v>
      </c>
      <c r="V376">
        <v>0.677966101694915</v>
      </c>
    </row>
    <row r="377" spans="11:29">
      <c r="L377">
        <v>2044.97501064568</v>
      </c>
      <c r="M377">
        <v>3.0695443645083899E-2</v>
      </c>
      <c r="N377">
        <f>M378*5</f>
        <v>0.17026378896882449</v>
      </c>
      <c r="O377">
        <f>(M379-M378)*5</f>
        <v>2.6378896882494514E-2</v>
      </c>
      <c r="P377">
        <f>V376-V375</f>
        <v>0.22946544980443301</v>
      </c>
      <c r="Q377">
        <f>X365-X364-P377</f>
        <v>0.55809931703494686</v>
      </c>
      <c r="R377">
        <f>P377/N377</f>
        <v>1.3477055291330819</v>
      </c>
      <c r="S377">
        <f>Q377/O377</f>
        <v>21.15703774577894</v>
      </c>
      <c r="U377">
        <v>2059.8029556650199</v>
      </c>
      <c r="V377">
        <v>0.74054758800521503</v>
      </c>
    </row>
    <row r="378" spans="11:29">
      <c r="L378">
        <v>2044.5949035164299</v>
      </c>
      <c r="M378">
        <v>3.4052757793764897E-2</v>
      </c>
      <c r="U378">
        <v>2070.04926108374</v>
      </c>
      <c r="V378">
        <v>1.22033898305084</v>
      </c>
    </row>
    <row r="379" spans="11:29">
      <c r="L379">
        <v>2044.95887402227</v>
      </c>
      <c r="M379">
        <v>3.93285371702638E-2</v>
      </c>
      <c r="U379">
        <v>2080.2955665024601</v>
      </c>
      <c r="V379">
        <v>1.4498044328552799</v>
      </c>
    </row>
    <row r="380" spans="11:29">
      <c r="L380">
        <v>2064.7378919294401</v>
      </c>
      <c r="M380">
        <v>5.7553956834532301E-2</v>
      </c>
      <c r="N380">
        <f>M381*5</f>
        <v>0.32853717026378898</v>
      </c>
      <c r="O380">
        <f>(M382-M381)*5</f>
        <v>4.0767386091127011E-2</v>
      </c>
      <c r="P380">
        <f>V378-V377</f>
        <v>0.47979139504562496</v>
      </c>
      <c r="Q380">
        <f>X367-X366-P380</f>
        <v>0.72228114381448472</v>
      </c>
      <c r="R380">
        <f>P380/N380</f>
        <v>1.4603869469636905</v>
      </c>
      <c r="S380">
        <f>Q380/O380</f>
        <v>17.71713158650828</v>
      </c>
      <c r="U380">
        <v>2090.1477832512301</v>
      </c>
      <c r="V380">
        <v>1.63754889178618</v>
      </c>
    </row>
    <row r="381" spans="11:29">
      <c r="L381">
        <v>2065.0964835608102</v>
      </c>
      <c r="M381">
        <v>6.5707434052757793E-2</v>
      </c>
      <c r="U381">
        <v>2100</v>
      </c>
      <c r="V381">
        <v>1.8044328552803099</v>
      </c>
    </row>
    <row r="382" spans="11:29">
      <c r="L382">
        <v>2064.7074116407798</v>
      </c>
      <c r="M382">
        <v>7.3860911270983196E-2</v>
      </c>
    </row>
    <row r="384" spans="11:29">
      <c r="L384" t="s">
        <v>2865</v>
      </c>
      <c r="N384" t="s">
        <v>2866</v>
      </c>
      <c r="O384" t="s">
        <v>2762</v>
      </c>
      <c r="P384" t="s">
        <v>2789</v>
      </c>
      <c r="Q384" t="s">
        <v>2867</v>
      </c>
      <c r="R384" t="s">
        <v>180</v>
      </c>
      <c r="S384" t="s">
        <v>2862</v>
      </c>
      <c r="T384" t="s">
        <v>2863</v>
      </c>
      <c r="U384" t="s">
        <v>2864</v>
      </c>
    </row>
    <row r="385" spans="12:22">
      <c r="L385">
        <v>2024.4859813084099</v>
      </c>
      <c r="M385">
        <v>7.3891625615763498E-2</v>
      </c>
      <c r="N385">
        <f>M385</f>
        <v>7.3891625615763498E-2</v>
      </c>
      <c r="O385">
        <f>M386-M385</f>
        <v>0.1305418719211815</v>
      </c>
      <c r="P385">
        <f>M389-M386</f>
        <v>0.17980295566502497</v>
      </c>
      <c r="Q385">
        <f>0.1*SUM(N385:O385)*5</f>
        <v>0.1022167487684725</v>
      </c>
      <c r="R385">
        <f>5*(0.1*SUM(N385:O385)+0.2*P385)</f>
        <v>0.2820197044334975</v>
      </c>
      <c r="S385">
        <v>0.250325945241201</v>
      </c>
      <c r="T385">
        <v>0.32998493558780906</v>
      </c>
      <c r="U385">
        <f>S385/Q385</f>
        <v>2.4489718980223616</v>
      </c>
      <c r="V385">
        <f>T385/R385</f>
        <v>1.1700775881978209</v>
      </c>
    </row>
    <row r="386" spans="12:22">
      <c r="L386">
        <v>2023.738317757</v>
      </c>
      <c r="M386">
        <v>0.20443349753694501</v>
      </c>
    </row>
    <row r="387" spans="12:22">
      <c r="L387">
        <v>2024.4859813084099</v>
      </c>
      <c r="M387">
        <v>0.32512315270935899</v>
      </c>
    </row>
    <row r="388" spans="12:22">
      <c r="L388">
        <v>2024.4859813084099</v>
      </c>
      <c r="M388">
        <v>0.35467980295566498</v>
      </c>
    </row>
    <row r="389" spans="12:22">
      <c r="L389">
        <v>2024.8598130841101</v>
      </c>
      <c r="M389">
        <v>0.38423645320196997</v>
      </c>
    </row>
    <row r="390" spans="12:22">
      <c r="L390">
        <v>2044.67289719626</v>
      </c>
      <c r="M390">
        <v>7.6354679802955697E-2</v>
      </c>
      <c r="N390">
        <f>M390</f>
        <v>7.6354679802955697E-2</v>
      </c>
      <c r="O390">
        <f>M391-M390</f>
        <v>0.22906403940886633</v>
      </c>
      <c r="P390">
        <f>M394-M391</f>
        <v>0.27832512315271002</v>
      </c>
      <c r="Q390">
        <f>0.1*SUM(N390:O390)*5</f>
        <v>0.152709359605911</v>
      </c>
      <c r="R390">
        <f>5*(0.1*SUM(N390:O390)+0.2*P390)</f>
        <v>0.43103448275862105</v>
      </c>
      <c r="S390">
        <v>0.22946544980443301</v>
      </c>
      <c r="T390">
        <v>0.55809931703494686</v>
      </c>
      <c r="U390">
        <f>S390/Q390</f>
        <v>1.5026285906548387</v>
      </c>
      <c r="V390">
        <f>T390/R390</f>
        <v>1.2947904155210757</v>
      </c>
    </row>
    <row r="391" spans="12:22">
      <c r="L391">
        <v>2045.04672897196</v>
      </c>
      <c r="M391">
        <v>0.30541871921182201</v>
      </c>
    </row>
    <row r="392" spans="12:22">
      <c r="L392">
        <v>2045.04672897196</v>
      </c>
      <c r="M392">
        <v>0.49014778325123098</v>
      </c>
    </row>
    <row r="393" spans="12:22">
      <c r="L393">
        <v>2045.04672897196</v>
      </c>
      <c r="M393">
        <v>0.53694581280788101</v>
      </c>
    </row>
    <row r="394" spans="12:22">
      <c r="L394">
        <v>2044.67289719626</v>
      </c>
      <c r="M394">
        <v>0.58374384236453203</v>
      </c>
    </row>
    <row r="395" spans="12:22">
      <c r="L395">
        <v>2064.8598130841101</v>
      </c>
      <c r="M395">
        <v>0.14285714285714199</v>
      </c>
      <c r="N395">
        <f>M395</f>
        <v>0.14285714285714199</v>
      </c>
      <c r="O395">
        <f>M396-M395</f>
        <v>0.27586206896551801</v>
      </c>
      <c r="P395">
        <f>M399-M396</f>
        <v>0.39655172413793099</v>
      </c>
      <c r="Q395">
        <f>0.1*SUM(N395:O395)*5</f>
        <v>0.20935960591133004</v>
      </c>
      <c r="R395">
        <f>5*(0.1*SUM(N395:O395)+0.2*P395)</f>
        <v>0.60591133004926112</v>
      </c>
      <c r="S395">
        <v>0.47979139504562496</v>
      </c>
      <c r="T395">
        <v>0.72228114381448472</v>
      </c>
      <c r="U395">
        <f>S395/Q395</f>
        <v>2.2917094869238088</v>
      </c>
      <c r="V395">
        <f>T395/R395</f>
        <v>1.1920574975149625</v>
      </c>
    </row>
    <row r="396" spans="12:22">
      <c r="L396">
        <v>2064.4859813084099</v>
      </c>
      <c r="M396">
        <v>0.41871921182265998</v>
      </c>
    </row>
    <row r="397" spans="12:22">
      <c r="L397">
        <v>2064.4859813084099</v>
      </c>
      <c r="M397">
        <v>0.68965517241379304</v>
      </c>
    </row>
    <row r="398" spans="12:22">
      <c r="L398">
        <v>2064.8598130841101</v>
      </c>
      <c r="M398">
        <v>0.75123152709359597</v>
      </c>
    </row>
    <row r="399" spans="12:22">
      <c r="L399">
        <v>2064.8598130841101</v>
      </c>
      <c r="M399">
        <v>0.81527093596059097</v>
      </c>
    </row>
    <row r="401" spans="12:20">
      <c r="L401" t="s">
        <v>2868</v>
      </c>
      <c r="M401" t="s">
        <v>1111</v>
      </c>
      <c r="N401" t="s">
        <v>1279</v>
      </c>
      <c r="O401" t="s">
        <v>1285</v>
      </c>
      <c r="Q401" t="s">
        <v>2869</v>
      </c>
      <c r="R401" t="s">
        <v>1111</v>
      </c>
      <c r="S401" t="s">
        <v>1279</v>
      </c>
      <c r="T401" t="s">
        <v>1285</v>
      </c>
    </row>
    <row r="402" spans="12:20">
      <c r="L402">
        <v>2014.7663551401799</v>
      </c>
      <c r="M402">
        <v>0.33990147783251201</v>
      </c>
      <c r="N402">
        <v>0.31527093596059103</v>
      </c>
      <c r="O402">
        <v>0.32019704433497498</v>
      </c>
      <c r="R402">
        <f>0.2*$N$395+0.2*$O$395+0.2*$P$395/(SUM($N$395:$P$395))</f>
        <v>0.18102480913190361</v>
      </c>
      <c r="S402">
        <f>0.4*$N$395+0.45*$O$395+0.3*$P$395/(SUM($N$395:$P$395))</f>
        <v>0.32720223832839734</v>
      </c>
      <c r="T402">
        <f>0.6*$N$395+0.6*$O$395+0.4*$P$395/(SUM($N$395:$P$395))</f>
        <v>0.44579346062833919</v>
      </c>
    </row>
    <row r="403" spans="12:20">
      <c r="L403">
        <v>2024.4859813084099</v>
      </c>
      <c r="M403">
        <v>0.38423645320196997</v>
      </c>
      <c r="N403">
        <v>0.35221674876847298</v>
      </c>
      <c r="O403">
        <v>0.32266009852216698</v>
      </c>
    </row>
    <row r="404" spans="12:20">
      <c r="L404">
        <v>2034.5794392523301</v>
      </c>
      <c r="M404">
        <v>0.32019704433497498</v>
      </c>
      <c r="N404">
        <v>0.35221674876847298</v>
      </c>
      <c r="O404">
        <v>0.38916256157635398</v>
      </c>
    </row>
    <row r="405" spans="12:20">
      <c r="L405">
        <v>2044.67289719626</v>
      </c>
      <c r="M405">
        <v>0.58374384236453203</v>
      </c>
      <c r="N405">
        <v>0.59852216748768405</v>
      </c>
      <c r="O405">
        <v>0.64778325123152702</v>
      </c>
    </row>
    <row r="406" spans="12:20">
      <c r="L406">
        <v>2054.7663551401802</v>
      </c>
      <c r="M406">
        <v>0.42610837438423599</v>
      </c>
      <c r="N406">
        <v>0.49507389162561499</v>
      </c>
      <c r="O406">
        <v>0.56157635467980305</v>
      </c>
    </row>
    <row r="407" spans="12:20">
      <c r="L407">
        <v>2064.8598130841101</v>
      </c>
      <c r="M407">
        <v>0.81527093596059097</v>
      </c>
      <c r="N407">
        <v>0.69458128078817705</v>
      </c>
      <c r="O407">
        <v>0.62068965517241304</v>
      </c>
    </row>
    <row r="408" spans="12:20">
      <c r="M408">
        <f>AVERAGE(M407,M409)</f>
        <v>0.64532019704433452</v>
      </c>
      <c r="N408">
        <v>0.56650246305418706</v>
      </c>
      <c r="O408">
        <v>0.55172413793103403</v>
      </c>
    </row>
    <row r="409" spans="12:20">
      <c r="L409">
        <v>2085.04672897196</v>
      </c>
      <c r="M409">
        <v>0.47536945812807802</v>
      </c>
      <c r="N409">
        <v>0.44334975369458102</v>
      </c>
      <c r="O409">
        <v>0.49014778325123098</v>
      </c>
    </row>
    <row r="410" spans="12:20">
      <c r="L410">
        <v>2094.7663551401802</v>
      </c>
      <c r="M410">
        <v>0.45073891625615697</v>
      </c>
      <c r="N410">
        <v>0.44334975369458102</v>
      </c>
      <c r="O410">
        <v>0.58128078817733997</v>
      </c>
    </row>
    <row r="417" spans="1:39">
      <c r="A417" t="s">
        <v>2870</v>
      </c>
    </row>
    <row r="418" spans="1:39">
      <c r="Z418" s="244" t="s">
        <v>2819</v>
      </c>
      <c r="AA418" s="244"/>
      <c r="AB418" s="244" t="s">
        <v>2871</v>
      </c>
      <c r="AC418" s="244" t="s">
        <v>2872</v>
      </c>
      <c r="AD418" s="244" t="s">
        <v>2873</v>
      </c>
      <c r="AE418" s="244" t="s">
        <v>2874</v>
      </c>
      <c r="AF418" s="244" t="s">
        <v>2875</v>
      </c>
      <c r="AG418" s="244" t="s">
        <v>2876</v>
      </c>
      <c r="AH418" s="244"/>
      <c r="AI418" s="244"/>
      <c r="AJ418" s="244"/>
      <c r="AK418" s="244"/>
      <c r="AL418" s="244" t="s">
        <v>2877</v>
      </c>
      <c r="AM418" s="244" t="s">
        <v>2863</v>
      </c>
    </row>
    <row r="419" spans="1:39">
      <c r="J419" t="s">
        <v>2819</v>
      </c>
      <c r="K419" t="s">
        <v>2878</v>
      </c>
      <c r="L419" t="s">
        <v>2871</v>
      </c>
      <c r="M419" t="s">
        <v>2872</v>
      </c>
      <c r="N419" t="s">
        <v>2873</v>
      </c>
      <c r="O419" t="s">
        <v>2874</v>
      </c>
      <c r="P419" t="s">
        <v>2879</v>
      </c>
      <c r="R419" t="s">
        <v>2711</v>
      </c>
      <c r="Z419" s="244"/>
      <c r="AA419" s="244">
        <v>2010</v>
      </c>
      <c r="AB419" s="244">
        <v>2.49382716049382</v>
      </c>
      <c r="AC419" s="244">
        <v>0</v>
      </c>
      <c r="AD419" s="244">
        <f>AL419+AM419</f>
        <v>1.23458213256484E-2</v>
      </c>
      <c r="AE419" s="244"/>
      <c r="AF419" s="244">
        <f>AL419</f>
        <v>1.2507204610950999E-3</v>
      </c>
      <c r="AG419" s="244">
        <f>AM419</f>
        <v>1.1095100864553301E-2</v>
      </c>
      <c r="AH419" s="244"/>
      <c r="AI419" s="244"/>
      <c r="AJ419" s="244">
        <v>2</v>
      </c>
      <c r="AK419" s="244">
        <v>2010</v>
      </c>
      <c r="AL419" s="244">
        <v>1.2507204610950999E-3</v>
      </c>
      <c r="AM419" s="244">
        <v>1.1095100864553301E-2</v>
      </c>
    </row>
    <row r="420" spans="1:39">
      <c r="J420">
        <v>2</v>
      </c>
      <c r="K420">
        <f t="shared" ref="K420:K424" si="77">N420/P420</f>
        <v>1.1674521913429727</v>
      </c>
      <c r="L420">
        <v>1.0255972696245701</v>
      </c>
      <c r="M420">
        <v>0.17576791808873701</v>
      </c>
      <c r="N420">
        <v>0.73549488054607282</v>
      </c>
      <c r="O420">
        <v>1.93686006825938</v>
      </c>
      <c r="P420">
        <v>0.63</v>
      </c>
      <c r="R420">
        <f t="shared" ref="R420:R424" si="78">+L420+M420</f>
        <v>1.2013651877133071</v>
      </c>
      <c r="Z420" s="244">
        <v>2</v>
      </c>
      <c r="AA420" s="244">
        <v>2020</v>
      </c>
      <c r="AB420" s="244">
        <v>2.57226012562269</v>
      </c>
      <c r="AC420" s="244">
        <v>5.18399277869716E-2</v>
      </c>
      <c r="AD420" s="244">
        <f t="shared" ref="AD420:AD424" si="79">AD419+10*(AVERAGE($AF$419,AF420)+AVERAGE($AG$419,AG420))</f>
        <v>0.13015561959654165</v>
      </c>
      <c r="AE420" s="244"/>
      <c r="AF420" s="244">
        <f t="shared" ref="AF420:AF424" si="80">$AL$419+(VLOOKUP(Z420&amp;"_"&amp;2025,$AI$418:$AM$443,4,FALSE)-$AL$419)*10/15</f>
        <v>1.2776176753121933E-3</v>
      </c>
      <c r="AG420" s="244">
        <f t="shared" ref="AG420:AG424" si="81">+$AM$419+(VLOOKUP(Z420&amp;"_"&amp;2025,$AI$418:$AM$443,5,FALSE)-$AM$419)*10/15</f>
        <v>9.9385206532180536E-3</v>
      </c>
      <c r="AH420" s="244"/>
      <c r="AI420" s="244" t="str">
        <f t="shared" ref="AI420:AI443" si="82">AJ420&amp;"_"&amp;AK420</f>
        <v>2_2025</v>
      </c>
      <c r="AJ420" s="244">
        <v>2</v>
      </c>
      <c r="AK420" s="244">
        <v>2025</v>
      </c>
      <c r="AL420" s="244">
        <v>1.29106628242074E-3</v>
      </c>
      <c r="AM420" s="244">
        <v>9.3602305475504292E-3</v>
      </c>
    </row>
    <row r="421" spans="1:39">
      <c r="J421" t="s">
        <v>1043</v>
      </c>
      <c r="K421">
        <f t="shared" si="77"/>
        <v>1.8051407849829213</v>
      </c>
      <c r="L421">
        <v>2.21843003412973E-2</v>
      </c>
      <c r="M421">
        <v>0.23720136518771301</v>
      </c>
      <c r="N421">
        <v>1.1552901023890696</v>
      </c>
      <c r="O421">
        <v>1.4146757679180799</v>
      </c>
      <c r="P421">
        <v>0.64</v>
      </c>
      <c r="R421">
        <f t="shared" si="78"/>
        <v>0.25938566552901032</v>
      </c>
      <c r="Z421" s="244" t="s">
        <v>1043</v>
      </c>
      <c r="AA421" s="244">
        <v>2020</v>
      </c>
      <c r="AB421" s="244">
        <v>2.52203811999133</v>
      </c>
      <c r="AC421" s="244">
        <v>5.6470588235294099E-2</v>
      </c>
      <c r="AD421" s="244">
        <f t="shared" si="79"/>
        <v>0.2552276657060516</v>
      </c>
      <c r="AE421" s="244"/>
      <c r="AF421" s="244">
        <f t="shared" si="80"/>
        <v>1.3583093179634932E-3</v>
      </c>
      <c r="AG421" s="244">
        <f t="shared" si="81"/>
        <v>1.13102785782901E-2</v>
      </c>
      <c r="AH421" s="244"/>
      <c r="AI421" s="244" t="str">
        <f t="shared" si="82"/>
        <v>2_2050</v>
      </c>
      <c r="AJ421" s="244">
        <v>2</v>
      </c>
      <c r="AK421" s="244">
        <v>2050</v>
      </c>
      <c r="AL421" s="244">
        <v>1.2507204610950999E-3</v>
      </c>
      <c r="AM421" s="244">
        <v>9.3602305475504292E-3</v>
      </c>
    </row>
    <row r="422" spans="1:39">
      <c r="J422" t="s">
        <v>1349</v>
      </c>
      <c r="K422">
        <f t="shared" si="77"/>
        <v>1.9442734851451886</v>
      </c>
      <c r="L422">
        <v>-0.16211604095563101</v>
      </c>
      <c r="M422">
        <v>0.19624573378839599</v>
      </c>
      <c r="N422">
        <v>1.186006825938565</v>
      </c>
      <c r="O422">
        <v>1.22013651877133</v>
      </c>
      <c r="P422">
        <v>0.61</v>
      </c>
      <c r="R422">
        <f t="shared" si="78"/>
        <v>3.4129692832764985E-2</v>
      </c>
      <c r="Z422" s="244" t="s">
        <v>1349</v>
      </c>
      <c r="AA422" s="244">
        <v>2020</v>
      </c>
      <c r="AB422" s="244">
        <v>2.4861652588260701</v>
      </c>
      <c r="AC422" s="244">
        <v>5.6470588235294099E-2</v>
      </c>
      <c r="AD422" s="244">
        <f t="shared" si="79"/>
        <v>0.38272046109510027</v>
      </c>
      <c r="AE422" s="244"/>
      <c r="AF422" s="244">
        <f t="shared" si="80"/>
        <v>1.3583093179634932E-3</v>
      </c>
      <c r="AG422" s="244">
        <f t="shared" si="81"/>
        <v>1.1794428434197833E-2</v>
      </c>
      <c r="AH422" s="244"/>
      <c r="AI422" s="244" t="str">
        <f t="shared" si="82"/>
        <v>2_2075</v>
      </c>
      <c r="AJ422" s="244">
        <v>2</v>
      </c>
      <c r="AK422" s="244">
        <v>2075</v>
      </c>
      <c r="AL422" s="244">
        <v>1.29106628242074E-3</v>
      </c>
      <c r="AM422" s="244">
        <v>9.4005763688760798E-3</v>
      </c>
    </row>
    <row r="423" spans="1:39">
      <c r="J423" t="s">
        <v>1350</v>
      </c>
      <c r="K423">
        <f t="shared" si="77"/>
        <v>1.8344709897610794</v>
      </c>
      <c r="L423">
        <v>-0.32593856655289999</v>
      </c>
      <c r="M423">
        <v>0.33959044368600599</v>
      </c>
      <c r="N423">
        <v>1.247440273037534</v>
      </c>
      <c r="O423">
        <v>1.26109215017064</v>
      </c>
      <c r="P423">
        <v>0.68</v>
      </c>
      <c r="R423">
        <f t="shared" si="78"/>
        <v>1.3651877133106005E-2</v>
      </c>
      <c r="Z423" s="244" t="s">
        <v>1350</v>
      </c>
      <c r="AA423" s="244">
        <v>2020</v>
      </c>
      <c r="AB423" s="244">
        <v>2.4861652588260701</v>
      </c>
      <c r="AC423" s="244">
        <v>5.6470588235294099E-2</v>
      </c>
      <c r="AD423" s="244">
        <f t="shared" si="79"/>
        <v>0.50913736791546493</v>
      </c>
      <c r="AE423" s="244"/>
      <c r="AF423" s="244">
        <f t="shared" si="80"/>
        <v>1.3583093179634932E-3</v>
      </c>
      <c r="AG423" s="244">
        <f t="shared" si="81"/>
        <v>1.1579250720461034E-2</v>
      </c>
      <c r="AH423" s="244"/>
      <c r="AI423" s="244" t="str">
        <f t="shared" si="82"/>
        <v>2_2100</v>
      </c>
      <c r="AJ423" s="244">
        <v>2</v>
      </c>
      <c r="AK423" s="244">
        <v>2100</v>
      </c>
      <c r="AL423" s="244">
        <v>1.3314121037463901E-3</v>
      </c>
      <c r="AM423" s="244">
        <v>9.8847262247838599E-3</v>
      </c>
    </row>
    <row r="424" spans="1:39">
      <c r="J424" t="s">
        <v>1351</v>
      </c>
      <c r="K424">
        <f t="shared" si="77"/>
        <v>1.8900610197538394</v>
      </c>
      <c r="L424">
        <v>-0.26450511945392402</v>
      </c>
      <c r="M424">
        <v>0.28839590443685997</v>
      </c>
      <c r="N424">
        <v>1.247440273037534</v>
      </c>
      <c r="O424">
        <v>1.27133105802047</v>
      </c>
      <c r="P424">
        <v>0.66</v>
      </c>
      <c r="R424">
        <f t="shared" si="78"/>
        <v>2.3890784982935953E-2</v>
      </c>
      <c r="Z424" s="244" t="s">
        <v>1351</v>
      </c>
      <c r="AA424" s="244">
        <v>2020</v>
      </c>
      <c r="AB424" s="244">
        <v>2.4861652588260701</v>
      </c>
      <c r="AC424" s="244">
        <v>5.6470588235294099E-2</v>
      </c>
      <c r="AD424" s="244">
        <f t="shared" si="79"/>
        <v>0.63420941402497488</v>
      </c>
      <c r="AE424" s="244"/>
      <c r="AF424" s="244">
        <f t="shared" si="80"/>
        <v>1.3583093179634932E-3</v>
      </c>
      <c r="AG424" s="244">
        <f t="shared" si="81"/>
        <v>1.13102785782901E-2</v>
      </c>
      <c r="AH424" s="244"/>
      <c r="AI424" s="244" t="str">
        <f t="shared" si="82"/>
        <v>R_2010</v>
      </c>
      <c r="AJ424" s="244" t="s">
        <v>1043</v>
      </c>
      <c r="AK424" s="244">
        <v>2010</v>
      </c>
      <c r="AL424" s="244">
        <v>1.2507204610950999E-3</v>
      </c>
      <c r="AM424" s="244">
        <v>1.1095100864553301E-2</v>
      </c>
    </row>
    <row r="425" spans="1:39">
      <c r="Z425" s="244">
        <v>2</v>
      </c>
      <c r="AA425" s="244">
        <v>2030</v>
      </c>
      <c r="AB425" s="244">
        <v>2.7037037037037002</v>
      </c>
      <c r="AC425" s="244">
        <v>9.2759139461411094E-2</v>
      </c>
      <c r="AD425" s="244">
        <f t="shared" ref="AD425:AD464" si="83">AD420+10*(AVERAGE($AF420,AF425)+AVERAGE($AG420,AG425))</f>
        <v>0.23945244956772307</v>
      </c>
      <c r="AE425" s="244"/>
      <c r="AF425" s="244">
        <f t="shared" ref="AF425:AF429" si="84">VLOOKUP(Z425&amp;"_"&amp;2025,$AI$418:$AM$443,4,FALSE)+(VLOOKUP(Z425&amp;"_"&amp;2050,$AI$418:$AM$443,4,FALSE)-VLOOKUP(Z425&amp;"_"&amp;2025,$AI$418:$AM$443,4,FALSE))*5/25</f>
        <v>1.2829971181556119E-3</v>
      </c>
      <c r="AG425" s="244">
        <f t="shared" ref="AG425:AG429" si="85">VLOOKUP(Z425&amp;"_"&amp;2025,$AI$418:$AM$443,5,FALSE)+(VLOOKUP(Z425&amp;"_"&amp;2050,$AI$418:$AM$443,5,FALSE)-VLOOKUP(Z425&amp;"_"&amp;2025,$AI$418:$AM$443,5,FALSE))*5/25</f>
        <v>9.3602305475504292E-3</v>
      </c>
      <c r="AH425" s="244"/>
      <c r="AI425" s="244" t="str">
        <f t="shared" si="82"/>
        <v>R_2025</v>
      </c>
      <c r="AJ425" s="244" t="s">
        <v>1043</v>
      </c>
      <c r="AK425" s="244">
        <v>2025</v>
      </c>
      <c r="AL425" s="244">
        <v>1.41210374639769E-3</v>
      </c>
      <c r="AM425" s="244">
        <v>1.1417867435158499E-2</v>
      </c>
    </row>
    <row r="426" spans="1:39">
      <c r="Z426" s="244" t="s">
        <v>1043</v>
      </c>
      <c r="AA426" s="244">
        <v>2030</v>
      </c>
      <c r="AB426" s="244">
        <v>2.55073640892354</v>
      </c>
      <c r="AC426" s="244">
        <v>0.106630058673085</v>
      </c>
      <c r="AD426" s="244">
        <f t="shared" si="83"/>
        <v>0.3828414985590774</v>
      </c>
      <c r="AE426" s="244"/>
      <c r="AF426" s="244">
        <f t="shared" si="84"/>
        <v>1.41210374639769E-3</v>
      </c>
      <c r="AG426" s="244">
        <f t="shared" si="85"/>
        <v>1.144207492795388E-2</v>
      </c>
      <c r="AH426" s="244"/>
      <c r="AI426" s="244" t="str">
        <f t="shared" si="82"/>
        <v>R_2050</v>
      </c>
      <c r="AJ426" s="244" t="s">
        <v>1043</v>
      </c>
      <c r="AK426" s="244">
        <v>2050</v>
      </c>
      <c r="AL426" s="244">
        <v>1.41210374639769E-3</v>
      </c>
      <c r="AM426" s="244">
        <v>1.1538904899135401E-2</v>
      </c>
    </row>
    <row r="427" spans="1:39">
      <c r="Z427" s="244" t="s">
        <v>1349</v>
      </c>
      <c r="AA427" s="244">
        <v>2030</v>
      </c>
      <c r="AB427" s="244">
        <v>2.4861652588260701</v>
      </c>
      <c r="AC427" s="244">
        <v>0.106630058673085</v>
      </c>
      <c r="AD427" s="244">
        <f t="shared" si="83"/>
        <v>0.51723342939481143</v>
      </c>
      <c r="AE427" s="244"/>
      <c r="AF427" s="244">
        <f t="shared" si="84"/>
        <v>1.41210374639769E-3</v>
      </c>
      <c r="AG427" s="244">
        <f t="shared" si="85"/>
        <v>1.233775216138322E-2</v>
      </c>
      <c r="AH427" s="244"/>
      <c r="AI427" s="244" t="str">
        <f t="shared" si="82"/>
        <v>R_2075</v>
      </c>
      <c r="AJ427" s="244" t="s">
        <v>1043</v>
      </c>
      <c r="AK427" s="244">
        <v>2075</v>
      </c>
      <c r="AL427" s="244">
        <v>1.4499999999999999E-3</v>
      </c>
      <c r="AM427" s="244">
        <v>1.1538904899135401E-2</v>
      </c>
    </row>
    <row r="428" spans="1:39">
      <c r="Z428" s="244" t="s">
        <v>1350</v>
      </c>
      <c r="AA428" s="244">
        <v>2030</v>
      </c>
      <c r="AB428" s="244">
        <v>2.4861652588260701</v>
      </c>
      <c r="AC428" s="244">
        <v>0.111764705882352</v>
      </c>
      <c r="AD428" s="244">
        <f t="shared" si="83"/>
        <v>0.64096061479346611</v>
      </c>
      <c r="AE428" s="244"/>
      <c r="AF428" s="244">
        <f t="shared" si="84"/>
        <v>1.4524495677233379E-3</v>
      </c>
      <c r="AG428" s="244">
        <f t="shared" si="85"/>
        <v>1.1974639769452381E-2</v>
      </c>
      <c r="AH428" s="244"/>
      <c r="AI428" s="244" t="str">
        <f t="shared" si="82"/>
        <v>R_2100</v>
      </c>
      <c r="AJ428" s="244" t="s">
        <v>1043</v>
      </c>
      <c r="AK428" s="244">
        <v>2100</v>
      </c>
      <c r="AL428" s="244">
        <v>1.3314121037463901E-3</v>
      </c>
      <c r="AM428" s="244">
        <v>1.0449567723342899E-2</v>
      </c>
    </row>
    <row r="429" spans="1:39">
      <c r="Z429" s="244" t="s">
        <v>1351</v>
      </c>
      <c r="AA429" s="244">
        <v>2030</v>
      </c>
      <c r="AB429" s="244">
        <v>2.4861652588260701</v>
      </c>
      <c r="AC429" s="244">
        <v>0.111764705882352</v>
      </c>
      <c r="AD429" s="244">
        <f t="shared" si="83"/>
        <v>0.76347742555235232</v>
      </c>
      <c r="AE429" s="244"/>
      <c r="AF429" s="244">
        <f t="shared" si="84"/>
        <v>1.4605187319884679E-3</v>
      </c>
      <c r="AG429" s="244">
        <f t="shared" si="85"/>
        <v>1.172449567723342E-2</v>
      </c>
      <c r="AH429" s="244"/>
      <c r="AI429" s="244" t="str">
        <f t="shared" si="82"/>
        <v>1a_2010</v>
      </c>
      <c r="AJ429" s="244" t="s">
        <v>1349</v>
      </c>
      <c r="AK429" s="244">
        <v>2010</v>
      </c>
      <c r="AL429" s="244">
        <v>1.2507204610950999E-3</v>
      </c>
      <c r="AM429" s="244">
        <v>1.1095100864553301E-2</v>
      </c>
    </row>
    <row r="430" spans="1:39">
      <c r="Z430" s="244">
        <v>2</v>
      </c>
      <c r="AA430" s="244">
        <v>2040</v>
      </c>
      <c r="AB430" s="244">
        <v>2.8448938704786602</v>
      </c>
      <c r="AC430" s="244">
        <v>0.11980743192417601</v>
      </c>
      <c r="AD430" s="244">
        <f t="shared" si="83"/>
        <v>0.34580403458213221</v>
      </c>
      <c r="AE430" s="244"/>
      <c r="AF430" s="244">
        <f t="shared" ref="AF430:AF434" si="86">VLOOKUP(Z430&amp;"_"&amp;2025,$AI$418:$AM$443,4,FALSE)+(VLOOKUP(Z430&amp;"_"&amp;2050,$AI$418:$AM$443,4,FALSE)-VLOOKUP(Z430&amp;"_"&amp;2025,$AI$418:$AM$443,4,FALSE))*15/25</f>
        <v>1.266858789625356E-3</v>
      </c>
      <c r="AG430" s="244">
        <f t="shared" ref="AG430:AG434" si="87">VLOOKUP(Z430&amp;"_"&amp;2025,$AI$418:$AM$443,5,FALSE)+(VLOOKUP(Z430&amp;"_"&amp;2050,$AI$418:$AM$443,5,FALSE)-VLOOKUP(Z430&amp;"_"&amp;2025,$AI$418:$AM$443,5,FALSE))*15/25</f>
        <v>9.3602305475504292E-3</v>
      </c>
      <c r="AH430" s="244"/>
      <c r="AI430" s="244" t="str">
        <f t="shared" si="82"/>
        <v>1a_2025</v>
      </c>
      <c r="AJ430" s="244" t="s">
        <v>1349</v>
      </c>
      <c r="AK430" s="244">
        <v>2025</v>
      </c>
      <c r="AL430" s="244">
        <v>1.41210374639769E-3</v>
      </c>
      <c r="AM430" s="244">
        <v>1.2144092219020099E-2</v>
      </c>
    </row>
    <row r="431" spans="1:39">
      <c r="Z431" s="244" t="s">
        <v>1043</v>
      </c>
      <c r="AA431" s="244">
        <v>2040</v>
      </c>
      <c r="AB431" s="244">
        <v>2.5937838423218502</v>
      </c>
      <c r="AC431" s="244">
        <v>0.14470588235294099</v>
      </c>
      <c r="AD431" s="244">
        <f t="shared" si="83"/>
        <v>0.51162536023054694</v>
      </c>
      <c r="AE431" s="244"/>
      <c r="AF431" s="244">
        <f t="shared" si="86"/>
        <v>1.41210374639769E-3</v>
      </c>
      <c r="AG431" s="244">
        <f t="shared" si="87"/>
        <v>1.1490489913544641E-2</v>
      </c>
      <c r="AH431" s="244"/>
      <c r="AI431" s="244" t="str">
        <f t="shared" si="82"/>
        <v>1a_2050</v>
      </c>
      <c r="AJ431" s="244" t="s">
        <v>1349</v>
      </c>
      <c r="AK431" s="244">
        <v>2050</v>
      </c>
      <c r="AL431" s="244">
        <v>1.41210374639769E-3</v>
      </c>
      <c r="AM431" s="244">
        <v>1.3112391930835699E-2</v>
      </c>
    </row>
    <row r="432" spans="1:39">
      <c r="Z432" s="244" t="s">
        <v>1349</v>
      </c>
      <c r="AA432" s="244">
        <v>2040</v>
      </c>
      <c r="AB432" s="244">
        <v>2.55073640892354</v>
      </c>
      <c r="AC432" s="244">
        <v>0.14470588235294099</v>
      </c>
      <c r="AD432" s="244">
        <f t="shared" si="83"/>
        <v>0.65666858789625171</v>
      </c>
      <c r="AE432" s="244"/>
      <c r="AF432" s="244">
        <f t="shared" si="86"/>
        <v>1.41210374639769E-3</v>
      </c>
      <c r="AG432" s="244">
        <f t="shared" si="87"/>
        <v>1.2725072046109459E-2</v>
      </c>
      <c r="AH432" s="244"/>
      <c r="AI432" s="244" t="str">
        <f t="shared" si="82"/>
        <v>1a_2075</v>
      </c>
      <c r="AJ432" s="244" t="s">
        <v>1349</v>
      </c>
      <c r="AK432" s="244">
        <v>2075</v>
      </c>
      <c r="AL432" s="244">
        <v>1.3314121037463901E-3</v>
      </c>
      <c r="AM432" s="244">
        <v>1.06109510086455E-2</v>
      </c>
    </row>
    <row r="433" spans="26:39">
      <c r="Z433" s="244" t="s">
        <v>1350</v>
      </c>
      <c r="AA433" s="244">
        <v>2040</v>
      </c>
      <c r="AB433" s="244">
        <v>2.55073640892354</v>
      </c>
      <c r="AC433" s="244">
        <v>0.148936362268692</v>
      </c>
      <c r="AD433" s="244">
        <f t="shared" si="83"/>
        <v>0.77716810758885457</v>
      </c>
      <c r="AE433" s="244"/>
      <c r="AF433" s="244">
        <f t="shared" si="86"/>
        <v>1.533141210374634E-3</v>
      </c>
      <c r="AG433" s="244">
        <f t="shared" si="87"/>
        <v>1.228126801152734E-2</v>
      </c>
      <c r="AH433" s="244"/>
      <c r="AI433" s="244" t="str">
        <f t="shared" si="82"/>
        <v>1a_2100</v>
      </c>
      <c r="AJ433" s="244" t="s">
        <v>1349</v>
      </c>
      <c r="AK433" s="244">
        <v>2100</v>
      </c>
      <c r="AL433" s="244">
        <v>1.1296829971181499E-3</v>
      </c>
      <c r="AM433" s="244">
        <v>1.0570605187319801E-2</v>
      </c>
    </row>
    <row r="434" spans="26:39">
      <c r="Z434" s="244" t="s">
        <v>1351</v>
      </c>
      <c r="AA434" s="244">
        <v>2040</v>
      </c>
      <c r="AB434" s="244">
        <v>2.55073640892354</v>
      </c>
      <c r="AC434" s="244">
        <v>0.151764705882352</v>
      </c>
      <c r="AD434" s="244">
        <f t="shared" si="83"/>
        <v>0.89887800192122813</v>
      </c>
      <c r="AE434" s="244"/>
      <c r="AF434" s="244">
        <f t="shared" si="86"/>
        <v>1.557348703170024E-3</v>
      </c>
      <c r="AG434" s="244">
        <f t="shared" si="87"/>
        <v>1.233775216138326E-2</v>
      </c>
      <c r="AH434" s="244"/>
      <c r="AI434" s="244" t="str">
        <f t="shared" si="82"/>
        <v>1b_2010</v>
      </c>
      <c r="AJ434" s="244" t="s">
        <v>1350</v>
      </c>
      <c r="AK434" s="244">
        <v>2010</v>
      </c>
      <c r="AL434" s="244">
        <v>1.2507204610950999E-3</v>
      </c>
      <c r="AM434" s="244">
        <v>1.1095100864553301E-2</v>
      </c>
    </row>
    <row r="435" spans="26:39">
      <c r="Z435" s="244">
        <v>2</v>
      </c>
      <c r="AA435" s="244">
        <v>2050</v>
      </c>
      <c r="AB435" s="244">
        <v>3.0170836040719</v>
      </c>
      <c r="AC435" s="244">
        <v>0.13714608093876901</v>
      </c>
      <c r="AD435" s="244">
        <f t="shared" si="83"/>
        <v>0.45199423631123881</v>
      </c>
      <c r="AE435" s="244"/>
      <c r="AF435" s="244">
        <f t="shared" ref="AF435:AF439" si="88">VLOOKUP($Z435&amp;"_"&amp;2050,$AI$418:$AM$443,4,FALSE)</f>
        <v>1.2507204610950999E-3</v>
      </c>
      <c r="AG435" s="244">
        <f t="shared" ref="AG435:AG439" si="89">VLOOKUP($Z435&amp;"_"&amp;2050,$AI$418:$AM$443,5,FALSE)</f>
        <v>9.3602305475504292E-3</v>
      </c>
      <c r="AH435" s="244"/>
      <c r="AI435" s="244" t="str">
        <f t="shared" si="82"/>
        <v>1b_2025</v>
      </c>
      <c r="AJ435" s="244" t="s">
        <v>1350</v>
      </c>
      <c r="AK435" s="244">
        <v>2025</v>
      </c>
      <c r="AL435" s="244">
        <v>1.41210374639769E-3</v>
      </c>
      <c r="AM435" s="244">
        <v>1.18213256484149E-2</v>
      </c>
    </row>
    <row r="436" spans="26:39">
      <c r="Z436" s="244" t="s">
        <v>1043</v>
      </c>
      <c r="AA436" s="244">
        <v>2050</v>
      </c>
      <c r="AB436" s="244">
        <v>2.6081329867879499</v>
      </c>
      <c r="AC436" s="244">
        <v>0.17764705882352899</v>
      </c>
      <c r="AD436" s="244">
        <f t="shared" si="83"/>
        <v>0.64089337175792405</v>
      </c>
      <c r="AE436" s="244"/>
      <c r="AF436" s="244">
        <f t="shared" si="88"/>
        <v>1.41210374639769E-3</v>
      </c>
      <c r="AG436" s="244">
        <f t="shared" si="89"/>
        <v>1.1538904899135401E-2</v>
      </c>
      <c r="AH436" s="244"/>
      <c r="AI436" s="244" t="str">
        <f t="shared" si="82"/>
        <v>1b_2050</v>
      </c>
      <c r="AJ436" s="244" t="s">
        <v>1350</v>
      </c>
      <c r="AK436" s="244">
        <v>2050</v>
      </c>
      <c r="AL436" s="244">
        <v>1.61383285302593E-3</v>
      </c>
      <c r="AM436" s="244">
        <v>1.25878962536023E-2</v>
      </c>
    </row>
    <row r="437" spans="26:39">
      <c r="Z437" s="244" t="s">
        <v>1349</v>
      </c>
      <c r="AA437" s="244">
        <v>2050</v>
      </c>
      <c r="AB437" s="244">
        <v>2.55073640892354</v>
      </c>
      <c r="AC437" s="244">
        <v>0.174114638182638</v>
      </c>
      <c r="AD437" s="244">
        <f t="shared" si="83"/>
        <v>0.79997694524495433</v>
      </c>
      <c r="AE437" s="244"/>
      <c r="AF437" s="244">
        <f t="shared" si="88"/>
        <v>1.41210374639769E-3</v>
      </c>
      <c r="AG437" s="244">
        <f t="shared" si="89"/>
        <v>1.3112391930835699E-2</v>
      </c>
      <c r="AH437" s="244"/>
      <c r="AI437" s="244" t="str">
        <f t="shared" si="82"/>
        <v>1b_2075</v>
      </c>
      <c r="AJ437" s="244" t="s">
        <v>1350</v>
      </c>
      <c r="AK437" s="244">
        <v>2075</v>
      </c>
      <c r="AL437" s="244">
        <v>1.7752161383285301E-3</v>
      </c>
      <c r="AM437" s="244">
        <v>1.2829971181556101E-2</v>
      </c>
    </row>
    <row r="438" spans="26:39">
      <c r="Z438" s="244" t="s">
        <v>1350</v>
      </c>
      <c r="AA438" s="244">
        <v>2050</v>
      </c>
      <c r="AB438" s="244">
        <v>2.55073640892354</v>
      </c>
      <c r="AC438" s="244">
        <v>0.189411764705882</v>
      </c>
      <c r="AD438" s="244">
        <f t="shared" si="83"/>
        <v>0.9172487992315056</v>
      </c>
      <c r="AE438" s="244"/>
      <c r="AF438" s="244">
        <f t="shared" si="88"/>
        <v>1.61383285302593E-3</v>
      </c>
      <c r="AG438" s="244">
        <f t="shared" si="89"/>
        <v>1.25878962536023E-2</v>
      </c>
      <c r="AH438" s="244"/>
      <c r="AI438" s="244" t="str">
        <f t="shared" si="82"/>
        <v>1b_2100</v>
      </c>
      <c r="AJ438" s="244" t="s">
        <v>1350</v>
      </c>
      <c r="AK438" s="244">
        <v>2100</v>
      </c>
      <c r="AL438" s="244">
        <v>1.6945244956772299E-3</v>
      </c>
      <c r="AM438" s="244">
        <v>1.1740634005763599E-2</v>
      </c>
    </row>
    <row r="439" spans="26:39">
      <c r="Z439" s="244" t="s">
        <v>1351</v>
      </c>
      <c r="AA439" s="244">
        <v>2050</v>
      </c>
      <c r="AB439" s="244">
        <v>2.55073640892354</v>
      </c>
      <c r="AC439" s="244">
        <v>0.19471039566721801</v>
      </c>
      <c r="AD439" s="244">
        <f t="shared" si="83"/>
        <v>1.041379442843418</v>
      </c>
      <c r="AE439" s="244"/>
      <c r="AF439" s="244">
        <f t="shared" si="88"/>
        <v>1.6541786743515801E-3</v>
      </c>
      <c r="AG439" s="244">
        <f t="shared" si="89"/>
        <v>1.2951008645533099E-2</v>
      </c>
      <c r="AH439" s="244"/>
      <c r="AI439" s="244" t="str">
        <f t="shared" si="82"/>
        <v>1c_2010</v>
      </c>
      <c r="AJ439" s="244" t="s">
        <v>1351</v>
      </c>
      <c r="AK439" s="244">
        <v>2010</v>
      </c>
      <c r="AL439" s="244">
        <v>1.2507204610950999E-3</v>
      </c>
      <c r="AM439" s="244">
        <v>1.1095100864553301E-2</v>
      </c>
    </row>
    <row r="440" spans="26:39">
      <c r="Z440" s="244">
        <v>2</v>
      </c>
      <c r="AA440" s="244">
        <v>2060</v>
      </c>
      <c r="AB440" s="244">
        <v>3.1749241931990402</v>
      </c>
      <c r="AC440" s="244">
        <v>0.146855724386941</v>
      </c>
      <c r="AD440" s="244">
        <f t="shared" si="83"/>
        <v>0.55826512968299669</v>
      </c>
      <c r="AE440" s="244"/>
      <c r="AF440" s="244">
        <f t="shared" ref="AF440:AF444" si="90">VLOOKUP(Z440&amp;"_"&amp;2050,$AI$418:$AM$443,4,FALSE)+(VLOOKUP(Z440&amp;"_"&amp;2075,$AI$418:$AM$443,4,FALSE)-VLOOKUP(Z440&amp;"_"&amp;2050,$AI$418:$AM$443,4,FALSE))*10/25</f>
        <v>1.266858789625356E-3</v>
      </c>
      <c r="AG440" s="244">
        <f t="shared" ref="AG440:AG444" si="91">VLOOKUP(Z440&amp;"_"&amp;2050,$AI$418:$AM$443,5,FALSE)+(VLOOKUP(Z440&amp;"_"&amp;2075,$AI$418:$AM$443,5,FALSE)-VLOOKUP(Z440&amp;"_"&amp;2050,$AI$418:$AM$443,5,FALSE))*10/25</f>
        <v>9.3763688760806901E-3</v>
      </c>
      <c r="AH440" s="244"/>
      <c r="AI440" s="244" t="str">
        <f t="shared" si="82"/>
        <v>1c_2025</v>
      </c>
      <c r="AJ440" s="244" t="s">
        <v>1351</v>
      </c>
      <c r="AK440" s="244">
        <v>2025</v>
      </c>
      <c r="AL440" s="244">
        <v>1.41210374639769E-3</v>
      </c>
      <c r="AM440" s="244">
        <v>1.1417867435158499E-2</v>
      </c>
    </row>
    <row r="441" spans="26:39">
      <c r="Z441" s="244" t="s">
        <v>1043</v>
      </c>
      <c r="AA441" s="244">
        <v>2060</v>
      </c>
      <c r="AB441" s="244">
        <v>2.5937838423218502</v>
      </c>
      <c r="AC441" s="244">
        <v>0.200258763351888</v>
      </c>
      <c r="AD441" s="244">
        <f t="shared" si="83"/>
        <v>0.77047925072045964</v>
      </c>
      <c r="AE441" s="244"/>
      <c r="AF441" s="244">
        <f t="shared" si="90"/>
        <v>1.4272622478386139E-3</v>
      </c>
      <c r="AG441" s="244">
        <f t="shared" si="91"/>
        <v>1.1538904899135401E-2</v>
      </c>
      <c r="AH441" s="244"/>
      <c r="AI441" s="244" t="str">
        <f t="shared" si="82"/>
        <v>1c_2050</v>
      </c>
      <c r="AJ441" s="244" t="s">
        <v>1351</v>
      </c>
      <c r="AK441" s="244">
        <v>2050</v>
      </c>
      <c r="AL441" s="244">
        <v>1.6541786743515801E-3</v>
      </c>
      <c r="AM441" s="244">
        <v>1.2951008645533099E-2</v>
      </c>
    </row>
    <row r="442" spans="26:39">
      <c r="Z442" s="244" t="s">
        <v>1349</v>
      </c>
      <c r="AA442" s="244">
        <v>2060</v>
      </c>
      <c r="AB442" s="244">
        <v>2.50051440329218</v>
      </c>
      <c r="AC442" s="244">
        <v>0.19411764705882301</v>
      </c>
      <c r="AD442" s="244">
        <f t="shared" si="83"/>
        <v>0.94005763688760524</v>
      </c>
      <c r="AE442" s="244"/>
      <c r="AF442" s="244">
        <f t="shared" si="90"/>
        <v>1.37982708933717E-3</v>
      </c>
      <c r="AG442" s="244">
        <f t="shared" si="91"/>
        <v>1.2111815561959619E-2</v>
      </c>
      <c r="AH442" s="244"/>
      <c r="AI442" s="244" t="str">
        <f t="shared" si="82"/>
        <v>1c_2075</v>
      </c>
      <c r="AJ442" s="244" t="s">
        <v>1351</v>
      </c>
      <c r="AK442" s="244">
        <v>2075</v>
      </c>
      <c r="AL442" s="244">
        <v>1.8962536023054699E-3</v>
      </c>
      <c r="AM442" s="244">
        <v>1.2951008645533099E-2</v>
      </c>
    </row>
    <row r="443" spans="26:39">
      <c r="Z443" s="244" t="s">
        <v>1350</v>
      </c>
      <c r="AA443" s="244">
        <v>2060</v>
      </c>
      <c r="AB443" s="244">
        <v>2.50051440329218</v>
      </c>
      <c r="AC443" s="244">
        <v>0.22383932601173401</v>
      </c>
      <c r="AD443" s="244">
        <f t="shared" si="83"/>
        <v>1.0600730067243007</v>
      </c>
      <c r="AE443" s="244"/>
      <c r="AF443" s="244">
        <f t="shared" si="90"/>
        <v>1.6783861671469701E-3</v>
      </c>
      <c r="AG443" s="244">
        <f t="shared" si="91"/>
        <v>1.268472622478382E-2</v>
      </c>
      <c r="AH443" s="244"/>
      <c r="AI443" s="244" t="str">
        <f t="shared" si="82"/>
        <v>1c_2100</v>
      </c>
      <c r="AJ443" s="244" t="s">
        <v>1351</v>
      </c>
      <c r="AK443" s="244">
        <v>2100</v>
      </c>
      <c r="AL443" s="244">
        <v>1.85590778097982E-3</v>
      </c>
      <c r="AM443" s="244">
        <v>1.1740634005763599E-2</v>
      </c>
    </row>
    <row r="444" spans="26:39">
      <c r="Z444" s="244" t="s">
        <v>1351</v>
      </c>
      <c r="AA444" s="244">
        <v>2060</v>
      </c>
      <c r="AB444" s="244">
        <v>2.55073640892354</v>
      </c>
      <c r="AC444" s="244">
        <v>0.23285542349932301</v>
      </c>
      <c r="AD444" s="244">
        <f t="shared" si="83"/>
        <v>1.1879154658981725</v>
      </c>
      <c r="AE444" s="244"/>
      <c r="AF444" s="244">
        <f t="shared" si="90"/>
        <v>1.7510086455331359E-3</v>
      </c>
      <c r="AG444" s="244">
        <f t="shared" si="91"/>
        <v>1.2951008645533099E-2</v>
      </c>
      <c r="AH444" s="244"/>
      <c r="AI444" s="244"/>
      <c r="AJ444" s="244"/>
      <c r="AK444" s="244"/>
      <c r="AL444" s="244"/>
      <c r="AM444" s="244"/>
    </row>
    <row r="445" spans="26:39">
      <c r="Z445" s="244">
        <v>2</v>
      </c>
      <c r="AA445" s="244">
        <v>2070</v>
      </c>
      <c r="AB445" s="244">
        <v>3.3086419753086398</v>
      </c>
      <c r="AC445" s="244">
        <v>0.157952459756281</v>
      </c>
      <c r="AD445" s="244">
        <f t="shared" si="83"/>
        <v>0.66485878962535971</v>
      </c>
      <c r="AE445" s="244"/>
      <c r="AF445" s="244">
        <f t="shared" ref="AF445:AF449" si="92">VLOOKUP(Z445&amp;"_"&amp;2050,$AI$418:$AM$443,4,FALSE)+(VLOOKUP(Z445&amp;"_"&amp;2075,$AI$418:$AM$443,4,FALSE)-VLOOKUP(Z445&amp;"_"&amp;2050,$AI$418:$AM$443,4,FALSE))*20/25</f>
        <v>1.2829971181556119E-3</v>
      </c>
      <c r="AG445" s="244">
        <f t="shared" ref="AG445:AG449" si="93">VLOOKUP(Z445&amp;"_"&amp;2050,$AI$418:$AM$443,5,FALSE)+(VLOOKUP(Z445&amp;"_"&amp;2075,$AI$418:$AM$443,5,FALSE)-VLOOKUP(Z445&amp;"_"&amp;2050,$AI$418:$AM$443,5,FALSE))*20/25</f>
        <v>9.3925072046109493E-3</v>
      </c>
      <c r="AH445" s="244"/>
      <c r="AI445" s="244"/>
      <c r="AJ445" s="244"/>
      <c r="AK445" s="244"/>
      <c r="AL445" s="244"/>
      <c r="AM445" s="244"/>
    </row>
    <row r="446" spans="26:39">
      <c r="Z446" s="244" t="s">
        <v>1043</v>
      </c>
      <c r="AA446" s="244">
        <v>2070</v>
      </c>
      <c r="AB446" s="244">
        <v>2.5925925925925899</v>
      </c>
      <c r="AC446" s="244">
        <v>0.219678050248232</v>
      </c>
      <c r="AD446" s="244">
        <f t="shared" si="83"/>
        <v>0.90021671469740439</v>
      </c>
      <c r="AE446" s="244"/>
      <c r="AF446" s="244">
        <f t="shared" si="92"/>
        <v>1.442420749279538E-3</v>
      </c>
      <c r="AG446" s="244">
        <f t="shared" si="93"/>
        <v>1.1538904899135401E-2</v>
      </c>
      <c r="AH446" s="244"/>
      <c r="AI446" s="244"/>
      <c r="AJ446" s="244"/>
      <c r="AK446" s="244"/>
      <c r="AL446" s="244"/>
      <c r="AM446" s="244"/>
    </row>
    <row r="447" spans="26:39">
      <c r="Z447" s="244" t="s">
        <v>1349</v>
      </c>
      <c r="AA447" s="244">
        <v>2070</v>
      </c>
      <c r="AB447" s="244">
        <v>2.5363872644574399</v>
      </c>
      <c r="AC447" s="244">
        <v>0.20996840680005999</v>
      </c>
      <c r="AD447" s="244">
        <f t="shared" si="83"/>
        <v>1.0698097982708901</v>
      </c>
      <c r="AE447" s="244"/>
      <c r="AF447" s="244">
        <f t="shared" si="92"/>
        <v>1.3475504322766501E-3</v>
      </c>
      <c r="AG447" s="244">
        <f t="shared" si="93"/>
        <v>1.1111239193083541E-2</v>
      </c>
      <c r="AH447" s="244"/>
      <c r="AI447" s="244"/>
      <c r="AJ447" s="244"/>
      <c r="AK447" s="244"/>
      <c r="AL447" s="244"/>
      <c r="AM447" s="244"/>
    </row>
    <row r="448" spans="26:39">
      <c r="Z448" s="244" t="s">
        <v>1350</v>
      </c>
      <c r="AA448" s="244">
        <v>2070</v>
      </c>
      <c r="AB448" s="244">
        <v>2.4431178254277599</v>
      </c>
      <c r="AC448" s="244">
        <v>0.25296825635625098</v>
      </c>
      <c r="AD448" s="244">
        <f t="shared" si="83"/>
        <v>1.2045110470701215</v>
      </c>
      <c r="AE448" s="244"/>
      <c r="AF448" s="244">
        <f t="shared" si="92"/>
        <v>1.74293948126801E-3</v>
      </c>
      <c r="AG448" s="244">
        <f t="shared" si="93"/>
        <v>1.2781556195965341E-2</v>
      </c>
      <c r="AH448" s="244"/>
      <c r="AI448" s="244"/>
      <c r="AJ448" s="244"/>
      <c r="AK448" s="244"/>
      <c r="AL448" s="244"/>
      <c r="AM448" s="244"/>
    </row>
    <row r="449" spans="1:39">
      <c r="Z449" s="244" t="s">
        <v>1351</v>
      </c>
      <c r="AA449" s="244">
        <v>2070</v>
      </c>
      <c r="AB449" s="244">
        <v>2.4431178254277599</v>
      </c>
      <c r="AC449" s="244">
        <v>0.26614562960734101</v>
      </c>
      <c r="AD449" s="244">
        <f t="shared" si="83"/>
        <v>1.3354197886647428</v>
      </c>
      <c r="AE449" s="244"/>
      <c r="AF449" s="244">
        <f t="shared" si="92"/>
        <v>1.847838616714692E-3</v>
      </c>
      <c r="AG449" s="244">
        <f t="shared" si="93"/>
        <v>1.2951008645533099E-2</v>
      </c>
      <c r="AH449" s="244"/>
      <c r="AI449" s="244"/>
      <c r="AJ449" s="244"/>
      <c r="AK449" s="244"/>
      <c r="AL449" s="244"/>
      <c r="AM449" s="244"/>
    </row>
    <row r="450" spans="1:39">
      <c r="Z450" s="244">
        <v>2</v>
      </c>
      <c r="AA450" s="244">
        <v>2080</v>
      </c>
      <c r="AB450" s="244">
        <v>3.4188596491227998</v>
      </c>
      <c r="AC450" s="244">
        <v>0.164887919362118</v>
      </c>
      <c r="AD450" s="244">
        <f t="shared" si="83"/>
        <v>0.77221902017291</v>
      </c>
      <c r="AE450" s="244"/>
      <c r="AF450" s="244">
        <f t="shared" ref="AF450:AF454" si="94">VLOOKUP(Z450&amp;"_"&amp;2075,$AI$418:$AM$443,4,FALSE)+(VLOOKUP(Z450&amp;"_"&amp;2100,$AI$418:$AM$443,4,FALSE)-VLOOKUP(Z450&amp;"_"&amp;2075,$AI$418:$AM$443,4,FALSE))*5/25</f>
        <v>1.29913544668587E-3</v>
      </c>
      <c r="AG450" s="244">
        <f t="shared" ref="AG450:AG454" si="95">VLOOKUP(Z450&amp;"_"&amp;2075,$AI$418:$AM$443,5,FALSE)+(VLOOKUP(Z450&amp;"_"&amp;2100,$AI$418:$AM$443,5,FALSE)-VLOOKUP(Z450&amp;"_"&amp;2075,$AI$418:$AM$443,5,FALSE))*5/25</f>
        <v>9.4974063400576365E-3</v>
      </c>
      <c r="AH450" s="244"/>
      <c r="AI450" s="244"/>
      <c r="AJ450" s="244"/>
      <c r="AK450" s="244"/>
      <c r="AL450" s="244"/>
      <c r="AM450" s="244"/>
    </row>
    <row r="451" spans="1:39">
      <c r="Z451" s="244" t="s">
        <v>1043</v>
      </c>
      <c r="AA451" s="244">
        <v>2080</v>
      </c>
      <c r="AB451" s="244">
        <v>2.5679012345679002</v>
      </c>
      <c r="AC451" s="244">
        <v>0.23632315330224099</v>
      </c>
      <c r="AD451" s="244">
        <f t="shared" si="83"/>
        <v>1.02885994236311</v>
      </c>
      <c r="AE451" s="244"/>
      <c r="AF451" s="244">
        <f t="shared" si="94"/>
        <v>1.4262824207492779E-3</v>
      </c>
      <c r="AG451" s="244">
        <f t="shared" si="95"/>
        <v>1.1321037463976901E-2</v>
      </c>
      <c r="AH451" s="244"/>
      <c r="AI451" s="244"/>
      <c r="AJ451" s="244"/>
      <c r="AK451" s="244"/>
      <c r="AL451" s="244"/>
      <c r="AM451" s="244"/>
    </row>
    <row r="452" spans="1:39">
      <c r="N452" t="s">
        <v>1442</v>
      </c>
      <c r="P452" t="s">
        <v>2880</v>
      </c>
      <c r="R452" t="s">
        <v>2881</v>
      </c>
      <c r="Z452" s="244" t="s">
        <v>1349</v>
      </c>
      <c r="AA452" s="244">
        <v>2080</v>
      </c>
      <c r="AB452" s="244">
        <v>2.3928958197963999</v>
      </c>
      <c r="AC452" s="244">
        <v>0.219678050248232</v>
      </c>
      <c r="AD452" s="244">
        <f t="shared" si="83"/>
        <v>1.1915734870316965</v>
      </c>
      <c r="AE452" s="244"/>
      <c r="AF452" s="244">
        <f t="shared" si="94"/>
        <v>1.291066282420742E-3</v>
      </c>
      <c r="AG452" s="244">
        <f t="shared" si="95"/>
        <v>1.0602881844380361E-2</v>
      </c>
      <c r="AH452" s="244"/>
      <c r="AI452" s="244"/>
      <c r="AJ452" s="244"/>
      <c r="AK452" s="244"/>
      <c r="AL452" s="244"/>
      <c r="AM452" s="244"/>
    </row>
    <row r="453" spans="1:39">
      <c r="A453" t="s">
        <v>2882</v>
      </c>
      <c r="N453" t="s">
        <v>2883</v>
      </c>
      <c r="P453" t="s">
        <v>1323</v>
      </c>
      <c r="Z453" s="244" t="s">
        <v>1350</v>
      </c>
      <c r="AA453" s="244">
        <v>2080</v>
      </c>
      <c r="AB453" s="244">
        <v>2.4359432531947101</v>
      </c>
      <c r="AC453" s="244">
        <v>0.27516172709492998</v>
      </c>
      <c r="AD453" s="244">
        <f t="shared" si="83"/>
        <v>1.3489894332372676</v>
      </c>
      <c r="AE453" s="244"/>
      <c r="AF453" s="244">
        <f t="shared" si="94"/>
        <v>1.7590778097982701E-3</v>
      </c>
      <c r="AG453" s="244">
        <f t="shared" si="95"/>
        <v>1.2612103746397601E-2</v>
      </c>
      <c r="AH453" s="244"/>
      <c r="AI453" s="244"/>
      <c r="AJ453" s="244"/>
      <c r="AK453" s="244"/>
      <c r="AL453" s="244"/>
      <c r="AM453" s="244"/>
    </row>
    <row r="454" spans="1:39">
      <c r="K454">
        <v>5.5160735818553502E-3</v>
      </c>
      <c r="L454">
        <v>98.499320111860797</v>
      </c>
      <c r="N454">
        <v>25</v>
      </c>
      <c r="O454">
        <v>0</v>
      </c>
      <c r="P454">
        <v>0</v>
      </c>
      <c r="Q454">
        <f>SUM(L454:L456)</f>
        <v>286.60902583574921</v>
      </c>
      <c r="R454">
        <v>269.14893617021198</v>
      </c>
      <c r="S454">
        <v>217.87234042553101</v>
      </c>
      <c r="Z454" s="244" t="s">
        <v>1351</v>
      </c>
      <c r="AA454" s="244">
        <v>2080</v>
      </c>
      <c r="AB454" s="244">
        <v>2.4359432531947101</v>
      </c>
      <c r="AC454" s="244">
        <v>0.30082292763652702</v>
      </c>
      <c r="AD454" s="244">
        <f t="shared" si="83"/>
        <v>1.4823996157540793</v>
      </c>
      <c r="AE454" s="244"/>
      <c r="AF454" s="244">
        <f t="shared" si="94"/>
        <v>1.8881844380403399E-3</v>
      </c>
      <c r="AG454" s="244">
        <f t="shared" si="95"/>
        <v>1.27089337175792E-2</v>
      </c>
      <c r="AH454" s="244"/>
      <c r="AI454" s="244"/>
      <c r="AJ454" s="244"/>
      <c r="AK454" s="244"/>
      <c r="AL454" s="244"/>
      <c r="AM454" s="244"/>
    </row>
    <row r="455" spans="1:39">
      <c r="K455">
        <v>6.0291967057484099E-3</v>
      </c>
      <c r="L455">
        <v>96.524001334120101</v>
      </c>
      <c r="N455">
        <v>25</v>
      </c>
      <c r="O455">
        <v>1</v>
      </c>
      <c r="P455">
        <v>0</v>
      </c>
      <c r="Q455">
        <f>SUM(L457:L459)</f>
        <v>279.58580701439303</v>
      </c>
      <c r="R455">
        <v>269.14893617021198</v>
      </c>
      <c r="S455">
        <v>221.063829787234</v>
      </c>
      <c r="Z455" s="244">
        <v>2</v>
      </c>
      <c r="AA455" s="244">
        <v>2090</v>
      </c>
      <c r="AB455" s="244">
        <v>3.4906053714533201</v>
      </c>
      <c r="AC455" s="244">
        <v>0.17294117647058799</v>
      </c>
      <c r="AD455" s="244">
        <f t="shared" si="83"/>
        <v>0.88123342939481197</v>
      </c>
      <c r="AE455" s="244"/>
      <c r="AF455" s="244">
        <f t="shared" ref="AF455:AF459" si="96">VLOOKUP(Z455&amp;"_"&amp;2075,$AI$418:$AM$443,4,FALSE)+(VLOOKUP(Z455&amp;"_"&amp;2100,$AI$418:$AM$443,4,FALSE)-VLOOKUP(Z455&amp;"_"&amp;2075,$AI$418:$AM$443,4,FALSE))*15/25</f>
        <v>1.3152737752161301E-3</v>
      </c>
      <c r="AG455" s="244">
        <f t="shared" ref="AG455:AG459" si="97">VLOOKUP(Z455&amp;"_"&amp;2075,$AI$418:$AM$443,5,FALSE)+(VLOOKUP(Z455&amp;"_"&amp;2100,$AI$418:$AM$443,5,FALSE)-VLOOKUP(Z455&amp;"_"&amp;2075,$AI$418:$AM$443,5,FALSE))*15/25</f>
        <v>9.6910662824207482E-3</v>
      </c>
      <c r="AH455" s="244"/>
      <c r="AI455" s="244"/>
      <c r="AJ455" s="244"/>
      <c r="AK455" s="244"/>
      <c r="AL455" s="244"/>
      <c r="AM455" s="244"/>
    </row>
    <row r="456" spans="1:39">
      <c r="K456">
        <v>7.3120045154828599E-3</v>
      </c>
      <c r="L456">
        <v>91.585704389768296</v>
      </c>
      <c r="N456">
        <v>25</v>
      </c>
      <c r="O456">
        <v>9</v>
      </c>
      <c r="P456">
        <v>0</v>
      </c>
      <c r="Q456">
        <f>SUM(L460:L461)</f>
        <v>161.3345306206223</v>
      </c>
      <c r="R456">
        <v>269.14893617021198</v>
      </c>
      <c r="S456">
        <v>261.063829787234</v>
      </c>
      <c r="Z456" s="244" t="s">
        <v>1043</v>
      </c>
      <c r="AA456" s="244">
        <v>2090</v>
      </c>
      <c r="AB456" s="244">
        <v>2.5308641975308599</v>
      </c>
      <c r="AC456" s="244">
        <v>0.24533925078982999</v>
      </c>
      <c r="AD456" s="244">
        <f t="shared" si="83"/>
        <v>1.1539172910662796</v>
      </c>
      <c r="AE456" s="244"/>
      <c r="AF456" s="244">
        <f t="shared" si="96"/>
        <v>1.378847262247834E-3</v>
      </c>
      <c r="AG456" s="244">
        <f t="shared" si="97"/>
        <v>1.08853025936599E-2</v>
      </c>
      <c r="AH456" s="244"/>
      <c r="AI456" s="244"/>
      <c r="AJ456" s="244"/>
      <c r="AK456" s="244"/>
      <c r="AL456" s="244"/>
      <c r="AM456" s="244"/>
    </row>
    <row r="457" spans="1:39">
      <c r="K457">
        <v>1.90785591502681</v>
      </c>
      <c r="L457">
        <v>95.251866485363095</v>
      </c>
      <c r="Z457" s="244" t="s">
        <v>1349</v>
      </c>
      <c r="AA457" s="244">
        <v>2090</v>
      </c>
      <c r="AB457" s="244">
        <v>2.3283246696989299</v>
      </c>
      <c r="AC457" s="244">
        <v>0.22235294117647</v>
      </c>
      <c r="AD457" s="244">
        <f t="shared" si="83"/>
        <v>1.3100288184437996</v>
      </c>
      <c r="AE457" s="244"/>
      <c r="AF457" s="244">
        <f t="shared" si="96"/>
        <v>1.2103746397694459E-3</v>
      </c>
      <c r="AG457" s="244">
        <f t="shared" si="97"/>
        <v>1.0586743515850081E-2</v>
      </c>
      <c r="AH457" s="244"/>
      <c r="AI457" s="244"/>
      <c r="AJ457" s="244"/>
      <c r="AK457" s="244"/>
      <c r="AL457" s="244"/>
      <c r="AM457" s="244"/>
    </row>
    <row r="458" spans="1:39">
      <c r="K458">
        <v>1.8457680170356801</v>
      </c>
      <c r="L458">
        <v>94.265438591990105</v>
      </c>
      <c r="Z458" s="244" t="s">
        <v>1350</v>
      </c>
      <c r="AA458" s="244">
        <v>2090</v>
      </c>
      <c r="AB458" s="244">
        <v>2.2781026640675699</v>
      </c>
      <c r="AC458" s="244">
        <v>0.28695200842485302</v>
      </c>
      <c r="AD458" s="244">
        <f t="shared" si="83"/>
        <v>1.4903611911623387</v>
      </c>
      <c r="AE458" s="244"/>
      <c r="AF458" s="244">
        <f t="shared" si="96"/>
        <v>1.72680115273775E-3</v>
      </c>
      <c r="AG458" s="244">
        <f t="shared" si="97"/>
        <v>1.21763688760806E-2</v>
      </c>
      <c r="AH458" s="244"/>
      <c r="AI458" s="244"/>
      <c r="AJ458" s="244"/>
      <c r="AK458" s="244"/>
      <c r="AL458" s="244"/>
      <c r="AM458" s="244"/>
    </row>
    <row r="459" spans="1:39">
      <c r="K459">
        <v>1.8156861738974199</v>
      </c>
      <c r="L459">
        <v>90.068501937039798</v>
      </c>
      <c r="Z459" s="244" t="s">
        <v>1351</v>
      </c>
      <c r="AA459" s="244">
        <v>2090</v>
      </c>
      <c r="AB459" s="244">
        <v>2.2781026640675699</v>
      </c>
      <c r="AC459" s="244">
        <v>0.326484128178125</v>
      </c>
      <c r="AD459" s="244">
        <f t="shared" si="83"/>
        <v>1.6258693563880844</v>
      </c>
      <c r="AE459" s="244"/>
      <c r="AF459" s="244">
        <f t="shared" si="96"/>
        <v>1.8720461095100801E-3</v>
      </c>
      <c r="AG459" s="244">
        <f t="shared" si="97"/>
        <v>1.2224783861671399E-2</v>
      </c>
      <c r="AH459" s="244"/>
      <c r="AI459" s="244"/>
      <c r="AJ459" s="244"/>
      <c r="AK459" s="244"/>
      <c r="AL459" s="244"/>
      <c r="AM459" s="244"/>
    </row>
    <row r="460" spans="1:39">
      <c r="K460">
        <v>8.9851707417194699</v>
      </c>
      <c r="L460">
        <v>90.420709649280298</v>
      </c>
      <c r="Z460" s="244">
        <v>2</v>
      </c>
      <c r="AA460" s="244">
        <v>2100</v>
      </c>
      <c r="AB460" s="244">
        <v>3.5432098765432101</v>
      </c>
      <c r="AC460" s="244">
        <v>0.18</v>
      </c>
      <c r="AD460" s="244">
        <f t="shared" si="83"/>
        <v>0.99234582132564764</v>
      </c>
      <c r="AE460" s="244"/>
      <c r="AF460" s="244">
        <f t="shared" ref="AF460:AF464" si="98">VLOOKUP($Z460&amp;"_"&amp;$AA460,$AI$418:$AM$443,4,FALSE)</f>
        <v>1.3314121037463901E-3</v>
      </c>
      <c r="AG460" s="244">
        <f t="shared" ref="AG460:AG464" si="99">VLOOKUP($Z460&amp;"_"&amp;$AA460,$AI$418:$AM$443,5,FALSE)</f>
        <v>9.8847262247838599E-3</v>
      </c>
      <c r="AH460" s="244"/>
      <c r="AI460" s="244"/>
      <c r="AJ460" s="244"/>
      <c r="AK460" s="244"/>
      <c r="AL460" s="244"/>
      <c r="AM460" s="244"/>
    </row>
    <row r="461" spans="1:39">
      <c r="K461">
        <v>9.0214100623444597</v>
      </c>
      <c r="L461">
        <v>70.913820971342005</v>
      </c>
      <c r="Z461" s="244" t="s">
        <v>1043</v>
      </c>
      <c r="AA461" s="244">
        <v>2100</v>
      </c>
      <c r="AB461" s="244">
        <v>2.49382716049382</v>
      </c>
      <c r="AC461" s="244">
        <v>0.24741988867158099</v>
      </c>
      <c r="AD461" s="244">
        <f t="shared" si="83"/>
        <v>1.2741429394812647</v>
      </c>
      <c r="AE461" s="244"/>
      <c r="AF461" s="244">
        <f t="shared" si="98"/>
        <v>1.3314121037463901E-3</v>
      </c>
      <c r="AG461" s="244">
        <f t="shared" si="99"/>
        <v>1.0449567723342899E-2</v>
      </c>
      <c r="AH461" s="244"/>
      <c r="AI461" s="244"/>
      <c r="AJ461" s="244"/>
      <c r="AK461" s="244"/>
      <c r="AL461" s="244"/>
      <c r="AM461" s="244"/>
    </row>
    <row r="462" spans="1:39">
      <c r="Z462" s="244" t="s">
        <v>1349</v>
      </c>
      <c r="AA462" s="244">
        <v>2100</v>
      </c>
      <c r="AB462" s="244">
        <v>2.3209876543209802</v>
      </c>
      <c r="AC462" s="244">
        <v>0.20788776891830901</v>
      </c>
      <c r="AD462" s="244">
        <f t="shared" si="83"/>
        <v>1.427515850144087</v>
      </c>
      <c r="AE462" s="244"/>
      <c r="AF462" s="244">
        <f t="shared" si="98"/>
        <v>1.1296829971181499E-3</v>
      </c>
      <c r="AG462" s="244">
        <f t="shared" si="99"/>
        <v>1.0570605187319801E-2</v>
      </c>
      <c r="AH462" s="244"/>
      <c r="AI462" s="244"/>
      <c r="AJ462" s="244"/>
      <c r="AK462" s="244"/>
      <c r="AL462" s="244"/>
      <c r="AM462" s="244"/>
    </row>
    <row r="463" spans="1:39">
      <c r="Z463" s="244" t="s">
        <v>1350</v>
      </c>
      <c r="AA463" s="244">
        <v>2100</v>
      </c>
      <c r="AB463" s="244">
        <v>2.2098765432098699</v>
      </c>
      <c r="AC463" s="244">
        <v>0.29458101399127401</v>
      </c>
      <c r="AD463" s="244">
        <f t="shared" si="83"/>
        <v>1.6270528338136345</v>
      </c>
      <c r="AE463" s="244"/>
      <c r="AF463" s="244">
        <f t="shared" si="98"/>
        <v>1.6945244956772299E-3</v>
      </c>
      <c r="AG463" s="244">
        <f t="shared" si="99"/>
        <v>1.1740634005763599E-2</v>
      </c>
      <c r="AH463" s="244"/>
      <c r="AI463" s="244"/>
      <c r="AJ463" s="244"/>
      <c r="AK463" s="244"/>
      <c r="AL463" s="244"/>
      <c r="AM463" s="244"/>
    </row>
    <row r="464" spans="1:39">
      <c r="Z464" s="244" t="s">
        <v>1351</v>
      </c>
      <c r="AA464" s="244">
        <v>2100</v>
      </c>
      <c r="AB464" s="244">
        <v>2.1604938271604901</v>
      </c>
      <c r="AC464" s="244">
        <v>0.34243568527155099</v>
      </c>
      <c r="AD464" s="244">
        <f t="shared" si="83"/>
        <v>1.7643362151777089</v>
      </c>
      <c r="AE464" s="244"/>
      <c r="AF464" s="244">
        <f t="shared" si="98"/>
        <v>1.85590778097982E-3</v>
      </c>
      <c r="AG464" s="244">
        <f t="shared" si="99"/>
        <v>1.1740634005763599E-2</v>
      </c>
      <c r="AH464" s="244"/>
      <c r="AI464" s="244"/>
      <c r="AJ464" s="244"/>
      <c r="AK464" s="244"/>
      <c r="AL464" s="244"/>
      <c r="AM464" s="244"/>
    </row>
    <row r="474" spans="1:16">
      <c r="A474" t="s">
        <v>2884</v>
      </c>
      <c r="K474" t="s">
        <v>2885</v>
      </c>
      <c r="L474" t="s">
        <v>2886</v>
      </c>
      <c r="M474" t="s">
        <v>1530</v>
      </c>
      <c r="N474" t="s">
        <v>2887</v>
      </c>
      <c r="O474" t="s">
        <v>2888</v>
      </c>
      <c r="P474" t="s">
        <v>2628</v>
      </c>
    </row>
    <row r="475" spans="1:16">
      <c r="J475" t="s">
        <v>2889</v>
      </c>
      <c r="K475">
        <v>0.32</v>
      </c>
      <c r="L475">
        <v>0.44</v>
      </c>
      <c r="M475">
        <v>0.32</v>
      </c>
      <c r="N475">
        <v>0.12</v>
      </c>
      <c r="O475">
        <v>0.09</v>
      </c>
      <c r="P475">
        <v>1.29</v>
      </c>
    </row>
    <row r="476" spans="1:16">
      <c r="J476" t="s">
        <v>2890</v>
      </c>
      <c r="K476">
        <v>8</v>
      </c>
      <c r="L476">
        <v>219</v>
      </c>
      <c r="M476">
        <v>223</v>
      </c>
      <c r="N476">
        <v>219</v>
      </c>
      <c r="O476">
        <v>77</v>
      </c>
      <c r="P476">
        <v>745</v>
      </c>
    </row>
    <row r="477" spans="1:16">
      <c r="J477" t="s">
        <v>2891</v>
      </c>
      <c r="K477">
        <v>3</v>
      </c>
      <c r="L477">
        <v>263</v>
      </c>
      <c r="M477">
        <v>147</v>
      </c>
      <c r="N477">
        <v>76</v>
      </c>
      <c r="O477">
        <v>25</v>
      </c>
      <c r="P477">
        <v>514</v>
      </c>
    </row>
    <row r="478" spans="1:16">
      <c r="J478" t="s">
        <v>2892</v>
      </c>
      <c r="K478">
        <v>0</v>
      </c>
      <c r="L478">
        <v>10</v>
      </c>
      <c r="M478">
        <v>8</v>
      </c>
      <c r="N478">
        <v>5</v>
      </c>
      <c r="O478">
        <v>3</v>
      </c>
      <c r="P478">
        <v>26</v>
      </c>
    </row>
    <row r="479" spans="1:16">
      <c r="J479" t="s">
        <v>2893</v>
      </c>
      <c r="K479">
        <f>K476+0.0279*K477+0.273*K478</f>
        <v>8.0837000000000003</v>
      </c>
      <c r="L479">
        <f t="shared" ref="L479:P479" si="100">L476+0.0279*L477+0.273*L478</f>
        <v>229.0677</v>
      </c>
      <c r="M479">
        <f t="shared" si="100"/>
        <v>229.28530000000001</v>
      </c>
      <c r="N479">
        <f t="shared" si="100"/>
        <v>222.4854</v>
      </c>
      <c r="O479">
        <f t="shared" si="100"/>
        <v>78.516500000000008</v>
      </c>
      <c r="P479">
        <f t="shared" si="100"/>
        <v>766.43859999999995</v>
      </c>
    </row>
    <row r="481" spans="10:16">
      <c r="J481" t="s">
        <v>2894</v>
      </c>
      <c r="K481">
        <f>K479/(K475*10^3)</f>
        <v>2.5261562500000001E-2</v>
      </c>
      <c r="L481">
        <f t="shared" ref="L481:P481" si="101">L479/(L475*10^3)</f>
        <v>0.52060840909090911</v>
      </c>
      <c r="M481">
        <f t="shared" si="101"/>
        <v>0.71651656250000006</v>
      </c>
      <c r="N481">
        <f t="shared" si="101"/>
        <v>1.8540449999999999</v>
      </c>
      <c r="O481">
        <f t="shared" si="101"/>
        <v>0.87240555555555566</v>
      </c>
      <c r="P481">
        <f t="shared" si="101"/>
        <v>0.59413844961240303</v>
      </c>
    </row>
  </sheetData>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368"/>
  <sheetViews>
    <sheetView topLeftCell="A370" workbookViewId="0">
      <selection activeCell="A338" sqref="A338:XFD369"/>
    </sheetView>
  </sheetViews>
  <sheetFormatPr baseColWidth="10" defaultRowHeight="16"/>
  <cols>
    <col min="2" max="2" width="11.1640625" bestFit="1" customWidth="1"/>
    <col min="3" max="3" width="20.83203125" customWidth="1"/>
    <col min="7" max="8" width="18.5" customWidth="1"/>
    <col min="9" max="9" width="26.83203125" customWidth="1"/>
    <col min="10" max="10" width="15.33203125" customWidth="1"/>
    <col min="11" max="11" width="16.5" customWidth="1"/>
    <col min="12" max="12" width="14.83203125" customWidth="1"/>
    <col min="15" max="15" width="27.1640625" bestFit="1" customWidth="1"/>
    <col min="16" max="16" width="26.83203125" bestFit="1" customWidth="1"/>
    <col min="17" max="17" width="13.33203125" bestFit="1" customWidth="1"/>
    <col min="18" max="18" width="27.1640625" bestFit="1" customWidth="1"/>
    <col min="19" max="19" width="26.83203125" bestFit="1" customWidth="1"/>
  </cols>
  <sheetData>
    <row r="1" spans="1:7">
      <c r="A1" s="143" t="s">
        <v>2895</v>
      </c>
      <c r="B1" s="143" t="s">
        <v>2896</v>
      </c>
    </row>
    <row r="2" spans="1:7">
      <c r="A2" s="141" t="s">
        <v>514</v>
      </c>
      <c r="B2" s="141" t="s">
        <v>2897</v>
      </c>
      <c r="C2" s="141" t="s">
        <v>651</v>
      </c>
      <c r="D2" s="141" t="s">
        <v>2898</v>
      </c>
      <c r="E2" s="199" t="s">
        <v>2899</v>
      </c>
      <c r="F2" s="141" t="s">
        <v>2900</v>
      </c>
      <c r="G2" s="141" t="s">
        <v>2901</v>
      </c>
    </row>
    <row r="3" spans="1:7">
      <c r="A3" s="141" t="s">
        <v>2902</v>
      </c>
      <c r="B3" s="141" t="s">
        <v>2903</v>
      </c>
      <c r="C3" s="141">
        <v>0</v>
      </c>
      <c r="D3" s="141">
        <v>107.01820499999999</v>
      </c>
      <c r="E3" s="141"/>
    </row>
    <row r="4" spans="1:7">
      <c r="A4" s="141" t="s">
        <v>2904</v>
      </c>
      <c r="B4" s="141" t="s">
        <v>2903</v>
      </c>
      <c r="C4" s="141">
        <v>0</v>
      </c>
      <c r="D4" s="141">
        <v>105.21369900000001</v>
      </c>
      <c r="E4" s="141"/>
    </row>
    <row r="5" spans="1:7">
      <c r="A5" s="141" t="s">
        <v>2902</v>
      </c>
      <c r="B5" s="141" t="s">
        <v>2905</v>
      </c>
      <c r="C5" s="141">
        <v>0</v>
      </c>
      <c r="D5" s="141">
        <v>107.01820499999999</v>
      </c>
      <c r="E5" s="141"/>
      <c r="G5" s="199"/>
    </row>
    <row r="6" spans="1:7">
      <c r="A6" s="141" t="s">
        <v>2904</v>
      </c>
      <c r="B6" s="141" t="s">
        <v>2905</v>
      </c>
      <c r="C6" s="141">
        <v>0</v>
      </c>
      <c r="D6" s="141">
        <v>107.01820499999999</v>
      </c>
      <c r="E6" s="141"/>
    </row>
    <row r="7" spans="1:7">
      <c r="A7" s="141" t="s">
        <v>2902</v>
      </c>
      <c r="B7" s="141" t="s">
        <v>2906</v>
      </c>
      <c r="C7" s="141">
        <v>0</v>
      </c>
      <c r="D7" s="141">
        <v>106.216202</v>
      </c>
      <c r="E7" s="141"/>
    </row>
    <row r="8" spans="1:7">
      <c r="A8" s="141" t="s">
        <v>2904</v>
      </c>
      <c r="B8" s="141" t="s">
        <v>2906</v>
      </c>
      <c r="C8" s="141">
        <v>0</v>
      </c>
      <c r="D8" s="141">
        <v>106.216202</v>
      </c>
      <c r="E8" s="141"/>
    </row>
    <row r="9" spans="1:7">
      <c r="A9" s="141" t="s">
        <v>2902</v>
      </c>
      <c r="B9" s="141" t="s">
        <v>2903</v>
      </c>
      <c r="C9" s="141">
        <v>20</v>
      </c>
      <c r="D9" s="141">
        <v>91.619616399999998</v>
      </c>
      <c r="E9" s="245"/>
    </row>
    <row r="10" spans="1:7">
      <c r="A10" s="141" t="s">
        <v>2904</v>
      </c>
      <c r="B10" s="141" t="s">
        <v>2903</v>
      </c>
      <c r="C10" s="141">
        <v>20</v>
      </c>
      <c r="D10" s="141">
        <v>86.005597199999997</v>
      </c>
      <c r="E10" s="141"/>
    </row>
    <row r="11" spans="1:7">
      <c r="A11" s="141" t="s">
        <v>2902</v>
      </c>
      <c r="B11" s="141" t="s">
        <v>2905</v>
      </c>
      <c r="C11" s="141">
        <v>20</v>
      </c>
      <c r="D11" s="141">
        <v>81.193580800000007</v>
      </c>
      <c r="E11" s="245"/>
      <c r="F11" s="199"/>
      <c r="G11" s="199"/>
    </row>
    <row r="12" spans="1:7">
      <c r="A12" s="141" t="s">
        <v>2904</v>
      </c>
      <c r="B12" s="141" t="s">
        <v>2905</v>
      </c>
      <c r="C12" s="141">
        <v>20</v>
      </c>
      <c r="D12" s="141">
        <v>72.973052800000005</v>
      </c>
      <c r="E12" s="141"/>
      <c r="F12" s="199"/>
    </row>
    <row r="13" spans="1:7">
      <c r="A13" s="141" t="s">
        <v>2902</v>
      </c>
      <c r="B13" s="141" t="s">
        <v>2906</v>
      </c>
      <c r="C13" s="141">
        <v>20</v>
      </c>
      <c r="D13" s="141">
        <v>52.1209816</v>
      </c>
      <c r="E13" s="245"/>
    </row>
    <row r="14" spans="1:7">
      <c r="A14" s="141" t="s">
        <v>2904</v>
      </c>
      <c r="B14" s="141" t="s">
        <v>2906</v>
      </c>
      <c r="C14" s="141">
        <v>20</v>
      </c>
      <c r="D14" s="141">
        <v>45.1034577</v>
      </c>
      <c r="E14" s="141"/>
    </row>
    <row r="15" spans="1:7">
      <c r="A15" s="141" t="s">
        <v>2902</v>
      </c>
      <c r="B15" s="141" t="s">
        <v>2903</v>
      </c>
      <c r="C15" s="141">
        <v>60</v>
      </c>
      <c r="D15" s="141">
        <v>71.248701499999996</v>
      </c>
      <c r="E15" s="141"/>
    </row>
    <row r="16" spans="1:7">
      <c r="A16" s="141" t="s">
        <v>2904</v>
      </c>
      <c r="B16" s="141" t="s">
        <v>2903</v>
      </c>
      <c r="C16" s="141">
        <v>60</v>
      </c>
      <c r="D16" s="141">
        <v>62.827672700000001</v>
      </c>
      <c r="E16" s="141"/>
    </row>
    <row r="17" spans="1:7">
      <c r="A17" s="141" t="s">
        <v>2902</v>
      </c>
      <c r="B17" s="141" t="s">
        <v>2905</v>
      </c>
      <c r="C17" s="141">
        <v>60</v>
      </c>
      <c r="D17" s="141">
        <v>56.411650799999997</v>
      </c>
      <c r="E17" s="141"/>
      <c r="G17" s="199"/>
    </row>
    <row r="18" spans="1:7">
      <c r="A18" s="141" t="s">
        <v>2904</v>
      </c>
      <c r="B18" s="141" t="s">
        <v>2905</v>
      </c>
      <c r="C18" s="141">
        <v>60</v>
      </c>
      <c r="D18" s="141">
        <v>49.394126900000003</v>
      </c>
      <c r="E18" s="141"/>
    </row>
    <row r="19" spans="1:7">
      <c r="A19" s="141" t="s">
        <v>2902</v>
      </c>
      <c r="B19" s="141" t="s">
        <v>2906</v>
      </c>
      <c r="C19" s="141">
        <v>60</v>
      </c>
      <c r="D19" s="141">
        <v>33.153571499999998</v>
      </c>
      <c r="E19" s="141"/>
    </row>
    <row r="20" spans="1:7">
      <c r="A20" s="141" t="s">
        <v>2904</v>
      </c>
      <c r="B20" s="141" t="s">
        <v>2906</v>
      </c>
      <c r="C20" s="141">
        <v>60</v>
      </c>
      <c r="D20" s="141">
        <v>27.740053</v>
      </c>
      <c r="E20" s="141"/>
    </row>
    <row r="21" spans="1:7">
      <c r="A21" s="141" t="s">
        <v>2902</v>
      </c>
      <c r="B21" s="141" t="s">
        <v>2903</v>
      </c>
      <c r="C21" s="141">
        <v>100</v>
      </c>
      <c r="D21" s="141">
        <v>59.701633200000003</v>
      </c>
      <c r="E21" s="246"/>
    </row>
    <row r="22" spans="1:7">
      <c r="A22" s="141" t="s">
        <v>2904</v>
      </c>
      <c r="B22" s="141" t="s">
        <v>2903</v>
      </c>
      <c r="C22" s="141">
        <v>100</v>
      </c>
      <c r="D22" s="141">
        <v>51.881879400000003</v>
      </c>
      <c r="E22" s="141"/>
    </row>
    <row r="23" spans="1:7">
      <c r="A23" s="141" t="s">
        <v>2902</v>
      </c>
      <c r="B23" s="141" t="s">
        <v>2905</v>
      </c>
      <c r="C23" s="141">
        <v>100</v>
      </c>
      <c r="D23" s="141">
        <v>46.669542900000003</v>
      </c>
      <c r="E23" s="246"/>
      <c r="F23" s="245"/>
    </row>
    <row r="24" spans="1:7">
      <c r="A24" s="141" t="s">
        <v>2904</v>
      </c>
      <c r="B24" s="141" t="s">
        <v>2905</v>
      </c>
      <c r="C24" s="141">
        <v>100</v>
      </c>
      <c r="D24" s="141">
        <v>40.2526127</v>
      </c>
      <c r="E24" s="141"/>
      <c r="F24" s="245"/>
    </row>
    <row r="25" spans="1:7">
      <c r="A25" s="141" t="s">
        <v>2902</v>
      </c>
      <c r="B25" s="141" t="s">
        <v>2906</v>
      </c>
      <c r="C25" s="141">
        <v>100</v>
      </c>
      <c r="D25" s="141">
        <v>25.616516900000001</v>
      </c>
      <c r="E25" s="246"/>
    </row>
    <row r="26" spans="1:7">
      <c r="A26" s="141" t="s">
        <v>2904</v>
      </c>
      <c r="B26" s="141" t="s">
        <v>2906</v>
      </c>
      <c r="C26" s="141">
        <v>100</v>
      </c>
      <c r="D26" s="141">
        <v>20.6039998</v>
      </c>
      <c r="E26" s="141"/>
    </row>
    <row r="27" spans="1:7">
      <c r="B27" s="141" t="s">
        <v>798</v>
      </c>
      <c r="C27" t="s">
        <v>1398</v>
      </c>
      <c r="D27" s="141">
        <v>110</v>
      </c>
      <c r="G27" s="199"/>
    </row>
    <row r="28" spans="1:7">
      <c r="B28" s="141" t="s">
        <v>2907</v>
      </c>
      <c r="C28" t="s">
        <v>1398</v>
      </c>
      <c r="D28" s="141">
        <v>89</v>
      </c>
    </row>
    <row r="29" spans="1:7">
      <c r="B29" s="141" t="s">
        <v>2908</v>
      </c>
      <c r="C29" t="s">
        <v>1398</v>
      </c>
      <c r="D29" s="141">
        <v>78</v>
      </c>
      <c r="G29" s="199"/>
    </row>
    <row r="33" spans="1:6">
      <c r="A33" t="s">
        <v>2909</v>
      </c>
    </row>
    <row r="34" spans="1:6">
      <c r="A34" s="141"/>
      <c r="B34" s="141" t="s">
        <v>2910</v>
      </c>
      <c r="C34" s="141" t="s">
        <v>2911</v>
      </c>
      <c r="D34" s="141" t="s">
        <v>2912</v>
      </c>
      <c r="E34" s="141" t="s">
        <v>2913</v>
      </c>
      <c r="F34" s="141" t="s">
        <v>2168</v>
      </c>
    </row>
    <row r="35" spans="1:6">
      <c r="A35" s="141"/>
      <c r="B35" s="141"/>
      <c r="C35" s="141"/>
      <c r="D35" s="141"/>
      <c r="E35" s="141"/>
      <c r="F35" t="s">
        <v>2914</v>
      </c>
    </row>
    <row r="36" spans="1:6">
      <c r="A36" s="141">
        <v>2015</v>
      </c>
      <c r="B36" s="141">
        <v>18.57</v>
      </c>
      <c r="C36" s="141">
        <v>18.569151600000001</v>
      </c>
      <c r="D36" s="141">
        <v>18.57</v>
      </c>
      <c r="E36" s="141">
        <v>18.57</v>
      </c>
    </row>
    <row r="37" spans="1:6">
      <c r="A37" s="141">
        <v>2016</v>
      </c>
      <c r="B37" s="141">
        <v>18.579999999999998</v>
      </c>
      <c r="C37" s="141">
        <v>18.573927600000001</v>
      </c>
      <c r="D37" s="141">
        <v>18.579999999999998</v>
      </c>
      <c r="E37" s="141">
        <v>18.57</v>
      </c>
    </row>
    <row r="38" spans="1:6">
      <c r="A38" s="141">
        <v>2017</v>
      </c>
      <c r="B38" s="141">
        <v>18.57</v>
      </c>
      <c r="C38" s="141">
        <v>18.568878600000001</v>
      </c>
      <c r="D38" s="141">
        <v>18.592622500000001</v>
      </c>
      <c r="E38" s="141">
        <v>18.559999999999999</v>
      </c>
    </row>
    <row r="39" spans="1:6">
      <c r="A39" s="141">
        <v>2018</v>
      </c>
      <c r="B39" s="141">
        <v>18.71</v>
      </c>
      <c r="C39" s="141">
        <v>18.703791299999999</v>
      </c>
      <c r="D39" s="141">
        <v>18.684118399999999</v>
      </c>
      <c r="E39" s="141">
        <v>18.71</v>
      </c>
    </row>
    <row r="40" spans="1:6">
      <c r="A40" s="141">
        <v>2019</v>
      </c>
      <c r="B40" s="141">
        <v>18.77</v>
      </c>
      <c r="C40" s="141">
        <v>18.756290100000001</v>
      </c>
      <c r="D40" s="141">
        <v>18.753371399999999</v>
      </c>
      <c r="E40" s="141">
        <v>18.77</v>
      </c>
    </row>
    <row r="41" spans="1:6">
      <c r="A41" s="141">
        <v>2020</v>
      </c>
      <c r="B41" s="141">
        <v>18.873455499999999</v>
      </c>
      <c r="C41" s="141">
        <v>18.118988000000002</v>
      </c>
      <c r="D41" s="141">
        <v>18.1547056</v>
      </c>
      <c r="E41" s="141">
        <v>19.471593200000001</v>
      </c>
    </row>
    <row r="42" spans="1:6">
      <c r="A42" s="141">
        <v>2021</v>
      </c>
      <c r="B42" s="141"/>
      <c r="C42" s="141">
        <v>18.148857400000001</v>
      </c>
      <c r="D42" s="141">
        <v>18.191283800000001</v>
      </c>
      <c r="E42" s="141">
        <v>19.529575900000001</v>
      </c>
    </row>
    <row r="43" spans="1:6">
      <c r="A43" s="141">
        <v>2022</v>
      </c>
      <c r="B43" s="141">
        <v>18.918486999999999</v>
      </c>
      <c r="C43" s="141">
        <v>18.240739900000001</v>
      </c>
      <c r="D43" s="141">
        <v>18.246084499999998</v>
      </c>
      <c r="E43" s="141">
        <v>19.602271399999999</v>
      </c>
    </row>
    <row r="44" spans="1:6">
      <c r="A44" s="141">
        <v>2023</v>
      </c>
      <c r="B44" s="141">
        <v>18.989999999999998</v>
      </c>
      <c r="C44" s="141">
        <v>18.321614700000001</v>
      </c>
      <c r="D44" s="141">
        <v>18.3139729</v>
      </c>
      <c r="E44" s="141">
        <v>19.6780683</v>
      </c>
    </row>
    <row r="45" spans="1:6">
      <c r="A45" s="141">
        <v>2024</v>
      </c>
      <c r="B45" s="141">
        <v>19.11</v>
      </c>
      <c r="C45" s="141">
        <v>18.309879200000001</v>
      </c>
      <c r="D45" s="141">
        <v>18.448521700000001</v>
      </c>
      <c r="E45" s="141">
        <v>19.731919999999999</v>
      </c>
    </row>
    <row r="46" spans="1:6">
      <c r="A46" s="141">
        <v>2025</v>
      </c>
      <c r="B46" s="141">
        <v>18.34</v>
      </c>
      <c r="C46" s="141">
        <v>17.809756400000001</v>
      </c>
      <c r="D46" s="141">
        <v>17.710004699999999</v>
      </c>
      <c r="E46" s="141">
        <v>19.056037799999999</v>
      </c>
    </row>
    <row r="47" spans="1:6">
      <c r="A47" s="141">
        <v>2026</v>
      </c>
      <c r="B47" s="141">
        <v>18.349452299999999</v>
      </c>
      <c r="C47" s="141">
        <v>17.836322599999999</v>
      </c>
      <c r="D47" s="141">
        <v>17.7486909</v>
      </c>
      <c r="E47" s="141">
        <v>18.992174899999998</v>
      </c>
    </row>
    <row r="48" spans="1:6">
      <c r="A48" s="141">
        <v>2027</v>
      </c>
      <c r="B48" s="141">
        <v>18.390390100000001</v>
      </c>
      <c r="C48" s="141">
        <v>17.873564300000002</v>
      </c>
      <c r="D48" s="141">
        <v>17.819122400000001</v>
      </c>
      <c r="E48" s="141">
        <v>19.042044600000001</v>
      </c>
    </row>
    <row r="49" spans="1:5">
      <c r="A49" s="141">
        <v>2028</v>
      </c>
      <c r="B49" s="141">
        <v>18.484546900000002</v>
      </c>
      <c r="C49" s="141">
        <v>18.0037144</v>
      </c>
      <c r="D49" s="141">
        <v>17.932910799999998</v>
      </c>
      <c r="E49" s="141">
        <v>19.158903200000001</v>
      </c>
    </row>
    <row r="50" spans="1:5">
      <c r="A50" s="141">
        <v>2029</v>
      </c>
      <c r="B50" s="141">
        <v>18.611453900000001</v>
      </c>
      <c r="C50" s="141">
        <v>18.115424900000001</v>
      </c>
      <c r="D50" s="141">
        <v>18.039007699999999</v>
      </c>
      <c r="E50" s="141">
        <v>19.270551600000001</v>
      </c>
    </row>
    <row r="51" spans="1:5">
      <c r="A51" s="141">
        <v>2030</v>
      </c>
      <c r="B51" s="141">
        <v>18.73</v>
      </c>
      <c r="C51" s="141">
        <v>18.192121100000001</v>
      </c>
      <c r="D51" s="141">
        <v>18.104937</v>
      </c>
      <c r="E51" s="141">
        <v>19.36843</v>
      </c>
    </row>
    <row r="52" spans="1:5">
      <c r="A52" s="141">
        <v>2031</v>
      </c>
      <c r="B52" s="141">
        <v>18.816142599999999</v>
      </c>
      <c r="C52" s="141">
        <v>18.265840099999998</v>
      </c>
      <c r="D52" s="141">
        <v>18.189662200000001</v>
      </c>
      <c r="E52" s="141">
        <v>19.4462118</v>
      </c>
    </row>
    <row r="53" spans="1:5">
      <c r="A53" s="141">
        <v>2032</v>
      </c>
      <c r="B53" s="141">
        <v>18.8898306</v>
      </c>
      <c r="C53" s="141">
        <v>18.3131418</v>
      </c>
      <c r="D53" s="141">
        <v>18.235305100000001</v>
      </c>
      <c r="E53" s="141">
        <v>19.500175200000001</v>
      </c>
    </row>
    <row r="54" spans="1:5">
      <c r="A54" s="141">
        <v>2033</v>
      </c>
      <c r="B54" s="141">
        <v>18.963518499999999</v>
      </c>
      <c r="C54" s="141">
        <v>18.417557800000001</v>
      </c>
      <c r="D54" s="141">
        <v>18.314203299999999</v>
      </c>
      <c r="E54" s="141">
        <v>19.610334900000002</v>
      </c>
    </row>
    <row r="55" spans="1:5">
      <c r="A55" s="141">
        <v>2034</v>
      </c>
      <c r="B55" s="141">
        <v>19.07</v>
      </c>
      <c r="C55" s="141">
        <v>18.541700200000001</v>
      </c>
      <c r="D55" s="141">
        <v>18.440684999999998</v>
      </c>
      <c r="E55" s="141">
        <v>19.691391599999999</v>
      </c>
    </row>
    <row r="56" spans="1:5">
      <c r="A56" s="141">
        <v>2035</v>
      </c>
      <c r="B56" s="141">
        <v>18.144763600000001</v>
      </c>
      <c r="C56" s="141">
        <v>17.755036199999999</v>
      </c>
      <c r="D56" s="141">
        <v>17.637866599999999</v>
      </c>
      <c r="E56" s="141">
        <v>18.797311300000001</v>
      </c>
    </row>
    <row r="57" spans="1:5">
      <c r="A57" s="141">
        <v>2036</v>
      </c>
      <c r="B57" s="141">
        <v>18.136576000000002</v>
      </c>
      <c r="C57" s="141">
        <v>17.7538701</v>
      </c>
      <c r="D57" s="141">
        <v>17.603020799999999</v>
      </c>
      <c r="E57" s="141">
        <v>18.7156591</v>
      </c>
    </row>
    <row r="58" spans="1:5">
      <c r="A58" s="141">
        <v>2037</v>
      </c>
      <c r="B58" s="141">
        <v>18.2184515</v>
      </c>
      <c r="C58" s="141">
        <v>17.8441051</v>
      </c>
      <c r="D58" s="141">
        <v>17.686633</v>
      </c>
      <c r="E58" s="141">
        <v>18.806466400000001</v>
      </c>
    </row>
    <row r="59" spans="1:5">
      <c r="A59" s="141">
        <v>2038</v>
      </c>
      <c r="B59" s="141">
        <v>18.341264800000001</v>
      </c>
      <c r="C59" s="141">
        <v>17.892190100000001</v>
      </c>
      <c r="D59" s="141">
        <v>17.779053099999999</v>
      </c>
      <c r="E59" s="141">
        <v>18.887597599999999</v>
      </c>
    </row>
    <row r="60" spans="1:5">
      <c r="A60" s="141">
        <v>2039</v>
      </c>
      <c r="B60" s="141">
        <v>18.41</v>
      </c>
      <c r="C60" s="141">
        <v>18.012008300000002</v>
      </c>
      <c r="D60" s="141">
        <v>17.8626653</v>
      </c>
      <c r="E60" s="141">
        <v>19.024553000000001</v>
      </c>
    </row>
    <row r="61" spans="1:5">
      <c r="A61" s="141">
        <v>2040</v>
      </c>
      <c r="B61" s="141">
        <v>18.5213909</v>
      </c>
      <c r="C61" s="141">
        <v>18.1446395</v>
      </c>
      <c r="D61" s="141">
        <v>18.0104878</v>
      </c>
      <c r="E61" s="141">
        <v>19.1179655</v>
      </c>
    </row>
    <row r="62" spans="1:5">
      <c r="A62" s="141">
        <v>2041</v>
      </c>
      <c r="B62" s="141">
        <v>18.488640700000001</v>
      </c>
      <c r="C62" s="141">
        <v>18.1332266</v>
      </c>
      <c r="D62" s="141">
        <v>18.001561200000001</v>
      </c>
      <c r="E62" s="141">
        <v>19.111564300000001</v>
      </c>
    </row>
    <row r="63" spans="1:5">
      <c r="A63" s="141">
        <v>2042</v>
      </c>
      <c r="B63" s="141">
        <v>18.52</v>
      </c>
      <c r="C63" s="141">
        <v>18.1600222</v>
      </c>
      <c r="D63" s="141">
        <v>18.018228700000002</v>
      </c>
      <c r="E63" s="141">
        <v>19.150839699999999</v>
      </c>
    </row>
    <row r="64" spans="1:5">
      <c r="A64" s="141">
        <v>2043</v>
      </c>
      <c r="B64" s="141">
        <v>18.611453900000001</v>
      </c>
      <c r="C64" s="141">
        <v>18.205053700000001</v>
      </c>
      <c r="D64" s="141">
        <v>18.063037000000001</v>
      </c>
      <c r="E64" s="141">
        <v>19.2232871</v>
      </c>
    </row>
    <row r="65" spans="1:5">
      <c r="A65" s="141">
        <v>2044</v>
      </c>
      <c r="B65" s="141">
        <v>18.480453099999998</v>
      </c>
      <c r="C65" s="141">
        <v>18.326096799999998</v>
      </c>
      <c r="D65" s="141">
        <v>18.183602</v>
      </c>
      <c r="E65" s="141">
        <v>19.278056899999999</v>
      </c>
    </row>
    <row r="66" spans="1:5">
      <c r="A66" s="141">
        <v>2045</v>
      </c>
      <c r="B66" s="141">
        <v>17.989200199999999</v>
      </c>
      <c r="C66" s="141">
        <v>17.6413534</v>
      </c>
      <c r="D66" s="141">
        <v>17.534232899999999</v>
      </c>
      <c r="E66" s="141">
        <v>18.614524200000002</v>
      </c>
    </row>
    <row r="67" spans="1:5">
      <c r="A67" s="141">
        <v>2046</v>
      </c>
      <c r="B67" s="141">
        <v>18.0301379</v>
      </c>
      <c r="C67" s="141">
        <v>17.703864100000001</v>
      </c>
      <c r="D67" s="141">
        <v>17.620016100000001</v>
      </c>
      <c r="E67" s="141">
        <v>18.6148034</v>
      </c>
    </row>
    <row r="68" spans="1:5">
      <c r="A68" s="141">
        <v>2047</v>
      </c>
      <c r="B68" s="141">
        <v>18.095638300000001</v>
      </c>
      <c r="C68" s="141">
        <v>17.7776885</v>
      </c>
      <c r="D68" s="141">
        <v>17.667280600000002</v>
      </c>
      <c r="E68" s="141">
        <v>18.697423199999999</v>
      </c>
    </row>
    <row r="69" spans="1:5">
      <c r="A69" s="141">
        <v>2048</v>
      </c>
      <c r="B69" s="141">
        <v>18.152951099999999</v>
      </c>
      <c r="C69" s="141">
        <v>17.828426499999999</v>
      </c>
      <c r="D69" s="141">
        <v>17.731292400000001</v>
      </c>
      <c r="E69" s="141">
        <v>18.767017299999999</v>
      </c>
    </row>
    <row r="70" spans="1:5">
      <c r="A70" s="141">
        <v>2049</v>
      </c>
      <c r="B70" s="141">
        <v>18.251201699999999</v>
      </c>
      <c r="C70" s="141">
        <v>17.888716599999999</v>
      </c>
      <c r="D70" s="141">
        <v>17.791582500000001</v>
      </c>
      <c r="E70" s="141">
        <v>18.839960999999999</v>
      </c>
    </row>
    <row r="71" spans="1:5">
      <c r="A71" s="141">
        <v>2050</v>
      </c>
      <c r="B71" s="141">
        <v>18.309999999999999</v>
      </c>
      <c r="C71" s="141">
        <v>17.976387200000001</v>
      </c>
      <c r="D71" s="141">
        <v>17.875691</v>
      </c>
      <c r="E71" s="141">
        <v>18.915881899999999</v>
      </c>
    </row>
    <row r="72" spans="1:5">
      <c r="A72" s="141">
        <v>2051</v>
      </c>
      <c r="B72" s="141">
        <v>18.3248897</v>
      </c>
      <c r="C72" s="141">
        <v>17.981384800000001</v>
      </c>
      <c r="D72" s="141">
        <v>17.873457999999999</v>
      </c>
      <c r="E72" s="141">
        <v>18.927418899999999</v>
      </c>
    </row>
    <row r="73" spans="1:5">
      <c r="A73" s="141">
        <v>2052</v>
      </c>
      <c r="B73" s="141">
        <v>18.316702100000001</v>
      </c>
      <c r="C73" s="141">
        <v>18.0030942</v>
      </c>
      <c r="D73" s="141">
        <v>17.909557599999999</v>
      </c>
      <c r="E73" s="141">
        <v>18.9714828</v>
      </c>
    </row>
    <row r="74" spans="1:5">
      <c r="A74" s="141">
        <v>2053</v>
      </c>
      <c r="B74" s="141">
        <v>18.398577599999999</v>
      </c>
      <c r="C74" s="141">
        <v>18.059645</v>
      </c>
      <c r="D74" s="141">
        <v>17.960196400000001</v>
      </c>
      <c r="E74" s="141">
        <v>19.0219478</v>
      </c>
    </row>
    <row r="75" spans="1:5">
      <c r="A75" s="141">
        <v>2054</v>
      </c>
      <c r="B75" s="141">
        <v>18.4231403</v>
      </c>
      <c r="C75" s="141">
        <v>18.1202009</v>
      </c>
      <c r="D75" s="141">
        <v>17.995673199999999</v>
      </c>
      <c r="E75" s="141">
        <v>19.0372065</v>
      </c>
    </row>
    <row r="76" spans="1:5">
      <c r="A76" s="141">
        <v>2055</v>
      </c>
      <c r="B76" s="141">
        <v>17.89</v>
      </c>
      <c r="C76" s="141">
        <v>17.555669399999999</v>
      </c>
      <c r="D76" s="141">
        <v>17.611828599999999</v>
      </c>
      <c r="E76" s="141">
        <v>18.462031100000001</v>
      </c>
    </row>
    <row r="77" spans="1:5">
      <c r="A77" s="141">
        <v>2056</v>
      </c>
      <c r="B77" s="141">
        <v>17.899999999999999</v>
      </c>
      <c r="C77" s="141">
        <v>17.572407999999999</v>
      </c>
      <c r="D77" s="141">
        <v>17.6474458</v>
      </c>
      <c r="E77" s="141">
        <v>18.480453099999998</v>
      </c>
    </row>
    <row r="78" spans="1:5">
      <c r="A78" s="141">
        <v>2057</v>
      </c>
      <c r="B78" s="141">
        <v>17.948262400000001</v>
      </c>
      <c r="C78" s="141">
        <v>17.5950813</v>
      </c>
      <c r="D78" s="141">
        <v>17.673979500000002</v>
      </c>
      <c r="E78" s="141">
        <v>18.532183499999999</v>
      </c>
    </row>
    <row r="79" spans="1:5">
      <c r="A79" s="141">
        <v>2058</v>
      </c>
      <c r="B79" s="141">
        <v>17.97</v>
      </c>
      <c r="C79" s="141">
        <v>17.644808300000001</v>
      </c>
      <c r="D79" s="141">
        <v>17.721740199999999</v>
      </c>
      <c r="E79" s="141">
        <v>18.589124200000001</v>
      </c>
    </row>
    <row r="80" spans="1:5">
      <c r="A80" s="141">
        <v>2059</v>
      </c>
      <c r="B80" s="141">
        <v>18.05</v>
      </c>
      <c r="C80" s="141">
        <v>17.7130151</v>
      </c>
      <c r="D80" s="141">
        <v>17.7737187</v>
      </c>
      <c r="E80" s="141">
        <v>18.660331100000001</v>
      </c>
    </row>
    <row r="81" spans="1:7">
      <c r="A81" s="141">
        <v>2060</v>
      </c>
      <c r="B81" s="141">
        <v>18.046513000000001</v>
      </c>
      <c r="C81" s="141">
        <v>17.700403000000001</v>
      </c>
      <c r="D81" s="141">
        <v>17.763670399999999</v>
      </c>
      <c r="E81" s="141">
        <v>18.645320600000002</v>
      </c>
    </row>
    <row r="82" spans="1:7">
      <c r="A82" s="141">
        <v>2061</v>
      </c>
      <c r="B82" s="141">
        <v>18.062888099999999</v>
      </c>
      <c r="C82" s="141">
        <v>17.714545099999999</v>
      </c>
      <c r="D82" s="141">
        <v>17.7599488</v>
      </c>
      <c r="E82" s="141">
        <v>18.670999699999999</v>
      </c>
    </row>
    <row r="83" spans="1:7">
      <c r="A83" s="141">
        <v>2062</v>
      </c>
      <c r="B83" s="141">
        <v>18.013762799999999</v>
      </c>
      <c r="C83" s="141">
        <v>17.691843299999999</v>
      </c>
      <c r="D83" s="141">
        <v>17.739479899999999</v>
      </c>
      <c r="E83" s="141">
        <v>18.659462699999999</v>
      </c>
    </row>
    <row r="84" spans="1:7">
      <c r="A84" s="141">
        <v>2063</v>
      </c>
      <c r="B84" s="141">
        <v>18.046513000000001</v>
      </c>
      <c r="C84" s="141">
        <v>17.7082184</v>
      </c>
      <c r="D84" s="141">
        <v>17.7599488</v>
      </c>
      <c r="E84" s="141">
        <v>18.688491299999999</v>
      </c>
    </row>
    <row r="85" spans="1:7">
      <c r="A85" s="141">
        <v>2064</v>
      </c>
      <c r="B85" s="141">
        <v>18.095638300000001</v>
      </c>
      <c r="C85" s="141">
        <v>17.722360500000001</v>
      </c>
      <c r="D85" s="141">
        <v>17.775914499999999</v>
      </c>
      <c r="E85" s="141">
        <v>18.699470099999999</v>
      </c>
    </row>
    <row r="86" spans="1:7">
      <c r="A86" s="141">
        <v>2065</v>
      </c>
      <c r="B86" s="141">
        <v>17.510000000000002</v>
      </c>
      <c r="C86" s="141">
        <v>17.3137273</v>
      </c>
      <c r="D86" s="141">
        <v>17.512173099999998</v>
      </c>
      <c r="E86" s="141">
        <v>18.1195807</v>
      </c>
    </row>
    <row r="87" spans="1:7">
      <c r="A87" s="141">
        <v>2066</v>
      </c>
      <c r="B87" s="141">
        <v>17.52</v>
      </c>
      <c r="C87" s="141">
        <v>17.316286000000002</v>
      </c>
      <c r="D87" s="141">
        <v>17.5035296</v>
      </c>
      <c r="E87" s="141">
        <v>18.1153628</v>
      </c>
    </row>
    <row r="88" spans="1:7">
      <c r="A88" s="141">
        <v>2067</v>
      </c>
      <c r="B88" s="141">
        <v>17.52</v>
      </c>
      <c r="C88" s="141">
        <v>17.3308468</v>
      </c>
      <c r="D88" s="141">
        <v>17.5076234</v>
      </c>
      <c r="E88" s="141">
        <v>18.1283885</v>
      </c>
    </row>
    <row r="89" spans="1:7">
      <c r="A89" s="141">
        <v>2068</v>
      </c>
      <c r="B89" s="141">
        <v>17.53</v>
      </c>
      <c r="C89" s="141">
        <v>17.350385200000002</v>
      </c>
      <c r="D89" s="141">
        <v>17.501668800000001</v>
      </c>
      <c r="E89" s="141">
        <v>18.1466244</v>
      </c>
    </row>
    <row r="90" spans="1:7">
      <c r="A90" s="141">
        <v>2069</v>
      </c>
      <c r="B90" s="141">
        <v>17.54</v>
      </c>
      <c r="C90" s="141">
        <v>17.3509435</v>
      </c>
      <c r="D90" s="141">
        <v>17.537396300000001</v>
      </c>
      <c r="E90" s="141">
        <v>18.187562100000001</v>
      </c>
    </row>
    <row r="91" spans="1:7">
      <c r="A91" s="141">
        <v>2070</v>
      </c>
      <c r="B91" s="141">
        <v>17.61</v>
      </c>
      <c r="C91" s="141">
        <v>17.404609099999998</v>
      </c>
      <c r="D91" s="141">
        <v>17.5787993</v>
      </c>
      <c r="E91" s="141">
        <v>18.2136134</v>
      </c>
    </row>
    <row r="92" spans="1:7">
      <c r="A92" s="141"/>
      <c r="B92" s="141" t="s">
        <v>2910</v>
      </c>
      <c r="C92" s="141" t="s">
        <v>2911</v>
      </c>
      <c r="D92" s="141" t="s">
        <v>2912</v>
      </c>
      <c r="E92" s="141" t="s">
        <v>2913</v>
      </c>
      <c r="F92" s="141" t="s">
        <v>2915</v>
      </c>
      <c r="G92" t="s">
        <v>2916</v>
      </c>
    </row>
    <row r="93" spans="1:7">
      <c r="A93" s="141" t="s">
        <v>2917</v>
      </c>
      <c r="B93" s="141">
        <v>1007.15629</v>
      </c>
      <c r="C93" s="141">
        <v>1005.5734200000001</v>
      </c>
      <c r="D93" s="141">
        <v>1004.24321</v>
      </c>
      <c r="E93" s="141">
        <v>1057.8496500000001</v>
      </c>
      <c r="F93">
        <f>B93+4.2/tC_to_m3*55</f>
        <v>1060.3555900000001</v>
      </c>
      <c r="G93">
        <f>E93+4.2/tC_to_m3*55</f>
        <v>1111.0489500000001</v>
      </c>
    </row>
    <row r="96" spans="1:7">
      <c r="A96" t="s">
        <v>2918</v>
      </c>
    </row>
    <row r="97" spans="1:8">
      <c r="B97" s="141" t="s">
        <v>1215</v>
      </c>
      <c r="D97" s="141"/>
      <c r="F97" s="141"/>
      <c r="H97" s="141"/>
    </row>
    <row r="98" spans="1:8">
      <c r="A98" s="141" t="s">
        <v>2919</v>
      </c>
      <c r="B98" s="141" t="s">
        <v>2296</v>
      </c>
      <c r="C98" s="141" t="s">
        <v>1646</v>
      </c>
      <c r="D98" s="141" t="s">
        <v>2920</v>
      </c>
      <c r="E98" s="141" t="s">
        <v>2921</v>
      </c>
      <c r="G98" s="141"/>
    </row>
    <row r="99" spans="1:8">
      <c r="A99" s="141">
        <v>2015</v>
      </c>
      <c r="B99" s="141">
        <v>8.1847507299999993</v>
      </c>
      <c r="C99" s="141">
        <v>8.1964809400000007</v>
      </c>
      <c r="D99" s="141">
        <v>8.1906158399999995</v>
      </c>
      <c r="E99" s="141">
        <v>8.1906158399999995</v>
      </c>
      <c r="G99" s="141"/>
    </row>
    <row r="100" spans="1:8">
      <c r="A100" s="141">
        <v>2016</v>
      </c>
      <c r="B100" s="141">
        <v>8.2551319599999999</v>
      </c>
      <c r="C100" s="141">
        <v>8.2492668600000005</v>
      </c>
      <c r="D100" s="141">
        <v>8.2609970700000002</v>
      </c>
      <c r="E100" s="141">
        <v>8.2492668600000005</v>
      </c>
      <c r="G100" s="141"/>
    </row>
    <row r="101" spans="1:8">
      <c r="A101" s="141">
        <v>2017</v>
      </c>
      <c r="B101" s="141">
        <v>8.2727272700000007</v>
      </c>
      <c r="C101" s="141">
        <v>8.2668621699999996</v>
      </c>
      <c r="D101" s="141">
        <v>8.2727272700000007</v>
      </c>
      <c r="E101" s="141">
        <v>8.2727272700000007</v>
      </c>
      <c r="G101" s="141"/>
    </row>
    <row r="102" spans="1:8">
      <c r="A102" s="141">
        <v>2018</v>
      </c>
      <c r="B102" s="141">
        <v>8.3665689099999998</v>
      </c>
      <c r="C102" s="141">
        <v>8.3841642200000006</v>
      </c>
      <c r="D102" s="141">
        <v>8.3841642200000006</v>
      </c>
      <c r="E102" s="141">
        <v>8.3665689099999998</v>
      </c>
      <c r="G102" s="141"/>
    </row>
    <row r="103" spans="1:8">
      <c r="A103" s="141">
        <v>2019</v>
      </c>
      <c r="B103" s="141">
        <v>8.4134897399999993</v>
      </c>
      <c r="C103" s="141">
        <v>8.4252199399999999</v>
      </c>
      <c r="D103" s="141">
        <v>8.4134897399999993</v>
      </c>
      <c r="E103" s="141">
        <v>8.4252199399999999</v>
      </c>
      <c r="G103" s="141"/>
    </row>
    <row r="104" spans="1:8">
      <c r="A104" s="141">
        <v>2020</v>
      </c>
      <c r="B104" s="141">
        <v>7.7448680400000001</v>
      </c>
      <c r="C104" s="141">
        <v>8.4545454499999995</v>
      </c>
      <c r="D104" s="141">
        <v>7.7214076199999999</v>
      </c>
      <c r="E104" s="141">
        <v>9.1114369499999999</v>
      </c>
      <c r="G104" s="141"/>
    </row>
    <row r="105" spans="1:8">
      <c r="A105" s="141">
        <v>2021</v>
      </c>
      <c r="B105" s="141">
        <v>7.8211143700000001</v>
      </c>
      <c r="C105" s="141">
        <v>8.5190615800000007</v>
      </c>
      <c r="D105" s="141">
        <v>7.7683284500000003</v>
      </c>
      <c r="E105" s="141">
        <v>9.1642228699999997</v>
      </c>
      <c r="G105" s="141"/>
    </row>
    <row r="106" spans="1:8">
      <c r="A106" s="141">
        <v>2022</v>
      </c>
      <c r="B106" s="141">
        <v>7.8856305000000004</v>
      </c>
      <c r="C106" s="141">
        <v>8.6011730199999992</v>
      </c>
      <c r="D106" s="141">
        <v>7.8621700900000002</v>
      </c>
      <c r="E106" s="141">
        <v>9.2463343099999999</v>
      </c>
      <c r="G106" s="141"/>
    </row>
    <row r="107" spans="1:8">
      <c r="A107" s="141">
        <v>2023</v>
      </c>
      <c r="B107" s="141">
        <v>7.8856305000000004</v>
      </c>
      <c r="C107" s="141">
        <v>8.6422287400000002</v>
      </c>
      <c r="D107" s="141">
        <v>7.8797654000000001</v>
      </c>
      <c r="E107" s="141">
        <v>9.2991202299999998</v>
      </c>
      <c r="G107" s="141"/>
    </row>
    <row r="108" spans="1:8">
      <c r="A108" s="141">
        <v>2024</v>
      </c>
      <c r="B108" s="141">
        <v>7.9560117300000002</v>
      </c>
      <c r="C108" s="141">
        <v>8.6715542499999998</v>
      </c>
      <c r="D108" s="141">
        <v>7.93255132</v>
      </c>
      <c r="E108" s="141">
        <v>9.3343108499999996</v>
      </c>
      <c r="G108" s="141"/>
    </row>
    <row r="109" spans="1:8">
      <c r="A109" s="141">
        <v>2025</v>
      </c>
      <c r="B109" s="141">
        <v>7.228739</v>
      </c>
      <c r="C109" s="141">
        <v>7.91495601</v>
      </c>
      <c r="D109" s="141">
        <v>7.3460410600000001</v>
      </c>
      <c r="E109" s="141">
        <v>8.4956011700000005</v>
      </c>
      <c r="G109" s="141"/>
    </row>
    <row r="110" spans="1:8">
      <c r="A110" s="141">
        <v>2026</v>
      </c>
      <c r="B110" s="141">
        <v>7.2932551300000004</v>
      </c>
      <c r="C110" s="141">
        <v>7.9736070400000001</v>
      </c>
      <c r="D110" s="141">
        <v>7.3988269799999999</v>
      </c>
      <c r="E110" s="141">
        <v>8.5777126100000007</v>
      </c>
      <c r="G110" s="141"/>
    </row>
    <row r="111" spans="1:8">
      <c r="A111" s="141">
        <v>2027</v>
      </c>
      <c r="B111" s="141">
        <v>7.3695014700000003</v>
      </c>
      <c r="C111" s="141">
        <v>8.0439882699999998</v>
      </c>
      <c r="D111" s="141">
        <v>7.4868035199999996</v>
      </c>
      <c r="E111" s="141">
        <v>8.6539589400000008</v>
      </c>
      <c r="G111" s="141"/>
    </row>
    <row r="112" spans="1:8">
      <c r="A112" s="141">
        <v>2028</v>
      </c>
      <c r="B112" s="141">
        <v>7.4340175999999998</v>
      </c>
      <c r="C112" s="141">
        <v>8.1026392999999999</v>
      </c>
      <c r="D112" s="141">
        <v>7.5630498499999996</v>
      </c>
      <c r="E112" s="141">
        <v>8.7302052799999998</v>
      </c>
      <c r="G112" s="141"/>
    </row>
    <row r="113" spans="1:7">
      <c r="A113" s="141">
        <v>2029</v>
      </c>
      <c r="B113" s="141">
        <v>7.5043988300000004</v>
      </c>
      <c r="C113" s="141">
        <v>8.1964809400000007</v>
      </c>
      <c r="D113" s="141">
        <v>7.6334310900000002</v>
      </c>
      <c r="E113" s="141">
        <v>8.8123167200000001</v>
      </c>
      <c r="G113" s="141"/>
    </row>
    <row r="114" spans="1:7">
      <c r="A114" s="141">
        <v>2030</v>
      </c>
      <c r="B114" s="141">
        <v>7.5454545499999996</v>
      </c>
      <c r="C114" s="141">
        <v>8.23753666</v>
      </c>
      <c r="D114" s="141">
        <v>7.6803519099999997</v>
      </c>
      <c r="E114" s="141">
        <v>8.8709677399999993</v>
      </c>
      <c r="G114" s="141"/>
    </row>
    <row r="115" spans="1:7">
      <c r="A115" s="141">
        <v>2031</v>
      </c>
      <c r="B115" s="141">
        <v>7.6803519099999997</v>
      </c>
      <c r="C115" s="141">
        <v>8.3607038100000004</v>
      </c>
      <c r="D115" s="141">
        <v>7.8093841599999996</v>
      </c>
      <c r="E115" s="141">
        <v>9.0058650999999994</v>
      </c>
      <c r="G115" s="141"/>
    </row>
    <row r="116" spans="1:7">
      <c r="A116" s="141">
        <v>2032</v>
      </c>
      <c r="B116" s="141">
        <v>7.7448680400000001</v>
      </c>
      <c r="C116" s="141">
        <v>8.4428152500000007</v>
      </c>
      <c r="D116" s="141">
        <v>7.8797654000000001</v>
      </c>
      <c r="E116" s="141">
        <v>9.07624633</v>
      </c>
      <c r="G116" s="141"/>
    </row>
    <row r="117" spans="1:7">
      <c r="A117" s="141">
        <v>2033</v>
      </c>
      <c r="B117" s="141">
        <v>7.8093841599999996</v>
      </c>
      <c r="C117" s="141">
        <v>8.5425219899999991</v>
      </c>
      <c r="D117" s="141">
        <v>7.9618768299999996</v>
      </c>
      <c r="E117" s="141">
        <v>9.1818181800000005</v>
      </c>
      <c r="G117" s="141"/>
    </row>
    <row r="118" spans="1:7">
      <c r="A118" s="141">
        <v>2034</v>
      </c>
      <c r="B118" s="141">
        <v>7.9090909099999998</v>
      </c>
      <c r="C118" s="141">
        <v>8.6480938399999996</v>
      </c>
      <c r="D118" s="141">
        <v>8.0557184799999995</v>
      </c>
      <c r="E118" s="141">
        <v>9.2815249299999998</v>
      </c>
      <c r="G118" s="141"/>
    </row>
    <row r="119" spans="1:7">
      <c r="A119" s="141">
        <v>2035</v>
      </c>
      <c r="B119" s="141">
        <v>7.0527859199999998</v>
      </c>
      <c r="C119" s="141">
        <v>7.7096774200000002</v>
      </c>
      <c r="D119" s="141">
        <v>7.2639296199999999</v>
      </c>
      <c r="E119" s="141">
        <v>8.2903225799999998</v>
      </c>
      <c r="G119" s="141"/>
    </row>
    <row r="120" spans="1:7">
      <c r="A120" s="141">
        <v>2036</v>
      </c>
      <c r="B120" s="141">
        <v>7.0527859199999998</v>
      </c>
      <c r="C120" s="141">
        <v>7.7155425199999996</v>
      </c>
      <c r="D120" s="141">
        <v>7.2991202299999998</v>
      </c>
      <c r="E120" s="141">
        <v>8.2961876799999992</v>
      </c>
      <c r="G120" s="141"/>
    </row>
    <row r="121" spans="1:7">
      <c r="A121" s="141">
        <v>2037</v>
      </c>
      <c r="B121" s="141">
        <v>7.1759530800000002</v>
      </c>
      <c r="C121" s="141">
        <v>7.83870968</v>
      </c>
      <c r="D121" s="141">
        <v>7.4281524900000004</v>
      </c>
      <c r="E121" s="141">
        <v>8.4193548400000005</v>
      </c>
      <c r="G121" s="141"/>
    </row>
    <row r="122" spans="1:7">
      <c r="A122" s="141">
        <v>2038</v>
      </c>
      <c r="B122" s="141">
        <v>7.1642228699999997</v>
      </c>
      <c r="C122" s="141">
        <v>7.8739002899999999</v>
      </c>
      <c r="D122" s="141">
        <v>7.4340175999999998</v>
      </c>
      <c r="E122" s="141">
        <v>8.4486803500000001</v>
      </c>
      <c r="G122" s="141"/>
    </row>
    <row r="123" spans="1:7">
      <c r="A123" s="141">
        <v>2039</v>
      </c>
      <c r="B123" s="141">
        <v>7.2991202299999998</v>
      </c>
      <c r="C123" s="141">
        <v>7.9794721400000004</v>
      </c>
      <c r="D123" s="141">
        <v>7.5571847500000002</v>
      </c>
      <c r="E123" s="141">
        <v>8.5777126100000007</v>
      </c>
      <c r="G123" s="141"/>
    </row>
    <row r="124" spans="1:7">
      <c r="A124" s="141">
        <v>2040</v>
      </c>
      <c r="B124" s="141">
        <v>7.38123167</v>
      </c>
      <c r="C124" s="141">
        <v>8.0615835800000006</v>
      </c>
      <c r="D124" s="141">
        <v>7.6510263900000002</v>
      </c>
      <c r="E124" s="141">
        <v>8.6891495600000006</v>
      </c>
      <c r="G124" s="141"/>
    </row>
    <row r="125" spans="1:7">
      <c r="A125" s="141">
        <v>2041</v>
      </c>
      <c r="B125" s="141">
        <v>7.4398827000000001</v>
      </c>
      <c r="C125" s="141">
        <v>8.1085043999999993</v>
      </c>
      <c r="D125" s="141">
        <v>7.7038123199999999</v>
      </c>
      <c r="E125" s="141">
        <v>8.7302052799999998</v>
      </c>
      <c r="G125" s="141"/>
    </row>
    <row r="126" spans="1:7">
      <c r="A126" s="141">
        <v>2042</v>
      </c>
      <c r="B126" s="141">
        <v>7.4985337200000002</v>
      </c>
      <c r="C126" s="141">
        <v>8.2140762499999997</v>
      </c>
      <c r="D126" s="141">
        <v>7.7976539599999999</v>
      </c>
      <c r="E126" s="141">
        <v>8.8416422299999997</v>
      </c>
      <c r="G126" s="141"/>
    </row>
    <row r="127" spans="1:7">
      <c r="A127" s="141">
        <v>2043</v>
      </c>
      <c r="B127" s="141">
        <v>7.6041055699999998</v>
      </c>
      <c r="C127" s="141">
        <v>8.31378299</v>
      </c>
      <c r="D127" s="141">
        <v>7.8739002899999999</v>
      </c>
      <c r="E127" s="141">
        <v>8.9472140800000002</v>
      </c>
      <c r="G127" s="141"/>
    </row>
    <row r="128" spans="1:7">
      <c r="A128" s="141">
        <v>2044</v>
      </c>
      <c r="B128" s="141">
        <v>7.6392961899999996</v>
      </c>
      <c r="C128" s="141">
        <v>8.3607038100000004</v>
      </c>
      <c r="D128" s="141">
        <v>7.9090909099999998</v>
      </c>
      <c r="E128" s="141">
        <v>8.9882697900000004</v>
      </c>
      <c r="G128" s="141"/>
    </row>
    <row r="129" spans="1:7">
      <c r="A129" s="141">
        <v>2045</v>
      </c>
      <c r="B129" s="141">
        <v>6.9296187700000003</v>
      </c>
      <c r="C129" s="141">
        <v>7.60997067</v>
      </c>
      <c r="D129" s="141">
        <v>7.1935483900000001</v>
      </c>
      <c r="E129" s="141">
        <v>8.1847507299999993</v>
      </c>
      <c r="G129" s="141"/>
    </row>
    <row r="130" spans="1:7">
      <c r="A130" s="141">
        <v>2046</v>
      </c>
      <c r="B130" s="141">
        <v>7.0293255099999996</v>
      </c>
      <c r="C130" s="141">
        <v>7.6334310900000002</v>
      </c>
      <c r="D130" s="141">
        <v>7.2521994100000002</v>
      </c>
      <c r="E130" s="141">
        <v>8.2258064500000003</v>
      </c>
      <c r="G130" s="141"/>
    </row>
    <row r="131" spans="1:7">
      <c r="A131" s="141">
        <v>2047</v>
      </c>
      <c r="B131" s="141">
        <v>7.1231671600000004</v>
      </c>
      <c r="C131" s="141">
        <v>7.7683284500000003</v>
      </c>
      <c r="D131" s="141">
        <v>7.3519061600000004</v>
      </c>
      <c r="E131" s="141">
        <v>8.3782991199999994</v>
      </c>
      <c r="G131" s="141"/>
    </row>
    <row r="132" spans="1:7">
      <c r="A132" s="141">
        <v>2048</v>
      </c>
      <c r="B132" s="141">
        <v>7.1642228699999997</v>
      </c>
      <c r="C132" s="141">
        <v>7.8211143700000001</v>
      </c>
      <c r="D132" s="141">
        <v>7.4281524900000004</v>
      </c>
      <c r="E132" s="141">
        <v>8.4252199399999999</v>
      </c>
      <c r="G132" s="141"/>
    </row>
    <row r="133" spans="1:7">
      <c r="A133" s="141">
        <v>2049</v>
      </c>
      <c r="B133" s="141">
        <v>7.228739</v>
      </c>
      <c r="C133" s="141">
        <v>7.8914955999999998</v>
      </c>
      <c r="D133" s="141">
        <v>7.4926686199999999</v>
      </c>
      <c r="E133" s="141">
        <v>8.4956011700000005</v>
      </c>
      <c r="G133" s="141"/>
    </row>
    <row r="134" spans="1:7">
      <c r="A134" s="141">
        <v>2050</v>
      </c>
      <c r="B134" s="141">
        <v>7.2932551300000004</v>
      </c>
      <c r="C134" s="141">
        <v>7.9677419399999998</v>
      </c>
      <c r="D134" s="141">
        <v>7.5689149599999999</v>
      </c>
      <c r="E134" s="141">
        <v>8.5835777100000001</v>
      </c>
      <c r="G134" s="141"/>
    </row>
    <row r="135" spans="1:7">
      <c r="A135" s="141">
        <v>2051</v>
      </c>
      <c r="B135" s="141">
        <v>7.3460410600000001</v>
      </c>
      <c r="C135" s="141">
        <v>8.0263929600000008</v>
      </c>
      <c r="D135" s="141">
        <v>7.6334310900000002</v>
      </c>
      <c r="E135" s="141">
        <v>8.6539589400000008</v>
      </c>
      <c r="G135" s="141"/>
    </row>
    <row r="136" spans="1:7">
      <c r="A136" s="141">
        <v>2052</v>
      </c>
      <c r="B136" s="141">
        <v>7.4516128999999998</v>
      </c>
      <c r="C136" s="141">
        <v>8.1378299100000007</v>
      </c>
      <c r="D136" s="141">
        <v>7.7331378300000004</v>
      </c>
      <c r="E136" s="141">
        <v>8.7771261000000003</v>
      </c>
      <c r="G136" s="141"/>
    </row>
    <row r="137" spans="1:7">
      <c r="A137" s="141">
        <v>2053</v>
      </c>
      <c r="B137" s="141">
        <v>7.5395894400000003</v>
      </c>
      <c r="C137" s="141">
        <v>8.2140762499999997</v>
      </c>
      <c r="D137" s="141">
        <v>7.8211143700000001</v>
      </c>
      <c r="E137" s="141">
        <v>8.8592375400000005</v>
      </c>
      <c r="G137" s="141"/>
    </row>
    <row r="138" spans="1:7">
      <c r="A138" s="141">
        <v>2054</v>
      </c>
      <c r="B138" s="141">
        <v>7.6158357800000003</v>
      </c>
      <c r="C138" s="141">
        <v>8.2961876799999992</v>
      </c>
      <c r="D138" s="141">
        <v>7.9032258100000004</v>
      </c>
      <c r="E138" s="141">
        <v>8.9354838700000006</v>
      </c>
      <c r="G138" s="141"/>
    </row>
    <row r="139" spans="1:7">
      <c r="A139" s="141">
        <v>2055</v>
      </c>
      <c r="B139" s="141">
        <v>7.2170088000000003</v>
      </c>
      <c r="C139" s="141">
        <v>7.7390029299999998</v>
      </c>
      <c r="D139" s="141">
        <v>7.3695014700000003</v>
      </c>
      <c r="E139" s="141">
        <v>8.3489736099999998</v>
      </c>
      <c r="G139" s="141"/>
    </row>
    <row r="140" spans="1:7">
      <c r="A140" s="141">
        <v>2056</v>
      </c>
      <c r="B140" s="141">
        <v>7.3108504400000003</v>
      </c>
      <c r="C140" s="141">
        <v>7.8211143700000001</v>
      </c>
      <c r="D140" s="141">
        <v>7.4340175999999998</v>
      </c>
      <c r="E140" s="141">
        <v>8.4076246300000008</v>
      </c>
      <c r="G140" s="141"/>
    </row>
    <row r="141" spans="1:7">
      <c r="A141" s="141">
        <v>2057</v>
      </c>
      <c r="B141" s="141">
        <v>7.3988269799999999</v>
      </c>
      <c r="C141" s="141">
        <v>7.91495601</v>
      </c>
      <c r="D141" s="141">
        <v>7.5161290300000001</v>
      </c>
      <c r="E141" s="141">
        <v>8.5249266899999991</v>
      </c>
      <c r="G141" s="141"/>
    </row>
    <row r="142" spans="1:7">
      <c r="A142" s="141">
        <v>2058</v>
      </c>
      <c r="B142" s="141">
        <v>7.4457478000000004</v>
      </c>
      <c r="C142" s="141">
        <v>7.9794721400000004</v>
      </c>
      <c r="D142" s="141">
        <v>7.5806451600000004</v>
      </c>
      <c r="E142" s="141">
        <v>8.5835777100000001</v>
      </c>
      <c r="G142" s="141"/>
    </row>
    <row r="143" spans="1:7">
      <c r="A143" s="141">
        <v>2059</v>
      </c>
      <c r="B143" s="141">
        <v>7.5571847500000002</v>
      </c>
      <c r="C143" s="141">
        <v>8.0967741899999996</v>
      </c>
      <c r="D143" s="141">
        <v>7.6744868000000004</v>
      </c>
      <c r="E143" s="141">
        <v>8.7126099700000008</v>
      </c>
      <c r="G143" s="141"/>
    </row>
    <row r="144" spans="1:7">
      <c r="A144" s="141">
        <v>2060</v>
      </c>
      <c r="B144" s="141">
        <v>7.5513196499999999</v>
      </c>
      <c r="C144" s="141">
        <v>8.0967741899999996</v>
      </c>
      <c r="D144" s="141">
        <v>7.6979472099999997</v>
      </c>
      <c r="E144" s="141">
        <v>8.7184750700000002</v>
      </c>
      <c r="G144" s="141"/>
    </row>
    <row r="145" spans="1:7">
      <c r="A145" s="141">
        <v>2061</v>
      </c>
      <c r="B145" s="141">
        <v>7.6451612899999999</v>
      </c>
      <c r="C145" s="141">
        <v>8.2258064500000003</v>
      </c>
      <c r="D145" s="141">
        <v>7.8269794700000004</v>
      </c>
      <c r="E145" s="141">
        <v>8.8533724300000003</v>
      </c>
      <c r="G145" s="141"/>
    </row>
    <row r="146" spans="1:7">
      <c r="A146" s="141">
        <v>2062</v>
      </c>
      <c r="B146" s="141">
        <v>7.7096774200000002</v>
      </c>
      <c r="C146" s="141">
        <v>8.2961876799999992</v>
      </c>
      <c r="D146" s="141">
        <v>7.8973607000000001</v>
      </c>
      <c r="E146" s="141">
        <v>8.9296187699999994</v>
      </c>
      <c r="G146" s="141"/>
    </row>
    <row r="147" spans="1:7">
      <c r="A147" s="141">
        <v>2063</v>
      </c>
      <c r="B147" s="141">
        <v>7.8211143700000001</v>
      </c>
      <c r="C147" s="141">
        <v>8.3782991199999994</v>
      </c>
      <c r="D147" s="141">
        <v>7.9736070400000001</v>
      </c>
      <c r="E147" s="141">
        <v>9.0117302099999996</v>
      </c>
      <c r="G147" s="141"/>
    </row>
    <row r="148" spans="1:7">
      <c r="A148" s="141">
        <v>2064</v>
      </c>
      <c r="B148" s="141">
        <v>7.8797654000000001</v>
      </c>
      <c r="C148" s="141">
        <v>8.4662756600000009</v>
      </c>
      <c r="D148" s="141">
        <v>8.0439882699999998</v>
      </c>
      <c r="E148" s="141">
        <v>9.1055718500000005</v>
      </c>
      <c r="G148" s="141"/>
    </row>
    <row r="149" spans="1:7">
      <c r="A149" s="141">
        <v>2065</v>
      </c>
      <c r="B149" s="141">
        <v>7.6920821100000003</v>
      </c>
      <c r="C149" s="141">
        <v>7.9501466299999999</v>
      </c>
      <c r="D149" s="141">
        <v>7.6979472099999997</v>
      </c>
      <c r="E149" s="141">
        <v>8.5483870999999994</v>
      </c>
      <c r="G149" s="141"/>
    </row>
    <row r="150" spans="1:7">
      <c r="A150" s="141">
        <v>2066</v>
      </c>
      <c r="B150" s="141">
        <v>7.7976539599999999</v>
      </c>
      <c r="C150" s="141">
        <v>8.0733137799999994</v>
      </c>
      <c r="D150" s="141">
        <v>7.8269794700000004</v>
      </c>
      <c r="E150" s="141">
        <v>8.6656891500000004</v>
      </c>
      <c r="G150" s="141"/>
    </row>
    <row r="151" spans="1:7">
      <c r="A151" s="141">
        <v>2067</v>
      </c>
      <c r="B151" s="141">
        <v>7.8797654000000001</v>
      </c>
      <c r="C151" s="141">
        <v>8.1671554299999993</v>
      </c>
      <c r="D151" s="141">
        <v>7.9501466299999999</v>
      </c>
      <c r="E151" s="141">
        <v>8.7888563000000008</v>
      </c>
      <c r="G151" s="141"/>
    </row>
    <row r="152" spans="1:7">
      <c r="A152" s="141">
        <v>2068</v>
      </c>
      <c r="B152" s="141">
        <v>7.9384164200000003</v>
      </c>
      <c r="C152" s="141">
        <v>8.2551319599999999</v>
      </c>
      <c r="D152" s="141">
        <v>8.0322580600000002</v>
      </c>
      <c r="E152" s="141">
        <v>8.8475073299999991</v>
      </c>
      <c r="G152" s="141"/>
    </row>
    <row r="153" spans="1:7">
      <c r="A153" s="141">
        <v>2069</v>
      </c>
      <c r="B153" s="141">
        <v>8.0439882699999998</v>
      </c>
      <c r="C153" s="141">
        <v>8.3489736099999998</v>
      </c>
      <c r="D153" s="141">
        <v>8.0909090900000002</v>
      </c>
      <c r="E153" s="141">
        <v>8.9648093800000002</v>
      </c>
      <c r="G153" s="141"/>
    </row>
    <row r="154" spans="1:7">
      <c r="A154" s="141">
        <v>2070</v>
      </c>
      <c r="B154" s="141">
        <v>8.1671554299999993</v>
      </c>
      <c r="C154" s="141">
        <v>8.4604105599999997</v>
      </c>
      <c r="D154" s="141">
        <v>8.2258064500000003</v>
      </c>
      <c r="E154" s="141">
        <v>9.07624633</v>
      </c>
      <c r="G154" s="141"/>
    </row>
    <row r="155" spans="1:7">
      <c r="A155" s="141"/>
      <c r="B155" s="141" t="s">
        <v>2910</v>
      </c>
      <c r="C155" s="141" t="s">
        <v>2911</v>
      </c>
      <c r="D155" s="141" t="s">
        <v>2912</v>
      </c>
      <c r="E155" s="141" t="s">
        <v>2913</v>
      </c>
      <c r="F155" s="141" t="s">
        <v>2915</v>
      </c>
      <c r="G155" t="s">
        <v>2916</v>
      </c>
    </row>
    <row r="156" spans="1:7">
      <c r="A156" s="141" t="s">
        <v>2917</v>
      </c>
      <c r="B156" s="141">
        <f>SUM(B99:B154)</f>
        <v>425.39002932999989</v>
      </c>
      <c r="C156" s="141">
        <f t="shared" ref="C156:E156" si="0">SUM(C99:C154)</f>
        <v>456.68621698999988</v>
      </c>
      <c r="D156" s="141">
        <f t="shared" si="0"/>
        <v>433.63636364999991</v>
      </c>
      <c r="E156" s="141">
        <f t="shared" si="0"/>
        <v>488.18181812999984</v>
      </c>
      <c r="F156">
        <f>B156+4.2/tC_to_m3*55</f>
        <v>478.58932932999988</v>
      </c>
      <c r="G156">
        <f>E156+4.2/tC_to_m3*55</f>
        <v>541.38111812999989</v>
      </c>
    </row>
    <row r="158" spans="1:7">
      <c r="A158" t="s">
        <v>2922</v>
      </c>
      <c r="B158" s="330" t="s">
        <v>429</v>
      </c>
      <c r="C158" s="330"/>
      <c r="E158" s="330" t="s">
        <v>1588</v>
      </c>
      <c r="F158" s="330"/>
    </row>
    <row r="159" spans="1:7">
      <c r="B159" t="s">
        <v>2923</v>
      </c>
      <c r="C159" t="s">
        <v>2924</v>
      </c>
      <c r="D159" t="s">
        <v>2925</v>
      </c>
      <c r="E159" t="s">
        <v>2926</v>
      </c>
      <c r="F159" t="s">
        <v>2927</v>
      </c>
      <c r="G159" t="s">
        <v>2928</v>
      </c>
    </row>
    <row r="160" spans="1:7">
      <c r="D160" t="s">
        <v>442</v>
      </c>
      <c r="E160" t="s">
        <v>498</v>
      </c>
      <c r="F160" t="s">
        <v>498</v>
      </c>
      <c r="G160" t="s">
        <v>498</v>
      </c>
    </row>
    <row r="161" spans="1:7">
      <c r="A161" t="s">
        <v>2929</v>
      </c>
      <c r="B161">
        <v>66.7</v>
      </c>
      <c r="C161">
        <v>141.19999999999999</v>
      </c>
      <c r="D161">
        <v>0</v>
      </c>
      <c r="E161">
        <v>636.6</v>
      </c>
      <c r="F161">
        <v>0</v>
      </c>
      <c r="G161">
        <f t="shared" ref="G161:G164" si="1">SUM(E161:F161)</f>
        <v>636.6</v>
      </c>
    </row>
    <row r="162" spans="1:7">
      <c r="A162" t="s">
        <v>2930</v>
      </c>
      <c r="B162">
        <v>66.5</v>
      </c>
      <c r="C162">
        <v>110.4</v>
      </c>
      <c r="D162">
        <v>18.5</v>
      </c>
      <c r="E162">
        <v>484.9</v>
      </c>
      <c r="F162">
        <f>50.9*tC_to_m3</f>
        <v>221.01606600086845</v>
      </c>
      <c r="G162">
        <f t="shared" si="1"/>
        <v>705.91606600086845</v>
      </c>
    </row>
    <row r="163" spans="1:7">
      <c r="A163" t="s">
        <v>2931</v>
      </c>
      <c r="B163">
        <v>82.6</v>
      </c>
      <c r="C163">
        <v>139.5</v>
      </c>
      <c r="D163">
        <v>0</v>
      </c>
      <c r="E163">
        <v>625.20000000000005</v>
      </c>
      <c r="F163">
        <v>0</v>
      </c>
      <c r="G163">
        <f t="shared" si="1"/>
        <v>625.20000000000005</v>
      </c>
    </row>
    <row r="164" spans="1:7">
      <c r="A164" t="s">
        <v>2932</v>
      </c>
      <c r="B164">
        <v>82</v>
      </c>
      <c r="C164">
        <v>99</v>
      </c>
      <c r="D164">
        <v>19.2</v>
      </c>
      <c r="E164">
        <v>514.29999999999995</v>
      </c>
      <c r="F164">
        <f>52.7*tC_to_m3</f>
        <v>228.83195831524102</v>
      </c>
      <c r="G164">
        <f t="shared" si="1"/>
        <v>743.13195831524104</v>
      </c>
    </row>
    <row r="166" spans="1:7">
      <c r="A166" t="s">
        <v>2933</v>
      </c>
    </row>
    <row r="167" spans="1:7">
      <c r="A167" t="s">
        <v>2934</v>
      </c>
      <c r="C167" t="s">
        <v>150</v>
      </c>
      <c r="D167" t="s">
        <v>2935</v>
      </c>
      <c r="E167" t="s">
        <v>2936</v>
      </c>
    </row>
    <row r="168" spans="1:7">
      <c r="B168">
        <v>2020</v>
      </c>
      <c r="C168">
        <v>924444.44444444403</v>
      </c>
      <c r="D168">
        <v>426666.66666666401</v>
      </c>
      <c r="E168">
        <v>53333.333333331997</v>
      </c>
    </row>
    <row r="169" spans="1:7">
      <c r="B169">
        <f t="shared" ref="B169:B180" si="2">B168+10</f>
        <v>2030</v>
      </c>
      <c r="C169">
        <v>1493333.33333333</v>
      </c>
      <c r="D169">
        <v>711111.11111111101</v>
      </c>
      <c r="E169">
        <v>177777.777777779</v>
      </c>
    </row>
    <row r="170" spans="1:7">
      <c r="B170">
        <f t="shared" si="2"/>
        <v>2040</v>
      </c>
      <c r="C170">
        <v>2168888.8888888801</v>
      </c>
      <c r="D170">
        <v>1031111.1111110999</v>
      </c>
      <c r="E170">
        <v>320000</v>
      </c>
    </row>
    <row r="171" spans="1:7">
      <c r="B171">
        <f t="shared" si="2"/>
        <v>2050</v>
      </c>
      <c r="C171">
        <v>2826666.66666666</v>
      </c>
      <c r="D171">
        <v>1333333.33333333</v>
      </c>
      <c r="E171">
        <v>480000</v>
      </c>
    </row>
    <row r="172" spans="1:7">
      <c r="B172">
        <f t="shared" si="2"/>
        <v>2060</v>
      </c>
      <c r="C172">
        <v>3413333.3333333302</v>
      </c>
      <c r="D172">
        <v>1440000</v>
      </c>
      <c r="E172">
        <v>551111.11111111101</v>
      </c>
    </row>
    <row r="173" spans="1:7">
      <c r="B173" t="s">
        <v>2937</v>
      </c>
      <c r="C173">
        <f>SUM(C168:C172)</f>
        <v>10826666.666666646</v>
      </c>
      <c r="D173">
        <f>SUM(D168:D172)</f>
        <v>4942222.2222222053</v>
      </c>
      <c r="E173">
        <f>SUM(E168:E172)</f>
        <v>1582222.222222222</v>
      </c>
    </row>
    <row r="174" spans="1:7">
      <c r="A174" t="s">
        <v>2938</v>
      </c>
    </row>
    <row r="175" spans="1:7">
      <c r="C175" t="s">
        <v>150</v>
      </c>
      <c r="D175" t="s">
        <v>2935</v>
      </c>
      <c r="E175" t="s">
        <v>2936</v>
      </c>
    </row>
    <row r="176" spans="1:7">
      <c r="B176">
        <v>2020</v>
      </c>
      <c r="C176">
        <v>186666.66666666599</v>
      </c>
      <c r="D176">
        <v>160000</v>
      </c>
      <c r="E176">
        <v>166666.66666666599</v>
      </c>
    </row>
    <row r="177" spans="1:7">
      <c r="B177">
        <f t="shared" si="2"/>
        <v>2030</v>
      </c>
      <c r="C177">
        <v>208000</v>
      </c>
      <c r="D177">
        <v>149333.33333333299</v>
      </c>
      <c r="E177">
        <v>166666.66666666599</v>
      </c>
    </row>
    <row r="178" spans="1:7">
      <c r="B178">
        <f t="shared" si="2"/>
        <v>2040</v>
      </c>
      <c r="C178">
        <v>232000</v>
      </c>
      <c r="D178">
        <v>137333.33333333299</v>
      </c>
      <c r="E178">
        <v>166666.66666666599</v>
      </c>
    </row>
    <row r="179" spans="1:7">
      <c r="B179">
        <f t="shared" si="2"/>
        <v>2050</v>
      </c>
      <c r="C179">
        <v>249333.33333333299</v>
      </c>
      <c r="D179">
        <v>121333.33333333299</v>
      </c>
      <c r="E179">
        <v>166666.66666666599</v>
      </c>
    </row>
    <row r="180" spans="1:7">
      <c r="B180">
        <f t="shared" si="2"/>
        <v>2060</v>
      </c>
      <c r="C180">
        <v>260000</v>
      </c>
      <c r="D180">
        <v>102666.666666666</v>
      </c>
      <c r="E180">
        <v>164000</v>
      </c>
    </row>
    <row r="181" spans="1:7">
      <c r="B181" t="s">
        <v>2937</v>
      </c>
      <c r="C181">
        <f>SUM(C176:C180)</f>
        <v>1135999.9999999991</v>
      </c>
      <c r="D181">
        <f>SUM(D176:D180)</f>
        <v>670666.66666666511</v>
      </c>
      <c r="E181">
        <f>SUM(E176:E180)</f>
        <v>830666.66666666395</v>
      </c>
    </row>
    <row r="184" spans="1:7">
      <c r="A184" t="s">
        <v>2939</v>
      </c>
      <c r="F184" s="330" t="s">
        <v>2940</v>
      </c>
      <c r="G184" s="330"/>
    </row>
    <row r="185" spans="1:7">
      <c r="A185" t="s">
        <v>2941</v>
      </c>
      <c r="D185" t="s">
        <v>754</v>
      </c>
      <c r="E185" t="s">
        <v>753</v>
      </c>
      <c r="F185" t="s">
        <v>754</v>
      </c>
      <c r="G185" t="s">
        <v>753</v>
      </c>
    </row>
    <row r="186" spans="1:7">
      <c r="C186" t="s">
        <v>2942</v>
      </c>
      <c r="D186">
        <v>30.321361058601099</v>
      </c>
      <c r="E186">
        <v>33.4</v>
      </c>
    </row>
    <row r="187" spans="1:7">
      <c r="C187" t="s">
        <v>2943</v>
      </c>
      <c r="D187">
        <v>23.3648393194707</v>
      </c>
      <c r="E187">
        <v>26.3</v>
      </c>
      <c r="F187">
        <f>SUM(D$186:D$191)-D187-D186</f>
        <v>-97.912098298676767</v>
      </c>
      <c r="G187">
        <f>SUM(E$186:E$191)-E187-E186</f>
        <v>-76.199999999999989</v>
      </c>
    </row>
    <row r="188" spans="1:7">
      <c r="C188" t="s">
        <v>2944</v>
      </c>
      <c r="D188">
        <v>2.9</v>
      </c>
      <c r="E188">
        <v>14.2</v>
      </c>
    </row>
    <row r="189" spans="1:7">
      <c r="C189" t="s">
        <v>2945</v>
      </c>
      <c r="D189">
        <v>1.5879017013232299</v>
      </c>
      <c r="E189">
        <v>1.5</v>
      </c>
      <c r="F189">
        <f>SUM(D$186:D$191)-D189</f>
        <v>-45.813799621928204</v>
      </c>
      <c r="G189">
        <f>SUM(E$186:E$191)-E189</f>
        <v>-17.999999999999993</v>
      </c>
    </row>
    <row r="190" spans="1:7">
      <c r="C190" t="s">
        <v>2946</v>
      </c>
      <c r="D190">
        <v>-102.4</v>
      </c>
      <c r="E190">
        <v>-66</v>
      </c>
    </row>
    <row r="191" spans="1:7">
      <c r="C191" t="s">
        <v>2947</v>
      </c>
      <c r="E191">
        <v>-25.9</v>
      </c>
      <c r="F191">
        <f>SUM(D$186:D$191)-D191</f>
        <v>-44.225897920604972</v>
      </c>
      <c r="G191">
        <f>SUM(E$186:E$191)-E191</f>
        <v>9.4000000000000057</v>
      </c>
    </row>
    <row r="192" spans="1:7">
      <c r="C192" t="s">
        <v>2948</v>
      </c>
      <c r="D192">
        <v>-44.2</v>
      </c>
      <c r="E192">
        <v>-16.5</v>
      </c>
    </row>
    <row r="194" spans="1:19">
      <c r="A194" t="s">
        <v>2949</v>
      </c>
      <c r="C194" t="s">
        <v>2950</v>
      </c>
      <c r="L194" t="s">
        <v>2951</v>
      </c>
      <c r="N194" s="330" t="s">
        <v>2952</v>
      </c>
      <c r="O194" s="330"/>
      <c r="P194" s="330"/>
      <c r="Q194" s="330" t="s">
        <v>2953</v>
      </c>
      <c r="R194" s="330"/>
      <c r="S194" s="330"/>
    </row>
    <row r="195" spans="1:19">
      <c r="C195" t="s">
        <v>2954</v>
      </c>
      <c r="E195" t="s">
        <v>2955</v>
      </c>
      <c r="F195" t="s">
        <v>2956</v>
      </c>
      <c r="G195" t="s">
        <v>2957</v>
      </c>
      <c r="H195" t="s">
        <v>2958</v>
      </c>
      <c r="N195" t="s">
        <v>2959</v>
      </c>
      <c r="O195" t="s">
        <v>2960</v>
      </c>
      <c r="P195" t="s">
        <v>2961</v>
      </c>
      <c r="Q195" t="s">
        <v>2959</v>
      </c>
      <c r="R195" t="s">
        <v>2960</v>
      </c>
      <c r="S195" t="s">
        <v>2961</v>
      </c>
    </row>
    <row r="196" spans="1:19">
      <c r="D196" t="s">
        <v>2962</v>
      </c>
      <c r="E196">
        <v>0</v>
      </c>
      <c r="M196" t="s">
        <v>2963</v>
      </c>
      <c r="N196">
        <v>593</v>
      </c>
      <c r="O196">
        <v>383</v>
      </c>
      <c r="P196">
        <v>1474</v>
      </c>
      <c r="Q196">
        <v>876</v>
      </c>
      <c r="R196">
        <v>172</v>
      </c>
      <c r="S196">
        <v>3821</v>
      </c>
    </row>
    <row r="197" spans="1:19">
      <c r="D197" t="s">
        <v>2964</v>
      </c>
      <c r="E197">
        <v>70</v>
      </c>
      <c r="F197">
        <v>60</v>
      </c>
      <c r="G197">
        <v>15.3</v>
      </c>
      <c r="H197">
        <v>5</v>
      </c>
      <c r="M197" t="s">
        <v>2965</v>
      </c>
      <c r="N197">
        <v>1113</v>
      </c>
      <c r="O197">
        <v>649</v>
      </c>
      <c r="P197">
        <v>649</v>
      </c>
      <c r="Q197">
        <v>1606</v>
      </c>
      <c r="R197">
        <v>255</v>
      </c>
      <c r="S197">
        <v>255</v>
      </c>
    </row>
    <row r="198" spans="1:19">
      <c r="D198" t="s">
        <v>2966</v>
      </c>
      <c r="E198">
        <v>100</v>
      </c>
      <c r="F198">
        <v>60</v>
      </c>
      <c r="G198">
        <v>15.3</v>
      </c>
      <c r="H198">
        <v>1</v>
      </c>
      <c r="M198" t="s">
        <v>2967</v>
      </c>
      <c r="N198">
        <v>171</v>
      </c>
      <c r="O198">
        <v>122</v>
      </c>
      <c r="P198">
        <v>122</v>
      </c>
      <c r="Q198">
        <v>250</v>
      </c>
      <c r="R198">
        <v>55</v>
      </c>
      <c r="S198">
        <v>55</v>
      </c>
    </row>
    <row r="199" spans="1:19">
      <c r="D199" t="s">
        <v>2968</v>
      </c>
      <c r="E199">
        <v>100</v>
      </c>
      <c r="F199">
        <v>50</v>
      </c>
      <c r="G199">
        <v>16.600000000000001</v>
      </c>
      <c r="H199">
        <v>1</v>
      </c>
      <c r="M199" t="s">
        <v>2969</v>
      </c>
      <c r="N199">
        <v>1332</v>
      </c>
      <c r="O199">
        <v>934</v>
      </c>
      <c r="P199">
        <v>934</v>
      </c>
      <c r="Q199">
        <v>1968</v>
      </c>
      <c r="R199">
        <v>434</v>
      </c>
      <c r="S199">
        <v>434</v>
      </c>
    </row>
    <row r="200" spans="1:19">
      <c r="D200" t="s">
        <v>2967</v>
      </c>
      <c r="E200">
        <v>100</v>
      </c>
      <c r="F200">
        <v>15</v>
      </c>
      <c r="G200">
        <v>18.600000000000001</v>
      </c>
      <c r="H200">
        <v>1</v>
      </c>
      <c r="M200" t="s">
        <v>2970</v>
      </c>
      <c r="N200">
        <v>3209</v>
      </c>
      <c r="O200">
        <v>2087</v>
      </c>
      <c r="P200">
        <v>3178</v>
      </c>
      <c r="Q200">
        <v>4700</v>
      </c>
      <c r="R200">
        <v>916</v>
      </c>
      <c r="S200">
        <v>4565</v>
      </c>
    </row>
    <row r="201" spans="1:19">
      <c r="D201" t="s">
        <v>2971</v>
      </c>
      <c r="E201">
        <v>90</v>
      </c>
      <c r="F201">
        <v>15</v>
      </c>
      <c r="G201">
        <v>18.600000000000001</v>
      </c>
      <c r="H201">
        <v>1</v>
      </c>
      <c r="M201" t="s">
        <v>2972</v>
      </c>
      <c r="N201">
        <v>289</v>
      </c>
      <c r="O201">
        <v>281</v>
      </c>
      <c r="P201">
        <v>281</v>
      </c>
      <c r="Q201">
        <v>428</v>
      </c>
      <c r="R201">
        <v>146</v>
      </c>
      <c r="S201">
        <v>146</v>
      </c>
    </row>
    <row r="202" spans="1:19">
      <c r="C202" t="s">
        <v>2973</v>
      </c>
    </row>
    <row r="203" spans="1:19">
      <c r="D203" t="s">
        <v>2962</v>
      </c>
      <c r="E203">
        <v>0</v>
      </c>
      <c r="L203" t="s">
        <v>2974</v>
      </c>
      <c r="M203" t="s">
        <v>2975</v>
      </c>
      <c r="N203" s="330" t="s">
        <v>2952</v>
      </c>
      <c r="O203" s="330"/>
      <c r="P203" s="330"/>
      <c r="Q203" s="330" t="s">
        <v>2953</v>
      </c>
      <c r="R203" s="330"/>
      <c r="S203" s="330"/>
    </row>
    <row r="204" spans="1:19">
      <c r="D204" t="s">
        <v>2966</v>
      </c>
      <c r="E204">
        <v>100</v>
      </c>
      <c r="F204">
        <v>60</v>
      </c>
      <c r="G204">
        <v>15.3</v>
      </c>
      <c r="H204">
        <v>3</v>
      </c>
      <c r="N204" t="s">
        <v>2959</v>
      </c>
      <c r="O204" t="s">
        <v>2960</v>
      </c>
      <c r="P204" t="s">
        <v>2961</v>
      </c>
      <c r="Q204" t="s">
        <v>2959</v>
      </c>
      <c r="R204" t="s">
        <v>2960</v>
      </c>
      <c r="S204" t="s">
        <v>2961</v>
      </c>
    </row>
    <row r="205" spans="1:19">
      <c r="D205" t="s">
        <v>2976</v>
      </c>
      <c r="E205">
        <v>100</v>
      </c>
      <c r="F205">
        <v>60</v>
      </c>
      <c r="G205">
        <v>15.3</v>
      </c>
      <c r="H205">
        <v>3</v>
      </c>
      <c r="M205" t="s">
        <v>2963</v>
      </c>
      <c r="N205">
        <f t="shared" ref="N205:S208" si="3">N196*10^3/$G197/10^3</f>
        <v>38.75816993464052</v>
      </c>
      <c r="O205">
        <f t="shared" ref="O205:S205" si="4">O196*10^3/$G197/10^3</f>
        <v>25.032679738562091</v>
      </c>
      <c r="P205">
        <f t="shared" si="4"/>
        <v>96.339869281045736</v>
      </c>
      <c r="Q205">
        <f t="shared" si="4"/>
        <v>57.254901960784309</v>
      </c>
      <c r="R205">
        <f t="shared" si="4"/>
        <v>11.241830065359476</v>
      </c>
      <c r="S205">
        <f t="shared" si="4"/>
        <v>249.73856209150327</v>
      </c>
    </row>
    <row r="206" spans="1:19">
      <c r="D206" t="s">
        <v>2964</v>
      </c>
      <c r="E206">
        <v>70</v>
      </c>
      <c r="F206">
        <v>60</v>
      </c>
      <c r="G206">
        <v>15.3</v>
      </c>
      <c r="H206">
        <v>5</v>
      </c>
      <c r="M206" t="s">
        <v>2965</v>
      </c>
      <c r="N206">
        <f t="shared" si="3"/>
        <v>72.745098039215677</v>
      </c>
      <c r="O206">
        <f t="shared" si="3"/>
        <v>42.41830065359477</v>
      </c>
      <c r="P206">
        <f t="shared" si="3"/>
        <v>42.41830065359477</v>
      </c>
      <c r="Q206">
        <f t="shared" si="3"/>
        <v>104.96732026143789</v>
      </c>
      <c r="R206">
        <f t="shared" si="3"/>
        <v>16.666666666666664</v>
      </c>
      <c r="S206">
        <f t="shared" si="3"/>
        <v>16.666666666666664</v>
      </c>
    </row>
    <row r="207" spans="1:19">
      <c r="M207" t="s">
        <v>2967</v>
      </c>
      <c r="N207">
        <f t="shared" si="3"/>
        <v>10.301204819277107</v>
      </c>
      <c r="O207">
        <f t="shared" si="3"/>
        <v>7.3493975903614457</v>
      </c>
      <c r="P207">
        <f t="shared" si="3"/>
        <v>7.3493975903614457</v>
      </c>
      <c r="Q207">
        <f t="shared" si="3"/>
        <v>15.060240963855421</v>
      </c>
      <c r="R207">
        <f t="shared" si="3"/>
        <v>3.3132530120481922</v>
      </c>
      <c r="S207">
        <f t="shared" si="3"/>
        <v>3.3132530120481922</v>
      </c>
    </row>
    <row r="208" spans="1:19">
      <c r="M208" t="s">
        <v>2969</v>
      </c>
      <c r="N208">
        <f t="shared" si="3"/>
        <v>71.612903225806434</v>
      </c>
      <c r="O208">
        <f t="shared" si="3"/>
        <v>50.215053763440856</v>
      </c>
      <c r="P208">
        <f t="shared" si="3"/>
        <v>50.215053763440856</v>
      </c>
      <c r="Q208">
        <f t="shared" si="3"/>
        <v>105.80645161290322</v>
      </c>
      <c r="R208">
        <f t="shared" si="3"/>
        <v>23.333333333333332</v>
      </c>
      <c r="S208">
        <f t="shared" si="3"/>
        <v>23.333333333333332</v>
      </c>
    </row>
    <row r="209" spans="1:19">
      <c r="M209" t="s">
        <v>2970</v>
      </c>
      <c r="N209">
        <f>SUM(N205:N208)</f>
        <v>193.41737601893973</v>
      </c>
      <c r="O209">
        <f t="shared" ref="O209:S209" si="5">SUM(O205:O208)</f>
        <v>125.01543174595918</v>
      </c>
      <c r="P209">
        <f t="shared" si="5"/>
        <v>196.3226212884428</v>
      </c>
      <c r="Q209">
        <f t="shared" si="5"/>
        <v>283.08891479898085</v>
      </c>
      <c r="R209">
        <f t="shared" si="5"/>
        <v>54.555083077407666</v>
      </c>
      <c r="S209">
        <f t="shared" si="5"/>
        <v>293.05181510355141</v>
      </c>
    </row>
    <row r="210" spans="1:19">
      <c r="M210" t="s">
        <v>2972</v>
      </c>
    </row>
    <row r="212" spans="1:19">
      <c r="C212" t="s">
        <v>762</v>
      </c>
      <c r="D212" t="s">
        <v>2977</v>
      </c>
      <c r="L212" t="s">
        <v>2978</v>
      </c>
    </row>
    <row r="213" spans="1:19">
      <c r="D213" s="330" t="s">
        <v>2952</v>
      </c>
      <c r="E213" s="330"/>
      <c r="F213" s="330"/>
      <c r="G213" s="330" t="s">
        <v>2953</v>
      </c>
      <c r="H213" s="330"/>
      <c r="I213" s="330"/>
      <c r="N213" s="332" t="s">
        <v>2952</v>
      </c>
      <c r="O213" s="332"/>
      <c r="P213" s="332"/>
      <c r="Q213" s="332" t="s">
        <v>2953</v>
      </c>
      <c r="R213" s="332"/>
      <c r="S213" s="332"/>
    </row>
    <row r="214" spans="1:19">
      <c r="D214" t="s">
        <v>2959</v>
      </c>
      <c r="E214" t="s">
        <v>2979</v>
      </c>
      <c r="G214" t="s">
        <v>2959</v>
      </c>
      <c r="H214" t="s">
        <v>2979</v>
      </c>
      <c r="N214" s="141" t="s">
        <v>2959</v>
      </c>
      <c r="O214" s="141" t="s">
        <v>2960</v>
      </c>
      <c r="P214" s="141" t="s">
        <v>2961</v>
      </c>
      <c r="Q214" s="141" t="s">
        <v>2959</v>
      </c>
      <c r="R214" s="141" t="s">
        <v>2960</v>
      </c>
      <c r="S214" s="141" t="s">
        <v>2961</v>
      </c>
    </row>
    <row r="215" spans="1:19">
      <c r="C215" t="s">
        <v>1356</v>
      </c>
      <c r="D215">
        <v>59</v>
      </c>
      <c r="E215">
        <v>33</v>
      </c>
      <c r="F215">
        <v>33</v>
      </c>
      <c r="G215">
        <v>103</v>
      </c>
      <c r="H215">
        <v>23</v>
      </c>
      <c r="I215">
        <v>23</v>
      </c>
      <c r="N215">
        <f>N209+D218</f>
        <v>291.41737601893976</v>
      </c>
      <c r="O215">
        <f t="shared" ref="O215:S215" si="6">O209+E218</f>
        <v>195.01543174595918</v>
      </c>
      <c r="P215">
        <f t="shared" si="6"/>
        <v>266.3226212884428</v>
      </c>
      <c r="Q215">
        <f t="shared" si="6"/>
        <v>428.08891479898085</v>
      </c>
      <c r="R215">
        <f t="shared" si="6"/>
        <v>86.555083077407659</v>
      </c>
      <c r="S215">
        <f t="shared" si="6"/>
        <v>325.05181510355141</v>
      </c>
    </row>
    <row r="216" spans="1:19">
      <c r="C216" t="s">
        <v>2972</v>
      </c>
      <c r="D216">
        <v>18</v>
      </c>
      <c r="E216">
        <v>17</v>
      </c>
      <c r="F216">
        <v>17</v>
      </c>
      <c r="G216">
        <v>27</v>
      </c>
      <c r="H216">
        <v>9</v>
      </c>
      <c r="I216">
        <v>9</v>
      </c>
    </row>
    <row r="217" spans="1:19">
      <c r="C217" t="s">
        <v>2980</v>
      </c>
      <c r="D217">
        <v>21</v>
      </c>
      <c r="E217">
        <v>20</v>
      </c>
      <c r="F217">
        <v>20</v>
      </c>
      <c r="G217">
        <v>15</v>
      </c>
      <c r="H217">
        <v>0</v>
      </c>
      <c r="I217">
        <v>0</v>
      </c>
    </row>
    <row r="218" spans="1:19">
      <c r="C218" t="s">
        <v>2981</v>
      </c>
      <c r="D218">
        <f>SUM(D215:D217)</f>
        <v>98</v>
      </c>
      <c r="E218">
        <f t="shared" ref="E218:I218" si="7">SUM(E215:E217)</f>
        <v>70</v>
      </c>
      <c r="F218">
        <f t="shared" si="7"/>
        <v>70</v>
      </c>
      <c r="G218">
        <f t="shared" si="7"/>
        <v>145</v>
      </c>
      <c r="H218">
        <f t="shared" si="7"/>
        <v>32</v>
      </c>
      <c r="I218">
        <f t="shared" si="7"/>
        <v>32</v>
      </c>
    </row>
    <row r="221" spans="1:19">
      <c r="A221" t="s">
        <v>2982</v>
      </c>
    </row>
    <row r="222" spans="1:19">
      <c r="A222" t="s">
        <v>2983</v>
      </c>
      <c r="B222" t="s">
        <v>2611</v>
      </c>
      <c r="C222" t="s">
        <v>2984</v>
      </c>
    </row>
    <row r="223" spans="1:19">
      <c r="C223" s="141" t="s">
        <v>2985</v>
      </c>
      <c r="D223" s="141" t="s">
        <v>2986</v>
      </c>
      <c r="E223" s="141" t="s">
        <v>2489</v>
      </c>
      <c r="F223" s="141" t="s">
        <v>1343</v>
      </c>
      <c r="G223" s="141" t="s">
        <v>2987</v>
      </c>
      <c r="H223" s="141" t="s">
        <v>2988</v>
      </c>
    </row>
    <row r="224" spans="1:19">
      <c r="C224" s="141" t="s">
        <v>2989</v>
      </c>
      <c r="D224" s="141">
        <v>80.877193000000005</v>
      </c>
      <c r="E224" s="141">
        <v>68.070175399999997</v>
      </c>
      <c r="F224" s="141">
        <v>96.140350900000001</v>
      </c>
      <c r="G224" s="141">
        <v>78.245614000000003</v>
      </c>
      <c r="H224" s="141">
        <v>72.543859600000005</v>
      </c>
    </row>
    <row r="225" spans="2:8">
      <c r="C225" s="141" t="s">
        <v>2990</v>
      </c>
      <c r="D225" s="141">
        <v>82.719298199999997</v>
      </c>
      <c r="E225" s="141">
        <v>70.175438600000007</v>
      </c>
      <c r="F225" s="141">
        <v>94.736842100000004</v>
      </c>
      <c r="G225" s="141">
        <v>80.175438600000007</v>
      </c>
      <c r="H225" s="141">
        <v>74.298245600000001</v>
      </c>
    </row>
    <row r="226" spans="2:8">
      <c r="C226" s="141" t="s">
        <v>2991</v>
      </c>
      <c r="D226" s="141">
        <v>79.122806999999995</v>
      </c>
      <c r="E226" s="141">
        <v>70.964912299999995</v>
      </c>
      <c r="F226" s="141">
        <v>93.596491200000003</v>
      </c>
      <c r="G226" s="141">
        <v>76.754385999999997</v>
      </c>
      <c r="H226" s="141">
        <v>71.140350900000001</v>
      </c>
    </row>
    <row r="227" spans="2:8">
      <c r="C227" s="141" t="s">
        <v>2992</v>
      </c>
      <c r="D227" s="141">
        <v>81.666666699999993</v>
      </c>
      <c r="E227" s="141">
        <v>70.350877199999999</v>
      </c>
      <c r="F227" s="141">
        <v>89.649122800000001</v>
      </c>
      <c r="G227" s="141">
        <v>79.122806999999995</v>
      </c>
      <c r="H227" s="141">
        <v>73.333333300000007</v>
      </c>
    </row>
    <row r="228" spans="2:8">
      <c r="C228" s="141" t="s">
        <v>2993</v>
      </c>
      <c r="D228" s="141">
        <v>78.508771899999999</v>
      </c>
      <c r="E228" s="141">
        <v>73.421052599999996</v>
      </c>
      <c r="F228" s="141">
        <v>85.789473700000002</v>
      </c>
      <c r="G228" s="141">
        <v>76.052631599999998</v>
      </c>
      <c r="H228" s="141">
        <v>70.438596500000003</v>
      </c>
    </row>
    <row r="229" spans="2:8">
      <c r="C229" s="141" t="s">
        <v>2994</v>
      </c>
      <c r="D229" s="141">
        <v>76.315789499999994</v>
      </c>
      <c r="E229" s="141">
        <v>74.736842100000004</v>
      </c>
      <c r="F229" s="141">
        <v>76.140350900000001</v>
      </c>
      <c r="G229" s="141">
        <v>73.947368400000002</v>
      </c>
      <c r="H229" s="141">
        <v>68.508771899999999</v>
      </c>
    </row>
    <row r="230" spans="2:8">
      <c r="C230" s="141" t="s">
        <v>2995</v>
      </c>
      <c r="D230" s="141">
        <v>81.929824600000003</v>
      </c>
      <c r="E230" s="141">
        <v>77.982456099999993</v>
      </c>
      <c r="F230" s="141">
        <v>80.438596500000003</v>
      </c>
      <c r="G230" s="141">
        <v>79.473684199999994</v>
      </c>
      <c r="H230" s="141">
        <v>73.596491200000003</v>
      </c>
    </row>
    <row r="231" spans="2:8">
      <c r="C231" s="163" t="s">
        <v>2996</v>
      </c>
      <c r="D231" s="143">
        <f>SUM(D224:D230)*5</f>
        <v>2805.7017544999999</v>
      </c>
      <c r="E231" s="143">
        <f t="shared" ref="E231:H275" si="8">SUM(E224:E230)*5</f>
        <v>2528.5087715</v>
      </c>
      <c r="F231" s="143">
        <f t="shared" si="8"/>
        <v>3082.4561405000004</v>
      </c>
      <c r="G231" s="143">
        <f t="shared" si="8"/>
        <v>2718.859649</v>
      </c>
      <c r="H231" s="143">
        <f t="shared" si="8"/>
        <v>2519.298245</v>
      </c>
    </row>
    <row r="233" spans="2:8">
      <c r="B233" t="s">
        <v>701</v>
      </c>
      <c r="C233" s="141" t="s">
        <v>2997</v>
      </c>
      <c r="D233" s="247" t="s">
        <v>2998</v>
      </c>
    </row>
    <row r="234" spans="2:8">
      <c r="C234" s="141" t="s">
        <v>2985</v>
      </c>
      <c r="D234" s="141" t="s">
        <v>2999</v>
      </c>
      <c r="E234" s="141" t="s">
        <v>3000</v>
      </c>
      <c r="F234" s="141" t="s">
        <v>163</v>
      </c>
      <c r="G234" s="141" t="s">
        <v>3001</v>
      </c>
      <c r="H234" s="141" t="s">
        <v>3002</v>
      </c>
    </row>
    <row r="235" spans="2:8">
      <c r="C235" s="141" t="s">
        <v>2989</v>
      </c>
      <c r="D235" s="141">
        <v>-17.975708999999998</v>
      </c>
      <c r="E235" s="141">
        <v>6.6396761099999999</v>
      </c>
      <c r="F235" s="141">
        <v>13.441295500000001</v>
      </c>
      <c r="G235">
        <f t="shared" ref="G235:G241" si="9">SUM(D235:F235)</f>
        <v>2.1052626100000023</v>
      </c>
      <c r="H235">
        <f t="shared" ref="H235:H241" si="10">D235+E235</f>
        <v>-11.336032889999998</v>
      </c>
    </row>
    <row r="236" spans="2:8">
      <c r="C236" s="141" t="s">
        <v>2990</v>
      </c>
      <c r="D236" s="141">
        <v>-17.08502</v>
      </c>
      <c r="E236" s="141">
        <v>3.7246963599999998</v>
      </c>
      <c r="F236" s="141">
        <v>13.1983806</v>
      </c>
      <c r="G236">
        <f t="shared" si="9"/>
        <v>-0.16194304000000059</v>
      </c>
      <c r="H236">
        <f t="shared" si="10"/>
        <v>-13.360323640000001</v>
      </c>
    </row>
    <row r="237" spans="2:8">
      <c r="C237" s="141" t="s">
        <v>2991</v>
      </c>
      <c r="D237" s="141">
        <v>-12.064776999999999</v>
      </c>
      <c r="E237" s="141">
        <v>1.94331984</v>
      </c>
      <c r="F237" s="141">
        <v>8.6639676100000003</v>
      </c>
      <c r="G237">
        <f t="shared" si="9"/>
        <v>-1.4574895499999982</v>
      </c>
      <c r="H237">
        <f t="shared" si="10"/>
        <v>-10.121457159999999</v>
      </c>
    </row>
    <row r="238" spans="2:8">
      <c r="C238" s="141" t="s">
        <v>2992</v>
      </c>
      <c r="D238" s="141">
        <v>-18.704453000000001</v>
      </c>
      <c r="E238" s="141">
        <v>2.26720648</v>
      </c>
      <c r="F238" s="141">
        <v>12.145749</v>
      </c>
      <c r="G238">
        <f t="shared" si="9"/>
        <v>-4.2914975200000018</v>
      </c>
      <c r="H238">
        <f t="shared" si="10"/>
        <v>-16.437246520000002</v>
      </c>
    </row>
    <row r="239" spans="2:8">
      <c r="C239" s="141" t="s">
        <v>2993</v>
      </c>
      <c r="D239" s="141">
        <v>-5.3441295999999996</v>
      </c>
      <c r="E239" s="141">
        <v>-0.72874490000000003</v>
      </c>
      <c r="F239" s="141">
        <v>5.4251012100000002</v>
      </c>
      <c r="G239">
        <f t="shared" si="9"/>
        <v>-0.64777328999999906</v>
      </c>
      <c r="H239">
        <f t="shared" si="10"/>
        <v>-6.0728744999999993</v>
      </c>
    </row>
    <row r="240" spans="2:8">
      <c r="C240" s="141" t="s">
        <v>2994</v>
      </c>
      <c r="D240" s="141">
        <v>0</v>
      </c>
      <c r="E240" s="141">
        <v>-1.0526316</v>
      </c>
      <c r="F240" s="141">
        <v>1.6194332</v>
      </c>
      <c r="G240">
        <f t="shared" si="9"/>
        <v>0.56680160000000002</v>
      </c>
      <c r="H240">
        <f t="shared" si="10"/>
        <v>-1.0526316</v>
      </c>
    </row>
    <row r="241" spans="2:8">
      <c r="C241" s="141" t="s">
        <v>2995</v>
      </c>
      <c r="D241" s="141">
        <v>-0.32388660000000002</v>
      </c>
      <c r="E241" s="141">
        <v>0.32388664</v>
      </c>
      <c r="F241" s="141">
        <v>4.1295546600000002</v>
      </c>
      <c r="G241">
        <f t="shared" si="9"/>
        <v>4.1295546999999999</v>
      </c>
      <c r="H241">
        <f t="shared" si="10"/>
        <v>3.9999999978945766E-8</v>
      </c>
    </row>
    <row r="242" spans="2:8">
      <c r="C242" s="163" t="s">
        <v>2996</v>
      </c>
      <c r="D242" s="143">
        <f>SUM(D235:D241)*5</f>
        <v>-357.48987599999998</v>
      </c>
      <c r="E242" s="143">
        <f t="shared" si="8"/>
        <v>65.587044649999996</v>
      </c>
      <c r="F242" s="143">
        <f t="shared" ref="F242:H275" si="11">SUM(F235:F241)*5</f>
        <v>293.11740890000004</v>
      </c>
      <c r="G242" s="143">
        <f t="shared" si="11"/>
        <v>1.2145775500000111</v>
      </c>
      <c r="H242" s="143">
        <f t="shared" si="11"/>
        <v>-291.90283134999993</v>
      </c>
    </row>
    <row r="244" spans="2:8">
      <c r="B244" t="s">
        <v>426</v>
      </c>
      <c r="C244" s="141" t="s">
        <v>3003</v>
      </c>
      <c r="D244" t="s">
        <v>3004</v>
      </c>
    </row>
    <row r="245" spans="2:8">
      <c r="D245" t="s">
        <v>3005</v>
      </c>
      <c r="E245" t="s">
        <v>3006</v>
      </c>
      <c r="F245" t="s">
        <v>3007</v>
      </c>
      <c r="G245" s="141" t="s">
        <v>3001</v>
      </c>
      <c r="H245" s="141" t="s">
        <v>3002</v>
      </c>
    </row>
    <row r="246" spans="2:8">
      <c r="C246" s="141" t="s">
        <v>2989</v>
      </c>
      <c r="D246">
        <v>24.693140794223801</v>
      </c>
      <c r="E246">
        <v>-7.6895306859205599</v>
      </c>
      <c r="F246">
        <v>-16.462093862815799</v>
      </c>
      <c r="G246">
        <f t="shared" ref="G246:G252" si="12">SUM(D246:F246)</f>
        <v>0.54151624548744337</v>
      </c>
      <c r="H246">
        <f t="shared" ref="H246:H252" si="13">D246+E246</f>
        <v>17.003610108303242</v>
      </c>
    </row>
    <row r="247" spans="2:8">
      <c r="C247" s="141" t="s">
        <v>2990</v>
      </c>
      <c r="D247">
        <v>23.826714801443998</v>
      </c>
      <c r="E247">
        <v>-4.0072202166064903</v>
      </c>
      <c r="F247">
        <v>-12.8880866425992</v>
      </c>
      <c r="G247">
        <f t="shared" si="12"/>
        <v>6.931407942238307</v>
      </c>
      <c r="H247">
        <f t="shared" si="13"/>
        <v>19.819494584837507</v>
      </c>
    </row>
    <row r="248" spans="2:8">
      <c r="C248" s="141" t="s">
        <v>2991</v>
      </c>
      <c r="D248">
        <v>25.667870036101</v>
      </c>
      <c r="E248">
        <v>-3.35740072202164</v>
      </c>
      <c r="F248">
        <v>-15.270758122743599</v>
      </c>
      <c r="G248">
        <f t="shared" si="12"/>
        <v>7.0397111913357602</v>
      </c>
      <c r="H248">
        <f t="shared" si="13"/>
        <v>22.310469314079359</v>
      </c>
    </row>
    <row r="249" spans="2:8">
      <c r="C249" s="141" t="s">
        <v>2992</v>
      </c>
      <c r="D249">
        <v>11.588447653429601</v>
      </c>
      <c r="E249">
        <v>-0.54151624548733002</v>
      </c>
      <c r="F249">
        <v>-8.5559566787003192</v>
      </c>
      <c r="G249">
        <f t="shared" si="12"/>
        <v>2.4909747292419517</v>
      </c>
      <c r="H249">
        <f t="shared" si="13"/>
        <v>11.046931407942271</v>
      </c>
    </row>
    <row r="250" spans="2:8">
      <c r="C250" s="141" t="s">
        <v>2993</v>
      </c>
      <c r="D250">
        <v>13.6462093862815</v>
      </c>
      <c r="E250">
        <v>0.21660649819495001</v>
      </c>
      <c r="F250">
        <v>-7.9061371841155097</v>
      </c>
      <c r="G250">
        <f t="shared" si="12"/>
        <v>5.9566787003609409</v>
      </c>
      <c r="H250">
        <f t="shared" si="13"/>
        <v>13.862815884476451</v>
      </c>
    </row>
    <row r="251" spans="2:8">
      <c r="C251" s="141" t="s">
        <v>2994</v>
      </c>
      <c r="D251">
        <v>0.649819494584852</v>
      </c>
      <c r="E251">
        <v>2.59927797833936</v>
      </c>
      <c r="F251">
        <v>0</v>
      </c>
      <c r="G251">
        <f t="shared" si="12"/>
        <v>3.2490974729242121</v>
      </c>
      <c r="H251">
        <f t="shared" si="13"/>
        <v>3.2490974729242121</v>
      </c>
    </row>
    <row r="252" spans="2:8">
      <c r="C252" s="141" t="s">
        <v>2995</v>
      </c>
      <c r="D252">
        <v>-2.5992779783393098</v>
      </c>
      <c r="E252">
        <v>2.16606498194946</v>
      </c>
      <c r="F252">
        <v>1.40794223826717</v>
      </c>
      <c r="G252">
        <f t="shared" si="12"/>
        <v>0.97472924187732013</v>
      </c>
      <c r="H252">
        <f t="shared" si="13"/>
        <v>-0.43321299638984989</v>
      </c>
    </row>
    <row r="253" spans="2:8">
      <c r="C253" s="163" t="s">
        <v>2996</v>
      </c>
      <c r="D253" s="143">
        <f>SUM(D246:D252)*5</f>
        <v>487.36462093862713</v>
      </c>
      <c r="E253" s="143">
        <f t="shared" si="8"/>
        <v>-53.068592057761244</v>
      </c>
      <c r="F253" s="143">
        <f t="shared" si="11"/>
        <v>-298.37545126353626</v>
      </c>
      <c r="G253" s="143">
        <f t="shared" si="11"/>
        <v>135.92057761732968</v>
      </c>
      <c r="H253" s="143">
        <f t="shared" si="11"/>
        <v>434.29602888086583</v>
      </c>
    </row>
    <row r="255" spans="2:8">
      <c r="B255" t="s">
        <v>429</v>
      </c>
      <c r="C255" t="s">
        <v>3008</v>
      </c>
      <c r="D255" t="s">
        <v>3004</v>
      </c>
    </row>
    <row r="256" spans="2:8">
      <c r="D256" t="s">
        <v>3009</v>
      </c>
      <c r="E256" t="s">
        <v>3010</v>
      </c>
      <c r="F256" t="s">
        <v>3011</v>
      </c>
      <c r="G256" s="141" t="s">
        <v>3001</v>
      </c>
      <c r="H256" s="141" t="s">
        <v>3002</v>
      </c>
    </row>
    <row r="257" spans="2:8">
      <c r="C257" s="141" t="s">
        <v>2989</v>
      </c>
      <c r="D257">
        <v>-2.6409266409266401</v>
      </c>
      <c r="E257">
        <v>1.3088803088803</v>
      </c>
      <c r="F257">
        <v>2.6061776061775999</v>
      </c>
      <c r="G257">
        <f t="shared" ref="G257:G263" si="14">SUM(D257:F257)</f>
        <v>1.2741312741312598</v>
      </c>
      <c r="H257">
        <f t="shared" ref="H257:H263" si="15">D257+E257</f>
        <v>-1.33204633204634</v>
      </c>
    </row>
    <row r="258" spans="2:8">
      <c r="C258" s="141" t="s">
        <v>2990</v>
      </c>
      <c r="D258">
        <v>-2.7104247104247099</v>
      </c>
      <c r="E258">
        <v>0.84555984555984498</v>
      </c>
      <c r="F258">
        <v>2.6525096525096501</v>
      </c>
      <c r="G258">
        <f t="shared" si="14"/>
        <v>0.78764478764478518</v>
      </c>
      <c r="H258">
        <f t="shared" si="15"/>
        <v>-1.8648648648648649</v>
      </c>
    </row>
    <row r="259" spans="2:8">
      <c r="C259" s="141" t="s">
        <v>2991</v>
      </c>
      <c r="D259">
        <v>-2.5945945945945899</v>
      </c>
      <c r="E259">
        <v>0.70656370656370604</v>
      </c>
      <c r="F259">
        <v>2.5482625482625401</v>
      </c>
      <c r="G259">
        <f t="shared" si="14"/>
        <v>0.66023166023165625</v>
      </c>
      <c r="H259">
        <f t="shared" si="15"/>
        <v>-1.8880308880308838</v>
      </c>
    </row>
    <row r="260" spans="2:8">
      <c r="C260" s="141" t="s">
        <v>2992</v>
      </c>
      <c r="D260">
        <v>-2.9420849420849402</v>
      </c>
      <c r="E260">
        <v>0.63706563706563601</v>
      </c>
      <c r="F260">
        <v>2.6177606177606099</v>
      </c>
      <c r="G260">
        <f t="shared" si="14"/>
        <v>0.31274131274130568</v>
      </c>
      <c r="H260">
        <f t="shared" si="15"/>
        <v>-2.3050193050193042</v>
      </c>
    </row>
    <row r="261" spans="2:8">
      <c r="C261" s="141" t="s">
        <v>2993</v>
      </c>
      <c r="D261">
        <v>-2.4440154440154398</v>
      </c>
      <c r="E261">
        <v>0.49806949806949802</v>
      </c>
      <c r="F261">
        <v>2.5366795366795301</v>
      </c>
      <c r="G261">
        <f t="shared" si="14"/>
        <v>0.59073359073358822</v>
      </c>
      <c r="H261">
        <f t="shared" si="15"/>
        <v>-1.9459459459459418</v>
      </c>
    </row>
    <row r="262" spans="2:8">
      <c r="C262" s="141" t="s">
        <v>2994</v>
      </c>
      <c r="D262">
        <v>-2.37451737451737</v>
      </c>
      <c r="E262">
        <v>0.451737451737451</v>
      </c>
      <c r="F262">
        <v>2.4555984555984498</v>
      </c>
      <c r="G262">
        <f t="shared" si="14"/>
        <v>0.53281853281853087</v>
      </c>
      <c r="H262">
        <f t="shared" si="15"/>
        <v>-1.9227799227799189</v>
      </c>
    </row>
    <row r="263" spans="2:8">
      <c r="C263" s="141" t="s">
        <v>2995</v>
      </c>
      <c r="D263">
        <v>-2.7799227799227801</v>
      </c>
      <c r="E263">
        <v>0.48648648648648601</v>
      </c>
      <c r="F263">
        <v>2.6293436293436199</v>
      </c>
      <c r="G263">
        <f t="shared" si="14"/>
        <v>0.33590733590732569</v>
      </c>
      <c r="H263">
        <f t="shared" si="15"/>
        <v>-2.2934362934362942</v>
      </c>
    </row>
    <row r="264" spans="2:8">
      <c r="C264" s="163" t="s">
        <v>2996</v>
      </c>
      <c r="D264" s="143">
        <f>SUM(D257:D263)*5</f>
        <v>-92.43243243243235</v>
      </c>
      <c r="E264" s="143">
        <f t="shared" si="8"/>
        <v>24.671814671814612</v>
      </c>
      <c r="F264" s="143">
        <f t="shared" si="11"/>
        <v>90.231660231660001</v>
      </c>
      <c r="G264" s="143">
        <f t="shared" si="11"/>
        <v>22.47104247104226</v>
      </c>
      <c r="H264" s="143">
        <f t="shared" si="11"/>
        <v>-67.760617760617734</v>
      </c>
    </row>
    <row r="266" spans="2:8">
      <c r="B266" t="s">
        <v>786</v>
      </c>
      <c r="C266" t="s">
        <v>3012</v>
      </c>
      <c r="D266" t="s">
        <v>3004</v>
      </c>
    </row>
    <row r="267" spans="2:8">
      <c r="D267" s="141" t="s">
        <v>3013</v>
      </c>
      <c r="E267" s="141" t="s">
        <v>3014</v>
      </c>
      <c r="F267" s="141" t="s">
        <v>3015</v>
      </c>
      <c r="G267" s="141" t="s">
        <v>3001</v>
      </c>
      <c r="H267" s="141" t="s">
        <v>3002</v>
      </c>
    </row>
    <row r="268" spans="2:8">
      <c r="C268" s="141" t="s">
        <v>2989</v>
      </c>
      <c r="D268" s="141">
        <v>-15.694981</v>
      </c>
      <c r="E268" s="141">
        <v>-10.783784000000001</v>
      </c>
      <c r="F268" s="141">
        <v>-9.1505791999999992</v>
      </c>
      <c r="G268">
        <f t="shared" ref="G268:G274" si="16">SUM(D268:F268)</f>
        <v>-35.629344200000006</v>
      </c>
      <c r="H268">
        <f t="shared" ref="H268:H274" si="17">D268+E268</f>
        <v>-26.478765000000003</v>
      </c>
    </row>
    <row r="269" spans="2:8">
      <c r="C269" s="141" t="s">
        <v>2990</v>
      </c>
      <c r="D269" s="141">
        <v>-15.752896</v>
      </c>
      <c r="E269" s="141">
        <v>-11.258687</v>
      </c>
      <c r="F269" s="141">
        <v>-9.0579151000000007</v>
      </c>
      <c r="G269">
        <f t="shared" si="16"/>
        <v>-36.069498100000004</v>
      </c>
      <c r="H269">
        <f t="shared" si="17"/>
        <v>-27.011583000000002</v>
      </c>
    </row>
    <row r="270" spans="2:8">
      <c r="C270" s="141" t="s">
        <v>2991</v>
      </c>
      <c r="D270" s="141">
        <v>-15.602316999999999</v>
      </c>
      <c r="E270" s="141">
        <v>-11.525097000000001</v>
      </c>
      <c r="F270" s="141">
        <v>-9.1969112000000006</v>
      </c>
      <c r="G270">
        <f t="shared" si="16"/>
        <v>-36.324325200000004</v>
      </c>
      <c r="H270">
        <f t="shared" si="17"/>
        <v>-27.127414000000002</v>
      </c>
    </row>
    <row r="271" spans="2:8">
      <c r="C271" s="141" t="s">
        <v>2992</v>
      </c>
      <c r="D271" s="141">
        <v>-15.857143000000001</v>
      </c>
      <c r="E271" s="141">
        <v>-11.606178</v>
      </c>
      <c r="F271" s="141">
        <v>-9.1158301000000002</v>
      </c>
      <c r="G271">
        <f t="shared" si="16"/>
        <v>-36.579151100000004</v>
      </c>
      <c r="H271">
        <f t="shared" si="17"/>
        <v>-27.463321000000001</v>
      </c>
    </row>
    <row r="272" spans="2:8">
      <c r="C272" s="141" t="s">
        <v>2993</v>
      </c>
      <c r="D272" s="141">
        <v>-15.46332</v>
      </c>
      <c r="E272" s="141">
        <v>-11.803089</v>
      </c>
      <c r="F272" s="141">
        <v>-9.2432432000000002</v>
      </c>
      <c r="G272">
        <f t="shared" si="16"/>
        <v>-36.509652199999998</v>
      </c>
      <c r="H272">
        <f t="shared" si="17"/>
        <v>-27.266408999999999</v>
      </c>
    </row>
    <row r="273" spans="1:20">
      <c r="C273" s="141" t="s">
        <v>2994</v>
      </c>
      <c r="D273" s="141">
        <v>-15.393822</v>
      </c>
      <c r="E273" s="141">
        <v>-11.837838</v>
      </c>
      <c r="F273" s="141">
        <v>-9.3127413000000008</v>
      </c>
      <c r="G273">
        <f t="shared" si="16"/>
        <v>-36.544401299999997</v>
      </c>
      <c r="H273">
        <f t="shared" si="17"/>
        <v>-27.231659999999998</v>
      </c>
    </row>
    <row r="274" spans="1:20">
      <c r="C274" s="141" t="s">
        <v>2995</v>
      </c>
      <c r="D274" s="141">
        <v>-15.706564</v>
      </c>
      <c r="E274" s="141">
        <v>-11.814672</v>
      </c>
      <c r="F274" s="141">
        <v>-9.0810811000000005</v>
      </c>
      <c r="G274">
        <f t="shared" si="16"/>
        <v>-36.6023171</v>
      </c>
      <c r="H274">
        <f t="shared" si="17"/>
        <v>-27.521236000000002</v>
      </c>
    </row>
    <row r="275" spans="1:20">
      <c r="C275" s="163" t="s">
        <v>2996</v>
      </c>
      <c r="D275" s="143">
        <f>SUM(D268:D274)*5</f>
        <v>-547.35521499999993</v>
      </c>
      <c r="E275" s="143">
        <f t="shared" si="8"/>
        <v>-403.146725</v>
      </c>
      <c r="F275" s="143">
        <f t="shared" si="11"/>
        <v>-320.79150599999997</v>
      </c>
      <c r="G275" s="143">
        <f t="shared" si="11"/>
        <v>-1271.2934460000001</v>
      </c>
      <c r="H275" s="143">
        <f t="shared" si="11"/>
        <v>-950.5019400000001</v>
      </c>
    </row>
    <row r="277" spans="1:20">
      <c r="A277" t="s">
        <v>3016</v>
      </c>
      <c r="G277" t="s">
        <v>1757</v>
      </c>
      <c r="H277" t="s">
        <v>3017</v>
      </c>
      <c r="I277" t="s">
        <v>1750</v>
      </c>
      <c r="J277" t="s">
        <v>3018</v>
      </c>
      <c r="K277" t="s">
        <v>1759</v>
      </c>
    </row>
    <row r="278" spans="1:20">
      <c r="A278" t="s">
        <v>3019</v>
      </c>
      <c r="C278" s="331" t="s">
        <v>3020</v>
      </c>
      <c r="D278" s="331"/>
      <c r="E278" s="331"/>
      <c r="F278" s="179">
        <v>2015</v>
      </c>
      <c r="G278" s="152">
        <v>36735840909.090897</v>
      </c>
      <c r="H278" s="152">
        <v>36735840909.090897</v>
      </c>
      <c r="I278" s="152">
        <v>36735840909.090897</v>
      </c>
      <c r="J278" s="152">
        <v>36735840909.090897</v>
      </c>
      <c r="K278" s="152">
        <v>36735840909.090897</v>
      </c>
    </row>
    <row r="279" spans="1:20">
      <c r="C279" s="331"/>
      <c r="D279" s="331"/>
      <c r="E279" s="331"/>
      <c r="F279" s="248">
        <v>2040</v>
      </c>
      <c r="G279" s="249">
        <v>39275000000</v>
      </c>
      <c r="H279" s="249">
        <v>39796522727.272705</v>
      </c>
      <c r="I279" s="249">
        <v>40035181818.181801</v>
      </c>
      <c r="J279" s="249">
        <v>39272306818.181801</v>
      </c>
      <c r="K279" s="249">
        <v>39129772727.272705</v>
      </c>
    </row>
    <row r="280" spans="1:20">
      <c r="C280" s="331"/>
      <c r="D280" s="331"/>
      <c r="E280" s="331"/>
      <c r="F280" s="179">
        <v>2050.16129032258</v>
      </c>
      <c r="G280" s="152">
        <v>39589931818.181793</v>
      </c>
      <c r="H280" s="152">
        <v>40141454545.454498</v>
      </c>
      <c r="I280" s="152">
        <v>40471704545.454498</v>
      </c>
      <c r="J280" s="152">
        <v>39582340909.090904</v>
      </c>
      <c r="K280" s="152">
        <v>39324090909.090897</v>
      </c>
    </row>
    <row r="281" spans="1:20">
      <c r="C281" s="331"/>
      <c r="D281" s="331"/>
      <c r="E281" s="331"/>
      <c r="F281" s="248">
        <v>2060</v>
      </c>
      <c r="G281" s="249">
        <v>39472863636.363602</v>
      </c>
      <c r="H281" s="249">
        <v>39851363636.363602</v>
      </c>
      <c r="I281" s="249">
        <v>40260227272.727196</v>
      </c>
      <c r="J281" s="249">
        <v>39295431818.181801</v>
      </c>
      <c r="K281" s="249">
        <v>39128409090.909004</v>
      </c>
    </row>
    <row r="282" spans="1:20">
      <c r="C282" t="s">
        <v>3021</v>
      </c>
      <c r="G282" s="152">
        <f>G278*25+G279*10+G280*10+G281*10</f>
        <v>2101773977272.7263</v>
      </c>
      <c r="H282" s="152">
        <f t="shared" ref="H282:K282" si="18">H278*25+H279*10+H280*10+H281*10</f>
        <v>2116289431818.1804</v>
      </c>
      <c r="I282" s="152">
        <f t="shared" si="18"/>
        <v>2126067159090.9072</v>
      </c>
      <c r="J282" s="152">
        <f t="shared" si="18"/>
        <v>2099896818181.8174</v>
      </c>
      <c r="K282" s="152">
        <f t="shared" si="18"/>
        <v>2094218749999.9985</v>
      </c>
    </row>
    <row r="283" spans="1:20">
      <c r="G283" s="152"/>
      <c r="H283" s="152"/>
      <c r="I283" s="152"/>
      <c r="J283" s="152"/>
      <c r="K283" s="152"/>
    </row>
    <row r="285" spans="1:20">
      <c r="A285" t="s">
        <v>3022</v>
      </c>
      <c r="B285" t="s">
        <v>3023</v>
      </c>
    </row>
    <row r="286" spans="1:20">
      <c r="B286" s="141"/>
      <c r="C286" s="141"/>
      <c r="D286" s="141" t="s">
        <v>1214</v>
      </c>
      <c r="E286" s="141">
        <v>0</v>
      </c>
      <c r="F286" s="141">
        <v>1</v>
      </c>
      <c r="G286" s="141">
        <v>2</v>
      </c>
      <c r="H286" s="141">
        <v>3</v>
      </c>
      <c r="I286" s="141">
        <v>4</v>
      </c>
      <c r="J286" s="141"/>
      <c r="K286" s="141"/>
      <c r="L286" s="141"/>
      <c r="M286" s="141"/>
      <c r="N286" s="141"/>
      <c r="O286" s="141"/>
      <c r="P286" s="141"/>
      <c r="Q286" s="141"/>
      <c r="R286" s="141"/>
      <c r="S286" s="141"/>
      <c r="T286" s="141"/>
    </row>
    <row r="287" spans="1:20">
      <c r="B287" s="217" t="s">
        <v>2613</v>
      </c>
      <c r="C287" s="141"/>
      <c r="D287" s="141"/>
      <c r="E287" s="141">
        <v>80.851060000000004</v>
      </c>
      <c r="F287" s="141">
        <v>68.510639999999995</v>
      </c>
      <c r="G287" s="141">
        <v>96.170209999999997</v>
      </c>
      <c r="H287" s="141">
        <v>78.723399999999998</v>
      </c>
      <c r="I287" s="141">
        <v>72.765960000000007</v>
      </c>
      <c r="J287" s="141"/>
      <c r="K287" s="141"/>
      <c r="L287" s="141"/>
      <c r="N287" s="141"/>
      <c r="O287" s="141"/>
      <c r="P287" s="141"/>
      <c r="Q287" s="141"/>
      <c r="R287" s="141"/>
      <c r="S287" s="141"/>
      <c r="T287" s="141"/>
    </row>
    <row r="288" spans="1:20">
      <c r="B288" s="141"/>
      <c r="C288" s="141"/>
      <c r="D288" s="141"/>
      <c r="E288" s="141">
        <v>83.404259999999994</v>
      </c>
      <c r="F288" s="141">
        <v>70.638300000000001</v>
      </c>
      <c r="G288" s="141">
        <v>94.468090000000004</v>
      </c>
      <c r="H288" s="141">
        <v>80.425529999999995</v>
      </c>
      <c r="I288" s="141">
        <v>74.468090000000004</v>
      </c>
      <c r="J288" s="141"/>
      <c r="K288" s="141"/>
      <c r="L288" s="141"/>
      <c r="M288" s="141"/>
      <c r="N288" s="141"/>
      <c r="O288" s="141"/>
      <c r="P288" s="141"/>
      <c r="Q288" s="141"/>
      <c r="R288" s="141"/>
      <c r="S288" s="141"/>
      <c r="T288" s="141"/>
    </row>
    <row r="289" spans="2:20">
      <c r="B289" s="141"/>
      <c r="C289" s="141"/>
      <c r="D289" s="141"/>
      <c r="E289" s="141">
        <v>79.148939999999996</v>
      </c>
      <c r="F289" s="141">
        <v>70.638300000000001</v>
      </c>
      <c r="G289" s="141">
        <v>93.617019999999997</v>
      </c>
      <c r="H289" s="141">
        <v>76.595740000000006</v>
      </c>
      <c r="I289" s="141">
        <v>71.489360000000005</v>
      </c>
      <c r="J289" s="141"/>
      <c r="K289" s="141"/>
      <c r="L289" s="141"/>
      <c r="M289" s="141"/>
      <c r="N289" s="141"/>
      <c r="O289" s="141"/>
      <c r="P289" s="141"/>
      <c r="Q289" s="141"/>
      <c r="R289" s="141"/>
      <c r="S289" s="141"/>
      <c r="T289" s="141"/>
    </row>
    <row r="290" spans="2:20">
      <c r="B290" s="141"/>
      <c r="C290" s="141"/>
      <c r="D290" s="141"/>
      <c r="E290" s="141">
        <v>81.702129999999997</v>
      </c>
      <c r="F290" s="141">
        <v>70.638300000000001</v>
      </c>
      <c r="G290" s="141">
        <v>89.361699999999999</v>
      </c>
      <c r="H290" s="141">
        <v>79.574470000000005</v>
      </c>
      <c r="I290" s="141">
        <v>73.617019999999997</v>
      </c>
      <c r="J290" s="141"/>
      <c r="K290" s="141"/>
      <c r="L290" s="141"/>
      <c r="M290" s="141"/>
      <c r="N290" s="141"/>
      <c r="O290" s="141"/>
      <c r="P290" s="141"/>
      <c r="Q290" s="141"/>
      <c r="R290" s="141"/>
      <c r="S290" s="141"/>
      <c r="T290" s="141"/>
    </row>
    <row r="291" spans="2:20">
      <c r="B291" s="141"/>
      <c r="C291" s="141"/>
      <c r="D291" s="141"/>
      <c r="E291" s="141">
        <v>78.297870000000003</v>
      </c>
      <c r="F291" s="141">
        <v>73.617019999999997</v>
      </c>
      <c r="G291" s="141">
        <v>85.957449999999994</v>
      </c>
      <c r="H291" s="141">
        <v>76.170209999999997</v>
      </c>
      <c r="I291" s="141">
        <v>70.638300000000001</v>
      </c>
      <c r="J291" s="141"/>
      <c r="K291" s="141"/>
      <c r="L291" s="141"/>
      <c r="M291" s="141"/>
      <c r="N291" s="141"/>
      <c r="O291" s="141"/>
      <c r="P291" s="141"/>
      <c r="Q291" s="141"/>
      <c r="R291" s="141"/>
      <c r="S291" s="141"/>
      <c r="T291" s="141"/>
    </row>
    <row r="292" spans="2:20">
      <c r="B292" s="141"/>
      <c r="C292" s="141"/>
      <c r="D292" s="141"/>
      <c r="E292" s="141">
        <v>75.744680000000002</v>
      </c>
      <c r="F292" s="141">
        <v>74.893619999999999</v>
      </c>
      <c r="G292" s="141">
        <v>76.595740000000006</v>
      </c>
      <c r="H292" s="141">
        <v>74.042550000000006</v>
      </c>
      <c r="I292" s="141">
        <v>68.936170000000004</v>
      </c>
      <c r="J292" s="141"/>
      <c r="K292" s="141"/>
      <c r="L292" s="141"/>
      <c r="M292" s="141"/>
      <c r="N292" s="141"/>
      <c r="O292" s="141"/>
      <c r="P292" s="141"/>
      <c r="Q292" s="141"/>
      <c r="R292" s="141"/>
      <c r="S292" s="141"/>
      <c r="T292" s="141"/>
    </row>
    <row r="293" spans="2:20">
      <c r="B293" s="141"/>
      <c r="C293" s="141"/>
      <c r="D293" s="141"/>
      <c r="E293" s="141">
        <v>82.553190000000001</v>
      </c>
      <c r="F293" s="141">
        <v>78.297870000000003</v>
      </c>
      <c r="G293" s="141">
        <v>80.851060000000004</v>
      </c>
      <c r="H293" s="141">
        <v>79.574470000000005</v>
      </c>
      <c r="I293" s="141">
        <v>73.617019999999997</v>
      </c>
      <c r="J293" s="141"/>
      <c r="K293" s="141"/>
      <c r="L293" s="141"/>
      <c r="M293" s="141"/>
      <c r="N293" s="141"/>
      <c r="O293" s="141"/>
      <c r="P293" s="141"/>
      <c r="Q293" s="141"/>
      <c r="R293" s="141"/>
      <c r="S293" s="141"/>
      <c r="T293" s="141"/>
    </row>
    <row r="294" spans="2:20">
      <c r="B294" s="141"/>
      <c r="C294" s="141"/>
      <c r="D294" s="141" t="s">
        <v>2614</v>
      </c>
      <c r="E294" s="163">
        <v>80.243160000000003</v>
      </c>
      <c r="F294" s="163">
        <v>72.462010000000006</v>
      </c>
      <c r="G294" s="163">
        <v>88.145899999999997</v>
      </c>
      <c r="H294" s="163">
        <v>77.872339999999994</v>
      </c>
      <c r="I294" s="163">
        <v>72.21884</v>
      </c>
      <c r="J294" s="141"/>
      <c r="K294" s="141"/>
      <c r="L294" s="141"/>
      <c r="M294" s="141"/>
      <c r="N294" s="141"/>
      <c r="O294" s="141"/>
      <c r="P294" s="141"/>
      <c r="Q294" s="141"/>
      <c r="R294" s="141"/>
      <c r="S294" s="141"/>
      <c r="T294" s="141"/>
    </row>
    <row r="295" spans="2:20">
      <c r="B295" s="141"/>
      <c r="C295" s="141"/>
      <c r="D295" s="141" t="s">
        <v>3024</v>
      </c>
      <c r="E295" s="141">
        <v>2808.511</v>
      </c>
      <c r="F295" s="141">
        <v>2536.17</v>
      </c>
      <c r="G295" s="141">
        <v>3085.1060000000002</v>
      </c>
      <c r="H295" s="141">
        <v>2725.5320000000002</v>
      </c>
      <c r="I295" s="141">
        <v>2527.66</v>
      </c>
      <c r="J295" s="141"/>
      <c r="K295" s="141"/>
      <c r="L295" s="141"/>
      <c r="M295" s="141"/>
      <c r="N295" s="141"/>
      <c r="O295" s="141"/>
      <c r="P295" s="141"/>
      <c r="Q295" s="141"/>
      <c r="R295" s="141"/>
      <c r="S295" s="141"/>
      <c r="T295" s="141"/>
    </row>
    <row r="296" spans="2:20">
      <c r="B296" s="141"/>
      <c r="C296" s="141"/>
      <c r="D296" s="141"/>
      <c r="E296" s="141" t="s">
        <v>2615</v>
      </c>
      <c r="F296" s="141">
        <v>1</v>
      </c>
      <c r="G296" s="141">
        <v>2</v>
      </c>
      <c r="H296" s="141">
        <v>3</v>
      </c>
      <c r="I296" s="141">
        <v>4</v>
      </c>
      <c r="J296" s="141"/>
      <c r="K296" s="141"/>
      <c r="L296" s="141"/>
      <c r="M296" s="141"/>
      <c r="N296" s="141"/>
      <c r="O296" s="141"/>
      <c r="P296" s="141"/>
      <c r="Q296" s="141"/>
      <c r="R296" s="141"/>
      <c r="S296" s="141"/>
      <c r="T296" s="141"/>
    </row>
    <row r="297" spans="2:20">
      <c r="B297" s="141"/>
      <c r="C297" s="141"/>
      <c r="D297" s="141" t="s">
        <v>1335</v>
      </c>
      <c r="E297" s="141"/>
      <c r="F297" s="218" t="s">
        <v>701</v>
      </c>
      <c r="G297" s="141" t="s">
        <v>426</v>
      </c>
      <c r="H297" s="218" t="s">
        <v>2619</v>
      </c>
      <c r="I297" s="218" t="s">
        <v>2618</v>
      </c>
      <c r="J297" s="141"/>
      <c r="K297" s="141"/>
      <c r="L297" s="141"/>
      <c r="M297" s="141"/>
      <c r="N297" s="141"/>
      <c r="O297" s="141"/>
      <c r="P297" s="141"/>
      <c r="Q297" s="141"/>
      <c r="R297" s="141"/>
      <c r="S297" s="141"/>
      <c r="T297" s="141"/>
    </row>
    <row r="298" spans="2:20">
      <c r="B298" s="141"/>
      <c r="C298" s="141"/>
      <c r="D298" s="217" t="s">
        <v>2621</v>
      </c>
      <c r="E298" s="141" t="s">
        <v>2989</v>
      </c>
      <c r="F298" s="219">
        <v>-17.840900000000001</v>
      </c>
      <c r="G298" s="219">
        <v>24.49541</v>
      </c>
      <c r="H298" s="219">
        <v>-2.5858599999999998</v>
      </c>
      <c r="I298" s="220">
        <v>-8.9655199999999997</v>
      </c>
      <c r="J298" s="141"/>
      <c r="K298" s="141"/>
      <c r="L298" s="141"/>
      <c r="M298" s="141"/>
      <c r="N298" s="141"/>
      <c r="O298" s="141"/>
      <c r="P298" s="141"/>
      <c r="Q298" s="141"/>
      <c r="R298" s="141"/>
      <c r="S298" s="141"/>
      <c r="T298" s="141"/>
    </row>
    <row r="299" spans="2:20">
      <c r="B299" s="141"/>
      <c r="C299" s="141"/>
      <c r="D299" s="141"/>
      <c r="E299" s="141" t="s">
        <v>2990</v>
      </c>
      <c r="F299" s="219">
        <v>-16.818200000000001</v>
      </c>
      <c r="G299" s="219">
        <v>23.57798</v>
      </c>
      <c r="H299" s="219">
        <v>-2.6565699999999999</v>
      </c>
      <c r="I299" s="220">
        <v>-8.9655199999999997</v>
      </c>
      <c r="J299" s="141"/>
      <c r="K299" s="141"/>
      <c r="L299" s="141"/>
      <c r="M299" s="141"/>
      <c r="N299" s="141"/>
      <c r="O299" s="141"/>
      <c r="P299" s="141"/>
      <c r="Q299" s="141"/>
      <c r="R299" s="141"/>
      <c r="S299" s="141"/>
      <c r="T299" s="141"/>
    </row>
    <row r="300" spans="2:20">
      <c r="B300" s="141"/>
      <c r="C300" s="141"/>
      <c r="D300" s="141"/>
      <c r="E300" s="141" t="s">
        <v>2991</v>
      </c>
      <c r="F300" s="219">
        <v>-12.045500000000001</v>
      </c>
      <c r="G300" s="219">
        <v>25.412839999999999</v>
      </c>
      <c r="H300" s="219">
        <v>-2.5151500000000002</v>
      </c>
      <c r="I300" s="220">
        <v>-8.5862099999999995</v>
      </c>
      <c r="J300" s="141"/>
      <c r="K300" s="141"/>
      <c r="L300" s="141"/>
      <c r="M300" s="141"/>
      <c r="N300" s="141"/>
      <c r="O300" s="141"/>
      <c r="P300" s="141"/>
      <c r="Q300" s="141"/>
      <c r="R300" s="141"/>
      <c r="S300" s="141"/>
      <c r="T300" s="141"/>
    </row>
    <row r="301" spans="2:20">
      <c r="B301" s="141"/>
      <c r="C301" s="141"/>
      <c r="D301" s="141"/>
      <c r="E301" s="141" t="s">
        <v>2992</v>
      </c>
      <c r="F301" s="219">
        <v>-18.5227</v>
      </c>
      <c r="G301" s="219">
        <v>11.65138</v>
      </c>
      <c r="H301" s="219">
        <v>-2.9393899999999999</v>
      </c>
      <c r="I301" s="220">
        <v>-9.34483</v>
      </c>
      <c r="J301" s="141"/>
      <c r="K301" s="141"/>
      <c r="L301" s="141"/>
      <c r="M301" s="141"/>
      <c r="N301" s="141"/>
      <c r="O301" s="141"/>
      <c r="P301" s="141"/>
      <c r="Q301" s="141"/>
      <c r="R301" s="141"/>
      <c r="S301" s="141"/>
      <c r="T301" s="141"/>
    </row>
    <row r="302" spans="2:20">
      <c r="B302" s="141"/>
      <c r="C302" s="141"/>
      <c r="D302" s="141"/>
      <c r="E302" s="141" t="s">
        <v>2993</v>
      </c>
      <c r="F302" s="219">
        <v>-5.2272699999999999</v>
      </c>
      <c r="G302" s="219">
        <v>13.48624</v>
      </c>
      <c r="H302" s="219">
        <v>-2.5151500000000002</v>
      </c>
      <c r="I302" s="220">
        <v>-8.2068999999999992</v>
      </c>
      <c r="J302" s="141"/>
      <c r="K302" s="141"/>
      <c r="L302" s="141"/>
      <c r="M302" s="141"/>
      <c r="N302" s="141"/>
      <c r="O302" s="141"/>
      <c r="P302" s="141"/>
      <c r="Q302" s="141"/>
      <c r="R302" s="141"/>
      <c r="S302" s="141"/>
      <c r="T302" s="141"/>
    </row>
    <row r="303" spans="2:20">
      <c r="B303" s="141"/>
      <c r="C303" s="141"/>
      <c r="D303" s="141"/>
      <c r="E303" s="141" t="s">
        <v>2994</v>
      </c>
      <c r="F303" s="219">
        <v>0.227273</v>
      </c>
      <c r="G303" s="219">
        <v>1.1009169999999999</v>
      </c>
      <c r="H303" s="219">
        <v>-2.3737400000000002</v>
      </c>
      <c r="I303" s="220">
        <v>-8.0172399999999993</v>
      </c>
      <c r="J303" s="141"/>
      <c r="K303" s="141"/>
      <c r="L303" s="141"/>
      <c r="M303" s="141"/>
      <c r="N303" s="141"/>
      <c r="O303" s="141"/>
      <c r="P303" s="141"/>
      <c r="Q303" s="141"/>
      <c r="R303" s="141"/>
      <c r="S303" s="141"/>
      <c r="T303" s="141"/>
    </row>
    <row r="304" spans="2:20">
      <c r="B304" s="141"/>
      <c r="C304" s="141"/>
      <c r="D304" s="141"/>
      <c r="E304" s="141" t="s">
        <v>2995</v>
      </c>
      <c r="F304" s="219">
        <v>-0.45455000000000001</v>
      </c>
      <c r="G304" s="219">
        <v>-2.11009</v>
      </c>
      <c r="H304" s="219">
        <v>-2.7979799999999999</v>
      </c>
      <c r="I304" s="220">
        <v>-8.9655199999999997</v>
      </c>
      <c r="J304" s="141"/>
      <c r="K304" s="141"/>
      <c r="L304" s="141"/>
      <c r="M304" s="141"/>
      <c r="N304" s="141"/>
      <c r="O304" s="141"/>
      <c r="P304" s="141"/>
      <c r="Q304" s="141"/>
      <c r="R304" s="141"/>
      <c r="S304" s="141"/>
      <c r="T304" s="141"/>
    </row>
    <row r="305" spans="2:20">
      <c r="B305" s="141"/>
      <c r="C305" s="141"/>
      <c r="D305" s="217" t="s">
        <v>2614</v>
      </c>
      <c r="E305" s="141"/>
      <c r="F305" s="217">
        <v>-10.0974</v>
      </c>
      <c r="G305" s="217">
        <v>13.94495</v>
      </c>
      <c r="H305" s="217">
        <v>-2.6262599999999998</v>
      </c>
      <c r="I305" s="217">
        <v>-8.7216699999999996</v>
      </c>
      <c r="J305" s="141"/>
      <c r="K305" s="141"/>
      <c r="L305" s="141"/>
      <c r="M305" s="141"/>
      <c r="N305" s="141"/>
      <c r="O305" s="141"/>
      <c r="P305" s="141"/>
      <c r="Q305" s="141"/>
      <c r="R305" s="141"/>
      <c r="S305" s="141"/>
      <c r="T305" s="141"/>
    </row>
    <row r="306" spans="2:20">
      <c r="B306" s="141"/>
      <c r="C306" s="141"/>
      <c r="D306" s="250" t="s">
        <v>3025</v>
      </c>
      <c r="E306" s="251"/>
      <c r="F306" s="251">
        <f>F305*30</f>
        <v>-302.92200000000003</v>
      </c>
      <c r="G306" s="251">
        <f t="shared" ref="G306:I336" si="19">G305*30</f>
        <v>418.3485</v>
      </c>
      <c r="H306" s="251">
        <f t="shared" si="19"/>
        <v>-78.78779999999999</v>
      </c>
      <c r="I306" s="251">
        <f t="shared" si="19"/>
        <v>-261.65010000000001</v>
      </c>
      <c r="J306" s="141"/>
      <c r="K306" s="141"/>
      <c r="L306" s="141"/>
      <c r="M306" s="141"/>
      <c r="N306" s="141"/>
      <c r="O306" s="141"/>
      <c r="P306" s="141"/>
      <c r="Q306" s="141"/>
      <c r="R306" s="141"/>
      <c r="S306" s="141"/>
      <c r="T306" s="141"/>
    </row>
    <row r="307" spans="2:20">
      <c r="B307" s="141"/>
      <c r="C307" s="141"/>
      <c r="D307" s="141"/>
      <c r="E307" s="141"/>
      <c r="F307" s="141"/>
      <c r="G307" s="141"/>
      <c r="H307" s="141"/>
      <c r="I307" s="141"/>
      <c r="J307" s="141"/>
      <c r="K307" s="141"/>
      <c r="L307" s="141"/>
      <c r="M307" s="141"/>
      <c r="N307" s="141" t="s">
        <v>2615</v>
      </c>
      <c r="O307" s="141">
        <v>1</v>
      </c>
      <c r="P307" s="141">
        <v>2</v>
      </c>
      <c r="Q307" s="141">
        <v>3</v>
      </c>
      <c r="R307" s="141">
        <v>4</v>
      </c>
      <c r="S307" s="141"/>
      <c r="T307" s="141"/>
    </row>
    <row r="308" spans="2:20">
      <c r="B308" s="141"/>
      <c r="C308" s="141"/>
      <c r="D308" s="217" t="s">
        <v>229</v>
      </c>
      <c r="E308" s="141" t="s">
        <v>2989</v>
      </c>
      <c r="F308" s="225">
        <v>7.0454549999999996</v>
      </c>
      <c r="G308" s="225">
        <v>-7.6146799999999999</v>
      </c>
      <c r="H308" s="141">
        <v>0.66666700000000001</v>
      </c>
      <c r="I308" s="252">
        <v>2.0344799999999998</v>
      </c>
      <c r="J308" s="151" t="s">
        <v>3026</v>
      </c>
      <c r="K308" s="151"/>
      <c r="L308" s="151"/>
      <c r="M308" s="217" t="s">
        <v>3027</v>
      </c>
      <c r="N308" s="141" t="s">
        <v>2989</v>
      </c>
      <c r="O308" s="141">
        <v>-10.795500000000001</v>
      </c>
      <c r="P308" s="141">
        <v>16.88073</v>
      </c>
      <c r="Q308" s="141">
        <v>-1.91919</v>
      </c>
      <c r="R308" s="141">
        <v>-6.9310299999999998</v>
      </c>
      <c r="S308" s="141"/>
      <c r="T308" s="141"/>
    </row>
    <row r="309" spans="2:20">
      <c r="B309" s="141"/>
      <c r="C309" s="141"/>
      <c r="D309" s="141"/>
      <c r="E309" s="141" t="s">
        <v>2990</v>
      </c>
      <c r="F309" s="225">
        <v>3.6363639999999999</v>
      </c>
      <c r="G309" s="225">
        <v>-3.94495</v>
      </c>
      <c r="H309" s="141">
        <v>0.45454499999999998</v>
      </c>
      <c r="I309" s="252">
        <v>1.65517</v>
      </c>
      <c r="J309" s="141"/>
      <c r="K309" s="141"/>
      <c r="L309" s="141"/>
      <c r="M309" s="141"/>
      <c r="N309" s="141" t="s">
        <v>2990</v>
      </c>
      <c r="O309" s="141">
        <v>-13.181800000000001</v>
      </c>
      <c r="P309" s="141">
        <v>19.633030000000002</v>
      </c>
      <c r="Q309" s="141">
        <v>-2.2020200000000001</v>
      </c>
      <c r="R309" s="141">
        <v>-7.3103400000000001</v>
      </c>
      <c r="S309" s="141"/>
      <c r="T309" s="141"/>
    </row>
    <row r="310" spans="2:20">
      <c r="B310" s="141"/>
      <c r="C310" s="141"/>
      <c r="D310" s="141"/>
      <c r="E310" s="141" t="s">
        <v>2991</v>
      </c>
      <c r="F310" s="225">
        <v>1.931818</v>
      </c>
      <c r="G310" s="225">
        <v>-3.48624</v>
      </c>
      <c r="H310" s="141">
        <v>0.45454499999999998</v>
      </c>
      <c r="I310" s="252">
        <v>1.65517</v>
      </c>
      <c r="J310" s="141"/>
      <c r="K310" s="141"/>
      <c r="L310" s="141"/>
      <c r="M310" s="141"/>
      <c r="N310" s="141" t="s">
        <v>2991</v>
      </c>
      <c r="O310" s="141">
        <v>-10.1136</v>
      </c>
      <c r="P310" s="141">
        <v>21.92661</v>
      </c>
      <c r="Q310" s="141">
        <v>-2.0606100000000001</v>
      </c>
      <c r="R310" s="141">
        <v>-6.9310299999999998</v>
      </c>
      <c r="S310" s="141"/>
      <c r="T310" s="141"/>
    </row>
    <row r="311" spans="2:20">
      <c r="B311" s="141"/>
      <c r="C311" s="141"/>
      <c r="D311" s="141"/>
      <c r="E311" s="141" t="s">
        <v>2992</v>
      </c>
      <c r="F311" s="225">
        <v>1.931818</v>
      </c>
      <c r="G311" s="225">
        <v>-0.73394000000000004</v>
      </c>
      <c r="H311" s="141">
        <v>0.45454499999999998</v>
      </c>
      <c r="I311" s="252">
        <v>1.65517</v>
      </c>
      <c r="J311" s="141"/>
      <c r="K311" s="141"/>
      <c r="L311" s="141"/>
      <c r="M311" s="141"/>
      <c r="N311" s="141" t="s">
        <v>2992</v>
      </c>
      <c r="O311" s="141">
        <v>-16.590900000000001</v>
      </c>
      <c r="P311" s="141">
        <v>10.91743</v>
      </c>
      <c r="Q311" s="141">
        <v>-2.4848499999999998</v>
      </c>
      <c r="R311" s="141">
        <v>-7.6896599999999999</v>
      </c>
      <c r="S311" s="141"/>
      <c r="T311" s="141"/>
    </row>
    <row r="312" spans="2:20">
      <c r="B312" s="141"/>
      <c r="C312" s="141"/>
      <c r="D312" s="141"/>
      <c r="E312" s="141" t="s">
        <v>2993</v>
      </c>
      <c r="F312" s="225">
        <v>-0.45455000000000001</v>
      </c>
      <c r="G312" s="225">
        <v>0.18348600000000001</v>
      </c>
      <c r="H312" s="141">
        <v>0.45454499999999998</v>
      </c>
      <c r="I312" s="252">
        <v>1.65517</v>
      </c>
      <c r="J312" s="141"/>
      <c r="K312" s="141"/>
      <c r="L312" s="141"/>
      <c r="M312" s="141"/>
      <c r="N312" s="141" t="s">
        <v>2993</v>
      </c>
      <c r="O312" s="141">
        <v>-5.6818200000000001</v>
      </c>
      <c r="P312" s="141">
        <v>13.66972</v>
      </c>
      <c r="Q312" s="141">
        <v>-2.0606100000000001</v>
      </c>
      <c r="R312" s="141">
        <v>-6.5517200000000004</v>
      </c>
      <c r="S312" s="141"/>
      <c r="T312" s="141"/>
    </row>
    <row r="313" spans="2:20">
      <c r="B313" s="141"/>
      <c r="C313" s="141"/>
      <c r="D313" s="141"/>
      <c r="E313" s="141" t="s">
        <v>2994</v>
      </c>
      <c r="F313" s="225">
        <v>-0.79544999999999999</v>
      </c>
      <c r="G313" s="225">
        <v>2.9357799999999998</v>
      </c>
      <c r="H313" s="141">
        <v>0.31313099999999999</v>
      </c>
      <c r="I313" s="252">
        <v>1.4655199999999999</v>
      </c>
      <c r="J313" s="141"/>
      <c r="K313" s="141"/>
      <c r="L313" s="141"/>
      <c r="M313" s="141"/>
      <c r="N313" s="141" t="s">
        <v>2994</v>
      </c>
      <c r="O313" s="141">
        <v>-0.56818000000000002</v>
      </c>
      <c r="P313" s="141">
        <v>4.0366970000000002</v>
      </c>
      <c r="Q313" s="141">
        <v>-2.0606100000000001</v>
      </c>
      <c r="R313" s="141">
        <v>-6.5517200000000004</v>
      </c>
      <c r="S313" s="141"/>
      <c r="T313" s="141"/>
    </row>
    <row r="314" spans="2:20">
      <c r="B314" s="141"/>
      <c r="C314" s="141"/>
      <c r="D314" s="141"/>
      <c r="E314" s="141" t="s">
        <v>2995</v>
      </c>
      <c r="F314" s="225">
        <v>0.56818199999999996</v>
      </c>
      <c r="G314" s="225">
        <v>2.0183490000000002</v>
      </c>
      <c r="H314" s="141">
        <v>0.52525299999999997</v>
      </c>
      <c r="I314" s="252">
        <v>1.4655199999999999</v>
      </c>
      <c r="J314" s="141"/>
      <c r="K314" s="141"/>
      <c r="L314" s="141"/>
      <c r="M314" s="141"/>
      <c r="N314" s="141" t="s">
        <v>2995</v>
      </c>
      <c r="O314" s="141">
        <v>0.113636</v>
      </c>
      <c r="P314" s="141">
        <v>-9.1740000000000002E-2</v>
      </c>
      <c r="Q314" s="141">
        <v>-2.2727300000000001</v>
      </c>
      <c r="R314" s="141">
        <v>-7.5</v>
      </c>
      <c r="S314" s="141"/>
      <c r="T314" s="141"/>
    </row>
    <row r="315" spans="2:20">
      <c r="B315" s="141"/>
      <c r="C315" s="141"/>
      <c r="D315" s="217" t="s">
        <v>2614</v>
      </c>
      <c r="E315" s="141"/>
      <c r="F315" s="217">
        <v>1.9805189999999999</v>
      </c>
      <c r="G315" s="217">
        <v>-1.5203100000000001</v>
      </c>
      <c r="H315" s="217">
        <v>0.47474699999999997</v>
      </c>
      <c r="I315" s="217">
        <v>1.6551720000000001</v>
      </c>
      <c r="J315" s="141"/>
      <c r="K315" s="141"/>
      <c r="L315" s="141"/>
      <c r="M315" s="217" t="s">
        <v>2614</v>
      </c>
      <c r="N315" s="217"/>
      <c r="O315" s="217">
        <v>-8.1168800000000001</v>
      </c>
      <c r="P315" s="217">
        <v>12.42464</v>
      </c>
      <c r="Q315" s="217">
        <v>-2.1515200000000001</v>
      </c>
      <c r="R315" s="217">
        <v>-7.0664999999999996</v>
      </c>
      <c r="S315" s="141"/>
      <c r="T315" s="141"/>
    </row>
    <row r="316" spans="2:20">
      <c r="B316" s="141"/>
      <c r="C316" s="141"/>
      <c r="D316" s="141" t="s">
        <v>3025</v>
      </c>
      <c r="E316" s="141"/>
      <c r="F316" s="141">
        <v>59.415579999999999</v>
      </c>
      <c r="G316" s="141">
        <v>-45.609400000000001</v>
      </c>
      <c r="H316" s="141">
        <v>14.242419999999999</v>
      </c>
      <c r="I316" s="141">
        <v>49.655169999999998</v>
      </c>
      <c r="J316" s="141"/>
      <c r="K316" s="141"/>
      <c r="L316" s="141"/>
      <c r="M316" s="250" t="s">
        <v>3025</v>
      </c>
      <c r="N316" s="251"/>
      <c r="O316" s="251">
        <f>O315*30</f>
        <v>-243.50640000000001</v>
      </c>
      <c r="P316" s="251">
        <f t="shared" ref="P316:Q316" si="20">P315*30</f>
        <v>372.73919999999998</v>
      </c>
      <c r="Q316" s="251">
        <f t="shared" si="20"/>
        <v>-64.545600000000007</v>
      </c>
      <c r="R316" s="251">
        <f>R315*30</f>
        <v>-211.99499999999998</v>
      </c>
      <c r="S316" s="141"/>
      <c r="T316" s="141"/>
    </row>
    <row r="317" spans="2:20">
      <c r="B317" s="141"/>
      <c r="C317" s="141"/>
      <c r="D317" s="141"/>
      <c r="E317" s="141"/>
      <c r="F317" s="141"/>
      <c r="G317" s="141"/>
      <c r="H317" s="141"/>
      <c r="I317" s="141"/>
      <c r="J317" s="141"/>
      <c r="K317" s="141"/>
      <c r="L317" s="141"/>
      <c r="M317" s="141"/>
      <c r="N317" s="141"/>
      <c r="O317" s="141"/>
      <c r="P317" s="141"/>
      <c r="Q317" s="141"/>
      <c r="R317" s="141"/>
      <c r="S317" s="141"/>
      <c r="T317" s="141"/>
    </row>
    <row r="318" spans="2:20">
      <c r="B318" s="141"/>
      <c r="C318" s="141"/>
      <c r="D318" s="217" t="s">
        <v>2624</v>
      </c>
      <c r="E318" s="141" t="s">
        <v>2989</v>
      </c>
      <c r="F318" s="221">
        <v>13.18182</v>
      </c>
      <c r="G318" s="221">
        <v>-16.789000000000001</v>
      </c>
      <c r="H318" s="221">
        <v>2.575758</v>
      </c>
      <c r="I318" s="226">
        <v>8.4827600000000007</v>
      </c>
      <c r="J318" s="141"/>
      <c r="K318" s="141"/>
      <c r="L318" s="141"/>
      <c r="M318" s="141"/>
      <c r="N318" s="141"/>
      <c r="O318" s="141"/>
      <c r="P318" s="141"/>
      <c r="Q318" s="141"/>
      <c r="R318" s="141"/>
      <c r="S318" s="141"/>
      <c r="T318" s="141"/>
    </row>
    <row r="319" spans="2:20">
      <c r="B319" s="141"/>
      <c r="C319" s="141"/>
      <c r="D319" s="141"/>
      <c r="E319" s="141" t="s">
        <v>2990</v>
      </c>
      <c r="F319" s="221">
        <v>13.18182</v>
      </c>
      <c r="G319" s="221">
        <v>-13.119300000000001</v>
      </c>
      <c r="H319" s="221">
        <v>2.6464650000000001</v>
      </c>
      <c r="I319" s="226">
        <v>8.8620699999999992</v>
      </c>
      <c r="J319" s="141"/>
      <c r="K319" s="141"/>
      <c r="L319" s="141"/>
      <c r="M319" s="141"/>
      <c r="N319" s="141"/>
      <c r="O319" s="141"/>
      <c r="P319" s="141"/>
      <c r="Q319" s="141"/>
      <c r="R319" s="141"/>
      <c r="S319" s="141"/>
      <c r="T319" s="141"/>
    </row>
    <row r="320" spans="2:20">
      <c r="B320" s="141"/>
      <c r="C320" s="141"/>
      <c r="D320" s="141"/>
      <c r="E320" s="141" t="s">
        <v>2991</v>
      </c>
      <c r="F320" s="221">
        <v>8.4090910000000001</v>
      </c>
      <c r="G320" s="221">
        <v>-15.412800000000001</v>
      </c>
      <c r="H320" s="221">
        <v>2.575758</v>
      </c>
      <c r="I320" s="226">
        <v>8.4827600000000007</v>
      </c>
      <c r="J320" s="141"/>
      <c r="K320" s="141"/>
      <c r="L320" s="141"/>
      <c r="M320" s="141"/>
      <c r="N320" s="141"/>
      <c r="O320" s="141"/>
      <c r="P320" s="141"/>
      <c r="Q320" s="141"/>
      <c r="R320" s="141"/>
      <c r="S320" s="141"/>
      <c r="T320" s="141"/>
    </row>
    <row r="321" spans="2:20">
      <c r="B321" s="141"/>
      <c r="C321" s="141"/>
      <c r="D321" s="141"/>
      <c r="E321" s="141" t="s">
        <v>2992</v>
      </c>
      <c r="F321" s="221">
        <v>11.81818</v>
      </c>
      <c r="G321" s="221">
        <v>-8.5321099999999994</v>
      </c>
      <c r="H321" s="221">
        <v>2.575758</v>
      </c>
      <c r="I321" s="226">
        <v>8.4827600000000007</v>
      </c>
      <c r="J321" s="141"/>
      <c r="K321" s="141"/>
      <c r="L321" s="141"/>
      <c r="M321" s="141"/>
      <c r="N321" s="141"/>
      <c r="O321" s="141"/>
      <c r="P321" s="141"/>
      <c r="Q321" s="141"/>
      <c r="R321" s="141"/>
      <c r="S321" s="141"/>
      <c r="T321" s="141"/>
    </row>
    <row r="322" spans="2:20">
      <c r="B322" s="141"/>
      <c r="C322" s="141"/>
      <c r="D322" s="141"/>
      <c r="E322" s="141" t="s">
        <v>2993</v>
      </c>
      <c r="F322" s="221">
        <v>5.3409089999999999</v>
      </c>
      <c r="G322" s="221">
        <v>-7.6146799999999999</v>
      </c>
      <c r="H322" s="221">
        <v>2.5050509999999999</v>
      </c>
      <c r="I322" s="226">
        <v>8.2931000000000008</v>
      </c>
      <c r="J322" s="141"/>
      <c r="K322" s="141"/>
      <c r="L322" s="141"/>
      <c r="M322" s="141"/>
      <c r="N322" s="141"/>
      <c r="O322" s="141"/>
      <c r="P322" s="141"/>
      <c r="Q322" s="141"/>
      <c r="R322" s="141"/>
      <c r="S322" s="141"/>
      <c r="T322" s="141"/>
    </row>
    <row r="323" spans="2:20">
      <c r="B323" s="141"/>
      <c r="C323" s="141"/>
      <c r="D323" s="141"/>
      <c r="E323" s="141" t="s">
        <v>2994</v>
      </c>
      <c r="F323" s="221">
        <v>1.5909089999999999</v>
      </c>
      <c r="G323" s="221">
        <v>-0.27522999999999997</v>
      </c>
      <c r="H323" s="221">
        <v>2.4343430000000001</v>
      </c>
      <c r="I323" s="226">
        <v>8.1034500000000005</v>
      </c>
      <c r="J323" s="141"/>
      <c r="K323" s="141"/>
      <c r="L323" s="141"/>
      <c r="M323" s="141"/>
      <c r="N323" s="141"/>
      <c r="O323" s="141"/>
      <c r="P323" s="141"/>
      <c r="Q323" s="141"/>
      <c r="R323" s="141"/>
      <c r="S323" s="141"/>
      <c r="T323" s="141"/>
    </row>
    <row r="324" spans="2:20">
      <c r="B324" s="141"/>
      <c r="C324" s="141"/>
      <c r="D324" s="141"/>
      <c r="E324" s="141" t="s">
        <v>2995</v>
      </c>
      <c r="F324" s="221">
        <v>3.9772729999999998</v>
      </c>
      <c r="G324" s="221">
        <v>1.559633</v>
      </c>
      <c r="H324" s="221">
        <v>2.6464650000000001</v>
      </c>
      <c r="I324" s="226">
        <v>8.6724099999999993</v>
      </c>
      <c r="J324" s="141"/>
      <c r="K324" s="141"/>
      <c r="L324" s="141"/>
      <c r="M324" s="141"/>
      <c r="N324" s="141"/>
      <c r="O324" s="141"/>
      <c r="P324" s="141"/>
      <c r="Q324" s="141"/>
      <c r="R324" s="141"/>
      <c r="S324" s="141"/>
      <c r="T324" s="141"/>
    </row>
    <row r="325" spans="2:20">
      <c r="B325" s="141"/>
      <c r="C325" s="141"/>
      <c r="D325" s="217" t="s">
        <v>2614</v>
      </c>
      <c r="E325" s="141"/>
      <c r="F325" s="217">
        <v>8.2142859999999995</v>
      </c>
      <c r="G325" s="217">
        <v>-8.5976400000000002</v>
      </c>
      <c r="H325" s="217">
        <v>2.5656569999999999</v>
      </c>
      <c r="I325" s="217">
        <v>8.4827589999999997</v>
      </c>
      <c r="J325" s="141"/>
      <c r="K325" s="141"/>
      <c r="L325" s="141"/>
      <c r="M325" s="141"/>
      <c r="N325" s="141"/>
      <c r="O325" s="141"/>
      <c r="P325" s="141"/>
      <c r="Q325" s="141"/>
      <c r="R325" s="141"/>
      <c r="S325" s="141"/>
      <c r="T325" s="141"/>
    </row>
    <row r="326" spans="2:20">
      <c r="B326" s="141"/>
      <c r="C326" s="141"/>
      <c r="D326" s="141" t="s">
        <v>3025</v>
      </c>
      <c r="E326" s="141"/>
      <c r="F326" s="141">
        <v>246.42859999999999</v>
      </c>
      <c r="G326" s="141">
        <v>-257.92899999999997</v>
      </c>
      <c r="H326" s="141">
        <v>76.969700000000003</v>
      </c>
      <c r="I326" s="141">
        <v>254.4828</v>
      </c>
      <c r="J326" s="141"/>
      <c r="K326" s="141"/>
      <c r="L326" s="141"/>
      <c r="M326" s="141"/>
      <c r="N326" s="141"/>
      <c r="O326" s="141"/>
      <c r="P326" s="141"/>
      <c r="Q326" s="141"/>
      <c r="R326" s="141"/>
      <c r="S326" s="141"/>
      <c r="T326" s="141"/>
    </row>
    <row r="327" spans="2:20">
      <c r="B327" s="141"/>
      <c r="C327" s="141"/>
      <c r="D327" s="141"/>
      <c r="E327" s="141"/>
      <c r="F327" s="141"/>
      <c r="G327" s="141"/>
      <c r="H327" s="141"/>
      <c r="I327" s="141"/>
      <c r="J327" s="141"/>
      <c r="K327" s="141"/>
      <c r="L327" s="141"/>
      <c r="M327" s="141"/>
      <c r="N327" s="141"/>
      <c r="O327" s="141"/>
      <c r="P327" s="141"/>
      <c r="Q327" s="141"/>
      <c r="R327" s="141"/>
      <c r="S327" s="141"/>
      <c r="T327" s="141"/>
    </row>
    <row r="328" spans="2:20">
      <c r="B328" s="141"/>
      <c r="C328" s="141"/>
      <c r="D328" s="217" t="s">
        <v>2622</v>
      </c>
      <c r="E328" s="141" t="s">
        <v>2989</v>
      </c>
      <c r="F328" s="223">
        <v>2.2727270000000002</v>
      </c>
      <c r="G328" s="223">
        <v>0.64220200000000005</v>
      </c>
      <c r="H328" s="223">
        <v>1.3030299999999999</v>
      </c>
      <c r="I328" s="224">
        <v>4.3103400000000001</v>
      </c>
      <c r="J328" s="141"/>
      <c r="K328" s="141"/>
      <c r="L328" s="141"/>
      <c r="M328" s="141"/>
      <c r="N328" s="141"/>
      <c r="O328" s="141"/>
      <c r="P328" s="141"/>
      <c r="Q328" s="141"/>
      <c r="R328" s="141"/>
      <c r="S328" s="141"/>
      <c r="T328" s="141"/>
    </row>
    <row r="329" spans="2:20">
      <c r="B329" s="141"/>
      <c r="C329" s="141"/>
      <c r="D329" s="217" t="s">
        <v>2623</v>
      </c>
      <c r="E329" s="141" t="s">
        <v>2990</v>
      </c>
      <c r="F329" s="223">
        <v>-0.45455000000000001</v>
      </c>
      <c r="G329" s="223">
        <v>7.0642199999999997</v>
      </c>
      <c r="H329" s="223">
        <v>1.3030299999999999</v>
      </c>
      <c r="I329" s="224">
        <v>4.3103400000000001</v>
      </c>
      <c r="J329" s="141"/>
      <c r="K329" s="141"/>
      <c r="L329" s="141"/>
      <c r="M329" s="141"/>
      <c r="N329" s="141"/>
      <c r="O329" s="141"/>
      <c r="P329" s="141"/>
      <c r="Q329" s="141"/>
      <c r="R329" s="141"/>
      <c r="S329" s="141"/>
      <c r="T329" s="141"/>
    </row>
    <row r="330" spans="2:20">
      <c r="B330" s="141"/>
      <c r="C330" s="141"/>
      <c r="D330" s="141"/>
      <c r="E330" s="141" t="s">
        <v>2991</v>
      </c>
      <c r="F330" s="223">
        <v>-1.4772700000000001</v>
      </c>
      <c r="G330" s="223">
        <v>6.1467890000000001</v>
      </c>
      <c r="H330" s="223">
        <v>0.87878800000000001</v>
      </c>
      <c r="I330" s="224">
        <v>2.60345</v>
      </c>
      <c r="J330" s="141"/>
      <c r="K330" s="141"/>
      <c r="L330" s="141"/>
      <c r="M330" s="141"/>
      <c r="N330" s="141"/>
      <c r="O330" s="141"/>
      <c r="P330" s="141"/>
      <c r="Q330" s="141"/>
      <c r="R330" s="141"/>
      <c r="S330" s="141"/>
      <c r="T330" s="141"/>
    </row>
    <row r="331" spans="2:20">
      <c r="B331" s="141"/>
      <c r="C331" s="141"/>
      <c r="D331" s="141"/>
      <c r="E331" s="141" t="s">
        <v>2992</v>
      </c>
      <c r="F331" s="223">
        <v>-4.2045500000000002</v>
      </c>
      <c r="G331" s="223">
        <v>2.4770639999999999</v>
      </c>
      <c r="H331" s="223">
        <v>0.87878800000000001</v>
      </c>
      <c r="I331" s="224">
        <v>2.60345</v>
      </c>
      <c r="J331" s="141"/>
      <c r="K331" s="141"/>
      <c r="L331" s="141"/>
      <c r="M331" s="141"/>
      <c r="N331" s="141"/>
      <c r="O331" s="141"/>
      <c r="P331" s="141"/>
      <c r="Q331" s="141"/>
      <c r="R331" s="141"/>
      <c r="S331" s="141"/>
      <c r="T331" s="141"/>
    </row>
    <row r="332" spans="2:20">
      <c r="B332" s="141"/>
      <c r="C332" s="141"/>
      <c r="D332" s="141"/>
      <c r="E332" s="141" t="s">
        <v>2993</v>
      </c>
      <c r="F332" s="223">
        <v>-0.79544999999999999</v>
      </c>
      <c r="G332" s="223">
        <v>6.1467890000000001</v>
      </c>
      <c r="H332" s="223">
        <v>0.66666700000000001</v>
      </c>
      <c r="I332" s="224">
        <v>2.0344799999999998</v>
      </c>
      <c r="J332" s="141"/>
      <c r="K332" s="141"/>
      <c r="L332" s="141"/>
      <c r="M332" s="141"/>
      <c r="N332" s="141"/>
      <c r="O332" s="141"/>
      <c r="P332" s="141"/>
      <c r="Q332" s="141"/>
      <c r="R332" s="141"/>
      <c r="S332" s="141"/>
      <c r="T332" s="141"/>
    </row>
    <row r="333" spans="2:20">
      <c r="B333" s="141"/>
      <c r="C333" s="141"/>
      <c r="D333" s="141"/>
      <c r="E333" s="141" t="s">
        <v>2994</v>
      </c>
      <c r="F333" s="223">
        <v>0.90909099999999998</v>
      </c>
      <c r="G333" s="223">
        <v>3.8532109999999999</v>
      </c>
      <c r="H333" s="223">
        <v>0.66666700000000001</v>
      </c>
      <c r="I333" s="224">
        <v>2.0344799999999998</v>
      </c>
      <c r="J333" s="141"/>
      <c r="K333" s="141"/>
      <c r="L333" s="141"/>
      <c r="M333" s="141"/>
      <c r="N333" s="141"/>
      <c r="O333" s="141"/>
      <c r="P333" s="141"/>
      <c r="Q333" s="141"/>
      <c r="R333" s="141"/>
      <c r="S333" s="141"/>
      <c r="T333" s="141"/>
    </row>
    <row r="334" spans="2:20">
      <c r="B334" s="141"/>
      <c r="C334" s="141"/>
      <c r="D334" s="141"/>
      <c r="E334" s="141" t="s">
        <v>2995</v>
      </c>
      <c r="F334" s="223">
        <v>3.6363639999999999</v>
      </c>
      <c r="G334" s="223">
        <v>1.559633</v>
      </c>
      <c r="H334" s="223">
        <v>0.31313099999999999</v>
      </c>
      <c r="I334" s="224">
        <v>1.27586</v>
      </c>
      <c r="J334" s="141"/>
      <c r="K334" s="141"/>
      <c r="L334" s="141"/>
      <c r="M334" s="141"/>
      <c r="N334" s="141"/>
      <c r="O334" s="141"/>
      <c r="P334" s="141"/>
      <c r="Q334" s="141"/>
      <c r="R334" s="141"/>
      <c r="S334" s="141"/>
      <c r="T334" s="141"/>
    </row>
    <row r="335" spans="2:20">
      <c r="B335" s="141"/>
      <c r="C335" s="141"/>
      <c r="D335" s="217" t="s">
        <v>2614</v>
      </c>
      <c r="E335" s="141"/>
      <c r="F335" s="217">
        <v>-1.6230000000000001E-2</v>
      </c>
      <c r="G335" s="217">
        <v>3.984273</v>
      </c>
      <c r="H335" s="217">
        <v>0.85858599999999996</v>
      </c>
      <c r="I335" s="217">
        <v>2.7389160000000001</v>
      </c>
      <c r="J335" s="141"/>
      <c r="K335" s="141"/>
      <c r="L335" s="141"/>
      <c r="M335" s="141"/>
      <c r="N335" s="141"/>
      <c r="O335" s="141"/>
      <c r="P335" s="141"/>
      <c r="Q335" s="141"/>
      <c r="R335" s="141"/>
      <c r="S335" s="141"/>
      <c r="T335" s="141"/>
    </row>
    <row r="336" spans="2:20">
      <c r="B336" s="141"/>
      <c r="C336" s="141"/>
      <c r="D336" s="250" t="s">
        <v>3024</v>
      </c>
      <c r="E336" s="251"/>
      <c r="F336" s="251">
        <f>F335*30</f>
        <v>-0.48690000000000005</v>
      </c>
      <c r="G336" s="251">
        <f t="shared" si="19"/>
        <v>119.52819</v>
      </c>
      <c r="H336" s="251">
        <f t="shared" si="19"/>
        <v>25.757579999999997</v>
      </c>
      <c r="I336" s="251">
        <f t="shared" si="19"/>
        <v>82.167479999999998</v>
      </c>
      <c r="J336" s="141"/>
      <c r="K336" s="141"/>
      <c r="L336" s="141"/>
      <c r="M336" s="141"/>
      <c r="N336" s="141"/>
      <c r="O336" s="141"/>
      <c r="P336" s="141"/>
      <c r="Q336" s="141"/>
      <c r="R336" s="141"/>
      <c r="S336" s="141"/>
      <c r="T336" s="141"/>
    </row>
    <row r="337" spans="1:28">
      <c r="B337" s="141"/>
      <c r="C337" s="141"/>
      <c r="D337" s="141"/>
      <c r="E337" s="141"/>
      <c r="F337" s="141"/>
      <c r="G337" s="141"/>
      <c r="H337" s="141"/>
      <c r="I337" s="141"/>
      <c r="J337" s="141"/>
      <c r="K337" s="141"/>
      <c r="L337" s="141"/>
      <c r="M337" s="141"/>
      <c r="N337" s="141"/>
      <c r="O337" s="141"/>
      <c r="P337" s="141"/>
      <c r="Q337" s="141"/>
      <c r="R337" s="141"/>
      <c r="S337" s="141"/>
      <c r="T337" s="141"/>
    </row>
    <row r="338" spans="1:28">
      <c r="A338" t="s">
        <v>3028</v>
      </c>
      <c r="B338">
        <f>156*2*8</f>
        <v>2496</v>
      </c>
      <c r="C338" t="s">
        <v>3029</v>
      </c>
      <c r="E338">
        <f>156*2*8</f>
        <v>2496</v>
      </c>
      <c r="F338" t="s">
        <v>3030</v>
      </c>
    </row>
    <row r="339" spans="1:28">
      <c r="A339" t="s">
        <v>783</v>
      </c>
      <c r="B339" s="238" t="s">
        <v>3031</v>
      </c>
      <c r="F339" s="238" t="s">
        <v>925</v>
      </c>
      <c r="G339" t="s">
        <v>3032</v>
      </c>
      <c r="I339" t="s">
        <v>807</v>
      </c>
      <c r="K339" t="s">
        <v>806</v>
      </c>
      <c r="N339" s="238" t="s">
        <v>3033</v>
      </c>
      <c r="O339" t="s">
        <v>3032</v>
      </c>
      <c r="Q339" t="s">
        <v>807</v>
      </c>
      <c r="S339" t="s">
        <v>806</v>
      </c>
      <c r="V339" t="s">
        <v>2628</v>
      </c>
      <c r="W339" t="s">
        <v>3032</v>
      </c>
      <c r="Y339" t="s">
        <v>807</v>
      </c>
      <c r="AA339" t="s">
        <v>806</v>
      </c>
    </row>
    <row r="340" spans="1:28">
      <c r="A340" t="s">
        <v>397</v>
      </c>
      <c r="C340" t="s">
        <v>810</v>
      </c>
      <c r="D340" t="s">
        <v>259</v>
      </c>
      <c r="F340" t="s">
        <v>539</v>
      </c>
      <c r="G340" t="s">
        <v>810</v>
      </c>
      <c r="H340" t="s">
        <v>259</v>
      </c>
      <c r="I340" t="s">
        <v>810</v>
      </c>
      <c r="J340" t="s">
        <v>259</v>
      </c>
      <c r="K340" t="s">
        <v>810</v>
      </c>
      <c r="L340" t="s">
        <v>259</v>
      </c>
      <c r="N340" t="s">
        <v>397</v>
      </c>
      <c r="O340" t="s">
        <v>810</v>
      </c>
      <c r="P340" t="s">
        <v>259</v>
      </c>
      <c r="Q340" t="s">
        <v>810</v>
      </c>
      <c r="R340" t="s">
        <v>259</v>
      </c>
      <c r="S340" t="s">
        <v>810</v>
      </c>
      <c r="T340" t="s">
        <v>259</v>
      </c>
      <c r="V340" t="s">
        <v>539</v>
      </c>
      <c r="W340" t="s">
        <v>810</v>
      </c>
      <c r="X340" t="s">
        <v>259</v>
      </c>
      <c r="Y340" t="s">
        <v>810</v>
      </c>
      <c r="Z340" t="s">
        <v>259</v>
      </c>
      <c r="AA340" t="s">
        <v>810</v>
      </c>
      <c r="AB340" t="s">
        <v>259</v>
      </c>
    </row>
    <row r="341" spans="1:28">
      <c r="A341" s="253" t="s">
        <v>3034</v>
      </c>
      <c r="B341" t="s">
        <v>3035</v>
      </c>
      <c r="C341">
        <v>35.094000000000001</v>
      </c>
      <c r="D341">
        <v>28.074999999999999</v>
      </c>
      <c r="F341" t="s">
        <v>3036</v>
      </c>
      <c r="G341">
        <v>1135</v>
      </c>
      <c r="H341">
        <v>521</v>
      </c>
      <c r="I341">
        <v>1135</v>
      </c>
      <c r="J341">
        <v>521</v>
      </c>
      <c r="K341">
        <v>1135</v>
      </c>
      <c r="L341">
        <v>521</v>
      </c>
    </row>
    <row r="342" spans="1:28">
      <c r="A342" s="253" t="s">
        <v>3034</v>
      </c>
      <c r="B342" t="s">
        <v>3037</v>
      </c>
      <c r="C342">
        <v>7.31</v>
      </c>
      <c r="D342">
        <v>2.7949999999999999</v>
      </c>
      <c r="F342" t="s">
        <v>3038</v>
      </c>
      <c r="G342">
        <v>38</v>
      </c>
      <c r="H342">
        <v>20</v>
      </c>
      <c r="I342">
        <v>38</v>
      </c>
      <c r="J342">
        <v>24</v>
      </c>
      <c r="K342">
        <v>38</v>
      </c>
      <c r="L342">
        <v>40</v>
      </c>
    </row>
    <row r="343" spans="1:28">
      <c r="A343" s="253" t="s">
        <v>195</v>
      </c>
      <c r="B343" t="s">
        <v>3039</v>
      </c>
      <c r="C343">
        <v>-161.49</v>
      </c>
      <c r="D343">
        <v>-64.394000000000005</v>
      </c>
      <c r="F343" t="s">
        <v>3040</v>
      </c>
      <c r="G343">
        <v>214</v>
      </c>
      <c r="H343">
        <v>146</v>
      </c>
      <c r="I343">
        <v>197</v>
      </c>
      <c r="J343">
        <v>134</v>
      </c>
      <c r="K343">
        <v>199</v>
      </c>
      <c r="L343">
        <v>134</v>
      </c>
    </row>
    <row r="344" spans="1:28">
      <c r="A344" s="253" t="s">
        <v>195</v>
      </c>
      <c r="B344" t="s">
        <v>3041</v>
      </c>
      <c r="C344">
        <v>0</v>
      </c>
      <c r="D344">
        <v>-64.013999999999996</v>
      </c>
    </row>
    <row r="345" spans="1:28">
      <c r="B345" t="s">
        <v>2628</v>
      </c>
      <c r="C345">
        <v>-119.086</v>
      </c>
      <c r="D345">
        <v>-97.537999999999997</v>
      </c>
      <c r="G345">
        <f t="shared" ref="G345:L345" si="21">SUM(G341:G343)</f>
        <v>1387</v>
      </c>
      <c r="H345">
        <f t="shared" si="21"/>
        <v>687</v>
      </c>
      <c r="I345">
        <f t="shared" si="21"/>
        <v>1370</v>
      </c>
      <c r="J345">
        <f t="shared" si="21"/>
        <v>679</v>
      </c>
      <c r="K345">
        <f t="shared" si="21"/>
        <v>1372</v>
      </c>
      <c r="L345">
        <f t="shared" si="21"/>
        <v>695</v>
      </c>
      <c r="O345">
        <v>293.02325581395303</v>
      </c>
      <c r="P345">
        <v>353.48837209302297</v>
      </c>
      <c r="Q345">
        <v>164.34108527131701</v>
      </c>
      <c r="R345">
        <v>234.10852713178301</v>
      </c>
      <c r="S345">
        <v>269.767441860465</v>
      </c>
      <c r="T345">
        <v>310.07751937984398</v>
      </c>
      <c r="W345">
        <f>O345*0.1+G345+$C345*0.1</f>
        <v>1404.3937255813953</v>
      </c>
      <c r="X345">
        <f>P345*0.1+H345+$D345*0.1</f>
        <v>712.59503720930229</v>
      </c>
      <c r="Y345">
        <f>Q345*0.1+I345+$C345*0.1</f>
        <v>1374.5255085271317</v>
      </c>
      <c r="Z345">
        <f>R345*0.1+J345+$D345*0.1</f>
        <v>692.65705271317836</v>
      </c>
      <c r="AA345">
        <f>S345*0.1+K345+$C345*0.1</f>
        <v>1387.0681441860465</v>
      </c>
      <c r="AB345">
        <f>T345*0.1+L345+$D345*0.1</f>
        <v>716.25395193798443</v>
      </c>
    </row>
    <row r="348" spans="1:28">
      <c r="C348" t="s">
        <v>3032</v>
      </c>
      <c r="E348" t="s">
        <v>807</v>
      </c>
      <c r="G348" t="s">
        <v>806</v>
      </c>
      <c r="U348" t="s">
        <v>2624</v>
      </c>
    </row>
    <row r="349" spans="1:28">
      <c r="A349" t="s">
        <v>3042</v>
      </c>
      <c r="B349" t="s">
        <v>1609</v>
      </c>
      <c r="C349" t="s">
        <v>810</v>
      </c>
      <c r="D349" t="s">
        <v>259</v>
      </c>
      <c r="E349" t="s">
        <v>810</v>
      </c>
      <c r="F349" t="s">
        <v>259</v>
      </c>
      <c r="G349" t="s">
        <v>810</v>
      </c>
      <c r="H349" t="s">
        <v>259</v>
      </c>
    </row>
    <row r="350" spans="1:28">
      <c r="B350" t="s">
        <v>925</v>
      </c>
      <c r="C350">
        <v>1.0401746724890799</v>
      </c>
      <c r="D350">
        <v>0.52139737991266299</v>
      </c>
      <c r="E350">
        <v>1.03493449781659</v>
      </c>
      <c r="F350">
        <v>0.51877729257641902</v>
      </c>
      <c r="G350">
        <v>1.03493449781659</v>
      </c>
      <c r="H350">
        <v>0.53187772925764099</v>
      </c>
    </row>
    <row r="351" spans="1:28">
      <c r="B351" t="s">
        <v>3033</v>
      </c>
      <c r="C351">
        <v>0.29344978165938801</v>
      </c>
      <c r="D351">
        <v>0.35633187772925701</v>
      </c>
      <c r="E351">
        <v>0.27248908296943197</v>
      </c>
      <c r="F351">
        <v>0.31179039301310002</v>
      </c>
      <c r="G351">
        <v>0.40087336244541499</v>
      </c>
      <c r="H351">
        <v>0.43231441048034902</v>
      </c>
    </row>
    <row r="352" spans="1:28">
      <c r="B352" t="s">
        <v>3043</v>
      </c>
      <c r="C352">
        <v>-9.43231441048034E-2</v>
      </c>
      <c r="D352">
        <v>-7.8602620087335803E-2</v>
      </c>
      <c r="E352">
        <v>-9.43231441048034E-2</v>
      </c>
      <c r="F352">
        <v>-7.8602620087335803E-2</v>
      </c>
      <c r="G352">
        <v>-9.43231441048034E-2</v>
      </c>
      <c r="H352">
        <v>-7.8602620087335803E-2</v>
      </c>
    </row>
    <row r="353" spans="1:11">
      <c r="B353" t="s">
        <v>2628</v>
      </c>
      <c r="C353">
        <f>SUM(C350:C352)</f>
        <v>1.2393013100436645</v>
      </c>
      <c r="D353">
        <f t="shared" ref="D353:H353" si="22">SUM(D350:D352)</f>
        <v>0.79912663755458424</v>
      </c>
      <c r="E353">
        <f t="shared" si="22"/>
        <v>1.2131004366812186</v>
      </c>
      <c r="F353">
        <f t="shared" si="22"/>
        <v>0.75196506550218323</v>
      </c>
      <c r="G353">
        <f t="shared" si="22"/>
        <v>1.3414847161572017</v>
      </c>
      <c r="H353">
        <f t="shared" si="22"/>
        <v>0.88558951965065424</v>
      </c>
    </row>
    <row r="356" spans="1:11">
      <c r="I356" s="238" t="s">
        <v>3044</v>
      </c>
      <c r="J356" s="238" t="s">
        <v>3045</v>
      </c>
      <c r="K356" s="238" t="s">
        <v>3046</v>
      </c>
    </row>
    <row r="357" spans="1:11">
      <c r="A357" t="s">
        <v>3047</v>
      </c>
      <c r="E357" s="254" t="s">
        <v>3048</v>
      </c>
      <c r="F357" t="s">
        <v>3049</v>
      </c>
      <c r="G357" t="s">
        <v>3050</v>
      </c>
      <c r="H357" t="s">
        <v>3051</v>
      </c>
      <c r="I357" t="s">
        <v>3045</v>
      </c>
      <c r="J357" t="s">
        <v>3044</v>
      </c>
      <c r="K357" t="s">
        <v>3052</v>
      </c>
    </row>
    <row r="358" spans="1:11">
      <c r="E358" s="254" t="s">
        <v>665</v>
      </c>
      <c r="G358">
        <v>3476</v>
      </c>
      <c r="H358">
        <v>497</v>
      </c>
      <c r="I358">
        <v>2927522</v>
      </c>
      <c r="J358">
        <v>1029876</v>
      </c>
      <c r="K358">
        <v>200</v>
      </c>
    </row>
    <row r="359" spans="1:11">
      <c r="E359" s="254" t="s">
        <v>1044</v>
      </c>
      <c r="F359" t="s">
        <v>345</v>
      </c>
      <c r="G359">
        <v>38.799999999999997</v>
      </c>
      <c r="H359">
        <v>2.9</v>
      </c>
      <c r="I359">
        <v>150784</v>
      </c>
      <c r="J359">
        <v>60125</v>
      </c>
      <c r="K359">
        <v>1.6</v>
      </c>
    </row>
    <row r="360" spans="1:11">
      <c r="E360" s="254" t="s">
        <v>3053</v>
      </c>
      <c r="F360" t="s">
        <v>345</v>
      </c>
      <c r="G360">
        <v>3.9</v>
      </c>
      <c r="H360">
        <v>0.1</v>
      </c>
      <c r="I360">
        <v>53000</v>
      </c>
      <c r="J360">
        <v>5160</v>
      </c>
      <c r="K360">
        <v>0.6</v>
      </c>
    </row>
    <row r="361" spans="1:11">
      <c r="E361" s="254" t="s">
        <v>3054</v>
      </c>
      <c r="F361" t="s">
        <v>345</v>
      </c>
      <c r="G361">
        <v>6.5</v>
      </c>
      <c r="H361">
        <v>0.4</v>
      </c>
      <c r="I361">
        <v>14868</v>
      </c>
      <c r="J361">
        <v>26306</v>
      </c>
      <c r="K361">
        <v>0.94</v>
      </c>
    </row>
    <row r="362" spans="1:11">
      <c r="E362" s="254" t="s">
        <v>259</v>
      </c>
      <c r="F362" t="s">
        <v>498</v>
      </c>
      <c r="G362">
        <v>1009</v>
      </c>
      <c r="H362">
        <v>67.7</v>
      </c>
      <c r="I362" t="s">
        <v>3055</v>
      </c>
      <c r="J362">
        <v>119193</v>
      </c>
      <c r="K362">
        <v>1541</v>
      </c>
    </row>
    <row r="363" spans="1:11">
      <c r="E363" s="254" t="s">
        <v>3056</v>
      </c>
      <c r="F363" t="s">
        <v>345</v>
      </c>
      <c r="G363">
        <v>3.5</v>
      </c>
      <c r="H363">
        <v>0.3</v>
      </c>
      <c r="I363">
        <v>168721</v>
      </c>
      <c r="J363">
        <v>15127</v>
      </c>
      <c r="K363">
        <v>0.14000000000000001</v>
      </c>
    </row>
    <row r="364" spans="1:11">
      <c r="E364" s="254" t="s">
        <v>3057</v>
      </c>
      <c r="F364" t="s">
        <v>345</v>
      </c>
      <c r="G364">
        <v>57.1</v>
      </c>
      <c r="H364">
        <v>3.8</v>
      </c>
      <c r="I364">
        <v>2923</v>
      </c>
      <c r="J364">
        <v>14210</v>
      </c>
      <c r="K364">
        <v>4.2</v>
      </c>
    </row>
    <row r="365" spans="1:11">
      <c r="E365" s="254" t="s">
        <v>3058</v>
      </c>
      <c r="F365" t="s">
        <v>3059</v>
      </c>
      <c r="G365">
        <v>12717</v>
      </c>
      <c r="H365">
        <v>696</v>
      </c>
      <c r="I365" t="s">
        <v>3055</v>
      </c>
      <c r="J365">
        <v>8552</v>
      </c>
      <c r="K365">
        <v>783</v>
      </c>
    </row>
    <row r="366" spans="1:11">
      <c r="E366" s="254" t="s">
        <v>3060</v>
      </c>
      <c r="F366" t="s">
        <v>345</v>
      </c>
      <c r="G366">
        <v>18.3</v>
      </c>
      <c r="H366">
        <v>1.6</v>
      </c>
      <c r="I366" t="s">
        <v>3055</v>
      </c>
      <c r="J366">
        <v>2924</v>
      </c>
      <c r="K366">
        <v>9.25</v>
      </c>
    </row>
    <row r="367" spans="1:11">
      <c r="I367" t="s">
        <v>810</v>
      </c>
      <c r="J367" t="s">
        <v>259</v>
      </c>
    </row>
    <row r="368" spans="1:11">
      <c r="D368" t="s">
        <v>3061</v>
      </c>
      <c r="F368" t="s">
        <v>345</v>
      </c>
      <c r="I368">
        <f>SUM(I362,I365,I366)</f>
        <v>0</v>
      </c>
      <c r="J368">
        <f>SUM(J362,J365,J366)</f>
        <v>130669</v>
      </c>
    </row>
  </sheetData>
  <mergeCells count="12">
    <mergeCell ref="C278:E281"/>
    <mergeCell ref="N203:P203"/>
    <mergeCell ref="Q203:S203"/>
    <mergeCell ref="D213:F213"/>
    <mergeCell ref="G213:I213"/>
    <mergeCell ref="N213:P213"/>
    <mergeCell ref="Q213:S213"/>
    <mergeCell ref="B158:C158"/>
    <mergeCell ref="E158:F158"/>
    <mergeCell ref="F184:G184"/>
    <mergeCell ref="N194:P194"/>
    <mergeCell ref="Q194:S194"/>
  </mergeCell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3"/>
  <sheetViews>
    <sheetView workbookViewId="0">
      <selection activeCell="B1" sqref="B1"/>
    </sheetView>
  </sheetViews>
  <sheetFormatPr baseColWidth="10" defaultRowHeight="16"/>
  <cols>
    <col min="2" max="2" width="19.33203125" customWidth="1"/>
  </cols>
  <sheetData>
    <row r="1" spans="1:4">
      <c r="A1" t="s">
        <v>3062</v>
      </c>
      <c r="B1">
        <f>AVERAGE(Sheet1!CU:CU)</f>
        <v>-280.21514765658384</v>
      </c>
      <c r="C1">
        <f>STDEVA(Sheet1!$BY:$BY)</f>
        <v>3887.0479931513159</v>
      </c>
      <c r="D1" s="152">
        <v>3</v>
      </c>
    </row>
    <row r="2" spans="1:4">
      <c r="A2" t="s">
        <v>164</v>
      </c>
      <c r="B2">
        <f>AVERAGE(Sheet1!BU:BU)</f>
        <v>1.0934888513901799</v>
      </c>
      <c r="C2">
        <f>STDEVA(Sheet1!$BU:$BU)</f>
        <v>17.422439514213288</v>
      </c>
      <c r="D2" s="152"/>
    </row>
    <row r="3" spans="1:4">
      <c r="B3" t="s">
        <v>3063</v>
      </c>
      <c r="C3" t="s">
        <v>3064</v>
      </c>
      <c r="D3" t="s">
        <v>3065</v>
      </c>
    </row>
  </sheetData>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4"/>
  <sheetViews>
    <sheetView workbookViewId="0">
      <selection activeCell="A4" sqref="A4"/>
    </sheetView>
  </sheetViews>
  <sheetFormatPr baseColWidth="10" defaultRowHeight="16"/>
  <sheetData>
    <row r="1" spans="1:1">
      <c r="A1" t="s">
        <v>3066</v>
      </c>
    </row>
    <row r="2" spans="1:1">
      <c r="A2" t="s">
        <v>3067</v>
      </c>
    </row>
    <row r="3" spans="1:1">
      <c r="A3" t="s">
        <v>3068</v>
      </c>
    </row>
    <row r="4" spans="1:1">
      <c r="A4" t="s">
        <v>3069</v>
      </c>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Sheet1</vt:lpstr>
      <vt:lpstr>Sheet2</vt:lpstr>
      <vt:lpstr>Conversions</vt:lpstr>
      <vt:lpstr>Palette_in_use</vt:lpstr>
      <vt:lpstr>SL_Extractions_v5</vt:lpstr>
      <vt:lpstr>VB_Extractions_v5</vt:lpstr>
      <vt:lpstr>QC_Aude</vt:lpstr>
      <vt:lpstr>QC_indicators</vt:lpstr>
      <vt:lpstr>TO DO</vt:lpstr>
      <vt:lpstr>C_to_CO2</vt:lpstr>
      <vt:lpstr>kg_to_m3</vt:lpstr>
      <vt:lpstr>t_to_m3</vt:lpstr>
      <vt:lpstr>tC_to_m3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Aude Valade</cp:lastModifiedBy>
  <cp:revision>11</cp:revision>
  <dcterms:created xsi:type="dcterms:W3CDTF">2022-03-29T09:19:07Z</dcterms:created>
  <dcterms:modified xsi:type="dcterms:W3CDTF">2025-06-20T15:14:26Z</dcterms:modified>
</cp:coreProperties>
</file>